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ckpit" sheetId="1" state="visible" r:id="rId3"/>
    <sheet name="Szenarien" sheetId="2" state="visible" r:id="rId4"/>
    <sheet name="Artikel" sheetId="3" state="visible" r:id="rId5"/>
    <sheet name="Parameter" sheetId="4" state="visible" r:id="rId6"/>
    <sheet name="Neue Artikel" sheetId="5" state="visible" r:id="rId7"/>
    <sheet name="Gebinde-Kategorie" sheetId="6" state="visible" r:id="rId8"/>
    <sheet name="Liftbericht" sheetId="7" state="visible" r:id="rId9"/>
    <sheet name="Anleitung" sheetId="8" state="visible" r:id="rId10"/>
  </sheets>
  <definedNames>
    <definedName function="false" hidden="true" localSheetId="2" name="_xlnm._FilterDatabase" vbProcedure="false">Artikel!$A$6:$BH$1576</definedName>
    <definedName function="false" hidden="false" localSheetId="0" name="_xlnm.Print_Area" vbProcedure="false">Cockpit!$A$1:$S$70</definedName>
    <definedName function="false" hidden="false" localSheetId="1" name="_xlnm.Print_Area" vbProcedure="false">Szenarien!$A$1:$P$45</definedName>
    <definedName function="false" hidden="false" name="A_FACH" vbProcedure="false">Artikel!$CD$7:$CD$1576</definedName>
    <definedName function="false" hidden="false" name="A_FINF" vbProcedure="false">Artikel!$BW$7:$BW$1576</definedName>
    <definedName function="false" hidden="false" name="A_FINN" vbProcedure="false">Artikel!$CA$7:$CA$1576</definedName>
    <definedName function="false" hidden="false" name="A_FINV" vbProcedure="false">Artikel!$BX$7:$BX$1576</definedName>
    <definedName function="false" hidden="false" name="A_GPT" vbProcedure="false">Artikel!$Q$7:$Q$1576</definedName>
    <definedName function="false" hidden="false" name="A_IST" vbProcedure="false">Artikel!$G$7:$G$1576</definedName>
    <definedName function="false" hidden="false" name="A_ISTN" vbProcedure="false">Artikel!$BZ$7:$BZ$1576</definedName>
    <definedName function="false" hidden="false" name="A_KAPR" vbProcedure="false">Artikel!$V$7:$V$1576</definedName>
    <definedName function="false" hidden="false" name="A_LA" vbProcedure="false">Artikel!$BS$7:$BS$1576</definedName>
    <definedName function="false" hidden="false" name="A_LIFT" vbProcedure="false">Artikel!$BT$7:$BT$1576</definedName>
    <definedName function="false" hidden="false" name="A_LOSE" vbProcedure="false">Artikel!$BR$7:$BR$1576</definedName>
    <definedName function="false" hidden="false" name="A_LUO" vbProcedure="false">Artikel!$BV$7:$BV$1576</definedName>
    <definedName function="false" hidden="false" name="A_MBLG" vbProcedure="false">Artikel!$BY$7:$BY$1576</definedName>
    <definedName function="false" hidden="false" name="A_MPG_E" vbProcedure="false">Artikel!$BQ$7:$BQ$1576</definedName>
    <definedName function="false" hidden="false" name="A_PREIS" vbProcedure="false">Artikel!$F$7:$F$1576</definedName>
    <definedName function="false" hidden="false" name="A_VERB" vbProcedure="false">Artikel!$I$7:$I$1576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<sst xmlns="http://schemas.openxmlformats.org/spreadsheetml/2006/main" count="9874" uniqueCount="2723">
  <si>
    <t xml:space="preserve">Cockpit – Lagerlift-Belegung &amp; MAX-Bestand nach Lagerumschlag</t>
  </si>
  <si>
    <t xml:space="preserve">Gelbe Felder = Regler. Auslastung: grün &lt; 85 %, orange 85–100 %, rot &gt; 100 %.</t>
  </si>
  <si>
    <t xml:space="preserve">Ansicht 1</t>
  </si>
  <si>
    <t xml:space="preserve">Ansicht 2</t>
  </si>
  <si>
    <t xml:space="preserve">Ansicht 3</t>
  </si>
  <si>
    <t xml:space="preserve">Variante</t>
  </si>
  <si>
    <t xml:space="preserve">A – Ist-Bestand</t>
  </si>
  <si>
    <t xml:space="preserve">C – Ziel-LU oder Ist</t>
  </si>
  <si>
    <t xml:space="preserve">Ziel-LU</t>
  </si>
  <si>
    <t xml:space="preserve">(bei A ohne Wirkung)</t>
  </si>
  <si>
    <t xml:space="preserve">Bereich</t>
  </si>
  <si>
    <t xml:space="preserve">Tablare Bedarf</t>
  </si>
  <si>
    <t xml:space="preserve">Tablare vorhanden</t>
  </si>
  <si>
    <t xml:space="preserve">Tablare frei</t>
  </si>
  <si>
    <t xml:space="preserve">Füllgrad</t>
  </si>
  <si>
    <t xml:space="preserve">Lift 1 – Schwer</t>
  </si>
  <si>
    <t xml:space="preserve">Lift 2 – Mittel</t>
  </si>
  <si>
    <t xml:space="preserve">Lift 3 – Klein</t>
  </si>
  <si>
    <t xml:space="preserve">Lift 2 + 3 gemeinsam (KTL/PAL)</t>
  </si>
  <si>
    <t xml:space="preserve">Total 3 Lifte</t>
  </si>
  <si>
    <t xml:space="preserve">Nicht im Lift (andere Hauptlager)</t>
  </si>
  <si>
    <t xml:space="preserve">Manuell «Aussen» zugeteilt</t>
  </si>
  <si>
    <t xml:space="preserve">Passt alles in die 3 Lifte?</t>
  </si>
  <si>
    <t xml:space="preserve">Lift 1 (schwer, separat)</t>
  </si>
  <si>
    <t xml:space="preserve">Lift 2 + 3 gemeinsam</t>
  </si>
  <si>
    <t xml:space="preserve">Aussenlager nötig (Tablare)</t>
  </si>
  <si>
    <t xml:space="preserve">Artikel im Aussenlager (ganz/teilweise)</t>
  </si>
  <si>
    <t xml:space="preserve">Lagerwert CHF gesamt</t>
  </si>
  <si>
    <t xml:space="preserve">   davon in den Liften</t>
  </si>
  <si>
    <t xml:space="preserve">   davon im Aussenlager</t>
  </si>
  <si>
    <t xml:space="preserve">   davon nicht im Lift (andere Lager)</t>
  </si>
  <si>
    <t xml:space="preserve">Artikel mit Überbestand (Ist &gt; MAX B)</t>
  </si>
  <si>
    <t xml:space="preserve">(LU dieser Ansicht)</t>
  </si>
  <si>
    <t xml:space="preserve">Überbestandswert CHF</t>
  </si>
  <si>
    <t xml:space="preserve">Tablare je Lift</t>
  </si>
  <si>
    <t xml:space="preserve">aus Gebinden</t>
  </si>
  <si>
    <t xml:space="preserve">Fächer lt. Liftbericht</t>
  </si>
  <si>
    <t xml:space="preserve">lose (geschätzt)</t>
  </si>
  <si>
    <t xml:space="preserve">Anteil geschätzt</t>
  </si>
  <si>
    <t xml:space="preserve">Total</t>
  </si>
  <si>
    <t xml:space="preserve">Diagrammdaten (Auslastung %)</t>
  </si>
  <si>
    <t xml:space="preserve">100 %</t>
  </si>
  <si>
    <t xml:space="preserve">Lift 1</t>
  </si>
  <si>
    <t xml:space="preserve">Lift 2</t>
  </si>
  <si>
    <t xml:space="preserve">Lift 3</t>
  </si>
  <si>
    <t xml:space="preserve">Lift 2+3</t>
  </si>
  <si>
    <t xml:space="preserve">Szenarien – alle LU-Werte auf einen Blick</t>
  </si>
  <si>
    <t xml:space="preserve">Berechnung direkt über das Blatt «Artikel» (SUMPRODUCT). Berücksichtigt Lift-Zuordnung, Gebinde-Anpassungen, Ziel-LU je Artikel und MAX final. LU-Werte aus Parameter A23:A30.</t>
  </si>
  <si>
    <t xml:space="preserve">Lift 1 %</t>
  </si>
  <si>
    <t xml:space="preserve">Lift 2 %</t>
  </si>
  <si>
    <t xml:space="preserve">Lift 3 %</t>
  </si>
  <si>
    <t xml:space="preserve">Lift 2+3 %</t>
  </si>
  <si>
    <t xml:space="preserve">Total %</t>
  </si>
  <si>
    <t xml:space="preserve">Passt alles?</t>
  </si>
  <si>
    <t xml:space="preserve">Aussenlager Tablare</t>
  </si>
  <si>
    <t xml:space="preserve">Lagerwert CHF</t>
  </si>
  <si>
    <t xml:space="preserve">Δ zum Ist CHF</t>
  </si>
  <si>
    <t xml:space="preserve">Δ zum Ist Tablare</t>
  </si>
  <si>
    <t xml:space="preserve">Lift 1 Tablare</t>
  </si>
  <si>
    <t xml:space="preserve">Lift 2 Tablare</t>
  </si>
  <si>
    <t xml:space="preserve">Lift 3 Tablare</t>
  </si>
  <si>
    <t xml:space="preserve">Aussen manuell Tablare</t>
  </si>
  <si>
    <t xml:space="preserve">Ist-Bestand</t>
  </si>
  <si>
    <t xml:space="preserve">–</t>
  </si>
  <si>
    <t xml:space="preserve">B – Ziel-LU</t>
  </si>
  <si>
    <t xml:space="preserve">Ab welchem LU passt alles in die Lifte?</t>
  </si>
  <si>
    <t xml:space="preserve">Variante B (nach Abbau Überbestand):</t>
  </si>
  <si>
    <t xml:space="preserve">Variante C (Überbestand bleibt):</t>
  </si>
  <si>
    <t xml:space="preserve">(Annahme: LU-Liste aufsteigend sortiert. Ist-Bestand: siehe Zeile 5.)</t>
  </si>
  <si>
    <t xml:space="preserve">Diagrammdaten</t>
  </si>
  <si>
    <t xml:space="preserve">B – Total %</t>
  </si>
  <si>
    <t xml:space="preserve">C – Total %</t>
  </si>
  <si>
    <t xml:space="preserve">Ist – Total %</t>
  </si>
  <si>
    <t xml:space="preserve">Artikel – eine Zeile pro Artikel</t>
  </si>
  <si>
    <t xml:space="preserve">Gelb = Eingabe (leer lassen = Vorschlag gilt). Weiss = Formel. Spalten A1–A3 = Cockpit-Ansichten 1–3 (Gruppen mit + / – auf- und zuklappen). Ganz rechts: Hilfsspalten.</t>
  </si>
  <si>
    <t xml:space="preserve">Datenstand: Kennzahlen-Auszug (Kennzahlen_Lager_Auszug.xlsx), Gebinde aus Artikelstamm_mit_Verbrauch_und_Gebinde_Umschlag_2_20260520.xlsx. Erzeugt 05.10.2026.</t>
  </si>
  <si>
    <t xml:space="preserve">Hilfsspalten (nicht ändern)</t>
  </si>
  <si>
    <t xml:space="preserve">Artikelnummer</t>
  </si>
  <si>
    <t xml:space="preserve">Bezeichnung</t>
  </si>
  <si>
    <t xml:space="preserve">Status</t>
  </si>
  <si>
    <t xml:space="preserve">Hauptlager</t>
  </si>
  <si>
    <t xml:space="preserve">ABC</t>
  </si>
  <si>
    <t xml:space="preserve">Preis CHF</t>
  </si>
  <si>
    <t xml:space="preserve">Ist-Wert CHF</t>
  </si>
  <si>
    <t xml:space="preserve">Verbrauch 12 Monate</t>
  </si>
  <si>
    <t xml:space="preserve">Ø-Bestand</t>
  </si>
  <si>
    <t xml:space="preserve">IST-LU</t>
  </si>
  <si>
    <t xml:space="preserve">Mindestbestand (MB)</t>
  </si>
  <si>
    <t xml:space="preserve">Losgrösse (LG)</t>
  </si>
  <si>
    <t xml:space="preserve">WBZ Tage</t>
  </si>
  <si>
    <t xml:space="preserve">Gebindekategorie</t>
  </si>
  <si>
    <t xml:space="preserve">Menge pro Gebinde</t>
  </si>
  <si>
    <t xml:space="preserve">Gebinde je Tablar</t>
  </si>
  <si>
    <t xml:space="preserve">Tablare lose (ganzer Bestand)</t>
  </si>
  <si>
    <t xml:space="preserve">Gebindekategorie neu</t>
  </si>
  <si>
    <t xml:space="preserve">Menge pro Gebinde neu</t>
  </si>
  <si>
    <t xml:space="preserve">Lift lt. Liftbericht</t>
  </si>
  <si>
    <t xml:space="preserve">Fach-Kapazität Stk (Liftbericht)</t>
  </si>
  <si>
    <t xml:space="preserve">Bestand lt. Liftbericht</t>
  </si>
  <si>
    <t xml:space="preserve">Lift Vorschlag</t>
  </si>
  <si>
    <t xml:space="preserve">Lift manuell</t>
  </si>
  <si>
    <t xml:space="preserve">Ziel-LU Artikel</t>
  </si>
  <si>
    <t xml:space="preserve">MAX Variante B (Ansicht 2)</t>
  </si>
  <si>
    <t xml:space="preserve">MAX Variante C (Ansicht 2)</t>
  </si>
  <si>
    <t xml:space="preserve">MAX final</t>
  </si>
  <si>
    <t xml:space="preserve">A1 Menge</t>
  </si>
  <si>
    <t xml:space="preserve">A1 Anzahl Gebinde</t>
  </si>
  <si>
    <t xml:space="preserve">A1 Tablare</t>
  </si>
  <si>
    <t xml:space="preserve">A1 Wert CHF</t>
  </si>
  <si>
    <t xml:space="preserve">A1 MAX B (Hilfe)</t>
  </si>
  <si>
    <t xml:space="preserve">A1 Priorität Verbr./Tablar (Hilfe)</t>
  </si>
  <si>
    <t xml:space="preserve">A1 Fläche kumuliert (Hilfe)</t>
  </si>
  <si>
    <t xml:space="preserve">A1 Anteil im Lift (Hilfe)</t>
  </si>
  <si>
    <t xml:space="preserve">A2 Menge</t>
  </si>
  <si>
    <t xml:space="preserve">A2 Anzahl Gebinde</t>
  </si>
  <si>
    <t xml:space="preserve">A2 Tablare</t>
  </si>
  <si>
    <t xml:space="preserve">A2 Wert CHF</t>
  </si>
  <si>
    <t xml:space="preserve">A2 MAX B (Hilfe)</t>
  </si>
  <si>
    <t xml:space="preserve">A2 Priorität Verbr./Tablar (Hilfe)</t>
  </si>
  <si>
    <t xml:space="preserve">A2 Fläche kumuliert (Hilfe)</t>
  </si>
  <si>
    <t xml:space="preserve">A2 Anteil im Lift (Hilfe)</t>
  </si>
  <si>
    <t xml:space="preserve">A3 Menge</t>
  </si>
  <si>
    <t xml:space="preserve">A3 Anzahl Gebinde</t>
  </si>
  <si>
    <t xml:space="preserve">A3 Tablare</t>
  </si>
  <si>
    <t xml:space="preserve">A3 Wert CHF</t>
  </si>
  <si>
    <t xml:space="preserve">A3 MAX B (Hilfe)</t>
  </si>
  <si>
    <t xml:space="preserve">A3 Priorität Verbr./Tablar (Hilfe)</t>
  </si>
  <si>
    <t xml:space="preserve">A3 Fläche kumuliert (Hilfe)</t>
  </si>
  <si>
    <t xml:space="preserve">A3 Anteil im Lift (Hilfe)</t>
  </si>
  <si>
    <t xml:space="preserve">Lagerort Ansicht 1</t>
  </si>
  <si>
    <t xml:space="preserve">Lagerort Ansicht 2</t>
  </si>
  <si>
    <t xml:space="preserve">Lagerort Ansicht 3</t>
  </si>
  <si>
    <t xml:space="preserve">Hinweise</t>
  </si>
  <si>
    <t xml:space="preserve">Ursache (Kennzahlen)</t>
  </si>
  <si>
    <t xml:space="preserve">Aktion (Kennzahlen)</t>
  </si>
  <si>
    <t xml:space="preserve">Kommentar Diskussion</t>
  </si>
  <si>
    <t xml:space="preserve">Export Bestandsmenge (G)</t>
  </si>
  <si>
    <t xml:space="preserve">Export Jahresanfang 2025 (T)</t>
  </si>
  <si>
    <t xml:space="preserve">Export Bestandswert (H)</t>
  </si>
  <si>
    <t xml:space="preserve">Verbrauch Export (Zeitraum)</t>
  </si>
  <si>
    <t xml:space="preserve">Bemerkungen Artikelstamm</t>
  </si>
  <si>
    <t xml:space="preserve">Neu (1/0)</t>
  </si>
  <si>
    <t xml:space="preserve">Zeile</t>
  </si>
  <si>
    <t xml:space="preserve">Gebinde wirksam</t>
  </si>
  <si>
    <t xml:space="preserve">Menge/Gebinde wirksam</t>
  </si>
  <si>
    <t xml:space="preserve">Lose (1/0)</t>
  </si>
  <si>
    <t xml:space="preserve">Tablare lose wirksam</t>
  </si>
  <si>
    <t xml:space="preserve">Lift wirksam</t>
  </si>
  <si>
    <t xml:space="preserve">Liftgruppe</t>
  </si>
  <si>
    <t xml:space="preserve">Ziel-LU Artikel (0=keiner)</t>
  </si>
  <si>
    <t xml:space="preserve">MAX final gesetzt</t>
  </si>
  <si>
    <t xml:space="preserve">MAX final Wert</t>
  </si>
  <si>
    <t xml:space="preserve">MB + LG</t>
  </si>
  <si>
    <t xml:space="preserve">Gebinde bei Ist</t>
  </si>
  <si>
    <t xml:space="preserve">Gebinde bei MAX final</t>
  </si>
  <si>
    <t xml:space="preserve">Gebindehöhe cm</t>
  </si>
  <si>
    <t xml:space="preserve">max. Ladehöhe Lift mm</t>
  </si>
  <si>
    <t xml:space="preserve">Fach lt. Liftbericht (Tablare)</t>
  </si>
  <si>
    <t xml:space="preserve">101749</t>
  </si>
  <si>
    <t xml:space="preserve">Austrittsdüse</t>
  </si>
  <si>
    <t xml:space="preserve">F</t>
  </si>
  <si>
    <t xml:space="preserve">LIFT1</t>
  </si>
  <si>
    <t xml:space="preserve">A</t>
  </si>
  <si>
    <t xml:space="preserve">LOSE</t>
  </si>
  <si>
    <t xml:space="preserve">W20000453 - Umarbeit von 107817 zu 101749 (Plan: 09/2025, Gelief.: 01.2026) + Bestellung 80017631 9 Stk. 10/2025. Bedarf durch FC vorher erhöht, daraufhin wurde zwischendurch bestellt, da Liefertermine unklar gewesen sind: https://www.meistertask.com/app/task/x119P4tZ -&gt; MB keine Veränderung</t>
  </si>
  <si>
    <t xml:space="preserve">Weitere Umarbeit möglich? 101411 - möglich, falls ja wie Nachbestellung verhindern? Auslaufartikel + Info in Artikel mit Alternativartikel?</t>
  </si>
  <si>
    <t xml:space="preserve">110390</t>
  </si>
  <si>
    <t xml:space="preserve">Elektro-Set - Aufrüstung SPC800 V3.0.0</t>
  </si>
  <si>
    <t xml:space="preserve">PAL</t>
  </si>
  <si>
    <t xml:space="preserve">S71</t>
  </si>
  <si>
    <t xml:space="preserve">Bedarf durch Upgrade auf V3.2 - Vorproduktion</t>
  </si>
  <si>
    <t xml:space="preserve">Abklären, wann diese gebraucht werden</t>
  </si>
  <si>
    <t xml:space="preserve">111326</t>
  </si>
  <si>
    <t xml:space="preserve">Luftblock BASE/SUB Spezial</t>
  </si>
  <si>
    <t xml:space="preserve">110337</t>
  </si>
  <si>
    <t xml:space="preserve">Ventilpanel SPGr BASE komplett</t>
  </si>
  <si>
    <t xml:space="preserve">005086</t>
  </si>
  <si>
    <t xml:space="preserve">SPS Grundgerät EG101</t>
  </si>
  <si>
    <t xml:space="preserve">KTL</t>
  </si>
  <si>
    <t xml:space="preserve">S61</t>
  </si>
  <si>
    <t xml:space="preserve">106185_MAT</t>
  </si>
  <si>
    <t xml:space="preserve">Rohmaterial zu 106185</t>
  </si>
  <si>
    <t xml:space="preserve">101411</t>
  </si>
  <si>
    <t xml:space="preserve">106184_MAT</t>
  </si>
  <si>
    <t xml:space="preserve">Rohmaterial zu 106184</t>
  </si>
  <si>
    <t xml:space="preserve">Bedarf Niederurnen 8 Stk. + FC Bedarf war höher + WBZ 70 Tage, führten zu Bestellungen, Bedarf hat sich verschoben, Bestellungen wurden nicht angepasst.</t>
  </si>
  <si>
    <t xml:space="preserve">Umarbeit möglich?</t>
  </si>
  <si>
    <t xml:space="preserve">110338</t>
  </si>
  <si>
    <t xml:space="preserve">Ventilpanel SPGr SUB komplett</t>
  </si>
  <si>
    <t xml:space="preserve">104232</t>
  </si>
  <si>
    <t xml:space="preserve">Ventilpanel komplett</t>
  </si>
  <si>
    <t xml:space="preserve">105315_MAT</t>
  </si>
  <si>
    <t xml:space="preserve">Rohmaterial zu 105315</t>
  </si>
  <si>
    <t xml:space="preserve">B</t>
  </si>
  <si>
    <t xml:space="preserve">107309</t>
  </si>
  <si>
    <t xml:space="preserve">Verbrennungszylinder EG10</t>
  </si>
  <si>
    <t xml:space="preserve">110339</t>
  </si>
  <si>
    <t xml:space="preserve">107829</t>
  </si>
  <si>
    <t xml:space="preserve">Austrittsdüse SPGr16</t>
  </si>
  <si>
    <t xml:space="preserve">100389</t>
  </si>
  <si>
    <t xml:space="preserve">Mischgehäuse</t>
  </si>
  <si>
    <t xml:space="preserve">106177</t>
  </si>
  <si>
    <t xml:space="preserve">Kolbengehäuse SPGr10</t>
  </si>
  <si>
    <t xml:space="preserve">?</t>
  </si>
  <si>
    <t xml:space="preserve">106099</t>
  </si>
  <si>
    <t xml:space="preserve">Druckleitungsgehäuse SPGr</t>
  </si>
  <si>
    <t xml:space="preserve">Twin</t>
  </si>
  <si>
    <t xml:space="preserve">Reduzieren / Mit PM/SV anschauen?</t>
  </si>
  <si>
    <t xml:space="preserve">109088_MAT</t>
  </si>
  <si>
    <t xml:space="preserve">Rohmaterial zu 109088</t>
  </si>
  <si>
    <t xml:space="preserve">C</t>
  </si>
  <si>
    <t xml:space="preserve">106184</t>
  </si>
  <si>
    <t xml:space="preserve">Ventilsitzgehäuse SPGr16</t>
  </si>
  <si>
    <t xml:space="preserve">108126</t>
  </si>
  <si>
    <t xml:space="preserve">Hochtemperatur-Hydraulikschlauch</t>
  </si>
  <si>
    <t xml:space="preserve">S81</t>
  </si>
  <si>
    <t xml:space="preserve">105838</t>
  </si>
  <si>
    <t xml:space="preserve">Dämpfer</t>
  </si>
  <si>
    <t xml:space="preserve">S63</t>
  </si>
  <si>
    <t xml:space="preserve">Angebote wurden spät neu terminiert, dadurch ergab sich ein Verbrauch innerhalb der WBZ - daher wurden weitere bestellt</t>
  </si>
  <si>
    <t xml:space="preserve">106821</t>
  </si>
  <si>
    <t xml:space="preserve">Transfer Gehäuse SPGr komplett</t>
  </si>
  <si>
    <t xml:space="preserve">nicht im KTL vorhanden</t>
  </si>
  <si>
    <t xml:space="preserve">106446</t>
  </si>
  <si>
    <t xml:space="preserve">Proportionalventil komplett</t>
  </si>
  <si>
    <t xml:space="preserve">S52</t>
  </si>
  <si>
    <t xml:space="preserve">Auslaufartikel - letzte Entnahme 2022</t>
  </si>
  <si>
    <t xml:space="preserve">Umarbeit / Verschrotten? - Betsand bei Schmobi wurde bereits verschrottet</t>
  </si>
  <si>
    <t xml:space="preserve">106098</t>
  </si>
  <si>
    <t xml:space="preserve">Druckleitungsblock SPGr</t>
  </si>
  <si>
    <t xml:space="preserve">Bedarf durch Angebote getriggert, MB 5 zu dem zeitpunkt und Losgrösse 8 mit hoher WBZ -&gt; Auslaufteil</t>
  </si>
  <si>
    <t xml:space="preserve">Retourverkauf an Lieferant?</t>
  </si>
  <si>
    <t xml:space="preserve">106185</t>
  </si>
  <si>
    <t xml:space="preserve">Kolbengehäuse SPGr16</t>
  </si>
  <si>
    <t xml:space="preserve">Letzter Zugang W20000056 2022</t>
  </si>
  <si>
    <t xml:space="preserve">Rückverkauf/Umbau auf anderes VP?</t>
  </si>
  <si>
    <t xml:space="preserve">110978</t>
  </si>
  <si>
    <t xml:space="preserve">Austrittsdüsenschauglas komplett</t>
  </si>
  <si>
    <t xml:space="preserve">MB war auf 35 Stk. + Losgrösse 35 Stk. Letzter WE 07/2025 + Feldaustausch war vorgesehen und ist daraufhin nicht zustande gekommen (Zeitfestigkeit)</t>
  </si>
  <si>
    <t xml:space="preserve">Keine</t>
  </si>
  <si>
    <t xml:space="preserve">111495</t>
  </si>
  <si>
    <t xml:space="preserve">Verpackung Service Kit 7k, SPGr10</t>
  </si>
  <si>
    <t xml:space="preserve">Bedarf durch Angebote getrieben, welche verschoben wurden WBZ ist zu lang - Verbraucht bis ca Ende 2026</t>
  </si>
  <si>
    <t xml:space="preserve">109651</t>
  </si>
  <si>
    <t xml:space="preserve">105961</t>
  </si>
  <si>
    <t xml:space="preserve">Konstanthänger</t>
  </si>
  <si>
    <t xml:space="preserve">MB von 2 hat Bedarf ausgelöst, allerdings wurden 5 geliefert, anstatt den MB mit 1 Stk. aufzufüllen? Losgrösse angepasst? -&gt; Aufgrund voin Preis wurden 5 bestellt</t>
  </si>
  <si>
    <t xml:space="preserve">Festhalten ob kleinere Mengen für teurer eingekauft werden sollen, oder ob Mehr und besserer Preis attraktiver ist -&gt; 1 Stk. 5500 und bei 5 3500 CHF / Stk.</t>
  </si>
  <si>
    <t xml:space="preserve">110336</t>
  </si>
  <si>
    <t xml:space="preserve">107867</t>
  </si>
  <si>
    <t xml:space="preserve">Ventilsitz SPGr16</t>
  </si>
  <si>
    <t xml:space="preserve">S72</t>
  </si>
  <si>
    <t xml:space="preserve">Wurdne in 2024 zu grösserer Menge Beschafft, seither kein WE</t>
  </si>
  <si>
    <t xml:space="preserve">grosser Artikel &amp; nicht im KTL</t>
  </si>
  <si>
    <t xml:space="preserve">100049</t>
  </si>
  <si>
    <t xml:space="preserve">Dosierzylinder O2</t>
  </si>
  <si>
    <t xml:space="preserve">108138</t>
  </si>
  <si>
    <t xml:space="preserve">Spülluftmodul komplett</t>
  </si>
  <si>
    <t xml:space="preserve">Losgrösse 10, mit Hoher WBZ Anfang 2024 bestellt seither unberührt</t>
  </si>
  <si>
    <t xml:space="preserve">Warum soi viel bestellt wurde muss rausgefunden werden?</t>
  </si>
  <si>
    <t xml:space="preserve">111000</t>
  </si>
  <si>
    <t xml:space="preserve">107420</t>
  </si>
  <si>
    <t xml:space="preserve">Horizontalwagen</t>
  </si>
  <si>
    <t xml:space="preserve">Losgrösse 10 auf 20 Stk. + lange WBZ -&gt; MB war 15 Stk.</t>
  </si>
  <si>
    <t xml:space="preserve">WBZ war nicht passend zum Rahmen?</t>
  </si>
  <si>
    <t xml:space="preserve">111885</t>
  </si>
  <si>
    <t xml:space="preserve">Magnetventil mit Spule</t>
  </si>
  <si>
    <t xml:space="preserve">111497</t>
  </si>
  <si>
    <t xml:space="preserve">Verpackung Service Kit 7k, SPGr16</t>
  </si>
  <si>
    <t xml:space="preserve">Hoher Bedarf durch Angebote, welche verschoben wurden. Daher grosse Bestellungen getätigt</t>
  </si>
  <si>
    <t xml:space="preserve">Retourverkaufen?</t>
  </si>
  <si>
    <t xml:space="preserve">108135</t>
  </si>
  <si>
    <t xml:space="preserve">Kabel Spülluftmodul</t>
  </si>
  <si>
    <t xml:space="preserve">100363</t>
  </si>
  <si>
    <t xml:space="preserve">Dosierzylinder CH4</t>
  </si>
  <si>
    <t xml:space="preserve">111227</t>
  </si>
  <si>
    <t xml:space="preserve">Sehr hohe WBZ, daher Bedarf wurde vermutlich Angepasst und nicht weiter verfolgt -&gt; Vielleichtmusste auch ein Rahmen abgenommen werden? Abgekündigt?</t>
  </si>
  <si>
    <t xml:space="preserve">110334</t>
  </si>
  <si>
    <t xml:space="preserve">Luftblock BASE komplett</t>
  </si>
  <si>
    <t xml:space="preserve">111226</t>
  </si>
  <si>
    <t xml:space="preserve">005061</t>
  </si>
  <si>
    <t xml:space="preserve">Ringwellschlauch</t>
  </si>
  <si>
    <t xml:space="preserve">106792</t>
  </si>
  <si>
    <t xml:space="preserve">Pilotventil</t>
  </si>
  <si>
    <t xml:space="preserve">S62</t>
  </si>
  <si>
    <t xml:space="preserve">106100</t>
  </si>
  <si>
    <t xml:space="preserve">Deckel zu Druckleitungsgehäuse SPGr</t>
  </si>
  <si>
    <t xml:space="preserve">107124</t>
  </si>
  <si>
    <t xml:space="preserve">Federhänger</t>
  </si>
  <si>
    <t xml:space="preserve">Zugänge aus 2023?</t>
  </si>
  <si>
    <t xml:space="preserve">T&amp;E: Benötigt/Alternative? // Preis hat hier auch eine Rolle gespielt</t>
  </si>
  <si>
    <t xml:space="preserve">100362</t>
  </si>
  <si>
    <t xml:space="preserve">Magnetventil</t>
  </si>
  <si>
    <t xml:space="preserve">S51</t>
  </si>
  <si>
    <t xml:space="preserve">103763</t>
  </si>
  <si>
    <t xml:space="preserve">111498</t>
  </si>
  <si>
    <t xml:space="preserve">Verpackung Service Kit 14k, SPGr16</t>
  </si>
  <si>
    <t xml:space="preserve">Vermutlich Lieferungen aus Rahmen ? Abgekündigt?</t>
  </si>
  <si>
    <t xml:space="preserve">111496</t>
  </si>
  <si>
    <t xml:space="preserve">Verpackung Service Kit 28k, SPGr10</t>
  </si>
  <si>
    <t xml:space="preserve">106791</t>
  </si>
  <si>
    <t xml:space="preserve">Gasventil SPG</t>
  </si>
  <si>
    <t xml:space="preserve">106270</t>
  </si>
  <si>
    <t xml:space="preserve">Ablassschraube</t>
  </si>
  <si>
    <t xml:space="preserve">110335</t>
  </si>
  <si>
    <t xml:space="preserve">Luftblock SUB komplett</t>
  </si>
  <si>
    <t xml:space="preserve">100133</t>
  </si>
  <si>
    <t xml:space="preserve">Gehäuse Gasdruckspeicher</t>
  </si>
  <si>
    <t xml:space="preserve">Letzte WE 2023</t>
  </si>
  <si>
    <t xml:space="preserve">109689 Nachfolgeartikel - Technisches Büro sperren? Ggf. Abklären mit T&amp;E?</t>
  </si>
  <si>
    <t xml:space="preserve">107415</t>
  </si>
  <si>
    <t xml:space="preserve">Rohr Anschweissstück Øi206</t>
  </si>
  <si>
    <t xml:space="preserve">112022</t>
  </si>
  <si>
    <t xml:space="preserve">Ventilblock Ausgang</t>
  </si>
  <si>
    <t xml:space="preserve">100179</t>
  </si>
  <si>
    <t xml:space="preserve">Einschraubstutzen</t>
  </si>
  <si>
    <t xml:space="preserve">Neu-Teil daher schlechter LU</t>
  </si>
  <si>
    <t xml:space="preserve">001090</t>
  </si>
  <si>
    <t xml:space="preserve">Gleitmo 599</t>
  </si>
  <si>
    <t xml:space="preserve">S41</t>
  </si>
  <si>
    <t xml:space="preserve">Losgrösse war auf 10 Stk. neu auf 5 Stk. -&gt; Sollte sich von alleine aufbrauchen</t>
  </si>
  <si>
    <t xml:space="preserve">111982</t>
  </si>
  <si>
    <t xml:space="preserve">Heizschlauch</t>
  </si>
  <si>
    <t xml:space="preserve">Letzter WE 2024? Verbrauch sehr wenig (10-20 Stk. pro Jahr) Rahmen war über 100 Stk. und musste abgenommen werden</t>
  </si>
  <si>
    <t xml:space="preserve">108523</t>
  </si>
  <si>
    <t xml:space="preserve">Brenngasblock BASE komplett</t>
  </si>
  <si>
    <t xml:space="preserve">111901</t>
  </si>
  <si>
    <t xml:space="preserve">Ventilblock Eingang</t>
  </si>
  <si>
    <t xml:space="preserve">111765</t>
  </si>
  <si>
    <t xml:space="preserve">106154</t>
  </si>
  <si>
    <t xml:space="preserve">Federflansch</t>
  </si>
  <si>
    <t xml:space="preserve">108540</t>
  </si>
  <si>
    <t xml:space="preserve">Brenngasblock SUB komplett</t>
  </si>
  <si>
    <t xml:space="preserve">106308</t>
  </si>
  <si>
    <t xml:space="preserve">Rohrflansch</t>
  </si>
  <si>
    <t xml:space="preserve">Letzter WE 2023?</t>
  </si>
  <si>
    <t xml:space="preserve">T&amp;E: Benötigt/Alternative?</t>
  </si>
  <si>
    <t xml:space="preserve">106723</t>
  </si>
  <si>
    <t xml:space="preserve">PTFE Schlauch DN6</t>
  </si>
  <si>
    <t xml:space="preserve">S82</t>
  </si>
  <si>
    <t xml:space="preserve">In 2023 gekauft, eine Entnahme ohne Auftrag in 2024, seither keine Bewegung mehr -&gt; Ersastzteil zu Ibeda Druckregelstrecke (109144 109143 Beide mittlerwiele gesperrt).</t>
  </si>
  <si>
    <t xml:space="preserve">005266</t>
  </si>
  <si>
    <t xml:space="preserve">OC-106175</t>
  </si>
  <si>
    <t xml:space="preserve">SPGr10</t>
  </si>
  <si>
    <t xml:space="preserve">OCC</t>
  </si>
  <si>
    <t xml:space="preserve">111900</t>
  </si>
  <si>
    <t xml:space="preserve">Ausgleichsvolumen 40l</t>
  </si>
  <si>
    <t xml:space="preserve">Kleinere Mengen eingekauft 2022-2024 - keine Entnahmen</t>
  </si>
  <si>
    <t xml:space="preserve">106730</t>
  </si>
  <si>
    <t xml:space="preserve">Glühkerzenkabel SPGr</t>
  </si>
  <si>
    <t xml:space="preserve">Überbestand; grosser Artikel &amp; nicht im KTL</t>
  </si>
  <si>
    <t xml:space="preserve">109374</t>
  </si>
  <si>
    <t xml:space="preserve">Kolben SPGr16 T2</t>
  </si>
  <si>
    <t xml:space="preserve">110057</t>
  </si>
  <si>
    <t xml:space="preserve">HMI - Power Panel T80</t>
  </si>
  <si>
    <t xml:space="preserve">Wird bereits an Bürki verkauft?</t>
  </si>
  <si>
    <t xml:space="preserve">106482</t>
  </si>
  <si>
    <t xml:space="preserve">100770</t>
  </si>
  <si>
    <t xml:space="preserve">Rohr</t>
  </si>
  <si>
    <t xml:space="preserve">001123</t>
  </si>
  <si>
    <t xml:space="preserve">Holzkiste mit Zwischenboden / SPG</t>
  </si>
  <si>
    <t xml:space="preserve">107253</t>
  </si>
  <si>
    <t xml:space="preserve">Transfermagnetventil Spule O2</t>
  </si>
  <si>
    <t xml:space="preserve">100423</t>
  </si>
  <si>
    <t xml:space="preserve">Verschlussstopfen</t>
  </si>
  <si>
    <t xml:space="preserve">106101</t>
  </si>
  <si>
    <t xml:space="preserve">Flammsperre</t>
  </si>
  <si>
    <t xml:space="preserve">108121</t>
  </si>
  <si>
    <t xml:space="preserve">110822</t>
  </si>
  <si>
    <t xml:space="preserve">Kolben SPGr10 T2</t>
  </si>
  <si>
    <t xml:space="preserve">Vemutlich durch Bedarf angefordert und hohe WBZ, nicht auf Veränderung reagiert. Bestand reicht bis Ende 2026 - Artikelpflege Lücke: Losgrösse durch Einkauf gepflegt -&gt; Bessere Bedarfsabklärung?</t>
  </si>
  <si>
    <t xml:space="preserve">Lücke in Artikelpflege prüfen und ggf. schliessen so gut wie es möglich ist?</t>
  </si>
  <si>
    <t xml:space="preserve">005239</t>
  </si>
  <si>
    <t xml:space="preserve">Drehmomentschlüssel</t>
  </si>
  <si>
    <t xml:space="preserve">106108</t>
  </si>
  <si>
    <t xml:space="preserve">Flammsperre zu Transferblock SPGr</t>
  </si>
  <si>
    <t xml:space="preserve">108524</t>
  </si>
  <si>
    <t xml:space="preserve">Stickstoffblock BASE komplett</t>
  </si>
  <si>
    <t xml:space="preserve">Letzte WE 2021 -&gt; 106869?</t>
  </si>
  <si>
    <t xml:space="preserve">Ersatzartikel</t>
  </si>
  <si>
    <t xml:space="preserve">103524</t>
  </si>
  <si>
    <t xml:space="preserve">Kugelhahn N2</t>
  </si>
  <si>
    <t xml:space="preserve">Überbestand</t>
  </si>
  <si>
    <t xml:space="preserve">106583</t>
  </si>
  <si>
    <t xml:space="preserve">Anschlussflansch</t>
  </si>
  <si>
    <t xml:space="preserve">112026</t>
  </si>
  <si>
    <t xml:space="preserve">Berstscheibe 60 - 66 bar</t>
  </si>
  <si>
    <t xml:space="preserve">111499</t>
  </si>
  <si>
    <t xml:space="preserve">Verpackung Service Kit 28k, SPGr16</t>
  </si>
  <si>
    <t xml:space="preserve">106044</t>
  </si>
  <si>
    <t xml:space="preserve">Rohrstück mit Blende</t>
  </si>
  <si>
    <t xml:space="preserve">S21</t>
  </si>
  <si>
    <t xml:space="preserve">107212</t>
  </si>
  <si>
    <t xml:space="preserve">Sechskantschraube</t>
  </si>
  <si>
    <t xml:space="preserve">105456</t>
  </si>
  <si>
    <t xml:space="preserve">Zylinderschraube mit Innensechskant</t>
  </si>
  <si>
    <t xml:space="preserve">103489</t>
  </si>
  <si>
    <t xml:space="preserve">Sicherungsscheibe</t>
  </si>
  <si>
    <t xml:space="preserve">106752</t>
  </si>
  <si>
    <t xml:space="preserve">Beschriftungsset</t>
  </si>
  <si>
    <t xml:space="preserve">106635</t>
  </si>
  <si>
    <t xml:space="preserve">Leiste zu SPGr16</t>
  </si>
  <si>
    <t xml:space="preserve">107868</t>
  </si>
  <si>
    <t xml:space="preserve">Kolben SPGr10</t>
  </si>
  <si>
    <t xml:space="preserve">109995</t>
  </si>
  <si>
    <t xml:space="preserve">Industrie Mobilfunk Router (global)</t>
  </si>
  <si>
    <t xml:space="preserve">107971</t>
  </si>
  <si>
    <t xml:space="preserve">Entleerungsschlauch</t>
  </si>
  <si>
    <t xml:space="preserve">107995</t>
  </si>
  <si>
    <t xml:space="preserve">Radialventilator</t>
  </si>
  <si>
    <t xml:space="preserve">100155</t>
  </si>
  <si>
    <t xml:space="preserve">S32</t>
  </si>
  <si>
    <t xml:space="preserve">107197</t>
  </si>
  <si>
    <t xml:space="preserve">Kompressoröl zu AC260</t>
  </si>
  <si>
    <t xml:space="preserve">106619</t>
  </si>
  <si>
    <t xml:space="preserve">Rückschlagventil</t>
  </si>
  <si>
    <t xml:space="preserve">S22</t>
  </si>
  <si>
    <t xml:space="preserve">005260</t>
  </si>
  <si>
    <t xml:space="preserve">110024</t>
  </si>
  <si>
    <t xml:space="preserve">Zuleitungskabel Temperatursensor</t>
  </si>
  <si>
    <t xml:space="preserve">106458</t>
  </si>
  <si>
    <t xml:space="preserve">Drucktransmitter</t>
  </si>
  <si>
    <t xml:space="preserve">110875</t>
  </si>
  <si>
    <t xml:space="preserve">Digitalmanometer</t>
  </si>
  <si>
    <t xml:space="preserve">101679</t>
  </si>
  <si>
    <t xml:space="preserve">Ringschraube</t>
  </si>
  <si>
    <t xml:space="preserve">105321</t>
  </si>
  <si>
    <t xml:space="preserve">Ventilsitzadapter SPGr10</t>
  </si>
  <si>
    <t xml:space="preserve">103917</t>
  </si>
  <si>
    <t xml:space="preserve">106794</t>
  </si>
  <si>
    <t xml:space="preserve">Magnetspule</t>
  </si>
  <si>
    <t xml:space="preserve">005497</t>
  </si>
  <si>
    <t xml:space="preserve">Schlauchbündelung mit Klettverschluss</t>
  </si>
  <si>
    <t xml:space="preserve">101538</t>
  </si>
  <si>
    <t xml:space="preserve">111953</t>
  </si>
  <si>
    <t xml:space="preserve">PTFE Schlauch DN10</t>
  </si>
  <si>
    <t xml:space="preserve">109381</t>
  </si>
  <si>
    <t xml:space="preserve">Gateway Modbus TCP Server / CAN</t>
  </si>
  <si>
    <t xml:space="preserve">101634</t>
  </si>
  <si>
    <t xml:space="preserve">100852</t>
  </si>
  <si>
    <t xml:space="preserve">Ventilsitzeinsatz D70</t>
  </si>
  <si>
    <t xml:space="preserve">106904</t>
  </si>
  <si>
    <t xml:space="preserve">Sirenenelement</t>
  </si>
  <si>
    <t xml:space="preserve">106727</t>
  </si>
  <si>
    <t xml:space="preserve">001207</t>
  </si>
  <si>
    <t xml:space="preserve">Holzkiste Luftkompressor See</t>
  </si>
  <si>
    <t xml:space="preserve">G</t>
  </si>
  <si>
    <t xml:space="preserve">106984</t>
  </si>
  <si>
    <t xml:space="preserve">Patch-Panel, RJ45-Buchse</t>
  </si>
  <si>
    <t xml:space="preserve">108527</t>
  </si>
  <si>
    <t xml:space="preserve">Spülluftblock BASE / SUB komplett</t>
  </si>
  <si>
    <t xml:space="preserve">108945</t>
  </si>
  <si>
    <t xml:space="preserve">Kranbahnprofil</t>
  </si>
  <si>
    <t xml:space="preserve">001114</t>
  </si>
  <si>
    <t xml:space="preserve">Palette Typ 0</t>
  </si>
  <si>
    <t xml:space="preserve">103918</t>
  </si>
  <si>
    <t xml:space="preserve">105457</t>
  </si>
  <si>
    <t xml:space="preserve">O-Ring</t>
  </si>
  <si>
    <t xml:space="preserve">100762</t>
  </si>
  <si>
    <t xml:space="preserve">100893</t>
  </si>
  <si>
    <t xml:space="preserve">Druckfeder</t>
  </si>
  <si>
    <t xml:space="preserve">gehört dieser Artikel ins KTL ?</t>
  </si>
  <si>
    <t xml:space="preserve">106009</t>
  </si>
  <si>
    <t xml:space="preserve">100187</t>
  </si>
  <si>
    <t xml:space="preserve">Dichtscheibe</t>
  </si>
  <si>
    <t xml:space="preserve">S33</t>
  </si>
  <si>
    <t xml:space="preserve">106496</t>
  </si>
  <si>
    <t xml:space="preserve">005541</t>
  </si>
  <si>
    <t xml:space="preserve">109378</t>
  </si>
  <si>
    <t xml:space="preserve">Spülluftmodul Gehäuse komplett</t>
  </si>
  <si>
    <t xml:space="preserve">005040</t>
  </si>
  <si>
    <t xml:space="preserve">109495</t>
  </si>
  <si>
    <t xml:space="preserve">Nadelventil</t>
  </si>
  <si>
    <t xml:space="preserve">109201</t>
  </si>
  <si>
    <t xml:space="preserve">Fahrwerk GISKB II</t>
  </si>
  <si>
    <t xml:space="preserve">005101</t>
  </si>
  <si>
    <t xml:space="preserve">SPS Ethernet-Kommunikationsmodul</t>
  </si>
  <si>
    <t xml:space="preserve">101574</t>
  </si>
  <si>
    <t xml:space="preserve">Stützring</t>
  </si>
  <si>
    <t xml:space="preserve">001124</t>
  </si>
  <si>
    <t xml:space="preserve">Holzkiste Steuerschrank gross</t>
  </si>
  <si>
    <t xml:space="preserve">110106</t>
  </si>
  <si>
    <t xml:space="preserve">Faltenfilter</t>
  </si>
  <si>
    <t xml:space="preserve">110866</t>
  </si>
  <si>
    <t xml:space="preserve">Verbunddichtring</t>
  </si>
  <si>
    <t xml:space="preserve">106622</t>
  </si>
  <si>
    <t xml:space="preserve">Bolzen</t>
  </si>
  <si>
    <t xml:space="preserve">108541</t>
  </si>
  <si>
    <t xml:space="preserve">Stickstoffblock SUB komplett</t>
  </si>
  <si>
    <t xml:space="preserve">110991</t>
  </si>
  <si>
    <t xml:space="preserve">Distanzhülse</t>
  </si>
  <si>
    <t xml:space="preserve">005102</t>
  </si>
  <si>
    <t xml:space="preserve">SPS Profibus DP-Slavemodul</t>
  </si>
  <si>
    <t xml:space="preserve">101477</t>
  </si>
  <si>
    <t xml:space="preserve">Befestigungsring</t>
  </si>
  <si>
    <t xml:space="preserve">107997</t>
  </si>
  <si>
    <t xml:space="preserve">Adapter Stahl verzinkt</t>
  </si>
  <si>
    <t xml:space="preserve">005069</t>
  </si>
  <si>
    <t xml:space="preserve">Hochdruck-Ganzmetallschlauch CH4</t>
  </si>
  <si>
    <t xml:space="preserve">107713</t>
  </si>
  <si>
    <t xml:space="preserve">Spannungsüberwachung</t>
  </si>
  <si>
    <t xml:space="preserve">Neuer Art.</t>
  </si>
  <si>
    <t xml:space="preserve">005201</t>
  </si>
  <si>
    <t xml:space="preserve">Druckregelstrecke O2</t>
  </si>
  <si>
    <t xml:space="preserve">109124</t>
  </si>
  <si>
    <t xml:space="preserve">Verpackung Spülluftmodul</t>
  </si>
  <si>
    <t xml:space="preserve">106385</t>
  </si>
  <si>
    <t xml:space="preserve">Zugstange</t>
  </si>
  <si>
    <t xml:space="preserve">109189</t>
  </si>
  <si>
    <t xml:space="preserve">Einschraubadapter Edelstahl</t>
  </si>
  <si>
    <t xml:space="preserve">108322</t>
  </si>
  <si>
    <t xml:space="preserve">Gasvorwärmer</t>
  </si>
  <si>
    <t xml:space="preserve">102884</t>
  </si>
  <si>
    <t xml:space="preserve">Rapid Kettenglied</t>
  </si>
  <si>
    <t xml:space="preserve">109376</t>
  </si>
  <si>
    <t xml:space="preserve">Unterstützungsblech Spülluftmodul</t>
  </si>
  <si>
    <t xml:space="preserve">101916</t>
  </si>
  <si>
    <t xml:space="preserve">länger als die Kisten</t>
  </si>
  <si>
    <t xml:space="preserve">111957</t>
  </si>
  <si>
    <t xml:space="preserve">Flaschenanschluss Ventil</t>
  </si>
  <si>
    <t xml:space="preserve">109924</t>
  </si>
  <si>
    <t xml:space="preserve">Sensorkabel</t>
  </si>
  <si>
    <t xml:space="preserve">102501</t>
  </si>
  <si>
    <t xml:space="preserve">106944</t>
  </si>
  <si>
    <t xml:space="preserve">Busmodul</t>
  </si>
  <si>
    <t xml:space="preserve">i.o</t>
  </si>
  <si>
    <t xml:space="preserve">109172</t>
  </si>
  <si>
    <t xml:space="preserve">Basisschlauch für Bündelanschluss</t>
  </si>
  <si>
    <t xml:space="preserve">002003</t>
  </si>
  <si>
    <t xml:space="preserve">Holzkiste Austrittsdüse 2m</t>
  </si>
  <si>
    <t xml:space="preserve">107360</t>
  </si>
  <si>
    <t xml:space="preserve">Seilrolle</t>
  </si>
  <si>
    <t xml:space="preserve">108805</t>
  </si>
  <si>
    <t xml:space="preserve">Typenschild</t>
  </si>
  <si>
    <t xml:space="preserve">111904</t>
  </si>
  <si>
    <t xml:space="preserve">Einschraubverschraubung</t>
  </si>
  <si>
    <t xml:space="preserve">111770</t>
  </si>
  <si>
    <t xml:space="preserve">Manometer</t>
  </si>
  <si>
    <t xml:space="preserve">111762</t>
  </si>
  <si>
    <t xml:space="preserve">005498</t>
  </si>
  <si>
    <t xml:space="preserve">Nylonband mit Klettverschluss</t>
  </si>
  <si>
    <t xml:space="preserve">107996</t>
  </si>
  <si>
    <t xml:space="preserve">Doppelnippel mit Blendenbohrung</t>
  </si>
  <si>
    <t xml:space="preserve">005747</t>
  </si>
  <si>
    <t xml:space="preserve">Hochdruck-Ganzmetallschlauch O2,UK</t>
  </si>
  <si>
    <t xml:space="preserve">108039</t>
  </si>
  <si>
    <t xml:space="preserve">HEAVYCON Anbaugehäuse B6</t>
  </si>
  <si>
    <t xml:space="preserve">108036</t>
  </si>
  <si>
    <t xml:space="preserve">Kontakteinsatzmodul 12 polig</t>
  </si>
  <si>
    <t xml:space="preserve">101568</t>
  </si>
  <si>
    <t xml:space="preserve">100409</t>
  </si>
  <si>
    <t xml:space="preserve">Spülluftblock</t>
  </si>
  <si>
    <t xml:space="preserve">106903</t>
  </si>
  <si>
    <t xml:space="preserve">Joch</t>
  </si>
  <si>
    <t xml:space="preserve">005701</t>
  </si>
  <si>
    <t xml:space="preserve">Leistungsschütz</t>
  </si>
  <si>
    <t xml:space="preserve">103487</t>
  </si>
  <si>
    <t xml:space="preserve">112023</t>
  </si>
  <si>
    <t xml:space="preserve">Entlüftungsrohr</t>
  </si>
  <si>
    <t xml:space="preserve">100419</t>
  </si>
  <si>
    <t xml:space="preserve">Flammschutz</t>
  </si>
  <si>
    <t xml:space="preserve">104210</t>
  </si>
  <si>
    <t xml:space="preserve">Temperatursensor mit Stecker</t>
  </si>
  <si>
    <t xml:space="preserve">109666</t>
  </si>
  <si>
    <t xml:space="preserve">109147</t>
  </si>
  <si>
    <t xml:space="preserve">Druckregler</t>
  </si>
  <si>
    <t xml:space="preserve">106629</t>
  </si>
  <si>
    <t xml:space="preserve">Leiste zu SPGr10</t>
  </si>
  <si>
    <t xml:space="preserve">106313</t>
  </si>
  <si>
    <t xml:space="preserve">Endflansch</t>
  </si>
  <si>
    <t xml:space="preserve">100140</t>
  </si>
  <si>
    <t xml:space="preserve">Glühkerzenhalter</t>
  </si>
  <si>
    <t xml:space="preserve">107994</t>
  </si>
  <si>
    <t xml:space="preserve">111125</t>
  </si>
  <si>
    <t xml:space="preserve">Hohlschraube mit Anschluss</t>
  </si>
  <si>
    <t xml:space="preserve">100159</t>
  </si>
  <si>
    <t xml:space="preserve">Klemmhülse</t>
  </si>
  <si>
    <t xml:space="preserve">110885</t>
  </si>
  <si>
    <t xml:space="preserve">Blende</t>
  </si>
  <si>
    <t xml:space="preserve">108573</t>
  </si>
  <si>
    <t xml:space="preserve">Aufkleber SPGr</t>
  </si>
  <si>
    <t xml:space="preserve">101566</t>
  </si>
  <si>
    <t xml:space="preserve">111987</t>
  </si>
  <si>
    <t xml:space="preserve">Sicherheitsventil 50 bar</t>
  </si>
  <si>
    <t xml:space="preserve">106721</t>
  </si>
  <si>
    <t xml:space="preserve">Glühkerzenhalter SPGr</t>
  </si>
  <si>
    <t xml:space="preserve">100126</t>
  </si>
  <si>
    <t xml:space="preserve">Adapter Edelstahl</t>
  </si>
  <si>
    <t xml:space="preserve">005145</t>
  </si>
  <si>
    <t xml:space="preserve">Relais komplett</t>
  </si>
  <si>
    <t xml:space="preserve">101560</t>
  </si>
  <si>
    <t xml:space="preserve">Aufhängung starr</t>
  </si>
  <si>
    <t xml:space="preserve">104211</t>
  </si>
  <si>
    <t xml:space="preserve">Glühkerzenkabel inkl. Stecker zu VP</t>
  </si>
  <si>
    <t xml:space="preserve">100337</t>
  </si>
  <si>
    <t xml:space="preserve">110204</t>
  </si>
  <si>
    <t xml:space="preserve">Aufsteckringschlüssel</t>
  </si>
  <si>
    <t xml:space="preserve">111959</t>
  </si>
  <si>
    <t xml:space="preserve">T-Verschraubung</t>
  </si>
  <si>
    <t xml:space="preserve">109826</t>
  </si>
  <si>
    <t xml:space="preserve">108571</t>
  </si>
  <si>
    <t xml:space="preserve">Puffer</t>
  </si>
  <si>
    <t xml:space="preserve">100143</t>
  </si>
  <si>
    <t xml:space="preserve">Quetschring</t>
  </si>
  <si>
    <t xml:space="preserve">100335</t>
  </si>
  <si>
    <t xml:space="preserve">106424</t>
  </si>
  <si>
    <t xml:space="preserve">110900</t>
  </si>
  <si>
    <t xml:space="preserve">105950</t>
  </si>
  <si>
    <t xml:space="preserve">Nutmutter</t>
  </si>
  <si>
    <t xml:space="preserve">106917</t>
  </si>
  <si>
    <t xml:space="preserve">Beschriftungsset zu SPGr</t>
  </si>
  <si>
    <t xml:space="preserve">108027</t>
  </si>
  <si>
    <t xml:space="preserve">111961</t>
  </si>
  <si>
    <t xml:space="preserve">005323</t>
  </si>
  <si>
    <t xml:space="preserve">108125</t>
  </si>
  <si>
    <t xml:space="preserve">Neu</t>
  </si>
  <si>
    <t xml:space="preserve">109096</t>
  </si>
  <si>
    <t xml:space="preserve">Steckschlüssel-Adapter</t>
  </si>
  <si>
    <t xml:space="preserve">105389</t>
  </si>
  <si>
    <t xml:space="preserve">110009</t>
  </si>
  <si>
    <t xml:space="preserve">Doppelnippel</t>
  </si>
  <si>
    <t xml:space="preserve">005159</t>
  </si>
  <si>
    <t xml:space="preserve">Gestell mit Fuss</t>
  </si>
  <si>
    <t xml:space="preserve">110093</t>
  </si>
  <si>
    <t xml:space="preserve">LED-Dauerlichtelement</t>
  </si>
  <si>
    <t xml:space="preserve">108034</t>
  </si>
  <si>
    <t xml:space="preserve">Kontakteinsatzmodul 5 polig</t>
  </si>
  <si>
    <t xml:space="preserve">005706</t>
  </si>
  <si>
    <t xml:space="preserve">Schutzkragen</t>
  </si>
  <si>
    <t xml:space="preserve">100417</t>
  </si>
  <si>
    <t xml:space="preserve">110863</t>
  </si>
  <si>
    <t xml:space="preserve">Zwischenflansch Spülluft</t>
  </si>
  <si>
    <t xml:space="preserve">107722</t>
  </si>
  <si>
    <t xml:space="preserve">Stahldrahtseil</t>
  </si>
  <si>
    <t xml:space="preserve">001170</t>
  </si>
  <si>
    <t xml:space="preserve">Holzkiste Austrittsdüse</t>
  </si>
  <si>
    <t xml:space="preserve">112028</t>
  </si>
  <si>
    <t xml:space="preserve">107123</t>
  </si>
  <si>
    <t xml:space="preserve">108035</t>
  </si>
  <si>
    <t xml:space="preserve">Modulträgerrahmen B6</t>
  </si>
  <si>
    <t xml:space="preserve">107413</t>
  </si>
  <si>
    <t xml:space="preserve">Rohr Anschweissstück Øi154</t>
  </si>
  <si>
    <t xml:space="preserve">106877</t>
  </si>
  <si>
    <t xml:space="preserve">Sechskantmutter</t>
  </si>
  <si>
    <t xml:space="preserve">005749</t>
  </si>
  <si>
    <t xml:space="preserve">Hochdruck-Ganzmetallschlauch N2,UK</t>
  </si>
  <si>
    <t xml:space="preserve">005748</t>
  </si>
  <si>
    <t xml:space="preserve">Hochdruck-Ganzmetallschlauch CH4,UK</t>
  </si>
  <si>
    <t xml:space="preserve">111977</t>
  </si>
  <si>
    <t xml:space="preserve">005257</t>
  </si>
  <si>
    <t xml:space="preserve">Stopfen</t>
  </si>
  <si>
    <t xml:space="preserve">105452</t>
  </si>
  <si>
    <t xml:space="preserve">107048</t>
  </si>
  <si>
    <t xml:space="preserve">Werkzeugtasche</t>
  </si>
  <si>
    <t xml:space="preserve">108008</t>
  </si>
  <si>
    <t xml:space="preserve">Klammer</t>
  </si>
  <si>
    <t xml:space="preserve">109634</t>
  </si>
  <si>
    <t xml:space="preserve">Kranbahnprofil GISKB II</t>
  </si>
  <si>
    <t xml:space="preserve">104236</t>
  </si>
  <si>
    <t xml:space="preserve">Dach</t>
  </si>
  <si>
    <t xml:space="preserve">106432</t>
  </si>
  <si>
    <t xml:space="preserve">103492</t>
  </si>
  <si>
    <t xml:space="preserve">Heizpatrone</t>
  </si>
  <si>
    <t xml:space="preserve">100123</t>
  </si>
  <si>
    <t xml:space="preserve">106949</t>
  </si>
  <si>
    <t xml:space="preserve">Busmodul für Safe I/O-Module</t>
  </si>
  <si>
    <t xml:space="preserve">101829</t>
  </si>
  <si>
    <t xml:space="preserve">105244</t>
  </si>
  <si>
    <t xml:space="preserve">Huelse</t>
  </si>
  <si>
    <t xml:space="preserve">108410</t>
  </si>
  <si>
    <t xml:space="preserve">Sechskant-Distanzbolzen</t>
  </si>
  <si>
    <t xml:space="preserve">107196</t>
  </si>
  <si>
    <t xml:space="preserve">100265</t>
  </si>
  <si>
    <t xml:space="preserve">Klappsplint</t>
  </si>
  <si>
    <t xml:space="preserve">112051</t>
  </si>
  <si>
    <t xml:space="preserve">Flaschenanschluss Luft</t>
  </si>
  <si>
    <t xml:space="preserve">103823</t>
  </si>
  <si>
    <t xml:space="preserve">Blinddeckel</t>
  </si>
  <si>
    <t xml:space="preserve">112021</t>
  </si>
  <si>
    <t xml:space="preserve">Montageblech</t>
  </si>
  <si>
    <t xml:space="preserve">110882</t>
  </si>
  <si>
    <t xml:space="preserve">Koffer</t>
  </si>
  <si>
    <t xml:space="preserve">109329</t>
  </si>
  <si>
    <t xml:space="preserve">Traglastkleber 630kg</t>
  </si>
  <si>
    <t xml:space="preserve">005094</t>
  </si>
  <si>
    <t xml:space="preserve">SPS Erweiterungsmodul</t>
  </si>
  <si>
    <t xml:space="preserve">005075</t>
  </si>
  <si>
    <t xml:space="preserve">Hochdruck-Ganzmetallschlauch N2</t>
  </si>
  <si>
    <t xml:space="preserve">101561</t>
  </si>
  <si>
    <t xml:space="preserve">Fahrwerk</t>
  </si>
  <si>
    <t xml:space="preserve">100147</t>
  </si>
  <si>
    <t xml:space="preserve">101253</t>
  </si>
  <si>
    <t xml:space="preserve">Federkonsole</t>
  </si>
  <si>
    <t xml:space="preserve">108818</t>
  </si>
  <si>
    <t xml:space="preserve">Rohrschelle</t>
  </si>
  <si>
    <t xml:space="preserve">110123</t>
  </si>
  <si>
    <t xml:space="preserve">111932</t>
  </si>
  <si>
    <t xml:space="preserve">Aufschraubverschraubung</t>
  </si>
  <si>
    <t xml:space="preserve">106419</t>
  </si>
  <si>
    <t xml:space="preserve">100411</t>
  </si>
  <si>
    <t xml:space="preserve">110887</t>
  </si>
  <si>
    <t xml:space="preserve">107723</t>
  </si>
  <si>
    <t xml:space="preserve">Drahtseillklemme</t>
  </si>
  <si>
    <t xml:space="preserve">106900</t>
  </si>
  <si>
    <t xml:space="preserve">Anschlusselement</t>
  </si>
  <si>
    <t xml:space="preserve">105395</t>
  </si>
  <si>
    <t xml:space="preserve">Flansch</t>
  </si>
  <si>
    <t xml:space="preserve">111897</t>
  </si>
  <si>
    <t xml:space="preserve">Steckverbinder</t>
  </si>
  <si>
    <t xml:space="preserve">110682</t>
  </si>
  <si>
    <t xml:space="preserve">005341</t>
  </si>
  <si>
    <t xml:space="preserve">Montageschlüssel</t>
  </si>
  <si>
    <t xml:space="preserve">107102</t>
  </si>
  <si>
    <t xml:space="preserve">Sechskant Stifteinsatz</t>
  </si>
  <si>
    <t xml:space="preserve">001086</t>
  </si>
  <si>
    <t xml:space="preserve">Loctite 243</t>
  </si>
  <si>
    <t xml:space="preserve">109665</t>
  </si>
  <si>
    <t xml:space="preserve">111991</t>
  </si>
  <si>
    <t xml:space="preserve">108513</t>
  </si>
  <si>
    <t xml:space="preserve">Typenschild Servicetechniker-Set SPGr16</t>
  </si>
  <si>
    <t xml:space="preserve">106470</t>
  </si>
  <si>
    <t xml:space="preserve">Magnetventil komplett</t>
  </si>
  <si>
    <t xml:space="preserve">107358</t>
  </si>
  <si>
    <t xml:space="preserve">Achse</t>
  </si>
  <si>
    <t xml:space="preserve">110095</t>
  </si>
  <si>
    <t xml:space="preserve">Sensor-/Aktor-Kabel</t>
  </si>
  <si>
    <t xml:space="preserve">101639</t>
  </si>
  <si>
    <t xml:space="preserve">107872</t>
  </si>
  <si>
    <t xml:space="preserve">108001</t>
  </si>
  <si>
    <t xml:space="preserve">Ventilatorkabel mit Stecker</t>
  </si>
  <si>
    <t xml:space="preserve">100146</t>
  </si>
  <si>
    <t xml:space="preserve">107585</t>
  </si>
  <si>
    <t xml:space="preserve">Indikator</t>
  </si>
  <si>
    <t xml:space="preserve">100318</t>
  </si>
  <si>
    <t xml:space="preserve">Leitungsdruckregler LT2000</t>
  </si>
  <si>
    <t xml:space="preserve">005459</t>
  </si>
  <si>
    <t xml:space="preserve">Heizung Steuerschrank</t>
  </si>
  <si>
    <t xml:space="preserve">109613</t>
  </si>
  <si>
    <t xml:space="preserve">Adapter Bündelanschluss Druckluft</t>
  </si>
  <si>
    <t xml:space="preserve">107714</t>
  </si>
  <si>
    <t xml:space="preserve">Sechskant Stifteinsatz lang</t>
  </si>
  <si>
    <t xml:space="preserve">107161</t>
  </si>
  <si>
    <t xml:space="preserve">Unterlage SPGr10</t>
  </si>
  <si>
    <t xml:space="preserve">109177</t>
  </si>
  <si>
    <t xml:space="preserve">Adapter Bündelanschluss Brenngas</t>
  </si>
  <si>
    <t xml:space="preserve">100181</t>
  </si>
  <si>
    <t xml:space="preserve">Dummy Glühkerzenhalter</t>
  </si>
  <si>
    <t xml:space="preserve">107694</t>
  </si>
  <si>
    <t xml:space="preserve">Kabellasche</t>
  </si>
  <si>
    <t xml:space="preserve">005407</t>
  </si>
  <si>
    <t xml:space="preserve">Anker zu Magnetventil Parker</t>
  </si>
  <si>
    <t xml:space="preserve">111976</t>
  </si>
  <si>
    <t xml:space="preserve">Einschraub-Schaft Adapter</t>
  </si>
  <si>
    <t xml:space="preserve">109149</t>
  </si>
  <si>
    <t xml:space="preserve">005395</t>
  </si>
  <si>
    <t xml:space="preserve">Putzstock komplett</t>
  </si>
  <si>
    <t xml:space="preserve">108643</t>
  </si>
  <si>
    <t xml:space="preserve">Ventilkabel SPC800 - VP</t>
  </si>
  <si>
    <t xml:space="preserve">104209</t>
  </si>
  <si>
    <t xml:space="preserve">005797</t>
  </si>
  <si>
    <t xml:space="preserve">Rohrverschraubung</t>
  </si>
  <si>
    <t xml:space="preserve">001029</t>
  </si>
  <si>
    <t xml:space="preserve">Kupferpaste</t>
  </si>
  <si>
    <t xml:space="preserve">105913</t>
  </si>
  <si>
    <t xml:space="preserve">005729</t>
  </si>
  <si>
    <t xml:space="preserve">Schiebemutter M6</t>
  </si>
  <si>
    <t xml:space="preserve">005304</t>
  </si>
  <si>
    <t xml:space="preserve">112024</t>
  </si>
  <si>
    <t xml:space="preserve">Schutzblech</t>
  </si>
  <si>
    <t xml:space="preserve">100085</t>
  </si>
  <si>
    <t xml:space="preserve">108431</t>
  </si>
  <si>
    <t xml:space="preserve">Schaumstoff-Rastereinsatz</t>
  </si>
  <si>
    <t xml:space="preserve">107866</t>
  </si>
  <si>
    <t xml:space="preserve">Kolben SPGr16</t>
  </si>
  <si>
    <t xml:space="preserve">005745</t>
  </si>
  <si>
    <t xml:space="preserve">Kabel-Verlängerung mit Stecker</t>
  </si>
  <si>
    <t xml:space="preserve">109757</t>
  </si>
  <si>
    <t xml:space="preserve">Transfer Gehäuse SPGr</t>
  </si>
  <si>
    <t xml:space="preserve">002035</t>
  </si>
  <si>
    <t xml:space="preserve">Flachzange</t>
  </si>
  <si>
    <t xml:space="preserve">111918</t>
  </si>
  <si>
    <t xml:space="preserve">Manometer Aufschraub-Schaft Adapter</t>
  </si>
  <si>
    <t xml:space="preserve">107431</t>
  </si>
  <si>
    <t xml:space="preserve">Drahtseil</t>
  </si>
  <si>
    <t xml:space="preserve">107304</t>
  </si>
  <si>
    <t xml:space="preserve">Silikon Dichtungsmasse</t>
  </si>
  <si>
    <t xml:space="preserve">107729</t>
  </si>
  <si>
    <t xml:space="preserve">111917</t>
  </si>
  <si>
    <t xml:space="preserve">110873</t>
  </si>
  <si>
    <t xml:space="preserve">Schlauch</t>
  </si>
  <si>
    <t xml:space="preserve">111469</t>
  </si>
  <si>
    <t xml:space="preserve">Patch-Panel</t>
  </si>
  <si>
    <t xml:space="preserve">106957</t>
  </si>
  <si>
    <t xml:space="preserve">Einspeisemodul für X2X Link</t>
  </si>
  <si>
    <t xml:space="preserve">106856</t>
  </si>
  <si>
    <t xml:space="preserve">Leiste</t>
  </si>
  <si>
    <t xml:space="preserve">106454</t>
  </si>
  <si>
    <t xml:space="preserve">Sinterfilter</t>
  </si>
  <si>
    <t xml:space="preserve">111960</t>
  </si>
  <si>
    <t xml:space="preserve">100800</t>
  </si>
  <si>
    <t xml:space="preserve">101636</t>
  </si>
  <si>
    <t xml:space="preserve">Verschlusskappe</t>
  </si>
  <si>
    <t xml:space="preserve">005320</t>
  </si>
  <si>
    <t xml:space="preserve">Spezial Inbusschlüsseleinsatz</t>
  </si>
  <si>
    <t xml:space="preserve">106386</t>
  </si>
  <si>
    <t xml:space="preserve">Glühkerzen-Dummy</t>
  </si>
  <si>
    <t xml:space="preserve">005686</t>
  </si>
  <si>
    <t xml:space="preserve">Schaltschrank Etikette</t>
  </si>
  <si>
    <t xml:space="preserve">107863</t>
  </si>
  <si>
    <t xml:space="preserve">111969</t>
  </si>
  <si>
    <t xml:space="preserve">101559</t>
  </si>
  <si>
    <t xml:space="preserve">Deckel</t>
  </si>
  <si>
    <t xml:space="preserve">005713</t>
  </si>
  <si>
    <t xml:space="preserve">Etikette EG10 Rückschlagventil Patrone</t>
  </si>
  <si>
    <t xml:space="preserve">001030</t>
  </si>
  <si>
    <t xml:space="preserve">Loctite 542</t>
  </si>
  <si>
    <t xml:space="preserve">108804</t>
  </si>
  <si>
    <t xml:space="preserve">Ersatzfilterpatrone</t>
  </si>
  <si>
    <t xml:space="preserve">102867</t>
  </si>
  <si>
    <t xml:space="preserve">005700</t>
  </si>
  <si>
    <t xml:space="preserve">Relaiskoppler</t>
  </si>
  <si>
    <t xml:space="preserve">108481</t>
  </si>
  <si>
    <t xml:space="preserve">111919</t>
  </si>
  <si>
    <t xml:space="preserve">001197</t>
  </si>
  <si>
    <t xml:space="preserve">VCI Klebeband</t>
  </si>
  <si>
    <t xml:space="preserve">107583</t>
  </si>
  <si>
    <t xml:space="preserve">106090</t>
  </si>
  <si>
    <t xml:space="preserve">002009</t>
  </si>
  <si>
    <t xml:space="preserve">Nylonhammer</t>
  </si>
  <si>
    <t xml:space="preserve">110026</t>
  </si>
  <si>
    <t xml:space="preserve">selbstklebende Dokumententasche</t>
  </si>
  <si>
    <t xml:space="preserve">109987</t>
  </si>
  <si>
    <t xml:space="preserve">Hauptschalter</t>
  </si>
  <si>
    <t xml:space="preserve">111913</t>
  </si>
  <si>
    <t xml:space="preserve">Kontakteinsatz</t>
  </si>
  <si>
    <t xml:space="preserve">107050</t>
  </si>
  <si>
    <t xml:space="preserve">Inbusschlüssel lang</t>
  </si>
  <si>
    <t xml:space="preserve">001116</t>
  </si>
  <si>
    <t xml:space="preserve">Putzpapier Ecoline</t>
  </si>
  <si>
    <t xml:space="preserve">VERB-P</t>
  </si>
  <si>
    <t xml:space="preserve">001175</t>
  </si>
  <si>
    <t xml:space="preserve">Abdeckklebeband</t>
  </si>
  <si>
    <t xml:space="preserve">111978</t>
  </si>
  <si>
    <t xml:space="preserve">001130</t>
  </si>
  <si>
    <t xml:space="preserve">Holzschraube</t>
  </si>
  <si>
    <t xml:space="preserve">109175</t>
  </si>
  <si>
    <t xml:space="preserve">Adapter Bündelanschluss Stickstoff</t>
  </si>
  <si>
    <t xml:space="preserve">108727</t>
  </si>
  <si>
    <t xml:space="preserve">Schutzdeckel</t>
  </si>
  <si>
    <t xml:space="preserve">109369</t>
  </si>
  <si>
    <t xml:space="preserve">Adapter</t>
  </si>
  <si>
    <t xml:space="preserve">103439</t>
  </si>
  <si>
    <t xml:space="preserve">100408</t>
  </si>
  <si>
    <t xml:space="preserve">Konsole</t>
  </si>
  <si>
    <t xml:space="preserve">100789</t>
  </si>
  <si>
    <t xml:space="preserve">001169</t>
  </si>
  <si>
    <t xml:space="preserve">Handreiniger N-Super</t>
  </si>
  <si>
    <t xml:space="preserve">100415</t>
  </si>
  <si>
    <t xml:space="preserve">108041</t>
  </si>
  <si>
    <t xml:space="preserve">106899</t>
  </si>
  <si>
    <t xml:space="preserve">Montagewinkel</t>
  </si>
  <si>
    <t xml:space="preserve">100148</t>
  </si>
  <si>
    <t xml:space="preserve">111909</t>
  </si>
  <si>
    <t xml:space="preserve">109282</t>
  </si>
  <si>
    <t xml:space="preserve">Verpackung Servicepaket LKE SVC11</t>
  </si>
  <si>
    <t xml:space="preserve">109178</t>
  </si>
  <si>
    <t xml:space="preserve">111903</t>
  </si>
  <si>
    <t xml:space="preserve">107957</t>
  </si>
  <si>
    <t xml:space="preserve">Hakenschlüssel Spezial</t>
  </si>
  <si>
    <t xml:space="preserve">110876</t>
  </si>
  <si>
    <t xml:space="preserve">Muffe</t>
  </si>
  <si>
    <t xml:space="preserve">107232</t>
  </si>
  <si>
    <t xml:space="preserve">Schraubenzieher-Satz</t>
  </si>
  <si>
    <t xml:space="preserve">101121</t>
  </si>
  <si>
    <t xml:space="preserve">005387</t>
  </si>
  <si>
    <t xml:space="preserve">Übergangsteil</t>
  </si>
  <si>
    <t xml:space="preserve">108366</t>
  </si>
  <si>
    <t xml:space="preserve">Stellfuss mit Dämpfer</t>
  </si>
  <si>
    <t xml:space="preserve">103375</t>
  </si>
  <si>
    <t xml:space="preserve">103103</t>
  </si>
  <si>
    <t xml:space="preserve">107052</t>
  </si>
  <si>
    <t xml:space="preserve">Steckschlüsseleinsatz</t>
  </si>
  <si>
    <t xml:space="preserve">005227</t>
  </si>
  <si>
    <t xml:space="preserve">Pressverbinder isoliert blau</t>
  </si>
  <si>
    <t xml:space="preserve">Handlager</t>
  </si>
  <si>
    <t xml:space="preserve">105773</t>
  </si>
  <si>
    <t xml:space="preserve">109097</t>
  </si>
  <si>
    <t xml:space="preserve">Kleber A-Mass</t>
  </si>
  <si>
    <t xml:space="preserve">107302</t>
  </si>
  <si>
    <t xml:space="preserve">Ringschlüssel</t>
  </si>
  <si>
    <t xml:space="preserve">002041</t>
  </si>
  <si>
    <t xml:space="preserve">Kunststoff-Schutznetze orange</t>
  </si>
  <si>
    <t xml:space="preserve">105861</t>
  </si>
  <si>
    <t xml:space="preserve">111914</t>
  </si>
  <si>
    <t xml:space="preserve">Kupplungsgehäuse</t>
  </si>
  <si>
    <t xml:space="preserve">109327</t>
  </si>
  <si>
    <t xml:space="preserve">Kegelpfanne</t>
  </si>
  <si>
    <t xml:space="preserve">108032</t>
  </si>
  <si>
    <t xml:space="preserve">Anbauflansch - HC-B-AF</t>
  </si>
  <si>
    <t xml:space="preserve">005705</t>
  </si>
  <si>
    <t xml:space="preserve">Not-Halt-Pilzdrucktaster</t>
  </si>
  <si>
    <t xml:space="preserve">107306</t>
  </si>
  <si>
    <t xml:space="preserve">Montagepaste</t>
  </si>
  <si>
    <t xml:space="preserve">106276</t>
  </si>
  <si>
    <t xml:space="preserve">109160</t>
  </si>
  <si>
    <t xml:space="preserve">107721</t>
  </si>
  <si>
    <t xml:space="preserve">Karabiner</t>
  </si>
  <si>
    <t xml:space="preserve">109437</t>
  </si>
  <si>
    <t xml:space="preserve">107359</t>
  </si>
  <si>
    <t xml:space="preserve">107540</t>
  </si>
  <si>
    <t xml:space="preserve">Begleitschreiben, SPGr10</t>
  </si>
  <si>
    <t xml:space="preserve">005242</t>
  </si>
  <si>
    <t xml:space="preserve">SPS Analog-Eingangsmodul</t>
  </si>
  <si>
    <t xml:space="preserve">102012</t>
  </si>
  <si>
    <t xml:space="preserve">105575</t>
  </si>
  <si>
    <t xml:space="preserve">Wasserfester Filzstift</t>
  </si>
  <si>
    <t xml:space="preserve">107060</t>
  </si>
  <si>
    <t xml:space="preserve">Ringmagnet</t>
  </si>
  <si>
    <t xml:space="preserve">110683</t>
  </si>
  <si>
    <t xml:space="preserve">105862</t>
  </si>
  <si>
    <t xml:space="preserve">106244</t>
  </si>
  <si>
    <t xml:space="preserve">005397</t>
  </si>
  <si>
    <t xml:space="preserve">Putzlappen</t>
  </si>
  <si>
    <t xml:space="preserve">110096</t>
  </si>
  <si>
    <t xml:space="preserve">107104</t>
  </si>
  <si>
    <t xml:space="preserve">001043</t>
  </si>
  <si>
    <t xml:space="preserve">Verschlussbeutel klein</t>
  </si>
  <si>
    <t xml:space="preserve">103253</t>
  </si>
  <si>
    <t xml:space="preserve">Abpresszapfen</t>
  </si>
  <si>
    <t xml:space="preserve">001125</t>
  </si>
  <si>
    <t xml:space="preserve">Holzkiste Steuerschrank klein / Gestell</t>
  </si>
  <si>
    <t xml:space="preserve">002022</t>
  </si>
  <si>
    <t xml:space="preserve">Schlosserhammer</t>
  </si>
  <si>
    <t xml:space="preserve">VM00013</t>
  </si>
  <si>
    <t xml:space="preserve">P-touch Beschriftungsband TZE-641</t>
  </si>
  <si>
    <t xml:space="preserve">111912</t>
  </si>
  <si>
    <t xml:space="preserve">Kabelverschraubung</t>
  </si>
  <si>
    <t xml:space="preserve">102442</t>
  </si>
  <si>
    <t xml:space="preserve">Unterlagsscheibe</t>
  </si>
  <si>
    <t xml:space="preserve">108120</t>
  </si>
  <si>
    <t xml:space="preserve">Wartungskleber AC260</t>
  </si>
  <si>
    <t xml:space="preserve">005656</t>
  </si>
  <si>
    <t xml:space="preserve">Pop-Niete</t>
  </si>
  <si>
    <t xml:space="preserve">106989</t>
  </si>
  <si>
    <t xml:space="preserve">Austrittsfilter</t>
  </si>
  <si>
    <t xml:space="preserve">001118</t>
  </si>
  <si>
    <t xml:space="preserve">Destilliertes Wasser 20L</t>
  </si>
  <si>
    <t xml:space="preserve">109435</t>
  </si>
  <si>
    <t xml:space="preserve">107880</t>
  </si>
  <si>
    <t xml:space="preserve">108026</t>
  </si>
  <si>
    <t xml:space="preserve">105348</t>
  </si>
  <si>
    <t xml:space="preserve">100185</t>
  </si>
  <si>
    <t xml:space="preserve">Zylinderstift</t>
  </si>
  <si>
    <t xml:space="preserve">005699</t>
  </si>
  <si>
    <t xml:space="preserve">Leuchtmelder</t>
  </si>
  <si>
    <t xml:space="preserve">108204</t>
  </si>
  <si>
    <t xml:space="preserve">111031</t>
  </si>
  <si>
    <t xml:space="preserve">110883</t>
  </si>
  <si>
    <t xml:space="preserve">109061</t>
  </si>
  <si>
    <t xml:space="preserve">Adapterplatte 2. Spülluftmodul</t>
  </si>
  <si>
    <t xml:space="preserve">107160</t>
  </si>
  <si>
    <t xml:space="preserve">Unterlage SPGr16</t>
  </si>
  <si>
    <t xml:space="preserve">001033</t>
  </si>
  <si>
    <t xml:space="preserve">WD-40</t>
  </si>
  <si>
    <t xml:space="preserve">liegend gelagert</t>
  </si>
  <si>
    <t xml:space="preserve">108018</t>
  </si>
  <si>
    <t xml:space="preserve">Adapter Messing vernickelt</t>
  </si>
  <si>
    <t xml:space="preserve">002049</t>
  </si>
  <si>
    <t xml:space="preserve">Füllmaterial flo-pak</t>
  </si>
  <si>
    <t xml:space="preserve">001142</t>
  </si>
  <si>
    <t xml:space="preserve">UV-beständiger Verschlussbeutel klein</t>
  </si>
  <si>
    <t xml:space="preserve">002028</t>
  </si>
  <si>
    <t xml:space="preserve">Rollgabelschlüssel</t>
  </si>
  <si>
    <t xml:space="preserve">107244</t>
  </si>
  <si>
    <t xml:space="preserve">111907</t>
  </si>
  <si>
    <t xml:space="preserve">100413</t>
  </si>
  <si>
    <t xml:space="preserve">107126</t>
  </si>
  <si>
    <t xml:space="preserve">005676</t>
  </si>
  <si>
    <t xml:space="preserve">Industrie SD-Karte</t>
  </si>
  <si>
    <t xml:space="preserve">001031</t>
  </si>
  <si>
    <t xml:space="preserve">Lecksuchspray</t>
  </si>
  <si>
    <t xml:space="preserve">VM00012</t>
  </si>
  <si>
    <t xml:space="preserve">P-touch Beschriftungsband TZE-621</t>
  </si>
  <si>
    <t xml:space="preserve">110819</t>
  </si>
  <si>
    <t xml:space="preserve">A-BEZ</t>
  </si>
  <si>
    <t xml:space="preserve">001129</t>
  </si>
  <si>
    <t xml:space="preserve">106990</t>
  </si>
  <si>
    <t xml:space="preserve">Dichtung</t>
  </si>
  <si>
    <t xml:space="preserve">005121</t>
  </si>
  <si>
    <t xml:space="preserve">Sicherungs-Automat SC 1x16+N</t>
  </si>
  <si>
    <t xml:space="preserve">104391</t>
  </si>
  <si>
    <t xml:space="preserve">Tüllengehäuse D7</t>
  </si>
  <si>
    <t xml:space="preserve">106941</t>
  </si>
  <si>
    <t xml:space="preserve">Einspeisebusmodul</t>
  </si>
  <si>
    <t xml:space="preserve">005133</t>
  </si>
  <si>
    <t xml:space="preserve">SPS Stromversorgung 24VDC / 2.5A</t>
  </si>
  <si>
    <t xml:space="preserve">107109</t>
  </si>
  <si>
    <t xml:space="preserve">106968</t>
  </si>
  <si>
    <t xml:space="preserve">Feldklemme</t>
  </si>
  <si>
    <t xml:space="preserve">110022</t>
  </si>
  <si>
    <t xml:space="preserve">105306</t>
  </si>
  <si>
    <t xml:space="preserve">005203</t>
  </si>
  <si>
    <t xml:space="preserve">Druckregelstrecke CH4</t>
  </si>
  <si>
    <t xml:space="preserve">001041</t>
  </si>
  <si>
    <t xml:space="preserve">Verschlussbeutel mittel</t>
  </si>
  <si>
    <t xml:space="preserve">001131</t>
  </si>
  <si>
    <t xml:space="preserve">101003</t>
  </si>
  <si>
    <t xml:space="preserve">101539</t>
  </si>
  <si>
    <t xml:space="preserve">109283</t>
  </si>
  <si>
    <t xml:space="preserve">Verpackung Servicepaket LKE SVC12</t>
  </si>
  <si>
    <t xml:space="preserve">001195</t>
  </si>
  <si>
    <t xml:space="preserve">Abdrückschraube</t>
  </si>
  <si>
    <t xml:space="preserve">001113</t>
  </si>
  <si>
    <t xml:space="preserve">Faltrahmen</t>
  </si>
  <si>
    <t xml:space="preserve">103486</t>
  </si>
  <si>
    <t xml:space="preserve">Schild EP</t>
  </si>
  <si>
    <t xml:space="preserve">108943</t>
  </si>
  <si>
    <t xml:space="preserve">001158</t>
  </si>
  <si>
    <t xml:space="preserve">Industrie Etikett PVC, weiss 100x45mm</t>
  </si>
  <si>
    <t xml:space="preserve">Verb.Lager</t>
  </si>
  <si>
    <t xml:space="preserve">108698</t>
  </si>
  <si>
    <t xml:space="preserve">Schwenkstutzen</t>
  </si>
  <si>
    <t xml:space="preserve">005140</t>
  </si>
  <si>
    <t xml:space="preserve">Leuchtdrucktaster</t>
  </si>
  <si>
    <t xml:space="preserve">001153</t>
  </si>
  <si>
    <t xml:space="preserve">Kabelbinder transparent (weiss)</t>
  </si>
  <si>
    <t xml:space="preserve">106136</t>
  </si>
  <si>
    <t xml:space="preserve">107134</t>
  </si>
  <si>
    <t xml:space="preserve">Führungsbüchse</t>
  </si>
  <si>
    <t xml:space="preserve">108069</t>
  </si>
  <si>
    <t xml:space="preserve">Sicherheitsventil 1. Stufe AC260</t>
  </si>
  <si>
    <t xml:space="preserve">109481</t>
  </si>
  <si>
    <t xml:space="preserve">108030</t>
  </si>
  <si>
    <t xml:space="preserve">111768</t>
  </si>
  <si>
    <t xml:space="preserve">100040</t>
  </si>
  <si>
    <t xml:space="preserve">106115</t>
  </si>
  <si>
    <t xml:space="preserve">005632</t>
  </si>
  <si>
    <t xml:space="preserve">Schaltschrank-Schlüssel</t>
  </si>
  <si>
    <t xml:space="preserve">110649</t>
  </si>
  <si>
    <t xml:space="preserve">106907</t>
  </si>
  <si>
    <t xml:space="preserve">Basis Busmodul</t>
  </si>
  <si>
    <t xml:space="preserve">109174</t>
  </si>
  <si>
    <t xml:space="preserve">002072</t>
  </si>
  <si>
    <t xml:space="preserve">Nylon-Strickhandschuh</t>
  </si>
  <si>
    <t xml:space="preserve">110869</t>
  </si>
  <si>
    <t xml:space="preserve">002065</t>
  </si>
  <si>
    <t xml:space="preserve">Batterie AA</t>
  </si>
  <si>
    <t xml:space="preserve">110955</t>
  </si>
  <si>
    <t xml:space="preserve">Stiftschraube</t>
  </si>
  <si>
    <t xml:space="preserve">100402</t>
  </si>
  <si>
    <t xml:space="preserve">Rohrleitung</t>
  </si>
  <si>
    <t xml:space="preserve">108368</t>
  </si>
  <si>
    <t xml:space="preserve">Lenkrolle mit Feststeller</t>
  </si>
  <si>
    <t xml:space="preserve">107234</t>
  </si>
  <si>
    <t xml:space="preserve">Klingenmesser</t>
  </si>
  <si>
    <t xml:space="preserve">108044</t>
  </si>
  <si>
    <t xml:space="preserve">111992</t>
  </si>
  <si>
    <t xml:space="preserve">Aufkleber Gehörschutzsymbol</t>
  </si>
  <si>
    <t xml:space="preserve">107701</t>
  </si>
  <si>
    <t xml:space="preserve">Ringeinsatz</t>
  </si>
  <si>
    <t xml:space="preserve">111916</t>
  </si>
  <si>
    <t xml:space="preserve">002048</t>
  </si>
  <si>
    <t xml:space="preserve">Metallsägeband</t>
  </si>
  <si>
    <t xml:space="preserve">110130</t>
  </si>
  <si>
    <t xml:space="preserve">005633</t>
  </si>
  <si>
    <t xml:space="preserve">Schiebemutter M8</t>
  </si>
  <si>
    <t xml:space="preserve">005451</t>
  </si>
  <si>
    <t xml:space="preserve">Aderendhülse isoliert pink</t>
  </si>
  <si>
    <t xml:space="preserve">111908</t>
  </si>
  <si>
    <t xml:space="preserve">Reduzieradapter</t>
  </si>
  <si>
    <t xml:space="preserve">106746</t>
  </si>
  <si>
    <t xml:space="preserve">107661</t>
  </si>
  <si>
    <t xml:space="preserve">Etikette Ölwechsel</t>
  </si>
  <si>
    <t xml:space="preserve">103765</t>
  </si>
  <si>
    <t xml:space="preserve">103266</t>
  </si>
  <si>
    <t xml:space="preserve">107198</t>
  </si>
  <si>
    <t xml:space="preserve">Abdeckung</t>
  </si>
  <si>
    <t xml:space="preserve">001152</t>
  </si>
  <si>
    <t xml:space="preserve">110867</t>
  </si>
  <si>
    <t xml:space="preserve">L-Adapter</t>
  </si>
  <si>
    <t xml:space="preserve">002008</t>
  </si>
  <si>
    <t xml:space="preserve">Schraubenzieher flach</t>
  </si>
  <si>
    <t xml:space="preserve">104265</t>
  </si>
  <si>
    <t xml:space="preserve">110871</t>
  </si>
  <si>
    <t xml:space="preserve">Winkelverschraubung</t>
  </si>
  <si>
    <t xml:space="preserve">001132</t>
  </si>
  <si>
    <t xml:space="preserve">107715</t>
  </si>
  <si>
    <t xml:space="preserve">106947</t>
  </si>
  <si>
    <t xml:space="preserve">Busmodul für X20 SafeIO Module</t>
  </si>
  <si>
    <t xml:space="preserve">100175</t>
  </si>
  <si>
    <t xml:space="preserve">005709</t>
  </si>
  <si>
    <t xml:space="preserve">Thermischer Geräteschutzschalter</t>
  </si>
  <si>
    <t xml:space="preserve">108272</t>
  </si>
  <si>
    <t xml:space="preserve">Etikette Ölwechsel AC215</t>
  </si>
  <si>
    <t xml:space="preserve">001139</t>
  </si>
  <si>
    <t xml:space="preserve">Klammern Typ G</t>
  </si>
  <si>
    <t xml:space="preserve">108346</t>
  </si>
  <si>
    <t xml:space="preserve">Blech zu PAM Verteilerbox</t>
  </si>
  <si>
    <t xml:space="preserve">110311</t>
  </si>
  <si>
    <t xml:space="preserve">107399</t>
  </si>
  <si>
    <t xml:space="preserve">Ventilkabel Luft</t>
  </si>
  <si>
    <t xml:space="preserve">105850</t>
  </si>
  <si>
    <t xml:space="preserve">Dummy Ersatz</t>
  </si>
  <si>
    <t xml:space="preserve">100266</t>
  </si>
  <si>
    <t xml:space="preserve">111239</t>
  </si>
  <si>
    <t xml:space="preserve">105989</t>
  </si>
  <si>
    <t xml:space="preserve">005710</t>
  </si>
  <si>
    <t xml:space="preserve">Steuerschalter</t>
  </si>
  <si>
    <t xml:space="preserve">101496</t>
  </si>
  <si>
    <t xml:space="preserve">005622</t>
  </si>
  <si>
    <t xml:space="preserve">Kantenschutzband schwarz</t>
  </si>
  <si>
    <t xml:space="preserve">001194</t>
  </si>
  <si>
    <t xml:space="preserve">PVC Klebeband</t>
  </si>
  <si>
    <t xml:space="preserve">105349</t>
  </si>
  <si>
    <t xml:space="preserve">109752</t>
  </si>
  <si>
    <t xml:space="preserve">110286</t>
  </si>
  <si>
    <t xml:space="preserve">Pinsel gross</t>
  </si>
  <si>
    <t xml:space="preserve">110771</t>
  </si>
  <si>
    <t xml:space="preserve">111224</t>
  </si>
  <si>
    <t xml:space="preserve">Korrosionsschutzmittel</t>
  </si>
  <si>
    <t xml:space="preserve">111090</t>
  </si>
  <si>
    <t xml:space="preserve">100044</t>
  </si>
  <si>
    <t xml:space="preserve">005500</t>
  </si>
  <si>
    <t xml:space="preserve">Einphasen-Sicherheitstrafo</t>
  </si>
  <si>
    <t xml:space="preserve">005642</t>
  </si>
  <si>
    <t xml:space="preserve">Netzwerkkabel</t>
  </si>
  <si>
    <t xml:space="preserve">107213</t>
  </si>
  <si>
    <t xml:space="preserve">100286</t>
  </si>
  <si>
    <t xml:space="preserve">105341</t>
  </si>
  <si>
    <t xml:space="preserve">111650</t>
  </si>
  <si>
    <t xml:space="preserve">Körner</t>
  </si>
  <si>
    <t xml:space="preserve">111728</t>
  </si>
  <si>
    <t xml:space="preserve">Kardangelenk</t>
  </si>
  <si>
    <t xml:space="preserve">110879</t>
  </si>
  <si>
    <t xml:space="preserve">Prüfadapter</t>
  </si>
  <si>
    <t xml:space="preserve">111729</t>
  </si>
  <si>
    <t xml:space="preserve">Scotch-Brite Handpad</t>
  </si>
  <si>
    <t xml:space="preserve">005389</t>
  </si>
  <si>
    <t xml:space="preserve">108149</t>
  </si>
  <si>
    <t xml:space="preserve">100642</t>
  </si>
  <si>
    <t xml:space="preserve">Winkelverschraubung Edelstahl</t>
  </si>
  <si>
    <t xml:space="preserve">110821</t>
  </si>
  <si>
    <t xml:space="preserve">100903</t>
  </si>
  <si>
    <t xml:space="preserve">001200</t>
  </si>
  <si>
    <t xml:space="preserve">Luftpolsterfolie</t>
  </si>
  <si>
    <t xml:space="preserve">VM00014</t>
  </si>
  <si>
    <t xml:space="preserve">Versand-Etiketten</t>
  </si>
  <si>
    <t xml:space="preserve">106451</t>
  </si>
  <si>
    <t xml:space="preserve">109952</t>
  </si>
  <si>
    <t xml:space="preserve">Klemmenblock X6.2</t>
  </si>
  <si>
    <t xml:space="preserve">106742</t>
  </si>
  <si>
    <t xml:space="preserve">Ventilkabel</t>
  </si>
  <si>
    <t xml:space="preserve">106703</t>
  </si>
  <si>
    <t xml:space="preserve">002032</t>
  </si>
  <si>
    <t xml:space="preserve">Ringgabelschlüssel</t>
  </si>
  <si>
    <t xml:space="preserve">005597</t>
  </si>
  <si>
    <t xml:space="preserve">Schraubkappe</t>
  </si>
  <si>
    <t xml:space="preserve">109179</t>
  </si>
  <si>
    <t xml:space="preserve">107312</t>
  </si>
  <si>
    <t xml:space="preserve">Begleitschreiben</t>
  </si>
  <si>
    <t xml:space="preserve">107301</t>
  </si>
  <si>
    <t xml:space="preserve">Ventilkopfschlüssel</t>
  </si>
  <si>
    <t xml:space="preserve">110870</t>
  </si>
  <si>
    <t xml:space="preserve">005393</t>
  </si>
  <si>
    <t xml:space="preserve">005396</t>
  </si>
  <si>
    <t xml:space="preserve">Verlängerungsrohr</t>
  </si>
  <si>
    <t xml:space="preserve">108025</t>
  </si>
  <si>
    <t xml:space="preserve">005462</t>
  </si>
  <si>
    <t xml:space="preserve">101453</t>
  </si>
  <si>
    <t xml:space="preserve">106291</t>
  </si>
  <si>
    <t xml:space="preserve">109180</t>
  </si>
  <si>
    <t xml:space="preserve">111057</t>
  </si>
  <si>
    <t xml:space="preserve">Stossverbinder</t>
  </si>
  <si>
    <t xml:space="preserve">108413</t>
  </si>
  <si>
    <t xml:space="preserve">Box für Kleinmaterial</t>
  </si>
  <si>
    <t xml:space="preserve">005437</t>
  </si>
  <si>
    <t xml:space="preserve">Halteschrauben zu Filterhülse</t>
  </si>
  <si>
    <t xml:space="preserve">005228</t>
  </si>
  <si>
    <t xml:space="preserve">Presskabelschuh blau</t>
  </si>
  <si>
    <t xml:space="preserve">110872</t>
  </si>
  <si>
    <t xml:space="preserve">106617</t>
  </si>
  <si>
    <t xml:space="preserve">107113</t>
  </si>
  <si>
    <t xml:space="preserve">Teflonband</t>
  </si>
  <si>
    <t xml:space="preserve">005439</t>
  </si>
  <si>
    <t xml:space="preserve">Halteschrauben zu Filterscheiben</t>
  </si>
  <si>
    <t xml:space="preserve">100089</t>
  </si>
  <si>
    <t xml:space="preserve">005635</t>
  </si>
  <si>
    <t xml:space="preserve">108143</t>
  </si>
  <si>
    <t xml:space="preserve">106095</t>
  </si>
  <si>
    <t xml:space="preserve">106491</t>
  </si>
  <si>
    <t xml:space="preserve">107664</t>
  </si>
  <si>
    <t xml:space="preserve">107667</t>
  </si>
  <si>
    <t xml:space="preserve">103753</t>
  </si>
  <si>
    <t xml:space="preserve">100157</t>
  </si>
  <si>
    <t xml:space="preserve">Halbrund-Kerbnagel</t>
  </si>
  <si>
    <t xml:space="preserve">111730</t>
  </si>
  <si>
    <t xml:space="preserve">Gurtrohrzange</t>
  </si>
  <si>
    <t xml:space="preserve">005453</t>
  </si>
  <si>
    <t xml:space="preserve">Aderendhülse ohne Isolation</t>
  </si>
  <si>
    <t xml:space="preserve">005762</t>
  </si>
  <si>
    <t xml:space="preserve">Zugfederklemme</t>
  </si>
  <si>
    <t xml:space="preserve">107538</t>
  </si>
  <si>
    <t xml:space="preserve">005456</t>
  </si>
  <si>
    <t xml:space="preserve">Aderendhülse isoliert rot</t>
  </si>
  <si>
    <t xml:space="preserve">102438</t>
  </si>
  <si>
    <t xml:space="preserve">111723</t>
  </si>
  <si>
    <t xml:space="preserve">Verlaengerung</t>
  </si>
  <si>
    <t xml:space="preserve">111646</t>
  </si>
  <si>
    <t xml:space="preserve">110868</t>
  </si>
  <si>
    <t xml:space="preserve">108040</t>
  </si>
  <si>
    <t xml:space="preserve">110889</t>
  </si>
  <si>
    <t xml:space="preserve">Flachdichtring</t>
  </si>
  <si>
    <t xml:space="preserve">105339</t>
  </si>
  <si>
    <t xml:space="preserve">108642</t>
  </si>
  <si>
    <t xml:space="preserve">Sensor-/Aktor -Kabel</t>
  </si>
  <si>
    <t xml:space="preserve">100896</t>
  </si>
  <si>
    <t xml:space="preserve">111647</t>
  </si>
  <si>
    <t xml:space="preserve">107543</t>
  </si>
  <si>
    <t xml:space="preserve">108498</t>
  </si>
  <si>
    <t xml:space="preserve">100385</t>
  </si>
  <si>
    <t xml:space="preserve">111240</t>
  </si>
  <si>
    <t xml:space="preserve">002026</t>
  </si>
  <si>
    <t xml:space="preserve">Schraubenzieher</t>
  </si>
  <si>
    <t xml:space="preserve">005255</t>
  </si>
  <si>
    <t xml:space="preserve">100263</t>
  </si>
  <si>
    <t xml:space="preserve">Gewindestift</t>
  </si>
  <si>
    <t xml:space="preserve">001156</t>
  </si>
  <si>
    <t xml:space="preserve">Kabelbinder schwarz</t>
  </si>
  <si>
    <t xml:space="preserve">107313</t>
  </si>
  <si>
    <t xml:space="preserve">111648</t>
  </si>
  <si>
    <t xml:space="preserve">106478</t>
  </si>
  <si>
    <t xml:space="preserve">106969</t>
  </si>
  <si>
    <t xml:space="preserve">001143</t>
  </si>
  <si>
    <t xml:space="preserve">UV-beständiger Verschlussbeutel mittel</t>
  </si>
  <si>
    <t xml:space="preserve">005708</t>
  </si>
  <si>
    <t xml:space="preserve">Kontaktmodul</t>
  </si>
  <si>
    <t xml:space="preserve">110985</t>
  </si>
  <si>
    <t xml:space="preserve">106999</t>
  </si>
  <si>
    <t xml:space="preserve">Leuchtmelder Kunststoff, weiss</t>
  </si>
  <si>
    <t xml:space="preserve">überbestand</t>
  </si>
  <si>
    <t xml:space="preserve">102445</t>
  </si>
  <si>
    <t xml:space="preserve">005261</t>
  </si>
  <si>
    <t xml:space="preserve">108047</t>
  </si>
  <si>
    <t xml:space="preserve">Halbrundkopfschraube mit Innensechskant</t>
  </si>
  <si>
    <t xml:space="preserve">100172</t>
  </si>
  <si>
    <t xml:space="preserve">005761</t>
  </si>
  <si>
    <t xml:space="preserve">102437</t>
  </si>
  <si>
    <t xml:space="preserve">110966</t>
  </si>
  <si>
    <t xml:space="preserve">Batterie</t>
  </si>
  <si>
    <t xml:space="preserve">108568</t>
  </si>
  <si>
    <t xml:space="preserve">102436</t>
  </si>
  <si>
    <t xml:space="preserve">Etikett</t>
  </si>
  <si>
    <t xml:space="preserve">108269</t>
  </si>
  <si>
    <t xml:space="preserve">Wartungskleber AC200</t>
  </si>
  <si>
    <t xml:space="preserve">110815</t>
  </si>
  <si>
    <t xml:space="preserve">Senkschraube mit Innensechskant</t>
  </si>
  <si>
    <t xml:space="preserve">101657</t>
  </si>
  <si>
    <t xml:space="preserve">Überwurfmutter</t>
  </si>
  <si>
    <t xml:space="preserve">101449</t>
  </si>
  <si>
    <t xml:space="preserve">Twin; grosse  Artikelmenge</t>
  </si>
  <si>
    <t xml:space="preserve">105882</t>
  </si>
  <si>
    <t xml:space="preserve">110127</t>
  </si>
  <si>
    <t xml:space="preserve">Beiblatt</t>
  </si>
  <si>
    <t xml:space="preserve">110820</t>
  </si>
  <si>
    <t xml:space="preserve">111470</t>
  </si>
  <si>
    <t xml:space="preserve">Patchkabel</t>
  </si>
  <si>
    <t xml:space="preserve">005637</t>
  </si>
  <si>
    <t xml:space="preserve">001133</t>
  </si>
  <si>
    <t xml:space="preserve">Schraubendreher Einsatz SPAX T-Plus</t>
  </si>
  <si>
    <t xml:space="preserve">101656</t>
  </si>
  <si>
    <t xml:space="preserve">Schlauchnippel</t>
  </si>
  <si>
    <t xml:space="preserve">105881</t>
  </si>
  <si>
    <t xml:space="preserve">110970</t>
  </si>
  <si>
    <t xml:space="preserve">101646</t>
  </si>
  <si>
    <t xml:space="preserve">102398</t>
  </si>
  <si>
    <t xml:space="preserve">005641</t>
  </si>
  <si>
    <t xml:space="preserve">002021</t>
  </si>
  <si>
    <t xml:space="preserve">Schraubenzieher kreuz</t>
  </si>
  <si>
    <t xml:space="preserve">005809</t>
  </si>
  <si>
    <t xml:space="preserve">Schutzkappe</t>
  </si>
  <si>
    <t xml:space="preserve">109722</t>
  </si>
  <si>
    <t xml:space="preserve">110287</t>
  </si>
  <si>
    <t xml:space="preserve">Pinsel klein</t>
  </si>
  <si>
    <t xml:space="preserve">005614</t>
  </si>
  <si>
    <t xml:space="preserve">103681</t>
  </si>
  <si>
    <t xml:space="preserve">102509</t>
  </si>
  <si>
    <t xml:space="preserve">105454</t>
  </si>
  <si>
    <t xml:space="preserve">111576</t>
  </si>
  <si>
    <t xml:space="preserve">Checkliste Service 7k, SPGr10</t>
  </si>
  <si>
    <t xml:space="preserve">111580</t>
  </si>
  <si>
    <t xml:space="preserve">Checkliste Service 28k, SPGr16</t>
  </si>
  <si>
    <t xml:space="preserve">104476</t>
  </si>
  <si>
    <t xml:space="preserve">111579</t>
  </si>
  <si>
    <t xml:space="preserve">Checkliste Service 14k, SPGr16</t>
  </si>
  <si>
    <t xml:space="preserve">106623</t>
  </si>
  <si>
    <t xml:space="preserve">Splint</t>
  </si>
  <si>
    <t xml:space="preserve">111577</t>
  </si>
  <si>
    <t xml:space="preserve">Checkliste Service 28k, SPGr10</t>
  </si>
  <si>
    <t xml:space="preserve">106614</t>
  </si>
  <si>
    <t xml:space="preserve">100704</t>
  </si>
  <si>
    <t xml:space="preserve">110969</t>
  </si>
  <si>
    <t xml:space="preserve">111578</t>
  </si>
  <si>
    <t xml:space="preserve">Checkliste Service 7k, SPGr16</t>
  </si>
  <si>
    <t xml:space="preserve">109069</t>
  </si>
  <si>
    <t xml:space="preserve">106343</t>
  </si>
  <si>
    <t xml:space="preserve">109937</t>
  </si>
  <si>
    <t xml:space="preserve">102477</t>
  </si>
  <si>
    <t xml:space="preserve">005374</t>
  </si>
  <si>
    <t xml:space="preserve">110124</t>
  </si>
  <si>
    <t xml:space="preserve">110818</t>
  </si>
  <si>
    <t xml:space="preserve">Plattenschieber Petrobras SPGr16</t>
  </si>
  <si>
    <t xml:space="preserve">110760</t>
  </si>
  <si>
    <t xml:space="preserve">110965</t>
  </si>
  <si>
    <t xml:space="preserve">Durchgangsprüfgerät</t>
  </si>
  <si>
    <t xml:space="preserve">005072</t>
  </si>
  <si>
    <t xml:space="preserve">005080</t>
  </si>
  <si>
    <t xml:space="preserve">110897</t>
  </si>
  <si>
    <t xml:space="preserve">Gewindestange</t>
  </si>
  <si>
    <t xml:space="preserve">110881</t>
  </si>
  <si>
    <t xml:space="preserve">Messleitung</t>
  </si>
  <si>
    <t xml:space="preserve">110880</t>
  </si>
  <si>
    <t xml:space="preserve">110791</t>
  </si>
  <si>
    <t xml:space="preserve">110898</t>
  </si>
  <si>
    <t xml:space="preserve">ZE-000001</t>
  </si>
  <si>
    <t xml:space="preserve">EP Zertifikat</t>
  </si>
  <si>
    <t xml:space="preserve">110789</t>
  </si>
  <si>
    <t xml:space="preserve">VM00016</t>
  </si>
  <si>
    <t xml:space="preserve">Rohrschutzkappe</t>
  </si>
  <si>
    <t xml:space="preserve">EK-TV</t>
  </si>
  <si>
    <t xml:space="preserve">VM-000001</t>
  </si>
  <si>
    <t xml:space="preserve">AVERY ZWECKFORM ultragrip Etiketten</t>
  </si>
  <si>
    <t xml:space="preserve">110902</t>
  </si>
  <si>
    <t xml:space="preserve">110778</t>
  </si>
  <si>
    <t xml:space="preserve">Adapter SPGr10 geschweisst Petrobras</t>
  </si>
  <si>
    <t xml:space="preserve">110998</t>
  </si>
  <si>
    <t xml:space="preserve">110844</t>
  </si>
  <si>
    <t xml:space="preserve">Dichtung externe Stahlstruktur SPGr16</t>
  </si>
  <si>
    <t xml:space="preserve">111010</t>
  </si>
  <si>
    <t xml:space="preserve">Dichtung externe Stahlstruktur SPGr10</t>
  </si>
  <si>
    <t xml:space="preserve">109872</t>
  </si>
  <si>
    <t xml:space="preserve">111370</t>
  </si>
  <si>
    <t xml:space="preserve">SPC800 Coupler</t>
  </si>
  <si>
    <t xml:space="preserve">110764</t>
  </si>
  <si>
    <t xml:space="preserve">111719</t>
  </si>
  <si>
    <t xml:space="preserve">Führungsstange verlängert</t>
  </si>
  <si>
    <t xml:space="preserve">110788</t>
  </si>
  <si>
    <t xml:space="preserve">Kompensator Petrobras SPGr10</t>
  </si>
  <si>
    <t xml:space="preserve">110790</t>
  </si>
  <si>
    <t xml:space="preserve">Plattenschieber Petrobras SPGr10</t>
  </si>
  <si>
    <t xml:space="preserve">109977</t>
  </si>
  <si>
    <t xml:space="preserve">110816</t>
  </si>
  <si>
    <t xml:space="preserve">Adapter SPGr16 geschweisst Petrobras</t>
  </si>
  <si>
    <t xml:space="preserve">110831</t>
  </si>
  <si>
    <t xml:space="preserve">110651</t>
  </si>
  <si>
    <t xml:space="preserve">Temperatursensor PT100</t>
  </si>
  <si>
    <t xml:space="preserve">OC-108317</t>
  </si>
  <si>
    <t xml:space="preserve">Ventilpanel SPGr 4 Block oDT Spezial</t>
  </si>
  <si>
    <t xml:space="preserve">110688</t>
  </si>
  <si>
    <t xml:space="preserve">Austrittsdüse SPGr10 Strasbourg</t>
  </si>
  <si>
    <t xml:space="preserve">VM00011</t>
  </si>
  <si>
    <t xml:space="preserve">Umreifungsband</t>
  </si>
  <si>
    <t xml:space="preserve">110724</t>
  </si>
  <si>
    <t xml:space="preserve">Zwischenrohr SPGr16</t>
  </si>
  <si>
    <t xml:space="preserve">VM00015</t>
  </si>
  <si>
    <t xml:space="preserve">110753</t>
  </si>
  <si>
    <t xml:space="preserve">110759</t>
  </si>
  <si>
    <t xml:space="preserve">Kompensator Petrobras SPGr16</t>
  </si>
  <si>
    <t xml:space="preserve">109910</t>
  </si>
  <si>
    <t xml:space="preserve">DIN Schienen-Kit</t>
  </si>
  <si>
    <t xml:space="preserve">109148</t>
  </si>
  <si>
    <t xml:space="preserve">108444</t>
  </si>
  <si>
    <t xml:space="preserve">107896</t>
  </si>
  <si>
    <t xml:space="preserve">Luftkompressor AC260</t>
  </si>
  <si>
    <t xml:space="preserve">107668</t>
  </si>
  <si>
    <t xml:space="preserve">Tasche</t>
  </si>
  <si>
    <t xml:space="preserve">107984</t>
  </si>
  <si>
    <t xml:space="preserve">Spülluftmodul</t>
  </si>
  <si>
    <t xml:space="preserve">(leer)</t>
  </si>
  <si>
    <t xml:space="preserve">106293</t>
  </si>
  <si>
    <t xml:space="preserve">106364</t>
  </si>
  <si>
    <t xml:space="preserve">Temperaturfühler PT100</t>
  </si>
  <si>
    <t xml:space="preserve">106993</t>
  </si>
  <si>
    <t xml:space="preserve">Leitungsschutzschalter 4A</t>
  </si>
  <si>
    <t xml:space="preserve">105675</t>
  </si>
  <si>
    <t xml:space="preserve">Gestell mit Boden</t>
  </si>
  <si>
    <t xml:space="preserve">107199</t>
  </si>
  <si>
    <t xml:space="preserve">Klemmkasten</t>
  </si>
  <si>
    <t xml:space="preserve">106467</t>
  </si>
  <si>
    <t xml:space="preserve">Proportionalventil</t>
  </si>
  <si>
    <t xml:space="preserve">107225</t>
  </si>
  <si>
    <t xml:space="preserve">Werkzeugkiste</t>
  </si>
  <si>
    <t xml:space="preserve">106472</t>
  </si>
  <si>
    <t xml:space="preserve">Kugelhahn</t>
  </si>
  <si>
    <t xml:space="preserve">106260</t>
  </si>
  <si>
    <t xml:space="preserve">Neu; gehört nicht ins KTL</t>
  </si>
  <si>
    <t xml:space="preserve">106887</t>
  </si>
  <si>
    <t xml:space="preserve">Gestell ohne Fuss</t>
  </si>
  <si>
    <t xml:space="preserve">105718</t>
  </si>
  <si>
    <t xml:space="preserve">Steuerschrank BASE</t>
  </si>
  <si>
    <t xml:space="preserve">106886</t>
  </si>
  <si>
    <t xml:space="preserve">105719</t>
  </si>
  <si>
    <t xml:space="preserve">Steuerschrank SUB</t>
  </si>
  <si>
    <t xml:space="preserve">101652</t>
  </si>
  <si>
    <t xml:space="preserve">104473</t>
  </si>
  <si>
    <t xml:space="preserve">103269</t>
  </si>
  <si>
    <t xml:space="preserve">Aufhängung zu vertikaler Aufhängung</t>
  </si>
  <si>
    <t xml:space="preserve">005791</t>
  </si>
  <si>
    <t xml:space="preserve">2/2 Wege Magnetventil NO</t>
  </si>
  <si>
    <t xml:space="preserve">103730</t>
  </si>
  <si>
    <t xml:space="preserve">101750</t>
  </si>
  <si>
    <t xml:space="preserve">Rohr Anschweissstück DN125</t>
  </si>
  <si>
    <t xml:space="preserve">104212</t>
  </si>
  <si>
    <t xml:space="preserve">104169</t>
  </si>
  <si>
    <t xml:space="preserve">Steuerschrank EG101-DF ADV</t>
  </si>
  <si>
    <t xml:space="preserve">102520</t>
  </si>
  <si>
    <t xml:space="preserve">104238</t>
  </si>
  <si>
    <t xml:space="preserve">Steckerset (Kabel Kundenseitig)</t>
  </si>
  <si>
    <t xml:space="preserve">100152</t>
  </si>
  <si>
    <t xml:space="preserve">104474</t>
  </si>
  <si>
    <t xml:space="preserve">102835</t>
  </si>
  <si>
    <t xml:space="preserve">103265</t>
  </si>
  <si>
    <t xml:space="preserve">Platte, vertikale Aufhängung EG10 Serie</t>
  </si>
  <si>
    <t xml:space="preserve">102522</t>
  </si>
  <si>
    <t xml:space="preserve">002073</t>
  </si>
  <si>
    <t xml:space="preserve">001203</t>
  </si>
  <si>
    <t xml:space="preserve">Holzkiste SPGr10 + SPC800 Luft &amp; See</t>
  </si>
  <si>
    <t xml:space="preserve">005599</t>
  </si>
  <si>
    <t xml:space="preserve">Blitzleuchte (ohne Schallgeber)</t>
  </si>
  <si>
    <t xml:space="preserve">005067</t>
  </si>
  <si>
    <t xml:space="preserve">Hochdruck-Ganzmetallschlauch O2</t>
  </si>
  <si>
    <t xml:space="preserve">005661</t>
  </si>
  <si>
    <t xml:space="preserve">Drahtwirbelzange</t>
  </si>
  <si>
    <t xml:space="preserve">005567</t>
  </si>
  <si>
    <t xml:space="preserve">Adapter G-1/2"-a auf NPT 1/4"i</t>
  </si>
  <si>
    <t xml:space="preserve">002071</t>
  </si>
  <si>
    <t xml:space="preserve">005486</t>
  </si>
  <si>
    <t xml:space="preserve">Reduzierverschraubung</t>
  </si>
  <si>
    <t xml:space="preserve">001193</t>
  </si>
  <si>
    <t xml:space="preserve">Werkzeugkiste PM&amp;SV</t>
  </si>
  <si>
    <t xml:space="preserve">005391</t>
  </si>
  <si>
    <t xml:space="preserve">005106</t>
  </si>
  <si>
    <t xml:space="preserve">CF-Karte</t>
  </si>
  <si>
    <t xml:space="preserve">005066</t>
  </si>
  <si>
    <t xml:space="preserve">005568</t>
  </si>
  <si>
    <t xml:space="preserve">Eingangsadapter 1/4"NPT-a/G1/2"-a konus</t>
  </si>
  <si>
    <t xml:space="preserve">002064</t>
  </si>
  <si>
    <t xml:space="preserve">Sichtlagerkasten gross</t>
  </si>
  <si>
    <t xml:space="preserve">005085</t>
  </si>
  <si>
    <t xml:space="preserve">SPS Grundgerät EG104/EG106</t>
  </si>
  <si>
    <t xml:space="preserve">Ohne Fuss</t>
  </si>
  <si>
    <t xml:space="preserve">005283</t>
  </si>
  <si>
    <t xml:space="preserve">Durchgangsventil</t>
  </si>
  <si>
    <t xml:space="preserve">005183</t>
  </si>
  <si>
    <t xml:space="preserve">Ventilsteuerschrank</t>
  </si>
  <si>
    <t xml:space="preserve">110030</t>
  </si>
  <si>
    <t xml:space="preserve">Service Checklist SPGr16 SVC2</t>
  </si>
  <si>
    <t xml:space="preserve">106851</t>
  </si>
  <si>
    <t xml:space="preserve">gehört nicht ins KTL</t>
  </si>
  <si>
    <t xml:space="preserve">001018_0XL</t>
  </si>
  <si>
    <t xml:space="preserve">Kapuzen-Sweatshirt</t>
  </si>
  <si>
    <t xml:space="preserve">BEKLEI</t>
  </si>
  <si>
    <t xml:space="preserve">Kleidung</t>
  </si>
  <si>
    <t xml:space="preserve">110901</t>
  </si>
  <si>
    <t xml:space="preserve">107861</t>
  </si>
  <si>
    <t xml:space="preserve">109501</t>
  </si>
  <si>
    <t xml:space="preserve">107193</t>
  </si>
  <si>
    <t xml:space="preserve">Servicepaket SPGr16 SVC1</t>
  </si>
  <si>
    <t xml:space="preserve">107191</t>
  </si>
  <si>
    <t xml:space="preserve">Servicepaket SPGr10 SVC1</t>
  </si>
  <si>
    <t xml:space="preserve">104049</t>
  </si>
  <si>
    <t xml:space="preserve">109966</t>
  </si>
  <si>
    <t xml:space="preserve">Handbuch Luftkompressor AC260 DE</t>
  </si>
  <si>
    <t xml:space="preserve">110028</t>
  </si>
  <si>
    <t xml:space="preserve">Service Checklist SPGr10 SVC2</t>
  </si>
  <si>
    <t xml:space="preserve">109967</t>
  </si>
  <si>
    <t xml:space="preserve">Handbuch Luftkompressor AC260 IT</t>
  </si>
  <si>
    <t xml:space="preserve">109970</t>
  </si>
  <si>
    <t xml:space="preserve">Handbuch Luftkompressor AC260 EN</t>
  </si>
  <si>
    <t xml:space="preserve">106485</t>
  </si>
  <si>
    <t xml:space="preserve">102377</t>
  </si>
  <si>
    <t xml:space="preserve">101632</t>
  </si>
  <si>
    <t xml:space="preserve">100899</t>
  </si>
  <si>
    <t xml:space="preserve">Federring</t>
  </si>
  <si>
    <t xml:space="preserve">106344</t>
  </si>
  <si>
    <t xml:space="preserve">107852</t>
  </si>
  <si>
    <t xml:space="preserve">102093</t>
  </si>
  <si>
    <t xml:space="preserve">102439</t>
  </si>
  <si>
    <t xml:space="preserve">110027</t>
  </si>
  <si>
    <t xml:space="preserve">Service Checklist SPGr10 SVC1</t>
  </si>
  <si>
    <t xml:space="preserve">101631</t>
  </si>
  <si>
    <t xml:space="preserve">106606</t>
  </si>
  <si>
    <t xml:space="preserve">005226</t>
  </si>
  <si>
    <t xml:space="preserve">Zündkabel schwarz</t>
  </si>
  <si>
    <t xml:space="preserve">100262</t>
  </si>
  <si>
    <t xml:space="preserve">110029</t>
  </si>
  <si>
    <t xml:space="preserve">Service Checklist SPGr16 SVC1</t>
  </si>
  <si>
    <t xml:space="preserve">001159</t>
  </si>
  <si>
    <t xml:space="preserve">Sicherheitsfäden regulierbar, weiss</t>
  </si>
  <si>
    <t xml:space="preserve">005634</t>
  </si>
  <si>
    <t xml:space="preserve">107960</t>
  </si>
  <si>
    <t xml:space="preserve">102067</t>
  </si>
  <si>
    <t xml:space="preserve">101098</t>
  </si>
  <si>
    <t xml:space="preserve">005636</t>
  </si>
  <si>
    <t xml:space="preserve">103374</t>
  </si>
  <si>
    <t xml:space="preserve">105578</t>
  </si>
  <si>
    <t xml:space="preserve">101914</t>
  </si>
  <si>
    <t xml:space="preserve">005714</t>
  </si>
  <si>
    <t xml:space="preserve">Etikette TwinL Rückschlagventil Patrone</t>
  </si>
  <si>
    <t xml:space="preserve">106445</t>
  </si>
  <si>
    <t xml:space="preserve">100938</t>
  </si>
  <si>
    <t xml:space="preserve">107107</t>
  </si>
  <si>
    <t xml:space="preserve">106140</t>
  </si>
  <si>
    <t xml:space="preserve">Sechskantmutter kugelig</t>
  </si>
  <si>
    <t xml:space="preserve">OC-108305</t>
  </si>
  <si>
    <t xml:space="preserve">Ventilpanel SPGr 4 Block mDT Spezial</t>
  </si>
  <si>
    <t xml:space="preserve">105400</t>
  </si>
  <si>
    <t xml:space="preserve">106139</t>
  </si>
  <si>
    <t xml:space="preserve">005142</t>
  </si>
  <si>
    <t xml:space="preserve">Gerätesicherung</t>
  </si>
  <si>
    <t xml:space="preserve">105866</t>
  </si>
  <si>
    <t xml:space="preserve">104306</t>
  </si>
  <si>
    <t xml:space="preserve">100042</t>
  </si>
  <si>
    <t xml:space="preserve">Braucht es diesen Artikel ?</t>
  </si>
  <si>
    <t xml:space="preserve">102375</t>
  </si>
  <si>
    <t xml:space="preserve">Deckplatte</t>
  </si>
  <si>
    <t xml:space="preserve">105411</t>
  </si>
  <si>
    <t xml:space="preserve">106455</t>
  </si>
  <si>
    <t xml:space="preserve">102086</t>
  </si>
  <si>
    <t xml:space="preserve">108252</t>
  </si>
  <si>
    <t xml:space="preserve">Klemmenbeschriftungsset unbeschriftet</t>
  </si>
  <si>
    <t xml:space="preserve">001155</t>
  </si>
  <si>
    <t xml:space="preserve">Kabelbinder</t>
  </si>
  <si>
    <t xml:space="preserve">105369</t>
  </si>
  <si>
    <t xml:space="preserve">109769</t>
  </si>
  <si>
    <t xml:space="preserve">107007</t>
  </si>
  <si>
    <t xml:space="preserve">Halter für 3 Module, Kunststoff</t>
  </si>
  <si>
    <t xml:space="preserve">107142</t>
  </si>
  <si>
    <t xml:space="preserve">Presskabelschuh</t>
  </si>
  <si>
    <t xml:space="preserve">005457</t>
  </si>
  <si>
    <t xml:space="preserve">Aderendhülse isoliert blau</t>
  </si>
  <si>
    <t xml:space="preserve">001047</t>
  </si>
  <si>
    <t xml:space="preserve">Karton</t>
  </si>
  <si>
    <t xml:space="preserve">108570</t>
  </si>
  <si>
    <t xml:space="preserve">001036</t>
  </si>
  <si>
    <t xml:space="preserve">Fächerschleifer</t>
  </si>
  <si>
    <t xml:space="preserve">005149</t>
  </si>
  <si>
    <t xml:space="preserve">Distanzplatte zu Reihenklemme klein</t>
  </si>
  <si>
    <t xml:space="preserve">107246</t>
  </si>
  <si>
    <t xml:space="preserve">103169</t>
  </si>
  <si>
    <t xml:space="preserve">002024</t>
  </si>
  <si>
    <t xml:space="preserve">106477</t>
  </si>
  <si>
    <t xml:space="preserve">002068</t>
  </si>
  <si>
    <t xml:space="preserve">Batterie 6F22 9V</t>
  </si>
  <si>
    <t xml:space="preserve">109923</t>
  </si>
  <si>
    <t xml:space="preserve">Kleber Service Verpackung</t>
  </si>
  <si>
    <t xml:space="preserve">105885</t>
  </si>
  <si>
    <t xml:space="preserve">001157</t>
  </si>
  <si>
    <t xml:space="preserve">005704</t>
  </si>
  <si>
    <t xml:space="preserve">Klemmenabdeckung Hauptschalter</t>
  </si>
  <si>
    <t xml:space="preserve">107004</t>
  </si>
  <si>
    <t xml:space="preserve">LED-Modul mit integrierter LED</t>
  </si>
  <si>
    <t xml:space="preserve">105867</t>
  </si>
  <si>
    <t xml:space="preserve">005384</t>
  </si>
  <si>
    <t xml:space="preserve">102440</t>
  </si>
  <si>
    <t xml:space="preserve">108043</t>
  </si>
  <si>
    <t xml:space="preserve">Tüllengehäuse B6</t>
  </si>
  <si>
    <t xml:space="preserve">001154</t>
  </si>
  <si>
    <t xml:space="preserve">005640</t>
  </si>
  <si>
    <t xml:space="preserve">106273</t>
  </si>
  <si>
    <t xml:space="preserve">107851</t>
  </si>
  <si>
    <t xml:space="preserve">Schalldämpfer</t>
  </si>
  <si>
    <t xml:space="preserve">100528</t>
  </si>
  <si>
    <t xml:space="preserve">005148</t>
  </si>
  <si>
    <t xml:space="preserve">Reihenklemme</t>
  </si>
  <si>
    <t xml:space="preserve">005754</t>
  </si>
  <si>
    <t xml:space="preserve">105399</t>
  </si>
  <si>
    <t xml:space="preserve">109099</t>
  </si>
  <si>
    <t xml:space="preserve">Kleber Oben Federkonsole</t>
  </si>
  <si>
    <t xml:space="preserve">001138</t>
  </si>
  <si>
    <t xml:space="preserve">Ablösbare Markierungspunkte grün</t>
  </si>
  <si>
    <t xml:space="preserve">106862</t>
  </si>
  <si>
    <t xml:space="preserve">Schlauchschelle</t>
  </si>
  <si>
    <t xml:space="preserve">100137</t>
  </si>
  <si>
    <t xml:space="preserve">100429</t>
  </si>
  <si>
    <t xml:space="preserve">107310</t>
  </si>
  <si>
    <t xml:space="preserve">Kugelkette vernickelt</t>
  </si>
  <si>
    <t xml:space="preserve">106489</t>
  </si>
  <si>
    <t xml:space="preserve">002074</t>
  </si>
  <si>
    <t xml:space="preserve">Batterie AAA</t>
  </si>
  <si>
    <t xml:space="preserve">005639</t>
  </si>
  <si>
    <t xml:space="preserve">107103</t>
  </si>
  <si>
    <t xml:space="preserve">106905</t>
  </si>
  <si>
    <t xml:space="preserve">Gewindebolzen</t>
  </si>
  <si>
    <t xml:space="preserve">106591</t>
  </si>
  <si>
    <t xml:space="preserve">grosse  Artikelmenge</t>
  </si>
  <si>
    <t xml:space="preserve">106745</t>
  </si>
  <si>
    <t xml:space="preserve">101570</t>
  </si>
  <si>
    <t xml:space="preserve">105855</t>
  </si>
  <si>
    <t xml:space="preserve">102444</t>
  </si>
  <si>
    <t xml:space="preserve">100381</t>
  </si>
  <si>
    <t xml:space="preserve">100041</t>
  </si>
  <si>
    <t xml:space="preserve">108520</t>
  </si>
  <si>
    <t xml:space="preserve">001135</t>
  </si>
  <si>
    <t xml:space="preserve">005258</t>
  </si>
  <si>
    <t xml:space="preserve">107765</t>
  </si>
  <si>
    <t xml:space="preserve">Unterlage</t>
  </si>
  <si>
    <t xml:space="preserve">107542</t>
  </si>
  <si>
    <t xml:space="preserve">106824</t>
  </si>
  <si>
    <t xml:space="preserve">108544</t>
  </si>
  <si>
    <t xml:space="preserve">103031</t>
  </si>
  <si>
    <t xml:space="preserve">005452</t>
  </si>
  <si>
    <t xml:space="preserve">Aderendhülse isoliert gelb</t>
  </si>
  <si>
    <t xml:space="preserve">103517</t>
  </si>
  <si>
    <t xml:space="preserve">T-Griff</t>
  </si>
  <si>
    <t xml:space="preserve">102441</t>
  </si>
  <si>
    <t xml:space="preserve">100895</t>
  </si>
  <si>
    <t xml:space="preserve">005398</t>
  </si>
  <si>
    <t xml:space="preserve">Korundtuch</t>
  </si>
  <si>
    <t xml:space="preserve">Überbestand; nicht im KTL vorhanden</t>
  </si>
  <si>
    <t xml:space="preserve">005808</t>
  </si>
  <si>
    <t xml:space="preserve">109200</t>
  </si>
  <si>
    <t xml:space="preserve">Deckel GISKB II</t>
  </si>
  <si>
    <t xml:space="preserve">108512</t>
  </si>
  <si>
    <t xml:space="preserve">Typenschild Servicetechniker-Set SPGr10</t>
  </si>
  <si>
    <t xml:space="preserve">108910</t>
  </si>
  <si>
    <t xml:space="preserve">Splint / Vorsteckfeder</t>
  </si>
  <si>
    <t xml:space="preserve">109624</t>
  </si>
  <si>
    <t xml:space="preserve">Einfach - Rohrschelle PP</t>
  </si>
  <si>
    <t xml:space="preserve">002006</t>
  </si>
  <si>
    <t xml:space="preserve">005343</t>
  </si>
  <si>
    <t xml:space="preserve">Durchschlag</t>
  </si>
  <si>
    <t xml:space="preserve">100038</t>
  </si>
  <si>
    <t xml:space="preserve">107095</t>
  </si>
  <si>
    <t xml:space="preserve">108732</t>
  </si>
  <si>
    <t xml:space="preserve">109770</t>
  </si>
  <si>
    <t xml:space="preserve">106945</t>
  </si>
  <si>
    <t xml:space="preserve">002007</t>
  </si>
  <si>
    <t xml:space="preserve">Wasserpumpenzange</t>
  </si>
  <si>
    <t xml:space="preserve">109612</t>
  </si>
  <si>
    <t xml:space="preserve">109319</t>
  </si>
  <si>
    <t xml:space="preserve">101762</t>
  </si>
  <si>
    <t xml:space="preserve">Schäkel</t>
  </si>
  <si>
    <t xml:space="preserve">104282</t>
  </si>
  <si>
    <t xml:space="preserve">109037</t>
  </si>
  <si>
    <t xml:space="preserve">109791</t>
  </si>
  <si>
    <t xml:space="preserve">109911</t>
  </si>
  <si>
    <t xml:space="preserve">Stecker verdrahtet</t>
  </si>
  <si>
    <t xml:space="preserve">002031</t>
  </si>
  <si>
    <t xml:space="preserve">105868</t>
  </si>
  <si>
    <t xml:space="preserve">005760</t>
  </si>
  <si>
    <t xml:space="preserve">100443</t>
  </si>
  <si>
    <t xml:space="preserve">102279</t>
  </si>
  <si>
    <t xml:space="preserve">Spannschloss</t>
  </si>
  <si>
    <t xml:space="preserve">001042</t>
  </si>
  <si>
    <t xml:space="preserve">Verschlussbeutel gross</t>
  </si>
  <si>
    <t xml:space="preserve">101573</t>
  </si>
  <si>
    <t xml:space="preserve">108132</t>
  </si>
  <si>
    <t xml:space="preserve">Verschlussplatte zu Ventilblock</t>
  </si>
  <si>
    <t xml:space="preserve">005324</t>
  </si>
  <si>
    <t xml:space="preserve">002023</t>
  </si>
  <si>
    <t xml:space="preserve">106823</t>
  </si>
  <si>
    <t xml:space="preserve">110267</t>
  </si>
  <si>
    <t xml:space="preserve">Dichtring</t>
  </si>
  <si>
    <t xml:space="preserve">107118</t>
  </si>
  <si>
    <t xml:space="preserve">Rohrbürste</t>
  </si>
  <si>
    <t xml:space="preserve">108715</t>
  </si>
  <si>
    <t xml:space="preserve">Adapter für Sinterscheibe</t>
  </si>
  <si>
    <t xml:space="preserve">110007</t>
  </si>
  <si>
    <t xml:space="preserve">Aufschraubadapter</t>
  </si>
  <si>
    <t xml:space="preserve">005616</t>
  </si>
  <si>
    <t xml:space="preserve">001191</t>
  </si>
  <si>
    <t xml:space="preserve">Litzendraht</t>
  </si>
  <si>
    <t xml:space="preserve">108031</t>
  </si>
  <si>
    <t xml:space="preserve">001144</t>
  </si>
  <si>
    <t xml:space="preserve">UV-beständiger Verschlussbeutel gross</t>
  </si>
  <si>
    <t xml:space="preserve">100173</t>
  </si>
  <si>
    <t xml:space="preserve">005385</t>
  </si>
  <si>
    <t xml:space="preserve">109368</t>
  </si>
  <si>
    <t xml:space="preserve">002025</t>
  </si>
  <si>
    <t xml:space="preserve">102374</t>
  </si>
  <si>
    <t xml:space="preserve">107965</t>
  </si>
  <si>
    <t xml:space="preserve">Schnellverschluss-Schelle</t>
  </si>
  <si>
    <t xml:space="preserve">107967</t>
  </si>
  <si>
    <t xml:space="preserve">106967</t>
  </si>
  <si>
    <t xml:space="preserve">107092</t>
  </si>
  <si>
    <t xml:space="preserve">100287</t>
  </si>
  <si>
    <t xml:space="preserve">005455</t>
  </si>
  <si>
    <t xml:space="preserve">Aderendhülse isoliert orange</t>
  </si>
  <si>
    <t xml:space="preserve">103094</t>
  </si>
  <si>
    <t xml:space="preserve">001179</t>
  </si>
  <si>
    <t xml:space="preserve">106933</t>
  </si>
  <si>
    <t xml:space="preserve">Lithiumbatterie</t>
  </si>
  <si>
    <t xml:space="preserve">005707</t>
  </si>
  <si>
    <t xml:space="preserve">109090</t>
  </si>
  <si>
    <t xml:space="preserve">005297</t>
  </si>
  <si>
    <t xml:space="preserve">Magnetspule ohne Kabel</t>
  </si>
  <si>
    <t xml:space="preserve">109630</t>
  </si>
  <si>
    <t xml:space="preserve">102443</t>
  </si>
  <si>
    <t xml:space="preserve">108873</t>
  </si>
  <si>
    <t xml:space="preserve">Einrastschildchen -A51.1</t>
  </si>
  <si>
    <t xml:space="preserve">VM00007</t>
  </si>
  <si>
    <t xml:space="preserve">Seitenfaltenbeutel Haube für 1/2 Eurobox</t>
  </si>
  <si>
    <t xml:space="preserve">005229</t>
  </si>
  <si>
    <t xml:space="preserve">Schrumpfschlauch schwarz</t>
  </si>
  <si>
    <t xml:space="preserve">107589</t>
  </si>
  <si>
    <t xml:space="preserve">108251</t>
  </si>
  <si>
    <t xml:space="preserve">Endklammer mit Schraube</t>
  </si>
  <si>
    <t xml:space="preserve">107119</t>
  </si>
  <si>
    <t xml:space="preserve">100036</t>
  </si>
  <si>
    <t xml:space="preserve">005386</t>
  </si>
  <si>
    <t xml:space="preserve">001045</t>
  </si>
  <si>
    <t xml:space="preserve">005244</t>
  </si>
  <si>
    <t xml:space="preserve">Zündkabel</t>
  </si>
  <si>
    <t xml:space="preserve">106618</t>
  </si>
  <si>
    <t xml:space="preserve">005325</t>
  </si>
  <si>
    <t xml:space="preserve">005129</t>
  </si>
  <si>
    <t xml:space="preserve">Relais C09-A41DX... ohne Sockel</t>
  </si>
  <si>
    <t xml:space="preserve">005322</t>
  </si>
  <si>
    <t xml:space="preserve">108471</t>
  </si>
  <si>
    <t xml:space="preserve">005582</t>
  </si>
  <si>
    <t xml:space="preserve">Verlängerung</t>
  </si>
  <si>
    <t xml:space="preserve">106970</t>
  </si>
  <si>
    <t xml:space="preserve">USB Datenspeicher</t>
  </si>
  <si>
    <t xml:space="preserve">B&amp;R; nicht im KTL vorhanden</t>
  </si>
  <si>
    <t xml:space="preserve">001097</t>
  </si>
  <si>
    <t xml:space="preserve">Dose</t>
  </si>
  <si>
    <t xml:space="preserve">101257</t>
  </si>
  <si>
    <t xml:space="preserve">Magnetventiladapter</t>
  </si>
  <si>
    <t xml:space="preserve">twin</t>
  </si>
  <si>
    <t xml:space="preserve">005450</t>
  </si>
  <si>
    <t xml:space="preserve">Mutter-Klemmringsatz</t>
  </si>
  <si>
    <t xml:space="preserve">107536</t>
  </si>
  <si>
    <t xml:space="preserve">106974</t>
  </si>
  <si>
    <t xml:space="preserve">Datensteckverbinder</t>
  </si>
  <si>
    <t xml:space="preserve">001119</t>
  </si>
  <si>
    <t xml:space="preserve">Aceton Reiniger</t>
  </si>
  <si>
    <t xml:space="preserve">005732</t>
  </si>
  <si>
    <t xml:space="preserve">Ersatzklingen MARTOR Trapez</t>
  </si>
  <si>
    <t xml:space="preserve">Verb.Lager; nicht im KTL vorhanden</t>
  </si>
  <si>
    <t xml:space="preserve">101862</t>
  </si>
  <si>
    <t xml:space="preserve">102435</t>
  </si>
  <si>
    <t xml:space="preserve">109645</t>
  </si>
  <si>
    <t xml:space="preserve">Gummibuchse</t>
  </si>
  <si>
    <t xml:space="preserve">104438</t>
  </si>
  <si>
    <t xml:space="preserve">107094</t>
  </si>
  <si>
    <t xml:space="preserve">109519</t>
  </si>
  <si>
    <t xml:space="preserve">Gerade Einschraub-Verschraubung</t>
  </si>
  <si>
    <t xml:space="preserve">109506</t>
  </si>
  <si>
    <t xml:space="preserve">T-Stück</t>
  </si>
  <si>
    <t xml:space="preserve">005310</t>
  </si>
  <si>
    <t xml:space="preserve">Zugplatte</t>
  </si>
  <si>
    <t xml:space="preserve">002040</t>
  </si>
  <si>
    <t xml:space="preserve">103232</t>
  </si>
  <si>
    <t xml:space="preserve">Halter, vertikale Aufhängung EG10 Serie</t>
  </si>
  <si>
    <t xml:space="preserve">001032</t>
  </si>
  <si>
    <t xml:space="preserve">Vaseline</t>
  </si>
  <si>
    <t xml:space="preserve">005303</t>
  </si>
  <si>
    <t xml:space="preserve">005696</t>
  </si>
  <si>
    <t xml:space="preserve">Selektivitätsmodul</t>
  </si>
  <si>
    <t xml:space="preserve">107001</t>
  </si>
  <si>
    <t xml:space="preserve">Knebelschalter, beleuchtbar</t>
  </si>
  <si>
    <t xml:space="preserve">005117</t>
  </si>
  <si>
    <t xml:space="preserve">Kartenleser USB 2.0</t>
  </si>
  <si>
    <t xml:space="preserve">109054</t>
  </si>
  <si>
    <t xml:space="preserve">005103</t>
  </si>
  <si>
    <t xml:space="preserve">SPS Ethernet Switch</t>
  </si>
  <si>
    <t xml:space="preserve">107106</t>
  </si>
  <si>
    <t xml:space="preserve">Sechskant-Schraubenzieher</t>
  </si>
  <si>
    <t xml:space="preserve">100791</t>
  </si>
  <si>
    <t xml:space="preserve">005400</t>
  </si>
  <si>
    <t xml:space="preserve">001199</t>
  </si>
  <si>
    <t xml:space="preserve">Abisolierzange</t>
  </si>
  <si>
    <t xml:space="preserve">001035</t>
  </si>
  <si>
    <t xml:space="preserve">Kombi-Faservliesbürste</t>
  </si>
  <si>
    <t xml:space="preserve">005139</t>
  </si>
  <si>
    <t xml:space="preserve">108487</t>
  </si>
  <si>
    <t xml:space="preserve">Patchkabel Prüfgerät</t>
  </si>
  <si>
    <t xml:space="preserve">107226</t>
  </si>
  <si>
    <t xml:space="preserve">Ring-Gabelschlüssel-Satz</t>
  </si>
  <si>
    <t xml:space="preserve">101495</t>
  </si>
  <si>
    <t xml:space="preserve">101572</t>
  </si>
  <si>
    <t xml:space="preserve">100862</t>
  </si>
  <si>
    <t xml:space="preserve">OC-101558</t>
  </si>
  <si>
    <t xml:space="preserve">Kranbahn-Profil</t>
  </si>
  <si>
    <t xml:space="preserve">001134</t>
  </si>
  <si>
    <t xml:space="preserve">107231</t>
  </si>
  <si>
    <t xml:space="preserve">Zangen-Set</t>
  </si>
  <si>
    <t xml:space="preserve">110094</t>
  </si>
  <si>
    <t xml:space="preserve">107562</t>
  </si>
  <si>
    <t xml:space="preserve">005615</t>
  </si>
  <si>
    <t xml:space="preserve">Temperatursensor ohne Stecker</t>
  </si>
  <si>
    <t xml:space="preserve">101575</t>
  </si>
  <si>
    <t xml:space="preserve">101861</t>
  </si>
  <si>
    <t xml:space="preserve">107300</t>
  </si>
  <si>
    <t xml:space="preserve">Ventilschlüssel</t>
  </si>
  <si>
    <t xml:space="preserve">005805</t>
  </si>
  <si>
    <t xml:space="preserve">100364</t>
  </si>
  <si>
    <t xml:space="preserve">107105</t>
  </si>
  <si>
    <t xml:space="preserve">105455</t>
  </si>
  <si>
    <t xml:space="preserve">005746</t>
  </si>
  <si>
    <t xml:space="preserve">Set Blockierelemente</t>
  </si>
  <si>
    <t xml:space="preserve">002037</t>
  </si>
  <si>
    <t xml:space="preserve">Ersatzklingen zu Universalmesser</t>
  </si>
  <si>
    <t xml:space="preserve">110008</t>
  </si>
  <si>
    <t xml:space="preserve">101395</t>
  </si>
  <si>
    <t xml:space="preserve">106616</t>
  </si>
  <si>
    <t xml:space="preserve">005485</t>
  </si>
  <si>
    <t xml:space="preserve">Einschraubadapter</t>
  </si>
  <si>
    <t xml:space="preserve">108869</t>
  </si>
  <si>
    <t xml:space="preserve">Klebeetikette -F200.2</t>
  </si>
  <si>
    <t xml:space="preserve">108870</t>
  </si>
  <si>
    <t xml:space="preserve">Klebeetikette -G200.2</t>
  </si>
  <si>
    <t xml:space="preserve">002001</t>
  </si>
  <si>
    <t xml:space="preserve">Multimeter 250V</t>
  </si>
  <si>
    <t xml:space="preserve">103477</t>
  </si>
  <si>
    <t xml:space="preserve">101658</t>
  </si>
  <si>
    <t xml:space="preserve">Reduzierverschraubung Edelstahl</t>
  </si>
  <si>
    <t xml:space="preserve">102395</t>
  </si>
  <si>
    <t xml:space="preserve">107307</t>
  </si>
  <si>
    <t xml:space="preserve">Universalschmierpaste</t>
  </si>
  <si>
    <t xml:space="preserve">103394</t>
  </si>
  <si>
    <t xml:space="preserve">Gewindebohrer</t>
  </si>
  <si>
    <t xml:space="preserve">107707</t>
  </si>
  <si>
    <t xml:space="preserve">005161</t>
  </si>
  <si>
    <t xml:space="preserve">Schutzleiterklemme</t>
  </si>
  <si>
    <t xml:space="preserve">005342</t>
  </si>
  <si>
    <t xml:space="preserve">109749</t>
  </si>
  <si>
    <t xml:space="preserve">005715</t>
  </si>
  <si>
    <t xml:space="preserve">Hinweisschild</t>
  </si>
  <si>
    <t xml:space="preserve">002046</t>
  </si>
  <si>
    <t xml:space="preserve">100366</t>
  </si>
  <si>
    <t xml:space="preserve">109751</t>
  </si>
  <si>
    <t xml:space="preserve">Bügel</t>
  </si>
  <si>
    <t xml:space="preserve">107716</t>
  </si>
  <si>
    <t xml:space="preserve">001115</t>
  </si>
  <si>
    <t xml:space="preserve">Schutzbrett Typ 0</t>
  </si>
  <si>
    <t xml:space="preserve">104233</t>
  </si>
  <si>
    <t xml:space="preserve">Ventilpanel Grundplatte</t>
  </si>
  <si>
    <t xml:space="preserve">109623</t>
  </si>
  <si>
    <t xml:space="preserve">Halterungswinkel</t>
  </si>
  <si>
    <t xml:space="preserve">107163</t>
  </si>
  <si>
    <t xml:space="preserve">SPGr Logo zu SPGr</t>
  </si>
  <si>
    <t xml:space="preserve">110312</t>
  </si>
  <si>
    <t xml:space="preserve">VNC Server Funktionslizenz</t>
  </si>
  <si>
    <t xml:space="preserve">102500</t>
  </si>
  <si>
    <t xml:space="preserve">Dichtungssatz</t>
  </si>
  <si>
    <t xml:space="preserve">OC-103382</t>
  </si>
  <si>
    <t xml:space="preserve">109152</t>
  </si>
  <si>
    <t xml:space="preserve">Verteilerblock</t>
  </si>
  <si>
    <t xml:space="preserve">106443</t>
  </si>
  <si>
    <t xml:space="preserve">005415</t>
  </si>
  <si>
    <t xml:space="preserve">Deckenlasche</t>
  </si>
  <si>
    <t xml:space="preserve">101683</t>
  </si>
  <si>
    <t xml:space="preserve">109696</t>
  </si>
  <si>
    <t xml:space="preserve">005164</t>
  </si>
  <si>
    <t xml:space="preserve">Leitungsschutzschalter</t>
  </si>
  <si>
    <t xml:space="preserve">107097</t>
  </si>
  <si>
    <t xml:space="preserve">110041</t>
  </si>
  <si>
    <t xml:space="preserve">Ordner</t>
  </si>
  <si>
    <t xml:space="preserve">107108</t>
  </si>
  <si>
    <t xml:space="preserve">108081</t>
  </si>
  <si>
    <t xml:space="preserve">Innenbox SPGr10 SVC2 3/4</t>
  </si>
  <si>
    <t xml:space="preserve">101571</t>
  </si>
  <si>
    <t xml:space="preserve">107112</t>
  </si>
  <si>
    <t xml:space="preserve">Seitenschneider</t>
  </si>
  <si>
    <t xml:space="preserve">101396</t>
  </si>
  <si>
    <t xml:space="preserve">109759</t>
  </si>
  <si>
    <t xml:space="preserve">107195</t>
  </si>
  <si>
    <t xml:space="preserve">Keilriemen zu AC260</t>
  </si>
  <si>
    <t xml:space="preserve">105470</t>
  </si>
  <si>
    <t xml:space="preserve">Anzugslehre</t>
  </si>
  <si>
    <t xml:space="preserve">109365</t>
  </si>
  <si>
    <t xml:space="preserve">Aufsteckmaulschlüssel</t>
  </si>
  <si>
    <t xml:space="preserve">005702</t>
  </si>
  <si>
    <t xml:space="preserve">Widerstand</t>
  </si>
  <si>
    <t xml:space="preserve">110309</t>
  </si>
  <si>
    <t xml:space="preserve">Verteiler</t>
  </si>
  <si>
    <t xml:space="preserve">107130</t>
  </si>
  <si>
    <t xml:space="preserve">101795</t>
  </si>
  <si>
    <t xml:space="preserve">Flammschutz TwinL</t>
  </si>
  <si>
    <t xml:space="preserve">100357</t>
  </si>
  <si>
    <t xml:space="preserve">Rohrstück Edelstahl</t>
  </si>
  <si>
    <t xml:space="preserve">108082</t>
  </si>
  <si>
    <t xml:space="preserve">Innenbox SPGr10 SVC2 4/4</t>
  </si>
  <si>
    <t xml:space="preserve">107865</t>
  </si>
  <si>
    <t xml:space="preserve">Inbusschlüssel-Satz lang</t>
  </si>
  <si>
    <t xml:space="preserve">108445</t>
  </si>
  <si>
    <t xml:space="preserve">106753</t>
  </si>
  <si>
    <t xml:space="preserve">108671</t>
  </si>
  <si>
    <t xml:space="preserve">Sensorkabel SPC800 - VP</t>
  </si>
  <si>
    <t xml:space="preserve">001034</t>
  </si>
  <si>
    <t xml:space="preserve">005694</t>
  </si>
  <si>
    <t xml:space="preserve">108080</t>
  </si>
  <si>
    <t xml:space="preserve">Innenbox SPGr10 SVC2 2/4</t>
  </si>
  <si>
    <t xml:space="preserve">005394</t>
  </si>
  <si>
    <t xml:space="preserve">106861</t>
  </si>
  <si>
    <t xml:space="preserve">108033</t>
  </si>
  <si>
    <t xml:space="preserve">Tüllengehäuse</t>
  </si>
  <si>
    <t xml:space="preserve">109164</t>
  </si>
  <si>
    <t xml:space="preserve">Winkelverschraubung Stahl verzinkt</t>
  </si>
  <si>
    <t xml:space="preserve">100350</t>
  </si>
  <si>
    <t xml:space="preserve">Filtergehäuse</t>
  </si>
  <si>
    <t xml:space="preserve">005125</t>
  </si>
  <si>
    <t xml:space="preserve">Schütz</t>
  </si>
  <si>
    <t xml:space="preserve">002075</t>
  </si>
  <si>
    <t xml:space="preserve">Brother P-touch Schriftband</t>
  </si>
  <si>
    <t xml:space="preserve">005759</t>
  </si>
  <si>
    <t xml:space="preserve">100629</t>
  </si>
  <si>
    <t xml:space="preserve">005162</t>
  </si>
  <si>
    <t xml:space="preserve">005280</t>
  </si>
  <si>
    <t xml:space="preserve">110646</t>
  </si>
  <si>
    <t xml:space="preserve">109183</t>
  </si>
  <si>
    <t xml:space="preserve">108536</t>
  </si>
  <si>
    <t xml:space="preserve">001046</t>
  </si>
  <si>
    <t xml:space="preserve">108646</t>
  </si>
  <si>
    <t xml:space="preserve">Kondensatablassventil</t>
  </si>
  <si>
    <t xml:space="preserve">108079</t>
  </si>
  <si>
    <t xml:space="preserve">Innenbox SPGr10 SVC2 1/4</t>
  </si>
  <si>
    <t xml:space="preserve">109909</t>
  </si>
  <si>
    <t xml:space="preserve">Industrie Mobilfunk Router (US)</t>
  </si>
  <si>
    <t xml:space="preserve">105478</t>
  </si>
  <si>
    <t xml:space="preserve">108528</t>
  </si>
  <si>
    <t xml:space="preserve">Sinterscheibe</t>
  </si>
  <si>
    <t xml:space="preserve">001209</t>
  </si>
  <si>
    <t xml:space="preserve">107049</t>
  </si>
  <si>
    <t xml:space="preserve">005100</t>
  </si>
  <si>
    <t xml:space="preserve">SPS Schnittstellenadapter</t>
  </si>
  <si>
    <t xml:space="preserve">109617</t>
  </si>
  <si>
    <t xml:space="preserve">005750</t>
  </si>
  <si>
    <t xml:space="preserve">T-Stück Edelstahl</t>
  </si>
  <si>
    <t xml:space="preserve">109165</t>
  </si>
  <si>
    <t xml:space="preserve">Verbindungsnippel</t>
  </si>
  <si>
    <t xml:space="preserve">107587</t>
  </si>
  <si>
    <t xml:space="preserve">Begleitschreiben, SPGr16</t>
  </si>
  <si>
    <t xml:space="preserve">109530</t>
  </si>
  <si>
    <t xml:space="preserve">Rohr komplett</t>
  </si>
  <si>
    <t xml:space="preserve">107014</t>
  </si>
  <si>
    <t xml:space="preserve">Feinfiltermatte</t>
  </si>
  <si>
    <t xml:space="preserve">107128</t>
  </si>
  <si>
    <t xml:space="preserve">106992</t>
  </si>
  <si>
    <t xml:space="preserve">Hilfsstromschalter</t>
  </si>
  <si>
    <t xml:space="preserve">001150</t>
  </si>
  <si>
    <t xml:space="preserve">Schleifvlies SCOTCH-BRITE</t>
  </si>
  <si>
    <t xml:space="preserve">001053</t>
  </si>
  <si>
    <t xml:space="preserve">Tauschdeckel SBB</t>
  </si>
  <si>
    <t xml:space="preserve">104213</t>
  </si>
  <si>
    <t xml:space="preserve">Transfermagnetventil Spule CH4</t>
  </si>
  <si>
    <t xml:space="preserve">104274</t>
  </si>
  <si>
    <t xml:space="preserve">005542</t>
  </si>
  <si>
    <t xml:space="preserve">107249</t>
  </si>
  <si>
    <t xml:space="preserve">Servicepaket AC260 Endabscheider</t>
  </si>
  <si>
    <t xml:space="preserve">106896</t>
  </si>
  <si>
    <t xml:space="preserve">106444</t>
  </si>
  <si>
    <t xml:space="preserve">Verbindungsbolzen</t>
  </si>
  <si>
    <t xml:space="preserve">107223</t>
  </si>
  <si>
    <t xml:space="preserve">Befestigungsplatte Haltevorrichtung SPGr</t>
  </si>
  <si>
    <t xml:space="preserve">100043</t>
  </si>
  <si>
    <t xml:space="preserve">005793</t>
  </si>
  <si>
    <t xml:space="preserve">106133</t>
  </si>
  <si>
    <t xml:space="preserve">101103</t>
  </si>
  <si>
    <t xml:space="preserve">106427</t>
  </si>
  <si>
    <t xml:space="preserve">109750</t>
  </si>
  <si>
    <t xml:space="preserve">107695</t>
  </si>
  <si>
    <t xml:space="preserve">Anschweisslasche</t>
  </si>
  <si>
    <t xml:space="preserve">106991</t>
  </si>
  <si>
    <t xml:space="preserve">Filterlüfter</t>
  </si>
  <si>
    <t xml:space="preserve">107051</t>
  </si>
  <si>
    <t xml:space="preserve">001051</t>
  </si>
  <si>
    <t xml:space="preserve">Tauschpalette EPAL</t>
  </si>
  <si>
    <t xml:space="preserve">106481</t>
  </si>
  <si>
    <t xml:space="preserve">SPGr</t>
  </si>
  <si>
    <t xml:space="preserve">005449</t>
  </si>
  <si>
    <t xml:space="preserve">108938</t>
  </si>
  <si>
    <t xml:space="preserve">Markierungspunkt rot</t>
  </si>
  <si>
    <t xml:space="preserve">001128</t>
  </si>
  <si>
    <t xml:space="preserve">108070</t>
  </si>
  <si>
    <t xml:space="preserve">Sicherheitsventil 2. Stufe AC260</t>
  </si>
  <si>
    <t xml:space="preserve">103608</t>
  </si>
  <si>
    <t xml:space="preserve">Verbindungselement</t>
  </si>
  <si>
    <t xml:space="preserve">005248</t>
  </si>
  <si>
    <t xml:space="preserve">Kette</t>
  </si>
  <si>
    <t xml:space="preserve">108552</t>
  </si>
  <si>
    <t xml:space="preserve">Saugventil 2. Stufe AC260</t>
  </si>
  <si>
    <t xml:space="preserve">005545</t>
  </si>
  <si>
    <t xml:space="preserve">Signalhorn mit Blitzleuchte</t>
  </si>
  <si>
    <t xml:space="preserve">100347</t>
  </si>
  <si>
    <t xml:space="preserve">109162</t>
  </si>
  <si>
    <t xml:space="preserve">Hochdruck-Ganzmetallschlauch Luft DN6</t>
  </si>
  <si>
    <t xml:space="preserve">005238</t>
  </si>
  <si>
    <t xml:space="preserve">Sicherung</t>
  </si>
  <si>
    <t xml:space="preserve">005348</t>
  </si>
  <si>
    <t xml:space="preserve">106959</t>
  </si>
  <si>
    <t xml:space="preserve">Sicheres digtales Eingangsmodul</t>
  </si>
  <si>
    <t xml:space="preserve">109342</t>
  </si>
  <si>
    <t xml:space="preserve">109382</t>
  </si>
  <si>
    <t xml:space="preserve">106853</t>
  </si>
  <si>
    <t xml:space="preserve">107858</t>
  </si>
  <si>
    <t xml:space="preserve">103275</t>
  </si>
  <si>
    <t xml:space="preserve">Halter für 3 Kettenaufhänger</t>
  </si>
  <si>
    <t xml:space="preserve">100359</t>
  </si>
  <si>
    <t xml:space="preserve">Signalhorn / Blitzleuchte</t>
  </si>
  <si>
    <t xml:space="preserve">109755</t>
  </si>
  <si>
    <t xml:space="preserve">005659</t>
  </si>
  <si>
    <t xml:space="preserve">Swibox LED Leuchte T5</t>
  </si>
  <si>
    <t xml:space="preserve">109181</t>
  </si>
  <si>
    <t xml:space="preserve">109363</t>
  </si>
  <si>
    <t xml:space="preserve">Rohrstück</t>
  </si>
  <si>
    <t xml:space="preserve">100401</t>
  </si>
  <si>
    <t xml:space="preserve">001166</t>
  </si>
  <si>
    <t xml:space="preserve">Presszange "crimp"</t>
  </si>
  <si>
    <t xml:space="preserve">005424</t>
  </si>
  <si>
    <t xml:space="preserve">Rohrstück gerade</t>
  </si>
  <si>
    <t xml:space="preserve">001122</t>
  </si>
  <si>
    <t xml:space="preserve">Tauschrahmen SBB</t>
  </si>
  <si>
    <t xml:space="preserve">001052</t>
  </si>
  <si>
    <t xml:space="preserve">101589</t>
  </si>
  <si>
    <t xml:space="preserve">105957</t>
  </si>
  <si>
    <t xml:space="preserve">108862</t>
  </si>
  <si>
    <t xml:space="preserve">Nachrüst Litzenset 2. SLM</t>
  </si>
  <si>
    <t xml:space="preserve">105858</t>
  </si>
  <si>
    <t xml:space="preserve">103476</t>
  </si>
  <si>
    <t xml:space="preserve">Montagehilfe</t>
  </si>
  <si>
    <t xml:space="preserve">005703</t>
  </si>
  <si>
    <t xml:space="preserve">Lasttrennschalter</t>
  </si>
  <si>
    <t xml:space="preserve">106901</t>
  </si>
  <si>
    <t xml:space="preserve">LED Blitzlichtelement</t>
  </si>
  <si>
    <t xml:space="preserve">109616</t>
  </si>
  <si>
    <t xml:space="preserve">005405</t>
  </si>
  <si>
    <t xml:space="preserve">Rohrleitung für Drucktransmitter</t>
  </si>
  <si>
    <t xml:space="preserve">109176</t>
  </si>
  <si>
    <t xml:space="preserve">100336</t>
  </si>
  <si>
    <t xml:space="preserve">109762</t>
  </si>
  <si>
    <t xml:space="preserve">Koaleszenz-Filerelement</t>
  </si>
  <si>
    <t xml:space="preserve">109516</t>
  </si>
  <si>
    <t xml:space="preserve">Kreuz Verschraubung</t>
  </si>
  <si>
    <t xml:space="preserve">110306</t>
  </si>
  <si>
    <t xml:space="preserve">101590</t>
  </si>
  <si>
    <t xml:space="preserve">Platte für 3 Kettenaufhänger</t>
  </si>
  <si>
    <t xml:space="preserve">108085</t>
  </si>
  <si>
    <t xml:space="preserve">Innenbox SPGr16 SVC1 3/3</t>
  </si>
  <si>
    <t xml:space="preserve">107010</t>
  </si>
  <si>
    <t xml:space="preserve">106859</t>
  </si>
  <si>
    <t xml:space="preserve">108610</t>
  </si>
  <si>
    <t xml:space="preserve">109648</t>
  </si>
  <si>
    <t xml:space="preserve">Federhänger Spezial Vanetto</t>
  </si>
  <si>
    <t xml:space="preserve">109523</t>
  </si>
  <si>
    <t xml:space="preserve">005097</t>
  </si>
  <si>
    <t xml:space="preserve">SPS Analog-Modul PT100</t>
  </si>
  <si>
    <t xml:space="preserve">107248</t>
  </si>
  <si>
    <t xml:space="preserve">Servicepaket AC260 Zwischenabscheider</t>
  </si>
  <si>
    <t xml:space="preserve">109157</t>
  </si>
  <si>
    <t xml:space="preserve">Sicherheitsventil 45 bar</t>
  </si>
  <si>
    <t xml:space="preserve">102855</t>
  </si>
  <si>
    <t xml:space="preserve">Kronenmutter</t>
  </si>
  <si>
    <t xml:space="preserve">104216</t>
  </si>
  <si>
    <t xml:space="preserve">108037</t>
  </si>
  <si>
    <t xml:space="preserve">107252</t>
  </si>
  <si>
    <t xml:space="preserve">Neu; grosser Artikel &amp; nicht im KTL</t>
  </si>
  <si>
    <t xml:space="preserve">107254</t>
  </si>
  <si>
    <t xml:space="preserve">109756</t>
  </si>
  <si>
    <t xml:space="preserve">109859</t>
  </si>
  <si>
    <t xml:space="preserve">HMI T50mobile USB-Adapter</t>
  </si>
  <si>
    <t xml:space="preserve">109161</t>
  </si>
  <si>
    <t xml:space="preserve">Gasfilter</t>
  </si>
  <si>
    <t xml:space="preserve">107224</t>
  </si>
  <si>
    <t xml:space="preserve">107250</t>
  </si>
  <si>
    <t xml:space="preserve">Servicepaket AC260 Druckhalteventil</t>
  </si>
  <si>
    <t xml:space="preserve">107240</t>
  </si>
  <si>
    <t xml:space="preserve">108647</t>
  </si>
  <si>
    <t xml:space="preserve">Temperatursensor LKE</t>
  </si>
  <si>
    <t xml:space="preserve">005355</t>
  </si>
  <si>
    <t xml:space="preserve">Brauchgasventil</t>
  </si>
  <si>
    <t xml:space="preserve">104305</t>
  </si>
  <si>
    <t xml:space="preserve">Bügelschloss</t>
  </si>
  <si>
    <t xml:space="preserve">109525</t>
  </si>
  <si>
    <t xml:space="preserve">005220</t>
  </si>
  <si>
    <t xml:space="preserve">Sicherheitsventil 45bar, N2</t>
  </si>
  <si>
    <t xml:space="preserve">107117</t>
  </si>
  <si>
    <t xml:space="preserve">101638</t>
  </si>
  <si>
    <t xml:space="preserve">VM00008</t>
  </si>
  <si>
    <t xml:space="preserve">Seitenfaltenbeutel, Einsatz für Euroboc</t>
  </si>
  <si>
    <t xml:space="preserve">101100</t>
  </si>
  <si>
    <t xml:space="preserve">108078</t>
  </si>
  <si>
    <t xml:space="preserve">Innenbox SPGr10 SVC1 3/3</t>
  </si>
  <si>
    <t xml:space="preserve">100130</t>
  </si>
  <si>
    <t xml:space="preserve">Blende Gasdruckspeicher</t>
  </si>
  <si>
    <t xml:space="preserve">101796</t>
  </si>
  <si>
    <t xml:space="preserve">109760</t>
  </si>
  <si>
    <t xml:space="preserve">101558</t>
  </si>
  <si>
    <t xml:space="preserve">102278</t>
  </si>
  <si>
    <t xml:space="preserve">106955</t>
  </si>
  <si>
    <t xml:space="preserve">Schnittstellenmodul</t>
  </si>
  <si>
    <t xml:space="preserve">106942</t>
  </si>
  <si>
    <t xml:space="preserve">105959</t>
  </si>
  <si>
    <t xml:space="preserve">Adapter Messing</t>
  </si>
  <si>
    <t xml:space="preserve">101616</t>
  </si>
  <si>
    <t xml:space="preserve">Transfermagnetventil CH4 komplett</t>
  </si>
  <si>
    <t xml:space="preserve">108480</t>
  </si>
  <si>
    <t xml:space="preserve">Reduktions Adapter</t>
  </si>
  <si>
    <t xml:space="preserve">107235</t>
  </si>
  <si>
    <t xml:space="preserve">005282</t>
  </si>
  <si>
    <t xml:space="preserve">Leitungsregler LT2000</t>
  </si>
  <si>
    <t xml:space="preserve">109318</t>
  </si>
  <si>
    <t xml:space="preserve">Leuchtmelder rot</t>
  </si>
  <si>
    <t xml:space="preserve">005091</t>
  </si>
  <si>
    <t xml:space="preserve">SPS Ethernet Kommunikationsmodul</t>
  </si>
  <si>
    <t xml:space="preserve">005225</t>
  </si>
  <si>
    <t xml:space="preserve">Glühkerzenstecker Ersatzteil</t>
  </si>
  <si>
    <t xml:space="preserve">109480</t>
  </si>
  <si>
    <t xml:space="preserve">Sicherheitsventil</t>
  </si>
  <si>
    <t xml:space="preserve">103488</t>
  </si>
  <si>
    <t xml:space="preserve">005499</t>
  </si>
  <si>
    <t xml:space="preserve">105351</t>
  </si>
  <si>
    <t xml:space="preserve">106425</t>
  </si>
  <si>
    <t xml:space="preserve">Kolbenring SPGr10</t>
  </si>
  <si>
    <t xml:space="preserve">005693</t>
  </si>
  <si>
    <t xml:space="preserve">Sicherheitsrelais</t>
  </si>
  <si>
    <t xml:space="preserve">110642</t>
  </si>
  <si>
    <t xml:space="preserve">Aufschraubadapter Edelstahl</t>
  </si>
  <si>
    <t xml:space="preserve">109170</t>
  </si>
  <si>
    <t xml:space="preserve">Bündelanschlussschlauch Brenngas</t>
  </si>
  <si>
    <t xml:space="preserve">109169</t>
  </si>
  <si>
    <t xml:space="preserve">Bündelanschlussschlauch Stickstoff</t>
  </si>
  <si>
    <t xml:space="preserve">109695</t>
  </si>
  <si>
    <t xml:space="preserve">Ansaugfilter zu Spülluftmodul</t>
  </si>
  <si>
    <t xml:space="preserve">001069</t>
  </si>
  <si>
    <t xml:space="preserve">VCI-Folie</t>
  </si>
  <si>
    <t xml:space="preserve">100383</t>
  </si>
  <si>
    <t xml:space="preserve">002063</t>
  </si>
  <si>
    <t xml:space="preserve">Sichtlagerkasten klein</t>
  </si>
  <si>
    <t xml:space="preserve">106956</t>
  </si>
  <si>
    <t xml:space="preserve">Schnittstellenmodul für PROFIBUS DP</t>
  </si>
  <si>
    <t xml:space="preserve">005644</t>
  </si>
  <si>
    <t xml:space="preserve">005359</t>
  </si>
  <si>
    <t xml:space="preserve">Abzweigdose</t>
  </si>
  <si>
    <t xml:space="preserve">100628</t>
  </si>
  <si>
    <t xml:space="preserve">106889</t>
  </si>
  <si>
    <t xml:space="preserve">PTFE-Schlauch DN6</t>
  </si>
  <si>
    <t xml:space="preserve">103254</t>
  </si>
  <si>
    <t xml:space="preserve">Abpressplatte</t>
  </si>
  <si>
    <t xml:space="preserve">001044</t>
  </si>
  <si>
    <t xml:space="preserve">108084</t>
  </si>
  <si>
    <t xml:space="preserve">Innenbox SPGr16 SVC1 2/3</t>
  </si>
  <si>
    <t xml:space="preserve">103766</t>
  </si>
  <si>
    <t xml:space="preserve">100372</t>
  </si>
  <si>
    <t xml:space="preserve">107164</t>
  </si>
  <si>
    <t xml:space="preserve">Hochdruck-Ganzmetallschlauch Luft</t>
  </si>
  <si>
    <t xml:space="preserve">100039</t>
  </si>
  <si>
    <t xml:space="preserve">002076</t>
  </si>
  <si>
    <t xml:space="preserve">103606</t>
  </si>
  <si>
    <t xml:space="preserve">Hochdruck-Ganzmetallschlauch</t>
  </si>
  <si>
    <t xml:space="preserve">107135</t>
  </si>
  <si>
    <t xml:space="preserve">Führungsstange</t>
  </si>
  <si>
    <t xml:space="preserve">107298</t>
  </si>
  <si>
    <t xml:space="preserve">Vorrichtung zu Ventilmontage</t>
  </si>
  <si>
    <t xml:space="preserve">005658</t>
  </si>
  <si>
    <t xml:space="preserve">Servicemagnet</t>
  </si>
  <si>
    <t xml:space="preserve">101769</t>
  </si>
  <si>
    <t xml:space="preserve">106895</t>
  </si>
  <si>
    <t xml:space="preserve">SPS Zentraleinheit</t>
  </si>
  <si>
    <t xml:space="preserve">109163</t>
  </si>
  <si>
    <t xml:space="preserve">108865</t>
  </si>
  <si>
    <t xml:space="preserve">Aufrüst Litzenset 1. SLM</t>
  </si>
  <si>
    <t xml:space="preserve">106953</t>
  </si>
  <si>
    <t xml:space="preserve">Digitales Relaismodul Ausgang</t>
  </si>
  <si>
    <t xml:space="preserve">102490</t>
  </si>
  <si>
    <t xml:space="preserve">002043</t>
  </si>
  <si>
    <t xml:space="preserve">Holzfaltkiste Premium</t>
  </si>
  <si>
    <t xml:space="preserve">108083</t>
  </si>
  <si>
    <t xml:space="preserve">Innenbox SPGr16 SVC1 1/3</t>
  </si>
  <si>
    <t xml:space="preserve">109156</t>
  </si>
  <si>
    <t xml:space="preserve">106137</t>
  </si>
  <si>
    <t xml:space="preserve">109787</t>
  </si>
  <si>
    <t xml:space="preserve">108046</t>
  </si>
  <si>
    <t xml:space="preserve">106704</t>
  </si>
  <si>
    <t xml:space="preserve">109074</t>
  </si>
  <si>
    <t xml:space="preserve">106934</t>
  </si>
  <si>
    <t xml:space="preserve">Sicherheitssteuerung</t>
  </si>
  <si>
    <t xml:space="preserve">005423</t>
  </si>
  <si>
    <t xml:space="preserve">005440</t>
  </si>
  <si>
    <t xml:space="preserve">Bis auf 10stk?</t>
  </si>
  <si>
    <t xml:space="preserve">109364</t>
  </si>
  <si>
    <t xml:space="preserve">100403</t>
  </si>
  <si>
    <t xml:space="preserve">Ventilblock</t>
  </si>
  <si>
    <t xml:space="preserve">005309</t>
  </si>
  <si>
    <t xml:space="preserve">Kolbenabzug komplett</t>
  </si>
  <si>
    <t xml:space="preserve">101159</t>
  </si>
  <si>
    <t xml:space="preserve">108077</t>
  </si>
  <si>
    <t xml:space="preserve">Innenbox SPGr10 SVC1 2/3</t>
  </si>
  <si>
    <t xml:space="preserve">108076</t>
  </si>
  <si>
    <t xml:space="preserve">Innenbox SPGr10 SVC1 1/3</t>
  </si>
  <si>
    <t xml:space="preserve">106973</t>
  </si>
  <si>
    <t xml:space="preserve">108088</t>
  </si>
  <si>
    <t xml:space="preserve">Innenbox SPGr16 SVC2 3/4</t>
  </si>
  <si>
    <t xml:space="preserve">108430</t>
  </si>
  <si>
    <t xml:space="preserve">Koffer Servicetechniker Set SPGr</t>
  </si>
  <si>
    <t xml:space="preserve">108087</t>
  </si>
  <si>
    <t xml:space="preserve">Innenbox SPGr16 SVC2 2/4</t>
  </si>
  <si>
    <t xml:space="preserve">106426</t>
  </si>
  <si>
    <t xml:space="preserve">108074</t>
  </si>
  <si>
    <t xml:space="preserve">Palettenbox SPGr16 SVC1</t>
  </si>
  <si>
    <t xml:space="preserve">109199</t>
  </si>
  <si>
    <t xml:space="preserve">109173</t>
  </si>
  <si>
    <t xml:space="preserve">106994</t>
  </si>
  <si>
    <t xml:space="preserve">B&amp;R</t>
  </si>
  <si>
    <t xml:space="preserve">106962</t>
  </si>
  <si>
    <t xml:space="preserve">Sicheres digtales Ausgangsmodul</t>
  </si>
  <si>
    <t xml:space="preserve">109788</t>
  </si>
  <si>
    <t xml:space="preserve">109155</t>
  </si>
  <si>
    <t xml:space="preserve">106939</t>
  </si>
  <si>
    <t xml:space="preserve">109154</t>
  </si>
  <si>
    <t xml:space="preserve">Drehabsperr-Ventil</t>
  </si>
  <si>
    <t xml:space="preserve">005279</t>
  </si>
  <si>
    <t xml:space="preserve">Schallsensor</t>
  </si>
  <si>
    <t xml:space="preserve">Überbestand; Braucht es diesen Artikel ?</t>
  </si>
  <si>
    <t xml:space="preserve">108073</t>
  </si>
  <si>
    <t xml:space="preserve">Palettenbox SPGr10 SVC2</t>
  </si>
  <si>
    <t xml:space="preserve">108119</t>
  </si>
  <si>
    <t xml:space="preserve">HMI GT2505-VTBD</t>
  </si>
  <si>
    <t xml:space="preserve">107251</t>
  </si>
  <si>
    <t xml:space="preserve">108089</t>
  </si>
  <si>
    <t xml:space="preserve">Innenbox SPGr16 SVC2 4/4</t>
  </si>
  <si>
    <t xml:space="preserve">100788</t>
  </si>
  <si>
    <t xml:space="preserve">Pilot Magnetventil CH4 komplett</t>
  </si>
  <si>
    <t xml:space="preserve">107367</t>
  </si>
  <si>
    <t xml:space="preserve">109328</t>
  </si>
  <si>
    <t xml:space="preserve">108849</t>
  </si>
  <si>
    <t xml:space="preserve">005084</t>
  </si>
  <si>
    <t xml:space="preserve">108220</t>
  </si>
  <si>
    <t xml:space="preserve">Zwischenflansch SPGr10</t>
  </si>
  <si>
    <t xml:space="preserve">103919</t>
  </si>
  <si>
    <t xml:space="preserve">109158</t>
  </si>
  <si>
    <t xml:space="preserve">Sicherheitsventil 40 bar</t>
  </si>
  <si>
    <t xml:space="preserve">110378</t>
  </si>
  <si>
    <t xml:space="preserve">OC-107710</t>
  </si>
  <si>
    <t xml:space="preserve">001126</t>
  </si>
  <si>
    <t xml:space="preserve">Holzkiste Steuerschrank klein</t>
  </si>
  <si>
    <t xml:space="preserve">107110</t>
  </si>
  <si>
    <t xml:space="preserve">Montageschlüssel Rückschlagventile</t>
  </si>
  <si>
    <t xml:space="preserve">101624</t>
  </si>
  <si>
    <t xml:space="preserve">Grundplatte zu Aufhängung</t>
  </si>
  <si>
    <t xml:space="preserve">100348</t>
  </si>
  <si>
    <t xml:space="preserve">Filterelement</t>
  </si>
  <si>
    <t xml:space="preserve">104221</t>
  </si>
  <si>
    <t xml:space="preserve">Kabel Set EG101 - VP auf Gestell</t>
  </si>
  <si>
    <t xml:space="preserve">005583</t>
  </si>
  <si>
    <t xml:space="preserve">Sicherungsdraht</t>
  </si>
  <si>
    <t xml:space="preserve">110379</t>
  </si>
  <si>
    <t xml:space="preserve">Blindmodul</t>
  </si>
  <si>
    <t xml:space="preserve">OC-107047</t>
  </si>
  <si>
    <t xml:space="preserve">Konstanthänger komplett</t>
  </si>
  <si>
    <t xml:space="preserve">108086</t>
  </si>
  <si>
    <t xml:space="preserve">Innenbox SPGr16 SVC2 1/4</t>
  </si>
  <si>
    <t xml:space="preserve">108497</t>
  </si>
  <si>
    <t xml:space="preserve">Etikette KKS EG10-Serie/SPGr</t>
  </si>
  <si>
    <t xml:space="preserve">BEI MARIO</t>
  </si>
  <si>
    <t xml:space="preserve">109738</t>
  </si>
  <si>
    <t xml:space="preserve">108697</t>
  </si>
  <si>
    <t xml:space="preserve">Ventilkopf</t>
  </si>
  <si>
    <t xml:space="preserve">109168</t>
  </si>
  <si>
    <t xml:space="preserve">Bündelanschlussschlauch Druckluft</t>
  </si>
  <si>
    <t xml:space="preserve">106997</t>
  </si>
  <si>
    <t xml:space="preserve">Halbleiterschütz 1-phasig</t>
  </si>
  <si>
    <t xml:space="preserve">101231</t>
  </si>
  <si>
    <t xml:space="preserve">005698</t>
  </si>
  <si>
    <t xml:space="preserve">Stromversorgung</t>
  </si>
  <si>
    <t xml:space="preserve">107648</t>
  </si>
  <si>
    <t xml:space="preserve">Reserve Save Key</t>
  </si>
  <si>
    <t xml:space="preserve">103247</t>
  </si>
  <si>
    <t xml:space="preserve">Abpressdeckel</t>
  </si>
  <si>
    <t xml:space="preserve">104215</t>
  </si>
  <si>
    <t xml:space="preserve">105224</t>
  </si>
  <si>
    <t xml:space="preserve">108488</t>
  </si>
  <si>
    <t xml:space="preserve">106961</t>
  </si>
  <si>
    <t xml:space="preserve">109323</t>
  </si>
  <si>
    <t xml:space="preserve">Set bedruckte Einlagen SPGr16 SVC 1</t>
  </si>
  <si>
    <t xml:space="preserve">108357</t>
  </si>
  <si>
    <t xml:space="preserve">OC-107737</t>
  </si>
  <si>
    <t xml:space="preserve">005230</t>
  </si>
  <si>
    <t xml:space="preserve">Sicherheitsventil 40bar, CH4</t>
  </si>
  <si>
    <t xml:space="preserve">106964</t>
  </si>
  <si>
    <t xml:space="preserve">005219</t>
  </si>
  <si>
    <t xml:space="preserve">Sicherheitsventil 40bar, O2</t>
  </si>
  <si>
    <t xml:space="preserve">103752</t>
  </si>
  <si>
    <t xml:space="preserve">107684</t>
  </si>
  <si>
    <t xml:space="preserve">OC-106572</t>
  </si>
  <si>
    <t xml:space="preserve">103761</t>
  </si>
  <si>
    <t xml:space="preserve">005128</t>
  </si>
  <si>
    <t xml:space="preserve">108045</t>
  </si>
  <si>
    <t xml:space="preserve">106377</t>
  </si>
  <si>
    <t xml:space="preserve">110187</t>
  </si>
  <si>
    <t xml:space="preserve">005319</t>
  </si>
  <si>
    <t xml:space="preserve">108075</t>
  </si>
  <si>
    <t xml:space="preserve">Palettenbox SPGr16 SVC2</t>
  </si>
  <si>
    <t xml:space="preserve">109321</t>
  </si>
  <si>
    <t xml:space="preserve">Set bedruckte Einlagen SPGr10 SVC1</t>
  </si>
  <si>
    <t xml:space="preserve">106795</t>
  </si>
  <si>
    <t xml:space="preserve">001205</t>
  </si>
  <si>
    <t xml:space="preserve">Holzkiste Luftkompressor Luft &amp; See</t>
  </si>
  <si>
    <t xml:space="preserve">106946</t>
  </si>
  <si>
    <t xml:space="preserve">101454</t>
  </si>
  <si>
    <t xml:space="preserve">106864</t>
  </si>
  <si>
    <t xml:space="preserve">Site Manager 3539</t>
  </si>
  <si>
    <t xml:space="preserve">100398</t>
  </si>
  <si>
    <t xml:space="preserve">Stickstoffblock</t>
  </si>
  <si>
    <t xml:space="preserve">108877</t>
  </si>
  <si>
    <t xml:space="preserve">101452</t>
  </si>
  <si>
    <t xml:space="preserve">002044</t>
  </si>
  <si>
    <t xml:space="preserve">108821</t>
  </si>
  <si>
    <t xml:space="preserve">Klemmhalter</t>
  </si>
  <si>
    <t xml:space="preserve">100354</t>
  </si>
  <si>
    <t xml:space="preserve">105443</t>
  </si>
  <si>
    <t xml:space="preserve">109324</t>
  </si>
  <si>
    <t xml:space="preserve">Set bedruckte Einlagen SPGr16 SVC 2</t>
  </si>
  <si>
    <t xml:space="preserve">109322</t>
  </si>
  <si>
    <t xml:space="preserve">Set bedruckte Einlagen SPGr10 SVC 2</t>
  </si>
  <si>
    <t xml:space="preserve">OC-100396</t>
  </si>
  <si>
    <t xml:space="preserve">Ventilpanel komplett, Grundpanel</t>
  </si>
  <si>
    <t xml:space="preserve">110023</t>
  </si>
  <si>
    <t xml:space="preserve">Kugelschreiber</t>
  </si>
  <si>
    <t xml:space="preserve">100787</t>
  </si>
  <si>
    <t xml:space="preserve">Pilot Magnetventil O2 komplett</t>
  </si>
  <si>
    <t xml:space="preserve">005118</t>
  </si>
  <si>
    <t xml:space="preserve">Rundstrahlantenne</t>
  </si>
  <si>
    <t xml:space="preserve">107410</t>
  </si>
  <si>
    <t xml:space="preserve">105980</t>
  </si>
  <si>
    <t xml:space="preserve">Gasdruckspeicher Gehäuse SPGr16</t>
  </si>
  <si>
    <t xml:space="preserve">001204</t>
  </si>
  <si>
    <t xml:space="preserve">Holzkiste SPGr16 + SPC800 Luft &amp; See</t>
  </si>
  <si>
    <t xml:space="preserve">107137</t>
  </si>
  <si>
    <t xml:space="preserve">Servicepaket AC260-SVC12</t>
  </si>
  <si>
    <t xml:space="preserve">106373</t>
  </si>
  <si>
    <t xml:space="preserve">108507</t>
  </si>
  <si>
    <t xml:space="preserve">HMI GT2708-VTBD</t>
  </si>
  <si>
    <t xml:space="preserve">005233</t>
  </si>
  <si>
    <t xml:space="preserve">Secomea SiteManager</t>
  </si>
  <si>
    <t xml:space="preserve">106706</t>
  </si>
  <si>
    <t xml:space="preserve">100156</t>
  </si>
  <si>
    <t xml:space="preserve">Glühkerze</t>
  </si>
  <si>
    <t xml:space="preserve">109042</t>
  </si>
  <si>
    <t xml:space="preserve">Sensorkabel mit Tüllengehäuse</t>
  </si>
  <si>
    <t xml:space="preserve">100132</t>
  </si>
  <si>
    <t xml:space="preserve">Deckel Gasdruckspeicher</t>
  </si>
  <si>
    <t xml:space="preserve">OC-106435</t>
  </si>
  <si>
    <t xml:space="preserve">Federkonsole komplett</t>
  </si>
  <si>
    <t xml:space="preserve">101451</t>
  </si>
  <si>
    <t xml:space="preserve">105250</t>
  </si>
  <si>
    <t xml:space="preserve">106952</t>
  </si>
  <si>
    <t xml:space="preserve">Digitales I/O-Modul Ausgang</t>
  </si>
  <si>
    <t xml:space="preserve">101450</t>
  </si>
  <si>
    <t xml:space="preserve">106965</t>
  </si>
  <si>
    <t xml:space="preserve">103490</t>
  </si>
  <si>
    <t xml:space="preserve">005695</t>
  </si>
  <si>
    <t xml:space="preserve">107989</t>
  </si>
  <si>
    <t xml:space="preserve">100356</t>
  </si>
  <si>
    <t xml:space="preserve">110021</t>
  </si>
  <si>
    <t xml:space="preserve">107091</t>
  </si>
  <si>
    <t xml:space="preserve">106176</t>
  </si>
  <si>
    <t xml:space="preserve">Ventilsitzgehäuse SPGr10</t>
  </si>
  <si>
    <t xml:space="preserve">105317</t>
  </si>
  <si>
    <t xml:space="preserve">106958</t>
  </si>
  <si>
    <t xml:space="preserve">Einspeisemodul für Bus-Leiterplatte</t>
  </si>
  <si>
    <t xml:space="preserve">107401</t>
  </si>
  <si>
    <t xml:space="preserve">108741</t>
  </si>
  <si>
    <t xml:space="preserve">108670</t>
  </si>
  <si>
    <t xml:space="preserve">103382</t>
  </si>
  <si>
    <t xml:space="preserve">107992</t>
  </si>
  <si>
    <t xml:space="preserve">109171</t>
  </si>
  <si>
    <t xml:space="preserve">OC-105719</t>
  </si>
  <si>
    <t xml:space="preserve">107710</t>
  </si>
  <si>
    <t xml:space="preserve">Austrittsdüse SPGr10</t>
  </si>
  <si>
    <t xml:space="preserve">108475</t>
  </si>
  <si>
    <t xml:space="preserve">106948</t>
  </si>
  <si>
    <t xml:space="preserve">108798</t>
  </si>
  <si>
    <t xml:space="preserve">100118</t>
  </si>
  <si>
    <t xml:space="preserve">Ventilsitzeinsatz D40</t>
  </si>
  <si>
    <t xml:space="preserve">107685</t>
  </si>
  <si>
    <t xml:space="preserve">005205</t>
  </si>
  <si>
    <t xml:space="preserve">Druckregelstrecke N2</t>
  </si>
  <si>
    <t xml:space="preserve">108068</t>
  </si>
  <si>
    <t xml:space="preserve">Sicherheitsventil letzte Stufe AC260</t>
  </si>
  <si>
    <t xml:space="preserve">005052</t>
  </si>
  <si>
    <t xml:space="preserve">106705</t>
  </si>
  <si>
    <t xml:space="preserve">107825</t>
  </si>
  <si>
    <t xml:space="preserve">Standartdüse</t>
  </si>
  <si>
    <t xml:space="preserve">100353</t>
  </si>
  <si>
    <t xml:space="preserve">101249</t>
  </si>
  <si>
    <t xml:space="preserve">01C</t>
  </si>
  <si>
    <t xml:space="preserve">107402</t>
  </si>
  <si>
    <t xml:space="preserve">Ventilkabel Brenngas</t>
  </si>
  <si>
    <t xml:space="preserve">106943</t>
  </si>
  <si>
    <t xml:space="preserve">106940</t>
  </si>
  <si>
    <t xml:space="preserve">Bus Controller</t>
  </si>
  <si>
    <t xml:space="preserve">101169</t>
  </si>
  <si>
    <t xml:space="preserve">106951</t>
  </si>
  <si>
    <t xml:space="preserve">Digitales I/O-Modul Eingang</t>
  </si>
  <si>
    <t xml:space="preserve">109689</t>
  </si>
  <si>
    <t xml:space="preserve">OC-107514</t>
  </si>
  <si>
    <t xml:space="preserve">108072</t>
  </si>
  <si>
    <t xml:space="preserve">Palettenbox SPGr10 SVC1</t>
  </si>
  <si>
    <t xml:space="preserve">107136</t>
  </si>
  <si>
    <t xml:space="preserve">Servicepaket AC260-SVC11</t>
  </si>
  <si>
    <t xml:space="preserve">107016</t>
  </si>
  <si>
    <t xml:space="preserve">Speichereinheit SU80-2</t>
  </si>
  <si>
    <t xml:space="preserve">005711</t>
  </si>
  <si>
    <t xml:space="preserve">Temperaturmessumformer</t>
  </si>
  <si>
    <t xml:space="preserve">100151</t>
  </si>
  <si>
    <t xml:space="preserve">Ventilgehäuse</t>
  </si>
  <si>
    <t xml:space="preserve">101428</t>
  </si>
  <si>
    <t xml:space="preserve">Rohr Anschweissstück</t>
  </si>
  <si>
    <t xml:space="preserve">100050</t>
  </si>
  <si>
    <t xml:space="preserve">Deckel zu Dosierzylinder</t>
  </si>
  <si>
    <t xml:space="preserve">OC-107560</t>
  </si>
  <si>
    <t xml:space="preserve">106729</t>
  </si>
  <si>
    <t xml:space="preserve">100317</t>
  </si>
  <si>
    <t xml:space="preserve">106985</t>
  </si>
  <si>
    <t xml:space="preserve">100277</t>
  </si>
  <si>
    <t xml:space="preserve">109754</t>
  </si>
  <si>
    <t xml:space="preserve">101448</t>
  </si>
  <si>
    <t xml:space="preserve">100888</t>
  </si>
  <si>
    <t xml:space="preserve">Rückschlagventil-Patrone</t>
  </si>
  <si>
    <t xml:space="preserve">005089</t>
  </si>
  <si>
    <t xml:space="preserve">Bedienpanel MMI Touch</t>
  </si>
  <si>
    <t xml:space="preserve">OC-106804</t>
  </si>
  <si>
    <t xml:space="preserve">107093</t>
  </si>
  <si>
    <t xml:space="preserve">Werkzeugkiste (Behälter)</t>
  </si>
  <si>
    <t xml:space="preserve">100343</t>
  </si>
  <si>
    <t xml:space="preserve">Kugelhahn CH4/N2</t>
  </si>
  <si>
    <t xml:space="preserve">107400</t>
  </si>
  <si>
    <t xml:space="preserve">106725</t>
  </si>
  <si>
    <t xml:space="preserve">107951</t>
  </si>
  <si>
    <t xml:space="preserve">Verpackung Servicepaket SPGr16 SVC2</t>
  </si>
  <si>
    <t xml:space="preserve">106960</t>
  </si>
  <si>
    <t xml:space="preserve">109095</t>
  </si>
  <si>
    <t xml:space="preserve">Zentrierscheibe</t>
  </si>
  <si>
    <t xml:space="preserve">005206</t>
  </si>
  <si>
    <t xml:space="preserve">Entspannungsstation</t>
  </si>
  <si>
    <t xml:space="preserve">106954</t>
  </si>
  <si>
    <t xml:space="preserve">Digitales Modul IO-Link</t>
  </si>
  <si>
    <t xml:space="preserve">107065</t>
  </si>
  <si>
    <t xml:space="preserve">Rohr Anschweissstück DN200</t>
  </si>
  <si>
    <t xml:space="preserve">107764</t>
  </si>
  <si>
    <t xml:space="preserve">105714</t>
  </si>
  <si>
    <t xml:space="preserve">Zündplatte</t>
  </si>
  <si>
    <t xml:space="preserve">102305</t>
  </si>
  <si>
    <t xml:space="preserve">Mischgehäuse TwinL</t>
  </si>
  <si>
    <t xml:space="preserve">005349</t>
  </si>
  <si>
    <t xml:space="preserve">107999</t>
  </si>
  <si>
    <t xml:space="preserve">106938</t>
  </si>
  <si>
    <t xml:space="preserve">Analoges Ausgangsmodul</t>
  </si>
  <si>
    <t xml:space="preserve">109326</t>
  </si>
  <si>
    <t xml:space="preserve">107862</t>
  </si>
  <si>
    <t xml:space="preserve">100054</t>
  </si>
  <si>
    <t xml:space="preserve">Kolbenring</t>
  </si>
  <si>
    <t xml:space="preserve">105266</t>
  </si>
  <si>
    <t xml:space="preserve">Zündplatte TwinL, komplett</t>
  </si>
  <si>
    <t xml:space="preserve">107640</t>
  </si>
  <si>
    <t xml:space="preserve">OC-100444</t>
  </si>
  <si>
    <t xml:space="preserve">Shock Pulse Generator EG10XL komplett</t>
  </si>
  <si>
    <t xml:space="preserve">107516</t>
  </si>
  <si>
    <t xml:space="preserve">101617</t>
  </si>
  <si>
    <t xml:space="preserve">Transfermagnetventil O2 komplett</t>
  </si>
  <si>
    <t xml:space="preserve">100120</t>
  </si>
  <si>
    <t xml:space="preserve">Flansch Ventilsitz</t>
  </si>
  <si>
    <t xml:space="preserve">OC-105718</t>
  </si>
  <si>
    <t xml:space="preserve">SPC800 Base</t>
  </si>
  <si>
    <t xml:space="preserve">106422</t>
  </si>
  <si>
    <t xml:space="preserve">Kolbenring SPGr16</t>
  </si>
  <si>
    <t xml:space="preserve">109320</t>
  </si>
  <si>
    <t xml:space="preserve">108759</t>
  </si>
  <si>
    <t xml:space="preserve">005087</t>
  </si>
  <si>
    <t xml:space="preserve">110392</t>
  </si>
  <si>
    <t xml:space="preserve">Litzensatz - Aufrüstung SPC800 V3.0.0</t>
  </si>
  <si>
    <t xml:space="preserve">105985</t>
  </si>
  <si>
    <t xml:space="preserve">Ventilsitzadapter SPGr16</t>
  </si>
  <si>
    <t xml:space="preserve">109292</t>
  </si>
  <si>
    <t xml:space="preserve">Elektroschema - Nacharbeit</t>
  </si>
  <si>
    <t xml:space="preserve">106950</t>
  </si>
  <si>
    <t xml:space="preserve">Temperatur Eingangsmodul</t>
  </si>
  <si>
    <t xml:space="preserve">106936</t>
  </si>
  <si>
    <t xml:space="preserve">Power Panel T50</t>
  </si>
  <si>
    <t xml:space="preserve">108168</t>
  </si>
  <si>
    <t xml:space="preserve">105962</t>
  </si>
  <si>
    <t xml:space="preserve">109737</t>
  </si>
  <si>
    <t xml:space="preserve">Druckregelstrecke SPGr Luft</t>
  </si>
  <si>
    <t xml:space="preserve">109758</t>
  </si>
  <si>
    <t xml:space="preserve">107950</t>
  </si>
  <si>
    <t xml:space="preserve">Verpackung Servicepaket SPGr16 SVC1</t>
  </si>
  <si>
    <t xml:space="preserve">100055</t>
  </si>
  <si>
    <t xml:space="preserve">106423</t>
  </si>
  <si>
    <t xml:space="preserve">108800</t>
  </si>
  <si>
    <t xml:space="preserve">106937</t>
  </si>
  <si>
    <t xml:space="preserve">Analoges Eingangsmodul</t>
  </si>
  <si>
    <t xml:space="preserve">105305</t>
  </si>
  <si>
    <t xml:space="preserve">101828</t>
  </si>
  <si>
    <t xml:space="preserve">OC-100168</t>
  </si>
  <si>
    <t xml:space="preserve">Shock Pulse Generator TwinL komplett</t>
  </si>
  <si>
    <t xml:space="preserve">106888</t>
  </si>
  <si>
    <t xml:space="preserve">107949</t>
  </si>
  <si>
    <t xml:space="preserve">Verpackung Servicepaket SPGr10 SVC2</t>
  </si>
  <si>
    <t xml:space="preserve">109089</t>
  </si>
  <si>
    <t xml:space="preserve">Gasdruckspeicher Flansch SPGr16</t>
  </si>
  <si>
    <t xml:space="preserve">105315</t>
  </si>
  <si>
    <t xml:space="preserve">Gasdruckspeicher Gehäuse SPGr10</t>
  </si>
  <si>
    <t xml:space="preserve">107870</t>
  </si>
  <si>
    <t xml:space="preserve">Ventilsitz SPGr10</t>
  </si>
  <si>
    <t xml:space="preserve">103764</t>
  </si>
  <si>
    <t xml:space="preserve">OC-106183</t>
  </si>
  <si>
    <t xml:space="preserve">Shock Pulse Generator SPGr16 komplett</t>
  </si>
  <si>
    <t xml:space="preserve">106075</t>
  </si>
  <si>
    <t xml:space="preserve">Deckel zu Verbrennungszylinder</t>
  </si>
  <si>
    <t xml:space="preserve">109146</t>
  </si>
  <si>
    <t xml:space="preserve">Druckregelstrecke Stickstoff</t>
  </si>
  <si>
    <t xml:space="preserve">110333</t>
  </si>
  <si>
    <t xml:space="preserve">106076</t>
  </si>
  <si>
    <t xml:space="preserve">Verbrennungszylinder EG10XL</t>
  </si>
  <si>
    <t xml:space="preserve">106798</t>
  </si>
  <si>
    <t xml:space="preserve">Druckregelstrecke Luft</t>
  </si>
  <si>
    <t xml:space="preserve">109094</t>
  </si>
  <si>
    <t xml:space="preserve">108329</t>
  </si>
  <si>
    <t xml:space="preserve">Kugelhahn Brenngas Ventilpanel</t>
  </si>
  <si>
    <t xml:space="preserve">106590</t>
  </si>
  <si>
    <t xml:space="preserve">107821</t>
  </si>
  <si>
    <t xml:space="preserve">106579</t>
  </si>
  <si>
    <t xml:space="preserve">100058</t>
  </si>
  <si>
    <t xml:space="preserve">Kolben</t>
  </si>
  <si>
    <t xml:space="preserve">107568</t>
  </si>
  <si>
    <t xml:space="preserve">106931</t>
  </si>
  <si>
    <t xml:space="preserve">106963</t>
  </si>
  <si>
    <t xml:space="preserve">107192</t>
  </si>
  <si>
    <t xml:space="preserve">Servicepaket SPGr10 SVC2</t>
  </si>
  <si>
    <t xml:space="preserve">109145</t>
  </si>
  <si>
    <t xml:space="preserve">Druckregelstrecke Brenngas</t>
  </si>
  <si>
    <t xml:space="preserve">108491</t>
  </si>
  <si>
    <t xml:space="preserve">106239</t>
  </si>
  <si>
    <t xml:space="preserve">Verbrennungszylinder EG10L</t>
  </si>
  <si>
    <t xml:space="preserve">109088</t>
  </si>
  <si>
    <t xml:space="preserve">Gasdruckspeicher Flansch SPGr10</t>
  </si>
  <si>
    <t xml:space="preserve">108624</t>
  </si>
  <si>
    <t xml:space="preserve">107948</t>
  </si>
  <si>
    <t xml:space="preserve">Verpackung Servicepaket SPGr10 SVC1</t>
  </si>
  <si>
    <t xml:space="preserve">107817</t>
  </si>
  <si>
    <t xml:space="preserve">107194</t>
  </si>
  <si>
    <t xml:space="preserve">Servicepaket SPGr16 SVC2</t>
  </si>
  <si>
    <t xml:space="preserve">109194</t>
  </si>
  <si>
    <t xml:space="preserve">101245</t>
  </si>
  <si>
    <t xml:space="preserve">108494</t>
  </si>
  <si>
    <t xml:space="preserve">110377</t>
  </si>
  <si>
    <t xml:space="preserve">Sicheres Strom-Eingangsmodul</t>
  </si>
  <si>
    <t xml:space="preserve">108495</t>
  </si>
  <si>
    <t xml:space="preserve">106819</t>
  </si>
  <si>
    <t xml:space="preserve">108496</t>
  </si>
  <si>
    <t xml:space="preserve">005301</t>
  </si>
  <si>
    <t xml:space="preserve">nur im Liftbericht (nicht im Kennzahlen-Auszug)</t>
  </si>
  <si>
    <t xml:space="preserve">103683</t>
  </si>
  <si>
    <t xml:space="preserve">Kranbahn-Profil (PB)</t>
  </si>
  <si>
    <t xml:space="preserve">106582</t>
  </si>
  <si>
    <t xml:space="preserve">nur im Liftbericht (nicht im Kennzahlen-Auszug); grosser Artikel &amp; nicht im KTL</t>
  </si>
  <si>
    <t xml:space="preserve">107412</t>
  </si>
  <si>
    <t xml:space="preserve">107414</t>
  </si>
  <si>
    <t xml:space="preserve">108768</t>
  </si>
  <si>
    <t xml:space="preserve">NEU</t>
  </si>
  <si>
    <t xml:space="preserve">Parameter</t>
  </si>
  <si>
    <t xml:space="preserve">v2-tablare</t>
  </si>
  <si>
    <t xml:space="preserve">Gelbe Felder dürfen geändert werden. Alles andere rechnet automatisch.</t>
  </si>
  <si>
    <t xml:space="preserve">Lagerlifte</t>
  </si>
  <si>
    <t xml:space="preserve">Lift</t>
  </si>
  <si>
    <t xml:space="preserve">Name</t>
  </si>
  <si>
    <t xml:space="preserve">Typ</t>
  </si>
  <si>
    <t xml:space="preserve">Anzahl Tablare</t>
  </si>
  <si>
    <t xml:space="preserve">Tablar Breite mm</t>
  </si>
  <si>
    <t xml:space="preserve">Tablar Tiefe mm</t>
  </si>
  <si>
    <t xml:space="preserve">Lifthöhe mm</t>
  </si>
  <si>
    <t xml:space="preserve">max. Ladehöhe je Tablar mm (optional)</t>
  </si>
  <si>
    <t xml:space="preserve">Tablarfläche m²</t>
  </si>
  <si>
    <t xml:space="preserve">Kapazität m²</t>
  </si>
  <si>
    <t xml:space="preserve">Belegung heute gemessen % (leer = schätzen)</t>
  </si>
  <si>
    <t xml:space="preserve">ausfahrbar, schwere Teile</t>
  </si>
  <si>
    <t xml:space="preserve">ausfahrbar, mittelschwere Teile</t>
  </si>
  <si>
    <t xml:space="preserve">KTL + PAL (mit Lift 3)</t>
  </si>
  <si>
    <t xml:space="preserve">nicht ausfahrbar, Kleinteile</t>
  </si>
  <si>
    <t xml:space="preserve">KTL + PAL (mit Lift 2)</t>
  </si>
  <si>
    <t xml:space="preserve">Ampel Auslastung</t>
  </si>
  <si>
    <t xml:space="preserve">Kontrolle Datenstand</t>
  </si>
  <si>
    <t xml:space="preserve">grün unter</t>
  </si>
  <si>
    <t xml:space="preserve">dazwischen orange</t>
  </si>
  <si>
    <t xml:space="preserve">H4 «Total Bestandswert» im Export (= SUM(H7:H1440))</t>
  </si>
  <si>
    <t xml:space="preserve">rot über</t>
  </si>
  <si>
    <t xml:space="preserve">Summe Bestandswert Export, alle Zeilen (inkl. negative)</t>
  </si>
  <si>
    <t xml:space="preserve">Summe Bestandswert Export, nur Artikel mit Bestand &gt; 0</t>
  </si>
  <si>
    <t xml:space="preserve">Verbrauchszeitraum</t>
  </si>
  <si>
    <t xml:space="preserve">Ist-Wert im Tool (Ist-Bestand × Preis)</t>
  </si>
  <si>
    <t xml:space="preserve">Verbrauch von</t>
  </si>
  <si>
    <t xml:space="preserve">Export-Filter «Auswertung Verbrauch»!B2 = 2025</t>
  </si>
  <si>
    <t xml:space="preserve">Artikel mit negativer Bestandsmenge im Export</t>
  </si>
  <si>
    <t xml:space="preserve">Verbrauch bis</t>
  </si>
  <si>
    <t xml:space="preserve">Artikel im Tool (ohne neue)</t>
  </si>
  <si>
    <t xml:space="preserve">Anzahl Monate</t>
  </si>
  <si>
    <t xml:space="preserve">Artikel im Liftbericht / davon nicht im Kennzahlen-Auszug</t>
  </si>
  <si>
    <t xml:space="preserve">Faktor auf 12 Monate</t>
  </si>
  <si>
    <t xml:space="preserve">Ist-Belegung Lift 1 lt. Tool (Kontrolle gegen L5)</t>
  </si>
  <si>
    <t xml:space="preserve">Ist-Bestand aus</t>
  </si>
  <si>
    <t xml:space="preserve">Export (Bestandsmenge)</t>
  </si>
  <si>
    <t xml:space="preserve">Export (Bestandsmenge) = Spalte G wie geliefert, negativ = 0.  «Jahresanfang 2025 + Export» = Spalte T + Spalte G (falls G die Bewegung seit 01.01.2025 ist).</t>
  </si>
  <si>
    <t xml:space="preserve">Optionen Tablar-Berechnung</t>
  </si>
  <si>
    <t xml:space="preserve">Liftbericht verwenden</t>
  </si>
  <si>
    <t xml:space="preserve">Ja</t>
  </si>
  <si>
    <t xml:space="preserve">Ja = für Artikel im Liftbericht gelten dessen Bestand und Lift. Die Fachflächen werden so verteilt, dass «Ist» der gemessenen Belegung (Spalte L) entspricht.</t>
  </si>
  <si>
    <t xml:space="preserve">Tablar-Ausnutzung (Gebinde passen nie lückenlos; 90 % = 10 % Reserve)</t>
  </si>
  <si>
    <t xml:space="preserve">Ziel-LU Auswahl</t>
  </si>
  <si>
    <t xml:space="preserve">Varianten (nicht ändern)</t>
  </si>
  <si>
    <t xml:space="preserve">Gebinde je Tablar berechnen mit Tablarmass von Lift</t>
  </si>
  <si>
    <t xml:space="preserve">Stapeln (Lagen je Gebinde) und manuelle Anzahl je Tablar: Blatt «Gebinde-Kategorie»</t>
  </si>
  <si>
    <t xml:space="preserve">Zuordnung Hauptlager → Lift  (1 / 2 / 3 / 2+3 / Nein)</t>
  </si>
  <si>
    <t xml:space="preserve">Zuordnung Gebinde → Lift (nur Liftgruppe 2+3)</t>
  </si>
  <si>
    <t xml:space="preserve">«Nein» = zählt nicht zu den Liften (Zeile «Nicht im Lift»). ENTSORGEN!/DUMMY standardmässig «Nein».</t>
  </si>
  <si>
    <t xml:space="preserve">Bemerkung «grosser Artikel …» im Artikelstamm → immer Lift 2</t>
  </si>
  <si>
    <t xml:space="preserve">Tablare je loser Artikel (Startwert)</t>
  </si>
  <si>
    <t xml:space="preserve">Gebinde</t>
  </si>
  <si>
    <t xml:space="preserve">2+3</t>
  </si>
  <si>
    <t xml:space="preserve">Nein</t>
  </si>
  <si>
    <t xml:space="preserve">GK</t>
  </si>
  <si>
    <t xml:space="preserve">VERPAC</t>
  </si>
  <si>
    <t xml:space="preserve">GERAET</t>
  </si>
  <si>
    <t xml:space="preserve">ENTSORGEN!</t>
  </si>
  <si>
    <t xml:space="preserve">S73</t>
  </si>
  <si>
    <t xml:space="preserve">DUMMY</t>
  </si>
  <si>
    <t xml:space="preserve">S83</t>
  </si>
  <si>
    <t xml:space="preserve">P20</t>
  </si>
  <si>
    <t xml:space="preserve">P21</t>
  </si>
  <si>
    <t xml:space="preserve">P22</t>
  </si>
  <si>
    <t xml:space="preserve">P23</t>
  </si>
  <si>
    <t xml:space="preserve">P24</t>
  </si>
  <si>
    <t xml:space="preserve">P25</t>
  </si>
  <si>
    <t xml:space="preserve">Neue Artikel</t>
  </si>
  <si>
    <t xml:space="preserve">Bis 100 Artikel erfassen. Sie werden im Blatt «Artikel» (unterste Zeilen) automatisch mitgerechnet und als «Neu» markiert.</t>
  </si>
  <si>
    <t xml:space="preserve">Beispiel: 112345 | Dichtung DN50 | 120 | 0 | 10 | 50 | 4.20 | S41 | 25 | 3   (Lift leer = Vorschlag nach Gebinde)</t>
  </si>
  <si>
    <t xml:space="preserve">erwarteter Jahresverbrauch</t>
  </si>
  <si>
    <t xml:space="preserve">Gebindekategorie (leer = lose)</t>
  </si>
  <si>
    <t xml:space="preserve">Lift (1/2/3/Aussen)</t>
  </si>
  <si>
    <t xml:space="preserve">Gebinde-Kategorie</t>
  </si>
  <si>
    <t xml:space="preserve">Masse in cm (gelb). Stellmass = Aussenmass auf dem Tablar in mm. Gebinde je Tablar = beste Anordnung (längs/quer) auf dem Tablar × Lagen. Manuelle Anzahl je Tablar überschreibt die Berechnung. Neue Kategorien unten ergänzen.</t>
  </si>
  <si>
    <t xml:space="preserve">Länge cm</t>
  </si>
  <si>
    <t xml:space="preserve">Breite cm</t>
  </si>
  <si>
    <t xml:space="preserve">Höhe cm</t>
  </si>
  <si>
    <t xml:space="preserve">Grundfläche m²</t>
  </si>
  <si>
    <t xml:space="preserve">Volumen m³</t>
  </si>
  <si>
    <t xml:space="preserve">Stellmass L mm</t>
  </si>
  <si>
    <t xml:space="preserve">Stellmass B mm</t>
  </si>
  <si>
    <t xml:space="preserve">Lagen (stapeln)</t>
  </si>
  <si>
    <t xml:space="preserve">Gebinde je Tablar (berechnet)</t>
  </si>
  <si>
    <t xml:space="preserve">Gebinde je Tablar (manuell)</t>
  </si>
  <si>
    <t xml:space="preserve">Gebinde je Tablar (wirksam)</t>
  </si>
  <si>
    <t xml:space="preserve">BITO 117 H8 4er Teilung</t>
  </si>
  <si>
    <t xml:space="preserve">BITO 117 H8 2er Teilung</t>
  </si>
  <si>
    <t xml:space="preserve">BITO 156 H9 2er Teilung</t>
  </si>
  <si>
    <t xml:space="preserve">BITO 156 H9 1er Teilung</t>
  </si>
  <si>
    <t xml:space="preserve">Eurobox 300 x 200 x 120mm</t>
  </si>
  <si>
    <t xml:space="preserve">Eurobox 400 x 300 x 120mm</t>
  </si>
  <si>
    <t xml:space="preserve">Eurobox 400 x 300 x 220mm</t>
  </si>
  <si>
    <t xml:space="preserve">Eurobox 600 x 400 x 120mm</t>
  </si>
  <si>
    <t xml:space="preserve">Eurobox 600 x 400 x 220mm</t>
  </si>
  <si>
    <t xml:space="preserve">Eurobox 600 x 400 x 320mm</t>
  </si>
  <si>
    <t xml:space="preserve">Trennblech 800 x 600 x 200</t>
  </si>
  <si>
    <t xml:space="preserve">Trennblech 800 x 600 x 400</t>
  </si>
  <si>
    <t xml:space="preserve">Trennblech 800 x 600 x 600</t>
  </si>
  <si>
    <t xml:space="preserve">Trennblech 1200 x 800 x 200mm</t>
  </si>
  <si>
    <t xml:space="preserve">Trennblech 1200 x 800 x 400mm</t>
  </si>
  <si>
    <t xml:space="preserve">Trennblech 1200 x 800 x 600mm</t>
  </si>
  <si>
    <t xml:space="preserve">Euro-Palett 1/2 Rahmen, 20 cm hoch</t>
  </si>
  <si>
    <t xml:space="preserve">Euro-Palett 1 Rahmen, 40 cm hoch</t>
  </si>
  <si>
    <t xml:space="preserve">Euro-Palett 2 Rahmen, 80 cm hoch</t>
  </si>
  <si>
    <t xml:space="preserve">Euro-Palett 3 Rahmen, 120 cm hoch</t>
  </si>
  <si>
    <t xml:space="preserve">Euro-Palett 4 Rahmen, 160 cm hoch</t>
  </si>
  <si>
    <t xml:space="preserve">Euro-Palett 5 Rahmen, 200 cm hoch</t>
  </si>
  <si>
    <t xml:space="preserve">Liftbericht (Modula «Artikelbestand für Maschine»)</t>
  </si>
  <si>
    <t xml:space="preserve">Nur zur Kontrolle – wird von build_tool.py aus input/*.prnx eingelesen. Fach-Kapazität = reservierter Platz im Lift.</t>
  </si>
  <si>
    <t xml:space="preserve">Artikel</t>
  </si>
  <si>
    <t xml:space="preserve">Fach-Kapazität Stk</t>
  </si>
  <si>
    <t xml:space="preserve">Bestand Lift</t>
  </si>
  <si>
    <t xml:space="preserve">Hauptlager Export</t>
  </si>
  <si>
    <t xml:space="preserve">Bestandsmenge Export (G)</t>
  </si>
  <si>
    <t xml:space="preserve">Jahresanfang 2025 + G</t>
  </si>
  <si>
    <t xml:space="preserve">Fach (Tablare, Tool)</t>
  </si>
  <si>
    <t xml:space="preserve">– fehlt –</t>
  </si>
  <si>
    <t xml:space="preserve">Austrittsdüse EG</t>
  </si>
  <si>
    <t xml:space="preserve">Austrittsdüse EG10</t>
  </si>
  <si>
    <t xml:space="preserve">Kranbahnprofil 2 Meter</t>
  </si>
  <si>
    <t xml:space="preserve">Kranbahnprofil 1.5 Meter</t>
  </si>
  <si>
    <t xml:space="preserve">Kranbahnprofil 1 Meter</t>
  </si>
  <si>
    <t xml:space="preserve">Konstanhänger</t>
  </si>
  <si>
    <t xml:space="preserve">Anleitung – Lagerumschlag-Tool</t>
  </si>
  <si>
    <t xml:space="preserve">Was ändere ich? Nur gelbe Felder.</t>
  </si>
  <si>
    <t xml:space="preserve">• Cockpit: je Ansicht «Variante» und «Ziel-LU» (Dropdown, freie Eingabe erlaubt). Alles rechnet sofort neu.</t>
  </si>
  <si>
    <t xml:space="preserve">• Artikel: Fläche lose, Gebinde neu / Menge pro Gebinde neu, Lift manuell (1/2/3/Aussen), Ziel-LU Artikel, MAX final, Kommentar. Leer = Vorschlag gilt.</t>
  </si>
  <si>
    <t xml:space="preserve">• Parameter: Lifte (Tablare, Tablarmass, max. Ladehöhe), Ampel, Verbrauchszeitraum, Ist-Bestand-Quelle, LU-Liste, Zuordnung Hauptlager → Lift, Gebinde → Lift, Startwerte lose.</t>
  </si>
  <si>
    <t xml:space="preserve">• Neue Artikel: werden automatisch unten im Blatt «Artikel» mitgerechnet («Neu»). • Gebinde-Kategorie: Masse, neue Kategorien unten ergänzen.</t>
  </si>
  <si>
    <t xml:space="preserve">Liftbericht (Modula)</t>
  </si>
  <si>
    <t xml:space="preserve">Artikel im Liftbericht (input/*.prnx) bekommen dessen Lift und Bestand. Ihr Platz = reserviertes Fach: Die gemessene Belegung (Parameter L5:L7, z. B. Lift 1 = 85 % der Tablare) wird im Verhältnis der Fach-Kapazität (Stk) auf die Artikel verteilt. In B/C wächst der Bedarf erst, wenn MAX &gt; Fach-Kapazität.</t>
  </si>
  <si>
    <t xml:space="preserve">Varianten</t>
  </si>
  <si>
    <t xml:space="preserve">A – Ist-Bestand: heutiger Bestand (unabhängig vom LU).</t>
  </si>
  <si>
    <t xml:space="preserve">B – Ziel-LU: MAX = Jahresverbrauch / Ziel-LU, mindestens MB + Losgrösse, aufgerundet auf ganze Gebinde. Zielzustand nach Abbau des Überbestands.</t>
  </si>
  <si>
    <t xml:space="preserve">C – Ziel-LU oder Ist (Hauptvariante): der höhere Wert aus B und Ist-Bestand. Platzbedarf, solange der Überbestand noch nicht abgebaut ist.</t>
  </si>
  <si>
    <t xml:space="preserve">MAX final (gelb) ersetzt in B und C den berechneten Wert. Ziel-LU Artikel ersetzt den LU der Ansicht für diesen Artikel. Jahresverbrauch = Verbrauch Export × 12 / Anzahl Monate.</t>
  </si>
  <si>
    <t xml:space="preserve">Lift-Auslastung</t>
  </si>
  <si>
    <t xml:space="preserve">Anzahl Gebinde = AUFRUNDEN(Menge / Menge pro Gebinde). Stapeln nur, wenn im Blatt «Gebinde-Kategorie» Lagen &gt; 1 eingetragen sind.</t>
  </si>
  <si>
    <t xml:space="preserve">Lose Artikel: Tablare = Startwert je Hauptlager (Parameter) oder eigener Wert; in B/C skaliert mit Menge / Ist-Menge, mindestens Startwert.</t>
  </si>
  <si>
    <t xml:space="preserve">Füllgrad über Gebinde: Gebinde je Tablar = beste Anordnung des Gebindes (Stellmass, längs/quer) auf dem Tablar × Lagen (Blatt «Gebinde-Kategorie», manuell überschreibbar). Tablare je Artikel = Anzahl Gebinde / Gebinde je Tablar. Füllgrad = Tablare Bedarf / Tablare vorhanden (Parameter E5:E7). Tablar-Ausnutzung (Parameter M21) gibt Reserve für Lücken.</t>
  </si>
  <si>
    <t xml:space="preserve">Zuordnung: LIFT1 → Lift 1. KTL/PAL → Lift 3 (BITO S21–S33, Eurobox S41–S52) oder Lift 2 (S61–S63, Trennbleche S71–S83, lose, «grosser Artikel»). Andere Hauptlager → «Nicht im Lift».</t>
  </si>
  <si>
    <t xml:space="preserve">«Passt?» wird für Lift 1 und Lift 2 + 3 gemeinsam beurteilt. Aussenlager: je Liftgruppe Artikel nach Verbrauch pro Tablar sortiert (Schnelldreher zuerst), Fläche kumuliert; was die Kapazität überschreitet = «Aussenlager», der Artikel an der Grenze = «teilweise».</t>
  </si>
  <si>
    <t xml:space="preserve">Kein Verbrauch · Lose – Fläche geschätzt · Überbestand (Ist &gt; MAX B, Menge und CHF, LU Ansicht 2) · MAX &lt; MB+LG (MAX final zu tief) · zu hoch für Tablar (Gebindehöhe &gt; max. Ladehöhe) · manuell übersteuert · Neu · negativer Bestand (Export, als 0 gerechnet) · Gebinde unbekannt · + Bemerkungen aus dem Artikelstamm.</t>
  </si>
  <si>
    <t xml:space="preserve">Annahmen</t>
  </si>
  <si>
    <t xml:space="preserve">1. Ist-Bestand = Spalte G «Bestandsmenge» des Kennzahlen-Auszugs, negativ = 0. ACHTUNG: G sieht nach Netto-Bewegung seit 01.01.2025 aus (fast die Hälfte negativ; Jahresanfang 2025 + G ist nie negativ). Umschaltbar in Parameter B20.</t>
  </si>
  <si>
    <t xml:space="preserve">2. Verbrauch = Pivot «Auswertung Verbrauch» Spalte C (Kalenderjahr 2025), negativ = 0; fehlt ein Artikel dort, Spalte Y «Wareneinsatz».</t>
  </si>
  <si>
    <t xml:space="preserve">3. MB = Spalte AK; wenn leer, Blatt «Auswertung MB» (Lager = Hauptlager). Losgrösse = Spalte D.</t>
  </si>
  <si>
    <t xml:space="preserve">4. Gebinde aus «Artikelstamm Umschlag 2», sonst «Artikelstamm mit Verbrauch»; ohne Gebinde = LOSE. Menge pro Gebinde fehlt → ganzer Ist-Bestand = 1 Gebinde.</t>
  </si>
  <si>
    <t xml:space="preserve">5. Startwerte lose (Tablare je Artikel): KTL 0.03, PAL 0.15, LIFT1 1.0, andere 0.15 – unabhängig von der Menge.</t>
  </si>
  <si>
    <t xml:space="preserve">6. Lagerwert = Menge × Preis GLD Aktuell. Hauptlager aus dem Kennzahlen-Auszug (nicht aus dem Artikelstamm).</t>
  </si>
  <si>
    <t xml:space="preserve">7. Artikel ohne Verbrauch: B = MB + LG (sonst 0). Aussenlager-Priorität: Verbrauch pro Tablar absteigend.</t>
  </si>
  <si>
    <t xml:space="preserve">Schieberegler statt Dropdown (optional)</t>
  </si>
  <si>
    <t xml:space="preserve">Entwicklertools → Einfügen → Formularsteuerelemente → Bildlaufleiste. Rechtsklick → Steuerelement formatieren: Min 10, Max 60, Schrittweite 5, Zellverknüpfung z. B. Cockpit!Z6. In Cockpit!C6 dann =Z6/10 eintragen (LU 1.0 – 6.0).</t>
  </si>
  <si>
    <t xml:space="preserve">Aktualisieren</t>
  </si>
  <si>
    <t xml:space="preserve">Neue Exporte in den Ordner «input» legen, Dateinamen oben in build_tool.py anpassen, «python build_tool.py» ausführen. Alle gelben Eingaben werden übernommen (Zuordnung über Artikelnummer).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</si>
</sst>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"/>
    <numFmt numFmtId="166" formatCode="#,##0.0"/>
    <numFmt numFmtId="167" formatCode="0"/>
    <numFmt numFmtId="168" formatCode="#,##0.0;[RED]\-#,##0.0"/>
    <numFmt numFmtId="169" formatCode="0%"/>
    <numFmt numFmtId="170" formatCode="#,##0"/>
    <numFmt numFmtId="171" formatCode="#,##0;\-#,##0"/>
    <numFmt numFmtId="172" formatCode="#,##0.0;\-#,##0.0"/>
    <numFmt numFmtId="173" formatCode="#,##0.00"/>
    <numFmt numFmtId="174" formatCode="0.00"/>
    <numFmt numFmtId="175" formatCode="0.000"/>
    <numFmt numFmtId="176" formatCode="dd\.mm\.yyyy"/>
    <numFmt numFmtId="177" formatCode="0.000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20"/>
      <color rgb="FF0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9"/>
      <name val="Arial"/>
      <family val="0"/>
      <charset val="1"/>
    </font>
    <font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A6"/>
        <bgColor rgb="FFFFFFCC"/>
      </patternFill>
    </fill>
    <fill>
      <patternFill patternType="solid">
        <fgColor rgb="FFD9E1F2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color rgb="FF808080"/>
      </font>
      <fill>
        <patternFill>
          <bgColor rgb="FFD9D9D9"/>
        </patternFill>
      </fill>
    </dxf>
    <dxf>
      <fill>
        <patternFill>
          <bgColor rgb="FFF4B084"/>
        </patternFill>
      </fill>
    </dxf>
    <dxf>
      <fill>
        <patternFill>
          <bgColor rgb="FFFFD966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B084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A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D966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4F81BD"/>
      <rgbColor rgb="FFBFBFBF"/>
      <rgbColor rgb="FF808080"/>
      <rgbColor rgb="FF9999FF"/>
      <rgbColor rgb="FFBE4B48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2A6"/>
      <rgbColor rgb="FF99CCFF"/>
      <rgbColor rgb="FFF4B084"/>
      <rgbColor rgb="FFCC99FF"/>
      <rgbColor rgb="FFFFD966"/>
      <rgbColor rgb="FF2E75B6"/>
      <rgbColor rgb="FF33CCCC"/>
      <rgbColor rgb="FF9BBB59"/>
      <rgbColor rgb="FFFFC000"/>
      <rgbColor rgb="FFFF9900"/>
      <rgbColor rgb="FFC55A11"/>
      <rgbColor rgb="FF595959"/>
      <rgbColor rgb="FF878787"/>
      <rgbColor rgb="FF1F3864"/>
      <rgbColor rgb="FF4A7EBB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Auslastung je Lift – 3 Ansichten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Cockpit!C40</c:f>
              <c:strCache>
                <c:ptCount val="1"/>
                <c:pt idx="0">
                  <c:v>A1: 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Cockpit!$C$41:$C$45</c:f>
              <c:numCache>
                <c:formatCode>0%</c:formatCode>
                <c:ptCount val="5"/>
                <c:pt idx="0">
                  <c:v>0.863333333333333</c:v>
                </c:pt>
                <c:pt idx="1">
                  <c:v>0.725333333333333</c:v>
                </c:pt>
                <c:pt idx="2">
                  <c:v>0.187982331677984</c:v>
                </c:pt>
                <c:pt idx="3">
                  <c:v>0.456657832505659</c:v>
                </c:pt>
                <c:pt idx="4">
                  <c:v>0.59221633278155</c:v>
                </c:pt>
              </c:numCache>
            </c:numRef>
          </c:val>
        </c:ser>
        <c:ser>
          <c:idx val="1"/>
          <c:order val="1"/>
          <c:tx>
            <c:strRef>
              <c:f>Cockpit!D40</c:f>
              <c:strCache>
                <c:ptCount val="1"/>
                <c:pt idx="0">
                  <c:v>A2: C LU 2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Cockpit!$D$41:$D$45</c:f>
              <c:numCache>
                <c:formatCode>0%</c:formatCode>
                <c:ptCount val="5"/>
                <c:pt idx="0">
                  <c:v>1.00099811676083</c:v>
                </c:pt>
                <c:pt idx="1">
                  <c:v>2.31341535228152</c:v>
                </c:pt>
                <c:pt idx="2">
                  <c:v>0.47985591702983</c:v>
                </c:pt>
                <c:pt idx="3">
                  <c:v>1.39663563465567</c:v>
                </c:pt>
                <c:pt idx="4">
                  <c:v>1.26475646202406</c:v>
                </c:pt>
              </c:numCache>
            </c:numRef>
          </c:val>
        </c:ser>
        <c:ser>
          <c:idx val="2"/>
          <c:order val="2"/>
          <c:tx>
            <c:strRef>
              <c:f>Cockpit!E40</c:f>
              <c:strCache>
                <c:ptCount val="1"/>
                <c:pt idx="0">
                  <c:v>A3: C LU 3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Cockpit!$E$41:$E$45</c:f>
              <c:numCache>
                <c:formatCode>0%</c:formatCode>
                <c:ptCount val="5"/>
                <c:pt idx="0">
                  <c:v>0.941770244821092</c:v>
                </c:pt>
                <c:pt idx="1">
                  <c:v>2.12236859903477</c:v>
                </c:pt>
                <c:pt idx="2">
                  <c:v>0.472093679267592</c:v>
                </c:pt>
                <c:pt idx="3">
                  <c:v>1.29723113915118</c:v>
                </c:pt>
                <c:pt idx="4">
                  <c:v>1.17874417437448</c:v>
                </c:pt>
              </c:numCache>
            </c:numRef>
          </c:val>
        </c:ser>
        <c:gapWidth val="150"/>
        <c:overlap val="0"/>
        <c:axId val="9370741"/>
        <c:axId val="5891425"/>
      </c:barChart>
      <c:lineChart>
        <c:grouping val="standard"/>
        <c:varyColors val="0"/>
        <c:ser>
          <c:idx val="3"/>
          <c:order val="3"/>
          <c:tx>
            <c:strRef>
              <c:f>Cockpit!F40</c:f>
              <c:strCache>
                <c:ptCount val="1"/>
                <c:pt idx="0">
                  <c:v>100 %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Cockpit!$F$41:$F$45</c:f>
              <c:numCache>
                <c:formatCode>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70741"/>
        <c:axId val="5891425"/>
      </c:lineChart>
      <c:catAx>
        <c:axId val="93707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91425"/>
        <c:crosses val="autoZero"/>
        <c:auto val="1"/>
        <c:lblAlgn val="ctr"/>
        <c:lblOffset val="100"/>
        <c:noMultiLvlLbl val="0"/>
      </c:catAx>
      <c:valAx>
        <c:axId val="58914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Auslastung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707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Auslastung Total % je Ziel-LU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Szenarien!B29</c:f>
              <c:strCache>
                <c:ptCount val="1"/>
                <c:pt idx="0">
                  <c:v>B – Total %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1.0</c:v>
                </c:pt>
                <c:pt idx="1">
                  <c:v>1.5</c:v>
                </c:pt>
                <c:pt idx="2">
                  <c:v>2.0</c:v>
                </c:pt>
                <c:pt idx="3">
                  <c:v>2.5</c:v>
                </c:pt>
                <c:pt idx="4">
                  <c:v>3.0</c:v>
                </c:pt>
                <c:pt idx="5">
                  <c:v>4.0</c:v>
                </c:pt>
                <c:pt idx="6">
                  <c:v>5.0</c:v>
                </c:pt>
                <c:pt idx="7">
                  <c:v>6.0</c:v>
                </c:pt>
              </c:strCache>
            </c:strRef>
          </c:cat>
          <c:val>
            <c:numRef>
              <c:f>Szenarien!$B$30:$B$37</c:f>
              <c:numCache>
                <c:formatCode>0%</c:formatCode>
                <c:ptCount val="8"/>
                <c:pt idx="0">
                  <c:v>1.66761685352671</c:v>
                </c:pt>
                <c:pt idx="1">
                  <c:v>1.37237465525104</c:v>
                </c:pt>
                <c:pt idx="2">
                  <c:v>1.23184653780979</c:v>
                </c:pt>
                <c:pt idx="3">
                  <c:v>1.1812580982205</c:v>
                </c:pt>
                <c:pt idx="4">
                  <c:v>1.14502228434825</c:v>
                </c:pt>
                <c:pt idx="5">
                  <c:v>1.11154952004413</c:v>
                </c:pt>
                <c:pt idx="6">
                  <c:v>1.09849188894327</c:v>
                </c:pt>
                <c:pt idx="7">
                  <c:v>1.09283558009205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Szenarien!C29</c:f>
              <c:strCache>
                <c:ptCount val="1"/>
                <c:pt idx="0">
                  <c:v>C – Total %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1.0</c:v>
                </c:pt>
                <c:pt idx="1">
                  <c:v>1.5</c:v>
                </c:pt>
                <c:pt idx="2">
                  <c:v>2.0</c:v>
                </c:pt>
                <c:pt idx="3">
                  <c:v>2.5</c:v>
                </c:pt>
                <c:pt idx="4">
                  <c:v>3.0</c:v>
                </c:pt>
                <c:pt idx="5">
                  <c:v>4.0</c:v>
                </c:pt>
                <c:pt idx="6">
                  <c:v>5.0</c:v>
                </c:pt>
                <c:pt idx="7">
                  <c:v>6.0</c:v>
                </c:pt>
              </c:strCache>
            </c:strRef>
          </c:cat>
          <c:val>
            <c:numRef>
              <c:f>Szenarien!$C$30:$C$37</c:f>
              <c:numCache>
                <c:formatCode>0%</c:formatCode>
                <c:ptCount val="8"/>
                <c:pt idx="0">
                  <c:v>1.70006834728255</c:v>
                </c:pt>
                <c:pt idx="1">
                  <c:v>1.40528457946531</c:v>
                </c:pt>
                <c:pt idx="2">
                  <c:v>1.26475646202406</c:v>
                </c:pt>
                <c:pt idx="3">
                  <c:v>1.21472357799033</c:v>
                </c:pt>
                <c:pt idx="4">
                  <c:v>1.17874417437448</c:v>
                </c:pt>
                <c:pt idx="5">
                  <c:v>1.14527141007036</c:v>
                </c:pt>
                <c:pt idx="6">
                  <c:v>1.13276933452507</c:v>
                </c:pt>
                <c:pt idx="7">
                  <c:v>1.12711302567384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Szenarien!D29</c:f>
              <c:strCache>
                <c:ptCount val="1"/>
                <c:pt idx="0">
                  <c:v>100 %</c:v>
                </c:pt>
              </c:strCache>
            </c:strRef>
          </c:tx>
          <c:spPr>
            <a:solidFill>
              <a:srgbClr val="c00000"/>
            </a:solidFill>
            <a:ln w="2844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1.0</c:v>
                </c:pt>
                <c:pt idx="1">
                  <c:v>1.5</c:v>
                </c:pt>
                <c:pt idx="2">
                  <c:v>2.0</c:v>
                </c:pt>
                <c:pt idx="3">
                  <c:v>2.5</c:v>
                </c:pt>
                <c:pt idx="4">
                  <c:v>3.0</c:v>
                </c:pt>
                <c:pt idx="5">
                  <c:v>4.0</c:v>
                </c:pt>
                <c:pt idx="6">
                  <c:v>5.0</c:v>
                </c:pt>
                <c:pt idx="7">
                  <c:v>6.0</c:v>
                </c:pt>
              </c:strCache>
            </c:strRef>
          </c:cat>
          <c:val>
            <c:numRef>
              <c:f>Szenarien!$D$30:$D$37</c:f>
              <c:numCache>
                <c:formatCode>0%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Szenarien!E29</c:f>
              <c:strCache>
                <c:ptCount val="1"/>
                <c:pt idx="0">
                  <c:v>Ist – Total %</c:v>
                </c:pt>
              </c:strCache>
            </c:strRef>
          </c:tx>
          <c:spPr>
            <a:solidFill>
              <a:srgbClr val="808080"/>
            </a:solidFill>
            <a:ln w="28440">
              <a:solidFill>
                <a:srgbClr val="808080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1.0</c:v>
                </c:pt>
                <c:pt idx="1">
                  <c:v>1.5</c:v>
                </c:pt>
                <c:pt idx="2">
                  <c:v>2.0</c:v>
                </c:pt>
                <c:pt idx="3">
                  <c:v>2.5</c:v>
                </c:pt>
                <c:pt idx="4">
                  <c:v>3.0</c:v>
                </c:pt>
                <c:pt idx="5">
                  <c:v>4.0</c:v>
                </c:pt>
                <c:pt idx="6">
                  <c:v>5.0</c:v>
                </c:pt>
                <c:pt idx="7">
                  <c:v>6.0</c:v>
                </c:pt>
              </c:strCache>
            </c:strRef>
          </c:cat>
          <c:val>
            <c:numRef>
              <c:f>Szenarien!$E$30:$E$37</c:f>
              <c:numCache>
                <c:formatCode>0%</c:formatCode>
                <c:ptCount val="8"/>
                <c:pt idx="0">
                  <c:v>0.59221633278155</c:v>
                </c:pt>
                <c:pt idx="1">
                  <c:v>0.59221633278155</c:v>
                </c:pt>
                <c:pt idx="2">
                  <c:v>0.59221633278155</c:v>
                </c:pt>
                <c:pt idx="3">
                  <c:v>0.59221633278155</c:v>
                </c:pt>
                <c:pt idx="4">
                  <c:v>0.59221633278155</c:v>
                </c:pt>
                <c:pt idx="5">
                  <c:v>0.59221633278155</c:v>
                </c:pt>
                <c:pt idx="6">
                  <c:v>0.59221633278155</c:v>
                </c:pt>
                <c:pt idx="7">
                  <c:v>0.59221633278155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987743"/>
        <c:axId val="23070401"/>
      </c:lineChart>
      <c:catAx>
        <c:axId val="998774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Ziel-LU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070401"/>
        <c:crosses val="autoZero"/>
        <c:auto val="1"/>
        <c:lblAlgn val="ctr"/>
        <c:lblOffset val="100"/>
        <c:noMultiLvlLbl val="0"/>
      </c:catAx>
      <c:valAx>
        <c:axId val="230704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Auslastung 3 Lifte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877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37</xdr:row>
      <xdr:rowOff>18360</xdr:rowOff>
    </xdr:from>
    <xdr:to>
      <xdr:col>13</xdr:col>
      <xdr:colOff>718560</xdr:colOff>
      <xdr:row>54</xdr:row>
      <xdr:rowOff>19800</xdr:rowOff>
    </xdr:to>
    <xdr:graphicFrame>
      <xdr:nvGraphicFramePr>
        <xdr:cNvPr id="0" name="Chart 1"/>
        <xdr:cNvGraphicFramePr/>
      </xdr:nvGraphicFramePr>
      <xdr:xfrm>
        <a:off x="7467480" y="76010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21</xdr:row>
      <xdr:rowOff>160560</xdr:rowOff>
    </xdr:from>
    <xdr:to>
      <xdr:col>13</xdr:col>
      <xdr:colOff>532080</xdr:colOff>
      <xdr:row>38</xdr:row>
      <xdr:rowOff>162000</xdr:rowOff>
    </xdr:to>
    <xdr:graphicFrame>
      <xdr:nvGraphicFramePr>
        <xdr:cNvPr id="1" name="Chart 1"/>
        <xdr:cNvGraphicFramePr/>
      </xdr:nvGraphicFramePr>
      <xdr:xfrm>
        <a:off x="6134040" y="438156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R4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6" min="3" style="0" width="12"/>
    <col collapsed="false" customWidth="true" hidden="false" outlineLevel="0" max="7" min="7" style="0" width="3"/>
    <col collapsed="false" customWidth="true" hidden="false" outlineLevel="0" max="8" min="8" style="0" width="30"/>
    <col collapsed="false" customWidth="true" hidden="false" outlineLevel="0" max="12" min="9" style="0" width="12"/>
    <col collapsed="false" customWidth="true" hidden="false" outlineLevel="0" max="13" min="13" style="0" width="3"/>
    <col collapsed="false" customWidth="true" hidden="false" outlineLevel="0" max="14" min="14" style="0" width="30"/>
    <col collapsed="false" customWidth="true" hidden="false" outlineLevel="0" max="19" min="15" style="0" width="12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tr">
        <f aca="false">"Verbrauchsbasis: "&amp;TEXT(MONTH(Parameter!B15),"00")&amp;"."&amp;YEAR(Parameter!B15)&amp;" – "&amp;TEXT(MONTH(Parameter!B16),"00")&amp;"."&amp;YEAR(Parameter!B16)&amp;"   ·   Ist-Bestand: "&amp;Parameter!B20&amp;"   ·   Kapazität "&amp;Parameter!E8&amp;" Tablare (Füllgrad über Gebinde je Tablar)"</f>
        <v>Verbrauchsbasis: 01.2025 – 12.2025   ·   Ist-Bestand: Export (Bestandsmenge)   ·   Kapazität 150 Tablare (Füllgrad über Gebinde je Tablar)</v>
      </c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4" t="s">
        <v>2</v>
      </c>
      <c r="C4" s="4"/>
      <c r="D4" s="4"/>
      <c r="E4" s="4"/>
      <c r="F4" s="4"/>
      <c r="H4" s="4" t="s">
        <v>3</v>
      </c>
      <c r="I4" s="4"/>
      <c r="J4" s="4"/>
      <c r="K4" s="4"/>
      <c r="L4" s="4"/>
      <c r="N4" s="4" t="s">
        <v>4</v>
      </c>
      <c r="O4" s="4"/>
      <c r="P4" s="4"/>
      <c r="Q4" s="4"/>
      <c r="R4" s="4"/>
    </row>
    <row r="5" customFormat="false" ht="15" hidden="false" customHeight="false" outlineLevel="0" collapsed="false">
      <c r="B5" s="5" t="s">
        <v>5</v>
      </c>
      <c r="C5" s="6" t="s">
        <v>6</v>
      </c>
      <c r="D5" s="6"/>
      <c r="E5" s="6"/>
      <c r="F5" s="6"/>
      <c r="H5" s="5" t="s">
        <v>5</v>
      </c>
      <c r="I5" s="6" t="s">
        <v>7</v>
      </c>
      <c r="J5" s="6"/>
      <c r="K5" s="6"/>
      <c r="L5" s="6"/>
      <c r="N5" s="5" t="s">
        <v>5</v>
      </c>
      <c r="O5" s="6" t="s">
        <v>7</v>
      </c>
      <c r="P5" s="6"/>
      <c r="Q5" s="6"/>
      <c r="R5" s="6"/>
    </row>
    <row r="6" customFormat="false" ht="15" hidden="false" customHeight="false" outlineLevel="0" collapsed="false">
      <c r="B6" s="5" t="s">
        <v>8</v>
      </c>
      <c r="C6" s="7" t="n">
        <v>2</v>
      </c>
      <c r="D6" s="8" t="s">
        <v>9</v>
      </c>
      <c r="H6" s="5" t="s">
        <v>8</v>
      </c>
      <c r="I6" s="7" t="n">
        <v>2</v>
      </c>
      <c r="J6" s="8" t="s">
        <v>9</v>
      </c>
      <c r="N6" s="5" t="s">
        <v>8</v>
      </c>
      <c r="O6" s="7" t="n">
        <v>3</v>
      </c>
      <c r="P6" s="8" t="s">
        <v>9</v>
      </c>
    </row>
    <row r="8" customFormat="false" ht="23.85" hidden="false" customHeight="false" outlineLevel="0" collapsed="false">
      <c r="B8" s="9" t="s">
        <v>10</v>
      </c>
      <c r="C8" s="9" t="s">
        <v>11</v>
      </c>
      <c r="D8" s="9" t="s">
        <v>12</v>
      </c>
      <c r="E8" s="9" t="s">
        <v>13</v>
      </c>
      <c r="F8" s="9" t="s">
        <v>14</v>
      </c>
      <c r="H8" s="9" t="s">
        <v>10</v>
      </c>
      <c r="I8" s="9" t="s">
        <v>11</v>
      </c>
      <c r="J8" s="9" t="s">
        <v>12</v>
      </c>
      <c r="K8" s="9" t="s">
        <v>13</v>
      </c>
      <c r="L8" s="9" t="s">
        <v>14</v>
      </c>
      <c r="N8" s="9" t="s">
        <v>10</v>
      </c>
      <c r="O8" s="9" t="s">
        <v>11</v>
      </c>
      <c r="P8" s="9" t="s">
        <v>12</v>
      </c>
      <c r="Q8" s="9" t="s">
        <v>13</v>
      </c>
      <c r="R8" s="9" t="s">
        <v>14</v>
      </c>
    </row>
    <row r="9" customFormat="false" ht="15" hidden="false" customHeight="false" outlineLevel="0" collapsed="false">
      <c r="B9" s="10" t="s">
        <v>15</v>
      </c>
      <c r="C9" s="11" t="n">
        <f aca="false">SUMIFS(Artikel!$AF$7:$AF$1576,Artikel!$BT$7:$BT$1576,1)</f>
        <v>43.1666666666667</v>
      </c>
      <c r="D9" s="12" t="n">
        <f aca="false">Parameter!$E$5</f>
        <v>50</v>
      </c>
      <c r="E9" s="13" t="n">
        <f aca="false">D9-C9</f>
        <v>6.83333333333334</v>
      </c>
      <c r="F9" s="14" t="n">
        <f aca="false">IF(D9&gt;0,C9/D9,0)</f>
        <v>0.863333333333333</v>
      </c>
      <c r="H9" s="10" t="s">
        <v>15</v>
      </c>
      <c r="I9" s="11" t="n">
        <f aca="false">SUMIFS(Artikel!$AN$7:$AN$1576,Artikel!$BT$7:$BT$1576,1)</f>
        <v>50.0499058380414</v>
      </c>
      <c r="J9" s="12" t="n">
        <f aca="false">Parameter!$E$5</f>
        <v>50</v>
      </c>
      <c r="K9" s="13" t="n">
        <f aca="false">J9-I9</f>
        <v>-0.0499058380414326</v>
      </c>
      <c r="L9" s="14" t="n">
        <f aca="false">IF(J9&gt;0,I9/J9,0)</f>
        <v>1.00099811676083</v>
      </c>
      <c r="N9" s="10" t="s">
        <v>15</v>
      </c>
      <c r="O9" s="11" t="n">
        <f aca="false">SUMIFS(Artikel!$AV$7:$AV$1576,Artikel!$BT$7:$BT$1576,1)</f>
        <v>47.0885122410546</v>
      </c>
      <c r="P9" s="12" t="n">
        <f aca="false">Parameter!$E$5</f>
        <v>50</v>
      </c>
      <c r="Q9" s="13" t="n">
        <f aca="false">P9-O9</f>
        <v>2.91148775894538</v>
      </c>
      <c r="R9" s="14" t="n">
        <f aca="false">IF(P9&gt;0,O9/P9,0)</f>
        <v>0.941770244821092</v>
      </c>
    </row>
    <row r="10" customFormat="false" ht="15" hidden="false" customHeight="false" outlineLevel="0" collapsed="false">
      <c r="B10" s="10" t="s">
        <v>16</v>
      </c>
      <c r="C10" s="11" t="n">
        <f aca="false">SUMIFS(Artikel!$AF$7:$AF$1576,Artikel!$BT$7:$BT$1576,2)</f>
        <v>36.2666666666667</v>
      </c>
      <c r="D10" s="12" t="n">
        <f aca="false">Parameter!$E$6</f>
        <v>50</v>
      </c>
      <c r="E10" s="13" t="n">
        <f aca="false">D10-C10</f>
        <v>13.7333333333333</v>
      </c>
      <c r="F10" s="14" t="n">
        <f aca="false">IF(D10&gt;0,C10/D10,0)</f>
        <v>0.725333333333333</v>
      </c>
      <c r="H10" s="10" t="s">
        <v>16</v>
      </c>
      <c r="I10" s="11" t="n">
        <f aca="false">SUMIFS(Artikel!$AN$7:$AN$1576,Artikel!$BT$7:$BT$1576,2)</f>
        <v>115.670767614076</v>
      </c>
      <c r="J10" s="12" t="n">
        <f aca="false">Parameter!$E$6</f>
        <v>50</v>
      </c>
      <c r="K10" s="13" t="n">
        <f aca="false">J10-I10</f>
        <v>-65.6707676140759</v>
      </c>
      <c r="L10" s="14" t="n">
        <f aca="false">IF(J10&gt;0,I10/J10,0)</f>
        <v>2.31341535228152</v>
      </c>
      <c r="N10" s="10" t="s">
        <v>16</v>
      </c>
      <c r="O10" s="11" t="n">
        <f aca="false">SUMIFS(Artikel!$AV$7:$AV$1576,Artikel!$BT$7:$BT$1576,2)</f>
        <v>106.118429951738</v>
      </c>
      <c r="P10" s="12" t="n">
        <f aca="false">Parameter!$E$6</f>
        <v>50</v>
      </c>
      <c r="Q10" s="13" t="n">
        <f aca="false">P10-O10</f>
        <v>-56.1184299517383</v>
      </c>
      <c r="R10" s="14" t="n">
        <f aca="false">IF(P10&gt;0,O10/P10,0)</f>
        <v>2.12236859903477</v>
      </c>
    </row>
    <row r="11" customFormat="false" ht="15" hidden="false" customHeight="false" outlineLevel="0" collapsed="false">
      <c r="B11" s="10" t="s">
        <v>17</v>
      </c>
      <c r="C11" s="11" t="n">
        <f aca="false">SUMIFS(Artikel!$AF$7:$AF$1576,Artikel!$BT$7:$BT$1576,3)</f>
        <v>9.39911658389919</v>
      </c>
      <c r="D11" s="12" t="n">
        <f aca="false">Parameter!$E$7</f>
        <v>50</v>
      </c>
      <c r="E11" s="13" t="n">
        <f aca="false">D11-C11</f>
        <v>40.6008834161008</v>
      </c>
      <c r="F11" s="14" t="n">
        <f aca="false">IF(D11&gt;0,C11/D11,0)</f>
        <v>0.187982331677984</v>
      </c>
      <c r="H11" s="10" t="s">
        <v>17</v>
      </c>
      <c r="I11" s="11" t="n">
        <f aca="false">SUMIFS(Artikel!$AN$7:$AN$1576,Artikel!$BT$7:$BT$1576,3)</f>
        <v>23.9927958514915</v>
      </c>
      <c r="J11" s="12" t="n">
        <f aca="false">Parameter!$E$7</f>
        <v>50</v>
      </c>
      <c r="K11" s="13" t="n">
        <f aca="false">J11-I11</f>
        <v>26.0072041485085</v>
      </c>
      <c r="L11" s="14" t="n">
        <f aca="false">IF(J11&gt;0,I11/J11,0)</f>
        <v>0.47985591702983</v>
      </c>
      <c r="N11" s="10" t="s">
        <v>17</v>
      </c>
      <c r="O11" s="11" t="n">
        <f aca="false">SUMIFS(Artikel!$AV$7:$AV$1576,Artikel!$BT$7:$BT$1576,3)</f>
        <v>23.6046839633796</v>
      </c>
      <c r="P11" s="12" t="n">
        <f aca="false">Parameter!$E$7</f>
        <v>50</v>
      </c>
      <c r="Q11" s="13" t="n">
        <f aca="false">P11-O11</f>
        <v>26.3953160366204</v>
      </c>
      <c r="R11" s="14" t="n">
        <f aca="false">IF(P11&gt;0,O11/P11,0)</f>
        <v>0.472093679267592</v>
      </c>
    </row>
    <row r="12" customFormat="false" ht="15" hidden="false" customHeight="false" outlineLevel="0" collapsed="false">
      <c r="B12" s="15" t="s">
        <v>18</v>
      </c>
      <c r="C12" s="16" t="n">
        <f aca="false">C10+C11</f>
        <v>45.6657832505659</v>
      </c>
      <c r="D12" s="17" t="n">
        <f aca="false">D10+D11</f>
        <v>100</v>
      </c>
      <c r="E12" s="18" t="n">
        <f aca="false">D12-C12</f>
        <v>54.3342167494341</v>
      </c>
      <c r="F12" s="14" t="n">
        <f aca="false">IF(D12&gt;0,C12/D12,0)</f>
        <v>0.456657832505659</v>
      </c>
      <c r="H12" s="15" t="s">
        <v>18</v>
      </c>
      <c r="I12" s="16" t="n">
        <f aca="false">I10+I11</f>
        <v>139.663563465567</v>
      </c>
      <c r="J12" s="17" t="n">
        <f aca="false">J10+J11</f>
        <v>100</v>
      </c>
      <c r="K12" s="18" t="n">
        <f aca="false">J12-I12</f>
        <v>-39.6635634655675</v>
      </c>
      <c r="L12" s="14" t="n">
        <f aca="false">IF(J12&gt;0,I12/J12,0)</f>
        <v>1.39663563465567</v>
      </c>
      <c r="N12" s="15" t="s">
        <v>18</v>
      </c>
      <c r="O12" s="16" t="n">
        <f aca="false">O10+O11</f>
        <v>129.723113915118</v>
      </c>
      <c r="P12" s="17" t="n">
        <f aca="false">P10+P11</f>
        <v>100</v>
      </c>
      <c r="Q12" s="18" t="n">
        <f aca="false">P12-O12</f>
        <v>-29.7231139151179</v>
      </c>
      <c r="R12" s="14" t="n">
        <f aca="false">IF(P12&gt;0,O12/P12,0)</f>
        <v>1.29723113915118</v>
      </c>
    </row>
    <row r="13" customFormat="false" ht="15" hidden="false" customHeight="false" outlineLevel="0" collapsed="false">
      <c r="B13" s="15" t="s">
        <v>19</v>
      </c>
      <c r="C13" s="16" t="n">
        <f aca="false">C9+C12</f>
        <v>88.8324499172325</v>
      </c>
      <c r="D13" s="17" t="n">
        <f aca="false">D9+D12</f>
        <v>150</v>
      </c>
      <c r="E13" s="18" t="n">
        <f aca="false">D13-C13</f>
        <v>61.1675500827675</v>
      </c>
      <c r="F13" s="14" t="n">
        <f aca="false">IF(D13&gt;0,C13/D13,0)</f>
        <v>0.59221633278155</v>
      </c>
      <c r="H13" s="15" t="s">
        <v>19</v>
      </c>
      <c r="I13" s="16" t="n">
        <f aca="false">I9+I12</f>
        <v>189.713469303609</v>
      </c>
      <c r="J13" s="17" t="n">
        <f aca="false">J9+J12</f>
        <v>150</v>
      </c>
      <c r="K13" s="18" t="n">
        <f aca="false">J13-I13</f>
        <v>-39.7134693036089</v>
      </c>
      <c r="L13" s="14" t="n">
        <f aca="false">IF(J13&gt;0,I13/J13,0)</f>
        <v>1.26475646202406</v>
      </c>
      <c r="N13" s="15" t="s">
        <v>19</v>
      </c>
      <c r="O13" s="16" t="n">
        <f aca="false">O9+O12</f>
        <v>176.811626156173</v>
      </c>
      <c r="P13" s="17" t="n">
        <f aca="false">P9+P12</f>
        <v>150</v>
      </c>
      <c r="Q13" s="18" t="n">
        <f aca="false">P13-O13</f>
        <v>-26.8116261561725</v>
      </c>
      <c r="R13" s="14" t="n">
        <f aca="false">IF(P13&gt;0,O13/P13,0)</f>
        <v>1.17874417437448</v>
      </c>
    </row>
    <row r="14" customFormat="false" ht="15" hidden="false" customHeight="false" outlineLevel="0" collapsed="false">
      <c r="B14" s="19" t="s">
        <v>20</v>
      </c>
      <c r="C14" s="20" t="n">
        <f aca="false">SUMIFS(Artikel!$AF$7:$AF$1576,Artikel!$BU$7:$BU$1576,"-")</f>
        <v>2.73846153846154</v>
      </c>
      <c r="H14" s="19" t="s">
        <v>20</v>
      </c>
      <c r="I14" s="20" t="n">
        <f aca="false">SUMIFS(Artikel!$AN$7:$AN$1576,Artikel!$BU$7:$BU$1576,"-")</f>
        <v>45.2678399725275</v>
      </c>
      <c r="N14" s="19" t="s">
        <v>20</v>
      </c>
      <c r="O14" s="20" t="n">
        <f aca="false">SUMIFS(Artikel!$AV$7:$AV$1576,Artikel!$BU$7:$BU$1576,"-")</f>
        <v>44.9756524725275</v>
      </c>
    </row>
    <row r="15" customFormat="false" ht="15" hidden="false" customHeight="false" outlineLevel="0" collapsed="false">
      <c r="B15" s="19" t="s">
        <v>21</v>
      </c>
      <c r="C15" s="20" t="n">
        <f aca="false">SUMIFS(Artikel!$AF$7:$AF$1576,Artikel!$BU$7:$BU$1576,"Aussen")</f>
        <v>0</v>
      </c>
      <c r="H15" s="19" t="s">
        <v>21</v>
      </c>
      <c r="I15" s="20" t="n">
        <f aca="false">SUMIFS(Artikel!$AN$7:$AN$1576,Artikel!$BU$7:$BU$1576,"Aussen")</f>
        <v>0</v>
      </c>
      <c r="N15" s="19" t="s">
        <v>21</v>
      </c>
      <c r="O15" s="20" t="n">
        <f aca="false">SUMIFS(Artikel!$AV$7:$AV$1576,Artikel!$BU$7:$BU$1576,"Aussen")</f>
        <v>0</v>
      </c>
    </row>
    <row r="17" customFormat="false" ht="21.75" hidden="false" customHeight="true" outlineLevel="0" collapsed="false">
      <c r="B17" s="21" t="s">
        <v>22</v>
      </c>
      <c r="E17" s="22" t="str">
        <f aca="false">IF(AND(C9&lt;=D9,C12&lt;=D12),"JA","NEIN")</f>
        <v>JA</v>
      </c>
      <c r="F17" s="22"/>
      <c r="H17" s="21" t="s">
        <v>22</v>
      </c>
      <c r="K17" s="22" t="str">
        <f aca="false">IF(AND(I9&lt;=J9,I12&lt;=J12),"JA","NEIN")</f>
        <v>NEIN</v>
      </c>
      <c r="L17" s="22"/>
      <c r="N17" s="21" t="s">
        <v>22</v>
      </c>
      <c r="Q17" s="22" t="str">
        <f aca="false">IF(AND(O9&lt;=P9,O12&lt;=P12),"JA","NEIN")</f>
        <v>NEIN</v>
      </c>
      <c r="R17" s="22"/>
    </row>
    <row r="18" customFormat="false" ht="21.75" hidden="false" customHeight="true" outlineLevel="0" collapsed="false">
      <c r="B18" s="23" t="s">
        <v>23</v>
      </c>
      <c r="D18" s="24" t="str">
        <f aca="false">IF(C9&lt;=D9,"JA","NEIN")</f>
        <v>JA</v>
      </c>
      <c r="E18" s="22"/>
      <c r="F18" s="22"/>
      <c r="H18" s="23" t="s">
        <v>23</v>
      </c>
      <c r="J18" s="24" t="str">
        <f aca="false">IF(I9&lt;=J9,"JA","NEIN")</f>
        <v>NEIN</v>
      </c>
      <c r="K18" s="22"/>
      <c r="L18" s="22"/>
      <c r="N18" s="23" t="s">
        <v>23</v>
      </c>
      <c r="P18" s="24" t="str">
        <f aca="false">IF(O9&lt;=P9,"JA","NEIN")</f>
        <v>JA</v>
      </c>
      <c r="Q18" s="22"/>
      <c r="R18" s="22"/>
    </row>
    <row r="19" customFormat="false" ht="15" hidden="false" customHeight="false" outlineLevel="0" collapsed="false">
      <c r="B19" s="23" t="s">
        <v>24</v>
      </c>
      <c r="D19" s="24" t="str">
        <f aca="false">IF(C12&lt;=D12,"JA","NEIN")</f>
        <v>JA</v>
      </c>
      <c r="H19" s="23" t="s">
        <v>24</v>
      </c>
      <c r="J19" s="24" t="str">
        <f aca="false">IF(I12&lt;=J12,"JA","NEIN")</f>
        <v>NEIN</v>
      </c>
      <c r="N19" s="23" t="s">
        <v>24</v>
      </c>
      <c r="P19" s="24" t="str">
        <f aca="false">IF(O12&lt;=P12,"JA","NEIN")</f>
        <v>NEIN</v>
      </c>
    </row>
    <row r="20" customFormat="false" ht="15" hidden="false" customHeight="false" outlineLevel="0" collapsed="false">
      <c r="B20" s="25" t="str">
        <f aca="false">IF(OR(AND(C10&gt;D10,C11&lt;D11),AND(C11&gt;D11,C10&lt;D10)),"Ausgleich Lift 2 ↔ 3 möglich: "&amp;ROUNDUP(MIN(MAX(C10-D10,C11-D11),MAX(D10-C10,D11-C11)),0)&amp;" Tablare","")</f>
        <v/>
      </c>
      <c r="C20" s="25"/>
      <c r="D20" s="25"/>
      <c r="E20" s="25"/>
      <c r="F20" s="25"/>
      <c r="H20" s="25" t="str">
        <f aca="false">IF(OR(AND(I10&gt;J10,I11&lt;J11),AND(I11&gt;J11,I10&lt;J10)),"Ausgleich Lift 2 ↔ 3 möglich: "&amp;ROUNDUP(MIN(MAX(I10-J10,I11-J11),MAX(J10-I10,J11-I11)),0)&amp;" Tablare","")</f>
        <v>Ausgleich Lift 2 ↔ 3 möglich: 27 Tablare</v>
      </c>
      <c r="I20" s="25"/>
      <c r="J20" s="25"/>
      <c r="K20" s="25"/>
      <c r="L20" s="25"/>
      <c r="N20" s="25" t="str">
        <f aca="false">IF(OR(AND(O10&gt;P10,O11&lt;P11),AND(O11&gt;P11,O10&lt;P10)),"Ausgleich Lift 2 ↔ 3 möglich: "&amp;ROUNDUP(MIN(MAX(O10-P10,O11-P11),MAX(P10-O10,P11-O11)),0)&amp;" Tablare","")</f>
        <v>Ausgleich Lift 2 ↔ 3 möglich: 27 Tablare</v>
      </c>
      <c r="O20" s="25"/>
      <c r="P20" s="25"/>
      <c r="Q20" s="25"/>
      <c r="R20" s="25"/>
    </row>
    <row r="22" customFormat="false" ht="15" hidden="false" customHeight="false" outlineLevel="0" collapsed="false">
      <c r="B22" s="5" t="s">
        <v>25</v>
      </c>
      <c r="D22" s="26" t="n">
        <f aca="false">MAX(0,C9-D9)+MAX(0,C12-D12)+C15</f>
        <v>0</v>
      </c>
      <c r="H22" s="5" t="s">
        <v>25</v>
      </c>
      <c r="J22" s="26" t="n">
        <f aca="false">MAX(0,I9-J9)+MAX(0,I12-J12)+I15</f>
        <v>39.7134693036089</v>
      </c>
      <c r="N22" s="5" t="s">
        <v>25</v>
      </c>
      <c r="P22" s="26" t="n">
        <f aca="false">MAX(0,O9-P9)+MAX(0,O12-P12)+O15</f>
        <v>29.7231139151179</v>
      </c>
    </row>
    <row r="23" customFormat="false" ht="15" hidden="false" customHeight="false" outlineLevel="0" collapsed="false">
      <c r="B23" s="23" t="s">
        <v>26</v>
      </c>
      <c r="D23" s="27" t="n">
        <f aca="false">COUNTIF(Artikel!$BB$7:$BB$1576,"Aussenlager")+COUNTIF(Artikel!$BB$7:$BB$1576,"teilweise")</f>
        <v>0</v>
      </c>
      <c r="H23" s="23" t="s">
        <v>26</v>
      </c>
      <c r="J23" s="27" t="n">
        <f aca="false">COUNTIF(Artikel!$BC$7:$BC$1576,"Aussenlager")+COUNTIF(Artikel!$BC$7:$BC$1576,"teilweise")</f>
        <v>393</v>
      </c>
      <c r="N23" s="23" t="s">
        <v>26</v>
      </c>
      <c r="P23" s="27" t="n">
        <f aca="false">COUNTIF(Artikel!$BD$7:$BD$1576,"Aussenlager")+COUNTIF(Artikel!$BD$7:$BD$1576,"teilweise")</f>
        <v>356</v>
      </c>
    </row>
    <row r="25" customFormat="false" ht="15" hidden="false" customHeight="false" outlineLevel="0" collapsed="false">
      <c r="B25" s="5" t="s">
        <v>27</v>
      </c>
      <c r="D25" s="28" t="n">
        <f aca="false">SUM(Artikel!$AG$7:$AG$1576)</f>
        <v>1595711.093</v>
      </c>
      <c r="H25" s="5" t="s">
        <v>27</v>
      </c>
      <c r="J25" s="28" t="n">
        <f aca="false">SUM(Artikel!$AO$7:$AO$1576)</f>
        <v>6669134.75205</v>
      </c>
      <c r="N25" s="5" t="s">
        <v>27</v>
      </c>
      <c r="P25" s="28" t="n">
        <f aca="false">SUM(Artikel!$AW$7:$AW$1576)</f>
        <v>5697643.49384</v>
      </c>
    </row>
    <row r="26" customFormat="false" ht="15" hidden="false" customHeight="false" outlineLevel="0" collapsed="false">
      <c r="B26" s="23" t="s">
        <v>28</v>
      </c>
      <c r="D26" s="29" t="n">
        <f aca="false">SUMPRODUCT(Artikel!$AG$7:$AG$1576,Artikel!$AK$7:$AK$1576)</f>
        <v>1562889.863</v>
      </c>
      <c r="H26" s="23" t="s">
        <v>28</v>
      </c>
      <c r="J26" s="29" t="n">
        <f aca="false">SUMPRODUCT(Artikel!$AO$7:$AO$1576,Artikel!$AS$7:$AS$1576)</f>
        <v>5487284.5277485</v>
      </c>
      <c r="N26" s="23" t="s">
        <v>28</v>
      </c>
      <c r="P26" s="29" t="n">
        <f aca="false">SUMPRODUCT(Artikel!$AW$7:$AW$1576,Artikel!$BA$7:$BA$1576)</f>
        <v>4704124.21074432</v>
      </c>
    </row>
    <row r="27" customFormat="false" ht="15" hidden="false" customHeight="false" outlineLevel="0" collapsed="false">
      <c r="B27" s="23" t="s">
        <v>29</v>
      </c>
      <c r="D27" s="29" t="n">
        <f aca="false">SUMIFS(Artikel!$AG$7:$AG$1576,Artikel!$BU$7:$BU$1576,"L1")+SUMIFS(Artikel!$AG$7:$AG$1576,Artikel!$BU$7:$BU$1576,"L23")-D26+SUMIFS(Artikel!$AG$7:$AG$1576,Artikel!$BU$7:$BU$1576,"Aussen")</f>
        <v>0</v>
      </c>
      <c r="H27" s="23" t="s">
        <v>29</v>
      </c>
      <c r="J27" s="29" t="n">
        <f aca="false">SUMIFS(Artikel!$AO$7:$AO$1576,Artikel!$BU$7:$BU$1576,"L1")+SUMIFS(Artikel!$AO$7:$AO$1576,Artikel!$BU$7:$BU$1576,"L23")-J26+SUMIFS(Artikel!$AO$7:$AO$1576,Artikel!$BU$7:$BU$1576,"Aussen")</f>
        <v>770201.474301498</v>
      </c>
      <c r="N27" s="23" t="s">
        <v>29</v>
      </c>
      <c r="P27" s="29" t="n">
        <f aca="false">SUMIFS(Artikel!$AW$7:$AW$1576,Artikel!$BU$7:$BU$1576,"L1")+SUMIFS(Artikel!$AW$7:$AW$1576,Artikel!$BU$7:$BU$1576,"L23")-P26+SUMIFS(Artikel!$AW$7:$AW$1576,Artikel!$BU$7:$BU$1576,"Aussen")</f>
        <v>671860.143095681</v>
      </c>
    </row>
    <row r="28" customFormat="false" ht="15" hidden="false" customHeight="false" outlineLevel="0" collapsed="false">
      <c r="B28" s="23" t="s">
        <v>30</v>
      </c>
      <c r="D28" s="29" t="n">
        <f aca="false">SUMIFS(Artikel!$AG$7:$AG$1576,Artikel!$BU$7:$BU$1576,"-")</f>
        <v>32821.23</v>
      </c>
      <c r="H28" s="23" t="s">
        <v>30</v>
      </c>
      <c r="J28" s="29" t="n">
        <f aca="false">SUMIFS(Artikel!$AO$7:$AO$1576,Artikel!$BU$7:$BU$1576,"-")</f>
        <v>411648.75</v>
      </c>
      <c r="N28" s="23" t="s">
        <v>30</v>
      </c>
      <c r="P28" s="29" t="n">
        <f aca="false">SUMIFS(Artikel!$AW$7:$AW$1576,Artikel!$BU$7:$BU$1576,"-")</f>
        <v>321659.14</v>
      </c>
    </row>
    <row r="30" customFormat="false" ht="15" hidden="false" customHeight="false" outlineLevel="0" collapsed="false">
      <c r="B30" s="5" t="s">
        <v>31</v>
      </c>
      <c r="D30" s="27" t="n">
        <f aca="false">SUMPRODUCT((Artikel!$G$7:$G$1576&gt;Artikel!$AH$7:$AH$1576)*1)</f>
        <v>113</v>
      </c>
      <c r="E30" s="8" t="s">
        <v>32</v>
      </c>
      <c r="H30" s="5" t="s">
        <v>31</v>
      </c>
      <c r="J30" s="27" t="n">
        <f aca="false">SUMPRODUCT((Artikel!$G$7:$G$1576&gt;Artikel!$AP$7:$AP$1576)*1)</f>
        <v>113</v>
      </c>
      <c r="K30" s="8" t="s">
        <v>32</v>
      </c>
      <c r="N30" s="5" t="s">
        <v>31</v>
      </c>
      <c r="P30" s="27" t="n">
        <f aca="false">SUMPRODUCT((Artikel!$G$7:$G$1576&gt;Artikel!$AX$7:$AX$1576)*1)</f>
        <v>116</v>
      </c>
      <c r="Q30" s="8" t="s">
        <v>32</v>
      </c>
    </row>
    <row r="31" customFormat="false" ht="15" hidden="false" customHeight="false" outlineLevel="0" collapsed="false">
      <c r="B31" s="23" t="s">
        <v>33</v>
      </c>
      <c r="D31" s="29" t="n">
        <f aca="false">SUMPRODUCT((Artikel!$G$7:$G$1576&gt;Artikel!$AH$7:$AH$1576)*(Artikel!$G$7:$G$1576-Artikel!$AH$7:$AH$1576)*Artikel!$F$7:$F$1576)</f>
        <v>478133.86</v>
      </c>
      <c r="H31" s="23" t="s">
        <v>33</v>
      </c>
      <c r="J31" s="29" t="n">
        <f aca="false">SUMPRODUCT((Artikel!$G$7:$G$1576&gt;Artikel!$AP$7:$AP$1576)*(Artikel!$G$7:$G$1576-Artikel!$AP$7:$AP$1576)*Artikel!$F$7:$F$1576)</f>
        <v>478133.86</v>
      </c>
      <c r="N31" s="23" t="s">
        <v>33</v>
      </c>
      <c r="P31" s="29" t="n">
        <f aca="false">SUMPRODUCT((Artikel!$G$7:$G$1576&gt;Artikel!$AX$7:$AX$1576)*(Artikel!$G$7:$G$1576-Artikel!$AX$7:$AX$1576)*Artikel!$F$7:$F$1576)</f>
        <v>488281.64</v>
      </c>
    </row>
    <row r="33" customFormat="false" ht="30" hidden="false" customHeight="true" outlineLevel="0" collapsed="false">
      <c r="B33" s="9" t="s">
        <v>34</v>
      </c>
      <c r="C33" s="9" t="s">
        <v>35</v>
      </c>
      <c r="D33" s="9" t="s">
        <v>36</v>
      </c>
      <c r="E33" s="9" t="s">
        <v>37</v>
      </c>
      <c r="F33" s="9" t="s">
        <v>38</v>
      </c>
      <c r="H33" s="9" t="s">
        <v>34</v>
      </c>
      <c r="I33" s="9" t="s">
        <v>35</v>
      </c>
      <c r="J33" s="9" t="s">
        <v>36</v>
      </c>
      <c r="K33" s="9" t="s">
        <v>37</v>
      </c>
      <c r="L33" s="9" t="s">
        <v>38</v>
      </c>
      <c r="N33" s="9" t="s">
        <v>34</v>
      </c>
      <c r="O33" s="9" t="s">
        <v>35</v>
      </c>
      <c r="P33" s="9" t="s">
        <v>36</v>
      </c>
      <c r="Q33" s="9" t="s">
        <v>37</v>
      </c>
      <c r="R33" s="9" t="s">
        <v>38</v>
      </c>
    </row>
    <row r="34" customFormat="false" ht="15" hidden="false" customHeight="false" outlineLevel="0" collapsed="false">
      <c r="B34" s="10" t="s">
        <v>15</v>
      </c>
      <c r="C34" s="11" t="n">
        <f aca="false">SUMIFS(Artikel!$AF$7:$AF$1576,Artikel!$BT$7:$BT$1576,1,Artikel!$BR$7:$BR$1576,0,Artikel!$CD$7:$CD$1576,0)</f>
        <v>0.666666666666667</v>
      </c>
      <c r="D34" s="11" t="n">
        <f aca="false">SUMIFS(Artikel!$AF$7:$AF$1576,Artikel!$BT$7:$BT$1576,1,Artikel!$CD$7:$CD$1576,"&gt;0")</f>
        <v>42.5</v>
      </c>
      <c r="E34" s="11" t="n">
        <f aca="false">SUMIFS(Artikel!$AF$7:$AF$1576,Artikel!$BT$7:$BT$1576,1,Artikel!$BR$7:$BR$1576,1,Artikel!$CD$7:$CD$1576,0)</f>
        <v>0</v>
      </c>
      <c r="F34" s="30" t="n">
        <f aca="false">IF(SUM(C34:E34)&gt;0,E34/SUM(C34:E34),0)</f>
        <v>0</v>
      </c>
      <c r="H34" s="10" t="s">
        <v>15</v>
      </c>
      <c r="I34" s="11" t="n">
        <f aca="false">SUMIFS(Artikel!$AN$7:$AN$1576,Artikel!$BT$7:$BT$1576,1,Artikel!$BR$7:$BR$1576,0,Artikel!$CD$7:$CD$1576,0)</f>
        <v>0.666666666666667</v>
      </c>
      <c r="J34" s="11" t="n">
        <f aca="false">SUMIFS(Artikel!$AN$7:$AN$1576,Artikel!$BT$7:$BT$1576,1,Artikel!$CD$7:$CD$1576,"&gt;0")</f>
        <v>49.3832391713748</v>
      </c>
      <c r="K34" s="11" t="n">
        <f aca="false">SUMIFS(Artikel!$AN$7:$AN$1576,Artikel!$BT$7:$BT$1576,1,Artikel!$BR$7:$BR$1576,1,Artikel!$CD$7:$CD$1576,0)</f>
        <v>0</v>
      </c>
      <c r="L34" s="30" t="n">
        <f aca="false">IF(SUM(I34:K34)&gt;0,K34/SUM(I34:K34),0)</f>
        <v>0</v>
      </c>
      <c r="N34" s="10" t="s">
        <v>15</v>
      </c>
      <c r="O34" s="11" t="n">
        <f aca="false">SUMIFS(Artikel!$AV$7:$AV$1576,Artikel!$BT$7:$BT$1576,1,Artikel!$BR$7:$BR$1576,0,Artikel!$CD$7:$CD$1576,0)</f>
        <v>0.666666666666667</v>
      </c>
      <c r="P34" s="11" t="n">
        <f aca="false">SUMIFS(Artikel!$AV$7:$AV$1576,Artikel!$BT$7:$BT$1576,1,Artikel!$CD$7:$CD$1576,"&gt;0")</f>
        <v>46.4218455743879</v>
      </c>
      <c r="Q34" s="11" t="n">
        <f aca="false">SUMIFS(Artikel!$AV$7:$AV$1576,Artikel!$BT$7:$BT$1576,1,Artikel!$BR$7:$BR$1576,1,Artikel!$CD$7:$CD$1576,0)</f>
        <v>0</v>
      </c>
      <c r="R34" s="30" t="n">
        <f aca="false">IF(SUM(O34:Q34)&gt;0,Q34/SUM(O34:Q34),0)</f>
        <v>0</v>
      </c>
    </row>
    <row r="35" customFormat="false" ht="15" hidden="false" customHeight="false" outlineLevel="0" collapsed="false">
      <c r="B35" s="10" t="s">
        <v>16</v>
      </c>
      <c r="C35" s="11" t="n">
        <f aca="false">SUMIFS(Artikel!$AF$7:$AF$1576,Artikel!$BT$7:$BT$1576,2,Artikel!$BR$7:$BR$1576,0,Artikel!$CD$7:$CD$1576,0)</f>
        <v>23.6666666666667</v>
      </c>
      <c r="D35" s="11" t="n">
        <f aca="false">SUMIFS(Artikel!$AF$7:$AF$1576,Artikel!$BT$7:$BT$1576,2,Artikel!$CD$7:$CD$1576,"&gt;0")</f>
        <v>0</v>
      </c>
      <c r="E35" s="11" t="n">
        <f aca="false">SUMIFS(Artikel!$AF$7:$AF$1576,Artikel!$BT$7:$BT$1576,2,Artikel!$BR$7:$BR$1576,1,Artikel!$CD$7:$CD$1576,0)</f>
        <v>12.6</v>
      </c>
      <c r="F35" s="30" t="n">
        <f aca="false">IF(SUM(C35:E35)&gt;0,E35/SUM(C35:E35),0)</f>
        <v>0.347426470588235</v>
      </c>
      <c r="H35" s="10" t="s">
        <v>16</v>
      </c>
      <c r="I35" s="11" t="n">
        <f aca="false">SUMIFS(Artikel!$AN$7:$AN$1576,Artikel!$BT$7:$BT$1576,2,Artikel!$BR$7:$BR$1576,0,Artikel!$CD$7:$CD$1576,0)</f>
        <v>74.3409090909091</v>
      </c>
      <c r="J35" s="11" t="n">
        <f aca="false">SUMIFS(Artikel!$AN$7:$AN$1576,Artikel!$BT$7:$BT$1576,2,Artikel!$CD$7:$CD$1576,"&gt;0")</f>
        <v>0</v>
      </c>
      <c r="K35" s="11" t="n">
        <f aca="false">SUMIFS(Artikel!$AN$7:$AN$1576,Artikel!$BT$7:$BT$1576,2,Artikel!$BR$7:$BR$1576,1,Artikel!$CD$7:$CD$1576,0)</f>
        <v>41.3298585231669</v>
      </c>
      <c r="L35" s="30" t="n">
        <f aca="false">IF(SUM(I35:K35)&gt;0,K35/SUM(I35:K35),0)</f>
        <v>0.357305993343624</v>
      </c>
      <c r="N35" s="10" t="s">
        <v>16</v>
      </c>
      <c r="O35" s="11" t="n">
        <f aca="false">SUMIFS(Artikel!$AV$7:$AV$1576,Artikel!$BT$7:$BT$1576,2,Artikel!$BR$7:$BR$1576,0,Artikel!$CD$7:$CD$1576,0)</f>
        <v>67.3409090909091</v>
      </c>
      <c r="P35" s="11" t="n">
        <f aca="false">SUMIFS(Artikel!$AV$7:$AV$1576,Artikel!$BT$7:$BT$1576,2,Artikel!$CD$7:$CD$1576,"&gt;0")</f>
        <v>0</v>
      </c>
      <c r="Q35" s="11" t="n">
        <f aca="false">SUMIFS(Artikel!$AV$7:$AV$1576,Artikel!$BT$7:$BT$1576,2,Artikel!$BR$7:$BR$1576,1,Artikel!$CD$7:$CD$1576,0)</f>
        <v>38.7775208608292</v>
      </c>
      <c r="R35" s="30" t="n">
        <f aca="false">IF(SUM(O35:Q35)&gt;0,Q35/SUM(O35:Q35),0)</f>
        <v>0.365417400902603</v>
      </c>
    </row>
    <row r="36" customFormat="false" ht="15" hidden="false" customHeight="false" outlineLevel="0" collapsed="false">
      <c r="B36" s="10" t="s">
        <v>17</v>
      </c>
      <c r="C36" s="11" t="n">
        <f aca="false">SUMIFS(Artikel!$AF$7:$AF$1576,Artikel!$BT$7:$BT$1576,3,Artikel!$BR$7:$BR$1576,0,Artikel!$CD$7:$CD$1576,0)</f>
        <v>9.39911658389919</v>
      </c>
      <c r="D36" s="11" t="n">
        <f aca="false">SUMIFS(Artikel!$AF$7:$AF$1576,Artikel!$BT$7:$BT$1576,3,Artikel!$CD$7:$CD$1576,"&gt;0")</f>
        <v>0</v>
      </c>
      <c r="E36" s="11" t="n">
        <f aca="false">SUMIFS(Artikel!$AF$7:$AF$1576,Artikel!$BT$7:$BT$1576,3,Artikel!$BR$7:$BR$1576,1,Artikel!$CD$7:$CD$1576,0)</f>
        <v>0</v>
      </c>
      <c r="F36" s="30" t="n">
        <f aca="false">IF(SUM(C36:E36)&gt;0,E36/SUM(C36:E36),0)</f>
        <v>0</v>
      </c>
      <c r="H36" s="10" t="s">
        <v>17</v>
      </c>
      <c r="I36" s="11" t="n">
        <f aca="false">SUMIFS(Artikel!$AN$7:$AN$1576,Artikel!$BT$7:$BT$1576,3,Artikel!$BR$7:$BR$1576,0,Artikel!$CD$7:$CD$1576,0)</f>
        <v>23.9927958514915</v>
      </c>
      <c r="J36" s="11" t="n">
        <f aca="false">SUMIFS(Artikel!$AN$7:$AN$1576,Artikel!$BT$7:$BT$1576,3,Artikel!$CD$7:$CD$1576,"&gt;0")</f>
        <v>0</v>
      </c>
      <c r="K36" s="11" t="n">
        <f aca="false">SUMIFS(Artikel!$AN$7:$AN$1576,Artikel!$BT$7:$BT$1576,3,Artikel!$BR$7:$BR$1576,1,Artikel!$CD$7:$CD$1576,0)</f>
        <v>0</v>
      </c>
      <c r="L36" s="30" t="n">
        <f aca="false">IF(SUM(I36:K36)&gt;0,K36/SUM(I36:K36),0)</f>
        <v>0</v>
      </c>
      <c r="N36" s="10" t="s">
        <v>17</v>
      </c>
      <c r="O36" s="11" t="n">
        <f aca="false">SUMIFS(Artikel!$AV$7:$AV$1576,Artikel!$BT$7:$BT$1576,3,Artikel!$BR$7:$BR$1576,0,Artikel!$CD$7:$CD$1576,0)</f>
        <v>23.6046839633796</v>
      </c>
      <c r="P36" s="11" t="n">
        <f aca="false">SUMIFS(Artikel!$AV$7:$AV$1576,Artikel!$BT$7:$BT$1576,3,Artikel!$CD$7:$CD$1576,"&gt;0")</f>
        <v>0</v>
      </c>
      <c r="Q36" s="11" t="n">
        <f aca="false">SUMIFS(Artikel!$AV$7:$AV$1576,Artikel!$BT$7:$BT$1576,3,Artikel!$BR$7:$BR$1576,1,Artikel!$CD$7:$CD$1576,0)</f>
        <v>0</v>
      </c>
      <c r="R36" s="30" t="n">
        <f aca="false">IF(SUM(O36:Q36)&gt;0,Q36/SUM(O36:Q36),0)</f>
        <v>0</v>
      </c>
    </row>
    <row r="37" customFormat="false" ht="15" hidden="false" customHeight="false" outlineLevel="0" collapsed="false">
      <c r="B37" s="15" t="s">
        <v>39</v>
      </c>
      <c r="C37" s="16" t="n">
        <f aca="false">SUM(C34:C36)</f>
        <v>33.7324499172325</v>
      </c>
      <c r="D37" s="16" t="n">
        <f aca="false">SUM(D34:D36)</f>
        <v>42.5</v>
      </c>
      <c r="E37" s="16" t="n">
        <f aca="false">SUM(E34:E36)</f>
        <v>12.6</v>
      </c>
      <c r="F37" s="14" t="n">
        <f aca="false">IF(SUM(C37:E37)&gt;0,E37/SUM(C37:E37),0)</f>
        <v>0.141840059704981</v>
      </c>
      <c r="H37" s="15" t="s">
        <v>39</v>
      </c>
      <c r="I37" s="16" t="n">
        <f aca="false">SUM(I34:I36)</f>
        <v>99.0003716090673</v>
      </c>
      <c r="J37" s="16" t="n">
        <f aca="false">SUM(J34:J36)</f>
        <v>49.3832391713748</v>
      </c>
      <c r="K37" s="16" t="n">
        <f aca="false">SUM(K34:K36)</f>
        <v>41.3298585231669</v>
      </c>
      <c r="L37" s="14" t="n">
        <f aca="false">IF(SUM(I37:K37)&gt;0,K37/SUM(I37:K37),0)</f>
        <v>0.21785410743306</v>
      </c>
      <c r="N37" s="15" t="s">
        <v>39</v>
      </c>
      <c r="O37" s="16" t="n">
        <f aca="false">SUM(O34:O36)</f>
        <v>91.6122597209554</v>
      </c>
      <c r="P37" s="16" t="n">
        <f aca="false">SUM(P34:P36)</f>
        <v>46.4218455743879</v>
      </c>
      <c r="Q37" s="16" t="n">
        <f aca="false">SUM(Q34:Q36)</f>
        <v>38.7775208608292</v>
      </c>
      <c r="R37" s="14" t="n">
        <f aca="false">IF(SUM(O37:Q37)&gt;0,Q37/SUM(O37:Q37),0)</f>
        <v>0.219315447201295</v>
      </c>
    </row>
    <row r="40" customFormat="false" ht="15" hidden="false" customHeight="false" outlineLevel="0" collapsed="false">
      <c r="B40" s="5" t="s">
        <v>40</v>
      </c>
      <c r="C40" s="5" t="str">
        <f aca="false">"A1: "&amp;LEFT(C5,1)&amp;IF(LEFT(C5,1)="A",""," LU "&amp;C6)</f>
        <v>A1: A</v>
      </c>
      <c r="D40" s="5" t="str">
        <f aca="false">"A2: "&amp;LEFT(I5,1)&amp;IF(LEFT(I5,1)="A",""," LU "&amp;I6)</f>
        <v>A2: C LU 2</v>
      </c>
      <c r="E40" s="5" t="str">
        <f aca="false">"A3: "&amp;LEFT(O5,1)&amp;IF(LEFT(O5,1)="A",""," LU "&amp;O6)</f>
        <v>A3: C LU 3</v>
      </c>
      <c r="F40" s="5" t="s">
        <v>41</v>
      </c>
    </row>
    <row r="41" customFormat="false" ht="15" hidden="false" customHeight="false" outlineLevel="0" collapsed="false">
      <c r="B41" s="23" t="s">
        <v>42</v>
      </c>
      <c r="C41" s="31" t="n">
        <f aca="false">F9</f>
        <v>0.863333333333333</v>
      </c>
      <c r="D41" s="31" t="n">
        <f aca="false">L9</f>
        <v>1.00099811676083</v>
      </c>
      <c r="E41" s="31" t="n">
        <f aca="false">R9</f>
        <v>0.941770244821092</v>
      </c>
      <c r="F41" s="31" t="n">
        <v>1</v>
      </c>
    </row>
    <row r="42" customFormat="false" ht="15" hidden="false" customHeight="false" outlineLevel="0" collapsed="false">
      <c r="B42" s="23" t="s">
        <v>43</v>
      </c>
      <c r="C42" s="31" t="n">
        <f aca="false">F10</f>
        <v>0.725333333333333</v>
      </c>
      <c r="D42" s="31" t="n">
        <f aca="false">L10</f>
        <v>2.31341535228152</v>
      </c>
      <c r="E42" s="31" t="n">
        <f aca="false">R10</f>
        <v>2.12236859903477</v>
      </c>
      <c r="F42" s="31" t="n">
        <v>1</v>
      </c>
    </row>
    <row r="43" customFormat="false" ht="15" hidden="false" customHeight="false" outlineLevel="0" collapsed="false">
      <c r="B43" s="23" t="s">
        <v>44</v>
      </c>
      <c r="C43" s="31" t="n">
        <f aca="false">F11</f>
        <v>0.187982331677984</v>
      </c>
      <c r="D43" s="31" t="n">
        <f aca="false">L11</f>
        <v>0.47985591702983</v>
      </c>
      <c r="E43" s="31" t="n">
        <f aca="false">R11</f>
        <v>0.472093679267592</v>
      </c>
      <c r="F43" s="31" t="n">
        <v>1</v>
      </c>
    </row>
    <row r="44" customFormat="false" ht="15" hidden="false" customHeight="false" outlineLevel="0" collapsed="false">
      <c r="B44" s="23" t="s">
        <v>45</v>
      </c>
      <c r="C44" s="31" t="n">
        <f aca="false">F12</f>
        <v>0.456657832505659</v>
      </c>
      <c r="D44" s="31" t="n">
        <f aca="false">L12</f>
        <v>1.39663563465567</v>
      </c>
      <c r="E44" s="31" t="n">
        <f aca="false">R12</f>
        <v>1.29723113915118</v>
      </c>
      <c r="F44" s="31" t="n">
        <v>1</v>
      </c>
    </row>
    <row r="45" customFormat="false" ht="15" hidden="false" customHeight="false" outlineLevel="0" collapsed="false">
      <c r="B45" s="23" t="s">
        <v>39</v>
      </c>
      <c r="C45" s="31" t="n">
        <f aca="false">F13</f>
        <v>0.59221633278155</v>
      </c>
      <c r="D45" s="31" t="n">
        <f aca="false">L13</f>
        <v>1.26475646202406</v>
      </c>
      <c r="E45" s="31" t="n">
        <f aca="false">R13</f>
        <v>1.17874417437448</v>
      </c>
      <c r="F45" s="31" t="n">
        <v>1</v>
      </c>
    </row>
  </sheetData>
  <mergeCells count="12">
    <mergeCell ref="B4:F4"/>
    <mergeCell ref="H4:L4"/>
    <mergeCell ref="N4:R4"/>
    <mergeCell ref="C5:F5"/>
    <mergeCell ref="I5:L5"/>
    <mergeCell ref="O5:R5"/>
    <mergeCell ref="E17:F18"/>
    <mergeCell ref="K17:L18"/>
    <mergeCell ref="Q17:R18"/>
    <mergeCell ref="B20:F20"/>
    <mergeCell ref="H20:L20"/>
    <mergeCell ref="N20:R20"/>
  </mergeCells>
  <conditionalFormatting sqref="C6">
    <cfRule type="expression" priority="2" aboveAverage="0" equalAverage="0" bottom="0" percent="0" rank="0" text="" dxfId="0">
      <formula>LEFT($C$5,1)="A"</formula>
    </cfRule>
  </conditionalFormatting>
  <conditionalFormatting sqref="F9:F13">
    <cfRule type="dataBar" priority="3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{28C35BBB-1A7D-4E16-B842-8C53B6728B7B}</x14:id>
        </ext>
      </extLst>
    </cfRule>
    <cfRule type="cellIs" priority="4" operator="greaterThan" aboveAverage="0" equalAverage="0" bottom="0" percent="0" rank="0" text="" dxfId="1">
      <formula>Parameter!$B$12</formula>
    </cfRule>
    <cfRule type="cellIs" priority="5" operator="greaterThanOrEqual" aboveAverage="0" equalAverage="0" bottom="0" percent="0" rank="0" text="" dxfId="2">
      <formula>Parameter!$B$11</formula>
    </cfRule>
    <cfRule type="cellIs" priority="6" operator="lessThan" aboveAverage="0" equalAverage="0" bottom="0" percent="0" rank="0" text="" dxfId="3">
      <formula>Parameter!$B$11</formula>
    </cfRule>
  </conditionalFormatting>
  <conditionalFormatting sqref="E17">
    <cfRule type="cellIs" priority="7" operator="equal" aboveAverage="0" equalAverage="0" bottom="0" percent="0" rank="0" text="" dxfId="4">
      <formula>"JA"</formula>
    </cfRule>
    <cfRule type="cellIs" priority="8" operator="equal" aboveAverage="0" equalAverage="0" bottom="0" percent="0" rank="0" text="" dxfId="5">
      <formula>"NEIN"</formula>
    </cfRule>
  </conditionalFormatting>
  <conditionalFormatting sqref="D18">
    <cfRule type="cellIs" priority="9" operator="equal" aboveAverage="0" equalAverage="0" bottom="0" percent="0" rank="0" text="" dxfId="4">
      <formula>"JA"</formula>
    </cfRule>
    <cfRule type="cellIs" priority="10" operator="equal" aboveAverage="0" equalAverage="0" bottom="0" percent="0" rank="0" text="" dxfId="5">
      <formula>"NEIN"</formula>
    </cfRule>
  </conditionalFormatting>
  <conditionalFormatting sqref="D19">
    <cfRule type="cellIs" priority="11" operator="equal" aboveAverage="0" equalAverage="0" bottom="0" percent="0" rank="0" text="" dxfId="4">
      <formula>"JA"</formula>
    </cfRule>
    <cfRule type="cellIs" priority="12" operator="equal" aboveAverage="0" equalAverage="0" bottom="0" percent="0" rank="0" text="" dxfId="5">
      <formula>"NEIN"</formula>
    </cfRule>
  </conditionalFormatting>
  <conditionalFormatting sqref="I6">
    <cfRule type="expression" priority="13" aboveAverage="0" equalAverage="0" bottom="0" percent="0" rank="0" text="" dxfId="0">
      <formula>LEFT($I$5,1)="A"</formula>
    </cfRule>
  </conditionalFormatting>
  <conditionalFormatting sqref="L9:L13">
    <cfRule type="dataBar" priority="14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{EE905238-7247-4EF4-91EC-C23AF0291C63}</x14:id>
        </ext>
      </extLst>
    </cfRule>
    <cfRule type="cellIs" priority="15" operator="greaterThan" aboveAverage="0" equalAverage="0" bottom="0" percent="0" rank="0" text="" dxfId="1">
      <formula>Parameter!$B$12</formula>
    </cfRule>
    <cfRule type="cellIs" priority="16" operator="greaterThanOrEqual" aboveAverage="0" equalAverage="0" bottom="0" percent="0" rank="0" text="" dxfId="2">
      <formula>Parameter!$B$11</formula>
    </cfRule>
    <cfRule type="cellIs" priority="17" operator="lessThan" aboveAverage="0" equalAverage="0" bottom="0" percent="0" rank="0" text="" dxfId="3">
      <formula>Parameter!$B$11</formula>
    </cfRule>
  </conditionalFormatting>
  <conditionalFormatting sqref="K17">
    <cfRule type="cellIs" priority="18" operator="equal" aboveAverage="0" equalAverage="0" bottom="0" percent="0" rank="0" text="" dxfId="4">
      <formula>"JA"</formula>
    </cfRule>
    <cfRule type="cellIs" priority="19" operator="equal" aboveAverage="0" equalAverage="0" bottom="0" percent="0" rank="0" text="" dxfId="5">
      <formula>"NEIN"</formula>
    </cfRule>
  </conditionalFormatting>
  <conditionalFormatting sqref="J18">
    <cfRule type="cellIs" priority="20" operator="equal" aboveAverage="0" equalAverage="0" bottom="0" percent="0" rank="0" text="" dxfId="4">
      <formula>"JA"</formula>
    </cfRule>
    <cfRule type="cellIs" priority="21" operator="equal" aboveAverage="0" equalAverage="0" bottom="0" percent="0" rank="0" text="" dxfId="5">
      <formula>"NEIN"</formula>
    </cfRule>
  </conditionalFormatting>
  <conditionalFormatting sqref="J19">
    <cfRule type="cellIs" priority="22" operator="equal" aboveAverage="0" equalAverage="0" bottom="0" percent="0" rank="0" text="" dxfId="4">
      <formula>"JA"</formula>
    </cfRule>
    <cfRule type="cellIs" priority="23" operator="equal" aboveAverage="0" equalAverage="0" bottom="0" percent="0" rank="0" text="" dxfId="5">
      <formula>"NEIN"</formula>
    </cfRule>
  </conditionalFormatting>
  <conditionalFormatting sqref="O6">
    <cfRule type="expression" priority="24" aboveAverage="0" equalAverage="0" bottom="0" percent="0" rank="0" text="" dxfId="0">
      <formula>LEFT($O$5,1)="A"</formula>
    </cfRule>
  </conditionalFormatting>
  <conditionalFormatting sqref="R9:R13">
    <cfRule type="dataBar" priority="25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{3E4B3B30-9274-4DC6-991B-D6F59DF8A189}</x14:id>
        </ext>
      </extLst>
    </cfRule>
    <cfRule type="cellIs" priority="26" operator="greaterThan" aboveAverage="0" equalAverage="0" bottom="0" percent="0" rank="0" text="" dxfId="1">
      <formula>Parameter!$B$12</formula>
    </cfRule>
    <cfRule type="cellIs" priority="27" operator="greaterThanOrEqual" aboveAverage="0" equalAverage="0" bottom="0" percent="0" rank="0" text="" dxfId="2">
      <formula>Parameter!$B$11</formula>
    </cfRule>
    <cfRule type="cellIs" priority="28" operator="lessThan" aboveAverage="0" equalAverage="0" bottom="0" percent="0" rank="0" text="" dxfId="3">
      <formula>Parameter!$B$11</formula>
    </cfRule>
  </conditionalFormatting>
  <conditionalFormatting sqref="Q17">
    <cfRule type="cellIs" priority="29" operator="equal" aboveAverage="0" equalAverage="0" bottom="0" percent="0" rank="0" text="" dxfId="4">
      <formula>"JA"</formula>
    </cfRule>
    <cfRule type="cellIs" priority="30" operator="equal" aboveAverage="0" equalAverage="0" bottom="0" percent="0" rank="0" text="" dxfId="5">
      <formula>"NEIN"</formula>
    </cfRule>
  </conditionalFormatting>
  <conditionalFormatting sqref="P18">
    <cfRule type="cellIs" priority="31" operator="equal" aboveAverage="0" equalAverage="0" bottom="0" percent="0" rank="0" text="" dxfId="4">
      <formula>"JA"</formula>
    </cfRule>
    <cfRule type="cellIs" priority="32" operator="equal" aboveAverage="0" equalAverage="0" bottom="0" percent="0" rank="0" text="" dxfId="5">
      <formula>"NEIN"</formula>
    </cfRule>
  </conditionalFormatting>
  <conditionalFormatting sqref="P19">
    <cfRule type="cellIs" priority="33" operator="equal" aboveAverage="0" equalAverage="0" bottom="0" percent="0" rank="0" text="" dxfId="4">
      <formula>"JA"</formula>
    </cfRule>
    <cfRule type="cellIs" priority="34" operator="equal" aboveAverage="0" equalAverage="0" bottom="0" percent="0" rank="0" text="" dxfId="5">
      <formula>"NEIN"</formula>
    </cfRule>
  </conditionalFormatting>
  <dataValidations count="2">
    <dataValidation allowBlank="false" errorStyle="stop" operator="between" showDropDown="false" showErrorMessage="false" showInputMessage="false" sqref="C5 I5 O5" type="list">
      <formula1>Parameter!$D$23:$D$25</formula1>
      <formula2>0</formula2>
    </dataValidation>
    <dataValidation allowBlank="false" errorStyle="stop" operator="between" showDropDown="false" showErrorMessage="false" showInputMessage="false" sqref="C6 I6 O6" type="list">
      <formula1>Parameter!$A$23:$A$30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8C35BBB-1A7D-4E16-B842-8C53B6728B7B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F9:F13</xm:sqref>
        </x14:conditionalFormatting>
        <x14:conditionalFormatting xmlns:xm="http://schemas.microsoft.com/office/excel/2006/main">
          <x14:cfRule type="dataBar" id="{EE905238-7247-4EF4-91EC-C23AF0291C63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L9:L13</xm:sqref>
        </x14:conditionalFormatting>
        <x14:conditionalFormatting xmlns:xm="http://schemas.microsoft.com/office/excel/2006/main">
          <x14:cfRule type="dataBar" id="{3E4B3B30-9274-4DC6-991B-D6F59DF8A189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R9:R13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5" min="3" style="0" width="9"/>
    <col collapsed="false" customWidth="true" hidden="false" outlineLevel="0" max="6" min="6" style="0" width="10"/>
    <col collapsed="false" customWidth="true" hidden="false" outlineLevel="0" max="8" min="7" style="0" width="9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5" min="13" style="0" width="10"/>
    <col collapsed="false" customWidth="true" hidden="false" outlineLevel="0" max="16" min="16" style="0" width="11"/>
  </cols>
  <sheetData>
    <row r="1" customFormat="false" ht="17.35" hidden="false" customHeight="false" outlineLevel="0" collapsed="false">
      <c r="A1" s="32" t="s">
        <v>46</v>
      </c>
    </row>
    <row r="2" customFormat="false" ht="15" hidden="false" customHeight="false" outlineLevel="0" collapsed="false">
      <c r="A2" s="33" t="s">
        <v>47</v>
      </c>
    </row>
    <row r="4" customFormat="false" ht="30" hidden="false" customHeight="true" outlineLevel="0" collapsed="false">
      <c r="A4" s="9" t="s">
        <v>5</v>
      </c>
      <c r="B4" s="9" t="s">
        <v>8</v>
      </c>
      <c r="C4" s="9" t="s">
        <v>48</v>
      </c>
      <c r="D4" s="9" t="s">
        <v>49</v>
      </c>
      <c r="E4" s="9" t="s">
        <v>50</v>
      </c>
      <c r="F4" s="9" t="s">
        <v>51</v>
      </c>
      <c r="G4" s="9" t="s">
        <v>52</v>
      </c>
      <c r="H4" s="9" t="s">
        <v>53</v>
      </c>
      <c r="I4" s="9" t="s">
        <v>54</v>
      </c>
      <c r="J4" s="9" t="s">
        <v>55</v>
      </c>
      <c r="K4" s="9" t="s">
        <v>56</v>
      </c>
      <c r="L4" s="9" t="s">
        <v>57</v>
      </c>
      <c r="M4" s="9" t="s">
        <v>58</v>
      </c>
      <c r="N4" s="9" t="s">
        <v>59</v>
      </c>
      <c r="O4" s="9" t="s">
        <v>60</v>
      </c>
      <c r="P4" s="9" t="s">
        <v>61</v>
      </c>
    </row>
    <row r="5" customFormat="false" ht="15" hidden="false" customHeight="false" outlineLevel="0" collapsed="false">
      <c r="A5" s="34" t="s">
        <v>62</v>
      </c>
      <c r="B5" s="35" t="s">
        <v>63</v>
      </c>
      <c r="C5" s="36" t="n">
        <f aca="false">M5/Parameter!$E$5</f>
        <v>0.863333333333333</v>
      </c>
      <c r="D5" s="36" t="n">
        <f aca="false">N5/Parameter!$E$6</f>
        <v>0.725333333333333</v>
      </c>
      <c r="E5" s="36" t="n">
        <f aca="false">O5/Parameter!$E$7</f>
        <v>0.187982331677984</v>
      </c>
      <c r="F5" s="37" t="n">
        <f aca="false">(N5+O5)/(Parameter!$E$6+Parameter!$E$7)</f>
        <v>0.456657832505659</v>
      </c>
      <c r="G5" s="37" t="n">
        <f aca="false">(M5+N5+O5)/Parameter!$E$8</f>
        <v>0.59221633278155</v>
      </c>
      <c r="H5" s="38" t="str">
        <f aca="false">IF(AND(M5&lt;=Parameter!$E$5,N5+O5&lt;=Parameter!$E$6+Parameter!$E$7),"JA","NEIN")</f>
        <v>JA</v>
      </c>
      <c r="I5" s="39" t="n">
        <f aca="false">MAX(0,M5-Parameter!$E$5)+MAX(0,N5+O5-Parameter!$E$6-Parameter!$E$7)+P5</f>
        <v>0</v>
      </c>
      <c r="J5" s="40" t="n">
        <f aca="false">SUMPRODUCT(A_IST*A_PREIS)</f>
        <v>1595711.093</v>
      </c>
      <c r="K5" s="41" t="n">
        <f aca="false">J5-$J$5</f>
        <v>0</v>
      </c>
      <c r="L5" s="42" t="n">
        <f aca="false">(M5+N5+O5+P5)-($M$5+$N$5+$O$5+$P$5)</f>
        <v>0</v>
      </c>
      <c r="M5" s="11" t="n">
        <f aca="false">SUMPRODUCT((A_LIFT=1)*((A_FACH&gt;0)*A_FACH*(1+(A_KAPR&gt;0)*(A_IST&gt;A_KAPR)*(A_IST/(A_KAPR+(A_KAPR=0))-1))+(A_FACH=0)*((1-A_LOSE)*(A_GPT&gt;0)*A_ISTN/(A_GPT+(A_GPT=0))+A_LOSE*(A_IST&gt;0)*A_LA*(1+(A_IST&gt;0)*(A_IST&gt;A_IST)*(A_IST/(A_IST+(A_IST=0))-1)))/MAX(0.1,N(Parameter!$M$21))))</f>
        <v>43.1666666666667</v>
      </c>
      <c r="N5" s="11" t="n">
        <f aca="false">SUMPRODUCT((A_LIFT=2)*((A_FACH&gt;0)*A_FACH*(1+(A_KAPR&gt;0)*(A_IST&gt;A_KAPR)*(A_IST/(A_KAPR+(A_KAPR=0))-1))+(A_FACH=0)*((1-A_LOSE)*(A_GPT&gt;0)*A_ISTN/(A_GPT+(A_GPT=0))+A_LOSE*(A_IST&gt;0)*A_LA*(1+(A_IST&gt;0)*(A_IST&gt;A_IST)*(A_IST/(A_IST+(A_IST=0))-1)))/MAX(0.1,N(Parameter!$M$21))))</f>
        <v>36.2666666666667</v>
      </c>
      <c r="O5" s="11" t="n">
        <f aca="false">SUMPRODUCT((A_LIFT=3)*((A_FACH&gt;0)*A_FACH*(1+(A_KAPR&gt;0)*(A_IST&gt;A_KAPR)*(A_IST/(A_KAPR+(A_KAPR=0))-1))+(A_FACH=0)*((1-A_LOSE)*(A_GPT&gt;0)*A_ISTN/(A_GPT+(A_GPT=0))+A_LOSE*(A_IST&gt;0)*A_LA*(1+(A_IST&gt;0)*(A_IST&gt;A_IST)*(A_IST/(A_IST+(A_IST=0))-1)))/MAX(0.1,N(Parameter!$M$21))))</f>
        <v>9.39911658389919</v>
      </c>
      <c r="P5" s="11" t="n">
        <f aca="false">SUMPRODUCT((A_LIFT="Aussen")*((A_FACH&gt;0)*A_FACH*(1+(A_KAPR&gt;0)*(A_IST&gt;A_KAPR)*(A_IST/(A_KAPR+(A_KAPR=0))-1))+(A_FACH=0)*((1-A_LOSE)*(A_GPT&gt;0)*A_ISTN/(A_GPT+(A_GPT=0))+A_LOSE*(A_IST&gt;0)*A_LA*(1+(A_IST&gt;0)*(A_IST&gt;A_IST)*(A_IST/(A_IST+(A_IST=0))-1)))/MAX(0.1,N(Parameter!$M$21))))</f>
        <v>0</v>
      </c>
    </row>
    <row r="6" customFormat="false" ht="15" hidden="false" customHeight="false" outlineLevel="0" collapsed="false">
      <c r="A6" s="10" t="s">
        <v>64</v>
      </c>
      <c r="B6" s="43" t="n">
        <f aca="false">Parameter!$A$23</f>
        <v>1</v>
      </c>
      <c r="C6" s="30" t="n">
        <f aca="false">M6/Parameter!$E$5</f>
        <v>1.38197740112994</v>
      </c>
      <c r="D6" s="30" t="n">
        <f aca="false">N6/Parameter!$E$6</f>
        <v>3.09332898864516</v>
      </c>
      <c r="E6" s="30" t="n">
        <f aca="false">O6/Parameter!$E$7</f>
        <v>0.527544170805041</v>
      </c>
      <c r="F6" s="14" t="n">
        <f aca="false">(N6+O6)/(Parameter!$E$6+Parameter!$E$7)</f>
        <v>1.8104365797251</v>
      </c>
      <c r="G6" s="14" t="n">
        <f aca="false">(M6+N6+O6)/Parameter!$E$8</f>
        <v>1.66761685352671</v>
      </c>
      <c r="H6" s="44" t="str">
        <f aca="false">IF(AND(M6&lt;=Parameter!$E$5,N6+O6&lt;=Parameter!$E$6+Parameter!$E$7),"JA","NEIN")</f>
        <v>NEIN</v>
      </c>
      <c r="I6" s="11" t="n">
        <f aca="false">MAX(0,M6-Parameter!$E$5)+MAX(0,N6+O6-Parameter!$E$6-Parameter!$E$7)+P6</f>
        <v>100.142528029007</v>
      </c>
      <c r="J6" s="45" t="n">
        <f aca="false">SUMPRODUCT((A_FINF*A_FINV+(1-A_FINF)*ROUNDUP((A_VERB/(A_LUO+(A_LUO=0)*$B6)+(A_MBLG&gt;A_VERB/(A_LUO+(A_LUO=0)*$B6))*(A_MBLG-A_VERB/(A_LUO+(A_LUO=0)*$B6)))/A_MPG_E,0)*A_MPG_E)*A_PREIS)</f>
        <v>9867742.96489</v>
      </c>
      <c r="K6" s="46" t="n">
        <f aca="false">J6-$J$5</f>
        <v>8272031.87189</v>
      </c>
      <c r="L6" s="47" t="n">
        <f aca="false">(M6+N6+O6+P6)-($M$5+$N$5+$O$5+$P$5)</f>
        <v>161.310078111774</v>
      </c>
      <c r="M6" s="11" t="n">
        <f aca="false">SUMPRODUCT((A_LIFT=1)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GPT&gt;0)*(A_FINF*A_FINN+(1-A_FINF)*ROUNDUP((A_VERB/(A_LUO+(A_LUO=0)*$B6)+(A_MBLG&gt;A_VERB/(A_LUO+(A_LUO=0)*$B6))*(A_MBLG-A_VERB/(A_LUO+(A_LUO=0)*$B6)))/A_MPG_E,0))/(A_GPT+(A_GPT=0))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/MAX(0.1,N(Parameter!$M$21))))</f>
        <v>69.0988700564972</v>
      </c>
      <c r="N6" s="11" t="n">
        <f aca="false">SUMPRODUCT((A_LIFT=2)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GPT&gt;0)*(A_FINF*A_FINN+(1-A_FINF)*ROUNDUP((A_VERB/(A_LUO+(A_LUO=0)*$B6)+(A_MBLG&gt;A_VERB/(A_LUO+(A_LUO=0)*$B6))*(A_MBLG-A_VERB/(A_LUO+(A_LUO=0)*$B6)))/A_MPG_E,0))/(A_GPT+(A_GPT=0))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/MAX(0.1,N(Parameter!$M$21))))</f>
        <v>154.666449432258</v>
      </c>
      <c r="O6" s="11" t="n">
        <f aca="false">SUMPRODUCT((A_LIFT=3)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GPT&gt;0)*(A_FINF*A_FINN+(1-A_FINF)*ROUNDUP((A_VERB/(A_LUO+(A_LUO=0)*$B6)+(A_MBLG&gt;A_VERB/(A_LUO+(A_LUO=0)*$B6))*(A_MBLG-A_VERB/(A_LUO+(A_LUO=0)*$B6)))/A_MPG_E,0))/(A_GPT+(A_GPT=0))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/MAX(0.1,N(Parameter!$M$21))))</f>
        <v>26.377208540252</v>
      </c>
      <c r="P6" s="11" t="n">
        <f aca="false">SUMPRODUCT((A_LIFT="Aussen")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GPT&gt;0)*(A_FINF*A_FINN+(1-A_FINF)*ROUNDUP((A_VERB/(A_LUO+(A_LUO=0)*$B6)+(A_MBLG&gt;A_VERB/(A_LUO+(A_LUO=0)*$B6))*(A_MBLG-A_VERB/(A_LUO+(A_LUO=0)*$B6)))/A_MPG_E,0))/(A_GPT+(A_GPT=0))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/MAX(0.1,N(Parameter!$M$21))))</f>
        <v>0</v>
      </c>
    </row>
    <row r="7" customFormat="false" ht="15" hidden="false" customHeight="false" outlineLevel="0" collapsed="false">
      <c r="A7" s="10" t="s">
        <v>64</v>
      </c>
      <c r="B7" s="43" t="n">
        <f aca="false">Parameter!$A$24</f>
        <v>1.5</v>
      </c>
      <c r="C7" s="30" t="n">
        <f aca="false">M7/Parameter!$E$5</f>
        <v>1.10664783427495</v>
      </c>
      <c r="D7" s="30" t="n">
        <f aca="false">N7/Parameter!$E$6</f>
        <v>2.52757065531182</v>
      </c>
      <c r="E7" s="30" t="n">
        <f aca="false">O7/Parameter!$E$7</f>
        <v>0.482905476166346</v>
      </c>
      <c r="F7" s="14" t="n">
        <f aca="false">(N7+O7)/(Parameter!$E$6+Parameter!$E$7)</f>
        <v>1.50523806573908</v>
      </c>
      <c r="G7" s="14" t="n">
        <f aca="false">(M7+N7+O7)/Parameter!$E$8</f>
        <v>1.37237465525104</v>
      </c>
      <c r="H7" s="44" t="str">
        <f aca="false">IF(AND(M7&lt;=Parameter!$E$5,N7+O7&lt;=Parameter!$E$6+Parameter!$E$7),"JA","NEIN")</f>
        <v>NEIN</v>
      </c>
      <c r="I7" s="11" t="n">
        <f aca="false">MAX(0,M7-Parameter!$E$5)+MAX(0,N7+O7-Parameter!$E$6-Parameter!$E$7)+P7</f>
        <v>55.856198287656</v>
      </c>
      <c r="J7" s="45" t="n">
        <f aca="false">SUMPRODUCT((A_FINF*A_FINV+(1-A_FINF)*ROUNDUP((A_VERB/(A_LUO+(A_LUO=0)*$B7)+(A_MBLG&gt;A_VERB/(A_LUO+(A_LUO=0)*$B7))*(A_MBLG-A_VERB/(A_LUO+(A_LUO=0)*$B7)))/A_MPG_E,0)*A_MPG_E)*A_PREIS)</f>
        <v>7476000.29026</v>
      </c>
      <c r="K7" s="46" t="n">
        <f aca="false">J7-$J$5</f>
        <v>5880289.19726</v>
      </c>
      <c r="L7" s="47" t="n">
        <f aca="false">(M7+N7+O7+P7)-($M$5+$N$5+$O$5+$P$5)</f>
        <v>117.023748370423</v>
      </c>
      <c r="M7" s="11" t="n">
        <f aca="false">SUMPRODUCT((A_LIFT=1)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GPT&gt;0)*(A_FINF*A_FINN+(1-A_FINF)*ROUNDUP((A_VERB/(A_LUO+(A_LUO=0)*$B7)+(A_MBLG&gt;A_VERB/(A_LUO+(A_LUO=0)*$B7))*(A_MBLG-A_VERB/(A_LUO+(A_LUO=0)*$B7)))/A_MPG_E,0))/(A_GPT+(A_GPT=0))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/MAX(0.1,N(Parameter!$M$21))))</f>
        <v>55.3323917137477</v>
      </c>
      <c r="N7" s="11" t="n">
        <f aca="false">SUMPRODUCT((A_LIFT=2)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GPT&gt;0)*(A_FINF*A_FINN+(1-A_FINF)*ROUNDUP((A_VERB/(A_LUO+(A_LUO=0)*$B7)+(A_MBLG&gt;A_VERB/(A_LUO+(A_LUO=0)*$B7))*(A_MBLG-A_VERB/(A_LUO+(A_LUO=0)*$B7)))/A_MPG_E,0))/(A_GPT+(A_GPT=0))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/MAX(0.1,N(Parameter!$M$21))))</f>
        <v>126.378532765591</v>
      </c>
      <c r="O7" s="11" t="n">
        <f aca="false">SUMPRODUCT((A_LIFT=3)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GPT&gt;0)*(A_FINF*A_FINN+(1-A_FINF)*ROUNDUP((A_VERB/(A_LUO+(A_LUO=0)*$B7)+(A_MBLG&gt;A_VERB/(A_LUO+(A_LUO=0)*$B7))*(A_MBLG-A_VERB/(A_LUO+(A_LUO=0)*$B7)))/A_MPG_E,0))/(A_GPT+(A_GPT=0))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/MAX(0.1,N(Parameter!$M$21))))</f>
        <v>24.1452738083173</v>
      </c>
      <c r="P7" s="11" t="n">
        <f aca="false">SUMPRODUCT((A_LIFT="Aussen")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GPT&gt;0)*(A_FINF*A_FINN+(1-A_FINF)*ROUNDUP((A_VERB/(A_LUO+(A_LUO=0)*$B7)+(A_MBLG&gt;A_VERB/(A_LUO+(A_LUO=0)*$B7))*(A_MBLG-A_VERB/(A_LUO+(A_LUO=0)*$B7)))/A_MPG_E,0))/(A_GPT+(A_GPT=0))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/MAX(0.1,N(Parameter!$M$21))))</f>
        <v>0</v>
      </c>
    </row>
    <row r="8" customFormat="false" ht="15" hidden="false" customHeight="false" outlineLevel="0" collapsed="false">
      <c r="A8" s="10" t="s">
        <v>64</v>
      </c>
      <c r="B8" s="43" t="n">
        <f aca="false">Parameter!$A$25</f>
        <v>2</v>
      </c>
      <c r="C8" s="30" t="n">
        <f aca="false">M8/Parameter!$E$5</f>
        <v>1.00099811676083</v>
      </c>
      <c r="D8" s="30" t="n">
        <f aca="false">N8/Parameter!$E$6</f>
        <v>2.22841535228152</v>
      </c>
      <c r="E8" s="30" t="n">
        <f aca="false">O8/Parameter!$E$7</f>
        <v>0.466126144387014</v>
      </c>
      <c r="F8" s="14" t="n">
        <f aca="false">(N8+O8)/(Parameter!$E$6+Parameter!$E$7)</f>
        <v>1.34727074833427</v>
      </c>
      <c r="G8" s="14" t="n">
        <f aca="false">(M8+N8+O8)/Parameter!$E$8</f>
        <v>1.23184653780979</v>
      </c>
      <c r="H8" s="44" t="str">
        <f aca="false">IF(AND(M8&lt;=Parameter!$E$5,N8+O8&lt;=Parameter!$E$6+Parameter!$E$7),"JA","NEIN")</f>
        <v>NEIN</v>
      </c>
      <c r="I8" s="11" t="n">
        <f aca="false">MAX(0,M8-Parameter!$E$5)+MAX(0,N8+O8-Parameter!$E$6-Parameter!$E$7)+P8</f>
        <v>34.7769806714681</v>
      </c>
      <c r="J8" s="45" t="n">
        <f aca="false">SUMPRODUCT((A_FINF*A_FINV+(1-A_FINF)*ROUNDUP((A_VERB/(A_LUO+(A_LUO=0)*$B8)+(A_MBLG&gt;A_VERB/(A_LUO+(A_LUO=0)*$B8))*(A_MBLG-A_VERB/(A_LUO+(A_LUO=0)*$B8)))/A_MPG_E,0)*A_MPG_E)*A_PREIS)</f>
        <v>6191000.89205</v>
      </c>
      <c r="K8" s="46" t="n">
        <f aca="false">J8-$J$5</f>
        <v>4595289.79905</v>
      </c>
      <c r="L8" s="47" t="n">
        <f aca="false">(M8+N8+O8+P8)-($M$5+$N$5+$O$5+$P$5)</f>
        <v>95.9445307542356</v>
      </c>
      <c r="M8" s="11" t="n">
        <f aca="false">SUMPRODUCT((A_LIFT=1)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GPT&gt;0)*(A_FINF*A_FINN+(1-A_FINF)*ROUNDUP((A_VERB/(A_LUO+(A_LUO=0)*$B8)+(A_MBLG&gt;A_VERB/(A_LUO+(A_LUO=0)*$B8))*(A_MBLG-A_VERB/(A_LUO+(A_LUO=0)*$B8)))/A_MPG_E,0))/(A_GPT+(A_GPT=0))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/MAX(0.1,N(Parameter!$M$21))))</f>
        <v>50.0499058380414</v>
      </c>
      <c r="N8" s="11" t="n">
        <f aca="false">SUMPRODUCT((A_LIFT=2)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GPT&gt;0)*(A_FINF*A_FINN+(1-A_FINF)*ROUNDUP((A_VERB/(A_LUO+(A_LUO=0)*$B8)+(A_MBLG&gt;A_VERB/(A_LUO+(A_LUO=0)*$B8))*(A_MBLG-A_VERB/(A_LUO+(A_LUO=0)*$B8)))/A_MPG_E,0))/(A_GPT+(A_GPT=0))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/MAX(0.1,N(Parameter!$M$21))))</f>
        <v>111.420767614076</v>
      </c>
      <c r="O8" s="11" t="n">
        <f aca="false">SUMPRODUCT((A_LIFT=3)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GPT&gt;0)*(A_FINF*A_FINN+(1-A_FINF)*ROUNDUP((A_VERB/(A_LUO+(A_LUO=0)*$B8)+(A_MBLG&gt;A_VERB/(A_LUO+(A_LUO=0)*$B8))*(A_MBLG-A_VERB/(A_LUO+(A_LUO=0)*$B8)))/A_MPG_E,0))/(A_GPT+(A_GPT=0))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/MAX(0.1,N(Parameter!$M$21))))</f>
        <v>23.3063072193507</v>
      </c>
      <c r="P8" s="11" t="n">
        <f aca="false">SUMPRODUCT((A_LIFT="Aussen")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GPT&gt;0)*(A_FINF*A_FINN+(1-A_FINF)*ROUNDUP((A_VERB/(A_LUO+(A_LUO=0)*$B8)+(A_MBLG&gt;A_VERB/(A_LUO+(A_LUO=0)*$B8))*(A_MBLG-A_VERB/(A_LUO+(A_LUO=0)*$B8)))/A_MPG_E,0))/(A_GPT+(A_GPT=0))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/MAX(0.1,N(Parameter!$M$21))))</f>
        <v>0</v>
      </c>
    </row>
    <row r="9" customFormat="false" ht="15" hidden="false" customHeight="false" outlineLevel="0" collapsed="false">
      <c r="A9" s="10" t="s">
        <v>64</v>
      </c>
      <c r="B9" s="43" t="n">
        <f aca="false">Parameter!$A$26</f>
        <v>2.5</v>
      </c>
      <c r="C9" s="30" t="n">
        <f aca="false">M9/Parameter!$E$5</f>
        <v>0.954576271186441</v>
      </c>
      <c r="D9" s="30" t="n">
        <f aca="false">N9/Parameter!$E$6</f>
        <v>2.12884110985728</v>
      </c>
      <c r="E9" s="30" t="n">
        <f aca="false">O9/Parameter!$E$7</f>
        <v>0.460356913617783</v>
      </c>
      <c r="F9" s="14" t="n">
        <f aca="false">(N9+O9)/(Parameter!$E$6+Parameter!$E$7)</f>
        <v>1.29459901173753</v>
      </c>
      <c r="G9" s="14" t="n">
        <f aca="false">(M9+N9+O9)/Parameter!$E$8</f>
        <v>1.1812580982205</v>
      </c>
      <c r="H9" s="44" t="str">
        <f aca="false">IF(AND(M9&lt;=Parameter!$E$5,N9+O9&lt;=Parameter!$E$6+Parameter!$E$7),"JA","NEIN")</f>
        <v>NEIN</v>
      </c>
      <c r="I9" s="11" t="n">
        <f aca="false">MAX(0,M9-Parameter!$E$5)+MAX(0,N9+O9-Parameter!$E$6-Parameter!$E$7)+P9</f>
        <v>29.459901173753</v>
      </c>
      <c r="J9" s="45" t="n">
        <f aca="false">SUMPRODUCT((A_FINF*A_FINV+(1-A_FINF)*ROUNDUP((A_VERB/(A_LUO+(A_LUO=0)*$B9)+(A_MBLG&gt;A_VERB/(A_LUO+(A_LUO=0)*$B9))*(A_MBLG-A_VERB/(A_LUO+(A_LUO=0)*$B9)))/A_MPG_E,0)*A_MPG_E)*A_PREIS)</f>
        <v>5659600.69384</v>
      </c>
      <c r="K9" s="46" t="n">
        <f aca="false">J9-$J$5</f>
        <v>4063889.60084</v>
      </c>
      <c r="L9" s="47" t="n">
        <f aca="false">(M9+N9+O9+P9)-($M$5+$N$5+$O$5+$P$5)</f>
        <v>88.3562648158425</v>
      </c>
      <c r="M9" s="11" t="n">
        <f aca="false">SUMPRODUCT((A_LIFT=1)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GPT&gt;0)*(A_FINF*A_FINN+(1-A_FINF)*ROUNDUP((A_VERB/(A_LUO+(A_LUO=0)*$B9)+(A_MBLG&gt;A_VERB/(A_LUO+(A_LUO=0)*$B9))*(A_MBLG-A_VERB/(A_LUO+(A_LUO=0)*$B9)))/A_MPG_E,0))/(A_GPT+(A_GPT=0))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/MAX(0.1,N(Parameter!$M$21))))</f>
        <v>47.728813559322</v>
      </c>
      <c r="N9" s="11" t="n">
        <f aca="false">SUMPRODUCT((A_LIFT=2)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GPT&gt;0)*(A_FINF*A_FINN+(1-A_FINF)*ROUNDUP((A_VERB/(A_LUO+(A_LUO=0)*$B9)+(A_MBLG&gt;A_VERB/(A_LUO+(A_LUO=0)*$B9))*(A_MBLG-A_VERB/(A_LUO+(A_LUO=0)*$B9)))/A_MPG_E,0))/(A_GPT+(A_GPT=0))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/MAX(0.1,N(Parameter!$M$21))))</f>
        <v>106.442055492864</v>
      </c>
      <c r="O9" s="11" t="n">
        <f aca="false">SUMPRODUCT((A_LIFT=3)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GPT&gt;0)*(A_FINF*A_FINN+(1-A_FINF)*ROUNDUP((A_VERB/(A_LUO+(A_LUO=0)*$B9)+(A_MBLG&gt;A_VERB/(A_LUO+(A_LUO=0)*$B9))*(A_MBLG-A_VERB/(A_LUO+(A_LUO=0)*$B9)))/A_MPG_E,0))/(A_GPT+(A_GPT=0))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/MAX(0.1,N(Parameter!$M$21))))</f>
        <v>23.0178456808892</v>
      </c>
      <c r="P9" s="11" t="n">
        <f aca="false">SUMPRODUCT((A_LIFT="Aussen")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GPT&gt;0)*(A_FINF*A_FINN+(1-A_FINF)*ROUNDUP((A_VERB/(A_LUO+(A_LUO=0)*$B9)+(A_MBLG&gt;A_VERB/(A_LUO+(A_LUO=0)*$B9))*(A_MBLG-A_VERB/(A_LUO+(A_LUO=0)*$B9)))/A_MPG_E,0))/(A_GPT+(A_GPT=0))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/MAX(0.1,N(Parameter!$M$21))))</f>
        <v>0</v>
      </c>
    </row>
    <row r="10" customFormat="false" ht="15" hidden="false" customHeight="false" outlineLevel="0" collapsed="false">
      <c r="A10" s="10" t="s">
        <v>64</v>
      </c>
      <c r="B10" s="43" t="n">
        <f aca="false">Parameter!$A$27</f>
        <v>3</v>
      </c>
      <c r="C10" s="30" t="n">
        <f aca="false">M10/Parameter!$E$5</f>
        <v>0.941770244821092</v>
      </c>
      <c r="D10" s="30" t="n">
        <f aca="false">N10/Parameter!$E$6</f>
        <v>2.0357019323681</v>
      </c>
      <c r="E10" s="30" t="n">
        <f aca="false">O10/Parameter!$E$7</f>
        <v>0.457594675855546</v>
      </c>
      <c r="F10" s="14" t="n">
        <f aca="false">(N10+O10)/(Parameter!$E$6+Parameter!$E$7)</f>
        <v>1.24664830411182</v>
      </c>
      <c r="G10" s="14" t="n">
        <f aca="false">(M10+N10+O10)/Parameter!$E$8</f>
        <v>1.14502228434825</v>
      </c>
      <c r="H10" s="44" t="str">
        <f aca="false">IF(AND(M10&lt;=Parameter!$E$5,N10+O10&lt;=Parameter!$E$6+Parameter!$E$7),"JA","NEIN")</f>
        <v>NEIN</v>
      </c>
      <c r="I10" s="11" t="n">
        <f aca="false">MAX(0,M10-Parameter!$E$5)+MAX(0,N10+O10-Parameter!$E$6-Parameter!$E$7)+P10</f>
        <v>24.6648304111822</v>
      </c>
      <c r="J10" s="45" t="n">
        <f aca="false">SUMPRODUCT((A_FINF*A_FINV+(1-A_FINF)*ROUNDUP((A_VERB/(A_LUO+(A_LUO=0)*$B10)+(A_MBLG&gt;A_VERB/(A_LUO+(A_LUO=0)*$B10))*(A_MBLG-A_VERB/(A_LUO+(A_LUO=0)*$B10)))/A_MPG_E,0)*A_MPG_E)*A_PREIS)</f>
        <v>5209361.85384</v>
      </c>
      <c r="K10" s="46" t="n">
        <f aca="false">J10-$J$5</f>
        <v>3613650.76084</v>
      </c>
      <c r="L10" s="47" t="n">
        <f aca="false">(M10+N10+O10+P10)-($M$5+$N$5+$O$5+$P$5)</f>
        <v>82.9208927350043</v>
      </c>
      <c r="M10" s="11" t="n">
        <f aca="false">SUMPRODUCT((A_LIFT=1)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GPT&gt;0)*(A_FINF*A_FINN+(1-A_FINF)*ROUNDUP((A_VERB/(A_LUO+(A_LUO=0)*$B10)+(A_MBLG&gt;A_VERB/(A_LUO+(A_LUO=0)*$B10))*(A_MBLG-A_VERB/(A_LUO+(A_LUO=0)*$B10)))/A_MPG_E,0))/(A_GPT+(A_GPT=0))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/MAX(0.1,N(Parameter!$M$21))))</f>
        <v>47.0885122410546</v>
      </c>
      <c r="N10" s="11" t="n">
        <f aca="false">SUMPRODUCT((A_LIFT=2)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GPT&gt;0)*(A_FINF*A_FINN+(1-A_FINF)*ROUNDUP((A_VERB/(A_LUO+(A_LUO=0)*$B10)+(A_MBLG&gt;A_VERB/(A_LUO+(A_LUO=0)*$B10))*(A_MBLG-A_VERB/(A_LUO+(A_LUO=0)*$B10)))/A_MPG_E,0))/(A_GPT+(A_GPT=0))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/MAX(0.1,N(Parameter!$M$21))))</f>
        <v>101.785096618405</v>
      </c>
      <c r="O10" s="11" t="n">
        <f aca="false">SUMPRODUCT((A_LIFT=3)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GPT&gt;0)*(A_FINF*A_FINN+(1-A_FINF)*ROUNDUP((A_VERB/(A_LUO+(A_LUO=0)*$B10)+(A_MBLG&gt;A_VERB/(A_LUO+(A_LUO=0)*$B10))*(A_MBLG-A_VERB/(A_LUO+(A_LUO=0)*$B10)))/A_MPG_E,0))/(A_GPT+(A_GPT=0))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/MAX(0.1,N(Parameter!$M$21))))</f>
        <v>22.8797337927773</v>
      </c>
      <c r="P10" s="11" t="n">
        <f aca="false">SUMPRODUCT((A_LIFT="Aussen")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GPT&gt;0)*(A_FINF*A_FINN+(1-A_FINF)*ROUNDUP((A_VERB/(A_LUO+(A_LUO=0)*$B10)+(A_MBLG&gt;A_VERB/(A_LUO+(A_LUO=0)*$B10))*(A_MBLG-A_VERB/(A_LUO+(A_LUO=0)*$B10)))/A_MPG_E,0))/(A_GPT+(A_GPT=0))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/MAX(0.1,N(Parameter!$M$21))))</f>
        <v>0</v>
      </c>
    </row>
    <row r="11" customFormat="false" ht="15" hidden="false" customHeight="false" outlineLevel="0" collapsed="false">
      <c r="A11" s="10" t="s">
        <v>64</v>
      </c>
      <c r="B11" s="43" t="n">
        <f aca="false">Parameter!$A$28</f>
        <v>4</v>
      </c>
      <c r="C11" s="30" t="n">
        <f aca="false">M11/Parameter!$E$5</f>
        <v>0.924161958568738</v>
      </c>
      <c r="D11" s="30" t="n">
        <f aca="false">N11/Parameter!$E$6</f>
        <v>1.95704110985728</v>
      </c>
      <c r="E11" s="30" t="n">
        <f aca="false">O11/Parameter!$E$7</f>
        <v>0.453445491706361</v>
      </c>
      <c r="F11" s="14" t="n">
        <f aca="false">(N11+O11)/(Parameter!$E$6+Parameter!$E$7)</f>
        <v>1.20524330078182</v>
      </c>
      <c r="G11" s="14" t="n">
        <f aca="false">(M11+N11+O11)/Parameter!$E$8</f>
        <v>1.11154952004413</v>
      </c>
      <c r="H11" s="44" t="str">
        <f aca="false">IF(AND(M11&lt;=Parameter!$E$5,N11+O11&lt;=Parameter!$E$6+Parameter!$E$7),"JA","NEIN")</f>
        <v>NEIN</v>
      </c>
      <c r="I11" s="11" t="n">
        <f aca="false">MAX(0,M11-Parameter!$E$5)+MAX(0,N11+O11-Parameter!$E$6-Parameter!$E$7)+P11</f>
        <v>20.5243300781819</v>
      </c>
      <c r="J11" s="45" t="n">
        <f aca="false">SUMPRODUCT((A_FINF*A_FINV+(1-A_FINF)*ROUNDUP((A_VERB/(A_LUO+(A_LUO=0)*$B11)+(A_MBLG&gt;A_VERB/(A_LUO+(A_LUO=0)*$B11))*(A_MBLG-A_VERB/(A_LUO+(A_LUO=0)*$B11)))/A_MPG_E,0)*A_MPG_E)*A_PREIS)</f>
        <v>4771933.39384</v>
      </c>
      <c r="K11" s="46" t="n">
        <f aca="false">J11-$J$5</f>
        <v>3176222.30084</v>
      </c>
      <c r="L11" s="47" t="n">
        <f aca="false">(M11+N11+O11+P11)-($M$5+$N$5+$O$5+$P$5)</f>
        <v>77.8999780893863</v>
      </c>
      <c r="M11" s="11" t="n">
        <f aca="false">SUMPRODUCT((A_LIFT=1)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GPT&gt;0)*(A_FINF*A_FINN+(1-A_FINF)*ROUNDUP((A_VERB/(A_LUO+(A_LUO=0)*$B11)+(A_MBLG&gt;A_VERB/(A_LUO+(A_LUO=0)*$B11))*(A_MBLG-A_VERB/(A_LUO+(A_LUO=0)*$B11)))/A_MPG_E,0))/(A_GPT+(A_GPT=0))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/MAX(0.1,N(Parameter!$M$21))))</f>
        <v>46.2080979284369</v>
      </c>
      <c r="N11" s="11" t="n">
        <f aca="false">SUMPRODUCT((A_LIFT=2)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GPT&gt;0)*(A_FINF*A_FINN+(1-A_FINF)*ROUNDUP((A_VERB/(A_LUO+(A_LUO=0)*$B11)+(A_MBLG&gt;A_VERB/(A_LUO+(A_LUO=0)*$B11))*(A_MBLG-A_VERB/(A_LUO+(A_LUO=0)*$B11)))/A_MPG_E,0))/(A_GPT+(A_GPT=0))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/MAX(0.1,N(Parameter!$M$21))))</f>
        <v>97.8520554928638</v>
      </c>
      <c r="O11" s="11" t="n">
        <f aca="false">SUMPRODUCT((A_LIFT=3)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GPT&gt;0)*(A_FINF*A_FINN+(1-A_FINF)*ROUNDUP((A_VERB/(A_LUO+(A_LUO=0)*$B11)+(A_MBLG&gt;A_VERB/(A_LUO+(A_LUO=0)*$B11))*(A_MBLG-A_VERB/(A_LUO+(A_LUO=0)*$B11)))/A_MPG_E,0))/(A_GPT+(A_GPT=0))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/MAX(0.1,N(Parameter!$M$21))))</f>
        <v>22.6722745853181</v>
      </c>
      <c r="P11" s="11" t="n">
        <f aca="false">SUMPRODUCT((A_LIFT="Aussen")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GPT&gt;0)*(A_FINF*A_FINN+(1-A_FINF)*ROUNDUP((A_VERB/(A_LUO+(A_LUO=0)*$B11)+(A_MBLG&gt;A_VERB/(A_LUO+(A_LUO=0)*$B11))*(A_MBLG-A_VERB/(A_LUO+(A_LUO=0)*$B11)))/A_MPG_E,0))/(A_GPT+(A_GPT=0))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/MAX(0.1,N(Parameter!$M$21))))</f>
        <v>0</v>
      </c>
    </row>
    <row r="12" customFormat="false" ht="15" hidden="false" customHeight="false" outlineLevel="0" collapsed="false">
      <c r="A12" s="10" t="s">
        <v>64</v>
      </c>
      <c r="B12" s="43" t="n">
        <f aca="false">Parameter!$A$29</f>
        <v>5</v>
      </c>
      <c r="C12" s="30" t="n">
        <f aca="false">M12/Parameter!$E$5</f>
        <v>0.917758945386064</v>
      </c>
      <c r="D12" s="30" t="n">
        <f aca="false">N12/Parameter!$E$6</f>
        <v>1.92504046050663</v>
      </c>
      <c r="E12" s="30" t="n">
        <f aca="false">O12/Parameter!$E$7</f>
        <v>0.452676260937131</v>
      </c>
      <c r="F12" s="14" t="n">
        <f aca="false">(N12+O12)/(Parameter!$E$6+Parameter!$E$7)</f>
        <v>1.18885836072188</v>
      </c>
      <c r="G12" s="14" t="n">
        <f aca="false">(M12+N12+O12)/Parameter!$E$8</f>
        <v>1.09849188894327</v>
      </c>
      <c r="H12" s="44" t="str">
        <f aca="false">IF(AND(M12&lt;=Parameter!$E$5,N12+O12&lt;=Parameter!$E$6+Parameter!$E$7),"JA","NEIN")</f>
        <v>NEIN</v>
      </c>
      <c r="I12" s="11" t="n">
        <f aca="false">MAX(0,M12-Parameter!$E$5)+MAX(0,N12+O12-Parameter!$E$6-Parameter!$E$7)+P12</f>
        <v>18.8858360721879</v>
      </c>
      <c r="J12" s="45" t="n">
        <f aca="false">SUMPRODUCT((A_FINF*A_FINV+(1-A_FINF)*ROUNDUP((A_VERB/(A_LUO+(A_LUO=0)*$B12)+(A_MBLG&gt;A_VERB/(A_LUO+(A_LUO=0)*$B12))*(A_MBLG-A_VERB/(A_LUO+(A_LUO=0)*$B12)))/A_MPG_E,0)*A_MPG_E)*A_PREIS)</f>
        <v>4566630.13384</v>
      </c>
      <c r="K12" s="46" t="n">
        <f aca="false">J12-$J$5</f>
        <v>2970919.04084</v>
      </c>
      <c r="L12" s="47" t="n">
        <f aca="false">(M12+N12+O12+P12)-($M$5+$N$5+$O$5+$P$5)</f>
        <v>75.9413334242585</v>
      </c>
      <c r="M12" s="11" t="n">
        <f aca="false">SUMPRODUCT((A_LIFT=1)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GPT&gt;0)*(A_FINF*A_FINN+(1-A_FINF)*ROUNDUP((A_VERB/(A_LUO+(A_LUO=0)*$B12)+(A_MBLG&gt;A_VERB/(A_LUO+(A_LUO=0)*$B12))*(A_MBLG-A_VERB/(A_LUO+(A_LUO=0)*$B12)))/A_MPG_E,0))/(A_GPT+(A_GPT=0))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/MAX(0.1,N(Parameter!$M$21))))</f>
        <v>45.8879472693032</v>
      </c>
      <c r="N12" s="11" t="n">
        <f aca="false">SUMPRODUCT((A_LIFT=2)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GPT&gt;0)*(A_FINF*A_FINN+(1-A_FINF)*ROUNDUP((A_VERB/(A_LUO+(A_LUO=0)*$B12)+(A_MBLG&gt;A_VERB/(A_LUO+(A_LUO=0)*$B12))*(A_MBLG-A_VERB/(A_LUO+(A_LUO=0)*$B12)))/A_MPG_E,0))/(A_GPT+(A_GPT=0))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/MAX(0.1,N(Parameter!$M$21))))</f>
        <v>96.2520230253314</v>
      </c>
      <c r="O12" s="11" t="n">
        <f aca="false">SUMPRODUCT((A_LIFT=3)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GPT&gt;0)*(A_FINF*A_FINN+(1-A_FINF)*ROUNDUP((A_VERB/(A_LUO+(A_LUO=0)*$B12)+(A_MBLG&gt;A_VERB/(A_LUO+(A_LUO=0)*$B12))*(A_MBLG-A_VERB/(A_LUO+(A_LUO=0)*$B12)))/A_MPG_E,0))/(A_GPT+(A_GPT=0))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/MAX(0.1,N(Parameter!$M$21))))</f>
        <v>22.6338130468565</v>
      </c>
      <c r="P12" s="11" t="n">
        <f aca="false">SUMPRODUCT((A_LIFT="Aussen")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GPT&gt;0)*(A_FINF*A_FINN+(1-A_FINF)*ROUNDUP((A_VERB/(A_LUO+(A_LUO=0)*$B12)+(A_MBLG&gt;A_VERB/(A_LUO+(A_LUO=0)*$B12))*(A_MBLG-A_VERB/(A_LUO+(A_LUO=0)*$B12)))/A_MPG_E,0))/(A_GPT+(A_GPT=0))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/MAX(0.1,N(Parameter!$M$21))))</f>
        <v>0</v>
      </c>
    </row>
    <row r="13" customFormat="false" ht="15" hidden="false" customHeight="false" outlineLevel="0" collapsed="false">
      <c r="A13" s="10" t="s">
        <v>64</v>
      </c>
      <c r="B13" s="43" t="n">
        <f aca="false">Parameter!$A$30</f>
        <v>6</v>
      </c>
      <c r="C13" s="30" t="n">
        <f aca="false">M13/Parameter!$E$5</f>
        <v>0.912956685499058</v>
      </c>
      <c r="D13" s="30" t="n">
        <f aca="false">N13/Parameter!$E$6</f>
        <v>1.91287379383996</v>
      </c>
      <c r="E13" s="30" t="n">
        <f aca="false">O13/Parameter!$E$7</f>
        <v>0.452676260937131</v>
      </c>
      <c r="F13" s="14" t="n">
        <f aca="false">(N13+O13)/(Parameter!$E$6+Parameter!$E$7)</f>
        <v>1.18277502738855</v>
      </c>
      <c r="G13" s="14" t="n">
        <f aca="false">(M13+N13+O13)/Parameter!$E$8</f>
        <v>1.09283558009205</v>
      </c>
      <c r="H13" s="44" t="str">
        <f aca="false">IF(AND(M13&lt;=Parameter!$E$5,N13+O13&lt;=Parameter!$E$6+Parameter!$E$7),"JA","NEIN")</f>
        <v>NEIN</v>
      </c>
      <c r="I13" s="11" t="n">
        <f aca="false">MAX(0,M13-Parameter!$E$5)+MAX(0,N13+O13-Parameter!$E$6-Parameter!$E$7)+P13</f>
        <v>18.2775027388546</v>
      </c>
      <c r="J13" s="45" t="n">
        <f aca="false">SUMPRODUCT((A_FINF*A_FINV+(1-A_FINF)*ROUNDUP((A_VERB/(A_LUO+(A_LUO=0)*$B13)+(A_MBLG&gt;A_VERB/(A_LUO+(A_LUO=0)*$B13))*(A_MBLG-A_VERB/(A_LUO+(A_LUO=0)*$B13)))/A_MPG_E,0)*A_MPG_E)*A_PREIS)</f>
        <v>4513823.10384</v>
      </c>
      <c r="K13" s="46" t="n">
        <f aca="false">J13-$J$5</f>
        <v>2918112.01084</v>
      </c>
      <c r="L13" s="47" t="n">
        <f aca="false">(M13+N13+O13+P13)-($M$5+$N$5+$O$5+$P$5)</f>
        <v>75.0928870965749</v>
      </c>
      <c r="M13" s="11" t="n">
        <f aca="false">SUMPRODUCT((A_LIFT=1)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GPT&gt;0)*(A_FINF*A_FINN+(1-A_FINF)*ROUNDUP((A_VERB/(A_LUO+(A_LUO=0)*$B13)+(A_MBLG&gt;A_VERB/(A_LUO+(A_LUO=0)*$B13))*(A_MBLG-A_VERB/(A_LUO+(A_LUO=0)*$B13)))/A_MPG_E,0))/(A_GPT+(A_GPT=0))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/MAX(0.1,N(Parameter!$M$21))))</f>
        <v>45.6478342749529</v>
      </c>
      <c r="N13" s="11" t="n">
        <f aca="false">SUMPRODUCT((A_LIFT=2)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GPT&gt;0)*(A_FINF*A_FINN+(1-A_FINF)*ROUNDUP((A_VERB/(A_LUO+(A_LUO=0)*$B13)+(A_MBLG&gt;A_VERB/(A_LUO+(A_LUO=0)*$B13))*(A_MBLG-A_VERB/(A_LUO+(A_LUO=0)*$B13)))/A_MPG_E,0))/(A_GPT+(A_GPT=0))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/MAX(0.1,N(Parameter!$M$21))))</f>
        <v>95.643689691998</v>
      </c>
      <c r="O13" s="11" t="n">
        <f aca="false">SUMPRODUCT((A_LIFT=3)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GPT&gt;0)*(A_FINF*A_FINN+(1-A_FINF)*ROUNDUP((A_VERB/(A_LUO+(A_LUO=0)*$B13)+(A_MBLG&gt;A_VERB/(A_LUO+(A_LUO=0)*$B13))*(A_MBLG-A_VERB/(A_LUO+(A_LUO=0)*$B13)))/A_MPG_E,0))/(A_GPT+(A_GPT=0))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/MAX(0.1,N(Parameter!$M$21))))</f>
        <v>22.6338130468565</v>
      </c>
      <c r="P13" s="11" t="n">
        <f aca="false">SUMPRODUCT((A_LIFT="Aussen")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GPT&gt;0)*(A_FINF*A_FINN+(1-A_FINF)*ROUNDUP((A_VERB/(A_LUO+(A_LUO=0)*$B13)+(A_MBLG&gt;A_VERB/(A_LUO+(A_LUO=0)*$B13))*(A_MBLG-A_VERB/(A_LUO+(A_LUO=0)*$B13)))/A_MPG_E,0))/(A_GPT+(A_GPT=0))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/MAX(0.1,N(Parameter!$M$21))))</f>
        <v>0</v>
      </c>
    </row>
    <row r="14" customFormat="false" ht="15" hidden="false" customHeight="false" outlineLevel="0" collapsed="false">
      <c r="A14" s="10" t="s">
        <v>7</v>
      </c>
      <c r="B14" s="43" t="n">
        <f aca="false">Parameter!$A$23</f>
        <v>1</v>
      </c>
      <c r="C14" s="30" t="n">
        <f aca="false">M14/Parameter!$E$5</f>
        <v>1.38197740112994</v>
      </c>
      <c r="D14" s="30" t="n">
        <f aca="false">N14/Parameter!$E$6</f>
        <v>3.17832898864516</v>
      </c>
      <c r="E14" s="30" t="n">
        <f aca="false">O14/Parameter!$E$7</f>
        <v>0.539898652072565</v>
      </c>
      <c r="F14" s="14" t="n">
        <f aca="false">(N14+O14)/(Parameter!$E$6+Parameter!$E$7)</f>
        <v>1.85911382035886</v>
      </c>
      <c r="G14" s="14" t="n">
        <f aca="false">(M14+N14+O14)/Parameter!$E$8</f>
        <v>1.70006834728255</v>
      </c>
      <c r="H14" s="44" t="str">
        <f aca="false">IF(AND(M14&lt;=Parameter!$E$5,N14+O14&lt;=Parameter!$E$6+Parameter!$E$7),"JA","NEIN")</f>
        <v>NEIN</v>
      </c>
      <c r="I14" s="11" t="n">
        <f aca="false">MAX(0,M14-Parameter!$E$5)+MAX(0,N14+O14-Parameter!$E$6-Parameter!$E$7)+P14</f>
        <v>105.010252092383</v>
      </c>
      <c r="J14" s="45" t="n">
        <f aca="false">SUMPRODUCT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*A_PREIS)</f>
        <v>10307015.08489</v>
      </c>
      <c r="K14" s="46" t="n">
        <f aca="false">J14-$J$5</f>
        <v>8711303.99189</v>
      </c>
      <c r="L14" s="47" t="n">
        <f aca="false">(M14+N14+O14+P14)-($M$5+$N$5+$O$5+$P$5)</f>
        <v>166.177802175151</v>
      </c>
      <c r="M14" s="11" t="n">
        <f aca="false">SUMPRODUCT((A_LIFT=1)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GPT&gt;0)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GPT+(A_GPT=0))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/MAX(0.1,N(Parameter!$M$21))))</f>
        <v>69.0988700564972</v>
      </c>
      <c r="N14" s="11" t="n">
        <f aca="false">SUMPRODUCT((A_LIFT=2)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GPT&gt;0)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GPT+(A_GPT=0))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/MAX(0.1,N(Parameter!$M$21))))</f>
        <v>158.916449432258</v>
      </c>
      <c r="O14" s="11" t="n">
        <f aca="false">SUMPRODUCT((A_LIFT=3)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GPT&gt;0)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GPT+(A_GPT=0))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/MAX(0.1,N(Parameter!$M$21))))</f>
        <v>26.9949326036283</v>
      </c>
      <c r="P14" s="11" t="n">
        <f aca="false">SUMPRODUCT((A_LIFT="Aussen")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GPT&gt;0)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GPT+(A_GPT=0))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/MAX(0.1,N(Parameter!$M$21))))</f>
        <v>0</v>
      </c>
    </row>
    <row r="15" customFormat="false" ht="15" hidden="false" customHeight="false" outlineLevel="0" collapsed="false">
      <c r="A15" s="10" t="s">
        <v>7</v>
      </c>
      <c r="B15" s="43" t="n">
        <f aca="false">Parameter!$A$24</f>
        <v>1.5</v>
      </c>
      <c r="C15" s="30" t="n">
        <f aca="false">M15/Parameter!$E$5</f>
        <v>1.10664783427495</v>
      </c>
      <c r="D15" s="30" t="n">
        <f aca="false">N15/Parameter!$E$6</f>
        <v>2.61257065531182</v>
      </c>
      <c r="E15" s="30" t="n">
        <f aca="false">O15/Parameter!$E$7</f>
        <v>0.496635248809162</v>
      </c>
      <c r="F15" s="14" t="n">
        <f aca="false">(N15+O15)/(Parameter!$E$6+Parameter!$E$7)</f>
        <v>1.55460295206049</v>
      </c>
      <c r="G15" s="14" t="n">
        <f aca="false">(M15+N15+O15)/Parameter!$E$8</f>
        <v>1.40528457946531</v>
      </c>
      <c r="H15" s="44" t="str">
        <f aca="false">IF(AND(M15&lt;=Parameter!$E$5,N15+O15&lt;=Parameter!$E$6+Parameter!$E$7),"JA","NEIN")</f>
        <v>NEIN</v>
      </c>
      <c r="I15" s="11" t="n">
        <f aca="false">MAX(0,M15-Parameter!$E$5)+MAX(0,N15+O15-Parameter!$E$6-Parameter!$E$7)+P15</f>
        <v>60.7926869197968</v>
      </c>
      <c r="J15" s="45" t="n">
        <f aca="false">SUMPRODUCT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*A_PREIS)</f>
        <v>7932839.22026</v>
      </c>
      <c r="K15" s="46" t="n">
        <f aca="false">J15-$J$5</f>
        <v>6337128.12726</v>
      </c>
      <c r="L15" s="47" t="n">
        <f aca="false">(M15+N15+O15+P15)-($M$5+$N$5+$O$5+$P$5)</f>
        <v>121.960237002564</v>
      </c>
      <c r="M15" s="11" t="n">
        <f aca="false">SUMPRODUCT((A_LIFT=1)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GPT&gt;0)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GPT+(A_GPT=0))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/MAX(0.1,N(Parameter!$M$21))))</f>
        <v>55.3323917137477</v>
      </c>
      <c r="N15" s="11" t="n">
        <f aca="false">SUMPRODUCT((A_LIFT=2)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GPT&gt;0)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GPT+(A_GPT=0))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/MAX(0.1,N(Parameter!$M$21))))</f>
        <v>130.628532765591</v>
      </c>
      <c r="O15" s="11" t="n">
        <f aca="false">SUMPRODUCT((A_LIFT=3)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GPT&gt;0)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GPT+(A_GPT=0))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/MAX(0.1,N(Parameter!$M$21))))</f>
        <v>24.8317624404581</v>
      </c>
      <c r="P15" s="11" t="n">
        <f aca="false">SUMPRODUCT((A_LIFT="Aussen")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GPT&gt;0)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GPT+(A_GPT=0))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/MAX(0.1,N(Parameter!$M$21))))</f>
        <v>0</v>
      </c>
    </row>
    <row r="16" customFormat="false" ht="15" hidden="false" customHeight="false" outlineLevel="0" collapsed="false">
      <c r="A16" s="10" t="s">
        <v>7</v>
      </c>
      <c r="B16" s="43" t="n">
        <f aca="false">Parameter!$A$25</f>
        <v>2</v>
      </c>
      <c r="C16" s="30" t="n">
        <f aca="false">M16/Parameter!$E$5</f>
        <v>1.00099811676083</v>
      </c>
      <c r="D16" s="30" t="n">
        <f aca="false">N16/Parameter!$E$6</f>
        <v>2.31341535228152</v>
      </c>
      <c r="E16" s="30" t="n">
        <f aca="false">O16/Parameter!$E$7</f>
        <v>0.47985591702983</v>
      </c>
      <c r="F16" s="14" t="n">
        <f aca="false">(N16+O16)/(Parameter!$E$6+Parameter!$E$7)</f>
        <v>1.39663563465567</v>
      </c>
      <c r="G16" s="14" t="n">
        <f aca="false">(M16+N16+O16)/Parameter!$E$8</f>
        <v>1.26475646202406</v>
      </c>
      <c r="H16" s="44" t="str">
        <f aca="false">IF(AND(M16&lt;=Parameter!$E$5,N16+O16&lt;=Parameter!$E$6+Parameter!$E$7),"JA","NEIN")</f>
        <v>NEIN</v>
      </c>
      <c r="I16" s="11" t="n">
        <f aca="false">MAX(0,M16-Parameter!$E$5)+MAX(0,N16+O16-Parameter!$E$6-Parameter!$E$7)+P16</f>
        <v>39.7134693036089</v>
      </c>
      <c r="J16" s="45" t="n">
        <f aca="false">SUMPRODUCT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*A_PREIS)</f>
        <v>6669134.75205</v>
      </c>
      <c r="K16" s="46" t="n">
        <f aca="false">J16-$J$5</f>
        <v>5073423.65905</v>
      </c>
      <c r="L16" s="47" t="n">
        <f aca="false">(M16+N16+O16+P16)-($M$5+$N$5+$O$5+$P$5)</f>
        <v>100.881019386376</v>
      </c>
      <c r="M16" s="11" t="n">
        <f aca="false">SUMPRODUCT((A_LIFT=1)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GPT&gt;0)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GPT+(A_GPT=0))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/MAX(0.1,N(Parameter!$M$21))))</f>
        <v>50.0499058380414</v>
      </c>
      <c r="N16" s="11" t="n">
        <f aca="false">SUMPRODUCT((A_LIFT=2)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GPT&gt;0)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GPT+(A_GPT=0))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/MAX(0.1,N(Parameter!$M$21))))</f>
        <v>115.670767614076</v>
      </c>
      <c r="O16" s="11" t="n">
        <f aca="false">SUMPRODUCT((A_LIFT=3)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GPT&gt;0)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GPT+(A_GPT=0))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/MAX(0.1,N(Parameter!$M$21))))</f>
        <v>23.9927958514915</v>
      </c>
      <c r="P16" s="11" t="n">
        <f aca="false">SUMPRODUCT((A_LIFT="Aussen")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GPT&gt;0)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GPT+(A_GPT=0))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/MAX(0.1,N(Parameter!$M$21))))</f>
        <v>0</v>
      </c>
    </row>
    <row r="17" customFormat="false" ht="15" hidden="false" customHeight="false" outlineLevel="0" collapsed="false">
      <c r="A17" s="10" t="s">
        <v>7</v>
      </c>
      <c r="B17" s="43" t="n">
        <f aca="false">Parameter!$A$26</f>
        <v>2.5</v>
      </c>
      <c r="C17" s="30" t="n">
        <f aca="false">M17/Parameter!$E$5</f>
        <v>0.954576271186441</v>
      </c>
      <c r="D17" s="30" t="n">
        <f aca="false">N17/Parameter!$E$6</f>
        <v>2.21550777652394</v>
      </c>
      <c r="E17" s="30" t="n">
        <f aca="false">O17/Parameter!$E$7</f>
        <v>0.474086686260599</v>
      </c>
      <c r="F17" s="14" t="n">
        <f aca="false">(N17+O17)/(Parameter!$E$6+Parameter!$E$7)</f>
        <v>1.34479723139227</v>
      </c>
      <c r="G17" s="14" t="n">
        <f aca="false">(M17+N17+O17)/Parameter!$E$8</f>
        <v>1.21472357799033</v>
      </c>
      <c r="H17" s="44" t="str">
        <f aca="false">IF(AND(M17&lt;=Parameter!$E$5,N17+O17&lt;=Parameter!$E$6+Parameter!$E$7),"JA","NEIN")</f>
        <v>NEIN</v>
      </c>
      <c r="I17" s="11" t="n">
        <f aca="false">MAX(0,M17-Parameter!$E$5)+MAX(0,N17+O17-Parameter!$E$6-Parameter!$E$7)+P17</f>
        <v>34.4797231392271</v>
      </c>
      <c r="J17" s="45" t="n">
        <f aca="false">SUMPRODUCT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*A_PREIS)</f>
        <v>6146869.91384</v>
      </c>
      <c r="K17" s="46" t="n">
        <f aca="false">J17-$J$5</f>
        <v>4551158.82084</v>
      </c>
      <c r="L17" s="47" t="n">
        <f aca="false">(M17+N17+O17+P17)-($M$5+$N$5+$O$5+$P$5)</f>
        <v>93.3760867813166</v>
      </c>
      <c r="M17" s="11" t="n">
        <f aca="false">SUMPRODUCT((A_LIFT=1)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GPT&gt;0)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GPT+(A_GPT=0))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/MAX(0.1,N(Parameter!$M$21))))</f>
        <v>47.728813559322</v>
      </c>
      <c r="N17" s="11" t="n">
        <f aca="false">SUMPRODUCT((A_LIFT=2)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GPT&gt;0)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GPT+(A_GPT=0))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/MAX(0.1,N(Parameter!$M$21))))</f>
        <v>110.775388826197</v>
      </c>
      <c r="O17" s="11" t="n">
        <f aca="false">SUMPRODUCT((A_LIFT=3)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GPT&gt;0)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GPT+(A_GPT=0))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/MAX(0.1,N(Parameter!$M$21))))</f>
        <v>23.70433431303</v>
      </c>
      <c r="P17" s="11" t="n">
        <f aca="false">SUMPRODUCT((A_LIFT="Aussen")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GPT&gt;0)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GPT+(A_GPT=0))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/MAX(0.1,N(Parameter!$M$21))))</f>
        <v>0</v>
      </c>
    </row>
    <row r="18" customFormat="false" ht="15" hidden="false" customHeight="false" outlineLevel="0" collapsed="false">
      <c r="A18" s="10" t="s">
        <v>7</v>
      </c>
      <c r="B18" s="43" t="n">
        <f aca="false">Parameter!$A$27</f>
        <v>3</v>
      </c>
      <c r="C18" s="30" t="n">
        <f aca="false">M18/Parameter!$E$5</f>
        <v>0.941770244821092</v>
      </c>
      <c r="D18" s="30" t="n">
        <f aca="false">N18/Parameter!$E$6</f>
        <v>2.12236859903477</v>
      </c>
      <c r="E18" s="30" t="n">
        <f aca="false">O18/Parameter!$E$7</f>
        <v>0.472093679267592</v>
      </c>
      <c r="F18" s="14" t="n">
        <f aca="false">(N18+O18)/(Parameter!$E$6+Parameter!$E$7)</f>
        <v>1.29723113915118</v>
      </c>
      <c r="G18" s="14" t="n">
        <f aca="false">(M18+N18+O18)/Parameter!$E$8</f>
        <v>1.17874417437448</v>
      </c>
      <c r="H18" s="44" t="str">
        <f aca="false">IF(AND(M18&lt;=Parameter!$E$5,N18+O18&lt;=Parameter!$E$6+Parameter!$E$7),"JA","NEIN")</f>
        <v>NEIN</v>
      </c>
      <c r="I18" s="11" t="n">
        <f aca="false">MAX(0,M18-Parameter!$E$5)+MAX(0,N18+O18-Parameter!$E$6-Parameter!$E$7)+P18</f>
        <v>29.7231139151179</v>
      </c>
      <c r="J18" s="45" t="n">
        <f aca="false">SUMPRODUCT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*A_PREIS)</f>
        <v>5697643.49384</v>
      </c>
      <c r="K18" s="46" t="n">
        <f aca="false">J18-$J$5</f>
        <v>4101932.40084</v>
      </c>
      <c r="L18" s="47" t="n">
        <f aca="false">(M18+N18+O18+P18)-($M$5+$N$5+$O$5+$P$5)</f>
        <v>87.97917623894</v>
      </c>
      <c r="M18" s="11" t="n">
        <f aca="false">SUMPRODUCT((A_LIFT=1)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GPT&gt;0)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GPT+(A_GPT=0))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/MAX(0.1,N(Parameter!$M$21))))</f>
        <v>47.0885122410546</v>
      </c>
      <c r="N18" s="11" t="n">
        <f aca="false">SUMPRODUCT((A_LIFT=2)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GPT&gt;0)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GPT+(A_GPT=0))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/MAX(0.1,N(Parameter!$M$21))))</f>
        <v>106.118429951738</v>
      </c>
      <c r="O18" s="11" t="n">
        <f aca="false">SUMPRODUCT((A_LIFT=3)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GPT&gt;0)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GPT+(A_GPT=0))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/MAX(0.1,N(Parameter!$M$21))))</f>
        <v>23.6046839633796</v>
      </c>
      <c r="P18" s="11" t="n">
        <f aca="false">SUMPRODUCT((A_LIFT="Aussen")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GPT&gt;0)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GPT+(A_GPT=0))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/MAX(0.1,N(Parameter!$M$21))))</f>
        <v>0</v>
      </c>
    </row>
    <row r="19" customFormat="false" ht="15" hidden="false" customHeight="false" outlineLevel="0" collapsed="false">
      <c r="A19" s="10" t="s">
        <v>7</v>
      </c>
      <c r="B19" s="43" t="n">
        <f aca="false">Parameter!$A$28</f>
        <v>4</v>
      </c>
      <c r="C19" s="30" t="n">
        <f aca="false">M19/Parameter!$E$5</f>
        <v>0.924161958568738</v>
      </c>
      <c r="D19" s="30" t="n">
        <f aca="false">N19/Parameter!$E$6</f>
        <v>2.04370777652394</v>
      </c>
      <c r="E19" s="30" t="n">
        <f aca="false">O19/Parameter!$E$7</f>
        <v>0.467944495118408</v>
      </c>
      <c r="F19" s="14" t="n">
        <f aca="false">(N19+O19)/(Parameter!$E$6+Parameter!$E$7)</f>
        <v>1.25582613582118</v>
      </c>
      <c r="G19" s="14" t="n">
        <f aca="false">(M19+N19+O19)/Parameter!$E$8</f>
        <v>1.14527141007036</v>
      </c>
      <c r="H19" s="44" t="str">
        <f aca="false">IF(AND(M19&lt;=Parameter!$E$5,N19+O19&lt;=Parameter!$E$6+Parameter!$E$7),"JA","NEIN")</f>
        <v>NEIN</v>
      </c>
      <c r="I19" s="11" t="n">
        <f aca="false">MAX(0,M19-Parameter!$E$5)+MAX(0,N19+O19-Parameter!$E$6-Parameter!$E$7)+P19</f>
        <v>25.5826135821176</v>
      </c>
      <c r="J19" s="45" t="n">
        <f aca="false">SUMPRODUCT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*A_PREIS)</f>
        <v>5260215.03384</v>
      </c>
      <c r="K19" s="46" t="n">
        <f aca="false">J19-$J$5</f>
        <v>3664503.94084</v>
      </c>
      <c r="L19" s="47" t="n">
        <f aca="false">(M19+N19+O19+P19)-($M$5+$N$5+$O$5+$P$5)</f>
        <v>82.9582615933219</v>
      </c>
      <c r="M19" s="11" t="n">
        <f aca="false">SUMPRODUCT((A_LIFT=1)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GPT&gt;0)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GPT+(A_GPT=0))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/MAX(0.1,N(Parameter!$M$21))))</f>
        <v>46.2080979284369</v>
      </c>
      <c r="N19" s="11" t="n">
        <f aca="false">SUMPRODUCT((A_LIFT=2)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GPT&gt;0)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GPT+(A_GPT=0))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/MAX(0.1,N(Parameter!$M$21))))</f>
        <v>102.185388826197</v>
      </c>
      <c r="O19" s="11" t="n">
        <f aca="false">SUMPRODUCT((A_LIFT=3)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GPT&gt;0)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GPT+(A_GPT=0))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/MAX(0.1,N(Parameter!$M$21))))</f>
        <v>23.3972247559204</v>
      </c>
      <c r="P19" s="11" t="n">
        <f aca="false">SUMPRODUCT((A_LIFT="Aussen")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GPT&gt;0)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GPT+(A_GPT=0))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/MAX(0.1,N(Parameter!$M$21))))</f>
        <v>0</v>
      </c>
    </row>
    <row r="20" customFormat="false" ht="15" hidden="false" customHeight="false" outlineLevel="0" collapsed="false">
      <c r="A20" s="10" t="s">
        <v>7</v>
      </c>
      <c r="B20" s="43" t="n">
        <f aca="false">Parameter!$A$29</f>
        <v>5</v>
      </c>
      <c r="C20" s="30" t="n">
        <f aca="false">M20/Parameter!$E$5</f>
        <v>0.917758945386064</v>
      </c>
      <c r="D20" s="30" t="n">
        <f aca="false">N20/Parameter!$E$6</f>
        <v>2.01337379383996</v>
      </c>
      <c r="E20" s="30" t="n">
        <f aca="false">O20/Parameter!$E$7</f>
        <v>0.467175264349177</v>
      </c>
      <c r="F20" s="14" t="n">
        <f aca="false">(N20+O20)/(Parameter!$E$6+Parameter!$E$7)</f>
        <v>1.24027452909457</v>
      </c>
      <c r="G20" s="14" t="n">
        <f aca="false">(M20+N20+O20)/Parameter!$E$8</f>
        <v>1.13276933452507</v>
      </c>
      <c r="H20" s="44" t="str">
        <f aca="false">IF(AND(M20&lt;=Parameter!$E$5,N20+O20&lt;=Parameter!$E$6+Parameter!$E$7),"JA","NEIN")</f>
        <v>NEIN</v>
      </c>
      <c r="I20" s="11" t="n">
        <f aca="false">MAX(0,M20-Parameter!$E$5)+MAX(0,N20+O20-Parameter!$E$6-Parameter!$E$7)+P20</f>
        <v>24.0274529094569</v>
      </c>
      <c r="J20" s="45" t="n">
        <f aca="false">SUMPRODUCT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*A_PREIS)</f>
        <v>5056181.87384</v>
      </c>
      <c r="K20" s="46" t="n">
        <f aca="false">J20-$J$5</f>
        <v>3460470.78084</v>
      </c>
      <c r="L20" s="47" t="n">
        <f aca="false">(M20+N20+O20+P20)-($M$5+$N$5+$O$5+$P$5)</f>
        <v>81.0829502615275</v>
      </c>
      <c r="M20" s="11" t="n">
        <f aca="false">SUMPRODUCT((A_LIFT=1)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GPT&gt;0)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GPT+(A_GPT=0))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/MAX(0.1,N(Parameter!$M$21))))</f>
        <v>45.8879472693032</v>
      </c>
      <c r="N20" s="11" t="n">
        <f aca="false">SUMPRODUCT((A_LIFT=2)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GPT&gt;0)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GPT+(A_GPT=0))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/MAX(0.1,N(Parameter!$M$21))))</f>
        <v>100.668689691998</v>
      </c>
      <c r="O20" s="11" t="n">
        <f aca="false">SUMPRODUCT((A_LIFT=3)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GPT&gt;0)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GPT+(A_GPT=0))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/MAX(0.1,N(Parameter!$M$21))))</f>
        <v>23.3587632174589</v>
      </c>
      <c r="P20" s="11" t="n">
        <f aca="false">SUMPRODUCT((A_LIFT="Aussen")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GPT&gt;0)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GPT+(A_GPT=0))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/MAX(0.1,N(Parameter!$M$21))))</f>
        <v>0</v>
      </c>
    </row>
    <row r="21" customFormat="false" ht="15" hidden="false" customHeight="false" outlineLevel="0" collapsed="false">
      <c r="A21" s="10" t="s">
        <v>7</v>
      </c>
      <c r="B21" s="43" t="n">
        <f aca="false">Parameter!$A$30</f>
        <v>6</v>
      </c>
      <c r="C21" s="30" t="n">
        <f aca="false">M21/Parameter!$E$5</f>
        <v>0.912956685499058</v>
      </c>
      <c r="D21" s="30" t="n">
        <f aca="false">N21/Parameter!$E$6</f>
        <v>2.00120712717329</v>
      </c>
      <c r="E21" s="30" t="n">
        <f aca="false">O21/Parameter!$E$7</f>
        <v>0.467175264349177</v>
      </c>
      <c r="F21" s="14" t="n">
        <f aca="false">(N21+O21)/(Parameter!$E$6+Parameter!$E$7)</f>
        <v>1.23419119576124</v>
      </c>
      <c r="G21" s="14" t="n">
        <f aca="false">(M21+N21+O21)/Parameter!$E$8</f>
        <v>1.12711302567384</v>
      </c>
      <c r="H21" s="44" t="str">
        <f aca="false">IF(AND(M21&lt;=Parameter!$E$5,N21+O21&lt;=Parameter!$E$6+Parameter!$E$7),"JA","NEIN")</f>
        <v>NEIN</v>
      </c>
      <c r="I21" s="11" t="n">
        <f aca="false">MAX(0,M21-Parameter!$E$5)+MAX(0,N21+O21-Parameter!$E$6-Parameter!$E$7)+P21</f>
        <v>23.4191195761236</v>
      </c>
      <c r="J21" s="45" t="n">
        <f aca="false">SUMPRODUCT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*A_PREIS)</f>
        <v>5003985.78384</v>
      </c>
      <c r="K21" s="46" t="n">
        <f aca="false">J21-$J$5</f>
        <v>3408274.69084</v>
      </c>
      <c r="L21" s="47" t="n">
        <f aca="false">(M21+N21+O21+P21)-($M$5+$N$5+$O$5+$P$5)</f>
        <v>80.2345039338439</v>
      </c>
      <c r="M21" s="11" t="n">
        <f aca="false">SUMPRODUCT((A_LIFT=1)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GPT&gt;0)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GPT+(A_GPT=0))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/MAX(0.1,N(Parameter!$M$21))))</f>
        <v>45.6478342749529</v>
      </c>
      <c r="N21" s="11" t="n">
        <f aca="false">SUMPRODUCT((A_LIFT=2)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GPT&gt;0)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GPT+(A_GPT=0))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/MAX(0.1,N(Parameter!$M$21))))</f>
        <v>100.060356358665</v>
      </c>
      <c r="O21" s="11" t="n">
        <f aca="false">SUMPRODUCT((A_LIFT=3)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GPT&gt;0)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GPT+(A_GPT=0))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/MAX(0.1,N(Parameter!$M$21))))</f>
        <v>23.3587632174589</v>
      </c>
      <c r="P21" s="11" t="n">
        <f aca="false">SUMPRODUCT((A_LIFT="Aussen")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GPT&gt;0)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GPT+(A_GPT=0))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/MAX(0.1,N(Parameter!$M$21))))</f>
        <v>0</v>
      </c>
    </row>
    <row r="23" customFormat="false" ht="15" hidden="false" customHeight="false" outlineLevel="0" collapsed="false">
      <c r="A23" s="48" t="s">
        <v>65</v>
      </c>
    </row>
    <row r="24" customFormat="false" ht="15" hidden="false" customHeight="false" outlineLevel="0" collapsed="false">
      <c r="A24" s="23" t="s">
        <v>66</v>
      </c>
      <c r="E24" s="49" t="str">
        <f aca="false">IFERROR("ab LU "&amp;INDEX(B6:B13,MATCH("JA",H6:H13,0)),"bei keinem LU der Liste")</f>
        <v>bei keinem LU der Liste</v>
      </c>
    </row>
    <row r="25" customFormat="false" ht="15" hidden="false" customHeight="false" outlineLevel="0" collapsed="false">
      <c r="A25" s="23" t="s">
        <v>67</v>
      </c>
      <c r="E25" s="49" t="str">
        <f aca="false">IFERROR("ab LU "&amp;INDEX(B14:B21,MATCH("JA",H14:H21,0)),"bei keinem LU der Liste")</f>
        <v>bei keinem LU der Liste</v>
      </c>
    </row>
    <row r="26" customFormat="false" ht="15" hidden="false" customHeight="false" outlineLevel="0" collapsed="false">
      <c r="A26" s="8" t="s">
        <v>68</v>
      </c>
    </row>
    <row r="28" customFormat="false" ht="15" hidden="false" customHeight="false" outlineLevel="0" collapsed="false">
      <c r="A28" s="5" t="s">
        <v>69</v>
      </c>
    </row>
    <row r="29" customFormat="false" ht="15" hidden="false" customHeight="false" outlineLevel="0" collapsed="false">
      <c r="A29" s="5" t="s">
        <v>8</v>
      </c>
      <c r="B29" s="5" t="s">
        <v>70</v>
      </c>
      <c r="C29" s="5" t="s">
        <v>71</v>
      </c>
      <c r="D29" s="5" t="s">
        <v>41</v>
      </c>
      <c r="E29" s="5" t="s">
        <v>72</v>
      </c>
    </row>
    <row r="30" customFormat="false" ht="15" hidden="false" customHeight="false" outlineLevel="0" collapsed="false">
      <c r="A30" s="50" t="n">
        <f aca="false">B6</f>
        <v>1</v>
      </c>
      <c r="B30" s="31" t="n">
        <f aca="false">G6</f>
        <v>1.66761685352671</v>
      </c>
      <c r="C30" s="31" t="n">
        <f aca="false">G14</f>
        <v>1.70006834728255</v>
      </c>
      <c r="D30" s="31" t="n">
        <v>1</v>
      </c>
      <c r="E30" s="31" t="n">
        <f aca="false">$G$5</f>
        <v>0.59221633278155</v>
      </c>
    </row>
    <row r="31" customFormat="false" ht="15" hidden="false" customHeight="false" outlineLevel="0" collapsed="false">
      <c r="A31" s="50" t="n">
        <f aca="false">B7</f>
        <v>1.5</v>
      </c>
      <c r="B31" s="31" t="n">
        <f aca="false">G7</f>
        <v>1.37237465525104</v>
      </c>
      <c r="C31" s="31" t="n">
        <f aca="false">G15</f>
        <v>1.40528457946531</v>
      </c>
      <c r="D31" s="31" t="n">
        <v>1</v>
      </c>
      <c r="E31" s="31" t="n">
        <f aca="false">$G$5</f>
        <v>0.59221633278155</v>
      </c>
    </row>
    <row r="32" customFormat="false" ht="15" hidden="false" customHeight="false" outlineLevel="0" collapsed="false">
      <c r="A32" s="50" t="n">
        <f aca="false">B8</f>
        <v>2</v>
      </c>
      <c r="B32" s="31" t="n">
        <f aca="false">G8</f>
        <v>1.23184653780979</v>
      </c>
      <c r="C32" s="31" t="n">
        <f aca="false">G16</f>
        <v>1.26475646202406</v>
      </c>
      <c r="D32" s="31" t="n">
        <v>1</v>
      </c>
      <c r="E32" s="31" t="n">
        <f aca="false">$G$5</f>
        <v>0.59221633278155</v>
      </c>
    </row>
    <row r="33" customFormat="false" ht="15" hidden="false" customHeight="false" outlineLevel="0" collapsed="false">
      <c r="A33" s="50" t="n">
        <f aca="false">B9</f>
        <v>2.5</v>
      </c>
      <c r="B33" s="31" t="n">
        <f aca="false">G9</f>
        <v>1.1812580982205</v>
      </c>
      <c r="C33" s="31" t="n">
        <f aca="false">G17</f>
        <v>1.21472357799033</v>
      </c>
      <c r="D33" s="31" t="n">
        <v>1</v>
      </c>
      <c r="E33" s="31" t="n">
        <f aca="false">$G$5</f>
        <v>0.59221633278155</v>
      </c>
    </row>
    <row r="34" customFormat="false" ht="15" hidden="false" customHeight="false" outlineLevel="0" collapsed="false">
      <c r="A34" s="50" t="n">
        <f aca="false">B10</f>
        <v>3</v>
      </c>
      <c r="B34" s="31" t="n">
        <f aca="false">G10</f>
        <v>1.14502228434825</v>
      </c>
      <c r="C34" s="31" t="n">
        <f aca="false">G18</f>
        <v>1.17874417437448</v>
      </c>
      <c r="D34" s="31" t="n">
        <v>1</v>
      </c>
      <c r="E34" s="31" t="n">
        <f aca="false">$G$5</f>
        <v>0.59221633278155</v>
      </c>
    </row>
    <row r="35" customFormat="false" ht="15" hidden="false" customHeight="false" outlineLevel="0" collapsed="false">
      <c r="A35" s="50" t="n">
        <f aca="false">B11</f>
        <v>4</v>
      </c>
      <c r="B35" s="31" t="n">
        <f aca="false">G11</f>
        <v>1.11154952004413</v>
      </c>
      <c r="C35" s="31" t="n">
        <f aca="false">G19</f>
        <v>1.14527141007036</v>
      </c>
      <c r="D35" s="31" t="n">
        <v>1</v>
      </c>
      <c r="E35" s="31" t="n">
        <f aca="false">$G$5</f>
        <v>0.59221633278155</v>
      </c>
    </row>
    <row r="36" customFormat="false" ht="15" hidden="false" customHeight="false" outlineLevel="0" collapsed="false">
      <c r="A36" s="50" t="n">
        <f aca="false">B12</f>
        <v>5</v>
      </c>
      <c r="B36" s="31" t="n">
        <f aca="false">G12</f>
        <v>1.09849188894327</v>
      </c>
      <c r="C36" s="31" t="n">
        <f aca="false">G20</f>
        <v>1.13276933452507</v>
      </c>
      <c r="D36" s="31" t="n">
        <v>1</v>
      </c>
      <c r="E36" s="31" t="n">
        <f aca="false">$G$5</f>
        <v>0.59221633278155</v>
      </c>
    </row>
    <row r="37" customFormat="false" ht="15" hidden="false" customHeight="false" outlineLevel="0" collapsed="false">
      <c r="A37" s="50" t="n">
        <f aca="false">B13</f>
        <v>6</v>
      </c>
      <c r="B37" s="31" t="n">
        <f aca="false">G13</f>
        <v>1.09283558009205</v>
      </c>
      <c r="C37" s="31" t="n">
        <f aca="false">G21</f>
        <v>1.12711302567384</v>
      </c>
      <c r="D37" s="31" t="n">
        <v>1</v>
      </c>
      <c r="E37" s="31" t="n">
        <f aca="false">$G$5</f>
        <v>0.59221633278155</v>
      </c>
    </row>
  </sheetData>
  <conditionalFormatting sqref="C5:G21">
    <cfRule type="cellIs" priority="2" operator="greaterThan" aboveAverage="0" equalAverage="0" bottom="0" percent="0" rank="0" text="" dxfId="1">
      <formula>Parameter!$B$12</formula>
    </cfRule>
    <cfRule type="cellIs" priority="3" operator="greaterThanOrEqual" aboveAverage="0" equalAverage="0" bottom="0" percent="0" rank="0" text="" dxfId="2">
      <formula>Parameter!$B$11</formula>
    </cfRule>
    <cfRule type="cellIs" priority="4" operator="lessThan" aboveAverage="0" equalAverage="0" bottom="0" percent="0" rank="0" text="" dxfId="3">
      <formula>Parameter!$B$11</formula>
    </cfRule>
  </conditionalFormatting>
  <conditionalFormatting sqref="H5:H21">
    <cfRule type="cellIs" priority="5" operator="equal" aboveAverage="0" equalAverage="0" bottom="0" percent="0" rank="0" text="" dxfId="3">
      <formula>"JA"</formula>
    </cfRule>
    <cfRule type="cellIs" priority="6" operator="equal" aboveAverage="0" equalAverage="0" bottom="0" percent="0" rank="0" text="" dxfId="1">
      <formula>"NEIN"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D1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2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5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3" min="12" style="0" width="9"/>
    <col collapsed="false" customWidth="true" hidden="false" outlineLevel="0" max="14" min="14" style="0" width="7"/>
    <col collapsed="false" customWidth="true" hidden="false" outlineLevel="0" max="15" min="15" style="0" width="9"/>
    <col collapsed="false" customWidth="true" hidden="false" outlineLevel="0" max="17" min="16" style="0" width="8"/>
    <col collapsed="false" customWidth="true" hidden="false" outlineLevel="0" max="18" min="18" style="0" width="10"/>
    <col collapsed="false" customWidth="true" hidden="false" outlineLevel="0" max="20" min="19" style="0" width="9"/>
    <col collapsed="false" customWidth="true" hidden="false" outlineLevel="0" max="21" min="21" style="0" width="7"/>
    <col collapsed="false" customWidth="true" hidden="false" outlineLevel="0" max="23" min="22" style="0" width="8"/>
    <col collapsed="false" customWidth="true" hidden="false" outlineLevel="0" max="26" min="24" style="0" width="7"/>
    <col collapsed="false" customWidth="true" hidden="false" outlineLevel="0" max="28" min="27" style="0" width="10"/>
    <col collapsed="false" customWidth="true" hidden="false" outlineLevel="0" max="29" min="29" style="0" width="9"/>
    <col collapsed="false" customWidth="true" hidden="false" outlineLevel="1" max="33" min="30" style="0" width="9"/>
    <col collapsed="false" customWidth="true" hidden="true" outlineLevel="2" max="37" min="34" style="0" width="8"/>
    <col collapsed="false" customWidth="true" hidden="false" outlineLevel="1" max="41" min="38" style="0" width="9"/>
    <col collapsed="false" customWidth="true" hidden="true" outlineLevel="2" max="45" min="42" style="0" width="8"/>
    <col collapsed="false" customWidth="true" hidden="false" outlineLevel="1" max="49" min="46" style="0" width="9"/>
    <col collapsed="false" customWidth="true" hidden="true" outlineLevel="2" max="53" min="50" style="0" width="8"/>
    <col collapsed="false" customWidth="true" hidden="false" outlineLevel="0" max="56" min="54" style="0" width="11"/>
    <col collapsed="false" customWidth="true" hidden="false" outlineLevel="0" max="57" min="57" style="0" width="45"/>
    <col collapsed="false" customWidth="true" hidden="false" outlineLevel="0" max="60" min="58" style="0" width="30"/>
    <col collapsed="false" customWidth="true" hidden="true" outlineLevel="1" max="82" min="61" style="0" width="9"/>
  </cols>
  <sheetData>
    <row r="1" customFormat="false" ht="17.35" hidden="false" customHeight="false" outlineLevel="0" collapsed="false">
      <c r="A1" s="32" t="s">
        <v>73</v>
      </c>
    </row>
    <row r="2" customFormat="false" ht="15" hidden="false" customHeight="false" outlineLevel="0" collapsed="false">
      <c r="A2" s="33" t="s">
        <v>74</v>
      </c>
    </row>
    <row r="3" customFormat="false" ht="15" hidden="false" customHeight="false" outlineLevel="0" collapsed="false">
      <c r="A3" s="3" t="s">
        <v>75</v>
      </c>
    </row>
    <row r="5" customFormat="false" ht="15" hidden="false" customHeight="false" outlineLevel="0" collapsed="false">
      <c r="AD5" s="51" t="str">
        <f aca="false">"Ansicht 1: "&amp;Cockpit!$C$5&amp;IF(LEFT(Cockpit!$C$5,1)="A",""," / LU "&amp;Cockpit!$C$6)</f>
        <v>Ansicht 1: A – Ist-Bestand</v>
      </c>
      <c r="AL5" s="51" t="str">
        <f aca="false">"Ansicht 2: "&amp;Cockpit!$I$5&amp;IF(LEFT(Cockpit!$I$5,1)="A",""," / LU "&amp;Cockpit!$I$6)</f>
        <v>Ansicht 2: C – Ziel-LU oder Ist / LU 2</v>
      </c>
      <c r="AT5" s="51" t="str">
        <f aca="false">"Ansicht 3: "&amp;Cockpit!$O$5&amp;IF(LEFT(Cockpit!$O$5,1)="A",""," / LU "&amp;Cockpit!$O$6)</f>
        <v>Ansicht 3: C – Ziel-LU oder Ist / LU 3</v>
      </c>
      <c r="BI5" s="52" t="s">
        <v>76</v>
      </c>
    </row>
    <row r="6" customFormat="false" ht="54" hidden="false" customHeight="true" outlineLevel="0" collapsed="false">
      <c r="A6" s="53" t="s">
        <v>77</v>
      </c>
      <c r="B6" s="53" t="s">
        <v>78</v>
      </c>
      <c r="C6" s="53" t="s">
        <v>79</v>
      </c>
      <c r="D6" s="53" t="s">
        <v>80</v>
      </c>
      <c r="E6" s="53" t="s">
        <v>81</v>
      </c>
      <c r="F6" s="53" t="s">
        <v>82</v>
      </c>
      <c r="G6" s="53" t="s">
        <v>62</v>
      </c>
      <c r="H6" s="53" t="s">
        <v>83</v>
      </c>
      <c r="I6" s="53" t="s">
        <v>84</v>
      </c>
      <c r="J6" s="53" t="s">
        <v>85</v>
      </c>
      <c r="K6" s="53" t="s">
        <v>86</v>
      </c>
      <c r="L6" s="53" t="s">
        <v>87</v>
      </c>
      <c r="M6" s="53" t="s">
        <v>88</v>
      </c>
      <c r="N6" s="53" t="s">
        <v>89</v>
      </c>
      <c r="O6" s="53" t="s">
        <v>90</v>
      </c>
      <c r="P6" s="53" t="s">
        <v>91</v>
      </c>
      <c r="Q6" s="53" t="s">
        <v>92</v>
      </c>
      <c r="R6" s="54" t="s">
        <v>93</v>
      </c>
      <c r="S6" s="54" t="s">
        <v>94</v>
      </c>
      <c r="T6" s="54" t="s">
        <v>95</v>
      </c>
      <c r="U6" s="53" t="s">
        <v>96</v>
      </c>
      <c r="V6" s="53" t="s">
        <v>97</v>
      </c>
      <c r="W6" s="53" t="s">
        <v>98</v>
      </c>
      <c r="X6" s="53" t="s">
        <v>99</v>
      </c>
      <c r="Y6" s="54" t="s">
        <v>100</v>
      </c>
      <c r="Z6" s="54" t="s">
        <v>101</v>
      </c>
      <c r="AA6" s="53" t="s">
        <v>102</v>
      </c>
      <c r="AB6" s="53" t="s">
        <v>103</v>
      </c>
      <c r="AC6" s="54" t="s">
        <v>104</v>
      </c>
      <c r="AD6" s="53" t="s">
        <v>105</v>
      </c>
      <c r="AE6" s="53" t="s">
        <v>106</v>
      </c>
      <c r="AF6" s="53" t="s">
        <v>107</v>
      </c>
      <c r="AG6" s="53" t="s">
        <v>108</v>
      </c>
      <c r="AH6" s="53" t="s">
        <v>109</v>
      </c>
      <c r="AI6" s="53" t="s">
        <v>110</v>
      </c>
      <c r="AJ6" s="53" t="s">
        <v>111</v>
      </c>
      <c r="AK6" s="53" t="s">
        <v>112</v>
      </c>
      <c r="AL6" s="53" t="s">
        <v>113</v>
      </c>
      <c r="AM6" s="53" t="s">
        <v>114</v>
      </c>
      <c r="AN6" s="53" t="s">
        <v>115</v>
      </c>
      <c r="AO6" s="53" t="s">
        <v>116</v>
      </c>
      <c r="AP6" s="53" t="s">
        <v>117</v>
      </c>
      <c r="AQ6" s="53" t="s">
        <v>118</v>
      </c>
      <c r="AR6" s="53" t="s">
        <v>119</v>
      </c>
      <c r="AS6" s="53" t="s">
        <v>120</v>
      </c>
      <c r="AT6" s="53" t="s">
        <v>121</v>
      </c>
      <c r="AU6" s="53" t="s">
        <v>122</v>
      </c>
      <c r="AV6" s="53" t="s">
        <v>123</v>
      </c>
      <c r="AW6" s="53" t="s">
        <v>124</v>
      </c>
      <c r="AX6" s="53" t="s">
        <v>125</v>
      </c>
      <c r="AY6" s="53" t="s">
        <v>126</v>
      </c>
      <c r="AZ6" s="53" t="s">
        <v>127</v>
      </c>
      <c r="BA6" s="53" t="s">
        <v>128</v>
      </c>
      <c r="BB6" s="53" t="s">
        <v>129</v>
      </c>
      <c r="BC6" s="53" t="s">
        <v>130</v>
      </c>
      <c r="BD6" s="53" t="s">
        <v>131</v>
      </c>
      <c r="BE6" s="53" t="s">
        <v>132</v>
      </c>
      <c r="BF6" s="53" t="s">
        <v>133</v>
      </c>
      <c r="BG6" s="53" t="s">
        <v>134</v>
      </c>
      <c r="BH6" s="54" t="s">
        <v>135</v>
      </c>
      <c r="BI6" s="53" t="s">
        <v>136</v>
      </c>
      <c r="BJ6" s="53" t="s">
        <v>137</v>
      </c>
      <c r="BK6" s="53" t="s">
        <v>138</v>
      </c>
      <c r="BL6" s="53" t="s">
        <v>139</v>
      </c>
      <c r="BM6" s="53" t="s">
        <v>140</v>
      </c>
      <c r="BN6" s="53" t="s">
        <v>141</v>
      </c>
      <c r="BO6" s="53" t="s">
        <v>142</v>
      </c>
      <c r="BP6" s="53" t="s">
        <v>143</v>
      </c>
      <c r="BQ6" s="53" t="s">
        <v>144</v>
      </c>
      <c r="BR6" s="53" t="s">
        <v>145</v>
      </c>
      <c r="BS6" s="53" t="s">
        <v>146</v>
      </c>
      <c r="BT6" s="53" t="s">
        <v>147</v>
      </c>
      <c r="BU6" s="53" t="s">
        <v>148</v>
      </c>
      <c r="BV6" s="53" t="s">
        <v>149</v>
      </c>
      <c r="BW6" s="53" t="s">
        <v>150</v>
      </c>
      <c r="BX6" s="53" t="s">
        <v>151</v>
      </c>
      <c r="BY6" s="53" t="s">
        <v>152</v>
      </c>
      <c r="BZ6" s="53" t="s">
        <v>153</v>
      </c>
      <c r="CA6" s="53" t="s">
        <v>154</v>
      </c>
      <c r="CB6" s="53" t="s">
        <v>155</v>
      </c>
      <c r="CC6" s="53" t="s">
        <v>156</v>
      </c>
      <c r="CD6" s="53" t="s">
        <v>157</v>
      </c>
    </row>
    <row r="7" customFormat="false" ht="15" hidden="false" customHeight="false" outlineLevel="0" collapsed="false">
      <c r="A7" s="55" t="s">
        <v>158</v>
      </c>
      <c r="B7" s="55" t="s">
        <v>159</v>
      </c>
      <c r="C7" s="55" t="s">
        <v>160</v>
      </c>
      <c r="D7" s="55" t="s">
        <v>161</v>
      </c>
      <c r="E7" s="55" t="s">
        <v>162</v>
      </c>
      <c r="F7" s="56" t="n">
        <v>3724.72</v>
      </c>
      <c r="G7" s="57" t="n">
        <f aca="false">MAX(0,IF(AND(Parameter!$B$21="Ja",ISNUMBER(W7)),W7,IF(Parameter!$B$20="Jahresanfang 2025 + Export",BJ7+BI7,BI7)))</f>
        <v>18</v>
      </c>
      <c r="H7" s="57" t="n">
        <f aca="false">G7*F7</f>
        <v>67044.96</v>
      </c>
      <c r="I7" s="57" t="n">
        <f aca="false">BL7*Parameter!$B$18</f>
        <v>7</v>
      </c>
      <c r="J7" s="58" t="n">
        <v>12.5</v>
      </c>
      <c r="K7" s="59" t="n">
        <v>0.56</v>
      </c>
      <c r="L7" s="57" t="n">
        <v>2</v>
      </c>
      <c r="M7" s="57" t="n">
        <v>5</v>
      </c>
      <c r="N7" s="60" t="n">
        <v>28</v>
      </c>
      <c r="O7" s="55" t="s">
        <v>163</v>
      </c>
      <c r="P7" s="57"/>
      <c r="Q7" s="60" t="n">
        <f aca="false">IF(BR7=1,0,IFERROR(VLOOKUP(BP7,'Gebinde-Kategorie'!$A$5:$M$45,13,0)+0,0))</f>
        <v>0</v>
      </c>
      <c r="R7" s="61"/>
      <c r="S7" s="62"/>
      <c r="T7" s="62"/>
      <c r="U7" s="55" t="n">
        <v>1</v>
      </c>
      <c r="V7" s="57" t="n">
        <v>22</v>
      </c>
      <c r="W7" s="57" t="n">
        <v>18</v>
      </c>
      <c r="X7" s="55" t="n">
        <f aca="false">IF(A7="","",IF(AND(Parameter!$B$21="Ja",ISNUMBER(U7)),U7,IF(IFERROR(VLOOKUP(D7,Parameter!$A$35:$C$64,2,0),"Nein")="2+3",IF(ISNUMBER(SEARCH("grosser Artikel",BM7)),2,IFERROR(VLOOKUP(BP7,Parameter!$F$35:$G$64,2,0),2)),IF(OR(IFERROR(VLOOKUP(D7,Parameter!$A$35:$C$64,2,0),"Nein")="Nein",IFERROR(VLOOKUP(D7,Parameter!$A$35:$C$64,2,0),"Nein")=""),"-",VLOOKUP(D7,Parameter!$A$35:$C$64,2,0)))))</f>
        <v>1</v>
      </c>
      <c r="Y7" s="62"/>
      <c r="Z7" s="63"/>
      <c r="AA7" s="57" t="n">
        <f aca="false">AP7</f>
        <v>7</v>
      </c>
      <c r="AB7" s="57" t="n">
        <f aca="false">MAX(AP7,G7)</f>
        <v>18</v>
      </c>
      <c r="AC7" s="64"/>
      <c r="AD7" s="57" t="n">
        <f aca="false">IF(LEFT(Cockpit!$C$5,1)="A",G7,IF(BW7=1,BX7,IF(LEFT(Cockpit!$C$5,1)="B",AH7,MAX(AH7,G7))))</f>
        <v>18</v>
      </c>
      <c r="AE7" s="57" t="n">
        <f aca="false">IF(BR7=1,0,ROUNDUP(AD7/BQ7,0))</f>
        <v>0</v>
      </c>
      <c r="AF7" s="59" t="n">
        <f aca="false">IF(CD7&gt;0,CD7*MAX(1,AD7/V7),IF(BR7=1,IF(AD7&lt;=0,0,BS7*MAX(1,IF(G7&gt;0,AD7/G7,1))),IF(Q7&gt;0,AE7/Q7,0))/MAX(0.1,N(Parameter!$M$21)))</f>
        <v>1.7608286252354</v>
      </c>
      <c r="AG7" s="57" t="n">
        <f aca="false">AD7*F7</f>
        <v>67044.96</v>
      </c>
      <c r="AH7" s="57" t="n">
        <f aca="false">ROUNDUP(MAX(I7/IF(BV7&gt;0,BV7,MAX(0.1,N(Cockpit!$C$6))),BY7)/BQ7,0)*BQ7</f>
        <v>7</v>
      </c>
      <c r="AI7" s="58" t="n">
        <f aca="false">IF(AF7&gt;0,I7/AF7,-1)</f>
        <v>3.97540106951872</v>
      </c>
      <c r="AJ7" s="58" t="n">
        <f aca="false">IF(AND(OR(BU7="L1",BU7="L23"),AF7&gt;0),SUMIFS($AF$7:$AF$1576,$BU$7:$BU$1576,BU7,$AI$7:$AI$1576,"&gt;"&amp;AI7)+SUMIFS($AF$7:$AF$1576,$BU$7:$BU$1576,BU7,$AI$7:$AI$1576,AI7,$BO$7:$BO$1576,"&lt;="&amp;BO7),"")</f>
        <v>36.2570621468927</v>
      </c>
      <c r="AK7" s="65" t="n">
        <f aca="false">IF(AJ7="",0,MAX(0,MIN(1,(IF(BU7="L1",Parameter!$E$5,Parameter!$E$6+Parameter!$E$7)-(AJ7-AF7))/AF7)))</f>
        <v>1</v>
      </c>
      <c r="AL7" s="57" t="n">
        <f aca="false">IF(LEFT(Cockpit!$I$5,1)="A",G7,IF(BW7=1,BX7,IF(LEFT(Cockpit!$I$5,1)="B",AP7,MAX(AP7,G7))))</f>
        <v>18</v>
      </c>
      <c r="AM7" s="57" t="n">
        <f aca="false">IF(BR7=1,0,ROUNDUP(AL7/BQ7,0))</f>
        <v>0</v>
      </c>
      <c r="AN7" s="59" t="n">
        <f aca="false">IF(CD7&gt;0,CD7*MAX(1,AL7/V7),IF(BR7=1,IF(AL7&lt;=0,0,BS7*MAX(1,IF(G7&gt;0,AL7/G7,1))),IF(Q7&gt;0,AM7/Q7,0))/MAX(0.1,N(Parameter!$M$21)))</f>
        <v>1.7608286252354</v>
      </c>
      <c r="AO7" s="57" t="n">
        <f aca="false">AL7*F7</f>
        <v>67044.96</v>
      </c>
      <c r="AP7" s="57" t="n">
        <f aca="false">ROUNDUP(MAX(I7/IF(BV7&gt;0,BV7,MAX(0.1,N(Cockpit!$I$6))),BY7)/BQ7,0)*BQ7</f>
        <v>7</v>
      </c>
      <c r="AQ7" s="58" t="n">
        <f aca="false">IF(AN7&gt;0,I7/AN7,-1)</f>
        <v>3.97540106951872</v>
      </c>
      <c r="AR7" s="58" t="n">
        <f aca="false">IF(AND(OR(BU7="L1",BU7="L23"),AN7&gt;0),SUMIFS($AN$7:$AN$1576,$BU$7:$BU$1576,BU7,$AQ$7:$AQ$1576,"&gt;"&amp;AQ7)+SUMIFS($AN$7:$AN$1576,$BU$7:$BU$1576,BU7,$AQ$7:$AQ$1576,AQ7,$BO$7:$BO$1576,"&lt;="&amp;BO7),"")</f>
        <v>41.2193973634652</v>
      </c>
      <c r="AS7" s="65" t="n">
        <f aca="false">IF(AR7="",0,MAX(0,MIN(1,(IF(BU7="L1",Parameter!$E$5,Parameter!$E$6+Parameter!$E$7)-(AR7-AN7))/AN7)))</f>
        <v>1</v>
      </c>
      <c r="AT7" s="57" t="n">
        <f aca="false">IF(LEFT(Cockpit!$O$5,1)="A",G7,IF(BW7=1,BX7,IF(LEFT(Cockpit!$O$5,1)="B",AX7,MAX(AX7,G7))))</f>
        <v>18</v>
      </c>
      <c r="AU7" s="57" t="n">
        <f aca="false">IF(BR7=1,0,ROUNDUP(AT7/BQ7,0))</f>
        <v>0</v>
      </c>
      <c r="AV7" s="59" t="n">
        <f aca="false">IF(CD7&gt;0,CD7*MAX(1,AT7/V7),IF(BR7=1,IF(AT7&lt;=0,0,BS7*MAX(1,IF(G7&gt;0,AT7/G7,1))),IF(Q7&gt;0,AU7/Q7,0))/MAX(0.1,N(Parameter!$M$21)))</f>
        <v>1.7608286252354</v>
      </c>
      <c r="AW7" s="57" t="n">
        <f aca="false">AT7*F7</f>
        <v>67044.96</v>
      </c>
      <c r="AX7" s="57" t="n">
        <f aca="false">ROUNDUP(MAX(I7/IF(BV7&gt;0,BV7,MAX(0.1,N(Cockpit!$O$6))),BY7)/BQ7,0)*BQ7</f>
        <v>7</v>
      </c>
      <c r="AY7" s="58" t="n">
        <f aca="false">IF(AV7&gt;0,I7/AV7,-1)</f>
        <v>3.97540106951872</v>
      </c>
      <c r="AZ7" s="58" t="n">
        <f aca="false">IF(AND(OR(BU7="L1",BU7="L23"),AV7&gt;0),SUMIFS($AV$7:$AV$1576,$BU$7:$BU$1576,BU7,$AY$7:$AY$1576,"&gt;"&amp;AY7)+SUMIFS($AV$7:$AV$1576,$BU$7:$BU$1576,BU7,$AY$7:$AY$1576,AY7,$BO$7:$BO$1576,"&lt;="&amp;BO7),"")</f>
        <v>38.2580037664783</v>
      </c>
      <c r="BA7" s="65" t="n">
        <f aca="false">IF(AZ7="",0,MAX(0,MIN(1,(IF(BU7="L1",Parameter!$E$5,Parameter!$E$6+Parameter!$E$7)-(AZ7-AV7))/AV7)))</f>
        <v>1</v>
      </c>
      <c r="BB7" s="55" t="str">
        <f aca="false">IF(AF7&lt;=0,"",IF(BU7="Aussen","Aussenlager",IF(BU7="-","Nicht im Lift",IF(AK7&gt;=1,"Lift",IF(AK7&lt;=0,"Aussenlager","teilweise")))))</f>
        <v>Lift</v>
      </c>
      <c r="BC7" s="55" t="str">
        <f aca="false">IF(AN7&lt;=0,"",IF(BU7="Aussen","Aussenlager",IF(BU7="-","Nicht im Lift",IF(AS7&gt;=1,"Lift",IF(AS7&lt;=0,"Aussenlager","teilweise")))))</f>
        <v>Lift</v>
      </c>
      <c r="BD7" s="55" t="str">
        <f aca="false">IF(AV7&lt;=0,"",IF(BU7="Aussen","Aussenlager",IF(BU7="-","Nicht im Lift",IF(BA7&gt;=1,"Lift",IF(BA7&lt;=0,"Aussenlager","teilweise")))))</f>
        <v>Lift</v>
      </c>
      <c r="BE7" s="55" t="str">
        <f aca="false">IF(A7="","",IF(BN7=1,"Neu; ","")&amp;IF(AND(BN7=0,BI7&lt;0),"negativer Bestand (Export "&amp;BI7&amp;"); ","")&amp;IF(I7&lt;=0,"Kein Verbrauch; ","")&amp;IF(CD7&gt;0,"Lift "&amp;U7&amp;" lt. Liftbericht (Fach "&amp;V7&amp;" Stk); ",IF(BR7=1,"Lose – Fläche geschätzt; ",""))&amp;IF(G7&gt;AP7,"Überbestand "&amp;ROUND(G7-AP7,0)&amp;" Stk / CHF "&amp;ROUND((G7-AP7)*F7,0)&amp;"; ","")&amp;IF(AND(BW7=1,BX7&lt;BY7),"MAX &lt; MB+LG; ","")&amp;IF(AND(CC7&gt;0,CB7*10&gt;CC7),"zu hoch für Tablar; ","")&amp;IF(AND(BN7=0,OR(BW7=1,Y7&lt;&gt;"",S7&lt;&gt;"",T7&lt;&gt;"",Z7&lt;&gt;"")),"manuell übersteuert; ","")&amp;IF(AND(BR7=0,Q7=0),"Gebinde unbekannt / Stellmass fehlt; ","")&amp;IF(AND(BR7=0,N(T7)&lt;=0,N(P7)&lt;=0),"Menge pro Gebinde fehlt (Ist = 1 Gebinde); ","")&amp;BM7)</f>
        <v>Lift 1 lt. Liftbericht (Fach 22 Stk); Überbestand 11 Stk / CHF 40972; </v>
      </c>
      <c r="BF7" s="55" t="s">
        <v>164</v>
      </c>
      <c r="BG7" s="55" t="s">
        <v>165</v>
      </c>
      <c r="BH7" s="62"/>
      <c r="BI7" s="57" t="n">
        <v>20</v>
      </c>
      <c r="BJ7" s="57" t="n">
        <v>7</v>
      </c>
      <c r="BK7" s="56" t="n">
        <v>75034.94</v>
      </c>
      <c r="BL7" s="57" t="n">
        <v>7</v>
      </c>
      <c r="BM7" s="55"/>
      <c r="BN7" s="60" t="n">
        <v>0</v>
      </c>
      <c r="BO7" s="60" t="n">
        <v>7</v>
      </c>
      <c r="BP7" s="55" t="str">
        <f aca="false">IF(S7&lt;&gt;"",UPPER(TRIM(S7)),IF(O7="","LOSE",O7))</f>
        <v>LOSE</v>
      </c>
      <c r="BQ7" s="57" t="n">
        <f aca="false">IF(BP7="LOSE",1,IF(N(T7)&gt;0,T7,IF(N(P7)&gt;0,P7,MAX(1,G7))))</f>
        <v>1</v>
      </c>
      <c r="BR7" s="60" t="n">
        <f aca="false">IF(BP7="LOSE",1,0)</f>
        <v>1</v>
      </c>
      <c r="BS7" s="59" t="n">
        <f aca="false">IF(BR7=0,0,IF(N(R7)&gt;0,R7,IFERROR(VLOOKUP(D7,Parameter!$A$35:$C$64,3,0)+0,0)))</f>
        <v>1</v>
      </c>
      <c r="BT7" s="55" t="n">
        <f aca="false">IF(Y7&lt;&gt;"",Y7,X7)</f>
        <v>1</v>
      </c>
      <c r="BU7" s="55" t="str">
        <f aca="false">IF(BT7=1,"L1",IF(OR(BT7=2,BT7=3),"L23",IF(BT7="Aussen","Aussen","-")))</f>
        <v>L1</v>
      </c>
      <c r="BV7" s="66" t="n">
        <f aca="false">IF(N(Z7)&gt;0,Z7,0)</f>
        <v>0</v>
      </c>
      <c r="BW7" s="60" t="n">
        <f aca="false">IF(ISNUMBER(AC7),1,0)</f>
        <v>0</v>
      </c>
      <c r="BX7" s="57" t="n">
        <f aca="false">N(AC7)</f>
        <v>0</v>
      </c>
      <c r="BY7" s="57" t="n">
        <f aca="false">N(L7)+N(M7)</f>
        <v>7</v>
      </c>
      <c r="BZ7" s="57" t="n">
        <f aca="false">ROUNDUP(G7/BQ7,0)</f>
        <v>18</v>
      </c>
      <c r="CA7" s="57" t="n">
        <f aca="false">ROUNDUP(BX7/BQ7,0)</f>
        <v>0</v>
      </c>
      <c r="CB7" s="60" t="n">
        <f aca="false">IF(BR7=1,0,IFERROR(VLOOKUP(BP7,'Gebinde-Kategorie'!$A$5:$M$45,5,0)+0,0))</f>
        <v>0</v>
      </c>
      <c r="CC7" s="60" t="n">
        <f aca="false">IFERROR(IF(OR(BT7=1,BT7=2,BT7=3),N(INDEX(Parameter!$I$5:$I$7,BT7)),0),0)</f>
        <v>0</v>
      </c>
      <c r="CD7" s="59" t="n">
        <f aca="false">IF(AND(Parameter!$B$21="Ja",ISNUMBER(U7),N(V7)&gt;0),IFERROR(N(INDEX(Parameter!$L$5:$L$7,U7))*INDEX(Parameter!$E$5:$E$7,U7)*V7/SUMIFS($V$7:$V$1576,$U$7:$U$1576,U7),0),0)</f>
        <v>1.7608286252354</v>
      </c>
    </row>
    <row r="8" customFormat="false" ht="15" hidden="false" customHeight="false" outlineLevel="0" collapsed="false">
      <c r="A8" s="55" t="s">
        <v>166</v>
      </c>
      <c r="B8" s="55" t="s">
        <v>167</v>
      </c>
      <c r="C8" s="55" t="s">
        <v>162</v>
      </c>
      <c r="D8" s="55" t="s">
        <v>168</v>
      </c>
      <c r="E8" s="55" t="s">
        <v>162</v>
      </c>
      <c r="F8" s="56" t="n">
        <v>718.84</v>
      </c>
      <c r="G8" s="57" t="n">
        <f aca="false">MAX(0,IF(AND(Parameter!$B$21="Ja",ISNUMBER(W8)),W8,IF(Parameter!$B$20="Jahresanfang 2025 + Export",BJ8+BI8,BI8)))</f>
        <v>94</v>
      </c>
      <c r="H8" s="57" t="n">
        <f aca="false">G8*F8</f>
        <v>67570.96</v>
      </c>
      <c r="I8" s="57" t="n">
        <f aca="false">BL8*Parameter!$B$18</f>
        <v>2</v>
      </c>
      <c r="J8" s="58" t="n">
        <v>74</v>
      </c>
      <c r="K8" s="59" t="n">
        <v>0.027027027027027</v>
      </c>
      <c r="L8" s="57" t="n">
        <v>0</v>
      </c>
      <c r="M8" s="57" t="n">
        <v>1</v>
      </c>
      <c r="N8" s="60" t="n">
        <v>14</v>
      </c>
      <c r="O8" s="55" t="s">
        <v>169</v>
      </c>
      <c r="P8" s="57" t="n">
        <v>14</v>
      </c>
      <c r="Q8" s="60" t="n">
        <f aca="false">IF(BR8=1,0,IFERROR(VLOOKUP(BP8,'Gebinde-Kategorie'!$A$5:$M$45,13,0)+0,0))</f>
        <v>6</v>
      </c>
      <c r="R8" s="61"/>
      <c r="S8" s="62"/>
      <c r="T8" s="62"/>
      <c r="U8" s="55"/>
      <c r="V8" s="57"/>
      <c r="W8" s="57"/>
      <c r="X8" s="55" t="n">
        <f aca="false">IF(A8="","",IF(AND(Parameter!$B$21="Ja",ISNUMBER(U8)),U8,IF(IFERROR(VLOOKUP(D8,Parameter!$A$35:$C$64,2,0),"Nein")="2+3",IF(ISNUMBER(SEARCH("grosser Artikel",BM8)),2,IFERROR(VLOOKUP(BP8,Parameter!$F$35:$G$64,2,0),2)),IF(OR(IFERROR(VLOOKUP(D8,Parameter!$A$35:$C$64,2,0),"Nein")="Nein",IFERROR(VLOOKUP(D8,Parameter!$A$35:$C$64,2,0),"Nein")=""),"-",VLOOKUP(D8,Parameter!$A$35:$C$64,2,0)))))</f>
        <v>2</v>
      </c>
      <c r="Y8" s="62"/>
      <c r="Z8" s="63"/>
      <c r="AA8" s="57" t="n">
        <f aca="false">AP8</f>
        <v>14</v>
      </c>
      <c r="AB8" s="57" t="n">
        <f aca="false">MAX(AP8,G8)</f>
        <v>94</v>
      </c>
      <c r="AC8" s="64"/>
      <c r="AD8" s="57" t="n">
        <f aca="false">IF(LEFT(Cockpit!$C$5,1)="A",G8,IF(BW8=1,BX8,IF(LEFT(Cockpit!$C$5,1)="B",AH8,MAX(AH8,G8))))</f>
        <v>94</v>
      </c>
      <c r="AE8" s="57" t="n">
        <f aca="false">IF(BR8=1,0,ROUNDUP(AD8/BQ8,0))</f>
        <v>7</v>
      </c>
      <c r="AF8" s="59" t="n">
        <f aca="false">IF(CD8&gt;0,CD8*MAX(1,AD8/V8),IF(BR8=1,IF(AD8&lt;=0,0,BS8*MAX(1,IF(G8&gt;0,AD8/G8,1))),IF(Q8&gt;0,AE8/Q8,0))/MAX(0.1,N(Parameter!$M$21)))</f>
        <v>1.16666666666667</v>
      </c>
      <c r="AG8" s="57" t="n">
        <f aca="false">AD8*F8</f>
        <v>67570.96</v>
      </c>
      <c r="AH8" s="57" t="n">
        <f aca="false">ROUNDUP(MAX(I8/IF(BV8&gt;0,BV8,MAX(0.1,N(Cockpit!$C$6))),BY8)/BQ8,0)*BQ8</f>
        <v>14</v>
      </c>
      <c r="AI8" s="58" t="n">
        <f aca="false">IF(AF8&gt;0,I8/AF8,-1)</f>
        <v>1.71428571428571</v>
      </c>
      <c r="AJ8" s="58" t="n">
        <f aca="false">IF(AND(OR(BU8="L1",BU8="L23"),AF8&gt;0),SUMIFS($AF$7:$AF$1576,$BU$7:$BU$1576,BU8,$AI$7:$AI$1576,"&gt;"&amp;AI8)+SUMIFS($AF$7:$AF$1576,$BU$7:$BU$1576,BU8,$AI$7:$AI$1576,AI8,$BO$7:$BO$1576,"&lt;="&amp;BO8),"")</f>
        <v>32.9659150028715</v>
      </c>
      <c r="AK8" s="65" t="n">
        <f aca="false">IF(AJ8="",0,MAX(0,MIN(1,(IF(BU8="L1",Parameter!$E$5,Parameter!$E$6+Parameter!$E$7)-(AJ8-AF8))/AF8)))</f>
        <v>1</v>
      </c>
      <c r="AL8" s="57" t="n">
        <f aca="false">IF(LEFT(Cockpit!$I$5,1)="A",G8,IF(BW8=1,BX8,IF(LEFT(Cockpit!$I$5,1)="B",AP8,MAX(AP8,G8))))</f>
        <v>94</v>
      </c>
      <c r="AM8" s="57" t="n">
        <f aca="false">IF(BR8=1,0,ROUNDUP(AL8/BQ8,0))</f>
        <v>7</v>
      </c>
      <c r="AN8" s="59" t="n">
        <f aca="false">IF(CD8&gt;0,CD8*MAX(1,AL8/V8),IF(BR8=1,IF(AL8&lt;=0,0,BS8*MAX(1,IF(G8&gt;0,AL8/G8,1))),IF(Q8&gt;0,AM8/Q8,0))/MAX(0.1,N(Parameter!$M$21)))</f>
        <v>1.16666666666667</v>
      </c>
      <c r="AO8" s="57" t="n">
        <f aca="false">AL8*F8</f>
        <v>67570.96</v>
      </c>
      <c r="AP8" s="57" t="n">
        <f aca="false">ROUNDUP(MAX(I8/IF(BV8&gt;0,BV8,MAX(0.1,N(Cockpit!$I$6))),BY8)/BQ8,0)*BQ8</f>
        <v>14</v>
      </c>
      <c r="AQ8" s="58" t="n">
        <f aca="false">IF(AN8&gt;0,I8/AN8,-1)</f>
        <v>1.71428571428571</v>
      </c>
      <c r="AR8" s="58" t="n">
        <f aca="false">IF(AND(OR(BU8="L1",BU8="L23"),AN8&gt;0),SUMIFS($AN$7:$AN$1576,$BU$7:$BU$1576,BU8,$AQ$7:$AQ$1576,"&gt;"&amp;AQ8)+SUMIFS($AN$7:$AN$1576,$BU$7:$BU$1576,BU8,$AQ$7:$AQ$1576,AQ8,$BO$7:$BO$1576,"&lt;="&amp;BO8),"")</f>
        <v>115.459101255362</v>
      </c>
      <c r="AS8" s="65" t="n">
        <f aca="false">IF(AR8="",0,MAX(0,MIN(1,(IF(BU8="L1",Parameter!$E$5,Parameter!$E$6+Parameter!$E$7)-(AR8-AN8))/AN8)))</f>
        <v>0</v>
      </c>
      <c r="AT8" s="57" t="n">
        <f aca="false">IF(LEFT(Cockpit!$O$5,1)="A",G8,IF(BW8=1,BX8,IF(LEFT(Cockpit!$O$5,1)="B",AX8,MAX(AX8,G8))))</f>
        <v>94</v>
      </c>
      <c r="AU8" s="57" t="n">
        <f aca="false">IF(BR8=1,0,ROUNDUP(AT8/BQ8,0))</f>
        <v>7</v>
      </c>
      <c r="AV8" s="59" t="n">
        <f aca="false">IF(CD8&gt;0,CD8*MAX(1,AT8/V8),IF(BR8=1,IF(AT8&lt;=0,0,BS8*MAX(1,IF(G8&gt;0,AT8/G8,1))),IF(Q8&gt;0,AU8/Q8,0))/MAX(0.1,N(Parameter!$M$21)))</f>
        <v>1.16666666666667</v>
      </c>
      <c r="AW8" s="57" t="n">
        <f aca="false">AT8*F8</f>
        <v>67570.96</v>
      </c>
      <c r="AX8" s="57" t="n">
        <f aca="false">ROUNDUP(MAX(I8/IF(BV8&gt;0,BV8,MAX(0.1,N(Cockpit!$O$6))),BY8)/BQ8,0)*BQ8</f>
        <v>14</v>
      </c>
      <c r="AY8" s="58" t="n">
        <f aca="false">IF(AV8&gt;0,I8/AV8,-1)</f>
        <v>1.71428571428571</v>
      </c>
      <c r="AZ8" s="58" t="n">
        <f aca="false">IF(AND(OR(BU8="L1",BU8="L23"),AV8&gt;0),SUMIFS($AV$7:$AV$1576,$BU$7:$BU$1576,BU8,$AY$7:$AY$1576,"&gt;"&amp;AY8)+SUMIFS($AV$7:$AV$1576,$BU$7:$BU$1576,BU8,$AY$7:$AY$1576,AY8,$BO$7:$BO$1576,"&lt;="&amp;BO8),"")</f>
        <v>105.518651704913</v>
      </c>
      <c r="BA8" s="65" t="n">
        <f aca="false">IF(AZ8="",0,MAX(0,MIN(1,(IF(BU8="L1",Parameter!$E$5,Parameter!$E$6+Parameter!$E$7)-(AZ8-AV8))/AV8)))</f>
        <v>0</v>
      </c>
      <c r="BB8" s="55" t="str">
        <f aca="false">IF(AF8&lt;=0,"",IF(BU8="Aussen","Aussenlager",IF(BU8="-","Nicht im Lift",IF(AK8&gt;=1,"Lift",IF(AK8&lt;=0,"Aussenlager","teilweise")))))</f>
        <v>Lift</v>
      </c>
      <c r="BC8" s="55" t="str">
        <f aca="false">IF(AN8&lt;=0,"",IF(BU8="Aussen","Aussenlager",IF(BU8="-","Nicht im Lift",IF(AS8&gt;=1,"Lift",IF(AS8&lt;=0,"Aussenlager","teilweise")))))</f>
        <v>Aussenlager</v>
      </c>
      <c r="BD8" s="55" t="str">
        <f aca="false">IF(AV8&lt;=0,"",IF(BU8="Aussen","Aussenlager",IF(BU8="-","Nicht im Lift",IF(BA8&gt;=1,"Lift",IF(BA8&lt;=0,"Aussenlager","teilweise")))))</f>
        <v>Aussenlager</v>
      </c>
      <c r="BE8" s="55" t="str">
        <f aca="false">IF(A8="","",IF(BN8=1,"Neu; ","")&amp;IF(AND(BN8=0,BI8&lt;0),"negativer Bestand (Export "&amp;BI8&amp;"); ","")&amp;IF(I8&lt;=0,"Kein Verbrauch; ","")&amp;IF(CD8&gt;0,"Lift "&amp;U8&amp;" lt. Liftbericht (Fach "&amp;V8&amp;" Stk); ",IF(BR8=1,"Lose – Fläche geschätzt; ",""))&amp;IF(G8&gt;AP8,"Überbestand "&amp;ROUND(G8-AP8,0)&amp;" Stk / CHF "&amp;ROUND((G8-AP8)*F8,0)&amp;"; ","")&amp;IF(AND(BW8=1,BX8&lt;BY8),"MAX &lt; MB+LG; ","")&amp;IF(AND(CC8&gt;0,CB8*10&gt;CC8),"zu hoch für Tablar; ","")&amp;IF(AND(BN8=0,OR(BW8=1,Y8&lt;&gt;"",S8&lt;&gt;"",T8&lt;&gt;"",Z8&lt;&gt;"")),"manuell übersteuert; ","")&amp;IF(AND(BR8=0,Q8=0),"Gebinde unbekannt / Stellmass fehlt; ","")&amp;IF(AND(BR8=0,N(T8)&lt;=0,N(P8)&lt;=0),"Menge pro Gebinde fehlt (Ist = 1 Gebinde); ","")&amp;BM8)</f>
        <v>Überbestand 80 Stk / CHF 57507; </v>
      </c>
      <c r="BF8" s="55" t="s">
        <v>170</v>
      </c>
      <c r="BG8" s="55" t="s">
        <v>171</v>
      </c>
      <c r="BH8" s="62"/>
      <c r="BI8" s="57" t="n">
        <v>94</v>
      </c>
      <c r="BJ8" s="57" t="n">
        <v>0</v>
      </c>
      <c r="BK8" s="56" t="n">
        <v>67570.96</v>
      </c>
      <c r="BL8" s="57" t="n">
        <v>2</v>
      </c>
      <c r="BM8" s="55"/>
      <c r="BN8" s="60" t="n">
        <v>0</v>
      </c>
      <c r="BO8" s="60" t="n">
        <v>8</v>
      </c>
      <c r="BP8" s="55" t="str">
        <f aca="false">IF(S8&lt;&gt;"",UPPER(TRIM(S8)),IF(O8="","LOSE",O8))</f>
        <v>S71</v>
      </c>
      <c r="BQ8" s="57" t="n">
        <f aca="false">IF(BP8="LOSE",1,IF(N(T8)&gt;0,T8,IF(N(P8)&gt;0,P8,MAX(1,G8))))</f>
        <v>14</v>
      </c>
      <c r="BR8" s="60" t="n">
        <f aca="false">IF(BP8="LOSE",1,0)</f>
        <v>0</v>
      </c>
      <c r="BS8" s="59" t="n">
        <f aca="false">IF(BR8=0,0,IF(N(R8)&gt;0,R8,IFERROR(VLOOKUP(D8,Parameter!$A$35:$C$64,3,0)+0,0)))</f>
        <v>0</v>
      </c>
      <c r="BT8" s="55" t="n">
        <f aca="false">IF(Y8&lt;&gt;"",Y8,X8)</f>
        <v>2</v>
      </c>
      <c r="BU8" s="55" t="str">
        <f aca="false">IF(BT8=1,"L1",IF(OR(BT8=2,BT8=3),"L23",IF(BT8="Aussen","Aussen","-")))</f>
        <v>L23</v>
      </c>
      <c r="BV8" s="66" t="n">
        <f aca="false">IF(N(Z8)&gt;0,Z8,0)</f>
        <v>0</v>
      </c>
      <c r="BW8" s="60" t="n">
        <f aca="false">IF(ISNUMBER(AC8),1,0)</f>
        <v>0</v>
      </c>
      <c r="BX8" s="57" t="n">
        <f aca="false">N(AC8)</f>
        <v>0</v>
      </c>
      <c r="BY8" s="57" t="n">
        <f aca="false">N(L8)+N(M8)</f>
        <v>1</v>
      </c>
      <c r="BZ8" s="57" t="n">
        <f aca="false">ROUNDUP(G8/BQ8,0)</f>
        <v>7</v>
      </c>
      <c r="CA8" s="57" t="n">
        <f aca="false">ROUNDUP(BX8/BQ8,0)</f>
        <v>0</v>
      </c>
      <c r="CB8" s="60" t="n">
        <f aca="false">IF(BR8=1,0,IFERROR(VLOOKUP(BP8,'Gebinde-Kategorie'!$A$5:$M$45,5,0)+0,0))</f>
        <v>20</v>
      </c>
      <c r="CC8" s="60" t="n">
        <f aca="false">IFERROR(IF(OR(BT8=1,BT8=2,BT8=3),N(INDEX(Parameter!$I$5:$I$7,BT8)),0),0)</f>
        <v>0</v>
      </c>
      <c r="CD8" s="59" t="n">
        <f aca="false">IF(AND(Parameter!$B$21="Ja",ISNUMBER(U8),N(V8)&gt;0),IFERROR(N(INDEX(Parameter!$L$5:$L$7,U8))*INDEX(Parameter!$E$5:$E$7,U8)*V8/SUMIFS($V$7:$V$1576,$U$7:$U$1576,U8),0),0)</f>
        <v>0</v>
      </c>
    </row>
    <row r="9" customFormat="false" ht="15" hidden="false" customHeight="false" outlineLevel="0" collapsed="false">
      <c r="A9" s="55" t="s">
        <v>172</v>
      </c>
      <c r="B9" s="55" t="s">
        <v>173</v>
      </c>
      <c r="C9" s="55" t="s">
        <v>160</v>
      </c>
      <c r="D9" s="55" t="s">
        <v>168</v>
      </c>
      <c r="E9" s="55" t="s">
        <v>162</v>
      </c>
      <c r="F9" s="56" t="n">
        <v>1980</v>
      </c>
      <c r="G9" s="57" t="n">
        <f aca="false">MAX(0,IF(AND(Parameter!$B$21="Ja",ISNUMBER(W9)),W9,IF(Parameter!$B$20="Jahresanfang 2025 + Export",BJ9+BI9,BI9)))</f>
        <v>32</v>
      </c>
      <c r="H9" s="57" t="n">
        <f aca="false">G9*F9</f>
        <v>63360</v>
      </c>
      <c r="I9" s="57" t="n">
        <f aca="false">BL9*Parameter!$B$18</f>
        <v>11</v>
      </c>
      <c r="J9" s="58" t="n">
        <v>0.5</v>
      </c>
      <c r="K9" s="59" t="n">
        <v>22</v>
      </c>
      <c r="L9" s="57" t="n">
        <v>2</v>
      </c>
      <c r="M9" s="57" t="n">
        <v>5</v>
      </c>
      <c r="N9" s="60" t="n">
        <v>80</v>
      </c>
      <c r="O9" s="55" t="s">
        <v>163</v>
      </c>
      <c r="P9" s="57"/>
      <c r="Q9" s="60" t="n">
        <f aca="false">IF(BR9=1,0,IFERROR(VLOOKUP(BP9,'Gebinde-Kategorie'!$A$5:$M$45,13,0)+0,0))</f>
        <v>0</v>
      </c>
      <c r="R9" s="61"/>
      <c r="S9" s="62"/>
      <c r="T9" s="62"/>
      <c r="U9" s="55"/>
      <c r="V9" s="57"/>
      <c r="W9" s="57"/>
      <c r="X9" s="55" t="n">
        <f aca="false">IF(A9="","",IF(AND(Parameter!$B$21="Ja",ISNUMBER(U9)),U9,IF(IFERROR(VLOOKUP(D9,Parameter!$A$35:$C$64,2,0),"Nein")="2+3",IF(ISNUMBER(SEARCH("grosser Artikel",BM9)),2,IFERROR(VLOOKUP(BP9,Parameter!$F$35:$G$64,2,0),2)),IF(OR(IFERROR(VLOOKUP(D9,Parameter!$A$35:$C$64,2,0),"Nein")="Nein",IFERROR(VLOOKUP(D9,Parameter!$A$35:$C$64,2,0),"Nein")=""),"-",VLOOKUP(D9,Parameter!$A$35:$C$64,2,0)))))</f>
        <v>2</v>
      </c>
      <c r="Y9" s="62"/>
      <c r="Z9" s="63"/>
      <c r="AA9" s="57" t="n">
        <f aca="false">AP9</f>
        <v>7</v>
      </c>
      <c r="AB9" s="57" t="n">
        <f aca="false">MAX(AP9,G9)</f>
        <v>32</v>
      </c>
      <c r="AC9" s="64"/>
      <c r="AD9" s="57" t="n">
        <f aca="false">IF(LEFT(Cockpit!$C$5,1)="A",G9,IF(BW9=1,BX9,IF(LEFT(Cockpit!$C$5,1)="B",AH9,MAX(AH9,G9))))</f>
        <v>32</v>
      </c>
      <c r="AE9" s="57" t="n">
        <f aca="false">IF(BR9=1,0,ROUNDUP(AD9/BQ9,0))</f>
        <v>0</v>
      </c>
      <c r="AF9" s="59" t="n">
        <f aca="false">IF(CD9&gt;0,CD9*MAX(1,AD9/V9),IF(BR9=1,IF(AD9&lt;=0,0,BS9*MAX(1,IF(G9&gt;0,AD9/G9,1))),IF(Q9&gt;0,AE9/Q9,0))/MAX(0.1,N(Parameter!$M$21)))</f>
        <v>0.15</v>
      </c>
      <c r="AG9" s="57" t="n">
        <f aca="false">AD9*F9</f>
        <v>63360</v>
      </c>
      <c r="AH9" s="57" t="n">
        <f aca="false">ROUNDUP(MAX(I9/IF(BV9&gt;0,BV9,MAX(0.1,N(Cockpit!$C$6))),BY9)/BQ9,0)*BQ9</f>
        <v>7</v>
      </c>
      <c r="AI9" s="58" t="n">
        <f aca="false">IF(AF9&gt;0,I9/AF9,-1)</f>
        <v>73.3333333333333</v>
      </c>
      <c r="AJ9" s="58" t="n">
        <f aca="false">IF(AND(OR(BU9="L1",BU9="L23"),AF9&gt;0),SUMIFS($AF$7:$AF$1576,$BU$7:$BU$1576,BU9,$AI$7:$AI$1576,"&gt;"&amp;AI9)+SUMIFS($AF$7:$AF$1576,$BU$7:$BU$1576,BU9,$AI$7:$AI$1576,AI9,$BO$7:$BO$1576,"&lt;="&amp;BO9),"")</f>
        <v>24.0345863315429</v>
      </c>
      <c r="AK9" s="65" t="n">
        <f aca="false">IF(AJ9="",0,MAX(0,MIN(1,(IF(BU9="L1",Parameter!$E$5,Parameter!$E$6+Parameter!$E$7)-(AJ9-AF9))/AF9)))</f>
        <v>1</v>
      </c>
      <c r="AL9" s="57" t="n">
        <f aca="false">IF(LEFT(Cockpit!$I$5,1)="A",G9,IF(BW9=1,BX9,IF(LEFT(Cockpit!$I$5,1)="B",AP9,MAX(AP9,G9))))</f>
        <v>32</v>
      </c>
      <c r="AM9" s="57" t="n">
        <f aca="false">IF(BR9=1,0,ROUNDUP(AL9/BQ9,0))</f>
        <v>0</v>
      </c>
      <c r="AN9" s="59" t="n">
        <f aca="false">IF(CD9&gt;0,CD9*MAX(1,AL9/V9),IF(BR9=1,IF(AL9&lt;=0,0,BS9*MAX(1,IF(G9&gt;0,AL9/G9,1))),IF(Q9&gt;0,AM9/Q9,0))/MAX(0.1,N(Parameter!$M$21)))</f>
        <v>0.15</v>
      </c>
      <c r="AO9" s="57" t="n">
        <f aca="false">AL9*F9</f>
        <v>63360</v>
      </c>
      <c r="AP9" s="57" t="n">
        <f aca="false">ROUNDUP(MAX(I9/IF(BV9&gt;0,BV9,MAX(0.1,N(Cockpit!$I$6))),BY9)/BQ9,0)*BQ9</f>
        <v>7</v>
      </c>
      <c r="AQ9" s="58" t="n">
        <f aca="false">IF(AN9&gt;0,I9/AN9,-1)</f>
        <v>73.3333333333333</v>
      </c>
      <c r="AR9" s="58" t="n">
        <f aca="false">IF(AND(OR(BU9="L1",BU9="L23"),AN9&gt;0),SUMIFS($AN$7:$AN$1576,$BU$7:$BU$1576,BU9,$AQ$7:$AQ$1576,"&gt;"&amp;AQ9)+SUMIFS($AN$7:$AN$1576,$BU$7:$BU$1576,BU9,$AQ$7:$AQ$1576,AQ9,$BO$7:$BO$1576,"&lt;="&amp;BO9),"")</f>
        <v>75.4789613952226</v>
      </c>
      <c r="AS9" s="65" t="n">
        <f aca="false">IF(AR9="",0,MAX(0,MIN(1,(IF(BU9="L1",Parameter!$E$5,Parameter!$E$6+Parameter!$E$7)-(AR9-AN9))/AN9)))</f>
        <v>1</v>
      </c>
      <c r="AT9" s="57" t="n">
        <f aca="false">IF(LEFT(Cockpit!$O$5,1)="A",G9,IF(BW9=1,BX9,IF(LEFT(Cockpit!$O$5,1)="B",AX9,MAX(AX9,G9))))</f>
        <v>32</v>
      </c>
      <c r="AU9" s="57" t="n">
        <f aca="false">IF(BR9=1,0,ROUNDUP(AT9/BQ9,0))</f>
        <v>0</v>
      </c>
      <c r="AV9" s="59" t="n">
        <f aca="false">IF(CD9&gt;0,CD9*MAX(1,AT9/V9),IF(BR9=1,IF(AT9&lt;=0,0,BS9*MAX(1,IF(G9&gt;0,AT9/G9,1))),IF(Q9&gt;0,AU9/Q9,0))/MAX(0.1,N(Parameter!$M$21)))</f>
        <v>0.15</v>
      </c>
      <c r="AW9" s="57" t="n">
        <f aca="false">AT9*F9</f>
        <v>63360</v>
      </c>
      <c r="AX9" s="57" t="n">
        <f aca="false">ROUNDUP(MAX(I9/IF(BV9&gt;0,BV9,MAX(0.1,N(Cockpit!$O$6))),BY9)/BQ9,0)*BQ9</f>
        <v>7</v>
      </c>
      <c r="AY9" s="58" t="n">
        <f aca="false">IF(AV9&gt;0,I9/AV9,-1)</f>
        <v>73.3333333333333</v>
      </c>
      <c r="AZ9" s="58" t="n">
        <f aca="false">IF(AND(OR(BU9="L1",BU9="L23"),AV9&gt;0),SUMIFS($AV$7:$AV$1576,$BU$7:$BU$1576,BU9,$AY$7:$AY$1576,"&gt;"&amp;AY9)+SUMIFS($AV$7:$AV$1576,$BU$7:$BU$1576,BU9,$AY$7:$AY$1576,AY9,$BO$7:$BO$1576,"&lt;="&amp;BO9),"")</f>
        <v>69.8768451781063</v>
      </c>
      <c r="BA9" s="65" t="n">
        <f aca="false">IF(AZ9="",0,MAX(0,MIN(1,(IF(BU9="L1",Parameter!$E$5,Parameter!$E$6+Parameter!$E$7)-(AZ9-AV9))/AV9)))</f>
        <v>1</v>
      </c>
      <c r="BB9" s="55" t="str">
        <f aca="false">IF(AF9&lt;=0,"",IF(BU9="Aussen","Aussenlager",IF(BU9="-","Nicht im Lift",IF(AK9&gt;=1,"Lift",IF(AK9&lt;=0,"Aussenlager","teilweise")))))</f>
        <v>Lift</v>
      </c>
      <c r="BC9" s="55" t="str">
        <f aca="false">IF(AN9&lt;=0,"",IF(BU9="Aussen","Aussenlager",IF(BU9="-","Nicht im Lift",IF(AS9&gt;=1,"Lift",IF(AS9&lt;=0,"Aussenlager","teilweise")))))</f>
        <v>Lift</v>
      </c>
      <c r="BD9" s="55" t="str">
        <f aca="false">IF(AV9&lt;=0,"",IF(BU9="Aussen","Aussenlager",IF(BU9="-","Nicht im Lift",IF(BA9&gt;=1,"Lift",IF(BA9&lt;=0,"Aussenlager","teilweise")))))</f>
        <v>Lift</v>
      </c>
      <c r="BE9" s="55" t="str">
        <f aca="false">IF(A9="","",IF(BN9=1,"Neu; ","")&amp;IF(AND(BN9=0,BI9&lt;0),"negativer Bestand (Export "&amp;BI9&amp;"); ","")&amp;IF(I9&lt;=0,"Kein Verbrauch; ","")&amp;IF(CD9&gt;0,"Lift "&amp;U9&amp;" lt. Liftbericht (Fach "&amp;V9&amp;" Stk); ",IF(BR9=1,"Lose – Fläche geschätzt; ",""))&amp;IF(G9&gt;AP9,"Überbestand "&amp;ROUND(G9-AP9,0)&amp;" Stk / CHF "&amp;ROUND((G9-AP9)*F9,0)&amp;"; ","")&amp;IF(AND(BW9=1,BX9&lt;BY9),"MAX &lt; MB+LG; ","")&amp;IF(AND(CC9&gt;0,CB9*10&gt;CC9),"zu hoch für Tablar; ","")&amp;IF(AND(BN9=0,OR(BW9=1,Y9&lt;&gt;"",S9&lt;&gt;"",T9&lt;&gt;"",Z9&lt;&gt;"")),"manuell übersteuert; ","")&amp;IF(AND(BR9=0,Q9=0),"Gebinde unbekannt / Stellmass fehlt; ","")&amp;IF(AND(BR9=0,N(T9)&lt;=0,N(P9)&lt;=0),"Menge pro Gebinde fehlt (Ist = 1 Gebinde); ","")&amp;BM9)</f>
        <v>Lose – Fläche geschätzt; Überbestand 25 Stk / CHF 49500; </v>
      </c>
      <c r="BF9" s="55"/>
      <c r="BG9" s="55"/>
      <c r="BH9" s="62"/>
      <c r="BI9" s="57" t="n">
        <v>32</v>
      </c>
      <c r="BJ9" s="57" t="n">
        <v>0</v>
      </c>
      <c r="BK9" s="56" t="n">
        <v>63360</v>
      </c>
      <c r="BL9" s="57" t="n">
        <v>11</v>
      </c>
      <c r="BM9" s="55"/>
      <c r="BN9" s="60" t="n">
        <v>0</v>
      </c>
      <c r="BO9" s="60" t="n">
        <v>9</v>
      </c>
      <c r="BP9" s="55" t="str">
        <f aca="false">IF(S9&lt;&gt;"",UPPER(TRIM(S9)),IF(O9="","LOSE",O9))</f>
        <v>LOSE</v>
      </c>
      <c r="BQ9" s="57" t="n">
        <f aca="false">IF(BP9="LOSE",1,IF(N(T9)&gt;0,T9,IF(N(P9)&gt;0,P9,MAX(1,G9))))</f>
        <v>1</v>
      </c>
      <c r="BR9" s="60" t="n">
        <f aca="false">IF(BP9="LOSE",1,0)</f>
        <v>1</v>
      </c>
      <c r="BS9" s="59" t="n">
        <f aca="false">IF(BR9=0,0,IF(N(R9)&gt;0,R9,IFERROR(VLOOKUP(D9,Parameter!$A$35:$C$64,3,0)+0,0)))</f>
        <v>0.15</v>
      </c>
      <c r="BT9" s="55" t="n">
        <f aca="false">IF(Y9&lt;&gt;"",Y9,X9)</f>
        <v>2</v>
      </c>
      <c r="BU9" s="55" t="str">
        <f aca="false">IF(BT9=1,"L1",IF(OR(BT9=2,BT9=3),"L23",IF(BT9="Aussen","Aussen","-")))</f>
        <v>L23</v>
      </c>
      <c r="BV9" s="66" t="n">
        <f aca="false">IF(N(Z9)&gt;0,Z9,0)</f>
        <v>0</v>
      </c>
      <c r="BW9" s="60" t="n">
        <f aca="false">IF(ISNUMBER(AC9),1,0)</f>
        <v>0</v>
      </c>
      <c r="BX9" s="57" t="n">
        <f aca="false">N(AC9)</f>
        <v>0</v>
      </c>
      <c r="BY9" s="57" t="n">
        <f aca="false">N(L9)+N(M9)</f>
        <v>7</v>
      </c>
      <c r="BZ9" s="57" t="n">
        <f aca="false">ROUNDUP(G9/BQ9,0)</f>
        <v>32</v>
      </c>
      <c r="CA9" s="57" t="n">
        <f aca="false">ROUNDUP(BX9/BQ9,0)</f>
        <v>0</v>
      </c>
      <c r="CB9" s="60" t="n">
        <f aca="false">IF(BR9=1,0,IFERROR(VLOOKUP(BP9,'Gebinde-Kategorie'!$A$5:$M$45,5,0)+0,0))</f>
        <v>0</v>
      </c>
      <c r="CC9" s="60" t="n">
        <f aca="false">IFERROR(IF(OR(BT9=1,BT9=2,BT9=3),N(INDEX(Parameter!$I$5:$I$7,BT9)),0),0)</f>
        <v>0</v>
      </c>
      <c r="CD9" s="59" t="n">
        <f aca="false">IF(AND(Parameter!$B$21="Ja",ISNUMBER(U9),N(V9)&gt;0),IFERROR(N(INDEX(Parameter!$L$5:$L$7,U9))*INDEX(Parameter!$E$5:$E$7,U9)*V9/SUMIFS($V$7:$V$1576,$U$7:$U$1576,U9),0),0)</f>
        <v>0</v>
      </c>
    </row>
    <row r="10" customFormat="false" ht="15" hidden="false" customHeight="false" outlineLevel="0" collapsed="false">
      <c r="A10" s="55" t="s">
        <v>174</v>
      </c>
      <c r="B10" s="55" t="s">
        <v>175</v>
      </c>
      <c r="C10" s="55" t="s">
        <v>160</v>
      </c>
      <c r="D10" s="55" t="s">
        <v>168</v>
      </c>
      <c r="E10" s="55" t="s">
        <v>162</v>
      </c>
      <c r="F10" s="56" t="n">
        <v>5151.64</v>
      </c>
      <c r="G10" s="57" t="n">
        <f aca="false">MAX(0,IF(AND(Parameter!$B$21="Ja",ISNUMBER(W10)),W10,IF(Parameter!$B$20="Jahresanfang 2025 + Export",BJ10+BI10,BI10)))</f>
        <v>11</v>
      </c>
      <c r="H10" s="57" t="n">
        <f aca="false">G10*F10</f>
        <v>56668.04</v>
      </c>
      <c r="I10" s="57" t="n">
        <f aca="false">BL10*Parameter!$B$18</f>
        <v>20</v>
      </c>
      <c r="J10" s="58" t="n">
        <v>12</v>
      </c>
      <c r="K10" s="59" t="n">
        <v>1.66666666666667</v>
      </c>
      <c r="L10" s="57" t="n">
        <v>5</v>
      </c>
      <c r="M10" s="57" t="n">
        <v>5</v>
      </c>
      <c r="N10" s="60" t="n">
        <v>28</v>
      </c>
      <c r="O10" s="55" t="s">
        <v>163</v>
      </c>
      <c r="P10" s="57"/>
      <c r="Q10" s="60" t="n">
        <f aca="false">IF(BR10=1,0,IFERROR(VLOOKUP(BP10,'Gebinde-Kategorie'!$A$5:$M$45,13,0)+0,0))</f>
        <v>0</v>
      </c>
      <c r="R10" s="61"/>
      <c r="S10" s="62"/>
      <c r="T10" s="62"/>
      <c r="U10" s="55"/>
      <c r="V10" s="57"/>
      <c r="W10" s="57"/>
      <c r="X10" s="55" t="n">
        <f aca="false">IF(A10="","",IF(AND(Parameter!$B$21="Ja",ISNUMBER(U10)),U10,IF(IFERROR(VLOOKUP(D10,Parameter!$A$35:$C$64,2,0),"Nein")="2+3",IF(ISNUMBER(SEARCH("grosser Artikel",BM10)),2,IFERROR(VLOOKUP(BP10,Parameter!$F$35:$G$64,2,0),2)),IF(OR(IFERROR(VLOOKUP(D10,Parameter!$A$35:$C$64,2,0),"Nein")="Nein",IFERROR(VLOOKUP(D10,Parameter!$A$35:$C$64,2,0),"Nein")=""),"-",VLOOKUP(D10,Parameter!$A$35:$C$64,2,0)))))</f>
        <v>2</v>
      </c>
      <c r="Y10" s="62"/>
      <c r="Z10" s="63"/>
      <c r="AA10" s="57" t="n">
        <f aca="false">AP10</f>
        <v>10</v>
      </c>
      <c r="AB10" s="57" t="n">
        <f aca="false">MAX(AP10,G10)</f>
        <v>11</v>
      </c>
      <c r="AC10" s="64"/>
      <c r="AD10" s="57" t="n">
        <f aca="false">IF(LEFT(Cockpit!$C$5,1)="A",G10,IF(BW10=1,BX10,IF(LEFT(Cockpit!$C$5,1)="B",AH10,MAX(AH10,G10))))</f>
        <v>11</v>
      </c>
      <c r="AE10" s="57" t="n">
        <f aca="false">IF(BR10=1,0,ROUNDUP(AD10/BQ10,0))</f>
        <v>0</v>
      </c>
      <c r="AF10" s="59" t="n">
        <f aca="false">IF(CD10&gt;0,CD10*MAX(1,AD10/V10),IF(BR10=1,IF(AD10&lt;=0,0,BS10*MAX(1,IF(G10&gt;0,AD10/G10,1))),IF(Q10&gt;0,AE10/Q10,0))/MAX(0.1,N(Parameter!$M$21)))</f>
        <v>0.15</v>
      </c>
      <c r="AG10" s="57" t="n">
        <f aca="false">AD10*F10</f>
        <v>56668.04</v>
      </c>
      <c r="AH10" s="57" t="n">
        <f aca="false">ROUNDUP(MAX(I10/IF(BV10&gt;0,BV10,MAX(0.1,N(Cockpit!$C$6))),BY10)/BQ10,0)*BQ10</f>
        <v>10</v>
      </c>
      <c r="AI10" s="58" t="n">
        <f aca="false">IF(AF10&gt;0,I10/AF10,-1)</f>
        <v>133.333333333333</v>
      </c>
      <c r="AJ10" s="58" t="n">
        <f aca="false">IF(AND(OR(BU10="L1",BU10="L23"),AF10&gt;0),SUMIFS($AF$7:$AF$1576,$BU$7:$BU$1576,BU10,$AI$7:$AI$1576,"&gt;"&amp;AI10)+SUMIFS($AF$7:$AF$1576,$BU$7:$BU$1576,BU10,$AI$7:$AI$1576,AI10,$BO$7:$BO$1576,"&lt;="&amp;BO10),"")</f>
        <v>20.0403749873315</v>
      </c>
      <c r="AK10" s="65" t="n">
        <f aca="false">IF(AJ10="",0,MAX(0,MIN(1,(IF(BU10="L1",Parameter!$E$5,Parameter!$E$6+Parameter!$E$7)-(AJ10-AF10))/AF10)))</f>
        <v>1</v>
      </c>
      <c r="AL10" s="57" t="n">
        <f aca="false">IF(LEFT(Cockpit!$I$5,1)="A",G10,IF(BW10=1,BX10,IF(LEFT(Cockpit!$I$5,1)="B",AP10,MAX(AP10,G10))))</f>
        <v>11</v>
      </c>
      <c r="AM10" s="57" t="n">
        <f aca="false">IF(BR10=1,0,ROUNDUP(AL10/BQ10,0))</f>
        <v>0</v>
      </c>
      <c r="AN10" s="59" t="n">
        <f aca="false">IF(CD10&gt;0,CD10*MAX(1,AL10/V10),IF(BR10=1,IF(AL10&lt;=0,0,BS10*MAX(1,IF(G10&gt;0,AL10/G10,1))),IF(Q10&gt;0,AM10/Q10,0))/MAX(0.1,N(Parameter!$M$21)))</f>
        <v>0.15</v>
      </c>
      <c r="AO10" s="57" t="n">
        <f aca="false">AL10*F10</f>
        <v>56668.04</v>
      </c>
      <c r="AP10" s="57" t="n">
        <f aca="false">ROUNDUP(MAX(I10/IF(BV10&gt;0,BV10,MAX(0.1,N(Cockpit!$I$6))),BY10)/BQ10,0)*BQ10</f>
        <v>10</v>
      </c>
      <c r="AQ10" s="58" t="n">
        <f aca="false">IF(AN10&gt;0,I10/AN10,-1)</f>
        <v>133.333333333333</v>
      </c>
      <c r="AR10" s="58" t="n">
        <f aca="false">IF(AND(OR(BU10="L1",BU10="L23"),AN10&gt;0),SUMIFS($AN$7:$AN$1576,$BU$7:$BU$1576,BU10,$AQ$7:$AQ$1576,"&gt;"&amp;AQ10)+SUMIFS($AN$7:$AN$1576,$BU$7:$BU$1576,BU10,$AQ$7:$AQ$1576,AQ10,$BO$7:$BO$1576,"&lt;="&amp;BO10),"")</f>
        <v>59.582223827235</v>
      </c>
      <c r="AS10" s="65" t="n">
        <f aca="false">IF(AR10="",0,MAX(0,MIN(1,(IF(BU10="L1",Parameter!$E$5,Parameter!$E$6+Parameter!$E$7)-(AR10-AN10))/AN10)))</f>
        <v>1</v>
      </c>
      <c r="AT10" s="57" t="n">
        <f aca="false">IF(LEFT(Cockpit!$O$5,1)="A",G10,IF(BW10=1,BX10,IF(LEFT(Cockpit!$O$5,1)="B",AX10,MAX(AX10,G10))))</f>
        <v>11</v>
      </c>
      <c r="AU10" s="57" t="n">
        <f aca="false">IF(BR10=1,0,ROUNDUP(AT10/BQ10,0))</f>
        <v>0</v>
      </c>
      <c r="AV10" s="59" t="n">
        <f aca="false">IF(CD10&gt;0,CD10*MAX(1,AT10/V10),IF(BR10=1,IF(AT10&lt;=0,0,BS10*MAX(1,IF(G10&gt;0,AT10/G10,1))),IF(Q10&gt;0,AU10/Q10,0))/MAX(0.1,N(Parameter!$M$21)))</f>
        <v>0.15</v>
      </c>
      <c r="AW10" s="57" t="n">
        <f aca="false">AT10*F10</f>
        <v>56668.04</v>
      </c>
      <c r="AX10" s="57" t="n">
        <f aca="false">ROUNDUP(MAX(I10/IF(BV10&gt;0,BV10,MAX(0.1,N(Cockpit!$O$6))),BY10)/BQ10,0)*BQ10</f>
        <v>10</v>
      </c>
      <c r="AY10" s="58" t="n">
        <f aca="false">IF(AV10&gt;0,I10/AV10,-1)</f>
        <v>133.333333333333</v>
      </c>
      <c r="AZ10" s="58" t="n">
        <f aca="false">IF(AND(OR(BU10="L1",BU10="L23"),AV10&gt;0),SUMIFS($AV$7:$AV$1576,$BU$7:$BU$1576,BU10,$AY$7:$AY$1576,"&gt;"&amp;AY10)+SUMIFS($AV$7:$AV$1576,$BU$7:$BU$1576,BU10,$AY$7:$AY$1576,AY10,$BO$7:$BO$1576,"&lt;="&amp;BO10),"")</f>
        <v>54.2446909434521</v>
      </c>
      <c r="BA10" s="65" t="n">
        <f aca="false">IF(AZ10="",0,MAX(0,MIN(1,(IF(BU10="L1",Parameter!$E$5,Parameter!$E$6+Parameter!$E$7)-(AZ10-AV10))/AV10)))</f>
        <v>1</v>
      </c>
      <c r="BB10" s="55" t="str">
        <f aca="false">IF(AF10&lt;=0,"",IF(BU10="Aussen","Aussenlager",IF(BU10="-","Nicht im Lift",IF(AK10&gt;=1,"Lift",IF(AK10&lt;=0,"Aussenlager","teilweise")))))</f>
        <v>Lift</v>
      </c>
      <c r="BC10" s="55" t="str">
        <f aca="false">IF(AN10&lt;=0,"",IF(BU10="Aussen","Aussenlager",IF(BU10="-","Nicht im Lift",IF(AS10&gt;=1,"Lift",IF(AS10&lt;=0,"Aussenlager","teilweise")))))</f>
        <v>Lift</v>
      </c>
      <c r="BD10" s="55" t="str">
        <f aca="false">IF(AV10&lt;=0,"",IF(BU10="Aussen","Aussenlager",IF(BU10="-","Nicht im Lift",IF(BA10&gt;=1,"Lift",IF(BA10&lt;=0,"Aussenlager","teilweise")))))</f>
        <v>Lift</v>
      </c>
      <c r="BE10" s="55" t="str">
        <f aca="false">IF(A10="","",IF(BN10=1,"Neu; ","")&amp;IF(AND(BN10=0,BI10&lt;0),"negativer Bestand (Export "&amp;BI10&amp;"); ","")&amp;IF(I10&lt;=0,"Kein Verbrauch; ","")&amp;IF(CD10&gt;0,"Lift "&amp;U10&amp;" lt. Liftbericht (Fach "&amp;V10&amp;" Stk); ",IF(BR10=1,"Lose – Fläche geschätzt; ",""))&amp;IF(G10&gt;AP10,"Überbestand "&amp;ROUND(G10-AP10,0)&amp;" Stk / CHF "&amp;ROUND((G10-AP10)*F10,0)&amp;"; ","")&amp;IF(AND(BW10=1,BX10&lt;BY10),"MAX &lt; MB+LG; ","")&amp;IF(AND(CC10&gt;0,CB10*10&gt;CC10),"zu hoch für Tablar; ","")&amp;IF(AND(BN10=0,OR(BW10=1,Y10&lt;&gt;"",S10&lt;&gt;"",T10&lt;&gt;"",Z10&lt;&gt;"")),"manuell übersteuert; ","")&amp;IF(AND(BR10=0,Q10=0),"Gebinde unbekannt / Stellmass fehlt; ","")&amp;IF(AND(BR10=0,N(T10)&lt;=0,N(P10)&lt;=0),"Menge pro Gebinde fehlt (Ist = 1 Gebinde); ","")&amp;BM10)</f>
        <v>Lose – Fläche geschätzt; Überbestand 1 Stk / CHF 5152; </v>
      </c>
      <c r="BF10" s="55"/>
      <c r="BG10" s="55"/>
      <c r="BH10" s="62"/>
      <c r="BI10" s="57" t="n">
        <v>11</v>
      </c>
      <c r="BJ10" s="57" t="n">
        <v>0</v>
      </c>
      <c r="BK10" s="56" t="n">
        <v>56668.07</v>
      </c>
      <c r="BL10" s="57" t="n">
        <v>20</v>
      </c>
      <c r="BM10" s="55"/>
      <c r="BN10" s="60" t="n">
        <v>0</v>
      </c>
      <c r="BO10" s="60" t="n">
        <v>10</v>
      </c>
      <c r="BP10" s="55" t="str">
        <f aca="false">IF(S10&lt;&gt;"",UPPER(TRIM(S10)),IF(O10="","LOSE",O10))</f>
        <v>LOSE</v>
      </c>
      <c r="BQ10" s="57" t="n">
        <f aca="false">IF(BP10="LOSE",1,IF(N(T10)&gt;0,T10,IF(N(P10)&gt;0,P10,MAX(1,G10))))</f>
        <v>1</v>
      </c>
      <c r="BR10" s="60" t="n">
        <f aca="false">IF(BP10="LOSE",1,0)</f>
        <v>1</v>
      </c>
      <c r="BS10" s="59" t="n">
        <f aca="false">IF(BR10=0,0,IF(N(R10)&gt;0,R10,IFERROR(VLOOKUP(D10,Parameter!$A$35:$C$64,3,0)+0,0)))</f>
        <v>0.15</v>
      </c>
      <c r="BT10" s="55" t="n">
        <f aca="false">IF(Y10&lt;&gt;"",Y10,X10)</f>
        <v>2</v>
      </c>
      <c r="BU10" s="55" t="str">
        <f aca="false">IF(BT10=1,"L1",IF(OR(BT10=2,BT10=3),"L23",IF(BT10="Aussen","Aussen","-")))</f>
        <v>L23</v>
      </c>
      <c r="BV10" s="66" t="n">
        <f aca="false">IF(N(Z10)&gt;0,Z10,0)</f>
        <v>0</v>
      </c>
      <c r="BW10" s="60" t="n">
        <f aca="false">IF(ISNUMBER(AC10),1,0)</f>
        <v>0</v>
      </c>
      <c r="BX10" s="57" t="n">
        <f aca="false">N(AC10)</f>
        <v>0</v>
      </c>
      <c r="BY10" s="57" t="n">
        <f aca="false">N(L10)+N(M10)</f>
        <v>10</v>
      </c>
      <c r="BZ10" s="57" t="n">
        <f aca="false">ROUNDUP(G10/BQ10,0)</f>
        <v>11</v>
      </c>
      <c r="CA10" s="57" t="n">
        <f aca="false">ROUNDUP(BX10/BQ10,0)</f>
        <v>0</v>
      </c>
      <c r="CB10" s="60" t="n">
        <f aca="false">IF(BR10=1,0,IFERROR(VLOOKUP(BP10,'Gebinde-Kategorie'!$A$5:$M$45,5,0)+0,0))</f>
        <v>0</v>
      </c>
      <c r="CC10" s="60" t="n">
        <f aca="false">IFERROR(IF(OR(BT10=1,BT10=2,BT10=3),N(INDEX(Parameter!$I$5:$I$7,BT10)),0),0)</f>
        <v>0</v>
      </c>
      <c r="CD10" s="59" t="n">
        <f aca="false">IF(AND(Parameter!$B$21="Ja",ISNUMBER(U10),N(V10)&gt;0),IFERROR(N(INDEX(Parameter!$L$5:$L$7,U10))*INDEX(Parameter!$E$5:$E$7,U10)*V10/SUMIFS($V$7:$V$1576,$U$7:$U$1576,U10),0),0)</f>
        <v>0</v>
      </c>
    </row>
    <row r="11" customFormat="false" ht="15" hidden="false" customHeight="false" outlineLevel="0" collapsed="false">
      <c r="A11" s="55" t="s">
        <v>176</v>
      </c>
      <c r="B11" s="55" t="s">
        <v>177</v>
      </c>
      <c r="C11" s="55" t="s">
        <v>160</v>
      </c>
      <c r="D11" s="55" t="s">
        <v>178</v>
      </c>
      <c r="E11" s="55" t="s">
        <v>162</v>
      </c>
      <c r="F11" s="56" t="n">
        <v>308.41</v>
      </c>
      <c r="G11" s="57" t="n">
        <f aca="false">MAX(0,IF(AND(Parameter!$B$21="Ja",ISNUMBER(W11)),W11,IF(Parameter!$B$20="Jahresanfang 2025 + Export",BJ11+BI11,BI11)))</f>
        <v>167</v>
      </c>
      <c r="H11" s="57" t="n">
        <f aca="false">G11*F11</f>
        <v>51504.47</v>
      </c>
      <c r="I11" s="57" t="n">
        <f aca="false">BL11*Parameter!$B$18</f>
        <v>1</v>
      </c>
      <c r="J11" s="58" t="n">
        <v>6</v>
      </c>
      <c r="K11" s="59" t="n">
        <v>0.166666666666667</v>
      </c>
      <c r="L11" s="57" t="n">
        <v>0</v>
      </c>
      <c r="M11" s="57" t="n">
        <v>1</v>
      </c>
      <c r="N11" s="60" t="n">
        <v>14</v>
      </c>
      <c r="O11" s="55" t="s">
        <v>179</v>
      </c>
      <c r="P11" s="57" t="n">
        <v>6</v>
      </c>
      <c r="Q11" s="60" t="n">
        <f aca="false">IF(BR11=1,0,IFERROR(VLOOKUP(BP11,'Gebinde-Kategorie'!$A$5:$M$45,13,0)+0,0))</f>
        <v>12</v>
      </c>
      <c r="R11" s="61"/>
      <c r="S11" s="62"/>
      <c r="T11" s="62"/>
      <c r="U11" s="55"/>
      <c r="V11" s="57"/>
      <c r="W11" s="57"/>
      <c r="X11" s="55" t="n">
        <f aca="false">IF(A11="","",IF(AND(Parameter!$B$21="Ja",ISNUMBER(U11)),U11,IF(IFERROR(VLOOKUP(D11,Parameter!$A$35:$C$64,2,0),"Nein")="2+3",IF(ISNUMBER(SEARCH("grosser Artikel",BM11)),2,IFERROR(VLOOKUP(BP11,Parameter!$F$35:$G$64,2,0),2)),IF(OR(IFERROR(VLOOKUP(D11,Parameter!$A$35:$C$64,2,0),"Nein")="Nein",IFERROR(VLOOKUP(D11,Parameter!$A$35:$C$64,2,0),"Nein")=""),"-",VLOOKUP(D11,Parameter!$A$35:$C$64,2,0)))))</f>
        <v>2</v>
      </c>
      <c r="Y11" s="62"/>
      <c r="Z11" s="63"/>
      <c r="AA11" s="57" t="n">
        <f aca="false">AP11</f>
        <v>6</v>
      </c>
      <c r="AB11" s="57" t="n">
        <f aca="false">MAX(AP11,G11)</f>
        <v>167</v>
      </c>
      <c r="AC11" s="64"/>
      <c r="AD11" s="57" t="n">
        <f aca="false">IF(LEFT(Cockpit!$C$5,1)="A",G11,IF(BW11=1,BX11,IF(LEFT(Cockpit!$C$5,1)="B",AH11,MAX(AH11,G11))))</f>
        <v>167</v>
      </c>
      <c r="AE11" s="57" t="n">
        <f aca="false">IF(BR11=1,0,ROUNDUP(AD11/BQ11,0))</f>
        <v>28</v>
      </c>
      <c r="AF11" s="59" t="n">
        <f aca="false">IF(CD11&gt;0,CD11*MAX(1,AD11/V11),IF(BR11=1,IF(AD11&lt;=0,0,BS11*MAX(1,IF(G11&gt;0,AD11/G11,1))),IF(Q11&gt;0,AE11/Q11,0))/MAX(0.1,N(Parameter!$M$21)))</f>
        <v>2.33333333333333</v>
      </c>
      <c r="AG11" s="57" t="n">
        <f aca="false">AD11*F11</f>
        <v>51504.47</v>
      </c>
      <c r="AH11" s="57" t="n">
        <f aca="false">ROUNDUP(MAX(I11/IF(BV11&gt;0,BV11,MAX(0.1,N(Cockpit!$C$6))),BY11)/BQ11,0)*BQ11</f>
        <v>6</v>
      </c>
      <c r="AI11" s="58" t="n">
        <f aca="false">IF(AF11&gt;0,I11/AF11,-1)</f>
        <v>0.428571428571429</v>
      </c>
      <c r="AJ11" s="58" t="n">
        <f aca="false">IF(AND(OR(BU11="L1",BU11="L23"),AF11&gt;0),SUMIFS($AF$7:$AF$1576,$BU$7:$BU$1576,BU11,$AI$7:$AI$1576,"&gt;"&amp;AI11)+SUMIFS($AF$7:$AF$1576,$BU$7:$BU$1576,BU11,$AI$7:$AI$1576,AI11,$BO$7:$BO$1576,"&lt;="&amp;BO11),"")</f>
        <v>35.2992483362049</v>
      </c>
      <c r="AK11" s="65" t="n">
        <f aca="false">IF(AJ11="",0,MAX(0,MIN(1,(IF(BU11="L1",Parameter!$E$5,Parameter!$E$6+Parameter!$E$7)-(AJ11-AF11))/AF11)))</f>
        <v>1</v>
      </c>
      <c r="AL11" s="57" t="n">
        <f aca="false">IF(LEFT(Cockpit!$I$5,1)="A",G11,IF(BW11=1,BX11,IF(LEFT(Cockpit!$I$5,1)="B",AP11,MAX(AP11,G11))))</f>
        <v>167</v>
      </c>
      <c r="AM11" s="57" t="n">
        <f aca="false">IF(BR11=1,0,ROUNDUP(AL11/BQ11,0))</f>
        <v>28</v>
      </c>
      <c r="AN11" s="59" t="n">
        <f aca="false">IF(CD11&gt;0,CD11*MAX(1,AL11/V11),IF(BR11=1,IF(AL11&lt;=0,0,BS11*MAX(1,IF(G11&gt;0,AL11/G11,1))),IF(Q11&gt;0,AM11/Q11,0))/MAX(0.1,N(Parameter!$M$21)))</f>
        <v>2.33333333333333</v>
      </c>
      <c r="AO11" s="57" t="n">
        <f aca="false">AL11*F11</f>
        <v>51504.47</v>
      </c>
      <c r="AP11" s="57" t="n">
        <f aca="false">ROUNDUP(MAX(I11/IF(BV11&gt;0,BV11,MAX(0.1,N(Cockpit!$I$6))),BY11)/BQ11,0)*BQ11</f>
        <v>6</v>
      </c>
      <c r="AQ11" s="58" t="n">
        <f aca="false">IF(AN11&gt;0,I11/AN11,-1)</f>
        <v>0.428571428571429</v>
      </c>
      <c r="AR11" s="58" t="n">
        <f aca="false">IF(AND(OR(BU11="L1",BU11="L23"),AN11&gt;0),SUMIFS($AN$7:$AN$1576,$BU$7:$BU$1576,BU11,$AQ$7:$AQ$1576,"&gt;"&amp;AQ11)+SUMIFS($AN$7:$AN$1576,$BU$7:$BU$1576,BU11,$AQ$7:$AQ$1576,AQ11,$BO$7:$BO$1576,"&lt;="&amp;BO11),"")</f>
        <v>117.792434588696</v>
      </c>
      <c r="AS11" s="65" t="n">
        <f aca="false">IF(AR11="",0,MAX(0,MIN(1,(IF(BU11="L1",Parameter!$E$5,Parameter!$E$6+Parameter!$E$7)-(AR11-AN11))/AN11)))</f>
        <v>0</v>
      </c>
      <c r="AT11" s="57" t="n">
        <f aca="false">IF(LEFT(Cockpit!$O$5,1)="A",G11,IF(BW11=1,BX11,IF(LEFT(Cockpit!$O$5,1)="B",AX11,MAX(AX11,G11))))</f>
        <v>167</v>
      </c>
      <c r="AU11" s="57" t="n">
        <f aca="false">IF(BR11=1,0,ROUNDUP(AT11/BQ11,0))</f>
        <v>28</v>
      </c>
      <c r="AV11" s="59" t="n">
        <f aca="false">IF(CD11&gt;0,CD11*MAX(1,AT11/V11),IF(BR11=1,IF(AT11&lt;=0,0,BS11*MAX(1,IF(G11&gt;0,AT11/G11,1))),IF(Q11&gt;0,AU11/Q11,0))/MAX(0.1,N(Parameter!$M$21)))</f>
        <v>2.33333333333333</v>
      </c>
      <c r="AW11" s="57" t="n">
        <f aca="false">AT11*F11</f>
        <v>51504.47</v>
      </c>
      <c r="AX11" s="57" t="n">
        <f aca="false">ROUNDUP(MAX(I11/IF(BV11&gt;0,BV11,MAX(0.1,N(Cockpit!$O$6))),BY11)/BQ11,0)*BQ11</f>
        <v>6</v>
      </c>
      <c r="AY11" s="58" t="n">
        <f aca="false">IF(AV11&gt;0,I11/AV11,-1)</f>
        <v>0.428571428571429</v>
      </c>
      <c r="AZ11" s="58" t="n">
        <f aca="false">IF(AND(OR(BU11="L1",BU11="L23"),AV11&gt;0),SUMIFS($AV$7:$AV$1576,$BU$7:$BU$1576,BU11,$AY$7:$AY$1576,"&gt;"&amp;AY11)+SUMIFS($AV$7:$AV$1576,$BU$7:$BU$1576,BU11,$AY$7:$AY$1576,AY11,$BO$7:$BO$1576,"&lt;="&amp;BO11),"")</f>
        <v>107.851985038246</v>
      </c>
      <c r="BA11" s="65" t="n">
        <f aca="false">IF(AZ11="",0,MAX(0,MIN(1,(IF(BU11="L1",Parameter!$E$5,Parameter!$E$6+Parameter!$E$7)-(AZ11-AV11))/AV11)))</f>
        <v>0</v>
      </c>
      <c r="BB11" s="55" t="str">
        <f aca="false">IF(AF11&lt;=0,"",IF(BU11="Aussen","Aussenlager",IF(BU11="-","Nicht im Lift",IF(AK11&gt;=1,"Lift",IF(AK11&lt;=0,"Aussenlager","teilweise")))))</f>
        <v>Lift</v>
      </c>
      <c r="BC11" s="55" t="str">
        <f aca="false">IF(AN11&lt;=0,"",IF(BU11="Aussen","Aussenlager",IF(BU11="-","Nicht im Lift",IF(AS11&gt;=1,"Lift",IF(AS11&lt;=0,"Aussenlager","teilweise")))))</f>
        <v>Aussenlager</v>
      </c>
      <c r="BD11" s="55" t="str">
        <f aca="false">IF(AV11&lt;=0,"",IF(BU11="Aussen","Aussenlager",IF(BU11="-","Nicht im Lift",IF(BA11&gt;=1,"Lift",IF(BA11&lt;=0,"Aussenlager","teilweise")))))</f>
        <v>Aussenlager</v>
      </c>
      <c r="BE11" s="55" t="str">
        <f aca="false">IF(A11="","",IF(BN11=1,"Neu; ","")&amp;IF(AND(BN11=0,BI11&lt;0),"negativer Bestand (Export "&amp;BI11&amp;"); ","")&amp;IF(I11&lt;=0,"Kein Verbrauch; ","")&amp;IF(CD11&gt;0,"Lift "&amp;U11&amp;" lt. Liftbericht (Fach "&amp;V11&amp;" Stk); ",IF(BR11=1,"Lose – Fläche geschätzt; ",""))&amp;IF(G11&gt;AP11,"Überbestand "&amp;ROUND(G11-AP11,0)&amp;" Stk / CHF "&amp;ROUND((G11-AP11)*F11,0)&amp;"; ","")&amp;IF(AND(BW11=1,BX11&lt;BY11),"MAX &lt; MB+LG; ","")&amp;IF(AND(CC11&gt;0,CB11*10&gt;CC11),"zu hoch für Tablar; ","")&amp;IF(AND(BN11=0,OR(BW11=1,Y11&lt;&gt;"",S11&lt;&gt;"",T11&lt;&gt;"",Z11&lt;&gt;"")),"manuell übersteuert; ","")&amp;IF(AND(BR11=0,Q11=0),"Gebinde unbekannt / Stellmass fehlt; ","")&amp;IF(AND(BR11=0,N(T11)&lt;=0,N(P11)&lt;=0),"Menge pro Gebinde fehlt (Ist = 1 Gebinde); ","")&amp;BM11)</f>
        <v>Überbestand 161 Stk / CHF 49654; </v>
      </c>
      <c r="BF11" s="55"/>
      <c r="BG11" s="55"/>
      <c r="BH11" s="62"/>
      <c r="BI11" s="57" t="n">
        <v>167</v>
      </c>
      <c r="BJ11" s="57" t="n">
        <v>7</v>
      </c>
      <c r="BK11" s="56" t="n">
        <v>51492.01</v>
      </c>
      <c r="BL11" s="57" t="n">
        <v>1</v>
      </c>
      <c r="BM11" s="55"/>
      <c r="BN11" s="60" t="n">
        <v>0</v>
      </c>
      <c r="BO11" s="60" t="n">
        <v>11</v>
      </c>
      <c r="BP11" s="55" t="str">
        <f aca="false">IF(S11&lt;&gt;"",UPPER(TRIM(S11)),IF(O11="","LOSE",O11))</f>
        <v>S61</v>
      </c>
      <c r="BQ11" s="57" t="n">
        <f aca="false">IF(BP11="LOSE",1,IF(N(T11)&gt;0,T11,IF(N(P11)&gt;0,P11,MAX(1,G11))))</f>
        <v>6</v>
      </c>
      <c r="BR11" s="60" t="n">
        <f aca="false">IF(BP11="LOSE",1,0)</f>
        <v>0</v>
      </c>
      <c r="BS11" s="59" t="n">
        <f aca="false">IF(BR11=0,0,IF(N(R11)&gt;0,R11,IFERROR(VLOOKUP(D11,Parameter!$A$35:$C$64,3,0)+0,0)))</f>
        <v>0</v>
      </c>
      <c r="BT11" s="55" t="n">
        <f aca="false">IF(Y11&lt;&gt;"",Y11,X11)</f>
        <v>2</v>
      </c>
      <c r="BU11" s="55" t="str">
        <f aca="false">IF(BT11=1,"L1",IF(OR(BT11=2,BT11=3),"L23",IF(BT11="Aussen","Aussen","-")))</f>
        <v>L23</v>
      </c>
      <c r="BV11" s="66" t="n">
        <f aca="false">IF(N(Z11)&gt;0,Z11,0)</f>
        <v>0</v>
      </c>
      <c r="BW11" s="60" t="n">
        <f aca="false">IF(ISNUMBER(AC11),1,0)</f>
        <v>0</v>
      </c>
      <c r="BX11" s="57" t="n">
        <f aca="false">N(AC11)</f>
        <v>0</v>
      </c>
      <c r="BY11" s="57" t="n">
        <f aca="false">N(L11)+N(M11)</f>
        <v>1</v>
      </c>
      <c r="BZ11" s="57" t="n">
        <f aca="false">ROUNDUP(G11/BQ11,0)</f>
        <v>28</v>
      </c>
      <c r="CA11" s="57" t="n">
        <f aca="false">ROUNDUP(BX11/BQ11,0)</f>
        <v>0</v>
      </c>
      <c r="CB11" s="60" t="n">
        <f aca="false">IF(BR11=1,0,IFERROR(VLOOKUP(BP11,'Gebinde-Kategorie'!$A$5:$M$45,5,0)+0,0))</f>
        <v>11</v>
      </c>
      <c r="CC11" s="60" t="n">
        <f aca="false">IFERROR(IF(OR(BT11=1,BT11=2,BT11=3),N(INDEX(Parameter!$I$5:$I$7,BT11)),0),0)</f>
        <v>0</v>
      </c>
      <c r="CD11" s="59" t="n">
        <f aca="false">IF(AND(Parameter!$B$21="Ja",ISNUMBER(U11),N(V11)&gt;0),IFERROR(N(INDEX(Parameter!$L$5:$L$7,U11))*INDEX(Parameter!$E$5:$E$7,U11)*V11/SUMIFS($V$7:$V$1576,$U$7:$U$1576,U11),0),0)</f>
        <v>0</v>
      </c>
    </row>
    <row r="12" customFormat="false" ht="15" hidden="false" customHeight="false" outlineLevel="0" collapsed="false">
      <c r="A12" s="55" t="s">
        <v>180</v>
      </c>
      <c r="B12" s="55" t="s">
        <v>181</v>
      </c>
      <c r="C12" s="55" t="s">
        <v>160</v>
      </c>
      <c r="D12" s="55" t="s">
        <v>168</v>
      </c>
      <c r="E12" s="55" t="s">
        <v>162</v>
      </c>
      <c r="F12" s="56" t="n">
        <v>2228.65</v>
      </c>
      <c r="G12" s="57" t="n">
        <f aca="false">MAX(0,IF(AND(Parameter!$B$21="Ja",ISNUMBER(W12)),W12,IF(Parameter!$B$20="Jahresanfang 2025 + Export",BJ12+BI12,BI12)))</f>
        <v>23</v>
      </c>
      <c r="H12" s="57" t="n">
        <f aca="false">G12*F12</f>
        <v>51258.95</v>
      </c>
      <c r="I12" s="57" t="n">
        <f aca="false">BL12*Parameter!$B$18</f>
        <v>0</v>
      </c>
      <c r="J12" s="58" t="n">
        <v>0</v>
      </c>
      <c r="K12" s="59" t="n">
        <v>0</v>
      </c>
      <c r="L12" s="57" t="n">
        <v>0</v>
      </c>
      <c r="M12" s="57" t="n">
        <v>1</v>
      </c>
      <c r="N12" s="60" t="n">
        <v>9999</v>
      </c>
      <c r="O12" s="55" t="s">
        <v>163</v>
      </c>
      <c r="P12" s="57"/>
      <c r="Q12" s="60" t="n">
        <f aca="false">IF(BR12=1,0,IFERROR(VLOOKUP(BP12,'Gebinde-Kategorie'!$A$5:$M$45,13,0)+0,0))</f>
        <v>0</v>
      </c>
      <c r="R12" s="61"/>
      <c r="S12" s="62"/>
      <c r="T12" s="62"/>
      <c r="U12" s="55"/>
      <c r="V12" s="57"/>
      <c r="W12" s="57"/>
      <c r="X12" s="55" t="n">
        <f aca="false">IF(A12="","",IF(AND(Parameter!$B$21="Ja",ISNUMBER(U12)),U12,IF(IFERROR(VLOOKUP(D12,Parameter!$A$35:$C$64,2,0),"Nein")="2+3",IF(ISNUMBER(SEARCH("grosser Artikel",BM12)),2,IFERROR(VLOOKUP(BP12,Parameter!$F$35:$G$64,2,0),2)),IF(OR(IFERROR(VLOOKUP(D12,Parameter!$A$35:$C$64,2,0),"Nein")="Nein",IFERROR(VLOOKUP(D12,Parameter!$A$35:$C$64,2,0),"Nein")=""),"-",VLOOKUP(D12,Parameter!$A$35:$C$64,2,0)))))</f>
        <v>2</v>
      </c>
      <c r="Y12" s="62"/>
      <c r="Z12" s="63"/>
      <c r="AA12" s="57" t="n">
        <f aca="false">AP12</f>
        <v>1</v>
      </c>
      <c r="AB12" s="57" t="n">
        <f aca="false">MAX(AP12,G12)</f>
        <v>23</v>
      </c>
      <c r="AC12" s="64"/>
      <c r="AD12" s="57" t="n">
        <f aca="false">IF(LEFT(Cockpit!$C$5,1)="A",G12,IF(BW12=1,BX12,IF(LEFT(Cockpit!$C$5,1)="B",AH12,MAX(AH12,G12))))</f>
        <v>23</v>
      </c>
      <c r="AE12" s="57" t="n">
        <f aca="false">IF(BR12=1,0,ROUNDUP(AD12/BQ12,0))</f>
        <v>0</v>
      </c>
      <c r="AF12" s="59" t="n">
        <f aca="false">IF(CD12&gt;0,CD12*MAX(1,AD12/V12),IF(BR12=1,IF(AD12&lt;=0,0,BS12*MAX(1,IF(G12&gt;0,AD12/G12,1))),IF(Q12&gt;0,AE12/Q12,0))/MAX(0.1,N(Parameter!$M$21)))</f>
        <v>0.15</v>
      </c>
      <c r="AG12" s="57" t="n">
        <f aca="false">AD12*F12</f>
        <v>51258.95</v>
      </c>
      <c r="AH12" s="57" t="n">
        <f aca="false">ROUNDUP(MAX(I12/IF(BV12&gt;0,BV12,MAX(0.1,N(Cockpit!$C$6))),BY12)/BQ12,0)*BQ12</f>
        <v>1</v>
      </c>
      <c r="AI12" s="58" t="n">
        <f aca="false">IF(AF12&gt;0,I12/AF12,-1)</f>
        <v>0</v>
      </c>
      <c r="AJ12" s="58" t="n">
        <f aca="false">IF(AND(OR(BU12="L1",BU12="L23"),AF12&gt;0),SUMIFS($AF$7:$AF$1576,$BU$7:$BU$1576,BU12,$AI$7:$AI$1576,"&gt;"&amp;AI12)+SUMIFS($AF$7:$AF$1576,$BU$7:$BU$1576,BU12,$AI$7:$AI$1576,AI12,$BO$7:$BO$1576,"&lt;="&amp;BO12),"")</f>
        <v>35.4492483362049</v>
      </c>
      <c r="AK12" s="65" t="n">
        <f aca="false">IF(AJ12="",0,MAX(0,MIN(1,(IF(BU12="L1",Parameter!$E$5,Parameter!$E$6+Parameter!$E$7)-(AJ12-AF12))/AF12)))</f>
        <v>1</v>
      </c>
      <c r="AL12" s="57" t="n">
        <f aca="false">IF(LEFT(Cockpit!$I$5,1)="A",G12,IF(BW12=1,BX12,IF(LEFT(Cockpit!$I$5,1)="B",AP12,MAX(AP12,G12))))</f>
        <v>23</v>
      </c>
      <c r="AM12" s="57" t="n">
        <f aca="false">IF(BR12=1,0,ROUNDUP(AL12/BQ12,0))</f>
        <v>0</v>
      </c>
      <c r="AN12" s="59" t="n">
        <f aca="false">IF(CD12&gt;0,CD12*MAX(1,AL12/V12),IF(BR12=1,IF(AL12&lt;=0,0,BS12*MAX(1,IF(G12&gt;0,AL12/G12,1))),IF(Q12&gt;0,AM12/Q12,0))/MAX(0.1,N(Parameter!$M$21)))</f>
        <v>0.15</v>
      </c>
      <c r="AO12" s="57" t="n">
        <f aca="false">AL12*F12</f>
        <v>51258.95</v>
      </c>
      <c r="AP12" s="57" t="n">
        <f aca="false">ROUNDUP(MAX(I12/IF(BV12&gt;0,BV12,MAX(0.1,N(Cockpit!$I$6))),BY12)/BQ12,0)*BQ12</f>
        <v>1</v>
      </c>
      <c r="AQ12" s="58" t="n">
        <f aca="false">IF(AN12&gt;0,I12/AN12,-1)</f>
        <v>0</v>
      </c>
      <c r="AR12" s="58" t="n">
        <f aca="false">IF(AND(OR(BU12="L1",BU12="L23"),AN12&gt;0),SUMIFS($AN$7:$AN$1576,$BU$7:$BU$1576,BU12,$AQ$7:$AQ$1576,"&gt;"&amp;AQ12)+SUMIFS($AN$7:$AN$1576,$BU$7:$BU$1576,BU12,$AQ$7:$AQ$1576,AQ12,$BO$7:$BO$1576,"&lt;="&amp;BO12),"")</f>
        <v>117.947485093746</v>
      </c>
      <c r="AS12" s="65" t="n">
        <f aca="false">IF(AR12="",0,MAX(0,MIN(1,(IF(BU12="L1",Parameter!$E$5,Parameter!$E$6+Parameter!$E$7)-(AR12-AN12))/AN12)))</f>
        <v>0</v>
      </c>
      <c r="AT12" s="57" t="n">
        <f aca="false">IF(LEFT(Cockpit!$O$5,1)="A",G12,IF(BW12=1,BX12,IF(LEFT(Cockpit!$O$5,1)="B",AX12,MAX(AX12,G12))))</f>
        <v>23</v>
      </c>
      <c r="AU12" s="57" t="n">
        <f aca="false">IF(BR12=1,0,ROUNDUP(AT12/BQ12,0))</f>
        <v>0</v>
      </c>
      <c r="AV12" s="59" t="n">
        <f aca="false">IF(CD12&gt;0,CD12*MAX(1,AT12/V12),IF(BR12=1,IF(AT12&lt;=0,0,BS12*MAX(1,IF(G12&gt;0,AT12/G12,1))),IF(Q12&gt;0,AU12/Q12,0))/MAX(0.1,N(Parameter!$M$21)))</f>
        <v>0.15</v>
      </c>
      <c r="AW12" s="57" t="n">
        <f aca="false">AT12*F12</f>
        <v>51258.95</v>
      </c>
      <c r="AX12" s="57" t="n">
        <f aca="false">ROUNDUP(MAX(I12/IF(BV12&gt;0,BV12,MAX(0.1,N(Cockpit!$O$6))),BY12)/BQ12,0)*BQ12</f>
        <v>1</v>
      </c>
      <c r="AY12" s="58" t="n">
        <f aca="false">IF(AV12&gt;0,I12/AV12,-1)</f>
        <v>0</v>
      </c>
      <c r="AZ12" s="58" t="n">
        <f aca="false">IF(AND(OR(BU12="L1",BU12="L23"),AV12&gt;0),SUMIFS($AV$7:$AV$1576,$BU$7:$BU$1576,BU12,$AY$7:$AY$1576,"&gt;"&amp;AY12)+SUMIFS($AV$7:$AV$1576,$BU$7:$BU$1576,BU12,$AY$7:$AY$1576,AY12,$BO$7:$BO$1576,"&lt;="&amp;BO12),"")</f>
        <v>108.007035543297</v>
      </c>
      <c r="BA12" s="65" t="n">
        <f aca="false">IF(AZ12="",0,MAX(0,MIN(1,(IF(BU12="L1",Parameter!$E$5,Parameter!$E$6+Parameter!$E$7)-(AZ12-AV12))/AV12)))</f>
        <v>0</v>
      </c>
      <c r="BB12" s="55" t="str">
        <f aca="false">IF(AF12&lt;=0,"",IF(BU12="Aussen","Aussenlager",IF(BU12="-","Nicht im Lift",IF(AK12&gt;=1,"Lift",IF(AK12&lt;=0,"Aussenlager","teilweise")))))</f>
        <v>Lift</v>
      </c>
      <c r="BC12" s="55" t="str">
        <f aca="false">IF(AN12&lt;=0,"",IF(BU12="Aussen","Aussenlager",IF(BU12="-","Nicht im Lift",IF(AS12&gt;=1,"Lift",IF(AS12&lt;=0,"Aussenlager","teilweise")))))</f>
        <v>Aussenlager</v>
      </c>
      <c r="BD12" s="55" t="str">
        <f aca="false">IF(AV12&lt;=0,"",IF(BU12="Aussen","Aussenlager",IF(BU12="-","Nicht im Lift",IF(BA12&gt;=1,"Lift",IF(BA12&lt;=0,"Aussenlager","teilweise")))))</f>
        <v>Aussenlager</v>
      </c>
      <c r="BE12" s="55" t="str">
        <f aca="false">IF(A12="","",IF(BN12=1,"Neu; ","")&amp;IF(AND(BN12=0,BI12&lt;0),"negativer Bestand (Export "&amp;BI12&amp;"); ","")&amp;IF(I12&lt;=0,"Kein Verbrauch; ","")&amp;IF(CD12&gt;0,"Lift "&amp;U12&amp;" lt. Liftbericht (Fach "&amp;V12&amp;" Stk); ",IF(BR12=1,"Lose – Fläche geschätzt; ",""))&amp;IF(G12&gt;AP12,"Überbestand "&amp;ROUND(G12-AP12,0)&amp;" Stk / CHF "&amp;ROUND((G12-AP12)*F12,0)&amp;"; ","")&amp;IF(AND(BW12=1,BX12&lt;BY12),"MAX &lt; MB+LG; ","")&amp;IF(AND(CC12&gt;0,CB12*10&gt;CC12),"zu hoch für Tablar; ","")&amp;IF(AND(BN12=0,OR(BW12=1,Y12&lt;&gt;"",S12&lt;&gt;"",T12&lt;&gt;"",Z12&lt;&gt;"")),"manuell übersteuert; ","")&amp;IF(AND(BR12=0,Q12=0),"Gebinde unbekannt / Stellmass fehlt; ","")&amp;IF(AND(BR12=0,N(T12)&lt;=0,N(P12)&lt;=0),"Menge pro Gebinde fehlt (Ist = 1 Gebinde); ","")&amp;BM12)</f>
        <v>Kein Verbrauch; Lose – Fläche geschätzt; Überbestand 22 Stk / CHF 49030; </v>
      </c>
      <c r="BF12" s="55"/>
      <c r="BG12" s="55"/>
      <c r="BH12" s="62"/>
      <c r="BI12" s="57" t="n">
        <v>23</v>
      </c>
      <c r="BJ12" s="57" t="n">
        <v>0</v>
      </c>
      <c r="BK12" s="56" t="n">
        <v>51258.95</v>
      </c>
      <c r="BL12" s="57" t="n">
        <v>0</v>
      </c>
      <c r="BM12" s="55"/>
      <c r="BN12" s="60" t="n">
        <v>0</v>
      </c>
      <c r="BO12" s="60" t="n">
        <v>12</v>
      </c>
      <c r="BP12" s="55" t="str">
        <f aca="false">IF(S12&lt;&gt;"",UPPER(TRIM(S12)),IF(O12="","LOSE",O12))</f>
        <v>LOSE</v>
      </c>
      <c r="BQ12" s="57" t="n">
        <f aca="false">IF(BP12="LOSE",1,IF(N(T12)&gt;0,T12,IF(N(P12)&gt;0,P12,MAX(1,G12))))</f>
        <v>1</v>
      </c>
      <c r="BR12" s="60" t="n">
        <f aca="false">IF(BP12="LOSE",1,0)</f>
        <v>1</v>
      </c>
      <c r="BS12" s="59" t="n">
        <f aca="false">IF(BR12=0,0,IF(N(R12)&gt;0,R12,IFERROR(VLOOKUP(D12,Parameter!$A$35:$C$64,3,0)+0,0)))</f>
        <v>0.15</v>
      </c>
      <c r="BT12" s="55" t="n">
        <f aca="false">IF(Y12&lt;&gt;"",Y12,X12)</f>
        <v>2</v>
      </c>
      <c r="BU12" s="55" t="str">
        <f aca="false">IF(BT12=1,"L1",IF(OR(BT12=2,BT12=3),"L23",IF(BT12="Aussen","Aussen","-")))</f>
        <v>L23</v>
      </c>
      <c r="BV12" s="66" t="n">
        <f aca="false">IF(N(Z12)&gt;0,Z12,0)</f>
        <v>0</v>
      </c>
      <c r="BW12" s="60" t="n">
        <f aca="false">IF(ISNUMBER(AC12),1,0)</f>
        <v>0</v>
      </c>
      <c r="BX12" s="57" t="n">
        <f aca="false">N(AC12)</f>
        <v>0</v>
      </c>
      <c r="BY12" s="57" t="n">
        <f aca="false">N(L12)+N(M12)</f>
        <v>1</v>
      </c>
      <c r="BZ12" s="57" t="n">
        <f aca="false">ROUNDUP(G12/BQ12,0)</f>
        <v>23</v>
      </c>
      <c r="CA12" s="57" t="n">
        <f aca="false">ROUNDUP(BX12/BQ12,0)</f>
        <v>0</v>
      </c>
      <c r="CB12" s="60" t="n">
        <f aca="false">IF(BR12=1,0,IFERROR(VLOOKUP(BP12,'Gebinde-Kategorie'!$A$5:$M$45,5,0)+0,0))</f>
        <v>0</v>
      </c>
      <c r="CC12" s="60" t="n">
        <f aca="false">IFERROR(IF(OR(BT12=1,BT12=2,BT12=3),N(INDEX(Parameter!$I$5:$I$7,BT12)),0),0)</f>
        <v>0</v>
      </c>
      <c r="CD12" s="59" t="n">
        <f aca="false">IF(AND(Parameter!$B$21="Ja",ISNUMBER(U12),N(V12)&gt;0),IFERROR(N(INDEX(Parameter!$L$5:$L$7,U12))*INDEX(Parameter!$E$5:$E$7,U12)*V12/SUMIFS($V$7:$V$1576,$U$7:$U$1576,U12),0),0)</f>
        <v>0</v>
      </c>
    </row>
    <row r="13" customFormat="false" ht="15" hidden="false" customHeight="false" outlineLevel="0" collapsed="false">
      <c r="A13" s="55" t="s">
        <v>182</v>
      </c>
      <c r="B13" s="55" t="s">
        <v>159</v>
      </c>
      <c r="C13" s="55" t="s">
        <v>160</v>
      </c>
      <c r="D13" s="55" t="s">
        <v>161</v>
      </c>
      <c r="E13" s="55" t="s">
        <v>162</v>
      </c>
      <c r="F13" s="56" t="n">
        <v>4008.68</v>
      </c>
      <c r="G13" s="57" t="n">
        <f aca="false">MAX(0,IF(AND(Parameter!$B$21="Ja",ISNUMBER(W13)),W13,IF(Parameter!$B$20="Jahresanfang 2025 + Export",BJ13+BI13,BI13)))</f>
        <v>5</v>
      </c>
      <c r="H13" s="57" t="n">
        <f aca="false">G13*F13</f>
        <v>20043.4</v>
      </c>
      <c r="I13" s="57" t="n">
        <f aca="false">BL13*Parameter!$B$18</f>
        <v>31</v>
      </c>
      <c r="J13" s="58" t="n">
        <v>2.5</v>
      </c>
      <c r="K13" s="59" t="n">
        <v>12.4</v>
      </c>
      <c r="L13" s="57" t="n">
        <v>2</v>
      </c>
      <c r="M13" s="57" t="n">
        <v>10</v>
      </c>
      <c r="N13" s="60" t="n">
        <v>21</v>
      </c>
      <c r="O13" s="55" t="s">
        <v>163</v>
      </c>
      <c r="P13" s="57"/>
      <c r="Q13" s="60" t="n">
        <f aca="false">IF(BR13=1,0,IFERROR(VLOOKUP(BP13,'Gebinde-Kategorie'!$A$5:$M$45,13,0)+0,0))</f>
        <v>0</v>
      </c>
      <c r="R13" s="61"/>
      <c r="S13" s="62"/>
      <c r="T13" s="62"/>
      <c r="U13" s="55" t="n">
        <v>1</v>
      </c>
      <c r="V13" s="57" t="n">
        <v>20</v>
      </c>
      <c r="W13" s="57" t="n">
        <v>5</v>
      </c>
      <c r="X13" s="55" t="n">
        <f aca="false">IF(A13="","",IF(AND(Parameter!$B$21="Ja",ISNUMBER(U13)),U13,IF(IFERROR(VLOOKUP(D13,Parameter!$A$35:$C$64,2,0),"Nein")="2+3",IF(ISNUMBER(SEARCH("grosser Artikel",BM13)),2,IFERROR(VLOOKUP(BP13,Parameter!$F$35:$G$64,2,0),2)),IF(OR(IFERROR(VLOOKUP(D13,Parameter!$A$35:$C$64,2,0),"Nein")="Nein",IFERROR(VLOOKUP(D13,Parameter!$A$35:$C$64,2,0),"Nein")=""),"-",VLOOKUP(D13,Parameter!$A$35:$C$64,2,0)))))</f>
        <v>1</v>
      </c>
      <c r="Y13" s="62"/>
      <c r="Z13" s="63"/>
      <c r="AA13" s="57" t="n">
        <f aca="false">AP13</f>
        <v>16</v>
      </c>
      <c r="AB13" s="57" t="n">
        <f aca="false">MAX(AP13,G13)</f>
        <v>16</v>
      </c>
      <c r="AC13" s="64"/>
      <c r="AD13" s="57" t="n">
        <f aca="false">IF(LEFT(Cockpit!$C$5,1)="A",G13,IF(BW13=1,BX13,IF(LEFT(Cockpit!$C$5,1)="B",AH13,MAX(AH13,G13))))</f>
        <v>5</v>
      </c>
      <c r="AE13" s="57" t="n">
        <f aca="false">IF(BR13=1,0,ROUNDUP(AD13/BQ13,0))</f>
        <v>0</v>
      </c>
      <c r="AF13" s="59" t="n">
        <f aca="false">IF(CD13&gt;0,CD13*MAX(1,AD13/V13),IF(BR13=1,IF(AD13&lt;=0,0,BS13*MAX(1,IF(G13&gt;0,AD13/G13,1))),IF(Q13&gt;0,AE13/Q13,0))/MAX(0.1,N(Parameter!$M$21)))</f>
        <v>1.60075329566855</v>
      </c>
      <c r="AG13" s="57" t="n">
        <f aca="false">AD13*F13</f>
        <v>20043.4</v>
      </c>
      <c r="AH13" s="57" t="n">
        <f aca="false">ROUNDUP(MAX(I13/IF(BV13&gt;0,BV13,MAX(0.1,N(Cockpit!$C$6))),BY13)/BQ13,0)*BQ13</f>
        <v>16</v>
      </c>
      <c r="AI13" s="58" t="n">
        <f aca="false">IF(AF13&gt;0,I13/AF13,-1)</f>
        <v>19.3658823529412</v>
      </c>
      <c r="AJ13" s="58" t="n">
        <f aca="false">IF(AND(OR(BU13="L1",BU13="L23"),AF13&gt;0),SUMIFS($AF$7:$AF$1576,$BU$7:$BU$1576,BU13,$AI$7:$AI$1576,"&gt;"&amp;AI13)+SUMIFS($AF$7:$AF$1576,$BU$7:$BU$1576,BU13,$AI$7:$AI$1576,AI13,$BO$7:$BO$1576,"&lt;="&amp;BO13),"")</f>
        <v>15.0470809792844</v>
      </c>
      <c r="AK13" s="65" t="n">
        <f aca="false">IF(AJ13="",0,MAX(0,MIN(1,(IF(BU13="L1",Parameter!$E$5,Parameter!$E$6+Parameter!$E$7)-(AJ13-AF13))/AF13)))</f>
        <v>1</v>
      </c>
      <c r="AL13" s="57" t="n">
        <f aca="false">IF(LEFT(Cockpit!$I$5,1)="A",G13,IF(BW13=1,BX13,IF(LEFT(Cockpit!$I$5,1)="B",AP13,MAX(AP13,G13))))</f>
        <v>16</v>
      </c>
      <c r="AM13" s="57" t="n">
        <f aca="false">IF(BR13=1,0,ROUNDUP(AL13/BQ13,0))</f>
        <v>0</v>
      </c>
      <c r="AN13" s="59" t="n">
        <f aca="false">IF(CD13&gt;0,CD13*MAX(1,AL13/V13),IF(BR13=1,IF(AL13&lt;=0,0,BS13*MAX(1,IF(G13&gt;0,AL13/G13,1))),IF(Q13&gt;0,AM13/Q13,0))/MAX(0.1,N(Parameter!$M$21)))</f>
        <v>1.60075329566855</v>
      </c>
      <c r="AO13" s="57" t="n">
        <f aca="false">AL13*F13</f>
        <v>64138.88</v>
      </c>
      <c r="AP13" s="57" t="n">
        <f aca="false">ROUNDUP(MAX(I13/IF(BV13&gt;0,BV13,MAX(0.1,N(Cockpit!$I$6))),BY13)/BQ13,0)*BQ13</f>
        <v>16</v>
      </c>
      <c r="AQ13" s="58" t="n">
        <f aca="false">IF(AN13&gt;0,I13/AN13,-1)</f>
        <v>19.3658823529412</v>
      </c>
      <c r="AR13" s="58" t="n">
        <f aca="false">IF(AND(OR(BU13="L1",BU13="L23"),AN13&gt;0),SUMIFS($AN$7:$AN$1576,$BU$7:$BU$1576,BU13,$AQ$7:$AQ$1576,"&gt;"&amp;AQ13)+SUMIFS($AN$7:$AN$1576,$BU$7:$BU$1576,BU13,$AQ$7:$AQ$1576,AQ13,$BO$7:$BO$1576,"&lt;="&amp;BO13),"")</f>
        <v>18.728813559322</v>
      </c>
      <c r="AS13" s="65" t="n">
        <f aca="false">IF(AR13="",0,MAX(0,MIN(1,(IF(BU13="L1",Parameter!$E$5,Parameter!$E$6+Parameter!$E$7)-(AR13-AN13))/AN13)))</f>
        <v>1</v>
      </c>
      <c r="AT13" s="57" t="n">
        <f aca="false">IF(LEFT(Cockpit!$O$5,1)="A",G13,IF(BW13=1,BX13,IF(LEFT(Cockpit!$O$5,1)="B",AX13,MAX(AX13,G13))))</f>
        <v>12</v>
      </c>
      <c r="AU13" s="57" t="n">
        <f aca="false">IF(BR13=1,0,ROUNDUP(AT13/BQ13,0))</f>
        <v>0</v>
      </c>
      <c r="AV13" s="59" t="n">
        <f aca="false">IF(CD13&gt;0,CD13*MAX(1,AT13/V13),IF(BR13=1,IF(AT13&lt;=0,0,BS13*MAX(1,IF(G13&gt;0,AT13/G13,1))),IF(Q13&gt;0,AU13/Q13,0))/MAX(0.1,N(Parameter!$M$21)))</f>
        <v>1.60075329566855</v>
      </c>
      <c r="AW13" s="57" t="n">
        <f aca="false">AT13*F13</f>
        <v>48104.16</v>
      </c>
      <c r="AX13" s="57" t="n">
        <f aca="false">ROUNDUP(MAX(I13/IF(BV13&gt;0,BV13,MAX(0.1,N(Cockpit!$O$6))),BY13)/BQ13,0)*BQ13</f>
        <v>12</v>
      </c>
      <c r="AY13" s="58" t="n">
        <f aca="false">IF(AV13&gt;0,I13/AV13,-1)</f>
        <v>19.3658823529412</v>
      </c>
      <c r="AZ13" s="58" t="n">
        <f aca="false">IF(AND(OR(BU13="L1",BU13="L23"),AV13&gt;0),SUMIFS($AV$7:$AV$1576,$BU$7:$BU$1576,BU13,$AY$7:$AY$1576,"&gt;"&amp;AY13)+SUMIFS($AV$7:$AV$1576,$BU$7:$BU$1576,BU13,$AY$7:$AY$1576,AY13,$BO$7:$BO$1576,"&lt;="&amp;BO13),"")</f>
        <v>15.7674199623352</v>
      </c>
      <c r="BA13" s="65" t="n">
        <f aca="false">IF(AZ13="",0,MAX(0,MIN(1,(IF(BU13="L1",Parameter!$E$5,Parameter!$E$6+Parameter!$E$7)-(AZ13-AV13))/AV13)))</f>
        <v>1</v>
      </c>
      <c r="BB13" s="55" t="str">
        <f aca="false">IF(AF13&lt;=0,"",IF(BU13="Aussen","Aussenlager",IF(BU13="-","Nicht im Lift",IF(AK13&gt;=1,"Lift",IF(AK13&lt;=0,"Aussenlager","teilweise")))))</f>
        <v>Lift</v>
      </c>
      <c r="BC13" s="55" t="str">
        <f aca="false">IF(AN13&lt;=0,"",IF(BU13="Aussen","Aussenlager",IF(BU13="-","Nicht im Lift",IF(AS13&gt;=1,"Lift",IF(AS13&lt;=0,"Aussenlager","teilweise")))))</f>
        <v>Lift</v>
      </c>
      <c r="BD13" s="55" t="str">
        <f aca="false">IF(AV13&lt;=0,"",IF(BU13="Aussen","Aussenlager",IF(BU13="-","Nicht im Lift",IF(BA13&gt;=1,"Lift",IF(BA13&lt;=0,"Aussenlager","teilweise")))))</f>
        <v>Lift</v>
      </c>
      <c r="BE13" s="55" t="str">
        <f aca="false">IF(A13="","",IF(BN13=1,"Neu; ","")&amp;IF(AND(BN13=0,BI13&lt;0),"negativer Bestand (Export "&amp;BI13&amp;"); ","")&amp;IF(I13&lt;=0,"Kein Verbrauch; ","")&amp;IF(CD13&gt;0,"Lift "&amp;U13&amp;" lt. Liftbericht (Fach "&amp;V13&amp;" Stk); ",IF(BR13=1,"Lose – Fläche geschätzt; ",""))&amp;IF(G13&gt;AP13,"Überbestand "&amp;ROUND(G13-AP13,0)&amp;" Stk / CHF "&amp;ROUND((G13-AP13)*F13,0)&amp;"; ","")&amp;IF(AND(BW13=1,BX13&lt;BY13),"MAX &lt; MB+LG; ","")&amp;IF(AND(CC13&gt;0,CB13*10&gt;CC13),"zu hoch für Tablar; ","")&amp;IF(AND(BN13=0,OR(BW13=1,Y13&lt;&gt;"",S13&lt;&gt;"",T13&lt;&gt;"",Z13&lt;&gt;"")),"manuell übersteuert; ","")&amp;IF(AND(BR13=0,Q13=0),"Gebinde unbekannt / Stellmass fehlt; ","")&amp;IF(AND(BR13=0,N(T13)&lt;=0,N(P13)&lt;=0),"Menge pro Gebinde fehlt (Ist = 1 Gebinde); ","")&amp;BM13)</f>
        <v>Lift 1 lt. Liftbericht (Fach 20 Stk); </v>
      </c>
      <c r="BF13" s="55"/>
      <c r="BG13" s="55"/>
      <c r="BH13" s="62"/>
      <c r="BI13" s="57" t="n">
        <v>12</v>
      </c>
      <c r="BJ13" s="57" t="n">
        <v>3</v>
      </c>
      <c r="BK13" s="56" t="n">
        <v>49636.92</v>
      </c>
      <c r="BL13" s="57" t="n">
        <v>31</v>
      </c>
      <c r="BM13" s="55"/>
      <c r="BN13" s="60" t="n">
        <v>0</v>
      </c>
      <c r="BO13" s="60" t="n">
        <v>13</v>
      </c>
      <c r="BP13" s="55" t="str">
        <f aca="false">IF(S13&lt;&gt;"",UPPER(TRIM(S13)),IF(O13="","LOSE",O13))</f>
        <v>LOSE</v>
      </c>
      <c r="BQ13" s="57" t="n">
        <f aca="false">IF(BP13="LOSE",1,IF(N(T13)&gt;0,T13,IF(N(P13)&gt;0,P13,MAX(1,G13))))</f>
        <v>1</v>
      </c>
      <c r="BR13" s="60" t="n">
        <f aca="false">IF(BP13="LOSE",1,0)</f>
        <v>1</v>
      </c>
      <c r="BS13" s="59" t="n">
        <f aca="false">IF(BR13=0,0,IF(N(R13)&gt;0,R13,IFERROR(VLOOKUP(D13,Parameter!$A$35:$C$64,3,0)+0,0)))</f>
        <v>1</v>
      </c>
      <c r="BT13" s="55" t="n">
        <f aca="false">IF(Y13&lt;&gt;"",Y13,X13)</f>
        <v>1</v>
      </c>
      <c r="BU13" s="55" t="str">
        <f aca="false">IF(BT13=1,"L1",IF(OR(BT13=2,BT13=3),"L23",IF(BT13="Aussen","Aussen","-")))</f>
        <v>L1</v>
      </c>
      <c r="BV13" s="66" t="n">
        <f aca="false">IF(N(Z13)&gt;0,Z13,0)</f>
        <v>0</v>
      </c>
      <c r="BW13" s="60" t="n">
        <f aca="false">IF(ISNUMBER(AC13),1,0)</f>
        <v>0</v>
      </c>
      <c r="BX13" s="57" t="n">
        <f aca="false">N(AC13)</f>
        <v>0</v>
      </c>
      <c r="BY13" s="57" t="n">
        <f aca="false">N(L13)+N(M13)</f>
        <v>12</v>
      </c>
      <c r="BZ13" s="57" t="n">
        <f aca="false">ROUNDUP(G13/BQ13,0)</f>
        <v>5</v>
      </c>
      <c r="CA13" s="57" t="n">
        <f aca="false">ROUNDUP(BX13/BQ13,0)</f>
        <v>0</v>
      </c>
      <c r="CB13" s="60" t="n">
        <f aca="false">IF(BR13=1,0,IFERROR(VLOOKUP(BP13,'Gebinde-Kategorie'!$A$5:$M$45,5,0)+0,0))</f>
        <v>0</v>
      </c>
      <c r="CC13" s="60" t="n">
        <f aca="false">IFERROR(IF(OR(BT13=1,BT13=2,BT13=3),N(INDEX(Parameter!$I$5:$I$7,BT13)),0),0)</f>
        <v>0</v>
      </c>
      <c r="CD13" s="59" t="n">
        <f aca="false">IF(AND(Parameter!$B$21="Ja",ISNUMBER(U13),N(V13)&gt;0),IFERROR(N(INDEX(Parameter!$L$5:$L$7,U13))*INDEX(Parameter!$E$5:$E$7,U13)*V13/SUMIFS($V$7:$V$1576,$U$7:$U$1576,U13),0),0)</f>
        <v>1.60075329566855</v>
      </c>
    </row>
    <row r="14" customFormat="false" ht="15" hidden="false" customHeight="false" outlineLevel="0" collapsed="false">
      <c r="A14" s="55" t="s">
        <v>183</v>
      </c>
      <c r="B14" s="55" t="s">
        <v>184</v>
      </c>
      <c r="C14" s="55" t="s">
        <v>160</v>
      </c>
      <c r="D14" s="55" t="s">
        <v>168</v>
      </c>
      <c r="E14" s="55" t="s">
        <v>162</v>
      </c>
      <c r="F14" s="56" t="n">
        <v>1751.08</v>
      </c>
      <c r="G14" s="57" t="n">
        <f aca="false">MAX(0,IF(AND(Parameter!$B$21="Ja",ISNUMBER(W14)),W14,IF(Parameter!$B$20="Jahresanfang 2025 + Export",BJ14+BI14,BI14)))</f>
        <v>23</v>
      </c>
      <c r="H14" s="57" t="n">
        <f aca="false">G14*F14</f>
        <v>40274.84</v>
      </c>
      <c r="I14" s="57" t="n">
        <f aca="false">BL14*Parameter!$B$18</f>
        <v>0</v>
      </c>
      <c r="J14" s="58" t="n">
        <v>0</v>
      </c>
      <c r="K14" s="59" t="n">
        <v>0</v>
      </c>
      <c r="L14" s="57" t="n">
        <v>0</v>
      </c>
      <c r="M14" s="57" t="n">
        <v>1</v>
      </c>
      <c r="N14" s="60" t="n">
        <v>9999</v>
      </c>
      <c r="O14" s="55" t="s">
        <v>163</v>
      </c>
      <c r="P14" s="57"/>
      <c r="Q14" s="60" t="n">
        <f aca="false">IF(BR14=1,0,IFERROR(VLOOKUP(BP14,'Gebinde-Kategorie'!$A$5:$M$45,13,0)+0,0))</f>
        <v>0</v>
      </c>
      <c r="R14" s="61"/>
      <c r="S14" s="62"/>
      <c r="T14" s="62"/>
      <c r="U14" s="55"/>
      <c r="V14" s="57"/>
      <c r="W14" s="57"/>
      <c r="X14" s="55" t="n">
        <f aca="false">IF(A14="","",IF(AND(Parameter!$B$21="Ja",ISNUMBER(U14)),U14,IF(IFERROR(VLOOKUP(D14,Parameter!$A$35:$C$64,2,0),"Nein")="2+3",IF(ISNUMBER(SEARCH("grosser Artikel",BM14)),2,IFERROR(VLOOKUP(BP14,Parameter!$F$35:$G$64,2,0),2)),IF(OR(IFERROR(VLOOKUP(D14,Parameter!$A$35:$C$64,2,0),"Nein")="Nein",IFERROR(VLOOKUP(D14,Parameter!$A$35:$C$64,2,0),"Nein")=""),"-",VLOOKUP(D14,Parameter!$A$35:$C$64,2,0)))))</f>
        <v>2</v>
      </c>
      <c r="Y14" s="62"/>
      <c r="Z14" s="63"/>
      <c r="AA14" s="57" t="n">
        <f aca="false">AP14</f>
        <v>1</v>
      </c>
      <c r="AB14" s="57" t="n">
        <f aca="false">MAX(AP14,G14)</f>
        <v>23</v>
      </c>
      <c r="AC14" s="64"/>
      <c r="AD14" s="57" t="n">
        <f aca="false">IF(LEFT(Cockpit!$C$5,1)="A",G14,IF(BW14=1,BX14,IF(LEFT(Cockpit!$C$5,1)="B",AH14,MAX(AH14,G14))))</f>
        <v>23</v>
      </c>
      <c r="AE14" s="57" t="n">
        <f aca="false">IF(BR14=1,0,ROUNDUP(AD14/BQ14,0))</f>
        <v>0</v>
      </c>
      <c r="AF14" s="59" t="n">
        <f aca="false">IF(CD14&gt;0,CD14*MAX(1,AD14/V14),IF(BR14=1,IF(AD14&lt;=0,0,BS14*MAX(1,IF(G14&gt;0,AD14/G14,1))),IF(Q14&gt;0,AE14/Q14,0))/MAX(0.1,N(Parameter!$M$21)))</f>
        <v>0.15</v>
      </c>
      <c r="AG14" s="57" t="n">
        <f aca="false">AD14*F14</f>
        <v>40274.84</v>
      </c>
      <c r="AH14" s="57" t="n">
        <f aca="false">ROUNDUP(MAX(I14/IF(BV14&gt;0,BV14,MAX(0.1,N(Cockpit!$C$6))),BY14)/BQ14,0)*BQ14</f>
        <v>1</v>
      </c>
      <c r="AI14" s="58" t="n">
        <f aca="false">IF(AF14&gt;0,I14/AF14,-1)</f>
        <v>0</v>
      </c>
      <c r="AJ14" s="58" t="n">
        <f aca="false">IF(AND(OR(BU14="L1",BU14="L23"),AF14&gt;0),SUMIFS($AF$7:$AF$1576,$BU$7:$BU$1576,BU14,$AI$7:$AI$1576,"&gt;"&amp;AI14)+SUMIFS($AF$7:$AF$1576,$BU$7:$BU$1576,BU14,$AI$7:$AI$1576,AI14,$BO$7:$BO$1576,"&lt;="&amp;BO14),"")</f>
        <v>35.5992483362049</v>
      </c>
      <c r="AK14" s="65" t="n">
        <f aca="false">IF(AJ14="",0,MAX(0,MIN(1,(IF(BU14="L1",Parameter!$E$5,Parameter!$E$6+Parameter!$E$7)-(AJ14-AF14))/AF14)))</f>
        <v>1</v>
      </c>
      <c r="AL14" s="57" t="n">
        <f aca="false">IF(LEFT(Cockpit!$I$5,1)="A",G14,IF(BW14=1,BX14,IF(LEFT(Cockpit!$I$5,1)="B",AP14,MAX(AP14,G14))))</f>
        <v>23</v>
      </c>
      <c r="AM14" s="57" t="n">
        <f aca="false">IF(BR14=1,0,ROUNDUP(AL14/BQ14,0))</f>
        <v>0</v>
      </c>
      <c r="AN14" s="59" t="n">
        <f aca="false">IF(CD14&gt;0,CD14*MAX(1,AL14/V14),IF(BR14=1,IF(AL14&lt;=0,0,BS14*MAX(1,IF(G14&gt;0,AL14/G14,1))),IF(Q14&gt;0,AM14/Q14,0))/MAX(0.1,N(Parameter!$M$21)))</f>
        <v>0.15</v>
      </c>
      <c r="AO14" s="57" t="n">
        <f aca="false">AL14*F14</f>
        <v>40274.84</v>
      </c>
      <c r="AP14" s="57" t="n">
        <f aca="false">ROUNDUP(MAX(I14/IF(BV14&gt;0,BV14,MAX(0.1,N(Cockpit!$I$6))),BY14)/BQ14,0)*BQ14</f>
        <v>1</v>
      </c>
      <c r="AQ14" s="58" t="n">
        <f aca="false">IF(AN14&gt;0,I14/AN14,-1)</f>
        <v>0</v>
      </c>
      <c r="AR14" s="58" t="n">
        <f aca="false">IF(AND(OR(BU14="L1",BU14="L23"),AN14&gt;0),SUMIFS($AN$7:$AN$1576,$BU$7:$BU$1576,BU14,$AQ$7:$AQ$1576,"&gt;"&amp;AQ14)+SUMIFS($AN$7:$AN$1576,$BU$7:$BU$1576,BU14,$AQ$7:$AQ$1576,AQ14,$BO$7:$BO$1576,"&lt;="&amp;BO14),"")</f>
        <v>118.097485093746</v>
      </c>
      <c r="AS14" s="65" t="n">
        <f aca="false">IF(AR14="",0,MAX(0,MIN(1,(IF(BU14="L1",Parameter!$E$5,Parameter!$E$6+Parameter!$E$7)-(AR14-AN14))/AN14)))</f>
        <v>0</v>
      </c>
      <c r="AT14" s="57" t="n">
        <f aca="false">IF(LEFT(Cockpit!$O$5,1)="A",G14,IF(BW14=1,BX14,IF(LEFT(Cockpit!$O$5,1)="B",AX14,MAX(AX14,G14))))</f>
        <v>23</v>
      </c>
      <c r="AU14" s="57" t="n">
        <f aca="false">IF(BR14=1,0,ROUNDUP(AT14/BQ14,0))</f>
        <v>0</v>
      </c>
      <c r="AV14" s="59" t="n">
        <f aca="false">IF(CD14&gt;0,CD14*MAX(1,AT14/V14),IF(BR14=1,IF(AT14&lt;=0,0,BS14*MAX(1,IF(G14&gt;0,AT14/G14,1))),IF(Q14&gt;0,AU14/Q14,0))/MAX(0.1,N(Parameter!$M$21)))</f>
        <v>0.15</v>
      </c>
      <c r="AW14" s="57" t="n">
        <f aca="false">AT14*F14</f>
        <v>40274.84</v>
      </c>
      <c r="AX14" s="57" t="n">
        <f aca="false">ROUNDUP(MAX(I14/IF(BV14&gt;0,BV14,MAX(0.1,N(Cockpit!$O$6))),BY14)/BQ14,0)*BQ14</f>
        <v>1</v>
      </c>
      <c r="AY14" s="58" t="n">
        <f aca="false">IF(AV14&gt;0,I14/AV14,-1)</f>
        <v>0</v>
      </c>
      <c r="AZ14" s="58" t="n">
        <f aca="false">IF(AND(OR(BU14="L1",BU14="L23"),AV14&gt;0),SUMIFS($AV$7:$AV$1576,$BU$7:$BU$1576,BU14,$AY$7:$AY$1576,"&gt;"&amp;AY14)+SUMIFS($AV$7:$AV$1576,$BU$7:$BU$1576,BU14,$AY$7:$AY$1576,AY14,$BO$7:$BO$1576,"&lt;="&amp;BO14),"")</f>
        <v>108.157035543297</v>
      </c>
      <c r="BA14" s="65" t="n">
        <f aca="false">IF(AZ14="",0,MAX(0,MIN(1,(IF(BU14="L1",Parameter!$E$5,Parameter!$E$6+Parameter!$E$7)-(AZ14-AV14))/AV14)))</f>
        <v>0</v>
      </c>
      <c r="BB14" s="55" t="str">
        <f aca="false">IF(AF14&lt;=0,"",IF(BU14="Aussen","Aussenlager",IF(BU14="-","Nicht im Lift",IF(AK14&gt;=1,"Lift",IF(AK14&lt;=0,"Aussenlager","teilweise")))))</f>
        <v>Lift</v>
      </c>
      <c r="BC14" s="55" t="str">
        <f aca="false">IF(AN14&lt;=0,"",IF(BU14="Aussen","Aussenlager",IF(BU14="-","Nicht im Lift",IF(AS14&gt;=1,"Lift",IF(AS14&lt;=0,"Aussenlager","teilweise")))))</f>
        <v>Aussenlager</v>
      </c>
      <c r="BD14" s="55" t="str">
        <f aca="false">IF(AV14&lt;=0,"",IF(BU14="Aussen","Aussenlager",IF(BU14="-","Nicht im Lift",IF(BA14&gt;=1,"Lift",IF(BA14&lt;=0,"Aussenlager","teilweise")))))</f>
        <v>Aussenlager</v>
      </c>
      <c r="BE14" s="55" t="str">
        <f aca="false">IF(A14="","",IF(BN14=1,"Neu; ","")&amp;IF(AND(BN14=0,BI14&lt;0),"negativer Bestand (Export "&amp;BI14&amp;"); ","")&amp;IF(I14&lt;=0,"Kein Verbrauch; ","")&amp;IF(CD14&gt;0,"Lift "&amp;U14&amp;" lt. Liftbericht (Fach "&amp;V14&amp;" Stk); ",IF(BR14=1,"Lose – Fläche geschätzt; ",""))&amp;IF(G14&gt;AP14,"Überbestand "&amp;ROUND(G14-AP14,0)&amp;" Stk / CHF "&amp;ROUND((G14-AP14)*F14,0)&amp;"; ","")&amp;IF(AND(BW14=1,BX14&lt;BY14),"MAX &lt; MB+LG; ","")&amp;IF(AND(CC14&gt;0,CB14*10&gt;CC14),"zu hoch für Tablar; ","")&amp;IF(AND(BN14=0,OR(BW14=1,Y14&lt;&gt;"",S14&lt;&gt;"",T14&lt;&gt;"",Z14&lt;&gt;"")),"manuell übersteuert; ","")&amp;IF(AND(BR14=0,Q14=0),"Gebinde unbekannt / Stellmass fehlt; ","")&amp;IF(AND(BR14=0,N(T14)&lt;=0,N(P14)&lt;=0),"Menge pro Gebinde fehlt (Ist = 1 Gebinde); ","")&amp;BM14)</f>
        <v>Kein Verbrauch; Lose – Fläche geschätzt; Überbestand 22 Stk / CHF 38524; </v>
      </c>
      <c r="BF14" s="55" t="s">
        <v>185</v>
      </c>
      <c r="BG14" s="55" t="s">
        <v>186</v>
      </c>
      <c r="BH14" s="62"/>
      <c r="BI14" s="57" t="n">
        <v>23</v>
      </c>
      <c r="BJ14" s="57" t="n">
        <v>0</v>
      </c>
      <c r="BK14" s="56" t="n">
        <v>40274.84</v>
      </c>
      <c r="BL14" s="57" t="n">
        <v>0</v>
      </c>
      <c r="BM14" s="55"/>
      <c r="BN14" s="60" t="n">
        <v>0</v>
      </c>
      <c r="BO14" s="60" t="n">
        <v>14</v>
      </c>
      <c r="BP14" s="55" t="str">
        <f aca="false">IF(S14&lt;&gt;"",UPPER(TRIM(S14)),IF(O14="","LOSE",O14))</f>
        <v>LOSE</v>
      </c>
      <c r="BQ14" s="57" t="n">
        <f aca="false">IF(BP14="LOSE",1,IF(N(T14)&gt;0,T14,IF(N(P14)&gt;0,P14,MAX(1,G14))))</f>
        <v>1</v>
      </c>
      <c r="BR14" s="60" t="n">
        <f aca="false">IF(BP14="LOSE",1,0)</f>
        <v>1</v>
      </c>
      <c r="BS14" s="59" t="n">
        <f aca="false">IF(BR14=0,0,IF(N(R14)&gt;0,R14,IFERROR(VLOOKUP(D14,Parameter!$A$35:$C$64,3,0)+0,0)))</f>
        <v>0.15</v>
      </c>
      <c r="BT14" s="55" t="n">
        <f aca="false">IF(Y14&lt;&gt;"",Y14,X14)</f>
        <v>2</v>
      </c>
      <c r="BU14" s="55" t="str">
        <f aca="false">IF(BT14=1,"L1",IF(OR(BT14=2,BT14=3),"L23",IF(BT14="Aussen","Aussen","-")))</f>
        <v>L23</v>
      </c>
      <c r="BV14" s="66" t="n">
        <f aca="false">IF(N(Z14)&gt;0,Z14,0)</f>
        <v>0</v>
      </c>
      <c r="BW14" s="60" t="n">
        <f aca="false">IF(ISNUMBER(AC14),1,0)</f>
        <v>0</v>
      </c>
      <c r="BX14" s="57" t="n">
        <f aca="false">N(AC14)</f>
        <v>0</v>
      </c>
      <c r="BY14" s="57" t="n">
        <f aca="false">N(L14)+N(M14)</f>
        <v>1</v>
      </c>
      <c r="BZ14" s="57" t="n">
        <f aca="false">ROUNDUP(G14/BQ14,0)</f>
        <v>23</v>
      </c>
      <c r="CA14" s="57" t="n">
        <f aca="false">ROUNDUP(BX14/BQ14,0)</f>
        <v>0</v>
      </c>
      <c r="CB14" s="60" t="n">
        <f aca="false">IF(BR14=1,0,IFERROR(VLOOKUP(BP14,'Gebinde-Kategorie'!$A$5:$M$45,5,0)+0,0))</f>
        <v>0</v>
      </c>
      <c r="CC14" s="60" t="n">
        <f aca="false">IFERROR(IF(OR(BT14=1,BT14=2,BT14=3),N(INDEX(Parameter!$I$5:$I$7,BT14)),0),0)</f>
        <v>0</v>
      </c>
      <c r="CD14" s="59" t="n">
        <f aca="false">IF(AND(Parameter!$B$21="Ja",ISNUMBER(U14),N(V14)&gt;0),IFERROR(N(INDEX(Parameter!$L$5:$L$7,U14))*INDEX(Parameter!$E$5:$E$7,U14)*V14/SUMIFS($V$7:$V$1576,$U$7:$U$1576,U14),0),0)</f>
        <v>0</v>
      </c>
    </row>
    <row r="15" customFormat="false" ht="15" hidden="false" customHeight="false" outlineLevel="0" collapsed="false">
      <c r="A15" s="55" t="s">
        <v>187</v>
      </c>
      <c r="B15" s="55" t="s">
        <v>188</v>
      </c>
      <c r="C15" s="55" t="s">
        <v>160</v>
      </c>
      <c r="D15" s="55" t="s">
        <v>168</v>
      </c>
      <c r="E15" s="55" t="s">
        <v>162</v>
      </c>
      <c r="F15" s="56" t="n">
        <v>5356</v>
      </c>
      <c r="G15" s="57" t="n">
        <f aca="false">MAX(0,IF(AND(Parameter!$B$21="Ja",ISNUMBER(W15)),W15,IF(Parameter!$B$20="Jahresanfang 2025 + Export",BJ15+BI15,BI15)))</f>
        <v>6</v>
      </c>
      <c r="H15" s="57" t="n">
        <f aca="false">G15*F15</f>
        <v>32136</v>
      </c>
      <c r="I15" s="57" t="n">
        <f aca="false">BL15*Parameter!$B$18</f>
        <v>23</v>
      </c>
      <c r="J15" s="58" t="n">
        <v>0.5</v>
      </c>
      <c r="K15" s="59" t="n">
        <v>46</v>
      </c>
      <c r="L15" s="57" t="n">
        <v>6</v>
      </c>
      <c r="M15" s="57" t="n">
        <v>5</v>
      </c>
      <c r="N15" s="60" t="n">
        <v>100</v>
      </c>
      <c r="O15" s="55" t="s">
        <v>163</v>
      </c>
      <c r="P15" s="57"/>
      <c r="Q15" s="60" t="n">
        <f aca="false">IF(BR15=1,0,IFERROR(VLOOKUP(BP15,'Gebinde-Kategorie'!$A$5:$M$45,13,0)+0,0))</f>
        <v>0</v>
      </c>
      <c r="R15" s="61"/>
      <c r="S15" s="62"/>
      <c r="T15" s="62"/>
      <c r="U15" s="55"/>
      <c r="V15" s="57"/>
      <c r="W15" s="57"/>
      <c r="X15" s="55" t="n">
        <f aca="false">IF(A15="","",IF(AND(Parameter!$B$21="Ja",ISNUMBER(U15)),U15,IF(IFERROR(VLOOKUP(D15,Parameter!$A$35:$C$64,2,0),"Nein")="2+3",IF(ISNUMBER(SEARCH("grosser Artikel",BM15)),2,IFERROR(VLOOKUP(BP15,Parameter!$F$35:$G$64,2,0),2)),IF(OR(IFERROR(VLOOKUP(D15,Parameter!$A$35:$C$64,2,0),"Nein")="Nein",IFERROR(VLOOKUP(D15,Parameter!$A$35:$C$64,2,0),"Nein")=""),"-",VLOOKUP(D15,Parameter!$A$35:$C$64,2,0)))))</f>
        <v>2</v>
      </c>
      <c r="Y15" s="62"/>
      <c r="Z15" s="63"/>
      <c r="AA15" s="57" t="n">
        <f aca="false">AP15</f>
        <v>12</v>
      </c>
      <c r="AB15" s="57" t="n">
        <f aca="false">MAX(AP15,G15)</f>
        <v>12</v>
      </c>
      <c r="AC15" s="64"/>
      <c r="AD15" s="57" t="n">
        <f aca="false">IF(LEFT(Cockpit!$C$5,1)="A",G15,IF(BW15=1,BX15,IF(LEFT(Cockpit!$C$5,1)="B",AH15,MAX(AH15,G15))))</f>
        <v>6</v>
      </c>
      <c r="AE15" s="57" t="n">
        <f aca="false">IF(BR15=1,0,ROUNDUP(AD15/BQ15,0))</f>
        <v>0</v>
      </c>
      <c r="AF15" s="59" t="n">
        <f aca="false">IF(CD15&gt;0,CD15*MAX(1,AD15/V15),IF(BR15=1,IF(AD15&lt;=0,0,BS15*MAX(1,IF(G15&gt;0,AD15/G15,1))),IF(Q15&gt;0,AE15/Q15,0))/MAX(0.1,N(Parameter!$M$21)))</f>
        <v>0.15</v>
      </c>
      <c r="AG15" s="57" t="n">
        <f aca="false">AD15*F15</f>
        <v>32136</v>
      </c>
      <c r="AH15" s="57" t="n">
        <f aca="false">ROUNDUP(MAX(I15/IF(BV15&gt;0,BV15,MAX(0.1,N(Cockpit!$C$6))),BY15)/BQ15,0)*BQ15</f>
        <v>12</v>
      </c>
      <c r="AI15" s="58" t="n">
        <f aca="false">IF(AF15&gt;0,I15/AF15,-1)</f>
        <v>153.333333333333</v>
      </c>
      <c r="AJ15" s="58" t="n">
        <f aca="false">IF(AND(OR(BU15="L1",BU15="L23"),AF15&gt;0),SUMIFS($AF$7:$AF$1576,$BU$7:$BU$1576,BU15,$AI$7:$AI$1576,"&gt;"&amp;AI15)+SUMIFS($AF$7:$AF$1576,$BU$7:$BU$1576,BU15,$AI$7:$AI$1576,AI15,$BO$7:$BO$1576,"&lt;="&amp;BO15),"")</f>
        <v>18.8711442181007</v>
      </c>
      <c r="AK15" s="65" t="n">
        <f aca="false">IF(AJ15="",0,MAX(0,MIN(1,(IF(BU15="L1",Parameter!$E$5,Parameter!$E$6+Parameter!$E$7)-(AJ15-AF15))/AF15)))</f>
        <v>1</v>
      </c>
      <c r="AL15" s="57" t="n">
        <f aca="false">IF(LEFT(Cockpit!$I$5,1)="A",G15,IF(BW15=1,BX15,IF(LEFT(Cockpit!$I$5,1)="B",AP15,MAX(AP15,G15))))</f>
        <v>12</v>
      </c>
      <c r="AM15" s="57" t="n">
        <f aca="false">IF(BR15=1,0,ROUNDUP(AL15/BQ15,0))</f>
        <v>0</v>
      </c>
      <c r="AN15" s="59" t="n">
        <f aca="false">IF(CD15&gt;0,CD15*MAX(1,AL15/V15),IF(BR15=1,IF(AL15&lt;=0,0,BS15*MAX(1,IF(G15&gt;0,AL15/G15,1))),IF(Q15&gt;0,AM15/Q15,0))/MAX(0.1,N(Parameter!$M$21)))</f>
        <v>0.3</v>
      </c>
      <c r="AO15" s="57" t="n">
        <f aca="false">AL15*F15</f>
        <v>64272</v>
      </c>
      <c r="AP15" s="57" t="n">
        <f aca="false">ROUNDUP(MAX(I15/IF(BV15&gt;0,BV15,MAX(0.1,N(Cockpit!$I$6))),BY15)/BQ15,0)*BQ15</f>
        <v>12</v>
      </c>
      <c r="AQ15" s="58" t="n">
        <f aca="false">IF(AN15&gt;0,I15/AN15,-1)</f>
        <v>76.6666666666667</v>
      </c>
      <c r="AR15" s="58" t="n">
        <f aca="false">IF(AND(OR(BU15="L1",BU15="L23"),AN15&gt;0),SUMIFS($AN$7:$AN$1576,$BU$7:$BU$1576,BU15,$AQ$7:$AQ$1576,"&gt;"&amp;AQ15)+SUMIFS($AN$7:$AN$1576,$BU$7:$BU$1576,BU15,$AQ$7:$AQ$1576,AQ15,$BO$7:$BO$1576,"&lt;="&amp;BO15),"")</f>
        <v>74.9956280618892</v>
      </c>
      <c r="AS15" s="65" t="n">
        <f aca="false">IF(AR15="",0,MAX(0,MIN(1,(IF(BU15="L1",Parameter!$E$5,Parameter!$E$6+Parameter!$E$7)-(AR15-AN15))/AN15)))</f>
        <v>1</v>
      </c>
      <c r="AT15" s="57" t="n">
        <f aca="false">IF(LEFT(Cockpit!$O$5,1)="A",G15,IF(BW15=1,BX15,IF(LEFT(Cockpit!$O$5,1)="B",AX15,MAX(AX15,G15))))</f>
        <v>11</v>
      </c>
      <c r="AU15" s="57" t="n">
        <f aca="false">IF(BR15=1,0,ROUNDUP(AT15/BQ15,0))</f>
        <v>0</v>
      </c>
      <c r="AV15" s="59" t="n">
        <f aca="false">IF(CD15&gt;0,CD15*MAX(1,AT15/V15),IF(BR15=1,IF(AT15&lt;=0,0,BS15*MAX(1,IF(G15&gt;0,AT15/G15,1))),IF(Q15&gt;0,AU15/Q15,0))/MAX(0.1,N(Parameter!$M$21)))</f>
        <v>0.275</v>
      </c>
      <c r="AW15" s="57" t="n">
        <f aca="false">AT15*F15</f>
        <v>58916</v>
      </c>
      <c r="AX15" s="57" t="n">
        <f aca="false">ROUNDUP(MAX(I15/IF(BV15&gt;0,BV15,MAX(0.1,N(Cockpit!$O$6))),BY15)/BQ15,0)*BQ15</f>
        <v>11</v>
      </c>
      <c r="AY15" s="58" t="n">
        <f aca="false">IF(AV15&gt;0,I15/AV15,-1)</f>
        <v>83.6363636363636</v>
      </c>
      <c r="AZ15" s="58" t="n">
        <f aca="false">IF(AND(OR(BU15="L1",BU15="L23"),AV15&gt;0),SUMIFS($AV$7:$AV$1576,$BU$7:$BU$1576,BU15,$AY$7:$AY$1576,"&gt;"&amp;AY15)+SUMIFS($AV$7:$AV$1576,$BU$7:$BU$1576,BU15,$AY$7:$AY$1576,AY15,$BO$7:$BO$1576,"&lt;="&amp;BO15),"")</f>
        <v>67.9662099799711</v>
      </c>
      <c r="BA15" s="65" t="n">
        <f aca="false">IF(AZ15="",0,MAX(0,MIN(1,(IF(BU15="L1",Parameter!$E$5,Parameter!$E$6+Parameter!$E$7)-(AZ15-AV15))/AV15)))</f>
        <v>1</v>
      </c>
      <c r="BB15" s="55" t="str">
        <f aca="false">IF(AF15&lt;=0,"",IF(BU15="Aussen","Aussenlager",IF(BU15="-","Nicht im Lift",IF(AK15&gt;=1,"Lift",IF(AK15&lt;=0,"Aussenlager","teilweise")))))</f>
        <v>Lift</v>
      </c>
      <c r="BC15" s="55" t="str">
        <f aca="false">IF(AN15&lt;=0,"",IF(BU15="Aussen","Aussenlager",IF(BU15="-","Nicht im Lift",IF(AS15&gt;=1,"Lift",IF(AS15&lt;=0,"Aussenlager","teilweise")))))</f>
        <v>Lift</v>
      </c>
      <c r="BD15" s="55" t="str">
        <f aca="false">IF(AV15&lt;=0,"",IF(BU15="Aussen","Aussenlager",IF(BU15="-","Nicht im Lift",IF(BA15&gt;=1,"Lift",IF(BA15&lt;=0,"Aussenlager","teilweise")))))</f>
        <v>Lift</v>
      </c>
      <c r="BE15" s="55" t="str">
        <f aca="false">IF(A15="","",IF(BN15=1,"Neu; ","")&amp;IF(AND(BN15=0,BI15&lt;0),"negativer Bestand (Export "&amp;BI15&amp;"); ","")&amp;IF(I15&lt;=0,"Kein Verbrauch; ","")&amp;IF(CD15&gt;0,"Lift "&amp;U15&amp;" lt. Liftbericht (Fach "&amp;V15&amp;" Stk); ",IF(BR15=1,"Lose – Fläche geschätzt; ",""))&amp;IF(G15&gt;AP15,"Überbestand "&amp;ROUND(G15-AP15,0)&amp;" Stk / CHF "&amp;ROUND((G15-AP15)*F15,0)&amp;"; ","")&amp;IF(AND(BW15=1,BX15&lt;BY15),"MAX &lt; MB+LG; ","")&amp;IF(AND(CC15&gt;0,CB15*10&gt;CC15),"zu hoch für Tablar; ","")&amp;IF(AND(BN15=0,OR(BW15=1,Y15&lt;&gt;"",S15&lt;&gt;"",T15&lt;&gt;"",Z15&lt;&gt;"")),"manuell übersteuert; ","")&amp;IF(AND(BR15=0,Q15=0),"Gebinde unbekannt / Stellmass fehlt; ","")&amp;IF(AND(BR15=0,N(T15)&lt;=0,N(P15)&lt;=0),"Menge pro Gebinde fehlt (Ist = 1 Gebinde); ","")&amp;BM15)</f>
        <v>Lose – Fläche geschätzt; </v>
      </c>
      <c r="BF15" s="55"/>
      <c r="BG15" s="55"/>
      <c r="BH15" s="62"/>
      <c r="BI15" s="57" t="n">
        <v>6</v>
      </c>
      <c r="BJ15" s="57" t="n">
        <v>0</v>
      </c>
      <c r="BK15" s="56" t="n">
        <v>32136</v>
      </c>
      <c r="BL15" s="57" t="n">
        <v>23</v>
      </c>
      <c r="BM15" s="55"/>
      <c r="BN15" s="60" t="n">
        <v>0</v>
      </c>
      <c r="BO15" s="60" t="n">
        <v>15</v>
      </c>
      <c r="BP15" s="55" t="str">
        <f aca="false">IF(S15&lt;&gt;"",UPPER(TRIM(S15)),IF(O15="","LOSE",O15))</f>
        <v>LOSE</v>
      </c>
      <c r="BQ15" s="57" t="n">
        <f aca="false">IF(BP15="LOSE",1,IF(N(T15)&gt;0,T15,IF(N(P15)&gt;0,P15,MAX(1,G15))))</f>
        <v>1</v>
      </c>
      <c r="BR15" s="60" t="n">
        <f aca="false">IF(BP15="LOSE",1,0)</f>
        <v>1</v>
      </c>
      <c r="BS15" s="59" t="n">
        <f aca="false">IF(BR15=0,0,IF(N(R15)&gt;0,R15,IFERROR(VLOOKUP(D15,Parameter!$A$35:$C$64,3,0)+0,0)))</f>
        <v>0.15</v>
      </c>
      <c r="BT15" s="55" t="n">
        <f aca="false">IF(Y15&lt;&gt;"",Y15,X15)</f>
        <v>2</v>
      </c>
      <c r="BU15" s="55" t="str">
        <f aca="false">IF(BT15=1,"L1",IF(OR(BT15=2,BT15=3),"L23",IF(BT15="Aussen","Aussen","-")))</f>
        <v>L23</v>
      </c>
      <c r="BV15" s="66" t="n">
        <f aca="false">IF(N(Z15)&gt;0,Z15,0)</f>
        <v>0</v>
      </c>
      <c r="BW15" s="60" t="n">
        <f aca="false">IF(ISNUMBER(AC15),1,0)</f>
        <v>0</v>
      </c>
      <c r="BX15" s="57" t="n">
        <f aca="false">N(AC15)</f>
        <v>0</v>
      </c>
      <c r="BY15" s="57" t="n">
        <f aca="false">N(L15)+N(M15)</f>
        <v>11</v>
      </c>
      <c r="BZ15" s="57" t="n">
        <f aca="false">ROUNDUP(G15/BQ15,0)</f>
        <v>6</v>
      </c>
      <c r="CA15" s="57" t="n">
        <f aca="false">ROUNDUP(BX15/BQ15,0)</f>
        <v>0</v>
      </c>
      <c r="CB15" s="60" t="n">
        <f aca="false">IF(BR15=1,0,IFERROR(VLOOKUP(BP15,'Gebinde-Kategorie'!$A$5:$M$45,5,0)+0,0))</f>
        <v>0</v>
      </c>
      <c r="CC15" s="60" t="n">
        <f aca="false">IFERROR(IF(OR(BT15=1,BT15=2,BT15=3),N(INDEX(Parameter!$I$5:$I$7,BT15)),0),0)</f>
        <v>0</v>
      </c>
      <c r="CD15" s="59" t="n">
        <f aca="false">IF(AND(Parameter!$B$21="Ja",ISNUMBER(U15),N(V15)&gt;0),IFERROR(N(INDEX(Parameter!$L$5:$L$7,U15))*INDEX(Parameter!$E$5:$E$7,U15)*V15/SUMIFS($V$7:$V$1576,$U$7:$U$1576,U15),0),0)</f>
        <v>0</v>
      </c>
    </row>
    <row r="16" customFormat="false" ht="15" hidden="false" customHeight="false" outlineLevel="0" collapsed="false">
      <c r="A16" s="55" t="s">
        <v>189</v>
      </c>
      <c r="B16" s="55" t="s">
        <v>190</v>
      </c>
      <c r="C16" s="55" t="s">
        <v>160</v>
      </c>
      <c r="D16" s="55" t="s">
        <v>168</v>
      </c>
      <c r="E16" s="55" t="s">
        <v>162</v>
      </c>
      <c r="F16" s="56" t="n">
        <v>4269.47</v>
      </c>
      <c r="G16" s="57" t="n">
        <f aca="false">MAX(0,IF(AND(Parameter!$B$21="Ja",ISNUMBER(W16)),W16,IF(Parameter!$B$20="Jahresanfang 2025 + Export",BJ16+BI16,BI16)))</f>
        <v>8</v>
      </c>
      <c r="H16" s="57" t="n">
        <f aca="false">G16*F16</f>
        <v>34155.76</v>
      </c>
      <c r="I16" s="57" t="n">
        <f aca="false">BL16*Parameter!$B$18</f>
        <v>81</v>
      </c>
      <c r="J16" s="58" t="n">
        <v>8</v>
      </c>
      <c r="K16" s="59" t="n">
        <v>10.125</v>
      </c>
      <c r="L16" s="57" t="n">
        <v>12</v>
      </c>
      <c r="M16" s="57" t="n">
        <v>5</v>
      </c>
      <c r="N16" s="60" t="n">
        <v>56</v>
      </c>
      <c r="O16" s="55" t="s">
        <v>163</v>
      </c>
      <c r="P16" s="57"/>
      <c r="Q16" s="60" t="n">
        <f aca="false">IF(BR16=1,0,IFERROR(VLOOKUP(BP16,'Gebinde-Kategorie'!$A$5:$M$45,13,0)+0,0))</f>
        <v>0</v>
      </c>
      <c r="R16" s="61"/>
      <c r="S16" s="62"/>
      <c r="T16" s="62"/>
      <c r="U16" s="55"/>
      <c r="V16" s="57"/>
      <c r="W16" s="57"/>
      <c r="X16" s="55" t="n">
        <f aca="false">IF(A16="","",IF(AND(Parameter!$B$21="Ja",ISNUMBER(U16)),U16,IF(IFERROR(VLOOKUP(D16,Parameter!$A$35:$C$64,2,0),"Nein")="2+3",IF(ISNUMBER(SEARCH("grosser Artikel",BM16)),2,IFERROR(VLOOKUP(BP16,Parameter!$F$35:$G$64,2,0),2)),IF(OR(IFERROR(VLOOKUP(D16,Parameter!$A$35:$C$64,2,0),"Nein")="Nein",IFERROR(VLOOKUP(D16,Parameter!$A$35:$C$64,2,0),"Nein")=""),"-",VLOOKUP(D16,Parameter!$A$35:$C$64,2,0)))))</f>
        <v>2</v>
      </c>
      <c r="Y16" s="62"/>
      <c r="Z16" s="63"/>
      <c r="AA16" s="57" t="n">
        <f aca="false">AP16</f>
        <v>41</v>
      </c>
      <c r="AB16" s="57" t="n">
        <f aca="false">MAX(AP16,G16)</f>
        <v>41</v>
      </c>
      <c r="AC16" s="64"/>
      <c r="AD16" s="57" t="n">
        <f aca="false">IF(LEFT(Cockpit!$C$5,1)="A",G16,IF(BW16=1,BX16,IF(LEFT(Cockpit!$C$5,1)="B",AH16,MAX(AH16,G16))))</f>
        <v>8</v>
      </c>
      <c r="AE16" s="57" t="n">
        <f aca="false">IF(BR16=1,0,ROUNDUP(AD16/BQ16,0))</f>
        <v>0</v>
      </c>
      <c r="AF16" s="59" t="n">
        <f aca="false">IF(CD16&gt;0,CD16*MAX(1,AD16/V16),IF(BR16=1,IF(AD16&lt;=0,0,BS16*MAX(1,IF(G16&gt;0,AD16/G16,1))),IF(Q16&gt;0,AE16/Q16,0))/MAX(0.1,N(Parameter!$M$21)))</f>
        <v>0.15</v>
      </c>
      <c r="AG16" s="57" t="n">
        <f aca="false">AD16*F16</f>
        <v>34155.76</v>
      </c>
      <c r="AH16" s="57" t="n">
        <f aca="false">ROUNDUP(MAX(I16/IF(BV16&gt;0,BV16,MAX(0.1,N(Cockpit!$C$6))),BY16)/BQ16,0)*BQ16</f>
        <v>41</v>
      </c>
      <c r="AI16" s="58" t="n">
        <f aca="false">IF(AF16&gt;0,I16/AF16,-1)</f>
        <v>540</v>
      </c>
      <c r="AJ16" s="58" t="n">
        <f aca="false">IF(AND(OR(BU16="L1",BU16="L23"),AF16&gt;0),SUMIFS($AF$7:$AF$1576,$BU$7:$BU$1576,BU16,$AI$7:$AI$1576,"&gt;"&amp;AI16)+SUMIFS($AF$7:$AF$1576,$BU$7:$BU$1576,BU16,$AI$7:$AI$1576,AI16,$BO$7:$BO$1576,"&lt;="&amp;BO16),"")</f>
        <v>12.3091175973785</v>
      </c>
      <c r="AK16" s="65" t="n">
        <f aca="false">IF(AJ16="",0,MAX(0,MIN(1,(IF(BU16="L1",Parameter!$E$5,Parameter!$E$6+Parameter!$E$7)-(AJ16-AF16))/AF16)))</f>
        <v>1</v>
      </c>
      <c r="AL16" s="57" t="n">
        <f aca="false">IF(LEFT(Cockpit!$I$5,1)="A",G16,IF(BW16=1,BX16,IF(LEFT(Cockpit!$I$5,1)="B",AP16,MAX(AP16,G16))))</f>
        <v>41</v>
      </c>
      <c r="AM16" s="57" t="n">
        <f aca="false">IF(BR16=1,0,ROUNDUP(AL16/BQ16,0))</f>
        <v>0</v>
      </c>
      <c r="AN16" s="59" t="n">
        <f aca="false">IF(CD16&gt;0,CD16*MAX(1,AL16/V16),IF(BR16=1,IF(AL16&lt;=0,0,BS16*MAX(1,IF(G16&gt;0,AL16/G16,1))),IF(Q16&gt;0,AM16/Q16,0))/MAX(0.1,N(Parameter!$M$21)))</f>
        <v>0.76875</v>
      </c>
      <c r="AO16" s="57" t="n">
        <f aca="false">AL16*F16</f>
        <v>175048.27</v>
      </c>
      <c r="AP16" s="57" t="n">
        <f aca="false">ROUNDUP(MAX(I16/IF(BV16&gt;0,BV16,MAX(0.1,N(Cockpit!$I$6))),BY16)/BQ16,0)*BQ16</f>
        <v>41</v>
      </c>
      <c r="AQ16" s="58" t="n">
        <f aca="false">IF(AN16&gt;0,I16/AN16,-1)</f>
        <v>105.365853658537</v>
      </c>
      <c r="AR16" s="58" t="n">
        <f aca="false">IF(AND(OR(BU16="L1",BU16="L23"),AN16&gt;0),SUMIFS($AN$7:$AN$1576,$BU$7:$BU$1576,BU16,$AQ$7:$AQ$1576,"&gt;"&amp;AQ16)+SUMIFS($AN$7:$AN$1576,$BU$7:$BU$1576,BU16,$AQ$7:$AQ$1576,AQ16,$BO$7:$BO$1576,"&lt;="&amp;BO16),"")</f>
        <v>68.4457523820135</v>
      </c>
      <c r="AS16" s="65" t="n">
        <f aca="false">IF(AR16="",0,MAX(0,MIN(1,(IF(BU16="L1",Parameter!$E$5,Parameter!$E$6+Parameter!$E$7)-(AR16-AN16))/AN16)))</f>
        <v>1</v>
      </c>
      <c r="AT16" s="57" t="n">
        <f aca="false">IF(LEFT(Cockpit!$O$5,1)="A",G16,IF(BW16=1,BX16,IF(LEFT(Cockpit!$O$5,1)="B",AX16,MAX(AX16,G16))))</f>
        <v>27</v>
      </c>
      <c r="AU16" s="57" t="n">
        <f aca="false">IF(BR16=1,0,ROUNDUP(AT16/BQ16,0))</f>
        <v>0</v>
      </c>
      <c r="AV16" s="59" t="n">
        <f aca="false">IF(CD16&gt;0,CD16*MAX(1,AT16/V16),IF(BR16=1,IF(AT16&lt;=0,0,BS16*MAX(1,IF(G16&gt;0,AT16/G16,1))),IF(Q16&gt;0,AU16/Q16,0))/MAX(0.1,N(Parameter!$M$21)))</f>
        <v>0.50625</v>
      </c>
      <c r="AW16" s="57" t="n">
        <f aca="false">AT16*F16</f>
        <v>115275.69</v>
      </c>
      <c r="AX16" s="57" t="n">
        <f aca="false">ROUNDUP(MAX(I16/IF(BV16&gt;0,BV16,MAX(0.1,N(Cockpit!$O$6))),BY16)/BQ16,0)*BQ16</f>
        <v>27</v>
      </c>
      <c r="AY16" s="58" t="n">
        <f aca="false">IF(AV16&gt;0,I16/AV16,-1)</f>
        <v>160</v>
      </c>
      <c r="AZ16" s="58" t="n">
        <f aca="false">IF(AND(OR(BU16="L1",BU16="L23"),AV16&gt;0),SUMIFS($AV$7:$AV$1576,$BU$7:$BU$1576,BU16,$AY$7:$AY$1576,"&gt;"&amp;AY16)+SUMIFS($AV$7:$AV$1576,$BU$7:$BU$1576,BU16,$AY$7:$AY$1576,AY16,$BO$7:$BO$1576,"&lt;="&amp;BO16),"")</f>
        <v>49.8882806870419</v>
      </c>
      <c r="BA16" s="65" t="n">
        <f aca="false">IF(AZ16="",0,MAX(0,MIN(1,(IF(BU16="L1",Parameter!$E$5,Parameter!$E$6+Parameter!$E$7)-(AZ16-AV16))/AV16)))</f>
        <v>1</v>
      </c>
      <c r="BB16" s="55" t="str">
        <f aca="false">IF(AF16&lt;=0,"",IF(BU16="Aussen","Aussenlager",IF(BU16="-","Nicht im Lift",IF(AK16&gt;=1,"Lift",IF(AK16&lt;=0,"Aussenlager","teilweise")))))</f>
        <v>Lift</v>
      </c>
      <c r="BC16" s="55" t="str">
        <f aca="false">IF(AN16&lt;=0,"",IF(BU16="Aussen","Aussenlager",IF(BU16="-","Nicht im Lift",IF(AS16&gt;=1,"Lift",IF(AS16&lt;=0,"Aussenlager","teilweise")))))</f>
        <v>Lift</v>
      </c>
      <c r="BD16" s="55" t="str">
        <f aca="false">IF(AV16&lt;=0,"",IF(BU16="Aussen","Aussenlager",IF(BU16="-","Nicht im Lift",IF(BA16&gt;=1,"Lift",IF(BA16&lt;=0,"Aussenlager","teilweise")))))</f>
        <v>Lift</v>
      </c>
      <c r="BE16" s="55" t="str">
        <f aca="false">IF(A16="","",IF(BN16=1,"Neu; ","")&amp;IF(AND(BN16=0,BI16&lt;0),"negativer Bestand (Export "&amp;BI16&amp;"); ","")&amp;IF(I16&lt;=0,"Kein Verbrauch; ","")&amp;IF(CD16&gt;0,"Lift "&amp;U16&amp;" lt. Liftbericht (Fach "&amp;V16&amp;" Stk); ",IF(BR16=1,"Lose – Fläche geschätzt; ",""))&amp;IF(G16&gt;AP16,"Überbestand "&amp;ROUND(G16-AP16,0)&amp;" Stk / CHF "&amp;ROUND((G16-AP16)*F16,0)&amp;"; ","")&amp;IF(AND(BW16=1,BX16&lt;BY16),"MAX &lt; MB+LG; ","")&amp;IF(AND(CC16&gt;0,CB16*10&gt;CC16),"zu hoch für Tablar; ","")&amp;IF(AND(BN16=0,OR(BW16=1,Y16&lt;&gt;"",S16&lt;&gt;"",T16&lt;&gt;"",Z16&lt;&gt;"")),"manuell übersteuert; ","")&amp;IF(AND(BR16=0,Q16=0),"Gebinde unbekannt / Stellmass fehlt; ","")&amp;IF(AND(BR16=0,N(T16)&lt;=0,N(P16)&lt;=0),"Menge pro Gebinde fehlt (Ist = 1 Gebinde); ","")&amp;BM16)</f>
        <v>Lose – Fläche geschätzt; </v>
      </c>
      <c r="BF16" s="55"/>
      <c r="BG16" s="55"/>
      <c r="BH16" s="62"/>
      <c r="BI16" s="57" t="n">
        <v>8</v>
      </c>
      <c r="BJ16" s="57" t="n">
        <v>10</v>
      </c>
      <c r="BK16" s="56" t="n">
        <v>31710.4700000001</v>
      </c>
      <c r="BL16" s="57" t="n">
        <v>81</v>
      </c>
      <c r="BM16" s="55"/>
      <c r="BN16" s="60" t="n">
        <v>0</v>
      </c>
      <c r="BO16" s="60" t="n">
        <v>16</v>
      </c>
      <c r="BP16" s="55" t="str">
        <f aca="false">IF(S16&lt;&gt;"",UPPER(TRIM(S16)),IF(O16="","LOSE",O16))</f>
        <v>LOSE</v>
      </c>
      <c r="BQ16" s="57" t="n">
        <f aca="false">IF(BP16="LOSE",1,IF(N(T16)&gt;0,T16,IF(N(P16)&gt;0,P16,MAX(1,G16))))</f>
        <v>1</v>
      </c>
      <c r="BR16" s="60" t="n">
        <f aca="false">IF(BP16="LOSE",1,0)</f>
        <v>1</v>
      </c>
      <c r="BS16" s="59" t="n">
        <f aca="false">IF(BR16=0,0,IF(N(R16)&gt;0,R16,IFERROR(VLOOKUP(D16,Parameter!$A$35:$C$64,3,0)+0,0)))</f>
        <v>0.15</v>
      </c>
      <c r="BT16" s="55" t="n">
        <f aca="false">IF(Y16&lt;&gt;"",Y16,X16)</f>
        <v>2</v>
      </c>
      <c r="BU16" s="55" t="str">
        <f aca="false">IF(BT16=1,"L1",IF(OR(BT16=2,BT16=3),"L23",IF(BT16="Aussen","Aussen","-")))</f>
        <v>L23</v>
      </c>
      <c r="BV16" s="66" t="n">
        <f aca="false">IF(N(Z16)&gt;0,Z16,0)</f>
        <v>0</v>
      </c>
      <c r="BW16" s="60" t="n">
        <f aca="false">IF(ISNUMBER(AC16),1,0)</f>
        <v>0</v>
      </c>
      <c r="BX16" s="57" t="n">
        <f aca="false">N(AC16)</f>
        <v>0</v>
      </c>
      <c r="BY16" s="57" t="n">
        <f aca="false">N(L16)+N(M16)</f>
        <v>17</v>
      </c>
      <c r="BZ16" s="57" t="n">
        <f aca="false">ROUNDUP(G16/BQ16,0)</f>
        <v>8</v>
      </c>
      <c r="CA16" s="57" t="n">
        <f aca="false">ROUNDUP(BX16/BQ16,0)</f>
        <v>0</v>
      </c>
      <c r="CB16" s="60" t="n">
        <f aca="false">IF(BR16=1,0,IFERROR(VLOOKUP(BP16,'Gebinde-Kategorie'!$A$5:$M$45,5,0)+0,0))</f>
        <v>0</v>
      </c>
      <c r="CC16" s="60" t="n">
        <f aca="false">IFERROR(IF(OR(BT16=1,BT16=2,BT16=3),N(INDEX(Parameter!$I$5:$I$7,BT16)),0),0)</f>
        <v>0</v>
      </c>
      <c r="CD16" s="59" t="n">
        <f aca="false">IF(AND(Parameter!$B$21="Ja",ISNUMBER(U16),N(V16)&gt;0),IFERROR(N(INDEX(Parameter!$L$5:$L$7,U16))*INDEX(Parameter!$E$5:$E$7,U16)*V16/SUMIFS($V$7:$V$1576,$U$7:$U$1576,U16),0),0)</f>
        <v>0</v>
      </c>
    </row>
    <row r="17" customFormat="false" ht="15" hidden="false" customHeight="false" outlineLevel="0" collapsed="false">
      <c r="A17" s="55" t="s">
        <v>191</v>
      </c>
      <c r="B17" s="55" t="s">
        <v>192</v>
      </c>
      <c r="C17" s="55" t="s">
        <v>160</v>
      </c>
      <c r="D17" s="55" t="s">
        <v>168</v>
      </c>
      <c r="E17" s="55" t="s">
        <v>193</v>
      </c>
      <c r="F17" s="56" t="n">
        <v>399.17</v>
      </c>
      <c r="G17" s="57" t="n">
        <f aca="false">MAX(0,IF(AND(Parameter!$B$21="Ja",ISNUMBER(W17)),W17,IF(Parameter!$B$20="Jahresanfang 2025 + Export",BJ17+BI17,BI17)))</f>
        <v>75</v>
      </c>
      <c r="H17" s="57" t="n">
        <f aca="false">G17*F17</f>
        <v>29937.75</v>
      </c>
      <c r="I17" s="57" t="n">
        <f aca="false">BL17*Parameter!$B$18</f>
        <v>0</v>
      </c>
      <c r="J17" s="58" t="n">
        <v>0</v>
      </c>
      <c r="K17" s="59" t="n">
        <v>0</v>
      </c>
      <c r="L17" s="57" t="n">
        <v>0</v>
      </c>
      <c r="M17" s="57" t="n">
        <v>1</v>
      </c>
      <c r="N17" s="60" t="n">
        <v>9999</v>
      </c>
      <c r="O17" s="55" t="s">
        <v>163</v>
      </c>
      <c r="P17" s="57"/>
      <c r="Q17" s="60" t="n">
        <f aca="false">IF(BR17=1,0,IFERROR(VLOOKUP(BP17,'Gebinde-Kategorie'!$A$5:$M$45,13,0)+0,0))</f>
        <v>0</v>
      </c>
      <c r="R17" s="61"/>
      <c r="S17" s="62"/>
      <c r="T17" s="62"/>
      <c r="U17" s="55"/>
      <c r="V17" s="57"/>
      <c r="W17" s="57"/>
      <c r="X17" s="55" t="n">
        <f aca="false">IF(A17="","",IF(AND(Parameter!$B$21="Ja",ISNUMBER(U17)),U17,IF(IFERROR(VLOOKUP(D17,Parameter!$A$35:$C$64,2,0),"Nein")="2+3",IF(ISNUMBER(SEARCH("grosser Artikel",BM17)),2,IFERROR(VLOOKUP(BP17,Parameter!$F$35:$G$64,2,0),2)),IF(OR(IFERROR(VLOOKUP(D17,Parameter!$A$35:$C$64,2,0),"Nein")="Nein",IFERROR(VLOOKUP(D17,Parameter!$A$35:$C$64,2,0),"Nein")=""),"-",VLOOKUP(D17,Parameter!$A$35:$C$64,2,0)))))</f>
        <v>2</v>
      </c>
      <c r="Y17" s="62"/>
      <c r="Z17" s="63"/>
      <c r="AA17" s="57" t="n">
        <f aca="false">AP17</f>
        <v>1</v>
      </c>
      <c r="AB17" s="57" t="n">
        <f aca="false">MAX(AP17,G17)</f>
        <v>75</v>
      </c>
      <c r="AC17" s="64"/>
      <c r="AD17" s="57" t="n">
        <f aca="false">IF(LEFT(Cockpit!$C$5,1)="A",G17,IF(BW17=1,BX17,IF(LEFT(Cockpit!$C$5,1)="B",AH17,MAX(AH17,G17))))</f>
        <v>75</v>
      </c>
      <c r="AE17" s="57" t="n">
        <f aca="false">IF(BR17=1,0,ROUNDUP(AD17/BQ17,0))</f>
        <v>0</v>
      </c>
      <c r="AF17" s="59" t="n">
        <f aca="false">IF(CD17&gt;0,CD17*MAX(1,AD17/V17),IF(BR17=1,IF(AD17&lt;=0,0,BS17*MAX(1,IF(G17&gt;0,AD17/G17,1))),IF(Q17&gt;0,AE17/Q17,0))/MAX(0.1,N(Parameter!$M$21)))</f>
        <v>0.15</v>
      </c>
      <c r="AG17" s="57" t="n">
        <f aca="false">AD17*F17</f>
        <v>29937.75</v>
      </c>
      <c r="AH17" s="57" t="n">
        <f aca="false">ROUNDUP(MAX(I17/IF(BV17&gt;0,BV17,MAX(0.1,N(Cockpit!$C$6))),BY17)/BQ17,0)*BQ17</f>
        <v>1</v>
      </c>
      <c r="AI17" s="58" t="n">
        <f aca="false">IF(AF17&gt;0,I17/AF17,-1)</f>
        <v>0</v>
      </c>
      <c r="AJ17" s="58" t="n">
        <f aca="false">IF(AND(OR(BU17="L1",BU17="L23"),AF17&gt;0),SUMIFS($AF$7:$AF$1576,$BU$7:$BU$1576,BU17,$AI$7:$AI$1576,"&gt;"&amp;AI17)+SUMIFS($AF$7:$AF$1576,$BU$7:$BU$1576,BU17,$AI$7:$AI$1576,AI17,$BO$7:$BO$1576,"&lt;="&amp;BO17),"")</f>
        <v>35.7492483362049</v>
      </c>
      <c r="AK17" s="65" t="n">
        <f aca="false">IF(AJ17="",0,MAX(0,MIN(1,(IF(BU17="L1",Parameter!$E$5,Parameter!$E$6+Parameter!$E$7)-(AJ17-AF17))/AF17)))</f>
        <v>1</v>
      </c>
      <c r="AL17" s="57" t="n">
        <f aca="false">IF(LEFT(Cockpit!$I$5,1)="A",G17,IF(BW17=1,BX17,IF(LEFT(Cockpit!$I$5,1)="B",AP17,MAX(AP17,G17))))</f>
        <v>75</v>
      </c>
      <c r="AM17" s="57" t="n">
        <f aca="false">IF(BR17=1,0,ROUNDUP(AL17/BQ17,0))</f>
        <v>0</v>
      </c>
      <c r="AN17" s="59" t="n">
        <f aca="false">IF(CD17&gt;0,CD17*MAX(1,AL17/V17),IF(BR17=1,IF(AL17&lt;=0,0,BS17*MAX(1,IF(G17&gt;0,AL17/G17,1))),IF(Q17&gt;0,AM17/Q17,0))/MAX(0.1,N(Parameter!$M$21)))</f>
        <v>0.15</v>
      </c>
      <c r="AO17" s="57" t="n">
        <f aca="false">AL17*F17</f>
        <v>29937.75</v>
      </c>
      <c r="AP17" s="57" t="n">
        <f aca="false">ROUNDUP(MAX(I17/IF(BV17&gt;0,BV17,MAX(0.1,N(Cockpit!$I$6))),BY17)/BQ17,0)*BQ17</f>
        <v>1</v>
      </c>
      <c r="AQ17" s="58" t="n">
        <f aca="false">IF(AN17&gt;0,I17/AN17,-1)</f>
        <v>0</v>
      </c>
      <c r="AR17" s="58" t="n">
        <f aca="false">IF(AND(OR(BU17="L1",BU17="L23"),AN17&gt;0),SUMIFS($AN$7:$AN$1576,$BU$7:$BU$1576,BU17,$AQ$7:$AQ$1576,"&gt;"&amp;AQ17)+SUMIFS($AN$7:$AN$1576,$BU$7:$BU$1576,BU17,$AQ$7:$AQ$1576,AQ17,$BO$7:$BO$1576,"&lt;="&amp;BO17),"")</f>
        <v>118.247485093746</v>
      </c>
      <c r="AS17" s="65" t="n">
        <f aca="false">IF(AR17="",0,MAX(0,MIN(1,(IF(BU17="L1",Parameter!$E$5,Parameter!$E$6+Parameter!$E$7)-(AR17-AN17))/AN17)))</f>
        <v>0</v>
      </c>
      <c r="AT17" s="57" t="n">
        <f aca="false">IF(LEFT(Cockpit!$O$5,1)="A",G17,IF(BW17=1,BX17,IF(LEFT(Cockpit!$O$5,1)="B",AX17,MAX(AX17,G17))))</f>
        <v>75</v>
      </c>
      <c r="AU17" s="57" t="n">
        <f aca="false">IF(BR17=1,0,ROUNDUP(AT17/BQ17,0))</f>
        <v>0</v>
      </c>
      <c r="AV17" s="59" t="n">
        <f aca="false">IF(CD17&gt;0,CD17*MAX(1,AT17/V17),IF(BR17=1,IF(AT17&lt;=0,0,BS17*MAX(1,IF(G17&gt;0,AT17/G17,1))),IF(Q17&gt;0,AU17/Q17,0))/MAX(0.1,N(Parameter!$M$21)))</f>
        <v>0.15</v>
      </c>
      <c r="AW17" s="57" t="n">
        <f aca="false">AT17*F17</f>
        <v>29937.75</v>
      </c>
      <c r="AX17" s="57" t="n">
        <f aca="false">ROUNDUP(MAX(I17/IF(BV17&gt;0,BV17,MAX(0.1,N(Cockpit!$O$6))),BY17)/BQ17,0)*BQ17</f>
        <v>1</v>
      </c>
      <c r="AY17" s="58" t="n">
        <f aca="false">IF(AV17&gt;0,I17/AV17,-1)</f>
        <v>0</v>
      </c>
      <c r="AZ17" s="58" t="n">
        <f aca="false">IF(AND(OR(BU17="L1",BU17="L23"),AV17&gt;0),SUMIFS($AV$7:$AV$1576,$BU$7:$BU$1576,BU17,$AY$7:$AY$1576,"&gt;"&amp;AY17)+SUMIFS($AV$7:$AV$1576,$BU$7:$BU$1576,BU17,$AY$7:$AY$1576,AY17,$BO$7:$BO$1576,"&lt;="&amp;BO17),"")</f>
        <v>108.307035543297</v>
      </c>
      <c r="BA17" s="65" t="n">
        <f aca="false">IF(AZ17="",0,MAX(0,MIN(1,(IF(BU17="L1",Parameter!$E$5,Parameter!$E$6+Parameter!$E$7)-(AZ17-AV17))/AV17)))</f>
        <v>0</v>
      </c>
      <c r="BB17" s="55" t="str">
        <f aca="false">IF(AF17&lt;=0,"",IF(BU17="Aussen","Aussenlager",IF(BU17="-","Nicht im Lift",IF(AK17&gt;=1,"Lift",IF(AK17&lt;=0,"Aussenlager","teilweise")))))</f>
        <v>Lift</v>
      </c>
      <c r="BC17" s="55" t="str">
        <f aca="false">IF(AN17&lt;=0,"",IF(BU17="Aussen","Aussenlager",IF(BU17="-","Nicht im Lift",IF(AS17&gt;=1,"Lift",IF(AS17&lt;=0,"Aussenlager","teilweise")))))</f>
        <v>Aussenlager</v>
      </c>
      <c r="BD17" s="55" t="str">
        <f aca="false">IF(AV17&lt;=0,"",IF(BU17="Aussen","Aussenlager",IF(BU17="-","Nicht im Lift",IF(BA17&gt;=1,"Lift",IF(BA17&lt;=0,"Aussenlager","teilweise")))))</f>
        <v>Aussenlager</v>
      </c>
      <c r="BE17" s="55" t="str">
        <f aca="false">IF(A17="","",IF(BN17=1,"Neu; ","")&amp;IF(AND(BN17=0,BI17&lt;0),"negativer Bestand (Export "&amp;BI17&amp;"); ","")&amp;IF(I17&lt;=0,"Kein Verbrauch; ","")&amp;IF(CD17&gt;0,"Lift "&amp;U17&amp;" lt. Liftbericht (Fach "&amp;V17&amp;" Stk); ",IF(BR17=1,"Lose – Fläche geschätzt; ",""))&amp;IF(G17&gt;AP17,"Überbestand "&amp;ROUND(G17-AP17,0)&amp;" Stk / CHF "&amp;ROUND((G17-AP17)*F17,0)&amp;"; ","")&amp;IF(AND(BW17=1,BX17&lt;BY17),"MAX &lt; MB+LG; ","")&amp;IF(AND(CC17&gt;0,CB17*10&gt;CC17),"zu hoch für Tablar; ","")&amp;IF(AND(BN17=0,OR(BW17=1,Y17&lt;&gt;"",S17&lt;&gt;"",T17&lt;&gt;"",Z17&lt;&gt;"")),"manuell übersteuert; ","")&amp;IF(AND(BR17=0,Q17=0),"Gebinde unbekannt / Stellmass fehlt; ","")&amp;IF(AND(BR17=0,N(T17)&lt;=0,N(P17)&lt;=0),"Menge pro Gebinde fehlt (Ist = 1 Gebinde); ","")&amp;BM17)</f>
        <v>Kein Verbrauch; Lose – Fläche geschätzt; Überbestand 74 Stk / CHF 29539; </v>
      </c>
      <c r="BF17" s="55"/>
      <c r="BG17" s="55"/>
      <c r="BH17" s="62"/>
      <c r="BI17" s="57" t="n">
        <v>75</v>
      </c>
      <c r="BJ17" s="57" t="n">
        <v>0</v>
      </c>
      <c r="BK17" s="56" t="n">
        <v>29937.75</v>
      </c>
      <c r="BL17" s="57" t="n">
        <v>0</v>
      </c>
      <c r="BM17" s="55"/>
      <c r="BN17" s="60" t="n">
        <v>0</v>
      </c>
      <c r="BO17" s="60" t="n">
        <v>17</v>
      </c>
      <c r="BP17" s="55" t="str">
        <f aca="false">IF(S17&lt;&gt;"",UPPER(TRIM(S17)),IF(O17="","LOSE",O17))</f>
        <v>LOSE</v>
      </c>
      <c r="BQ17" s="57" t="n">
        <f aca="false">IF(BP17="LOSE",1,IF(N(T17)&gt;0,T17,IF(N(P17)&gt;0,P17,MAX(1,G17))))</f>
        <v>1</v>
      </c>
      <c r="BR17" s="60" t="n">
        <f aca="false">IF(BP17="LOSE",1,0)</f>
        <v>1</v>
      </c>
      <c r="BS17" s="59" t="n">
        <f aca="false">IF(BR17=0,0,IF(N(R17)&gt;0,R17,IFERROR(VLOOKUP(D17,Parameter!$A$35:$C$64,3,0)+0,0)))</f>
        <v>0.15</v>
      </c>
      <c r="BT17" s="55" t="n">
        <f aca="false">IF(Y17&lt;&gt;"",Y17,X17)</f>
        <v>2</v>
      </c>
      <c r="BU17" s="55" t="str">
        <f aca="false">IF(BT17=1,"L1",IF(OR(BT17=2,BT17=3),"L23",IF(BT17="Aussen","Aussen","-")))</f>
        <v>L23</v>
      </c>
      <c r="BV17" s="66" t="n">
        <f aca="false">IF(N(Z17)&gt;0,Z17,0)</f>
        <v>0</v>
      </c>
      <c r="BW17" s="60" t="n">
        <f aca="false">IF(ISNUMBER(AC17),1,0)</f>
        <v>0</v>
      </c>
      <c r="BX17" s="57" t="n">
        <f aca="false">N(AC17)</f>
        <v>0</v>
      </c>
      <c r="BY17" s="57" t="n">
        <f aca="false">N(L17)+N(M17)</f>
        <v>1</v>
      </c>
      <c r="BZ17" s="57" t="n">
        <f aca="false">ROUNDUP(G17/BQ17,0)</f>
        <v>75</v>
      </c>
      <c r="CA17" s="57" t="n">
        <f aca="false">ROUNDUP(BX17/BQ17,0)</f>
        <v>0</v>
      </c>
      <c r="CB17" s="60" t="n">
        <f aca="false">IF(BR17=1,0,IFERROR(VLOOKUP(BP17,'Gebinde-Kategorie'!$A$5:$M$45,5,0)+0,0))</f>
        <v>0</v>
      </c>
      <c r="CC17" s="60" t="n">
        <f aca="false">IFERROR(IF(OR(BT17=1,BT17=2,BT17=3),N(INDEX(Parameter!$I$5:$I$7,BT17)),0),0)</f>
        <v>0</v>
      </c>
      <c r="CD17" s="59" t="n">
        <f aca="false">IF(AND(Parameter!$B$21="Ja",ISNUMBER(U17),N(V17)&gt;0),IFERROR(N(INDEX(Parameter!$L$5:$L$7,U17))*INDEX(Parameter!$E$5:$E$7,U17)*V17/SUMIFS($V$7:$V$1576,$U$7:$U$1576,U17),0),0)</f>
        <v>0</v>
      </c>
    </row>
    <row r="18" customFormat="false" ht="15" hidden="false" customHeight="false" outlineLevel="0" collapsed="false">
      <c r="A18" s="55" t="s">
        <v>194</v>
      </c>
      <c r="B18" s="55" t="s">
        <v>195</v>
      </c>
      <c r="C18" s="55" t="s">
        <v>160</v>
      </c>
      <c r="D18" s="55" t="s">
        <v>168</v>
      </c>
      <c r="E18" s="55" t="s">
        <v>193</v>
      </c>
      <c r="F18" s="56" t="n">
        <v>1120.91</v>
      </c>
      <c r="G18" s="57" t="n">
        <f aca="false">MAX(0,IF(AND(Parameter!$B$21="Ja",ISNUMBER(W18)),W18,IF(Parameter!$B$20="Jahresanfang 2025 + Export",BJ18+BI18,BI18)))</f>
        <v>16</v>
      </c>
      <c r="H18" s="57" t="n">
        <f aca="false">G18*F18</f>
        <v>17934.56</v>
      </c>
      <c r="I18" s="57" t="n">
        <f aca="false">BL18*Parameter!$B$18</f>
        <v>25</v>
      </c>
      <c r="J18" s="58" t="n">
        <v>9.5</v>
      </c>
      <c r="K18" s="59" t="n">
        <v>2.63157894736842</v>
      </c>
      <c r="L18" s="57" t="n">
        <v>10</v>
      </c>
      <c r="M18" s="57" t="n">
        <v>10</v>
      </c>
      <c r="N18" s="60" t="n">
        <v>126</v>
      </c>
      <c r="O18" s="55" t="s">
        <v>169</v>
      </c>
      <c r="P18" s="57" t="n">
        <v>8</v>
      </c>
      <c r="Q18" s="60" t="n">
        <f aca="false">IF(BR18=1,0,IFERROR(VLOOKUP(BP18,'Gebinde-Kategorie'!$A$5:$M$45,13,0)+0,0))</f>
        <v>6</v>
      </c>
      <c r="R18" s="61"/>
      <c r="S18" s="62"/>
      <c r="T18" s="62"/>
      <c r="U18" s="55"/>
      <c r="V18" s="57"/>
      <c r="W18" s="57"/>
      <c r="X18" s="55" t="n">
        <f aca="false">IF(A18="","",IF(AND(Parameter!$B$21="Ja",ISNUMBER(U18)),U18,IF(IFERROR(VLOOKUP(D18,Parameter!$A$35:$C$64,2,0),"Nein")="2+3",IF(ISNUMBER(SEARCH("grosser Artikel",BM18)),2,IFERROR(VLOOKUP(BP18,Parameter!$F$35:$G$64,2,0),2)),IF(OR(IFERROR(VLOOKUP(D18,Parameter!$A$35:$C$64,2,0),"Nein")="Nein",IFERROR(VLOOKUP(D18,Parameter!$A$35:$C$64,2,0),"Nein")=""),"-",VLOOKUP(D18,Parameter!$A$35:$C$64,2,0)))))</f>
        <v>2</v>
      </c>
      <c r="Y18" s="62"/>
      <c r="Z18" s="63"/>
      <c r="AA18" s="57" t="n">
        <f aca="false">AP18</f>
        <v>24</v>
      </c>
      <c r="AB18" s="57" t="n">
        <f aca="false">MAX(AP18,G18)</f>
        <v>24</v>
      </c>
      <c r="AC18" s="64"/>
      <c r="AD18" s="57" t="n">
        <f aca="false">IF(LEFT(Cockpit!$C$5,1)="A",G18,IF(BW18=1,BX18,IF(LEFT(Cockpit!$C$5,1)="B",AH18,MAX(AH18,G18))))</f>
        <v>16</v>
      </c>
      <c r="AE18" s="57" t="n">
        <f aca="false">IF(BR18=1,0,ROUNDUP(AD18/BQ18,0))</f>
        <v>2</v>
      </c>
      <c r="AF18" s="59" t="n">
        <f aca="false">IF(CD18&gt;0,CD18*MAX(1,AD18/V18),IF(BR18=1,IF(AD18&lt;=0,0,BS18*MAX(1,IF(G18&gt;0,AD18/G18,1))),IF(Q18&gt;0,AE18/Q18,0))/MAX(0.1,N(Parameter!$M$21)))</f>
        <v>0.333333333333333</v>
      </c>
      <c r="AG18" s="57" t="n">
        <f aca="false">AD18*F18</f>
        <v>17934.56</v>
      </c>
      <c r="AH18" s="57" t="n">
        <f aca="false">ROUNDUP(MAX(I18/IF(BV18&gt;0,BV18,MAX(0.1,N(Cockpit!$C$6))),BY18)/BQ18,0)*BQ18</f>
        <v>24</v>
      </c>
      <c r="AI18" s="58" t="n">
        <f aca="false">IF(AF18&gt;0,I18/AF18,-1)</f>
        <v>75</v>
      </c>
      <c r="AJ18" s="58" t="n">
        <f aca="false">IF(AND(OR(BU18="L1",BU18="L23"),AF18&gt;0),SUMIFS($AF$7:$AF$1576,$BU$7:$BU$1576,BU18,$AI$7:$AI$1576,"&gt;"&amp;AI18)+SUMIFS($AF$7:$AF$1576,$BU$7:$BU$1576,BU18,$AI$7:$AI$1576,AI18,$BO$7:$BO$1576,"&lt;="&amp;BO18),"")</f>
        <v>23.5512529982095</v>
      </c>
      <c r="AK18" s="65" t="n">
        <f aca="false">IF(AJ18="",0,MAX(0,MIN(1,(IF(BU18="L1",Parameter!$E$5,Parameter!$E$6+Parameter!$E$7)-(AJ18-AF18))/AF18)))</f>
        <v>1</v>
      </c>
      <c r="AL18" s="57" t="n">
        <f aca="false">IF(LEFT(Cockpit!$I$5,1)="A",G18,IF(BW18=1,BX18,IF(LEFT(Cockpit!$I$5,1)="B",AP18,MAX(AP18,G18))))</f>
        <v>24</v>
      </c>
      <c r="AM18" s="57" t="n">
        <f aca="false">IF(BR18=1,0,ROUNDUP(AL18/BQ18,0))</f>
        <v>3</v>
      </c>
      <c r="AN18" s="59" t="n">
        <f aca="false">IF(CD18&gt;0,CD18*MAX(1,AL18/V18),IF(BR18=1,IF(AL18&lt;=0,0,BS18*MAX(1,IF(G18&gt;0,AL18/G18,1))),IF(Q18&gt;0,AM18/Q18,0))/MAX(0.1,N(Parameter!$M$21)))</f>
        <v>0.5</v>
      </c>
      <c r="AO18" s="57" t="n">
        <f aca="false">AL18*F18</f>
        <v>26901.84</v>
      </c>
      <c r="AP18" s="57" t="n">
        <f aca="false">ROUNDUP(MAX(I18/IF(BV18&gt;0,BV18,MAX(0.1,N(Cockpit!$I$6))),BY18)/BQ18,0)*BQ18</f>
        <v>24</v>
      </c>
      <c r="AQ18" s="58" t="n">
        <f aca="false">IF(AN18&gt;0,I18/AN18,-1)</f>
        <v>50</v>
      </c>
      <c r="AR18" s="58" t="n">
        <f aca="false">IF(AND(OR(BU18="L1",BU18="L23"),AN18&gt;0),SUMIFS($AN$7:$AN$1576,$BU$7:$BU$1576,BU18,$AQ$7:$AQ$1576,"&gt;"&amp;AQ18)+SUMIFS($AN$7:$AN$1576,$BU$7:$BU$1576,BU18,$AQ$7:$AQ$1576,AQ18,$BO$7:$BO$1576,"&lt;="&amp;BO18),"")</f>
        <v>83.8035884348496</v>
      </c>
      <c r="AS18" s="65" t="n">
        <f aca="false">IF(AR18="",0,MAX(0,MIN(1,(IF(BU18="L1",Parameter!$E$5,Parameter!$E$6+Parameter!$E$7)-(AR18-AN18))/AN18)))</f>
        <v>1</v>
      </c>
      <c r="AT18" s="57" t="n">
        <f aca="false">IF(LEFT(Cockpit!$O$5,1)="A",G18,IF(BW18=1,BX18,IF(LEFT(Cockpit!$O$5,1)="B",AX18,MAX(AX18,G18))))</f>
        <v>24</v>
      </c>
      <c r="AU18" s="57" t="n">
        <f aca="false">IF(BR18=1,0,ROUNDUP(AT18/BQ18,0))</f>
        <v>3</v>
      </c>
      <c r="AV18" s="59" t="n">
        <f aca="false">IF(CD18&gt;0,CD18*MAX(1,AT18/V18),IF(BR18=1,IF(AT18&lt;=0,0,BS18*MAX(1,IF(G18&gt;0,AT18/G18,1))),IF(Q18&gt;0,AU18/Q18,0))/MAX(0.1,N(Parameter!$M$21)))</f>
        <v>0.5</v>
      </c>
      <c r="AW18" s="57" t="n">
        <f aca="false">AT18*F18</f>
        <v>26901.84</v>
      </c>
      <c r="AX18" s="57" t="n">
        <f aca="false">ROUNDUP(MAX(I18/IF(BV18&gt;0,BV18,MAX(0.1,N(Cockpit!$O$6))),BY18)/BQ18,0)*BQ18</f>
        <v>24</v>
      </c>
      <c r="AY18" s="58" t="n">
        <f aca="false">IF(AV18&gt;0,I18/AV18,-1)</f>
        <v>50</v>
      </c>
      <c r="AZ18" s="58" t="n">
        <f aca="false">IF(AND(OR(BU18="L1",BU18="L23"),AV18&gt;0),SUMIFS($AV$7:$AV$1576,$BU$7:$BU$1576,BU18,$AY$7:$AY$1576,"&gt;"&amp;AY18)+SUMIFS($AV$7:$AV$1576,$BU$7:$BU$1576,BU18,$AY$7:$AY$1576,AY18,$BO$7:$BO$1576,"&lt;="&amp;BO18),"")</f>
        <v>79.6964722177334</v>
      </c>
      <c r="BA18" s="65" t="n">
        <f aca="false">IF(AZ18="",0,MAX(0,MIN(1,(IF(BU18="L1",Parameter!$E$5,Parameter!$E$6+Parameter!$E$7)-(AZ18-AV18))/AV18)))</f>
        <v>1</v>
      </c>
      <c r="BB18" s="55" t="str">
        <f aca="false">IF(AF18&lt;=0,"",IF(BU18="Aussen","Aussenlager",IF(BU18="-","Nicht im Lift",IF(AK18&gt;=1,"Lift",IF(AK18&lt;=0,"Aussenlager","teilweise")))))</f>
        <v>Lift</v>
      </c>
      <c r="BC18" s="55" t="str">
        <f aca="false">IF(AN18&lt;=0,"",IF(BU18="Aussen","Aussenlager",IF(BU18="-","Nicht im Lift",IF(AS18&gt;=1,"Lift",IF(AS18&lt;=0,"Aussenlager","teilweise")))))</f>
        <v>Lift</v>
      </c>
      <c r="BD18" s="55" t="str">
        <f aca="false">IF(AV18&lt;=0,"",IF(BU18="Aussen","Aussenlager",IF(BU18="-","Nicht im Lift",IF(BA18&gt;=1,"Lift",IF(BA18&lt;=0,"Aussenlager","teilweise")))))</f>
        <v>Lift</v>
      </c>
      <c r="BE18" s="55" t="str">
        <f aca="false">IF(A18="","",IF(BN18=1,"Neu; ","")&amp;IF(AND(BN18=0,BI18&lt;0),"negativer Bestand (Export "&amp;BI18&amp;"); ","")&amp;IF(I18&lt;=0,"Kein Verbrauch; ","")&amp;IF(CD18&gt;0,"Lift "&amp;U18&amp;" lt. Liftbericht (Fach "&amp;V18&amp;" Stk); ",IF(BR18=1,"Lose – Fläche geschätzt; ",""))&amp;IF(G18&gt;AP18,"Überbestand "&amp;ROUND(G18-AP18,0)&amp;" Stk / CHF "&amp;ROUND((G18-AP18)*F18,0)&amp;"; ","")&amp;IF(AND(BW18=1,BX18&lt;BY18),"MAX &lt; MB+LG; ","")&amp;IF(AND(CC18&gt;0,CB18*10&gt;CC18),"zu hoch für Tablar; ","")&amp;IF(AND(BN18=0,OR(BW18=1,Y18&lt;&gt;"",S18&lt;&gt;"",T18&lt;&gt;"",Z18&lt;&gt;"")),"manuell übersteuert; ","")&amp;IF(AND(BR18=0,Q18=0),"Gebinde unbekannt / Stellmass fehlt; ","")&amp;IF(AND(BR18=0,N(T18)&lt;=0,N(P18)&lt;=0),"Menge pro Gebinde fehlt (Ist = 1 Gebinde); ","")&amp;BM18)</f>
        <v/>
      </c>
      <c r="BF18" s="55"/>
      <c r="BG18" s="55"/>
      <c r="BH18" s="62"/>
      <c r="BI18" s="57" t="n">
        <v>16</v>
      </c>
      <c r="BJ18" s="57" t="n">
        <v>10</v>
      </c>
      <c r="BK18" s="56" t="n">
        <v>21618.66</v>
      </c>
      <c r="BL18" s="57" t="n">
        <v>25</v>
      </c>
      <c r="BM18" s="55"/>
      <c r="BN18" s="60" t="n">
        <v>0</v>
      </c>
      <c r="BO18" s="60" t="n">
        <v>18</v>
      </c>
      <c r="BP18" s="55" t="str">
        <f aca="false">IF(S18&lt;&gt;"",UPPER(TRIM(S18)),IF(O18="","LOSE",O18))</f>
        <v>S71</v>
      </c>
      <c r="BQ18" s="57" t="n">
        <f aca="false">IF(BP18="LOSE",1,IF(N(T18)&gt;0,T18,IF(N(P18)&gt;0,P18,MAX(1,G18))))</f>
        <v>8</v>
      </c>
      <c r="BR18" s="60" t="n">
        <f aca="false">IF(BP18="LOSE",1,0)</f>
        <v>0</v>
      </c>
      <c r="BS18" s="59" t="n">
        <f aca="false">IF(BR18=0,0,IF(N(R18)&gt;0,R18,IFERROR(VLOOKUP(D18,Parameter!$A$35:$C$64,3,0)+0,0)))</f>
        <v>0</v>
      </c>
      <c r="BT18" s="55" t="n">
        <f aca="false">IF(Y18&lt;&gt;"",Y18,X18)</f>
        <v>2</v>
      </c>
      <c r="BU18" s="55" t="str">
        <f aca="false">IF(BT18=1,"L1",IF(OR(BT18=2,BT18=3),"L23",IF(BT18="Aussen","Aussen","-")))</f>
        <v>L23</v>
      </c>
      <c r="BV18" s="66" t="n">
        <f aca="false">IF(N(Z18)&gt;0,Z18,0)</f>
        <v>0</v>
      </c>
      <c r="BW18" s="60" t="n">
        <f aca="false">IF(ISNUMBER(AC18),1,0)</f>
        <v>0</v>
      </c>
      <c r="BX18" s="57" t="n">
        <f aca="false">N(AC18)</f>
        <v>0</v>
      </c>
      <c r="BY18" s="57" t="n">
        <f aca="false">N(L18)+N(M18)</f>
        <v>20</v>
      </c>
      <c r="BZ18" s="57" t="n">
        <f aca="false">ROUNDUP(G18/BQ18,0)</f>
        <v>2</v>
      </c>
      <c r="CA18" s="57" t="n">
        <f aca="false">ROUNDUP(BX18/BQ18,0)</f>
        <v>0</v>
      </c>
      <c r="CB18" s="60" t="n">
        <f aca="false">IF(BR18=1,0,IFERROR(VLOOKUP(BP18,'Gebinde-Kategorie'!$A$5:$M$45,5,0)+0,0))</f>
        <v>20</v>
      </c>
      <c r="CC18" s="60" t="n">
        <f aca="false">IFERROR(IF(OR(BT18=1,BT18=2,BT18=3),N(INDEX(Parameter!$I$5:$I$7,BT18)),0),0)</f>
        <v>0</v>
      </c>
      <c r="CD18" s="59" t="n">
        <f aca="false">IF(AND(Parameter!$B$21="Ja",ISNUMBER(U18),N(V18)&gt;0),IFERROR(N(INDEX(Parameter!$L$5:$L$7,U18))*INDEX(Parameter!$E$5:$E$7,U18)*V18/SUMIFS($V$7:$V$1576,$U$7:$U$1576,U18),0),0)</f>
        <v>0</v>
      </c>
    </row>
    <row r="19" customFormat="false" ht="15" hidden="false" customHeight="false" outlineLevel="0" collapsed="false">
      <c r="A19" s="55" t="s">
        <v>196</v>
      </c>
      <c r="B19" s="55" t="s">
        <v>188</v>
      </c>
      <c r="C19" s="55" t="s">
        <v>160</v>
      </c>
      <c r="D19" s="55" t="s">
        <v>168</v>
      </c>
      <c r="E19" s="55" t="s">
        <v>193</v>
      </c>
      <c r="F19" s="56" t="n">
        <v>4740.37</v>
      </c>
      <c r="G19" s="57" t="n">
        <f aca="false">MAX(0,IF(AND(Parameter!$B$21="Ja",ISNUMBER(W19)),W19,IF(Parameter!$B$20="Jahresanfang 2025 + Export",BJ19+BI19,BI19)))</f>
        <v>4</v>
      </c>
      <c r="H19" s="57" t="n">
        <f aca="false">G19*F19</f>
        <v>18961.48</v>
      </c>
      <c r="I19" s="57" t="n">
        <f aca="false">BL19*Parameter!$B$18</f>
        <v>40</v>
      </c>
      <c r="J19" s="58" t="n">
        <v>13</v>
      </c>
      <c r="K19" s="59" t="n">
        <v>3.07692307692308</v>
      </c>
      <c r="L19" s="57" t="n">
        <v>5</v>
      </c>
      <c r="M19" s="57" t="n">
        <v>1</v>
      </c>
      <c r="N19" s="60" t="n">
        <v>28</v>
      </c>
      <c r="O19" s="55" t="s">
        <v>163</v>
      </c>
      <c r="P19" s="57"/>
      <c r="Q19" s="60" t="n">
        <f aca="false">IF(BR19=1,0,IFERROR(VLOOKUP(BP19,'Gebinde-Kategorie'!$A$5:$M$45,13,0)+0,0))</f>
        <v>0</v>
      </c>
      <c r="R19" s="61"/>
      <c r="S19" s="62"/>
      <c r="T19" s="62"/>
      <c r="U19" s="55"/>
      <c r="V19" s="57"/>
      <c r="W19" s="57"/>
      <c r="X19" s="55" t="n">
        <f aca="false">IF(A19="","",IF(AND(Parameter!$B$21="Ja",ISNUMBER(U19)),U19,IF(IFERROR(VLOOKUP(D19,Parameter!$A$35:$C$64,2,0),"Nein")="2+3",IF(ISNUMBER(SEARCH("grosser Artikel",BM19)),2,IFERROR(VLOOKUP(BP19,Parameter!$F$35:$G$64,2,0),2)),IF(OR(IFERROR(VLOOKUP(D19,Parameter!$A$35:$C$64,2,0),"Nein")="Nein",IFERROR(VLOOKUP(D19,Parameter!$A$35:$C$64,2,0),"Nein")=""),"-",VLOOKUP(D19,Parameter!$A$35:$C$64,2,0)))))</f>
        <v>2</v>
      </c>
      <c r="Y19" s="62"/>
      <c r="Z19" s="63"/>
      <c r="AA19" s="57" t="n">
        <f aca="false">AP19</f>
        <v>20</v>
      </c>
      <c r="AB19" s="57" t="n">
        <f aca="false">MAX(AP19,G19)</f>
        <v>20</v>
      </c>
      <c r="AC19" s="64"/>
      <c r="AD19" s="57" t="n">
        <f aca="false">IF(LEFT(Cockpit!$C$5,1)="A",G19,IF(BW19=1,BX19,IF(LEFT(Cockpit!$C$5,1)="B",AH19,MAX(AH19,G19))))</f>
        <v>4</v>
      </c>
      <c r="AE19" s="57" t="n">
        <f aca="false">IF(BR19=1,0,ROUNDUP(AD19/BQ19,0))</f>
        <v>0</v>
      </c>
      <c r="AF19" s="59" t="n">
        <f aca="false">IF(CD19&gt;0,CD19*MAX(1,AD19/V19),IF(BR19=1,IF(AD19&lt;=0,0,BS19*MAX(1,IF(G19&gt;0,AD19/G19,1))),IF(Q19&gt;0,AE19/Q19,0))/MAX(0.1,N(Parameter!$M$21)))</f>
        <v>0.15</v>
      </c>
      <c r="AG19" s="57" t="n">
        <f aca="false">AD19*F19</f>
        <v>18961.48</v>
      </c>
      <c r="AH19" s="57" t="n">
        <f aca="false">ROUNDUP(MAX(I19/IF(BV19&gt;0,BV19,MAX(0.1,N(Cockpit!$C$6))),BY19)/BQ19,0)*BQ19</f>
        <v>20</v>
      </c>
      <c r="AI19" s="58" t="n">
        <f aca="false">IF(AF19&gt;0,I19/AF19,-1)</f>
        <v>266.666666666667</v>
      </c>
      <c r="AJ19" s="58" t="n">
        <f aca="false">IF(AND(OR(BU19="L1",BU19="L23"),AF19&gt;0),SUMIFS($AF$7:$AF$1576,$BU$7:$BU$1576,BU19,$AI$7:$AI$1576,"&gt;"&amp;AI19)+SUMIFS($AF$7:$AF$1576,$BU$7:$BU$1576,BU19,$AI$7:$AI$1576,AI19,$BO$7:$BO$1576,"&lt;="&amp;BO19),"")</f>
        <v>15.4713077260903</v>
      </c>
      <c r="AK19" s="65" t="n">
        <f aca="false">IF(AJ19="",0,MAX(0,MIN(1,(IF(BU19="L1",Parameter!$E$5,Parameter!$E$6+Parameter!$E$7)-(AJ19-AF19))/AF19)))</f>
        <v>1</v>
      </c>
      <c r="AL19" s="57" t="n">
        <f aca="false">IF(LEFT(Cockpit!$I$5,1)="A",G19,IF(BW19=1,BX19,IF(LEFT(Cockpit!$I$5,1)="B",AP19,MAX(AP19,G19))))</f>
        <v>20</v>
      </c>
      <c r="AM19" s="57" t="n">
        <f aca="false">IF(BR19=1,0,ROUNDUP(AL19/BQ19,0))</f>
        <v>0</v>
      </c>
      <c r="AN19" s="59" t="n">
        <f aca="false">IF(CD19&gt;0,CD19*MAX(1,AL19/V19),IF(BR19=1,IF(AL19&lt;=0,0,BS19*MAX(1,IF(G19&gt;0,AL19/G19,1))),IF(Q19&gt;0,AM19/Q19,0))/MAX(0.1,N(Parameter!$M$21)))</f>
        <v>0.75</v>
      </c>
      <c r="AO19" s="57" t="n">
        <f aca="false">AL19*F19</f>
        <v>94807.4</v>
      </c>
      <c r="AP19" s="57" t="n">
        <f aca="false">ROUNDUP(MAX(I19/IF(BV19&gt;0,BV19,MAX(0.1,N(Cockpit!$I$6))),BY19)/BQ19,0)*BQ19</f>
        <v>20</v>
      </c>
      <c r="AQ19" s="58" t="n">
        <f aca="false">IF(AN19&gt;0,I19/AN19,-1)</f>
        <v>53.3333333333333</v>
      </c>
      <c r="AR19" s="58" t="n">
        <f aca="false">IF(AND(OR(BU19="L1",BU19="L23"),AN19&gt;0),SUMIFS($AN$7:$AN$1576,$BU$7:$BU$1576,BU19,$AQ$7:$AQ$1576,"&gt;"&amp;AQ19)+SUMIFS($AN$7:$AN$1576,$BU$7:$BU$1576,BU19,$AQ$7:$AQ$1576,AQ19,$BO$7:$BO$1576,"&lt;="&amp;BO19),"")</f>
        <v>81.2260243322855</v>
      </c>
      <c r="AS19" s="65" t="n">
        <f aca="false">IF(AR19="",0,MAX(0,MIN(1,(IF(BU19="L1",Parameter!$E$5,Parameter!$E$6+Parameter!$E$7)-(AR19-AN19))/AN19)))</f>
        <v>1</v>
      </c>
      <c r="AT19" s="57" t="n">
        <f aca="false">IF(LEFT(Cockpit!$O$5,1)="A",G19,IF(BW19=1,BX19,IF(LEFT(Cockpit!$O$5,1)="B",AX19,MAX(AX19,G19))))</f>
        <v>14</v>
      </c>
      <c r="AU19" s="57" t="n">
        <f aca="false">IF(BR19=1,0,ROUNDUP(AT19/BQ19,0))</f>
        <v>0</v>
      </c>
      <c r="AV19" s="59" t="n">
        <f aca="false">IF(CD19&gt;0,CD19*MAX(1,AT19/V19),IF(BR19=1,IF(AT19&lt;=0,0,BS19*MAX(1,IF(G19&gt;0,AT19/G19,1))),IF(Q19&gt;0,AU19/Q19,0))/MAX(0.1,N(Parameter!$M$21)))</f>
        <v>0.525</v>
      </c>
      <c r="AW19" s="57" t="n">
        <f aca="false">AT19*F19</f>
        <v>66365.18</v>
      </c>
      <c r="AX19" s="57" t="n">
        <f aca="false">ROUNDUP(MAX(I19/IF(BV19&gt;0,BV19,MAX(0.1,N(Cockpit!$O$6))),BY19)/BQ19,0)*BQ19</f>
        <v>14</v>
      </c>
      <c r="AY19" s="58" t="n">
        <f aca="false">IF(AV19&gt;0,I19/AV19,-1)</f>
        <v>76.1904761904762</v>
      </c>
      <c r="AZ19" s="58" t="n">
        <f aca="false">IF(AND(OR(BU19="L1",BU19="L23"),AV19&gt;0),SUMIFS($AV$7:$AV$1576,$BU$7:$BU$1576,BU19,$AY$7:$AY$1576,"&gt;"&amp;AY19)+SUMIFS($AV$7:$AV$1576,$BU$7:$BU$1576,BU19,$AY$7:$AY$1576,AY19,$BO$7:$BO$1576,"&lt;="&amp;BO19),"")</f>
        <v>69.393511844773</v>
      </c>
      <c r="BA19" s="65" t="n">
        <f aca="false">IF(AZ19="",0,MAX(0,MIN(1,(IF(BU19="L1",Parameter!$E$5,Parameter!$E$6+Parameter!$E$7)-(AZ19-AV19))/AV19)))</f>
        <v>1</v>
      </c>
      <c r="BB19" s="55" t="str">
        <f aca="false">IF(AF19&lt;=0,"",IF(BU19="Aussen","Aussenlager",IF(BU19="-","Nicht im Lift",IF(AK19&gt;=1,"Lift",IF(AK19&lt;=0,"Aussenlager","teilweise")))))</f>
        <v>Lift</v>
      </c>
      <c r="BC19" s="55" t="str">
        <f aca="false">IF(AN19&lt;=0,"",IF(BU19="Aussen","Aussenlager",IF(BU19="-","Nicht im Lift",IF(AS19&gt;=1,"Lift",IF(AS19&lt;=0,"Aussenlager","teilweise")))))</f>
        <v>Lift</v>
      </c>
      <c r="BD19" s="55" t="str">
        <f aca="false">IF(AV19&lt;=0,"",IF(BU19="Aussen","Aussenlager",IF(BU19="-","Nicht im Lift",IF(BA19&gt;=1,"Lift",IF(BA19&lt;=0,"Aussenlager","teilweise")))))</f>
        <v>Lift</v>
      </c>
      <c r="BE19" s="55" t="str">
        <f aca="false">IF(A19="","",IF(BN19=1,"Neu; ","")&amp;IF(AND(BN19=0,BI19&lt;0),"negativer Bestand (Export "&amp;BI19&amp;"); ","")&amp;IF(I19&lt;=0,"Kein Verbrauch; ","")&amp;IF(CD19&gt;0,"Lift "&amp;U19&amp;" lt. Liftbericht (Fach "&amp;V19&amp;" Stk); ",IF(BR19=1,"Lose – Fläche geschätzt; ",""))&amp;IF(G19&gt;AP19,"Überbestand "&amp;ROUND(G19-AP19,0)&amp;" Stk / CHF "&amp;ROUND((G19-AP19)*F19,0)&amp;"; ","")&amp;IF(AND(BW19=1,BX19&lt;BY19),"MAX &lt; MB+LG; ","")&amp;IF(AND(CC19&gt;0,CB19*10&gt;CC19),"zu hoch für Tablar; ","")&amp;IF(AND(BN19=0,OR(BW19=1,Y19&lt;&gt;"",S19&lt;&gt;"",T19&lt;&gt;"",Z19&lt;&gt;"")),"manuell übersteuert; ","")&amp;IF(AND(BR19=0,Q19=0),"Gebinde unbekannt / Stellmass fehlt; ","")&amp;IF(AND(BR19=0,N(T19)&lt;=0,N(P19)&lt;=0),"Menge pro Gebinde fehlt (Ist = 1 Gebinde); ","")&amp;BM19)</f>
        <v>Lose – Fläche geschätzt; </v>
      </c>
      <c r="BF19" s="55"/>
      <c r="BG19" s="55"/>
      <c r="BH19" s="62"/>
      <c r="BI19" s="57" t="n">
        <v>4</v>
      </c>
      <c r="BJ19" s="57" t="n">
        <v>0</v>
      </c>
      <c r="BK19" s="56" t="n">
        <v>18961.4799999999</v>
      </c>
      <c r="BL19" s="57" t="n">
        <v>40</v>
      </c>
      <c r="BM19" s="55"/>
      <c r="BN19" s="60" t="n">
        <v>0</v>
      </c>
      <c r="BO19" s="60" t="n">
        <v>19</v>
      </c>
      <c r="BP19" s="55" t="str">
        <f aca="false">IF(S19&lt;&gt;"",UPPER(TRIM(S19)),IF(O19="","LOSE",O19))</f>
        <v>LOSE</v>
      </c>
      <c r="BQ19" s="57" t="n">
        <f aca="false">IF(BP19="LOSE",1,IF(N(T19)&gt;0,T19,IF(N(P19)&gt;0,P19,MAX(1,G19))))</f>
        <v>1</v>
      </c>
      <c r="BR19" s="60" t="n">
        <f aca="false">IF(BP19="LOSE",1,0)</f>
        <v>1</v>
      </c>
      <c r="BS19" s="59" t="n">
        <f aca="false">IF(BR19=0,0,IF(N(R19)&gt;0,R19,IFERROR(VLOOKUP(D19,Parameter!$A$35:$C$64,3,0)+0,0)))</f>
        <v>0.15</v>
      </c>
      <c r="BT19" s="55" t="n">
        <f aca="false">IF(Y19&lt;&gt;"",Y19,X19)</f>
        <v>2</v>
      </c>
      <c r="BU19" s="55" t="str">
        <f aca="false">IF(BT19=1,"L1",IF(OR(BT19=2,BT19=3),"L23",IF(BT19="Aussen","Aussen","-")))</f>
        <v>L23</v>
      </c>
      <c r="BV19" s="66" t="n">
        <f aca="false">IF(N(Z19)&gt;0,Z19,0)</f>
        <v>0</v>
      </c>
      <c r="BW19" s="60" t="n">
        <f aca="false">IF(ISNUMBER(AC19),1,0)</f>
        <v>0</v>
      </c>
      <c r="BX19" s="57" t="n">
        <f aca="false">N(AC19)</f>
        <v>0</v>
      </c>
      <c r="BY19" s="57" t="n">
        <f aca="false">N(L19)+N(M19)</f>
        <v>6</v>
      </c>
      <c r="BZ19" s="57" t="n">
        <f aca="false">ROUNDUP(G19/BQ19,0)</f>
        <v>4</v>
      </c>
      <c r="CA19" s="57" t="n">
        <f aca="false">ROUNDUP(BX19/BQ19,0)</f>
        <v>0</v>
      </c>
      <c r="CB19" s="60" t="n">
        <f aca="false">IF(BR19=1,0,IFERROR(VLOOKUP(BP19,'Gebinde-Kategorie'!$A$5:$M$45,5,0)+0,0))</f>
        <v>0</v>
      </c>
      <c r="CC19" s="60" t="n">
        <f aca="false">IFERROR(IF(OR(BT19=1,BT19=2,BT19=3),N(INDEX(Parameter!$I$5:$I$7,BT19)),0),0)</f>
        <v>0</v>
      </c>
      <c r="CD19" s="59" t="n">
        <f aca="false">IF(AND(Parameter!$B$21="Ja",ISNUMBER(U19),N(V19)&gt;0),IFERROR(N(INDEX(Parameter!$L$5:$L$7,U19))*INDEX(Parameter!$E$5:$E$7,U19)*V19/SUMIFS($V$7:$V$1576,$U$7:$U$1576,U19),0),0)</f>
        <v>0</v>
      </c>
    </row>
    <row r="20" customFormat="false" ht="15" hidden="false" customHeight="false" outlineLevel="0" collapsed="false">
      <c r="A20" s="55" t="s">
        <v>197</v>
      </c>
      <c r="B20" s="55" t="s">
        <v>198</v>
      </c>
      <c r="C20" s="55" t="s">
        <v>160</v>
      </c>
      <c r="D20" s="55" t="s">
        <v>161</v>
      </c>
      <c r="E20" s="55" t="s">
        <v>193</v>
      </c>
      <c r="F20" s="56" t="n">
        <v>3611.62</v>
      </c>
      <c r="G20" s="57" t="n">
        <f aca="false">MAX(0,IF(AND(Parameter!$B$21="Ja",ISNUMBER(W20)),W20,IF(Parameter!$B$20="Jahresanfang 2025 + Export",BJ20+BI20,BI20)))</f>
        <v>0</v>
      </c>
      <c r="H20" s="57" t="n">
        <f aca="false">G20*F20</f>
        <v>0</v>
      </c>
      <c r="I20" s="57" t="n">
        <f aca="false">BL20*Parameter!$B$18</f>
        <v>21</v>
      </c>
      <c r="J20" s="58" t="n">
        <v>6.5</v>
      </c>
      <c r="K20" s="59" t="n">
        <v>3.23076923076923</v>
      </c>
      <c r="L20" s="57" t="n">
        <v>1</v>
      </c>
      <c r="M20" s="57" t="n">
        <v>5</v>
      </c>
      <c r="N20" s="60" t="n">
        <v>21</v>
      </c>
      <c r="O20" s="55" t="s">
        <v>163</v>
      </c>
      <c r="P20" s="57"/>
      <c r="Q20" s="60" t="n">
        <f aca="false">IF(BR20=1,0,IFERROR(VLOOKUP(BP20,'Gebinde-Kategorie'!$A$5:$M$45,13,0)+0,0))</f>
        <v>0</v>
      </c>
      <c r="R20" s="61"/>
      <c r="S20" s="62"/>
      <c r="T20" s="62"/>
      <c r="U20" s="55" t="n">
        <v>1</v>
      </c>
      <c r="V20" s="57" t="n">
        <v>10</v>
      </c>
      <c r="W20" s="57" t="n">
        <v>0</v>
      </c>
      <c r="X20" s="55" t="n">
        <f aca="false">IF(A20="","",IF(AND(Parameter!$B$21="Ja",ISNUMBER(U20)),U20,IF(IFERROR(VLOOKUP(D20,Parameter!$A$35:$C$64,2,0),"Nein")="2+3",IF(ISNUMBER(SEARCH("grosser Artikel",BM20)),2,IFERROR(VLOOKUP(BP20,Parameter!$F$35:$G$64,2,0),2)),IF(OR(IFERROR(VLOOKUP(D20,Parameter!$A$35:$C$64,2,0),"Nein")="Nein",IFERROR(VLOOKUP(D20,Parameter!$A$35:$C$64,2,0),"Nein")=""),"-",VLOOKUP(D20,Parameter!$A$35:$C$64,2,0)))))</f>
        <v>1</v>
      </c>
      <c r="Y20" s="62"/>
      <c r="Z20" s="63"/>
      <c r="AA20" s="57" t="n">
        <f aca="false">AP20</f>
        <v>11</v>
      </c>
      <c r="AB20" s="57" t="n">
        <f aca="false">MAX(AP20,G20)</f>
        <v>11</v>
      </c>
      <c r="AC20" s="64"/>
      <c r="AD20" s="57" t="n">
        <f aca="false">IF(LEFT(Cockpit!$C$5,1)="A",G20,IF(BW20=1,BX20,IF(LEFT(Cockpit!$C$5,1)="B",AH20,MAX(AH20,G20))))</f>
        <v>0</v>
      </c>
      <c r="AE20" s="57" t="n">
        <f aca="false">IF(BR20=1,0,ROUNDUP(AD20/BQ20,0))</f>
        <v>0</v>
      </c>
      <c r="AF20" s="59" t="n">
        <f aca="false">IF(CD20&gt;0,CD20*MAX(1,AD20/V20),IF(BR20=1,IF(AD20&lt;=0,0,BS20*MAX(1,IF(G20&gt;0,AD20/G20,1))),IF(Q20&gt;0,AE20/Q20,0))/MAX(0.1,N(Parameter!$M$21)))</f>
        <v>0.800376647834275</v>
      </c>
      <c r="AG20" s="57" t="n">
        <f aca="false">AD20*F20</f>
        <v>0</v>
      </c>
      <c r="AH20" s="57" t="n">
        <f aca="false">ROUNDUP(MAX(I20/IF(BV20&gt;0,BV20,MAX(0.1,N(Cockpit!$C$6))),BY20)/BQ20,0)*BQ20</f>
        <v>11</v>
      </c>
      <c r="AI20" s="58" t="n">
        <f aca="false">IF(AF20&gt;0,I20/AF20,-1)</f>
        <v>26.2376470588235</v>
      </c>
      <c r="AJ20" s="58" t="n">
        <f aca="false">IF(AND(OR(BU20="L1",BU20="L23"),AF20&gt;0),SUMIFS($AF$7:$AF$1576,$BU$7:$BU$1576,BU20,$AI$7:$AI$1576,"&gt;"&amp;AI20)+SUMIFS($AF$7:$AF$1576,$BU$7:$BU$1576,BU20,$AI$7:$AI$1576,AI20,$BO$7:$BO$1576,"&lt;="&amp;BO20),"")</f>
        <v>8.32391713747646</v>
      </c>
      <c r="AK20" s="65" t="n">
        <f aca="false">IF(AJ20="",0,MAX(0,MIN(1,(IF(BU20="L1",Parameter!$E$5,Parameter!$E$6+Parameter!$E$7)-(AJ20-AF20))/AF20)))</f>
        <v>1</v>
      </c>
      <c r="AL20" s="57" t="n">
        <f aca="false">IF(LEFT(Cockpit!$I$5,1)="A",G20,IF(BW20=1,BX20,IF(LEFT(Cockpit!$I$5,1)="B",AP20,MAX(AP20,G20))))</f>
        <v>11</v>
      </c>
      <c r="AM20" s="57" t="n">
        <f aca="false">IF(BR20=1,0,ROUNDUP(AL20/BQ20,0))</f>
        <v>0</v>
      </c>
      <c r="AN20" s="59" t="n">
        <f aca="false">IF(CD20&gt;0,CD20*MAX(1,AL20/V20),IF(BR20=1,IF(AL20&lt;=0,0,BS20*MAX(1,IF(G20&gt;0,AL20/G20,1))),IF(Q20&gt;0,AM20/Q20,0))/MAX(0.1,N(Parameter!$M$21)))</f>
        <v>0.880414312617703</v>
      </c>
      <c r="AO20" s="57" t="n">
        <f aca="false">AL20*F20</f>
        <v>39727.82</v>
      </c>
      <c r="AP20" s="57" t="n">
        <f aca="false">ROUNDUP(MAX(I20/IF(BV20&gt;0,BV20,MAX(0.1,N(Cockpit!$I$6))),BY20)/BQ20,0)*BQ20</f>
        <v>11</v>
      </c>
      <c r="AQ20" s="58" t="n">
        <f aca="false">IF(AN20&gt;0,I20/AN20,-1)</f>
        <v>23.8524064171123</v>
      </c>
      <c r="AR20" s="58" t="n">
        <f aca="false">IF(AND(OR(BU20="L1",BU20="L23"),AN20&gt;0),SUMIFS($AN$7:$AN$1576,$BU$7:$BU$1576,BU20,$AQ$7:$AQ$1576,"&gt;"&amp;AQ20)+SUMIFS($AN$7:$AN$1576,$BU$7:$BU$1576,BU20,$AQ$7:$AQ$1576,AQ20,$BO$7:$BO$1576,"&lt;="&amp;BO20),"")</f>
        <v>14.8069679849341</v>
      </c>
      <c r="AS20" s="65" t="n">
        <f aca="false">IF(AR20="",0,MAX(0,MIN(1,(IF(BU20="L1",Parameter!$E$5,Parameter!$E$6+Parameter!$E$7)-(AR20-AN20))/AN20)))</f>
        <v>1</v>
      </c>
      <c r="AT20" s="57" t="n">
        <f aca="false">IF(LEFT(Cockpit!$O$5,1)="A",G20,IF(BW20=1,BX20,IF(LEFT(Cockpit!$O$5,1)="B",AX20,MAX(AX20,G20))))</f>
        <v>7</v>
      </c>
      <c r="AU20" s="57" t="n">
        <f aca="false">IF(BR20=1,0,ROUNDUP(AT20/BQ20,0))</f>
        <v>0</v>
      </c>
      <c r="AV20" s="59" t="n">
        <f aca="false">IF(CD20&gt;0,CD20*MAX(1,AT20/V20),IF(BR20=1,IF(AT20&lt;=0,0,BS20*MAX(1,IF(G20&gt;0,AT20/G20,1))),IF(Q20&gt;0,AU20/Q20,0))/MAX(0.1,N(Parameter!$M$21)))</f>
        <v>0.800376647834275</v>
      </c>
      <c r="AW20" s="57" t="n">
        <f aca="false">AT20*F20</f>
        <v>25281.34</v>
      </c>
      <c r="AX20" s="57" t="n">
        <f aca="false">ROUNDUP(MAX(I20/IF(BV20&gt;0,BV20,MAX(0.1,N(Cockpit!$O$6))),BY20)/BQ20,0)*BQ20</f>
        <v>7</v>
      </c>
      <c r="AY20" s="58" t="n">
        <f aca="false">IF(AV20&gt;0,I20/AV20,-1)</f>
        <v>26.2376470588235</v>
      </c>
      <c r="AZ20" s="58" t="n">
        <f aca="false">IF(AND(OR(BU20="L1",BU20="L23"),AV20&gt;0),SUMIFS($AV$7:$AV$1576,$BU$7:$BU$1576,BU20,$AY$7:$AY$1576,"&gt;"&amp;AY20)+SUMIFS($AV$7:$AV$1576,$BU$7:$BU$1576,BU20,$AY$7:$AY$1576,AY20,$BO$7:$BO$1576,"&lt;="&amp;BO20),"")</f>
        <v>10.1647834274953</v>
      </c>
      <c r="BA20" s="65" t="n">
        <f aca="false">IF(AZ20="",0,MAX(0,MIN(1,(IF(BU20="L1",Parameter!$E$5,Parameter!$E$6+Parameter!$E$7)-(AZ20-AV20))/AV20)))</f>
        <v>1</v>
      </c>
      <c r="BB20" s="55" t="str">
        <f aca="false">IF(AF20&lt;=0,"",IF(BU20="Aussen","Aussenlager",IF(BU20="-","Nicht im Lift",IF(AK20&gt;=1,"Lift",IF(AK20&lt;=0,"Aussenlager","teilweise")))))</f>
        <v>Lift</v>
      </c>
      <c r="BC20" s="55" t="str">
        <f aca="false">IF(AN20&lt;=0,"",IF(BU20="Aussen","Aussenlager",IF(BU20="-","Nicht im Lift",IF(AS20&gt;=1,"Lift",IF(AS20&lt;=0,"Aussenlager","teilweise")))))</f>
        <v>Lift</v>
      </c>
      <c r="BD20" s="55" t="str">
        <f aca="false">IF(AV20&lt;=0,"",IF(BU20="Aussen","Aussenlager",IF(BU20="-","Nicht im Lift",IF(BA20&gt;=1,"Lift",IF(BA20&lt;=0,"Aussenlager","teilweise")))))</f>
        <v>Lift</v>
      </c>
      <c r="BE20" s="55" t="str">
        <f aca="false">IF(A20="","",IF(BN20=1,"Neu; ","")&amp;IF(AND(BN20=0,BI20&lt;0),"negativer Bestand (Export "&amp;BI20&amp;"); ","")&amp;IF(I20&lt;=0,"Kein Verbrauch; ","")&amp;IF(CD20&gt;0,"Lift "&amp;U20&amp;" lt. Liftbericht (Fach "&amp;V20&amp;" Stk); ",IF(BR20=1,"Lose – Fläche geschätzt; ",""))&amp;IF(G20&gt;AP20,"Überbestand "&amp;ROUND(G20-AP20,0)&amp;" Stk / CHF "&amp;ROUND((G20-AP20)*F20,0)&amp;"; ","")&amp;IF(AND(BW20=1,BX20&lt;BY20),"MAX &lt; MB+LG; ","")&amp;IF(AND(CC20&gt;0,CB20*10&gt;CC20),"zu hoch für Tablar; ","")&amp;IF(AND(BN20=0,OR(BW20=1,Y20&lt;&gt;"",S20&lt;&gt;"",T20&lt;&gt;"",Z20&lt;&gt;"")),"manuell übersteuert; ","")&amp;IF(AND(BR20=0,Q20=0),"Gebinde unbekannt / Stellmass fehlt; ","")&amp;IF(AND(BR20=0,N(T20)&lt;=0,N(P20)&lt;=0),"Menge pro Gebinde fehlt (Ist = 1 Gebinde); ","")&amp;BM20)</f>
        <v>Lift 1 lt. Liftbericht (Fach 10 Stk); </v>
      </c>
      <c r="BF20" s="55"/>
      <c r="BG20" s="55"/>
      <c r="BH20" s="62"/>
      <c r="BI20" s="57" t="n">
        <v>5</v>
      </c>
      <c r="BJ20" s="57" t="n">
        <v>6</v>
      </c>
      <c r="BK20" s="56" t="n">
        <v>18957.62</v>
      </c>
      <c r="BL20" s="57" t="n">
        <v>21</v>
      </c>
      <c r="BM20" s="55"/>
      <c r="BN20" s="60" t="n">
        <v>0</v>
      </c>
      <c r="BO20" s="60" t="n">
        <v>20</v>
      </c>
      <c r="BP20" s="55" t="str">
        <f aca="false">IF(S20&lt;&gt;"",UPPER(TRIM(S20)),IF(O20="","LOSE",O20))</f>
        <v>LOSE</v>
      </c>
      <c r="BQ20" s="57" t="n">
        <f aca="false">IF(BP20="LOSE",1,IF(N(T20)&gt;0,T20,IF(N(P20)&gt;0,P20,MAX(1,G20))))</f>
        <v>1</v>
      </c>
      <c r="BR20" s="60" t="n">
        <f aca="false">IF(BP20="LOSE",1,0)</f>
        <v>1</v>
      </c>
      <c r="BS20" s="59" t="n">
        <f aca="false">IF(BR20=0,0,IF(N(R20)&gt;0,R20,IFERROR(VLOOKUP(D20,Parameter!$A$35:$C$64,3,0)+0,0)))</f>
        <v>1</v>
      </c>
      <c r="BT20" s="55" t="n">
        <f aca="false">IF(Y20&lt;&gt;"",Y20,X20)</f>
        <v>1</v>
      </c>
      <c r="BU20" s="55" t="str">
        <f aca="false">IF(BT20=1,"L1",IF(OR(BT20=2,BT20=3),"L23",IF(BT20="Aussen","Aussen","-")))</f>
        <v>L1</v>
      </c>
      <c r="BV20" s="66" t="n">
        <f aca="false">IF(N(Z20)&gt;0,Z20,0)</f>
        <v>0</v>
      </c>
      <c r="BW20" s="60" t="n">
        <f aca="false">IF(ISNUMBER(AC20),1,0)</f>
        <v>0</v>
      </c>
      <c r="BX20" s="57" t="n">
        <f aca="false">N(AC20)</f>
        <v>0</v>
      </c>
      <c r="BY20" s="57" t="n">
        <f aca="false">N(L20)+N(M20)</f>
        <v>6</v>
      </c>
      <c r="BZ20" s="57" t="n">
        <f aca="false">ROUNDUP(G20/BQ20,0)</f>
        <v>0</v>
      </c>
      <c r="CA20" s="57" t="n">
        <f aca="false">ROUNDUP(BX20/BQ20,0)</f>
        <v>0</v>
      </c>
      <c r="CB20" s="60" t="n">
        <f aca="false">IF(BR20=1,0,IFERROR(VLOOKUP(BP20,'Gebinde-Kategorie'!$A$5:$M$45,5,0)+0,0))</f>
        <v>0</v>
      </c>
      <c r="CC20" s="60" t="n">
        <f aca="false">IFERROR(IF(OR(BT20=1,BT20=2,BT20=3),N(INDEX(Parameter!$I$5:$I$7,BT20)),0),0)</f>
        <v>0</v>
      </c>
      <c r="CD20" s="59" t="n">
        <f aca="false">IF(AND(Parameter!$B$21="Ja",ISNUMBER(U20),N(V20)&gt;0),IFERROR(N(INDEX(Parameter!$L$5:$L$7,U20))*INDEX(Parameter!$E$5:$E$7,U20)*V20/SUMIFS($V$7:$V$1576,$U$7:$U$1576,U20),0),0)</f>
        <v>0.800376647834275</v>
      </c>
    </row>
    <row r="21" customFormat="false" ht="15" hidden="false" customHeight="false" outlineLevel="0" collapsed="false">
      <c r="A21" s="55" t="s">
        <v>199</v>
      </c>
      <c r="B21" s="55" t="s">
        <v>200</v>
      </c>
      <c r="C21" s="55" t="s">
        <v>160</v>
      </c>
      <c r="D21" s="55" t="s">
        <v>168</v>
      </c>
      <c r="E21" s="55" t="s">
        <v>193</v>
      </c>
      <c r="F21" s="56" t="n">
        <v>1647.88</v>
      </c>
      <c r="G21" s="57" t="n">
        <f aca="false">MAX(0,IF(AND(Parameter!$B$21="Ja",ISNUMBER(W21)),W21,IF(Parameter!$B$20="Jahresanfang 2025 + Export",BJ21+BI21,BI21)))</f>
        <v>12</v>
      </c>
      <c r="H21" s="57" t="n">
        <f aca="false">G21*F21</f>
        <v>19774.56</v>
      </c>
      <c r="I21" s="57" t="n">
        <f aca="false">BL21*Parameter!$B$18</f>
        <v>95</v>
      </c>
      <c r="J21" s="58" t="n">
        <v>24.5</v>
      </c>
      <c r="K21" s="59" t="n">
        <v>3.87755102040816</v>
      </c>
      <c r="L21" s="57" t="n">
        <v>5</v>
      </c>
      <c r="M21" s="57" t="n">
        <v>15</v>
      </c>
      <c r="N21" s="60" t="n">
        <v>21</v>
      </c>
      <c r="O21" s="55" t="s">
        <v>169</v>
      </c>
      <c r="P21" s="57" t="n">
        <v>12</v>
      </c>
      <c r="Q21" s="60" t="n">
        <f aca="false">IF(BR21=1,0,IFERROR(VLOOKUP(BP21,'Gebinde-Kategorie'!$A$5:$M$45,13,0)+0,0))</f>
        <v>6</v>
      </c>
      <c r="R21" s="61"/>
      <c r="S21" s="62"/>
      <c r="T21" s="62"/>
      <c r="U21" s="55"/>
      <c r="V21" s="57"/>
      <c r="W21" s="57"/>
      <c r="X21" s="55" t="n">
        <f aca="false">IF(A21="","",IF(AND(Parameter!$B$21="Ja",ISNUMBER(U21)),U21,IF(IFERROR(VLOOKUP(D21,Parameter!$A$35:$C$64,2,0),"Nein")="2+3",IF(ISNUMBER(SEARCH("grosser Artikel",BM21)),2,IFERROR(VLOOKUP(BP21,Parameter!$F$35:$G$64,2,0),2)),IF(OR(IFERROR(VLOOKUP(D21,Parameter!$A$35:$C$64,2,0),"Nein")="Nein",IFERROR(VLOOKUP(D21,Parameter!$A$35:$C$64,2,0),"Nein")=""),"-",VLOOKUP(D21,Parameter!$A$35:$C$64,2,0)))))</f>
        <v>2</v>
      </c>
      <c r="Y21" s="62"/>
      <c r="Z21" s="63"/>
      <c r="AA21" s="57" t="n">
        <f aca="false">AP21</f>
        <v>48</v>
      </c>
      <c r="AB21" s="57" t="n">
        <f aca="false">MAX(AP21,G21)</f>
        <v>48</v>
      </c>
      <c r="AC21" s="64"/>
      <c r="AD21" s="57" t="n">
        <f aca="false">IF(LEFT(Cockpit!$C$5,1)="A",G21,IF(BW21=1,BX21,IF(LEFT(Cockpit!$C$5,1)="B",AH21,MAX(AH21,G21))))</f>
        <v>12</v>
      </c>
      <c r="AE21" s="57" t="n">
        <f aca="false">IF(BR21=1,0,ROUNDUP(AD21/BQ21,0))</f>
        <v>1</v>
      </c>
      <c r="AF21" s="59" t="n">
        <f aca="false">IF(CD21&gt;0,CD21*MAX(1,AD21/V21),IF(BR21=1,IF(AD21&lt;=0,0,BS21*MAX(1,IF(G21&gt;0,AD21/G21,1))),IF(Q21&gt;0,AE21/Q21,0))/MAX(0.1,N(Parameter!$M$21)))</f>
        <v>0.166666666666667</v>
      </c>
      <c r="AG21" s="57" t="n">
        <f aca="false">AD21*F21</f>
        <v>19774.56</v>
      </c>
      <c r="AH21" s="57" t="n">
        <f aca="false">ROUNDUP(MAX(I21/IF(BV21&gt;0,BV21,MAX(0.1,N(Cockpit!$C$6))),BY21)/BQ21,0)*BQ21</f>
        <v>48</v>
      </c>
      <c r="AI21" s="58" t="n">
        <f aca="false">IF(AF21&gt;0,I21/AF21,-1)</f>
        <v>570</v>
      </c>
      <c r="AJ21" s="58" t="n">
        <f aca="false">IF(AND(OR(BU21="L1",BU21="L23"),AF21&gt;0),SUMIFS($AF$7:$AF$1576,$BU$7:$BU$1576,BU21,$AI$7:$AI$1576,"&gt;"&amp;AI21)+SUMIFS($AF$7:$AF$1576,$BU$7:$BU$1576,BU21,$AI$7:$AI$1576,AI21,$BO$7:$BO$1576,"&lt;="&amp;BO21),"")</f>
        <v>12.1591175973785</v>
      </c>
      <c r="AK21" s="65" t="n">
        <f aca="false">IF(AJ21="",0,MAX(0,MIN(1,(IF(BU21="L1",Parameter!$E$5,Parameter!$E$6+Parameter!$E$7)-(AJ21-AF21))/AF21)))</f>
        <v>1</v>
      </c>
      <c r="AL21" s="57" t="n">
        <f aca="false">IF(LEFT(Cockpit!$I$5,1)="A",G21,IF(BW21=1,BX21,IF(LEFT(Cockpit!$I$5,1)="B",AP21,MAX(AP21,G21))))</f>
        <v>48</v>
      </c>
      <c r="AM21" s="57" t="n">
        <f aca="false">IF(BR21=1,0,ROUNDUP(AL21/BQ21,0))</f>
        <v>4</v>
      </c>
      <c r="AN21" s="59" t="n">
        <f aca="false">IF(CD21&gt;0,CD21*MAX(1,AL21/V21),IF(BR21=1,IF(AL21&lt;=0,0,BS21*MAX(1,IF(G21&gt;0,AL21/G21,1))),IF(Q21&gt;0,AM21/Q21,0))/MAX(0.1,N(Parameter!$M$21)))</f>
        <v>0.666666666666667</v>
      </c>
      <c r="AO21" s="57" t="n">
        <f aca="false">AL21*F21</f>
        <v>79098.24</v>
      </c>
      <c r="AP21" s="57" t="n">
        <f aca="false">ROUNDUP(MAX(I21/IF(BV21&gt;0,BV21,MAX(0.1,N(Cockpit!$I$6))),BY21)/BQ21,0)*BQ21</f>
        <v>48</v>
      </c>
      <c r="AQ21" s="58" t="n">
        <f aca="false">IF(AN21&gt;0,I21/AN21,-1)</f>
        <v>142.5</v>
      </c>
      <c r="AR21" s="58" t="n">
        <f aca="false">IF(AND(OR(BU21="L1",BU21="L23"),AN21&gt;0),SUMIFS($AN$7:$AN$1576,$BU$7:$BU$1576,BU21,$AQ$7:$AQ$1576,"&gt;"&amp;AQ21)+SUMIFS($AN$7:$AN$1576,$BU$7:$BU$1576,BU21,$AQ$7:$AQ$1576,AQ21,$BO$7:$BO$1576,"&lt;="&amp;BO21),"")</f>
        <v>57.5129930580042</v>
      </c>
      <c r="AS21" s="65" t="n">
        <f aca="false">IF(AR21="",0,MAX(0,MIN(1,(IF(BU21="L1",Parameter!$E$5,Parameter!$E$6+Parameter!$E$7)-(AR21-AN21))/AN21)))</f>
        <v>1</v>
      </c>
      <c r="AT21" s="57" t="n">
        <f aca="false">IF(LEFT(Cockpit!$O$5,1)="A",G21,IF(BW21=1,BX21,IF(LEFT(Cockpit!$O$5,1)="B",AX21,MAX(AX21,G21))))</f>
        <v>36</v>
      </c>
      <c r="AU21" s="57" t="n">
        <f aca="false">IF(BR21=1,0,ROUNDUP(AT21/BQ21,0))</f>
        <v>3</v>
      </c>
      <c r="AV21" s="59" t="n">
        <f aca="false">IF(CD21&gt;0,CD21*MAX(1,AT21/V21),IF(BR21=1,IF(AT21&lt;=0,0,BS21*MAX(1,IF(G21&gt;0,AT21/G21,1))),IF(Q21&gt;0,AU21/Q21,0))/MAX(0.1,N(Parameter!$M$21)))</f>
        <v>0.5</v>
      </c>
      <c r="AW21" s="57" t="n">
        <f aca="false">AT21*F21</f>
        <v>59323.68</v>
      </c>
      <c r="AX21" s="57" t="n">
        <f aca="false">ROUNDUP(MAX(I21/IF(BV21&gt;0,BV21,MAX(0.1,N(Cockpit!$O$6))),BY21)/BQ21,0)*BQ21</f>
        <v>36</v>
      </c>
      <c r="AY21" s="58" t="n">
        <f aca="false">IF(AV21&gt;0,I21/AV21,-1)</f>
        <v>190</v>
      </c>
      <c r="AZ21" s="58" t="n">
        <f aca="false">IF(AND(OR(BU21="L1",BU21="L23"),AV21&gt;0),SUMIFS($AV$7:$AV$1576,$BU$7:$BU$1576,BU21,$AY$7:$AY$1576,"&gt;"&amp;AY21)+SUMIFS($AV$7:$AV$1576,$BU$7:$BU$1576,BU21,$AY$7:$AY$1576,AY21,$BO$7:$BO$1576,"&lt;="&amp;BO21),"")</f>
        <v>47.9648511998624</v>
      </c>
      <c r="BA21" s="65" t="n">
        <f aca="false">IF(AZ21="",0,MAX(0,MIN(1,(IF(BU21="L1",Parameter!$E$5,Parameter!$E$6+Parameter!$E$7)-(AZ21-AV21))/AV21)))</f>
        <v>1</v>
      </c>
      <c r="BB21" s="55" t="str">
        <f aca="false">IF(AF21&lt;=0,"",IF(BU21="Aussen","Aussenlager",IF(BU21="-","Nicht im Lift",IF(AK21&gt;=1,"Lift",IF(AK21&lt;=0,"Aussenlager","teilweise")))))</f>
        <v>Lift</v>
      </c>
      <c r="BC21" s="55" t="str">
        <f aca="false">IF(AN21&lt;=0,"",IF(BU21="Aussen","Aussenlager",IF(BU21="-","Nicht im Lift",IF(AS21&gt;=1,"Lift",IF(AS21&lt;=0,"Aussenlager","teilweise")))))</f>
        <v>Lift</v>
      </c>
      <c r="BD21" s="55" t="str">
        <f aca="false">IF(AV21&lt;=0,"",IF(BU21="Aussen","Aussenlager",IF(BU21="-","Nicht im Lift",IF(BA21&gt;=1,"Lift",IF(BA21&lt;=0,"Aussenlager","teilweise")))))</f>
        <v>Lift</v>
      </c>
      <c r="BE21" s="55" t="str">
        <f aca="false">IF(A21="","",IF(BN21=1,"Neu; ","")&amp;IF(AND(BN21=0,BI21&lt;0),"negativer Bestand (Export "&amp;BI21&amp;"); ","")&amp;IF(I21&lt;=0,"Kein Verbrauch; ","")&amp;IF(CD21&gt;0,"Lift "&amp;U21&amp;" lt. Liftbericht (Fach "&amp;V21&amp;" Stk); ",IF(BR21=1,"Lose – Fläche geschätzt; ",""))&amp;IF(G21&gt;AP21,"Überbestand "&amp;ROUND(G21-AP21,0)&amp;" Stk / CHF "&amp;ROUND((G21-AP21)*F21,0)&amp;"; ","")&amp;IF(AND(BW21=1,BX21&lt;BY21),"MAX &lt; MB+LG; ","")&amp;IF(AND(CC21&gt;0,CB21*10&gt;CC21),"zu hoch für Tablar; ","")&amp;IF(AND(BN21=0,OR(BW21=1,Y21&lt;&gt;"",S21&lt;&gt;"",T21&lt;&gt;"",Z21&lt;&gt;"")),"manuell übersteuert; ","")&amp;IF(AND(BR21=0,Q21=0),"Gebinde unbekannt / Stellmass fehlt; ","")&amp;IF(AND(BR21=0,N(T21)&lt;=0,N(P21)&lt;=0),"Menge pro Gebinde fehlt (Ist = 1 Gebinde); ","")&amp;BM21)</f>
        <v/>
      </c>
      <c r="BF21" s="55"/>
      <c r="BG21" s="55"/>
      <c r="BH21" s="62"/>
      <c r="BI21" s="57" t="n">
        <v>12</v>
      </c>
      <c r="BJ21" s="57" t="n">
        <v>11</v>
      </c>
      <c r="BK21" s="56" t="n">
        <v>17892.56</v>
      </c>
      <c r="BL21" s="57" t="n">
        <v>95</v>
      </c>
      <c r="BM21" s="55"/>
      <c r="BN21" s="60" t="n">
        <v>0</v>
      </c>
      <c r="BO21" s="60" t="n">
        <v>21</v>
      </c>
      <c r="BP21" s="55" t="str">
        <f aca="false">IF(S21&lt;&gt;"",UPPER(TRIM(S21)),IF(O21="","LOSE",O21))</f>
        <v>S71</v>
      </c>
      <c r="BQ21" s="57" t="n">
        <f aca="false">IF(BP21="LOSE",1,IF(N(T21)&gt;0,T21,IF(N(P21)&gt;0,P21,MAX(1,G21))))</f>
        <v>12</v>
      </c>
      <c r="BR21" s="60" t="n">
        <f aca="false">IF(BP21="LOSE",1,0)</f>
        <v>0</v>
      </c>
      <c r="BS21" s="59" t="n">
        <f aca="false">IF(BR21=0,0,IF(N(R21)&gt;0,R21,IFERROR(VLOOKUP(D21,Parameter!$A$35:$C$64,3,0)+0,0)))</f>
        <v>0</v>
      </c>
      <c r="BT21" s="55" t="n">
        <f aca="false">IF(Y21&lt;&gt;"",Y21,X21)</f>
        <v>2</v>
      </c>
      <c r="BU21" s="55" t="str">
        <f aca="false">IF(BT21=1,"L1",IF(OR(BT21=2,BT21=3),"L23",IF(BT21="Aussen","Aussen","-")))</f>
        <v>L23</v>
      </c>
      <c r="BV21" s="66" t="n">
        <f aca="false">IF(N(Z21)&gt;0,Z21,0)</f>
        <v>0</v>
      </c>
      <c r="BW21" s="60" t="n">
        <f aca="false">IF(ISNUMBER(AC21),1,0)</f>
        <v>0</v>
      </c>
      <c r="BX21" s="57" t="n">
        <f aca="false">N(AC21)</f>
        <v>0</v>
      </c>
      <c r="BY21" s="57" t="n">
        <f aca="false">N(L21)+N(M21)</f>
        <v>20</v>
      </c>
      <c r="BZ21" s="57" t="n">
        <f aca="false">ROUNDUP(G21/BQ21,0)</f>
        <v>1</v>
      </c>
      <c r="CA21" s="57" t="n">
        <f aca="false">ROUNDUP(BX21/BQ21,0)</f>
        <v>0</v>
      </c>
      <c r="CB21" s="60" t="n">
        <f aca="false">IF(BR21=1,0,IFERROR(VLOOKUP(BP21,'Gebinde-Kategorie'!$A$5:$M$45,5,0)+0,0))</f>
        <v>20</v>
      </c>
      <c r="CC21" s="60" t="n">
        <f aca="false">IFERROR(IF(OR(BT21=1,BT21=2,BT21=3),N(INDEX(Parameter!$I$5:$I$7,BT21)),0),0)</f>
        <v>0</v>
      </c>
      <c r="CD21" s="59" t="n">
        <f aca="false">IF(AND(Parameter!$B$21="Ja",ISNUMBER(U21),N(V21)&gt;0),IFERROR(N(INDEX(Parameter!$L$5:$L$7,U21))*INDEX(Parameter!$E$5:$E$7,U21)*V21/SUMIFS($V$7:$V$1576,$U$7:$U$1576,U21),0),0)</f>
        <v>0</v>
      </c>
    </row>
    <row r="22" customFormat="false" ht="15" hidden="false" customHeight="false" outlineLevel="0" collapsed="false">
      <c r="A22" s="55" t="s">
        <v>201</v>
      </c>
      <c r="B22" s="55" t="s">
        <v>202</v>
      </c>
      <c r="C22" s="55" t="s">
        <v>160</v>
      </c>
      <c r="D22" s="55" t="s">
        <v>161</v>
      </c>
      <c r="E22" s="55" t="s">
        <v>193</v>
      </c>
      <c r="F22" s="56" t="n">
        <v>2587.56</v>
      </c>
      <c r="G22" s="57" t="n">
        <f aca="false">MAX(0,IF(AND(Parameter!$B$21="Ja",ISNUMBER(W22)),W22,IF(Parameter!$B$20="Jahresanfang 2025 + Export",BJ22+BI22,BI22)))</f>
        <v>16</v>
      </c>
      <c r="H22" s="57" t="n">
        <f aca="false">G22*F22</f>
        <v>41400.96</v>
      </c>
      <c r="I22" s="57" t="n">
        <f aca="false">BL22*Parameter!$B$18</f>
        <v>29</v>
      </c>
      <c r="J22" s="58" t="n">
        <v>9.5</v>
      </c>
      <c r="K22" s="59" t="n">
        <v>3.05263157894737</v>
      </c>
      <c r="L22" s="57" t="n">
        <v>3</v>
      </c>
      <c r="M22" s="57" t="n">
        <v>10</v>
      </c>
      <c r="N22" s="60" t="n">
        <v>21</v>
      </c>
      <c r="O22" s="55" t="s">
        <v>163</v>
      </c>
      <c r="P22" s="57"/>
      <c r="Q22" s="60" t="n">
        <f aca="false">IF(BR22=1,0,IFERROR(VLOOKUP(BP22,'Gebinde-Kategorie'!$A$5:$M$45,13,0)+0,0))</f>
        <v>0</v>
      </c>
      <c r="R22" s="61"/>
      <c r="S22" s="62"/>
      <c r="T22" s="62"/>
      <c r="U22" s="55" t="n">
        <v>1</v>
      </c>
      <c r="V22" s="57" t="n">
        <v>22</v>
      </c>
      <c r="W22" s="57" t="n">
        <v>16</v>
      </c>
      <c r="X22" s="55" t="n">
        <f aca="false">IF(A22="","",IF(AND(Parameter!$B$21="Ja",ISNUMBER(U22)),U22,IF(IFERROR(VLOOKUP(D22,Parameter!$A$35:$C$64,2,0),"Nein")="2+3",IF(ISNUMBER(SEARCH("grosser Artikel",BM22)),2,IFERROR(VLOOKUP(BP22,Parameter!$F$35:$G$64,2,0),2)),IF(OR(IFERROR(VLOOKUP(D22,Parameter!$A$35:$C$64,2,0),"Nein")="Nein",IFERROR(VLOOKUP(D22,Parameter!$A$35:$C$64,2,0),"Nein")=""),"-",VLOOKUP(D22,Parameter!$A$35:$C$64,2,0)))))</f>
        <v>1</v>
      </c>
      <c r="Y22" s="62"/>
      <c r="Z22" s="63"/>
      <c r="AA22" s="57" t="n">
        <f aca="false">AP22</f>
        <v>15</v>
      </c>
      <c r="AB22" s="57" t="n">
        <f aca="false">MAX(AP22,G22)</f>
        <v>16</v>
      </c>
      <c r="AC22" s="64"/>
      <c r="AD22" s="57" t="n">
        <f aca="false">IF(LEFT(Cockpit!$C$5,1)="A",G22,IF(BW22=1,BX22,IF(LEFT(Cockpit!$C$5,1)="B",AH22,MAX(AH22,G22))))</f>
        <v>16</v>
      </c>
      <c r="AE22" s="57" t="n">
        <f aca="false">IF(BR22=1,0,ROUNDUP(AD22/BQ22,0))</f>
        <v>0</v>
      </c>
      <c r="AF22" s="59" t="n">
        <f aca="false">IF(CD22&gt;0,CD22*MAX(1,AD22/V22),IF(BR22=1,IF(AD22&lt;=0,0,BS22*MAX(1,IF(G22&gt;0,AD22/G22,1))),IF(Q22&gt;0,AE22/Q22,0))/MAX(0.1,N(Parameter!$M$21)))</f>
        <v>1.7608286252354</v>
      </c>
      <c r="AG22" s="57" t="n">
        <f aca="false">AD22*F22</f>
        <v>41400.96</v>
      </c>
      <c r="AH22" s="57" t="n">
        <f aca="false">ROUNDUP(MAX(I22/IF(BV22&gt;0,BV22,MAX(0.1,N(Cockpit!$C$6))),BY22)/BQ22,0)*BQ22</f>
        <v>15</v>
      </c>
      <c r="AI22" s="58" t="n">
        <f aca="false">IF(AF22&gt;0,I22/AF22,-1)</f>
        <v>16.4695187165775</v>
      </c>
      <c r="AJ22" s="58" t="n">
        <f aca="false">IF(AND(OR(BU22="L1",BU22="L23"),AF22&gt;0),SUMIFS($AF$7:$AF$1576,$BU$7:$BU$1576,BU22,$AI$7:$AI$1576,"&gt;"&amp;AI22)+SUMIFS($AF$7:$AF$1576,$BU$7:$BU$1576,BU22,$AI$7:$AI$1576,AI22,$BO$7:$BO$1576,"&lt;="&amp;BO22),"")</f>
        <v>19.84934086629</v>
      </c>
      <c r="AK22" s="65" t="n">
        <f aca="false">IF(AJ22="",0,MAX(0,MIN(1,(IF(BU22="L1",Parameter!$E$5,Parameter!$E$6+Parameter!$E$7)-(AJ22-AF22))/AF22)))</f>
        <v>1</v>
      </c>
      <c r="AL22" s="57" t="n">
        <f aca="false">IF(LEFT(Cockpit!$I$5,1)="A",G22,IF(BW22=1,BX22,IF(LEFT(Cockpit!$I$5,1)="B",AP22,MAX(AP22,G22))))</f>
        <v>16</v>
      </c>
      <c r="AM22" s="57" t="n">
        <f aca="false">IF(BR22=1,0,ROUNDUP(AL22/BQ22,0))</f>
        <v>0</v>
      </c>
      <c r="AN22" s="59" t="n">
        <f aca="false">IF(CD22&gt;0,CD22*MAX(1,AL22/V22),IF(BR22=1,IF(AL22&lt;=0,0,BS22*MAX(1,IF(G22&gt;0,AL22/G22,1))),IF(Q22&gt;0,AM22/Q22,0))/MAX(0.1,N(Parameter!$M$21)))</f>
        <v>1.7608286252354</v>
      </c>
      <c r="AO22" s="57" t="n">
        <f aca="false">AL22*F22</f>
        <v>41400.96</v>
      </c>
      <c r="AP22" s="57" t="n">
        <f aca="false">ROUNDUP(MAX(I22/IF(BV22&gt;0,BV22,MAX(0.1,N(Cockpit!$I$6))),BY22)/BQ22,0)*BQ22</f>
        <v>15</v>
      </c>
      <c r="AQ22" s="58" t="n">
        <f aca="false">IF(AN22&gt;0,I22/AN22,-1)</f>
        <v>16.4695187165775</v>
      </c>
      <c r="AR22" s="58" t="n">
        <f aca="false">IF(AND(OR(BU22="L1",BU22="L23"),AN22&gt;0),SUMIFS($AN$7:$AN$1576,$BU$7:$BU$1576,BU22,$AQ$7:$AQ$1576,"&gt;"&amp;AQ22)+SUMIFS($AN$7:$AN$1576,$BU$7:$BU$1576,BU22,$AQ$7:$AQ$1576,AQ22,$BO$7:$BO$1576,"&lt;="&amp;BO22),"")</f>
        <v>23.5310734463277</v>
      </c>
      <c r="AS22" s="65" t="n">
        <f aca="false">IF(AR22="",0,MAX(0,MIN(1,(IF(BU22="L1",Parameter!$E$5,Parameter!$E$6+Parameter!$E$7)-(AR22-AN22))/AN22)))</f>
        <v>1</v>
      </c>
      <c r="AT22" s="57" t="n">
        <f aca="false">IF(LEFT(Cockpit!$O$5,1)="A",G22,IF(BW22=1,BX22,IF(LEFT(Cockpit!$O$5,1)="B",AX22,MAX(AX22,G22))))</f>
        <v>16</v>
      </c>
      <c r="AU22" s="57" t="n">
        <f aca="false">IF(BR22=1,0,ROUNDUP(AT22/BQ22,0))</f>
        <v>0</v>
      </c>
      <c r="AV22" s="59" t="n">
        <f aca="false">IF(CD22&gt;0,CD22*MAX(1,AT22/V22),IF(BR22=1,IF(AT22&lt;=0,0,BS22*MAX(1,IF(G22&gt;0,AT22/G22,1))),IF(Q22&gt;0,AU22/Q22,0))/MAX(0.1,N(Parameter!$M$21)))</f>
        <v>1.7608286252354</v>
      </c>
      <c r="AW22" s="57" t="n">
        <f aca="false">AT22*F22</f>
        <v>41400.96</v>
      </c>
      <c r="AX22" s="57" t="n">
        <f aca="false">ROUNDUP(MAX(I22/IF(BV22&gt;0,BV22,MAX(0.1,N(Cockpit!$O$6))),BY22)/BQ22,0)*BQ22</f>
        <v>13</v>
      </c>
      <c r="AY22" s="58" t="n">
        <f aca="false">IF(AV22&gt;0,I22/AV22,-1)</f>
        <v>16.4695187165775</v>
      </c>
      <c r="AZ22" s="58" t="n">
        <f aca="false">IF(AND(OR(BU22="L1",BU22="L23"),AV22&gt;0),SUMIFS($AV$7:$AV$1576,$BU$7:$BU$1576,BU22,$AY$7:$AY$1576,"&gt;"&amp;AY22)+SUMIFS($AV$7:$AV$1576,$BU$7:$BU$1576,BU22,$AY$7:$AY$1576,AY22,$BO$7:$BO$1576,"&lt;="&amp;BO22),"")</f>
        <v>20.5696798493409</v>
      </c>
      <c r="BA22" s="65" t="n">
        <f aca="false">IF(AZ22="",0,MAX(0,MIN(1,(IF(BU22="L1",Parameter!$E$5,Parameter!$E$6+Parameter!$E$7)-(AZ22-AV22))/AV22)))</f>
        <v>1</v>
      </c>
      <c r="BB22" s="55" t="str">
        <f aca="false">IF(AF22&lt;=0,"",IF(BU22="Aussen","Aussenlager",IF(BU22="-","Nicht im Lift",IF(AK22&gt;=1,"Lift",IF(AK22&lt;=0,"Aussenlager","teilweise")))))</f>
        <v>Lift</v>
      </c>
      <c r="BC22" s="55" t="str">
        <f aca="false">IF(AN22&lt;=0,"",IF(BU22="Aussen","Aussenlager",IF(BU22="-","Nicht im Lift",IF(AS22&gt;=1,"Lift",IF(AS22&lt;=0,"Aussenlager","teilweise")))))</f>
        <v>Lift</v>
      </c>
      <c r="BD22" s="55" t="str">
        <f aca="false">IF(AV22&lt;=0,"",IF(BU22="Aussen","Aussenlager",IF(BU22="-","Nicht im Lift",IF(BA22&gt;=1,"Lift",IF(BA22&lt;=0,"Aussenlager","teilweise")))))</f>
        <v>Lift</v>
      </c>
      <c r="BE22" s="55" t="str">
        <f aca="false">IF(A22="","",IF(BN22=1,"Neu; ","")&amp;IF(AND(BN22=0,BI22&lt;0),"negativer Bestand (Export "&amp;BI22&amp;"); ","")&amp;IF(I22&lt;=0,"Kein Verbrauch; ","")&amp;IF(CD22&gt;0,"Lift "&amp;U22&amp;" lt. Liftbericht (Fach "&amp;V22&amp;" Stk); ",IF(BR22=1,"Lose – Fläche geschätzt; ",""))&amp;IF(G22&gt;AP22,"Überbestand "&amp;ROUND(G22-AP22,0)&amp;" Stk / CHF "&amp;ROUND((G22-AP22)*F22,0)&amp;"; ","")&amp;IF(AND(BW22=1,BX22&lt;BY22),"MAX &lt; MB+LG; ","")&amp;IF(AND(CC22&gt;0,CB22*10&gt;CC22),"zu hoch für Tablar; ","")&amp;IF(AND(BN22=0,OR(BW22=1,Y22&lt;&gt;"",S22&lt;&gt;"",T22&lt;&gt;"",Z22&lt;&gt;"")),"manuell übersteuert; ","")&amp;IF(AND(BR22=0,Q22=0),"Gebinde unbekannt / Stellmass fehlt; ","")&amp;IF(AND(BR22=0,N(T22)&lt;=0,N(P22)&lt;=0),"Menge pro Gebinde fehlt (Ist = 1 Gebinde); ","")&amp;BM22)</f>
        <v>Lift 1 lt. Liftbericht (Fach 22 Stk); Überbestand 1 Stk / CHF 2588; </v>
      </c>
      <c r="BF22" s="55" t="s">
        <v>203</v>
      </c>
      <c r="BG22" s="55"/>
      <c r="BH22" s="62"/>
      <c r="BI22" s="57" t="n">
        <v>7</v>
      </c>
      <c r="BJ22" s="57" t="n">
        <v>3</v>
      </c>
      <c r="BK22" s="56" t="n">
        <v>17583.76</v>
      </c>
      <c r="BL22" s="57" t="n">
        <v>29</v>
      </c>
      <c r="BM22" s="55"/>
      <c r="BN22" s="60" t="n">
        <v>0</v>
      </c>
      <c r="BO22" s="60" t="n">
        <v>22</v>
      </c>
      <c r="BP22" s="55" t="str">
        <f aca="false">IF(S22&lt;&gt;"",UPPER(TRIM(S22)),IF(O22="","LOSE",O22))</f>
        <v>LOSE</v>
      </c>
      <c r="BQ22" s="57" t="n">
        <f aca="false">IF(BP22="LOSE",1,IF(N(T22)&gt;0,T22,IF(N(P22)&gt;0,P22,MAX(1,G22))))</f>
        <v>1</v>
      </c>
      <c r="BR22" s="60" t="n">
        <f aca="false">IF(BP22="LOSE",1,0)</f>
        <v>1</v>
      </c>
      <c r="BS22" s="59" t="n">
        <f aca="false">IF(BR22=0,0,IF(N(R22)&gt;0,R22,IFERROR(VLOOKUP(D22,Parameter!$A$35:$C$64,3,0)+0,0)))</f>
        <v>1</v>
      </c>
      <c r="BT22" s="55" t="n">
        <f aca="false">IF(Y22&lt;&gt;"",Y22,X22)</f>
        <v>1</v>
      </c>
      <c r="BU22" s="55" t="str">
        <f aca="false">IF(BT22=1,"L1",IF(OR(BT22=2,BT22=3),"L23",IF(BT22="Aussen","Aussen","-")))</f>
        <v>L1</v>
      </c>
      <c r="BV22" s="66" t="n">
        <f aca="false">IF(N(Z22)&gt;0,Z22,0)</f>
        <v>0</v>
      </c>
      <c r="BW22" s="60" t="n">
        <f aca="false">IF(ISNUMBER(AC22),1,0)</f>
        <v>0</v>
      </c>
      <c r="BX22" s="57" t="n">
        <f aca="false">N(AC22)</f>
        <v>0</v>
      </c>
      <c r="BY22" s="57" t="n">
        <f aca="false">N(L22)+N(M22)</f>
        <v>13</v>
      </c>
      <c r="BZ22" s="57" t="n">
        <f aca="false">ROUNDUP(G22/BQ22,0)</f>
        <v>16</v>
      </c>
      <c r="CA22" s="57" t="n">
        <f aca="false">ROUNDUP(BX22/BQ22,0)</f>
        <v>0</v>
      </c>
      <c r="CB22" s="60" t="n">
        <f aca="false">IF(BR22=1,0,IFERROR(VLOOKUP(BP22,'Gebinde-Kategorie'!$A$5:$M$45,5,0)+0,0))</f>
        <v>0</v>
      </c>
      <c r="CC22" s="60" t="n">
        <f aca="false">IFERROR(IF(OR(BT22=1,BT22=2,BT22=3),N(INDEX(Parameter!$I$5:$I$7,BT22)),0),0)</f>
        <v>0</v>
      </c>
      <c r="CD22" s="59" t="n">
        <f aca="false">IF(AND(Parameter!$B$21="Ja",ISNUMBER(U22),N(V22)&gt;0),IFERROR(N(INDEX(Parameter!$L$5:$L$7,U22))*INDEX(Parameter!$E$5:$E$7,U22)*V22/SUMIFS($V$7:$V$1576,$U$7:$U$1576,U22),0),0)</f>
        <v>1.7608286252354</v>
      </c>
    </row>
    <row r="23" customFormat="false" ht="15" hidden="false" customHeight="false" outlineLevel="0" collapsed="false">
      <c r="A23" s="55" t="s">
        <v>204</v>
      </c>
      <c r="B23" s="55" t="s">
        <v>205</v>
      </c>
      <c r="C23" s="55" t="s">
        <v>160</v>
      </c>
      <c r="D23" s="55" t="s">
        <v>168</v>
      </c>
      <c r="E23" s="55" t="s">
        <v>193</v>
      </c>
      <c r="F23" s="56" t="n">
        <v>211.01</v>
      </c>
      <c r="G23" s="57" t="n">
        <f aca="false">MAX(0,IF(AND(Parameter!$B$21="Ja",ISNUMBER(W23)),W23,IF(Parameter!$B$20="Jahresanfang 2025 + Export",BJ23+BI23,BI23)))</f>
        <v>90</v>
      </c>
      <c r="H23" s="57" t="n">
        <f aca="false">G23*F23</f>
        <v>18990.9</v>
      </c>
      <c r="I23" s="57" t="n">
        <f aca="false">BL23*Parameter!$B$18</f>
        <v>337</v>
      </c>
      <c r="J23" s="58" t="n">
        <v>52.5</v>
      </c>
      <c r="K23" s="59" t="n">
        <v>6.41904761904762</v>
      </c>
      <c r="L23" s="57" t="n">
        <v>19</v>
      </c>
      <c r="M23" s="57" t="n">
        <v>60</v>
      </c>
      <c r="N23" s="60" t="n">
        <v>21</v>
      </c>
      <c r="O23" s="55" t="s">
        <v>179</v>
      </c>
      <c r="P23" s="57" t="n">
        <v>42</v>
      </c>
      <c r="Q23" s="60" t="n">
        <f aca="false">IF(BR23=1,0,IFERROR(VLOOKUP(BP23,'Gebinde-Kategorie'!$A$5:$M$45,13,0)+0,0))</f>
        <v>12</v>
      </c>
      <c r="R23" s="61"/>
      <c r="S23" s="62"/>
      <c r="T23" s="62"/>
      <c r="U23" s="55"/>
      <c r="V23" s="57"/>
      <c r="W23" s="57"/>
      <c r="X23" s="55" t="n">
        <f aca="false">IF(A23="","",IF(AND(Parameter!$B$21="Ja",ISNUMBER(U23)),U23,IF(IFERROR(VLOOKUP(D23,Parameter!$A$35:$C$64,2,0),"Nein")="2+3",IF(ISNUMBER(SEARCH("grosser Artikel",BM23)),2,IFERROR(VLOOKUP(BP23,Parameter!$F$35:$G$64,2,0),2)),IF(OR(IFERROR(VLOOKUP(D23,Parameter!$A$35:$C$64,2,0),"Nein")="Nein",IFERROR(VLOOKUP(D23,Parameter!$A$35:$C$64,2,0),"Nein")=""),"-",VLOOKUP(D23,Parameter!$A$35:$C$64,2,0)))))</f>
        <v>2</v>
      </c>
      <c r="Y23" s="62"/>
      <c r="Z23" s="63"/>
      <c r="AA23" s="57" t="n">
        <f aca="false">AP23</f>
        <v>210</v>
      </c>
      <c r="AB23" s="57" t="n">
        <f aca="false">MAX(AP23,G23)</f>
        <v>210</v>
      </c>
      <c r="AC23" s="64"/>
      <c r="AD23" s="57" t="n">
        <f aca="false">IF(LEFT(Cockpit!$C$5,1)="A",G23,IF(BW23=1,BX23,IF(LEFT(Cockpit!$C$5,1)="B",AH23,MAX(AH23,G23))))</f>
        <v>90</v>
      </c>
      <c r="AE23" s="57" t="n">
        <f aca="false">IF(BR23=1,0,ROUNDUP(AD23/BQ23,0))</f>
        <v>3</v>
      </c>
      <c r="AF23" s="59" t="n">
        <f aca="false">IF(CD23&gt;0,CD23*MAX(1,AD23/V23),IF(BR23=1,IF(AD23&lt;=0,0,BS23*MAX(1,IF(G23&gt;0,AD23/G23,1))),IF(Q23&gt;0,AE23/Q23,0))/MAX(0.1,N(Parameter!$M$21)))</f>
        <v>0.25</v>
      </c>
      <c r="AG23" s="57" t="n">
        <f aca="false">AD23*F23</f>
        <v>18990.9</v>
      </c>
      <c r="AH23" s="57" t="n">
        <f aca="false">ROUNDUP(MAX(I23/IF(BV23&gt;0,BV23,MAX(0.1,N(Cockpit!$C$6))),BY23)/BQ23,0)*BQ23</f>
        <v>210</v>
      </c>
      <c r="AI23" s="58" t="n">
        <f aca="false">IF(AF23&gt;0,I23/AF23,-1)</f>
        <v>1348</v>
      </c>
      <c r="AJ23" s="58" t="n">
        <f aca="false">IF(AND(OR(BU23="L1",BU23="L23"),AF23&gt;0),SUMIFS($AF$7:$AF$1576,$BU$7:$BU$1576,BU23,$AI$7:$AI$1576,"&gt;"&amp;AI23)+SUMIFS($AF$7:$AF$1576,$BU$7:$BU$1576,BU23,$AI$7:$AI$1576,AI23,$BO$7:$BO$1576,"&lt;="&amp;BO23),"")</f>
        <v>8.20107395020439</v>
      </c>
      <c r="AK23" s="65" t="n">
        <f aca="false">IF(AJ23="",0,MAX(0,MIN(1,(IF(BU23="L1",Parameter!$E$5,Parameter!$E$6+Parameter!$E$7)-(AJ23-AF23))/AF23)))</f>
        <v>1</v>
      </c>
      <c r="AL23" s="57" t="n">
        <f aca="false">IF(LEFT(Cockpit!$I$5,1)="A",G23,IF(BW23=1,BX23,IF(LEFT(Cockpit!$I$5,1)="B",AP23,MAX(AP23,G23))))</f>
        <v>210</v>
      </c>
      <c r="AM23" s="57" t="n">
        <f aca="false">IF(BR23=1,0,ROUNDUP(AL23/BQ23,0))</f>
        <v>5</v>
      </c>
      <c r="AN23" s="59" t="n">
        <f aca="false">IF(CD23&gt;0,CD23*MAX(1,AL23/V23),IF(BR23=1,IF(AL23&lt;=0,0,BS23*MAX(1,IF(G23&gt;0,AL23/G23,1))),IF(Q23&gt;0,AM23/Q23,0))/MAX(0.1,N(Parameter!$M$21)))</f>
        <v>0.416666666666667</v>
      </c>
      <c r="AO23" s="57" t="n">
        <f aca="false">AL23*F23</f>
        <v>44312.1</v>
      </c>
      <c r="AP23" s="57" t="n">
        <f aca="false">ROUNDUP(MAX(I23/IF(BV23&gt;0,BV23,MAX(0.1,N(Cockpit!$I$6))),BY23)/BQ23,0)*BQ23</f>
        <v>210</v>
      </c>
      <c r="AQ23" s="58" t="n">
        <f aca="false">IF(AN23&gt;0,I23/AN23,-1)</f>
        <v>808.8</v>
      </c>
      <c r="AR23" s="58" t="n">
        <f aca="false">IF(AND(OR(BU23="L1",BU23="L23"),AN23&gt;0),SUMIFS($AN$7:$AN$1576,$BU$7:$BU$1576,BU23,$AQ$7:$AQ$1576,"&gt;"&amp;AQ23)+SUMIFS($AN$7:$AN$1576,$BU$7:$BU$1576,BU23,$AQ$7:$AQ$1576,AQ23,$BO$7:$BO$1576,"&lt;="&amp;BO23),"")</f>
        <v>26.0390111461962</v>
      </c>
      <c r="AS23" s="65" t="n">
        <f aca="false">IF(AR23="",0,MAX(0,MIN(1,(IF(BU23="L1",Parameter!$E$5,Parameter!$E$6+Parameter!$E$7)-(AR23-AN23))/AN23)))</f>
        <v>1</v>
      </c>
      <c r="AT23" s="57" t="n">
        <f aca="false">IF(LEFT(Cockpit!$O$5,1)="A",G23,IF(BW23=1,BX23,IF(LEFT(Cockpit!$O$5,1)="B",AX23,MAX(AX23,G23))))</f>
        <v>126</v>
      </c>
      <c r="AU23" s="57" t="n">
        <f aca="false">IF(BR23=1,0,ROUNDUP(AT23/BQ23,0))</f>
        <v>3</v>
      </c>
      <c r="AV23" s="59" t="n">
        <f aca="false">IF(CD23&gt;0,CD23*MAX(1,AT23/V23),IF(BR23=1,IF(AT23&lt;=0,0,BS23*MAX(1,IF(G23&gt;0,AT23/G23,1))),IF(Q23&gt;0,AU23/Q23,0))/MAX(0.1,N(Parameter!$M$21)))</f>
        <v>0.25</v>
      </c>
      <c r="AW23" s="57" t="n">
        <f aca="false">AT23*F23</f>
        <v>26587.26</v>
      </c>
      <c r="AX23" s="57" t="n">
        <f aca="false">ROUNDUP(MAX(I23/IF(BV23&gt;0,BV23,MAX(0.1,N(Cockpit!$O$6))),BY23)/BQ23,0)*BQ23</f>
        <v>126</v>
      </c>
      <c r="AY23" s="58" t="n">
        <f aca="false">IF(AV23&gt;0,I23/AV23,-1)</f>
        <v>1348</v>
      </c>
      <c r="AZ23" s="58" t="n">
        <f aca="false">IF(AND(OR(BU23="L1",BU23="L23"),AV23&gt;0),SUMIFS($AV$7:$AV$1576,$BU$7:$BU$1576,BU23,$AY$7:$AY$1576,"&gt;"&amp;AY23)+SUMIFS($AV$7:$AV$1576,$BU$7:$BU$1576,BU23,$AY$7:$AY$1576,AY23,$BO$7:$BO$1576,"&lt;="&amp;BO23),"")</f>
        <v>18.8820549622835</v>
      </c>
      <c r="BA23" s="65" t="n">
        <f aca="false">IF(AZ23="",0,MAX(0,MIN(1,(IF(BU23="L1",Parameter!$E$5,Parameter!$E$6+Parameter!$E$7)-(AZ23-AV23))/AV23)))</f>
        <v>1</v>
      </c>
      <c r="BB23" s="55" t="str">
        <f aca="false">IF(AF23&lt;=0,"",IF(BU23="Aussen","Aussenlager",IF(BU23="-","Nicht im Lift",IF(AK23&gt;=1,"Lift",IF(AK23&lt;=0,"Aussenlager","teilweise")))))</f>
        <v>Lift</v>
      </c>
      <c r="BC23" s="55" t="str">
        <f aca="false">IF(AN23&lt;=0,"",IF(BU23="Aussen","Aussenlager",IF(BU23="-","Nicht im Lift",IF(AS23&gt;=1,"Lift",IF(AS23&lt;=0,"Aussenlager","teilweise")))))</f>
        <v>Lift</v>
      </c>
      <c r="BD23" s="55" t="str">
        <f aca="false">IF(AV23&lt;=0,"",IF(BU23="Aussen","Aussenlager",IF(BU23="-","Nicht im Lift",IF(BA23&gt;=1,"Lift",IF(BA23&lt;=0,"Aussenlager","teilweise")))))</f>
        <v>Lift</v>
      </c>
      <c r="BE23" s="55" t="str">
        <f aca="false">IF(A23="","",IF(BN23=1,"Neu; ","")&amp;IF(AND(BN23=0,BI23&lt;0),"negativer Bestand (Export "&amp;BI23&amp;"); ","")&amp;IF(I23&lt;=0,"Kein Verbrauch; ","")&amp;IF(CD23&gt;0,"Lift "&amp;U23&amp;" lt. Liftbericht (Fach "&amp;V23&amp;" Stk); ",IF(BR23=1,"Lose – Fläche geschätzt; ",""))&amp;IF(G23&gt;AP23,"Überbestand "&amp;ROUND(G23-AP23,0)&amp;" Stk / CHF "&amp;ROUND((G23-AP23)*F23,0)&amp;"; ","")&amp;IF(AND(BW23=1,BX23&lt;BY23),"MAX &lt; MB+LG; ","")&amp;IF(AND(CC23&gt;0,CB23*10&gt;CC23),"zu hoch für Tablar; ","")&amp;IF(AND(BN23=0,OR(BW23=1,Y23&lt;&gt;"",S23&lt;&gt;"",T23&lt;&gt;"",Z23&lt;&gt;"")),"manuell übersteuert; ","")&amp;IF(AND(BR23=0,Q23=0),"Gebinde unbekannt / Stellmass fehlt; ","")&amp;IF(AND(BR23=0,N(T23)&lt;=0,N(P23)&lt;=0),"Menge pro Gebinde fehlt (Ist = 1 Gebinde); ","")&amp;BM23)</f>
        <v/>
      </c>
      <c r="BF23" s="55" t="s">
        <v>206</v>
      </c>
      <c r="BG23" s="55" t="s">
        <v>207</v>
      </c>
      <c r="BH23" s="62"/>
      <c r="BI23" s="57" t="n">
        <v>90</v>
      </c>
      <c r="BJ23" s="57" t="n">
        <v>41</v>
      </c>
      <c r="BK23" s="56" t="n">
        <v>17462.83</v>
      </c>
      <c r="BL23" s="57" t="n">
        <v>337</v>
      </c>
      <c r="BM23" s="55"/>
      <c r="BN23" s="60" t="n">
        <v>0</v>
      </c>
      <c r="BO23" s="60" t="n">
        <v>23</v>
      </c>
      <c r="BP23" s="55" t="str">
        <f aca="false">IF(S23&lt;&gt;"",UPPER(TRIM(S23)),IF(O23="","LOSE",O23))</f>
        <v>S61</v>
      </c>
      <c r="BQ23" s="57" t="n">
        <f aca="false">IF(BP23="LOSE",1,IF(N(T23)&gt;0,T23,IF(N(P23)&gt;0,P23,MAX(1,G23))))</f>
        <v>42</v>
      </c>
      <c r="BR23" s="60" t="n">
        <f aca="false">IF(BP23="LOSE",1,0)</f>
        <v>0</v>
      </c>
      <c r="BS23" s="59" t="n">
        <f aca="false">IF(BR23=0,0,IF(N(R23)&gt;0,R23,IFERROR(VLOOKUP(D23,Parameter!$A$35:$C$64,3,0)+0,0)))</f>
        <v>0</v>
      </c>
      <c r="BT23" s="55" t="n">
        <f aca="false">IF(Y23&lt;&gt;"",Y23,X23)</f>
        <v>2</v>
      </c>
      <c r="BU23" s="55" t="str">
        <f aca="false">IF(BT23=1,"L1",IF(OR(BT23=2,BT23=3),"L23",IF(BT23="Aussen","Aussen","-")))</f>
        <v>L23</v>
      </c>
      <c r="BV23" s="66" t="n">
        <f aca="false">IF(N(Z23)&gt;0,Z23,0)</f>
        <v>0</v>
      </c>
      <c r="BW23" s="60" t="n">
        <f aca="false">IF(ISNUMBER(AC23),1,0)</f>
        <v>0</v>
      </c>
      <c r="BX23" s="57" t="n">
        <f aca="false">N(AC23)</f>
        <v>0</v>
      </c>
      <c r="BY23" s="57" t="n">
        <f aca="false">N(L23)+N(M23)</f>
        <v>79</v>
      </c>
      <c r="BZ23" s="57" t="n">
        <f aca="false">ROUNDUP(G23/BQ23,0)</f>
        <v>3</v>
      </c>
      <c r="CA23" s="57" t="n">
        <f aca="false">ROUNDUP(BX23/BQ23,0)</f>
        <v>0</v>
      </c>
      <c r="CB23" s="60" t="n">
        <f aca="false">IF(BR23=1,0,IFERROR(VLOOKUP(BP23,'Gebinde-Kategorie'!$A$5:$M$45,5,0)+0,0))</f>
        <v>11</v>
      </c>
      <c r="CC23" s="60" t="n">
        <f aca="false">IFERROR(IF(OR(BT23=1,BT23=2,BT23=3),N(INDEX(Parameter!$I$5:$I$7,BT23)),0),0)</f>
        <v>0</v>
      </c>
      <c r="CD23" s="59" t="n">
        <f aca="false">IF(AND(Parameter!$B$21="Ja",ISNUMBER(U23),N(V23)&gt;0),IFERROR(N(INDEX(Parameter!$L$5:$L$7,U23))*INDEX(Parameter!$E$5:$E$7,U23)*V23/SUMIFS($V$7:$V$1576,$U$7:$U$1576,U23),0),0)</f>
        <v>0</v>
      </c>
    </row>
    <row r="24" customFormat="false" ht="15" hidden="false" customHeight="false" outlineLevel="0" collapsed="false">
      <c r="A24" s="55" t="s">
        <v>208</v>
      </c>
      <c r="B24" s="55" t="s">
        <v>209</v>
      </c>
      <c r="C24" s="55" t="s">
        <v>160</v>
      </c>
      <c r="D24" s="55" t="s">
        <v>168</v>
      </c>
      <c r="E24" s="55" t="s">
        <v>210</v>
      </c>
      <c r="F24" s="56" t="n">
        <v>146.39</v>
      </c>
      <c r="G24" s="57" t="n">
        <f aca="false">MAX(0,IF(AND(Parameter!$B$21="Ja",ISNUMBER(W24)),W24,IF(Parameter!$B$20="Jahresanfang 2025 + Export",BJ24+BI24,BI24)))</f>
        <v>114</v>
      </c>
      <c r="H24" s="57" t="n">
        <f aca="false">G24*F24</f>
        <v>16688.46</v>
      </c>
      <c r="I24" s="57" t="n">
        <f aca="false">BL24*Parameter!$B$18</f>
        <v>0</v>
      </c>
      <c r="J24" s="58" t="n">
        <v>19.5</v>
      </c>
      <c r="K24" s="59" t="n">
        <v>0</v>
      </c>
      <c r="L24" s="57" t="n">
        <v>0</v>
      </c>
      <c r="M24" s="57" t="n">
        <v>1</v>
      </c>
      <c r="N24" s="60" t="n">
        <v>0</v>
      </c>
      <c r="O24" s="55" t="s">
        <v>163</v>
      </c>
      <c r="P24" s="57"/>
      <c r="Q24" s="60" t="n">
        <f aca="false">IF(BR24=1,0,IFERROR(VLOOKUP(BP24,'Gebinde-Kategorie'!$A$5:$M$45,13,0)+0,0))</f>
        <v>0</v>
      </c>
      <c r="R24" s="61"/>
      <c r="S24" s="62"/>
      <c r="T24" s="62"/>
      <c r="U24" s="55"/>
      <c r="V24" s="57"/>
      <c r="W24" s="57"/>
      <c r="X24" s="55" t="n">
        <f aca="false">IF(A24="","",IF(AND(Parameter!$B$21="Ja",ISNUMBER(U24)),U24,IF(IFERROR(VLOOKUP(D24,Parameter!$A$35:$C$64,2,0),"Nein")="2+3",IF(ISNUMBER(SEARCH("grosser Artikel",BM24)),2,IFERROR(VLOOKUP(BP24,Parameter!$F$35:$G$64,2,0),2)),IF(OR(IFERROR(VLOOKUP(D24,Parameter!$A$35:$C$64,2,0),"Nein")="Nein",IFERROR(VLOOKUP(D24,Parameter!$A$35:$C$64,2,0),"Nein")=""),"-",VLOOKUP(D24,Parameter!$A$35:$C$64,2,0)))))</f>
        <v>2</v>
      </c>
      <c r="Y24" s="62"/>
      <c r="Z24" s="63"/>
      <c r="AA24" s="57" t="n">
        <f aca="false">AP24</f>
        <v>1</v>
      </c>
      <c r="AB24" s="57" t="n">
        <f aca="false">MAX(AP24,G24)</f>
        <v>114</v>
      </c>
      <c r="AC24" s="64"/>
      <c r="AD24" s="57" t="n">
        <f aca="false">IF(LEFT(Cockpit!$C$5,1)="A",G24,IF(BW24=1,BX24,IF(LEFT(Cockpit!$C$5,1)="B",AH24,MAX(AH24,G24))))</f>
        <v>114</v>
      </c>
      <c r="AE24" s="57" t="n">
        <f aca="false">IF(BR24=1,0,ROUNDUP(AD24/BQ24,0))</f>
        <v>0</v>
      </c>
      <c r="AF24" s="59" t="n">
        <f aca="false">IF(CD24&gt;0,CD24*MAX(1,AD24/V24),IF(BR24=1,IF(AD24&lt;=0,0,BS24*MAX(1,IF(G24&gt;0,AD24/G24,1))),IF(Q24&gt;0,AE24/Q24,0))/MAX(0.1,N(Parameter!$M$21)))</f>
        <v>0.15</v>
      </c>
      <c r="AG24" s="57" t="n">
        <f aca="false">AD24*F24</f>
        <v>16688.46</v>
      </c>
      <c r="AH24" s="57" t="n">
        <f aca="false">ROUNDUP(MAX(I24/IF(BV24&gt;0,BV24,MAX(0.1,N(Cockpit!$C$6))),BY24)/BQ24,0)*BQ24</f>
        <v>1</v>
      </c>
      <c r="AI24" s="58" t="n">
        <f aca="false">IF(AF24&gt;0,I24/AF24,-1)</f>
        <v>0</v>
      </c>
      <c r="AJ24" s="58" t="n">
        <f aca="false">IF(AND(OR(BU24="L1",BU24="L23"),AF24&gt;0),SUMIFS($AF$7:$AF$1576,$BU$7:$BU$1576,BU24,$AI$7:$AI$1576,"&gt;"&amp;AI24)+SUMIFS($AF$7:$AF$1576,$BU$7:$BU$1576,BU24,$AI$7:$AI$1576,AI24,$BO$7:$BO$1576,"&lt;="&amp;BO24),"")</f>
        <v>35.8992483362049</v>
      </c>
      <c r="AK24" s="65" t="n">
        <f aca="false">IF(AJ24="",0,MAX(0,MIN(1,(IF(BU24="L1",Parameter!$E$5,Parameter!$E$6+Parameter!$E$7)-(AJ24-AF24))/AF24)))</f>
        <v>1</v>
      </c>
      <c r="AL24" s="57" t="n">
        <f aca="false">IF(LEFT(Cockpit!$I$5,1)="A",G24,IF(BW24=1,BX24,IF(LEFT(Cockpit!$I$5,1)="B",AP24,MAX(AP24,G24))))</f>
        <v>114</v>
      </c>
      <c r="AM24" s="57" t="n">
        <f aca="false">IF(BR24=1,0,ROUNDUP(AL24/BQ24,0))</f>
        <v>0</v>
      </c>
      <c r="AN24" s="59" t="n">
        <f aca="false">IF(CD24&gt;0,CD24*MAX(1,AL24/V24),IF(BR24=1,IF(AL24&lt;=0,0,BS24*MAX(1,IF(G24&gt;0,AL24/G24,1))),IF(Q24&gt;0,AM24/Q24,0))/MAX(0.1,N(Parameter!$M$21)))</f>
        <v>0.15</v>
      </c>
      <c r="AO24" s="57" t="n">
        <f aca="false">AL24*F24</f>
        <v>16688.46</v>
      </c>
      <c r="AP24" s="57" t="n">
        <f aca="false">ROUNDUP(MAX(I24/IF(BV24&gt;0,BV24,MAX(0.1,N(Cockpit!$I$6))),BY24)/BQ24,0)*BQ24</f>
        <v>1</v>
      </c>
      <c r="AQ24" s="58" t="n">
        <f aca="false">IF(AN24&gt;0,I24/AN24,-1)</f>
        <v>0</v>
      </c>
      <c r="AR24" s="58" t="n">
        <f aca="false">IF(AND(OR(BU24="L1",BU24="L23"),AN24&gt;0),SUMIFS($AN$7:$AN$1576,$BU$7:$BU$1576,BU24,$AQ$7:$AQ$1576,"&gt;"&amp;AQ24)+SUMIFS($AN$7:$AN$1576,$BU$7:$BU$1576,BU24,$AQ$7:$AQ$1576,AQ24,$BO$7:$BO$1576,"&lt;="&amp;BO24),"")</f>
        <v>118.397485093746</v>
      </c>
      <c r="AS24" s="65" t="n">
        <f aca="false">IF(AR24="",0,MAX(0,MIN(1,(IF(BU24="L1",Parameter!$E$5,Parameter!$E$6+Parameter!$E$7)-(AR24-AN24))/AN24)))</f>
        <v>0</v>
      </c>
      <c r="AT24" s="57" t="n">
        <f aca="false">IF(LEFT(Cockpit!$O$5,1)="A",G24,IF(BW24=1,BX24,IF(LEFT(Cockpit!$O$5,1)="B",AX24,MAX(AX24,G24))))</f>
        <v>114</v>
      </c>
      <c r="AU24" s="57" t="n">
        <f aca="false">IF(BR24=1,0,ROUNDUP(AT24/BQ24,0))</f>
        <v>0</v>
      </c>
      <c r="AV24" s="59" t="n">
        <f aca="false">IF(CD24&gt;0,CD24*MAX(1,AT24/V24),IF(BR24=1,IF(AT24&lt;=0,0,BS24*MAX(1,IF(G24&gt;0,AT24/G24,1))),IF(Q24&gt;0,AU24/Q24,0))/MAX(0.1,N(Parameter!$M$21)))</f>
        <v>0.15</v>
      </c>
      <c r="AW24" s="57" t="n">
        <f aca="false">AT24*F24</f>
        <v>16688.46</v>
      </c>
      <c r="AX24" s="57" t="n">
        <f aca="false">ROUNDUP(MAX(I24/IF(BV24&gt;0,BV24,MAX(0.1,N(Cockpit!$O$6))),BY24)/BQ24,0)*BQ24</f>
        <v>1</v>
      </c>
      <c r="AY24" s="58" t="n">
        <f aca="false">IF(AV24&gt;0,I24/AV24,-1)</f>
        <v>0</v>
      </c>
      <c r="AZ24" s="58" t="n">
        <f aca="false">IF(AND(OR(BU24="L1",BU24="L23"),AV24&gt;0),SUMIFS($AV$7:$AV$1576,$BU$7:$BU$1576,BU24,$AY$7:$AY$1576,"&gt;"&amp;AY24)+SUMIFS($AV$7:$AV$1576,$BU$7:$BU$1576,BU24,$AY$7:$AY$1576,AY24,$BO$7:$BO$1576,"&lt;="&amp;BO24),"")</f>
        <v>108.457035543297</v>
      </c>
      <c r="BA24" s="65" t="n">
        <f aca="false">IF(AZ24="",0,MAX(0,MIN(1,(IF(BU24="L1",Parameter!$E$5,Parameter!$E$6+Parameter!$E$7)-(AZ24-AV24))/AV24)))</f>
        <v>0</v>
      </c>
      <c r="BB24" s="55" t="str">
        <f aca="false">IF(AF24&lt;=0,"",IF(BU24="Aussen","Aussenlager",IF(BU24="-","Nicht im Lift",IF(AK24&gt;=1,"Lift",IF(AK24&lt;=0,"Aussenlager","teilweise")))))</f>
        <v>Lift</v>
      </c>
      <c r="BC24" s="55" t="str">
        <f aca="false">IF(AN24&lt;=0,"",IF(BU24="Aussen","Aussenlager",IF(BU24="-","Nicht im Lift",IF(AS24&gt;=1,"Lift",IF(AS24&lt;=0,"Aussenlager","teilweise")))))</f>
        <v>Aussenlager</v>
      </c>
      <c r="BD24" s="55" t="str">
        <f aca="false">IF(AV24&lt;=0,"",IF(BU24="Aussen","Aussenlager",IF(BU24="-","Nicht im Lift",IF(BA24&gt;=1,"Lift",IF(BA24&lt;=0,"Aussenlager","teilweise")))))</f>
        <v>Aussenlager</v>
      </c>
      <c r="BE24" s="55" t="str">
        <f aca="false">IF(A24="","",IF(BN24=1,"Neu; ","")&amp;IF(AND(BN24=0,BI24&lt;0),"negativer Bestand (Export "&amp;BI24&amp;"); ","")&amp;IF(I24&lt;=0,"Kein Verbrauch; ","")&amp;IF(CD24&gt;0,"Lift "&amp;U24&amp;" lt. Liftbericht (Fach "&amp;V24&amp;" Stk); ",IF(BR24=1,"Lose – Fläche geschätzt; ",""))&amp;IF(G24&gt;AP24,"Überbestand "&amp;ROUND(G24-AP24,0)&amp;" Stk / CHF "&amp;ROUND((G24-AP24)*F24,0)&amp;"; ","")&amp;IF(AND(BW24=1,BX24&lt;BY24),"MAX &lt; MB+LG; ","")&amp;IF(AND(CC24&gt;0,CB24*10&gt;CC24),"zu hoch für Tablar; ","")&amp;IF(AND(BN24=0,OR(BW24=1,Y24&lt;&gt;"",S24&lt;&gt;"",T24&lt;&gt;"",Z24&lt;&gt;"")),"manuell übersteuert; ","")&amp;IF(AND(BR24=0,Q24=0),"Gebinde unbekannt / Stellmass fehlt; ","")&amp;IF(AND(BR24=0,N(T24)&lt;=0,N(P24)&lt;=0),"Menge pro Gebinde fehlt (Ist = 1 Gebinde); ","")&amp;BM24)</f>
        <v>Kein Verbrauch; Lose – Fläche geschätzt; Überbestand 113 Stk / CHF 16542; </v>
      </c>
      <c r="BF24" s="55"/>
      <c r="BG24" s="55"/>
      <c r="BH24" s="62"/>
      <c r="BI24" s="57" t="n">
        <v>114</v>
      </c>
      <c r="BJ24" s="57" t="n">
        <v>0</v>
      </c>
      <c r="BK24" s="56" t="n">
        <v>16688.46</v>
      </c>
      <c r="BL24" s="57" t="n">
        <v>0</v>
      </c>
      <c r="BM24" s="55"/>
      <c r="BN24" s="60" t="n">
        <v>0</v>
      </c>
      <c r="BO24" s="60" t="n">
        <v>24</v>
      </c>
      <c r="BP24" s="55" t="str">
        <f aca="false">IF(S24&lt;&gt;"",UPPER(TRIM(S24)),IF(O24="","LOSE",O24))</f>
        <v>LOSE</v>
      </c>
      <c r="BQ24" s="57" t="n">
        <f aca="false">IF(BP24="LOSE",1,IF(N(T24)&gt;0,T24,IF(N(P24)&gt;0,P24,MAX(1,G24))))</f>
        <v>1</v>
      </c>
      <c r="BR24" s="60" t="n">
        <f aca="false">IF(BP24="LOSE",1,0)</f>
        <v>1</v>
      </c>
      <c r="BS24" s="59" t="n">
        <f aca="false">IF(BR24=0,0,IF(N(R24)&gt;0,R24,IFERROR(VLOOKUP(D24,Parameter!$A$35:$C$64,3,0)+0,0)))</f>
        <v>0.15</v>
      </c>
      <c r="BT24" s="55" t="n">
        <f aca="false">IF(Y24&lt;&gt;"",Y24,X24)</f>
        <v>2</v>
      </c>
      <c r="BU24" s="55" t="str">
        <f aca="false">IF(BT24=1,"L1",IF(OR(BT24=2,BT24=3),"L23",IF(BT24="Aussen","Aussen","-")))</f>
        <v>L23</v>
      </c>
      <c r="BV24" s="66" t="n">
        <f aca="false">IF(N(Z24)&gt;0,Z24,0)</f>
        <v>0</v>
      </c>
      <c r="BW24" s="60" t="n">
        <f aca="false">IF(ISNUMBER(AC24),1,0)</f>
        <v>0</v>
      </c>
      <c r="BX24" s="57" t="n">
        <f aca="false">N(AC24)</f>
        <v>0</v>
      </c>
      <c r="BY24" s="57" t="n">
        <f aca="false">N(L24)+N(M24)</f>
        <v>1</v>
      </c>
      <c r="BZ24" s="57" t="n">
        <f aca="false">ROUNDUP(G24/BQ24,0)</f>
        <v>114</v>
      </c>
      <c r="CA24" s="57" t="n">
        <f aca="false">ROUNDUP(BX24/BQ24,0)</f>
        <v>0</v>
      </c>
      <c r="CB24" s="60" t="n">
        <f aca="false">IF(BR24=1,0,IFERROR(VLOOKUP(BP24,'Gebinde-Kategorie'!$A$5:$M$45,5,0)+0,0))</f>
        <v>0</v>
      </c>
      <c r="CC24" s="60" t="n">
        <f aca="false">IFERROR(IF(OR(BT24=1,BT24=2,BT24=3),N(INDEX(Parameter!$I$5:$I$7,BT24)),0),0)</f>
        <v>0</v>
      </c>
      <c r="CD24" s="59" t="n">
        <f aca="false">IF(AND(Parameter!$B$21="Ja",ISNUMBER(U24),N(V24)&gt;0),IFERROR(N(INDEX(Parameter!$L$5:$L$7,U24))*INDEX(Parameter!$E$5:$E$7,U24)*V24/SUMIFS($V$7:$V$1576,$U$7:$U$1576,U24),0),0)</f>
        <v>0</v>
      </c>
    </row>
    <row r="25" customFormat="false" ht="15" hidden="false" customHeight="false" outlineLevel="0" collapsed="false">
      <c r="A25" s="55" t="s">
        <v>211</v>
      </c>
      <c r="B25" s="55" t="s">
        <v>212</v>
      </c>
      <c r="C25" s="55" t="s">
        <v>160</v>
      </c>
      <c r="D25" s="55" t="s">
        <v>161</v>
      </c>
      <c r="E25" s="55" t="s">
        <v>210</v>
      </c>
      <c r="F25" s="56" t="n">
        <v>3268.12</v>
      </c>
      <c r="G25" s="57" t="n">
        <f aca="false">MAX(0,IF(AND(Parameter!$B$21="Ja",ISNUMBER(W25)),W25,IF(Parameter!$B$20="Jahresanfang 2025 + Export",BJ25+BI25,BI25)))</f>
        <v>9</v>
      </c>
      <c r="H25" s="57" t="n">
        <f aca="false">G25*F25</f>
        <v>29413.08</v>
      </c>
      <c r="I25" s="57" t="n">
        <f aca="false">BL25*Parameter!$B$18</f>
        <v>24</v>
      </c>
      <c r="J25" s="58" t="n">
        <v>5.5</v>
      </c>
      <c r="K25" s="59" t="n">
        <v>4.36363636363636</v>
      </c>
      <c r="L25" s="57" t="n">
        <v>3</v>
      </c>
      <c r="M25" s="57" t="n">
        <v>6</v>
      </c>
      <c r="N25" s="60" t="n">
        <v>49</v>
      </c>
      <c r="O25" s="55" t="s">
        <v>163</v>
      </c>
      <c r="P25" s="57"/>
      <c r="Q25" s="60" t="n">
        <f aca="false">IF(BR25=1,0,IFERROR(VLOOKUP(BP25,'Gebinde-Kategorie'!$A$5:$M$45,13,0)+0,0))</f>
        <v>0</v>
      </c>
      <c r="R25" s="61"/>
      <c r="S25" s="62"/>
      <c r="T25" s="62"/>
      <c r="U25" s="55" t="n">
        <v>1</v>
      </c>
      <c r="V25" s="57" t="n">
        <v>12</v>
      </c>
      <c r="W25" s="57" t="n">
        <v>9</v>
      </c>
      <c r="X25" s="55" t="n">
        <f aca="false">IF(A25="","",IF(AND(Parameter!$B$21="Ja",ISNUMBER(U25)),U25,IF(IFERROR(VLOOKUP(D25,Parameter!$A$35:$C$64,2,0),"Nein")="2+3",IF(ISNUMBER(SEARCH("grosser Artikel",BM25)),2,IFERROR(VLOOKUP(BP25,Parameter!$F$35:$G$64,2,0),2)),IF(OR(IFERROR(VLOOKUP(D25,Parameter!$A$35:$C$64,2,0),"Nein")="Nein",IFERROR(VLOOKUP(D25,Parameter!$A$35:$C$64,2,0),"Nein")=""),"-",VLOOKUP(D25,Parameter!$A$35:$C$64,2,0)))))</f>
        <v>1</v>
      </c>
      <c r="Y25" s="62"/>
      <c r="Z25" s="63"/>
      <c r="AA25" s="57" t="n">
        <f aca="false">AP25</f>
        <v>12</v>
      </c>
      <c r="AB25" s="57" t="n">
        <f aca="false">MAX(AP25,G25)</f>
        <v>12</v>
      </c>
      <c r="AC25" s="64"/>
      <c r="AD25" s="57" t="n">
        <f aca="false">IF(LEFT(Cockpit!$C$5,1)="A",G25,IF(BW25=1,BX25,IF(LEFT(Cockpit!$C$5,1)="B",AH25,MAX(AH25,G25))))</f>
        <v>9</v>
      </c>
      <c r="AE25" s="57" t="n">
        <f aca="false">IF(BR25=1,0,ROUNDUP(AD25/BQ25,0))</f>
        <v>0</v>
      </c>
      <c r="AF25" s="59" t="n">
        <f aca="false">IF(CD25&gt;0,CD25*MAX(1,AD25/V25),IF(BR25=1,IF(AD25&lt;=0,0,BS25*MAX(1,IF(G25&gt;0,AD25/G25,1))),IF(Q25&gt;0,AE25/Q25,0))/MAX(0.1,N(Parameter!$M$21)))</f>
        <v>0.96045197740113</v>
      </c>
      <c r="AG25" s="57" t="n">
        <f aca="false">AD25*F25</f>
        <v>29413.08</v>
      </c>
      <c r="AH25" s="57" t="n">
        <f aca="false">ROUNDUP(MAX(I25/IF(BV25&gt;0,BV25,MAX(0.1,N(Cockpit!$C$6))),BY25)/BQ25,0)*BQ25</f>
        <v>12</v>
      </c>
      <c r="AI25" s="58" t="n">
        <f aca="false">IF(AF25&gt;0,I25/AF25,-1)</f>
        <v>24.9882352941176</v>
      </c>
      <c r="AJ25" s="58" t="n">
        <f aca="false">IF(AND(OR(BU25="L1",BU25="L23"),AF25&gt;0),SUMIFS($AF$7:$AF$1576,$BU$7:$BU$1576,BU25,$AI$7:$AI$1576,"&gt;"&amp;AI25)+SUMIFS($AF$7:$AF$1576,$BU$7:$BU$1576,BU25,$AI$7:$AI$1576,AI25,$BO$7:$BO$1576,"&lt;="&amp;BO25),"")</f>
        <v>10.4048964218456</v>
      </c>
      <c r="AK25" s="65" t="n">
        <f aca="false">IF(AJ25="",0,MAX(0,MIN(1,(IF(BU25="L1",Parameter!$E$5,Parameter!$E$6+Parameter!$E$7)-(AJ25-AF25))/AF25)))</f>
        <v>1</v>
      </c>
      <c r="AL25" s="57" t="n">
        <f aca="false">IF(LEFT(Cockpit!$I$5,1)="A",G25,IF(BW25=1,BX25,IF(LEFT(Cockpit!$I$5,1)="B",AP25,MAX(AP25,G25))))</f>
        <v>12</v>
      </c>
      <c r="AM25" s="57" t="n">
        <f aca="false">IF(BR25=1,0,ROUNDUP(AL25/BQ25,0))</f>
        <v>0</v>
      </c>
      <c r="AN25" s="59" t="n">
        <f aca="false">IF(CD25&gt;0,CD25*MAX(1,AL25/V25),IF(BR25=1,IF(AL25&lt;=0,0,BS25*MAX(1,IF(G25&gt;0,AL25/G25,1))),IF(Q25&gt;0,AM25/Q25,0))/MAX(0.1,N(Parameter!$M$21)))</f>
        <v>0.96045197740113</v>
      </c>
      <c r="AO25" s="57" t="n">
        <f aca="false">AL25*F25</f>
        <v>39217.44</v>
      </c>
      <c r="AP25" s="57" t="n">
        <f aca="false">ROUNDUP(MAX(I25/IF(BV25&gt;0,BV25,MAX(0.1,N(Cockpit!$I$6))),BY25)/BQ25,0)*BQ25</f>
        <v>12</v>
      </c>
      <c r="AQ25" s="58" t="n">
        <f aca="false">IF(AN25&gt;0,I25/AN25,-1)</f>
        <v>24.9882352941176</v>
      </c>
      <c r="AR25" s="58" t="n">
        <f aca="false">IF(AND(OR(BU25="L1",BU25="L23"),AN25&gt;0),SUMIFS($AN$7:$AN$1576,$BU$7:$BU$1576,BU25,$AQ$7:$AQ$1576,"&gt;"&amp;AQ25)+SUMIFS($AN$7:$AN$1576,$BU$7:$BU$1576,BU25,$AQ$7:$AQ$1576,AQ25,$BO$7:$BO$1576,"&lt;="&amp;BO25),"")</f>
        <v>0.96045197740113</v>
      </c>
      <c r="AS25" s="65" t="n">
        <f aca="false">IF(AR25="",0,MAX(0,MIN(1,(IF(BU25="L1",Parameter!$E$5,Parameter!$E$6+Parameter!$E$7)-(AR25-AN25))/AN25)))</f>
        <v>1</v>
      </c>
      <c r="AT25" s="57" t="n">
        <f aca="false">IF(LEFT(Cockpit!$O$5,1)="A",G25,IF(BW25=1,BX25,IF(LEFT(Cockpit!$O$5,1)="B",AX25,MAX(AX25,G25))))</f>
        <v>9</v>
      </c>
      <c r="AU25" s="57" t="n">
        <f aca="false">IF(BR25=1,0,ROUNDUP(AT25/BQ25,0))</f>
        <v>0</v>
      </c>
      <c r="AV25" s="59" t="n">
        <f aca="false">IF(CD25&gt;0,CD25*MAX(1,AT25/V25),IF(BR25=1,IF(AT25&lt;=0,0,BS25*MAX(1,IF(G25&gt;0,AT25/G25,1))),IF(Q25&gt;0,AU25/Q25,0))/MAX(0.1,N(Parameter!$M$21)))</f>
        <v>0.96045197740113</v>
      </c>
      <c r="AW25" s="57" t="n">
        <f aca="false">AT25*F25</f>
        <v>29413.08</v>
      </c>
      <c r="AX25" s="57" t="n">
        <f aca="false">ROUNDUP(MAX(I25/IF(BV25&gt;0,BV25,MAX(0.1,N(Cockpit!$O$6))),BY25)/BQ25,0)*BQ25</f>
        <v>9</v>
      </c>
      <c r="AY25" s="58" t="n">
        <f aca="false">IF(AV25&gt;0,I25/AV25,-1)</f>
        <v>24.9882352941176</v>
      </c>
      <c r="AZ25" s="58" t="n">
        <f aca="false">IF(AND(OR(BU25="L1",BU25="L23"),AV25&gt;0),SUMIFS($AV$7:$AV$1576,$BU$7:$BU$1576,BU25,$AY$7:$AY$1576,"&gt;"&amp;AY25)+SUMIFS($AV$7:$AV$1576,$BU$7:$BU$1576,BU25,$AY$7:$AY$1576,AY25,$BO$7:$BO$1576,"&lt;="&amp;BO25),"")</f>
        <v>11.1252354048964</v>
      </c>
      <c r="BA25" s="65" t="n">
        <f aca="false">IF(AZ25="",0,MAX(0,MIN(1,(IF(BU25="L1",Parameter!$E$5,Parameter!$E$6+Parameter!$E$7)-(AZ25-AV25))/AV25)))</f>
        <v>1</v>
      </c>
      <c r="BB25" s="55" t="str">
        <f aca="false">IF(AF25&lt;=0,"",IF(BU25="Aussen","Aussenlager",IF(BU25="-","Nicht im Lift",IF(AK25&gt;=1,"Lift",IF(AK25&lt;=0,"Aussenlager","teilweise")))))</f>
        <v>Lift</v>
      </c>
      <c r="BC25" s="55" t="str">
        <f aca="false">IF(AN25&lt;=0,"",IF(BU25="Aussen","Aussenlager",IF(BU25="-","Nicht im Lift",IF(AS25&gt;=1,"Lift",IF(AS25&lt;=0,"Aussenlager","teilweise")))))</f>
        <v>Lift</v>
      </c>
      <c r="BD25" s="55" t="str">
        <f aca="false">IF(AV25&lt;=0,"",IF(BU25="Aussen","Aussenlager",IF(BU25="-","Nicht im Lift",IF(BA25&gt;=1,"Lift",IF(BA25&lt;=0,"Aussenlager","teilweise")))))</f>
        <v>Lift</v>
      </c>
      <c r="BE25" s="55" t="str">
        <f aca="false">IF(A25="","",IF(BN25=1,"Neu; ","")&amp;IF(AND(BN25=0,BI25&lt;0),"negativer Bestand (Export "&amp;BI25&amp;"); ","")&amp;IF(I25&lt;=0,"Kein Verbrauch; ","")&amp;IF(CD25&gt;0,"Lift "&amp;U25&amp;" lt. Liftbericht (Fach "&amp;V25&amp;" Stk); ",IF(BR25=1,"Lose – Fläche geschätzt; ",""))&amp;IF(G25&gt;AP25,"Überbestand "&amp;ROUND(G25-AP25,0)&amp;" Stk / CHF "&amp;ROUND((G25-AP25)*F25,0)&amp;"; ","")&amp;IF(AND(BW25=1,BX25&lt;BY25),"MAX &lt; MB+LG; ","")&amp;IF(AND(CC25&gt;0,CB25*10&gt;CC25),"zu hoch für Tablar; ","")&amp;IF(AND(BN25=0,OR(BW25=1,Y25&lt;&gt;"",S25&lt;&gt;"",T25&lt;&gt;"",Z25&lt;&gt;"")),"manuell übersteuert; ","")&amp;IF(AND(BR25=0,Q25=0),"Gebinde unbekannt / Stellmass fehlt; ","")&amp;IF(AND(BR25=0,N(T25)&lt;=0,N(P25)&lt;=0),"Menge pro Gebinde fehlt (Ist = 1 Gebinde); ","")&amp;BM25)</f>
        <v>Lift 1 lt. Liftbericht (Fach 12 Stk); </v>
      </c>
      <c r="BF25" s="55"/>
      <c r="BG25" s="55"/>
      <c r="BH25" s="62"/>
      <c r="BI25" s="57" t="n">
        <v>5</v>
      </c>
      <c r="BJ25" s="57" t="n">
        <v>0</v>
      </c>
      <c r="BK25" s="56" t="n">
        <v>16340.6</v>
      </c>
      <c r="BL25" s="57" t="n">
        <v>24</v>
      </c>
      <c r="BM25" s="55"/>
      <c r="BN25" s="60" t="n">
        <v>0</v>
      </c>
      <c r="BO25" s="60" t="n">
        <v>25</v>
      </c>
      <c r="BP25" s="55" t="str">
        <f aca="false">IF(S25&lt;&gt;"",UPPER(TRIM(S25)),IF(O25="","LOSE",O25))</f>
        <v>LOSE</v>
      </c>
      <c r="BQ25" s="57" t="n">
        <f aca="false">IF(BP25="LOSE",1,IF(N(T25)&gt;0,T25,IF(N(P25)&gt;0,P25,MAX(1,G25))))</f>
        <v>1</v>
      </c>
      <c r="BR25" s="60" t="n">
        <f aca="false">IF(BP25="LOSE",1,0)</f>
        <v>1</v>
      </c>
      <c r="BS25" s="59" t="n">
        <f aca="false">IF(BR25=0,0,IF(N(R25)&gt;0,R25,IFERROR(VLOOKUP(D25,Parameter!$A$35:$C$64,3,0)+0,0)))</f>
        <v>1</v>
      </c>
      <c r="BT25" s="55" t="n">
        <f aca="false">IF(Y25&lt;&gt;"",Y25,X25)</f>
        <v>1</v>
      </c>
      <c r="BU25" s="55" t="str">
        <f aca="false">IF(BT25=1,"L1",IF(OR(BT25=2,BT25=3),"L23",IF(BT25="Aussen","Aussen","-")))</f>
        <v>L1</v>
      </c>
      <c r="BV25" s="66" t="n">
        <f aca="false">IF(N(Z25)&gt;0,Z25,0)</f>
        <v>0</v>
      </c>
      <c r="BW25" s="60" t="n">
        <f aca="false">IF(ISNUMBER(AC25),1,0)</f>
        <v>0</v>
      </c>
      <c r="BX25" s="57" t="n">
        <f aca="false">N(AC25)</f>
        <v>0</v>
      </c>
      <c r="BY25" s="57" t="n">
        <f aca="false">N(L25)+N(M25)</f>
        <v>9</v>
      </c>
      <c r="BZ25" s="57" t="n">
        <f aca="false">ROUNDUP(G25/BQ25,0)</f>
        <v>9</v>
      </c>
      <c r="CA25" s="57" t="n">
        <f aca="false">ROUNDUP(BX25/BQ25,0)</f>
        <v>0</v>
      </c>
      <c r="CB25" s="60" t="n">
        <f aca="false">IF(BR25=1,0,IFERROR(VLOOKUP(BP25,'Gebinde-Kategorie'!$A$5:$M$45,5,0)+0,0))</f>
        <v>0</v>
      </c>
      <c r="CC25" s="60" t="n">
        <f aca="false">IFERROR(IF(OR(BT25=1,BT25=2,BT25=3),N(INDEX(Parameter!$I$5:$I$7,BT25)),0),0)</f>
        <v>0</v>
      </c>
      <c r="CD25" s="59" t="n">
        <f aca="false">IF(AND(Parameter!$B$21="Ja",ISNUMBER(U25),N(V25)&gt;0),IFERROR(N(INDEX(Parameter!$L$5:$L$7,U25))*INDEX(Parameter!$E$5:$E$7,U25)*V25/SUMIFS($V$7:$V$1576,$U$7:$U$1576,U25),0),0)</f>
        <v>0.96045197740113</v>
      </c>
    </row>
    <row r="26" customFormat="false" ht="15" hidden="false" customHeight="false" outlineLevel="0" collapsed="false">
      <c r="A26" s="55" t="s">
        <v>213</v>
      </c>
      <c r="B26" s="55" t="s">
        <v>214</v>
      </c>
      <c r="C26" s="55" t="s">
        <v>160</v>
      </c>
      <c r="D26" s="55" t="s">
        <v>168</v>
      </c>
      <c r="E26" s="55" t="s">
        <v>210</v>
      </c>
      <c r="F26" s="56" t="n">
        <v>120.44</v>
      </c>
      <c r="G26" s="57" t="n">
        <f aca="false">MAX(0,IF(AND(Parameter!$B$21="Ja",ISNUMBER(W26)),W26,IF(Parameter!$B$20="Jahresanfang 2025 + Export",BJ26+BI26,BI26)))</f>
        <v>137</v>
      </c>
      <c r="H26" s="57" t="n">
        <f aca="false">G26*F26</f>
        <v>16500.28</v>
      </c>
      <c r="I26" s="57" t="n">
        <f aca="false">BL26*Parameter!$B$18</f>
        <v>62</v>
      </c>
      <c r="J26" s="58" t="n">
        <v>32.5</v>
      </c>
      <c r="K26" s="59" t="n">
        <v>1.90769230769231</v>
      </c>
      <c r="L26" s="57" t="n">
        <v>4</v>
      </c>
      <c r="M26" s="57" t="n">
        <v>35</v>
      </c>
      <c r="N26" s="60" t="n">
        <v>21</v>
      </c>
      <c r="O26" s="55" t="s">
        <v>215</v>
      </c>
      <c r="P26" s="57" t="n">
        <v>31</v>
      </c>
      <c r="Q26" s="60" t="n">
        <f aca="false">IF(BR26=1,0,IFERROR(VLOOKUP(BP26,'Gebinde-Kategorie'!$A$5:$M$45,13,0)+0,0))</f>
        <v>3</v>
      </c>
      <c r="R26" s="61"/>
      <c r="S26" s="62"/>
      <c r="T26" s="62"/>
      <c r="U26" s="55"/>
      <c r="V26" s="57"/>
      <c r="W26" s="57"/>
      <c r="X26" s="55" t="n">
        <f aca="false">IF(A26="","",IF(AND(Parameter!$B$21="Ja",ISNUMBER(U26)),U26,IF(IFERROR(VLOOKUP(D26,Parameter!$A$35:$C$64,2,0),"Nein")="2+3",IF(ISNUMBER(SEARCH("grosser Artikel",BM26)),2,IFERROR(VLOOKUP(BP26,Parameter!$F$35:$G$64,2,0),2)),IF(OR(IFERROR(VLOOKUP(D26,Parameter!$A$35:$C$64,2,0),"Nein")="Nein",IFERROR(VLOOKUP(D26,Parameter!$A$35:$C$64,2,0),"Nein")=""),"-",VLOOKUP(D26,Parameter!$A$35:$C$64,2,0)))))</f>
        <v>2</v>
      </c>
      <c r="Y26" s="62"/>
      <c r="Z26" s="63"/>
      <c r="AA26" s="57" t="n">
        <f aca="false">AP26</f>
        <v>62</v>
      </c>
      <c r="AB26" s="57" t="n">
        <f aca="false">MAX(AP26,G26)</f>
        <v>137</v>
      </c>
      <c r="AC26" s="64"/>
      <c r="AD26" s="57" t="n">
        <f aca="false">IF(LEFT(Cockpit!$C$5,1)="A",G26,IF(BW26=1,BX26,IF(LEFT(Cockpit!$C$5,1)="B",AH26,MAX(AH26,G26))))</f>
        <v>137</v>
      </c>
      <c r="AE26" s="57" t="n">
        <f aca="false">IF(BR26=1,0,ROUNDUP(AD26/BQ26,0))</f>
        <v>5</v>
      </c>
      <c r="AF26" s="59" t="n">
        <f aca="false">IF(CD26&gt;0,CD26*MAX(1,AD26/V26),IF(BR26=1,IF(AD26&lt;=0,0,BS26*MAX(1,IF(G26&gt;0,AD26/G26,1))),IF(Q26&gt;0,AE26/Q26,0))/MAX(0.1,N(Parameter!$M$21)))</f>
        <v>1.66666666666667</v>
      </c>
      <c r="AG26" s="57" t="n">
        <f aca="false">AD26*F26</f>
        <v>16500.28</v>
      </c>
      <c r="AH26" s="57" t="n">
        <f aca="false">ROUNDUP(MAX(I26/IF(BV26&gt;0,BV26,MAX(0.1,N(Cockpit!$C$6))),BY26)/BQ26,0)*BQ26</f>
        <v>62</v>
      </c>
      <c r="AI26" s="58" t="n">
        <f aca="false">IF(AF26&gt;0,I26/AF26,-1)</f>
        <v>37.2</v>
      </c>
      <c r="AJ26" s="58" t="n">
        <f aca="false">IF(AND(OR(BU26="L1",BU26="L23"),AF26&gt;0),SUMIFS($AF$7:$AF$1576,$BU$7:$BU$1576,BU26,$AI$7:$AI$1576,"&gt;"&amp;AI26)+SUMIFS($AF$7:$AF$1576,$BU$7:$BU$1576,BU26,$AI$7:$AI$1576,AI26,$BO$7:$BO$1576,"&lt;="&amp;BO26),"")</f>
        <v>27.6802739772305</v>
      </c>
      <c r="AK26" s="65" t="n">
        <f aca="false">IF(AJ26="",0,MAX(0,MIN(1,(IF(BU26="L1",Parameter!$E$5,Parameter!$E$6+Parameter!$E$7)-(AJ26-AF26))/AF26)))</f>
        <v>1</v>
      </c>
      <c r="AL26" s="57" t="n">
        <f aca="false">IF(LEFT(Cockpit!$I$5,1)="A",G26,IF(BW26=1,BX26,IF(LEFT(Cockpit!$I$5,1)="B",AP26,MAX(AP26,G26))))</f>
        <v>137</v>
      </c>
      <c r="AM26" s="57" t="n">
        <f aca="false">IF(BR26=1,0,ROUNDUP(AL26/BQ26,0))</f>
        <v>5</v>
      </c>
      <c r="AN26" s="59" t="n">
        <f aca="false">IF(CD26&gt;0,CD26*MAX(1,AL26/V26),IF(BR26=1,IF(AL26&lt;=0,0,BS26*MAX(1,IF(G26&gt;0,AL26/G26,1))),IF(Q26&gt;0,AM26/Q26,0))/MAX(0.1,N(Parameter!$M$21)))</f>
        <v>1.66666666666667</v>
      </c>
      <c r="AO26" s="57" t="n">
        <f aca="false">AL26*F26</f>
        <v>16500.28</v>
      </c>
      <c r="AP26" s="57" t="n">
        <f aca="false">ROUNDUP(MAX(I26/IF(BV26&gt;0,BV26,MAX(0.1,N(Cockpit!$I$6))),BY26)/BQ26,0)*BQ26</f>
        <v>62</v>
      </c>
      <c r="AQ26" s="58" t="n">
        <f aca="false">IF(AN26&gt;0,I26/AN26,-1)</f>
        <v>37.2</v>
      </c>
      <c r="AR26" s="58" t="n">
        <f aca="false">IF(AND(OR(BU26="L1",BU26="L23"),AN26&gt;0),SUMIFS($AN$7:$AN$1576,$BU$7:$BU$1576,BU26,$AQ$7:$AQ$1576,"&gt;"&amp;AQ26)+SUMIFS($AN$7:$AN$1576,$BU$7:$BU$1576,BU26,$AQ$7:$AQ$1576,AQ26,$BO$7:$BO$1576,"&lt;="&amp;BO26),"")</f>
        <v>92.7991012553624</v>
      </c>
      <c r="AS26" s="65" t="n">
        <f aca="false">IF(AR26="",0,MAX(0,MIN(1,(IF(BU26="L1",Parameter!$E$5,Parameter!$E$6+Parameter!$E$7)-(AR26-AN26))/AN26)))</f>
        <v>1</v>
      </c>
      <c r="AT26" s="57" t="n">
        <f aca="false">IF(LEFT(Cockpit!$O$5,1)="A",G26,IF(BW26=1,BX26,IF(LEFT(Cockpit!$O$5,1)="B",AX26,MAX(AX26,G26))))</f>
        <v>137</v>
      </c>
      <c r="AU26" s="57" t="n">
        <f aca="false">IF(BR26=1,0,ROUNDUP(AT26/BQ26,0))</f>
        <v>5</v>
      </c>
      <c r="AV26" s="59" t="n">
        <f aca="false">IF(CD26&gt;0,CD26*MAX(1,AT26/V26),IF(BR26=1,IF(AT26&lt;=0,0,BS26*MAX(1,IF(G26&gt;0,AT26/G26,1))),IF(Q26&gt;0,AU26/Q26,0))/MAX(0.1,N(Parameter!$M$21)))</f>
        <v>1.66666666666667</v>
      </c>
      <c r="AW26" s="57" t="n">
        <f aca="false">AT26*F26</f>
        <v>16500.28</v>
      </c>
      <c r="AX26" s="57" t="n">
        <f aca="false">ROUNDUP(MAX(I26/IF(BV26&gt;0,BV26,MAX(0.1,N(Cockpit!$O$6))),BY26)/BQ26,0)*BQ26</f>
        <v>62</v>
      </c>
      <c r="AY26" s="58" t="n">
        <f aca="false">IF(AV26&gt;0,I26/AV26,-1)</f>
        <v>37.2</v>
      </c>
      <c r="AZ26" s="58" t="n">
        <f aca="false">IF(AND(OR(BU26="L1",BU26="L23"),AV26&gt;0),SUMIFS($AV$7:$AV$1576,$BU$7:$BU$1576,BU26,$AY$7:$AY$1576,"&gt;"&amp;AY26)+SUMIFS($AV$7:$AV$1576,$BU$7:$BU$1576,BU26,$AY$7:$AY$1576,AY26,$BO$7:$BO$1576,"&lt;="&amp;BO26),"")</f>
        <v>84.5836517049129</v>
      </c>
      <c r="BA26" s="65" t="n">
        <f aca="false">IF(AZ26="",0,MAX(0,MIN(1,(IF(BU26="L1",Parameter!$E$5,Parameter!$E$6+Parameter!$E$7)-(AZ26-AV26))/AV26)))</f>
        <v>1</v>
      </c>
      <c r="BB26" s="55" t="str">
        <f aca="false">IF(AF26&lt;=0,"",IF(BU26="Aussen","Aussenlager",IF(BU26="-","Nicht im Lift",IF(AK26&gt;=1,"Lift",IF(AK26&lt;=0,"Aussenlager","teilweise")))))</f>
        <v>Lift</v>
      </c>
      <c r="BC26" s="55" t="str">
        <f aca="false">IF(AN26&lt;=0,"",IF(BU26="Aussen","Aussenlager",IF(BU26="-","Nicht im Lift",IF(AS26&gt;=1,"Lift",IF(AS26&lt;=0,"Aussenlager","teilweise")))))</f>
        <v>Lift</v>
      </c>
      <c r="BD26" s="55" t="str">
        <f aca="false">IF(AV26&lt;=0,"",IF(BU26="Aussen","Aussenlager",IF(BU26="-","Nicht im Lift",IF(BA26&gt;=1,"Lift",IF(BA26&lt;=0,"Aussenlager","teilweise")))))</f>
        <v>Lift</v>
      </c>
      <c r="BE26" s="55" t="str">
        <f aca="false">IF(A26="","",IF(BN26=1,"Neu; ","")&amp;IF(AND(BN26=0,BI26&lt;0),"negativer Bestand (Export "&amp;BI26&amp;"); ","")&amp;IF(I26&lt;=0,"Kein Verbrauch; ","")&amp;IF(CD26&gt;0,"Lift "&amp;U26&amp;" lt. Liftbericht (Fach "&amp;V26&amp;" Stk); ",IF(BR26=1,"Lose – Fläche geschätzt; ",""))&amp;IF(G26&gt;AP26,"Überbestand "&amp;ROUND(G26-AP26,0)&amp;" Stk / CHF "&amp;ROUND((G26-AP26)*F26,0)&amp;"; ","")&amp;IF(AND(BW26=1,BX26&lt;BY26),"MAX &lt; MB+LG; ","")&amp;IF(AND(CC26&gt;0,CB26*10&gt;CC26),"zu hoch für Tablar; ","")&amp;IF(AND(BN26=0,OR(BW26=1,Y26&lt;&gt;"",S26&lt;&gt;"",T26&lt;&gt;"",Z26&lt;&gt;"")),"manuell übersteuert; ","")&amp;IF(AND(BR26=0,Q26=0),"Gebinde unbekannt / Stellmass fehlt; ","")&amp;IF(AND(BR26=0,N(T26)&lt;=0,N(P26)&lt;=0),"Menge pro Gebinde fehlt (Ist = 1 Gebinde); ","")&amp;BM26)</f>
        <v>Überbestand 75 Stk / CHF 9033; </v>
      </c>
      <c r="BF26" s="55" t="s">
        <v>203</v>
      </c>
      <c r="BG26" s="55"/>
      <c r="BH26" s="62"/>
      <c r="BI26" s="57" t="n">
        <v>137</v>
      </c>
      <c r="BJ26" s="57" t="n">
        <v>30</v>
      </c>
      <c r="BK26" s="56" t="n">
        <v>15460.06</v>
      </c>
      <c r="BL26" s="57" t="n">
        <v>62</v>
      </c>
      <c r="BM26" s="55"/>
      <c r="BN26" s="60" t="n">
        <v>0</v>
      </c>
      <c r="BO26" s="60" t="n">
        <v>26</v>
      </c>
      <c r="BP26" s="55" t="str">
        <f aca="false">IF(S26&lt;&gt;"",UPPER(TRIM(S26)),IF(O26="","LOSE",O26))</f>
        <v>S81</v>
      </c>
      <c r="BQ26" s="57" t="n">
        <f aca="false">IF(BP26="LOSE",1,IF(N(T26)&gt;0,T26,IF(N(P26)&gt;0,P26,MAX(1,G26))))</f>
        <v>31</v>
      </c>
      <c r="BR26" s="60" t="n">
        <f aca="false">IF(BP26="LOSE",1,0)</f>
        <v>0</v>
      </c>
      <c r="BS26" s="59" t="n">
        <f aca="false">IF(BR26=0,0,IF(N(R26)&gt;0,R26,IFERROR(VLOOKUP(D26,Parameter!$A$35:$C$64,3,0)+0,0)))</f>
        <v>0</v>
      </c>
      <c r="BT26" s="55" t="n">
        <f aca="false">IF(Y26&lt;&gt;"",Y26,X26)</f>
        <v>2</v>
      </c>
      <c r="BU26" s="55" t="str">
        <f aca="false">IF(BT26=1,"L1",IF(OR(BT26=2,BT26=3),"L23",IF(BT26="Aussen","Aussen","-")))</f>
        <v>L23</v>
      </c>
      <c r="BV26" s="66" t="n">
        <f aca="false">IF(N(Z26)&gt;0,Z26,0)</f>
        <v>0</v>
      </c>
      <c r="BW26" s="60" t="n">
        <f aca="false">IF(ISNUMBER(AC26),1,0)</f>
        <v>0</v>
      </c>
      <c r="BX26" s="57" t="n">
        <f aca="false">N(AC26)</f>
        <v>0</v>
      </c>
      <c r="BY26" s="57" t="n">
        <f aca="false">N(L26)+N(M26)</f>
        <v>39</v>
      </c>
      <c r="BZ26" s="57" t="n">
        <f aca="false">ROUNDUP(G26/BQ26,0)</f>
        <v>5</v>
      </c>
      <c r="CA26" s="57" t="n">
        <f aca="false">ROUNDUP(BX26/BQ26,0)</f>
        <v>0</v>
      </c>
      <c r="CB26" s="60" t="n">
        <f aca="false">IF(BR26=1,0,IFERROR(VLOOKUP(BP26,'Gebinde-Kategorie'!$A$5:$M$45,5,0)+0,0))</f>
        <v>20</v>
      </c>
      <c r="CC26" s="60" t="n">
        <f aca="false">IFERROR(IF(OR(BT26=1,BT26=2,BT26=3),N(INDEX(Parameter!$I$5:$I$7,BT26)),0),0)</f>
        <v>0</v>
      </c>
      <c r="CD26" s="59" t="n">
        <f aca="false">IF(AND(Parameter!$B$21="Ja",ISNUMBER(U26),N(V26)&gt;0),IFERROR(N(INDEX(Parameter!$L$5:$L$7,U26))*INDEX(Parameter!$E$5:$E$7,U26)*V26/SUMIFS($V$7:$V$1576,$U$7:$U$1576,U26),0),0)</f>
        <v>0</v>
      </c>
    </row>
    <row r="27" customFormat="false" ht="15" hidden="false" customHeight="false" outlineLevel="0" collapsed="false">
      <c r="A27" s="55" t="s">
        <v>216</v>
      </c>
      <c r="B27" s="55" t="s">
        <v>217</v>
      </c>
      <c r="C27" s="55" t="s">
        <v>160</v>
      </c>
      <c r="D27" s="55" t="s">
        <v>178</v>
      </c>
      <c r="E27" s="55" t="s">
        <v>210</v>
      </c>
      <c r="F27" s="56" t="n">
        <v>177.9</v>
      </c>
      <c r="G27" s="57" t="n">
        <f aca="false">MAX(0,IF(AND(Parameter!$B$21="Ja",ISNUMBER(W27)),W27,IF(Parameter!$B$20="Jahresanfang 2025 + Export",BJ27+BI27,BI27)))</f>
        <v>84</v>
      </c>
      <c r="H27" s="57" t="n">
        <f aca="false">G27*F27</f>
        <v>14943.6</v>
      </c>
      <c r="I27" s="57" t="n">
        <f aca="false">BL27*Parameter!$B$18</f>
        <v>401</v>
      </c>
      <c r="J27" s="58" t="n">
        <v>80.5</v>
      </c>
      <c r="K27" s="59" t="n">
        <v>4.98136645962733</v>
      </c>
      <c r="L27" s="57" t="n">
        <v>23</v>
      </c>
      <c r="M27" s="57" t="n">
        <v>100</v>
      </c>
      <c r="N27" s="60" t="n">
        <v>21</v>
      </c>
      <c r="O27" s="55" t="s">
        <v>218</v>
      </c>
      <c r="P27" s="57" t="n">
        <v>204</v>
      </c>
      <c r="Q27" s="60" t="n">
        <f aca="false">IF(BR27=1,0,IFERROR(VLOOKUP(BP27,'Gebinde-Kategorie'!$A$5:$M$45,13,0)+0,0))</f>
        <v>12</v>
      </c>
      <c r="R27" s="61"/>
      <c r="S27" s="62"/>
      <c r="T27" s="62"/>
      <c r="U27" s="55"/>
      <c r="V27" s="57"/>
      <c r="W27" s="57"/>
      <c r="X27" s="55" t="n">
        <f aca="false">IF(A27="","",IF(AND(Parameter!$B$21="Ja",ISNUMBER(U27)),U27,IF(IFERROR(VLOOKUP(D27,Parameter!$A$35:$C$64,2,0),"Nein")="2+3",IF(ISNUMBER(SEARCH("grosser Artikel",BM27)),2,IFERROR(VLOOKUP(BP27,Parameter!$F$35:$G$64,2,0),2)),IF(OR(IFERROR(VLOOKUP(D27,Parameter!$A$35:$C$64,2,0),"Nein")="Nein",IFERROR(VLOOKUP(D27,Parameter!$A$35:$C$64,2,0),"Nein")=""),"-",VLOOKUP(D27,Parameter!$A$35:$C$64,2,0)))))</f>
        <v>2</v>
      </c>
      <c r="Y27" s="62"/>
      <c r="Z27" s="63"/>
      <c r="AA27" s="57" t="n">
        <f aca="false">AP27</f>
        <v>204</v>
      </c>
      <c r="AB27" s="57" t="n">
        <f aca="false">MAX(AP27,G27)</f>
        <v>204</v>
      </c>
      <c r="AC27" s="64"/>
      <c r="AD27" s="57" t="n">
        <f aca="false">IF(LEFT(Cockpit!$C$5,1)="A",G27,IF(BW27=1,BX27,IF(LEFT(Cockpit!$C$5,1)="B",AH27,MAX(AH27,G27))))</f>
        <v>84</v>
      </c>
      <c r="AE27" s="57" t="n">
        <f aca="false">IF(BR27=1,0,ROUNDUP(AD27/BQ27,0))</f>
        <v>1</v>
      </c>
      <c r="AF27" s="59" t="n">
        <f aca="false">IF(CD27&gt;0,CD27*MAX(1,AD27/V27),IF(BR27=1,IF(AD27&lt;=0,0,BS27*MAX(1,IF(G27&gt;0,AD27/G27,1))),IF(Q27&gt;0,AE27/Q27,0))/MAX(0.1,N(Parameter!$M$21)))</f>
        <v>0.0833333333333333</v>
      </c>
      <c r="AG27" s="57" t="n">
        <f aca="false">AD27*F27</f>
        <v>14943.6</v>
      </c>
      <c r="AH27" s="57" t="n">
        <f aca="false">ROUNDUP(MAX(I27/IF(BV27&gt;0,BV27,MAX(0.1,N(Cockpit!$C$6))),BY27)/BQ27,0)*BQ27</f>
        <v>204</v>
      </c>
      <c r="AI27" s="58" t="n">
        <f aca="false">IF(AF27&gt;0,I27/AF27,-1)</f>
        <v>4812</v>
      </c>
      <c r="AJ27" s="58" t="n">
        <f aca="false">IF(AND(OR(BU27="L1",BU27="L23"),AF27&gt;0),SUMIFS($AF$7:$AF$1576,$BU$7:$BU$1576,BU27,$AI$7:$AI$1576,"&gt;"&amp;AI27)+SUMIFS($AF$7:$AF$1576,$BU$7:$BU$1576,BU27,$AI$7:$AI$1576,AI27,$BO$7:$BO$1576,"&lt;="&amp;BO27),"")</f>
        <v>3.93579068274721</v>
      </c>
      <c r="AK27" s="65" t="n">
        <f aca="false">IF(AJ27="",0,MAX(0,MIN(1,(IF(BU27="L1",Parameter!$E$5,Parameter!$E$6+Parameter!$E$7)-(AJ27-AF27))/AF27)))</f>
        <v>1</v>
      </c>
      <c r="AL27" s="57" t="n">
        <f aca="false">IF(LEFT(Cockpit!$I$5,1)="A",G27,IF(BW27=1,BX27,IF(LEFT(Cockpit!$I$5,1)="B",AP27,MAX(AP27,G27))))</f>
        <v>204</v>
      </c>
      <c r="AM27" s="57" t="n">
        <f aca="false">IF(BR27=1,0,ROUNDUP(AL27/BQ27,0))</f>
        <v>1</v>
      </c>
      <c r="AN27" s="59" t="n">
        <f aca="false">IF(CD27&gt;0,CD27*MAX(1,AL27/V27),IF(BR27=1,IF(AL27&lt;=0,0,BS27*MAX(1,IF(G27&gt;0,AL27/G27,1))),IF(Q27&gt;0,AM27/Q27,0))/MAX(0.1,N(Parameter!$M$21)))</f>
        <v>0.0833333333333333</v>
      </c>
      <c r="AO27" s="57" t="n">
        <f aca="false">AL27*F27</f>
        <v>36291.6</v>
      </c>
      <c r="AP27" s="57" t="n">
        <f aca="false">ROUNDUP(MAX(I27/IF(BV27&gt;0,BV27,MAX(0.1,N(Cockpit!$I$6))),BY27)/BQ27,0)*BQ27</f>
        <v>204</v>
      </c>
      <c r="AQ27" s="58" t="n">
        <f aca="false">IF(AN27&gt;0,I27/AN27,-1)</f>
        <v>4812</v>
      </c>
      <c r="AR27" s="58" t="n">
        <f aca="false">IF(AND(OR(BU27="L1",BU27="L23"),AN27&gt;0),SUMIFS($AN$7:$AN$1576,$BU$7:$BU$1576,BU27,$AQ$7:$AQ$1576,"&gt;"&amp;AQ27)+SUMIFS($AN$7:$AN$1576,$BU$7:$BU$1576,BU27,$AQ$7:$AQ$1576,AQ27,$BO$7:$BO$1576,"&lt;="&amp;BO27),"")</f>
        <v>11.5153835782575</v>
      </c>
      <c r="AS27" s="65" t="n">
        <f aca="false">IF(AR27="",0,MAX(0,MIN(1,(IF(BU27="L1",Parameter!$E$5,Parameter!$E$6+Parameter!$E$7)-(AR27-AN27))/AN27)))</f>
        <v>1</v>
      </c>
      <c r="AT27" s="57" t="n">
        <f aca="false">IF(LEFT(Cockpit!$O$5,1)="A",G27,IF(BW27=1,BX27,IF(LEFT(Cockpit!$O$5,1)="B",AX27,MAX(AX27,G27))))</f>
        <v>204</v>
      </c>
      <c r="AU27" s="57" t="n">
        <f aca="false">IF(BR27=1,0,ROUNDUP(AT27/BQ27,0))</f>
        <v>1</v>
      </c>
      <c r="AV27" s="59" t="n">
        <f aca="false">IF(CD27&gt;0,CD27*MAX(1,AT27/V27),IF(BR27=1,IF(AT27&lt;=0,0,BS27*MAX(1,IF(G27&gt;0,AT27/G27,1))),IF(Q27&gt;0,AU27/Q27,0))/MAX(0.1,N(Parameter!$M$21)))</f>
        <v>0.0833333333333333</v>
      </c>
      <c r="AW27" s="57" t="n">
        <f aca="false">AT27*F27</f>
        <v>36291.6</v>
      </c>
      <c r="AX27" s="57" t="n">
        <f aca="false">ROUNDUP(MAX(I27/IF(BV27&gt;0,BV27,MAX(0.1,N(Cockpit!$O$6))),BY27)/BQ27,0)*BQ27</f>
        <v>204</v>
      </c>
      <c r="AY27" s="58" t="n">
        <f aca="false">IF(AV27&gt;0,I27/AV27,-1)</f>
        <v>4812</v>
      </c>
      <c r="AZ27" s="58" t="n">
        <f aca="false">IF(AND(OR(BU27="L1",BU27="L23"),AV27&gt;0),SUMIFS($AV$7:$AV$1576,$BU$7:$BU$1576,BU27,$AY$7:$AY$1576,"&gt;"&amp;AY27)+SUMIFS($AV$7:$AV$1576,$BU$7:$BU$1576,BU27,$AY$7:$AY$1576,AY27,$BO$7:$BO$1576,"&lt;="&amp;BO27),"")</f>
        <v>10.73624604912</v>
      </c>
      <c r="BA27" s="65" t="n">
        <f aca="false">IF(AZ27="",0,MAX(0,MIN(1,(IF(BU27="L1",Parameter!$E$5,Parameter!$E$6+Parameter!$E$7)-(AZ27-AV27))/AV27)))</f>
        <v>1</v>
      </c>
      <c r="BB27" s="55" t="str">
        <f aca="false">IF(AF27&lt;=0,"",IF(BU27="Aussen","Aussenlager",IF(BU27="-","Nicht im Lift",IF(AK27&gt;=1,"Lift",IF(AK27&lt;=0,"Aussenlager","teilweise")))))</f>
        <v>Lift</v>
      </c>
      <c r="BC27" s="55" t="str">
        <f aca="false">IF(AN27&lt;=0,"",IF(BU27="Aussen","Aussenlager",IF(BU27="-","Nicht im Lift",IF(AS27&gt;=1,"Lift",IF(AS27&lt;=0,"Aussenlager","teilweise")))))</f>
        <v>Lift</v>
      </c>
      <c r="BD27" s="55" t="str">
        <f aca="false">IF(AV27&lt;=0,"",IF(BU27="Aussen","Aussenlager",IF(BU27="-","Nicht im Lift",IF(BA27&gt;=1,"Lift",IF(BA27&lt;=0,"Aussenlager","teilweise")))))</f>
        <v>Lift</v>
      </c>
      <c r="BE27" s="55" t="str">
        <f aca="false">IF(A27="","",IF(BN27=1,"Neu; ","")&amp;IF(AND(BN27=0,BI27&lt;0),"negativer Bestand (Export "&amp;BI27&amp;"); ","")&amp;IF(I27&lt;=0,"Kein Verbrauch; ","")&amp;IF(CD27&gt;0,"Lift "&amp;U27&amp;" lt. Liftbericht (Fach "&amp;V27&amp;" Stk); ",IF(BR27=1,"Lose – Fläche geschätzt; ",""))&amp;IF(G27&gt;AP27,"Überbestand "&amp;ROUND(G27-AP27,0)&amp;" Stk / CHF "&amp;ROUND((G27-AP27)*F27,0)&amp;"; ","")&amp;IF(AND(BW27=1,BX27&lt;BY27),"MAX &lt; MB+LG; ","")&amp;IF(AND(CC27&gt;0,CB27*10&gt;CC27),"zu hoch für Tablar; ","")&amp;IF(AND(BN27=0,OR(BW27=1,Y27&lt;&gt;"",S27&lt;&gt;"",T27&lt;&gt;"",Z27&lt;&gt;"")),"manuell übersteuert; ","")&amp;IF(AND(BR27=0,Q27=0),"Gebinde unbekannt / Stellmass fehlt; ","")&amp;IF(AND(BR27=0,N(T27)&lt;=0,N(P27)&lt;=0),"Menge pro Gebinde fehlt (Ist = 1 Gebinde); ","")&amp;BM27)</f>
        <v/>
      </c>
      <c r="BF27" s="55" t="s">
        <v>219</v>
      </c>
      <c r="BG27" s="55"/>
      <c r="BH27" s="62"/>
      <c r="BI27" s="57" t="n">
        <v>84</v>
      </c>
      <c r="BJ27" s="57" t="n">
        <v>31</v>
      </c>
      <c r="BK27" s="56" t="n">
        <v>14939.18</v>
      </c>
      <c r="BL27" s="57" t="n">
        <v>401</v>
      </c>
      <c r="BM27" s="55"/>
      <c r="BN27" s="60" t="n">
        <v>0</v>
      </c>
      <c r="BO27" s="60" t="n">
        <v>27</v>
      </c>
      <c r="BP27" s="55" t="str">
        <f aca="false">IF(S27&lt;&gt;"",UPPER(TRIM(S27)),IF(O27="","LOSE",O27))</f>
        <v>S63</v>
      </c>
      <c r="BQ27" s="57" t="n">
        <f aca="false">IF(BP27="LOSE",1,IF(N(T27)&gt;0,T27,IF(N(P27)&gt;0,P27,MAX(1,G27))))</f>
        <v>204</v>
      </c>
      <c r="BR27" s="60" t="n">
        <f aca="false">IF(BP27="LOSE",1,0)</f>
        <v>0</v>
      </c>
      <c r="BS27" s="59" t="n">
        <f aca="false">IF(BR27=0,0,IF(N(R27)&gt;0,R27,IFERROR(VLOOKUP(D27,Parameter!$A$35:$C$64,3,0)+0,0)))</f>
        <v>0</v>
      </c>
      <c r="BT27" s="55" t="n">
        <f aca="false">IF(Y27&lt;&gt;"",Y27,X27)</f>
        <v>2</v>
      </c>
      <c r="BU27" s="55" t="str">
        <f aca="false">IF(BT27=1,"L1",IF(OR(BT27=2,BT27=3),"L23",IF(BT27="Aussen","Aussen","-")))</f>
        <v>L23</v>
      </c>
      <c r="BV27" s="66" t="n">
        <f aca="false">IF(N(Z27)&gt;0,Z27,0)</f>
        <v>0</v>
      </c>
      <c r="BW27" s="60" t="n">
        <f aca="false">IF(ISNUMBER(AC27),1,0)</f>
        <v>0</v>
      </c>
      <c r="BX27" s="57" t="n">
        <f aca="false">N(AC27)</f>
        <v>0</v>
      </c>
      <c r="BY27" s="57" t="n">
        <f aca="false">N(L27)+N(M27)</f>
        <v>123</v>
      </c>
      <c r="BZ27" s="57" t="n">
        <f aca="false">ROUNDUP(G27/BQ27,0)</f>
        <v>1</v>
      </c>
      <c r="CA27" s="57" t="n">
        <f aca="false">ROUNDUP(BX27/BQ27,0)</f>
        <v>0</v>
      </c>
      <c r="CB27" s="60" t="n">
        <f aca="false">IF(BR27=1,0,IFERROR(VLOOKUP(BP27,'Gebinde-Kategorie'!$A$5:$M$45,5,0)+0,0))</f>
        <v>31</v>
      </c>
      <c r="CC27" s="60" t="n">
        <f aca="false">IFERROR(IF(OR(BT27=1,BT27=2,BT27=3),N(INDEX(Parameter!$I$5:$I$7,BT27)),0),0)</f>
        <v>0</v>
      </c>
      <c r="CD27" s="59" t="n">
        <f aca="false">IF(AND(Parameter!$B$21="Ja",ISNUMBER(U27),N(V27)&gt;0),IFERROR(N(INDEX(Parameter!$L$5:$L$7,U27))*INDEX(Parameter!$E$5:$E$7,U27)*V27/SUMIFS($V$7:$V$1576,$U$7:$U$1576,U27),0),0)</f>
        <v>0</v>
      </c>
    </row>
    <row r="28" customFormat="false" ht="15" hidden="false" customHeight="false" outlineLevel="0" collapsed="false">
      <c r="A28" s="55" t="s">
        <v>220</v>
      </c>
      <c r="B28" s="55" t="s">
        <v>221</v>
      </c>
      <c r="C28" s="55" t="s">
        <v>160</v>
      </c>
      <c r="D28" s="55" t="s">
        <v>168</v>
      </c>
      <c r="E28" s="55" t="s">
        <v>210</v>
      </c>
      <c r="F28" s="56" t="n">
        <v>400.55</v>
      </c>
      <c r="G28" s="57" t="n">
        <f aca="false">MAX(0,IF(AND(Parameter!$B$21="Ja",ISNUMBER(W28)),W28,IF(Parameter!$B$20="Jahresanfang 2025 + Export",BJ28+BI28,BI28)))</f>
        <v>35</v>
      </c>
      <c r="H28" s="57" t="n">
        <f aca="false">G28*F28</f>
        <v>14019.25</v>
      </c>
      <c r="I28" s="57" t="n">
        <f aca="false">BL28*Parameter!$B$18</f>
        <v>276</v>
      </c>
      <c r="J28" s="58" t="n">
        <v>24.5</v>
      </c>
      <c r="K28" s="59" t="n">
        <v>11.265306122449</v>
      </c>
      <c r="L28" s="57" t="n">
        <v>21</v>
      </c>
      <c r="M28" s="57" t="n">
        <v>35</v>
      </c>
      <c r="N28" s="60" t="n">
        <v>28</v>
      </c>
      <c r="O28" s="55" t="s">
        <v>163</v>
      </c>
      <c r="P28" s="57"/>
      <c r="Q28" s="60" t="n">
        <f aca="false">IF(BR28=1,0,IFERROR(VLOOKUP(BP28,'Gebinde-Kategorie'!$A$5:$M$45,13,0)+0,0))</f>
        <v>0</v>
      </c>
      <c r="R28" s="61"/>
      <c r="S28" s="62"/>
      <c r="T28" s="62"/>
      <c r="U28" s="55"/>
      <c r="V28" s="57"/>
      <c r="W28" s="57"/>
      <c r="X28" s="55" t="n">
        <f aca="false">IF(A28="","",IF(AND(Parameter!$B$21="Ja",ISNUMBER(U28)),U28,IF(IFERROR(VLOOKUP(D28,Parameter!$A$35:$C$64,2,0),"Nein")="2+3",IF(ISNUMBER(SEARCH("grosser Artikel",BM28)),2,IFERROR(VLOOKUP(BP28,Parameter!$F$35:$G$64,2,0),2)),IF(OR(IFERROR(VLOOKUP(D28,Parameter!$A$35:$C$64,2,0),"Nein")="Nein",IFERROR(VLOOKUP(D28,Parameter!$A$35:$C$64,2,0),"Nein")=""),"-",VLOOKUP(D28,Parameter!$A$35:$C$64,2,0)))))</f>
        <v>2</v>
      </c>
      <c r="Y28" s="62"/>
      <c r="Z28" s="63"/>
      <c r="AA28" s="57" t="n">
        <f aca="false">AP28</f>
        <v>138</v>
      </c>
      <c r="AB28" s="57" t="n">
        <f aca="false">MAX(AP28,G28)</f>
        <v>138</v>
      </c>
      <c r="AC28" s="64"/>
      <c r="AD28" s="57" t="n">
        <f aca="false">IF(LEFT(Cockpit!$C$5,1)="A",G28,IF(BW28=1,BX28,IF(LEFT(Cockpit!$C$5,1)="B",AH28,MAX(AH28,G28))))</f>
        <v>35</v>
      </c>
      <c r="AE28" s="57" t="n">
        <f aca="false">IF(BR28=1,0,ROUNDUP(AD28/BQ28,0))</f>
        <v>0</v>
      </c>
      <c r="AF28" s="59" t="n">
        <f aca="false">IF(CD28&gt;0,CD28*MAX(1,AD28/V28),IF(BR28=1,IF(AD28&lt;=0,0,BS28*MAX(1,IF(G28&gt;0,AD28/G28,1))),IF(Q28&gt;0,AE28/Q28,0))/MAX(0.1,N(Parameter!$M$21)))</f>
        <v>0.15</v>
      </c>
      <c r="AG28" s="57" t="n">
        <f aca="false">AD28*F28</f>
        <v>14019.25</v>
      </c>
      <c r="AH28" s="57" t="n">
        <f aca="false">ROUNDUP(MAX(I28/IF(BV28&gt;0,BV28,MAX(0.1,N(Cockpit!$C$6))),BY28)/BQ28,0)*BQ28</f>
        <v>138</v>
      </c>
      <c r="AI28" s="58" t="n">
        <f aca="false">IF(AF28&gt;0,I28/AF28,-1)</f>
        <v>1840</v>
      </c>
      <c r="AJ28" s="58" t="n">
        <f aca="false">IF(AND(OR(BU28="L1",BU28="L23"),AF28&gt;0),SUMIFS($AF$7:$AF$1576,$BU$7:$BU$1576,BU28,$AI$7:$AI$1576,"&gt;"&amp;AI28)+SUMIFS($AF$7:$AF$1576,$BU$7:$BU$1576,BU28,$AI$7:$AI$1576,AI28,$BO$7:$BO$1576,"&lt;="&amp;BO28),"")</f>
        <v>7.09606060606061</v>
      </c>
      <c r="AK28" s="65" t="n">
        <f aca="false">IF(AJ28="",0,MAX(0,MIN(1,(IF(BU28="L1",Parameter!$E$5,Parameter!$E$6+Parameter!$E$7)-(AJ28-AF28))/AF28)))</f>
        <v>1</v>
      </c>
      <c r="AL28" s="57" t="n">
        <f aca="false">IF(LEFT(Cockpit!$I$5,1)="A",G28,IF(BW28=1,BX28,IF(LEFT(Cockpit!$I$5,1)="B",AP28,MAX(AP28,G28))))</f>
        <v>138</v>
      </c>
      <c r="AM28" s="57" t="n">
        <f aca="false">IF(BR28=1,0,ROUNDUP(AL28/BQ28,0))</f>
        <v>0</v>
      </c>
      <c r="AN28" s="59" t="n">
        <f aca="false">IF(CD28&gt;0,CD28*MAX(1,AL28/V28),IF(BR28=1,IF(AL28&lt;=0,0,BS28*MAX(1,IF(G28&gt;0,AL28/G28,1))),IF(Q28&gt;0,AM28/Q28,0))/MAX(0.1,N(Parameter!$M$21)))</f>
        <v>0.591428571428571</v>
      </c>
      <c r="AO28" s="57" t="n">
        <f aca="false">AL28*F28</f>
        <v>55275.9</v>
      </c>
      <c r="AP28" s="57" t="n">
        <f aca="false">ROUNDUP(MAX(I28/IF(BV28&gt;0,BV28,MAX(0.1,N(Cockpit!$I$6))),BY28)/BQ28,0)*BQ28</f>
        <v>138</v>
      </c>
      <c r="AQ28" s="58" t="n">
        <f aca="false">IF(AN28&gt;0,I28/AN28,-1)</f>
        <v>466.666666666667</v>
      </c>
      <c r="AR28" s="58" t="n">
        <f aca="false">IF(AND(OR(BU28="L1",BU28="L23"),AN28&gt;0),SUMIFS($AN$7:$AN$1576,$BU$7:$BU$1576,BU28,$AQ$7:$AQ$1576,"&gt;"&amp;AQ28)+SUMIFS($AN$7:$AN$1576,$BU$7:$BU$1576,BU28,$AQ$7:$AQ$1576,AQ28,$BO$7:$BO$1576,"&lt;="&amp;BO28),"")</f>
        <v>35.1421102692953</v>
      </c>
      <c r="AS28" s="65" t="n">
        <f aca="false">IF(AR28="",0,MAX(0,MIN(1,(IF(BU28="L1",Parameter!$E$5,Parameter!$E$6+Parameter!$E$7)-(AR28-AN28))/AN28)))</f>
        <v>1</v>
      </c>
      <c r="AT28" s="57" t="n">
        <f aca="false">IF(LEFT(Cockpit!$O$5,1)="A",G28,IF(BW28=1,BX28,IF(LEFT(Cockpit!$O$5,1)="B",AX28,MAX(AX28,G28))))</f>
        <v>92</v>
      </c>
      <c r="AU28" s="57" t="n">
        <f aca="false">IF(BR28=1,0,ROUNDUP(AT28/BQ28,0))</f>
        <v>0</v>
      </c>
      <c r="AV28" s="59" t="n">
        <f aca="false">IF(CD28&gt;0,CD28*MAX(1,AT28/V28),IF(BR28=1,IF(AT28&lt;=0,0,BS28*MAX(1,IF(G28&gt;0,AT28/G28,1))),IF(Q28&gt;0,AU28/Q28,0))/MAX(0.1,N(Parameter!$M$21)))</f>
        <v>0.394285714285714</v>
      </c>
      <c r="AW28" s="57" t="n">
        <f aca="false">AT28*F28</f>
        <v>36850.6</v>
      </c>
      <c r="AX28" s="57" t="n">
        <f aca="false">ROUNDUP(MAX(I28/IF(BV28&gt;0,BV28,MAX(0.1,N(Cockpit!$O$6))),BY28)/BQ28,0)*BQ28</f>
        <v>92</v>
      </c>
      <c r="AY28" s="58" t="n">
        <f aca="false">IF(AV28&gt;0,I28/AV28,-1)</f>
        <v>700</v>
      </c>
      <c r="AZ28" s="58" t="n">
        <f aca="false">IF(AND(OR(BU28="L1",BU28="L23"),AV28&gt;0),SUMIFS($AV$7:$AV$1576,$BU$7:$BU$1576,BU28,$AY$7:$AY$1576,"&gt;"&amp;AY28)+SUMIFS($AV$7:$AV$1576,$BU$7:$BU$1576,BU28,$AY$7:$AY$1576,AY28,$BO$7:$BO$1576,"&lt;="&amp;BO28),"")</f>
        <v>28.510219937405</v>
      </c>
      <c r="BA28" s="65" t="n">
        <f aca="false">IF(AZ28="",0,MAX(0,MIN(1,(IF(BU28="L1",Parameter!$E$5,Parameter!$E$6+Parameter!$E$7)-(AZ28-AV28))/AV28)))</f>
        <v>1</v>
      </c>
      <c r="BB28" s="55" t="str">
        <f aca="false">IF(AF28&lt;=0,"",IF(BU28="Aussen","Aussenlager",IF(BU28="-","Nicht im Lift",IF(AK28&gt;=1,"Lift",IF(AK28&lt;=0,"Aussenlager","teilweise")))))</f>
        <v>Lift</v>
      </c>
      <c r="BC28" s="55" t="str">
        <f aca="false">IF(AN28&lt;=0,"",IF(BU28="Aussen","Aussenlager",IF(BU28="-","Nicht im Lift",IF(AS28&gt;=1,"Lift",IF(AS28&lt;=0,"Aussenlager","teilweise")))))</f>
        <v>Lift</v>
      </c>
      <c r="BD28" s="55" t="str">
        <f aca="false">IF(AV28&lt;=0,"",IF(BU28="Aussen","Aussenlager",IF(BU28="-","Nicht im Lift",IF(BA28&gt;=1,"Lift",IF(BA28&lt;=0,"Aussenlager","teilweise")))))</f>
        <v>Lift</v>
      </c>
      <c r="BE28" s="55" t="str">
        <f aca="false">IF(A28="","",IF(BN28=1,"Neu; ","")&amp;IF(AND(BN28=0,BI28&lt;0),"negativer Bestand (Export "&amp;BI28&amp;"); ","")&amp;IF(I28&lt;=0,"Kein Verbrauch; ","")&amp;IF(CD28&gt;0,"Lift "&amp;U28&amp;" lt. Liftbericht (Fach "&amp;V28&amp;" Stk); ",IF(BR28=1,"Lose – Fläche geschätzt; ",""))&amp;IF(G28&gt;AP28,"Überbestand "&amp;ROUND(G28-AP28,0)&amp;" Stk / CHF "&amp;ROUND((G28-AP28)*F28,0)&amp;"; ","")&amp;IF(AND(BW28=1,BX28&lt;BY28),"MAX &lt; MB+LG; ","")&amp;IF(AND(CC28&gt;0,CB28*10&gt;CC28),"zu hoch für Tablar; ","")&amp;IF(AND(BN28=0,OR(BW28=1,Y28&lt;&gt;"",S28&lt;&gt;"",T28&lt;&gt;"",Z28&lt;&gt;"")),"manuell übersteuert; ","")&amp;IF(AND(BR28=0,Q28=0),"Gebinde unbekannt / Stellmass fehlt; ","")&amp;IF(AND(BR28=0,N(T28)&lt;=0,N(P28)&lt;=0),"Menge pro Gebinde fehlt (Ist = 1 Gebinde); ","")&amp;BM28)</f>
        <v>Lose – Fläche geschätzt; nicht im KTL vorhanden</v>
      </c>
      <c r="BF28" s="55"/>
      <c r="BG28" s="55"/>
      <c r="BH28" s="62"/>
      <c r="BI28" s="57" t="n">
        <v>35</v>
      </c>
      <c r="BJ28" s="57" t="n">
        <v>6</v>
      </c>
      <c r="BK28" s="56" t="n">
        <v>13842.61</v>
      </c>
      <c r="BL28" s="57" t="n">
        <v>276</v>
      </c>
      <c r="BM28" s="55" t="s">
        <v>222</v>
      </c>
      <c r="BN28" s="60" t="n">
        <v>0</v>
      </c>
      <c r="BO28" s="60" t="n">
        <v>28</v>
      </c>
      <c r="BP28" s="55" t="str">
        <f aca="false">IF(S28&lt;&gt;"",UPPER(TRIM(S28)),IF(O28="","LOSE",O28))</f>
        <v>LOSE</v>
      </c>
      <c r="BQ28" s="57" t="n">
        <f aca="false">IF(BP28="LOSE",1,IF(N(T28)&gt;0,T28,IF(N(P28)&gt;0,P28,MAX(1,G28))))</f>
        <v>1</v>
      </c>
      <c r="BR28" s="60" t="n">
        <f aca="false">IF(BP28="LOSE",1,0)</f>
        <v>1</v>
      </c>
      <c r="BS28" s="59" t="n">
        <f aca="false">IF(BR28=0,0,IF(N(R28)&gt;0,R28,IFERROR(VLOOKUP(D28,Parameter!$A$35:$C$64,3,0)+0,0)))</f>
        <v>0.15</v>
      </c>
      <c r="BT28" s="55" t="n">
        <f aca="false">IF(Y28&lt;&gt;"",Y28,X28)</f>
        <v>2</v>
      </c>
      <c r="BU28" s="55" t="str">
        <f aca="false">IF(BT28=1,"L1",IF(OR(BT28=2,BT28=3),"L23",IF(BT28="Aussen","Aussen","-")))</f>
        <v>L23</v>
      </c>
      <c r="BV28" s="66" t="n">
        <f aca="false">IF(N(Z28)&gt;0,Z28,0)</f>
        <v>0</v>
      </c>
      <c r="BW28" s="60" t="n">
        <f aca="false">IF(ISNUMBER(AC28),1,0)</f>
        <v>0</v>
      </c>
      <c r="BX28" s="57" t="n">
        <f aca="false">N(AC28)</f>
        <v>0</v>
      </c>
      <c r="BY28" s="57" t="n">
        <f aca="false">N(L28)+N(M28)</f>
        <v>56</v>
      </c>
      <c r="BZ28" s="57" t="n">
        <f aca="false">ROUNDUP(G28/BQ28,0)</f>
        <v>35</v>
      </c>
      <c r="CA28" s="57" t="n">
        <f aca="false">ROUNDUP(BX28/BQ28,0)</f>
        <v>0</v>
      </c>
      <c r="CB28" s="60" t="n">
        <f aca="false">IF(BR28=1,0,IFERROR(VLOOKUP(BP28,'Gebinde-Kategorie'!$A$5:$M$45,5,0)+0,0))</f>
        <v>0</v>
      </c>
      <c r="CC28" s="60" t="n">
        <f aca="false">IFERROR(IF(OR(BT28=1,BT28=2,BT28=3),N(INDEX(Parameter!$I$5:$I$7,BT28)),0),0)</f>
        <v>0</v>
      </c>
      <c r="CD28" s="59" t="n">
        <f aca="false">IF(AND(Parameter!$B$21="Ja",ISNUMBER(U28),N(V28)&gt;0),IFERROR(N(INDEX(Parameter!$L$5:$L$7,U28))*INDEX(Parameter!$E$5:$E$7,U28)*V28/SUMIFS($V$7:$V$1576,$U$7:$U$1576,U28),0),0)</f>
        <v>0</v>
      </c>
    </row>
    <row r="29" customFormat="false" ht="15" hidden="false" customHeight="false" outlineLevel="0" collapsed="false">
      <c r="A29" s="55" t="s">
        <v>223</v>
      </c>
      <c r="B29" s="55" t="s">
        <v>224</v>
      </c>
      <c r="C29" s="55" t="s">
        <v>160</v>
      </c>
      <c r="D29" s="55" t="s">
        <v>178</v>
      </c>
      <c r="E29" s="55" t="s">
        <v>210</v>
      </c>
      <c r="F29" s="56" t="n">
        <v>1048.6</v>
      </c>
      <c r="G29" s="57" t="n">
        <f aca="false">MAX(0,IF(AND(Parameter!$B$21="Ja",ISNUMBER(W29)),W29,IF(Parameter!$B$20="Jahresanfang 2025 + Export",BJ29+BI29,BI29)))</f>
        <v>11</v>
      </c>
      <c r="H29" s="57" t="n">
        <f aca="false">G29*F29</f>
        <v>11534.6</v>
      </c>
      <c r="I29" s="57" t="n">
        <f aca="false">BL29*Parameter!$B$18</f>
        <v>23</v>
      </c>
      <c r="J29" s="58" t="n">
        <v>1.5</v>
      </c>
      <c r="K29" s="59" t="n">
        <v>15.3333333333333</v>
      </c>
      <c r="L29" s="57" t="n">
        <v>6</v>
      </c>
      <c r="M29" s="57" t="n">
        <v>5</v>
      </c>
      <c r="N29" s="60" t="n">
        <v>100</v>
      </c>
      <c r="O29" s="55" t="s">
        <v>225</v>
      </c>
      <c r="P29" s="57" t="n">
        <v>20</v>
      </c>
      <c r="Q29" s="60" t="n">
        <f aca="false">IF(BR29=1,0,IFERROR(VLOOKUP(BP29,'Gebinde-Kategorie'!$A$5:$M$45,13,0)+0,0))</f>
        <v>26</v>
      </c>
      <c r="R29" s="61"/>
      <c r="S29" s="62"/>
      <c r="T29" s="62"/>
      <c r="U29" s="55"/>
      <c r="V29" s="57"/>
      <c r="W29" s="57"/>
      <c r="X29" s="55" t="n">
        <f aca="false">IF(A29="","",IF(AND(Parameter!$B$21="Ja",ISNUMBER(U29)),U29,IF(IFERROR(VLOOKUP(D29,Parameter!$A$35:$C$64,2,0),"Nein")="2+3",IF(ISNUMBER(SEARCH("grosser Artikel",BM29)),2,IFERROR(VLOOKUP(BP29,Parameter!$F$35:$G$64,2,0),2)),IF(OR(IFERROR(VLOOKUP(D29,Parameter!$A$35:$C$64,2,0),"Nein")="Nein",IFERROR(VLOOKUP(D29,Parameter!$A$35:$C$64,2,0),"Nein")=""),"-",VLOOKUP(D29,Parameter!$A$35:$C$64,2,0)))))</f>
        <v>3</v>
      </c>
      <c r="Y29" s="62"/>
      <c r="Z29" s="63"/>
      <c r="AA29" s="57" t="n">
        <f aca="false">AP29</f>
        <v>20</v>
      </c>
      <c r="AB29" s="57" t="n">
        <f aca="false">MAX(AP29,G29)</f>
        <v>20</v>
      </c>
      <c r="AC29" s="64"/>
      <c r="AD29" s="57" t="n">
        <f aca="false">IF(LEFT(Cockpit!$C$5,1)="A",G29,IF(BW29=1,BX29,IF(LEFT(Cockpit!$C$5,1)="B",AH29,MAX(AH29,G29))))</f>
        <v>11</v>
      </c>
      <c r="AE29" s="57" t="n">
        <f aca="false">IF(BR29=1,0,ROUNDUP(AD29/BQ29,0))</f>
        <v>1</v>
      </c>
      <c r="AF29" s="59" t="n">
        <f aca="false">IF(CD29&gt;0,CD29*MAX(1,AD29/V29),IF(BR29=1,IF(AD29&lt;=0,0,BS29*MAX(1,IF(G29&gt;0,AD29/G29,1))),IF(Q29&gt;0,AE29/Q29,0))/MAX(0.1,N(Parameter!$M$21)))</f>
        <v>0.0384615384615385</v>
      </c>
      <c r="AG29" s="57" t="n">
        <f aca="false">AD29*F29</f>
        <v>11534.6</v>
      </c>
      <c r="AH29" s="57" t="n">
        <f aca="false">ROUNDUP(MAX(I29/IF(BV29&gt;0,BV29,MAX(0.1,N(Cockpit!$C$6))),BY29)/BQ29,0)*BQ29</f>
        <v>20</v>
      </c>
      <c r="AI29" s="58" t="n">
        <f aca="false">IF(AF29&gt;0,I29/AF29,-1)</f>
        <v>598</v>
      </c>
      <c r="AJ29" s="58" t="n">
        <f aca="false">IF(AND(OR(BU29="L1",BU29="L23"),AF29&gt;0),SUMIFS($AF$7:$AF$1576,$BU$7:$BU$1576,BU29,$AI$7:$AI$1576,"&gt;"&amp;AI29)+SUMIFS($AF$7:$AF$1576,$BU$7:$BU$1576,BU29,$AI$7:$AI$1576,AI29,$BO$7:$BO$1576,"&lt;="&amp;BO29),"")</f>
        <v>11.8170430053039</v>
      </c>
      <c r="AK29" s="65" t="n">
        <f aca="false">IF(AJ29="",0,MAX(0,MIN(1,(IF(BU29="L1",Parameter!$E$5,Parameter!$E$6+Parameter!$E$7)-(AJ29-AF29))/AF29)))</f>
        <v>1</v>
      </c>
      <c r="AL29" s="57" t="n">
        <f aca="false">IF(LEFT(Cockpit!$I$5,1)="A",G29,IF(BW29=1,BX29,IF(LEFT(Cockpit!$I$5,1)="B",AP29,MAX(AP29,G29))))</f>
        <v>20</v>
      </c>
      <c r="AM29" s="57" t="n">
        <f aca="false">IF(BR29=1,0,ROUNDUP(AL29/BQ29,0))</f>
        <v>1</v>
      </c>
      <c r="AN29" s="59" t="n">
        <f aca="false">IF(CD29&gt;0,CD29*MAX(1,AL29/V29),IF(BR29=1,IF(AL29&lt;=0,0,BS29*MAX(1,IF(G29&gt;0,AL29/G29,1))),IF(Q29&gt;0,AM29/Q29,0))/MAX(0.1,N(Parameter!$M$21)))</f>
        <v>0.0384615384615385</v>
      </c>
      <c r="AO29" s="57" t="n">
        <f aca="false">AL29*F29</f>
        <v>20972</v>
      </c>
      <c r="AP29" s="57" t="n">
        <f aca="false">ROUNDUP(MAX(I29/IF(BV29&gt;0,BV29,MAX(0.1,N(Cockpit!$I$6))),BY29)/BQ29,0)*BQ29</f>
        <v>20</v>
      </c>
      <c r="AQ29" s="58" t="n">
        <f aca="false">IF(AN29&gt;0,I29/AN29,-1)</f>
        <v>598</v>
      </c>
      <c r="AR29" s="58" t="n">
        <f aca="false">IF(AND(OR(BU29="L1",BU29="L23"),AN29&gt;0),SUMIFS($AN$7:$AN$1576,$BU$7:$BU$1576,BU29,$AQ$7:$AQ$1576,"&gt;"&amp;AQ29)+SUMIFS($AN$7:$AN$1576,$BU$7:$BU$1576,BU29,$AQ$7:$AQ$1576,AQ29,$BO$7:$BO$1576,"&lt;="&amp;BO29),"")</f>
        <v>30.9870764142615</v>
      </c>
      <c r="AS29" s="65" t="n">
        <f aca="false">IF(AR29="",0,MAX(0,MIN(1,(IF(BU29="L1",Parameter!$E$5,Parameter!$E$6+Parameter!$E$7)-(AR29-AN29))/AN29)))</f>
        <v>1</v>
      </c>
      <c r="AT29" s="57" t="n">
        <f aca="false">IF(LEFT(Cockpit!$O$5,1)="A",G29,IF(BW29=1,BX29,IF(LEFT(Cockpit!$O$5,1)="B",AX29,MAX(AX29,G29))))</f>
        <v>20</v>
      </c>
      <c r="AU29" s="57" t="n">
        <f aca="false">IF(BR29=1,0,ROUNDUP(AT29/BQ29,0))</f>
        <v>1</v>
      </c>
      <c r="AV29" s="59" t="n">
        <f aca="false">IF(CD29&gt;0,CD29*MAX(1,AT29/V29),IF(BR29=1,IF(AT29&lt;=0,0,BS29*MAX(1,IF(G29&gt;0,AT29/G29,1))),IF(Q29&gt;0,AU29/Q29,0))/MAX(0.1,N(Parameter!$M$21)))</f>
        <v>0.0384615384615385</v>
      </c>
      <c r="AW29" s="57" t="n">
        <f aca="false">AT29*F29</f>
        <v>20972</v>
      </c>
      <c r="AX29" s="57" t="n">
        <f aca="false">ROUNDUP(MAX(I29/IF(BV29&gt;0,BV29,MAX(0.1,N(Cockpit!$O$6))),BY29)/BQ29,0)*BQ29</f>
        <v>20</v>
      </c>
      <c r="AY29" s="58" t="n">
        <f aca="false">IF(AV29&gt;0,I29/AV29,-1)</f>
        <v>598</v>
      </c>
      <c r="AZ29" s="58" t="n">
        <f aca="false">IF(AND(OR(BU29="L1",BU29="L23"),AV29&gt;0),SUMIFS($AV$7:$AV$1576,$BU$7:$BU$1576,BU29,$AY$7:$AY$1576,"&gt;"&amp;AY29)+SUMIFS($AV$7:$AV$1576,$BU$7:$BU$1576,BU29,$AY$7:$AY$1576,AY29,$BO$7:$BO$1576,"&lt;="&amp;BO29),"")</f>
        <v>30.1983784455635</v>
      </c>
      <c r="BA29" s="65" t="n">
        <f aca="false">IF(AZ29="",0,MAX(0,MIN(1,(IF(BU29="L1",Parameter!$E$5,Parameter!$E$6+Parameter!$E$7)-(AZ29-AV29))/AV29)))</f>
        <v>1</v>
      </c>
      <c r="BB29" s="55" t="str">
        <f aca="false">IF(AF29&lt;=0,"",IF(BU29="Aussen","Aussenlager",IF(BU29="-","Nicht im Lift",IF(AK29&gt;=1,"Lift",IF(AK29&lt;=0,"Aussenlager","teilweise")))))</f>
        <v>Lift</v>
      </c>
      <c r="BC29" s="55" t="str">
        <f aca="false">IF(AN29&lt;=0,"",IF(BU29="Aussen","Aussenlager",IF(BU29="-","Nicht im Lift",IF(AS29&gt;=1,"Lift",IF(AS29&lt;=0,"Aussenlager","teilweise")))))</f>
        <v>Lift</v>
      </c>
      <c r="BD29" s="55" t="str">
        <f aca="false">IF(AV29&lt;=0,"",IF(BU29="Aussen","Aussenlager",IF(BU29="-","Nicht im Lift",IF(BA29&gt;=1,"Lift",IF(BA29&lt;=0,"Aussenlager","teilweise")))))</f>
        <v>Lift</v>
      </c>
      <c r="BE29" s="55" t="str">
        <f aca="false">IF(A29="","",IF(BN29=1,"Neu; ","")&amp;IF(AND(BN29=0,BI29&lt;0),"negativer Bestand (Export "&amp;BI29&amp;"); ","")&amp;IF(I29&lt;=0,"Kein Verbrauch; ","")&amp;IF(CD29&gt;0,"Lift "&amp;U29&amp;" lt. Liftbericht (Fach "&amp;V29&amp;" Stk); ",IF(BR29=1,"Lose – Fläche geschätzt; ",""))&amp;IF(G29&gt;AP29,"Überbestand "&amp;ROUND(G29-AP29,0)&amp;" Stk / CHF "&amp;ROUND((G29-AP29)*F29,0)&amp;"; ","")&amp;IF(AND(BW29=1,BX29&lt;BY29),"MAX &lt; MB+LG; ","")&amp;IF(AND(CC29&gt;0,CB29*10&gt;CC29),"zu hoch für Tablar; ","")&amp;IF(AND(BN29=0,OR(BW29=1,Y29&lt;&gt;"",S29&lt;&gt;"",T29&lt;&gt;"",Z29&lt;&gt;"")),"manuell übersteuert; ","")&amp;IF(AND(BR29=0,Q29=0),"Gebinde unbekannt / Stellmass fehlt; ","")&amp;IF(AND(BR29=0,N(T29)&lt;=0,N(P29)&lt;=0),"Menge pro Gebinde fehlt (Ist = 1 Gebinde); ","")&amp;BM29)</f>
        <v/>
      </c>
      <c r="BF29" s="55" t="s">
        <v>226</v>
      </c>
      <c r="BG29" s="55" t="s">
        <v>227</v>
      </c>
      <c r="BH29" s="62"/>
      <c r="BI29" s="57" t="n">
        <v>11</v>
      </c>
      <c r="BJ29" s="57" t="n">
        <v>1</v>
      </c>
      <c r="BK29" s="56" t="n">
        <v>12583.19</v>
      </c>
      <c r="BL29" s="57" t="n">
        <v>23</v>
      </c>
      <c r="BM29" s="55"/>
      <c r="BN29" s="60" t="n">
        <v>0</v>
      </c>
      <c r="BO29" s="60" t="n">
        <v>29</v>
      </c>
      <c r="BP29" s="55" t="str">
        <f aca="false">IF(S29&lt;&gt;"",UPPER(TRIM(S29)),IF(O29="","LOSE",O29))</f>
        <v>S52</v>
      </c>
      <c r="BQ29" s="57" t="n">
        <f aca="false">IF(BP29="LOSE",1,IF(N(T29)&gt;0,T29,IF(N(P29)&gt;0,P29,MAX(1,G29))))</f>
        <v>20</v>
      </c>
      <c r="BR29" s="60" t="n">
        <f aca="false">IF(BP29="LOSE",1,0)</f>
        <v>0</v>
      </c>
      <c r="BS29" s="59" t="n">
        <f aca="false">IF(BR29=0,0,IF(N(R29)&gt;0,R29,IFERROR(VLOOKUP(D29,Parameter!$A$35:$C$64,3,0)+0,0)))</f>
        <v>0</v>
      </c>
      <c r="BT29" s="55" t="n">
        <f aca="false">IF(Y29&lt;&gt;"",Y29,X29)</f>
        <v>3</v>
      </c>
      <c r="BU29" s="55" t="str">
        <f aca="false">IF(BT29=1,"L1",IF(OR(BT29=2,BT29=3),"L23",IF(BT29="Aussen","Aussen","-")))</f>
        <v>L23</v>
      </c>
      <c r="BV29" s="66" t="n">
        <f aca="false">IF(N(Z29)&gt;0,Z29,0)</f>
        <v>0</v>
      </c>
      <c r="BW29" s="60" t="n">
        <f aca="false">IF(ISNUMBER(AC29),1,0)</f>
        <v>0</v>
      </c>
      <c r="BX29" s="57" t="n">
        <f aca="false">N(AC29)</f>
        <v>0</v>
      </c>
      <c r="BY29" s="57" t="n">
        <f aca="false">N(L29)+N(M29)</f>
        <v>11</v>
      </c>
      <c r="BZ29" s="57" t="n">
        <f aca="false">ROUNDUP(G29/BQ29,0)</f>
        <v>1</v>
      </c>
      <c r="CA29" s="57" t="n">
        <f aca="false">ROUNDUP(BX29/BQ29,0)</f>
        <v>0</v>
      </c>
      <c r="CB29" s="60" t="n">
        <f aca="false">IF(BR29=1,0,IFERROR(VLOOKUP(BP29,'Gebinde-Kategorie'!$A$5:$M$45,5,0)+0,0))</f>
        <v>21</v>
      </c>
      <c r="CC29" s="60" t="n">
        <f aca="false">IFERROR(IF(OR(BT29=1,BT29=2,BT29=3),N(INDEX(Parameter!$I$5:$I$7,BT29)),0),0)</f>
        <v>0</v>
      </c>
      <c r="CD29" s="59" t="n">
        <f aca="false">IF(AND(Parameter!$B$21="Ja",ISNUMBER(U29),N(V29)&gt;0),IFERROR(N(INDEX(Parameter!$L$5:$L$7,U29))*INDEX(Parameter!$E$5:$E$7,U29)*V29/SUMIFS($V$7:$V$1576,$U$7:$U$1576,U29),0),0)</f>
        <v>0</v>
      </c>
    </row>
    <row r="30" customFormat="false" ht="15" hidden="false" customHeight="false" outlineLevel="0" collapsed="false">
      <c r="A30" s="55" t="s">
        <v>228</v>
      </c>
      <c r="B30" s="55" t="s">
        <v>229</v>
      </c>
      <c r="C30" s="55" t="s">
        <v>160</v>
      </c>
      <c r="D30" s="55" t="s">
        <v>168</v>
      </c>
      <c r="E30" s="55" t="s">
        <v>210</v>
      </c>
      <c r="F30" s="56" t="n">
        <v>306.57</v>
      </c>
      <c r="G30" s="57" t="n">
        <f aca="false">MAX(0,IF(AND(Parameter!$B$21="Ja",ISNUMBER(W30)),W30,IF(Parameter!$B$20="Jahresanfang 2025 + Export",BJ30+BI30,BI30)))</f>
        <v>41</v>
      </c>
      <c r="H30" s="57" t="n">
        <f aca="false">G30*F30</f>
        <v>12569.37</v>
      </c>
      <c r="I30" s="57" t="n">
        <f aca="false">BL30*Parameter!$B$18</f>
        <v>297</v>
      </c>
      <c r="J30" s="58" t="n">
        <v>25</v>
      </c>
      <c r="K30" s="59" t="n">
        <v>11.88</v>
      </c>
      <c r="L30" s="57" t="n">
        <v>23</v>
      </c>
      <c r="M30" s="57" t="n">
        <v>45</v>
      </c>
      <c r="N30" s="60" t="n">
        <v>28</v>
      </c>
      <c r="O30" s="55" t="s">
        <v>218</v>
      </c>
      <c r="P30" s="57" t="n">
        <v>34</v>
      </c>
      <c r="Q30" s="60" t="n">
        <f aca="false">IF(BR30=1,0,IFERROR(VLOOKUP(BP30,'Gebinde-Kategorie'!$A$5:$M$45,13,0)+0,0))</f>
        <v>12</v>
      </c>
      <c r="R30" s="61"/>
      <c r="S30" s="62"/>
      <c r="T30" s="62"/>
      <c r="U30" s="55"/>
      <c r="V30" s="57"/>
      <c r="W30" s="57"/>
      <c r="X30" s="55" t="n">
        <f aca="false">IF(A30="","",IF(AND(Parameter!$B$21="Ja",ISNUMBER(U30)),U30,IF(IFERROR(VLOOKUP(D30,Parameter!$A$35:$C$64,2,0),"Nein")="2+3",IF(ISNUMBER(SEARCH("grosser Artikel",BM30)),2,IFERROR(VLOOKUP(BP30,Parameter!$F$35:$G$64,2,0),2)),IF(OR(IFERROR(VLOOKUP(D30,Parameter!$A$35:$C$64,2,0),"Nein")="Nein",IFERROR(VLOOKUP(D30,Parameter!$A$35:$C$64,2,0),"Nein")=""),"-",VLOOKUP(D30,Parameter!$A$35:$C$64,2,0)))))</f>
        <v>2</v>
      </c>
      <c r="Y30" s="62"/>
      <c r="Z30" s="63"/>
      <c r="AA30" s="57" t="n">
        <f aca="false">AP30</f>
        <v>170</v>
      </c>
      <c r="AB30" s="57" t="n">
        <f aca="false">MAX(AP30,G30)</f>
        <v>170</v>
      </c>
      <c r="AC30" s="64"/>
      <c r="AD30" s="57" t="n">
        <f aca="false">IF(LEFT(Cockpit!$C$5,1)="A",G30,IF(BW30=1,BX30,IF(LEFT(Cockpit!$C$5,1)="B",AH30,MAX(AH30,G30))))</f>
        <v>41</v>
      </c>
      <c r="AE30" s="57" t="n">
        <f aca="false">IF(BR30=1,0,ROUNDUP(AD30/BQ30,0))</f>
        <v>2</v>
      </c>
      <c r="AF30" s="59" t="n">
        <f aca="false">IF(CD30&gt;0,CD30*MAX(1,AD30/V30),IF(BR30=1,IF(AD30&lt;=0,0,BS30*MAX(1,IF(G30&gt;0,AD30/G30,1))),IF(Q30&gt;0,AE30/Q30,0))/MAX(0.1,N(Parameter!$M$21)))</f>
        <v>0.166666666666667</v>
      </c>
      <c r="AG30" s="57" t="n">
        <f aca="false">AD30*F30</f>
        <v>12569.37</v>
      </c>
      <c r="AH30" s="57" t="n">
        <f aca="false">ROUNDUP(MAX(I30/IF(BV30&gt;0,BV30,MAX(0.1,N(Cockpit!$C$6))),BY30)/BQ30,0)*BQ30</f>
        <v>170</v>
      </c>
      <c r="AI30" s="58" t="n">
        <f aca="false">IF(AF30&gt;0,I30/AF30,-1)</f>
        <v>1782</v>
      </c>
      <c r="AJ30" s="58" t="n">
        <f aca="false">IF(AND(OR(BU30="L1",BU30="L23"),AF30&gt;0),SUMIFS($AF$7:$AF$1576,$BU$7:$BU$1576,BU30,$AI$7:$AI$1576,"&gt;"&amp;AI30)+SUMIFS($AF$7:$AF$1576,$BU$7:$BU$1576,BU30,$AI$7:$AI$1576,AI30,$BO$7:$BO$1576,"&lt;="&amp;BO30),"")</f>
        <v>7.44221445221445</v>
      </c>
      <c r="AK30" s="65" t="n">
        <f aca="false">IF(AJ30="",0,MAX(0,MIN(1,(IF(BU30="L1",Parameter!$E$5,Parameter!$E$6+Parameter!$E$7)-(AJ30-AF30))/AF30)))</f>
        <v>1</v>
      </c>
      <c r="AL30" s="57" t="n">
        <f aca="false">IF(LEFT(Cockpit!$I$5,1)="A",G30,IF(BW30=1,BX30,IF(LEFT(Cockpit!$I$5,1)="B",AP30,MAX(AP30,G30))))</f>
        <v>170</v>
      </c>
      <c r="AM30" s="57" t="n">
        <f aca="false">IF(BR30=1,0,ROUNDUP(AL30/BQ30,0))</f>
        <v>5</v>
      </c>
      <c r="AN30" s="59" t="n">
        <f aca="false">IF(CD30&gt;0,CD30*MAX(1,AL30/V30),IF(BR30=1,IF(AL30&lt;=0,0,BS30*MAX(1,IF(G30&gt;0,AL30/G30,1))),IF(Q30&gt;0,AM30/Q30,0))/MAX(0.1,N(Parameter!$M$21)))</f>
        <v>0.416666666666667</v>
      </c>
      <c r="AO30" s="57" t="n">
        <f aca="false">AL30*F30</f>
        <v>52116.9</v>
      </c>
      <c r="AP30" s="57" t="n">
        <f aca="false">ROUNDUP(MAX(I30/IF(BV30&gt;0,BV30,MAX(0.1,N(Cockpit!$I$6))),BY30)/BQ30,0)*BQ30</f>
        <v>170</v>
      </c>
      <c r="AQ30" s="58" t="n">
        <f aca="false">IF(AN30&gt;0,I30/AN30,-1)</f>
        <v>712.8</v>
      </c>
      <c r="AR30" s="58" t="n">
        <f aca="false">IF(AND(OR(BU30="L1",BU30="L23"),AN30&gt;0),SUMIFS($AN$7:$AN$1576,$BU$7:$BU$1576,BU30,$AQ$7:$AQ$1576,"&gt;"&amp;AQ30)+SUMIFS($AN$7:$AN$1576,$BU$7:$BU$1576,BU30,$AQ$7:$AQ$1576,AQ30,$BO$7:$BO$1576,"&lt;="&amp;BO30),"")</f>
        <v>27.8822512394363</v>
      </c>
      <c r="AS30" s="65" t="n">
        <f aca="false">IF(AR30="",0,MAX(0,MIN(1,(IF(BU30="L1",Parameter!$E$5,Parameter!$E$6+Parameter!$E$7)-(AR30-AN30))/AN30)))</f>
        <v>1</v>
      </c>
      <c r="AT30" s="57" t="n">
        <f aca="false">IF(LEFT(Cockpit!$O$5,1)="A",G30,IF(BW30=1,BX30,IF(LEFT(Cockpit!$O$5,1)="B",AX30,MAX(AX30,G30))))</f>
        <v>102</v>
      </c>
      <c r="AU30" s="57" t="n">
        <f aca="false">IF(BR30=1,0,ROUNDUP(AT30/BQ30,0))</f>
        <v>3</v>
      </c>
      <c r="AV30" s="59" t="n">
        <f aca="false">IF(CD30&gt;0,CD30*MAX(1,AT30/V30),IF(BR30=1,IF(AT30&lt;=0,0,BS30*MAX(1,IF(G30&gt;0,AT30/G30,1))),IF(Q30&gt;0,AU30/Q30,0))/MAX(0.1,N(Parameter!$M$21)))</f>
        <v>0.25</v>
      </c>
      <c r="AW30" s="57" t="n">
        <f aca="false">AT30*F30</f>
        <v>31270.14</v>
      </c>
      <c r="AX30" s="57" t="n">
        <f aca="false">ROUNDUP(MAX(I30/IF(BV30&gt;0,BV30,MAX(0.1,N(Cockpit!$O$6))),BY30)/BQ30,0)*BQ30</f>
        <v>102</v>
      </c>
      <c r="AY30" s="58" t="n">
        <f aca="false">IF(AV30&gt;0,I30/AV30,-1)</f>
        <v>1188</v>
      </c>
      <c r="AZ30" s="58" t="n">
        <f aca="false">IF(AND(OR(BU30="L1",BU30="L23"),AV30&gt;0),SUMIFS($AV$7:$AV$1576,$BU$7:$BU$1576,BU30,$AY$7:$AY$1576,"&gt;"&amp;AY30)+SUMIFS($AV$7:$AV$1576,$BU$7:$BU$1576,BU30,$AY$7:$AY$1576,AY30,$BO$7:$BO$1576,"&lt;="&amp;BO30),"")</f>
        <v>20.3830076328014</v>
      </c>
      <c r="BA30" s="65" t="n">
        <f aca="false">IF(AZ30="",0,MAX(0,MIN(1,(IF(BU30="L1",Parameter!$E$5,Parameter!$E$6+Parameter!$E$7)-(AZ30-AV30))/AV30)))</f>
        <v>1</v>
      </c>
      <c r="BB30" s="55" t="str">
        <f aca="false">IF(AF30&lt;=0,"",IF(BU30="Aussen","Aussenlager",IF(BU30="-","Nicht im Lift",IF(AK30&gt;=1,"Lift",IF(AK30&lt;=0,"Aussenlager","teilweise")))))</f>
        <v>Lift</v>
      </c>
      <c r="BC30" s="55" t="str">
        <f aca="false">IF(AN30&lt;=0,"",IF(BU30="Aussen","Aussenlager",IF(BU30="-","Nicht im Lift",IF(AS30&gt;=1,"Lift",IF(AS30&lt;=0,"Aussenlager","teilweise")))))</f>
        <v>Lift</v>
      </c>
      <c r="BD30" s="55" t="str">
        <f aca="false">IF(AV30&lt;=0,"",IF(BU30="Aussen","Aussenlager",IF(BU30="-","Nicht im Lift",IF(BA30&gt;=1,"Lift",IF(BA30&lt;=0,"Aussenlager","teilweise")))))</f>
        <v>Lift</v>
      </c>
      <c r="BE30" s="55" t="str">
        <f aca="false">IF(A30="","",IF(BN30=1,"Neu; ","")&amp;IF(AND(BN30=0,BI30&lt;0),"negativer Bestand (Export "&amp;BI30&amp;"); ","")&amp;IF(I30&lt;=0,"Kein Verbrauch; ","")&amp;IF(CD30&gt;0,"Lift "&amp;U30&amp;" lt. Liftbericht (Fach "&amp;V30&amp;" Stk); ",IF(BR30=1,"Lose – Fläche geschätzt; ",""))&amp;IF(G30&gt;AP30,"Überbestand "&amp;ROUND(G30-AP30,0)&amp;" Stk / CHF "&amp;ROUND((G30-AP30)*F30,0)&amp;"; ","")&amp;IF(AND(BW30=1,BX30&lt;BY30),"MAX &lt; MB+LG; ","")&amp;IF(AND(CC30&gt;0,CB30*10&gt;CC30),"zu hoch für Tablar; ","")&amp;IF(AND(BN30=0,OR(BW30=1,Y30&lt;&gt;"",S30&lt;&gt;"",T30&lt;&gt;"",Z30&lt;&gt;"")),"manuell übersteuert; ","")&amp;IF(AND(BR30=0,Q30=0),"Gebinde unbekannt / Stellmass fehlt; ","")&amp;IF(AND(BR30=0,N(T30)&lt;=0,N(P30)&lt;=0),"Menge pro Gebinde fehlt (Ist = 1 Gebinde); ","")&amp;BM30)</f>
        <v/>
      </c>
      <c r="BF30" s="55" t="s">
        <v>230</v>
      </c>
      <c r="BG30" s="55" t="s">
        <v>231</v>
      </c>
      <c r="BH30" s="62"/>
      <c r="BI30" s="57" t="n">
        <v>41</v>
      </c>
      <c r="BJ30" s="57" t="n">
        <v>4</v>
      </c>
      <c r="BK30" s="56" t="n">
        <v>12491.91</v>
      </c>
      <c r="BL30" s="57" t="n">
        <v>297</v>
      </c>
      <c r="BM30" s="55"/>
      <c r="BN30" s="60" t="n">
        <v>0</v>
      </c>
      <c r="BO30" s="60" t="n">
        <v>30</v>
      </c>
      <c r="BP30" s="55" t="str">
        <f aca="false">IF(S30&lt;&gt;"",UPPER(TRIM(S30)),IF(O30="","LOSE",O30))</f>
        <v>S63</v>
      </c>
      <c r="BQ30" s="57" t="n">
        <f aca="false">IF(BP30="LOSE",1,IF(N(T30)&gt;0,T30,IF(N(P30)&gt;0,P30,MAX(1,G30))))</f>
        <v>34</v>
      </c>
      <c r="BR30" s="60" t="n">
        <f aca="false">IF(BP30="LOSE",1,0)</f>
        <v>0</v>
      </c>
      <c r="BS30" s="59" t="n">
        <f aca="false">IF(BR30=0,0,IF(N(R30)&gt;0,R30,IFERROR(VLOOKUP(D30,Parameter!$A$35:$C$64,3,0)+0,0)))</f>
        <v>0</v>
      </c>
      <c r="BT30" s="55" t="n">
        <f aca="false">IF(Y30&lt;&gt;"",Y30,X30)</f>
        <v>2</v>
      </c>
      <c r="BU30" s="55" t="str">
        <f aca="false">IF(BT30=1,"L1",IF(OR(BT30=2,BT30=3),"L23",IF(BT30="Aussen","Aussen","-")))</f>
        <v>L23</v>
      </c>
      <c r="BV30" s="66" t="n">
        <f aca="false">IF(N(Z30)&gt;0,Z30,0)</f>
        <v>0</v>
      </c>
      <c r="BW30" s="60" t="n">
        <f aca="false">IF(ISNUMBER(AC30),1,0)</f>
        <v>0</v>
      </c>
      <c r="BX30" s="57" t="n">
        <f aca="false">N(AC30)</f>
        <v>0</v>
      </c>
      <c r="BY30" s="57" t="n">
        <f aca="false">N(L30)+N(M30)</f>
        <v>68</v>
      </c>
      <c r="BZ30" s="57" t="n">
        <f aca="false">ROUNDUP(G30/BQ30,0)</f>
        <v>2</v>
      </c>
      <c r="CA30" s="57" t="n">
        <f aca="false">ROUNDUP(BX30/BQ30,0)</f>
        <v>0</v>
      </c>
      <c r="CB30" s="60" t="n">
        <f aca="false">IF(BR30=1,0,IFERROR(VLOOKUP(BP30,'Gebinde-Kategorie'!$A$5:$M$45,5,0)+0,0))</f>
        <v>31</v>
      </c>
      <c r="CC30" s="60" t="n">
        <f aca="false">IFERROR(IF(OR(BT30=1,BT30=2,BT30=3),N(INDEX(Parameter!$I$5:$I$7,BT30)),0),0)</f>
        <v>0</v>
      </c>
      <c r="CD30" s="59" t="n">
        <f aca="false">IF(AND(Parameter!$B$21="Ja",ISNUMBER(U30),N(V30)&gt;0),IFERROR(N(INDEX(Parameter!$L$5:$L$7,U30))*INDEX(Parameter!$E$5:$E$7,U30)*V30/SUMIFS($V$7:$V$1576,$U$7:$U$1576,U30),0),0)</f>
        <v>0</v>
      </c>
    </row>
    <row r="31" customFormat="false" ht="15" hidden="false" customHeight="false" outlineLevel="0" collapsed="false">
      <c r="A31" s="55" t="s">
        <v>232</v>
      </c>
      <c r="B31" s="55" t="s">
        <v>233</v>
      </c>
      <c r="C31" s="55" t="s">
        <v>160</v>
      </c>
      <c r="D31" s="55" t="s">
        <v>161</v>
      </c>
      <c r="E31" s="55" t="s">
        <v>210</v>
      </c>
      <c r="F31" s="56" t="n">
        <v>4074.91</v>
      </c>
      <c r="G31" s="57" t="n">
        <f aca="false">MAX(0,IF(AND(Parameter!$B$21="Ja",ISNUMBER(W31)),W31,IF(Parameter!$B$20="Jahresanfang 2025 + Export",BJ31+BI31,BI31)))</f>
        <v>8</v>
      </c>
      <c r="H31" s="57" t="n">
        <f aca="false">G31*F31</f>
        <v>32599.28</v>
      </c>
      <c r="I31" s="57" t="n">
        <f aca="false">BL31*Parameter!$B$18</f>
        <v>24</v>
      </c>
      <c r="J31" s="58" t="n">
        <v>6.5</v>
      </c>
      <c r="K31" s="59" t="n">
        <v>3.69230769230769</v>
      </c>
      <c r="L31" s="57" t="n">
        <v>3</v>
      </c>
      <c r="M31" s="57" t="n">
        <v>6</v>
      </c>
      <c r="N31" s="60" t="n">
        <v>49</v>
      </c>
      <c r="O31" s="55" t="s">
        <v>163</v>
      </c>
      <c r="P31" s="57"/>
      <c r="Q31" s="60" t="n">
        <f aca="false">IF(BR31=1,0,IFERROR(VLOOKUP(BP31,'Gebinde-Kategorie'!$A$5:$M$45,13,0)+0,0))</f>
        <v>0</v>
      </c>
      <c r="R31" s="61"/>
      <c r="S31" s="62"/>
      <c r="T31" s="62"/>
      <c r="U31" s="55" t="n">
        <v>1</v>
      </c>
      <c r="V31" s="57" t="n">
        <v>10</v>
      </c>
      <c r="W31" s="57" t="n">
        <v>8</v>
      </c>
      <c r="X31" s="55" t="n">
        <f aca="false">IF(A31="","",IF(AND(Parameter!$B$21="Ja",ISNUMBER(U31)),U31,IF(IFERROR(VLOOKUP(D31,Parameter!$A$35:$C$64,2,0),"Nein")="2+3",IF(ISNUMBER(SEARCH("grosser Artikel",BM31)),2,IFERROR(VLOOKUP(BP31,Parameter!$F$35:$G$64,2,0),2)),IF(OR(IFERROR(VLOOKUP(D31,Parameter!$A$35:$C$64,2,0),"Nein")="Nein",IFERROR(VLOOKUP(D31,Parameter!$A$35:$C$64,2,0),"Nein")=""),"-",VLOOKUP(D31,Parameter!$A$35:$C$64,2,0)))))</f>
        <v>1</v>
      </c>
      <c r="Y31" s="62"/>
      <c r="Z31" s="63"/>
      <c r="AA31" s="57" t="n">
        <f aca="false">AP31</f>
        <v>12</v>
      </c>
      <c r="AB31" s="57" t="n">
        <f aca="false">MAX(AP31,G31)</f>
        <v>12</v>
      </c>
      <c r="AC31" s="64"/>
      <c r="AD31" s="57" t="n">
        <f aca="false">IF(LEFT(Cockpit!$C$5,1)="A",G31,IF(BW31=1,BX31,IF(LEFT(Cockpit!$C$5,1)="B",AH31,MAX(AH31,G31))))</f>
        <v>8</v>
      </c>
      <c r="AE31" s="57" t="n">
        <f aca="false">IF(BR31=1,0,ROUNDUP(AD31/BQ31,0))</f>
        <v>0</v>
      </c>
      <c r="AF31" s="59" t="n">
        <f aca="false">IF(CD31&gt;0,CD31*MAX(1,AD31/V31),IF(BR31=1,IF(AD31&lt;=0,0,BS31*MAX(1,IF(G31&gt;0,AD31/G31,1))),IF(Q31&gt;0,AE31/Q31,0))/MAX(0.1,N(Parameter!$M$21)))</f>
        <v>0.800376647834275</v>
      </c>
      <c r="AG31" s="57" t="n">
        <f aca="false">AD31*F31</f>
        <v>32599.28</v>
      </c>
      <c r="AH31" s="57" t="n">
        <f aca="false">ROUNDUP(MAX(I31/IF(BV31&gt;0,BV31,MAX(0.1,N(Cockpit!$C$6))),BY31)/BQ31,0)*BQ31</f>
        <v>12</v>
      </c>
      <c r="AI31" s="58" t="n">
        <f aca="false">IF(AF31&gt;0,I31/AF31,-1)</f>
        <v>29.9858823529412</v>
      </c>
      <c r="AJ31" s="58" t="n">
        <f aca="false">IF(AND(OR(BU31="L1",BU31="L23"),AF31&gt;0),SUMIFS($AF$7:$AF$1576,$BU$7:$BU$1576,BU31,$AI$7:$AI$1576,"&gt;"&amp;AI31)+SUMIFS($AF$7:$AF$1576,$BU$7:$BU$1576,BU31,$AI$7:$AI$1576,AI31,$BO$7:$BO$1576,"&lt;="&amp;BO31),"")</f>
        <v>5.04237288135593</v>
      </c>
      <c r="AK31" s="65" t="n">
        <f aca="false">IF(AJ31="",0,MAX(0,MIN(1,(IF(BU31="L1",Parameter!$E$5,Parameter!$E$6+Parameter!$E$7)-(AJ31-AF31))/AF31)))</f>
        <v>1</v>
      </c>
      <c r="AL31" s="57" t="n">
        <f aca="false">IF(LEFT(Cockpit!$I$5,1)="A",G31,IF(BW31=1,BX31,IF(LEFT(Cockpit!$I$5,1)="B",AP31,MAX(AP31,G31))))</f>
        <v>12</v>
      </c>
      <c r="AM31" s="57" t="n">
        <f aca="false">IF(BR31=1,0,ROUNDUP(AL31/BQ31,0))</f>
        <v>0</v>
      </c>
      <c r="AN31" s="59" t="n">
        <f aca="false">IF(CD31&gt;0,CD31*MAX(1,AL31/V31),IF(BR31=1,IF(AL31&lt;=0,0,BS31*MAX(1,IF(G31&gt;0,AL31/G31,1))),IF(Q31&gt;0,AM31/Q31,0))/MAX(0.1,N(Parameter!$M$21)))</f>
        <v>0.96045197740113</v>
      </c>
      <c r="AO31" s="57" t="n">
        <f aca="false">AL31*F31</f>
        <v>48898.92</v>
      </c>
      <c r="AP31" s="57" t="n">
        <f aca="false">ROUNDUP(MAX(I31/IF(BV31&gt;0,BV31,MAX(0.1,N(Cockpit!$I$6))),BY31)/BQ31,0)*BQ31</f>
        <v>12</v>
      </c>
      <c r="AQ31" s="58" t="n">
        <f aca="false">IF(AN31&gt;0,I31/AN31,-1)</f>
        <v>24.9882352941176</v>
      </c>
      <c r="AR31" s="58" t="n">
        <f aca="false">IF(AND(OR(BU31="L1",BU31="L23"),AN31&gt;0),SUMIFS($AN$7:$AN$1576,$BU$7:$BU$1576,BU31,$AQ$7:$AQ$1576,"&gt;"&amp;AQ31)+SUMIFS($AN$7:$AN$1576,$BU$7:$BU$1576,BU31,$AQ$7:$AQ$1576,AQ31,$BO$7:$BO$1576,"&lt;="&amp;BO31),"")</f>
        <v>1.92090395480226</v>
      </c>
      <c r="AS31" s="65" t="n">
        <f aca="false">IF(AR31="",0,MAX(0,MIN(1,(IF(BU31="L1",Parameter!$E$5,Parameter!$E$6+Parameter!$E$7)-(AR31-AN31))/AN31)))</f>
        <v>1</v>
      </c>
      <c r="AT31" s="57" t="n">
        <f aca="false">IF(LEFT(Cockpit!$O$5,1)="A",G31,IF(BW31=1,BX31,IF(LEFT(Cockpit!$O$5,1)="B",AX31,MAX(AX31,G31))))</f>
        <v>9</v>
      </c>
      <c r="AU31" s="57" t="n">
        <f aca="false">IF(BR31=1,0,ROUNDUP(AT31/BQ31,0))</f>
        <v>0</v>
      </c>
      <c r="AV31" s="59" t="n">
        <f aca="false">IF(CD31&gt;0,CD31*MAX(1,AT31/V31),IF(BR31=1,IF(AT31&lt;=0,0,BS31*MAX(1,IF(G31&gt;0,AT31/G31,1))),IF(Q31&gt;0,AU31/Q31,0))/MAX(0.1,N(Parameter!$M$21)))</f>
        <v>0.800376647834275</v>
      </c>
      <c r="AW31" s="57" t="n">
        <f aca="false">AT31*F31</f>
        <v>36674.19</v>
      </c>
      <c r="AX31" s="57" t="n">
        <f aca="false">ROUNDUP(MAX(I31/IF(BV31&gt;0,BV31,MAX(0.1,N(Cockpit!$O$6))),BY31)/BQ31,0)*BQ31</f>
        <v>9</v>
      </c>
      <c r="AY31" s="58" t="n">
        <f aca="false">IF(AV31&gt;0,I31/AV31,-1)</f>
        <v>29.9858823529412</v>
      </c>
      <c r="AZ31" s="58" t="n">
        <f aca="false">IF(AND(OR(BU31="L1",BU31="L23"),AV31&gt;0),SUMIFS($AV$7:$AV$1576,$BU$7:$BU$1576,BU31,$AY$7:$AY$1576,"&gt;"&amp;AY31)+SUMIFS($AV$7:$AV$1576,$BU$7:$BU$1576,BU31,$AY$7:$AY$1576,AY31,$BO$7:$BO$1576,"&lt;="&amp;BO31),"")</f>
        <v>6.48305084745763</v>
      </c>
      <c r="BA31" s="65" t="n">
        <f aca="false">IF(AZ31="",0,MAX(0,MIN(1,(IF(BU31="L1",Parameter!$E$5,Parameter!$E$6+Parameter!$E$7)-(AZ31-AV31))/AV31)))</f>
        <v>1</v>
      </c>
      <c r="BB31" s="55" t="str">
        <f aca="false">IF(AF31&lt;=0,"",IF(BU31="Aussen","Aussenlager",IF(BU31="-","Nicht im Lift",IF(AK31&gt;=1,"Lift",IF(AK31&lt;=0,"Aussenlager","teilweise")))))</f>
        <v>Lift</v>
      </c>
      <c r="BC31" s="55" t="str">
        <f aca="false">IF(AN31&lt;=0,"",IF(BU31="Aussen","Aussenlager",IF(BU31="-","Nicht im Lift",IF(AS31&gt;=1,"Lift",IF(AS31&lt;=0,"Aussenlager","teilweise")))))</f>
        <v>Lift</v>
      </c>
      <c r="BD31" s="55" t="str">
        <f aca="false">IF(AV31&lt;=0,"",IF(BU31="Aussen","Aussenlager",IF(BU31="-","Nicht im Lift",IF(BA31&gt;=1,"Lift",IF(BA31&lt;=0,"Aussenlager","teilweise")))))</f>
        <v>Lift</v>
      </c>
      <c r="BE31" s="55" t="str">
        <f aca="false">IF(A31="","",IF(BN31=1,"Neu; ","")&amp;IF(AND(BN31=0,BI31&lt;0),"negativer Bestand (Export "&amp;BI31&amp;"); ","")&amp;IF(I31&lt;=0,"Kein Verbrauch; ","")&amp;IF(CD31&gt;0,"Lift "&amp;U31&amp;" lt. Liftbericht (Fach "&amp;V31&amp;" Stk); ",IF(BR31=1,"Lose – Fläche geschätzt; ",""))&amp;IF(G31&gt;AP31,"Überbestand "&amp;ROUND(G31-AP31,0)&amp;" Stk / CHF "&amp;ROUND((G31-AP31)*F31,0)&amp;"; ","")&amp;IF(AND(BW31=1,BX31&lt;BY31),"MAX &lt; MB+LG; ","")&amp;IF(AND(CC31&gt;0,CB31*10&gt;CC31),"zu hoch für Tablar; ","")&amp;IF(AND(BN31=0,OR(BW31=1,Y31&lt;&gt;"",S31&lt;&gt;"",T31&lt;&gt;"",Z31&lt;&gt;"")),"manuell übersteuert; ","")&amp;IF(AND(BR31=0,Q31=0),"Gebinde unbekannt / Stellmass fehlt; ","")&amp;IF(AND(BR31=0,N(T31)&lt;=0,N(P31)&lt;=0),"Menge pro Gebinde fehlt (Ist = 1 Gebinde); ","")&amp;BM31)</f>
        <v>Lift 1 lt. Liftbericht (Fach 10 Stk); </v>
      </c>
      <c r="BF31" s="55" t="s">
        <v>234</v>
      </c>
      <c r="BG31" s="55" t="s">
        <v>235</v>
      </c>
      <c r="BH31" s="62"/>
      <c r="BI31" s="57" t="n">
        <v>3</v>
      </c>
      <c r="BJ31" s="57" t="n">
        <v>7</v>
      </c>
      <c r="BK31" s="56" t="n">
        <v>12035.71</v>
      </c>
      <c r="BL31" s="57" t="n">
        <v>24</v>
      </c>
      <c r="BM31" s="55"/>
      <c r="BN31" s="60" t="n">
        <v>0</v>
      </c>
      <c r="BO31" s="60" t="n">
        <v>31</v>
      </c>
      <c r="BP31" s="55" t="str">
        <f aca="false">IF(S31&lt;&gt;"",UPPER(TRIM(S31)),IF(O31="","LOSE",O31))</f>
        <v>LOSE</v>
      </c>
      <c r="BQ31" s="57" t="n">
        <f aca="false">IF(BP31="LOSE",1,IF(N(T31)&gt;0,T31,IF(N(P31)&gt;0,P31,MAX(1,G31))))</f>
        <v>1</v>
      </c>
      <c r="BR31" s="60" t="n">
        <f aca="false">IF(BP31="LOSE",1,0)</f>
        <v>1</v>
      </c>
      <c r="BS31" s="59" t="n">
        <f aca="false">IF(BR31=0,0,IF(N(R31)&gt;0,R31,IFERROR(VLOOKUP(D31,Parameter!$A$35:$C$64,3,0)+0,0)))</f>
        <v>1</v>
      </c>
      <c r="BT31" s="55" t="n">
        <f aca="false">IF(Y31&lt;&gt;"",Y31,X31)</f>
        <v>1</v>
      </c>
      <c r="BU31" s="55" t="str">
        <f aca="false">IF(BT31=1,"L1",IF(OR(BT31=2,BT31=3),"L23",IF(BT31="Aussen","Aussen","-")))</f>
        <v>L1</v>
      </c>
      <c r="BV31" s="66" t="n">
        <f aca="false">IF(N(Z31)&gt;0,Z31,0)</f>
        <v>0</v>
      </c>
      <c r="BW31" s="60" t="n">
        <f aca="false">IF(ISNUMBER(AC31),1,0)</f>
        <v>0</v>
      </c>
      <c r="BX31" s="57" t="n">
        <f aca="false">N(AC31)</f>
        <v>0</v>
      </c>
      <c r="BY31" s="57" t="n">
        <f aca="false">N(L31)+N(M31)</f>
        <v>9</v>
      </c>
      <c r="BZ31" s="57" t="n">
        <f aca="false">ROUNDUP(G31/BQ31,0)</f>
        <v>8</v>
      </c>
      <c r="CA31" s="57" t="n">
        <f aca="false">ROUNDUP(BX31/BQ31,0)</f>
        <v>0</v>
      </c>
      <c r="CB31" s="60" t="n">
        <f aca="false">IF(BR31=1,0,IFERROR(VLOOKUP(BP31,'Gebinde-Kategorie'!$A$5:$M$45,5,0)+0,0))</f>
        <v>0</v>
      </c>
      <c r="CC31" s="60" t="n">
        <f aca="false">IFERROR(IF(OR(BT31=1,BT31=2,BT31=3),N(INDEX(Parameter!$I$5:$I$7,BT31)),0),0)</f>
        <v>0</v>
      </c>
      <c r="CD31" s="59" t="n">
        <f aca="false">IF(AND(Parameter!$B$21="Ja",ISNUMBER(U31),N(V31)&gt;0),IFERROR(N(INDEX(Parameter!$L$5:$L$7,U31))*INDEX(Parameter!$E$5:$E$7,U31)*V31/SUMIFS($V$7:$V$1576,$U$7:$U$1576,U31),0),0)</f>
        <v>0.800376647834275</v>
      </c>
    </row>
    <row r="32" customFormat="false" ht="15" hidden="false" customHeight="false" outlineLevel="0" collapsed="false">
      <c r="A32" s="55" t="s">
        <v>236</v>
      </c>
      <c r="B32" s="55" t="s">
        <v>237</v>
      </c>
      <c r="C32" s="55" t="s">
        <v>160</v>
      </c>
      <c r="D32" s="55" t="s">
        <v>168</v>
      </c>
      <c r="E32" s="55" t="s">
        <v>210</v>
      </c>
      <c r="F32" s="56" t="n">
        <v>2801</v>
      </c>
      <c r="G32" s="57" t="n">
        <f aca="false">MAX(0,IF(AND(Parameter!$B$21="Ja",ISNUMBER(W32)),W32,IF(Parameter!$B$20="Jahresanfang 2025 + Export",BJ32+BI32,BI32)))</f>
        <v>4</v>
      </c>
      <c r="H32" s="57" t="n">
        <f aca="false">G32*F32</f>
        <v>11204</v>
      </c>
      <c r="I32" s="57" t="n">
        <f aca="false">BL32*Parameter!$B$18</f>
        <v>0</v>
      </c>
      <c r="J32" s="58" t="n">
        <v>0.5</v>
      </c>
      <c r="K32" s="59" t="n">
        <v>0</v>
      </c>
      <c r="L32" s="57" t="n">
        <v>0</v>
      </c>
      <c r="M32" s="57" t="n">
        <v>1</v>
      </c>
      <c r="N32" s="60" t="n">
        <v>56</v>
      </c>
      <c r="O32" s="55" t="s">
        <v>163</v>
      </c>
      <c r="P32" s="57"/>
      <c r="Q32" s="60" t="n">
        <f aca="false">IF(BR32=1,0,IFERROR(VLOOKUP(BP32,'Gebinde-Kategorie'!$A$5:$M$45,13,0)+0,0))</f>
        <v>0</v>
      </c>
      <c r="R32" s="61"/>
      <c r="S32" s="62"/>
      <c r="T32" s="62"/>
      <c r="U32" s="55"/>
      <c r="V32" s="57"/>
      <c r="W32" s="57"/>
      <c r="X32" s="55" t="n">
        <f aca="false">IF(A32="","",IF(AND(Parameter!$B$21="Ja",ISNUMBER(U32)),U32,IF(IFERROR(VLOOKUP(D32,Parameter!$A$35:$C$64,2,0),"Nein")="2+3",IF(ISNUMBER(SEARCH("grosser Artikel",BM32)),2,IFERROR(VLOOKUP(BP32,Parameter!$F$35:$G$64,2,0),2)),IF(OR(IFERROR(VLOOKUP(D32,Parameter!$A$35:$C$64,2,0),"Nein")="Nein",IFERROR(VLOOKUP(D32,Parameter!$A$35:$C$64,2,0),"Nein")=""),"-",VLOOKUP(D32,Parameter!$A$35:$C$64,2,0)))))</f>
        <v>2</v>
      </c>
      <c r="Y32" s="62"/>
      <c r="Z32" s="63"/>
      <c r="AA32" s="57" t="n">
        <f aca="false">AP32</f>
        <v>1</v>
      </c>
      <c r="AB32" s="57" t="n">
        <f aca="false">MAX(AP32,G32)</f>
        <v>4</v>
      </c>
      <c r="AC32" s="64"/>
      <c r="AD32" s="57" t="n">
        <f aca="false">IF(LEFT(Cockpit!$C$5,1)="A",G32,IF(BW32=1,BX32,IF(LEFT(Cockpit!$C$5,1)="B",AH32,MAX(AH32,G32))))</f>
        <v>4</v>
      </c>
      <c r="AE32" s="57" t="n">
        <f aca="false">IF(BR32=1,0,ROUNDUP(AD32/BQ32,0))</f>
        <v>0</v>
      </c>
      <c r="AF32" s="59" t="n">
        <f aca="false">IF(CD32&gt;0,CD32*MAX(1,AD32/V32),IF(BR32=1,IF(AD32&lt;=0,0,BS32*MAX(1,IF(G32&gt;0,AD32/G32,1))),IF(Q32&gt;0,AE32/Q32,0))/MAX(0.1,N(Parameter!$M$21)))</f>
        <v>0.15</v>
      </c>
      <c r="AG32" s="57" t="n">
        <f aca="false">AD32*F32</f>
        <v>11204</v>
      </c>
      <c r="AH32" s="57" t="n">
        <f aca="false">ROUNDUP(MAX(I32/IF(BV32&gt;0,BV32,MAX(0.1,N(Cockpit!$C$6))),BY32)/BQ32,0)*BQ32</f>
        <v>1</v>
      </c>
      <c r="AI32" s="58" t="n">
        <f aca="false">IF(AF32&gt;0,I32/AF32,-1)</f>
        <v>0</v>
      </c>
      <c r="AJ32" s="58" t="n">
        <f aca="false">IF(AND(OR(BU32="L1",BU32="L23"),AF32&gt;0),SUMIFS($AF$7:$AF$1576,$BU$7:$BU$1576,BU32,$AI$7:$AI$1576,"&gt;"&amp;AI32)+SUMIFS($AF$7:$AF$1576,$BU$7:$BU$1576,BU32,$AI$7:$AI$1576,AI32,$BO$7:$BO$1576,"&lt;="&amp;BO32),"")</f>
        <v>36.0492483362049</v>
      </c>
      <c r="AK32" s="65" t="n">
        <f aca="false">IF(AJ32="",0,MAX(0,MIN(1,(IF(BU32="L1",Parameter!$E$5,Parameter!$E$6+Parameter!$E$7)-(AJ32-AF32))/AF32)))</f>
        <v>1</v>
      </c>
      <c r="AL32" s="57" t="n">
        <f aca="false">IF(LEFT(Cockpit!$I$5,1)="A",G32,IF(BW32=1,BX32,IF(LEFT(Cockpit!$I$5,1)="B",AP32,MAX(AP32,G32))))</f>
        <v>4</v>
      </c>
      <c r="AM32" s="57" t="n">
        <f aca="false">IF(BR32=1,0,ROUNDUP(AL32/BQ32,0))</f>
        <v>0</v>
      </c>
      <c r="AN32" s="59" t="n">
        <f aca="false">IF(CD32&gt;0,CD32*MAX(1,AL32/V32),IF(BR32=1,IF(AL32&lt;=0,0,BS32*MAX(1,IF(G32&gt;0,AL32/G32,1))),IF(Q32&gt;0,AM32/Q32,0))/MAX(0.1,N(Parameter!$M$21)))</f>
        <v>0.15</v>
      </c>
      <c r="AO32" s="57" t="n">
        <f aca="false">AL32*F32</f>
        <v>11204</v>
      </c>
      <c r="AP32" s="57" t="n">
        <f aca="false">ROUNDUP(MAX(I32/IF(BV32&gt;0,BV32,MAX(0.1,N(Cockpit!$I$6))),BY32)/BQ32,0)*BQ32</f>
        <v>1</v>
      </c>
      <c r="AQ32" s="58" t="n">
        <f aca="false">IF(AN32&gt;0,I32/AN32,-1)</f>
        <v>0</v>
      </c>
      <c r="AR32" s="58" t="n">
        <f aca="false">IF(AND(OR(BU32="L1",BU32="L23"),AN32&gt;0),SUMIFS($AN$7:$AN$1576,$BU$7:$BU$1576,BU32,$AQ$7:$AQ$1576,"&gt;"&amp;AQ32)+SUMIFS($AN$7:$AN$1576,$BU$7:$BU$1576,BU32,$AQ$7:$AQ$1576,AQ32,$BO$7:$BO$1576,"&lt;="&amp;BO32),"")</f>
        <v>118.547485093746</v>
      </c>
      <c r="AS32" s="65" t="n">
        <f aca="false">IF(AR32="",0,MAX(0,MIN(1,(IF(BU32="L1",Parameter!$E$5,Parameter!$E$6+Parameter!$E$7)-(AR32-AN32))/AN32)))</f>
        <v>0</v>
      </c>
      <c r="AT32" s="57" t="n">
        <f aca="false">IF(LEFT(Cockpit!$O$5,1)="A",G32,IF(BW32=1,BX32,IF(LEFT(Cockpit!$O$5,1)="B",AX32,MAX(AX32,G32))))</f>
        <v>4</v>
      </c>
      <c r="AU32" s="57" t="n">
        <f aca="false">IF(BR32=1,0,ROUNDUP(AT32/BQ32,0))</f>
        <v>0</v>
      </c>
      <c r="AV32" s="59" t="n">
        <f aca="false">IF(CD32&gt;0,CD32*MAX(1,AT32/V32),IF(BR32=1,IF(AT32&lt;=0,0,BS32*MAX(1,IF(G32&gt;0,AT32/G32,1))),IF(Q32&gt;0,AU32/Q32,0))/MAX(0.1,N(Parameter!$M$21)))</f>
        <v>0.15</v>
      </c>
      <c r="AW32" s="57" t="n">
        <f aca="false">AT32*F32</f>
        <v>11204</v>
      </c>
      <c r="AX32" s="57" t="n">
        <f aca="false">ROUNDUP(MAX(I32/IF(BV32&gt;0,BV32,MAX(0.1,N(Cockpit!$O$6))),BY32)/BQ32,0)*BQ32</f>
        <v>1</v>
      </c>
      <c r="AY32" s="58" t="n">
        <f aca="false">IF(AV32&gt;0,I32/AV32,-1)</f>
        <v>0</v>
      </c>
      <c r="AZ32" s="58" t="n">
        <f aca="false">IF(AND(OR(BU32="L1",BU32="L23"),AV32&gt;0),SUMIFS($AV$7:$AV$1576,$BU$7:$BU$1576,BU32,$AY$7:$AY$1576,"&gt;"&amp;AY32)+SUMIFS($AV$7:$AV$1576,$BU$7:$BU$1576,BU32,$AY$7:$AY$1576,AY32,$BO$7:$BO$1576,"&lt;="&amp;BO32),"")</f>
        <v>108.607035543297</v>
      </c>
      <c r="BA32" s="65" t="n">
        <f aca="false">IF(AZ32="",0,MAX(0,MIN(1,(IF(BU32="L1",Parameter!$E$5,Parameter!$E$6+Parameter!$E$7)-(AZ32-AV32))/AV32)))</f>
        <v>0</v>
      </c>
      <c r="BB32" s="55" t="str">
        <f aca="false">IF(AF32&lt;=0,"",IF(BU32="Aussen","Aussenlager",IF(BU32="-","Nicht im Lift",IF(AK32&gt;=1,"Lift",IF(AK32&lt;=0,"Aussenlager","teilweise")))))</f>
        <v>Lift</v>
      </c>
      <c r="BC32" s="55" t="str">
        <f aca="false">IF(AN32&lt;=0,"",IF(BU32="Aussen","Aussenlager",IF(BU32="-","Nicht im Lift",IF(AS32&gt;=1,"Lift",IF(AS32&lt;=0,"Aussenlager","teilweise")))))</f>
        <v>Aussenlager</v>
      </c>
      <c r="BD32" s="55" t="str">
        <f aca="false">IF(AV32&lt;=0,"",IF(BU32="Aussen","Aussenlager",IF(BU32="-","Nicht im Lift",IF(BA32&gt;=1,"Lift",IF(BA32&lt;=0,"Aussenlager","teilweise")))))</f>
        <v>Aussenlager</v>
      </c>
      <c r="BE32" s="55" t="str">
        <f aca="false">IF(A32="","",IF(BN32=1,"Neu; ","")&amp;IF(AND(BN32=0,BI32&lt;0),"negativer Bestand (Export "&amp;BI32&amp;"); ","")&amp;IF(I32&lt;=0,"Kein Verbrauch; ","")&amp;IF(CD32&gt;0,"Lift "&amp;U32&amp;" lt. Liftbericht (Fach "&amp;V32&amp;" Stk); ",IF(BR32=1,"Lose – Fläche geschätzt; ",""))&amp;IF(G32&gt;AP32,"Überbestand "&amp;ROUND(G32-AP32,0)&amp;" Stk / CHF "&amp;ROUND((G32-AP32)*F32,0)&amp;"; ","")&amp;IF(AND(BW32=1,BX32&lt;BY32),"MAX &lt; MB+LG; ","")&amp;IF(AND(CC32&gt;0,CB32*10&gt;CC32),"zu hoch für Tablar; ","")&amp;IF(AND(BN32=0,OR(BW32=1,Y32&lt;&gt;"",S32&lt;&gt;"",T32&lt;&gt;"",Z32&lt;&gt;"")),"manuell übersteuert; ","")&amp;IF(AND(BR32=0,Q32=0),"Gebinde unbekannt / Stellmass fehlt; ","")&amp;IF(AND(BR32=0,N(T32)&lt;=0,N(P32)&lt;=0),"Menge pro Gebinde fehlt (Ist = 1 Gebinde); ","")&amp;BM32)</f>
        <v>Kein Verbrauch; Lose – Fläche geschätzt; Überbestand 3 Stk / CHF 8403; </v>
      </c>
      <c r="BF32" s="55" t="s">
        <v>238</v>
      </c>
      <c r="BG32" s="55" t="s">
        <v>239</v>
      </c>
      <c r="BH32" s="62"/>
      <c r="BI32" s="57" t="n">
        <v>4</v>
      </c>
      <c r="BJ32" s="57" t="n">
        <v>0</v>
      </c>
      <c r="BK32" s="56" t="n">
        <v>11204</v>
      </c>
      <c r="BL32" s="57" t="n">
        <v>0</v>
      </c>
      <c r="BM32" s="55"/>
      <c r="BN32" s="60" t="n">
        <v>0</v>
      </c>
      <c r="BO32" s="60" t="n">
        <v>32</v>
      </c>
      <c r="BP32" s="55" t="str">
        <f aca="false">IF(S32&lt;&gt;"",UPPER(TRIM(S32)),IF(O32="","LOSE",O32))</f>
        <v>LOSE</v>
      </c>
      <c r="BQ32" s="57" t="n">
        <f aca="false">IF(BP32="LOSE",1,IF(N(T32)&gt;0,T32,IF(N(P32)&gt;0,P32,MAX(1,G32))))</f>
        <v>1</v>
      </c>
      <c r="BR32" s="60" t="n">
        <f aca="false">IF(BP32="LOSE",1,0)</f>
        <v>1</v>
      </c>
      <c r="BS32" s="59" t="n">
        <f aca="false">IF(BR32=0,0,IF(N(R32)&gt;0,R32,IFERROR(VLOOKUP(D32,Parameter!$A$35:$C$64,3,0)+0,0)))</f>
        <v>0.15</v>
      </c>
      <c r="BT32" s="55" t="n">
        <f aca="false">IF(Y32&lt;&gt;"",Y32,X32)</f>
        <v>2</v>
      </c>
      <c r="BU32" s="55" t="str">
        <f aca="false">IF(BT32=1,"L1",IF(OR(BT32=2,BT32=3),"L23",IF(BT32="Aussen","Aussen","-")))</f>
        <v>L23</v>
      </c>
      <c r="BV32" s="66" t="n">
        <f aca="false">IF(N(Z32)&gt;0,Z32,0)</f>
        <v>0</v>
      </c>
      <c r="BW32" s="60" t="n">
        <f aca="false">IF(ISNUMBER(AC32),1,0)</f>
        <v>0</v>
      </c>
      <c r="BX32" s="57" t="n">
        <f aca="false">N(AC32)</f>
        <v>0</v>
      </c>
      <c r="BY32" s="57" t="n">
        <f aca="false">N(L32)+N(M32)</f>
        <v>1</v>
      </c>
      <c r="BZ32" s="57" t="n">
        <f aca="false">ROUNDUP(G32/BQ32,0)</f>
        <v>4</v>
      </c>
      <c r="CA32" s="57" t="n">
        <f aca="false">ROUNDUP(BX32/BQ32,0)</f>
        <v>0</v>
      </c>
      <c r="CB32" s="60" t="n">
        <f aca="false">IF(BR32=1,0,IFERROR(VLOOKUP(BP32,'Gebinde-Kategorie'!$A$5:$M$45,5,0)+0,0))</f>
        <v>0</v>
      </c>
      <c r="CC32" s="60" t="n">
        <f aca="false">IFERROR(IF(OR(BT32=1,BT32=2,BT32=3),N(INDEX(Parameter!$I$5:$I$7,BT32)),0),0)</f>
        <v>0</v>
      </c>
      <c r="CD32" s="59" t="n">
        <f aca="false">IF(AND(Parameter!$B$21="Ja",ISNUMBER(U32),N(V32)&gt;0),IFERROR(N(INDEX(Parameter!$L$5:$L$7,U32))*INDEX(Parameter!$E$5:$E$7,U32)*V32/SUMIFS($V$7:$V$1576,$U$7:$U$1576,U32),0),0)</f>
        <v>0</v>
      </c>
    </row>
    <row r="33" customFormat="false" ht="15" hidden="false" customHeight="false" outlineLevel="0" collapsed="false">
      <c r="A33" s="55" t="s">
        <v>240</v>
      </c>
      <c r="B33" s="55" t="s">
        <v>241</v>
      </c>
      <c r="C33" s="55" t="s">
        <v>160</v>
      </c>
      <c r="D33" s="55" t="s">
        <v>168</v>
      </c>
      <c r="E33" s="55" t="s">
        <v>210</v>
      </c>
      <c r="F33" s="56" t="n">
        <v>256.88</v>
      </c>
      <c r="G33" s="57" t="n">
        <f aca="false">MAX(0,IF(AND(Parameter!$B$21="Ja",ISNUMBER(W33)),W33,IF(Parameter!$B$20="Jahresanfang 2025 + Export",BJ33+BI33,BI33)))</f>
        <v>43</v>
      </c>
      <c r="H33" s="57" t="n">
        <f aca="false">G33*F33</f>
        <v>11045.84</v>
      </c>
      <c r="I33" s="57" t="n">
        <f aca="false">BL33*Parameter!$B$18</f>
        <v>0</v>
      </c>
      <c r="J33" s="58" t="n">
        <v>0</v>
      </c>
      <c r="K33" s="59" t="n">
        <v>0</v>
      </c>
      <c r="L33" s="57" t="n">
        <v>12</v>
      </c>
      <c r="M33" s="57" t="n">
        <v>48</v>
      </c>
      <c r="N33" s="60" t="n">
        <v>28</v>
      </c>
      <c r="O33" s="55" t="s">
        <v>163</v>
      </c>
      <c r="P33" s="57"/>
      <c r="Q33" s="60" t="n">
        <f aca="false">IF(BR33=1,0,IFERROR(VLOOKUP(BP33,'Gebinde-Kategorie'!$A$5:$M$45,13,0)+0,0))</f>
        <v>0</v>
      </c>
      <c r="R33" s="61"/>
      <c r="S33" s="62"/>
      <c r="T33" s="62"/>
      <c r="U33" s="55"/>
      <c r="V33" s="57"/>
      <c r="W33" s="57"/>
      <c r="X33" s="55" t="n">
        <f aca="false">IF(A33="","",IF(AND(Parameter!$B$21="Ja",ISNUMBER(U33)),U33,IF(IFERROR(VLOOKUP(D33,Parameter!$A$35:$C$64,2,0),"Nein")="2+3",IF(ISNUMBER(SEARCH("grosser Artikel",BM33)),2,IFERROR(VLOOKUP(BP33,Parameter!$F$35:$G$64,2,0),2)),IF(OR(IFERROR(VLOOKUP(D33,Parameter!$A$35:$C$64,2,0),"Nein")="Nein",IFERROR(VLOOKUP(D33,Parameter!$A$35:$C$64,2,0),"Nein")=""),"-",VLOOKUP(D33,Parameter!$A$35:$C$64,2,0)))))</f>
        <v>2</v>
      </c>
      <c r="Y33" s="62"/>
      <c r="Z33" s="63"/>
      <c r="AA33" s="57" t="n">
        <f aca="false">AP33</f>
        <v>60</v>
      </c>
      <c r="AB33" s="57" t="n">
        <f aca="false">MAX(AP33,G33)</f>
        <v>60</v>
      </c>
      <c r="AC33" s="64"/>
      <c r="AD33" s="57" t="n">
        <f aca="false">IF(LEFT(Cockpit!$C$5,1)="A",G33,IF(BW33=1,BX33,IF(LEFT(Cockpit!$C$5,1)="B",AH33,MAX(AH33,G33))))</f>
        <v>43</v>
      </c>
      <c r="AE33" s="57" t="n">
        <f aca="false">IF(BR33=1,0,ROUNDUP(AD33/BQ33,0))</f>
        <v>0</v>
      </c>
      <c r="AF33" s="59" t="n">
        <f aca="false">IF(CD33&gt;0,CD33*MAX(1,AD33/V33),IF(BR33=1,IF(AD33&lt;=0,0,BS33*MAX(1,IF(G33&gt;0,AD33/G33,1))),IF(Q33&gt;0,AE33/Q33,0))/MAX(0.1,N(Parameter!$M$21)))</f>
        <v>0.15</v>
      </c>
      <c r="AG33" s="57" t="n">
        <f aca="false">AD33*F33</f>
        <v>11045.84</v>
      </c>
      <c r="AH33" s="57" t="n">
        <f aca="false">ROUNDUP(MAX(I33/IF(BV33&gt;0,BV33,MAX(0.1,N(Cockpit!$C$6))),BY33)/BQ33,0)*BQ33</f>
        <v>60</v>
      </c>
      <c r="AI33" s="58" t="n">
        <f aca="false">IF(AF33&gt;0,I33/AF33,-1)</f>
        <v>0</v>
      </c>
      <c r="AJ33" s="58" t="n">
        <f aca="false">IF(AND(OR(BU33="L1",BU33="L23"),AF33&gt;0),SUMIFS($AF$7:$AF$1576,$BU$7:$BU$1576,BU33,$AI$7:$AI$1576,"&gt;"&amp;AI33)+SUMIFS($AF$7:$AF$1576,$BU$7:$BU$1576,BU33,$AI$7:$AI$1576,AI33,$BO$7:$BO$1576,"&lt;="&amp;BO33),"")</f>
        <v>36.1992483362049</v>
      </c>
      <c r="AK33" s="65" t="n">
        <f aca="false">IF(AJ33="",0,MAX(0,MIN(1,(IF(BU33="L1",Parameter!$E$5,Parameter!$E$6+Parameter!$E$7)-(AJ33-AF33))/AF33)))</f>
        <v>1</v>
      </c>
      <c r="AL33" s="57" t="n">
        <f aca="false">IF(LEFT(Cockpit!$I$5,1)="A",G33,IF(BW33=1,BX33,IF(LEFT(Cockpit!$I$5,1)="B",AP33,MAX(AP33,G33))))</f>
        <v>60</v>
      </c>
      <c r="AM33" s="57" t="n">
        <f aca="false">IF(BR33=1,0,ROUNDUP(AL33/BQ33,0))</f>
        <v>0</v>
      </c>
      <c r="AN33" s="59" t="n">
        <f aca="false">IF(CD33&gt;0,CD33*MAX(1,AL33/V33),IF(BR33=1,IF(AL33&lt;=0,0,BS33*MAX(1,IF(G33&gt;0,AL33/G33,1))),IF(Q33&gt;0,AM33/Q33,0))/MAX(0.1,N(Parameter!$M$21)))</f>
        <v>0.209302325581395</v>
      </c>
      <c r="AO33" s="57" t="n">
        <f aca="false">AL33*F33</f>
        <v>15412.8</v>
      </c>
      <c r="AP33" s="57" t="n">
        <f aca="false">ROUNDUP(MAX(I33/IF(BV33&gt;0,BV33,MAX(0.1,N(Cockpit!$I$6))),BY33)/BQ33,0)*BQ33</f>
        <v>60</v>
      </c>
      <c r="AQ33" s="58" t="n">
        <f aca="false">IF(AN33&gt;0,I33/AN33,-1)</f>
        <v>0</v>
      </c>
      <c r="AR33" s="58" t="n">
        <f aca="false">IF(AND(OR(BU33="L1",BU33="L23"),AN33&gt;0),SUMIFS($AN$7:$AN$1576,$BU$7:$BU$1576,BU33,$AQ$7:$AQ$1576,"&gt;"&amp;AQ33)+SUMIFS($AN$7:$AN$1576,$BU$7:$BU$1576,BU33,$AQ$7:$AQ$1576,AQ33,$BO$7:$BO$1576,"&lt;="&amp;BO33),"")</f>
        <v>118.756787419328</v>
      </c>
      <c r="AS33" s="65" t="n">
        <f aca="false">IF(AR33="",0,MAX(0,MIN(1,(IF(BU33="L1",Parameter!$E$5,Parameter!$E$6+Parameter!$E$7)-(AR33-AN33))/AN33)))</f>
        <v>0</v>
      </c>
      <c r="AT33" s="57" t="n">
        <f aca="false">IF(LEFT(Cockpit!$O$5,1)="A",G33,IF(BW33=1,BX33,IF(LEFT(Cockpit!$O$5,1)="B",AX33,MAX(AX33,G33))))</f>
        <v>60</v>
      </c>
      <c r="AU33" s="57" t="n">
        <f aca="false">IF(BR33=1,0,ROUNDUP(AT33/BQ33,0))</f>
        <v>0</v>
      </c>
      <c r="AV33" s="59" t="n">
        <f aca="false">IF(CD33&gt;0,CD33*MAX(1,AT33/V33),IF(BR33=1,IF(AT33&lt;=0,0,BS33*MAX(1,IF(G33&gt;0,AT33/G33,1))),IF(Q33&gt;0,AU33/Q33,0))/MAX(0.1,N(Parameter!$M$21)))</f>
        <v>0.209302325581395</v>
      </c>
      <c r="AW33" s="57" t="n">
        <f aca="false">AT33*F33</f>
        <v>15412.8</v>
      </c>
      <c r="AX33" s="57" t="n">
        <f aca="false">ROUNDUP(MAX(I33/IF(BV33&gt;0,BV33,MAX(0.1,N(Cockpit!$O$6))),BY33)/BQ33,0)*BQ33</f>
        <v>60</v>
      </c>
      <c r="AY33" s="58" t="n">
        <f aca="false">IF(AV33&gt;0,I33/AV33,-1)</f>
        <v>0</v>
      </c>
      <c r="AZ33" s="58" t="n">
        <f aca="false">IF(AND(OR(BU33="L1",BU33="L23"),AV33&gt;0),SUMIFS($AV$7:$AV$1576,$BU$7:$BU$1576,BU33,$AY$7:$AY$1576,"&gt;"&amp;AY33)+SUMIFS($AV$7:$AV$1576,$BU$7:$BU$1576,BU33,$AY$7:$AY$1576,AY33,$BO$7:$BO$1576,"&lt;="&amp;BO33),"")</f>
        <v>108.816337868878</v>
      </c>
      <c r="BA33" s="65" t="n">
        <f aca="false">IF(AZ33="",0,MAX(0,MIN(1,(IF(BU33="L1",Parameter!$E$5,Parameter!$E$6+Parameter!$E$7)-(AZ33-AV33))/AV33)))</f>
        <v>0</v>
      </c>
      <c r="BB33" s="55" t="str">
        <f aca="false">IF(AF33&lt;=0,"",IF(BU33="Aussen","Aussenlager",IF(BU33="-","Nicht im Lift",IF(AK33&gt;=1,"Lift",IF(AK33&lt;=0,"Aussenlager","teilweise")))))</f>
        <v>Lift</v>
      </c>
      <c r="BC33" s="55" t="str">
        <f aca="false">IF(AN33&lt;=0,"",IF(BU33="Aussen","Aussenlager",IF(BU33="-","Nicht im Lift",IF(AS33&gt;=1,"Lift",IF(AS33&lt;=0,"Aussenlager","teilweise")))))</f>
        <v>Aussenlager</v>
      </c>
      <c r="BD33" s="55" t="str">
        <f aca="false">IF(AV33&lt;=0,"",IF(BU33="Aussen","Aussenlager",IF(BU33="-","Nicht im Lift",IF(BA33&gt;=1,"Lift",IF(BA33&lt;=0,"Aussenlager","teilweise")))))</f>
        <v>Aussenlager</v>
      </c>
      <c r="BE33" s="55" t="str">
        <f aca="false">IF(A33="","",IF(BN33=1,"Neu; ","")&amp;IF(AND(BN33=0,BI33&lt;0),"negativer Bestand (Export "&amp;BI33&amp;"); ","")&amp;IF(I33&lt;=0,"Kein Verbrauch; ","")&amp;IF(CD33&gt;0,"Lift "&amp;U33&amp;" lt. Liftbericht (Fach "&amp;V33&amp;" Stk); ",IF(BR33=1,"Lose – Fläche geschätzt; ",""))&amp;IF(G33&gt;AP33,"Überbestand "&amp;ROUND(G33-AP33,0)&amp;" Stk / CHF "&amp;ROUND((G33-AP33)*F33,0)&amp;"; ","")&amp;IF(AND(BW33=1,BX33&lt;BY33),"MAX &lt; MB+LG; ","")&amp;IF(AND(CC33&gt;0,CB33*10&gt;CC33),"zu hoch für Tablar; ","")&amp;IF(AND(BN33=0,OR(BW33=1,Y33&lt;&gt;"",S33&lt;&gt;"",T33&lt;&gt;"",Z33&lt;&gt;"")),"manuell übersteuert; ","")&amp;IF(AND(BR33=0,Q33=0),"Gebinde unbekannt / Stellmass fehlt; ","")&amp;IF(AND(BR33=0,N(T33)&lt;=0,N(P33)&lt;=0),"Menge pro Gebinde fehlt (Ist = 1 Gebinde); ","")&amp;BM33)</f>
        <v>Kein Verbrauch; Lose – Fläche geschätzt; </v>
      </c>
      <c r="BF33" s="55" t="s">
        <v>242</v>
      </c>
      <c r="BG33" s="55" t="s">
        <v>239</v>
      </c>
      <c r="BH33" s="62"/>
      <c r="BI33" s="57" t="n">
        <v>43</v>
      </c>
      <c r="BJ33" s="57" t="n">
        <v>0</v>
      </c>
      <c r="BK33" s="56" t="n">
        <v>11045.84</v>
      </c>
      <c r="BL33" s="57" t="n">
        <v>0</v>
      </c>
      <c r="BM33" s="55"/>
      <c r="BN33" s="60" t="n">
        <v>0</v>
      </c>
      <c r="BO33" s="60" t="n">
        <v>33</v>
      </c>
      <c r="BP33" s="55" t="str">
        <f aca="false">IF(S33&lt;&gt;"",UPPER(TRIM(S33)),IF(O33="","LOSE",O33))</f>
        <v>LOSE</v>
      </c>
      <c r="BQ33" s="57" t="n">
        <f aca="false">IF(BP33="LOSE",1,IF(N(T33)&gt;0,T33,IF(N(P33)&gt;0,P33,MAX(1,G33))))</f>
        <v>1</v>
      </c>
      <c r="BR33" s="60" t="n">
        <f aca="false">IF(BP33="LOSE",1,0)</f>
        <v>1</v>
      </c>
      <c r="BS33" s="59" t="n">
        <f aca="false">IF(BR33=0,0,IF(N(R33)&gt;0,R33,IFERROR(VLOOKUP(D33,Parameter!$A$35:$C$64,3,0)+0,0)))</f>
        <v>0.15</v>
      </c>
      <c r="BT33" s="55" t="n">
        <f aca="false">IF(Y33&lt;&gt;"",Y33,X33)</f>
        <v>2</v>
      </c>
      <c r="BU33" s="55" t="str">
        <f aca="false">IF(BT33=1,"L1",IF(OR(BT33=2,BT33=3),"L23",IF(BT33="Aussen","Aussen","-")))</f>
        <v>L23</v>
      </c>
      <c r="BV33" s="66" t="n">
        <f aca="false">IF(N(Z33)&gt;0,Z33,0)</f>
        <v>0</v>
      </c>
      <c r="BW33" s="60" t="n">
        <f aca="false">IF(ISNUMBER(AC33),1,0)</f>
        <v>0</v>
      </c>
      <c r="BX33" s="57" t="n">
        <f aca="false">N(AC33)</f>
        <v>0</v>
      </c>
      <c r="BY33" s="57" t="n">
        <f aca="false">N(L33)+N(M33)</f>
        <v>60</v>
      </c>
      <c r="BZ33" s="57" t="n">
        <f aca="false">ROUNDUP(G33/BQ33,0)</f>
        <v>43</v>
      </c>
      <c r="CA33" s="57" t="n">
        <f aca="false">ROUNDUP(BX33/BQ33,0)</f>
        <v>0</v>
      </c>
      <c r="CB33" s="60" t="n">
        <f aca="false">IF(BR33=1,0,IFERROR(VLOOKUP(BP33,'Gebinde-Kategorie'!$A$5:$M$45,5,0)+0,0))</f>
        <v>0</v>
      </c>
      <c r="CC33" s="60" t="n">
        <f aca="false">IFERROR(IF(OR(BT33=1,BT33=2,BT33=3),N(INDEX(Parameter!$I$5:$I$7,BT33)),0),0)</f>
        <v>0</v>
      </c>
      <c r="CD33" s="59" t="n">
        <f aca="false">IF(AND(Parameter!$B$21="Ja",ISNUMBER(U33),N(V33)&gt;0),IFERROR(N(INDEX(Parameter!$L$5:$L$7,U33))*INDEX(Parameter!$E$5:$E$7,U33)*V33/SUMIFS($V$7:$V$1576,$U$7:$U$1576,U33),0),0)</f>
        <v>0</v>
      </c>
    </row>
    <row r="34" customFormat="false" ht="15" hidden="false" customHeight="false" outlineLevel="0" collapsed="false">
      <c r="A34" s="55" t="s">
        <v>243</v>
      </c>
      <c r="B34" s="55" t="s">
        <v>198</v>
      </c>
      <c r="C34" s="55" t="s">
        <v>160</v>
      </c>
      <c r="D34" s="55" t="s">
        <v>168</v>
      </c>
      <c r="E34" s="55" t="s">
        <v>210</v>
      </c>
      <c r="F34" s="56" t="n">
        <v>3576.83</v>
      </c>
      <c r="G34" s="57" t="n">
        <f aca="false">MAX(0,IF(AND(Parameter!$B$21="Ja",ISNUMBER(W34)),W34,IF(Parameter!$B$20="Jahresanfang 2025 + Export",BJ34+BI34,BI34)))</f>
        <v>5</v>
      </c>
      <c r="H34" s="57" t="n">
        <f aca="false">G34*F34</f>
        <v>17884.15</v>
      </c>
      <c r="I34" s="57" t="n">
        <f aca="false">BL34*Parameter!$B$18</f>
        <v>2</v>
      </c>
      <c r="J34" s="58" t="n">
        <v>4.5</v>
      </c>
      <c r="K34" s="59" t="n">
        <v>0.444444444444444</v>
      </c>
      <c r="L34" s="57" t="n">
        <v>2</v>
      </c>
      <c r="M34" s="57" t="n">
        <v>5</v>
      </c>
      <c r="N34" s="60" t="n">
        <v>84</v>
      </c>
      <c r="O34" s="55" t="s">
        <v>163</v>
      </c>
      <c r="P34" s="57"/>
      <c r="Q34" s="60" t="n">
        <f aca="false">IF(BR34=1,0,IFERROR(VLOOKUP(BP34,'Gebinde-Kategorie'!$A$5:$M$45,13,0)+0,0))</f>
        <v>0</v>
      </c>
      <c r="R34" s="61"/>
      <c r="S34" s="62"/>
      <c r="T34" s="62"/>
      <c r="U34" s="55" t="n">
        <v>1</v>
      </c>
      <c r="V34" s="57" t="n">
        <v>6</v>
      </c>
      <c r="W34" s="57" t="n">
        <v>5</v>
      </c>
      <c r="X34" s="55" t="n">
        <f aca="false">IF(A34="","",IF(AND(Parameter!$B$21="Ja",ISNUMBER(U34)),U34,IF(IFERROR(VLOOKUP(D34,Parameter!$A$35:$C$64,2,0),"Nein")="2+3",IF(ISNUMBER(SEARCH("grosser Artikel",BM34)),2,IFERROR(VLOOKUP(BP34,Parameter!$F$35:$G$64,2,0),2)),IF(OR(IFERROR(VLOOKUP(D34,Parameter!$A$35:$C$64,2,0),"Nein")="Nein",IFERROR(VLOOKUP(D34,Parameter!$A$35:$C$64,2,0),"Nein")=""),"-",VLOOKUP(D34,Parameter!$A$35:$C$64,2,0)))))</f>
        <v>1</v>
      </c>
      <c r="Y34" s="62"/>
      <c r="Z34" s="63"/>
      <c r="AA34" s="57" t="n">
        <f aca="false">AP34</f>
        <v>7</v>
      </c>
      <c r="AB34" s="57" t="n">
        <f aca="false">MAX(AP34,G34)</f>
        <v>7</v>
      </c>
      <c r="AC34" s="64"/>
      <c r="AD34" s="57" t="n">
        <f aca="false">IF(LEFT(Cockpit!$C$5,1)="A",G34,IF(BW34=1,BX34,IF(LEFT(Cockpit!$C$5,1)="B",AH34,MAX(AH34,G34))))</f>
        <v>5</v>
      </c>
      <c r="AE34" s="57" t="n">
        <f aca="false">IF(BR34=1,0,ROUNDUP(AD34/BQ34,0))</f>
        <v>0</v>
      </c>
      <c r="AF34" s="59" t="n">
        <f aca="false">IF(CD34&gt;0,CD34*MAX(1,AD34/V34),IF(BR34=1,IF(AD34&lt;=0,0,BS34*MAX(1,IF(G34&gt;0,AD34/G34,1))),IF(Q34&gt;0,AE34/Q34,0))/MAX(0.1,N(Parameter!$M$21)))</f>
        <v>0.480225988700565</v>
      </c>
      <c r="AG34" s="57" t="n">
        <f aca="false">AD34*F34</f>
        <v>17884.15</v>
      </c>
      <c r="AH34" s="57" t="n">
        <f aca="false">ROUNDUP(MAX(I34/IF(BV34&gt;0,BV34,MAX(0.1,N(Cockpit!$C$6))),BY34)/BQ34,0)*BQ34</f>
        <v>7</v>
      </c>
      <c r="AI34" s="58" t="n">
        <f aca="false">IF(AF34&gt;0,I34/AF34,-1)</f>
        <v>4.16470588235294</v>
      </c>
      <c r="AJ34" s="58" t="n">
        <f aca="false">IF(AND(OR(BU34="L1",BU34="L23"),AF34&gt;0),SUMIFS($AF$7:$AF$1576,$BU$7:$BU$1576,BU34,$AI$7:$AI$1576,"&gt;"&amp;AI34)+SUMIFS($AF$7:$AF$1576,$BU$7:$BU$1576,BU34,$AI$7:$AI$1576,AI34,$BO$7:$BO$1576,"&lt;="&amp;BO34),"")</f>
        <v>33.7758945386064</v>
      </c>
      <c r="AK34" s="65" t="n">
        <f aca="false">IF(AJ34="",0,MAX(0,MIN(1,(IF(BU34="L1",Parameter!$E$5,Parameter!$E$6+Parameter!$E$7)-(AJ34-AF34))/AF34)))</f>
        <v>1</v>
      </c>
      <c r="AL34" s="57" t="n">
        <f aca="false">IF(LEFT(Cockpit!$I$5,1)="A",G34,IF(BW34=1,BX34,IF(LEFT(Cockpit!$I$5,1)="B",AP34,MAX(AP34,G34))))</f>
        <v>7</v>
      </c>
      <c r="AM34" s="57" t="n">
        <f aca="false">IF(BR34=1,0,ROUNDUP(AL34/BQ34,0))</f>
        <v>0</v>
      </c>
      <c r="AN34" s="59" t="n">
        <f aca="false">IF(CD34&gt;0,CD34*MAX(1,AL34/V34),IF(BR34=1,IF(AL34&lt;=0,0,BS34*MAX(1,IF(G34&gt;0,AL34/G34,1))),IF(Q34&gt;0,AM34/Q34,0))/MAX(0.1,N(Parameter!$M$21)))</f>
        <v>0.560263653483993</v>
      </c>
      <c r="AO34" s="57" t="n">
        <f aca="false">AL34*F34</f>
        <v>25037.81</v>
      </c>
      <c r="AP34" s="57" t="n">
        <f aca="false">ROUNDUP(MAX(I34/IF(BV34&gt;0,BV34,MAX(0.1,N(Cockpit!$I$6))),BY34)/BQ34,0)*BQ34</f>
        <v>7</v>
      </c>
      <c r="AQ34" s="58" t="n">
        <f aca="false">IF(AN34&gt;0,I34/AN34,-1)</f>
        <v>3.56974789915966</v>
      </c>
      <c r="AR34" s="58" t="n">
        <f aca="false">IF(AND(OR(BU34="L1",BU34="L23"),AN34&gt;0),SUMIFS($AN$7:$AN$1576,$BU$7:$BU$1576,BU34,$AQ$7:$AQ$1576,"&gt;"&amp;AQ34)+SUMIFS($AN$7:$AN$1576,$BU$7:$BU$1576,BU34,$AQ$7:$AQ$1576,AQ34,$BO$7:$BO$1576,"&lt;="&amp;BO34),"")</f>
        <v>41.7796610169492</v>
      </c>
      <c r="AS34" s="65" t="n">
        <f aca="false">IF(AR34="",0,MAX(0,MIN(1,(IF(BU34="L1",Parameter!$E$5,Parameter!$E$6+Parameter!$E$7)-(AR34-AN34))/AN34)))</f>
        <v>1</v>
      </c>
      <c r="AT34" s="57" t="n">
        <f aca="false">IF(LEFT(Cockpit!$O$5,1)="A",G34,IF(BW34=1,BX34,IF(LEFT(Cockpit!$O$5,1)="B",AX34,MAX(AX34,G34))))</f>
        <v>7</v>
      </c>
      <c r="AU34" s="57" t="n">
        <f aca="false">IF(BR34=1,0,ROUNDUP(AT34/BQ34,0))</f>
        <v>0</v>
      </c>
      <c r="AV34" s="59" t="n">
        <f aca="false">IF(CD34&gt;0,CD34*MAX(1,AT34/V34),IF(BR34=1,IF(AT34&lt;=0,0,BS34*MAX(1,IF(G34&gt;0,AT34/G34,1))),IF(Q34&gt;0,AU34/Q34,0))/MAX(0.1,N(Parameter!$M$21)))</f>
        <v>0.560263653483993</v>
      </c>
      <c r="AW34" s="57" t="n">
        <f aca="false">AT34*F34</f>
        <v>25037.81</v>
      </c>
      <c r="AX34" s="57" t="n">
        <f aca="false">ROUNDUP(MAX(I34/IF(BV34&gt;0,BV34,MAX(0.1,N(Cockpit!$O$6))),BY34)/BQ34,0)*BQ34</f>
        <v>7</v>
      </c>
      <c r="AY34" s="58" t="n">
        <f aca="false">IF(AV34&gt;0,I34/AV34,-1)</f>
        <v>3.56974789915966</v>
      </c>
      <c r="AZ34" s="58" t="n">
        <f aca="false">IF(AND(OR(BU34="L1",BU34="L23"),AV34&gt;0),SUMIFS($AV$7:$AV$1576,$BU$7:$BU$1576,BU34,$AY$7:$AY$1576,"&gt;"&amp;AY34)+SUMIFS($AV$7:$AV$1576,$BU$7:$BU$1576,BU34,$AY$7:$AY$1576,AY34,$BO$7:$BO$1576,"&lt;="&amp;BO34),"")</f>
        <v>38.8182674199623</v>
      </c>
      <c r="BA34" s="65" t="n">
        <f aca="false">IF(AZ34="",0,MAX(0,MIN(1,(IF(BU34="L1",Parameter!$E$5,Parameter!$E$6+Parameter!$E$7)-(AZ34-AV34))/AV34)))</f>
        <v>1</v>
      </c>
      <c r="BB34" s="55" t="str">
        <f aca="false">IF(AF34&lt;=0,"",IF(BU34="Aussen","Aussenlager",IF(BU34="-","Nicht im Lift",IF(AK34&gt;=1,"Lift",IF(AK34&lt;=0,"Aussenlager","teilweise")))))</f>
        <v>Lift</v>
      </c>
      <c r="BC34" s="55" t="str">
        <f aca="false">IF(AN34&lt;=0,"",IF(BU34="Aussen","Aussenlager",IF(BU34="-","Nicht im Lift",IF(AS34&gt;=1,"Lift",IF(AS34&lt;=0,"Aussenlager","teilweise")))))</f>
        <v>Lift</v>
      </c>
      <c r="BD34" s="55" t="str">
        <f aca="false">IF(AV34&lt;=0,"",IF(BU34="Aussen","Aussenlager",IF(BU34="-","Nicht im Lift",IF(BA34&gt;=1,"Lift",IF(BA34&lt;=0,"Aussenlager","teilweise")))))</f>
        <v>Lift</v>
      </c>
      <c r="BE34" s="55" t="str">
        <f aca="false">IF(A34="","",IF(BN34=1,"Neu; ","")&amp;IF(AND(BN34=0,BI34&lt;0),"negativer Bestand (Export "&amp;BI34&amp;"); ","")&amp;IF(I34&lt;=0,"Kein Verbrauch; ","")&amp;IF(CD34&gt;0,"Lift "&amp;U34&amp;" lt. Liftbericht (Fach "&amp;V34&amp;" Stk); ",IF(BR34=1,"Lose – Fläche geschätzt; ",""))&amp;IF(G34&gt;AP34,"Überbestand "&amp;ROUND(G34-AP34,0)&amp;" Stk / CHF "&amp;ROUND((G34-AP34)*F34,0)&amp;"; ","")&amp;IF(AND(BW34=1,BX34&lt;BY34),"MAX &lt; MB+LG; ","")&amp;IF(AND(CC34&gt;0,CB34*10&gt;CC34),"zu hoch für Tablar; ","")&amp;IF(AND(BN34=0,OR(BW34=1,Y34&lt;&gt;"",S34&lt;&gt;"",T34&lt;&gt;"",Z34&lt;&gt;"")),"manuell übersteuert; ","")&amp;IF(AND(BR34=0,Q34=0),"Gebinde unbekannt / Stellmass fehlt; ","")&amp;IF(AND(BR34=0,N(T34)&lt;=0,N(P34)&lt;=0),"Menge pro Gebinde fehlt (Ist = 1 Gebinde); ","")&amp;BM34)</f>
        <v>Lift 1 lt. Liftbericht (Fach 6 Stk); </v>
      </c>
      <c r="BF34" s="55"/>
      <c r="BG34" s="55"/>
      <c r="BH34" s="62"/>
      <c r="BI34" s="57" t="n">
        <v>3</v>
      </c>
      <c r="BJ34" s="57" t="n">
        <v>3</v>
      </c>
      <c r="BK34" s="56" t="n">
        <v>10844.04</v>
      </c>
      <c r="BL34" s="57" t="n">
        <v>2</v>
      </c>
      <c r="BM34" s="55"/>
      <c r="BN34" s="60" t="n">
        <v>0</v>
      </c>
      <c r="BO34" s="60" t="n">
        <v>34</v>
      </c>
      <c r="BP34" s="55" t="str">
        <f aca="false">IF(S34&lt;&gt;"",UPPER(TRIM(S34)),IF(O34="","LOSE",O34))</f>
        <v>LOSE</v>
      </c>
      <c r="BQ34" s="57" t="n">
        <f aca="false">IF(BP34="LOSE",1,IF(N(T34)&gt;0,T34,IF(N(P34)&gt;0,P34,MAX(1,G34))))</f>
        <v>1</v>
      </c>
      <c r="BR34" s="60" t="n">
        <f aca="false">IF(BP34="LOSE",1,0)</f>
        <v>1</v>
      </c>
      <c r="BS34" s="59" t="n">
        <f aca="false">IF(BR34=0,0,IF(N(R34)&gt;0,R34,IFERROR(VLOOKUP(D34,Parameter!$A$35:$C$64,3,0)+0,0)))</f>
        <v>0.15</v>
      </c>
      <c r="BT34" s="55" t="n">
        <f aca="false">IF(Y34&lt;&gt;"",Y34,X34)</f>
        <v>1</v>
      </c>
      <c r="BU34" s="55" t="str">
        <f aca="false">IF(BT34=1,"L1",IF(OR(BT34=2,BT34=3),"L23",IF(BT34="Aussen","Aussen","-")))</f>
        <v>L1</v>
      </c>
      <c r="BV34" s="66" t="n">
        <f aca="false">IF(N(Z34)&gt;0,Z34,0)</f>
        <v>0</v>
      </c>
      <c r="BW34" s="60" t="n">
        <f aca="false">IF(ISNUMBER(AC34),1,0)</f>
        <v>0</v>
      </c>
      <c r="BX34" s="57" t="n">
        <f aca="false">N(AC34)</f>
        <v>0</v>
      </c>
      <c r="BY34" s="57" t="n">
        <f aca="false">N(L34)+N(M34)</f>
        <v>7</v>
      </c>
      <c r="BZ34" s="57" t="n">
        <f aca="false">ROUNDUP(G34/BQ34,0)</f>
        <v>5</v>
      </c>
      <c r="CA34" s="57" t="n">
        <f aca="false">ROUNDUP(BX34/BQ34,0)</f>
        <v>0</v>
      </c>
      <c r="CB34" s="60" t="n">
        <f aca="false">IF(BR34=1,0,IFERROR(VLOOKUP(BP34,'Gebinde-Kategorie'!$A$5:$M$45,5,0)+0,0))</f>
        <v>0</v>
      </c>
      <c r="CC34" s="60" t="n">
        <f aca="false">IFERROR(IF(OR(BT34=1,BT34=2,BT34=3),N(INDEX(Parameter!$I$5:$I$7,BT34)),0),0)</f>
        <v>0</v>
      </c>
      <c r="CD34" s="59" t="n">
        <f aca="false">IF(AND(Parameter!$B$21="Ja",ISNUMBER(U34),N(V34)&gt;0),IFERROR(N(INDEX(Parameter!$L$5:$L$7,U34))*INDEX(Parameter!$E$5:$E$7,U34)*V34/SUMIFS($V$7:$V$1576,$U$7:$U$1576,U34),0),0)</f>
        <v>0.480225988700565</v>
      </c>
    </row>
    <row r="35" customFormat="false" ht="15" hidden="false" customHeight="false" outlineLevel="0" collapsed="false">
      <c r="A35" s="55" t="s">
        <v>244</v>
      </c>
      <c r="B35" s="55" t="s">
        <v>245</v>
      </c>
      <c r="C35" s="55" t="s">
        <v>160</v>
      </c>
      <c r="D35" s="55" t="s">
        <v>161</v>
      </c>
      <c r="E35" s="55" t="s">
        <v>210</v>
      </c>
      <c r="F35" s="56" t="n">
        <v>1373.75</v>
      </c>
      <c r="G35" s="57" t="n">
        <f aca="false">MAX(0,IF(AND(Parameter!$B$21="Ja",ISNUMBER(W35)),W35,IF(Parameter!$B$20="Jahresanfang 2025 + Export",BJ35+BI35,BI35)))</f>
        <v>19</v>
      </c>
      <c r="H35" s="57" t="n">
        <f aca="false">G35*F35</f>
        <v>26101.25</v>
      </c>
      <c r="I35" s="57" t="n">
        <f aca="false">BL35*Parameter!$B$18</f>
        <v>17</v>
      </c>
      <c r="J35" s="58" t="n">
        <v>26</v>
      </c>
      <c r="K35" s="59" t="n">
        <v>0.653846153846154</v>
      </c>
      <c r="L35" s="57" t="n">
        <v>4</v>
      </c>
      <c r="M35" s="57" t="n">
        <v>5</v>
      </c>
      <c r="N35" s="60" t="n">
        <v>70</v>
      </c>
      <c r="O35" s="55" t="s">
        <v>163</v>
      </c>
      <c r="P35" s="57"/>
      <c r="Q35" s="60" t="n">
        <f aca="false">IF(BR35=1,0,IFERROR(VLOOKUP(BP35,'Gebinde-Kategorie'!$A$5:$M$45,13,0)+0,0))</f>
        <v>0</v>
      </c>
      <c r="R35" s="61"/>
      <c r="S35" s="62"/>
      <c r="T35" s="62"/>
      <c r="U35" s="55" t="n">
        <v>1</v>
      </c>
      <c r="V35" s="57" t="n">
        <v>34</v>
      </c>
      <c r="W35" s="57" t="n">
        <v>19</v>
      </c>
      <c r="X35" s="55" t="n">
        <f aca="false">IF(A35="","",IF(AND(Parameter!$B$21="Ja",ISNUMBER(U35)),U35,IF(IFERROR(VLOOKUP(D35,Parameter!$A$35:$C$64,2,0),"Nein")="2+3",IF(ISNUMBER(SEARCH("grosser Artikel",BM35)),2,IFERROR(VLOOKUP(BP35,Parameter!$F$35:$G$64,2,0),2)),IF(OR(IFERROR(VLOOKUP(D35,Parameter!$A$35:$C$64,2,0),"Nein")="Nein",IFERROR(VLOOKUP(D35,Parameter!$A$35:$C$64,2,0),"Nein")=""),"-",VLOOKUP(D35,Parameter!$A$35:$C$64,2,0)))))</f>
        <v>1</v>
      </c>
      <c r="Y35" s="62"/>
      <c r="Z35" s="63"/>
      <c r="AA35" s="57" t="n">
        <f aca="false">AP35</f>
        <v>9</v>
      </c>
      <c r="AB35" s="57" t="n">
        <f aca="false">MAX(AP35,G35)</f>
        <v>19</v>
      </c>
      <c r="AC35" s="64"/>
      <c r="AD35" s="57" t="n">
        <f aca="false">IF(LEFT(Cockpit!$C$5,1)="A",G35,IF(BW35=1,BX35,IF(LEFT(Cockpit!$C$5,1)="B",AH35,MAX(AH35,G35))))</f>
        <v>19</v>
      </c>
      <c r="AE35" s="57" t="n">
        <f aca="false">IF(BR35=1,0,ROUNDUP(AD35/BQ35,0))</f>
        <v>0</v>
      </c>
      <c r="AF35" s="59" t="n">
        <f aca="false">IF(CD35&gt;0,CD35*MAX(1,AD35/V35),IF(BR35=1,IF(AD35&lt;=0,0,BS35*MAX(1,IF(G35&gt;0,AD35/G35,1))),IF(Q35&gt;0,AE35/Q35,0))/MAX(0.1,N(Parameter!$M$21)))</f>
        <v>2.72128060263654</v>
      </c>
      <c r="AG35" s="57" t="n">
        <f aca="false">AD35*F35</f>
        <v>26101.25</v>
      </c>
      <c r="AH35" s="57" t="n">
        <f aca="false">ROUNDUP(MAX(I35/IF(BV35&gt;0,BV35,MAX(0.1,N(Cockpit!$C$6))),BY35)/BQ35,0)*BQ35</f>
        <v>9</v>
      </c>
      <c r="AI35" s="58" t="n">
        <f aca="false">IF(AF35&gt;0,I35/AF35,-1)</f>
        <v>6.24705882352941</v>
      </c>
      <c r="AJ35" s="58" t="n">
        <f aca="false">IF(AND(OR(BU35="L1",BU35="L23"),AF35&gt;0),SUMIFS($AF$7:$AF$1576,$BU$7:$BU$1576,BU35,$AI$7:$AI$1576,"&gt;"&amp;AI35)+SUMIFS($AF$7:$AF$1576,$BU$7:$BU$1576,BU35,$AI$7:$AI$1576,AI35,$BO$7:$BO$1576,"&lt;="&amp;BO35),"")</f>
        <v>27.6930320150659</v>
      </c>
      <c r="AK35" s="65" t="n">
        <f aca="false">IF(AJ35="",0,MAX(0,MIN(1,(IF(BU35="L1",Parameter!$E$5,Parameter!$E$6+Parameter!$E$7)-(AJ35-AF35))/AF35)))</f>
        <v>1</v>
      </c>
      <c r="AL35" s="57" t="n">
        <f aca="false">IF(LEFT(Cockpit!$I$5,1)="A",G35,IF(BW35=1,BX35,IF(LEFT(Cockpit!$I$5,1)="B",AP35,MAX(AP35,G35))))</f>
        <v>19</v>
      </c>
      <c r="AM35" s="57" t="n">
        <f aca="false">IF(BR35=1,0,ROUNDUP(AL35/BQ35,0))</f>
        <v>0</v>
      </c>
      <c r="AN35" s="59" t="n">
        <f aca="false">IF(CD35&gt;0,CD35*MAX(1,AL35/V35),IF(BR35=1,IF(AL35&lt;=0,0,BS35*MAX(1,IF(G35&gt;0,AL35/G35,1))),IF(Q35&gt;0,AM35/Q35,0))/MAX(0.1,N(Parameter!$M$21)))</f>
        <v>2.72128060263654</v>
      </c>
      <c r="AO35" s="57" t="n">
        <f aca="false">AL35*F35</f>
        <v>26101.25</v>
      </c>
      <c r="AP35" s="57" t="n">
        <f aca="false">ROUNDUP(MAX(I35/IF(BV35&gt;0,BV35,MAX(0.1,N(Cockpit!$I$6))),BY35)/BQ35,0)*BQ35</f>
        <v>9</v>
      </c>
      <c r="AQ35" s="58" t="n">
        <f aca="false">IF(AN35&gt;0,I35/AN35,-1)</f>
        <v>6.24705882352941</v>
      </c>
      <c r="AR35" s="58" t="n">
        <f aca="false">IF(AND(OR(BU35="L1",BU35="L23"),AN35&gt;0),SUMIFS($AN$7:$AN$1576,$BU$7:$BU$1576,BU35,$AQ$7:$AQ$1576,"&gt;"&amp;AQ35)+SUMIFS($AN$7:$AN$1576,$BU$7:$BU$1576,BU35,$AQ$7:$AQ$1576,AQ35,$BO$7:$BO$1576,"&lt;="&amp;BO35),"")</f>
        <v>33.135593220339</v>
      </c>
      <c r="AS35" s="65" t="n">
        <f aca="false">IF(AR35="",0,MAX(0,MIN(1,(IF(BU35="L1",Parameter!$E$5,Parameter!$E$6+Parameter!$E$7)-(AR35-AN35))/AN35)))</f>
        <v>1</v>
      </c>
      <c r="AT35" s="57" t="n">
        <f aca="false">IF(LEFT(Cockpit!$O$5,1)="A",G35,IF(BW35=1,BX35,IF(LEFT(Cockpit!$O$5,1)="B",AX35,MAX(AX35,G35))))</f>
        <v>19</v>
      </c>
      <c r="AU35" s="57" t="n">
        <f aca="false">IF(BR35=1,0,ROUNDUP(AT35/BQ35,0))</f>
        <v>0</v>
      </c>
      <c r="AV35" s="59" t="n">
        <f aca="false">IF(CD35&gt;0,CD35*MAX(1,AT35/V35),IF(BR35=1,IF(AT35&lt;=0,0,BS35*MAX(1,IF(G35&gt;0,AT35/G35,1))),IF(Q35&gt;0,AU35/Q35,0))/MAX(0.1,N(Parameter!$M$21)))</f>
        <v>2.72128060263654</v>
      </c>
      <c r="AW35" s="57" t="n">
        <f aca="false">AT35*F35</f>
        <v>26101.25</v>
      </c>
      <c r="AX35" s="57" t="n">
        <f aca="false">ROUNDUP(MAX(I35/IF(BV35&gt;0,BV35,MAX(0.1,N(Cockpit!$O$6))),BY35)/BQ35,0)*BQ35</f>
        <v>9</v>
      </c>
      <c r="AY35" s="58" t="n">
        <f aca="false">IF(AV35&gt;0,I35/AV35,-1)</f>
        <v>6.24705882352941</v>
      </c>
      <c r="AZ35" s="58" t="n">
        <f aca="false">IF(AND(OR(BU35="L1",BU35="L23"),AV35&gt;0),SUMIFS($AV$7:$AV$1576,$BU$7:$BU$1576,BU35,$AY$7:$AY$1576,"&gt;"&amp;AY35)+SUMIFS($AV$7:$AV$1576,$BU$7:$BU$1576,BU35,$AY$7:$AY$1576,AY35,$BO$7:$BO$1576,"&lt;="&amp;BO35),"")</f>
        <v>30.1741996233522</v>
      </c>
      <c r="BA35" s="65" t="n">
        <f aca="false">IF(AZ35="",0,MAX(0,MIN(1,(IF(BU35="L1",Parameter!$E$5,Parameter!$E$6+Parameter!$E$7)-(AZ35-AV35))/AV35)))</f>
        <v>1</v>
      </c>
      <c r="BB35" s="55" t="str">
        <f aca="false">IF(AF35&lt;=0,"",IF(BU35="Aussen","Aussenlager",IF(BU35="-","Nicht im Lift",IF(AK35&gt;=1,"Lift",IF(AK35&lt;=0,"Aussenlager","teilweise")))))</f>
        <v>Lift</v>
      </c>
      <c r="BC35" s="55" t="str">
        <f aca="false">IF(AN35&lt;=0,"",IF(BU35="Aussen","Aussenlager",IF(BU35="-","Nicht im Lift",IF(AS35&gt;=1,"Lift",IF(AS35&lt;=0,"Aussenlager","teilweise")))))</f>
        <v>Lift</v>
      </c>
      <c r="BD35" s="55" t="str">
        <f aca="false">IF(AV35&lt;=0,"",IF(BU35="Aussen","Aussenlager",IF(BU35="-","Nicht im Lift",IF(BA35&gt;=1,"Lift",IF(BA35&lt;=0,"Aussenlager","teilweise")))))</f>
        <v>Lift</v>
      </c>
      <c r="BE35" s="55" t="str">
        <f aca="false">IF(A35="","",IF(BN35=1,"Neu; ","")&amp;IF(AND(BN35=0,BI35&lt;0),"negativer Bestand (Export "&amp;BI35&amp;"); ","")&amp;IF(I35&lt;=0,"Kein Verbrauch; ","")&amp;IF(CD35&gt;0,"Lift "&amp;U35&amp;" lt. Liftbericht (Fach "&amp;V35&amp;" Stk); ",IF(BR35=1,"Lose – Fläche geschätzt; ",""))&amp;IF(G35&gt;AP35,"Überbestand "&amp;ROUND(G35-AP35,0)&amp;" Stk / CHF "&amp;ROUND((G35-AP35)*F35,0)&amp;"; ","")&amp;IF(AND(BW35=1,BX35&lt;BY35),"MAX &lt; MB+LG; ","")&amp;IF(AND(CC35&gt;0,CB35*10&gt;CC35),"zu hoch für Tablar; ","")&amp;IF(AND(BN35=0,OR(BW35=1,Y35&lt;&gt;"",S35&lt;&gt;"",T35&lt;&gt;"",Z35&lt;&gt;"")),"manuell übersteuert; ","")&amp;IF(AND(BR35=0,Q35=0),"Gebinde unbekannt / Stellmass fehlt; ","")&amp;IF(AND(BR35=0,N(T35)&lt;=0,N(P35)&lt;=0),"Menge pro Gebinde fehlt (Ist = 1 Gebinde); ","")&amp;BM35)</f>
        <v>Lift 1 lt. Liftbericht (Fach 34 Stk); Überbestand 10 Stk / CHF 13738; </v>
      </c>
      <c r="BF35" s="55" t="s">
        <v>246</v>
      </c>
      <c r="BG35" s="55" t="s">
        <v>247</v>
      </c>
      <c r="BH35" s="62"/>
      <c r="BI35" s="57" t="n">
        <v>7</v>
      </c>
      <c r="BJ35" s="57" t="n">
        <v>18</v>
      </c>
      <c r="BK35" s="56" t="n">
        <v>10801.01</v>
      </c>
      <c r="BL35" s="57" t="n">
        <v>17</v>
      </c>
      <c r="BM35" s="55"/>
      <c r="BN35" s="60" t="n">
        <v>0</v>
      </c>
      <c r="BO35" s="60" t="n">
        <v>35</v>
      </c>
      <c r="BP35" s="55" t="str">
        <f aca="false">IF(S35&lt;&gt;"",UPPER(TRIM(S35)),IF(O35="","LOSE",O35))</f>
        <v>LOSE</v>
      </c>
      <c r="BQ35" s="57" t="n">
        <f aca="false">IF(BP35="LOSE",1,IF(N(T35)&gt;0,T35,IF(N(P35)&gt;0,P35,MAX(1,G35))))</f>
        <v>1</v>
      </c>
      <c r="BR35" s="60" t="n">
        <f aca="false">IF(BP35="LOSE",1,0)</f>
        <v>1</v>
      </c>
      <c r="BS35" s="59" t="n">
        <f aca="false">IF(BR35=0,0,IF(N(R35)&gt;0,R35,IFERROR(VLOOKUP(D35,Parameter!$A$35:$C$64,3,0)+0,0)))</f>
        <v>1</v>
      </c>
      <c r="BT35" s="55" t="n">
        <f aca="false">IF(Y35&lt;&gt;"",Y35,X35)</f>
        <v>1</v>
      </c>
      <c r="BU35" s="55" t="str">
        <f aca="false">IF(BT35=1,"L1",IF(OR(BT35=2,BT35=3),"L23",IF(BT35="Aussen","Aussen","-")))</f>
        <v>L1</v>
      </c>
      <c r="BV35" s="66" t="n">
        <f aca="false">IF(N(Z35)&gt;0,Z35,0)</f>
        <v>0</v>
      </c>
      <c r="BW35" s="60" t="n">
        <f aca="false">IF(ISNUMBER(AC35),1,0)</f>
        <v>0</v>
      </c>
      <c r="BX35" s="57" t="n">
        <f aca="false">N(AC35)</f>
        <v>0</v>
      </c>
      <c r="BY35" s="57" t="n">
        <f aca="false">N(L35)+N(M35)</f>
        <v>9</v>
      </c>
      <c r="BZ35" s="57" t="n">
        <f aca="false">ROUNDUP(G35/BQ35,0)</f>
        <v>19</v>
      </c>
      <c r="CA35" s="57" t="n">
        <f aca="false">ROUNDUP(BX35/BQ35,0)</f>
        <v>0</v>
      </c>
      <c r="CB35" s="60" t="n">
        <f aca="false">IF(BR35=1,0,IFERROR(VLOOKUP(BP35,'Gebinde-Kategorie'!$A$5:$M$45,5,0)+0,0))</f>
        <v>0</v>
      </c>
      <c r="CC35" s="60" t="n">
        <f aca="false">IFERROR(IF(OR(BT35=1,BT35=2,BT35=3),N(INDEX(Parameter!$I$5:$I$7,BT35)),0),0)</f>
        <v>0</v>
      </c>
      <c r="CD35" s="59" t="n">
        <f aca="false">IF(AND(Parameter!$B$21="Ja",ISNUMBER(U35),N(V35)&gt;0),IFERROR(N(INDEX(Parameter!$L$5:$L$7,U35))*INDEX(Parameter!$E$5:$E$7,U35)*V35/SUMIFS($V$7:$V$1576,$U$7:$U$1576,U35),0),0)</f>
        <v>2.72128060263654</v>
      </c>
    </row>
    <row r="36" customFormat="false" ht="15" hidden="false" customHeight="false" outlineLevel="0" collapsed="false">
      <c r="A36" s="55" t="s">
        <v>248</v>
      </c>
      <c r="B36" s="55" t="s">
        <v>175</v>
      </c>
      <c r="C36" s="55" t="s">
        <v>160</v>
      </c>
      <c r="D36" s="55" t="s">
        <v>168</v>
      </c>
      <c r="E36" s="55" t="s">
        <v>210</v>
      </c>
      <c r="F36" s="56" t="n">
        <v>5350.29</v>
      </c>
      <c r="G36" s="57" t="n">
        <f aca="false">MAX(0,IF(AND(Parameter!$B$21="Ja",ISNUMBER(W36)),W36,IF(Parameter!$B$20="Jahresanfang 2025 + Export",BJ36+BI36,BI36)))</f>
        <v>2</v>
      </c>
      <c r="H36" s="57" t="n">
        <f aca="false">G36*F36</f>
        <v>10700.58</v>
      </c>
      <c r="I36" s="57" t="n">
        <f aca="false">BL36*Parameter!$B$18</f>
        <v>6</v>
      </c>
      <c r="J36" s="58" t="n">
        <v>1</v>
      </c>
      <c r="K36" s="59" t="n">
        <v>6</v>
      </c>
      <c r="L36" s="57" t="n">
        <v>1</v>
      </c>
      <c r="M36" s="57" t="n">
        <v>1</v>
      </c>
      <c r="N36" s="60" t="n">
        <v>100</v>
      </c>
      <c r="O36" s="55" t="s">
        <v>163</v>
      </c>
      <c r="P36" s="57"/>
      <c r="Q36" s="60" t="n">
        <f aca="false">IF(BR36=1,0,IFERROR(VLOOKUP(BP36,'Gebinde-Kategorie'!$A$5:$M$45,13,0)+0,0))</f>
        <v>0</v>
      </c>
      <c r="R36" s="61"/>
      <c r="S36" s="62"/>
      <c r="T36" s="62"/>
      <c r="U36" s="55"/>
      <c r="V36" s="57"/>
      <c r="W36" s="57"/>
      <c r="X36" s="55" t="n">
        <f aca="false">IF(A36="","",IF(AND(Parameter!$B$21="Ja",ISNUMBER(U36)),U36,IF(IFERROR(VLOOKUP(D36,Parameter!$A$35:$C$64,2,0),"Nein")="2+3",IF(ISNUMBER(SEARCH("grosser Artikel",BM36)),2,IFERROR(VLOOKUP(BP36,Parameter!$F$35:$G$64,2,0),2)),IF(OR(IFERROR(VLOOKUP(D36,Parameter!$A$35:$C$64,2,0),"Nein")="Nein",IFERROR(VLOOKUP(D36,Parameter!$A$35:$C$64,2,0),"Nein")=""),"-",VLOOKUP(D36,Parameter!$A$35:$C$64,2,0)))))</f>
        <v>2</v>
      </c>
      <c r="Y36" s="62"/>
      <c r="Z36" s="63"/>
      <c r="AA36" s="57" t="n">
        <f aca="false">AP36</f>
        <v>3</v>
      </c>
      <c r="AB36" s="57" t="n">
        <f aca="false">MAX(AP36,G36)</f>
        <v>3</v>
      </c>
      <c r="AC36" s="64"/>
      <c r="AD36" s="57" t="n">
        <f aca="false">IF(LEFT(Cockpit!$C$5,1)="A",G36,IF(BW36=1,BX36,IF(LEFT(Cockpit!$C$5,1)="B",AH36,MAX(AH36,G36))))</f>
        <v>2</v>
      </c>
      <c r="AE36" s="57" t="n">
        <f aca="false">IF(BR36=1,0,ROUNDUP(AD36/BQ36,0))</f>
        <v>0</v>
      </c>
      <c r="AF36" s="59" t="n">
        <f aca="false">IF(CD36&gt;0,CD36*MAX(1,AD36/V36),IF(BR36=1,IF(AD36&lt;=0,0,BS36*MAX(1,IF(G36&gt;0,AD36/G36,1))),IF(Q36&gt;0,AE36/Q36,0))/MAX(0.1,N(Parameter!$M$21)))</f>
        <v>0.15</v>
      </c>
      <c r="AG36" s="57" t="n">
        <f aca="false">AD36*F36</f>
        <v>10700.58</v>
      </c>
      <c r="AH36" s="57" t="n">
        <f aca="false">ROUNDUP(MAX(I36/IF(BV36&gt;0,BV36,MAX(0.1,N(Cockpit!$C$6))),BY36)/BQ36,0)*BQ36</f>
        <v>3</v>
      </c>
      <c r="AI36" s="58" t="n">
        <f aca="false">IF(AF36&gt;0,I36/AF36,-1)</f>
        <v>40</v>
      </c>
      <c r="AJ36" s="58" t="n">
        <f aca="false">IF(AND(OR(BU36="L1",BU36="L23"),AF36&gt;0),SUMIFS($AF$7:$AF$1576,$BU$7:$BU$1576,BU36,$AI$7:$AI$1576,"&gt;"&amp;AI36)+SUMIFS($AF$7:$AF$1576,$BU$7:$BU$1576,BU36,$AI$7:$AI$1576,AI36,$BO$7:$BO$1576,"&lt;="&amp;BO36),"")</f>
        <v>25.7136073105638</v>
      </c>
      <c r="AK36" s="65" t="n">
        <f aca="false">IF(AJ36="",0,MAX(0,MIN(1,(IF(BU36="L1",Parameter!$E$5,Parameter!$E$6+Parameter!$E$7)-(AJ36-AF36))/AF36)))</f>
        <v>1</v>
      </c>
      <c r="AL36" s="57" t="n">
        <f aca="false">IF(LEFT(Cockpit!$I$5,1)="A",G36,IF(BW36=1,BX36,IF(LEFT(Cockpit!$I$5,1)="B",AP36,MAX(AP36,G36))))</f>
        <v>3</v>
      </c>
      <c r="AM36" s="57" t="n">
        <f aca="false">IF(BR36=1,0,ROUNDUP(AL36/BQ36,0))</f>
        <v>0</v>
      </c>
      <c r="AN36" s="59" t="n">
        <f aca="false">IF(CD36&gt;0,CD36*MAX(1,AL36/V36),IF(BR36=1,IF(AL36&lt;=0,0,BS36*MAX(1,IF(G36&gt;0,AL36/G36,1))),IF(Q36&gt;0,AM36/Q36,0))/MAX(0.1,N(Parameter!$M$21)))</f>
        <v>0.225</v>
      </c>
      <c r="AO36" s="57" t="n">
        <f aca="false">AL36*F36</f>
        <v>16050.87</v>
      </c>
      <c r="AP36" s="57" t="n">
        <f aca="false">ROUNDUP(MAX(I36/IF(BV36&gt;0,BV36,MAX(0.1,N(Cockpit!$I$6))),BY36)/BQ36,0)*BQ36</f>
        <v>3</v>
      </c>
      <c r="AQ36" s="58" t="n">
        <f aca="false">IF(AN36&gt;0,I36/AN36,-1)</f>
        <v>26.6666666666667</v>
      </c>
      <c r="AR36" s="58" t="n">
        <f aca="false">IF(AND(OR(BU36="L1",BU36="L23"),AN36&gt;0),SUMIFS($AN$7:$AN$1576,$BU$7:$BU$1576,BU36,$AQ$7:$AQ$1576,"&gt;"&amp;AQ36)+SUMIFS($AN$7:$AN$1576,$BU$7:$BU$1576,BU36,$AQ$7:$AQ$1576,AQ36,$BO$7:$BO$1576,"&lt;="&amp;BO36),"")</f>
        <v>95.6924345886957</v>
      </c>
      <c r="AS36" s="65" t="n">
        <f aca="false">IF(AR36="",0,MAX(0,MIN(1,(IF(BU36="L1",Parameter!$E$5,Parameter!$E$6+Parameter!$E$7)-(AR36-AN36))/AN36)))</f>
        <v>1</v>
      </c>
      <c r="AT36" s="57" t="n">
        <f aca="false">IF(LEFT(Cockpit!$O$5,1)="A",G36,IF(BW36=1,BX36,IF(LEFT(Cockpit!$O$5,1)="B",AX36,MAX(AX36,G36))))</f>
        <v>2</v>
      </c>
      <c r="AU36" s="57" t="n">
        <f aca="false">IF(BR36=1,0,ROUNDUP(AT36/BQ36,0))</f>
        <v>0</v>
      </c>
      <c r="AV36" s="59" t="n">
        <f aca="false">IF(CD36&gt;0,CD36*MAX(1,AT36/V36),IF(BR36=1,IF(AT36&lt;=0,0,BS36*MAX(1,IF(G36&gt;0,AT36/G36,1))),IF(Q36&gt;0,AU36/Q36,0))/MAX(0.1,N(Parameter!$M$21)))</f>
        <v>0.15</v>
      </c>
      <c r="AW36" s="57" t="n">
        <f aca="false">AT36*F36</f>
        <v>10700.58</v>
      </c>
      <c r="AX36" s="57" t="n">
        <f aca="false">ROUNDUP(MAX(I36/IF(BV36&gt;0,BV36,MAX(0.1,N(Cockpit!$O$6))),BY36)/BQ36,0)*BQ36</f>
        <v>2</v>
      </c>
      <c r="AY36" s="58" t="n">
        <f aca="false">IF(AV36&gt;0,I36/AV36,-1)</f>
        <v>40</v>
      </c>
      <c r="AZ36" s="58" t="n">
        <f aca="false">IF(AND(OR(BU36="L1",BU36="L23"),AV36&gt;0),SUMIFS($AV$7:$AV$1576,$BU$7:$BU$1576,BU36,$AY$7:$AY$1576,"&gt;"&amp;AY36)+SUMIFS($AV$7:$AV$1576,$BU$7:$BU$1576,BU36,$AY$7:$AY$1576,AY36,$BO$7:$BO$1576,"&lt;="&amp;BO36),"")</f>
        <v>81.4381388844001</v>
      </c>
      <c r="BA36" s="65" t="n">
        <f aca="false">IF(AZ36="",0,MAX(0,MIN(1,(IF(BU36="L1",Parameter!$E$5,Parameter!$E$6+Parameter!$E$7)-(AZ36-AV36))/AV36)))</f>
        <v>1</v>
      </c>
      <c r="BB36" s="55" t="str">
        <f aca="false">IF(AF36&lt;=0,"",IF(BU36="Aussen","Aussenlager",IF(BU36="-","Nicht im Lift",IF(AK36&gt;=1,"Lift",IF(AK36&lt;=0,"Aussenlager","teilweise")))))</f>
        <v>Lift</v>
      </c>
      <c r="BC36" s="55" t="str">
        <f aca="false">IF(AN36&lt;=0,"",IF(BU36="Aussen","Aussenlager",IF(BU36="-","Nicht im Lift",IF(AS36&gt;=1,"Lift",IF(AS36&lt;=0,"Aussenlager","teilweise")))))</f>
        <v>Lift</v>
      </c>
      <c r="BD36" s="55" t="str">
        <f aca="false">IF(AV36&lt;=0,"",IF(BU36="Aussen","Aussenlager",IF(BU36="-","Nicht im Lift",IF(BA36&gt;=1,"Lift",IF(BA36&lt;=0,"Aussenlager","teilweise")))))</f>
        <v>Lift</v>
      </c>
      <c r="BE36" s="55" t="str">
        <f aca="false">IF(A36="","",IF(BN36=1,"Neu; ","")&amp;IF(AND(BN36=0,BI36&lt;0),"negativer Bestand (Export "&amp;BI36&amp;"); ","")&amp;IF(I36&lt;=0,"Kein Verbrauch; ","")&amp;IF(CD36&gt;0,"Lift "&amp;U36&amp;" lt. Liftbericht (Fach "&amp;V36&amp;" Stk); ",IF(BR36=1,"Lose – Fläche geschätzt; ",""))&amp;IF(G36&gt;AP36,"Überbestand "&amp;ROUND(G36-AP36,0)&amp;" Stk / CHF "&amp;ROUND((G36-AP36)*F36,0)&amp;"; ","")&amp;IF(AND(BW36=1,BX36&lt;BY36),"MAX &lt; MB+LG; ","")&amp;IF(AND(CC36&gt;0,CB36*10&gt;CC36),"zu hoch für Tablar; ","")&amp;IF(AND(BN36=0,OR(BW36=1,Y36&lt;&gt;"",S36&lt;&gt;"",T36&lt;&gt;"",Z36&lt;&gt;"")),"manuell übersteuert; ","")&amp;IF(AND(BR36=0,Q36=0),"Gebinde unbekannt / Stellmass fehlt; ","")&amp;IF(AND(BR36=0,N(T36)&lt;=0,N(P36)&lt;=0),"Menge pro Gebinde fehlt (Ist = 1 Gebinde); ","")&amp;BM36)</f>
        <v>Lose – Fläche geschätzt; </v>
      </c>
      <c r="BF36" s="55"/>
      <c r="BG36" s="55"/>
      <c r="BH36" s="62"/>
      <c r="BI36" s="57" t="n">
        <v>2</v>
      </c>
      <c r="BJ36" s="57" t="n">
        <v>0</v>
      </c>
      <c r="BK36" s="56" t="n">
        <v>10700.58</v>
      </c>
      <c r="BL36" s="57" t="n">
        <v>6</v>
      </c>
      <c r="BM36" s="55"/>
      <c r="BN36" s="60" t="n">
        <v>0</v>
      </c>
      <c r="BO36" s="60" t="n">
        <v>36</v>
      </c>
      <c r="BP36" s="55" t="str">
        <f aca="false">IF(S36&lt;&gt;"",UPPER(TRIM(S36)),IF(O36="","LOSE",O36))</f>
        <v>LOSE</v>
      </c>
      <c r="BQ36" s="57" t="n">
        <f aca="false">IF(BP36="LOSE",1,IF(N(T36)&gt;0,T36,IF(N(P36)&gt;0,P36,MAX(1,G36))))</f>
        <v>1</v>
      </c>
      <c r="BR36" s="60" t="n">
        <f aca="false">IF(BP36="LOSE",1,0)</f>
        <v>1</v>
      </c>
      <c r="BS36" s="59" t="n">
        <f aca="false">IF(BR36=0,0,IF(N(R36)&gt;0,R36,IFERROR(VLOOKUP(D36,Parameter!$A$35:$C$64,3,0)+0,0)))</f>
        <v>0.15</v>
      </c>
      <c r="BT36" s="55" t="n">
        <f aca="false">IF(Y36&lt;&gt;"",Y36,X36)</f>
        <v>2</v>
      </c>
      <c r="BU36" s="55" t="str">
        <f aca="false">IF(BT36=1,"L1",IF(OR(BT36=2,BT36=3),"L23",IF(BT36="Aussen","Aussen","-")))</f>
        <v>L23</v>
      </c>
      <c r="BV36" s="66" t="n">
        <f aca="false">IF(N(Z36)&gt;0,Z36,0)</f>
        <v>0</v>
      </c>
      <c r="BW36" s="60" t="n">
        <f aca="false">IF(ISNUMBER(AC36),1,0)</f>
        <v>0</v>
      </c>
      <c r="BX36" s="57" t="n">
        <f aca="false">N(AC36)</f>
        <v>0</v>
      </c>
      <c r="BY36" s="57" t="n">
        <f aca="false">N(L36)+N(M36)</f>
        <v>2</v>
      </c>
      <c r="BZ36" s="57" t="n">
        <f aca="false">ROUNDUP(G36/BQ36,0)</f>
        <v>2</v>
      </c>
      <c r="CA36" s="57" t="n">
        <f aca="false">ROUNDUP(BX36/BQ36,0)</f>
        <v>0</v>
      </c>
      <c r="CB36" s="60" t="n">
        <f aca="false">IF(BR36=1,0,IFERROR(VLOOKUP(BP36,'Gebinde-Kategorie'!$A$5:$M$45,5,0)+0,0))</f>
        <v>0</v>
      </c>
      <c r="CC36" s="60" t="n">
        <f aca="false">IFERROR(IF(OR(BT36=1,BT36=2,BT36=3),N(INDEX(Parameter!$I$5:$I$7,BT36)),0),0)</f>
        <v>0</v>
      </c>
      <c r="CD36" s="59" t="n">
        <f aca="false">IF(AND(Parameter!$B$21="Ja",ISNUMBER(U36),N(V36)&gt;0),IFERROR(N(INDEX(Parameter!$L$5:$L$7,U36))*INDEX(Parameter!$E$5:$E$7,U36)*V36/SUMIFS($V$7:$V$1576,$U$7:$U$1576,U36),0),0)</f>
        <v>0</v>
      </c>
    </row>
    <row r="37" customFormat="false" ht="15" hidden="false" customHeight="false" outlineLevel="0" collapsed="false">
      <c r="A37" s="55" t="s">
        <v>249</v>
      </c>
      <c r="B37" s="55" t="s">
        <v>250</v>
      </c>
      <c r="C37" s="55" t="s">
        <v>160</v>
      </c>
      <c r="D37" s="55" t="s">
        <v>168</v>
      </c>
      <c r="E37" s="55" t="s">
        <v>210</v>
      </c>
      <c r="F37" s="56" t="n">
        <v>225.19</v>
      </c>
      <c r="G37" s="57" t="n">
        <f aca="false">MAX(0,IF(AND(Parameter!$B$21="Ja",ISNUMBER(W37)),W37,IF(Parameter!$B$20="Jahresanfang 2025 + Export",BJ37+BI37,BI37)))</f>
        <v>44</v>
      </c>
      <c r="H37" s="57" t="n">
        <f aca="false">G37*F37</f>
        <v>9908.36</v>
      </c>
      <c r="I37" s="57" t="n">
        <f aca="false">BL37*Parameter!$B$18</f>
        <v>131</v>
      </c>
      <c r="J37" s="58" t="n">
        <v>24</v>
      </c>
      <c r="K37" s="59" t="n">
        <v>5.45833333333333</v>
      </c>
      <c r="L37" s="57" t="n">
        <v>12</v>
      </c>
      <c r="M37" s="57" t="n">
        <v>35</v>
      </c>
      <c r="N37" s="60" t="n">
        <v>84</v>
      </c>
      <c r="O37" s="55" t="s">
        <v>251</v>
      </c>
      <c r="P37" s="57" t="n">
        <v>61</v>
      </c>
      <c r="Q37" s="60" t="n">
        <f aca="false">IF(BR37=1,0,IFERROR(VLOOKUP(BP37,'Gebinde-Kategorie'!$A$5:$M$45,13,0)+0,0))</f>
        <v>6</v>
      </c>
      <c r="R37" s="61"/>
      <c r="S37" s="62"/>
      <c r="T37" s="62"/>
      <c r="U37" s="55"/>
      <c r="V37" s="57"/>
      <c r="W37" s="57"/>
      <c r="X37" s="55" t="n">
        <f aca="false">IF(A37="","",IF(AND(Parameter!$B$21="Ja",ISNUMBER(U37)),U37,IF(IFERROR(VLOOKUP(D37,Parameter!$A$35:$C$64,2,0),"Nein")="2+3",IF(ISNUMBER(SEARCH("grosser Artikel",BM37)),2,IFERROR(VLOOKUP(BP37,Parameter!$F$35:$G$64,2,0),2)),IF(OR(IFERROR(VLOOKUP(D37,Parameter!$A$35:$C$64,2,0),"Nein")="Nein",IFERROR(VLOOKUP(D37,Parameter!$A$35:$C$64,2,0),"Nein")=""),"-",VLOOKUP(D37,Parameter!$A$35:$C$64,2,0)))))</f>
        <v>2</v>
      </c>
      <c r="Y37" s="62"/>
      <c r="Z37" s="63"/>
      <c r="AA37" s="57" t="n">
        <f aca="false">AP37</f>
        <v>122</v>
      </c>
      <c r="AB37" s="57" t="n">
        <f aca="false">MAX(AP37,G37)</f>
        <v>122</v>
      </c>
      <c r="AC37" s="64"/>
      <c r="AD37" s="57" t="n">
        <f aca="false">IF(LEFT(Cockpit!$C$5,1)="A",G37,IF(BW37=1,BX37,IF(LEFT(Cockpit!$C$5,1)="B",AH37,MAX(AH37,G37))))</f>
        <v>44</v>
      </c>
      <c r="AE37" s="57" t="n">
        <f aca="false">IF(BR37=1,0,ROUNDUP(AD37/BQ37,0))</f>
        <v>1</v>
      </c>
      <c r="AF37" s="59" t="n">
        <f aca="false">IF(CD37&gt;0,CD37*MAX(1,AD37/V37),IF(BR37=1,IF(AD37&lt;=0,0,BS37*MAX(1,IF(G37&gt;0,AD37/G37,1))),IF(Q37&gt;0,AE37/Q37,0))/MAX(0.1,N(Parameter!$M$21)))</f>
        <v>0.166666666666667</v>
      </c>
      <c r="AG37" s="57" t="n">
        <f aca="false">AD37*F37</f>
        <v>9908.36</v>
      </c>
      <c r="AH37" s="57" t="n">
        <f aca="false">ROUNDUP(MAX(I37/IF(BV37&gt;0,BV37,MAX(0.1,N(Cockpit!$C$6))),BY37)/BQ37,0)*BQ37</f>
        <v>122</v>
      </c>
      <c r="AI37" s="58" t="n">
        <f aca="false">IF(AF37&gt;0,I37/AF37,-1)</f>
        <v>786</v>
      </c>
      <c r="AJ37" s="58" t="n">
        <f aca="false">IF(AND(OR(BU37="L1",BU37="L23"),AF37&gt;0),SUMIFS($AF$7:$AF$1576,$BU$7:$BU$1576,BU37,$AI$7:$AI$1576,"&gt;"&amp;AI37)+SUMIFS($AF$7:$AF$1576,$BU$7:$BU$1576,BU37,$AI$7:$AI$1576,AI37,$BO$7:$BO$1576,"&lt;="&amp;BO37),"")</f>
        <v>10.7610989493598</v>
      </c>
      <c r="AK37" s="65" t="n">
        <f aca="false">IF(AJ37="",0,MAX(0,MIN(1,(IF(BU37="L1",Parameter!$E$5,Parameter!$E$6+Parameter!$E$7)-(AJ37-AF37))/AF37)))</f>
        <v>1</v>
      </c>
      <c r="AL37" s="57" t="n">
        <f aca="false">IF(LEFT(Cockpit!$I$5,1)="A",G37,IF(BW37=1,BX37,IF(LEFT(Cockpit!$I$5,1)="B",AP37,MAX(AP37,G37))))</f>
        <v>122</v>
      </c>
      <c r="AM37" s="57" t="n">
        <f aca="false">IF(BR37=1,0,ROUNDUP(AL37/BQ37,0))</f>
        <v>2</v>
      </c>
      <c r="AN37" s="59" t="n">
        <f aca="false">IF(CD37&gt;0,CD37*MAX(1,AL37/V37),IF(BR37=1,IF(AL37&lt;=0,0,BS37*MAX(1,IF(G37&gt;0,AL37/G37,1))),IF(Q37&gt;0,AM37/Q37,0))/MAX(0.1,N(Parameter!$M$21)))</f>
        <v>0.333333333333333</v>
      </c>
      <c r="AO37" s="57" t="n">
        <f aca="false">AL37*F37</f>
        <v>27473.18</v>
      </c>
      <c r="AP37" s="57" t="n">
        <f aca="false">ROUNDUP(MAX(I37/IF(BV37&gt;0,BV37,MAX(0.1,N(Cockpit!$I$6))),BY37)/BQ37,0)*BQ37</f>
        <v>122</v>
      </c>
      <c r="AQ37" s="58" t="n">
        <f aca="false">IF(AN37&gt;0,I37/AN37,-1)</f>
        <v>393</v>
      </c>
      <c r="AR37" s="58" t="n">
        <f aca="false">IF(AND(OR(BU37="L1",BU37="L23"),AN37&gt;0),SUMIFS($AN$7:$AN$1576,$BU$7:$BU$1576,BU37,$AQ$7:$AQ$1576,"&gt;"&amp;AQ37)+SUMIFS($AN$7:$AN$1576,$BU$7:$BU$1576,BU37,$AQ$7:$AQ$1576,AQ37,$BO$7:$BO$1576,"&lt;="&amp;BO37),"")</f>
        <v>37.319313742151</v>
      </c>
      <c r="AS37" s="65" t="n">
        <f aca="false">IF(AR37="",0,MAX(0,MIN(1,(IF(BU37="L1",Parameter!$E$5,Parameter!$E$6+Parameter!$E$7)-(AR37-AN37))/AN37)))</f>
        <v>1</v>
      </c>
      <c r="AT37" s="57" t="n">
        <f aca="false">IF(LEFT(Cockpit!$O$5,1)="A",G37,IF(BW37=1,BX37,IF(LEFT(Cockpit!$O$5,1)="B",AX37,MAX(AX37,G37))))</f>
        <v>61</v>
      </c>
      <c r="AU37" s="57" t="n">
        <f aca="false">IF(BR37=1,0,ROUNDUP(AT37/BQ37,0))</f>
        <v>1</v>
      </c>
      <c r="AV37" s="59" t="n">
        <f aca="false">IF(CD37&gt;0,CD37*MAX(1,AT37/V37),IF(BR37=1,IF(AT37&lt;=0,0,BS37*MAX(1,IF(G37&gt;0,AT37/G37,1))),IF(Q37&gt;0,AU37/Q37,0))/MAX(0.1,N(Parameter!$M$21)))</f>
        <v>0.166666666666667</v>
      </c>
      <c r="AW37" s="57" t="n">
        <f aca="false">AT37*F37</f>
        <v>13736.59</v>
      </c>
      <c r="AX37" s="57" t="n">
        <f aca="false">ROUNDUP(MAX(I37/IF(BV37&gt;0,BV37,MAX(0.1,N(Cockpit!$O$6))),BY37)/BQ37,0)*BQ37</f>
        <v>61</v>
      </c>
      <c r="AY37" s="58" t="n">
        <f aca="false">IF(AV37&gt;0,I37/AV37,-1)</f>
        <v>786</v>
      </c>
      <c r="AZ37" s="58" t="n">
        <f aca="false">IF(AND(OR(BU37="L1",BU37="L23"),AV37&gt;0),SUMIFS($AV$7:$AV$1576,$BU$7:$BU$1576,BU37,$AY$7:$AY$1576,"&gt;"&amp;AY37)+SUMIFS($AV$7:$AV$1576,$BU$7:$BU$1576,BU37,$AY$7:$AY$1576,AY37,$BO$7:$BO$1576,"&lt;="&amp;BO37),"")</f>
        <v>26.3274726846578</v>
      </c>
      <c r="BA37" s="65" t="n">
        <f aca="false">IF(AZ37="",0,MAX(0,MIN(1,(IF(BU37="L1",Parameter!$E$5,Parameter!$E$6+Parameter!$E$7)-(AZ37-AV37))/AV37)))</f>
        <v>1</v>
      </c>
      <c r="BB37" s="55" t="str">
        <f aca="false">IF(AF37&lt;=0,"",IF(BU37="Aussen","Aussenlager",IF(BU37="-","Nicht im Lift",IF(AK37&gt;=1,"Lift",IF(AK37&lt;=0,"Aussenlager","teilweise")))))</f>
        <v>Lift</v>
      </c>
      <c r="BC37" s="55" t="str">
        <f aca="false">IF(AN37&lt;=0,"",IF(BU37="Aussen","Aussenlager",IF(BU37="-","Nicht im Lift",IF(AS37&gt;=1,"Lift",IF(AS37&lt;=0,"Aussenlager","teilweise")))))</f>
        <v>Lift</v>
      </c>
      <c r="BD37" s="55" t="str">
        <f aca="false">IF(AV37&lt;=0,"",IF(BU37="Aussen","Aussenlager",IF(BU37="-","Nicht im Lift",IF(BA37&gt;=1,"Lift",IF(BA37&lt;=0,"Aussenlager","teilweise")))))</f>
        <v>Lift</v>
      </c>
      <c r="BE37" s="55" t="str">
        <f aca="false">IF(A37="","",IF(BN37=1,"Neu; ","")&amp;IF(AND(BN37=0,BI37&lt;0),"negativer Bestand (Export "&amp;BI37&amp;"); ","")&amp;IF(I37&lt;=0,"Kein Verbrauch; ","")&amp;IF(CD37&gt;0,"Lift "&amp;U37&amp;" lt. Liftbericht (Fach "&amp;V37&amp;" Stk); ",IF(BR37=1,"Lose – Fläche geschätzt; ",""))&amp;IF(G37&gt;AP37,"Überbestand "&amp;ROUND(G37-AP37,0)&amp;" Stk / CHF "&amp;ROUND((G37-AP37)*F37,0)&amp;"; ","")&amp;IF(AND(BW37=1,BX37&lt;BY37),"MAX &lt; MB+LG; ","")&amp;IF(AND(CC37&gt;0,CB37*10&gt;CC37),"zu hoch für Tablar; ","")&amp;IF(AND(BN37=0,OR(BW37=1,Y37&lt;&gt;"",S37&lt;&gt;"",T37&lt;&gt;"",Z37&lt;&gt;"")),"manuell übersteuert; ","")&amp;IF(AND(BR37=0,Q37=0),"Gebinde unbekannt / Stellmass fehlt; ","")&amp;IF(AND(BR37=0,N(T37)&lt;=0,N(P37)&lt;=0),"Menge pro Gebinde fehlt (Ist = 1 Gebinde); ","")&amp;BM37)</f>
        <v>grosser Artikel &amp; nicht im KTL</v>
      </c>
      <c r="BF37" s="55" t="s">
        <v>252</v>
      </c>
      <c r="BG37" s="55"/>
      <c r="BH37" s="62"/>
      <c r="BI37" s="57" t="n">
        <v>44</v>
      </c>
      <c r="BJ37" s="57" t="n">
        <v>18</v>
      </c>
      <c r="BK37" s="56" t="n">
        <v>10677.68</v>
      </c>
      <c r="BL37" s="57" t="n">
        <v>131</v>
      </c>
      <c r="BM37" s="55" t="s">
        <v>253</v>
      </c>
      <c r="BN37" s="60" t="n">
        <v>0</v>
      </c>
      <c r="BO37" s="60" t="n">
        <v>37</v>
      </c>
      <c r="BP37" s="55" t="str">
        <f aca="false">IF(S37&lt;&gt;"",UPPER(TRIM(S37)),IF(O37="","LOSE",O37))</f>
        <v>S72</v>
      </c>
      <c r="BQ37" s="57" t="n">
        <f aca="false">IF(BP37="LOSE",1,IF(N(T37)&gt;0,T37,IF(N(P37)&gt;0,P37,MAX(1,G37))))</f>
        <v>61</v>
      </c>
      <c r="BR37" s="60" t="n">
        <f aca="false">IF(BP37="LOSE",1,0)</f>
        <v>0</v>
      </c>
      <c r="BS37" s="59" t="n">
        <f aca="false">IF(BR37=0,0,IF(N(R37)&gt;0,R37,IFERROR(VLOOKUP(D37,Parameter!$A$35:$C$64,3,0)+0,0)))</f>
        <v>0</v>
      </c>
      <c r="BT37" s="55" t="n">
        <f aca="false">IF(Y37&lt;&gt;"",Y37,X37)</f>
        <v>2</v>
      </c>
      <c r="BU37" s="55" t="str">
        <f aca="false">IF(BT37=1,"L1",IF(OR(BT37=2,BT37=3),"L23",IF(BT37="Aussen","Aussen","-")))</f>
        <v>L23</v>
      </c>
      <c r="BV37" s="66" t="n">
        <f aca="false">IF(N(Z37)&gt;0,Z37,0)</f>
        <v>0</v>
      </c>
      <c r="BW37" s="60" t="n">
        <f aca="false">IF(ISNUMBER(AC37),1,0)</f>
        <v>0</v>
      </c>
      <c r="BX37" s="57" t="n">
        <f aca="false">N(AC37)</f>
        <v>0</v>
      </c>
      <c r="BY37" s="57" t="n">
        <f aca="false">N(L37)+N(M37)</f>
        <v>47</v>
      </c>
      <c r="BZ37" s="57" t="n">
        <f aca="false">ROUNDUP(G37/BQ37,0)</f>
        <v>1</v>
      </c>
      <c r="CA37" s="57" t="n">
        <f aca="false">ROUNDUP(BX37/BQ37,0)</f>
        <v>0</v>
      </c>
      <c r="CB37" s="60" t="n">
        <f aca="false">IF(BR37=1,0,IFERROR(VLOOKUP(BP37,'Gebinde-Kategorie'!$A$5:$M$45,5,0)+0,0))</f>
        <v>40</v>
      </c>
      <c r="CC37" s="60" t="n">
        <f aca="false">IFERROR(IF(OR(BT37=1,BT37=2,BT37=3),N(INDEX(Parameter!$I$5:$I$7,BT37)),0),0)</f>
        <v>0</v>
      </c>
      <c r="CD37" s="59" t="n">
        <f aca="false">IF(AND(Parameter!$B$21="Ja",ISNUMBER(U37),N(V37)&gt;0),IFERROR(N(INDEX(Parameter!$L$5:$L$7,U37))*INDEX(Parameter!$E$5:$E$7,U37)*V37/SUMIFS($V$7:$V$1576,$U$7:$U$1576,U37),0),0)</f>
        <v>0</v>
      </c>
    </row>
    <row r="38" customFormat="false" ht="15" hidden="false" customHeight="false" outlineLevel="0" collapsed="false">
      <c r="A38" s="55" t="s">
        <v>254</v>
      </c>
      <c r="B38" s="55" t="s">
        <v>255</v>
      </c>
      <c r="C38" s="55" t="s">
        <v>160</v>
      </c>
      <c r="D38" s="55" t="s">
        <v>168</v>
      </c>
      <c r="E38" s="55" t="s">
        <v>210</v>
      </c>
      <c r="F38" s="56" t="n">
        <v>630.41</v>
      </c>
      <c r="G38" s="57" t="n">
        <f aca="false">MAX(0,IF(AND(Parameter!$B$21="Ja",ISNUMBER(W38)),W38,IF(Parameter!$B$20="Jahresanfang 2025 + Export",BJ38+BI38,BI38)))</f>
        <v>16</v>
      </c>
      <c r="H38" s="57" t="n">
        <f aca="false">G38*F38</f>
        <v>10086.56</v>
      </c>
      <c r="I38" s="57" t="n">
        <f aca="false">BL38*Parameter!$B$18</f>
        <v>72</v>
      </c>
      <c r="J38" s="58" t="n">
        <v>13</v>
      </c>
      <c r="K38" s="59" t="n">
        <v>5.53846153846154</v>
      </c>
      <c r="L38" s="57" t="n">
        <v>4</v>
      </c>
      <c r="M38" s="57" t="n">
        <v>15</v>
      </c>
      <c r="N38" s="60" t="n">
        <v>21</v>
      </c>
      <c r="O38" s="55" t="s">
        <v>215</v>
      </c>
      <c r="P38" s="57" t="n">
        <v>8</v>
      </c>
      <c r="Q38" s="60" t="n">
        <f aca="false">IF(BR38=1,0,IFERROR(VLOOKUP(BP38,'Gebinde-Kategorie'!$A$5:$M$45,13,0)+0,0))</f>
        <v>3</v>
      </c>
      <c r="R38" s="61"/>
      <c r="S38" s="62"/>
      <c r="T38" s="62"/>
      <c r="U38" s="55"/>
      <c r="V38" s="57"/>
      <c r="W38" s="57"/>
      <c r="X38" s="55" t="n">
        <f aca="false">IF(A38="","",IF(AND(Parameter!$B$21="Ja",ISNUMBER(U38)),U38,IF(IFERROR(VLOOKUP(D38,Parameter!$A$35:$C$64,2,0),"Nein")="2+3",IF(ISNUMBER(SEARCH("grosser Artikel",BM38)),2,IFERROR(VLOOKUP(BP38,Parameter!$F$35:$G$64,2,0),2)),IF(OR(IFERROR(VLOOKUP(D38,Parameter!$A$35:$C$64,2,0),"Nein")="Nein",IFERROR(VLOOKUP(D38,Parameter!$A$35:$C$64,2,0),"Nein")=""),"-",VLOOKUP(D38,Parameter!$A$35:$C$64,2,0)))))</f>
        <v>2</v>
      </c>
      <c r="Y38" s="62"/>
      <c r="Z38" s="63"/>
      <c r="AA38" s="57" t="n">
        <f aca="false">AP38</f>
        <v>40</v>
      </c>
      <c r="AB38" s="57" t="n">
        <f aca="false">MAX(AP38,G38)</f>
        <v>40</v>
      </c>
      <c r="AC38" s="64"/>
      <c r="AD38" s="57" t="n">
        <f aca="false">IF(LEFT(Cockpit!$C$5,1)="A",G38,IF(BW38=1,BX38,IF(LEFT(Cockpit!$C$5,1)="B",AH38,MAX(AH38,G38))))</f>
        <v>16</v>
      </c>
      <c r="AE38" s="57" t="n">
        <f aca="false">IF(BR38=1,0,ROUNDUP(AD38/BQ38,0))</f>
        <v>2</v>
      </c>
      <c r="AF38" s="59" t="n">
        <f aca="false">IF(CD38&gt;0,CD38*MAX(1,AD38/V38),IF(BR38=1,IF(AD38&lt;=0,0,BS38*MAX(1,IF(G38&gt;0,AD38/G38,1))),IF(Q38&gt;0,AE38/Q38,0))/MAX(0.1,N(Parameter!$M$21)))</f>
        <v>0.666666666666667</v>
      </c>
      <c r="AG38" s="57" t="n">
        <f aca="false">AD38*F38</f>
        <v>10086.56</v>
      </c>
      <c r="AH38" s="57" t="n">
        <f aca="false">ROUNDUP(MAX(I38/IF(BV38&gt;0,BV38,MAX(0.1,N(Cockpit!$C$6))),BY38)/BQ38,0)*BQ38</f>
        <v>40</v>
      </c>
      <c r="AI38" s="58" t="n">
        <f aca="false">IF(AF38&gt;0,I38/AF38,-1)</f>
        <v>108</v>
      </c>
      <c r="AJ38" s="58" t="n">
        <f aca="false">IF(AND(OR(BU38="L1",BU38="L23"),AF38&gt;0),SUMIFS($AF$7:$AF$1576,$BU$7:$BU$1576,BU38,$AI$7:$AI$1576,"&gt;"&amp;AI38)+SUMIFS($AF$7:$AF$1576,$BU$7:$BU$1576,BU38,$AI$7:$AI$1576,AI38,$BO$7:$BO$1576,"&lt;="&amp;BO38),"")</f>
        <v>21.5131022600588</v>
      </c>
      <c r="AK38" s="65" t="n">
        <f aca="false">IF(AJ38="",0,MAX(0,MIN(1,(IF(BU38="L1",Parameter!$E$5,Parameter!$E$6+Parameter!$E$7)-(AJ38-AF38))/AF38)))</f>
        <v>1</v>
      </c>
      <c r="AL38" s="57" t="n">
        <f aca="false">IF(LEFT(Cockpit!$I$5,1)="A",G38,IF(BW38=1,BX38,IF(LEFT(Cockpit!$I$5,1)="B",AP38,MAX(AP38,G38))))</f>
        <v>40</v>
      </c>
      <c r="AM38" s="57" t="n">
        <f aca="false">IF(BR38=1,0,ROUNDUP(AL38/BQ38,0))</f>
        <v>5</v>
      </c>
      <c r="AN38" s="59" t="n">
        <f aca="false">IF(CD38&gt;0,CD38*MAX(1,AL38/V38),IF(BR38=1,IF(AL38&lt;=0,0,BS38*MAX(1,IF(G38&gt;0,AL38/G38,1))),IF(Q38&gt;0,AM38/Q38,0))/MAX(0.1,N(Parameter!$M$21)))</f>
        <v>1.66666666666667</v>
      </c>
      <c r="AO38" s="57" t="n">
        <f aca="false">AL38*F38</f>
        <v>25216.4</v>
      </c>
      <c r="AP38" s="57" t="n">
        <f aca="false">ROUNDUP(MAX(I38/IF(BV38&gt;0,BV38,MAX(0.1,N(Cockpit!$I$6))),BY38)/BQ38,0)*BQ38</f>
        <v>40</v>
      </c>
      <c r="AQ38" s="58" t="n">
        <f aca="false">IF(AN38&gt;0,I38/AN38,-1)</f>
        <v>43.2</v>
      </c>
      <c r="AR38" s="58" t="n">
        <f aca="false">IF(AND(OR(BU38="L1",BU38="L23"),AN38&gt;0),SUMIFS($AN$7:$AN$1576,$BU$7:$BU$1576,BU38,$AQ$7:$AQ$1576,"&gt;"&amp;AQ38)+SUMIFS($AN$7:$AN$1576,$BU$7:$BU$1576,BU38,$AQ$7:$AQ$1576,AQ38,$BO$7:$BO$1576,"&lt;="&amp;BO38),"")</f>
        <v>89.7285884348496</v>
      </c>
      <c r="AS38" s="65" t="n">
        <f aca="false">IF(AR38="",0,MAX(0,MIN(1,(IF(BU38="L1",Parameter!$E$5,Parameter!$E$6+Parameter!$E$7)-(AR38-AN38))/AN38)))</f>
        <v>1</v>
      </c>
      <c r="AT38" s="57" t="n">
        <f aca="false">IF(LEFT(Cockpit!$O$5,1)="A",G38,IF(BW38=1,BX38,IF(LEFT(Cockpit!$O$5,1)="B",AX38,MAX(AX38,G38))))</f>
        <v>24</v>
      </c>
      <c r="AU38" s="57" t="n">
        <f aca="false">IF(BR38=1,0,ROUNDUP(AT38/BQ38,0))</f>
        <v>3</v>
      </c>
      <c r="AV38" s="59" t="n">
        <f aca="false">IF(CD38&gt;0,CD38*MAX(1,AT38/V38),IF(BR38=1,IF(AT38&lt;=0,0,BS38*MAX(1,IF(G38&gt;0,AT38/G38,1))),IF(Q38&gt;0,AU38/Q38,0))/MAX(0.1,N(Parameter!$M$21)))</f>
        <v>1</v>
      </c>
      <c r="AW38" s="57" t="n">
        <f aca="false">AT38*F38</f>
        <v>15129.84</v>
      </c>
      <c r="AX38" s="57" t="n">
        <f aca="false">ROUNDUP(MAX(I38/IF(BV38&gt;0,BV38,MAX(0.1,N(Cockpit!$O$6))),BY38)/BQ38,0)*BQ38</f>
        <v>24</v>
      </c>
      <c r="AY38" s="58" t="n">
        <f aca="false">IF(AV38&gt;0,I38/AV38,-1)</f>
        <v>72</v>
      </c>
      <c r="AZ38" s="58" t="n">
        <f aca="false">IF(AND(OR(BU38="L1",BU38="L23"),AV38&gt;0),SUMIFS($AV$7:$AV$1576,$BU$7:$BU$1576,BU38,$AY$7:$AY$1576,"&gt;"&amp;AY38)+SUMIFS($AV$7:$AV$1576,$BU$7:$BU$1576,BU38,$AY$7:$AY$1576,AY38,$BO$7:$BO$1576,"&lt;="&amp;BO38),"")</f>
        <v>70.8768451781063</v>
      </c>
      <c r="BA38" s="65" t="n">
        <f aca="false">IF(AZ38="",0,MAX(0,MIN(1,(IF(BU38="L1",Parameter!$E$5,Parameter!$E$6+Parameter!$E$7)-(AZ38-AV38))/AV38)))</f>
        <v>1</v>
      </c>
      <c r="BB38" s="55" t="str">
        <f aca="false">IF(AF38&lt;=0,"",IF(BU38="Aussen","Aussenlager",IF(BU38="-","Nicht im Lift",IF(AK38&gt;=1,"Lift",IF(AK38&lt;=0,"Aussenlager","teilweise")))))</f>
        <v>Lift</v>
      </c>
      <c r="BC38" s="55" t="str">
        <f aca="false">IF(AN38&lt;=0,"",IF(BU38="Aussen","Aussenlager",IF(BU38="-","Nicht im Lift",IF(AS38&gt;=1,"Lift",IF(AS38&lt;=0,"Aussenlager","teilweise")))))</f>
        <v>Lift</v>
      </c>
      <c r="BD38" s="55" t="str">
        <f aca="false">IF(AV38&lt;=0,"",IF(BU38="Aussen","Aussenlager",IF(BU38="-","Nicht im Lift",IF(BA38&gt;=1,"Lift",IF(BA38&lt;=0,"Aussenlager","teilweise")))))</f>
        <v>Lift</v>
      </c>
      <c r="BE38" s="55" t="str">
        <f aca="false">IF(A38="","",IF(BN38=1,"Neu; ","")&amp;IF(AND(BN38=0,BI38&lt;0),"negativer Bestand (Export "&amp;BI38&amp;"); ","")&amp;IF(I38&lt;=0,"Kein Verbrauch; ","")&amp;IF(CD38&gt;0,"Lift "&amp;U38&amp;" lt. Liftbericht (Fach "&amp;V38&amp;" Stk); ",IF(BR38=1,"Lose – Fläche geschätzt; ",""))&amp;IF(G38&gt;AP38,"Überbestand "&amp;ROUND(G38-AP38,0)&amp;" Stk / CHF "&amp;ROUND((G38-AP38)*F38,0)&amp;"; ","")&amp;IF(AND(BW38=1,BX38&lt;BY38),"MAX &lt; MB+LG; ","")&amp;IF(AND(CC38&gt;0,CB38*10&gt;CC38),"zu hoch für Tablar; ","")&amp;IF(AND(BN38=0,OR(BW38=1,Y38&lt;&gt;"",S38&lt;&gt;"",T38&lt;&gt;"",Z38&lt;&gt;"")),"manuell übersteuert; ","")&amp;IF(AND(BR38=0,Q38=0),"Gebinde unbekannt / Stellmass fehlt; ","")&amp;IF(AND(BR38=0,N(T38)&lt;=0,N(P38)&lt;=0),"Menge pro Gebinde fehlt (Ist = 1 Gebinde); ","")&amp;BM38)</f>
        <v/>
      </c>
      <c r="BF38" s="55"/>
      <c r="BG38" s="55"/>
      <c r="BH38" s="62"/>
      <c r="BI38" s="57" t="n">
        <v>16</v>
      </c>
      <c r="BJ38" s="57" t="n">
        <v>0</v>
      </c>
      <c r="BK38" s="56" t="n">
        <v>10086.58</v>
      </c>
      <c r="BL38" s="57" t="n">
        <v>72</v>
      </c>
      <c r="BM38" s="55"/>
      <c r="BN38" s="60" t="n">
        <v>0</v>
      </c>
      <c r="BO38" s="60" t="n">
        <v>38</v>
      </c>
      <c r="BP38" s="55" t="str">
        <f aca="false">IF(S38&lt;&gt;"",UPPER(TRIM(S38)),IF(O38="","LOSE",O38))</f>
        <v>S81</v>
      </c>
      <c r="BQ38" s="57" t="n">
        <f aca="false">IF(BP38="LOSE",1,IF(N(T38)&gt;0,T38,IF(N(P38)&gt;0,P38,MAX(1,G38))))</f>
        <v>8</v>
      </c>
      <c r="BR38" s="60" t="n">
        <f aca="false">IF(BP38="LOSE",1,0)</f>
        <v>0</v>
      </c>
      <c r="BS38" s="59" t="n">
        <f aca="false">IF(BR38=0,0,IF(N(R38)&gt;0,R38,IFERROR(VLOOKUP(D38,Parameter!$A$35:$C$64,3,0)+0,0)))</f>
        <v>0</v>
      </c>
      <c r="BT38" s="55" t="n">
        <f aca="false">IF(Y38&lt;&gt;"",Y38,X38)</f>
        <v>2</v>
      </c>
      <c r="BU38" s="55" t="str">
        <f aca="false">IF(BT38=1,"L1",IF(OR(BT38=2,BT38=3),"L23",IF(BT38="Aussen","Aussen","-")))</f>
        <v>L23</v>
      </c>
      <c r="BV38" s="66" t="n">
        <f aca="false">IF(N(Z38)&gt;0,Z38,0)</f>
        <v>0</v>
      </c>
      <c r="BW38" s="60" t="n">
        <f aca="false">IF(ISNUMBER(AC38),1,0)</f>
        <v>0</v>
      </c>
      <c r="BX38" s="57" t="n">
        <f aca="false">N(AC38)</f>
        <v>0</v>
      </c>
      <c r="BY38" s="57" t="n">
        <f aca="false">N(L38)+N(M38)</f>
        <v>19</v>
      </c>
      <c r="BZ38" s="57" t="n">
        <f aca="false">ROUNDUP(G38/BQ38,0)</f>
        <v>2</v>
      </c>
      <c r="CA38" s="57" t="n">
        <f aca="false">ROUNDUP(BX38/BQ38,0)</f>
        <v>0</v>
      </c>
      <c r="CB38" s="60" t="n">
        <f aca="false">IF(BR38=1,0,IFERROR(VLOOKUP(BP38,'Gebinde-Kategorie'!$A$5:$M$45,5,0)+0,0))</f>
        <v>20</v>
      </c>
      <c r="CC38" s="60" t="n">
        <f aca="false">IFERROR(IF(OR(BT38=1,BT38=2,BT38=3),N(INDEX(Parameter!$I$5:$I$7,BT38)),0),0)</f>
        <v>0</v>
      </c>
      <c r="CD38" s="59" t="n">
        <f aca="false">IF(AND(Parameter!$B$21="Ja",ISNUMBER(U38),N(V38)&gt;0),IFERROR(N(INDEX(Parameter!$L$5:$L$7,U38))*INDEX(Parameter!$E$5:$E$7,U38)*V38/SUMIFS($V$7:$V$1576,$U$7:$U$1576,U38),0),0)</f>
        <v>0</v>
      </c>
    </row>
    <row r="39" customFormat="false" ht="15" hidden="false" customHeight="false" outlineLevel="0" collapsed="false">
      <c r="A39" s="55" t="s">
        <v>256</v>
      </c>
      <c r="B39" s="55" t="s">
        <v>257</v>
      </c>
      <c r="C39" s="55" t="s">
        <v>160</v>
      </c>
      <c r="D39" s="55" t="s">
        <v>168</v>
      </c>
      <c r="E39" s="55" t="s">
        <v>210</v>
      </c>
      <c r="F39" s="56" t="n">
        <v>914.52</v>
      </c>
      <c r="G39" s="57" t="n">
        <f aca="false">MAX(0,IF(AND(Parameter!$B$21="Ja",ISNUMBER(W39)),W39,IF(Parameter!$B$20="Jahresanfang 2025 + Export",BJ39+BI39,BI39)))</f>
        <v>11</v>
      </c>
      <c r="H39" s="57" t="n">
        <f aca="false">G39*F39</f>
        <v>10059.72</v>
      </c>
      <c r="I39" s="57" t="n">
        <f aca="false">BL39*Parameter!$B$18</f>
        <v>147</v>
      </c>
      <c r="J39" s="58" t="n">
        <v>4</v>
      </c>
      <c r="K39" s="59" t="n">
        <v>36.75</v>
      </c>
      <c r="L39" s="57" t="n">
        <v>11</v>
      </c>
      <c r="M39" s="57" t="n">
        <v>20</v>
      </c>
      <c r="N39" s="60" t="n">
        <v>28</v>
      </c>
      <c r="O39" s="55" t="s">
        <v>163</v>
      </c>
      <c r="P39" s="57"/>
      <c r="Q39" s="60" t="n">
        <f aca="false">IF(BR39=1,0,IFERROR(VLOOKUP(BP39,'Gebinde-Kategorie'!$A$5:$M$45,13,0)+0,0))</f>
        <v>0</v>
      </c>
      <c r="R39" s="61"/>
      <c r="S39" s="62"/>
      <c r="T39" s="62"/>
      <c r="U39" s="55"/>
      <c r="V39" s="57"/>
      <c r="W39" s="57"/>
      <c r="X39" s="55" t="n">
        <f aca="false">IF(A39="","",IF(AND(Parameter!$B$21="Ja",ISNUMBER(U39)),U39,IF(IFERROR(VLOOKUP(D39,Parameter!$A$35:$C$64,2,0),"Nein")="2+3",IF(ISNUMBER(SEARCH("grosser Artikel",BM39)),2,IFERROR(VLOOKUP(BP39,Parameter!$F$35:$G$64,2,0),2)),IF(OR(IFERROR(VLOOKUP(D39,Parameter!$A$35:$C$64,2,0),"Nein")="Nein",IFERROR(VLOOKUP(D39,Parameter!$A$35:$C$64,2,0),"Nein")=""),"-",VLOOKUP(D39,Parameter!$A$35:$C$64,2,0)))))</f>
        <v>2</v>
      </c>
      <c r="Y39" s="62"/>
      <c r="Z39" s="63"/>
      <c r="AA39" s="57" t="n">
        <f aca="false">AP39</f>
        <v>74</v>
      </c>
      <c r="AB39" s="57" t="n">
        <f aca="false">MAX(AP39,G39)</f>
        <v>74</v>
      </c>
      <c r="AC39" s="64"/>
      <c r="AD39" s="57" t="n">
        <f aca="false">IF(LEFT(Cockpit!$C$5,1)="A",G39,IF(BW39=1,BX39,IF(LEFT(Cockpit!$C$5,1)="B",AH39,MAX(AH39,G39))))</f>
        <v>11</v>
      </c>
      <c r="AE39" s="57" t="n">
        <f aca="false">IF(BR39=1,0,ROUNDUP(AD39/BQ39,0))</f>
        <v>0</v>
      </c>
      <c r="AF39" s="59" t="n">
        <f aca="false">IF(CD39&gt;0,CD39*MAX(1,AD39/V39),IF(BR39=1,IF(AD39&lt;=0,0,BS39*MAX(1,IF(G39&gt;0,AD39/G39,1))),IF(Q39&gt;0,AE39/Q39,0))/MAX(0.1,N(Parameter!$M$21)))</f>
        <v>0.15</v>
      </c>
      <c r="AG39" s="57" t="n">
        <f aca="false">AD39*F39</f>
        <v>10059.72</v>
      </c>
      <c r="AH39" s="57" t="n">
        <f aca="false">ROUNDUP(MAX(I39/IF(BV39&gt;0,BV39,MAX(0.1,N(Cockpit!$C$6))),BY39)/BQ39,0)*BQ39</f>
        <v>74</v>
      </c>
      <c r="AI39" s="58" t="n">
        <f aca="false">IF(AF39&gt;0,I39/AF39,-1)</f>
        <v>980</v>
      </c>
      <c r="AJ39" s="58" t="n">
        <f aca="false">IF(AND(OR(BU39="L1",BU39="L23"),AF39&gt;0),SUMIFS($AF$7:$AF$1576,$BU$7:$BU$1576,BU39,$AI$7:$AI$1576,"&gt;"&amp;AI39)+SUMIFS($AF$7:$AF$1576,$BU$7:$BU$1576,BU39,$AI$7:$AI$1576,AI39,$BO$7:$BO$1576,"&lt;="&amp;BO39),"")</f>
        <v>9.55721225634269</v>
      </c>
      <c r="AK39" s="65" t="n">
        <f aca="false">IF(AJ39="",0,MAX(0,MIN(1,(IF(BU39="L1",Parameter!$E$5,Parameter!$E$6+Parameter!$E$7)-(AJ39-AF39))/AF39)))</f>
        <v>1</v>
      </c>
      <c r="AL39" s="57" t="n">
        <f aca="false">IF(LEFT(Cockpit!$I$5,1)="A",G39,IF(BW39=1,BX39,IF(LEFT(Cockpit!$I$5,1)="B",AP39,MAX(AP39,G39))))</f>
        <v>74</v>
      </c>
      <c r="AM39" s="57" t="n">
        <f aca="false">IF(BR39=1,0,ROUNDUP(AL39/BQ39,0))</f>
        <v>0</v>
      </c>
      <c r="AN39" s="59" t="n">
        <f aca="false">IF(CD39&gt;0,CD39*MAX(1,AL39/V39),IF(BR39=1,IF(AL39&lt;=0,0,BS39*MAX(1,IF(G39&gt;0,AL39/G39,1))),IF(Q39&gt;0,AM39/Q39,0))/MAX(0.1,N(Parameter!$M$21)))</f>
        <v>1.00909090909091</v>
      </c>
      <c r="AO39" s="57" t="n">
        <f aca="false">AL39*F39</f>
        <v>67674.48</v>
      </c>
      <c r="AP39" s="57" t="n">
        <f aca="false">ROUNDUP(MAX(I39/IF(BV39&gt;0,BV39,MAX(0.1,N(Cockpit!$I$6))),BY39)/BQ39,0)*BQ39</f>
        <v>74</v>
      </c>
      <c r="AQ39" s="58" t="n">
        <f aca="false">IF(AN39&gt;0,I39/AN39,-1)</f>
        <v>145.675675675676</v>
      </c>
      <c r="AR39" s="58" t="n">
        <f aca="false">IF(AND(OR(BU39="L1",BU39="L23"),AN39&gt;0),SUMIFS($AN$7:$AN$1576,$BU$7:$BU$1576,BU39,$AQ$7:$AQ$1576,"&gt;"&amp;AQ39)+SUMIFS($AN$7:$AN$1576,$BU$7:$BU$1576,BU39,$AQ$7:$AQ$1576,AQ39,$BO$7:$BO$1576,"&lt;="&amp;BO39),"")</f>
        <v>56.2373520323632</v>
      </c>
      <c r="AS39" s="65" t="n">
        <f aca="false">IF(AR39="",0,MAX(0,MIN(1,(IF(BU39="L1",Parameter!$E$5,Parameter!$E$6+Parameter!$E$7)-(AR39-AN39))/AN39)))</f>
        <v>1</v>
      </c>
      <c r="AT39" s="57" t="n">
        <f aca="false">IF(LEFT(Cockpit!$O$5,1)="A",G39,IF(BW39=1,BX39,IF(LEFT(Cockpit!$O$5,1)="B",AX39,MAX(AX39,G39))))</f>
        <v>49</v>
      </c>
      <c r="AU39" s="57" t="n">
        <f aca="false">IF(BR39=1,0,ROUNDUP(AT39/BQ39,0))</f>
        <v>0</v>
      </c>
      <c r="AV39" s="59" t="n">
        <f aca="false">IF(CD39&gt;0,CD39*MAX(1,AT39/V39),IF(BR39=1,IF(AT39&lt;=0,0,BS39*MAX(1,IF(G39&gt;0,AT39/G39,1))),IF(Q39&gt;0,AU39/Q39,0))/MAX(0.1,N(Parameter!$M$21)))</f>
        <v>0.668181818181818</v>
      </c>
      <c r="AW39" s="57" t="n">
        <f aca="false">AT39*F39</f>
        <v>44811.48</v>
      </c>
      <c r="AX39" s="57" t="n">
        <f aca="false">ROUNDUP(MAX(I39/IF(BV39&gt;0,BV39,MAX(0.1,N(Cockpit!$O$6))),BY39)/BQ39,0)*BQ39</f>
        <v>49</v>
      </c>
      <c r="AY39" s="58" t="n">
        <f aca="false">IF(AV39&gt;0,I39/AV39,-1)</f>
        <v>220</v>
      </c>
      <c r="AZ39" s="58" t="n">
        <f aca="false">IF(AND(OR(BU39="L1",BU39="L23"),AV39&gt;0),SUMIFS($AV$7:$AV$1576,$BU$7:$BU$1576,BU39,$AY$7:$AY$1576,"&gt;"&amp;AY39)+SUMIFS($AV$7:$AV$1576,$BU$7:$BU$1576,BU39,$AY$7:$AY$1576,AY39,$BO$7:$BO$1576,"&lt;="&amp;BO39),"")</f>
        <v>45.0762035190408</v>
      </c>
      <c r="BA39" s="65" t="n">
        <f aca="false">IF(AZ39="",0,MAX(0,MIN(1,(IF(BU39="L1",Parameter!$E$5,Parameter!$E$6+Parameter!$E$7)-(AZ39-AV39))/AV39)))</f>
        <v>1</v>
      </c>
      <c r="BB39" s="55" t="str">
        <f aca="false">IF(AF39&lt;=0,"",IF(BU39="Aussen","Aussenlager",IF(BU39="-","Nicht im Lift",IF(AK39&gt;=1,"Lift",IF(AK39&lt;=0,"Aussenlager","teilweise")))))</f>
        <v>Lift</v>
      </c>
      <c r="BC39" s="55" t="str">
        <f aca="false">IF(AN39&lt;=0,"",IF(BU39="Aussen","Aussenlager",IF(BU39="-","Nicht im Lift",IF(AS39&gt;=1,"Lift",IF(AS39&lt;=0,"Aussenlager","teilweise")))))</f>
        <v>Lift</v>
      </c>
      <c r="BD39" s="55" t="str">
        <f aca="false">IF(AV39&lt;=0,"",IF(BU39="Aussen","Aussenlager",IF(BU39="-","Nicht im Lift",IF(BA39&gt;=1,"Lift",IF(BA39&lt;=0,"Aussenlager","teilweise")))))</f>
        <v>Lift</v>
      </c>
      <c r="BE39" s="55" t="str">
        <f aca="false">IF(A39="","",IF(BN39=1,"Neu; ","")&amp;IF(AND(BN39=0,BI39&lt;0),"negativer Bestand (Export "&amp;BI39&amp;"); ","")&amp;IF(I39&lt;=0,"Kein Verbrauch; ","")&amp;IF(CD39&gt;0,"Lift "&amp;U39&amp;" lt. Liftbericht (Fach "&amp;V39&amp;" Stk); ",IF(BR39=1,"Lose – Fläche geschätzt; ",""))&amp;IF(G39&gt;AP39,"Überbestand "&amp;ROUND(G39-AP39,0)&amp;" Stk / CHF "&amp;ROUND((G39-AP39)*F39,0)&amp;"; ","")&amp;IF(AND(BW39=1,BX39&lt;BY39),"MAX &lt; MB+LG; ","")&amp;IF(AND(CC39&gt;0,CB39*10&gt;CC39),"zu hoch für Tablar; ","")&amp;IF(AND(BN39=0,OR(BW39=1,Y39&lt;&gt;"",S39&lt;&gt;"",T39&lt;&gt;"",Z39&lt;&gt;"")),"manuell übersteuert; ","")&amp;IF(AND(BR39=0,Q39=0),"Gebinde unbekannt / Stellmass fehlt; ","")&amp;IF(AND(BR39=0,N(T39)&lt;=0,N(P39)&lt;=0),"Menge pro Gebinde fehlt (Ist = 1 Gebinde); ","")&amp;BM39)</f>
        <v>Lose – Fläche geschätzt; </v>
      </c>
      <c r="BF39" s="55" t="s">
        <v>258</v>
      </c>
      <c r="BG39" s="55" t="s">
        <v>259</v>
      </c>
      <c r="BH39" s="62"/>
      <c r="BI39" s="57" t="n">
        <v>11</v>
      </c>
      <c r="BJ39" s="57" t="n">
        <v>2</v>
      </c>
      <c r="BK39" s="56" t="n">
        <v>10019.94</v>
      </c>
      <c r="BL39" s="57" t="n">
        <v>147</v>
      </c>
      <c r="BM39" s="55"/>
      <c r="BN39" s="60" t="n">
        <v>0</v>
      </c>
      <c r="BO39" s="60" t="n">
        <v>39</v>
      </c>
      <c r="BP39" s="55" t="str">
        <f aca="false">IF(S39&lt;&gt;"",UPPER(TRIM(S39)),IF(O39="","LOSE",O39))</f>
        <v>LOSE</v>
      </c>
      <c r="BQ39" s="57" t="n">
        <f aca="false">IF(BP39="LOSE",1,IF(N(T39)&gt;0,T39,IF(N(P39)&gt;0,P39,MAX(1,G39))))</f>
        <v>1</v>
      </c>
      <c r="BR39" s="60" t="n">
        <f aca="false">IF(BP39="LOSE",1,0)</f>
        <v>1</v>
      </c>
      <c r="BS39" s="59" t="n">
        <f aca="false">IF(BR39=0,0,IF(N(R39)&gt;0,R39,IFERROR(VLOOKUP(D39,Parameter!$A$35:$C$64,3,0)+0,0)))</f>
        <v>0.15</v>
      </c>
      <c r="BT39" s="55" t="n">
        <f aca="false">IF(Y39&lt;&gt;"",Y39,X39)</f>
        <v>2</v>
      </c>
      <c r="BU39" s="55" t="str">
        <f aca="false">IF(BT39=1,"L1",IF(OR(BT39=2,BT39=3),"L23",IF(BT39="Aussen","Aussen","-")))</f>
        <v>L23</v>
      </c>
      <c r="BV39" s="66" t="n">
        <f aca="false">IF(N(Z39)&gt;0,Z39,0)</f>
        <v>0</v>
      </c>
      <c r="BW39" s="60" t="n">
        <f aca="false">IF(ISNUMBER(AC39),1,0)</f>
        <v>0</v>
      </c>
      <c r="BX39" s="57" t="n">
        <f aca="false">N(AC39)</f>
        <v>0</v>
      </c>
      <c r="BY39" s="57" t="n">
        <f aca="false">N(L39)+N(M39)</f>
        <v>31</v>
      </c>
      <c r="BZ39" s="57" t="n">
        <f aca="false">ROUNDUP(G39/BQ39,0)</f>
        <v>11</v>
      </c>
      <c r="CA39" s="57" t="n">
        <f aca="false">ROUNDUP(BX39/BQ39,0)</f>
        <v>0</v>
      </c>
      <c r="CB39" s="60" t="n">
        <f aca="false">IF(BR39=1,0,IFERROR(VLOOKUP(BP39,'Gebinde-Kategorie'!$A$5:$M$45,5,0)+0,0))</f>
        <v>0</v>
      </c>
      <c r="CC39" s="60" t="n">
        <f aca="false">IFERROR(IF(OR(BT39=1,BT39=2,BT39=3),N(INDEX(Parameter!$I$5:$I$7,BT39)),0),0)</f>
        <v>0</v>
      </c>
      <c r="CD39" s="59" t="n">
        <f aca="false">IF(AND(Parameter!$B$21="Ja",ISNUMBER(U39),N(V39)&gt;0),IFERROR(N(INDEX(Parameter!$L$5:$L$7,U39))*INDEX(Parameter!$E$5:$E$7,U39)*V39/SUMIFS($V$7:$V$1576,$U$7:$U$1576,U39),0),0)</f>
        <v>0</v>
      </c>
    </row>
    <row r="40" customFormat="false" ht="15" hidden="false" customHeight="false" outlineLevel="0" collapsed="false">
      <c r="A40" s="55" t="s">
        <v>260</v>
      </c>
      <c r="B40" s="55" t="s">
        <v>237</v>
      </c>
      <c r="C40" s="55" t="s">
        <v>160</v>
      </c>
      <c r="D40" s="55" t="s">
        <v>168</v>
      </c>
      <c r="E40" s="55" t="s">
        <v>210</v>
      </c>
      <c r="F40" s="56" t="n">
        <v>3123</v>
      </c>
      <c r="G40" s="57" t="n">
        <f aca="false">MAX(0,IF(AND(Parameter!$B$21="Ja",ISNUMBER(W40)),W40,IF(Parameter!$B$20="Jahresanfang 2025 + Export",BJ40+BI40,BI40)))</f>
        <v>3</v>
      </c>
      <c r="H40" s="57" t="n">
        <f aca="false">G40*F40</f>
        <v>9369</v>
      </c>
      <c r="I40" s="57" t="n">
        <f aca="false">BL40*Parameter!$B$18</f>
        <v>0</v>
      </c>
      <c r="J40" s="58" t="n">
        <v>0.5</v>
      </c>
      <c r="K40" s="59" t="n">
        <v>0</v>
      </c>
      <c r="L40" s="57" t="n">
        <v>0</v>
      </c>
      <c r="M40" s="57" t="n">
        <v>1</v>
      </c>
      <c r="N40" s="60" t="n">
        <v>56</v>
      </c>
      <c r="O40" s="55" t="s">
        <v>163</v>
      </c>
      <c r="P40" s="57"/>
      <c r="Q40" s="60" t="n">
        <f aca="false">IF(BR40=1,0,IFERROR(VLOOKUP(BP40,'Gebinde-Kategorie'!$A$5:$M$45,13,0)+0,0))</f>
        <v>0</v>
      </c>
      <c r="R40" s="61"/>
      <c r="S40" s="62"/>
      <c r="T40" s="62"/>
      <c r="U40" s="55"/>
      <c r="V40" s="57"/>
      <c r="W40" s="57"/>
      <c r="X40" s="55" t="n">
        <f aca="false">IF(A40="","",IF(AND(Parameter!$B$21="Ja",ISNUMBER(U40)),U40,IF(IFERROR(VLOOKUP(D40,Parameter!$A$35:$C$64,2,0),"Nein")="2+3",IF(ISNUMBER(SEARCH("grosser Artikel",BM40)),2,IFERROR(VLOOKUP(BP40,Parameter!$F$35:$G$64,2,0),2)),IF(OR(IFERROR(VLOOKUP(D40,Parameter!$A$35:$C$64,2,0),"Nein")="Nein",IFERROR(VLOOKUP(D40,Parameter!$A$35:$C$64,2,0),"Nein")=""),"-",VLOOKUP(D40,Parameter!$A$35:$C$64,2,0)))))</f>
        <v>2</v>
      </c>
      <c r="Y40" s="62"/>
      <c r="Z40" s="63"/>
      <c r="AA40" s="57" t="n">
        <f aca="false">AP40</f>
        <v>1</v>
      </c>
      <c r="AB40" s="57" t="n">
        <f aca="false">MAX(AP40,G40)</f>
        <v>3</v>
      </c>
      <c r="AC40" s="64"/>
      <c r="AD40" s="57" t="n">
        <f aca="false">IF(LEFT(Cockpit!$C$5,1)="A",G40,IF(BW40=1,BX40,IF(LEFT(Cockpit!$C$5,1)="B",AH40,MAX(AH40,G40))))</f>
        <v>3</v>
      </c>
      <c r="AE40" s="57" t="n">
        <f aca="false">IF(BR40=1,0,ROUNDUP(AD40/BQ40,0))</f>
        <v>0</v>
      </c>
      <c r="AF40" s="59" t="n">
        <f aca="false">IF(CD40&gt;0,CD40*MAX(1,AD40/V40),IF(BR40=1,IF(AD40&lt;=0,0,BS40*MAX(1,IF(G40&gt;0,AD40/G40,1))),IF(Q40&gt;0,AE40/Q40,0))/MAX(0.1,N(Parameter!$M$21)))</f>
        <v>0.15</v>
      </c>
      <c r="AG40" s="57" t="n">
        <f aca="false">AD40*F40</f>
        <v>9369</v>
      </c>
      <c r="AH40" s="57" t="n">
        <f aca="false">ROUNDUP(MAX(I40/IF(BV40&gt;0,BV40,MAX(0.1,N(Cockpit!$C$6))),BY40)/BQ40,0)*BQ40</f>
        <v>1</v>
      </c>
      <c r="AI40" s="58" t="n">
        <f aca="false">IF(AF40&gt;0,I40/AF40,-1)</f>
        <v>0</v>
      </c>
      <c r="AJ40" s="58" t="n">
        <f aca="false">IF(AND(OR(BU40="L1",BU40="L23"),AF40&gt;0),SUMIFS($AF$7:$AF$1576,$BU$7:$BU$1576,BU40,$AI$7:$AI$1576,"&gt;"&amp;AI40)+SUMIFS($AF$7:$AF$1576,$BU$7:$BU$1576,BU40,$AI$7:$AI$1576,AI40,$BO$7:$BO$1576,"&lt;="&amp;BO40),"")</f>
        <v>36.3492483362049</v>
      </c>
      <c r="AK40" s="65" t="n">
        <f aca="false">IF(AJ40="",0,MAX(0,MIN(1,(IF(BU40="L1",Parameter!$E$5,Parameter!$E$6+Parameter!$E$7)-(AJ40-AF40))/AF40)))</f>
        <v>1</v>
      </c>
      <c r="AL40" s="57" t="n">
        <f aca="false">IF(LEFT(Cockpit!$I$5,1)="A",G40,IF(BW40=1,BX40,IF(LEFT(Cockpit!$I$5,1)="B",AP40,MAX(AP40,G40))))</f>
        <v>3</v>
      </c>
      <c r="AM40" s="57" t="n">
        <f aca="false">IF(BR40=1,0,ROUNDUP(AL40/BQ40,0))</f>
        <v>0</v>
      </c>
      <c r="AN40" s="59" t="n">
        <f aca="false">IF(CD40&gt;0,CD40*MAX(1,AL40/V40),IF(BR40=1,IF(AL40&lt;=0,0,BS40*MAX(1,IF(G40&gt;0,AL40/G40,1))),IF(Q40&gt;0,AM40/Q40,0))/MAX(0.1,N(Parameter!$M$21)))</f>
        <v>0.15</v>
      </c>
      <c r="AO40" s="57" t="n">
        <f aca="false">AL40*F40</f>
        <v>9369</v>
      </c>
      <c r="AP40" s="57" t="n">
        <f aca="false">ROUNDUP(MAX(I40/IF(BV40&gt;0,BV40,MAX(0.1,N(Cockpit!$I$6))),BY40)/BQ40,0)*BQ40</f>
        <v>1</v>
      </c>
      <c r="AQ40" s="58" t="n">
        <f aca="false">IF(AN40&gt;0,I40/AN40,-1)</f>
        <v>0</v>
      </c>
      <c r="AR40" s="58" t="n">
        <f aca="false">IF(AND(OR(BU40="L1",BU40="L23"),AN40&gt;0),SUMIFS($AN$7:$AN$1576,$BU$7:$BU$1576,BU40,$AQ$7:$AQ$1576,"&gt;"&amp;AQ40)+SUMIFS($AN$7:$AN$1576,$BU$7:$BU$1576,BU40,$AQ$7:$AQ$1576,AQ40,$BO$7:$BO$1576,"&lt;="&amp;BO40),"")</f>
        <v>118.906787419328</v>
      </c>
      <c r="AS40" s="65" t="n">
        <f aca="false">IF(AR40="",0,MAX(0,MIN(1,(IF(BU40="L1",Parameter!$E$5,Parameter!$E$6+Parameter!$E$7)-(AR40-AN40))/AN40)))</f>
        <v>0</v>
      </c>
      <c r="AT40" s="57" t="n">
        <f aca="false">IF(LEFT(Cockpit!$O$5,1)="A",G40,IF(BW40=1,BX40,IF(LEFT(Cockpit!$O$5,1)="B",AX40,MAX(AX40,G40))))</f>
        <v>3</v>
      </c>
      <c r="AU40" s="57" t="n">
        <f aca="false">IF(BR40=1,0,ROUNDUP(AT40/BQ40,0))</f>
        <v>0</v>
      </c>
      <c r="AV40" s="59" t="n">
        <f aca="false">IF(CD40&gt;0,CD40*MAX(1,AT40/V40),IF(BR40=1,IF(AT40&lt;=0,0,BS40*MAX(1,IF(G40&gt;0,AT40/G40,1))),IF(Q40&gt;0,AU40/Q40,0))/MAX(0.1,N(Parameter!$M$21)))</f>
        <v>0.15</v>
      </c>
      <c r="AW40" s="57" t="n">
        <f aca="false">AT40*F40</f>
        <v>9369</v>
      </c>
      <c r="AX40" s="57" t="n">
        <f aca="false">ROUNDUP(MAX(I40/IF(BV40&gt;0,BV40,MAX(0.1,N(Cockpit!$O$6))),BY40)/BQ40,0)*BQ40</f>
        <v>1</v>
      </c>
      <c r="AY40" s="58" t="n">
        <f aca="false">IF(AV40&gt;0,I40/AV40,-1)</f>
        <v>0</v>
      </c>
      <c r="AZ40" s="58" t="n">
        <f aca="false">IF(AND(OR(BU40="L1",BU40="L23"),AV40&gt;0),SUMIFS($AV$7:$AV$1576,$BU$7:$BU$1576,BU40,$AY$7:$AY$1576,"&gt;"&amp;AY40)+SUMIFS($AV$7:$AV$1576,$BU$7:$BU$1576,BU40,$AY$7:$AY$1576,AY40,$BO$7:$BO$1576,"&lt;="&amp;BO40),"")</f>
        <v>108.966337868878</v>
      </c>
      <c r="BA40" s="65" t="n">
        <f aca="false">IF(AZ40="",0,MAX(0,MIN(1,(IF(BU40="L1",Parameter!$E$5,Parameter!$E$6+Parameter!$E$7)-(AZ40-AV40))/AV40)))</f>
        <v>0</v>
      </c>
      <c r="BB40" s="55" t="str">
        <f aca="false">IF(AF40&lt;=0,"",IF(BU40="Aussen","Aussenlager",IF(BU40="-","Nicht im Lift",IF(AK40&gt;=1,"Lift",IF(AK40&lt;=0,"Aussenlager","teilweise")))))</f>
        <v>Lift</v>
      </c>
      <c r="BC40" s="55" t="str">
        <f aca="false">IF(AN40&lt;=0,"",IF(BU40="Aussen","Aussenlager",IF(BU40="-","Nicht im Lift",IF(AS40&gt;=1,"Lift",IF(AS40&lt;=0,"Aussenlager","teilweise")))))</f>
        <v>Aussenlager</v>
      </c>
      <c r="BD40" s="55" t="str">
        <f aca="false">IF(AV40&lt;=0,"",IF(BU40="Aussen","Aussenlager",IF(BU40="-","Nicht im Lift",IF(BA40&gt;=1,"Lift",IF(BA40&lt;=0,"Aussenlager","teilweise")))))</f>
        <v>Aussenlager</v>
      </c>
      <c r="BE40" s="55" t="str">
        <f aca="false">IF(A40="","",IF(BN40=1,"Neu; ","")&amp;IF(AND(BN40=0,BI40&lt;0),"negativer Bestand (Export "&amp;BI40&amp;"); ","")&amp;IF(I40&lt;=0,"Kein Verbrauch; ","")&amp;IF(CD40&gt;0,"Lift "&amp;U40&amp;" lt. Liftbericht (Fach "&amp;V40&amp;" Stk); ",IF(BR40=1,"Lose – Fläche geschätzt; ",""))&amp;IF(G40&gt;AP40,"Überbestand "&amp;ROUND(G40-AP40,0)&amp;" Stk / CHF "&amp;ROUND((G40-AP40)*F40,0)&amp;"; ","")&amp;IF(AND(BW40=1,BX40&lt;BY40),"MAX &lt; MB+LG; ","")&amp;IF(AND(CC40&gt;0,CB40*10&gt;CC40),"zu hoch für Tablar; ","")&amp;IF(AND(BN40=0,OR(BW40=1,Y40&lt;&gt;"",S40&lt;&gt;"",T40&lt;&gt;"",Z40&lt;&gt;"")),"manuell übersteuert; ","")&amp;IF(AND(BR40=0,Q40=0),"Gebinde unbekannt / Stellmass fehlt; ","")&amp;IF(AND(BR40=0,N(T40)&lt;=0,N(P40)&lt;=0),"Menge pro Gebinde fehlt (Ist = 1 Gebinde); ","")&amp;BM40)</f>
        <v>Kein Verbrauch; Lose – Fläche geschätzt; Überbestand 2 Stk / CHF 6246; </v>
      </c>
      <c r="BF40" s="55"/>
      <c r="BG40" s="55"/>
      <c r="BH40" s="62"/>
      <c r="BI40" s="57" t="n">
        <v>3</v>
      </c>
      <c r="BJ40" s="57" t="n">
        <v>0</v>
      </c>
      <c r="BK40" s="56" t="n">
        <v>9369</v>
      </c>
      <c r="BL40" s="57" t="n">
        <v>0</v>
      </c>
      <c r="BM40" s="55"/>
      <c r="BN40" s="60" t="n">
        <v>0</v>
      </c>
      <c r="BO40" s="60" t="n">
        <v>40</v>
      </c>
      <c r="BP40" s="55" t="str">
        <f aca="false">IF(S40&lt;&gt;"",UPPER(TRIM(S40)),IF(O40="","LOSE",O40))</f>
        <v>LOSE</v>
      </c>
      <c r="BQ40" s="57" t="n">
        <f aca="false">IF(BP40="LOSE",1,IF(N(T40)&gt;0,T40,IF(N(P40)&gt;0,P40,MAX(1,G40))))</f>
        <v>1</v>
      </c>
      <c r="BR40" s="60" t="n">
        <f aca="false">IF(BP40="LOSE",1,0)</f>
        <v>1</v>
      </c>
      <c r="BS40" s="59" t="n">
        <f aca="false">IF(BR40=0,0,IF(N(R40)&gt;0,R40,IFERROR(VLOOKUP(D40,Parameter!$A$35:$C$64,3,0)+0,0)))</f>
        <v>0.15</v>
      </c>
      <c r="BT40" s="55" t="n">
        <f aca="false">IF(Y40&lt;&gt;"",Y40,X40)</f>
        <v>2</v>
      </c>
      <c r="BU40" s="55" t="str">
        <f aca="false">IF(BT40=1,"L1",IF(OR(BT40=2,BT40=3),"L23",IF(BT40="Aussen","Aussen","-")))</f>
        <v>L23</v>
      </c>
      <c r="BV40" s="66" t="n">
        <f aca="false">IF(N(Z40)&gt;0,Z40,0)</f>
        <v>0</v>
      </c>
      <c r="BW40" s="60" t="n">
        <f aca="false">IF(ISNUMBER(AC40),1,0)</f>
        <v>0</v>
      </c>
      <c r="BX40" s="57" t="n">
        <f aca="false">N(AC40)</f>
        <v>0</v>
      </c>
      <c r="BY40" s="57" t="n">
        <f aca="false">N(L40)+N(M40)</f>
        <v>1</v>
      </c>
      <c r="BZ40" s="57" t="n">
        <f aca="false">ROUNDUP(G40/BQ40,0)</f>
        <v>3</v>
      </c>
      <c r="CA40" s="57" t="n">
        <f aca="false">ROUNDUP(BX40/BQ40,0)</f>
        <v>0</v>
      </c>
      <c r="CB40" s="60" t="n">
        <f aca="false">IF(BR40=1,0,IFERROR(VLOOKUP(BP40,'Gebinde-Kategorie'!$A$5:$M$45,5,0)+0,0))</f>
        <v>0</v>
      </c>
      <c r="CC40" s="60" t="n">
        <f aca="false">IFERROR(IF(OR(BT40=1,BT40=2,BT40=3),N(INDEX(Parameter!$I$5:$I$7,BT40)),0),0)</f>
        <v>0</v>
      </c>
      <c r="CD40" s="59" t="n">
        <f aca="false">IF(AND(Parameter!$B$21="Ja",ISNUMBER(U40),N(V40)&gt;0),IFERROR(N(INDEX(Parameter!$L$5:$L$7,U40))*INDEX(Parameter!$E$5:$E$7,U40)*V40/SUMIFS($V$7:$V$1576,$U$7:$U$1576,U40),0),0)</f>
        <v>0</v>
      </c>
    </row>
    <row r="41" customFormat="false" ht="15" hidden="false" customHeight="false" outlineLevel="0" collapsed="false">
      <c r="A41" s="55" t="s">
        <v>261</v>
      </c>
      <c r="B41" s="55" t="s">
        <v>262</v>
      </c>
      <c r="C41" s="55" t="s">
        <v>160</v>
      </c>
      <c r="D41" s="55" t="s">
        <v>168</v>
      </c>
      <c r="E41" s="55" t="s">
        <v>210</v>
      </c>
      <c r="F41" s="56" t="n">
        <v>530</v>
      </c>
      <c r="G41" s="57" t="n">
        <f aca="false">MAX(0,IF(AND(Parameter!$B$21="Ja",ISNUMBER(W41)),W41,IF(Parameter!$B$20="Jahresanfang 2025 + Export",BJ41+BI41,BI41)))</f>
        <v>16</v>
      </c>
      <c r="H41" s="57" t="n">
        <f aca="false">G41*F41</f>
        <v>8480</v>
      </c>
      <c r="I41" s="57" t="n">
        <f aca="false">BL41*Parameter!$B$18</f>
        <v>23</v>
      </c>
      <c r="J41" s="58" t="n">
        <v>9.5</v>
      </c>
      <c r="K41" s="59" t="n">
        <v>2.42105263157895</v>
      </c>
      <c r="L41" s="57" t="n">
        <v>5</v>
      </c>
      <c r="M41" s="57" t="n">
        <v>10</v>
      </c>
      <c r="N41" s="60" t="n">
        <v>70</v>
      </c>
      <c r="O41" s="55" t="s">
        <v>215</v>
      </c>
      <c r="P41" s="57" t="n">
        <v>4</v>
      </c>
      <c r="Q41" s="60" t="n">
        <f aca="false">IF(BR41=1,0,IFERROR(VLOOKUP(BP41,'Gebinde-Kategorie'!$A$5:$M$45,13,0)+0,0))</f>
        <v>3</v>
      </c>
      <c r="R41" s="61"/>
      <c r="S41" s="62"/>
      <c r="T41" s="62"/>
      <c r="U41" s="55"/>
      <c r="V41" s="57"/>
      <c r="W41" s="57"/>
      <c r="X41" s="55" t="n">
        <f aca="false">IF(A41="","",IF(AND(Parameter!$B$21="Ja",ISNUMBER(U41)),U41,IF(IFERROR(VLOOKUP(D41,Parameter!$A$35:$C$64,2,0),"Nein")="2+3",IF(ISNUMBER(SEARCH("grosser Artikel",BM41)),2,IFERROR(VLOOKUP(BP41,Parameter!$F$35:$G$64,2,0),2)),IF(OR(IFERROR(VLOOKUP(D41,Parameter!$A$35:$C$64,2,0),"Nein")="Nein",IFERROR(VLOOKUP(D41,Parameter!$A$35:$C$64,2,0),"Nein")=""),"-",VLOOKUP(D41,Parameter!$A$35:$C$64,2,0)))))</f>
        <v>2</v>
      </c>
      <c r="Y41" s="62"/>
      <c r="Z41" s="63"/>
      <c r="AA41" s="57" t="n">
        <f aca="false">AP41</f>
        <v>16</v>
      </c>
      <c r="AB41" s="57" t="n">
        <f aca="false">MAX(AP41,G41)</f>
        <v>16</v>
      </c>
      <c r="AC41" s="64"/>
      <c r="AD41" s="57" t="n">
        <f aca="false">IF(LEFT(Cockpit!$C$5,1)="A",G41,IF(BW41=1,BX41,IF(LEFT(Cockpit!$C$5,1)="B",AH41,MAX(AH41,G41))))</f>
        <v>16</v>
      </c>
      <c r="AE41" s="57" t="n">
        <f aca="false">IF(BR41=1,0,ROUNDUP(AD41/BQ41,0))</f>
        <v>4</v>
      </c>
      <c r="AF41" s="59" t="n">
        <f aca="false">IF(CD41&gt;0,CD41*MAX(1,AD41/V41),IF(BR41=1,IF(AD41&lt;=0,0,BS41*MAX(1,IF(G41&gt;0,AD41/G41,1))),IF(Q41&gt;0,AE41/Q41,0))/MAX(0.1,N(Parameter!$M$21)))</f>
        <v>1.33333333333333</v>
      </c>
      <c r="AG41" s="57" t="n">
        <f aca="false">AD41*F41</f>
        <v>8480</v>
      </c>
      <c r="AH41" s="57" t="n">
        <f aca="false">ROUNDUP(MAX(I41/IF(BV41&gt;0,BV41,MAX(0.1,N(Cockpit!$C$6))),BY41)/BQ41,0)*BQ41</f>
        <v>16</v>
      </c>
      <c r="AI41" s="58" t="n">
        <f aca="false">IF(AF41&gt;0,I41/AF41,-1)</f>
        <v>17.25</v>
      </c>
      <c r="AJ41" s="58" t="n">
        <f aca="false">IF(AND(OR(BU41="L1",BU41="L23"),AF41&gt;0),SUMIFS($AF$7:$AF$1576,$BU$7:$BU$1576,BU41,$AI$7:$AI$1576,"&gt;"&amp;AI41)+SUMIFS($AF$7:$AF$1576,$BU$7:$BU$1576,BU41,$AI$7:$AI$1576,AI41,$BO$7:$BO$1576,"&lt;="&amp;BO41),"")</f>
        <v>30.4825816695382</v>
      </c>
      <c r="AK41" s="65" t="n">
        <f aca="false">IF(AJ41="",0,MAX(0,MIN(1,(IF(BU41="L1",Parameter!$E$5,Parameter!$E$6+Parameter!$E$7)-(AJ41-AF41))/AF41)))</f>
        <v>1</v>
      </c>
      <c r="AL41" s="57" t="n">
        <f aca="false">IF(LEFT(Cockpit!$I$5,1)="A",G41,IF(BW41=1,BX41,IF(LEFT(Cockpit!$I$5,1)="B",AP41,MAX(AP41,G41))))</f>
        <v>16</v>
      </c>
      <c r="AM41" s="57" t="n">
        <f aca="false">IF(BR41=1,0,ROUNDUP(AL41/BQ41,0))</f>
        <v>4</v>
      </c>
      <c r="AN41" s="59" t="n">
        <f aca="false">IF(CD41&gt;0,CD41*MAX(1,AL41/V41),IF(BR41=1,IF(AL41&lt;=0,0,BS41*MAX(1,IF(G41&gt;0,AL41/G41,1))),IF(Q41&gt;0,AM41/Q41,0))/MAX(0.1,N(Parameter!$M$21)))</f>
        <v>1.33333333333333</v>
      </c>
      <c r="AO41" s="57" t="n">
        <f aca="false">AL41*F41</f>
        <v>8480</v>
      </c>
      <c r="AP41" s="57" t="n">
        <f aca="false">ROUNDUP(MAX(I41/IF(BV41&gt;0,BV41,MAX(0.1,N(Cockpit!$I$6))),BY41)/BQ41,0)*BQ41</f>
        <v>16</v>
      </c>
      <c r="AQ41" s="58" t="n">
        <f aca="false">IF(AN41&gt;0,I41/AN41,-1)</f>
        <v>17.25</v>
      </c>
      <c r="AR41" s="58" t="n">
        <f aca="false">IF(AND(OR(BU41="L1",BU41="L23"),AN41&gt;0),SUMIFS($AN$7:$AN$1576,$BU$7:$BU$1576,BU41,$AQ$7:$AQ$1576,"&gt;"&amp;AQ41)+SUMIFS($AN$7:$AN$1576,$BU$7:$BU$1576,BU41,$AQ$7:$AQ$1576,AQ41,$BO$7:$BO$1576,"&lt;="&amp;BO41),"")</f>
        <v>101.968075614337</v>
      </c>
      <c r="AS41" s="65" t="n">
        <f aca="false">IF(AR41="",0,MAX(0,MIN(1,(IF(BU41="L1",Parameter!$E$5,Parameter!$E$6+Parameter!$E$7)-(AR41-AN41))/AN41)))</f>
        <v>0</v>
      </c>
      <c r="AT41" s="57" t="n">
        <f aca="false">IF(LEFT(Cockpit!$O$5,1)="A",G41,IF(BW41=1,BX41,IF(LEFT(Cockpit!$O$5,1)="B",AX41,MAX(AX41,G41))))</f>
        <v>16</v>
      </c>
      <c r="AU41" s="57" t="n">
        <f aca="false">IF(BR41=1,0,ROUNDUP(AT41/BQ41,0))</f>
        <v>4</v>
      </c>
      <c r="AV41" s="59" t="n">
        <f aca="false">IF(CD41&gt;0,CD41*MAX(1,AT41/V41),IF(BR41=1,IF(AT41&lt;=0,0,BS41*MAX(1,IF(G41&gt;0,AT41/G41,1))),IF(Q41&gt;0,AU41/Q41,0))/MAX(0.1,N(Parameter!$M$21)))</f>
        <v>1.33333333333333</v>
      </c>
      <c r="AW41" s="57" t="n">
        <f aca="false">AT41*F41</f>
        <v>8480</v>
      </c>
      <c r="AX41" s="57" t="n">
        <f aca="false">ROUNDUP(MAX(I41/IF(BV41&gt;0,BV41,MAX(0.1,N(Cockpit!$O$6))),BY41)/BQ41,0)*BQ41</f>
        <v>16</v>
      </c>
      <c r="AY41" s="58" t="n">
        <f aca="false">IF(AV41&gt;0,I41/AV41,-1)</f>
        <v>17.25</v>
      </c>
      <c r="AZ41" s="58" t="n">
        <f aca="false">IF(AND(OR(BU41="L1",BU41="L23"),AV41&gt;0),SUMIFS($AV$7:$AV$1576,$BU$7:$BU$1576,BU41,$AY$7:$AY$1576,"&gt;"&amp;AY41)+SUMIFS($AV$7:$AV$1576,$BU$7:$BU$1576,BU41,$AY$7:$AY$1576,AY41,$BO$7:$BO$1576,"&lt;="&amp;BO41),"")</f>
        <v>94.1276260638872</v>
      </c>
      <c r="BA41" s="65" t="n">
        <f aca="false">IF(AZ41="",0,MAX(0,MIN(1,(IF(BU41="L1",Parameter!$E$5,Parameter!$E$6+Parameter!$E$7)-(AZ41-AV41))/AV41)))</f>
        <v>1</v>
      </c>
      <c r="BB41" s="55" t="str">
        <f aca="false">IF(AF41&lt;=0,"",IF(BU41="Aussen","Aussenlager",IF(BU41="-","Nicht im Lift",IF(AK41&gt;=1,"Lift",IF(AK41&lt;=0,"Aussenlager","teilweise")))))</f>
        <v>Lift</v>
      </c>
      <c r="BC41" s="55" t="str">
        <f aca="false">IF(AN41&lt;=0,"",IF(BU41="Aussen","Aussenlager",IF(BU41="-","Nicht im Lift",IF(AS41&gt;=1,"Lift",IF(AS41&lt;=0,"Aussenlager","teilweise")))))</f>
        <v>Aussenlager</v>
      </c>
      <c r="BD41" s="55" t="str">
        <f aca="false">IF(AV41&lt;=0,"",IF(BU41="Aussen","Aussenlager",IF(BU41="-","Nicht im Lift",IF(BA41&gt;=1,"Lift",IF(BA41&lt;=0,"Aussenlager","teilweise")))))</f>
        <v>Lift</v>
      </c>
      <c r="BE41" s="55" t="str">
        <f aca="false">IF(A41="","",IF(BN41=1,"Neu; ","")&amp;IF(AND(BN41=0,BI41&lt;0),"negativer Bestand (Export "&amp;BI41&amp;"); ","")&amp;IF(I41&lt;=0,"Kein Verbrauch; ","")&amp;IF(CD41&gt;0,"Lift "&amp;U41&amp;" lt. Liftbericht (Fach "&amp;V41&amp;" Stk); ",IF(BR41=1,"Lose – Fläche geschätzt; ",""))&amp;IF(G41&gt;AP41,"Überbestand "&amp;ROUND(G41-AP41,0)&amp;" Stk / CHF "&amp;ROUND((G41-AP41)*F41,0)&amp;"; ","")&amp;IF(AND(BW41=1,BX41&lt;BY41),"MAX &lt; MB+LG; ","")&amp;IF(AND(CC41&gt;0,CB41*10&gt;CC41),"zu hoch für Tablar; ","")&amp;IF(AND(BN41=0,OR(BW41=1,Y41&lt;&gt;"",S41&lt;&gt;"",T41&lt;&gt;"",Z41&lt;&gt;"")),"manuell übersteuert; ","")&amp;IF(AND(BR41=0,Q41=0),"Gebinde unbekannt / Stellmass fehlt; ","")&amp;IF(AND(BR41=0,N(T41)&lt;=0,N(P41)&lt;=0),"Menge pro Gebinde fehlt (Ist = 1 Gebinde); ","")&amp;BM41)</f>
        <v/>
      </c>
      <c r="BF41" s="55" t="s">
        <v>263</v>
      </c>
      <c r="BG41" s="55" t="s">
        <v>264</v>
      </c>
      <c r="BH41" s="62"/>
      <c r="BI41" s="57" t="n">
        <v>16</v>
      </c>
      <c r="BJ41" s="57" t="n">
        <v>3</v>
      </c>
      <c r="BK41" s="56" t="n">
        <v>8480</v>
      </c>
      <c r="BL41" s="57" t="n">
        <v>23</v>
      </c>
      <c r="BM41" s="55"/>
      <c r="BN41" s="60" t="n">
        <v>0</v>
      </c>
      <c r="BO41" s="60" t="n">
        <v>41</v>
      </c>
      <c r="BP41" s="55" t="str">
        <f aca="false">IF(S41&lt;&gt;"",UPPER(TRIM(S41)),IF(O41="","LOSE",O41))</f>
        <v>S81</v>
      </c>
      <c r="BQ41" s="57" t="n">
        <f aca="false">IF(BP41="LOSE",1,IF(N(T41)&gt;0,T41,IF(N(P41)&gt;0,P41,MAX(1,G41))))</f>
        <v>4</v>
      </c>
      <c r="BR41" s="60" t="n">
        <f aca="false">IF(BP41="LOSE",1,0)</f>
        <v>0</v>
      </c>
      <c r="BS41" s="59" t="n">
        <f aca="false">IF(BR41=0,0,IF(N(R41)&gt;0,R41,IFERROR(VLOOKUP(D41,Parameter!$A$35:$C$64,3,0)+0,0)))</f>
        <v>0</v>
      </c>
      <c r="BT41" s="55" t="n">
        <f aca="false">IF(Y41&lt;&gt;"",Y41,X41)</f>
        <v>2</v>
      </c>
      <c r="BU41" s="55" t="str">
        <f aca="false">IF(BT41=1,"L1",IF(OR(BT41=2,BT41=3),"L23",IF(BT41="Aussen","Aussen","-")))</f>
        <v>L23</v>
      </c>
      <c r="BV41" s="66" t="n">
        <f aca="false">IF(N(Z41)&gt;0,Z41,0)</f>
        <v>0</v>
      </c>
      <c r="BW41" s="60" t="n">
        <f aca="false">IF(ISNUMBER(AC41),1,0)</f>
        <v>0</v>
      </c>
      <c r="BX41" s="57" t="n">
        <f aca="false">N(AC41)</f>
        <v>0</v>
      </c>
      <c r="BY41" s="57" t="n">
        <f aca="false">N(L41)+N(M41)</f>
        <v>15</v>
      </c>
      <c r="BZ41" s="57" t="n">
        <f aca="false">ROUNDUP(G41/BQ41,0)</f>
        <v>4</v>
      </c>
      <c r="CA41" s="57" t="n">
        <f aca="false">ROUNDUP(BX41/BQ41,0)</f>
        <v>0</v>
      </c>
      <c r="CB41" s="60" t="n">
        <f aca="false">IF(BR41=1,0,IFERROR(VLOOKUP(BP41,'Gebinde-Kategorie'!$A$5:$M$45,5,0)+0,0))</f>
        <v>20</v>
      </c>
      <c r="CC41" s="60" t="n">
        <f aca="false">IFERROR(IF(OR(BT41=1,BT41=2,BT41=3),N(INDEX(Parameter!$I$5:$I$7,BT41)),0),0)</f>
        <v>0</v>
      </c>
      <c r="CD41" s="59" t="n">
        <f aca="false">IF(AND(Parameter!$B$21="Ja",ISNUMBER(U41),N(V41)&gt;0),IFERROR(N(INDEX(Parameter!$L$5:$L$7,U41))*INDEX(Parameter!$E$5:$E$7,U41)*V41/SUMIFS($V$7:$V$1576,$U$7:$U$1576,U41),0),0)</f>
        <v>0</v>
      </c>
    </row>
    <row r="42" customFormat="false" ht="15" hidden="false" customHeight="false" outlineLevel="0" collapsed="false">
      <c r="A42" s="55" t="s">
        <v>265</v>
      </c>
      <c r="B42" s="55" t="s">
        <v>266</v>
      </c>
      <c r="C42" s="55" t="s">
        <v>160</v>
      </c>
      <c r="D42" s="55" t="s">
        <v>178</v>
      </c>
      <c r="E42" s="55" t="s">
        <v>210</v>
      </c>
      <c r="F42" s="56" t="n">
        <v>1121.43</v>
      </c>
      <c r="G42" s="57" t="n">
        <f aca="false">MAX(0,IF(AND(Parameter!$B$21="Ja",ISNUMBER(W42)),W42,IF(Parameter!$B$20="Jahresanfang 2025 + Export",BJ42+BI42,BI42)))</f>
        <v>7</v>
      </c>
      <c r="H42" s="57" t="n">
        <f aca="false">G42*F42</f>
        <v>7850.01</v>
      </c>
      <c r="I42" s="57" t="n">
        <f aca="false">BL42*Parameter!$B$18</f>
        <v>0</v>
      </c>
      <c r="J42" s="58" t="n">
        <v>0</v>
      </c>
      <c r="K42" s="59" t="n">
        <v>0</v>
      </c>
      <c r="L42" s="57" t="n">
        <v>0</v>
      </c>
      <c r="M42" s="57" t="n">
        <v>1</v>
      </c>
      <c r="N42" s="60" t="n">
        <v>9999</v>
      </c>
      <c r="O42" s="55" t="s">
        <v>163</v>
      </c>
      <c r="P42" s="57"/>
      <c r="Q42" s="60" t="n">
        <f aca="false">IF(BR42=1,0,IFERROR(VLOOKUP(BP42,'Gebinde-Kategorie'!$A$5:$M$45,13,0)+0,0))</f>
        <v>0</v>
      </c>
      <c r="R42" s="61"/>
      <c r="S42" s="62"/>
      <c r="T42" s="62"/>
      <c r="U42" s="55"/>
      <c r="V42" s="57"/>
      <c r="W42" s="57"/>
      <c r="X42" s="55" t="n">
        <f aca="false">IF(A42="","",IF(AND(Parameter!$B$21="Ja",ISNUMBER(U42)),U42,IF(IFERROR(VLOOKUP(D42,Parameter!$A$35:$C$64,2,0),"Nein")="2+3",IF(ISNUMBER(SEARCH("grosser Artikel",BM42)),2,IFERROR(VLOOKUP(BP42,Parameter!$F$35:$G$64,2,0),2)),IF(OR(IFERROR(VLOOKUP(D42,Parameter!$A$35:$C$64,2,0),"Nein")="Nein",IFERROR(VLOOKUP(D42,Parameter!$A$35:$C$64,2,0),"Nein")=""),"-",VLOOKUP(D42,Parameter!$A$35:$C$64,2,0)))))</f>
        <v>2</v>
      </c>
      <c r="Y42" s="62"/>
      <c r="Z42" s="63"/>
      <c r="AA42" s="57" t="n">
        <f aca="false">AP42</f>
        <v>1</v>
      </c>
      <c r="AB42" s="57" t="n">
        <f aca="false">MAX(AP42,G42)</f>
        <v>7</v>
      </c>
      <c r="AC42" s="64"/>
      <c r="AD42" s="57" t="n">
        <f aca="false">IF(LEFT(Cockpit!$C$5,1)="A",G42,IF(BW42=1,BX42,IF(LEFT(Cockpit!$C$5,1)="B",AH42,MAX(AH42,G42))))</f>
        <v>7</v>
      </c>
      <c r="AE42" s="57" t="n">
        <f aca="false">IF(BR42=1,0,ROUNDUP(AD42/BQ42,0))</f>
        <v>0</v>
      </c>
      <c r="AF42" s="59" t="n">
        <f aca="false">IF(CD42&gt;0,CD42*MAX(1,AD42/V42),IF(BR42=1,IF(AD42&lt;=0,0,BS42*MAX(1,IF(G42&gt;0,AD42/G42,1))),IF(Q42&gt;0,AE42/Q42,0))/MAX(0.1,N(Parameter!$M$21)))</f>
        <v>0.03</v>
      </c>
      <c r="AG42" s="57" t="n">
        <f aca="false">AD42*F42</f>
        <v>7850.01</v>
      </c>
      <c r="AH42" s="57" t="n">
        <f aca="false">ROUNDUP(MAX(I42/IF(BV42&gt;0,BV42,MAX(0.1,N(Cockpit!$C$6))),BY42)/BQ42,0)*BQ42</f>
        <v>1</v>
      </c>
      <c r="AI42" s="58" t="n">
        <f aca="false">IF(AF42&gt;0,I42/AF42,-1)</f>
        <v>0</v>
      </c>
      <c r="AJ42" s="58" t="n">
        <f aca="false">IF(AND(OR(BU42="L1",BU42="L23"),AF42&gt;0),SUMIFS($AF$7:$AF$1576,$BU$7:$BU$1576,BU42,$AI$7:$AI$1576,"&gt;"&amp;AI42)+SUMIFS($AF$7:$AF$1576,$BU$7:$BU$1576,BU42,$AI$7:$AI$1576,AI42,$BO$7:$BO$1576,"&lt;="&amp;BO42),"")</f>
        <v>36.3792483362049</v>
      </c>
      <c r="AK42" s="65" t="n">
        <f aca="false">IF(AJ42="",0,MAX(0,MIN(1,(IF(BU42="L1",Parameter!$E$5,Parameter!$E$6+Parameter!$E$7)-(AJ42-AF42))/AF42)))</f>
        <v>1</v>
      </c>
      <c r="AL42" s="57" t="n">
        <f aca="false">IF(LEFT(Cockpit!$I$5,1)="A",G42,IF(BW42=1,BX42,IF(LEFT(Cockpit!$I$5,1)="B",AP42,MAX(AP42,G42))))</f>
        <v>7</v>
      </c>
      <c r="AM42" s="57" t="n">
        <f aca="false">IF(BR42=1,0,ROUNDUP(AL42/BQ42,0))</f>
        <v>0</v>
      </c>
      <c r="AN42" s="59" t="n">
        <f aca="false">IF(CD42&gt;0,CD42*MAX(1,AL42/V42),IF(BR42=1,IF(AL42&lt;=0,0,BS42*MAX(1,IF(G42&gt;0,AL42/G42,1))),IF(Q42&gt;0,AM42/Q42,0))/MAX(0.1,N(Parameter!$M$21)))</f>
        <v>0.03</v>
      </c>
      <c r="AO42" s="57" t="n">
        <f aca="false">AL42*F42</f>
        <v>7850.01</v>
      </c>
      <c r="AP42" s="57" t="n">
        <f aca="false">ROUNDUP(MAX(I42/IF(BV42&gt;0,BV42,MAX(0.1,N(Cockpit!$I$6))),BY42)/BQ42,0)*BQ42</f>
        <v>1</v>
      </c>
      <c r="AQ42" s="58" t="n">
        <f aca="false">IF(AN42&gt;0,I42/AN42,-1)</f>
        <v>0</v>
      </c>
      <c r="AR42" s="58" t="n">
        <f aca="false">IF(AND(OR(BU42="L1",BU42="L23"),AN42&gt;0),SUMIFS($AN$7:$AN$1576,$BU$7:$BU$1576,BU42,$AQ$7:$AQ$1576,"&gt;"&amp;AQ42)+SUMIFS($AN$7:$AN$1576,$BU$7:$BU$1576,BU42,$AQ$7:$AQ$1576,AQ42,$BO$7:$BO$1576,"&lt;="&amp;BO42),"")</f>
        <v>118.936787419328</v>
      </c>
      <c r="AS42" s="65" t="n">
        <f aca="false">IF(AR42="",0,MAX(0,MIN(1,(IF(BU42="L1",Parameter!$E$5,Parameter!$E$6+Parameter!$E$7)-(AR42-AN42))/AN42)))</f>
        <v>0</v>
      </c>
      <c r="AT42" s="57" t="n">
        <f aca="false">IF(LEFT(Cockpit!$O$5,1)="A",G42,IF(BW42=1,BX42,IF(LEFT(Cockpit!$O$5,1)="B",AX42,MAX(AX42,G42))))</f>
        <v>7</v>
      </c>
      <c r="AU42" s="57" t="n">
        <f aca="false">IF(BR42=1,0,ROUNDUP(AT42/BQ42,0))</f>
        <v>0</v>
      </c>
      <c r="AV42" s="59" t="n">
        <f aca="false">IF(CD42&gt;0,CD42*MAX(1,AT42/V42),IF(BR42=1,IF(AT42&lt;=0,0,BS42*MAX(1,IF(G42&gt;0,AT42/G42,1))),IF(Q42&gt;0,AU42/Q42,0))/MAX(0.1,N(Parameter!$M$21)))</f>
        <v>0.03</v>
      </c>
      <c r="AW42" s="57" t="n">
        <f aca="false">AT42*F42</f>
        <v>7850.01</v>
      </c>
      <c r="AX42" s="57" t="n">
        <f aca="false">ROUNDUP(MAX(I42/IF(BV42&gt;0,BV42,MAX(0.1,N(Cockpit!$O$6))),BY42)/BQ42,0)*BQ42</f>
        <v>1</v>
      </c>
      <c r="AY42" s="58" t="n">
        <f aca="false">IF(AV42&gt;0,I42/AV42,-1)</f>
        <v>0</v>
      </c>
      <c r="AZ42" s="58" t="n">
        <f aca="false">IF(AND(OR(BU42="L1",BU42="L23"),AV42&gt;0),SUMIFS($AV$7:$AV$1576,$BU$7:$BU$1576,BU42,$AY$7:$AY$1576,"&gt;"&amp;AY42)+SUMIFS($AV$7:$AV$1576,$BU$7:$BU$1576,BU42,$AY$7:$AY$1576,AY42,$BO$7:$BO$1576,"&lt;="&amp;BO42),"")</f>
        <v>108.996337868878</v>
      </c>
      <c r="BA42" s="65" t="n">
        <f aca="false">IF(AZ42="",0,MAX(0,MIN(1,(IF(BU42="L1",Parameter!$E$5,Parameter!$E$6+Parameter!$E$7)-(AZ42-AV42))/AV42)))</f>
        <v>0</v>
      </c>
      <c r="BB42" s="55" t="str">
        <f aca="false">IF(AF42&lt;=0,"",IF(BU42="Aussen","Aussenlager",IF(BU42="-","Nicht im Lift",IF(AK42&gt;=1,"Lift",IF(AK42&lt;=0,"Aussenlager","teilweise")))))</f>
        <v>Lift</v>
      </c>
      <c r="BC42" s="55" t="str">
        <f aca="false">IF(AN42&lt;=0,"",IF(BU42="Aussen","Aussenlager",IF(BU42="-","Nicht im Lift",IF(AS42&gt;=1,"Lift",IF(AS42&lt;=0,"Aussenlager","teilweise")))))</f>
        <v>Aussenlager</v>
      </c>
      <c r="BD42" s="55" t="str">
        <f aca="false">IF(AV42&lt;=0,"",IF(BU42="Aussen","Aussenlager",IF(BU42="-","Nicht im Lift",IF(BA42&gt;=1,"Lift",IF(BA42&lt;=0,"Aussenlager","teilweise")))))</f>
        <v>Aussenlager</v>
      </c>
      <c r="BE42" s="55" t="str">
        <f aca="false">IF(A42="","",IF(BN42=1,"Neu; ","")&amp;IF(AND(BN42=0,BI42&lt;0),"negativer Bestand (Export "&amp;BI42&amp;"); ","")&amp;IF(I42&lt;=0,"Kein Verbrauch; ","")&amp;IF(CD42&gt;0,"Lift "&amp;U42&amp;" lt. Liftbericht (Fach "&amp;V42&amp;" Stk); ",IF(BR42=1,"Lose – Fläche geschätzt; ",""))&amp;IF(G42&gt;AP42,"Überbestand "&amp;ROUND(G42-AP42,0)&amp;" Stk / CHF "&amp;ROUND((G42-AP42)*F42,0)&amp;"; ","")&amp;IF(AND(BW42=1,BX42&lt;BY42),"MAX &lt; MB+LG; ","")&amp;IF(AND(CC42&gt;0,CB42*10&gt;CC42),"zu hoch für Tablar; ","")&amp;IF(AND(BN42=0,OR(BW42=1,Y42&lt;&gt;"",S42&lt;&gt;"",T42&lt;&gt;"",Z42&lt;&gt;"")),"manuell übersteuert; ","")&amp;IF(AND(BR42=0,Q42=0),"Gebinde unbekannt / Stellmass fehlt; ","")&amp;IF(AND(BR42=0,N(T42)&lt;=0,N(P42)&lt;=0),"Menge pro Gebinde fehlt (Ist = 1 Gebinde); ","")&amp;BM42)</f>
        <v>Kein Verbrauch; Lose – Fläche geschätzt; Überbestand 6 Stk / CHF 6729; </v>
      </c>
      <c r="BF42" s="55"/>
      <c r="BG42" s="55"/>
      <c r="BH42" s="62"/>
      <c r="BI42" s="57" t="n">
        <v>7</v>
      </c>
      <c r="BJ42" s="57" t="n">
        <v>0</v>
      </c>
      <c r="BK42" s="56" t="n">
        <v>7850</v>
      </c>
      <c r="BL42" s="57" t="n">
        <v>0</v>
      </c>
      <c r="BM42" s="55"/>
      <c r="BN42" s="60" t="n">
        <v>0</v>
      </c>
      <c r="BO42" s="60" t="n">
        <v>42</v>
      </c>
      <c r="BP42" s="55" t="str">
        <f aca="false">IF(S42&lt;&gt;"",UPPER(TRIM(S42)),IF(O42="","LOSE",O42))</f>
        <v>LOSE</v>
      </c>
      <c r="BQ42" s="57" t="n">
        <f aca="false">IF(BP42="LOSE",1,IF(N(T42)&gt;0,T42,IF(N(P42)&gt;0,P42,MAX(1,G42))))</f>
        <v>1</v>
      </c>
      <c r="BR42" s="60" t="n">
        <f aca="false">IF(BP42="LOSE",1,0)</f>
        <v>1</v>
      </c>
      <c r="BS42" s="59" t="n">
        <f aca="false">IF(BR42=0,0,IF(N(R42)&gt;0,R42,IFERROR(VLOOKUP(D42,Parameter!$A$35:$C$64,3,0)+0,0)))</f>
        <v>0.03</v>
      </c>
      <c r="BT42" s="55" t="n">
        <f aca="false">IF(Y42&lt;&gt;"",Y42,X42)</f>
        <v>2</v>
      </c>
      <c r="BU42" s="55" t="str">
        <f aca="false">IF(BT42=1,"L1",IF(OR(BT42=2,BT42=3),"L23",IF(BT42="Aussen","Aussen","-")))</f>
        <v>L23</v>
      </c>
      <c r="BV42" s="66" t="n">
        <f aca="false">IF(N(Z42)&gt;0,Z42,0)</f>
        <v>0</v>
      </c>
      <c r="BW42" s="60" t="n">
        <f aca="false">IF(ISNUMBER(AC42),1,0)</f>
        <v>0</v>
      </c>
      <c r="BX42" s="57" t="n">
        <f aca="false">N(AC42)</f>
        <v>0</v>
      </c>
      <c r="BY42" s="57" t="n">
        <f aca="false">N(L42)+N(M42)</f>
        <v>1</v>
      </c>
      <c r="BZ42" s="57" t="n">
        <f aca="false">ROUNDUP(G42/BQ42,0)</f>
        <v>7</v>
      </c>
      <c r="CA42" s="57" t="n">
        <f aca="false">ROUNDUP(BX42/BQ42,0)</f>
        <v>0</v>
      </c>
      <c r="CB42" s="60" t="n">
        <f aca="false">IF(BR42=1,0,IFERROR(VLOOKUP(BP42,'Gebinde-Kategorie'!$A$5:$M$45,5,0)+0,0))</f>
        <v>0</v>
      </c>
      <c r="CC42" s="60" t="n">
        <f aca="false">IFERROR(IF(OR(BT42=1,BT42=2,BT42=3),N(INDEX(Parameter!$I$5:$I$7,BT42)),0),0)</f>
        <v>0</v>
      </c>
      <c r="CD42" s="59" t="n">
        <f aca="false">IF(AND(Parameter!$B$21="Ja",ISNUMBER(U42),N(V42)&gt;0),IFERROR(N(INDEX(Parameter!$L$5:$L$7,U42))*INDEX(Parameter!$E$5:$E$7,U42)*V42/SUMIFS($V$7:$V$1576,$U$7:$U$1576,U42),0),0)</f>
        <v>0</v>
      </c>
    </row>
    <row r="43" customFormat="false" ht="15" hidden="false" customHeight="false" outlineLevel="0" collapsed="false">
      <c r="A43" s="55" t="s">
        <v>267</v>
      </c>
      <c r="B43" s="55" t="s">
        <v>268</v>
      </c>
      <c r="C43" s="55" t="s">
        <v>160</v>
      </c>
      <c r="D43" s="55" t="s">
        <v>168</v>
      </c>
      <c r="E43" s="55" t="s">
        <v>210</v>
      </c>
      <c r="F43" s="56" t="n">
        <v>280.46</v>
      </c>
      <c r="G43" s="57" t="n">
        <f aca="false">MAX(0,IF(AND(Parameter!$B$21="Ja",ISNUMBER(W43)),W43,IF(Parameter!$B$20="Jahresanfang 2025 + Export",BJ43+BI43,BI43)))</f>
        <v>27</v>
      </c>
      <c r="H43" s="57" t="n">
        <f aca="false">G43*F43</f>
        <v>7572.42</v>
      </c>
      <c r="I43" s="57" t="n">
        <f aca="false">BL43*Parameter!$B$18</f>
        <v>0</v>
      </c>
      <c r="J43" s="58" t="n">
        <v>0</v>
      </c>
      <c r="K43" s="59" t="n">
        <v>0</v>
      </c>
      <c r="L43" s="57" t="n">
        <v>6</v>
      </c>
      <c r="M43" s="57" t="n">
        <v>24</v>
      </c>
      <c r="N43" s="60" t="n">
        <v>28</v>
      </c>
      <c r="O43" s="55" t="s">
        <v>163</v>
      </c>
      <c r="P43" s="57"/>
      <c r="Q43" s="60" t="n">
        <f aca="false">IF(BR43=1,0,IFERROR(VLOOKUP(BP43,'Gebinde-Kategorie'!$A$5:$M$45,13,0)+0,0))</f>
        <v>0</v>
      </c>
      <c r="R43" s="61"/>
      <c r="S43" s="62"/>
      <c r="T43" s="62"/>
      <c r="U43" s="55"/>
      <c r="V43" s="57"/>
      <c r="W43" s="57"/>
      <c r="X43" s="55" t="n">
        <f aca="false">IF(A43="","",IF(AND(Parameter!$B$21="Ja",ISNUMBER(U43)),U43,IF(IFERROR(VLOOKUP(D43,Parameter!$A$35:$C$64,2,0),"Nein")="2+3",IF(ISNUMBER(SEARCH("grosser Artikel",BM43)),2,IFERROR(VLOOKUP(BP43,Parameter!$F$35:$G$64,2,0),2)),IF(OR(IFERROR(VLOOKUP(D43,Parameter!$A$35:$C$64,2,0),"Nein")="Nein",IFERROR(VLOOKUP(D43,Parameter!$A$35:$C$64,2,0),"Nein")=""),"-",VLOOKUP(D43,Parameter!$A$35:$C$64,2,0)))))</f>
        <v>2</v>
      </c>
      <c r="Y43" s="62"/>
      <c r="Z43" s="63"/>
      <c r="AA43" s="57" t="n">
        <f aca="false">AP43</f>
        <v>30</v>
      </c>
      <c r="AB43" s="57" t="n">
        <f aca="false">MAX(AP43,G43)</f>
        <v>30</v>
      </c>
      <c r="AC43" s="64"/>
      <c r="AD43" s="57" t="n">
        <f aca="false">IF(LEFT(Cockpit!$C$5,1)="A",G43,IF(BW43=1,BX43,IF(LEFT(Cockpit!$C$5,1)="B",AH43,MAX(AH43,G43))))</f>
        <v>27</v>
      </c>
      <c r="AE43" s="57" t="n">
        <f aca="false">IF(BR43=1,0,ROUNDUP(AD43/BQ43,0))</f>
        <v>0</v>
      </c>
      <c r="AF43" s="59" t="n">
        <f aca="false">IF(CD43&gt;0,CD43*MAX(1,AD43/V43),IF(BR43=1,IF(AD43&lt;=0,0,BS43*MAX(1,IF(G43&gt;0,AD43/G43,1))),IF(Q43&gt;0,AE43/Q43,0))/MAX(0.1,N(Parameter!$M$21)))</f>
        <v>0.15</v>
      </c>
      <c r="AG43" s="57" t="n">
        <f aca="false">AD43*F43</f>
        <v>7572.42</v>
      </c>
      <c r="AH43" s="57" t="n">
        <f aca="false">ROUNDUP(MAX(I43/IF(BV43&gt;0,BV43,MAX(0.1,N(Cockpit!$C$6))),BY43)/BQ43,0)*BQ43</f>
        <v>30</v>
      </c>
      <c r="AI43" s="58" t="n">
        <f aca="false">IF(AF43&gt;0,I43/AF43,-1)</f>
        <v>0</v>
      </c>
      <c r="AJ43" s="58" t="n">
        <f aca="false">IF(AND(OR(BU43="L1",BU43="L23"),AF43&gt;0),SUMIFS($AF$7:$AF$1576,$BU$7:$BU$1576,BU43,$AI$7:$AI$1576,"&gt;"&amp;AI43)+SUMIFS($AF$7:$AF$1576,$BU$7:$BU$1576,BU43,$AI$7:$AI$1576,AI43,$BO$7:$BO$1576,"&lt;="&amp;BO43),"")</f>
        <v>36.5292483362049</v>
      </c>
      <c r="AK43" s="65" t="n">
        <f aca="false">IF(AJ43="",0,MAX(0,MIN(1,(IF(BU43="L1",Parameter!$E$5,Parameter!$E$6+Parameter!$E$7)-(AJ43-AF43))/AF43)))</f>
        <v>1</v>
      </c>
      <c r="AL43" s="57" t="n">
        <f aca="false">IF(LEFT(Cockpit!$I$5,1)="A",G43,IF(BW43=1,BX43,IF(LEFT(Cockpit!$I$5,1)="B",AP43,MAX(AP43,G43))))</f>
        <v>30</v>
      </c>
      <c r="AM43" s="57" t="n">
        <f aca="false">IF(BR43=1,0,ROUNDUP(AL43/BQ43,0))</f>
        <v>0</v>
      </c>
      <c r="AN43" s="59" t="n">
        <f aca="false">IF(CD43&gt;0,CD43*MAX(1,AL43/V43),IF(BR43=1,IF(AL43&lt;=0,0,BS43*MAX(1,IF(G43&gt;0,AL43/G43,1))),IF(Q43&gt;0,AM43/Q43,0))/MAX(0.1,N(Parameter!$M$21)))</f>
        <v>0.166666666666667</v>
      </c>
      <c r="AO43" s="57" t="n">
        <f aca="false">AL43*F43</f>
        <v>8413.8</v>
      </c>
      <c r="AP43" s="57" t="n">
        <f aca="false">ROUNDUP(MAX(I43/IF(BV43&gt;0,BV43,MAX(0.1,N(Cockpit!$I$6))),BY43)/BQ43,0)*BQ43</f>
        <v>30</v>
      </c>
      <c r="AQ43" s="58" t="n">
        <f aca="false">IF(AN43&gt;0,I43/AN43,-1)</f>
        <v>0</v>
      </c>
      <c r="AR43" s="58" t="n">
        <f aca="false">IF(AND(OR(BU43="L1",BU43="L23"),AN43&gt;0),SUMIFS($AN$7:$AN$1576,$BU$7:$BU$1576,BU43,$AQ$7:$AQ$1576,"&gt;"&amp;AQ43)+SUMIFS($AN$7:$AN$1576,$BU$7:$BU$1576,BU43,$AQ$7:$AQ$1576,AQ43,$BO$7:$BO$1576,"&lt;="&amp;BO43),"")</f>
        <v>119.103454085994</v>
      </c>
      <c r="AS43" s="65" t="n">
        <f aca="false">IF(AR43="",0,MAX(0,MIN(1,(IF(BU43="L1",Parameter!$E$5,Parameter!$E$6+Parameter!$E$7)-(AR43-AN43))/AN43)))</f>
        <v>0</v>
      </c>
      <c r="AT43" s="57" t="n">
        <f aca="false">IF(LEFT(Cockpit!$O$5,1)="A",G43,IF(BW43=1,BX43,IF(LEFT(Cockpit!$O$5,1)="B",AX43,MAX(AX43,G43))))</f>
        <v>30</v>
      </c>
      <c r="AU43" s="57" t="n">
        <f aca="false">IF(BR43=1,0,ROUNDUP(AT43/BQ43,0))</f>
        <v>0</v>
      </c>
      <c r="AV43" s="59" t="n">
        <f aca="false">IF(CD43&gt;0,CD43*MAX(1,AT43/V43),IF(BR43=1,IF(AT43&lt;=0,0,BS43*MAX(1,IF(G43&gt;0,AT43/G43,1))),IF(Q43&gt;0,AU43/Q43,0))/MAX(0.1,N(Parameter!$M$21)))</f>
        <v>0.166666666666667</v>
      </c>
      <c r="AW43" s="57" t="n">
        <f aca="false">AT43*F43</f>
        <v>8413.8</v>
      </c>
      <c r="AX43" s="57" t="n">
        <f aca="false">ROUNDUP(MAX(I43/IF(BV43&gt;0,BV43,MAX(0.1,N(Cockpit!$O$6))),BY43)/BQ43,0)*BQ43</f>
        <v>30</v>
      </c>
      <c r="AY43" s="58" t="n">
        <f aca="false">IF(AV43&gt;0,I43/AV43,-1)</f>
        <v>0</v>
      </c>
      <c r="AZ43" s="58" t="n">
        <f aca="false">IF(AND(OR(BU43="L1",BU43="L23"),AV43&gt;0),SUMIFS($AV$7:$AV$1576,$BU$7:$BU$1576,BU43,$AY$7:$AY$1576,"&gt;"&amp;AY43)+SUMIFS($AV$7:$AV$1576,$BU$7:$BU$1576,BU43,$AY$7:$AY$1576,AY43,$BO$7:$BO$1576,"&lt;="&amp;BO43),"")</f>
        <v>109.163004535545</v>
      </c>
      <c r="BA43" s="65" t="n">
        <f aca="false">IF(AZ43="",0,MAX(0,MIN(1,(IF(BU43="L1",Parameter!$E$5,Parameter!$E$6+Parameter!$E$7)-(AZ43-AV43))/AV43)))</f>
        <v>0</v>
      </c>
      <c r="BB43" s="55" t="str">
        <f aca="false">IF(AF43&lt;=0,"",IF(BU43="Aussen","Aussenlager",IF(BU43="-","Nicht im Lift",IF(AK43&gt;=1,"Lift",IF(AK43&lt;=0,"Aussenlager","teilweise")))))</f>
        <v>Lift</v>
      </c>
      <c r="BC43" s="55" t="str">
        <f aca="false">IF(AN43&lt;=0,"",IF(BU43="Aussen","Aussenlager",IF(BU43="-","Nicht im Lift",IF(AS43&gt;=1,"Lift",IF(AS43&lt;=0,"Aussenlager","teilweise")))))</f>
        <v>Aussenlager</v>
      </c>
      <c r="BD43" s="55" t="str">
        <f aca="false">IF(AV43&lt;=0,"",IF(BU43="Aussen","Aussenlager",IF(BU43="-","Nicht im Lift",IF(BA43&gt;=1,"Lift",IF(BA43&lt;=0,"Aussenlager","teilweise")))))</f>
        <v>Aussenlager</v>
      </c>
      <c r="BE43" s="55" t="str">
        <f aca="false">IF(A43="","",IF(BN43=1,"Neu; ","")&amp;IF(AND(BN43=0,BI43&lt;0),"negativer Bestand (Export "&amp;BI43&amp;"); ","")&amp;IF(I43&lt;=0,"Kein Verbrauch; ","")&amp;IF(CD43&gt;0,"Lift "&amp;U43&amp;" lt. Liftbericht (Fach "&amp;V43&amp;" Stk); ",IF(BR43=1,"Lose – Fläche geschätzt; ",""))&amp;IF(G43&gt;AP43,"Überbestand "&amp;ROUND(G43-AP43,0)&amp;" Stk / CHF "&amp;ROUND((G43-AP43)*F43,0)&amp;"; ","")&amp;IF(AND(BW43=1,BX43&lt;BY43),"MAX &lt; MB+LG; ","")&amp;IF(AND(CC43&gt;0,CB43*10&gt;CC43),"zu hoch für Tablar; ","")&amp;IF(AND(BN43=0,OR(BW43=1,Y43&lt;&gt;"",S43&lt;&gt;"",T43&lt;&gt;"",Z43&lt;&gt;"")),"manuell übersteuert; ","")&amp;IF(AND(BR43=0,Q43=0),"Gebinde unbekannt / Stellmass fehlt; ","")&amp;IF(AND(BR43=0,N(T43)&lt;=0,N(P43)&lt;=0),"Menge pro Gebinde fehlt (Ist = 1 Gebinde); ","")&amp;BM43)</f>
        <v>Kein Verbrauch; Lose – Fläche geschätzt; </v>
      </c>
      <c r="BF43" s="55" t="s">
        <v>269</v>
      </c>
      <c r="BG43" s="55" t="s">
        <v>270</v>
      </c>
      <c r="BH43" s="62"/>
      <c r="BI43" s="57" t="n">
        <v>27</v>
      </c>
      <c r="BJ43" s="57" t="n">
        <v>0</v>
      </c>
      <c r="BK43" s="56" t="n">
        <v>7572.42</v>
      </c>
      <c r="BL43" s="57" t="n">
        <v>0</v>
      </c>
      <c r="BM43" s="55"/>
      <c r="BN43" s="60" t="n">
        <v>0</v>
      </c>
      <c r="BO43" s="60" t="n">
        <v>43</v>
      </c>
      <c r="BP43" s="55" t="str">
        <f aca="false">IF(S43&lt;&gt;"",UPPER(TRIM(S43)),IF(O43="","LOSE",O43))</f>
        <v>LOSE</v>
      </c>
      <c r="BQ43" s="57" t="n">
        <f aca="false">IF(BP43="LOSE",1,IF(N(T43)&gt;0,T43,IF(N(P43)&gt;0,P43,MAX(1,G43))))</f>
        <v>1</v>
      </c>
      <c r="BR43" s="60" t="n">
        <f aca="false">IF(BP43="LOSE",1,0)</f>
        <v>1</v>
      </c>
      <c r="BS43" s="59" t="n">
        <f aca="false">IF(BR43=0,0,IF(N(R43)&gt;0,R43,IFERROR(VLOOKUP(D43,Parameter!$A$35:$C$64,3,0)+0,0)))</f>
        <v>0.15</v>
      </c>
      <c r="BT43" s="55" t="n">
        <f aca="false">IF(Y43&lt;&gt;"",Y43,X43)</f>
        <v>2</v>
      </c>
      <c r="BU43" s="55" t="str">
        <f aca="false">IF(BT43=1,"L1",IF(OR(BT43=2,BT43=3),"L23",IF(BT43="Aussen","Aussen","-")))</f>
        <v>L23</v>
      </c>
      <c r="BV43" s="66" t="n">
        <f aca="false">IF(N(Z43)&gt;0,Z43,0)</f>
        <v>0</v>
      </c>
      <c r="BW43" s="60" t="n">
        <f aca="false">IF(ISNUMBER(AC43),1,0)</f>
        <v>0</v>
      </c>
      <c r="BX43" s="57" t="n">
        <f aca="false">N(AC43)</f>
        <v>0</v>
      </c>
      <c r="BY43" s="57" t="n">
        <f aca="false">N(L43)+N(M43)</f>
        <v>30</v>
      </c>
      <c r="BZ43" s="57" t="n">
        <f aca="false">ROUNDUP(G43/BQ43,0)</f>
        <v>27</v>
      </c>
      <c r="CA43" s="57" t="n">
        <f aca="false">ROUNDUP(BX43/BQ43,0)</f>
        <v>0</v>
      </c>
      <c r="CB43" s="60" t="n">
        <f aca="false">IF(BR43=1,0,IFERROR(VLOOKUP(BP43,'Gebinde-Kategorie'!$A$5:$M$45,5,0)+0,0))</f>
        <v>0</v>
      </c>
      <c r="CC43" s="60" t="n">
        <f aca="false">IFERROR(IF(OR(BT43=1,BT43=2,BT43=3),N(INDEX(Parameter!$I$5:$I$7,BT43)),0),0)</f>
        <v>0</v>
      </c>
      <c r="CD43" s="59" t="n">
        <f aca="false">IF(AND(Parameter!$B$21="Ja",ISNUMBER(U43),N(V43)&gt;0),IFERROR(N(INDEX(Parameter!$L$5:$L$7,U43))*INDEX(Parameter!$E$5:$E$7,U43)*V43/SUMIFS($V$7:$V$1576,$U$7:$U$1576,U43),0),0)</f>
        <v>0</v>
      </c>
    </row>
    <row r="44" customFormat="false" ht="15" hidden="false" customHeight="false" outlineLevel="0" collapsed="false">
      <c r="A44" s="55" t="s">
        <v>271</v>
      </c>
      <c r="B44" s="55" t="s">
        <v>272</v>
      </c>
      <c r="C44" s="55" t="s">
        <v>160</v>
      </c>
      <c r="D44" s="55" t="s">
        <v>168</v>
      </c>
      <c r="E44" s="55" t="s">
        <v>210</v>
      </c>
      <c r="F44" s="56" t="n">
        <v>180.4</v>
      </c>
      <c r="G44" s="57" t="n">
        <f aca="false">MAX(0,IF(AND(Parameter!$B$21="Ja",ISNUMBER(W44)),W44,IF(Parameter!$B$20="Jahresanfang 2025 + Export",BJ44+BI44,BI44)))</f>
        <v>43</v>
      </c>
      <c r="H44" s="57" t="n">
        <f aca="false">G44*F44</f>
        <v>7757.2</v>
      </c>
      <c r="I44" s="57" t="n">
        <f aca="false">BL44*Parameter!$B$18</f>
        <v>25</v>
      </c>
      <c r="J44" s="58" t="n">
        <v>44</v>
      </c>
      <c r="K44" s="59" t="n">
        <v>0.568181818181818</v>
      </c>
      <c r="L44" s="57" t="n">
        <v>10</v>
      </c>
      <c r="M44" s="57" t="n">
        <v>20</v>
      </c>
      <c r="N44" s="60" t="n">
        <v>98</v>
      </c>
      <c r="O44" s="55" t="s">
        <v>251</v>
      </c>
      <c r="P44" s="57" t="n">
        <v>24</v>
      </c>
      <c r="Q44" s="60" t="n">
        <f aca="false">IF(BR44=1,0,IFERROR(VLOOKUP(BP44,'Gebinde-Kategorie'!$A$5:$M$45,13,0)+0,0))</f>
        <v>6</v>
      </c>
      <c r="R44" s="61"/>
      <c r="S44" s="62"/>
      <c r="T44" s="62"/>
      <c r="U44" s="55"/>
      <c r="V44" s="57"/>
      <c r="W44" s="57"/>
      <c r="X44" s="55" t="n">
        <f aca="false">IF(A44="","",IF(AND(Parameter!$B$21="Ja",ISNUMBER(U44)),U44,IF(IFERROR(VLOOKUP(D44,Parameter!$A$35:$C$64,2,0),"Nein")="2+3",IF(ISNUMBER(SEARCH("grosser Artikel",BM44)),2,IFERROR(VLOOKUP(BP44,Parameter!$F$35:$G$64,2,0),2)),IF(OR(IFERROR(VLOOKUP(D44,Parameter!$A$35:$C$64,2,0),"Nein")="Nein",IFERROR(VLOOKUP(D44,Parameter!$A$35:$C$64,2,0),"Nein")=""),"-",VLOOKUP(D44,Parameter!$A$35:$C$64,2,0)))))</f>
        <v>2</v>
      </c>
      <c r="Y44" s="62"/>
      <c r="Z44" s="63"/>
      <c r="AA44" s="57" t="n">
        <f aca="false">AP44</f>
        <v>48</v>
      </c>
      <c r="AB44" s="57" t="n">
        <f aca="false">MAX(AP44,G44)</f>
        <v>48</v>
      </c>
      <c r="AC44" s="64"/>
      <c r="AD44" s="57" t="n">
        <f aca="false">IF(LEFT(Cockpit!$C$5,1)="A",G44,IF(BW44=1,BX44,IF(LEFT(Cockpit!$C$5,1)="B",AH44,MAX(AH44,G44))))</f>
        <v>43</v>
      </c>
      <c r="AE44" s="57" t="n">
        <f aca="false">IF(BR44=1,0,ROUNDUP(AD44/BQ44,0))</f>
        <v>2</v>
      </c>
      <c r="AF44" s="59" t="n">
        <f aca="false">IF(CD44&gt;0,CD44*MAX(1,AD44/V44),IF(BR44=1,IF(AD44&lt;=0,0,BS44*MAX(1,IF(G44&gt;0,AD44/G44,1))),IF(Q44&gt;0,AE44/Q44,0))/MAX(0.1,N(Parameter!$M$21)))</f>
        <v>0.333333333333333</v>
      </c>
      <c r="AG44" s="57" t="n">
        <f aca="false">AD44*F44</f>
        <v>7757.2</v>
      </c>
      <c r="AH44" s="57" t="n">
        <f aca="false">ROUNDUP(MAX(I44/IF(BV44&gt;0,BV44,MAX(0.1,N(Cockpit!$C$6))),BY44)/BQ44,0)*BQ44</f>
        <v>48</v>
      </c>
      <c r="AI44" s="58" t="n">
        <f aca="false">IF(AF44&gt;0,I44/AF44,-1)</f>
        <v>75</v>
      </c>
      <c r="AJ44" s="58" t="n">
        <f aca="false">IF(AND(OR(BU44="L1",BU44="L23"),AF44&gt;0),SUMIFS($AF$7:$AF$1576,$BU$7:$BU$1576,BU44,$AI$7:$AI$1576,"&gt;"&amp;AI44)+SUMIFS($AF$7:$AF$1576,$BU$7:$BU$1576,BU44,$AI$7:$AI$1576,AI44,$BO$7:$BO$1576,"&lt;="&amp;BO44),"")</f>
        <v>23.8845863315429</v>
      </c>
      <c r="AK44" s="65" t="n">
        <f aca="false">IF(AJ44="",0,MAX(0,MIN(1,(IF(BU44="L1",Parameter!$E$5,Parameter!$E$6+Parameter!$E$7)-(AJ44-AF44))/AF44)))</f>
        <v>1</v>
      </c>
      <c r="AL44" s="57" t="n">
        <f aca="false">IF(LEFT(Cockpit!$I$5,1)="A",G44,IF(BW44=1,BX44,IF(LEFT(Cockpit!$I$5,1)="B",AP44,MAX(AP44,G44))))</f>
        <v>48</v>
      </c>
      <c r="AM44" s="57" t="n">
        <f aca="false">IF(BR44=1,0,ROUNDUP(AL44/BQ44,0))</f>
        <v>2</v>
      </c>
      <c r="AN44" s="59" t="n">
        <f aca="false">IF(CD44&gt;0,CD44*MAX(1,AL44/V44),IF(BR44=1,IF(AL44&lt;=0,0,BS44*MAX(1,IF(G44&gt;0,AL44/G44,1))),IF(Q44&gt;0,AM44/Q44,0))/MAX(0.1,N(Parameter!$M$21)))</f>
        <v>0.333333333333333</v>
      </c>
      <c r="AO44" s="57" t="n">
        <f aca="false">AL44*F44</f>
        <v>8659.2</v>
      </c>
      <c r="AP44" s="57" t="n">
        <f aca="false">ROUNDUP(MAX(I44/IF(BV44&gt;0,BV44,MAX(0.1,N(Cockpit!$I$6))),BY44)/BQ44,0)*BQ44</f>
        <v>48</v>
      </c>
      <c r="AQ44" s="58" t="n">
        <f aca="false">IF(AN44&gt;0,I44/AN44,-1)</f>
        <v>75</v>
      </c>
      <c r="AR44" s="58" t="n">
        <f aca="false">IF(AND(OR(BU44="L1",BU44="L23"),AN44&gt;0),SUMIFS($AN$7:$AN$1576,$BU$7:$BU$1576,BU44,$AQ$7:$AQ$1576,"&gt;"&amp;AQ44)+SUMIFS($AN$7:$AN$1576,$BU$7:$BU$1576,BU44,$AQ$7:$AQ$1576,AQ44,$BO$7:$BO$1576,"&lt;="&amp;BO44),"")</f>
        <v>75.3289613952226</v>
      </c>
      <c r="AS44" s="65" t="n">
        <f aca="false">IF(AR44="",0,MAX(0,MIN(1,(IF(BU44="L1",Parameter!$E$5,Parameter!$E$6+Parameter!$E$7)-(AR44-AN44))/AN44)))</f>
        <v>1</v>
      </c>
      <c r="AT44" s="57" t="n">
        <f aca="false">IF(LEFT(Cockpit!$O$5,1)="A",G44,IF(BW44=1,BX44,IF(LEFT(Cockpit!$O$5,1)="B",AX44,MAX(AX44,G44))))</f>
        <v>48</v>
      </c>
      <c r="AU44" s="57" t="n">
        <f aca="false">IF(BR44=1,0,ROUNDUP(AT44/BQ44,0))</f>
        <v>2</v>
      </c>
      <c r="AV44" s="59" t="n">
        <f aca="false">IF(CD44&gt;0,CD44*MAX(1,AT44/V44),IF(BR44=1,IF(AT44&lt;=0,0,BS44*MAX(1,IF(G44&gt;0,AT44/G44,1))),IF(Q44&gt;0,AU44/Q44,0))/MAX(0.1,N(Parameter!$M$21)))</f>
        <v>0.333333333333333</v>
      </c>
      <c r="AW44" s="57" t="n">
        <f aca="false">AT44*F44</f>
        <v>8659.2</v>
      </c>
      <c r="AX44" s="57" t="n">
        <f aca="false">ROUNDUP(MAX(I44/IF(BV44&gt;0,BV44,MAX(0.1,N(Cockpit!$O$6))),BY44)/BQ44,0)*BQ44</f>
        <v>48</v>
      </c>
      <c r="AY44" s="58" t="n">
        <f aca="false">IF(AV44&gt;0,I44/AV44,-1)</f>
        <v>75</v>
      </c>
      <c r="AZ44" s="58" t="n">
        <f aca="false">IF(AND(OR(BU44="L1",BU44="L23"),AV44&gt;0),SUMIFS($AV$7:$AV$1576,$BU$7:$BU$1576,BU44,$AY$7:$AY$1576,"&gt;"&amp;AY44)+SUMIFS($AV$7:$AV$1576,$BU$7:$BU$1576,BU44,$AY$7:$AY$1576,AY44,$BO$7:$BO$1576,"&lt;="&amp;BO44),"")</f>
        <v>69.7268451781063</v>
      </c>
      <c r="BA44" s="65" t="n">
        <f aca="false">IF(AZ44="",0,MAX(0,MIN(1,(IF(BU44="L1",Parameter!$E$5,Parameter!$E$6+Parameter!$E$7)-(AZ44-AV44))/AV44)))</f>
        <v>1</v>
      </c>
      <c r="BB44" s="55" t="str">
        <f aca="false">IF(AF44&lt;=0,"",IF(BU44="Aussen","Aussenlager",IF(BU44="-","Nicht im Lift",IF(AK44&gt;=1,"Lift",IF(AK44&lt;=0,"Aussenlager","teilweise")))))</f>
        <v>Lift</v>
      </c>
      <c r="BC44" s="55" t="str">
        <f aca="false">IF(AN44&lt;=0,"",IF(BU44="Aussen","Aussenlager",IF(BU44="-","Nicht im Lift",IF(AS44&gt;=1,"Lift",IF(AS44&lt;=0,"Aussenlager","teilweise")))))</f>
        <v>Lift</v>
      </c>
      <c r="BD44" s="55" t="str">
        <f aca="false">IF(AV44&lt;=0,"",IF(BU44="Aussen","Aussenlager",IF(BU44="-","Nicht im Lift",IF(BA44&gt;=1,"Lift",IF(BA44&lt;=0,"Aussenlager","teilweise")))))</f>
        <v>Lift</v>
      </c>
      <c r="BE44" s="55" t="str">
        <f aca="false">IF(A44="","",IF(BN44=1,"Neu; ","")&amp;IF(AND(BN44=0,BI44&lt;0),"negativer Bestand (Export "&amp;BI44&amp;"); ","")&amp;IF(I44&lt;=0,"Kein Verbrauch; ","")&amp;IF(CD44&gt;0,"Lift "&amp;U44&amp;" lt. Liftbericht (Fach "&amp;V44&amp;" Stk); ",IF(BR44=1,"Lose – Fläche geschätzt; ",""))&amp;IF(G44&gt;AP44,"Überbestand "&amp;ROUND(G44-AP44,0)&amp;" Stk / CHF "&amp;ROUND((G44-AP44)*F44,0)&amp;"; ","")&amp;IF(AND(BW44=1,BX44&lt;BY44),"MAX &lt; MB+LG; ","")&amp;IF(AND(CC44&gt;0,CB44*10&gt;CC44),"zu hoch für Tablar; ","")&amp;IF(AND(BN44=0,OR(BW44=1,Y44&lt;&gt;"",S44&lt;&gt;"",T44&lt;&gt;"",Z44&lt;&gt;"")),"manuell übersteuert; ","")&amp;IF(AND(BR44=0,Q44=0),"Gebinde unbekannt / Stellmass fehlt; ","")&amp;IF(AND(BR44=0,N(T44)&lt;=0,N(P44)&lt;=0),"Menge pro Gebinde fehlt (Ist = 1 Gebinde); ","")&amp;BM44)</f>
        <v>grosser Artikel &amp; nicht im KTL</v>
      </c>
      <c r="BF44" s="55"/>
      <c r="BG44" s="55"/>
      <c r="BH44" s="62"/>
      <c r="BI44" s="57" t="n">
        <v>43</v>
      </c>
      <c r="BJ44" s="57" t="n">
        <v>55</v>
      </c>
      <c r="BK44" s="56" t="n">
        <v>7381.23</v>
      </c>
      <c r="BL44" s="57" t="n">
        <v>25</v>
      </c>
      <c r="BM44" s="55" t="s">
        <v>253</v>
      </c>
      <c r="BN44" s="60" t="n">
        <v>0</v>
      </c>
      <c r="BO44" s="60" t="n">
        <v>44</v>
      </c>
      <c r="BP44" s="55" t="str">
        <f aca="false">IF(S44&lt;&gt;"",UPPER(TRIM(S44)),IF(O44="","LOSE",O44))</f>
        <v>S72</v>
      </c>
      <c r="BQ44" s="57" t="n">
        <f aca="false">IF(BP44="LOSE",1,IF(N(T44)&gt;0,T44,IF(N(P44)&gt;0,P44,MAX(1,G44))))</f>
        <v>24</v>
      </c>
      <c r="BR44" s="60" t="n">
        <f aca="false">IF(BP44="LOSE",1,0)</f>
        <v>0</v>
      </c>
      <c r="BS44" s="59" t="n">
        <f aca="false">IF(BR44=0,0,IF(N(R44)&gt;0,R44,IFERROR(VLOOKUP(D44,Parameter!$A$35:$C$64,3,0)+0,0)))</f>
        <v>0</v>
      </c>
      <c r="BT44" s="55" t="n">
        <f aca="false">IF(Y44&lt;&gt;"",Y44,X44)</f>
        <v>2</v>
      </c>
      <c r="BU44" s="55" t="str">
        <f aca="false">IF(BT44=1,"L1",IF(OR(BT44=2,BT44=3),"L23",IF(BT44="Aussen","Aussen","-")))</f>
        <v>L23</v>
      </c>
      <c r="BV44" s="66" t="n">
        <f aca="false">IF(N(Z44)&gt;0,Z44,0)</f>
        <v>0</v>
      </c>
      <c r="BW44" s="60" t="n">
        <f aca="false">IF(ISNUMBER(AC44),1,0)</f>
        <v>0</v>
      </c>
      <c r="BX44" s="57" t="n">
        <f aca="false">N(AC44)</f>
        <v>0</v>
      </c>
      <c r="BY44" s="57" t="n">
        <f aca="false">N(L44)+N(M44)</f>
        <v>30</v>
      </c>
      <c r="BZ44" s="57" t="n">
        <f aca="false">ROUNDUP(G44/BQ44,0)</f>
        <v>2</v>
      </c>
      <c r="CA44" s="57" t="n">
        <f aca="false">ROUNDUP(BX44/BQ44,0)</f>
        <v>0</v>
      </c>
      <c r="CB44" s="60" t="n">
        <f aca="false">IF(BR44=1,0,IFERROR(VLOOKUP(BP44,'Gebinde-Kategorie'!$A$5:$M$45,5,0)+0,0))</f>
        <v>40</v>
      </c>
      <c r="CC44" s="60" t="n">
        <f aca="false">IFERROR(IF(OR(BT44=1,BT44=2,BT44=3),N(INDEX(Parameter!$I$5:$I$7,BT44)),0),0)</f>
        <v>0</v>
      </c>
      <c r="CD44" s="59" t="n">
        <f aca="false">IF(AND(Parameter!$B$21="Ja",ISNUMBER(U44),N(V44)&gt;0),IFERROR(N(INDEX(Parameter!$L$5:$L$7,U44))*INDEX(Parameter!$E$5:$E$7,U44)*V44/SUMIFS($V$7:$V$1576,$U$7:$U$1576,U44),0),0)</f>
        <v>0</v>
      </c>
    </row>
    <row r="45" customFormat="false" ht="15" hidden="false" customHeight="false" outlineLevel="0" collapsed="false">
      <c r="A45" s="55" t="s">
        <v>273</v>
      </c>
      <c r="B45" s="55" t="s">
        <v>274</v>
      </c>
      <c r="C45" s="55" t="s">
        <v>160</v>
      </c>
      <c r="D45" s="55" t="s">
        <v>168</v>
      </c>
      <c r="E45" s="55" t="s">
        <v>210</v>
      </c>
      <c r="F45" s="56" t="n">
        <v>618.8</v>
      </c>
      <c r="G45" s="57" t="n">
        <f aca="false">MAX(0,IF(AND(Parameter!$B$21="Ja",ISNUMBER(W45)),W45,IF(Parameter!$B$20="Jahresanfang 2025 + Export",BJ45+BI45,BI45)))</f>
        <v>12</v>
      </c>
      <c r="H45" s="57" t="n">
        <f aca="false">G45*F45</f>
        <v>7425.6</v>
      </c>
      <c r="I45" s="57" t="n">
        <f aca="false">BL45*Parameter!$B$18</f>
        <v>72</v>
      </c>
      <c r="J45" s="58" t="n">
        <v>13</v>
      </c>
      <c r="K45" s="59" t="n">
        <v>5.53846153846154</v>
      </c>
      <c r="L45" s="57" t="n">
        <v>4</v>
      </c>
      <c r="M45" s="57" t="n">
        <v>15</v>
      </c>
      <c r="N45" s="60" t="n">
        <v>21</v>
      </c>
      <c r="O45" s="55" t="s">
        <v>215</v>
      </c>
      <c r="P45" s="57" t="n">
        <v>9</v>
      </c>
      <c r="Q45" s="60" t="n">
        <f aca="false">IF(BR45=1,0,IFERROR(VLOOKUP(BP45,'Gebinde-Kategorie'!$A$5:$M$45,13,0)+0,0))</f>
        <v>3</v>
      </c>
      <c r="R45" s="61"/>
      <c r="S45" s="62"/>
      <c r="T45" s="62"/>
      <c r="U45" s="55"/>
      <c r="V45" s="57"/>
      <c r="W45" s="57"/>
      <c r="X45" s="55" t="n">
        <f aca="false">IF(A45="","",IF(AND(Parameter!$B$21="Ja",ISNUMBER(U45)),U45,IF(IFERROR(VLOOKUP(D45,Parameter!$A$35:$C$64,2,0),"Nein")="2+3",IF(ISNUMBER(SEARCH("grosser Artikel",BM45)),2,IFERROR(VLOOKUP(BP45,Parameter!$F$35:$G$64,2,0),2)),IF(OR(IFERROR(VLOOKUP(D45,Parameter!$A$35:$C$64,2,0),"Nein")="Nein",IFERROR(VLOOKUP(D45,Parameter!$A$35:$C$64,2,0),"Nein")=""),"-",VLOOKUP(D45,Parameter!$A$35:$C$64,2,0)))))</f>
        <v>2</v>
      </c>
      <c r="Y45" s="62"/>
      <c r="Z45" s="63"/>
      <c r="AA45" s="57" t="n">
        <f aca="false">AP45</f>
        <v>36</v>
      </c>
      <c r="AB45" s="57" t="n">
        <f aca="false">MAX(AP45,G45)</f>
        <v>36</v>
      </c>
      <c r="AC45" s="64"/>
      <c r="AD45" s="57" t="n">
        <f aca="false">IF(LEFT(Cockpit!$C$5,1)="A",G45,IF(BW45=1,BX45,IF(LEFT(Cockpit!$C$5,1)="B",AH45,MAX(AH45,G45))))</f>
        <v>12</v>
      </c>
      <c r="AE45" s="57" t="n">
        <f aca="false">IF(BR45=1,0,ROUNDUP(AD45/BQ45,0))</f>
        <v>2</v>
      </c>
      <c r="AF45" s="59" t="n">
        <f aca="false">IF(CD45&gt;0,CD45*MAX(1,AD45/V45),IF(BR45=1,IF(AD45&lt;=0,0,BS45*MAX(1,IF(G45&gt;0,AD45/G45,1))),IF(Q45&gt;0,AE45/Q45,0))/MAX(0.1,N(Parameter!$M$21)))</f>
        <v>0.666666666666667</v>
      </c>
      <c r="AG45" s="57" t="n">
        <f aca="false">AD45*F45</f>
        <v>7425.6</v>
      </c>
      <c r="AH45" s="57" t="n">
        <f aca="false">ROUNDUP(MAX(I45/IF(BV45&gt;0,BV45,MAX(0.1,N(Cockpit!$C$6))),BY45)/BQ45,0)*BQ45</f>
        <v>36</v>
      </c>
      <c r="AI45" s="58" t="n">
        <f aca="false">IF(AF45&gt;0,I45/AF45,-1)</f>
        <v>108</v>
      </c>
      <c r="AJ45" s="58" t="n">
        <f aca="false">IF(AND(OR(BU45="L1",BU45="L23"),AF45&gt;0),SUMIFS($AF$7:$AF$1576,$BU$7:$BU$1576,BU45,$AI$7:$AI$1576,"&gt;"&amp;AI45)+SUMIFS($AF$7:$AF$1576,$BU$7:$BU$1576,BU45,$AI$7:$AI$1576,AI45,$BO$7:$BO$1576,"&lt;="&amp;BO45),"")</f>
        <v>22.1797689267254</v>
      </c>
      <c r="AK45" s="65" t="n">
        <f aca="false">IF(AJ45="",0,MAX(0,MIN(1,(IF(BU45="L1",Parameter!$E$5,Parameter!$E$6+Parameter!$E$7)-(AJ45-AF45))/AF45)))</f>
        <v>1</v>
      </c>
      <c r="AL45" s="57" t="n">
        <f aca="false">IF(LEFT(Cockpit!$I$5,1)="A",G45,IF(BW45=1,BX45,IF(LEFT(Cockpit!$I$5,1)="B",AP45,MAX(AP45,G45))))</f>
        <v>36</v>
      </c>
      <c r="AM45" s="57" t="n">
        <f aca="false">IF(BR45=1,0,ROUNDUP(AL45/BQ45,0))</f>
        <v>4</v>
      </c>
      <c r="AN45" s="59" t="n">
        <f aca="false">IF(CD45&gt;0,CD45*MAX(1,AL45/V45),IF(BR45=1,IF(AL45&lt;=0,0,BS45*MAX(1,IF(G45&gt;0,AL45/G45,1))),IF(Q45&gt;0,AM45/Q45,0))/MAX(0.1,N(Parameter!$M$21)))</f>
        <v>1.33333333333333</v>
      </c>
      <c r="AO45" s="57" t="n">
        <f aca="false">AL45*F45</f>
        <v>22276.8</v>
      </c>
      <c r="AP45" s="57" t="n">
        <f aca="false">ROUNDUP(MAX(I45/IF(BV45&gt;0,BV45,MAX(0.1,N(Cockpit!$I$6))),BY45)/BQ45,0)*BQ45</f>
        <v>36</v>
      </c>
      <c r="AQ45" s="58" t="n">
        <f aca="false">IF(AN45&gt;0,I45/AN45,-1)</f>
        <v>54</v>
      </c>
      <c r="AR45" s="58" t="n">
        <f aca="false">IF(AND(OR(BU45="L1",BU45="L23"),AN45&gt;0),SUMIFS($AN$7:$AN$1576,$BU$7:$BU$1576,BU45,$AQ$7:$AQ$1576,"&gt;"&amp;AQ45)+SUMIFS($AN$7:$AN$1576,$BU$7:$BU$1576,BU45,$AQ$7:$AQ$1576,AQ45,$BO$7:$BO$1576,"&lt;="&amp;BO45),"")</f>
        <v>79.4760243322855</v>
      </c>
      <c r="AS45" s="65" t="n">
        <f aca="false">IF(AR45="",0,MAX(0,MIN(1,(IF(BU45="L1",Parameter!$E$5,Parameter!$E$6+Parameter!$E$7)-(AR45-AN45))/AN45)))</f>
        <v>1</v>
      </c>
      <c r="AT45" s="57" t="n">
        <f aca="false">IF(LEFT(Cockpit!$O$5,1)="A",G45,IF(BW45=1,BX45,IF(LEFT(Cockpit!$O$5,1)="B",AX45,MAX(AX45,G45))))</f>
        <v>27</v>
      </c>
      <c r="AU45" s="57" t="n">
        <f aca="false">IF(BR45=1,0,ROUNDUP(AT45/BQ45,0))</f>
        <v>3</v>
      </c>
      <c r="AV45" s="59" t="n">
        <f aca="false">IF(CD45&gt;0,CD45*MAX(1,AT45/V45),IF(BR45=1,IF(AT45&lt;=0,0,BS45*MAX(1,IF(G45&gt;0,AT45/G45,1))),IF(Q45&gt;0,AU45/Q45,0))/MAX(0.1,N(Parameter!$M$21)))</f>
        <v>1</v>
      </c>
      <c r="AW45" s="57" t="n">
        <f aca="false">AT45*F45</f>
        <v>16707.6</v>
      </c>
      <c r="AX45" s="57" t="n">
        <f aca="false">ROUNDUP(MAX(I45/IF(BV45&gt;0,BV45,MAX(0.1,N(Cockpit!$O$6))),BY45)/BQ45,0)*BQ45</f>
        <v>27</v>
      </c>
      <c r="AY45" s="58" t="n">
        <f aca="false">IF(AV45&gt;0,I45/AV45,-1)</f>
        <v>72</v>
      </c>
      <c r="AZ45" s="58" t="n">
        <f aca="false">IF(AND(OR(BU45="L1",BU45="L23"),AV45&gt;0),SUMIFS($AV$7:$AV$1576,$BU$7:$BU$1576,BU45,$AY$7:$AY$1576,"&gt;"&amp;AY45)+SUMIFS($AV$7:$AV$1576,$BU$7:$BU$1576,BU45,$AY$7:$AY$1576,AY45,$BO$7:$BO$1576,"&lt;="&amp;BO45),"")</f>
        <v>71.8768451781063</v>
      </c>
      <c r="BA45" s="65" t="n">
        <f aca="false">IF(AZ45="",0,MAX(0,MIN(1,(IF(BU45="L1",Parameter!$E$5,Parameter!$E$6+Parameter!$E$7)-(AZ45-AV45))/AV45)))</f>
        <v>1</v>
      </c>
      <c r="BB45" s="55" t="str">
        <f aca="false">IF(AF45&lt;=0,"",IF(BU45="Aussen","Aussenlager",IF(BU45="-","Nicht im Lift",IF(AK45&gt;=1,"Lift",IF(AK45&lt;=0,"Aussenlager","teilweise")))))</f>
        <v>Lift</v>
      </c>
      <c r="BC45" s="55" t="str">
        <f aca="false">IF(AN45&lt;=0,"",IF(BU45="Aussen","Aussenlager",IF(BU45="-","Nicht im Lift",IF(AS45&gt;=1,"Lift",IF(AS45&lt;=0,"Aussenlager","teilweise")))))</f>
        <v>Lift</v>
      </c>
      <c r="BD45" s="55" t="str">
        <f aca="false">IF(AV45&lt;=0,"",IF(BU45="Aussen","Aussenlager",IF(BU45="-","Nicht im Lift",IF(BA45&gt;=1,"Lift",IF(BA45&lt;=0,"Aussenlager","teilweise")))))</f>
        <v>Lift</v>
      </c>
      <c r="BE45" s="55" t="str">
        <f aca="false">IF(A45="","",IF(BN45=1,"Neu; ","")&amp;IF(AND(BN45=0,BI45&lt;0),"negativer Bestand (Export "&amp;BI45&amp;"); ","")&amp;IF(I45&lt;=0,"Kein Verbrauch; ","")&amp;IF(CD45&gt;0,"Lift "&amp;U45&amp;" lt. Liftbericht (Fach "&amp;V45&amp;" Stk); ",IF(BR45=1,"Lose – Fläche geschätzt; ",""))&amp;IF(G45&gt;AP45,"Überbestand "&amp;ROUND(G45-AP45,0)&amp;" Stk / CHF "&amp;ROUND((G45-AP45)*F45,0)&amp;"; ","")&amp;IF(AND(BW45=1,BX45&lt;BY45),"MAX &lt; MB+LG; ","")&amp;IF(AND(CC45&gt;0,CB45*10&gt;CC45),"zu hoch für Tablar; ","")&amp;IF(AND(BN45=0,OR(BW45=1,Y45&lt;&gt;"",S45&lt;&gt;"",T45&lt;&gt;"",Z45&lt;&gt;"")),"manuell übersteuert; ","")&amp;IF(AND(BR45=0,Q45=0),"Gebinde unbekannt / Stellmass fehlt; ","")&amp;IF(AND(BR45=0,N(T45)&lt;=0,N(P45)&lt;=0),"Menge pro Gebinde fehlt (Ist = 1 Gebinde); ","")&amp;BM45)</f>
        <v/>
      </c>
      <c r="BF45" s="55"/>
      <c r="BG45" s="55"/>
      <c r="BH45" s="62"/>
      <c r="BI45" s="57" t="n">
        <v>12</v>
      </c>
      <c r="BJ45" s="57" t="n">
        <v>1</v>
      </c>
      <c r="BK45" s="56" t="n">
        <v>7364.52</v>
      </c>
      <c r="BL45" s="57" t="n">
        <v>72</v>
      </c>
      <c r="BM45" s="55"/>
      <c r="BN45" s="60" t="n">
        <v>0</v>
      </c>
      <c r="BO45" s="60" t="n">
        <v>45</v>
      </c>
      <c r="BP45" s="55" t="str">
        <f aca="false">IF(S45&lt;&gt;"",UPPER(TRIM(S45)),IF(O45="","LOSE",O45))</f>
        <v>S81</v>
      </c>
      <c r="BQ45" s="57" t="n">
        <f aca="false">IF(BP45="LOSE",1,IF(N(T45)&gt;0,T45,IF(N(P45)&gt;0,P45,MAX(1,G45))))</f>
        <v>9</v>
      </c>
      <c r="BR45" s="60" t="n">
        <f aca="false">IF(BP45="LOSE",1,0)</f>
        <v>0</v>
      </c>
      <c r="BS45" s="59" t="n">
        <f aca="false">IF(BR45=0,0,IF(N(R45)&gt;0,R45,IFERROR(VLOOKUP(D45,Parameter!$A$35:$C$64,3,0)+0,0)))</f>
        <v>0</v>
      </c>
      <c r="BT45" s="55" t="n">
        <f aca="false">IF(Y45&lt;&gt;"",Y45,X45)</f>
        <v>2</v>
      </c>
      <c r="BU45" s="55" t="str">
        <f aca="false">IF(BT45=1,"L1",IF(OR(BT45=2,BT45=3),"L23",IF(BT45="Aussen","Aussen","-")))</f>
        <v>L23</v>
      </c>
      <c r="BV45" s="66" t="n">
        <f aca="false">IF(N(Z45)&gt;0,Z45,0)</f>
        <v>0</v>
      </c>
      <c r="BW45" s="60" t="n">
        <f aca="false">IF(ISNUMBER(AC45),1,0)</f>
        <v>0</v>
      </c>
      <c r="BX45" s="57" t="n">
        <f aca="false">N(AC45)</f>
        <v>0</v>
      </c>
      <c r="BY45" s="57" t="n">
        <f aca="false">N(L45)+N(M45)</f>
        <v>19</v>
      </c>
      <c r="BZ45" s="57" t="n">
        <f aca="false">ROUNDUP(G45/BQ45,0)</f>
        <v>2</v>
      </c>
      <c r="CA45" s="57" t="n">
        <f aca="false">ROUNDUP(BX45/BQ45,0)</f>
        <v>0</v>
      </c>
      <c r="CB45" s="60" t="n">
        <f aca="false">IF(BR45=1,0,IFERROR(VLOOKUP(BP45,'Gebinde-Kategorie'!$A$5:$M$45,5,0)+0,0))</f>
        <v>20</v>
      </c>
      <c r="CC45" s="60" t="n">
        <f aca="false">IFERROR(IF(OR(BT45=1,BT45=2,BT45=3),N(INDEX(Parameter!$I$5:$I$7,BT45)),0),0)</f>
        <v>0</v>
      </c>
      <c r="CD45" s="59" t="n">
        <f aca="false">IF(AND(Parameter!$B$21="Ja",ISNUMBER(U45),N(V45)&gt;0),IFERROR(N(INDEX(Parameter!$L$5:$L$7,U45))*INDEX(Parameter!$E$5:$E$7,U45)*V45/SUMIFS($V$7:$V$1576,$U$7:$U$1576,U45),0),0)</f>
        <v>0</v>
      </c>
    </row>
    <row r="46" customFormat="false" ht="15" hidden="false" customHeight="false" outlineLevel="0" collapsed="false">
      <c r="A46" s="55" t="s">
        <v>275</v>
      </c>
      <c r="B46" s="55" t="s">
        <v>245</v>
      </c>
      <c r="C46" s="55" t="s">
        <v>160</v>
      </c>
      <c r="D46" s="55" t="s">
        <v>168</v>
      </c>
      <c r="E46" s="55" t="s">
        <v>210</v>
      </c>
      <c r="F46" s="56" t="n">
        <v>1426.78</v>
      </c>
      <c r="G46" s="57" t="n">
        <f aca="false">MAX(0,IF(AND(Parameter!$B$21="Ja",ISNUMBER(W46)),W46,IF(Parameter!$B$20="Jahresanfang 2025 + Export",BJ46+BI46,BI46)))</f>
        <v>4</v>
      </c>
      <c r="H46" s="57" t="n">
        <f aca="false">G46*F46</f>
        <v>5707.12</v>
      </c>
      <c r="I46" s="57" t="n">
        <f aca="false">BL46*Parameter!$B$18</f>
        <v>0</v>
      </c>
      <c r="J46" s="58" t="n">
        <v>2</v>
      </c>
      <c r="K46" s="59" t="n">
        <v>0</v>
      </c>
      <c r="L46" s="57" t="n">
        <v>2</v>
      </c>
      <c r="M46" s="57" t="n">
        <v>2</v>
      </c>
      <c r="N46" s="60" t="n">
        <v>70</v>
      </c>
      <c r="O46" s="55" t="s">
        <v>163</v>
      </c>
      <c r="P46" s="57"/>
      <c r="Q46" s="60" t="n">
        <f aca="false">IF(BR46=1,0,IFERROR(VLOOKUP(BP46,'Gebinde-Kategorie'!$A$5:$M$45,13,0)+0,0))</f>
        <v>0</v>
      </c>
      <c r="R46" s="61"/>
      <c r="S46" s="62"/>
      <c r="T46" s="62"/>
      <c r="U46" s="55" t="n">
        <v>1</v>
      </c>
      <c r="V46" s="57" t="n">
        <v>8</v>
      </c>
      <c r="W46" s="57" t="n">
        <v>4</v>
      </c>
      <c r="X46" s="55" t="n">
        <f aca="false">IF(A46="","",IF(AND(Parameter!$B$21="Ja",ISNUMBER(U46)),U46,IF(IFERROR(VLOOKUP(D46,Parameter!$A$35:$C$64,2,0),"Nein")="2+3",IF(ISNUMBER(SEARCH("grosser Artikel",BM46)),2,IFERROR(VLOOKUP(BP46,Parameter!$F$35:$G$64,2,0),2)),IF(OR(IFERROR(VLOOKUP(D46,Parameter!$A$35:$C$64,2,0),"Nein")="Nein",IFERROR(VLOOKUP(D46,Parameter!$A$35:$C$64,2,0),"Nein")=""),"-",VLOOKUP(D46,Parameter!$A$35:$C$64,2,0)))))</f>
        <v>1</v>
      </c>
      <c r="Y46" s="62"/>
      <c r="Z46" s="63"/>
      <c r="AA46" s="57" t="n">
        <f aca="false">AP46</f>
        <v>4</v>
      </c>
      <c r="AB46" s="57" t="n">
        <f aca="false">MAX(AP46,G46)</f>
        <v>4</v>
      </c>
      <c r="AC46" s="64"/>
      <c r="AD46" s="57" t="n">
        <f aca="false">IF(LEFT(Cockpit!$C$5,1)="A",G46,IF(BW46=1,BX46,IF(LEFT(Cockpit!$C$5,1)="B",AH46,MAX(AH46,G46))))</f>
        <v>4</v>
      </c>
      <c r="AE46" s="57" t="n">
        <f aca="false">IF(BR46=1,0,ROUNDUP(AD46/BQ46,0))</f>
        <v>0</v>
      </c>
      <c r="AF46" s="59" t="n">
        <f aca="false">IF(CD46&gt;0,CD46*MAX(1,AD46/V46),IF(BR46=1,IF(AD46&lt;=0,0,BS46*MAX(1,IF(G46&gt;0,AD46/G46,1))),IF(Q46&gt;0,AE46/Q46,0))/MAX(0.1,N(Parameter!$M$21)))</f>
        <v>0.64030131826742</v>
      </c>
      <c r="AG46" s="57" t="n">
        <f aca="false">AD46*F46</f>
        <v>5707.12</v>
      </c>
      <c r="AH46" s="57" t="n">
        <f aca="false">ROUNDUP(MAX(I46/IF(BV46&gt;0,BV46,MAX(0.1,N(Cockpit!$C$6))),BY46)/BQ46,0)*BQ46</f>
        <v>4</v>
      </c>
      <c r="AI46" s="58" t="n">
        <f aca="false">IF(AF46&gt;0,I46/AF46,-1)</f>
        <v>0</v>
      </c>
      <c r="AJ46" s="58" t="n">
        <f aca="false">IF(AND(OR(BU46="L1",BU46="L23"),AF46&gt;0),SUMIFS($AF$7:$AF$1576,$BU$7:$BU$1576,BU46,$AI$7:$AI$1576,"&gt;"&amp;AI46)+SUMIFS($AF$7:$AF$1576,$BU$7:$BU$1576,BU46,$AI$7:$AI$1576,AI46,$BO$7:$BO$1576,"&lt;="&amp;BO46),"")</f>
        <v>36.8973634651601</v>
      </c>
      <c r="AK46" s="65" t="n">
        <f aca="false">IF(AJ46="",0,MAX(0,MIN(1,(IF(BU46="L1",Parameter!$E$5,Parameter!$E$6+Parameter!$E$7)-(AJ46-AF46))/AF46)))</f>
        <v>1</v>
      </c>
      <c r="AL46" s="57" t="n">
        <f aca="false">IF(LEFT(Cockpit!$I$5,1)="A",G46,IF(BW46=1,BX46,IF(LEFT(Cockpit!$I$5,1)="B",AP46,MAX(AP46,G46))))</f>
        <v>4</v>
      </c>
      <c r="AM46" s="57" t="n">
        <f aca="false">IF(BR46=1,0,ROUNDUP(AL46/BQ46,0))</f>
        <v>0</v>
      </c>
      <c r="AN46" s="59" t="n">
        <f aca="false">IF(CD46&gt;0,CD46*MAX(1,AL46/V46),IF(BR46=1,IF(AL46&lt;=0,0,BS46*MAX(1,IF(G46&gt;0,AL46/G46,1))),IF(Q46&gt;0,AM46/Q46,0))/MAX(0.1,N(Parameter!$M$21)))</f>
        <v>0.64030131826742</v>
      </c>
      <c r="AO46" s="57" t="n">
        <f aca="false">AL46*F46</f>
        <v>5707.12</v>
      </c>
      <c r="AP46" s="57" t="n">
        <f aca="false">ROUNDUP(MAX(I46/IF(BV46&gt;0,BV46,MAX(0.1,N(Cockpit!$I$6))),BY46)/BQ46,0)*BQ46</f>
        <v>4</v>
      </c>
      <c r="AQ46" s="58" t="n">
        <f aca="false">IF(AN46&gt;0,I46/AN46,-1)</f>
        <v>0</v>
      </c>
      <c r="AR46" s="58" t="n">
        <f aca="false">IF(AND(OR(BU46="L1",BU46="L23"),AN46&gt;0),SUMIFS($AN$7:$AN$1576,$BU$7:$BU$1576,BU46,$AQ$7:$AQ$1576,"&gt;"&amp;AQ46)+SUMIFS($AN$7:$AN$1576,$BU$7:$BU$1576,BU46,$AQ$7:$AQ$1576,AQ46,$BO$7:$BO$1576,"&lt;="&amp;BO46),"")</f>
        <v>42.4199623352166</v>
      </c>
      <c r="AS46" s="65" t="n">
        <f aca="false">IF(AR46="",0,MAX(0,MIN(1,(IF(BU46="L1",Parameter!$E$5,Parameter!$E$6+Parameter!$E$7)-(AR46-AN46))/AN46)))</f>
        <v>1</v>
      </c>
      <c r="AT46" s="57" t="n">
        <f aca="false">IF(LEFT(Cockpit!$O$5,1)="A",G46,IF(BW46=1,BX46,IF(LEFT(Cockpit!$O$5,1)="B",AX46,MAX(AX46,G46))))</f>
        <v>4</v>
      </c>
      <c r="AU46" s="57" t="n">
        <f aca="false">IF(BR46=1,0,ROUNDUP(AT46/BQ46,0))</f>
        <v>0</v>
      </c>
      <c r="AV46" s="59" t="n">
        <f aca="false">IF(CD46&gt;0,CD46*MAX(1,AT46/V46),IF(BR46=1,IF(AT46&lt;=0,0,BS46*MAX(1,IF(G46&gt;0,AT46/G46,1))),IF(Q46&gt;0,AU46/Q46,0))/MAX(0.1,N(Parameter!$M$21)))</f>
        <v>0.64030131826742</v>
      </c>
      <c r="AW46" s="57" t="n">
        <f aca="false">AT46*F46</f>
        <v>5707.12</v>
      </c>
      <c r="AX46" s="57" t="n">
        <f aca="false">ROUNDUP(MAX(I46/IF(BV46&gt;0,BV46,MAX(0.1,N(Cockpit!$O$6))),BY46)/BQ46,0)*BQ46</f>
        <v>4</v>
      </c>
      <c r="AY46" s="58" t="n">
        <f aca="false">IF(AV46&gt;0,I46/AV46,-1)</f>
        <v>0</v>
      </c>
      <c r="AZ46" s="58" t="n">
        <f aca="false">IF(AND(OR(BU46="L1",BU46="L23"),AV46&gt;0),SUMIFS($AV$7:$AV$1576,$BU$7:$BU$1576,BU46,$AY$7:$AY$1576,"&gt;"&amp;AY46)+SUMIFS($AV$7:$AV$1576,$BU$7:$BU$1576,BU46,$AY$7:$AY$1576,AY46,$BO$7:$BO$1576,"&lt;="&amp;BO46),"")</f>
        <v>39.4585687382298</v>
      </c>
      <c r="BA46" s="65" t="n">
        <f aca="false">IF(AZ46="",0,MAX(0,MIN(1,(IF(BU46="L1",Parameter!$E$5,Parameter!$E$6+Parameter!$E$7)-(AZ46-AV46))/AV46)))</f>
        <v>1</v>
      </c>
      <c r="BB46" s="55" t="str">
        <f aca="false">IF(AF46&lt;=0,"",IF(BU46="Aussen","Aussenlager",IF(BU46="-","Nicht im Lift",IF(AK46&gt;=1,"Lift",IF(AK46&lt;=0,"Aussenlager","teilweise")))))</f>
        <v>Lift</v>
      </c>
      <c r="BC46" s="55" t="str">
        <f aca="false">IF(AN46&lt;=0,"",IF(BU46="Aussen","Aussenlager",IF(BU46="-","Nicht im Lift",IF(AS46&gt;=1,"Lift",IF(AS46&lt;=0,"Aussenlager","teilweise")))))</f>
        <v>Lift</v>
      </c>
      <c r="BD46" s="55" t="str">
        <f aca="false">IF(AV46&lt;=0,"",IF(BU46="Aussen","Aussenlager",IF(BU46="-","Nicht im Lift",IF(BA46&gt;=1,"Lift",IF(BA46&lt;=0,"Aussenlager","teilweise")))))</f>
        <v>Lift</v>
      </c>
      <c r="BE46" s="55" t="str">
        <f aca="false">IF(A46="","",IF(BN46=1,"Neu; ","")&amp;IF(AND(BN46=0,BI46&lt;0),"negativer Bestand (Export "&amp;BI46&amp;"); ","")&amp;IF(I46&lt;=0,"Kein Verbrauch; ","")&amp;IF(CD46&gt;0,"Lift "&amp;U46&amp;" lt. Liftbericht (Fach "&amp;V46&amp;" Stk); ",IF(BR46=1,"Lose – Fläche geschätzt; ",""))&amp;IF(G46&gt;AP46,"Überbestand "&amp;ROUND(G46-AP46,0)&amp;" Stk / CHF "&amp;ROUND((G46-AP46)*F46,0)&amp;"; ","")&amp;IF(AND(BW46=1,BX46&lt;BY46),"MAX &lt; MB+LG; ","")&amp;IF(AND(CC46&gt;0,CB46*10&gt;CC46),"zu hoch für Tablar; ","")&amp;IF(AND(BN46=0,OR(BW46=1,Y46&lt;&gt;"",S46&lt;&gt;"",T46&lt;&gt;"",Z46&lt;&gt;"")),"manuell übersteuert; ","")&amp;IF(AND(BR46=0,Q46=0),"Gebinde unbekannt / Stellmass fehlt; ","")&amp;IF(AND(BR46=0,N(T46)&lt;=0,N(P46)&lt;=0),"Menge pro Gebinde fehlt (Ist = 1 Gebinde); ","")&amp;BM46)</f>
        <v>Kein Verbrauch; Lift 1 lt. Liftbericht (Fach 8 Stk); </v>
      </c>
      <c r="BF46" s="55" t="s">
        <v>276</v>
      </c>
      <c r="BG46" s="55"/>
      <c r="BH46" s="62"/>
      <c r="BI46" s="57" t="n">
        <v>5</v>
      </c>
      <c r="BJ46" s="57" t="n">
        <v>0</v>
      </c>
      <c r="BK46" s="56" t="n">
        <v>7133.9</v>
      </c>
      <c r="BL46" s="57" t="n">
        <v>0</v>
      </c>
      <c r="BM46" s="55"/>
      <c r="BN46" s="60" t="n">
        <v>0</v>
      </c>
      <c r="BO46" s="60" t="n">
        <v>46</v>
      </c>
      <c r="BP46" s="55" t="str">
        <f aca="false">IF(S46&lt;&gt;"",UPPER(TRIM(S46)),IF(O46="","LOSE",O46))</f>
        <v>LOSE</v>
      </c>
      <c r="BQ46" s="57" t="n">
        <f aca="false">IF(BP46="LOSE",1,IF(N(T46)&gt;0,T46,IF(N(P46)&gt;0,P46,MAX(1,G46))))</f>
        <v>1</v>
      </c>
      <c r="BR46" s="60" t="n">
        <f aca="false">IF(BP46="LOSE",1,0)</f>
        <v>1</v>
      </c>
      <c r="BS46" s="59" t="n">
        <f aca="false">IF(BR46=0,0,IF(N(R46)&gt;0,R46,IFERROR(VLOOKUP(D46,Parameter!$A$35:$C$64,3,0)+0,0)))</f>
        <v>0.15</v>
      </c>
      <c r="BT46" s="55" t="n">
        <f aca="false">IF(Y46&lt;&gt;"",Y46,X46)</f>
        <v>1</v>
      </c>
      <c r="BU46" s="55" t="str">
        <f aca="false">IF(BT46=1,"L1",IF(OR(BT46=2,BT46=3),"L23",IF(BT46="Aussen","Aussen","-")))</f>
        <v>L1</v>
      </c>
      <c r="BV46" s="66" t="n">
        <f aca="false">IF(N(Z46)&gt;0,Z46,0)</f>
        <v>0</v>
      </c>
      <c r="BW46" s="60" t="n">
        <f aca="false">IF(ISNUMBER(AC46),1,0)</f>
        <v>0</v>
      </c>
      <c r="BX46" s="57" t="n">
        <f aca="false">N(AC46)</f>
        <v>0</v>
      </c>
      <c r="BY46" s="57" t="n">
        <f aca="false">N(L46)+N(M46)</f>
        <v>4</v>
      </c>
      <c r="BZ46" s="57" t="n">
        <f aca="false">ROUNDUP(G46/BQ46,0)</f>
        <v>4</v>
      </c>
      <c r="CA46" s="57" t="n">
        <f aca="false">ROUNDUP(BX46/BQ46,0)</f>
        <v>0</v>
      </c>
      <c r="CB46" s="60" t="n">
        <f aca="false">IF(BR46=1,0,IFERROR(VLOOKUP(BP46,'Gebinde-Kategorie'!$A$5:$M$45,5,0)+0,0))</f>
        <v>0</v>
      </c>
      <c r="CC46" s="60" t="n">
        <f aca="false">IFERROR(IF(OR(BT46=1,BT46=2,BT46=3),N(INDEX(Parameter!$I$5:$I$7,BT46)),0),0)</f>
        <v>0</v>
      </c>
      <c r="CD46" s="59" t="n">
        <f aca="false">IF(AND(Parameter!$B$21="Ja",ISNUMBER(U46),N(V46)&gt;0),IFERROR(N(INDEX(Parameter!$L$5:$L$7,U46))*INDEX(Parameter!$E$5:$E$7,U46)*V46/SUMIFS($V$7:$V$1576,$U$7:$U$1576,U46),0),0)</f>
        <v>0.64030131826742</v>
      </c>
    </row>
    <row r="47" customFormat="false" ht="15" hidden="false" customHeight="false" outlineLevel="0" collapsed="false">
      <c r="A47" s="55" t="s">
        <v>277</v>
      </c>
      <c r="B47" s="55" t="s">
        <v>278</v>
      </c>
      <c r="C47" s="55" t="s">
        <v>160</v>
      </c>
      <c r="D47" s="55" t="s">
        <v>168</v>
      </c>
      <c r="E47" s="55" t="s">
        <v>210</v>
      </c>
      <c r="F47" s="56" t="n">
        <v>2358</v>
      </c>
      <c r="G47" s="57" t="n">
        <f aca="false">MAX(0,IF(AND(Parameter!$B$21="Ja",ISNUMBER(W47)),W47,IF(Parameter!$B$20="Jahresanfang 2025 + Export",BJ47+BI47,BI47)))</f>
        <v>3</v>
      </c>
      <c r="H47" s="57" t="n">
        <f aca="false">G47*F47</f>
        <v>7074</v>
      </c>
      <c r="I47" s="57" t="n">
        <f aca="false">BL47*Parameter!$B$18</f>
        <v>0</v>
      </c>
      <c r="J47" s="58" t="n">
        <v>1</v>
      </c>
      <c r="K47" s="59" t="n">
        <v>0</v>
      </c>
      <c r="L47" s="57" t="n">
        <v>0</v>
      </c>
      <c r="M47" s="57" t="n">
        <v>1</v>
      </c>
      <c r="N47" s="60" t="n">
        <v>120</v>
      </c>
      <c r="O47" s="55" t="s">
        <v>163</v>
      </c>
      <c r="P47" s="57"/>
      <c r="Q47" s="60" t="n">
        <f aca="false">IF(BR47=1,0,IFERROR(VLOOKUP(BP47,'Gebinde-Kategorie'!$A$5:$M$45,13,0)+0,0))</f>
        <v>0</v>
      </c>
      <c r="R47" s="61"/>
      <c r="S47" s="62"/>
      <c r="T47" s="62"/>
      <c r="U47" s="55"/>
      <c r="V47" s="57"/>
      <c r="W47" s="57"/>
      <c r="X47" s="55" t="n">
        <f aca="false">IF(A47="","",IF(AND(Parameter!$B$21="Ja",ISNUMBER(U47)),U47,IF(IFERROR(VLOOKUP(D47,Parameter!$A$35:$C$64,2,0),"Nein")="2+3",IF(ISNUMBER(SEARCH("grosser Artikel",BM47)),2,IFERROR(VLOOKUP(BP47,Parameter!$F$35:$G$64,2,0),2)),IF(OR(IFERROR(VLOOKUP(D47,Parameter!$A$35:$C$64,2,0),"Nein")="Nein",IFERROR(VLOOKUP(D47,Parameter!$A$35:$C$64,2,0),"Nein")=""),"-",VLOOKUP(D47,Parameter!$A$35:$C$64,2,0)))))</f>
        <v>2</v>
      </c>
      <c r="Y47" s="62"/>
      <c r="Z47" s="63"/>
      <c r="AA47" s="57" t="n">
        <f aca="false">AP47</f>
        <v>1</v>
      </c>
      <c r="AB47" s="57" t="n">
        <f aca="false">MAX(AP47,G47)</f>
        <v>3</v>
      </c>
      <c r="AC47" s="64"/>
      <c r="AD47" s="57" t="n">
        <f aca="false">IF(LEFT(Cockpit!$C$5,1)="A",G47,IF(BW47=1,BX47,IF(LEFT(Cockpit!$C$5,1)="B",AH47,MAX(AH47,G47))))</f>
        <v>3</v>
      </c>
      <c r="AE47" s="57" t="n">
        <f aca="false">IF(BR47=1,0,ROUNDUP(AD47/BQ47,0))</f>
        <v>0</v>
      </c>
      <c r="AF47" s="59" t="n">
        <f aca="false">IF(CD47&gt;0,CD47*MAX(1,AD47/V47),IF(BR47=1,IF(AD47&lt;=0,0,BS47*MAX(1,IF(G47&gt;0,AD47/G47,1))),IF(Q47&gt;0,AE47/Q47,0))/MAX(0.1,N(Parameter!$M$21)))</f>
        <v>0.15</v>
      </c>
      <c r="AG47" s="57" t="n">
        <f aca="false">AD47*F47</f>
        <v>7074</v>
      </c>
      <c r="AH47" s="57" t="n">
        <f aca="false">ROUNDUP(MAX(I47/IF(BV47&gt;0,BV47,MAX(0.1,N(Cockpit!$C$6))),BY47)/BQ47,0)*BQ47</f>
        <v>1</v>
      </c>
      <c r="AI47" s="58" t="n">
        <f aca="false">IF(AF47&gt;0,I47/AF47,-1)</f>
        <v>0</v>
      </c>
      <c r="AJ47" s="58" t="n">
        <f aca="false">IF(AND(OR(BU47="L1",BU47="L23"),AF47&gt;0),SUMIFS($AF$7:$AF$1576,$BU$7:$BU$1576,BU47,$AI$7:$AI$1576,"&gt;"&amp;AI47)+SUMIFS($AF$7:$AF$1576,$BU$7:$BU$1576,BU47,$AI$7:$AI$1576,AI47,$BO$7:$BO$1576,"&lt;="&amp;BO47),"")</f>
        <v>36.6792483362049</v>
      </c>
      <c r="AK47" s="65" t="n">
        <f aca="false">IF(AJ47="",0,MAX(0,MIN(1,(IF(BU47="L1",Parameter!$E$5,Parameter!$E$6+Parameter!$E$7)-(AJ47-AF47))/AF47)))</f>
        <v>1</v>
      </c>
      <c r="AL47" s="57" t="n">
        <f aca="false">IF(LEFT(Cockpit!$I$5,1)="A",G47,IF(BW47=1,BX47,IF(LEFT(Cockpit!$I$5,1)="B",AP47,MAX(AP47,G47))))</f>
        <v>3</v>
      </c>
      <c r="AM47" s="57" t="n">
        <f aca="false">IF(BR47=1,0,ROUNDUP(AL47/BQ47,0))</f>
        <v>0</v>
      </c>
      <c r="AN47" s="59" t="n">
        <f aca="false">IF(CD47&gt;0,CD47*MAX(1,AL47/V47),IF(BR47=1,IF(AL47&lt;=0,0,BS47*MAX(1,IF(G47&gt;0,AL47/G47,1))),IF(Q47&gt;0,AM47/Q47,0))/MAX(0.1,N(Parameter!$M$21)))</f>
        <v>0.15</v>
      </c>
      <c r="AO47" s="57" t="n">
        <f aca="false">AL47*F47</f>
        <v>7074</v>
      </c>
      <c r="AP47" s="57" t="n">
        <f aca="false">ROUNDUP(MAX(I47/IF(BV47&gt;0,BV47,MAX(0.1,N(Cockpit!$I$6))),BY47)/BQ47,0)*BQ47</f>
        <v>1</v>
      </c>
      <c r="AQ47" s="58" t="n">
        <f aca="false">IF(AN47&gt;0,I47/AN47,-1)</f>
        <v>0</v>
      </c>
      <c r="AR47" s="58" t="n">
        <f aca="false">IF(AND(OR(BU47="L1",BU47="L23"),AN47&gt;0),SUMIFS($AN$7:$AN$1576,$BU$7:$BU$1576,BU47,$AQ$7:$AQ$1576,"&gt;"&amp;AQ47)+SUMIFS($AN$7:$AN$1576,$BU$7:$BU$1576,BU47,$AQ$7:$AQ$1576,AQ47,$BO$7:$BO$1576,"&lt;="&amp;BO47),"")</f>
        <v>119.253454085994</v>
      </c>
      <c r="AS47" s="65" t="n">
        <f aca="false">IF(AR47="",0,MAX(0,MIN(1,(IF(BU47="L1",Parameter!$E$5,Parameter!$E$6+Parameter!$E$7)-(AR47-AN47))/AN47)))</f>
        <v>0</v>
      </c>
      <c r="AT47" s="57" t="n">
        <f aca="false">IF(LEFT(Cockpit!$O$5,1)="A",G47,IF(BW47=1,BX47,IF(LEFT(Cockpit!$O$5,1)="B",AX47,MAX(AX47,G47))))</f>
        <v>3</v>
      </c>
      <c r="AU47" s="57" t="n">
        <f aca="false">IF(BR47=1,0,ROUNDUP(AT47/BQ47,0))</f>
        <v>0</v>
      </c>
      <c r="AV47" s="59" t="n">
        <f aca="false">IF(CD47&gt;0,CD47*MAX(1,AT47/V47),IF(BR47=1,IF(AT47&lt;=0,0,BS47*MAX(1,IF(G47&gt;0,AT47/G47,1))),IF(Q47&gt;0,AU47/Q47,0))/MAX(0.1,N(Parameter!$M$21)))</f>
        <v>0.15</v>
      </c>
      <c r="AW47" s="57" t="n">
        <f aca="false">AT47*F47</f>
        <v>7074</v>
      </c>
      <c r="AX47" s="57" t="n">
        <f aca="false">ROUNDUP(MAX(I47/IF(BV47&gt;0,BV47,MAX(0.1,N(Cockpit!$O$6))),BY47)/BQ47,0)*BQ47</f>
        <v>1</v>
      </c>
      <c r="AY47" s="58" t="n">
        <f aca="false">IF(AV47&gt;0,I47/AV47,-1)</f>
        <v>0</v>
      </c>
      <c r="AZ47" s="58" t="n">
        <f aca="false">IF(AND(OR(BU47="L1",BU47="L23"),AV47&gt;0),SUMIFS($AV$7:$AV$1576,$BU$7:$BU$1576,BU47,$AY$7:$AY$1576,"&gt;"&amp;AY47)+SUMIFS($AV$7:$AV$1576,$BU$7:$BU$1576,BU47,$AY$7:$AY$1576,AY47,$BO$7:$BO$1576,"&lt;="&amp;BO47),"")</f>
        <v>109.313004535545</v>
      </c>
      <c r="BA47" s="65" t="n">
        <f aca="false">IF(AZ47="",0,MAX(0,MIN(1,(IF(BU47="L1",Parameter!$E$5,Parameter!$E$6+Parameter!$E$7)-(AZ47-AV47))/AV47)))</f>
        <v>0</v>
      </c>
      <c r="BB47" s="55" t="str">
        <f aca="false">IF(AF47&lt;=0,"",IF(BU47="Aussen","Aussenlager",IF(BU47="-","Nicht im Lift",IF(AK47&gt;=1,"Lift",IF(AK47&lt;=0,"Aussenlager","teilweise")))))</f>
        <v>Lift</v>
      </c>
      <c r="BC47" s="55" t="str">
        <f aca="false">IF(AN47&lt;=0,"",IF(BU47="Aussen","Aussenlager",IF(BU47="-","Nicht im Lift",IF(AS47&gt;=1,"Lift",IF(AS47&lt;=0,"Aussenlager","teilweise")))))</f>
        <v>Aussenlager</v>
      </c>
      <c r="BD47" s="55" t="str">
        <f aca="false">IF(AV47&lt;=0,"",IF(BU47="Aussen","Aussenlager",IF(BU47="-","Nicht im Lift",IF(BA47&gt;=1,"Lift",IF(BA47&lt;=0,"Aussenlager","teilweise")))))</f>
        <v>Aussenlager</v>
      </c>
      <c r="BE47" s="55" t="str">
        <f aca="false">IF(A47="","",IF(BN47=1,"Neu; ","")&amp;IF(AND(BN47=0,BI47&lt;0),"negativer Bestand (Export "&amp;BI47&amp;"); ","")&amp;IF(I47&lt;=0,"Kein Verbrauch; ","")&amp;IF(CD47&gt;0,"Lift "&amp;U47&amp;" lt. Liftbericht (Fach "&amp;V47&amp;" Stk); ",IF(BR47=1,"Lose – Fläche geschätzt; ",""))&amp;IF(G47&gt;AP47,"Überbestand "&amp;ROUND(G47-AP47,0)&amp;" Stk / CHF "&amp;ROUND((G47-AP47)*F47,0)&amp;"; ","")&amp;IF(AND(BW47=1,BX47&lt;BY47),"MAX &lt; MB+LG; ","")&amp;IF(AND(CC47&gt;0,CB47*10&gt;CC47),"zu hoch für Tablar; ","")&amp;IF(AND(BN47=0,OR(BW47=1,Y47&lt;&gt;"",S47&lt;&gt;"",T47&lt;&gt;"",Z47&lt;&gt;"")),"manuell übersteuert; ","")&amp;IF(AND(BR47=0,Q47=0),"Gebinde unbekannt / Stellmass fehlt; ","")&amp;IF(AND(BR47=0,N(T47)&lt;=0,N(P47)&lt;=0),"Menge pro Gebinde fehlt (Ist = 1 Gebinde); ","")&amp;BM47)</f>
        <v>Kein Verbrauch; Lose – Fläche geschätzt; Überbestand 2 Stk / CHF 4716; </v>
      </c>
      <c r="BF47" s="55"/>
      <c r="BG47" s="55"/>
      <c r="BH47" s="62"/>
      <c r="BI47" s="57" t="n">
        <v>3</v>
      </c>
      <c r="BJ47" s="57" t="n">
        <v>0</v>
      </c>
      <c r="BK47" s="56" t="n">
        <v>7074</v>
      </c>
      <c r="BL47" s="57" t="n">
        <v>0</v>
      </c>
      <c r="BM47" s="55"/>
      <c r="BN47" s="60" t="n">
        <v>0</v>
      </c>
      <c r="BO47" s="60" t="n">
        <v>47</v>
      </c>
      <c r="BP47" s="55" t="str">
        <f aca="false">IF(S47&lt;&gt;"",UPPER(TRIM(S47)),IF(O47="","LOSE",O47))</f>
        <v>LOSE</v>
      </c>
      <c r="BQ47" s="57" t="n">
        <f aca="false">IF(BP47="LOSE",1,IF(N(T47)&gt;0,T47,IF(N(P47)&gt;0,P47,MAX(1,G47))))</f>
        <v>1</v>
      </c>
      <c r="BR47" s="60" t="n">
        <f aca="false">IF(BP47="LOSE",1,0)</f>
        <v>1</v>
      </c>
      <c r="BS47" s="59" t="n">
        <f aca="false">IF(BR47=0,0,IF(N(R47)&gt;0,R47,IFERROR(VLOOKUP(D47,Parameter!$A$35:$C$64,3,0)+0,0)))</f>
        <v>0.15</v>
      </c>
      <c r="BT47" s="55" t="n">
        <f aca="false">IF(Y47&lt;&gt;"",Y47,X47)</f>
        <v>2</v>
      </c>
      <c r="BU47" s="55" t="str">
        <f aca="false">IF(BT47=1,"L1",IF(OR(BT47=2,BT47=3),"L23",IF(BT47="Aussen","Aussen","-")))</f>
        <v>L23</v>
      </c>
      <c r="BV47" s="66" t="n">
        <f aca="false">IF(N(Z47)&gt;0,Z47,0)</f>
        <v>0</v>
      </c>
      <c r="BW47" s="60" t="n">
        <f aca="false">IF(ISNUMBER(AC47),1,0)</f>
        <v>0</v>
      </c>
      <c r="BX47" s="57" t="n">
        <f aca="false">N(AC47)</f>
        <v>0</v>
      </c>
      <c r="BY47" s="57" t="n">
        <f aca="false">N(L47)+N(M47)</f>
        <v>1</v>
      </c>
      <c r="BZ47" s="57" t="n">
        <f aca="false">ROUNDUP(G47/BQ47,0)</f>
        <v>3</v>
      </c>
      <c r="CA47" s="57" t="n">
        <f aca="false">ROUNDUP(BX47/BQ47,0)</f>
        <v>0</v>
      </c>
      <c r="CB47" s="60" t="n">
        <f aca="false">IF(BR47=1,0,IFERROR(VLOOKUP(BP47,'Gebinde-Kategorie'!$A$5:$M$45,5,0)+0,0))</f>
        <v>0</v>
      </c>
      <c r="CC47" s="60" t="n">
        <f aca="false">IFERROR(IF(OR(BT47=1,BT47=2,BT47=3),N(INDEX(Parameter!$I$5:$I$7,BT47)),0),0)</f>
        <v>0</v>
      </c>
      <c r="CD47" s="59" t="n">
        <f aca="false">IF(AND(Parameter!$B$21="Ja",ISNUMBER(U47),N(V47)&gt;0),IFERROR(N(INDEX(Parameter!$L$5:$L$7,U47))*INDEX(Parameter!$E$5:$E$7,U47)*V47/SUMIFS($V$7:$V$1576,$U$7:$U$1576,U47),0),0)</f>
        <v>0</v>
      </c>
    </row>
    <row r="48" customFormat="false" ht="15" hidden="false" customHeight="false" outlineLevel="0" collapsed="false">
      <c r="A48" s="55" t="s">
        <v>279</v>
      </c>
      <c r="B48" s="55" t="s">
        <v>245</v>
      </c>
      <c r="C48" s="55" t="s">
        <v>160</v>
      </c>
      <c r="D48" s="55" t="s">
        <v>161</v>
      </c>
      <c r="E48" s="55" t="s">
        <v>210</v>
      </c>
      <c r="F48" s="56" t="n">
        <v>1380.43</v>
      </c>
      <c r="G48" s="57" t="n">
        <f aca="false">MAX(0,IF(AND(Parameter!$B$21="Ja",ISNUMBER(W48)),W48,IF(Parameter!$B$20="Jahresanfang 2025 + Export",BJ48+BI48,BI48)))</f>
        <v>3</v>
      </c>
      <c r="H48" s="57" t="n">
        <f aca="false">G48*F48</f>
        <v>4141.29</v>
      </c>
      <c r="I48" s="57" t="n">
        <f aca="false">BL48*Parameter!$B$18</f>
        <v>0</v>
      </c>
      <c r="J48" s="58" t="n">
        <v>3</v>
      </c>
      <c r="K48" s="59" t="n">
        <v>0</v>
      </c>
      <c r="L48" s="57" t="n">
        <v>0</v>
      </c>
      <c r="M48" s="57" t="n">
        <v>2</v>
      </c>
      <c r="N48" s="60" t="n">
        <v>70</v>
      </c>
      <c r="O48" s="55" t="s">
        <v>163</v>
      </c>
      <c r="P48" s="57"/>
      <c r="Q48" s="60" t="n">
        <f aca="false">IF(BR48=1,0,IFERROR(VLOOKUP(BP48,'Gebinde-Kategorie'!$A$5:$M$45,13,0)+0,0))</f>
        <v>0</v>
      </c>
      <c r="R48" s="61"/>
      <c r="S48" s="62"/>
      <c r="T48" s="62"/>
      <c r="U48" s="55" t="n">
        <v>1</v>
      </c>
      <c r="V48" s="57" t="n">
        <v>16</v>
      </c>
      <c r="W48" s="57" t="n">
        <v>3</v>
      </c>
      <c r="X48" s="55" t="n">
        <f aca="false">IF(A48="","",IF(AND(Parameter!$B$21="Ja",ISNUMBER(U48)),U48,IF(IFERROR(VLOOKUP(D48,Parameter!$A$35:$C$64,2,0),"Nein")="2+3",IF(ISNUMBER(SEARCH("grosser Artikel",BM48)),2,IFERROR(VLOOKUP(BP48,Parameter!$F$35:$G$64,2,0),2)),IF(OR(IFERROR(VLOOKUP(D48,Parameter!$A$35:$C$64,2,0),"Nein")="Nein",IFERROR(VLOOKUP(D48,Parameter!$A$35:$C$64,2,0),"Nein")=""),"-",VLOOKUP(D48,Parameter!$A$35:$C$64,2,0)))))</f>
        <v>1</v>
      </c>
      <c r="Y48" s="62"/>
      <c r="Z48" s="63"/>
      <c r="AA48" s="57" t="n">
        <f aca="false">AP48</f>
        <v>2</v>
      </c>
      <c r="AB48" s="57" t="n">
        <f aca="false">MAX(AP48,G48)</f>
        <v>3</v>
      </c>
      <c r="AC48" s="64"/>
      <c r="AD48" s="57" t="n">
        <f aca="false">IF(LEFT(Cockpit!$C$5,1)="A",G48,IF(BW48=1,BX48,IF(LEFT(Cockpit!$C$5,1)="B",AH48,MAX(AH48,G48))))</f>
        <v>3</v>
      </c>
      <c r="AE48" s="57" t="n">
        <f aca="false">IF(BR48=1,0,ROUNDUP(AD48/BQ48,0))</f>
        <v>0</v>
      </c>
      <c r="AF48" s="59" t="n">
        <f aca="false">IF(CD48&gt;0,CD48*MAX(1,AD48/V48),IF(BR48=1,IF(AD48&lt;=0,0,BS48*MAX(1,IF(G48&gt;0,AD48/G48,1))),IF(Q48&gt;0,AE48/Q48,0))/MAX(0.1,N(Parameter!$M$21)))</f>
        <v>1.28060263653484</v>
      </c>
      <c r="AG48" s="57" t="n">
        <f aca="false">AD48*F48</f>
        <v>4141.29</v>
      </c>
      <c r="AH48" s="57" t="n">
        <f aca="false">ROUNDUP(MAX(I48/IF(BV48&gt;0,BV48,MAX(0.1,N(Cockpit!$C$6))),BY48)/BQ48,0)*BQ48</f>
        <v>2</v>
      </c>
      <c r="AI48" s="58" t="n">
        <f aca="false">IF(AF48&gt;0,I48/AF48,-1)</f>
        <v>0</v>
      </c>
      <c r="AJ48" s="58" t="n">
        <f aca="false">IF(AND(OR(BU48="L1",BU48="L23"),AF48&gt;0),SUMIFS($AF$7:$AF$1576,$BU$7:$BU$1576,BU48,$AI$7:$AI$1576,"&gt;"&amp;AI48)+SUMIFS($AF$7:$AF$1576,$BU$7:$BU$1576,BU48,$AI$7:$AI$1576,AI48,$BO$7:$BO$1576,"&lt;="&amp;BO48),"")</f>
        <v>38.1779661016949</v>
      </c>
      <c r="AK48" s="65" t="n">
        <f aca="false">IF(AJ48="",0,MAX(0,MIN(1,(IF(BU48="L1",Parameter!$E$5,Parameter!$E$6+Parameter!$E$7)-(AJ48-AF48))/AF48)))</f>
        <v>1</v>
      </c>
      <c r="AL48" s="57" t="n">
        <f aca="false">IF(LEFT(Cockpit!$I$5,1)="A",G48,IF(BW48=1,BX48,IF(LEFT(Cockpit!$I$5,1)="B",AP48,MAX(AP48,G48))))</f>
        <v>3</v>
      </c>
      <c r="AM48" s="57" t="n">
        <f aca="false">IF(BR48=1,0,ROUNDUP(AL48/BQ48,0))</f>
        <v>0</v>
      </c>
      <c r="AN48" s="59" t="n">
        <f aca="false">IF(CD48&gt;0,CD48*MAX(1,AL48/V48),IF(BR48=1,IF(AL48&lt;=0,0,BS48*MAX(1,IF(G48&gt;0,AL48/G48,1))),IF(Q48&gt;0,AM48/Q48,0))/MAX(0.1,N(Parameter!$M$21)))</f>
        <v>1.28060263653484</v>
      </c>
      <c r="AO48" s="57" t="n">
        <f aca="false">AL48*F48</f>
        <v>4141.29</v>
      </c>
      <c r="AP48" s="57" t="n">
        <f aca="false">ROUNDUP(MAX(I48/IF(BV48&gt;0,BV48,MAX(0.1,N(Cockpit!$I$6))),BY48)/BQ48,0)*BQ48</f>
        <v>2</v>
      </c>
      <c r="AQ48" s="58" t="n">
        <f aca="false">IF(AN48&gt;0,I48/AN48,-1)</f>
        <v>0</v>
      </c>
      <c r="AR48" s="58" t="n">
        <f aca="false">IF(AND(OR(BU48="L1",BU48="L23"),AN48&gt;0),SUMIFS($AN$7:$AN$1576,$BU$7:$BU$1576,BU48,$AQ$7:$AQ$1576,"&gt;"&amp;AQ48)+SUMIFS($AN$7:$AN$1576,$BU$7:$BU$1576,BU48,$AQ$7:$AQ$1576,AQ48,$BO$7:$BO$1576,"&lt;="&amp;BO48),"")</f>
        <v>43.7005649717514</v>
      </c>
      <c r="AS48" s="65" t="n">
        <f aca="false">IF(AR48="",0,MAX(0,MIN(1,(IF(BU48="L1",Parameter!$E$5,Parameter!$E$6+Parameter!$E$7)-(AR48-AN48))/AN48)))</f>
        <v>1</v>
      </c>
      <c r="AT48" s="57" t="n">
        <f aca="false">IF(LEFT(Cockpit!$O$5,1)="A",G48,IF(BW48=1,BX48,IF(LEFT(Cockpit!$O$5,1)="B",AX48,MAX(AX48,G48))))</f>
        <v>3</v>
      </c>
      <c r="AU48" s="57" t="n">
        <f aca="false">IF(BR48=1,0,ROUNDUP(AT48/BQ48,0))</f>
        <v>0</v>
      </c>
      <c r="AV48" s="59" t="n">
        <f aca="false">IF(CD48&gt;0,CD48*MAX(1,AT48/V48),IF(BR48=1,IF(AT48&lt;=0,0,BS48*MAX(1,IF(G48&gt;0,AT48/G48,1))),IF(Q48&gt;0,AU48/Q48,0))/MAX(0.1,N(Parameter!$M$21)))</f>
        <v>1.28060263653484</v>
      </c>
      <c r="AW48" s="57" t="n">
        <f aca="false">AT48*F48</f>
        <v>4141.29</v>
      </c>
      <c r="AX48" s="57" t="n">
        <f aca="false">ROUNDUP(MAX(I48/IF(BV48&gt;0,BV48,MAX(0.1,N(Cockpit!$O$6))),BY48)/BQ48,0)*BQ48</f>
        <v>2</v>
      </c>
      <c r="AY48" s="58" t="n">
        <f aca="false">IF(AV48&gt;0,I48/AV48,-1)</f>
        <v>0</v>
      </c>
      <c r="AZ48" s="58" t="n">
        <f aca="false">IF(AND(OR(BU48="L1",BU48="L23"),AV48&gt;0),SUMIFS($AV$7:$AV$1576,$BU$7:$BU$1576,BU48,$AY$7:$AY$1576,"&gt;"&amp;AY48)+SUMIFS($AV$7:$AV$1576,$BU$7:$BU$1576,BU48,$AY$7:$AY$1576,AY48,$BO$7:$BO$1576,"&lt;="&amp;BO48),"")</f>
        <v>40.7391713747646</v>
      </c>
      <c r="BA48" s="65" t="n">
        <f aca="false">IF(AZ48="",0,MAX(0,MIN(1,(IF(BU48="L1",Parameter!$E$5,Parameter!$E$6+Parameter!$E$7)-(AZ48-AV48))/AV48)))</f>
        <v>1</v>
      </c>
      <c r="BB48" s="55" t="str">
        <f aca="false">IF(AF48&lt;=0,"",IF(BU48="Aussen","Aussenlager",IF(BU48="-","Nicht im Lift",IF(AK48&gt;=1,"Lift",IF(AK48&lt;=0,"Aussenlager","teilweise")))))</f>
        <v>Lift</v>
      </c>
      <c r="BC48" s="55" t="str">
        <f aca="false">IF(AN48&lt;=0,"",IF(BU48="Aussen","Aussenlager",IF(BU48="-","Nicht im Lift",IF(AS48&gt;=1,"Lift",IF(AS48&lt;=0,"Aussenlager","teilweise")))))</f>
        <v>Lift</v>
      </c>
      <c r="BD48" s="55" t="str">
        <f aca="false">IF(AV48&lt;=0,"",IF(BU48="Aussen","Aussenlager",IF(BU48="-","Nicht im Lift",IF(BA48&gt;=1,"Lift",IF(BA48&lt;=0,"Aussenlager","teilweise")))))</f>
        <v>Lift</v>
      </c>
      <c r="BE48" s="55" t="str">
        <f aca="false">IF(A48="","",IF(BN48=1,"Neu; ","")&amp;IF(AND(BN48=0,BI48&lt;0),"negativer Bestand (Export "&amp;BI48&amp;"); ","")&amp;IF(I48&lt;=0,"Kein Verbrauch; ","")&amp;IF(CD48&gt;0,"Lift "&amp;U48&amp;" lt. Liftbericht (Fach "&amp;V48&amp;" Stk); ",IF(BR48=1,"Lose – Fläche geschätzt; ",""))&amp;IF(G48&gt;AP48,"Überbestand "&amp;ROUND(G48-AP48,0)&amp;" Stk / CHF "&amp;ROUND((G48-AP48)*F48,0)&amp;"; ","")&amp;IF(AND(BW48=1,BX48&lt;BY48),"MAX &lt; MB+LG; ","")&amp;IF(AND(CC48&gt;0,CB48*10&gt;CC48),"zu hoch für Tablar; ","")&amp;IF(AND(BN48=0,OR(BW48=1,Y48&lt;&gt;"",S48&lt;&gt;"",T48&lt;&gt;"",Z48&lt;&gt;"")),"manuell übersteuert; ","")&amp;IF(AND(BR48=0,Q48=0),"Gebinde unbekannt / Stellmass fehlt; ","")&amp;IF(AND(BR48=0,N(T48)&lt;=0,N(P48)&lt;=0),"Menge pro Gebinde fehlt (Ist = 1 Gebinde); ","")&amp;BM48)</f>
        <v>Kein Verbrauch; Lift 1 lt. Liftbericht (Fach 16 Stk); Überbestand 1 Stk / CHF 1380; </v>
      </c>
      <c r="BF48" s="55"/>
      <c r="BG48" s="55"/>
      <c r="BH48" s="62"/>
      <c r="BI48" s="57" t="n">
        <v>5</v>
      </c>
      <c r="BJ48" s="57" t="n">
        <v>0</v>
      </c>
      <c r="BK48" s="56" t="n">
        <v>6902.15</v>
      </c>
      <c r="BL48" s="57" t="n">
        <v>0</v>
      </c>
      <c r="BM48" s="55"/>
      <c r="BN48" s="60" t="n">
        <v>0</v>
      </c>
      <c r="BO48" s="60" t="n">
        <v>48</v>
      </c>
      <c r="BP48" s="55" t="str">
        <f aca="false">IF(S48&lt;&gt;"",UPPER(TRIM(S48)),IF(O48="","LOSE",O48))</f>
        <v>LOSE</v>
      </c>
      <c r="BQ48" s="57" t="n">
        <f aca="false">IF(BP48="LOSE",1,IF(N(T48)&gt;0,T48,IF(N(P48)&gt;0,P48,MAX(1,G48))))</f>
        <v>1</v>
      </c>
      <c r="BR48" s="60" t="n">
        <f aca="false">IF(BP48="LOSE",1,0)</f>
        <v>1</v>
      </c>
      <c r="BS48" s="59" t="n">
        <f aca="false">IF(BR48=0,0,IF(N(R48)&gt;0,R48,IFERROR(VLOOKUP(D48,Parameter!$A$35:$C$64,3,0)+0,0)))</f>
        <v>1</v>
      </c>
      <c r="BT48" s="55" t="n">
        <f aca="false">IF(Y48&lt;&gt;"",Y48,X48)</f>
        <v>1</v>
      </c>
      <c r="BU48" s="55" t="str">
        <f aca="false">IF(BT48=1,"L1",IF(OR(BT48=2,BT48=3),"L23",IF(BT48="Aussen","Aussen","-")))</f>
        <v>L1</v>
      </c>
      <c r="BV48" s="66" t="n">
        <f aca="false">IF(N(Z48)&gt;0,Z48,0)</f>
        <v>0</v>
      </c>
      <c r="BW48" s="60" t="n">
        <f aca="false">IF(ISNUMBER(AC48),1,0)</f>
        <v>0</v>
      </c>
      <c r="BX48" s="57" t="n">
        <f aca="false">N(AC48)</f>
        <v>0</v>
      </c>
      <c r="BY48" s="57" t="n">
        <f aca="false">N(L48)+N(M48)</f>
        <v>2</v>
      </c>
      <c r="BZ48" s="57" t="n">
        <f aca="false">ROUNDUP(G48/BQ48,0)</f>
        <v>3</v>
      </c>
      <c r="CA48" s="57" t="n">
        <f aca="false">ROUNDUP(BX48/BQ48,0)</f>
        <v>0</v>
      </c>
      <c r="CB48" s="60" t="n">
        <f aca="false">IF(BR48=1,0,IFERROR(VLOOKUP(BP48,'Gebinde-Kategorie'!$A$5:$M$45,5,0)+0,0))</f>
        <v>0</v>
      </c>
      <c r="CC48" s="60" t="n">
        <f aca="false">IFERROR(IF(OR(BT48=1,BT48=2,BT48=3),N(INDEX(Parameter!$I$5:$I$7,BT48)),0),0)</f>
        <v>0</v>
      </c>
      <c r="CD48" s="59" t="n">
        <f aca="false">IF(AND(Parameter!$B$21="Ja",ISNUMBER(U48),N(V48)&gt;0),IFERROR(N(INDEX(Parameter!$L$5:$L$7,U48))*INDEX(Parameter!$E$5:$E$7,U48)*V48/SUMIFS($V$7:$V$1576,$U$7:$U$1576,U48),0),0)</f>
        <v>1.28060263653484</v>
      </c>
    </row>
    <row r="49" customFormat="false" ht="15" hidden="false" customHeight="false" outlineLevel="0" collapsed="false">
      <c r="A49" s="55" t="s">
        <v>280</v>
      </c>
      <c r="B49" s="55" t="s">
        <v>281</v>
      </c>
      <c r="C49" s="55" t="s">
        <v>160</v>
      </c>
      <c r="D49" s="55" t="s">
        <v>168</v>
      </c>
      <c r="E49" s="55" t="s">
        <v>210</v>
      </c>
      <c r="F49" s="56" t="n">
        <v>196.56</v>
      </c>
      <c r="G49" s="57" t="n">
        <f aca="false">MAX(0,IF(AND(Parameter!$B$21="Ja",ISNUMBER(W49)),W49,IF(Parameter!$B$20="Jahresanfang 2025 + Export",BJ49+BI49,BI49)))</f>
        <v>34</v>
      </c>
      <c r="H49" s="57" t="n">
        <f aca="false">G49*F49</f>
        <v>6683.04</v>
      </c>
      <c r="I49" s="57" t="n">
        <f aca="false">BL49*Parameter!$B$18</f>
        <v>0</v>
      </c>
      <c r="J49" s="58" t="n">
        <v>33</v>
      </c>
      <c r="K49" s="59" t="n">
        <v>0</v>
      </c>
      <c r="L49" s="57" t="n">
        <v>0</v>
      </c>
      <c r="M49" s="57" t="n">
        <v>1</v>
      </c>
      <c r="N49" s="60" t="n">
        <v>77</v>
      </c>
      <c r="O49" s="55" t="s">
        <v>215</v>
      </c>
      <c r="P49" s="57" t="n">
        <v>34</v>
      </c>
      <c r="Q49" s="60" t="n">
        <f aca="false">IF(BR49=1,0,IFERROR(VLOOKUP(BP49,'Gebinde-Kategorie'!$A$5:$M$45,13,0)+0,0))</f>
        <v>3</v>
      </c>
      <c r="R49" s="61"/>
      <c r="S49" s="62"/>
      <c r="T49" s="62"/>
      <c r="U49" s="55"/>
      <c r="V49" s="57"/>
      <c r="W49" s="57"/>
      <c r="X49" s="55" t="n">
        <f aca="false">IF(A49="","",IF(AND(Parameter!$B$21="Ja",ISNUMBER(U49)),U49,IF(IFERROR(VLOOKUP(D49,Parameter!$A$35:$C$64,2,0),"Nein")="2+3",IF(ISNUMBER(SEARCH("grosser Artikel",BM49)),2,IFERROR(VLOOKUP(BP49,Parameter!$F$35:$G$64,2,0),2)),IF(OR(IFERROR(VLOOKUP(D49,Parameter!$A$35:$C$64,2,0),"Nein")="Nein",IFERROR(VLOOKUP(D49,Parameter!$A$35:$C$64,2,0),"Nein")=""),"-",VLOOKUP(D49,Parameter!$A$35:$C$64,2,0)))))</f>
        <v>2</v>
      </c>
      <c r="Y49" s="62"/>
      <c r="Z49" s="63"/>
      <c r="AA49" s="57" t="n">
        <f aca="false">AP49</f>
        <v>34</v>
      </c>
      <c r="AB49" s="57" t="n">
        <f aca="false">MAX(AP49,G49)</f>
        <v>34</v>
      </c>
      <c r="AC49" s="64"/>
      <c r="AD49" s="57" t="n">
        <f aca="false">IF(LEFT(Cockpit!$C$5,1)="A",G49,IF(BW49=1,BX49,IF(LEFT(Cockpit!$C$5,1)="B",AH49,MAX(AH49,G49))))</f>
        <v>34</v>
      </c>
      <c r="AE49" s="57" t="n">
        <f aca="false">IF(BR49=1,0,ROUNDUP(AD49/BQ49,0))</f>
        <v>1</v>
      </c>
      <c r="AF49" s="59" t="n">
        <f aca="false">IF(CD49&gt;0,CD49*MAX(1,AD49/V49),IF(BR49=1,IF(AD49&lt;=0,0,BS49*MAX(1,IF(G49&gt;0,AD49/G49,1))),IF(Q49&gt;0,AE49/Q49,0))/MAX(0.1,N(Parameter!$M$21)))</f>
        <v>0.333333333333333</v>
      </c>
      <c r="AG49" s="57" t="n">
        <f aca="false">AD49*F49</f>
        <v>6683.04</v>
      </c>
      <c r="AH49" s="57" t="n">
        <f aca="false">ROUNDUP(MAX(I49/IF(BV49&gt;0,BV49,MAX(0.1,N(Cockpit!$C$6))),BY49)/BQ49,0)*BQ49</f>
        <v>34</v>
      </c>
      <c r="AI49" s="58" t="n">
        <f aca="false">IF(AF49&gt;0,I49/AF49,-1)</f>
        <v>0</v>
      </c>
      <c r="AJ49" s="58" t="n">
        <f aca="false">IF(AND(OR(BU49="L1",BU49="L23"),AF49&gt;0),SUMIFS($AF$7:$AF$1576,$BU$7:$BU$1576,BU49,$AI$7:$AI$1576,"&gt;"&amp;AI49)+SUMIFS($AF$7:$AF$1576,$BU$7:$BU$1576,BU49,$AI$7:$AI$1576,AI49,$BO$7:$BO$1576,"&lt;="&amp;BO49),"")</f>
        <v>37.0125816695382</v>
      </c>
      <c r="AK49" s="65" t="n">
        <f aca="false">IF(AJ49="",0,MAX(0,MIN(1,(IF(BU49="L1",Parameter!$E$5,Parameter!$E$6+Parameter!$E$7)-(AJ49-AF49))/AF49)))</f>
        <v>1</v>
      </c>
      <c r="AL49" s="57" t="n">
        <f aca="false">IF(LEFT(Cockpit!$I$5,1)="A",G49,IF(BW49=1,BX49,IF(LEFT(Cockpit!$I$5,1)="B",AP49,MAX(AP49,G49))))</f>
        <v>34</v>
      </c>
      <c r="AM49" s="57" t="n">
        <f aca="false">IF(BR49=1,0,ROUNDUP(AL49/BQ49,0))</f>
        <v>1</v>
      </c>
      <c r="AN49" s="59" t="n">
        <f aca="false">IF(CD49&gt;0,CD49*MAX(1,AL49/V49),IF(BR49=1,IF(AL49&lt;=0,0,BS49*MAX(1,IF(G49&gt;0,AL49/G49,1))),IF(Q49&gt;0,AM49/Q49,0))/MAX(0.1,N(Parameter!$M$21)))</f>
        <v>0.333333333333333</v>
      </c>
      <c r="AO49" s="57" t="n">
        <f aca="false">AL49*F49</f>
        <v>6683.04</v>
      </c>
      <c r="AP49" s="57" t="n">
        <f aca="false">ROUNDUP(MAX(I49/IF(BV49&gt;0,BV49,MAX(0.1,N(Cockpit!$I$6))),BY49)/BQ49,0)*BQ49</f>
        <v>34</v>
      </c>
      <c r="AQ49" s="58" t="n">
        <f aca="false">IF(AN49&gt;0,I49/AN49,-1)</f>
        <v>0</v>
      </c>
      <c r="AR49" s="58" t="n">
        <f aca="false">IF(AND(OR(BU49="L1",BU49="L23"),AN49&gt;0),SUMIFS($AN$7:$AN$1576,$BU$7:$BU$1576,BU49,$AQ$7:$AQ$1576,"&gt;"&amp;AQ49)+SUMIFS($AN$7:$AN$1576,$BU$7:$BU$1576,BU49,$AQ$7:$AQ$1576,AQ49,$BO$7:$BO$1576,"&lt;="&amp;BO49),"")</f>
        <v>119.586787419328</v>
      </c>
      <c r="AS49" s="65" t="n">
        <f aca="false">IF(AR49="",0,MAX(0,MIN(1,(IF(BU49="L1",Parameter!$E$5,Parameter!$E$6+Parameter!$E$7)-(AR49-AN49))/AN49)))</f>
        <v>0</v>
      </c>
      <c r="AT49" s="57" t="n">
        <f aca="false">IF(LEFT(Cockpit!$O$5,1)="A",G49,IF(BW49=1,BX49,IF(LEFT(Cockpit!$O$5,1)="B",AX49,MAX(AX49,G49))))</f>
        <v>34</v>
      </c>
      <c r="AU49" s="57" t="n">
        <f aca="false">IF(BR49=1,0,ROUNDUP(AT49/BQ49,0))</f>
        <v>1</v>
      </c>
      <c r="AV49" s="59" t="n">
        <f aca="false">IF(CD49&gt;0,CD49*MAX(1,AT49/V49),IF(BR49=1,IF(AT49&lt;=0,0,BS49*MAX(1,IF(G49&gt;0,AT49/G49,1))),IF(Q49&gt;0,AU49/Q49,0))/MAX(0.1,N(Parameter!$M$21)))</f>
        <v>0.333333333333333</v>
      </c>
      <c r="AW49" s="57" t="n">
        <f aca="false">AT49*F49</f>
        <v>6683.04</v>
      </c>
      <c r="AX49" s="57" t="n">
        <f aca="false">ROUNDUP(MAX(I49/IF(BV49&gt;0,BV49,MAX(0.1,N(Cockpit!$O$6))),BY49)/BQ49,0)*BQ49</f>
        <v>34</v>
      </c>
      <c r="AY49" s="58" t="n">
        <f aca="false">IF(AV49&gt;0,I49/AV49,-1)</f>
        <v>0</v>
      </c>
      <c r="AZ49" s="58" t="n">
        <f aca="false">IF(AND(OR(BU49="L1",BU49="L23"),AV49&gt;0),SUMIFS($AV$7:$AV$1576,$BU$7:$BU$1576,BU49,$AY$7:$AY$1576,"&gt;"&amp;AY49)+SUMIFS($AV$7:$AV$1576,$BU$7:$BU$1576,BU49,$AY$7:$AY$1576,AY49,$BO$7:$BO$1576,"&lt;="&amp;BO49),"")</f>
        <v>109.646337868878</v>
      </c>
      <c r="BA49" s="65" t="n">
        <f aca="false">IF(AZ49="",0,MAX(0,MIN(1,(IF(BU49="L1",Parameter!$E$5,Parameter!$E$6+Parameter!$E$7)-(AZ49-AV49))/AV49)))</f>
        <v>0</v>
      </c>
      <c r="BB49" s="55" t="str">
        <f aca="false">IF(AF49&lt;=0,"",IF(BU49="Aussen","Aussenlager",IF(BU49="-","Nicht im Lift",IF(AK49&gt;=1,"Lift",IF(AK49&lt;=0,"Aussenlager","teilweise")))))</f>
        <v>Lift</v>
      </c>
      <c r="BC49" s="55" t="str">
        <f aca="false">IF(AN49&lt;=0,"",IF(BU49="Aussen","Aussenlager",IF(BU49="-","Nicht im Lift",IF(AS49&gt;=1,"Lift",IF(AS49&lt;=0,"Aussenlager","teilweise")))))</f>
        <v>Aussenlager</v>
      </c>
      <c r="BD49" s="55" t="str">
        <f aca="false">IF(AV49&lt;=0,"",IF(BU49="Aussen","Aussenlager",IF(BU49="-","Nicht im Lift",IF(BA49&gt;=1,"Lift",IF(BA49&lt;=0,"Aussenlager","teilweise")))))</f>
        <v>Aussenlager</v>
      </c>
      <c r="BE49" s="55" t="str">
        <f aca="false">IF(A49="","",IF(BN49=1,"Neu; ","")&amp;IF(AND(BN49=0,BI49&lt;0),"negativer Bestand (Export "&amp;BI49&amp;"); ","")&amp;IF(I49&lt;=0,"Kein Verbrauch; ","")&amp;IF(CD49&gt;0,"Lift "&amp;U49&amp;" lt. Liftbericht (Fach "&amp;V49&amp;" Stk); ",IF(BR49=1,"Lose – Fläche geschätzt; ",""))&amp;IF(G49&gt;AP49,"Überbestand "&amp;ROUND(G49-AP49,0)&amp;" Stk / CHF "&amp;ROUND((G49-AP49)*F49,0)&amp;"; ","")&amp;IF(AND(BW49=1,BX49&lt;BY49),"MAX &lt; MB+LG; ","")&amp;IF(AND(CC49&gt;0,CB49*10&gt;CC49),"zu hoch für Tablar; ","")&amp;IF(AND(BN49=0,OR(BW49=1,Y49&lt;&gt;"",S49&lt;&gt;"",T49&lt;&gt;"",Z49&lt;&gt;"")),"manuell übersteuert; ","")&amp;IF(AND(BR49=0,Q49=0),"Gebinde unbekannt / Stellmass fehlt; ","")&amp;IF(AND(BR49=0,N(T49)&lt;=0,N(P49)&lt;=0),"Menge pro Gebinde fehlt (Ist = 1 Gebinde); ","")&amp;BM49)</f>
        <v>Kein Verbrauch; </v>
      </c>
      <c r="BF49" s="55"/>
      <c r="BG49" s="55"/>
      <c r="BH49" s="62"/>
      <c r="BI49" s="57" t="n">
        <v>34</v>
      </c>
      <c r="BJ49" s="57" t="n">
        <v>32</v>
      </c>
      <c r="BK49" s="56" t="n">
        <v>6683.04</v>
      </c>
      <c r="BL49" s="57" t="n">
        <v>0</v>
      </c>
      <c r="BM49" s="55"/>
      <c r="BN49" s="60" t="n">
        <v>0</v>
      </c>
      <c r="BO49" s="60" t="n">
        <v>49</v>
      </c>
      <c r="BP49" s="55" t="str">
        <f aca="false">IF(S49&lt;&gt;"",UPPER(TRIM(S49)),IF(O49="","LOSE",O49))</f>
        <v>S81</v>
      </c>
      <c r="BQ49" s="57" t="n">
        <f aca="false">IF(BP49="LOSE",1,IF(N(T49)&gt;0,T49,IF(N(P49)&gt;0,P49,MAX(1,G49))))</f>
        <v>34</v>
      </c>
      <c r="BR49" s="60" t="n">
        <f aca="false">IF(BP49="LOSE",1,0)</f>
        <v>0</v>
      </c>
      <c r="BS49" s="59" t="n">
        <f aca="false">IF(BR49=0,0,IF(N(R49)&gt;0,R49,IFERROR(VLOOKUP(D49,Parameter!$A$35:$C$64,3,0)+0,0)))</f>
        <v>0</v>
      </c>
      <c r="BT49" s="55" t="n">
        <f aca="false">IF(Y49&lt;&gt;"",Y49,X49)</f>
        <v>2</v>
      </c>
      <c r="BU49" s="55" t="str">
        <f aca="false">IF(BT49=1,"L1",IF(OR(BT49=2,BT49=3),"L23",IF(BT49="Aussen","Aussen","-")))</f>
        <v>L23</v>
      </c>
      <c r="BV49" s="66" t="n">
        <f aca="false">IF(N(Z49)&gt;0,Z49,0)</f>
        <v>0</v>
      </c>
      <c r="BW49" s="60" t="n">
        <f aca="false">IF(ISNUMBER(AC49),1,0)</f>
        <v>0</v>
      </c>
      <c r="BX49" s="57" t="n">
        <f aca="false">N(AC49)</f>
        <v>0</v>
      </c>
      <c r="BY49" s="57" t="n">
        <f aca="false">N(L49)+N(M49)</f>
        <v>1</v>
      </c>
      <c r="BZ49" s="57" t="n">
        <f aca="false">ROUNDUP(G49/BQ49,0)</f>
        <v>1</v>
      </c>
      <c r="CA49" s="57" t="n">
        <f aca="false">ROUNDUP(BX49/BQ49,0)</f>
        <v>0</v>
      </c>
      <c r="CB49" s="60" t="n">
        <f aca="false">IF(BR49=1,0,IFERROR(VLOOKUP(BP49,'Gebinde-Kategorie'!$A$5:$M$45,5,0)+0,0))</f>
        <v>20</v>
      </c>
      <c r="CC49" s="60" t="n">
        <f aca="false">IFERROR(IF(OR(BT49=1,BT49=2,BT49=3),N(INDEX(Parameter!$I$5:$I$7,BT49)),0),0)</f>
        <v>0</v>
      </c>
      <c r="CD49" s="59" t="n">
        <f aca="false">IF(AND(Parameter!$B$21="Ja",ISNUMBER(U49),N(V49)&gt;0),IFERROR(N(INDEX(Parameter!$L$5:$L$7,U49))*INDEX(Parameter!$E$5:$E$7,U49)*V49/SUMIFS($V$7:$V$1576,$U$7:$U$1576,U49),0),0)</f>
        <v>0</v>
      </c>
    </row>
    <row r="50" customFormat="false" ht="15" hidden="false" customHeight="false" outlineLevel="0" collapsed="false">
      <c r="A50" s="55" t="s">
        <v>282</v>
      </c>
      <c r="B50" s="55" t="s">
        <v>283</v>
      </c>
      <c r="C50" s="55" t="s">
        <v>160</v>
      </c>
      <c r="D50" s="55" t="s">
        <v>178</v>
      </c>
      <c r="E50" s="55" t="s">
        <v>210</v>
      </c>
      <c r="F50" s="56" t="n">
        <v>177.93</v>
      </c>
      <c r="G50" s="57" t="n">
        <f aca="false">MAX(0,IF(AND(Parameter!$B$21="Ja",ISNUMBER(W50)),W50,IF(Parameter!$B$20="Jahresanfang 2025 + Export",BJ50+BI50,BI50)))</f>
        <v>36</v>
      </c>
      <c r="H50" s="57" t="n">
        <f aca="false">G50*F50</f>
        <v>6405.48</v>
      </c>
      <c r="I50" s="57" t="n">
        <f aca="false">BL50*Parameter!$B$18</f>
        <v>125</v>
      </c>
      <c r="J50" s="58" t="n">
        <v>31</v>
      </c>
      <c r="K50" s="59" t="n">
        <v>4.03225806451613</v>
      </c>
      <c r="L50" s="57" t="n">
        <v>20</v>
      </c>
      <c r="M50" s="57" t="n">
        <v>40</v>
      </c>
      <c r="N50" s="60" t="n">
        <v>30</v>
      </c>
      <c r="O50" s="55" t="s">
        <v>284</v>
      </c>
      <c r="P50" s="57" t="n">
        <v>80</v>
      </c>
      <c r="Q50" s="60" t="n">
        <f aca="false">IF(BR50=1,0,IFERROR(VLOOKUP(BP50,'Gebinde-Kategorie'!$A$5:$M$45,13,0)+0,0))</f>
        <v>12</v>
      </c>
      <c r="R50" s="61"/>
      <c r="S50" s="62"/>
      <c r="T50" s="62"/>
      <c r="U50" s="55"/>
      <c r="V50" s="57"/>
      <c r="W50" s="57"/>
      <c r="X50" s="55" t="n">
        <f aca="false">IF(A50="","",IF(AND(Parameter!$B$21="Ja",ISNUMBER(U50)),U50,IF(IFERROR(VLOOKUP(D50,Parameter!$A$35:$C$64,2,0),"Nein")="2+3",IF(ISNUMBER(SEARCH("grosser Artikel",BM50)),2,IFERROR(VLOOKUP(BP50,Parameter!$F$35:$G$64,2,0),2)),IF(OR(IFERROR(VLOOKUP(D50,Parameter!$A$35:$C$64,2,0),"Nein")="Nein",IFERROR(VLOOKUP(D50,Parameter!$A$35:$C$64,2,0),"Nein")=""),"-",VLOOKUP(D50,Parameter!$A$35:$C$64,2,0)))))</f>
        <v>2</v>
      </c>
      <c r="Y50" s="62"/>
      <c r="Z50" s="63"/>
      <c r="AA50" s="57" t="n">
        <f aca="false">AP50</f>
        <v>80</v>
      </c>
      <c r="AB50" s="57" t="n">
        <f aca="false">MAX(AP50,G50)</f>
        <v>80</v>
      </c>
      <c r="AC50" s="64"/>
      <c r="AD50" s="57" t="n">
        <f aca="false">IF(LEFT(Cockpit!$C$5,1)="A",G50,IF(BW50=1,BX50,IF(LEFT(Cockpit!$C$5,1)="B",AH50,MAX(AH50,G50))))</f>
        <v>36</v>
      </c>
      <c r="AE50" s="57" t="n">
        <f aca="false">IF(BR50=1,0,ROUNDUP(AD50/BQ50,0))</f>
        <v>1</v>
      </c>
      <c r="AF50" s="59" t="n">
        <f aca="false">IF(CD50&gt;0,CD50*MAX(1,AD50/V50),IF(BR50=1,IF(AD50&lt;=0,0,BS50*MAX(1,IF(G50&gt;0,AD50/G50,1))),IF(Q50&gt;0,AE50/Q50,0))/MAX(0.1,N(Parameter!$M$21)))</f>
        <v>0.0833333333333333</v>
      </c>
      <c r="AG50" s="57" t="n">
        <f aca="false">AD50*F50</f>
        <v>6405.48</v>
      </c>
      <c r="AH50" s="57" t="n">
        <f aca="false">ROUNDUP(MAX(I50/IF(BV50&gt;0,BV50,MAX(0.1,N(Cockpit!$C$6))),BY50)/BQ50,0)*BQ50</f>
        <v>80</v>
      </c>
      <c r="AI50" s="58" t="n">
        <f aca="false">IF(AF50&gt;0,I50/AF50,-1)</f>
        <v>1500</v>
      </c>
      <c r="AJ50" s="58" t="n">
        <f aca="false">IF(AND(OR(BU50="L1",BU50="L23"),AF50&gt;0),SUMIFS($AF$7:$AF$1576,$BU$7:$BU$1576,BU50,$AI$7:$AI$1576,"&gt;"&amp;AI50)+SUMIFS($AF$7:$AF$1576,$BU$7:$BU$1576,BU50,$AI$7:$AI$1576,AI50,$BO$7:$BO$1576,"&lt;="&amp;BO50),"")</f>
        <v>7.87415087328131</v>
      </c>
      <c r="AK50" s="65" t="n">
        <f aca="false">IF(AJ50="",0,MAX(0,MIN(1,(IF(BU50="L1",Parameter!$E$5,Parameter!$E$6+Parameter!$E$7)-(AJ50-AF50))/AF50)))</f>
        <v>1</v>
      </c>
      <c r="AL50" s="57" t="n">
        <f aca="false">IF(LEFT(Cockpit!$I$5,1)="A",G50,IF(BW50=1,BX50,IF(LEFT(Cockpit!$I$5,1)="B",AP50,MAX(AP50,G50))))</f>
        <v>80</v>
      </c>
      <c r="AM50" s="57" t="n">
        <f aca="false">IF(BR50=1,0,ROUNDUP(AL50/BQ50,0))</f>
        <v>1</v>
      </c>
      <c r="AN50" s="59" t="n">
        <f aca="false">IF(CD50&gt;0,CD50*MAX(1,AL50/V50),IF(BR50=1,IF(AL50&lt;=0,0,BS50*MAX(1,IF(G50&gt;0,AL50/G50,1))),IF(Q50&gt;0,AM50/Q50,0))/MAX(0.1,N(Parameter!$M$21)))</f>
        <v>0.0833333333333333</v>
      </c>
      <c r="AO50" s="57" t="n">
        <f aca="false">AL50*F50</f>
        <v>14234.4</v>
      </c>
      <c r="AP50" s="57" t="n">
        <f aca="false">ROUNDUP(MAX(I50/IF(BV50&gt;0,BV50,MAX(0.1,N(Cockpit!$I$6))),BY50)/BQ50,0)*BQ50</f>
        <v>80</v>
      </c>
      <c r="AQ50" s="58" t="n">
        <f aca="false">IF(AN50&gt;0,I50/AN50,-1)</f>
        <v>1500</v>
      </c>
      <c r="AR50" s="58" t="n">
        <f aca="false">IF(AND(OR(BU50="L1",BU50="L23"),AN50&gt;0),SUMIFS($AN$7:$AN$1576,$BU$7:$BU$1576,BU50,$AQ$7:$AQ$1576,"&gt;"&amp;AQ50)+SUMIFS($AN$7:$AN$1576,$BU$7:$BU$1576,BU50,$AQ$7:$AQ$1576,AQ50,$BO$7:$BO$1576,"&lt;="&amp;BO50),"")</f>
        <v>19.0423113725399</v>
      </c>
      <c r="AS50" s="65" t="n">
        <f aca="false">IF(AR50="",0,MAX(0,MIN(1,(IF(BU50="L1",Parameter!$E$5,Parameter!$E$6+Parameter!$E$7)-(AR50-AN50))/AN50)))</f>
        <v>1</v>
      </c>
      <c r="AT50" s="57" t="n">
        <f aca="false">IF(LEFT(Cockpit!$O$5,1)="A",G50,IF(BW50=1,BX50,IF(LEFT(Cockpit!$O$5,1)="B",AX50,MAX(AX50,G50))))</f>
        <v>80</v>
      </c>
      <c r="AU50" s="57" t="n">
        <f aca="false">IF(BR50=1,0,ROUNDUP(AT50/BQ50,0))</f>
        <v>1</v>
      </c>
      <c r="AV50" s="59" t="n">
        <f aca="false">IF(CD50&gt;0,CD50*MAX(1,AT50/V50),IF(BR50=1,IF(AT50&lt;=0,0,BS50*MAX(1,IF(G50&gt;0,AT50/G50,1))),IF(Q50&gt;0,AU50/Q50,0))/MAX(0.1,N(Parameter!$M$21)))</f>
        <v>0.0833333333333333</v>
      </c>
      <c r="AW50" s="57" t="n">
        <f aca="false">AT50*F50</f>
        <v>14234.4</v>
      </c>
      <c r="AX50" s="57" t="n">
        <f aca="false">ROUNDUP(MAX(I50/IF(BV50&gt;0,BV50,MAX(0.1,N(Cockpit!$O$6))),BY50)/BQ50,0)*BQ50</f>
        <v>80</v>
      </c>
      <c r="AY50" s="58" t="n">
        <f aca="false">IF(AV50&gt;0,I50/AV50,-1)</f>
        <v>1500</v>
      </c>
      <c r="AZ50" s="58" t="n">
        <f aca="false">IF(AND(OR(BU50="L1",BU50="L23"),AV50&gt;0),SUMIFS($AV$7:$AV$1576,$BU$7:$BU$1576,BU50,$AY$7:$AY$1576,"&gt;"&amp;AY50)+SUMIFS($AV$7:$AV$1576,$BU$7:$BU$1576,BU50,$AY$7:$AY$1576,AY50,$BO$7:$BO$1576,"&lt;="&amp;BO50),"")</f>
        <v>18.0195840998126</v>
      </c>
      <c r="BA50" s="65" t="n">
        <f aca="false">IF(AZ50="",0,MAX(0,MIN(1,(IF(BU50="L1",Parameter!$E$5,Parameter!$E$6+Parameter!$E$7)-(AZ50-AV50))/AV50)))</f>
        <v>1</v>
      </c>
      <c r="BB50" s="55" t="str">
        <f aca="false">IF(AF50&lt;=0,"",IF(BU50="Aussen","Aussenlager",IF(BU50="-","Nicht im Lift",IF(AK50&gt;=1,"Lift",IF(AK50&lt;=0,"Aussenlager","teilweise")))))</f>
        <v>Lift</v>
      </c>
      <c r="BC50" s="55" t="str">
        <f aca="false">IF(AN50&lt;=0,"",IF(BU50="Aussen","Aussenlager",IF(BU50="-","Nicht im Lift",IF(AS50&gt;=1,"Lift",IF(AS50&lt;=0,"Aussenlager","teilweise")))))</f>
        <v>Lift</v>
      </c>
      <c r="BD50" s="55" t="str">
        <f aca="false">IF(AV50&lt;=0,"",IF(BU50="Aussen","Aussenlager",IF(BU50="-","Nicht im Lift",IF(BA50&gt;=1,"Lift",IF(BA50&lt;=0,"Aussenlager","teilweise")))))</f>
        <v>Lift</v>
      </c>
      <c r="BE50" s="55" t="str">
        <f aca="false">IF(A50="","",IF(BN50=1,"Neu; ","")&amp;IF(AND(BN50=0,BI50&lt;0),"negativer Bestand (Export "&amp;BI50&amp;"); ","")&amp;IF(I50&lt;=0,"Kein Verbrauch; ","")&amp;IF(CD50&gt;0,"Lift "&amp;U50&amp;" lt. Liftbericht (Fach "&amp;V50&amp;" Stk); ",IF(BR50=1,"Lose – Fläche geschätzt; ",""))&amp;IF(G50&gt;AP50,"Überbestand "&amp;ROUND(G50-AP50,0)&amp;" Stk / CHF "&amp;ROUND((G50-AP50)*F50,0)&amp;"; ","")&amp;IF(AND(BW50=1,BX50&lt;BY50),"MAX &lt; MB+LG; ","")&amp;IF(AND(CC50&gt;0,CB50*10&gt;CC50),"zu hoch für Tablar; ","")&amp;IF(AND(BN50=0,OR(BW50=1,Y50&lt;&gt;"",S50&lt;&gt;"",T50&lt;&gt;"",Z50&lt;&gt;"")),"manuell übersteuert; ","")&amp;IF(AND(BR50=0,Q50=0),"Gebinde unbekannt / Stellmass fehlt; ","")&amp;IF(AND(BR50=0,N(T50)&lt;=0,N(P50)&lt;=0),"Menge pro Gebinde fehlt (Ist = 1 Gebinde); ","")&amp;BM50)</f>
        <v/>
      </c>
      <c r="BF50" s="55"/>
      <c r="BG50" s="55"/>
      <c r="BH50" s="62"/>
      <c r="BI50" s="57" t="n">
        <v>36</v>
      </c>
      <c r="BJ50" s="57" t="n">
        <v>19</v>
      </c>
      <c r="BK50" s="56" t="n">
        <v>6622.65</v>
      </c>
      <c r="BL50" s="57" t="n">
        <v>125</v>
      </c>
      <c r="BM50" s="55"/>
      <c r="BN50" s="60" t="n">
        <v>0</v>
      </c>
      <c r="BO50" s="60" t="n">
        <v>50</v>
      </c>
      <c r="BP50" s="55" t="str">
        <f aca="false">IF(S50&lt;&gt;"",UPPER(TRIM(S50)),IF(O50="","LOSE",O50))</f>
        <v>S62</v>
      </c>
      <c r="BQ50" s="57" t="n">
        <f aca="false">IF(BP50="LOSE",1,IF(N(T50)&gt;0,T50,IF(N(P50)&gt;0,P50,MAX(1,G50))))</f>
        <v>80</v>
      </c>
      <c r="BR50" s="60" t="n">
        <f aca="false">IF(BP50="LOSE",1,0)</f>
        <v>0</v>
      </c>
      <c r="BS50" s="59" t="n">
        <f aca="false">IF(BR50=0,0,IF(N(R50)&gt;0,R50,IFERROR(VLOOKUP(D50,Parameter!$A$35:$C$64,3,0)+0,0)))</f>
        <v>0</v>
      </c>
      <c r="BT50" s="55" t="n">
        <f aca="false">IF(Y50&lt;&gt;"",Y50,X50)</f>
        <v>2</v>
      </c>
      <c r="BU50" s="55" t="str">
        <f aca="false">IF(BT50=1,"L1",IF(OR(BT50=2,BT50=3),"L23",IF(BT50="Aussen","Aussen","-")))</f>
        <v>L23</v>
      </c>
      <c r="BV50" s="66" t="n">
        <f aca="false">IF(N(Z50)&gt;0,Z50,0)</f>
        <v>0</v>
      </c>
      <c r="BW50" s="60" t="n">
        <f aca="false">IF(ISNUMBER(AC50),1,0)</f>
        <v>0</v>
      </c>
      <c r="BX50" s="57" t="n">
        <f aca="false">N(AC50)</f>
        <v>0</v>
      </c>
      <c r="BY50" s="57" t="n">
        <f aca="false">N(L50)+N(M50)</f>
        <v>60</v>
      </c>
      <c r="BZ50" s="57" t="n">
        <f aca="false">ROUNDUP(G50/BQ50,0)</f>
        <v>1</v>
      </c>
      <c r="CA50" s="57" t="n">
        <f aca="false">ROUNDUP(BX50/BQ50,0)</f>
        <v>0</v>
      </c>
      <c r="CB50" s="60" t="n">
        <f aca="false">IF(BR50=1,0,IFERROR(VLOOKUP(BP50,'Gebinde-Kategorie'!$A$5:$M$45,5,0)+0,0))</f>
        <v>21</v>
      </c>
      <c r="CC50" s="60" t="n">
        <f aca="false">IFERROR(IF(OR(BT50=1,BT50=2,BT50=3),N(INDEX(Parameter!$I$5:$I$7,BT50)),0),0)</f>
        <v>0</v>
      </c>
      <c r="CD50" s="59" t="n">
        <f aca="false">IF(AND(Parameter!$B$21="Ja",ISNUMBER(U50),N(V50)&gt;0),IFERROR(N(INDEX(Parameter!$L$5:$L$7,U50))*INDEX(Parameter!$E$5:$E$7,U50)*V50/SUMIFS($V$7:$V$1576,$U$7:$U$1576,U50),0),0)</f>
        <v>0</v>
      </c>
    </row>
    <row r="51" customFormat="false" ht="15" hidden="false" customHeight="false" outlineLevel="0" collapsed="false">
      <c r="A51" s="55" t="s">
        <v>285</v>
      </c>
      <c r="B51" s="55" t="s">
        <v>286</v>
      </c>
      <c r="C51" s="55" t="s">
        <v>160</v>
      </c>
      <c r="D51" s="55" t="s">
        <v>178</v>
      </c>
      <c r="E51" s="55" t="s">
        <v>210</v>
      </c>
      <c r="F51" s="56" t="n">
        <v>16.16</v>
      </c>
      <c r="G51" s="57" t="n">
        <f aca="false">MAX(0,IF(AND(Parameter!$B$21="Ja",ISNUMBER(W51)),W51,IF(Parameter!$B$20="Jahresanfang 2025 + Export",BJ51+BI51,BI51)))</f>
        <v>399</v>
      </c>
      <c r="H51" s="57" t="n">
        <f aca="false">G51*F51</f>
        <v>6447.84</v>
      </c>
      <c r="I51" s="57" t="n">
        <f aca="false">BL51*Parameter!$B$18</f>
        <v>714</v>
      </c>
      <c r="J51" s="58" t="n">
        <v>155.5</v>
      </c>
      <c r="K51" s="59" t="n">
        <v>4.59163987138264</v>
      </c>
      <c r="L51" s="57" t="n">
        <v>110</v>
      </c>
      <c r="M51" s="57" t="n">
        <v>330</v>
      </c>
      <c r="N51" s="60" t="n">
        <v>56</v>
      </c>
      <c r="O51" s="55" t="s">
        <v>225</v>
      </c>
      <c r="P51" s="57" t="n">
        <v>174</v>
      </c>
      <c r="Q51" s="60" t="n">
        <f aca="false">IF(BR51=1,0,IFERROR(VLOOKUP(BP51,'Gebinde-Kategorie'!$A$5:$M$45,13,0)+0,0))</f>
        <v>26</v>
      </c>
      <c r="R51" s="61"/>
      <c r="S51" s="62"/>
      <c r="T51" s="62"/>
      <c r="U51" s="55"/>
      <c r="V51" s="57"/>
      <c r="W51" s="57"/>
      <c r="X51" s="55" t="n">
        <f aca="false">IF(A51="","",IF(AND(Parameter!$B$21="Ja",ISNUMBER(U51)),U51,IF(IFERROR(VLOOKUP(D51,Parameter!$A$35:$C$64,2,0),"Nein")="2+3",IF(ISNUMBER(SEARCH("grosser Artikel",BM51)),2,IFERROR(VLOOKUP(BP51,Parameter!$F$35:$G$64,2,0),2)),IF(OR(IFERROR(VLOOKUP(D51,Parameter!$A$35:$C$64,2,0),"Nein")="Nein",IFERROR(VLOOKUP(D51,Parameter!$A$35:$C$64,2,0),"Nein")=""),"-",VLOOKUP(D51,Parameter!$A$35:$C$64,2,0)))))</f>
        <v>3</v>
      </c>
      <c r="Y51" s="62"/>
      <c r="Z51" s="63"/>
      <c r="AA51" s="57" t="n">
        <f aca="false">AP51</f>
        <v>522</v>
      </c>
      <c r="AB51" s="57" t="n">
        <f aca="false">MAX(AP51,G51)</f>
        <v>522</v>
      </c>
      <c r="AC51" s="64"/>
      <c r="AD51" s="57" t="n">
        <f aca="false">IF(LEFT(Cockpit!$C$5,1)="A",G51,IF(BW51=1,BX51,IF(LEFT(Cockpit!$C$5,1)="B",AH51,MAX(AH51,G51))))</f>
        <v>399</v>
      </c>
      <c r="AE51" s="57" t="n">
        <f aca="false">IF(BR51=1,0,ROUNDUP(AD51/BQ51,0))</f>
        <v>3</v>
      </c>
      <c r="AF51" s="59" t="n">
        <f aca="false">IF(CD51&gt;0,CD51*MAX(1,AD51/V51),IF(BR51=1,IF(AD51&lt;=0,0,BS51*MAX(1,IF(G51&gt;0,AD51/G51,1))),IF(Q51&gt;0,AE51/Q51,0))/MAX(0.1,N(Parameter!$M$21)))</f>
        <v>0.115384615384615</v>
      </c>
      <c r="AG51" s="57" t="n">
        <f aca="false">AD51*F51</f>
        <v>6447.84</v>
      </c>
      <c r="AH51" s="57" t="n">
        <f aca="false">ROUNDUP(MAX(I51/IF(BV51&gt;0,BV51,MAX(0.1,N(Cockpit!$C$6))),BY51)/BQ51,0)*BQ51</f>
        <v>522</v>
      </c>
      <c r="AI51" s="58" t="n">
        <f aca="false">IF(AF51&gt;0,I51/AF51,-1)</f>
        <v>6188</v>
      </c>
      <c r="AJ51" s="58" t="n">
        <f aca="false">IF(AND(OR(BU51="L1",BU51="L23"),AF51&gt;0),SUMIFS($AF$7:$AF$1576,$BU$7:$BU$1576,BU51,$AI$7:$AI$1576,"&gt;"&amp;AI51)+SUMIFS($AF$7:$AF$1576,$BU$7:$BU$1576,BU51,$AI$7:$AI$1576,AI51,$BO$7:$BO$1576,"&lt;="&amp;BO51),"")</f>
        <v>3.56624235667714</v>
      </c>
      <c r="AK51" s="65" t="n">
        <f aca="false">IF(AJ51="",0,MAX(0,MIN(1,(IF(BU51="L1",Parameter!$E$5,Parameter!$E$6+Parameter!$E$7)-(AJ51-AF51))/AF51)))</f>
        <v>1</v>
      </c>
      <c r="AL51" s="57" t="n">
        <f aca="false">IF(LEFT(Cockpit!$I$5,1)="A",G51,IF(BW51=1,BX51,IF(LEFT(Cockpit!$I$5,1)="B",AP51,MAX(AP51,G51))))</f>
        <v>522</v>
      </c>
      <c r="AM51" s="57" t="n">
        <f aca="false">IF(BR51=1,0,ROUNDUP(AL51/BQ51,0))</f>
        <v>3</v>
      </c>
      <c r="AN51" s="59" t="n">
        <f aca="false">IF(CD51&gt;0,CD51*MAX(1,AL51/V51),IF(BR51=1,IF(AL51&lt;=0,0,BS51*MAX(1,IF(G51&gt;0,AL51/G51,1))),IF(Q51&gt;0,AM51/Q51,0))/MAX(0.1,N(Parameter!$M$21)))</f>
        <v>0.115384615384615</v>
      </c>
      <c r="AO51" s="57" t="n">
        <f aca="false">AL51*F51</f>
        <v>8435.52</v>
      </c>
      <c r="AP51" s="57" t="n">
        <f aca="false">ROUNDUP(MAX(I51/IF(BV51&gt;0,BV51,MAX(0.1,N(Cockpit!$I$6))),BY51)/BQ51,0)*BQ51</f>
        <v>522</v>
      </c>
      <c r="AQ51" s="58" t="n">
        <f aca="false">IF(AN51&gt;0,I51/AN51,-1)</f>
        <v>6188</v>
      </c>
      <c r="AR51" s="58" t="n">
        <f aca="false">IF(AND(OR(BU51="L1",BU51="L23"),AN51&gt;0),SUMIFS($AN$7:$AN$1576,$BU$7:$BU$1576,BU51,$AQ$7:$AQ$1576,"&gt;"&amp;AQ51)+SUMIFS($AN$7:$AN$1576,$BU$7:$BU$1576,BU51,$AQ$7:$AQ$1576,AQ51,$BO$7:$BO$1576,"&lt;="&amp;BO51),"")</f>
        <v>10.6886159859464</v>
      </c>
      <c r="AS51" s="65" t="n">
        <f aca="false">IF(AR51="",0,MAX(0,MIN(1,(IF(BU51="L1",Parameter!$E$5,Parameter!$E$6+Parameter!$E$7)-(AR51-AN51))/AN51)))</f>
        <v>1</v>
      </c>
      <c r="AT51" s="57" t="n">
        <f aca="false">IF(LEFT(Cockpit!$O$5,1)="A",G51,IF(BW51=1,BX51,IF(LEFT(Cockpit!$O$5,1)="B",AX51,MAX(AX51,G51))))</f>
        <v>522</v>
      </c>
      <c r="AU51" s="57" t="n">
        <f aca="false">IF(BR51=1,0,ROUNDUP(AT51/BQ51,0))</f>
        <v>3</v>
      </c>
      <c r="AV51" s="59" t="n">
        <f aca="false">IF(CD51&gt;0,CD51*MAX(1,AT51/V51),IF(BR51=1,IF(AT51&lt;=0,0,BS51*MAX(1,IF(G51&gt;0,AT51/G51,1))),IF(Q51&gt;0,AU51/Q51,0))/MAX(0.1,N(Parameter!$M$21)))</f>
        <v>0.115384615384615</v>
      </c>
      <c r="AW51" s="57" t="n">
        <f aca="false">AT51*F51</f>
        <v>8435.52</v>
      </c>
      <c r="AX51" s="57" t="n">
        <f aca="false">ROUNDUP(MAX(I51/IF(BV51&gt;0,BV51,MAX(0.1,N(Cockpit!$O$6))),BY51)/BQ51,0)*BQ51</f>
        <v>522</v>
      </c>
      <c r="AY51" s="58" t="n">
        <f aca="false">IF(AV51&gt;0,I51/AV51,-1)</f>
        <v>6188</v>
      </c>
      <c r="AZ51" s="58" t="n">
        <f aca="false">IF(AND(OR(BU51="L1",BU51="L23"),AV51&gt;0),SUMIFS($AV$7:$AV$1576,$BU$7:$BU$1576,BU51,$AY$7:$AY$1576,"&gt;"&amp;AY51)+SUMIFS($AV$7:$AV$1576,$BU$7:$BU$1576,BU51,$AY$7:$AY$1576,AY51,$BO$7:$BO$1576,"&lt;="&amp;BO51),"")</f>
        <v>9.87101691834735</v>
      </c>
      <c r="BA51" s="65" t="n">
        <f aca="false">IF(AZ51="",0,MAX(0,MIN(1,(IF(BU51="L1",Parameter!$E$5,Parameter!$E$6+Parameter!$E$7)-(AZ51-AV51))/AV51)))</f>
        <v>1</v>
      </c>
      <c r="BB51" s="55" t="str">
        <f aca="false">IF(AF51&lt;=0,"",IF(BU51="Aussen","Aussenlager",IF(BU51="-","Nicht im Lift",IF(AK51&gt;=1,"Lift",IF(AK51&lt;=0,"Aussenlager","teilweise")))))</f>
        <v>Lift</v>
      </c>
      <c r="BC51" s="55" t="str">
        <f aca="false">IF(AN51&lt;=0,"",IF(BU51="Aussen","Aussenlager",IF(BU51="-","Nicht im Lift",IF(AS51&gt;=1,"Lift",IF(AS51&lt;=0,"Aussenlager","teilweise")))))</f>
        <v>Lift</v>
      </c>
      <c r="BD51" s="55" t="str">
        <f aca="false">IF(AV51&lt;=0,"",IF(BU51="Aussen","Aussenlager",IF(BU51="-","Nicht im Lift",IF(BA51&gt;=1,"Lift",IF(BA51&lt;=0,"Aussenlager","teilweise")))))</f>
        <v>Lift</v>
      </c>
      <c r="BE51" s="55" t="str">
        <f aca="false">IF(A51="","",IF(BN51=1,"Neu; ","")&amp;IF(AND(BN51=0,BI51&lt;0),"negativer Bestand (Export "&amp;BI51&amp;"); ","")&amp;IF(I51&lt;=0,"Kein Verbrauch; ","")&amp;IF(CD51&gt;0,"Lift "&amp;U51&amp;" lt. Liftbericht (Fach "&amp;V51&amp;" Stk); ",IF(BR51=1,"Lose – Fläche geschätzt; ",""))&amp;IF(G51&gt;AP51,"Überbestand "&amp;ROUND(G51-AP51,0)&amp;" Stk / CHF "&amp;ROUND((G51-AP51)*F51,0)&amp;"; ","")&amp;IF(AND(BW51=1,BX51&lt;BY51),"MAX &lt; MB+LG; ","")&amp;IF(AND(CC51&gt;0,CB51*10&gt;CC51),"zu hoch für Tablar; ","")&amp;IF(AND(BN51=0,OR(BW51=1,Y51&lt;&gt;"",S51&lt;&gt;"",T51&lt;&gt;"",Z51&lt;&gt;"")),"manuell übersteuert; ","")&amp;IF(AND(BR51=0,Q51=0),"Gebinde unbekannt / Stellmass fehlt; ","")&amp;IF(AND(BR51=0,N(T51)&lt;=0,N(P51)&lt;=0),"Menge pro Gebinde fehlt (Ist = 1 Gebinde); ","")&amp;BM51)</f>
        <v/>
      </c>
      <c r="BF51" s="55"/>
      <c r="BG51" s="55"/>
      <c r="BH51" s="62"/>
      <c r="BI51" s="57" t="n">
        <v>399</v>
      </c>
      <c r="BJ51" s="57" t="n">
        <v>45</v>
      </c>
      <c r="BK51" s="56" t="n">
        <v>6570.69</v>
      </c>
      <c r="BL51" s="57" t="n">
        <v>714</v>
      </c>
      <c r="BM51" s="55"/>
      <c r="BN51" s="60" t="n">
        <v>0</v>
      </c>
      <c r="BO51" s="60" t="n">
        <v>51</v>
      </c>
      <c r="BP51" s="55" t="str">
        <f aca="false">IF(S51&lt;&gt;"",UPPER(TRIM(S51)),IF(O51="","LOSE",O51))</f>
        <v>S52</v>
      </c>
      <c r="BQ51" s="57" t="n">
        <f aca="false">IF(BP51="LOSE",1,IF(N(T51)&gt;0,T51,IF(N(P51)&gt;0,P51,MAX(1,G51))))</f>
        <v>174</v>
      </c>
      <c r="BR51" s="60" t="n">
        <f aca="false">IF(BP51="LOSE",1,0)</f>
        <v>0</v>
      </c>
      <c r="BS51" s="59" t="n">
        <f aca="false">IF(BR51=0,0,IF(N(R51)&gt;0,R51,IFERROR(VLOOKUP(D51,Parameter!$A$35:$C$64,3,0)+0,0)))</f>
        <v>0</v>
      </c>
      <c r="BT51" s="55" t="n">
        <f aca="false">IF(Y51&lt;&gt;"",Y51,X51)</f>
        <v>3</v>
      </c>
      <c r="BU51" s="55" t="str">
        <f aca="false">IF(BT51=1,"L1",IF(OR(BT51=2,BT51=3),"L23",IF(BT51="Aussen","Aussen","-")))</f>
        <v>L23</v>
      </c>
      <c r="BV51" s="66" t="n">
        <f aca="false">IF(N(Z51)&gt;0,Z51,0)</f>
        <v>0</v>
      </c>
      <c r="BW51" s="60" t="n">
        <f aca="false">IF(ISNUMBER(AC51),1,0)</f>
        <v>0</v>
      </c>
      <c r="BX51" s="57" t="n">
        <f aca="false">N(AC51)</f>
        <v>0</v>
      </c>
      <c r="BY51" s="57" t="n">
        <f aca="false">N(L51)+N(M51)</f>
        <v>440</v>
      </c>
      <c r="BZ51" s="57" t="n">
        <f aca="false">ROUNDUP(G51/BQ51,0)</f>
        <v>3</v>
      </c>
      <c r="CA51" s="57" t="n">
        <f aca="false">ROUNDUP(BX51/BQ51,0)</f>
        <v>0</v>
      </c>
      <c r="CB51" s="60" t="n">
        <f aca="false">IF(BR51=1,0,IFERROR(VLOOKUP(BP51,'Gebinde-Kategorie'!$A$5:$M$45,5,0)+0,0))</f>
        <v>21</v>
      </c>
      <c r="CC51" s="60" t="n">
        <f aca="false">IFERROR(IF(OR(BT51=1,BT51=2,BT51=3),N(INDEX(Parameter!$I$5:$I$7,BT51)),0),0)</f>
        <v>0</v>
      </c>
      <c r="CD51" s="59" t="n">
        <f aca="false">IF(AND(Parameter!$B$21="Ja",ISNUMBER(U51),N(V51)&gt;0),IFERROR(N(INDEX(Parameter!$L$5:$L$7,U51))*INDEX(Parameter!$E$5:$E$7,U51)*V51/SUMIFS($V$7:$V$1576,$U$7:$U$1576,U51),0),0)</f>
        <v>0</v>
      </c>
    </row>
    <row r="52" customFormat="false" ht="15" hidden="false" customHeight="false" outlineLevel="0" collapsed="false">
      <c r="A52" s="55" t="s">
        <v>287</v>
      </c>
      <c r="B52" s="55" t="s">
        <v>288</v>
      </c>
      <c r="C52" s="55" t="s">
        <v>160</v>
      </c>
      <c r="D52" s="55" t="s">
        <v>161</v>
      </c>
      <c r="E52" s="55" t="s">
        <v>210</v>
      </c>
      <c r="F52" s="56" t="n">
        <v>197.24</v>
      </c>
      <c r="G52" s="57" t="n">
        <f aca="false">MAX(0,IF(AND(Parameter!$B$21="Ja",ISNUMBER(W52)),W52,IF(Parameter!$B$20="Jahresanfang 2025 + Export",BJ52+BI52,BI52)))</f>
        <v>34</v>
      </c>
      <c r="H52" s="57" t="n">
        <f aca="false">G52*F52</f>
        <v>6706.16</v>
      </c>
      <c r="I52" s="57" t="n">
        <f aca="false">BL52*Parameter!$B$18</f>
        <v>48</v>
      </c>
      <c r="J52" s="58" t="n">
        <v>10.5</v>
      </c>
      <c r="K52" s="59" t="n">
        <v>4.57142857142857</v>
      </c>
      <c r="L52" s="57" t="n">
        <v>10</v>
      </c>
      <c r="M52" s="57" t="n">
        <v>12</v>
      </c>
      <c r="N52" s="60" t="n">
        <v>70</v>
      </c>
      <c r="O52" s="55" t="s">
        <v>163</v>
      </c>
      <c r="P52" s="57"/>
      <c r="Q52" s="60" t="n">
        <f aca="false">IF(BR52=1,0,IFERROR(VLOOKUP(BP52,'Gebinde-Kategorie'!$A$5:$M$45,13,0)+0,0))</f>
        <v>0</v>
      </c>
      <c r="R52" s="61"/>
      <c r="S52" s="62"/>
      <c r="T52" s="62"/>
      <c r="U52" s="55" t="n">
        <v>1</v>
      </c>
      <c r="V52" s="57" t="n">
        <v>36</v>
      </c>
      <c r="W52" s="57" t="n">
        <v>34</v>
      </c>
      <c r="X52" s="55" t="n">
        <f aca="false">IF(A52="","",IF(AND(Parameter!$B$21="Ja",ISNUMBER(U52)),U52,IF(IFERROR(VLOOKUP(D52,Parameter!$A$35:$C$64,2,0),"Nein")="2+3",IF(ISNUMBER(SEARCH("grosser Artikel",BM52)),2,IFERROR(VLOOKUP(BP52,Parameter!$F$35:$G$64,2,0),2)),IF(OR(IFERROR(VLOOKUP(D52,Parameter!$A$35:$C$64,2,0),"Nein")="Nein",IFERROR(VLOOKUP(D52,Parameter!$A$35:$C$64,2,0),"Nein")=""),"-",VLOOKUP(D52,Parameter!$A$35:$C$64,2,0)))))</f>
        <v>1</v>
      </c>
      <c r="Y52" s="62"/>
      <c r="Z52" s="63"/>
      <c r="AA52" s="57" t="n">
        <f aca="false">AP52</f>
        <v>24</v>
      </c>
      <c r="AB52" s="57" t="n">
        <f aca="false">MAX(AP52,G52)</f>
        <v>34</v>
      </c>
      <c r="AC52" s="64"/>
      <c r="AD52" s="57" t="n">
        <f aca="false">IF(LEFT(Cockpit!$C$5,1)="A",G52,IF(BW52=1,BX52,IF(LEFT(Cockpit!$C$5,1)="B",AH52,MAX(AH52,G52))))</f>
        <v>34</v>
      </c>
      <c r="AE52" s="57" t="n">
        <f aca="false">IF(BR52=1,0,ROUNDUP(AD52/BQ52,0))</f>
        <v>0</v>
      </c>
      <c r="AF52" s="59" t="n">
        <f aca="false">IF(CD52&gt;0,CD52*MAX(1,AD52/V52),IF(BR52=1,IF(AD52&lt;=0,0,BS52*MAX(1,IF(G52&gt;0,AD52/G52,1))),IF(Q52&gt;0,AE52/Q52,0))/MAX(0.1,N(Parameter!$M$21)))</f>
        <v>2.88135593220339</v>
      </c>
      <c r="AG52" s="57" t="n">
        <f aca="false">AD52*F52</f>
        <v>6706.16</v>
      </c>
      <c r="AH52" s="57" t="n">
        <f aca="false">ROUNDUP(MAX(I52/IF(BV52&gt;0,BV52,MAX(0.1,N(Cockpit!$C$6))),BY52)/BQ52,0)*BQ52</f>
        <v>24</v>
      </c>
      <c r="AI52" s="58" t="n">
        <f aca="false">IF(AF52&gt;0,I52/AF52,-1)</f>
        <v>16.6588235294118</v>
      </c>
      <c r="AJ52" s="58" t="n">
        <f aca="false">IF(AND(OR(BU52="L1",BU52="L23"),AF52&gt;0),SUMIFS($AF$7:$AF$1576,$BU$7:$BU$1576,BU52,$AI$7:$AI$1576,"&gt;"&amp;AI52)+SUMIFS($AF$7:$AF$1576,$BU$7:$BU$1576,BU52,$AI$7:$AI$1576,AI52,$BO$7:$BO$1576,"&lt;="&amp;BO52),"")</f>
        <v>18.0885122410546</v>
      </c>
      <c r="AK52" s="65" t="n">
        <f aca="false">IF(AJ52="",0,MAX(0,MIN(1,(IF(BU52="L1",Parameter!$E$5,Parameter!$E$6+Parameter!$E$7)-(AJ52-AF52))/AF52)))</f>
        <v>1</v>
      </c>
      <c r="AL52" s="57" t="n">
        <f aca="false">IF(LEFT(Cockpit!$I$5,1)="A",G52,IF(BW52=1,BX52,IF(LEFT(Cockpit!$I$5,1)="B",AP52,MAX(AP52,G52))))</f>
        <v>34</v>
      </c>
      <c r="AM52" s="57" t="n">
        <f aca="false">IF(BR52=1,0,ROUNDUP(AL52/BQ52,0))</f>
        <v>0</v>
      </c>
      <c r="AN52" s="59" t="n">
        <f aca="false">IF(CD52&gt;0,CD52*MAX(1,AL52/V52),IF(BR52=1,IF(AL52&lt;=0,0,BS52*MAX(1,IF(G52&gt;0,AL52/G52,1))),IF(Q52&gt;0,AM52/Q52,0))/MAX(0.1,N(Parameter!$M$21)))</f>
        <v>2.88135593220339</v>
      </c>
      <c r="AO52" s="57" t="n">
        <f aca="false">AL52*F52</f>
        <v>6706.16</v>
      </c>
      <c r="AP52" s="57" t="n">
        <f aca="false">ROUNDUP(MAX(I52/IF(BV52&gt;0,BV52,MAX(0.1,N(Cockpit!$I$6))),BY52)/BQ52,0)*BQ52</f>
        <v>24</v>
      </c>
      <c r="AQ52" s="58" t="n">
        <f aca="false">IF(AN52&gt;0,I52/AN52,-1)</f>
        <v>16.6588235294118</v>
      </c>
      <c r="AR52" s="58" t="n">
        <f aca="false">IF(AND(OR(BU52="L1",BU52="L23"),AN52&gt;0),SUMIFS($AN$7:$AN$1576,$BU$7:$BU$1576,BU52,$AQ$7:$AQ$1576,"&gt;"&amp;AQ52)+SUMIFS($AN$7:$AN$1576,$BU$7:$BU$1576,BU52,$AQ$7:$AQ$1576,AQ52,$BO$7:$BO$1576,"&lt;="&amp;BO52),"")</f>
        <v>21.7702448210923</v>
      </c>
      <c r="AS52" s="65" t="n">
        <f aca="false">IF(AR52="",0,MAX(0,MIN(1,(IF(BU52="L1",Parameter!$E$5,Parameter!$E$6+Parameter!$E$7)-(AR52-AN52))/AN52)))</f>
        <v>1</v>
      </c>
      <c r="AT52" s="57" t="n">
        <f aca="false">IF(LEFT(Cockpit!$O$5,1)="A",G52,IF(BW52=1,BX52,IF(LEFT(Cockpit!$O$5,1)="B",AX52,MAX(AX52,G52))))</f>
        <v>34</v>
      </c>
      <c r="AU52" s="57" t="n">
        <f aca="false">IF(BR52=1,0,ROUNDUP(AT52/BQ52,0))</f>
        <v>0</v>
      </c>
      <c r="AV52" s="59" t="n">
        <f aca="false">IF(CD52&gt;0,CD52*MAX(1,AT52/V52),IF(BR52=1,IF(AT52&lt;=0,0,BS52*MAX(1,IF(G52&gt;0,AT52/G52,1))),IF(Q52&gt;0,AU52/Q52,0))/MAX(0.1,N(Parameter!$M$21)))</f>
        <v>2.88135593220339</v>
      </c>
      <c r="AW52" s="57" t="n">
        <f aca="false">AT52*F52</f>
        <v>6706.16</v>
      </c>
      <c r="AX52" s="57" t="n">
        <f aca="false">ROUNDUP(MAX(I52/IF(BV52&gt;0,BV52,MAX(0.1,N(Cockpit!$O$6))),BY52)/BQ52,0)*BQ52</f>
        <v>22</v>
      </c>
      <c r="AY52" s="58" t="n">
        <f aca="false">IF(AV52&gt;0,I52/AV52,-1)</f>
        <v>16.6588235294118</v>
      </c>
      <c r="AZ52" s="58" t="n">
        <f aca="false">IF(AND(OR(BU52="L1",BU52="L23"),AV52&gt;0),SUMIFS($AV$7:$AV$1576,$BU$7:$BU$1576,BU52,$AY$7:$AY$1576,"&gt;"&amp;AY52)+SUMIFS($AV$7:$AV$1576,$BU$7:$BU$1576,BU52,$AY$7:$AY$1576,AY52,$BO$7:$BO$1576,"&lt;="&amp;BO52),"")</f>
        <v>18.8088512241055</v>
      </c>
      <c r="BA52" s="65" t="n">
        <f aca="false">IF(AZ52="",0,MAX(0,MIN(1,(IF(BU52="L1",Parameter!$E$5,Parameter!$E$6+Parameter!$E$7)-(AZ52-AV52))/AV52)))</f>
        <v>1</v>
      </c>
      <c r="BB52" s="55" t="str">
        <f aca="false">IF(AF52&lt;=0,"",IF(BU52="Aussen","Aussenlager",IF(BU52="-","Nicht im Lift",IF(AK52&gt;=1,"Lift",IF(AK52&lt;=0,"Aussenlager","teilweise")))))</f>
        <v>Lift</v>
      </c>
      <c r="BC52" s="55" t="str">
        <f aca="false">IF(AN52&lt;=0,"",IF(BU52="Aussen","Aussenlager",IF(BU52="-","Nicht im Lift",IF(AS52&gt;=1,"Lift",IF(AS52&lt;=0,"Aussenlager","teilweise")))))</f>
        <v>Lift</v>
      </c>
      <c r="BD52" s="55" t="str">
        <f aca="false">IF(AV52&lt;=0,"",IF(BU52="Aussen","Aussenlager",IF(BU52="-","Nicht im Lift",IF(BA52&gt;=1,"Lift",IF(BA52&lt;=0,"Aussenlager","teilweise")))))</f>
        <v>Lift</v>
      </c>
      <c r="BE52" s="55" t="str">
        <f aca="false">IF(A52="","",IF(BN52=1,"Neu; ","")&amp;IF(AND(BN52=0,BI52&lt;0),"negativer Bestand (Export "&amp;BI52&amp;"); ","")&amp;IF(I52&lt;=0,"Kein Verbrauch; ","")&amp;IF(CD52&gt;0,"Lift "&amp;U52&amp;" lt. Liftbericht (Fach "&amp;V52&amp;" Stk); ",IF(BR52=1,"Lose – Fläche geschätzt; ",""))&amp;IF(G52&gt;AP52,"Überbestand "&amp;ROUND(G52-AP52,0)&amp;" Stk / CHF "&amp;ROUND((G52-AP52)*F52,0)&amp;"; ","")&amp;IF(AND(BW52=1,BX52&lt;BY52),"MAX &lt; MB+LG; ","")&amp;IF(AND(CC52&gt;0,CB52*10&gt;CC52),"zu hoch für Tablar; ","")&amp;IF(AND(BN52=0,OR(BW52=1,Y52&lt;&gt;"",S52&lt;&gt;"",T52&lt;&gt;"",Z52&lt;&gt;"")),"manuell übersteuert; ","")&amp;IF(AND(BR52=0,Q52=0),"Gebinde unbekannt / Stellmass fehlt; ","")&amp;IF(AND(BR52=0,N(T52)&lt;=0,N(P52)&lt;=0),"Menge pro Gebinde fehlt (Ist = 1 Gebinde); ","")&amp;BM52)</f>
        <v>Lift 1 lt. Liftbericht (Fach 36 Stk); Überbestand 10 Stk / CHF 1972; </v>
      </c>
      <c r="BF52" s="55" t="s">
        <v>289</v>
      </c>
      <c r="BG52" s="55" t="s">
        <v>290</v>
      </c>
      <c r="BH52" s="62"/>
      <c r="BI52" s="57" t="n">
        <v>29</v>
      </c>
      <c r="BJ52" s="57" t="n">
        <v>5</v>
      </c>
      <c r="BK52" s="56" t="n">
        <v>5927.21</v>
      </c>
      <c r="BL52" s="57" t="n">
        <v>48</v>
      </c>
      <c r="BM52" s="55"/>
      <c r="BN52" s="60" t="n">
        <v>0</v>
      </c>
      <c r="BO52" s="60" t="n">
        <v>52</v>
      </c>
      <c r="BP52" s="55" t="str">
        <f aca="false">IF(S52&lt;&gt;"",UPPER(TRIM(S52)),IF(O52="","LOSE",O52))</f>
        <v>LOSE</v>
      </c>
      <c r="BQ52" s="57" t="n">
        <f aca="false">IF(BP52="LOSE",1,IF(N(T52)&gt;0,T52,IF(N(P52)&gt;0,P52,MAX(1,G52))))</f>
        <v>1</v>
      </c>
      <c r="BR52" s="60" t="n">
        <f aca="false">IF(BP52="LOSE",1,0)</f>
        <v>1</v>
      </c>
      <c r="BS52" s="59" t="n">
        <f aca="false">IF(BR52=0,0,IF(N(R52)&gt;0,R52,IFERROR(VLOOKUP(D52,Parameter!$A$35:$C$64,3,0)+0,0)))</f>
        <v>1</v>
      </c>
      <c r="BT52" s="55" t="n">
        <f aca="false">IF(Y52&lt;&gt;"",Y52,X52)</f>
        <v>1</v>
      </c>
      <c r="BU52" s="55" t="str">
        <f aca="false">IF(BT52=1,"L1",IF(OR(BT52=2,BT52=3),"L23",IF(BT52="Aussen","Aussen","-")))</f>
        <v>L1</v>
      </c>
      <c r="BV52" s="66" t="n">
        <f aca="false">IF(N(Z52)&gt;0,Z52,0)</f>
        <v>0</v>
      </c>
      <c r="BW52" s="60" t="n">
        <f aca="false">IF(ISNUMBER(AC52),1,0)</f>
        <v>0</v>
      </c>
      <c r="BX52" s="57" t="n">
        <f aca="false">N(AC52)</f>
        <v>0</v>
      </c>
      <c r="BY52" s="57" t="n">
        <f aca="false">N(L52)+N(M52)</f>
        <v>22</v>
      </c>
      <c r="BZ52" s="57" t="n">
        <f aca="false">ROUNDUP(G52/BQ52,0)</f>
        <v>34</v>
      </c>
      <c r="CA52" s="57" t="n">
        <f aca="false">ROUNDUP(BX52/BQ52,0)</f>
        <v>0</v>
      </c>
      <c r="CB52" s="60" t="n">
        <f aca="false">IF(BR52=1,0,IFERROR(VLOOKUP(BP52,'Gebinde-Kategorie'!$A$5:$M$45,5,0)+0,0))</f>
        <v>0</v>
      </c>
      <c r="CC52" s="60" t="n">
        <f aca="false">IFERROR(IF(OR(BT52=1,BT52=2,BT52=3),N(INDEX(Parameter!$I$5:$I$7,BT52)),0),0)</f>
        <v>0</v>
      </c>
      <c r="CD52" s="59" t="n">
        <f aca="false">IF(AND(Parameter!$B$21="Ja",ISNUMBER(U52),N(V52)&gt;0),IFERROR(N(INDEX(Parameter!$L$5:$L$7,U52))*INDEX(Parameter!$E$5:$E$7,U52)*V52/SUMIFS($V$7:$V$1576,$U$7:$U$1576,U52),0),0)</f>
        <v>2.88135593220339</v>
      </c>
    </row>
    <row r="53" customFormat="false" ht="15" hidden="false" customHeight="false" outlineLevel="0" collapsed="false">
      <c r="A53" s="55" t="s">
        <v>291</v>
      </c>
      <c r="B53" s="55" t="s">
        <v>292</v>
      </c>
      <c r="C53" s="55" t="s">
        <v>160</v>
      </c>
      <c r="D53" s="55" t="s">
        <v>178</v>
      </c>
      <c r="E53" s="55" t="s">
        <v>210</v>
      </c>
      <c r="F53" s="56" t="n">
        <v>113.85</v>
      </c>
      <c r="G53" s="57" t="n">
        <f aca="false">MAX(0,IF(AND(Parameter!$B$21="Ja",ISNUMBER(W53)),W53,IF(Parameter!$B$20="Jahresanfang 2025 + Export",BJ53+BI53,BI53)))</f>
        <v>45</v>
      </c>
      <c r="H53" s="57" t="n">
        <f aca="false">G53*F53</f>
        <v>5123.25</v>
      </c>
      <c r="I53" s="57" t="n">
        <f aca="false">BL53*Parameter!$B$18</f>
        <v>82</v>
      </c>
      <c r="J53" s="58" t="n">
        <v>30.5</v>
      </c>
      <c r="K53" s="59" t="n">
        <v>2.68852459016393</v>
      </c>
      <c r="L53" s="57" t="n">
        <v>30</v>
      </c>
      <c r="M53" s="57" t="n">
        <v>40</v>
      </c>
      <c r="N53" s="60" t="n">
        <v>126</v>
      </c>
      <c r="O53" s="55" t="s">
        <v>293</v>
      </c>
      <c r="P53" s="57" t="n">
        <v>91</v>
      </c>
      <c r="Q53" s="60" t="n">
        <f aca="false">IF(BR53=1,0,IFERROR(VLOOKUP(BP53,'Gebinde-Kategorie'!$A$5:$M$45,13,0)+0,0))</f>
        <v>26</v>
      </c>
      <c r="R53" s="61"/>
      <c r="S53" s="62"/>
      <c r="T53" s="62"/>
      <c r="U53" s="55"/>
      <c r="V53" s="57"/>
      <c r="W53" s="57"/>
      <c r="X53" s="55" t="n">
        <f aca="false">IF(A53="","",IF(AND(Parameter!$B$21="Ja",ISNUMBER(U53)),U53,IF(IFERROR(VLOOKUP(D53,Parameter!$A$35:$C$64,2,0),"Nein")="2+3",IF(ISNUMBER(SEARCH("grosser Artikel",BM53)),2,IFERROR(VLOOKUP(BP53,Parameter!$F$35:$G$64,2,0),2)),IF(OR(IFERROR(VLOOKUP(D53,Parameter!$A$35:$C$64,2,0),"Nein")="Nein",IFERROR(VLOOKUP(D53,Parameter!$A$35:$C$64,2,0),"Nein")=""),"-",VLOOKUP(D53,Parameter!$A$35:$C$64,2,0)))))</f>
        <v>3</v>
      </c>
      <c r="Y53" s="62"/>
      <c r="Z53" s="63"/>
      <c r="AA53" s="57" t="n">
        <f aca="false">AP53</f>
        <v>91</v>
      </c>
      <c r="AB53" s="57" t="n">
        <f aca="false">MAX(AP53,G53)</f>
        <v>91</v>
      </c>
      <c r="AC53" s="64"/>
      <c r="AD53" s="57" t="n">
        <f aca="false">IF(LEFT(Cockpit!$C$5,1)="A",G53,IF(BW53=1,BX53,IF(LEFT(Cockpit!$C$5,1)="B",AH53,MAX(AH53,G53))))</f>
        <v>45</v>
      </c>
      <c r="AE53" s="57" t="n">
        <f aca="false">IF(BR53=1,0,ROUNDUP(AD53/BQ53,0))</f>
        <v>1</v>
      </c>
      <c r="AF53" s="59" t="n">
        <f aca="false">IF(CD53&gt;0,CD53*MAX(1,AD53/V53),IF(BR53=1,IF(AD53&lt;=0,0,BS53*MAX(1,IF(G53&gt;0,AD53/G53,1))),IF(Q53&gt;0,AE53/Q53,0))/MAX(0.1,N(Parameter!$M$21)))</f>
        <v>0.0384615384615385</v>
      </c>
      <c r="AG53" s="57" t="n">
        <f aca="false">AD53*F53</f>
        <v>5123.25</v>
      </c>
      <c r="AH53" s="57" t="n">
        <f aca="false">ROUNDUP(MAX(I53/IF(BV53&gt;0,BV53,MAX(0.1,N(Cockpit!$C$6))),BY53)/BQ53,0)*BQ53</f>
        <v>91</v>
      </c>
      <c r="AI53" s="58" t="n">
        <f aca="false">IF(AF53&gt;0,I53/AF53,-1)</f>
        <v>2132</v>
      </c>
      <c r="AJ53" s="58" t="n">
        <f aca="false">IF(AND(OR(BU53="L1",BU53="L23"),AF53&gt;0),SUMIFS($AF$7:$AF$1576,$BU$7:$BU$1576,BU53,$AI$7:$AI$1576,"&gt;"&amp;AI53)+SUMIFS($AF$7:$AF$1576,$BU$7:$BU$1576,BU53,$AI$7:$AI$1576,AI53,$BO$7:$BO$1576,"&lt;="&amp;BO53),"")</f>
        <v>6.28358298706125</v>
      </c>
      <c r="AK53" s="65" t="n">
        <f aca="false">IF(AJ53="",0,MAX(0,MIN(1,(IF(BU53="L1",Parameter!$E$5,Parameter!$E$6+Parameter!$E$7)-(AJ53-AF53))/AF53)))</f>
        <v>1</v>
      </c>
      <c r="AL53" s="57" t="n">
        <f aca="false">IF(LEFT(Cockpit!$I$5,1)="A",G53,IF(BW53=1,BX53,IF(LEFT(Cockpit!$I$5,1)="B",AP53,MAX(AP53,G53))))</f>
        <v>91</v>
      </c>
      <c r="AM53" s="57" t="n">
        <f aca="false">IF(BR53=1,0,ROUNDUP(AL53/BQ53,0))</f>
        <v>1</v>
      </c>
      <c r="AN53" s="59" t="n">
        <f aca="false">IF(CD53&gt;0,CD53*MAX(1,AL53/V53),IF(BR53=1,IF(AL53&lt;=0,0,BS53*MAX(1,IF(G53&gt;0,AL53/G53,1))),IF(Q53&gt;0,AM53/Q53,0))/MAX(0.1,N(Parameter!$M$21)))</f>
        <v>0.0384615384615385</v>
      </c>
      <c r="AO53" s="57" t="n">
        <f aca="false">AL53*F53</f>
        <v>10360.35</v>
      </c>
      <c r="AP53" s="57" t="n">
        <f aca="false">ROUNDUP(MAX(I53/IF(BV53&gt;0,BV53,MAX(0.1,N(Cockpit!$I$6))),BY53)/BQ53,0)*BQ53</f>
        <v>91</v>
      </c>
      <c r="AQ53" s="58" t="n">
        <f aca="false">IF(AN53&gt;0,I53/AN53,-1)</f>
        <v>2132</v>
      </c>
      <c r="AR53" s="58" t="n">
        <f aca="false">IF(AND(OR(BU53="L1",BU53="L23"),AN53&gt;0),SUMIFS($AN$7:$AN$1576,$BU$7:$BU$1576,BU53,$AQ$7:$AQ$1576,"&gt;"&amp;AQ53)+SUMIFS($AN$7:$AN$1576,$BU$7:$BU$1576,BU53,$AQ$7:$AQ$1576,AQ53,$BO$7:$BO$1576,"&lt;="&amp;BO53),"")</f>
        <v>16.9150437126636</v>
      </c>
      <c r="AS53" s="65" t="n">
        <f aca="false">IF(AR53="",0,MAX(0,MIN(1,(IF(BU53="L1",Parameter!$E$5,Parameter!$E$6+Parameter!$E$7)-(AR53-AN53))/AN53)))</f>
        <v>1</v>
      </c>
      <c r="AT53" s="57" t="n">
        <f aca="false">IF(LEFT(Cockpit!$O$5,1)="A",G53,IF(BW53=1,BX53,IF(LEFT(Cockpit!$O$5,1)="B",AX53,MAX(AX53,G53))))</f>
        <v>91</v>
      </c>
      <c r="AU53" s="57" t="n">
        <f aca="false">IF(BR53=1,0,ROUNDUP(AT53/BQ53,0))</f>
        <v>1</v>
      </c>
      <c r="AV53" s="59" t="n">
        <f aca="false">IF(CD53&gt;0,CD53*MAX(1,AT53/V53),IF(BR53=1,IF(AT53&lt;=0,0,BS53*MAX(1,IF(G53&gt;0,AT53/G53,1))),IF(Q53&gt;0,AU53/Q53,0))/MAX(0.1,N(Parameter!$M$21)))</f>
        <v>0.0384615384615385</v>
      </c>
      <c r="AW53" s="57" t="n">
        <f aca="false">AT53*F53</f>
        <v>10360.35</v>
      </c>
      <c r="AX53" s="57" t="n">
        <f aca="false">ROUNDUP(MAX(I53/IF(BV53&gt;0,BV53,MAX(0.1,N(Cockpit!$O$6))),BY53)/BQ53,0)*BQ53</f>
        <v>91</v>
      </c>
      <c r="AY53" s="58" t="n">
        <f aca="false">IF(AV53&gt;0,I53/AV53,-1)</f>
        <v>2132</v>
      </c>
      <c r="AZ53" s="58" t="n">
        <f aca="false">IF(AND(OR(BU53="L1",BU53="L23"),AV53&gt;0),SUMIFS($AV$7:$AV$1576,$BU$7:$BU$1576,BU53,$AY$7:$AY$1576,"&gt;"&amp;AY53)+SUMIFS($AV$7:$AV$1576,$BU$7:$BU$1576,BU53,$AY$7:$AY$1576,AY53,$BO$7:$BO$1576,"&lt;="&amp;BO53),"")</f>
        <v>15.6038549014748</v>
      </c>
      <c r="BA53" s="65" t="n">
        <f aca="false">IF(AZ53="",0,MAX(0,MIN(1,(IF(BU53="L1",Parameter!$E$5,Parameter!$E$6+Parameter!$E$7)-(AZ53-AV53))/AV53)))</f>
        <v>1</v>
      </c>
      <c r="BB53" s="55" t="str">
        <f aca="false">IF(AF53&lt;=0,"",IF(BU53="Aussen","Aussenlager",IF(BU53="-","Nicht im Lift",IF(AK53&gt;=1,"Lift",IF(AK53&lt;=0,"Aussenlager","teilweise")))))</f>
        <v>Lift</v>
      </c>
      <c r="BC53" s="55" t="str">
        <f aca="false">IF(AN53&lt;=0,"",IF(BU53="Aussen","Aussenlager",IF(BU53="-","Nicht im Lift",IF(AS53&gt;=1,"Lift",IF(AS53&lt;=0,"Aussenlager","teilweise")))))</f>
        <v>Lift</v>
      </c>
      <c r="BD53" s="55" t="str">
        <f aca="false">IF(AV53&lt;=0,"",IF(BU53="Aussen","Aussenlager",IF(BU53="-","Nicht im Lift",IF(BA53&gt;=1,"Lift",IF(BA53&lt;=0,"Aussenlager","teilweise")))))</f>
        <v>Lift</v>
      </c>
      <c r="BE53" s="55" t="str">
        <f aca="false">IF(A53="","",IF(BN53=1,"Neu; ","")&amp;IF(AND(BN53=0,BI53&lt;0),"negativer Bestand (Export "&amp;BI53&amp;"); ","")&amp;IF(I53&lt;=0,"Kein Verbrauch; ","")&amp;IF(CD53&gt;0,"Lift "&amp;U53&amp;" lt. Liftbericht (Fach "&amp;V53&amp;" Stk); ",IF(BR53=1,"Lose – Fläche geschätzt; ",""))&amp;IF(G53&gt;AP53,"Überbestand "&amp;ROUND(G53-AP53,0)&amp;" Stk / CHF "&amp;ROUND((G53-AP53)*F53,0)&amp;"; ","")&amp;IF(AND(BW53=1,BX53&lt;BY53),"MAX &lt; MB+LG; ","")&amp;IF(AND(CC53&gt;0,CB53*10&gt;CC53),"zu hoch für Tablar; ","")&amp;IF(AND(BN53=0,OR(BW53=1,Y53&lt;&gt;"",S53&lt;&gt;"",T53&lt;&gt;"",Z53&lt;&gt;"")),"manuell übersteuert; ","")&amp;IF(AND(BR53=0,Q53=0),"Gebinde unbekannt / Stellmass fehlt; ","")&amp;IF(AND(BR53=0,N(T53)&lt;=0,N(P53)&lt;=0),"Menge pro Gebinde fehlt (Ist = 1 Gebinde); ","")&amp;BM53)</f>
        <v/>
      </c>
      <c r="BF53" s="55"/>
      <c r="BG53" s="55"/>
      <c r="BH53" s="62"/>
      <c r="BI53" s="57" t="n">
        <v>45</v>
      </c>
      <c r="BJ53" s="57" t="n">
        <v>22</v>
      </c>
      <c r="BK53" s="56" t="n">
        <v>5261.13</v>
      </c>
      <c r="BL53" s="57" t="n">
        <v>82</v>
      </c>
      <c r="BM53" s="55"/>
      <c r="BN53" s="60" t="n">
        <v>0</v>
      </c>
      <c r="BO53" s="60" t="n">
        <v>53</v>
      </c>
      <c r="BP53" s="55" t="str">
        <f aca="false">IF(S53&lt;&gt;"",UPPER(TRIM(S53)),IF(O53="","LOSE",O53))</f>
        <v>S51</v>
      </c>
      <c r="BQ53" s="57" t="n">
        <f aca="false">IF(BP53="LOSE",1,IF(N(T53)&gt;0,T53,IF(N(P53)&gt;0,P53,MAX(1,G53))))</f>
        <v>91</v>
      </c>
      <c r="BR53" s="60" t="n">
        <f aca="false">IF(BP53="LOSE",1,0)</f>
        <v>0</v>
      </c>
      <c r="BS53" s="59" t="n">
        <f aca="false">IF(BR53=0,0,IF(N(R53)&gt;0,R53,IFERROR(VLOOKUP(D53,Parameter!$A$35:$C$64,3,0)+0,0)))</f>
        <v>0</v>
      </c>
      <c r="BT53" s="55" t="n">
        <f aca="false">IF(Y53&lt;&gt;"",Y53,X53)</f>
        <v>3</v>
      </c>
      <c r="BU53" s="55" t="str">
        <f aca="false">IF(BT53=1,"L1",IF(OR(BT53=2,BT53=3),"L23",IF(BT53="Aussen","Aussen","-")))</f>
        <v>L23</v>
      </c>
      <c r="BV53" s="66" t="n">
        <f aca="false">IF(N(Z53)&gt;0,Z53,0)</f>
        <v>0</v>
      </c>
      <c r="BW53" s="60" t="n">
        <f aca="false">IF(ISNUMBER(AC53),1,0)</f>
        <v>0</v>
      </c>
      <c r="BX53" s="57" t="n">
        <f aca="false">N(AC53)</f>
        <v>0</v>
      </c>
      <c r="BY53" s="57" t="n">
        <f aca="false">N(L53)+N(M53)</f>
        <v>70</v>
      </c>
      <c r="BZ53" s="57" t="n">
        <f aca="false">ROUNDUP(G53/BQ53,0)</f>
        <v>1</v>
      </c>
      <c r="CA53" s="57" t="n">
        <f aca="false">ROUNDUP(BX53/BQ53,0)</f>
        <v>0</v>
      </c>
      <c r="CB53" s="60" t="n">
        <f aca="false">IF(BR53=1,0,IFERROR(VLOOKUP(BP53,'Gebinde-Kategorie'!$A$5:$M$45,5,0)+0,0))</f>
        <v>11</v>
      </c>
      <c r="CC53" s="60" t="n">
        <f aca="false">IFERROR(IF(OR(BT53=1,BT53=2,BT53=3),N(INDEX(Parameter!$I$5:$I$7,BT53)),0),0)</f>
        <v>0</v>
      </c>
      <c r="CD53" s="59" t="n">
        <f aca="false">IF(AND(Parameter!$B$21="Ja",ISNUMBER(U53),N(V53)&gt;0),IFERROR(N(INDEX(Parameter!$L$5:$L$7,U53))*INDEX(Parameter!$E$5:$E$7,U53)*V53/SUMIFS($V$7:$V$1576,$U$7:$U$1576,U53),0),0)</f>
        <v>0</v>
      </c>
    </row>
    <row r="54" customFormat="false" ht="15" hidden="false" customHeight="false" outlineLevel="0" collapsed="false">
      <c r="A54" s="55" t="s">
        <v>294</v>
      </c>
      <c r="B54" s="55" t="s">
        <v>281</v>
      </c>
      <c r="C54" s="55" t="s">
        <v>160</v>
      </c>
      <c r="D54" s="55" t="s">
        <v>168</v>
      </c>
      <c r="E54" s="55" t="s">
        <v>210</v>
      </c>
      <c r="F54" s="56" t="n">
        <v>189.42</v>
      </c>
      <c r="G54" s="57" t="n">
        <f aca="false">MAX(0,IF(AND(Parameter!$B$21="Ja",ISNUMBER(W54)),W54,IF(Parameter!$B$20="Jahresanfang 2025 + Export",BJ54+BI54,BI54)))</f>
        <v>25</v>
      </c>
      <c r="H54" s="57" t="n">
        <f aca="false">G54*F54</f>
        <v>4735.5</v>
      </c>
      <c r="I54" s="57" t="n">
        <f aca="false">BL54*Parameter!$B$18</f>
        <v>90</v>
      </c>
      <c r="J54" s="58" t="n">
        <v>40.5</v>
      </c>
      <c r="K54" s="59" t="n">
        <v>2.22222222222222</v>
      </c>
      <c r="L54" s="57" t="n">
        <v>4</v>
      </c>
      <c r="M54" s="57" t="n">
        <v>35</v>
      </c>
      <c r="N54" s="60" t="n">
        <v>14</v>
      </c>
      <c r="O54" s="55" t="s">
        <v>215</v>
      </c>
      <c r="P54" s="57" t="n">
        <v>76</v>
      </c>
      <c r="Q54" s="60" t="n">
        <f aca="false">IF(BR54=1,0,IFERROR(VLOOKUP(BP54,'Gebinde-Kategorie'!$A$5:$M$45,13,0)+0,0))</f>
        <v>3</v>
      </c>
      <c r="R54" s="61"/>
      <c r="S54" s="62"/>
      <c r="T54" s="62"/>
      <c r="U54" s="55"/>
      <c r="V54" s="57"/>
      <c r="W54" s="57"/>
      <c r="X54" s="55" t="n">
        <f aca="false">IF(A54="","",IF(AND(Parameter!$B$21="Ja",ISNUMBER(U54)),U54,IF(IFERROR(VLOOKUP(D54,Parameter!$A$35:$C$64,2,0),"Nein")="2+3",IF(ISNUMBER(SEARCH("grosser Artikel",BM54)),2,IFERROR(VLOOKUP(BP54,Parameter!$F$35:$G$64,2,0),2)),IF(OR(IFERROR(VLOOKUP(D54,Parameter!$A$35:$C$64,2,0),"Nein")="Nein",IFERROR(VLOOKUP(D54,Parameter!$A$35:$C$64,2,0),"Nein")=""),"-",VLOOKUP(D54,Parameter!$A$35:$C$64,2,0)))))</f>
        <v>2</v>
      </c>
      <c r="Y54" s="62"/>
      <c r="Z54" s="63"/>
      <c r="AA54" s="57" t="n">
        <f aca="false">AP54</f>
        <v>76</v>
      </c>
      <c r="AB54" s="57" t="n">
        <f aca="false">MAX(AP54,G54)</f>
        <v>76</v>
      </c>
      <c r="AC54" s="64"/>
      <c r="AD54" s="57" t="n">
        <f aca="false">IF(LEFT(Cockpit!$C$5,1)="A",G54,IF(BW54=1,BX54,IF(LEFT(Cockpit!$C$5,1)="B",AH54,MAX(AH54,G54))))</f>
        <v>25</v>
      </c>
      <c r="AE54" s="57" t="n">
        <f aca="false">IF(BR54=1,0,ROUNDUP(AD54/BQ54,0))</f>
        <v>1</v>
      </c>
      <c r="AF54" s="59" t="n">
        <f aca="false">IF(CD54&gt;0,CD54*MAX(1,AD54/V54),IF(BR54=1,IF(AD54&lt;=0,0,BS54*MAX(1,IF(G54&gt;0,AD54/G54,1))),IF(Q54&gt;0,AE54/Q54,0))/MAX(0.1,N(Parameter!$M$21)))</f>
        <v>0.333333333333333</v>
      </c>
      <c r="AG54" s="57" t="n">
        <f aca="false">AD54*F54</f>
        <v>4735.5</v>
      </c>
      <c r="AH54" s="57" t="n">
        <f aca="false">ROUNDUP(MAX(I54/IF(BV54&gt;0,BV54,MAX(0.1,N(Cockpit!$C$6))),BY54)/BQ54,0)*BQ54</f>
        <v>76</v>
      </c>
      <c r="AI54" s="58" t="n">
        <f aca="false">IF(AF54&gt;0,I54/AF54,-1)</f>
        <v>270</v>
      </c>
      <c r="AJ54" s="58" t="n">
        <f aca="false">IF(AND(OR(BU54="L1",BU54="L23"),AF54&gt;0),SUMIFS($AF$7:$AF$1576,$BU$7:$BU$1576,BU54,$AI$7:$AI$1576,"&gt;"&amp;AI54)+SUMIFS($AF$7:$AF$1576,$BU$7:$BU$1576,BU54,$AI$7:$AI$1576,AI54,$BO$7:$BO$1576,"&lt;="&amp;BO54),"")</f>
        <v>15.3213077260903</v>
      </c>
      <c r="AK54" s="65" t="n">
        <f aca="false">IF(AJ54="",0,MAX(0,MIN(1,(IF(BU54="L1",Parameter!$E$5,Parameter!$E$6+Parameter!$E$7)-(AJ54-AF54))/AF54)))</f>
        <v>1</v>
      </c>
      <c r="AL54" s="57" t="n">
        <f aca="false">IF(LEFT(Cockpit!$I$5,1)="A",G54,IF(BW54=1,BX54,IF(LEFT(Cockpit!$I$5,1)="B",AP54,MAX(AP54,G54))))</f>
        <v>76</v>
      </c>
      <c r="AM54" s="57" t="n">
        <f aca="false">IF(BR54=1,0,ROUNDUP(AL54/BQ54,0))</f>
        <v>1</v>
      </c>
      <c r="AN54" s="59" t="n">
        <f aca="false">IF(CD54&gt;0,CD54*MAX(1,AL54/V54),IF(BR54=1,IF(AL54&lt;=0,0,BS54*MAX(1,IF(G54&gt;0,AL54/G54,1))),IF(Q54&gt;0,AM54/Q54,0))/MAX(0.1,N(Parameter!$M$21)))</f>
        <v>0.333333333333333</v>
      </c>
      <c r="AO54" s="57" t="n">
        <f aca="false">AL54*F54</f>
        <v>14395.92</v>
      </c>
      <c r="AP54" s="57" t="n">
        <f aca="false">ROUNDUP(MAX(I54/IF(BV54&gt;0,BV54,MAX(0.1,N(Cockpit!$I$6))),BY54)/BQ54,0)*BQ54</f>
        <v>76</v>
      </c>
      <c r="AQ54" s="58" t="n">
        <f aca="false">IF(AN54&gt;0,I54/AN54,-1)</f>
        <v>270</v>
      </c>
      <c r="AR54" s="58" t="n">
        <f aca="false">IF(AND(OR(BU54="L1",BU54="L23"),AN54&gt;0),SUMIFS($AN$7:$AN$1576,$BU$7:$BU$1576,BU54,$AQ$7:$AQ$1576,"&gt;"&amp;AQ54)+SUMIFS($AN$7:$AN$1576,$BU$7:$BU$1576,BU54,$AQ$7:$AQ$1576,AQ54,$BO$7:$BO$1576,"&lt;="&amp;BO54),"")</f>
        <v>44.8247682876055</v>
      </c>
      <c r="AS54" s="65" t="n">
        <f aca="false">IF(AR54="",0,MAX(0,MIN(1,(IF(BU54="L1",Parameter!$E$5,Parameter!$E$6+Parameter!$E$7)-(AR54-AN54))/AN54)))</f>
        <v>1</v>
      </c>
      <c r="AT54" s="57" t="n">
        <f aca="false">IF(LEFT(Cockpit!$O$5,1)="A",G54,IF(BW54=1,BX54,IF(LEFT(Cockpit!$O$5,1)="B",AX54,MAX(AX54,G54))))</f>
        <v>76</v>
      </c>
      <c r="AU54" s="57" t="n">
        <f aca="false">IF(BR54=1,0,ROUNDUP(AT54/BQ54,0))</f>
        <v>1</v>
      </c>
      <c r="AV54" s="59" t="n">
        <f aca="false">IF(CD54&gt;0,CD54*MAX(1,AT54/V54),IF(BR54=1,IF(AT54&lt;=0,0,BS54*MAX(1,IF(G54&gt;0,AT54/G54,1))),IF(Q54&gt;0,AU54/Q54,0))/MAX(0.1,N(Parameter!$M$21)))</f>
        <v>0.333333333333333</v>
      </c>
      <c r="AW54" s="57" t="n">
        <f aca="false">AT54*F54</f>
        <v>14395.92</v>
      </c>
      <c r="AX54" s="57" t="n">
        <f aca="false">ROUNDUP(MAX(I54/IF(BV54&gt;0,BV54,MAX(0.1,N(Cockpit!$O$6))),BY54)/BQ54,0)*BQ54</f>
        <v>76</v>
      </c>
      <c r="AY54" s="58" t="n">
        <f aca="false">IF(AV54&gt;0,I54/AV54,-1)</f>
        <v>270</v>
      </c>
      <c r="AZ54" s="58" t="n">
        <f aca="false">IF(AND(OR(BU54="L1",BU54="L23"),AV54&gt;0),SUMIFS($AV$7:$AV$1576,$BU$7:$BU$1576,BU54,$AY$7:$AY$1576,"&gt;"&amp;AY54)+SUMIFS($AV$7:$AV$1576,$BU$7:$BU$1576,BU54,$AY$7:$AY$1576,AY54,$BO$7:$BO$1576,"&lt;="&amp;BO54),"")</f>
        <v>41.1028468756841</v>
      </c>
      <c r="BA54" s="65" t="n">
        <f aca="false">IF(AZ54="",0,MAX(0,MIN(1,(IF(BU54="L1",Parameter!$E$5,Parameter!$E$6+Parameter!$E$7)-(AZ54-AV54))/AV54)))</f>
        <v>1</v>
      </c>
      <c r="BB54" s="55" t="str">
        <f aca="false">IF(AF54&lt;=0,"",IF(BU54="Aussen","Aussenlager",IF(BU54="-","Nicht im Lift",IF(AK54&gt;=1,"Lift",IF(AK54&lt;=0,"Aussenlager","teilweise")))))</f>
        <v>Lift</v>
      </c>
      <c r="BC54" s="55" t="str">
        <f aca="false">IF(AN54&lt;=0,"",IF(BU54="Aussen","Aussenlager",IF(BU54="-","Nicht im Lift",IF(AS54&gt;=1,"Lift",IF(AS54&lt;=0,"Aussenlager","teilweise")))))</f>
        <v>Lift</v>
      </c>
      <c r="BD54" s="55" t="str">
        <f aca="false">IF(AV54&lt;=0,"",IF(BU54="Aussen","Aussenlager",IF(BU54="-","Nicht im Lift",IF(BA54&gt;=1,"Lift",IF(BA54&lt;=0,"Aussenlager","teilweise")))))</f>
        <v>Lift</v>
      </c>
      <c r="BE54" s="55" t="str">
        <f aca="false">IF(A54="","",IF(BN54=1,"Neu; ","")&amp;IF(AND(BN54=0,BI54&lt;0),"negativer Bestand (Export "&amp;BI54&amp;"); ","")&amp;IF(I54&lt;=0,"Kein Verbrauch; ","")&amp;IF(CD54&gt;0,"Lift "&amp;U54&amp;" lt. Liftbericht (Fach "&amp;V54&amp;" Stk); ",IF(BR54=1,"Lose – Fläche geschätzt; ",""))&amp;IF(G54&gt;AP54,"Überbestand "&amp;ROUND(G54-AP54,0)&amp;" Stk / CHF "&amp;ROUND((G54-AP54)*F54,0)&amp;"; ","")&amp;IF(AND(BW54=1,BX54&lt;BY54),"MAX &lt; MB+LG; ","")&amp;IF(AND(CC54&gt;0,CB54*10&gt;CC54),"zu hoch für Tablar; ","")&amp;IF(AND(BN54=0,OR(BW54=1,Y54&lt;&gt;"",S54&lt;&gt;"",T54&lt;&gt;"",Z54&lt;&gt;"")),"manuell übersteuert; ","")&amp;IF(AND(BR54=0,Q54=0),"Gebinde unbekannt / Stellmass fehlt; ","")&amp;IF(AND(BR54=0,N(T54)&lt;=0,N(P54)&lt;=0),"Menge pro Gebinde fehlt (Ist = 1 Gebinde); ","")&amp;BM54)</f>
        <v/>
      </c>
      <c r="BF54" s="55"/>
      <c r="BG54" s="55"/>
      <c r="BH54" s="62"/>
      <c r="BI54" s="57" t="n">
        <v>25</v>
      </c>
      <c r="BJ54" s="57" t="n">
        <v>40</v>
      </c>
      <c r="BK54" s="56" t="n">
        <v>4952.3</v>
      </c>
      <c r="BL54" s="57" t="n">
        <v>90</v>
      </c>
      <c r="BM54" s="55"/>
      <c r="BN54" s="60" t="n">
        <v>0</v>
      </c>
      <c r="BO54" s="60" t="n">
        <v>54</v>
      </c>
      <c r="BP54" s="55" t="str">
        <f aca="false">IF(S54&lt;&gt;"",UPPER(TRIM(S54)),IF(O54="","LOSE",O54))</f>
        <v>S81</v>
      </c>
      <c r="BQ54" s="57" t="n">
        <f aca="false">IF(BP54="LOSE",1,IF(N(T54)&gt;0,T54,IF(N(P54)&gt;0,P54,MAX(1,G54))))</f>
        <v>76</v>
      </c>
      <c r="BR54" s="60" t="n">
        <f aca="false">IF(BP54="LOSE",1,0)</f>
        <v>0</v>
      </c>
      <c r="BS54" s="59" t="n">
        <f aca="false">IF(BR54=0,0,IF(N(R54)&gt;0,R54,IFERROR(VLOOKUP(D54,Parameter!$A$35:$C$64,3,0)+0,0)))</f>
        <v>0</v>
      </c>
      <c r="BT54" s="55" t="n">
        <f aca="false">IF(Y54&lt;&gt;"",Y54,X54)</f>
        <v>2</v>
      </c>
      <c r="BU54" s="55" t="str">
        <f aca="false">IF(BT54=1,"L1",IF(OR(BT54=2,BT54=3),"L23",IF(BT54="Aussen","Aussen","-")))</f>
        <v>L23</v>
      </c>
      <c r="BV54" s="66" t="n">
        <f aca="false">IF(N(Z54)&gt;0,Z54,0)</f>
        <v>0</v>
      </c>
      <c r="BW54" s="60" t="n">
        <f aca="false">IF(ISNUMBER(AC54),1,0)</f>
        <v>0</v>
      </c>
      <c r="BX54" s="57" t="n">
        <f aca="false">N(AC54)</f>
        <v>0</v>
      </c>
      <c r="BY54" s="57" t="n">
        <f aca="false">N(L54)+N(M54)</f>
        <v>39</v>
      </c>
      <c r="BZ54" s="57" t="n">
        <f aca="false">ROUNDUP(G54/BQ54,0)</f>
        <v>1</v>
      </c>
      <c r="CA54" s="57" t="n">
        <f aca="false">ROUNDUP(BX54/BQ54,0)</f>
        <v>0</v>
      </c>
      <c r="CB54" s="60" t="n">
        <f aca="false">IF(BR54=1,0,IFERROR(VLOOKUP(BP54,'Gebinde-Kategorie'!$A$5:$M$45,5,0)+0,0))</f>
        <v>20</v>
      </c>
      <c r="CC54" s="60" t="n">
        <f aca="false">IFERROR(IF(OR(BT54=1,BT54=2,BT54=3),N(INDEX(Parameter!$I$5:$I$7,BT54)),0),0)</f>
        <v>0</v>
      </c>
      <c r="CD54" s="59" t="n">
        <f aca="false">IF(AND(Parameter!$B$21="Ja",ISNUMBER(U54),N(V54)&gt;0),IFERROR(N(INDEX(Parameter!$L$5:$L$7,U54))*INDEX(Parameter!$E$5:$E$7,U54)*V54/SUMIFS($V$7:$V$1576,$U$7:$U$1576,U54),0),0)</f>
        <v>0</v>
      </c>
    </row>
    <row r="55" customFormat="false" ht="15" hidden="false" customHeight="false" outlineLevel="0" collapsed="false">
      <c r="A55" s="55" t="s">
        <v>295</v>
      </c>
      <c r="B55" s="55" t="s">
        <v>296</v>
      </c>
      <c r="C55" s="55" t="s">
        <v>160</v>
      </c>
      <c r="D55" s="55" t="s">
        <v>168</v>
      </c>
      <c r="E55" s="55" t="s">
        <v>210</v>
      </c>
      <c r="F55" s="56" t="n">
        <v>431.48</v>
      </c>
      <c r="G55" s="57" t="n">
        <f aca="false">MAX(0,IF(AND(Parameter!$B$21="Ja",ISNUMBER(W55)),W55,IF(Parameter!$B$20="Jahresanfang 2025 + Export",BJ55+BI55,BI55)))</f>
        <v>11</v>
      </c>
      <c r="H55" s="57" t="n">
        <f aca="false">G55*F55</f>
        <v>4746.28</v>
      </c>
      <c r="I55" s="57" t="n">
        <f aca="false">BL55*Parameter!$B$18</f>
        <v>0</v>
      </c>
      <c r="J55" s="58" t="n">
        <v>0</v>
      </c>
      <c r="K55" s="59" t="n">
        <v>0</v>
      </c>
      <c r="L55" s="57" t="n">
        <v>2</v>
      </c>
      <c r="M55" s="57" t="n">
        <v>4</v>
      </c>
      <c r="N55" s="60" t="n">
        <v>28</v>
      </c>
      <c r="O55" s="55" t="s">
        <v>163</v>
      </c>
      <c r="P55" s="57"/>
      <c r="Q55" s="60" t="n">
        <f aca="false">IF(BR55=1,0,IFERROR(VLOOKUP(BP55,'Gebinde-Kategorie'!$A$5:$M$45,13,0)+0,0))</f>
        <v>0</v>
      </c>
      <c r="R55" s="61"/>
      <c r="S55" s="62"/>
      <c r="T55" s="62"/>
      <c r="U55" s="55"/>
      <c r="V55" s="57"/>
      <c r="W55" s="57"/>
      <c r="X55" s="55" t="n">
        <f aca="false">IF(A55="","",IF(AND(Parameter!$B$21="Ja",ISNUMBER(U55)),U55,IF(IFERROR(VLOOKUP(D55,Parameter!$A$35:$C$64,2,0),"Nein")="2+3",IF(ISNUMBER(SEARCH("grosser Artikel",BM55)),2,IFERROR(VLOOKUP(BP55,Parameter!$F$35:$G$64,2,0),2)),IF(OR(IFERROR(VLOOKUP(D55,Parameter!$A$35:$C$64,2,0),"Nein")="Nein",IFERROR(VLOOKUP(D55,Parameter!$A$35:$C$64,2,0),"Nein")=""),"-",VLOOKUP(D55,Parameter!$A$35:$C$64,2,0)))))</f>
        <v>2</v>
      </c>
      <c r="Y55" s="62"/>
      <c r="Z55" s="63"/>
      <c r="AA55" s="57" t="n">
        <f aca="false">AP55</f>
        <v>6</v>
      </c>
      <c r="AB55" s="57" t="n">
        <f aca="false">MAX(AP55,G55)</f>
        <v>11</v>
      </c>
      <c r="AC55" s="64"/>
      <c r="AD55" s="57" t="n">
        <f aca="false">IF(LEFT(Cockpit!$C$5,1)="A",G55,IF(BW55=1,BX55,IF(LEFT(Cockpit!$C$5,1)="B",AH55,MAX(AH55,G55))))</f>
        <v>11</v>
      </c>
      <c r="AE55" s="57" t="n">
        <f aca="false">IF(BR55=1,0,ROUNDUP(AD55/BQ55,0))</f>
        <v>0</v>
      </c>
      <c r="AF55" s="59" t="n">
        <f aca="false">IF(CD55&gt;0,CD55*MAX(1,AD55/V55),IF(BR55=1,IF(AD55&lt;=0,0,BS55*MAX(1,IF(G55&gt;0,AD55/G55,1))),IF(Q55&gt;0,AE55/Q55,0))/MAX(0.1,N(Parameter!$M$21)))</f>
        <v>0.15</v>
      </c>
      <c r="AG55" s="57" t="n">
        <f aca="false">AD55*F55</f>
        <v>4746.28</v>
      </c>
      <c r="AH55" s="57" t="n">
        <f aca="false">ROUNDUP(MAX(I55/IF(BV55&gt;0,BV55,MAX(0.1,N(Cockpit!$C$6))),BY55)/BQ55,0)*BQ55</f>
        <v>6</v>
      </c>
      <c r="AI55" s="58" t="n">
        <f aca="false">IF(AF55&gt;0,I55/AF55,-1)</f>
        <v>0</v>
      </c>
      <c r="AJ55" s="58" t="n">
        <f aca="false">IF(AND(OR(BU55="L1",BU55="L23"),AF55&gt;0),SUMIFS($AF$7:$AF$1576,$BU$7:$BU$1576,BU55,$AI$7:$AI$1576,"&gt;"&amp;AI55)+SUMIFS($AF$7:$AF$1576,$BU$7:$BU$1576,BU55,$AI$7:$AI$1576,AI55,$BO$7:$BO$1576,"&lt;="&amp;BO55),"")</f>
        <v>37.1625816695382</v>
      </c>
      <c r="AK55" s="65" t="n">
        <f aca="false">IF(AJ55="",0,MAX(0,MIN(1,(IF(BU55="L1",Parameter!$E$5,Parameter!$E$6+Parameter!$E$7)-(AJ55-AF55))/AF55)))</f>
        <v>1</v>
      </c>
      <c r="AL55" s="57" t="n">
        <f aca="false">IF(LEFT(Cockpit!$I$5,1)="A",G55,IF(BW55=1,BX55,IF(LEFT(Cockpit!$I$5,1)="B",AP55,MAX(AP55,G55))))</f>
        <v>11</v>
      </c>
      <c r="AM55" s="57" t="n">
        <f aca="false">IF(BR55=1,0,ROUNDUP(AL55/BQ55,0))</f>
        <v>0</v>
      </c>
      <c r="AN55" s="59" t="n">
        <f aca="false">IF(CD55&gt;0,CD55*MAX(1,AL55/V55),IF(BR55=1,IF(AL55&lt;=0,0,BS55*MAX(1,IF(G55&gt;0,AL55/G55,1))),IF(Q55&gt;0,AM55/Q55,0))/MAX(0.1,N(Parameter!$M$21)))</f>
        <v>0.15</v>
      </c>
      <c r="AO55" s="57" t="n">
        <f aca="false">AL55*F55</f>
        <v>4746.28</v>
      </c>
      <c r="AP55" s="57" t="n">
        <f aca="false">ROUNDUP(MAX(I55/IF(BV55&gt;0,BV55,MAX(0.1,N(Cockpit!$I$6))),BY55)/BQ55,0)*BQ55</f>
        <v>6</v>
      </c>
      <c r="AQ55" s="58" t="n">
        <f aca="false">IF(AN55&gt;0,I55/AN55,-1)</f>
        <v>0</v>
      </c>
      <c r="AR55" s="58" t="n">
        <f aca="false">IF(AND(OR(BU55="L1",BU55="L23"),AN55&gt;0),SUMIFS($AN$7:$AN$1576,$BU$7:$BU$1576,BU55,$AQ$7:$AQ$1576,"&gt;"&amp;AQ55)+SUMIFS($AN$7:$AN$1576,$BU$7:$BU$1576,BU55,$AQ$7:$AQ$1576,AQ55,$BO$7:$BO$1576,"&lt;="&amp;BO55),"")</f>
        <v>119.736787419328</v>
      </c>
      <c r="AS55" s="65" t="n">
        <f aca="false">IF(AR55="",0,MAX(0,MIN(1,(IF(BU55="L1",Parameter!$E$5,Parameter!$E$6+Parameter!$E$7)-(AR55-AN55))/AN55)))</f>
        <v>0</v>
      </c>
      <c r="AT55" s="57" t="n">
        <f aca="false">IF(LEFT(Cockpit!$O$5,1)="A",G55,IF(BW55=1,BX55,IF(LEFT(Cockpit!$O$5,1)="B",AX55,MAX(AX55,G55))))</f>
        <v>11</v>
      </c>
      <c r="AU55" s="57" t="n">
        <f aca="false">IF(BR55=1,0,ROUNDUP(AT55/BQ55,0))</f>
        <v>0</v>
      </c>
      <c r="AV55" s="59" t="n">
        <f aca="false">IF(CD55&gt;0,CD55*MAX(1,AT55/V55),IF(BR55=1,IF(AT55&lt;=0,0,BS55*MAX(1,IF(G55&gt;0,AT55/G55,1))),IF(Q55&gt;0,AU55/Q55,0))/MAX(0.1,N(Parameter!$M$21)))</f>
        <v>0.15</v>
      </c>
      <c r="AW55" s="57" t="n">
        <f aca="false">AT55*F55</f>
        <v>4746.28</v>
      </c>
      <c r="AX55" s="57" t="n">
        <f aca="false">ROUNDUP(MAX(I55/IF(BV55&gt;0,BV55,MAX(0.1,N(Cockpit!$O$6))),BY55)/BQ55,0)*BQ55</f>
        <v>6</v>
      </c>
      <c r="AY55" s="58" t="n">
        <f aca="false">IF(AV55&gt;0,I55/AV55,-1)</f>
        <v>0</v>
      </c>
      <c r="AZ55" s="58" t="n">
        <f aca="false">IF(AND(OR(BU55="L1",BU55="L23"),AV55&gt;0),SUMIFS($AV$7:$AV$1576,$BU$7:$BU$1576,BU55,$AY$7:$AY$1576,"&gt;"&amp;AY55)+SUMIFS($AV$7:$AV$1576,$BU$7:$BU$1576,BU55,$AY$7:$AY$1576,AY55,$BO$7:$BO$1576,"&lt;="&amp;BO55),"")</f>
        <v>109.796337868878</v>
      </c>
      <c r="BA55" s="65" t="n">
        <f aca="false">IF(AZ55="",0,MAX(0,MIN(1,(IF(BU55="L1",Parameter!$E$5,Parameter!$E$6+Parameter!$E$7)-(AZ55-AV55))/AV55)))</f>
        <v>0</v>
      </c>
      <c r="BB55" s="55" t="str">
        <f aca="false">IF(AF55&lt;=0,"",IF(BU55="Aussen","Aussenlager",IF(BU55="-","Nicht im Lift",IF(AK55&gt;=1,"Lift",IF(AK55&lt;=0,"Aussenlager","teilweise")))))</f>
        <v>Lift</v>
      </c>
      <c r="BC55" s="55" t="str">
        <f aca="false">IF(AN55&lt;=0,"",IF(BU55="Aussen","Aussenlager",IF(BU55="-","Nicht im Lift",IF(AS55&gt;=1,"Lift",IF(AS55&lt;=0,"Aussenlager","teilweise")))))</f>
        <v>Aussenlager</v>
      </c>
      <c r="BD55" s="55" t="str">
        <f aca="false">IF(AV55&lt;=0,"",IF(BU55="Aussen","Aussenlager",IF(BU55="-","Nicht im Lift",IF(BA55&gt;=1,"Lift",IF(BA55&lt;=0,"Aussenlager","teilweise")))))</f>
        <v>Aussenlager</v>
      </c>
      <c r="BE55" s="55" t="str">
        <f aca="false">IF(A55="","",IF(BN55=1,"Neu; ","")&amp;IF(AND(BN55=0,BI55&lt;0),"negativer Bestand (Export "&amp;BI55&amp;"); ","")&amp;IF(I55&lt;=0,"Kein Verbrauch; ","")&amp;IF(CD55&gt;0,"Lift "&amp;U55&amp;" lt. Liftbericht (Fach "&amp;V55&amp;" Stk); ",IF(BR55=1,"Lose – Fläche geschätzt; ",""))&amp;IF(G55&gt;AP55,"Überbestand "&amp;ROUND(G55-AP55,0)&amp;" Stk / CHF "&amp;ROUND((G55-AP55)*F55,0)&amp;"; ","")&amp;IF(AND(BW55=1,BX55&lt;BY55),"MAX &lt; MB+LG; ","")&amp;IF(AND(CC55&gt;0,CB55*10&gt;CC55),"zu hoch für Tablar; ","")&amp;IF(AND(BN55=0,OR(BW55=1,Y55&lt;&gt;"",S55&lt;&gt;"",T55&lt;&gt;"",Z55&lt;&gt;"")),"manuell übersteuert; ","")&amp;IF(AND(BR55=0,Q55=0),"Gebinde unbekannt / Stellmass fehlt; ","")&amp;IF(AND(BR55=0,N(T55)&lt;=0,N(P55)&lt;=0),"Menge pro Gebinde fehlt (Ist = 1 Gebinde); ","")&amp;BM55)</f>
        <v>Kein Verbrauch; Lose – Fläche geschätzt; Überbestand 5 Stk / CHF 2157; </v>
      </c>
      <c r="BF55" s="55" t="s">
        <v>297</v>
      </c>
      <c r="BG55" s="55"/>
      <c r="BH55" s="62"/>
      <c r="BI55" s="57" t="n">
        <v>11</v>
      </c>
      <c r="BJ55" s="57" t="n">
        <v>0</v>
      </c>
      <c r="BK55" s="56" t="n">
        <v>4746.28</v>
      </c>
      <c r="BL55" s="57" t="n">
        <v>0</v>
      </c>
      <c r="BM55" s="55"/>
      <c r="BN55" s="60" t="n">
        <v>0</v>
      </c>
      <c r="BO55" s="60" t="n">
        <v>55</v>
      </c>
      <c r="BP55" s="55" t="str">
        <f aca="false">IF(S55&lt;&gt;"",UPPER(TRIM(S55)),IF(O55="","LOSE",O55))</f>
        <v>LOSE</v>
      </c>
      <c r="BQ55" s="57" t="n">
        <f aca="false">IF(BP55="LOSE",1,IF(N(T55)&gt;0,T55,IF(N(P55)&gt;0,P55,MAX(1,G55))))</f>
        <v>1</v>
      </c>
      <c r="BR55" s="60" t="n">
        <f aca="false">IF(BP55="LOSE",1,0)</f>
        <v>1</v>
      </c>
      <c r="BS55" s="59" t="n">
        <f aca="false">IF(BR55=0,0,IF(N(R55)&gt;0,R55,IFERROR(VLOOKUP(D55,Parameter!$A$35:$C$64,3,0)+0,0)))</f>
        <v>0.15</v>
      </c>
      <c r="BT55" s="55" t="n">
        <f aca="false">IF(Y55&lt;&gt;"",Y55,X55)</f>
        <v>2</v>
      </c>
      <c r="BU55" s="55" t="str">
        <f aca="false">IF(BT55=1,"L1",IF(OR(BT55=2,BT55=3),"L23",IF(BT55="Aussen","Aussen","-")))</f>
        <v>L23</v>
      </c>
      <c r="BV55" s="66" t="n">
        <f aca="false">IF(N(Z55)&gt;0,Z55,0)</f>
        <v>0</v>
      </c>
      <c r="BW55" s="60" t="n">
        <f aca="false">IF(ISNUMBER(AC55),1,0)</f>
        <v>0</v>
      </c>
      <c r="BX55" s="57" t="n">
        <f aca="false">N(AC55)</f>
        <v>0</v>
      </c>
      <c r="BY55" s="57" t="n">
        <f aca="false">N(L55)+N(M55)</f>
        <v>6</v>
      </c>
      <c r="BZ55" s="57" t="n">
        <f aca="false">ROUNDUP(G55/BQ55,0)</f>
        <v>11</v>
      </c>
      <c r="CA55" s="57" t="n">
        <f aca="false">ROUNDUP(BX55/BQ55,0)</f>
        <v>0</v>
      </c>
      <c r="CB55" s="60" t="n">
        <f aca="false">IF(BR55=1,0,IFERROR(VLOOKUP(BP55,'Gebinde-Kategorie'!$A$5:$M$45,5,0)+0,0))</f>
        <v>0</v>
      </c>
      <c r="CC55" s="60" t="n">
        <f aca="false">IFERROR(IF(OR(BT55=1,BT55=2,BT55=3),N(INDEX(Parameter!$I$5:$I$7,BT55)),0),0)</f>
        <v>0</v>
      </c>
      <c r="CD55" s="59" t="n">
        <f aca="false">IF(AND(Parameter!$B$21="Ja",ISNUMBER(U55),N(V55)&gt;0),IFERROR(N(INDEX(Parameter!$L$5:$L$7,U55))*INDEX(Parameter!$E$5:$E$7,U55)*V55/SUMIFS($V$7:$V$1576,$U$7:$U$1576,U55),0),0)</f>
        <v>0</v>
      </c>
    </row>
    <row r="56" customFormat="false" ht="15" hidden="false" customHeight="false" outlineLevel="0" collapsed="false">
      <c r="A56" s="55" t="s">
        <v>298</v>
      </c>
      <c r="B56" s="55" t="s">
        <v>299</v>
      </c>
      <c r="C56" s="55" t="s">
        <v>160</v>
      </c>
      <c r="D56" s="55" t="s">
        <v>168</v>
      </c>
      <c r="E56" s="55" t="s">
        <v>210</v>
      </c>
      <c r="F56" s="56" t="n">
        <v>455.63</v>
      </c>
      <c r="G56" s="57" t="n">
        <f aca="false">MAX(0,IF(AND(Parameter!$B$21="Ja",ISNUMBER(W56)),W56,IF(Parameter!$B$20="Jahresanfang 2025 + Export",BJ56+BI56,BI56)))</f>
        <v>10</v>
      </c>
      <c r="H56" s="57" t="n">
        <f aca="false">G56*F56</f>
        <v>4556.3</v>
      </c>
      <c r="I56" s="57" t="n">
        <f aca="false">BL56*Parameter!$B$18</f>
        <v>0</v>
      </c>
      <c r="J56" s="58" t="n">
        <v>0</v>
      </c>
      <c r="K56" s="59" t="n">
        <v>0</v>
      </c>
      <c r="L56" s="57" t="n">
        <v>4</v>
      </c>
      <c r="M56" s="57" t="n">
        <v>16</v>
      </c>
      <c r="N56" s="60" t="n">
        <v>28</v>
      </c>
      <c r="O56" s="55" t="s">
        <v>163</v>
      </c>
      <c r="P56" s="57"/>
      <c r="Q56" s="60" t="n">
        <f aca="false">IF(BR56=1,0,IFERROR(VLOOKUP(BP56,'Gebinde-Kategorie'!$A$5:$M$45,13,0)+0,0))</f>
        <v>0</v>
      </c>
      <c r="R56" s="61"/>
      <c r="S56" s="62"/>
      <c r="T56" s="62"/>
      <c r="U56" s="55"/>
      <c r="V56" s="57"/>
      <c r="W56" s="57"/>
      <c r="X56" s="55" t="n">
        <f aca="false">IF(A56="","",IF(AND(Parameter!$B$21="Ja",ISNUMBER(U56)),U56,IF(IFERROR(VLOOKUP(D56,Parameter!$A$35:$C$64,2,0),"Nein")="2+3",IF(ISNUMBER(SEARCH("grosser Artikel",BM56)),2,IFERROR(VLOOKUP(BP56,Parameter!$F$35:$G$64,2,0),2)),IF(OR(IFERROR(VLOOKUP(D56,Parameter!$A$35:$C$64,2,0),"Nein")="Nein",IFERROR(VLOOKUP(D56,Parameter!$A$35:$C$64,2,0),"Nein")=""),"-",VLOOKUP(D56,Parameter!$A$35:$C$64,2,0)))))</f>
        <v>2</v>
      </c>
      <c r="Y56" s="62"/>
      <c r="Z56" s="63"/>
      <c r="AA56" s="57" t="n">
        <f aca="false">AP56</f>
        <v>20</v>
      </c>
      <c r="AB56" s="57" t="n">
        <f aca="false">MAX(AP56,G56)</f>
        <v>20</v>
      </c>
      <c r="AC56" s="64"/>
      <c r="AD56" s="57" t="n">
        <f aca="false">IF(LEFT(Cockpit!$C$5,1)="A",G56,IF(BW56=1,BX56,IF(LEFT(Cockpit!$C$5,1)="B",AH56,MAX(AH56,G56))))</f>
        <v>10</v>
      </c>
      <c r="AE56" s="57" t="n">
        <f aca="false">IF(BR56=1,0,ROUNDUP(AD56/BQ56,0))</f>
        <v>0</v>
      </c>
      <c r="AF56" s="59" t="n">
        <f aca="false">IF(CD56&gt;0,CD56*MAX(1,AD56/V56),IF(BR56=1,IF(AD56&lt;=0,0,BS56*MAX(1,IF(G56&gt;0,AD56/G56,1))),IF(Q56&gt;0,AE56/Q56,0))/MAX(0.1,N(Parameter!$M$21)))</f>
        <v>0.15</v>
      </c>
      <c r="AG56" s="57" t="n">
        <f aca="false">AD56*F56</f>
        <v>4556.3</v>
      </c>
      <c r="AH56" s="57" t="n">
        <f aca="false">ROUNDUP(MAX(I56/IF(BV56&gt;0,BV56,MAX(0.1,N(Cockpit!$C$6))),BY56)/BQ56,0)*BQ56</f>
        <v>20</v>
      </c>
      <c r="AI56" s="58" t="n">
        <f aca="false">IF(AF56&gt;0,I56/AF56,-1)</f>
        <v>0</v>
      </c>
      <c r="AJ56" s="58" t="n">
        <f aca="false">IF(AND(OR(BU56="L1",BU56="L23"),AF56&gt;0),SUMIFS($AF$7:$AF$1576,$BU$7:$BU$1576,BU56,$AI$7:$AI$1576,"&gt;"&amp;AI56)+SUMIFS($AF$7:$AF$1576,$BU$7:$BU$1576,BU56,$AI$7:$AI$1576,AI56,$BO$7:$BO$1576,"&lt;="&amp;BO56),"")</f>
        <v>37.3125816695382</v>
      </c>
      <c r="AK56" s="65" t="n">
        <f aca="false">IF(AJ56="",0,MAX(0,MIN(1,(IF(BU56="L1",Parameter!$E$5,Parameter!$E$6+Parameter!$E$7)-(AJ56-AF56))/AF56)))</f>
        <v>1</v>
      </c>
      <c r="AL56" s="57" t="n">
        <f aca="false">IF(LEFT(Cockpit!$I$5,1)="A",G56,IF(BW56=1,BX56,IF(LEFT(Cockpit!$I$5,1)="B",AP56,MAX(AP56,G56))))</f>
        <v>20</v>
      </c>
      <c r="AM56" s="57" t="n">
        <f aca="false">IF(BR56=1,0,ROUNDUP(AL56/BQ56,0))</f>
        <v>0</v>
      </c>
      <c r="AN56" s="59" t="n">
        <f aca="false">IF(CD56&gt;0,CD56*MAX(1,AL56/V56),IF(BR56=1,IF(AL56&lt;=0,0,BS56*MAX(1,IF(G56&gt;0,AL56/G56,1))),IF(Q56&gt;0,AM56/Q56,0))/MAX(0.1,N(Parameter!$M$21)))</f>
        <v>0.3</v>
      </c>
      <c r="AO56" s="57" t="n">
        <f aca="false">AL56*F56</f>
        <v>9112.6</v>
      </c>
      <c r="AP56" s="57" t="n">
        <f aca="false">ROUNDUP(MAX(I56/IF(BV56&gt;0,BV56,MAX(0.1,N(Cockpit!$I$6))),BY56)/BQ56,0)*BQ56</f>
        <v>20</v>
      </c>
      <c r="AQ56" s="58" t="n">
        <f aca="false">IF(AN56&gt;0,I56/AN56,-1)</f>
        <v>0</v>
      </c>
      <c r="AR56" s="58" t="n">
        <f aca="false">IF(AND(OR(BU56="L1",BU56="L23"),AN56&gt;0),SUMIFS($AN$7:$AN$1576,$BU$7:$BU$1576,BU56,$AQ$7:$AQ$1576,"&gt;"&amp;AQ56)+SUMIFS($AN$7:$AN$1576,$BU$7:$BU$1576,BU56,$AQ$7:$AQ$1576,AQ56,$BO$7:$BO$1576,"&lt;="&amp;BO56),"")</f>
        <v>120.036787419328</v>
      </c>
      <c r="AS56" s="65" t="n">
        <f aca="false">IF(AR56="",0,MAX(0,MIN(1,(IF(BU56="L1",Parameter!$E$5,Parameter!$E$6+Parameter!$E$7)-(AR56-AN56))/AN56)))</f>
        <v>0</v>
      </c>
      <c r="AT56" s="57" t="n">
        <f aca="false">IF(LEFT(Cockpit!$O$5,1)="A",G56,IF(BW56=1,BX56,IF(LEFT(Cockpit!$O$5,1)="B",AX56,MAX(AX56,G56))))</f>
        <v>20</v>
      </c>
      <c r="AU56" s="57" t="n">
        <f aca="false">IF(BR56=1,0,ROUNDUP(AT56/BQ56,0))</f>
        <v>0</v>
      </c>
      <c r="AV56" s="59" t="n">
        <f aca="false">IF(CD56&gt;0,CD56*MAX(1,AT56/V56),IF(BR56=1,IF(AT56&lt;=0,0,BS56*MAX(1,IF(G56&gt;0,AT56/G56,1))),IF(Q56&gt;0,AU56/Q56,0))/MAX(0.1,N(Parameter!$M$21)))</f>
        <v>0.3</v>
      </c>
      <c r="AW56" s="57" t="n">
        <f aca="false">AT56*F56</f>
        <v>9112.6</v>
      </c>
      <c r="AX56" s="57" t="n">
        <f aca="false">ROUNDUP(MAX(I56/IF(BV56&gt;0,BV56,MAX(0.1,N(Cockpit!$O$6))),BY56)/BQ56,0)*BQ56</f>
        <v>20</v>
      </c>
      <c r="AY56" s="58" t="n">
        <f aca="false">IF(AV56&gt;0,I56/AV56,-1)</f>
        <v>0</v>
      </c>
      <c r="AZ56" s="58" t="n">
        <f aca="false">IF(AND(OR(BU56="L1",BU56="L23"),AV56&gt;0),SUMIFS($AV$7:$AV$1576,$BU$7:$BU$1576,BU56,$AY$7:$AY$1576,"&gt;"&amp;AY56)+SUMIFS($AV$7:$AV$1576,$BU$7:$BU$1576,BU56,$AY$7:$AY$1576,AY56,$BO$7:$BO$1576,"&lt;="&amp;BO56),"")</f>
        <v>110.096337868878</v>
      </c>
      <c r="BA56" s="65" t="n">
        <f aca="false">IF(AZ56="",0,MAX(0,MIN(1,(IF(BU56="L1",Parameter!$E$5,Parameter!$E$6+Parameter!$E$7)-(AZ56-AV56))/AV56)))</f>
        <v>0</v>
      </c>
      <c r="BB56" s="55" t="str">
        <f aca="false">IF(AF56&lt;=0,"",IF(BU56="Aussen","Aussenlager",IF(BU56="-","Nicht im Lift",IF(AK56&gt;=1,"Lift",IF(AK56&lt;=0,"Aussenlager","teilweise")))))</f>
        <v>Lift</v>
      </c>
      <c r="BC56" s="55" t="str">
        <f aca="false">IF(AN56&lt;=0,"",IF(BU56="Aussen","Aussenlager",IF(BU56="-","Nicht im Lift",IF(AS56&gt;=1,"Lift",IF(AS56&lt;=0,"Aussenlager","teilweise")))))</f>
        <v>Aussenlager</v>
      </c>
      <c r="BD56" s="55" t="str">
        <f aca="false">IF(AV56&lt;=0,"",IF(BU56="Aussen","Aussenlager",IF(BU56="-","Nicht im Lift",IF(BA56&gt;=1,"Lift",IF(BA56&lt;=0,"Aussenlager","teilweise")))))</f>
        <v>Aussenlager</v>
      </c>
      <c r="BE56" s="55" t="str">
        <f aca="false">IF(A56="","",IF(BN56=1,"Neu; ","")&amp;IF(AND(BN56=0,BI56&lt;0),"negativer Bestand (Export "&amp;BI56&amp;"); ","")&amp;IF(I56&lt;=0,"Kein Verbrauch; ","")&amp;IF(CD56&gt;0,"Lift "&amp;U56&amp;" lt. Liftbericht (Fach "&amp;V56&amp;" Stk); ",IF(BR56=1,"Lose – Fläche geschätzt; ",""))&amp;IF(G56&gt;AP56,"Überbestand "&amp;ROUND(G56-AP56,0)&amp;" Stk / CHF "&amp;ROUND((G56-AP56)*F56,0)&amp;"; ","")&amp;IF(AND(BW56=1,BX56&lt;BY56),"MAX &lt; MB+LG; ","")&amp;IF(AND(CC56&gt;0,CB56*10&gt;CC56),"zu hoch für Tablar; ","")&amp;IF(AND(BN56=0,OR(BW56=1,Y56&lt;&gt;"",S56&lt;&gt;"",T56&lt;&gt;"",Z56&lt;&gt;"")),"manuell übersteuert; ","")&amp;IF(AND(BR56=0,Q56=0),"Gebinde unbekannt / Stellmass fehlt; ","")&amp;IF(AND(BR56=0,N(T56)&lt;=0,N(P56)&lt;=0),"Menge pro Gebinde fehlt (Ist = 1 Gebinde); ","")&amp;BM56)</f>
        <v>Kein Verbrauch; Lose – Fläche geschätzt; </v>
      </c>
      <c r="BF56" s="55" t="s">
        <v>206</v>
      </c>
      <c r="BG56" s="55"/>
      <c r="BH56" s="62"/>
      <c r="BI56" s="57" t="n">
        <v>10</v>
      </c>
      <c r="BJ56" s="57" t="n">
        <v>0</v>
      </c>
      <c r="BK56" s="56" t="n">
        <v>4556.3</v>
      </c>
      <c r="BL56" s="57" t="n">
        <v>0</v>
      </c>
      <c r="BM56" s="55"/>
      <c r="BN56" s="60" t="n">
        <v>0</v>
      </c>
      <c r="BO56" s="60" t="n">
        <v>56</v>
      </c>
      <c r="BP56" s="55" t="str">
        <f aca="false">IF(S56&lt;&gt;"",UPPER(TRIM(S56)),IF(O56="","LOSE",O56))</f>
        <v>LOSE</v>
      </c>
      <c r="BQ56" s="57" t="n">
        <f aca="false">IF(BP56="LOSE",1,IF(N(T56)&gt;0,T56,IF(N(P56)&gt;0,P56,MAX(1,G56))))</f>
        <v>1</v>
      </c>
      <c r="BR56" s="60" t="n">
        <f aca="false">IF(BP56="LOSE",1,0)</f>
        <v>1</v>
      </c>
      <c r="BS56" s="59" t="n">
        <f aca="false">IF(BR56=0,0,IF(N(R56)&gt;0,R56,IFERROR(VLOOKUP(D56,Parameter!$A$35:$C$64,3,0)+0,0)))</f>
        <v>0.15</v>
      </c>
      <c r="BT56" s="55" t="n">
        <f aca="false">IF(Y56&lt;&gt;"",Y56,X56)</f>
        <v>2</v>
      </c>
      <c r="BU56" s="55" t="str">
        <f aca="false">IF(BT56=1,"L1",IF(OR(BT56=2,BT56=3),"L23",IF(BT56="Aussen","Aussen","-")))</f>
        <v>L23</v>
      </c>
      <c r="BV56" s="66" t="n">
        <f aca="false">IF(N(Z56)&gt;0,Z56,0)</f>
        <v>0</v>
      </c>
      <c r="BW56" s="60" t="n">
        <f aca="false">IF(ISNUMBER(AC56),1,0)</f>
        <v>0</v>
      </c>
      <c r="BX56" s="57" t="n">
        <f aca="false">N(AC56)</f>
        <v>0</v>
      </c>
      <c r="BY56" s="57" t="n">
        <f aca="false">N(L56)+N(M56)</f>
        <v>20</v>
      </c>
      <c r="BZ56" s="57" t="n">
        <f aca="false">ROUNDUP(G56/BQ56,0)</f>
        <v>10</v>
      </c>
      <c r="CA56" s="57" t="n">
        <f aca="false">ROUNDUP(BX56/BQ56,0)</f>
        <v>0</v>
      </c>
      <c r="CB56" s="60" t="n">
        <f aca="false">IF(BR56=1,0,IFERROR(VLOOKUP(BP56,'Gebinde-Kategorie'!$A$5:$M$45,5,0)+0,0))</f>
        <v>0</v>
      </c>
      <c r="CC56" s="60" t="n">
        <f aca="false">IFERROR(IF(OR(BT56=1,BT56=2,BT56=3),N(INDEX(Parameter!$I$5:$I$7,BT56)),0),0)</f>
        <v>0</v>
      </c>
      <c r="CD56" s="59" t="n">
        <f aca="false">IF(AND(Parameter!$B$21="Ja",ISNUMBER(U56),N(V56)&gt;0),IFERROR(N(INDEX(Parameter!$L$5:$L$7,U56))*INDEX(Parameter!$E$5:$E$7,U56)*V56/SUMIFS($V$7:$V$1576,$U$7:$U$1576,U56),0),0)</f>
        <v>0</v>
      </c>
    </row>
    <row r="57" customFormat="false" ht="15" hidden="false" customHeight="false" outlineLevel="0" collapsed="false">
      <c r="A57" s="55" t="s">
        <v>300</v>
      </c>
      <c r="B57" s="55" t="s">
        <v>301</v>
      </c>
      <c r="C57" s="55" t="s">
        <v>160</v>
      </c>
      <c r="D57" s="55" t="s">
        <v>178</v>
      </c>
      <c r="E57" s="55" t="s">
        <v>210</v>
      </c>
      <c r="F57" s="56" t="n">
        <v>280.9</v>
      </c>
      <c r="G57" s="57" t="n">
        <f aca="false">MAX(0,IF(AND(Parameter!$B$21="Ja",ISNUMBER(W57)),W57,IF(Parameter!$B$20="Jahresanfang 2025 + Export",BJ57+BI57,BI57)))</f>
        <v>13</v>
      </c>
      <c r="H57" s="57" t="n">
        <f aca="false">G57*F57</f>
        <v>3651.7</v>
      </c>
      <c r="I57" s="57" t="n">
        <f aca="false">BL57*Parameter!$B$18</f>
        <v>232</v>
      </c>
      <c r="J57" s="58" t="n">
        <v>71</v>
      </c>
      <c r="K57" s="59" t="n">
        <v>3.26760563380282</v>
      </c>
      <c r="L57" s="57" t="n">
        <v>13</v>
      </c>
      <c r="M57" s="57" t="n">
        <v>25</v>
      </c>
      <c r="N57" s="60" t="n">
        <v>21</v>
      </c>
      <c r="O57" s="55" t="s">
        <v>284</v>
      </c>
      <c r="P57" s="57" t="n">
        <v>89</v>
      </c>
      <c r="Q57" s="60" t="n">
        <f aca="false">IF(BR57=1,0,IFERROR(VLOOKUP(BP57,'Gebinde-Kategorie'!$A$5:$M$45,13,0)+0,0))</f>
        <v>12</v>
      </c>
      <c r="R57" s="61"/>
      <c r="S57" s="62"/>
      <c r="T57" s="62"/>
      <c r="U57" s="55"/>
      <c r="V57" s="57"/>
      <c r="W57" s="57"/>
      <c r="X57" s="55" t="n">
        <f aca="false">IF(A57="","",IF(AND(Parameter!$B$21="Ja",ISNUMBER(U57)),U57,IF(IFERROR(VLOOKUP(D57,Parameter!$A$35:$C$64,2,0),"Nein")="2+3",IF(ISNUMBER(SEARCH("grosser Artikel",BM57)),2,IFERROR(VLOOKUP(BP57,Parameter!$F$35:$G$64,2,0),2)),IF(OR(IFERROR(VLOOKUP(D57,Parameter!$A$35:$C$64,2,0),"Nein")="Nein",IFERROR(VLOOKUP(D57,Parameter!$A$35:$C$64,2,0),"Nein")=""),"-",VLOOKUP(D57,Parameter!$A$35:$C$64,2,0)))))</f>
        <v>2</v>
      </c>
      <c r="Y57" s="62"/>
      <c r="Z57" s="63"/>
      <c r="AA57" s="57" t="n">
        <f aca="false">AP57</f>
        <v>178</v>
      </c>
      <c r="AB57" s="57" t="n">
        <f aca="false">MAX(AP57,G57)</f>
        <v>178</v>
      </c>
      <c r="AC57" s="64"/>
      <c r="AD57" s="57" t="n">
        <f aca="false">IF(LEFT(Cockpit!$C$5,1)="A",G57,IF(BW57=1,BX57,IF(LEFT(Cockpit!$C$5,1)="B",AH57,MAX(AH57,G57))))</f>
        <v>13</v>
      </c>
      <c r="AE57" s="57" t="n">
        <f aca="false">IF(BR57=1,0,ROUNDUP(AD57/BQ57,0))</f>
        <v>1</v>
      </c>
      <c r="AF57" s="59" t="n">
        <f aca="false">IF(CD57&gt;0,CD57*MAX(1,AD57/V57),IF(BR57=1,IF(AD57&lt;=0,0,BS57*MAX(1,IF(G57&gt;0,AD57/G57,1))),IF(Q57&gt;0,AE57/Q57,0))/MAX(0.1,N(Parameter!$M$21)))</f>
        <v>0.0833333333333333</v>
      </c>
      <c r="AG57" s="57" t="n">
        <f aca="false">AD57*F57</f>
        <v>3651.7</v>
      </c>
      <c r="AH57" s="57" t="n">
        <f aca="false">ROUNDUP(MAX(I57/IF(BV57&gt;0,BV57,MAX(0.1,N(Cockpit!$C$6))),BY57)/BQ57,0)*BQ57</f>
        <v>178</v>
      </c>
      <c r="AI57" s="58" t="n">
        <f aca="false">IF(AF57&gt;0,I57/AF57,-1)</f>
        <v>2784</v>
      </c>
      <c r="AJ57" s="58" t="n">
        <f aca="false">IF(AND(OR(BU57="L1",BU57="L23"),AF57&gt;0),SUMIFS($AF$7:$AF$1576,$BU$7:$BU$1576,BU57,$AI$7:$AI$1576,"&gt;"&amp;AI57)+SUMIFS($AF$7:$AF$1576,$BU$7:$BU$1576,BU57,$AI$7:$AI$1576,AI57,$BO$7:$BO$1576,"&lt;="&amp;BO57),"")</f>
        <v>5.2899932434715</v>
      </c>
      <c r="AK57" s="65" t="n">
        <f aca="false">IF(AJ57="",0,MAX(0,MIN(1,(IF(BU57="L1",Parameter!$E$5,Parameter!$E$6+Parameter!$E$7)-(AJ57-AF57))/AF57)))</f>
        <v>1</v>
      </c>
      <c r="AL57" s="57" t="n">
        <f aca="false">IF(LEFT(Cockpit!$I$5,1)="A",G57,IF(BW57=1,BX57,IF(LEFT(Cockpit!$I$5,1)="B",AP57,MAX(AP57,G57))))</f>
        <v>178</v>
      </c>
      <c r="AM57" s="57" t="n">
        <f aca="false">IF(BR57=1,0,ROUNDUP(AL57/BQ57,0))</f>
        <v>2</v>
      </c>
      <c r="AN57" s="59" t="n">
        <f aca="false">IF(CD57&gt;0,CD57*MAX(1,AL57/V57),IF(BR57=1,IF(AL57&lt;=0,0,BS57*MAX(1,IF(G57&gt;0,AL57/G57,1))),IF(Q57&gt;0,AM57/Q57,0))/MAX(0.1,N(Parameter!$M$21)))</f>
        <v>0.166666666666667</v>
      </c>
      <c r="AO57" s="57" t="n">
        <f aca="false">AL57*F57</f>
        <v>50000.2</v>
      </c>
      <c r="AP57" s="57" t="n">
        <f aca="false">ROUNDUP(MAX(I57/IF(BV57&gt;0,BV57,MAX(0.1,N(Cockpit!$I$6))),BY57)/BQ57,0)*BQ57</f>
        <v>178</v>
      </c>
      <c r="AQ57" s="58" t="n">
        <f aca="false">IF(AN57&gt;0,I57/AN57,-1)</f>
        <v>1392</v>
      </c>
      <c r="AR57" s="58" t="n">
        <f aca="false">IF(AND(OR(BU57="L1",BU57="L23"),AN57&gt;0),SUMIFS($AN$7:$AN$1576,$BU$7:$BU$1576,BU57,$AQ$7:$AQ$1576,"&gt;"&amp;AQ57)+SUMIFS($AN$7:$AN$1576,$BU$7:$BU$1576,BU57,$AQ$7:$AQ$1576,AQ57,$BO$7:$BO$1576,"&lt;="&amp;BO57),"")</f>
        <v>19.7394753197039</v>
      </c>
      <c r="AS57" s="65" t="n">
        <f aca="false">IF(AR57="",0,MAX(0,MIN(1,(IF(BU57="L1",Parameter!$E$5,Parameter!$E$6+Parameter!$E$7)-(AR57-AN57))/AN57)))</f>
        <v>1</v>
      </c>
      <c r="AT57" s="57" t="n">
        <f aca="false">IF(LEFT(Cockpit!$O$5,1)="A",G57,IF(BW57=1,BX57,IF(LEFT(Cockpit!$O$5,1)="B",AX57,MAX(AX57,G57))))</f>
        <v>89</v>
      </c>
      <c r="AU57" s="57" t="n">
        <f aca="false">IF(BR57=1,0,ROUNDUP(AT57/BQ57,0))</f>
        <v>1</v>
      </c>
      <c r="AV57" s="59" t="n">
        <f aca="false">IF(CD57&gt;0,CD57*MAX(1,AT57/V57),IF(BR57=1,IF(AT57&lt;=0,0,BS57*MAX(1,IF(G57&gt;0,AT57/G57,1))),IF(Q57&gt;0,AU57/Q57,0))/MAX(0.1,N(Parameter!$M$21)))</f>
        <v>0.0833333333333333</v>
      </c>
      <c r="AW57" s="57" t="n">
        <f aca="false">AT57*F57</f>
        <v>25000.1</v>
      </c>
      <c r="AX57" s="57" t="n">
        <f aca="false">ROUNDUP(MAX(I57/IF(BV57&gt;0,BV57,MAX(0.1,N(Cockpit!$O$6))),BY57)/BQ57,0)*BQ57</f>
        <v>89</v>
      </c>
      <c r="AY57" s="58" t="n">
        <f aca="false">IF(AV57&gt;0,I57/AV57,-1)</f>
        <v>2784</v>
      </c>
      <c r="AZ57" s="58" t="n">
        <f aca="false">IF(AND(OR(BU57="L1",BU57="L23"),AV57&gt;0),SUMIFS($AV$7:$AV$1576,$BU$7:$BU$1576,BU57,$AY$7:$AY$1576,"&gt;"&amp;AY57)+SUMIFS($AV$7:$AV$1576,$BU$7:$BU$1576,BU57,$AY$7:$AY$1576,AY57,$BO$7:$BO$1576,"&lt;="&amp;BO57),"")</f>
        <v>13.4407806932198</v>
      </c>
      <c r="BA57" s="65" t="n">
        <f aca="false">IF(AZ57="",0,MAX(0,MIN(1,(IF(BU57="L1",Parameter!$E$5,Parameter!$E$6+Parameter!$E$7)-(AZ57-AV57))/AV57)))</f>
        <v>1</v>
      </c>
      <c r="BB57" s="55" t="str">
        <f aca="false">IF(AF57&lt;=0,"",IF(BU57="Aussen","Aussenlager",IF(BU57="-","Nicht im Lift",IF(AK57&gt;=1,"Lift",IF(AK57&lt;=0,"Aussenlager","teilweise")))))</f>
        <v>Lift</v>
      </c>
      <c r="BC57" s="55" t="str">
        <f aca="false">IF(AN57&lt;=0,"",IF(BU57="Aussen","Aussenlager",IF(BU57="-","Nicht im Lift",IF(AS57&gt;=1,"Lift",IF(AS57&lt;=0,"Aussenlager","teilweise")))))</f>
        <v>Lift</v>
      </c>
      <c r="BD57" s="55" t="str">
        <f aca="false">IF(AV57&lt;=0,"",IF(BU57="Aussen","Aussenlager",IF(BU57="-","Nicht im Lift",IF(BA57&gt;=1,"Lift",IF(BA57&lt;=0,"Aussenlager","teilweise")))))</f>
        <v>Lift</v>
      </c>
      <c r="BE57" s="55" t="str">
        <f aca="false">IF(A57="","",IF(BN57=1,"Neu; ","")&amp;IF(AND(BN57=0,BI57&lt;0),"negativer Bestand (Export "&amp;BI57&amp;"); ","")&amp;IF(I57&lt;=0,"Kein Verbrauch; ","")&amp;IF(CD57&gt;0,"Lift "&amp;U57&amp;" lt. Liftbericht (Fach "&amp;V57&amp;" Stk); ",IF(BR57=1,"Lose – Fläche geschätzt; ",""))&amp;IF(G57&gt;AP57,"Überbestand "&amp;ROUND(G57-AP57,0)&amp;" Stk / CHF "&amp;ROUND((G57-AP57)*F57,0)&amp;"; ","")&amp;IF(AND(BW57=1,BX57&lt;BY57),"MAX &lt; MB+LG; ","")&amp;IF(AND(CC57&gt;0,CB57*10&gt;CC57),"zu hoch für Tablar; ","")&amp;IF(AND(BN57=0,OR(BW57=1,Y57&lt;&gt;"",S57&lt;&gt;"",T57&lt;&gt;"",Z57&lt;&gt;"")),"manuell übersteuert; ","")&amp;IF(AND(BR57=0,Q57=0),"Gebinde unbekannt / Stellmass fehlt; ","")&amp;IF(AND(BR57=0,N(T57)&lt;=0,N(P57)&lt;=0),"Menge pro Gebinde fehlt (Ist = 1 Gebinde); ","")&amp;BM57)</f>
        <v/>
      </c>
      <c r="BF57" s="55"/>
      <c r="BG57" s="55"/>
      <c r="BH57" s="62"/>
      <c r="BI57" s="57" t="n">
        <v>13</v>
      </c>
      <c r="BJ57" s="57" t="n">
        <v>51</v>
      </c>
      <c r="BK57" s="56" t="n">
        <v>4516.17999999989</v>
      </c>
      <c r="BL57" s="57" t="n">
        <v>232</v>
      </c>
      <c r="BM57" s="55"/>
      <c r="BN57" s="60" t="n">
        <v>0</v>
      </c>
      <c r="BO57" s="60" t="n">
        <v>57</v>
      </c>
      <c r="BP57" s="55" t="str">
        <f aca="false">IF(S57&lt;&gt;"",UPPER(TRIM(S57)),IF(O57="","LOSE",O57))</f>
        <v>S62</v>
      </c>
      <c r="BQ57" s="57" t="n">
        <f aca="false">IF(BP57="LOSE",1,IF(N(T57)&gt;0,T57,IF(N(P57)&gt;0,P57,MAX(1,G57))))</f>
        <v>89</v>
      </c>
      <c r="BR57" s="60" t="n">
        <f aca="false">IF(BP57="LOSE",1,0)</f>
        <v>0</v>
      </c>
      <c r="BS57" s="59" t="n">
        <f aca="false">IF(BR57=0,0,IF(N(R57)&gt;0,R57,IFERROR(VLOOKUP(D57,Parameter!$A$35:$C$64,3,0)+0,0)))</f>
        <v>0</v>
      </c>
      <c r="BT57" s="55" t="n">
        <f aca="false">IF(Y57&lt;&gt;"",Y57,X57)</f>
        <v>2</v>
      </c>
      <c r="BU57" s="55" t="str">
        <f aca="false">IF(BT57=1,"L1",IF(OR(BT57=2,BT57=3),"L23",IF(BT57="Aussen","Aussen","-")))</f>
        <v>L23</v>
      </c>
      <c r="BV57" s="66" t="n">
        <f aca="false">IF(N(Z57)&gt;0,Z57,0)</f>
        <v>0</v>
      </c>
      <c r="BW57" s="60" t="n">
        <f aca="false">IF(ISNUMBER(AC57),1,0)</f>
        <v>0</v>
      </c>
      <c r="BX57" s="57" t="n">
        <f aca="false">N(AC57)</f>
        <v>0</v>
      </c>
      <c r="BY57" s="57" t="n">
        <f aca="false">N(L57)+N(M57)</f>
        <v>38</v>
      </c>
      <c r="BZ57" s="57" t="n">
        <f aca="false">ROUNDUP(G57/BQ57,0)</f>
        <v>1</v>
      </c>
      <c r="CA57" s="57" t="n">
        <f aca="false">ROUNDUP(BX57/BQ57,0)</f>
        <v>0</v>
      </c>
      <c r="CB57" s="60" t="n">
        <f aca="false">IF(BR57=1,0,IFERROR(VLOOKUP(BP57,'Gebinde-Kategorie'!$A$5:$M$45,5,0)+0,0))</f>
        <v>21</v>
      </c>
      <c r="CC57" s="60" t="n">
        <f aca="false">IFERROR(IF(OR(BT57=1,BT57=2,BT57=3),N(INDEX(Parameter!$I$5:$I$7,BT57)),0),0)</f>
        <v>0</v>
      </c>
      <c r="CD57" s="59" t="n">
        <f aca="false">IF(AND(Parameter!$B$21="Ja",ISNUMBER(U57),N(V57)&gt;0),IFERROR(N(INDEX(Parameter!$L$5:$L$7,U57))*INDEX(Parameter!$E$5:$E$7,U57)*V57/SUMIFS($V$7:$V$1576,$U$7:$U$1576,U57),0),0)</f>
        <v>0</v>
      </c>
    </row>
    <row r="58" customFormat="false" ht="15" hidden="false" customHeight="false" outlineLevel="0" collapsed="false">
      <c r="A58" s="55" t="s">
        <v>302</v>
      </c>
      <c r="B58" s="55" t="s">
        <v>303</v>
      </c>
      <c r="C58" s="55" t="s">
        <v>160</v>
      </c>
      <c r="D58" s="55" t="s">
        <v>178</v>
      </c>
      <c r="E58" s="55" t="s">
        <v>210</v>
      </c>
      <c r="F58" s="56" t="n">
        <v>15.95</v>
      </c>
      <c r="G58" s="57" t="n">
        <f aca="false">MAX(0,IF(AND(Parameter!$B$21="Ja",ISNUMBER(W58)),W58,IF(Parameter!$B$20="Jahresanfang 2025 + Export",BJ58+BI58,BI58)))</f>
        <v>279</v>
      </c>
      <c r="H58" s="57" t="n">
        <f aca="false">G58*F58</f>
        <v>4450.05</v>
      </c>
      <c r="I58" s="57" t="n">
        <f aca="false">BL58*Parameter!$B$18</f>
        <v>310</v>
      </c>
      <c r="J58" s="58" t="n">
        <v>94.5</v>
      </c>
      <c r="K58" s="59" t="n">
        <v>3.28042328042328</v>
      </c>
      <c r="L58" s="57" t="n">
        <v>50</v>
      </c>
      <c r="M58" s="57" t="n">
        <v>225</v>
      </c>
      <c r="N58" s="60" t="n">
        <v>56</v>
      </c>
      <c r="O58" s="55" t="s">
        <v>293</v>
      </c>
      <c r="P58" s="57" t="n">
        <v>142</v>
      </c>
      <c r="Q58" s="60" t="n">
        <f aca="false">IF(BR58=1,0,IFERROR(VLOOKUP(BP58,'Gebinde-Kategorie'!$A$5:$M$45,13,0)+0,0))</f>
        <v>26</v>
      </c>
      <c r="R58" s="61"/>
      <c r="S58" s="62"/>
      <c r="T58" s="62"/>
      <c r="U58" s="55"/>
      <c r="V58" s="57"/>
      <c r="W58" s="57"/>
      <c r="X58" s="55" t="n">
        <f aca="false">IF(A58="","",IF(AND(Parameter!$B$21="Ja",ISNUMBER(U58)),U58,IF(IFERROR(VLOOKUP(D58,Parameter!$A$35:$C$64,2,0),"Nein")="2+3",IF(ISNUMBER(SEARCH("grosser Artikel",BM58)),2,IFERROR(VLOOKUP(BP58,Parameter!$F$35:$G$64,2,0),2)),IF(OR(IFERROR(VLOOKUP(D58,Parameter!$A$35:$C$64,2,0),"Nein")="Nein",IFERROR(VLOOKUP(D58,Parameter!$A$35:$C$64,2,0),"Nein")=""),"-",VLOOKUP(D58,Parameter!$A$35:$C$64,2,0)))))</f>
        <v>3</v>
      </c>
      <c r="Y58" s="62"/>
      <c r="Z58" s="63"/>
      <c r="AA58" s="57" t="n">
        <f aca="false">AP58</f>
        <v>284</v>
      </c>
      <c r="AB58" s="57" t="n">
        <f aca="false">MAX(AP58,G58)</f>
        <v>284</v>
      </c>
      <c r="AC58" s="64"/>
      <c r="AD58" s="57" t="n">
        <f aca="false">IF(LEFT(Cockpit!$C$5,1)="A",G58,IF(BW58=1,BX58,IF(LEFT(Cockpit!$C$5,1)="B",AH58,MAX(AH58,G58))))</f>
        <v>279</v>
      </c>
      <c r="AE58" s="57" t="n">
        <f aca="false">IF(BR58=1,0,ROUNDUP(AD58/BQ58,0))</f>
        <v>2</v>
      </c>
      <c r="AF58" s="59" t="n">
        <f aca="false">IF(CD58&gt;0,CD58*MAX(1,AD58/V58),IF(BR58=1,IF(AD58&lt;=0,0,BS58*MAX(1,IF(G58&gt;0,AD58/G58,1))),IF(Q58&gt;0,AE58/Q58,0))/MAX(0.1,N(Parameter!$M$21)))</f>
        <v>0.0769230769230769</v>
      </c>
      <c r="AG58" s="57" t="n">
        <f aca="false">AD58*F58</f>
        <v>4450.05</v>
      </c>
      <c r="AH58" s="57" t="n">
        <f aca="false">ROUNDUP(MAX(I58/IF(BV58&gt;0,BV58,MAX(0.1,N(Cockpit!$C$6))),BY58)/BQ58,0)*BQ58</f>
        <v>284</v>
      </c>
      <c r="AI58" s="58" t="n">
        <f aca="false">IF(AF58&gt;0,I58/AF58,-1)</f>
        <v>4030</v>
      </c>
      <c r="AJ58" s="58" t="n">
        <f aca="false">IF(AND(OR(BU58="L1",BU58="L23"),AF58&gt;0),SUMIFS($AF$7:$AF$1576,$BU$7:$BU$1576,BU58,$AI$7:$AI$1576,"&gt;"&amp;AI58)+SUMIFS($AF$7:$AF$1576,$BU$7:$BU$1576,BU58,$AI$7:$AI$1576,AI58,$BO$7:$BO$1576,"&lt;="&amp;BO58),"")</f>
        <v>4.2326894361677</v>
      </c>
      <c r="AK58" s="65" t="n">
        <f aca="false">IF(AJ58="",0,MAX(0,MIN(1,(IF(BU58="L1",Parameter!$E$5,Parameter!$E$6+Parameter!$E$7)-(AJ58-AF58))/AF58)))</f>
        <v>1</v>
      </c>
      <c r="AL58" s="57" t="n">
        <f aca="false">IF(LEFT(Cockpit!$I$5,1)="A",G58,IF(BW58=1,BX58,IF(LEFT(Cockpit!$I$5,1)="B",AP58,MAX(AP58,G58))))</f>
        <v>284</v>
      </c>
      <c r="AM58" s="57" t="n">
        <f aca="false">IF(BR58=1,0,ROUNDUP(AL58/BQ58,0))</f>
        <v>2</v>
      </c>
      <c r="AN58" s="59" t="n">
        <f aca="false">IF(CD58&gt;0,CD58*MAX(1,AL58/V58),IF(BR58=1,IF(AL58&lt;=0,0,BS58*MAX(1,IF(G58&gt;0,AL58/G58,1))),IF(Q58&gt;0,AM58/Q58,0))/MAX(0.1,N(Parameter!$M$21)))</f>
        <v>0.0769230769230769</v>
      </c>
      <c r="AO58" s="57" t="n">
        <f aca="false">AL58*F58</f>
        <v>4529.8</v>
      </c>
      <c r="AP58" s="57" t="n">
        <f aca="false">ROUNDUP(MAX(I58/IF(BV58&gt;0,BV58,MAX(0.1,N(Cockpit!$I$6))),BY58)/BQ58,0)*BQ58</f>
        <v>284</v>
      </c>
      <c r="AQ58" s="58" t="n">
        <f aca="false">IF(AN58&gt;0,I58/AN58,-1)</f>
        <v>4030</v>
      </c>
      <c r="AR58" s="58" t="n">
        <f aca="false">IF(AND(OR(BU58="L1",BU58="L23"),AN58&gt;0),SUMIFS($AN$7:$AN$1576,$BU$7:$BU$1576,BU58,$AQ$7:$AQ$1576,"&gt;"&amp;AQ58)+SUMIFS($AN$7:$AN$1576,$BU$7:$BU$1576,BU58,$AQ$7:$AQ$1576,AQ58,$BO$7:$BO$1576,"&lt;="&amp;BO58),"")</f>
        <v>13.0115830309787</v>
      </c>
      <c r="AS58" s="65" t="n">
        <f aca="false">IF(AR58="",0,MAX(0,MIN(1,(IF(BU58="L1",Parameter!$E$5,Parameter!$E$6+Parameter!$E$7)-(AR58-AN58))/AN58)))</f>
        <v>1</v>
      </c>
      <c r="AT58" s="57" t="n">
        <f aca="false">IF(LEFT(Cockpit!$O$5,1)="A",G58,IF(BW58=1,BX58,IF(LEFT(Cockpit!$O$5,1)="B",AX58,MAX(AX58,G58))))</f>
        <v>284</v>
      </c>
      <c r="AU58" s="57" t="n">
        <f aca="false">IF(BR58=1,0,ROUNDUP(AT58/BQ58,0))</f>
        <v>2</v>
      </c>
      <c r="AV58" s="59" t="n">
        <f aca="false">IF(CD58&gt;0,CD58*MAX(1,AT58/V58),IF(BR58=1,IF(AT58&lt;=0,0,BS58*MAX(1,IF(G58&gt;0,AT58/G58,1))),IF(Q58&gt;0,AU58/Q58,0))/MAX(0.1,N(Parameter!$M$21)))</f>
        <v>0.0769230769230769</v>
      </c>
      <c r="AW58" s="57" t="n">
        <f aca="false">AT58*F58</f>
        <v>4529.8</v>
      </c>
      <c r="AX58" s="57" t="n">
        <f aca="false">ROUNDUP(MAX(I58/IF(BV58&gt;0,BV58,MAX(0.1,N(Cockpit!$O$6))),BY58)/BQ58,0)*BQ58</f>
        <v>284</v>
      </c>
      <c r="AY58" s="58" t="n">
        <f aca="false">IF(AV58&gt;0,I58/AV58,-1)</f>
        <v>4030</v>
      </c>
      <c r="AZ58" s="58" t="n">
        <f aca="false">IF(AND(OR(BU58="L1",BU58="L23"),AV58&gt;0),SUMIFS($AV$7:$AV$1576,$BU$7:$BU$1576,BU58,$AY$7:$AY$1576,"&gt;"&amp;AY58)+SUMIFS($AV$7:$AV$1576,$BU$7:$BU$1576,BU58,$AY$7:$AY$1576,AY58,$BO$7:$BO$1576,"&lt;="&amp;BO58),"")</f>
        <v>11.7324455018412</v>
      </c>
      <c r="BA58" s="65" t="n">
        <f aca="false">IF(AZ58="",0,MAX(0,MIN(1,(IF(BU58="L1",Parameter!$E$5,Parameter!$E$6+Parameter!$E$7)-(AZ58-AV58))/AV58)))</f>
        <v>1</v>
      </c>
      <c r="BB58" s="55" t="str">
        <f aca="false">IF(AF58&lt;=0,"",IF(BU58="Aussen","Aussenlager",IF(BU58="-","Nicht im Lift",IF(AK58&gt;=1,"Lift",IF(AK58&lt;=0,"Aussenlager","teilweise")))))</f>
        <v>Lift</v>
      </c>
      <c r="BC58" s="55" t="str">
        <f aca="false">IF(AN58&lt;=0,"",IF(BU58="Aussen","Aussenlager",IF(BU58="-","Nicht im Lift",IF(AS58&gt;=1,"Lift",IF(AS58&lt;=0,"Aussenlager","teilweise")))))</f>
        <v>Lift</v>
      </c>
      <c r="BD58" s="55" t="str">
        <f aca="false">IF(AV58&lt;=0,"",IF(BU58="Aussen","Aussenlager",IF(BU58="-","Nicht im Lift",IF(BA58&gt;=1,"Lift",IF(BA58&lt;=0,"Aussenlager","teilweise")))))</f>
        <v>Lift</v>
      </c>
      <c r="BE58" s="55" t="str">
        <f aca="false">IF(A58="","",IF(BN58=1,"Neu; ","")&amp;IF(AND(BN58=0,BI58&lt;0),"negativer Bestand (Export "&amp;BI58&amp;"); ","")&amp;IF(I58&lt;=0,"Kein Verbrauch; ","")&amp;IF(CD58&gt;0,"Lift "&amp;U58&amp;" lt. Liftbericht (Fach "&amp;V58&amp;" Stk); ",IF(BR58=1,"Lose – Fläche geschätzt; ",""))&amp;IF(G58&gt;AP58,"Überbestand "&amp;ROUND(G58-AP58,0)&amp;" Stk / CHF "&amp;ROUND((G58-AP58)*F58,0)&amp;"; ","")&amp;IF(AND(BW58=1,BX58&lt;BY58),"MAX &lt; MB+LG; ","")&amp;IF(AND(CC58&gt;0,CB58*10&gt;CC58),"zu hoch für Tablar; ","")&amp;IF(AND(BN58=0,OR(BW58=1,Y58&lt;&gt;"",S58&lt;&gt;"",T58&lt;&gt;"",Z58&lt;&gt;"")),"manuell übersteuert; ","")&amp;IF(AND(BR58=0,Q58=0),"Gebinde unbekannt / Stellmass fehlt; ","")&amp;IF(AND(BR58=0,N(T58)&lt;=0,N(P58)&lt;=0),"Menge pro Gebinde fehlt (Ist = 1 Gebinde); ","")&amp;BM58)</f>
        <v/>
      </c>
      <c r="BF58" s="55"/>
      <c r="BG58" s="55"/>
      <c r="BH58" s="62"/>
      <c r="BI58" s="57" t="n">
        <v>279</v>
      </c>
      <c r="BJ58" s="57" t="n">
        <v>30</v>
      </c>
      <c r="BK58" s="56" t="n">
        <v>4460.25</v>
      </c>
      <c r="BL58" s="57" t="n">
        <v>310</v>
      </c>
      <c r="BM58" s="55"/>
      <c r="BN58" s="60" t="n">
        <v>0</v>
      </c>
      <c r="BO58" s="60" t="n">
        <v>58</v>
      </c>
      <c r="BP58" s="55" t="str">
        <f aca="false">IF(S58&lt;&gt;"",UPPER(TRIM(S58)),IF(O58="","LOSE",O58))</f>
        <v>S51</v>
      </c>
      <c r="BQ58" s="57" t="n">
        <f aca="false">IF(BP58="LOSE",1,IF(N(T58)&gt;0,T58,IF(N(P58)&gt;0,P58,MAX(1,G58))))</f>
        <v>142</v>
      </c>
      <c r="BR58" s="60" t="n">
        <f aca="false">IF(BP58="LOSE",1,0)</f>
        <v>0</v>
      </c>
      <c r="BS58" s="59" t="n">
        <f aca="false">IF(BR58=0,0,IF(N(R58)&gt;0,R58,IFERROR(VLOOKUP(D58,Parameter!$A$35:$C$64,3,0)+0,0)))</f>
        <v>0</v>
      </c>
      <c r="BT58" s="55" t="n">
        <f aca="false">IF(Y58&lt;&gt;"",Y58,X58)</f>
        <v>3</v>
      </c>
      <c r="BU58" s="55" t="str">
        <f aca="false">IF(BT58=1,"L1",IF(OR(BT58=2,BT58=3),"L23",IF(BT58="Aussen","Aussen","-")))</f>
        <v>L23</v>
      </c>
      <c r="BV58" s="66" t="n">
        <f aca="false">IF(N(Z58)&gt;0,Z58,0)</f>
        <v>0</v>
      </c>
      <c r="BW58" s="60" t="n">
        <f aca="false">IF(ISNUMBER(AC58),1,0)</f>
        <v>0</v>
      </c>
      <c r="BX58" s="57" t="n">
        <f aca="false">N(AC58)</f>
        <v>0</v>
      </c>
      <c r="BY58" s="57" t="n">
        <f aca="false">N(L58)+N(M58)</f>
        <v>275</v>
      </c>
      <c r="BZ58" s="57" t="n">
        <f aca="false">ROUNDUP(G58/BQ58,0)</f>
        <v>2</v>
      </c>
      <c r="CA58" s="57" t="n">
        <f aca="false">ROUNDUP(BX58/BQ58,0)</f>
        <v>0</v>
      </c>
      <c r="CB58" s="60" t="n">
        <f aca="false">IF(BR58=1,0,IFERROR(VLOOKUP(BP58,'Gebinde-Kategorie'!$A$5:$M$45,5,0)+0,0))</f>
        <v>11</v>
      </c>
      <c r="CC58" s="60" t="n">
        <f aca="false">IFERROR(IF(OR(BT58=1,BT58=2,BT58=3),N(INDEX(Parameter!$I$5:$I$7,BT58)),0),0)</f>
        <v>0</v>
      </c>
      <c r="CD58" s="59" t="n">
        <f aca="false">IF(AND(Parameter!$B$21="Ja",ISNUMBER(U58),N(V58)&gt;0),IFERROR(N(INDEX(Parameter!$L$5:$L$7,U58))*INDEX(Parameter!$E$5:$E$7,U58)*V58/SUMIFS($V$7:$V$1576,$U$7:$U$1576,U58),0),0)</f>
        <v>0</v>
      </c>
    </row>
    <row r="59" customFormat="false" ht="15" hidden="false" customHeight="false" outlineLevel="0" collapsed="false">
      <c r="A59" s="55" t="s">
        <v>304</v>
      </c>
      <c r="B59" s="55" t="s">
        <v>305</v>
      </c>
      <c r="C59" s="55" t="s">
        <v>160</v>
      </c>
      <c r="D59" s="55" t="s">
        <v>168</v>
      </c>
      <c r="E59" s="55" t="s">
        <v>210</v>
      </c>
      <c r="F59" s="56" t="n">
        <v>2168</v>
      </c>
      <c r="G59" s="57" t="n">
        <f aca="false">MAX(0,IF(AND(Parameter!$B$21="Ja",ISNUMBER(W59)),W59,IF(Parameter!$B$20="Jahresanfang 2025 + Export",BJ59+BI59,BI59)))</f>
        <v>2</v>
      </c>
      <c r="H59" s="57" t="n">
        <f aca="false">G59*F59</f>
        <v>4336</v>
      </c>
      <c r="I59" s="57" t="n">
        <f aca="false">BL59*Parameter!$B$18</f>
        <v>1</v>
      </c>
      <c r="J59" s="58" t="n">
        <v>1</v>
      </c>
      <c r="K59" s="59" t="n">
        <v>1</v>
      </c>
      <c r="L59" s="57" t="n">
        <v>0</v>
      </c>
      <c r="M59" s="57" t="n">
        <v>1</v>
      </c>
      <c r="N59" s="60" t="n">
        <v>120</v>
      </c>
      <c r="O59" s="55" t="s">
        <v>163</v>
      </c>
      <c r="P59" s="57"/>
      <c r="Q59" s="60" t="n">
        <f aca="false">IF(BR59=1,0,IFERROR(VLOOKUP(BP59,'Gebinde-Kategorie'!$A$5:$M$45,13,0)+0,0))</f>
        <v>0</v>
      </c>
      <c r="R59" s="61"/>
      <c r="S59" s="62"/>
      <c r="T59" s="62"/>
      <c r="U59" s="55"/>
      <c r="V59" s="57"/>
      <c r="W59" s="57"/>
      <c r="X59" s="55" t="n">
        <f aca="false">IF(A59="","",IF(AND(Parameter!$B$21="Ja",ISNUMBER(U59)),U59,IF(IFERROR(VLOOKUP(D59,Parameter!$A$35:$C$64,2,0),"Nein")="2+3",IF(ISNUMBER(SEARCH("grosser Artikel",BM59)),2,IFERROR(VLOOKUP(BP59,Parameter!$F$35:$G$64,2,0),2)),IF(OR(IFERROR(VLOOKUP(D59,Parameter!$A$35:$C$64,2,0),"Nein")="Nein",IFERROR(VLOOKUP(D59,Parameter!$A$35:$C$64,2,0),"Nein")=""),"-",VLOOKUP(D59,Parameter!$A$35:$C$64,2,0)))))</f>
        <v>2</v>
      </c>
      <c r="Y59" s="62"/>
      <c r="Z59" s="63"/>
      <c r="AA59" s="57" t="n">
        <f aca="false">AP59</f>
        <v>1</v>
      </c>
      <c r="AB59" s="57" t="n">
        <f aca="false">MAX(AP59,G59)</f>
        <v>2</v>
      </c>
      <c r="AC59" s="64"/>
      <c r="AD59" s="57" t="n">
        <f aca="false">IF(LEFT(Cockpit!$C$5,1)="A",G59,IF(BW59=1,BX59,IF(LEFT(Cockpit!$C$5,1)="B",AH59,MAX(AH59,G59))))</f>
        <v>2</v>
      </c>
      <c r="AE59" s="57" t="n">
        <f aca="false">IF(BR59=1,0,ROUNDUP(AD59/BQ59,0))</f>
        <v>0</v>
      </c>
      <c r="AF59" s="59" t="n">
        <f aca="false">IF(CD59&gt;0,CD59*MAX(1,AD59/V59),IF(BR59=1,IF(AD59&lt;=0,0,BS59*MAX(1,IF(G59&gt;0,AD59/G59,1))),IF(Q59&gt;0,AE59/Q59,0))/MAX(0.1,N(Parameter!$M$21)))</f>
        <v>0.15</v>
      </c>
      <c r="AG59" s="57" t="n">
        <f aca="false">AD59*F59</f>
        <v>4336</v>
      </c>
      <c r="AH59" s="57" t="n">
        <f aca="false">ROUNDUP(MAX(I59/IF(BV59&gt;0,BV59,MAX(0.1,N(Cockpit!$C$6))),BY59)/BQ59,0)*BQ59</f>
        <v>1</v>
      </c>
      <c r="AI59" s="58" t="n">
        <f aca="false">IF(AF59&gt;0,I59/AF59,-1)</f>
        <v>6.66666666666667</v>
      </c>
      <c r="AJ59" s="58" t="n">
        <f aca="false">IF(AND(OR(BU59="L1",BU59="L23"),AF59&gt;0),SUMIFS($AF$7:$AF$1576,$BU$7:$BU$1576,BU59,$AI$7:$AI$1576,"&gt;"&amp;AI59)+SUMIFS($AF$7:$AF$1576,$BU$7:$BU$1576,BU59,$AI$7:$AI$1576,AI59,$BO$7:$BO$1576,"&lt;="&amp;BO59),"")</f>
        <v>31.4992483362049</v>
      </c>
      <c r="AK59" s="65" t="n">
        <f aca="false">IF(AJ59="",0,MAX(0,MIN(1,(IF(BU59="L1",Parameter!$E$5,Parameter!$E$6+Parameter!$E$7)-(AJ59-AF59))/AF59)))</f>
        <v>1</v>
      </c>
      <c r="AL59" s="57" t="n">
        <f aca="false">IF(LEFT(Cockpit!$I$5,1)="A",G59,IF(BW59=1,BX59,IF(LEFT(Cockpit!$I$5,1)="B",AP59,MAX(AP59,G59))))</f>
        <v>2</v>
      </c>
      <c r="AM59" s="57" t="n">
        <f aca="false">IF(BR59=1,0,ROUNDUP(AL59/BQ59,0))</f>
        <v>0</v>
      </c>
      <c r="AN59" s="59" t="n">
        <f aca="false">IF(CD59&gt;0,CD59*MAX(1,AL59/V59),IF(BR59=1,IF(AL59&lt;=0,0,BS59*MAX(1,IF(G59&gt;0,AL59/G59,1))),IF(Q59&gt;0,AM59/Q59,0))/MAX(0.1,N(Parameter!$M$21)))</f>
        <v>0.15</v>
      </c>
      <c r="AO59" s="57" t="n">
        <f aca="false">AL59*F59</f>
        <v>4336</v>
      </c>
      <c r="AP59" s="57" t="n">
        <f aca="false">ROUNDUP(MAX(I59/IF(BV59&gt;0,BV59,MAX(0.1,N(Cockpit!$I$6))),BY59)/BQ59,0)*BQ59</f>
        <v>1</v>
      </c>
      <c r="AQ59" s="58" t="n">
        <f aca="false">IF(AN59&gt;0,I59/AN59,-1)</f>
        <v>6.66666666666667</v>
      </c>
      <c r="AR59" s="58" t="n">
        <f aca="false">IF(AND(OR(BU59="L1",BU59="L23"),AN59&gt;0),SUMIFS($AN$7:$AN$1576,$BU$7:$BU$1576,BU59,$AQ$7:$AQ$1576,"&gt;"&amp;AQ59)+SUMIFS($AN$7:$AN$1576,$BU$7:$BU$1576,BU59,$AQ$7:$AQ$1576,AQ59,$BO$7:$BO$1576,"&lt;="&amp;BO59),"")</f>
        <v>109.792434588696</v>
      </c>
      <c r="AS59" s="65" t="n">
        <f aca="false">IF(AR59="",0,MAX(0,MIN(1,(IF(BU59="L1",Parameter!$E$5,Parameter!$E$6+Parameter!$E$7)-(AR59-AN59))/AN59)))</f>
        <v>0</v>
      </c>
      <c r="AT59" s="57" t="n">
        <f aca="false">IF(LEFT(Cockpit!$O$5,1)="A",G59,IF(BW59=1,BX59,IF(LEFT(Cockpit!$O$5,1)="B",AX59,MAX(AX59,G59))))</f>
        <v>2</v>
      </c>
      <c r="AU59" s="57" t="n">
        <f aca="false">IF(BR59=1,0,ROUNDUP(AT59/BQ59,0))</f>
        <v>0</v>
      </c>
      <c r="AV59" s="59" t="n">
        <f aca="false">IF(CD59&gt;0,CD59*MAX(1,AT59/V59),IF(BR59=1,IF(AT59&lt;=0,0,BS59*MAX(1,IF(G59&gt;0,AT59/G59,1))),IF(Q59&gt;0,AU59/Q59,0))/MAX(0.1,N(Parameter!$M$21)))</f>
        <v>0.15</v>
      </c>
      <c r="AW59" s="57" t="n">
        <f aca="false">AT59*F59</f>
        <v>4336</v>
      </c>
      <c r="AX59" s="57" t="n">
        <f aca="false">ROUNDUP(MAX(I59/IF(BV59&gt;0,BV59,MAX(0.1,N(Cockpit!$O$6))),BY59)/BQ59,0)*BQ59</f>
        <v>1</v>
      </c>
      <c r="AY59" s="58" t="n">
        <f aca="false">IF(AV59&gt;0,I59/AV59,-1)</f>
        <v>6.66666666666667</v>
      </c>
      <c r="AZ59" s="58" t="n">
        <f aca="false">IF(AND(OR(BU59="L1",BU59="L23"),AV59&gt;0),SUMIFS($AV$7:$AV$1576,$BU$7:$BU$1576,BU59,$AY$7:$AY$1576,"&gt;"&amp;AY59)+SUMIFS($AV$7:$AV$1576,$BU$7:$BU$1576,BU59,$AY$7:$AY$1576,AY59,$BO$7:$BO$1576,"&lt;="&amp;BO59),"")</f>
        <v>99.8519850382462</v>
      </c>
      <c r="BA59" s="65" t="n">
        <f aca="false">IF(AZ59="",0,MAX(0,MIN(1,(IF(BU59="L1",Parameter!$E$5,Parameter!$E$6+Parameter!$E$7)-(AZ59-AV59))/AV59)))</f>
        <v>1</v>
      </c>
      <c r="BB59" s="55" t="str">
        <f aca="false">IF(AF59&lt;=0,"",IF(BU59="Aussen","Aussenlager",IF(BU59="-","Nicht im Lift",IF(AK59&gt;=1,"Lift",IF(AK59&lt;=0,"Aussenlager","teilweise")))))</f>
        <v>Lift</v>
      </c>
      <c r="BC59" s="55" t="str">
        <f aca="false">IF(AN59&lt;=0,"",IF(BU59="Aussen","Aussenlager",IF(BU59="-","Nicht im Lift",IF(AS59&gt;=1,"Lift",IF(AS59&lt;=0,"Aussenlager","teilweise")))))</f>
        <v>Aussenlager</v>
      </c>
      <c r="BD59" s="55" t="str">
        <f aca="false">IF(AV59&lt;=0,"",IF(BU59="Aussen","Aussenlager",IF(BU59="-","Nicht im Lift",IF(BA59&gt;=1,"Lift",IF(BA59&lt;=0,"Aussenlager","teilweise")))))</f>
        <v>Lift</v>
      </c>
      <c r="BE59" s="55" t="str">
        <f aca="false">IF(A59="","",IF(BN59=1,"Neu; ","")&amp;IF(AND(BN59=0,BI59&lt;0),"negativer Bestand (Export "&amp;BI59&amp;"); ","")&amp;IF(I59&lt;=0,"Kein Verbrauch; ","")&amp;IF(CD59&gt;0,"Lift "&amp;U59&amp;" lt. Liftbericht (Fach "&amp;V59&amp;" Stk); ",IF(BR59=1,"Lose – Fläche geschätzt; ",""))&amp;IF(G59&gt;AP59,"Überbestand "&amp;ROUND(G59-AP59,0)&amp;" Stk / CHF "&amp;ROUND((G59-AP59)*F59,0)&amp;"; ","")&amp;IF(AND(BW59=1,BX59&lt;BY59),"MAX &lt; MB+LG; ","")&amp;IF(AND(CC59&gt;0,CB59*10&gt;CC59),"zu hoch für Tablar; ","")&amp;IF(AND(BN59=0,OR(BW59=1,Y59&lt;&gt;"",S59&lt;&gt;"",T59&lt;&gt;"",Z59&lt;&gt;"")),"manuell übersteuert; ","")&amp;IF(AND(BR59=0,Q59=0),"Gebinde unbekannt / Stellmass fehlt; ","")&amp;IF(AND(BR59=0,N(T59)&lt;=0,N(P59)&lt;=0),"Menge pro Gebinde fehlt (Ist = 1 Gebinde); ","")&amp;BM59)</f>
        <v>Lose – Fläche geschätzt; Überbestand 1 Stk / CHF 2168; </v>
      </c>
      <c r="BF59" s="55"/>
      <c r="BG59" s="55"/>
      <c r="BH59" s="62"/>
      <c r="BI59" s="57" t="n">
        <v>2</v>
      </c>
      <c r="BJ59" s="57" t="n">
        <v>0</v>
      </c>
      <c r="BK59" s="56" t="n">
        <v>4336</v>
      </c>
      <c r="BL59" s="57" t="n">
        <v>1</v>
      </c>
      <c r="BM59" s="55"/>
      <c r="BN59" s="60" t="n">
        <v>0</v>
      </c>
      <c r="BO59" s="60" t="n">
        <v>59</v>
      </c>
      <c r="BP59" s="55" t="str">
        <f aca="false">IF(S59&lt;&gt;"",UPPER(TRIM(S59)),IF(O59="","LOSE",O59))</f>
        <v>LOSE</v>
      </c>
      <c r="BQ59" s="57" t="n">
        <f aca="false">IF(BP59="LOSE",1,IF(N(T59)&gt;0,T59,IF(N(P59)&gt;0,P59,MAX(1,G59))))</f>
        <v>1</v>
      </c>
      <c r="BR59" s="60" t="n">
        <f aca="false">IF(BP59="LOSE",1,0)</f>
        <v>1</v>
      </c>
      <c r="BS59" s="59" t="n">
        <f aca="false">IF(BR59=0,0,IF(N(R59)&gt;0,R59,IFERROR(VLOOKUP(D59,Parameter!$A$35:$C$64,3,0)+0,0)))</f>
        <v>0.15</v>
      </c>
      <c r="BT59" s="55" t="n">
        <f aca="false">IF(Y59&lt;&gt;"",Y59,X59)</f>
        <v>2</v>
      </c>
      <c r="BU59" s="55" t="str">
        <f aca="false">IF(BT59=1,"L1",IF(OR(BT59=2,BT59=3),"L23",IF(BT59="Aussen","Aussen","-")))</f>
        <v>L23</v>
      </c>
      <c r="BV59" s="66" t="n">
        <f aca="false">IF(N(Z59)&gt;0,Z59,0)</f>
        <v>0</v>
      </c>
      <c r="BW59" s="60" t="n">
        <f aca="false">IF(ISNUMBER(AC59),1,0)</f>
        <v>0</v>
      </c>
      <c r="BX59" s="57" t="n">
        <f aca="false">N(AC59)</f>
        <v>0</v>
      </c>
      <c r="BY59" s="57" t="n">
        <f aca="false">N(L59)+N(M59)</f>
        <v>1</v>
      </c>
      <c r="BZ59" s="57" t="n">
        <f aca="false">ROUNDUP(G59/BQ59,0)</f>
        <v>2</v>
      </c>
      <c r="CA59" s="57" t="n">
        <f aca="false">ROUNDUP(BX59/BQ59,0)</f>
        <v>0</v>
      </c>
      <c r="CB59" s="60" t="n">
        <f aca="false">IF(BR59=1,0,IFERROR(VLOOKUP(BP59,'Gebinde-Kategorie'!$A$5:$M$45,5,0)+0,0))</f>
        <v>0</v>
      </c>
      <c r="CC59" s="60" t="n">
        <f aca="false">IFERROR(IF(OR(BT59=1,BT59=2,BT59=3),N(INDEX(Parameter!$I$5:$I$7,BT59)),0),0)</f>
        <v>0</v>
      </c>
      <c r="CD59" s="59" t="n">
        <f aca="false">IF(AND(Parameter!$B$21="Ja",ISNUMBER(U59),N(V59)&gt;0),IFERROR(N(INDEX(Parameter!$L$5:$L$7,U59))*INDEX(Parameter!$E$5:$E$7,U59)*V59/SUMIFS($V$7:$V$1576,$U$7:$U$1576,U59),0),0)</f>
        <v>0</v>
      </c>
    </row>
    <row r="60" customFormat="false" ht="15" hidden="false" customHeight="false" outlineLevel="0" collapsed="false">
      <c r="A60" s="55" t="s">
        <v>306</v>
      </c>
      <c r="B60" s="55" t="s">
        <v>307</v>
      </c>
      <c r="C60" s="55" t="s">
        <v>160</v>
      </c>
      <c r="D60" s="55" t="s">
        <v>168</v>
      </c>
      <c r="E60" s="55" t="s">
        <v>210</v>
      </c>
      <c r="F60" s="56" t="n">
        <v>605.97</v>
      </c>
      <c r="G60" s="57" t="n">
        <f aca="false">MAX(0,IF(AND(Parameter!$B$21="Ja",ISNUMBER(W60)),W60,IF(Parameter!$B$20="Jahresanfang 2025 + Export",BJ60+BI60,BI60)))</f>
        <v>13</v>
      </c>
      <c r="H60" s="57" t="n">
        <f aca="false">G60*F60</f>
        <v>7877.61</v>
      </c>
      <c r="I60" s="57" t="n">
        <f aca="false">BL60*Parameter!$B$18</f>
        <v>80</v>
      </c>
      <c r="J60" s="58" t="n">
        <v>23.5</v>
      </c>
      <c r="K60" s="59" t="n">
        <v>3.40425531914894</v>
      </c>
      <c r="L60" s="57" t="n">
        <v>4</v>
      </c>
      <c r="M60" s="57" t="n">
        <v>25</v>
      </c>
      <c r="N60" s="60" t="n">
        <v>21</v>
      </c>
      <c r="O60" s="55" t="s">
        <v>215</v>
      </c>
      <c r="P60" s="57" t="n">
        <v>20</v>
      </c>
      <c r="Q60" s="60" t="n">
        <f aca="false">IF(BR60=1,0,IFERROR(VLOOKUP(BP60,'Gebinde-Kategorie'!$A$5:$M$45,13,0)+0,0))</f>
        <v>3</v>
      </c>
      <c r="R60" s="61"/>
      <c r="S60" s="62"/>
      <c r="T60" s="62"/>
      <c r="U60" s="55"/>
      <c r="V60" s="57"/>
      <c r="W60" s="57"/>
      <c r="X60" s="55" t="n">
        <f aca="false">IF(A60="","",IF(AND(Parameter!$B$21="Ja",ISNUMBER(U60)),U60,IF(IFERROR(VLOOKUP(D60,Parameter!$A$35:$C$64,2,0),"Nein")="2+3",IF(ISNUMBER(SEARCH("grosser Artikel",BM60)),2,IFERROR(VLOOKUP(BP60,Parameter!$F$35:$G$64,2,0),2)),IF(OR(IFERROR(VLOOKUP(D60,Parameter!$A$35:$C$64,2,0),"Nein")="Nein",IFERROR(VLOOKUP(D60,Parameter!$A$35:$C$64,2,0),"Nein")=""),"-",VLOOKUP(D60,Parameter!$A$35:$C$64,2,0)))))</f>
        <v>2</v>
      </c>
      <c r="Y60" s="62"/>
      <c r="Z60" s="63"/>
      <c r="AA60" s="57" t="n">
        <f aca="false">AP60</f>
        <v>40</v>
      </c>
      <c r="AB60" s="57" t="n">
        <f aca="false">MAX(AP60,G60)</f>
        <v>40</v>
      </c>
      <c r="AC60" s="64"/>
      <c r="AD60" s="57" t="n">
        <f aca="false">IF(LEFT(Cockpit!$C$5,1)="A",G60,IF(BW60=1,BX60,IF(LEFT(Cockpit!$C$5,1)="B",AH60,MAX(AH60,G60))))</f>
        <v>13</v>
      </c>
      <c r="AE60" s="57" t="n">
        <f aca="false">IF(BR60=1,0,ROUNDUP(AD60/BQ60,0))</f>
        <v>1</v>
      </c>
      <c r="AF60" s="59" t="n">
        <f aca="false">IF(CD60&gt;0,CD60*MAX(1,AD60/V60),IF(BR60=1,IF(AD60&lt;=0,0,BS60*MAX(1,IF(G60&gt;0,AD60/G60,1))),IF(Q60&gt;0,AE60/Q60,0))/MAX(0.1,N(Parameter!$M$21)))</f>
        <v>0.333333333333333</v>
      </c>
      <c r="AG60" s="57" t="n">
        <f aca="false">AD60*F60</f>
        <v>7877.61</v>
      </c>
      <c r="AH60" s="57" t="n">
        <f aca="false">ROUNDUP(MAX(I60/IF(BV60&gt;0,BV60,MAX(0.1,N(Cockpit!$C$6))),BY60)/BQ60,0)*BQ60</f>
        <v>40</v>
      </c>
      <c r="AI60" s="58" t="n">
        <f aca="false">IF(AF60&gt;0,I60/AF60,-1)</f>
        <v>240</v>
      </c>
      <c r="AJ60" s="58" t="n">
        <f aca="false">IF(AND(OR(BU60="L1",BU60="L23"),AF60&gt;0),SUMIFS($AF$7:$AF$1576,$BU$7:$BU$1576,BU60,$AI$7:$AI$1576,"&gt;"&amp;AI60)+SUMIFS($AF$7:$AF$1576,$BU$7:$BU$1576,BU60,$AI$7:$AI$1576,AI60,$BO$7:$BO$1576,"&lt;="&amp;BO60),"")</f>
        <v>16.2250839498666</v>
      </c>
      <c r="AK60" s="65" t="n">
        <f aca="false">IF(AJ60="",0,MAX(0,MIN(1,(IF(BU60="L1",Parameter!$E$5,Parameter!$E$6+Parameter!$E$7)-(AJ60-AF60))/AF60)))</f>
        <v>1</v>
      </c>
      <c r="AL60" s="57" t="n">
        <f aca="false">IF(LEFT(Cockpit!$I$5,1)="A",G60,IF(BW60=1,BX60,IF(LEFT(Cockpit!$I$5,1)="B",AP60,MAX(AP60,G60))))</f>
        <v>40</v>
      </c>
      <c r="AM60" s="57" t="n">
        <f aca="false">IF(BR60=1,0,ROUNDUP(AL60/BQ60,0))</f>
        <v>2</v>
      </c>
      <c r="AN60" s="59" t="n">
        <f aca="false">IF(CD60&gt;0,CD60*MAX(1,AL60/V60),IF(BR60=1,IF(AL60&lt;=0,0,BS60*MAX(1,IF(G60&gt;0,AL60/G60,1))),IF(Q60&gt;0,AM60/Q60,0))/MAX(0.1,N(Parameter!$M$21)))</f>
        <v>0.666666666666667</v>
      </c>
      <c r="AO60" s="57" t="n">
        <f aca="false">AL60*F60</f>
        <v>24238.8</v>
      </c>
      <c r="AP60" s="57" t="n">
        <f aca="false">ROUNDUP(MAX(I60/IF(BV60&gt;0,BV60,MAX(0.1,N(Cockpit!$I$6))),BY60)/BQ60,0)*BQ60</f>
        <v>40</v>
      </c>
      <c r="AQ60" s="58" t="n">
        <f aca="false">IF(AN60&gt;0,I60/AN60,-1)</f>
        <v>120</v>
      </c>
      <c r="AR60" s="58" t="n">
        <f aca="false">IF(AND(OR(BU60="L1",BU60="L23"),AN60&gt;0),SUMIFS($AN$7:$AN$1576,$BU$7:$BU$1576,BU60,$AQ$7:$AQ$1576,"&gt;"&amp;AQ60)+SUMIFS($AN$7:$AN$1576,$BU$7:$BU$1576,BU60,$AQ$7:$AQ$1576,AQ60,$BO$7:$BO$1576,"&lt;="&amp;BO60),"")</f>
        <v>64.2770023820135</v>
      </c>
      <c r="AS60" s="65" t="n">
        <f aca="false">IF(AR60="",0,MAX(0,MIN(1,(IF(BU60="L1",Parameter!$E$5,Parameter!$E$6+Parameter!$E$7)-(AR60-AN60))/AN60)))</f>
        <v>1</v>
      </c>
      <c r="AT60" s="57" t="n">
        <f aca="false">IF(LEFT(Cockpit!$O$5,1)="A",G60,IF(BW60=1,BX60,IF(LEFT(Cockpit!$O$5,1)="B",AX60,MAX(AX60,G60))))</f>
        <v>40</v>
      </c>
      <c r="AU60" s="57" t="n">
        <f aca="false">IF(BR60=1,0,ROUNDUP(AT60/BQ60,0))</f>
        <v>2</v>
      </c>
      <c r="AV60" s="59" t="n">
        <f aca="false">IF(CD60&gt;0,CD60*MAX(1,AT60/V60),IF(BR60=1,IF(AT60&lt;=0,0,BS60*MAX(1,IF(G60&gt;0,AT60/G60,1))),IF(Q60&gt;0,AU60/Q60,0))/MAX(0.1,N(Parameter!$M$21)))</f>
        <v>0.666666666666667</v>
      </c>
      <c r="AW60" s="57" t="n">
        <f aca="false">AT60*F60</f>
        <v>24238.8</v>
      </c>
      <c r="AX60" s="57" t="n">
        <f aca="false">ROUNDUP(MAX(I60/IF(BV60&gt;0,BV60,MAX(0.1,N(Cockpit!$O$6))),BY60)/BQ60,0)*BQ60</f>
        <v>40</v>
      </c>
      <c r="AY60" s="58" t="n">
        <f aca="false">IF(AV60&gt;0,I60/AV60,-1)</f>
        <v>120</v>
      </c>
      <c r="AZ60" s="58" t="n">
        <f aca="false">IF(AND(OR(BU60="L1",BU60="L23"),AV60&gt;0),SUMIFS($AV$7:$AV$1576,$BU$7:$BU$1576,BU60,$AY$7:$AY$1576,"&gt;"&amp;AY60)+SUMIFS($AV$7:$AV$1576,$BU$7:$BU$1576,BU60,$AY$7:$AY$1576,AY60,$BO$7:$BO$1576,"&lt;="&amp;BO60),"")</f>
        <v>59.6061361648973</v>
      </c>
      <c r="BA60" s="65" t="n">
        <f aca="false">IF(AZ60="",0,MAX(0,MIN(1,(IF(BU60="L1",Parameter!$E$5,Parameter!$E$6+Parameter!$E$7)-(AZ60-AV60))/AV60)))</f>
        <v>1</v>
      </c>
      <c r="BB60" s="55" t="str">
        <f aca="false">IF(AF60&lt;=0,"",IF(BU60="Aussen","Aussenlager",IF(BU60="-","Nicht im Lift",IF(AK60&gt;=1,"Lift",IF(AK60&lt;=0,"Aussenlager","teilweise")))))</f>
        <v>Lift</v>
      </c>
      <c r="BC60" s="55" t="str">
        <f aca="false">IF(AN60&lt;=0,"",IF(BU60="Aussen","Aussenlager",IF(BU60="-","Nicht im Lift",IF(AS60&gt;=1,"Lift",IF(AS60&lt;=0,"Aussenlager","teilweise")))))</f>
        <v>Lift</v>
      </c>
      <c r="BD60" s="55" t="str">
        <f aca="false">IF(AV60&lt;=0,"",IF(BU60="Aussen","Aussenlager",IF(BU60="-","Nicht im Lift",IF(BA60&gt;=1,"Lift",IF(BA60&lt;=0,"Aussenlager","teilweise")))))</f>
        <v>Lift</v>
      </c>
      <c r="BE60" s="55" t="str">
        <f aca="false">IF(A60="","",IF(BN60=1,"Neu; ","")&amp;IF(AND(BN60=0,BI60&lt;0),"negativer Bestand (Export "&amp;BI60&amp;"); ","")&amp;IF(I60&lt;=0,"Kein Verbrauch; ","")&amp;IF(CD60&gt;0,"Lift "&amp;U60&amp;" lt. Liftbericht (Fach "&amp;V60&amp;" Stk); ",IF(BR60=1,"Lose – Fläche geschätzt; ",""))&amp;IF(G60&gt;AP60,"Überbestand "&amp;ROUND(G60-AP60,0)&amp;" Stk / CHF "&amp;ROUND((G60-AP60)*F60,0)&amp;"; ","")&amp;IF(AND(BW60=1,BX60&lt;BY60),"MAX &lt; MB+LG; ","")&amp;IF(AND(CC60&gt;0,CB60*10&gt;CC60),"zu hoch für Tablar; ","")&amp;IF(AND(BN60=0,OR(BW60=1,Y60&lt;&gt;"",S60&lt;&gt;"",T60&lt;&gt;"",Z60&lt;&gt;"")),"manuell übersteuert; ","")&amp;IF(AND(BR60=0,Q60=0),"Gebinde unbekannt / Stellmass fehlt; ","")&amp;IF(AND(BR60=0,N(T60)&lt;=0,N(P60)&lt;=0),"Menge pro Gebinde fehlt (Ist = 1 Gebinde); ","")&amp;BM60)</f>
        <v/>
      </c>
      <c r="BF60" s="55" t="s">
        <v>308</v>
      </c>
      <c r="BG60" s="55" t="s">
        <v>309</v>
      </c>
      <c r="BH60" s="62"/>
      <c r="BI60" s="57" t="n">
        <v>13</v>
      </c>
      <c r="BJ60" s="57" t="n">
        <v>11</v>
      </c>
      <c r="BK60" s="56" t="n">
        <v>4297.99000000001</v>
      </c>
      <c r="BL60" s="57" t="n">
        <v>80</v>
      </c>
      <c r="BM60" s="55"/>
      <c r="BN60" s="60" t="n">
        <v>0</v>
      </c>
      <c r="BO60" s="60" t="n">
        <v>60</v>
      </c>
      <c r="BP60" s="55" t="str">
        <f aca="false">IF(S60&lt;&gt;"",UPPER(TRIM(S60)),IF(O60="","LOSE",O60))</f>
        <v>S81</v>
      </c>
      <c r="BQ60" s="57" t="n">
        <f aca="false">IF(BP60="LOSE",1,IF(N(T60)&gt;0,T60,IF(N(P60)&gt;0,P60,MAX(1,G60))))</f>
        <v>20</v>
      </c>
      <c r="BR60" s="60" t="n">
        <f aca="false">IF(BP60="LOSE",1,0)</f>
        <v>0</v>
      </c>
      <c r="BS60" s="59" t="n">
        <f aca="false">IF(BR60=0,0,IF(N(R60)&gt;0,R60,IFERROR(VLOOKUP(D60,Parameter!$A$35:$C$64,3,0)+0,0)))</f>
        <v>0</v>
      </c>
      <c r="BT60" s="55" t="n">
        <f aca="false">IF(Y60&lt;&gt;"",Y60,X60)</f>
        <v>2</v>
      </c>
      <c r="BU60" s="55" t="str">
        <f aca="false">IF(BT60=1,"L1",IF(OR(BT60=2,BT60=3),"L23",IF(BT60="Aussen","Aussen","-")))</f>
        <v>L23</v>
      </c>
      <c r="BV60" s="66" t="n">
        <f aca="false">IF(N(Z60)&gt;0,Z60,0)</f>
        <v>0</v>
      </c>
      <c r="BW60" s="60" t="n">
        <f aca="false">IF(ISNUMBER(AC60),1,0)</f>
        <v>0</v>
      </c>
      <c r="BX60" s="57" t="n">
        <f aca="false">N(AC60)</f>
        <v>0</v>
      </c>
      <c r="BY60" s="57" t="n">
        <f aca="false">N(L60)+N(M60)</f>
        <v>29</v>
      </c>
      <c r="BZ60" s="57" t="n">
        <f aca="false">ROUNDUP(G60/BQ60,0)</f>
        <v>1</v>
      </c>
      <c r="CA60" s="57" t="n">
        <f aca="false">ROUNDUP(BX60/BQ60,0)</f>
        <v>0</v>
      </c>
      <c r="CB60" s="60" t="n">
        <f aca="false">IF(BR60=1,0,IFERROR(VLOOKUP(BP60,'Gebinde-Kategorie'!$A$5:$M$45,5,0)+0,0))</f>
        <v>20</v>
      </c>
      <c r="CC60" s="60" t="n">
        <f aca="false">IFERROR(IF(OR(BT60=1,BT60=2,BT60=3),N(INDEX(Parameter!$I$5:$I$7,BT60)),0),0)</f>
        <v>0</v>
      </c>
      <c r="CD60" s="59" t="n">
        <f aca="false">IF(AND(Parameter!$B$21="Ja",ISNUMBER(U60),N(V60)&gt;0),IFERROR(N(INDEX(Parameter!$L$5:$L$7,U60))*INDEX(Parameter!$E$5:$E$7,U60)*V60/SUMIFS($V$7:$V$1576,$U$7:$U$1576,U60),0),0)</f>
        <v>0</v>
      </c>
    </row>
    <row r="61" customFormat="false" ht="15" hidden="false" customHeight="false" outlineLevel="0" collapsed="false">
      <c r="A61" s="55" t="s">
        <v>310</v>
      </c>
      <c r="B61" s="55" t="s">
        <v>311</v>
      </c>
      <c r="C61" s="55" t="s">
        <v>160</v>
      </c>
      <c r="D61" s="55" t="s">
        <v>161</v>
      </c>
      <c r="E61" s="55" t="s">
        <v>210</v>
      </c>
      <c r="F61" s="56" t="n">
        <v>832.7</v>
      </c>
      <c r="G61" s="57" t="n">
        <f aca="false">MAX(0,IF(AND(Parameter!$B$21="Ja",ISNUMBER(W61)),W61,IF(Parameter!$B$20="Jahresanfang 2025 + Export",BJ61+BI61,BI61)))</f>
        <v>5</v>
      </c>
      <c r="H61" s="57" t="n">
        <f aca="false">G61*F61</f>
        <v>4163.5</v>
      </c>
      <c r="I61" s="57" t="n">
        <f aca="false">BL61*Parameter!$B$18</f>
        <v>0</v>
      </c>
      <c r="J61" s="58" t="n">
        <v>2.5</v>
      </c>
      <c r="K61" s="59" t="n">
        <v>0</v>
      </c>
      <c r="L61" s="57" t="n">
        <v>1</v>
      </c>
      <c r="M61" s="57" t="n">
        <v>5</v>
      </c>
      <c r="N61" s="60" t="n">
        <v>14</v>
      </c>
      <c r="O61" s="55" t="s">
        <v>215</v>
      </c>
      <c r="P61" s="57" t="n">
        <v>3</v>
      </c>
      <c r="Q61" s="60" t="n">
        <f aca="false">IF(BR61=1,0,IFERROR(VLOOKUP(BP61,'Gebinde-Kategorie'!$A$5:$M$45,13,0)+0,0))</f>
        <v>3</v>
      </c>
      <c r="R61" s="61"/>
      <c r="S61" s="62"/>
      <c r="T61" s="62"/>
      <c r="U61" s="55"/>
      <c r="V61" s="57"/>
      <c r="W61" s="57"/>
      <c r="X61" s="55" t="n">
        <f aca="false">IF(A61="","",IF(AND(Parameter!$B$21="Ja",ISNUMBER(U61)),U61,IF(IFERROR(VLOOKUP(D61,Parameter!$A$35:$C$64,2,0),"Nein")="2+3",IF(ISNUMBER(SEARCH("grosser Artikel",BM61)),2,IFERROR(VLOOKUP(BP61,Parameter!$F$35:$G$64,2,0),2)),IF(OR(IFERROR(VLOOKUP(D61,Parameter!$A$35:$C$64,2,0),"Nein")="Nein",IFERROR(VLOOKUP(D61,Parameter!$A$35:$C$64,2,0),"Nein")=""),"-",VLOOKUP(D61,Parameter!$A$35:$C$64,2,0)))))</f>
        <v>1</v>
      </c>
      <c r="Y61" s="62"/>
      <c r="Z61" s="63"/>
      <c r="AA61" s="57" t="n">
        <f aca="false">AP61</f>
        <v>6</v>
      </c>
      <c r="AB61" s="57" t="n">
        <f aca="false">MAX(AP61,G61)</f>
        <v>6</v>
      </c>
      <c r="AC61" s="64"/>
      <c r="AD61" s="57" t="n">
        <f aca="false">IF(LEFT(Cockpit!$C$5,1)="A",G61,IF(BW61=1,BX61,IF(LEFT(Cockpit!$C$5,1)="B",AH61,MAX(AH61,G61))))</f>
        <v>5</v>
      </c>
      <c r="AE61" s="57" t="n">
        <f aca="false">IF(BR61=1,0,ROUNDUP(AD61/BQ61,0))</f>
        <v>2</v>
      </c>
      <c r="AF61" s="59" t="n">
        <f aca="false">IF(CD61&gt;0,CD61*MAX(1,AD61/V61),IF(BR61=1,IF(AD61&lt;=0,0,BS61*MAX(1,IF(G61&gt;0,AD61/G61,1))),IF(Q61&gt;0,AE61/Q61,0))/MAX(0.1,N(Parameter!$M$21)))</f>
        <v>0.666666666666667</v>
      </c>
      <c r="AG61" s="57" t="n">
        <f aca="false">AD61*F61</f>
        <v>4163.5</v>
      </c>
      <c r="AH61" s="57" t="n">
        <f aca="false">ROUNDUP(MAX(I61/IF(BV61&gt;0,BV61,MAX(0.1,N(Cockpit!$C$6))),BY61)/BQ61,0)*BQ61</f>
        <v>6</v>
      </c>
      <c r="AI61" s="58" t="n">
        <f aca="false">IF(AF61&gt;0,I61/AF61,-1)</f>
        <v>0</v>
      </c>
      <c r="AJ61" s="58" t="n">
        <f aca="false">IF(AND(OR(BU61="L1",BU61="L23"),AF61&gt;0),SUMIFS($AF$7:$AF$1576,$BU$7:$BU$1576,BU61,$AI$7:$AI$1576,"&gt;"&amp;AI61)+SUMIFS($AF$7:$AF$1576,$BU$7:$BU$1576,BU61,$AI$7:$AI$1576,AI61,$BO$7:$BO$1576,"&lt;="&amp;BO61),"")</f>
        <v>38.8446327683616</v>
      </c>
      <c r="AK61" s="65" t="n">
        <f aca="false">IF(AJ61="",0,MAX(0,MIN(1,(IF(BU61="L1",Parameter!$E$5,Parameter!$E$6+Parameter!$E$7)-(AJ61-AF61))/AF61)))</f>
        <v>1</v>
      </c>
      <c r="AL61" s="57" t="n">
        <f aca="false">IF(LEFT(Cockpit!$I$5,1)="A",G61,IF(BW61=1,BX61,IF(LEFT(Cockpit!$I$5,1)="B",AP61,MAX(AP61,G61))))</f>
        <v>6</v>
      </c>
      <c r="AM61" s="57" t="n">
        <f aca="false">IF(BR61=1,0,ROUNDUP(AL61/BQ61,0))</f>
        <v>2</v>
      </c>
      <c r="AN61" s="59" t="n">
        <f aca="false">IF(CD61&gt;0,CD61*MAX(1,AL61/V61),IF(BR61=1,IF(AL61&lt;=0,0,BS61*MAX(1,IF(G61&gt;0,AL61/G61,1))),IF(Q61&gt;0,AM61/Q61,0))/MAX(0.1,N(Parameter!$M$21)))</f>
        <v>0.666666666666667</v>
      </c>
      <c r="AO61" s="57" t="n">
        <f aca="false">AL61*F61</f>
        <v>4996.2</v>
      </c>
      <c r="AP61" s="57" t="n">
        <f aca="false">ROUNDUP(MAX(I61/IF(BV61&gt;0,BV61,MAX(0.1,N(Cockpit!$I$6))),BY61)/BQ61,0)*BQ61</f>
        <v>6</v>
      </c>
      <c r="AQ61" s="58" t="n">
        <f aca="false">IF(AN61&gt;0,I61/AN61,-1)</f>
        <v>0</v>
      </c>
      <c r="AR61" s="58" t="n">
        <f aca="false">IF(AND(OR(BU61="L1",BU61="L23"),AN61&gt;0),SUMIFS($AN$7:$AN$1576,$BU$7:$BU$1576,BU61,$AQ$7:$AQ$1576,"&gt;"&amp;AQ61)+SUMIFS($AN$7:$AN$1576,$BU$7:$BU$1576,BU61,$AQ$7:$AQ$1576,AQ61,$BO$7:$BO$1576,"&lt;="&amp;BO61),"")</f>
        <v>44.3672316384181</v>
      </c>
      <c r="AS61" s="65" t="n">
        <f aca="false">IF(AR61="",0,MAX(0,MIN(1,(IF(BU61="L1",Parameter!$E$5,Parameter!$E$6+Parameter!$E$7)-(AR61-AN61))/AN61)))</f>
        <v>1</v>
      </c>
      <c r="AT61" s="57" t="n">
        <f aca="false">IF(LEFT(Cockpit!$O$5,1)="A",G61,IF(BW61=1,BX61,IF(LEFT(Cockpit!$O$5,1)="B",AX61,MAX(AX61,G61))))</f>
        <v>6</v>
      </c>
      <c r="AU61" s="57" t="n">
        <f aca="false">IF(BR61=1,0,ROUNDUP(AT61/BQ61,0))</f>
        <v>2</v>
      </c>
      <c r="AV61" s="59" t="n">
        <f aca="false">IF(CD61&gt;0,CD61*MAX(1,AT61/V61),IF(BR61=1,IF(AT61&lt;=0,0,BS61*MAX(1,IF(G61&gt;0,AT61/G61,1))),IF(Q61&gt;0,AU61/Q61,0))/MAX(0.1,N(Parameter!$M$21)))</f>
        <v>0.666666666666667</v>
      </c>
      <c r="AW61" s="57" t="n">
        <f aca="false">AT61*F61</f>
        <v>4996.2</v>
      </c>
      <c r="AX61" s="57" t="n">
        <f aca="false">ROUNDUP(MAX(I61/IF(BV61&gt;0,BV61,MAX(0.1,N(Cockpit!$O$6))),BY61)/BQ61,0)*BQ61</f>
        <v>6</v>
      </c>
      <c r="AY61" s="58" t="n">
        <f aca="false">IF(AV61&gt;0,I61/AV61,-1)</f>
        <v>0</v>
      </c>
      <c r="AZ61" s="58" t="n">
        <f aca="false">IF(AND(OR(BU61="L1",BU61="L23"),AV61&gt;0),SUMIFS($AV$7:$AV$1576,$BU$7:$BU$1576,BU61,$AY$7:$AY$1576,"&gt;"&amp;AY61)+SUMIFS($AV$7:$AV$1576,$BU$7:$BU$1576,BU61,$AY$7:$AY$1576,AY61,$BO$7:$BO$1576,"&lt;="&amp;BO61),"")</f>
        <v>41.4058380414313</v>
      </c>
      <c r="BA61" s="65" t="n">
        <f aca="false">IF(AZ61="",0,MAX(0,MIN(1,(IF(BU61="L1",Parameter!$E$5,Parameter!$E$6+Parameter!$E$7)-(AZ61-AV61))/AV61)))</f>
        <v>1</v>
      </c>
      <c r="BB61" s="55" t="str">
        <f aca="false">IF(AF61&lt;=0,"",IF(BU61="Aussen","Aussenlager",IF(BU61="-","Nicht im Lift",IF(AK61&gt;=1,"Lift",IF(AK61&lt;=0,"Aussenlager","teilweise")))))</f>
        <v>Lift</v>
      </c>
      <c r="BC61" s="55" t="str">
        <f aca="false">IF(AN61&lt;=0,"",IF(BU61="Aussen","Aussenlager",IF(BU61="-","Nicht im Lift",IF(AS61&gt;=1,"Lift",IF(AS61&lt;=0,"Aussenlager","teilweise")))))</f>
        <v>Lift</v>
      </c>
      <c r="BD61" s="55" t="str">
        <f aca="false">IF(AV61&lt;=0,"",IF(BU61="Aussen","Aussenlager",IF(BU61="-","Nicht im Lift",IF(BA61&gt;=1,"Lift",IF(BA61&lt;=0,"Aussenlager","teilweise")))))</f>
        <v>Lift</v>
      </c>
      <c r="BE61" s="55" t="str">
        <f aca="false">IF(A61="","",IF(BN61=1,"Neu; ","")&amp;IF(AND(BN61=0,BI61&lt;0),"negativer Bestand (Export "&amp;BI61&amp;"); ","")&amp;IF(I61&lt;=0,"Kein Verbrauch; ","")&amp;IF(CD61&gt;0,"Lift "&amp;U61&amp;" lt. Liftbericht (Fach "&amp;V61&amp;" Stk); ",IF(BR61=1,"Lose – Fläche geschätzt; ",""))&amp;IF(G61&gt;AP61,"Überbestand "&amp;ROUND(G61-AP61,0)&amp;" Stk / CHF "&amp;ROUND((G61-AP61)*F61,0)&amp;"; ","")&amp;IF(AND(BW61=1,BX61&lt;BY61),"MAX &lt; MB+LG; ","")&amp;IF(AND(CC61&gt;0,CB61*10&gt;CC61),"zu hoch für Tablar; ","")&amp;IF(AND(BN61=0,OR(BW61=1,Y61&lt;&gt;"",S61&lt;&gt;"",T61&lt;&gt;"",Z61&lt;&gt;"")),"manuell übersteuert; ","")&amp;IF(AND(BR61=0,Q61=0),"Gebinde unbekannt / Stellmass fehlt; ","")&amp;IF(AND(BR61=0,N(T61)&lt;=0,N(P61)&lt;=0),"Menge pro Gebinde fehlt (Ist = 1 Gebinde); ","")&amp;BM61)</f>
        <v>Kein Verbrauch; </v>
      </c>
      <c r="BF61" s="55"/>
      <c r="BG61" s="55"/>
      <c r="BH61" s="62"/>
      <c r="BI61" s="57" t="n">
        <v>5</v>
      </c>
      <c r="BJ61" s="57" t="n">
        <v>0</v>
      </c>
      <c r="BK61" s="56" t="n">
        <v>4163.5</v>
      </c>
      <c r="BL61" s="57" t="n">
        <v>0</v>
      </c>
      <c r="BM61" s="55"/>
      <c r="BN61" s="60" t="n">
        <v>0</v>
      </c>
      <c r="BO61" s="60" t="n">
        <v>61</v>
      </c>
      <c r="BP61" s="55" t="str">
        <f aca="false">IF(S61&lt;&gt;"",UPPER(TRIM(S61)),IF(O61="","LOSE",O61))</f>
        <v>S81</v>
      </c>
      <c r="BQ61" s="57" t="n">
        <f aca="false">IF(BP61="LOSE",1,IF(N(T61)&gt;0,T61,IF(N(P61)&gt;0,P61,MAX(1,G61))))</f>
        <v>3</v>
      </c>
      <c r="BR61" s="60" t="n">
        <f aca="false">IF(BP61="LOSE",1,0)</f>
        <v>0</v>
      </c>
      <c r="BS61" s="59" t="n">
        <f aca="false">IF(BR61=0,0,IF(N(R61)&gt;0,R61,IFERROR(VLOOKUP(D61,Parameter!$A$35:$C$64,3,0)+0,0)))</f>
        <v>0</v>
      </c>
      <c r="BT61" s="55" t="n">
        <f aca="false">IF(Y61&lt;&gt;"",Y61,X61)</f>
        <v>1</v>
      </c>
      <c r="BU61" s="55" t="str">
        <f aca="false">IF(BT61=1,"L1",IF(OR(BT61=2,BT61=3),"L23",IF(BT61="Aussen","Aussen","-")))</f>
        <v>L1</v>
      </c>
      <c r="BV61" s="66" t="n">
        <f aca="false">IF(N(Z61)&gt;0,Z61,0)</f>
        <v>0</v>
      </c>
      <c r="BW61" s="60" t="n">
        <f aca="false">IF(ISNUMBER(AC61),1,0)</f>
        <v>0</v>
      </c>
      <c r="BX61" s="57" t="n">
        <f aca="false">N(AC61)</f>
        <v>0</v>
      </c>
      <c r="BY61" s="57" t="n">
        <f aca="false">N(L61)+N(M61)</f>
        <v>6</v>
      </c>
      <c r="BZ61" s="57" t="n">
        <f aca="false">ROUNDUP(G61/BQ61,0)</f>
        <v>2</v>
      </c>
      <c r="CA61" s="57" t="n">
        <f aca="false">ROUNDUP(BX61/BQ61,0)</f>
        <v>0</v>
      </c>
      <c r="CB61" s="60" t="n">
        <f aca="false">IF(BR61=1,0,IFERROR(VLOOKUP(BP61,'Gebinde-Kategorie'!$A$5:$M$45,5,0)+0,0))</f>
        <v>20</v>
      </c>
      <c r="CC61" s="60" t="n">
        <f aca="false">IFERROR(IF(OR(BT61=1,BT61=2,BT61=3),N(INDEX(Parameter!$I$5:$I$7,BT61)),0),0)</f>
        <v>0</v>
      </c>
      <c r="CD61" s="59" t="n">
        <f aca="false">IF(AND(Parameter!$B$21="Ja",ISNUMBER(U61),N(V61)&gt;0),IFERROR(N(INDEX(Parameter!$L$5:$L$7,U61))*INDEX(Parameter!$E$5:$E$7,U61)*V61/SUMIFS($V$7:$V$1576,$U$7:$U$1576,U61),0),0)</f>
        <v>0</v>
      </c>
    </row>
    <row r="62" customFormat="false" ht="15" hidden="false" customHeight="false" outlineLevel="0" collapsed="false">
      <c r="A62" s="55" t="s">
        <v>312</v>
      </c>
      <c r="B62" s="55" t="s">
        <v>313</v>
      </c>
      <c r="C62" s="55" t="s">
        <v>160</v>
      </c>
      <c r="D62" s="55" t="s">
        <v>178</v>
      </c>
      <c r="E62" s="55" t="s">
        <v>210</v>
      </c>
      <c r="F62" s="56" t="n">
        <v>513</v>
      </c>
      <c r="G62" s="57" t="n">
        <f aca="false">MAX(0,IF(AND(Parameter!$B$21="Ja",ISNUMBER(W62)),W62,IF(Parameter!$B$20="Jahresanfang 2025 + Export",BJ62+BI62,BI62)))</f>
        <v>8</v>
      </c>
      <c r="H62" s="57" t="n">
        <f aca="false">G62*F62</f>
        <v>4104</v>
      </c>
      <c r="I62" s="57" t="n">
        <f aca="false">BL62*Parameter!$B$18</f>
        <v>0</v>
      </c>
      <c r="J62" s="58" t="n">
        <v>0</v>
      </c>
      <c r="K62" s="59" t="n">
        <v>0</v>
      </c>
      <c r="L62" s="57" t="n">
        <v>0</v>
      </c>
      <c r="M62" s="57" t="n">
        <v>1</v>
      </c>
      <c r="N62" s="60" t="n">
        <v>9999</v>
      </c>
      <c r="O62" s="55" t="s">
        <v>163</v>
      </c>
      <c r="P62" s="57"/>
      <c r="Q62" s="60" t="n">
        <f aca="false">IF(BR62=1,0,IFERROR(VLOOKUP(BP62,'Gebinde-Kategorie'!$A$5:$M$45,13,0)+0,0))</f>
        <v>0</v>
      </c>
      <c r="R62" s="61"/>
      <c r="S62" s="62"/>
      <c r="T62" s="62"/>
      <c r="U62" s="55"/>
      <c r="V62" s="57"/>
      <c r="W62" s="57"/>
      <c r="X62" s="55" t="n">
        <f aca="false">IF(A62="","",IF(AND(Parameter!$B$21="Ja",ISNUMBER(U62)),U62,IF(IFERROR(VLOOKUP(D62,Parameter!$A$35:$C$64,2,0),"Nein")="2+3",IF(ISNUMBER(SEARCH("grosser Artikel",BM62)),2,IFERROR(VLOOKUP(BP62,Parameter!$F$35:$G$64,2,0),2)),IF(OR(IFERROR(VLOOKUP(D62,Parameter!$A$35:$C$64,2,0),"Nein")="Nein",IFERROR(VLOOKUP(D62,Parameter!$A$35:$C$64,2,0),"Nein")=""),"-",VLOOKUP(D62,Parameter!$A$35:$C$64,2,0)))))</f>
        <v>2</v>
      </c>
      <c r="Y62" s="62"/>
      <c r="Z62" s="63"/>
      <c r="AA62" s="57" t="n">
        <f aca="false">AP62</f>
        <v>1</v>
      </c>
      <c r="AB62" s="57" t="n">
        <f aca="false">MAX(AP62,G62)</f>
        <v>8</v>
      </c>
      <c r="AC62" s="64"/>
      <c r="AD62" s="57" t="n">
        <f aca="false">IF(LEFT(Cockpit!$C$5,1)="A",G62,IF(BW62=1,BX62,IF(LEFT(Cockpit!$C$5,1)="B",AH62,MAX(AH62,G62))))</f>
        <v>8</v>
      </c>
      <c r="AE62" s="57" t="n">
        <f aca="false">IF(BR62=1,0,ROUNDUP(AD62/BQ62,0))</f>
        <v>0</v>
      </c>
      <c r="AF62" s="59" t="n">
        <f aca="false">IF(CD62&gt;0,CD62*MAX(1,AD62/V62),IF(BR62=1,IF(AD62&lt;=0,0,BS62*MAX(1,IF(G62&gt;0,AD62/G62,1))),IF(Q62&gt;0,AE62/Q62,0))/MAX(0.1,N(Parameter!$M$21)))</f>
        <v>0.03</v>
      </c>
      <c r="AG62" s="57" t="n">
        <f aca="false">AD62*F62</f>
        <v>4104</v>
      </c>
      <c r="AH62" s="57" t="n">
        <f aca="false">ROUNDUP(MAX(I62/IF(BV62&gt;0,BV62,MAX(0.1,N(Cockpit!$C$6))),BY62)/BQ62,0)*BQ62</f>
        <v>1</v>
      </c>
      <c r="AI62" s="58" t="n">
        <f aca="false">IF(AF62&gt;0,I62/AF62,-1)</f>
        <v>0</v>
      </c>
      <c r="AJ62" s="58" t="n">
        <f aca="false">IF(AND(OR(BU62="L1",BU62="L23"),AF62&gt;0),SUMIFS($AF$7:$AF$1576,$BU$7:$BU$1576,BU62,$AI$7:$AI$1576,"&gt;"&amp;AI62)+SUMIFS($AF$7:$AF$1576,$BU$7:$BU$1576,BU62,$AI$7:$AI$1576,AI62,$BO$7:$BO$1576,"&lt;="&amp;BO62),"")</f>
        <v>37.3425816695382</v>
      </c>
      <c r="AK62" s="65" t="n">
        <f aca="false">IF(AJ62="",0,MAX(0,MIN(1,(IF(BU62="L1",Parameter!$E$5,Parameter!$E$6+Parameter!$E$7)-(AJ62-AF62))/AF62)))</f>
        <v>1</v>
      </c>
      <c r="AL62" s="57" t="n">
        <f aca="false">IF(LEFT(Cockpit!$I$5,1)="A",G62,IF(BW62=1,BX62,IF(LEFT(Cockpit!$I$5,1)="B",AP62,MAX(AP62,G62))))</f>
        <v>8</v>
      </c>
      <c r="AM62" s="57" t="n">
        <f aca="false">IF(BR62=1,0,ROUNDUP(AL62/BQ62,0))</f>
        <v>0</v>
      </c>
      <c r="AN62" s="59" t="n">
        <f aca="false">IF(CD62&gt;0,CD62*MAX(1,AL62/V62),IF(BR62=1,IF(AL62&lt;=0,0,BS62*MAX(1,IF(G62&gt;0,AL62/G62,1))),IF(Q62&gt;0,AM62/Q62,0))/MAX(0.1,N(Parameter!$M$21)))</f>
        <v>0.03</v>
      </c>
      <c r="AO62" s="57" t="n">
        <f aca="false">AL62*F62</f>
        <v>4104</v>
      </c>
      <c r="AP62" s="57" t="n">
        <f aca="false">ROUNDUP(MAX(I62/IF(BV62&gt;0,BV62,MAX(0.1,N(Cockpit!$I$6))),BY62)/BQ62,0)*BQ62</f>
        <v>1</v>
      </c>
      <c r="AQ62" s="58" t="n">
        <f aca="false">IF(AN62&gt;0,I62/AN62,-1)</f>
        <v>0</v>
      </c>
      <c r="AR62" s="58" t="n">
        <f aca="false">IF(AND(OR(BU62="L1",BU62="L23"),AN62&gt;0),SUMIFS($AN$7:$AN$1576,$BU$7:$BU$1576,BU62,$AQ$7:$AQ$1576,"&gt;"&amp;AQ62)+SUMIFS($AN$7:$AN$1576,$BU$7:$BU$1576,BU62,$AQ$7:$AQ$1576,AQ62,$BO$7:$BO$1576,"&lt;="&amp;BO62),"")</f>
        <v>120.066787419328</v>
      </c>
      <c r="AS62" s="65" t="n">
        <f aca="false">IF(AR62="",0,MAX(0,MIN(1,(IF(BU62="L1",Parameter!$E$5,Parameter!$E$6+Parameter!$E$7)-(AR62-AN62))/AN62)))</f>
        <v>0</v>
      </c>
      <c r="AT62" s="57" t="n">
        <f aca="false">IF(LEFT(Cockpit!$O$5,1)="A",G62,IF(BW62=1,BX62,IF(LEFT(Cockpit!$O$5,1)="B",AX62,MAX(AX62,G62))))</f>
        <v>8</v>
      </c>
      <c r="AU62" s="57" t="n">
        <f aca="false">IF(BR62=1,0,ROUNDUP(AT62/BQ62,0))</f>
        <v>0</v>
      </c>
      <c r="AV62" s="59" t="n">
        <f aca="false">IF(CD62&gt;0,CD62*MAX(1,AT62/V62),IF(BR62=1,IF(AT62&lt;=0,0,BS62*MAX(1,IF(G62&gt;0,AT62/G62,1))),IF(Q62&gt;0,AU62/Q62,0))/MAX(0.1,N(Parameter!$M$21)))</f>
        <v>0.03</v>
      </c>
      <c r="AW62" s="57" t="n">
        <f aca="false">AT62*F62</f>
        <v>4104</v>
      </c>
      <c r="AX62" s="57" t="n">
        <f aca="false">ROUNDUP(MAX(I62/IF(BV62&gt;0,BV62,MAX(0.1,N(Cockpit!$O$6))),BY62)/BQ62,0)*BQ62</f>
        <v>1</v>
      </c>
      <c r="AY62" s="58" t="n">
        <f aca="false">IF(AV62&gt;0,I62/AV62,-1)</f>
        <v>0</v>
      </c>
      <c r="AZ62" s="58" t="n">
        <f aca="false">IF(AND(OR(BU62="L1",BU62="L23"),AV62&gt;0),SUMIFS($AV$7:$AV$1576,$BU$7:$BU$1576,BU62,$AY$7:$AY$1576,"&gt;"&amp;AY62)+SUMIFS($AV$7:$AV$1576,$BU$7:$BU$1576,BU62,$AY$7:$AY$1576,AY62,$BO$7:$BO$1576,"&lt;="&amp;BO62),"")</f>
        <v>110.126337868878</v>
      </c>
      <c r="BA62" s="65" t="n">
        <f aca="false">IF(AZ62="",0,MAX(0,MIN(1,(IF(BU62="L1",Parameter!$E$5,Parameter!$E$6+Parameter!$E$7)-(AZ62-AV62))/AV62)))</f>
        <v>0</v>
      </c>
      <c r="BB62" s="55" t="str">
        <f aca="false">IF(AF62&lt;=0,"",IF(BU62="Aussen","Aussenlager",IF(BU62="-","Nicht im Lift",IF(AK62&gt;=1,"Lift",IF(AK62&lt;=0,"Aussenlager","teilweise")))))</f>
        <v>Lift</v>
      </c>
      <c r="BC62" s="55" t="str">
        <f aca="false">IF(AN62&lt;=0,"",IF(BU62="Aussen","Aussenlager",IF(BU62="-","Nicht im Lift",IF(AS62&gt;=1,"Lift",IF(AS62&lt;=0,"Aussenlager","teilweise")))))</f>
        <v>Aussenlager</v>
      </c>
      <c r="BD62" s="55" t="str">
        <f aca="false">IF(AV62&lt;=0,"",IF(BU62="Aussen","Aussenlager",IF(BU62="-","Nicht im Lift",IF(BA62&gt;=1,"Lift",IF(BA62&lt;=0,"Aussenlager","teilweise")))))</f>
        <v>Aussenlager</v>
      </c>
      <c r="BE62" s="55" t="str">
        <f aca="false">IF(A62="","",IF(BN62=1,"Neu; ","")&amp;IF(AND(BN62=0,BI62&lt;0),"negativer Bestand (Export "&amp;BI62&amp;"); ","")&amp;IF(I62&lt;=0,"Kein Verbrauch; ","")&amp;IF(CD62&gt;0,"Lift "&amp;U62&amp;" lt. Liftbericht (Fach "&amp;V62&amp;" Stk); ",IF(BR62=1,"Lose – Fläche geschätzt; ",""))&amp;IF(G62&gt;AP62,"Überbestand "&amp;ROUND(G62-AP62,0)&amp;" Stk / CHF "&amp;ROUND((G62-AP62)*F62,0)&amp;"; ","")&amp;IF(AND(BW62=1,BX62&lt;BY62),"MAX &lt; MB+LG; ","")&amp;IF(AND(CC62&gt;0,CB62*10&gt;CC62),"zu hoch für Tablar; ","")&amp;IF(AND(BN62=0,OR(BW62=1,Y62&lt;&gt;"",S62&lt;&gt;"",T62&lt;&gt;"",Z62&lt;&gt;"")),"manuell übersteuert; ","")&amp;IF(AND(BR62=0,Q62=0),"Gebinde unbekannt / Stellmass fehlt; ","")&amp;IF(AND(BR62=0,N(T62)&lt;=0,N(P62)&lt;=0),"Menge pro Gebinde fehlt (Ist = 1 Gebinde); ","")&amp;BM62)</f>
        <v>Kein Verbrauch; Lose – Fläche geschätzt; Überbestand 7 Stk / CHF 3591; </v>
      </c>
      <c r="BF62" s="55"/>
      <c r="BG62" s="55"/>
      <c r="BH62" s="62"/>
      <c r="BI62" s="57" t="n">
        <v>8</v>
      </c>
      <c r="BJ62" s="57" t="n">
        <v>0</v>
      </c>
      <c r="BK62" s="56" t="n">
        <v>4104</v>
      </c>
      <c r="BL62" s="57" t="n">
        <v>0</v>
      </c>
      <c r="BM62" s="55"/>
      <c r="BN62" s="60" t="n">
        <v>0</v>
      </c>
      <c r="BO62" s="60" t="n">
        <v>62</v>
      </c>
      <c r="BP62" s="55" t="str">
        <f aca="false">IF(S62&lt;&gt;"",UPPER(TRIM(S62)),IF(O62="","LOSE",O62))</f>
        <v>LOSE</v>
      </c>
      <c r="BQ62" s="57" t="n">
        <f aca="false">IF(BP62="LOSE",1,IF(N(T62)&gt;0,T62,IF(N(P62)&gt;0,P62,MAX(1,G62))))</f>
        <v>1</v>
      </c>
      <c r="BR62" s="60" t="n">
        <f aca="false">IF(BP62="LOSE",1,0)</f>
        <v>1</v>
      </c>
      <c r="BS62" s="59" t="n">
        <f aca="false">IF(BR62=0,0,IF(N(R62)&gt;0,R62,IFERROR(VLOOKUP(D62,Parameter!$A$35:$C$64,3,0)+0,0)))</f>
        <v>0.03</v>
      </c>
      <c r="BT62" s="55" t="n">
        <f aca="false">IF(Y62&lt;&gt;"",Y62,X62)</f>
        <v>2</v>
      </c>
      <c r="BU62" s="55" t="str">
        <f aca="false">IF(BT62=1,"L1",IF(OR(BT62=2,BT62=3),"L23",IF(BT62="Aussen","Aussen","-")))</f>
        <v>L23</v>
      </c>
      <c r="BV62" s="66" t="n">
        <f aca="false">IF(N(Z62)&gt;0,Z62,0)</f>
        <v>0</v>
      </c>
      <c r="BW62" s="60" t="n">
        <f aca="false">IF(ISNUMBER(AC62),1,0)</f>
        <v>0</v>
      </c>
      <c r="BX62" s="57" t="n">
        <f aca="false">N(AC62)</f>
        <v>0</v>
      </c>
      <c r="BY62" s="57" t="n">
        <f aca="false">N(L62)+N(M62)</f>
        <v>1</v>
      </c>
      <c r="BZ62" s="57" t="n">
        <f aca="false">ROUNDUP(G62/BQ62,0)</f>
        <v>8</v>
      </c>
      <c r="CA62" s="57" t="n">
        <f aca="false">ROUNDUP(BX62/BQ62,0)</f>
        <v>0</v>
      </c>
      <c r="CB62" s="60" t="n">
        <f aca="false">IF(BR62=1,0,IFERROR(VLOOKUP(BP62,'Gebinde-Kategorie'!$A$5:$M$45,5,0)+0,0))</f>
        <v>0</v>
      </c>
      <c r="CC62" s="60" t="n">
        <f aca="false">IFERROR(IF(OR(BT62=1,BT62=2,BT62=3),N(INDEX(Parameter!$I$5:$I$7,BT62)),0),0)</f>
        <v>0</v>
      </c>
      <c r="CD62" s="59" t="n">
        <f aca="false">IF(AND(Parameter!$B$21="Ja",ISNUMBER(U62),N(V62)&gt;0),IFERROR(N(INDEX(Parameter!$L$5:$L$7,U62))*INDEX(Parameter!$E$5:$E$7,U62)*V62/SUMIFS($V$7:$V$1576,$U$7:$U$1576,U62),0),0)</f>
        <v>0</v>
      </c>
    </row>
    <row r="63" customFormat="false" ht="15" hidden="false" customHeight="false" outlineLevel="0" collapsed="false">
      <c r="A63" s="55" t="s">
        <v>314</v>
      </c>
      <c r="B63" s="55" t="s">
        <v>315</v>
      </c>
      <c r="C63" s="55" t="s">
        <v>160</v>
      </c>
      <c r="D63" s="55" t="s">
        <v>178</v>
      </c>
      <c r="E63" s="55" t="s">
        <v>210</v>
      </c>
      <c r="F63" s="56" t="n">
        <v>34.21</v>
      </c>
      <c r="G63" s="57" t="n">
        <f aca="false">MAX(0,IF(AND(Parameter!$B$21="Ja",ISNUMBER(W63)),W63,IF(Parameter!$B$20="Jahresanfang 2025 + Export",BJ63+BI63,BI63)))</f>
        <v>141</v>
      </c>
      <c r="H63" s="57" t="n">
        <f aca="false">G63*F63</f>
        <v>4823.61</v>
      </c>
      <c r="I63" s="57" t="n">
        <f aca="false">BL63*Parameter!$B$18</f>
        <v>262</v>
      </c>
      <c r="J63" s="58" t="n">
        <v>102</v>
      </c>
      <c r="K63" s="59" t="n">
        <v>2.56862745098039</v>
      </c>
      <c r="L63" s="57" t="n">
        <v>45</v>
      </c>
      <c r="M63" s="57" t="n">
        <v>135</v>
      </c>
      <c r="N63" s="60" t="n">
        <v>56</v>
      </c>
      <c r="O63" s="55" t="s">
        <v>225</v>
      </c>
      <c r="P63" s="57" t="n">
        <v>150</v>
      </c>
      <c r="Q63" s="60" t="n">
        <f aca="false">IF(BR63=1,0,IFERROR(VLOOKUP(BP63,'Gebinde-Kategorie'!$A$5:$M$45,13,0)+0,0))</f>
        <v>26</v>
      </c>
      <c r="R63" s="61"/>
      <c r="S63" s="62"/>
      <c r="T63" s="62"/>
      <c r="U63" s="55"/>
      <c r="V63" s="57"/>
      <c r="W63" s="57"/>
      <c r="X63" s="55" t="n">
        <f aca="false">IF(A63="","",IF(AND(Parameter!$B$21="Ja",ISNUMBER(U63)),U63,IF(IFERROR(VLOOKUP(D63,Parameter!$A$35:$C$64,2,0),"Nein")="2+3",IF(ISNUMBER(SEARCH("grosser Artikel",BM63)),2,IFERROR(VLOOKUP(BP63,Parameter!$F$35:$G$64,2,0),2)),IF(OR(IFERROR(VLOOKUP(D63,Parameter!$A$35:$C$64,2,0),"Nein")="Nein",IFERROR(VLOOKUP(D63,Parameter!$A$35:$C$64,2,0),"Nein")=""),"-",VLOOKUP(D63,Parameter!$A$35:$C$64,2,0)))))</f>
        <v>3</v>
      </c>
      <c r="Y63" s="62"/>
      <c r="Z63" s="63"/>
      <c r="AA63" s="57" t="n">
        <f aca="false">AP63</f>
        <v>300</v>
      </c>
      <c r="AB63" s="57" t="n">
        <f aca="false">MAX(AP63,G63)</f>
        <v>300</v>
      </c>
      <c r="AC63" s="64"/>
      <c r="AD63" s="57" t="n">
        <f aca="false">IF(LEFT(Cockpit!$C$5,1)="A",G63,IF(BW63=1,BX63,IF(LEFT(Cockpit!$C$5,1)="B",AH63,MAX(AH63,G63))))</f>
        <v>141</v>
      </c>
      <c r="AE63" s="57" t="n">
        <f aca="false">IF(BR63=1,0,ROUNDUP(AD63/BQ63,0))</f>
        <v>1</v>
      </c>
      <c r="AF63" s="59" t="n">
        <f aca="false">IF(CD63&gt;0,CD63*MAX(1,AD63/V63),IF(BR63=1,IF(AD63&lt;=0,0,BS63*MAX(1,IF(G63&gt;0,AD63/G63,1))),IF(Q63&gt;0,AE63/Q63,0))/MAX(0.1,N(Parameter!$M$21)))</f>
        <v>0.0384615384615385</v>
      </c>
      <c r="AG63" s="57" t="n">
        <f aca="false">AD63*F63</f>
        <v>4823.61</v>
      </c>
      <c r="AH63" s="57" t="n">
        <f aca="false">ROUNDUP(MAX(I63/IF(BV63&gt;0,BV63,MAX(0.1,N(Cockpit!$C$6))),BY63)/BQ63,0)*BQ63</f>
        <v>300</v>
      </c>
      <c r="AI63" s="58" t="n">
        <f aca="false">IF(AF63&gt;0,I63/AF63,-1)</f>
        <v>6812</v>
      </c>
      <c r="AJ63" s="58" t="n">
        <f aca="false">IF(AND(OR(BU63="L1",BU63="L23"),AF63&gt;0),SUMIFS($AF$7:$AF$1576,$BU$7:$BU$1576,BU63,$AI$7:$AI$1576,"&gt;"&amp;AI63)+SUMIFS($AF$7:$AF$1576,$BU$7:$BU$1576,BU63,$AI$7:$AI$1576,AI63,$BO$7:$BO$1576,"&lt;="&amp;BO63),"")</f>
        <v>3.23060133103611</v>
      </c>
      <c r="AK63" s="65" t="n">
        <f aca="false">IF(AJ63="",0,MAX(0,MIN(1,(IF(BU63="L1",Parameter!$E$5,Parameter!$E$6+Parameter!$E$7)-(AJ63-AF63))/AF63)))</f>
        <v>1</v>
      </c>
      <c r="AL63" s="57" t="n">
        <f aca="false">IF(LEFT(Cockpit!$I$5,1)="A",G63,IF(BW63=1,BX63,IF(LEFT(Cockpit!$I$5,1)="B",AP63,MAX(AP63,G63))))</f>
        <v>300</v>
      </c>
      <c r="AM63" s="57" t="n">
        <f aca="false">IF(BR63=1,0,ROUNDUP(AL63/BQ63,0))</f>
        <v>2</v>
      </c>
      <c r="AN63" s="59" t="n">
        <f aca="false">IF(CD63&gt;0,CD63*MAX(1,AL63/V63),IF(BR63=1,IF(AL63&lt;=0,0,BS63*MAX(1,IF(G63&gt;0,AL63/G63,1))),IF(Q63&gt;0,AM63/Q63,0))/MAX(0.1,N(Parameter!$M$21)))</f>
        <v>0.0769230769230769</v>
      </c>
      <c r="AO63" s="57" t="n">
        <f aca="false">AL63*F63</f>
        <v>10263</v>
      </c>
      <c r="AP63" s="57" t="n">
        <f aca="false">ROUNDUP(MAX(I63/IF(BV63&gt;0,BV63,MAX(0.1,N(Cockpit!$I$6))),BY63)/BQ63,0)*BQ63</f>
        <v>300</v>
      </c>
      <c r="AQ63" s="58" t="n">
        <f aca="false">IF(AN63&gt;0,I63/AN63,-1)</f>
        <v>3406</v>
      </c>
      <c r="AR63" s="58" t="n">
        <f aca="false">IF(AND(OR(BU63="L1",BU63="L23"),AN63&gt;0),SUMIFS($AN$7:$AN$1576,$BU$7:$BU$1576,BU63,$AQ$7:$AQ$1576,"&gt;"&amp;AQ63)+SUMIFS($AN$7:$AN$1576,$BU$7:$BU$1576,BU63,$AQ$7:$AQ$1576,AQ63,$BO$7:$BO$1576,"&lt;="&amp;BO63),"")</f>
        <v>13.7538974798149</v>
      </c>
      <c r="AS63" s="65" t="n">
        <f aca="false">IF(AR63="",0,MAX(0,MIN(1,(IF(BU63="L1",Parameter!$E$5,Parameter!$E$6+Parameter!$E$7)-(AR63-AN63))/AN63)))</f>
        <v>1</v>
      </c>
      <c r="AT63" s="57" t="n">
        <f aca="false">IF(LEFT(Cockpit!$O$5,1)="A",G63,IF(BW63=1,BX63,IF(LEFT(Cockpit!$O$5,1)="B",AX63,MAX(AX63,G63))))</f>
        <v>300</v>
      </c>
      <c r="AU63" s="57" t="n">
        <f aca="false">IF(BR63=1,0,ROUNDUP(AT63/BQ63,0))</f>
        <v>2</v>
      </c>
      <c r="AV63" s="59" t="n">
        <f aca="false">IF(CD63&gt;0,CD63*MAX(1,AT63/V63),IF(BR63=1,IF(AT63&lt;=0,0,BS63*MAX(1,IF(G63&gt;0,AT63/G63,1))),IF(Q63&gt;0,AU63/Q63,0))/MAX(0.1,N(Parameter!$M$21)))</f>
        <v>0.0769230769230769</v>
      </c>
      <c r="AW63" s="57" t="n">
        <f aca="false">AT63*F63</f>
        <v>10263</v>
      </c>
      <c r="AX63" s="57" t="n">
        <f aca="false">ROUNDUP(MAX(I63/IF(BV63&gt;0,BV63,MAX(0.1,N(Cockpit!$O$6))),BY63)/BQ63,0)*BQ63</f>
        <v>300</v>
      </c>
      <c r="AY63" s="58" t="n">
        <f aca="false">IF(AV63&gt;0,I63/AV63,-1)</f>
        <v>3406</v>
      </c>
      <c r="AZ63" s="58" t="n">
        <f aca="false">IF(AND(OR(BU63="L1",BU63="L23"),AV63&gt;0),SUMIFS($AV$7:$AV$1576,$BU$7:$BU$1576,BU63,$AY$7:$AY$1576,"&gt;"&amp;AY63)+SUMIFS($AV$7:$AV$1576,$BU$7:$BU$1576,BU63,$AY$7:$AY$1576,AY63,$BO$7:$BO$1576,"&lt;="&amp;BO63),"")</f>
        <v>12.4747599506773</v>
      </c>
      <c r="BA63" s="65" t="n">
        <f aca="false">IF(AZ63="",0,MAX(0,MIN(1,(IF(BU63="L1",Parameter!$E$5,Parameter!$E$6+Parameter!$E$7)-(AZ63-AV63))/AV63)))</f>
        <v>1</v>
      </c>
      <c r="BB63" s="55" t="str">
        <f aca="false">IF(AF63&lt;=0,"",IF(BU63="Aussen","Aussenlager",IF(BU63="-","Nicht im Lift",IF(AK63&gt;=1,"Lift",IF(AK63&lt;=0,"Aussenlager","teilweise")))))</f>
        <v>Lift</v>
      </c>
      <c r="BC63" s="55" t="str">
        <f aca="false">IF(AN63&lt;=0,"",IF(BU63="Aussen","Aussenlager",IF(BU63="-","Nicht im Lift",IF(AS63&gt;=1,"Lift",IF(AS63&lt;=0,"Aussenlager","teilweise")))))</f>
        <v>Lift</v>
      </c>
      <c r="BD63" s="55" t="str">
        <f aca="false">IF(AV63&lt;=0,"",IF(BU63="Aussen","Aussenlager",IF(BU63="-","Nicht im Lift",IF(BA63&gt;=1,"Lift",IF(BA63&lt;=0,"Aussenlager","teilweise")))))</f>
        <v>Lift</v>
      </c>
      <c r="BE63" s="55" t="str">
        <f aca="false">IF(A63="","",IF(BN63=1,"Neu; ","")&amp;IF(AND(BN63=0,BI63&lt;0),"negativer Bestand (Export "&amp;BI63&amp;"); ","")&amp;IF(I63&lt;=0,"Kein Verbrauch; ","")&amp;IF(CD63&gt;0,"Lift "&amp;U63&amp;" lt. Liftbericht (Fach "&amp;V63&amp;" Stk); ",IF(BR63=1,"Lose – Fläche geschätzt; ",""))&amp;IF(G63&gt;AP63,"Überbestand "&amp;ROUND(G63-AP63,0)&amp;" Stk / CHF "&amp;ROUND((G63-AP63)*F63,0)&amp;"; ","")&amp;IF(AND(BW63=1,BX63&lt;BY63),"MAX &lt; MB+LG; ","")&amp;IF(AND(CC63&gt;0,CB63*10&gt;CC63),"zu hoch für Tablar; ","")&amp;IF(AND(BN63=0,OR(BW63=1,Y63&lt;&gt;"",S63&lt;&gt;"",T63&lt;&gt;"",Z63&lt;&gt;"")),"manuell übersteuert; ","")&amp;IF(AND(BR63=0,Q63=0),"Gebinde unbekannt / Stellmass fehlt; ","")&amp;IF(AND(BR63=0,N(T63)&lt;=0,N(P63)&lt;=0),"Menge pro Gebinde fehlt (Ist = 1 Gebinde); ","")&amp;BM63)</f>
        <v/>
      </c>
      <c r="BF63" s="55" t="s">
        <v>316</v>
      </c>
      <c r="BG63" s="55"/>
      <c r="BH63" s="62"/>
      <c r="BI63" s="57" t="n">
        <v>141</v>
      </c>
      <c r="BJ63" s="57" t="n">
        <v>33</v>
      </c>
      <c r="BK63" s="56" t="n">
        <v>4088.73</v>
      </c>
      <c r="BL63" s="57" t="n">
        <v>262</v>
      </c>
      <c r="BM63" s="55"/>
      <c r="BN63" s="60" t="n">
        <v>0</v>
      </c>
      <c r="BO63" s="60" t="n">
        <v>63</v>
      </c>
      <c r="BP63" s="55" t="str">
        <f aca="false">IF(S63&lt;&gt;"",UPPER(TRIM(S63)),IF(O63="","LOSE",O63))</f>
        <v>S52</v>
      </c>
      <c r="BQ63" s="57" t="n">
        <f aca="false">IF(BP63="LOSE",1,IF(N(T63)&gt;0,T63,IF(N(P63)&gt;0,P63,MAX(1,G63))))</f>
        <v>150</v>
      </c>
      <c r="BR63" s="60" t="n">
        <f aca="false">IF(BP63="LOSE",1,0)</f>
        <v>0</v>
      </c>
      <c r="BS63" s="59" t="n">
        <f aca="false">IF(BR63=0,0,IF(N(R63)&gt;0,R63,IFERROR(VLOOKUP(D63,Parameter!$A$35:$C$64,3,0)+0,0)))</f>
        <v>0</v>
      </c>
      <c r="BT63" s="55" t="n">
        <f aca="false">IF(Y63&lt;&gt;"",Y63,X63)</f>
        <v>3</v>
      </c>
      <c r="BU63" s="55" t="str">
        <f aca="false">IF(BT63=1,"L1",IF(OR(BT63=2,BT63=3),"L23",IF(BT63="Aussen","Aussen","-")))</f>
        <v>L23</v>
      </c>
      <c r="BV63" s="66" t="n">
        <f aca="false">IF(N(Z63)&gt;0,Z63,0)</f>
        <v>0</v>
      </c>
      <c r="BW63" s="60" t="n">
        <f aca="false">IF(ISNUMBER(AC63),1,0)</f>
        <v>0</v>
      </c>
      <c r="BX63" s="57" t="n">
        <f aca="false">N(AC63)</f>
        <v>0</v>
      </c>
      <c r="BY63" s="57" t="n">
        <f aca="false">N(L63)+N(M63)</f>
        <v>180</v>
      </c>
      <c r="BZ63" s="57" t="n">
        <f aca="false">ROUNDUP(G63/BQ63,0)</f>
        <v>1</v>
      </c>
      <c r="CA63" s="57" t="n">
        <f aca="false">ROUNDUP(BX63/BQ63,0)</f>
        <v>0</v>
      </c>
      <c r="CB63" s="60" t="n">
        <f aca="false">IF(BR63=1,0,IFERROR(VLOOKUP(BP63,'Gebinde-Kategorie'!$A$5:$M$45,5,0)+0,0))</f>
        <v>21</v>
      </c>
      <c r="CC63" s="60" t="n">
        <f aca="false">IFERROR(IF(OR(BT63=1,BT63=2,BT63=3),N(INDEX(Parameter!$I$5:$I$7,BT63)),0),0)</f>
        <v>0</v>
      </c>
      <c r="CD63" s="59" t="n">
        <f aca="false">IF(AND(Parameter!$B$21="Ja",ISNUMBER(U63),N(V63)&gt;0),IFERROR(N(INDEX(Parameter!$L$5:$L$7,U63))*INDEX(Parameter!$E$5:$E$7,U63)*V63/SUMIFS($V$7:$V$1576,$U$7:$U$1576,U63),0),0)</f>
        <v>0</v>
      </c>
    </row>
    <row r="64" customFormat="false" ht="15" hidden="false" customHeight="false" outlineLevel="0" collapsed="false">
      <c r="A64" s="55" t="s">
        <v>317</v>
      </c>
      <c r="B64" s="55" t="s">
        <v>318</v>
      </c>
      <c r="C64" s="55" t="s">
        <v>160</v>
      </c>
      <c r="D64" s="55" t="s">
        <v>178</v>
      </c>
      <c r="E64" s="55" t="s">
        <v>210</v>
      </c>
      <c r="F64" s="56" t="n">
        <v>2181.57</v>
      </c>
      <c r="G64" s="57" t="n">
        <f aca="false">MAX(0,IF(AND(Parameter!$B$21="Ja",ISNUMBER(W64)),W64,IF(Parameter!$B$20="Jahresanfang 2025 + Export",BJ64+BI64,BI64)))</f>
        <v>1.9</v>
      </c>
      <c r="H64" s="57" t="n">
        <f aca="false">G64*F64</f>
        <v>4144.98300000001</v>
      </c>
      <c r="I64" s="57" t="n">
        <f aca="false">BL64*Parameter!$B$18</f>
        <v>2.605</v>
      </c>
      <c r="J64" s="58" t="n">
        <v>0.447500000000003</v>
      </c>
      <c r="K64" s="59" t="n">
        <v>5.82122905027929</v>
      </c>
      <c r="L64" s="57" t="n">
        <v>0</v>
      </c>
      <c r="M64" s="57" t="n">
        <v>1</v>
      </c>
      <c r="N64" s="60" t="n">
        <v>60</v>
      </c>
      <c r="O64" s="55" t="s">
        <v>319</v>
      </c>
      <c r="P64" s="57" t="n">
        <v>3.3</v>
      </c>
      <c r="Q64" s="60" t="n">
        <f aca="false">IF(BR64=1,0,IFERROR(VLOOKUP(BP64,'Gebinde-Kategorie'!$A$5:$M$45,13,0)+0,0))</f>
        <v>52</v>
      </c>
      <c r="R64" s="61"/>
      <c r="S64" s="62"/>
      <c r="T64" s="62"/>
      <c r="U64" s="55"/>
      <c r="V64" s="57"/>
      <c r="W64" s="57"/>
      <c r="X64" s="55" t="n">
        <f aca="false">IF(A64="","",IF(AND(Parameter!$B$21="Ja",ISNUMBER(U64)),U64,IF(IFERROR(VLOOKUP(D64,Parameter!$A$35:$C$64,2,0),"Nein")="2+3",IF(ISNUMBER(SEARCH("grosser Artikel",BM64)),2,IFERROR(VLOOKUP(BP64,Parameter!$F$35:$G$64,2,0),2)),IF(OR(IFERROR(VLOOKUP(D64,Parameter!$A$35:$C$64,2,0),"Nein")="Nein",IFERROR(VLOOKUP(D64,Parameter!$A$35:$C$64,2,0),"Nein")=""),"-",VLOOKUP(D64,Parameter!$A$35:$C$64,2,0)))))</f>
        <v>3</v>
      </c>
      <c r="Y64" s="62"/>
      <c r="Z64" s="63"/>
      <c r="AA64" s="57" t="n">
        <f aca="false">AP64</f>
        <v>3.3</v>
      </c>
      <c r="AB64" s="57" t="n">
        <f aca="false">MAX(AP64,G64)</f>
        <v>3.3</v>
      </c>
      <c r="AC64" s="64"/>
      <c r="AD64" s="57" t="n">
        <f aca="false">IF(LEFT(Cockpit!$C$5,1)="A",G64,IF(BW64=1,BX64,IF(LEFT(Cockpit!$C$5,1)="B",AH64,MAX(AH64,G64))))</f>
        <v>1.9</v>
      </c>
      <c r="AE64" s="57" t="n">
        <f aca="false">IF(BR64=1,0,ROUNDUP(AD64/BQ64,0))</f>
        <v>1</v>
      </c>
      <c r="AF64" s="59" t="n">
        <f aca="false">IF(CD64&gt;0,CD64*MAX(1,AD64/V64),IF(BR64=1,IF(AD64&lt;=0,0,BS64*MAX(1,IF(G64&gt;0,AD64/G64,1))),IF(Q64&gt;0,AE64/Q64,0))/MAX(0.1,N(Parameter!$M$21)))</f>
        <v>0.0192307692307692</v>
      </c>
      <c r="AG64" s="57" t="n">
        <f aca="false">AD64*F64</f>
        <v>4144.98300000001</v>
      </c>
      <c r="AH64" s="57" t="n">
        <f aca="false">ROUNDUP(MAX(I64/IF(BV64&gt;0,BV64,MAX(0.1,N(Cockpit!$C$6))),BY64)/BQ64,0)*BQ64</f>
        <v>3.3</v>
      </c>
      <c r="AI64" s="58" t="n">
        <f aca="false">IF(AF64&gt;0,I64/AF64,-1)</f>
        <v>135.46</v>
      </c>
      <c r="AJ64" s="58" t="n">
        <f aca="false">IF(AND(OR(BU64="L1",BU64="L23"),AF64&gt;0),SUMIFS($AF$7:$AF$1576,$BU$7:$BU$1576,BU64,$AI$7:$AI$1576,"&gt;"&amp;AI64)+SUMIFS($AF$7:$AF$1576,$BU$7:$BU$1576,BU64,$AI$7:$AI$1576,AI64,$BO$7:$BO$1576,"&lt;="&amp;BO64),"")</f>
        <v>19.8903749873315</v>
      </c>
      <c r="AK64" s="65" t="n">
        <f aca="false">IF(AJ64="",0,MAX(0,MIN(1,(IF(BU64="L1",Parameter!$E$5,Parameter!$E$6+Parameter!$E$7)-(AJ64-AF64))/AF64)))</f>
        <v>1</v>
      </c>
      <c r="AL64" s="57" t="n">
        <f aca="false">IF(LEFT(Cockpit!$I$5,1)="A",G64,IF(BW64=1,BX64,IF(LEFT(Cockpit!$I$5,1)="B",AP64,MAX(AP64,G64))))</f>
        <v>3.3</v>
      </c>
      <c r="AM64" s="57" t="n">
        <f aca="false">IF(BR64=1,0,ROUNDUP(AL64/BQ64,0))</f>
        <v>1</v>
      </c>
      <c r="AN64" s="59" t="n">
        <f aca="false">IF(CD64&gt;0,CD64*MAX(1,AL64/V64),IF(BR64=1,IF(AL64&lt;=0,0,BS64*MAX(1,IF(G64&gt;0,AL64/G64,1))),IF(Q64&gt;0,AM64/Q64,0))/MAX(0.1,N(Parameter!$M$21)))</f>
        <v>0.0192307692307692</v>
      </c>
      <c r="AO64" s="57" t="n">
        <f aca="false">AL64*F64</f>
        <v>7199.181</v>
      </c>
      <c r="AP64" s="57" t="n">
        <f aca="false">ROUNDUP(MAX(I64/IF(BV64&gt;0,BV64,MAX(0.1,N(Cockpit!$I$6))),BY64)/BQ64,0)*BQ64</f>
        <v>3.3</v>
      </c>
      <c r="AQ64" s="58" t="n">
        <f aca="false">IF(AN64&gt;0,I64/AN64,-1)</f>
        <v>135.46</v>
      </c>
      <c r="AR64" s="58" t="n">
        <f aca="false">IF(AND(OR(BU64="L1",BU64="L23"),AN64&gt;0),SUMIFS($AN$7:$AN$1576,$BU$7:$BU$1576,BU64,$AQ$7:$AQ$1576,"&gt;"&amp;AQ64)+SUMIFS($AN$7:$AN$1576,$BU$7:$BU$1576,BU64,$AQ$7:$AQ$1576,AQ64,$BO$7:$BO$1576,"&lt;="&amp;BO64),"")</f>
        <v>58.432223827235</v>
      </c>
      <c r="AS64" s="65" t="n">
        <f aca="false">IF(AR64="",0,MAX(0,MIN(1,(IF(BU64="L1",Parameter!$E$5,Parameter!$E$6+Parameter!$E$7)-(AR64-AN64))/AN64)))</f>
        <v>1</v>
      </c>
      <c r="AT64" s="57" t="n">
        <f aca="false">IF(LEFT(Cockpit!$O$5,1)="A",G64,IF(BW64=1,BX64,IF(LEFT(Cockpit!$O$5,1)="B",AX64,MAX(AX64,G64))))</f>
        <v>3.3</v>
      </c>
      <c r="AU64" s="57" t="n">
        <f aca="false">IF(BR64=1,0,ROUNDUP(AT64/BQ64,0))</f>
        <v>1</v>
      </c>
      <c r="AV64" s="59" t="n">
        <f aca="false">IF(CD64&gt;0,CD64*MAX(1,AT64/V64),IF(BR64=1,IF(AT64&lt;=0,0,BS64*MAX(1,IF(G64&gt;0,AT64/G64,1))),IF(Q64&gt;0,AU64/Q64,0))/MAX(0.1,N(Parameter!$M$21)))</f>
        <v>0.0192307692307692</v>
      </c>
      <c r="AW64" s="57" t="n">
        <f aca="false">AT64*F64</f>
        <v>7199.181</v>
      </c>
      <c r="AX64" s="57" t="n">
        <f aca="false">ROUNDUP(MAX(I64/IF(BV64&gt;0,BV64,MAX(0.1,N(Cockpit!$O$6))),BY64)/BQ64,0)*BQ64</f>
        <v>3.3</v>
      </c>
      <c r="AY64" s="58" t="n">
        <f aca="false">IF(AV64&gt;0,I64/AV64,-1)</f>
        <v>135.46</v>
      </c>
      <c r="AZ64" s="58" t="n">
        <f aca="false">IF(AND(OR(BU64="L1",BU64="L23"),AV64&gt;0),SUMIFS($AV$7:$AV$1576,$BU$7:$BU$1576,BU64,$AY$7:$AY$1576,"&gt;"&amp;AY64)+SUMIFS($AV$7:$AV$1576,$BU$7:$BU$1576,BU64,$AY$7:$AY$1576,AY64,$BO$7:$BO$1576,"&lt;="&amp;BO64),"")</f>
        <v>53.0946909434521</v>
      </c>
      <c r="BA64" s="65" t="n">
        <f aca="false">IF(AZ64="",0,MAX(0,MIN(1,(IF(BU64="L1",Parameter!$E$5,Parameter!$E$6+Parameter!$E$7)-(AZ64-AV64))/AV64)))</f>
        <v>1</v>
      </c>
      <c r="BB64" s="55" t="str">
        <f aca="false">IF(AF64&lt;=0,"",IF(BU64="Aussen","Aussenlager",IF(BU64="-","Nicht im Lift",IF(AK64&gt;=1,"Lift",IF(AK64&lt;=0,"Aussenlager","teilweise")))))</f>
        <v>Lift</v>
      </c>
      <c r="BC64" s="55" t="str">
        <f aca="false">IF(AN64&lt;=0,"",IF(BU64="Aussen","Aussenlager",IF(BU64="-","Nicht im Lift",IF(AS64&gt;=1,"Lift",IF(AS64&lt;=0,"Aussenlager","teilweise")))))</f>
        <v>Lift</v>
      </c>
      <c r="BD64" s="55" t="str">
        <f aca="false">IF(AV64&lt;=0,"",IF(BU64="Aussen","Aussenlager",IF(BU64="-","Nicht im Lift",IF(BA64&gt;=1,"Lift",IF(BA64&lt;=0,"Aussenlager","teilweise")))))</f>
        <v>Lift</v>
      </c>
      <c r="BE64" s="55" t="str">
        <f aca="false">IF(A64="","",IF(BN64=1,"Neu; ","")&amp;IF(AND(BN64=0,BI64&lt;0),"negativer Bestand (Export "&amp;BI64&amp;"); ","")&amp;IF(I64&lt;=0,"Kein Verbrauch; ","")&amp;IF(CD64&gt;0,"Lift "&amp;U64&amp;" lt. Liftbericht (Fach "&amp;V64&amp;" Stk); ",IF(BR64=1,"Lose – Fläche geschätzt; ",""))&amp;IF(G64&gt;AP64,"Überbestand "&amp;ROUND(G64-AP64,0)&amp;" Stk / CHF "&amp;ROUND((G64-AP64)*F64,0)&amp;"; ","")&amp;IF(AND(BW64=1,BX64&lt;BY64),"MAX &lt; MB+LG; ","")&amp;IF(AND(CC64&gt;0,CB64*10&gt;CC64),"zu hoch für Tablar; ","")&amp;IF(AND(BN64=0,OR(BW64=1,Y64&lt;&gt;"",S64&lt;&gt;"",T64&lt;&gt;"",Z64&lt;&gt;"")),"manuell übersteuert; ","")&amp;IF(AND(BR64=0,Q64=0),"Gebinde unbekannt / Stellmass fehlt; ","")&amp;IF(AND(BR64=0,N(T64)&lt;=0,N(P64)&lt;=0),"Menge pro Gebinde fehlt (Ist = 1 Gebinde); ","")&amp;BM64)</f>
        <v/>
      </c>
      <c r="BF64" s="55" t="s">
        <v>320</v>
      </c>
      <c r="BG64" s="55"/>
      <c r="BH64" s="62"/>
      <c r="BI64" s="57" t="n">
        <v>1.9</v>
      </c>
      <c r="BJ64" s="57" t="n">
        <v>0.250000000000004</v>
      </c>
      <c r="BK64" s="56" t="n">
        <v>3955.6</v>
      </c>
      <c r="BL64" s="57" t="n">
        <v>2.605</v>
      </c>
      <c r="BM64" s="55"/>
      <c r="BN64" s="60" t="n">
        <v>0</v>
      </c>
      <c r="BO64" s="60" t="n">
        <v>64</v>
      </c>
      <c r="BP64" s="55" t="str">
        <f aca="false">IF(S64&lt;&gt;"",UPPER(TRIM(S64)),IF(O64="","LOSE",O64))</f>
        <v>S41</v>
      </c>
      <c r="BQ64" s="57" t="n">
        <f aca="false">IF(BP64="LOSE",1,IF(N(T64)&gt;0,T64,IF(N(P64)&gt;0,P64,MAX(1,G64))))</f>
        <v>3.3</v>
      </c>
      <c r="BR64" s="60" t="n">
        <f aca="false">IF(BP64="LOSE",1,0)</f>
        <v>0</v>
      </c>
      <c r="BS64" s="59" t="n">
        <f aca="false">IF(BR64=0,0,IF(N(R64)&gt;0,R64,IFERROR(VLOOKUP(D64,Parameter!$A$35:$C$64,3,0)+0,0)))</f>
        <v>0</v>
      </c>
      <c r="BT64" s="55" t="n">
        <f aca="false">IF(Y64&lt;&gt;"",Y64,X64)</f>
        <v>3</v>
      </c>
      <c r="BU64" s="55" t="str">
        <f aca="false">IF(BT64=1,"L1",IF(OR(BT64=2,BT64=3),"L23",IF(BT64="Aussen","Aussen","-")))</f>
        <v>L23</v>
      </c>
      <c r="BV64" s="66" t="n">
        <f aca="false">IF(N(Z64)&gt;0,Z64,0)</f>
        <v>0</v>
      </c>
      <c r="BW64" s="60" t="n">
        <f aca="false">IF(ISNUMBER(AC64),1,0)</f>
        <v>0</v>
      </c>
      <c r="BX64" s="57" t="n">
        <f aca="false">N(AC64)</f>
        <v>0</v>
      </c>
      <c r="BY64" s="57" t="n">
        <f aca="false">N(L64)+N(M64)</f>
        <v>1</v>
      </c>
      <c r="BZ64" s="57" t="n">
        <f aca="false">ROUNDUP(G64/BQ64,0)</f>
        <v>1</v>
      </c>
      <c r="CA64" s="57" t="n">
        <f aca="false">ROUNDUP(BX64/BQ64,0)</f>
        <v>0</v>
      </c>
      <c r="CB64" s="60" t="n">
        <f aca="false">IF(BR64=1,0,IFERROR(VLOOKUP(BP64,'Gebinde-Kategorie'!$A$5:$M$45,5,0)+0,0))</f>
        <v>11</v>
      </c>
      <c r="CC64" s="60" t="n">
        <f aca="false">IFERROR(IF(OR(BT64=1,BT64=2,BT64=3),N(INDEX(Parameter!$I$5:$I$7,BT64)),0),0)</f>
        <v>0</v>
      </c>
      <c r="CD64" s="59" t="n">
        <f aca="false">IF(AND(Parameter!$B$21="Ja",ISNUMBER(U64),N(V64)&gt;0),IFERROR(N(INDEX(Parameter!$L$5:$L$7,U64))*INDEX(Parameter!$E$5:$E$7,U64)*V64/SUMIFS($V$7:$V$1576,$U$7:$U$1576,U64),0),0)</f>
        <v>0</v>
      </c>
    </row>
    <row r="65" customFormat="false" ht="15" hidden="false" customHeight="false" outlineLevel="0" collapsed="false">
      <c r="A65" s="55" t="s">
        <v>321</v>
      </c>
      <c r="B65" s="55" t="s">
        <v>322</v>
      </c>
      <c r="C65" s="55" t="s">
        <v>160</v>
      </c>
      <c r="D65" s="55" t="s">
        <v>168</v>
      </c>
      <c r="E65" s="55" t="s">
        <v>210</v>
      </c>
      <c r="F65" s="56" t="n">
        <v>788.31</v>
      </c>
      <c r="G65" s="57" t="n">
        <f aca="false">MAX(0,IF(AND(Parameter!$B$21="Ja",ISNUMBER(W65)),W65,IF(Parameter!$B$20="Jahresanfang 2025 + Export",BJ65+BI65,BI65)))</f>
        <v>5</v>
      </c>
      <c r="H65" s="57" t="n">
        <f aca="false">G65*F65</f>
        <v>3941.55</v>
      </c>
      <c r="I65" s="57" t="n">
        <f aca="false">BL65*Parameter!$B$18</f>
        <v>0</v>
      </c>
      <c r="J65" s="58" t="n">
        <v>0</v>
      </c>
      <c r="K65" s="59" t="n">
        <v>0</v>
      </c>
      <c r="L65" s="57" t="n">
        <v>0</v>
      </c>
      <c r="M65" s="57" t="n">
        <v>5</v>
      </c>
      <c r="N65" s="60" t="n">
        <v>9999</v>
      </c>
      <c r="O65" s="55" t="s">
        <v>163</v>
      </c>
      <c r="P65" s="57"/>
      <c r="Q65" s="60" t="n">
        <f aca="false">IF(BR65=1,0,IFERROR(VLOOKUP(BP65,'Gebinde-Kategorie'!$A$5:$M$45,13,0)+0,0))</f>
        <v>0</v>
      </c>
      <c r="R65" s="61"/>
      <c r="S65" s="62"/>
      <c r="T65" s="62"/>
      <c r="U65" s="55"/>
      <c r="V65" s="57"/>
      <c r="W65" s="57"/>
      <c r="X65" s="55" t="n">
        <f aca="false">IF(A65="","",IF(AND(Parameter!$B$21="Ja",ISNUMBER(U65)),U65,IF(IFERROR(VLOOKUP(D65,Parameter!$A$35:$C$64,2,0),"Nein")="2+3",IF(ISNUMBER(SEARCH("grosser Artikel",BM65)),2,IFERROR(VLOOKUP(BP65,Parameter!$F$35:$G$64,2,0),2)),IF(OR(IFERROR(VLOOKUP(D65,Parameter!$A$35:$C$64,2,0),"Nein")="Nein",IFERROR(VLOOKUP(D65,Parameter!$A$35:$C$64,2,0),"Nein")=""),"-",VLOOKUP(D65,Parameter!$A$35:$C$64,2,0)))))</f>
        <v>2</v>
      </c>
      <c r="Y65" s="62"/>
      <c r="Z65" s="63"/>
      <c r="AA65" s="57" t="n">
        <f aca="false">AP65</f>
        <v>5</v>
      </c>
      <c r="AB65" s="57" t="n">
        <f aca="false">MAX(AP65,G65)</f>
        <v>5</v>
      </c>
      <c r="AC65" s="64"/>
      <c r="AD65" s="57" t="n">
        <f aca="false">IF(LEFT(Cockpit!$C$5,1)="A",G65,IF(BW65=1,BX65,IF(LEFT(Cockpit!$C$5,1)="B",AH65,MAX(AH65,G65))))</f>
        <v>5</v>
      </c>
      <c r="AE65" s="57" t="n">
        <f aca="false">IF(BR65=1,0,ROUNDUP(AD65/BQ65,0))</f>
        <v>0</v>
      </c>
      <c r="AF65" s="59" t="n">
        <f aca="false">IF(CD65&gt;0,CD65*MAX(1,AD65/V65),IF(BR65=1,IF(AD65&lt;=0,0,BS65*MAX(1,IF(G65&gt;0,AD65/G65,1))),IF(Q65&gt;0,AE65/Q65,0))/MAX(0.1,N(Parameter!$M$21)))</f>
        <v>0.15</v>
      </c>
      <c r="AG65" s="57" t="n">
        <f aca="false">AD65*F65</f>
        <v>3941.55</v>
      </c>
      <c r="AH65" s="57" t="n">
        <f aca="false">ROUNDUP(MAX(I65/IF(BV65&gt;0,BV65,MAX(0.1,N(Cockpit!$C$6))),BY65)/BQ65,0)*BQ65</f>
        <v>5</v>
      </c>
      <c r="AI65" s="58" t="n">
        <f aca="false">IF(AF65&gt;0,I65/AF65,-1)</f>
        <v>0</v>
      </c>
      <c r="AJ65" s="58" t="n">
        <f aca="false">IF(AND(OR(BU65="L1",BU65="L23"),AF65&gt;0),SUMIFS($AF$7:$AF$1576,$BU$7:$BU$1576,BU65,$AI$7:$AI$1576,"&gt;"&amp;AI65)+SUMIFS($AF$7:$AF$1576,$BU$7:$BU$1576,BU65,$AI$7:$AI$1576,AI65,$BO$7:$BO$1576,"&lt;="&amp;BO65),"")</f>
        <v>37.4925816695382</v>
      </c>
      <c r="AK65" s="65" t="n">
        <f aca="false">IF(AJ65="",0,MAX(0,MIN(1,(IF(BU65="L1",Parameter!$E$5,Parameter!$E$6+Parameter!$E$7)-(AJ65-AF65))/AF65)))</f>
        <v>1</v>
      </c>
      <c r="AL65" s="57" t="n">
        <f aca="false">IF(LEFT(Cockpit!$I$5,1)="A",G65,IF(BW65=1,BX65,IF(LEFT(Cockpit!$I$5,1)="B",AP65,MAX(AP65,G65))))</f>
        <v>5</v>
      </c>
      <c r="AM65" s="57" t="n">
        <f aca="false">IF(BR65=1,0,ROUNDUP(AL65/BQ65,0))</f>
        <v>0</v>
      </c>
      <c r="AN65" s="59" t="n">
        <f aca="false">IF(CD65&gt;0,CD65*MAX(1,AL65/V65),IF(BR65=1,IF(AL65&lt;=0,0,BS65*MAX(1,IF(G65&gt;0,AL65/G65,1))),IF(Q65&gt;0,AM65/Q65,0))/MAX(0.1,N(Parameter!$M$21)))</f>
        <v>0.15</v>
      </c>
      <c r="AO65" s="57" t="n">
        <f aca="false">AL65*F65</f>
        <v>3941.55</v>
      </c>
      <c r="AP65" s="57" t="n">
        <f aca="false">ROUNDUP(MAX(I65/IF(BV65&gt;0,BV65,MAX(0.1,N(Cockpit!$I$6))),BY65)/BQ65,0)*BQ65</f>
        <v>5</v>
      </c>
      <c r="AQ65" s="58" t="n">
        <f aca="false">IF(AN65&gt;0,I65/AN65,-1)</f>
        <v>0</v>
      </c>
      <c r="AR65" s="58" t="n">
        <f aca="false">IF(AND(OR(BU65="L1",BU65="L23"),AN65&gt;0),SUMIFS($AN$7:$AN$1576,$BU$7:$BU$1576,BU65,$AQ$7:$AQ$1576,"&gt;"&amp;AQ65)+SUMIFS($AN$7:$AN$1576,$BU$7:$BU$1576,BU65,$AQ$7:$AQ$1576,AQ65,$BO$7:$BO$1576,"&lt;="&amp;BO65),"")</f>
        <v>120.216787419328</v>
      </c>
      <c r="AS65" s="65" t="n">
        <f aca="false">IF(AR65="",0,MAX(0,MIN(1,(IF(BU65="L1",Parameter!$E$5,Parameter!$E$6+Parameter!$E$7)-(AR65-AN65))/AN65)))</f>
        <v>0</v>
      </c>
      <c r="AT65" s="57" t="n">
        <f aca="false">IF(LEFT(Cockpit!$O$5,1)="A",G65,IF(BW65=1,BX65,IF(LEFT(Cockpit!$O$5,1)="B",AX65,MAX(AX65,G65))))</f>
        <v>5</v>
      </c>
      <c r="AU65" s="57" t="n">
        <f aca="false">IF(BR65=1,0,ROUNDUP(AT65/BQ65,0))</f>
        <v>0</v>
      </c>
      <c r="AV65" s="59" t="n">
        <f aca="false">IF(CD65&gt;0,CD65*MAX(1,AT65/V65),IF(BR65=1,IF(AT65&lt;=0,0,BS65*MAX(1,IF(G65&gt;0,AT65/G65,1))),IF(Q65&gt;0,AU65/Q65,0))/MAX(0.1,N(Parameter!$M$21)))</f>
        <v>0.15</v>
      </c>
      <c r="AW65" s="57" t="n">
        <f aca="false">AT65*F65</f>
        <v>3941.55</v>
      </c>
      <c r="AX65" s="57" t="n">
        <f aca="false">ROUNDUP(MAX(I65/IF(BV65&gt;0,BV65,MAX(0.1,N(Cockpit!$O$6))),BY65)/BQ65,0)*BQ65</f>
        <v>5</v>
      </c>
      <c r="AY65" s="58" t="n">
        <f aca="false">IF(AV65&gt;0,I65/AV65,-1)</f>
        <v>0</v>
      </c>
      <c r="AZ65" s="58" t="n">
        <f aca="false">IF(AND(OR(BU65="L1",BU65="L23"),AV65&gt;0),SUMIFS($AV$7:$AV$1576,$BU$7:$BU$1576,BU65,$AY$7:$AY$1576,"&gt;"&amp;AY65)+SUMIFS($AV$7:$AV$1576,$BU$7:$BU$1576,BU65,$AY$7:$AY$1576,AY65,$BO$7:$BO$1576,"&lt;="&amp;BO65),"")</f>
        <v>110.276337868878</v>
      </c>
      <c r="BA65" s="65" t="n">
        <f aca="false">IF(AZ65="",0,MAX(0,MIN(1,(IF(BU65="L1",Parameter!$E$5,Parameter!$E$6+Parameter!$E$7)-(AZ65-AV65))/AV65)))</f>
        <v>0</v>
      </c>
      <c r="BB65" s="55" t="str">
        <f aca="false">IF(AF65&lt;=0,"",IF(BU65="Aussen","Aussenlager",IF(BU65="-","Nicht im Lift",IF(AK65&gt;=1,"Lift",IF(AK65&lt;=0,"Aussenlager","teilweise")))))</f>
        <v>Lift</v>
      </c>
      <c r="BC65" s="55" t="str">
        <f aca="false">IF(AN65&lt;=0,"",IF(BU65="Aussen","Aussenlager",IF(BU65="-","Nicht im Lift",IF(AS65&gt;=1,"Lift",IF(AS65&lt;=0,"Aussenlager","teilweise")))))</f>
        <v>Aussenlager</v>
      </c>
      <c r="BD65" s="55" t="str">
        <f aca="false">IF(AV65&lt;=0,"",IF(BU65="Aussen","Aussenlager",IF(BU65="-","Nicht im Lift",IF(BA65&gt;=1,"Lift",IF(BA65&lt;=0,"Aussenlager","teilweise")))))</f>
        <v>Aussenlager</v>
      </c>
      <c r="BE65" s="55" t="str">
        <f aca="false">IF(A65="","",IF(BN65=1,"Neu; ","")&amp;IF(AND(BN65=0,BI65&lt;0),"negativer Bestand (Export "&amp;BI65&amp;"); ","")&amp;IF(I65&lt;=0,"Kein Verbrauch; ","")&amp;IF(CD65&gt;0,"Lift "&amp;U65&amp;" lt. Liftbericht (Fach "&amp;V65&amp;" Stk); ",IF(BR65=1,"Lose – Fläche geschätzt; ",""))&amp;IF(G65&gt;AP65,"Überbestand "&amp;ROUND(G65-AP65,0)&amp;" Stk / CHF "&amp;ROUND((G65-AP65)*F65,0)&amp;"; ","")&amp;IF(AND(BW65=1,BX65&lt;BY65),"MAX &lt; MB+LG; ","")&amp;IF(AND(CC65&gt;0,CB65*10&gt;CC65),"zu hoch für Tablar; ","")&amp;IF(AND(BN65=0,OR(BW65=1,Y65&lt;&gt;"",S65&lt;&gt;"",T65&lt;&gt;"",Z65&lt;&gt;"")),"manuell übersteuert; ","")&amp;IF(AND(BR65=0,Q65=0),"Gebinde unbekannt / Stellmass fehlt; ","")&amp;IF(AND(BR65=0,N(T65)&lt;=0,N(P65)&lt;=0),"Menge pro Gebinde fehlt (Ist = 1 Gebinde); ","")&amp;BM65)</f>
        <v>Kein Verbrauch; Lose – Fläche geschätzt; </v>
      </c>
      <c r="BF65" s="55" t="s">
        <v>323</v>
      </c>
      <c r="BG65" s="55"/>
      <c r="BH65" s="62"/>
      <c r="BI65" s="57" t="n">
        <v>5</v>
      </c>
      <c r="BJ65" s="57" t="n">
        <v>0</v>
      </c>
      <c r="BK65" s="56" t="n">
        <v>3941.55</v>
      </c>
      <c r="BL65" s="57" t="n">
        <v>0</v>
      </c>
      <c r="BM65" s="55"/>
      <c r="BN65" s="60" t="n">
        <v>0</v>
      </c>
      <c r="BO65" s="60" t="n">
        <v>65</v>
      </c>
      <c r="BP65" s="55" t="str">
        <f aca="false">IF(S65&lt;&gt;"",UPPER(TRIM(S65)),IF(O65="","LOSE",O65))</f>
        <v>LOSE</v>
      </c>
      <c r="BQ65" s="57" t="n">
        <f aca="false">IF(BP65="LOSE",1,IF(N(T65)&gt;0,T65,IF(N(P65)&gt;0,P65,MAX(1,G65))))</f>
        <v>1</v>
      </c>
      <c r="BR65" s="60" t="n">
        <f aca="false">IF(BP65="LOSE",1,0)</f>
        <v>1</v>
      </c>
      <c r="BS65" s="59" t="n">
        <f aca="false">IF(BR65=0,0,IF(N(R65)&gt;0,R65,IFERROR(VLOOKUP(D65,Parameter!$A$35:$C$64,3,0)+0,0)))</f>
        <v>0.15</v>
      </c>
      <c r="BT65" s="55" t="n">
        <f aca="false">IF(Y65&lt;&gt;"",Y65,X65)</f>
        <v>2</v>
      </c>
      <c r="BU65" s="55" t="str">
        <f aca="false">IF(BT65=1,"L1",IF(OR(BT65=2,BT65=3),"L23",IF(BT65="Aussen","Aussen","-")))</f>
        <v>L23</v>
      </c>
      <c r="BV65" s="66" t="n">
        <f aca="false">IF(N(Z65)&gt;0,Z65,0)</f>
        <v>0</v>
      </c>
      <c r="BW65" s="60" t="n">
        <f aca="false">IF(ISNUMBER(AC65),1,0)</f>
        <v>0</v>
      </c>
      <c r="BX65" s="57" t="n">
        <f aca="false">N(AC65)</f>
        <v>0</v>
      </c>
      <c r="BY65" s="57" t="n">
        <f aca="false">N(L65)+N(M65)</f>
        <v>5</v>
      </c>
      <c r="BZ65" s="57" t="n">
        <f aca="false">ROUNDUP(G65/BQ65,0)</f>
        <v>5</v>
      </c>
      <c r="CA65" s="57" t="n">
        <f aca="false">ROUNDUP(BX65/BQ65,0)</f>
        <v>0</v>
      </c>
      <c r="CB65" s="60" t="n">
        <f aca="false">IF(BR65=1,0,IFERROR(VLOOKUP(BP65,'Gebinde-Kategorie'!$A$5:$M$45,5,0)+0,0))</f>
        <v>0</v>
      </c>
      <c r="CC65" s="60" t="n">
        <f aca="false">IFERROR(IF(OR(BT65=1,BT65=2,BT65=3),N(INDEX(Parameter!$I$5:$I$7,BT65)),0),0)</f>
        <v>0</v>
      </c>
      <c r="CD65" s="59" t="n">
        <f aca="false">IF(AND(Parameter!$B$21="Ja",ISNUMBER(U65),N(V65)&gt;0),IFERROR(N(INDEX(Parameter!$L$5:$L$7,U65))*INDEX(Parameter!$E$5:$E$7,U65)*V65/SUMIFS($V$7:$V$1576,$U$7:$U$1576,U65),0),0)</f>
        <v>0</v>
      </c>
    </row>
    <row r="66" customFormat="false" ht="15" hidden="false" customHeight="false" outlineLevel="0" collapsed="false">
      <c r="A66" s="55" t="s">
        <v>324</v>
      </c>
      <c r="B66" s="55" t="s">
        <v>325</v>
      </c>
      <c r="C66" s="55" t="s">
        <v>160</v>
      </c>
      <c r="D66" s="55" t="s">
        <v>168</v>
      </c>
      <c r="E66" s="55" t="s">
        <v>210</v>
      </c>
      <c r="F66" s="56" t="n">
        <v>1947</v>
      </c>
      <c r="G66" s="57" t="n">
        <f aca="false">MAX(0,IF(AND(Parameter!$B$21="Ja",ISNUMBER(W66)),W66,IF(Parameter!$B$20="Jahresanfang 2025 + Export",BJ66+BI66,BI66)))</f>
        <v>2</v>
      </c>
      <c r="H66" s="57" t="n">
        <f aca="false">G66*F66</f>
        <v>3894</v>
      </c>
      <c r="I66" s="57" t="n">
        <f aca="false">BL66*Parameter!$B$18</f>
        <v>0</v>
      </c>
      <c r="J66" s="58" t="n">
        <v>1</v>
      </c>
      <c r="K66" s="59" t="n">
        <v>0</v>
      </c>
      <c r="L66" s="57" t="n">
        <v>0</v>
      </c>
      <c r="M66" s="57" t="n">
        <v>1</v>
      </c>
      <c r="N66" s="60" t="n">
        <v>70</v>
      </c>
      <c r="O66" s="55" t="s">
        <v>293</v>
      </c>
      <c r="P66" s="57" t="n">
        <v>2</v>
      </c>
      <c r="Q66" s="60" t="n">
        <f aca="false">IF(BR66=1,0,IFERROR(VLOOKUP(BP66,'Gebinde-Kategorie'!$A$5:$M$45,13,0)+0,0))</f>
        <v>26</v>
      </c>
      <c r="R66" s="61"/>
      <c r="S66" s="62"/>
      <c r="T66" s="62"/>
      <c r="U66" s="55"/>
      <c r="V66" s="57"/>
      <c r="W66" s="57"/>
      <c r="X66" s="55" t="n">
        <f aca="false">IF(A66="","",IF(AND(Parameter!$B$21="Ja",ISNUMBER(U66)),U66,IF(IFERROR(VLOOKUP(D66,Parameter!$A$35:$C$64,2,0),"Nein")="2+3",IF(ISNUMBER(SEARCH("grosser Artikel",BM66)),2,IFERROR(VLOOKUP(BP66,Parameter!$F$35:$G$64,2,0),2)),IF(OR(IFERROR(VLOOKUP(D66,Parameter!$A$35:$C$64,2,0),"Nein")="Nein",IFERROR(VLOOKUP(D66,Parameter!$A$35:$C$64,2,0),"Nein")=""),"-",VLOOKUP(D66,Parameter!$A$35:$C$64,2,0)))))</f>
        <v>3</v>
      </c>
      <c r="Y66" s="62"/>
      <c r="Z66" s="63"/>
      <c r="AA66" s="57" t="n">
        <f aca="false">AP66</f>
        <v>2</v>
      </c>
      <c r="AB66" s="57" t="n">
        <f aca="false">MAX(AP66,G66)</f>
        <v>2</v>
      </c>
      <c r="AC66" s="64"/>
      <c r="AD66" s="57" t="n">
        <f aca="false">IF(LEFT(Cockpit!$C$5,1)="A",G66,IF(BW66=1,BX66,IF(LEFT(Cockpit!$C$5,1)="B",AH66,MAX(AH66,G66))))</f>
        <v>2</v>
      </c>
      <c r="AE66" s="57" t="n">
        <f aca="false">IF(BR66=1,0,ROUNDUP(AD66/BQ66,0))</f>
        <v>1</v>
      </c>
      <c r="AF66" s="59" t="n">
        <f aca="false">IF(CD66&gt;0,CD66*MAX(1,AD66/V66),IF(BR66=1,IF(AD66&lt;=0,0,BS66*MAX(1,IF(G66&gt;0,AD66/G66,1))),IF(Q66&gt;0,AE66/Q66,0))/MAX(0.1,N(Parameter!$M$21)))</f>
        <v>0.0384615384615385</v>
      </c>
      <c r="AG66" s="57" t="n">
        <f aca="false">AD66*F66</f>
        <v>3894</v>
      </c>
      <c r="AH66" s="57" t="n">
        <f aca="false">ROUNDUP(MAX(I66/IF(BV66&gt;0,BV66,MAX(0.1,N(Cockpit!$C$6))),BY66)/BQ66,0)*BQ66</f>
        <v>2</v>
      </c>
      <c r="AI66" s="58" t="n">
        <f aca="false">IF(AF66&gt;0,I66/AF66,-1)</f>
        <v>0</v>
      </c>
      <c r="AJ66" s="58" t="n">
        <f aca="false">IF(AND(OR(BU66="L1",BU66="L23"),AF66&gt;0),SUMIFS($AF$7:$AF$1576,$BU$7:$BU$1576,BU66,$AI$7:$AI$1576,"&gt;"&amp;AI66)+SUMIFS($AF$7:$AF$1576,$BU$7:$BU$1576,BU66,$AI$7:$AI$1576,AI66,$BO$7:$BO$1576,"&lt;="&amp;BO66),"")</f>
        <v>37.5310432079997</v>
      </c>
      <c r="AK66" s="65" t="n">
        <f aca="false">IF(AJ66="",0,MAX(0,MIN(1,(IF(BU66="L1",Parameter!$E$5,Parameter!$E$6+Parameter!$E$7)-(AJ66-AF66))/AF66)))</f>
        <v>1</v>
      </c>
      <c r="AL66" s="57" t="n">
        <f aca="false">IF(LEFT(Cockpit!$I$5,1)="A",G66,IF(BW66=1,BX66,IF(LEFT(Cockpit!$I$5,1)="B",AP66,MAX(AP66,G66))))</f>
        <v>2</v>
      </c>
      <c r="AM66" s="57" t="n">
        <f aca="false">IF(BR66=1,0,ROUNDUP(AL66/BQ66,0))</f>
        <v>1</v>
      </c>
      <c r="AN66" s="59" t="n">
        <f aca="false">IF(CD66&gt;0,CD66*MAX(1,AL66/V66),IF(BR66=1,IF(AL66&lt;=0,0,BS66*MAX(1,IF(G66&gt;0,AL66/G66,1))),IF(Q66&gt;0,AM66/Q66,0))/MAX(0.1,N(Parameter!$M$21)))</f>
        <v>0.0384615384615385</v>
      </c>
      <c r="AO66" s="57" t="n">
        <f aca="false">AL66*F66</f>
        <v>3894</v>
      </c>
      <c r="AP66" s="57" t="n">
        <f aca="false">ROUNDUP(MAX(I66/IF(BV66&gt;0,BV66,MAX(0.1,N(Cockpit!$I$6))),BY66)/BQ66,0)*BQ66</f>
        <v>2</v>
      </c>
      <c r="AQ66" s="58" t="n">
        <f aca="false">IF(AN66&gt;0,I66/AN66,-1)</f>
        <v>0</v>
      </c>
      <c r="AR66" s="58" t="n">
        <f aca="false">IF(AND(OR(BU66="L1",BU66="L23"),AN66&gt;0),SUMIFS($AN$7:$AN$1576,$BU$7:$BU$1576,BU66,$AQ$7:$AQ$1576,"&gt;"&amp;AQ66)+SUMIFS($AN$7:$AN$1576,$BU$7:$BU$1576,BU66,$AQ$7:$AQ$1576,AQ66,$BO$7:$BO$1576,"&lt;="&amp;BO66),"")</f>
        <v>120.255248957789</v>
      </c>
      <c r="AS66" s="65" t="n">
        <f aca="false">IF(AR66="",0,MAX(0,MIN(1,(IF(BU66="L1",Parameter!$E$5,Parameter!$E$6+Parameter!$E$7)-(AR66-AN66))/AN66)))</f>
        <v>0</v>
      </c>
      <c r="AT66" s="57" t="n">
        <f aca="false">IF(LEFT(Cockpit!$O$5,1)="A",G66,IF(BW66=1,BX66,IF(LEFT(Cockpit!$O$5,1)="B",AX66,MAX(AX66,G66))))</f>
        <v>2</v>
      </c>
      <c r="AU66" s="57" t="n">
        <f aca="false">IF(BR66=1,0,ROUNDUP(AT66/BQ66,0))</f>
        <v>1</v>
      </c>
      <c r="AV66" s="59" t="n">
        <f aca="false">IF(CD66&gt;0,CD66*MAX(1,AT66/V66),IF(BR66=1,IF(AT66&lt;=0,0,BS66*MAX(1,IF(G66&gt;0,AT66/G66,1))),IF(Q66&gt;0,AU66/Q66,0))/MAX(0.1,N(Parameter!$M$21)))</f>
        <v>0.0384615384615385</v>
      </c>
      <c r="AW66" s="57" t="n">
        <f aca="false">AT66*F66</f>
        <v>3894</v>
      </c>
      <c r="AX66" s="57" t="n">
        <f aca="false">ROUNDUP(MAX(I66/IF(BV66&gt;0,BV66,MAX(0.1,N(Cockpit!$O$6))),BY66)/BQ66,0)*BQ66</f>
        <v>2</v>
      </c>
      <c r="AY66" s="58" t="n">
        <f aca="false">IF(AV66&gt;0,I66/AV66,-1)</f>
        <v>0</v>
      </c>
      <c r="AZ66" s="58" t="n">
        <f aca="false">IF(AND(OR(BU66="L1",BU66="L23"),AV66&gt;0),SUMIFS($AV$7:$AV$1576,$BU$7:$BU$1576,BU66,$AY$7:$AY$1576,"&gt;"&amp;AY66)+SUMIFS($AV$7:$AV$1576,$BU$7:$BU$1576,BU66,$AY$7:$AY$1576,AY66,$BO$7:$BO$1576,"&lt;="&amp;BO66),"")</f>
        <v>110.31479940734</v>
      </c>
      <c r="BA66" s="65" t="n">
        <f aca="false">IF(AZ66="",0,MAX(0,MIN(1,(IF(BU66="L1",Parameter!$E$5,Parameter!$E$6+Parameter!$E$7)-(AZ66-AV66))/AV66)))</f>
        <v>0</v>
      </c>
      <c r="BB66" s="55" t="str">
        <f aca="false">IF(AF66&lt;=0,"",IF(BU66="Aussen","Aussenlager",IF(BU66="-","Nicht im Lift",IF(AK66&gt;=1,"Lift",IF(AK66&lt;=0,"Aussenlager","teilweise")))))</f>
        <v>Lift</v>
      </c>
      <c r="BC66" s="55" t="str">
        <f aca="false">IF(AN66&lt;=0,"",IF(BU66="Aussen","Aussenlager",IF(BU66="-","Nicht im Lift",IF(AS66&gt;=1,"Lift",IF(AS66&lt;=0,"Aussenlager","teilweise")))))</f>
        <v>Aussenlager</v>
      </c>
      <c r="BD66" s="55" t="str">
        <f aca="false">IF(AV66&lt;=0,"",IF(BU66="Aussen","Aussenlager",IF(BU66="-","Nicht im Lift",IF(BA66&gt;=1,"Lift",IF(BA66&lt;=0,"Aussenlager","teilweise")))))</f>
        <v>Aussenlager</v>
      </c>
      <c r="BE66" s="55" t="str">
        <f aca="false">IF(A66="","",IF(BN66=1,"Neu; ","")&amp;IF(AND(BN66=0,BI66&lt;0),"negativer Bestand (Export "&amp;BI66&amp;"); ","")&amp;IF(I66&lt;=0,"Kein Verbrauch; ","")&amp;IF(CD66&gt;0,"Lift "&amp;U66&amp;" lt. Liftbericht (Fach "&amp;V66&amp;" Stk); ",IF(BR66=1,"Lose – Fläche geschätzt; ",""))&amp;IF(G66&gt;AP66,"Überbestand "&amp;ROUND(G66-AP66,0)&amp;" Stk / CHF "&amp;ROUND((G66-AP66)*F66,0)&amp;"; ","")&amp;IF(AND(BW66=1,BX66&lt;BY66),"MAX &lt; MB+LG; ","")&amp;IF(AND(CC66&gt;0,CB66*10&gt;CC66),"zu hoch für Tablar; ","")&amp;IF(AND(BN66=0,OR(BW66=1,Y66&lt;&gt;"",S66&lt;&gt;"",T66&lt;&gt;"",Z66&lt;&gt;"")),"manuell übersteuert; ","")&amp;IF(AND(BR66=0,Q66=0),"Gebinde unbekannt / Stellmass fehlt; ","")&amp;IF(AND(BR66=0,N(T66)&lt;=0,N(P66)&lt;=0),"Menge pro Gebinde fehlt (Ist = 1 Gebinde); ","")&amp;BM66)</f>
        <v>Kein Verbrauch; </v>
      </c>
      <c r="BF66" s="55"/>
      <c r="BG66" s="55"/>
      <c r="BH66" s="62"/>
      <c r="BI66" s="57" t="n">
        <v>2</v>
      </c>
      <c r="BJ66" s="57" t="n">
        <v>0</v>
      </c>
      <c r="BK66" s="56" t="n">
        <v>3894</v>
      </c>
      <c r="BL66" s="57" t="n">
        <v>0</v>
      </c>
      <c r="BM66" s="55"/>
      <c r="BN66" s="60" t="n">
        <v>0</v>
      </c>
      <c r="BO66" s="60" t="n">
        <v>66</v>
      </c>
      <c r="BP66" s="55" t="str">
        <f aca="false">IF(S66&lt;&gt;"",UPPER(TRIM(S66)),IF(O66="","LOSE",O66))</f>
        <v>S51</v>
      </c>
      <c r="BQ66" s="57" t="n">
        <f aca="false">IF(BP66="LOSE",1,IF(N(T66)&gt;0,T66,IF(N(P66)&gt;0,P66,MAX(1,G66))))</f>
        <v>2</v>
      </c>
      <c r="BR66" s="60" t="n">
        <f aca="false">IF(BP66="LOSE",1,0)</f>
        <v>0</v>
      </c>
      <c r="BS66" s="59" t="n">
        <f aca="false">IF(BR66=0,0,IF(N(R66)&gt;0,R66,IFERROR(VLOOKUP(D66,Parameter!$A$35:$C$64,3,0)+0,0)))</f>
        <v>0</v>
      </c>
      <c r="BT66" s="55" t="n">
        <f aca="false">IF(Y66&lt;&gt;"",Y66,X66)</f>
        <v>3</v>
      </c>
      <c r="BU66" s="55" t="str">
        <f aca="false">IF(BT66=1,"L1",IF(OR(BT66=2,BT66=3),"L23",IF(BT66="Aussen","Aussen","-")))</f>
        <v>L23</v>
      </c>
      <c r="BV66" s="66" t="n">
        <f aca="false">IF(N(Z66)&gt;0,Z66,0)</f>
        <v>0</v>
      </c>
      <c r="BW66" s="60" t="n">
        <f aca="false">IF(ISNUMBER(AC66),1,0)</f>
        <v>0</v>
      </c>
      <c r="BX66" s="57" t="n">
        <f aca="false">N(AC66)</f>
        <v>0</v>
      </c>
      <c r="BY66" s="57" t="n">
        <f aca="false">N(L66)+N(M66)</f>
        <v>1</v>
      </c>
      <c r="BZ66" s="57" t="n">
        <f aca="false">ROUNDUP(G66/BQ66,0)</f>
        <v>1</v>
      </c>
      <c r="CA66" s="57" t="n">
        <f aca="false">ROUNDUP(BX66/BQ66,0)</f>
        <v>0</v>
      </c>
      <c r="CB66" s="60" t="n">
        <f aca="false">IF(BR66=1,0,IFERROR(VLOOKUP(BP66,'Gebinde-Kategorie'!$A$5:$M$45,5,0)+0,0))</f>
        <v>11</v>
      </c>
      <c r="CC66" s="60" t="n">
        <f aca="false">IFERROR(IF(OR(BT66=1,BT66=2,BT66=3),N(INDEX(Parameter!$I$5:$I$7,BT66)),0),0)</f>
        <v>0</v>
      </c>
      <c r="CD66" s="59" t="n">
        <f aca="false">IF(AND(Parameter!$B$21="Ja",ISNUMBER(U66),N(V66)&gt;0),IFERROR(N(INDEX(Parameter!$L$5:$L$7,U66))*INDEX(Parameter!$E$5:$E$7,U66)*V66/SUMIFS($V$7:$V$1576,$U$7:$U$1576,U66),0),0)</f>
        <v>0</v>
      </c>
    </row>
    <row r="67" customFormat="false" ht="15" hidden="false" customHeight="false" outlineLevel="0" collapsed="false">
      <c r="A67" s="55" t="s">
        <v>326</v>
      </c>
      <c r="B67" s="55" t="s">
        <v>327</v>
      </c>
      <c r="C67" s="55" t="s">
        <v>160</v>
      </c>
      <c r="D67" s="55" t="s">
        <v>178</v>
      </c>
      <c r="E67" s="55" t="s">
        <v>210</v>
      </c>
      <c r="F67" s="56" t="n">
        <v>477</v>
      </c>
      <c r="G67" s="57" t="n">
        <f aca="false">MAX(0,IF(AND(Parameter!$B$21="Ja",ISNUMBER(W67)),W67,IF(Parameter!$B$20="Jahresanfang 2025 + Export",BJ67+BI67,BI67)))</f>
        <v>8</v>
      </c>
      <c r="H67" s="57" t="n">
        <f aca="false">G67*F67</f>
        <v>3816</v>
      </c>
      <c r="I67" s="57" t="n">
        <f aca="false">BL67*Parameter!$B$18</f>
        <v>0</v>
      </c>
      <c r="J67" s="58" t="n">
        <v>0</v>
      </c>
      <c r="K67" s="59" t="n">
        <v>0</v>
      </c>
      <c r="L67" s="57" t="n">
        <v>0</v>
      </c>
      <c r="M67" s="57" t="n">
        <v>5</v>
      </c>
      <c r="N67" s="60" t="n">
        <v>9999</v>
      </c>
      <c r="O67" s="55" t="s">
        <v>163</v>
      </c>
      <c r="P67" s="57"/>
      <c r="Q67" s="60" t="n">
        <f aca="false">IF(BR67=1,0,IFERROR(VLOOKUP(BP67,'Gebinde-Kategorie'!$A$5:$M$45,13,0)+0,0))</f>
        <v>0</v>
      </c>
      <c r="R67" s="61"/>
      <c r="S67" s="62"/>
      <c r="T67" s="62"/>
      <c r="U67" s="55"/>
      <c r="V67" s="57"/>
      <c r="W67" s="57"/>
      <c r="X67" s="55" t="n">
        <f aca="false">IF(A67="","",IF(AND(Parameter!$B$21="Ja",ISNUMBER(U67)),U67,IF(IFERROR(VLOOKUP(D67,Parameter!$A$35:$C$64,2,0),"Nein")="2+3",IF(ISNUMBER(SEARCH("grosser Artikel",BM67)),2,IFERROR(VLOOKUP(BP67,Parameter!$F$35:$G$64,2,0),2)),IF(OR(IFERROR(VLOOKUP(D67,Parameter!$A$35:$C$64,2,0),"Nein")="Nein",IFERROR(VLOOKUP(D67,Parameter!$A$35:$C$64,2,0),"Nein")=""),"-",VLOOKUP(D67,Parameter!$A$35:$C$64,2,0)))))</f>
        <v>2</v>
      </c>
      <c r="Y67" s="62"/>
      <c r="Z67" s="63"/>
      <c r="AA67" s="57" t="n">
        <f aca="false">AP67</f>
        <v>5</v>
      </c>
      <c r="AB67" s="57" t="n">
        <f aca="false">MAX(AP67,G67)</f>
        <v>8</v>
      </c>
      <c r="AC67" s="64"/>
      <c r="AD67" s="57" t="n">
        <f aca="false">IF(LEFT(Cockpit!$C$5,1)="A",G67,IF(BW67=1,BX67,IF(LEFT(Cockpit!$C$5,1)="B",AH67,MAX(AH67,G67))))</f>
        <v>8</v>
      </c>
      <c r="AE67" s="57" t="n">
        <f aca="false">IF(BR67=1,0,ROUNDUP(AD67/BQ67,0))</f>
        <v>0</v>
      </c>
      <c r="AF67" s="59" t="n">
        <f aca="false">IF(CD67&gt;0,CD67*MAX(1,AD67/V67),IF(BR67=1,IF(AD67&lt;=0,0,BS67*MAX(1,IF(G67&gt;0,AD67/G67,1))),IF(Q67&gt;0,AE67/Q67,0))/MAX(0.1,N(Parameter!$M$21)))</f>
        <v>0.03</v>
      </c>
      <c r="AG67" s="57" t="n">
        <f aca="false">AD67*F67</f>
        <v>3816</v>
      </c>
      <c r="AH67" s="57" t="n">
        <f aca="false">ROUNDUP(MAX(I67/IF(BV67&gt;0,BV67,MAX(0.1,N(Cockpit!$C$6))),BY67)/BQ67,0)*BQ67</f>
        <v>5</v>
      </c>
      <c r="AI67" s="58" t="n">
        <f aca="false">IF(AF67&gt;0,I67/AF67,-1)</f>
        <v>0</v>
      </c>
      <c r="AJ67" s="58" t="n">
        <f aca="false">IF(AND(OR(BU67="L1",BU67="L23"),AF67&gt;0),SUMIFS($AF$7:$AF$1576,$BU$7:$BU$1576,BU67,$AI$7:$AI$1576,"&gt;"&amp;AI67)+SUMIFS($AF$7:$AF$1576,$BU$7:$BU$1576,BU67,$AI$7:$AI$1576,AI67,$BO$7:$BO$1576,"&lt;="&amp;BO67),"")</f>
        <v>37.5610432079997</v>
      </c>
      <c r="AK67" s="65" t="n">
        <f aca="false">IF(AJ67="",0,MAX(0,MIN(1,(IF(BU67="L1",Parameter!$E$5,Parameter!$E$6+Parameter!$E$7)-(AJ67-AF67))/AF67)))</f>
        <v>1</v>
      </c>
      <c r="AL67" s="57" t="n">
        <f aca="false">IF(LEFT(Cockpit!$I$5,1)="A",G67,IF(BW67=1,BX67,IF(LEFT(Cockpit!$I$5,1)="B",AP67,MAX(AP67,G67))))</f>
        <v>8</v>
      </c>
      <c r="AM67" s="57" t="n">
        <f aca="false">IF(BR67=1,0,ROUNDUP(AL67/BQ67,0))</f>
        <v>0</v>
      </c>
      <c r="AN67" s="59" t="n">
        <f aca="false">IF(CD67&gt;0,CD67*MAX(1,AL67/V67),IF(BR67=1,IF(AL67&lt;=0,0,BS67*MAX(1,IF(G67&gt;0,AL67/G67,1))),IF(Q67&gt;0,AM67/Q67,0))/MAX(0.1,N(Parameter!$M$21)))</f>
        <v>0.03</v>
      </c>
      <c r="AO67" s="57" t="n">
        <f aca="false">AL67*F67</f>
        <v>3816</v>
      </c>
      <c r="AP67" s="57" t="n">
        <f aca="false">ROUNDUP(MAX(I67/IF(BV67&gt;0,BV67,MAX(0.1,N(Cockpit!$I$6))),BY67)/BQ67,0)*BQ67</f>
        <v>5</v>
      </c>
      <c r="AQ67" s="58" t="n">
        <f aca="false">IF(AN67&gt;0,I67/AN67,-1)</f>
        <v>0</v>
      </c>
      <c r="AR67" s="58" t="n">
        <f aca="false">IF(AND(OR(BU67="L1",BU67="L23"),AN67&gt;0),SUMIFS($AN$7:$AN$1576,$BU$7:$BU$1576,BU67,$AQ$7:$AQ$1576,"&gt;"&amp;AQ67)+SUMIFS($AN$7:$AN$1576,$BU$7:$BU$1576,BU67,$AQ$7:$AQ$1576,AQ67,$BO$7:$BO$1576,"&lt;="&amp;BO67),"")</f>
        <v>120.285248957789</v>
      </c>
      <c r="AS67" s="65" t="n">
        <f aca="false">IF(AR67="",0,MAX(0,MIN(1,(IF(BU67="L1",Parameter!$E$5,Parameter!$E$6+Parameter!$E$7)-(AR67-AN67))/AN67)))</f>
        <v>0</v>
      </c>
      <c r="AT67" s="57" t="n">
        <f aca="false">IF(LEFT(Cockpit!$O$5,1)="A",G67,IF(BW67=1,BX67,IF(LEFT(Cockpit!$O$5,1)="B",AX67,MAX(AX67,G67))))</f>
        <v>8</v>
      </c>
      <c r="AU67" s="57" t="n">
        <f aca="false">IF(BR67=1,0,ROUNDUP(AT67/BQ67,0))</f>
        <v>0</v>
      </c>
      <c r="AV67" s="59" t="n">
        <f aca="false">IF(CD67&gt;0,CD67*MAX(1,AT67/V67),IF(BR67=1,IF(AT67&lt;=0,0,BS67*MAX(1,IF(G67&gt;0,AT67/G67,1))),IF(Q67&gt;0,AU67/Q67,0))/MAX(0.1,N(Parameter!$M$21)))</f>
        <v>0.03</v>
      </c>
      <c r="AW67" s="57" t="n">
        <f aca="false">AT67*F67</f>
        <v>3816</v>
      </c>
      <c r="AX67" s="57" t="n">
        <f aca="false">ROUNDUP(MAX(I67/IF(BV67&gt;0,BV67,MAX(0.1,N(Cockpit!$O$6))),BY67)/BQ67,0)*BQ67</f>
        <v>5</v>
      </c>
      <c r="AY67" s="58" t="n">
        <f aca="false">IF(AV67&gt;0,I67/AV67,-1)</f>
        <v>0</v>
      </c>
      <c r="AZ67" s="58" t="n">
        <f aca="false">IF(AND(OR(BU67="L1",BU67="L23"),AV67&gt;0),SUMIFS($AV$7:$AV$1576,$BU$7:$BU$1576,BU67,$AY$7:$AY$1576,"&gt;"&amp;AY67)+SUMIFS($AV$7:$AV$1576,$BU$7:$BU$1576,BU67,$AY$7:$AY$1576,AY67,$BO$7:$BO$1576,"&lt;="&amp;BO67),"")</f>
        <v>110.34479940734</v>
      </c>
      <c r="BA67" s="65" t="n">
        <f aca="false">IF(AZ67="",0,MAX(0,MIN(1,(IF(BU67="L1",Parameter!$E$5,Parameter!$E$6+Parameter!$E$7)-(AZ67-AV67))/AV67)))</f>
        <v>0</v>
      </c>
      <c r="BB67" s="55" t="str">
        <f aca="false">IF(AF67&lt;=0,"",IF(BU67="Aussen","Aussenlager",IF(BU67="-","Nicht im Lift",IF(AK67&gt;=1,"Lift",IF(AK67&lt;=0,"Aussenlager","teilweise")))))</f>
        <v>Lift</v>
      </c>
      <c r="BC67" s="55" t="str">
        <f aca="false">IF(AN67&lt;=0,"",IF(BU67="Aussen","Aussenlager",IF(BU67="-","Nicht im Lift",IF(AS67&gt;=1,"Lift",IF(AS67&lt;=0,"Aussenlager","teilweise")))))</f>
        <v>Aussenlager</v>
      </c>
      <c r="BD67" s="55" t="str">
        <f aca="false">IF(AV67&lt;=0,"",IF(BU67="Aussen","Aussenlager",IF(BU67="-","Nicht im Lift",IF(BA67&gt;=1,"Lift",IF(BA67&lt;=0,"Aussenlager","teilweise")))))</f>
        <v>Aussenlager</v>
      </c>
      <c r="BE67" s="55" t="str">
        <f aca="false">IF(A67="","",IF(BN67=1,"Neu; ","")&amp;IF(AND(BN67=0,BI67&lt;0),"negativer Bestand (Export "&amp;BI67&amp;"); ","")&amp;IF(I67&lt;=0,"Kein Verbrauch; ","")&amp;IF(CD67&gt;0,"Lift "&amp;U67&amp;" lt. Liftbericht (Fach "&amp;V67&amp;" Stk); ",IF(BR67=1,"Lose – Fläche geschätzt; ",""))&amp;IF(G67&gt;AP67,"Überbestand "&amp;ROUND(G67-AP67,0)&amp;" Stk / CHF "&amp;ROUND((G67-AP67)*F67,0)&amp;"; ","")&amp;IF(AND(BW67=1,BX67&lt;BY67),"MAX &lt; MB+LG; ","")&amp;IF(AND(CC67&gt;0,CB67*10&gt;CC67),"zu hoch für Tablar; ","")&amp;IF(AND(BN67=0,OR(BW67=1,Y67&lt;&gt;"",S67&lt;&gt;"",T67&lt;&gt;"",Z67&lt;&gt;"")),"manuell übersteuert; ","")&amp;IF(AND(BR67=0,Q67=0),"Gebinde unbekannt / Stellmass fehlt; ","")&amp;IF(AND(BR67=0,N(T67)&lt;=0,N(P67)&lt;=0),"Menge pro Gebinde fehlt (Ist = 1 Gebinde); ","")&amp;BM67)</f>
        <v>Kein Verbrauch; Lose – Fläche geschätzt; Überbestand 3 Stk / CHF 1431; </v>
      </c>
      <c r="BF67" s="55"/>
      <c r="BG67" s="55"/>
      <c r="BH67" s="62"/>
      <c r="BI67" s="57" t="n">
        <v>8</v>
      </c>
      <c r="BJ67" s="57" t="n">
        <v>0</v>
      </c>
      <c r="BK67" s="56" t="n">
        <v>3816</v>
      </c>
      <c r="BL67" s="57" t="n">
        <v>0</v>
      </c>
      <c r="BM67" s="55"/>
      <c r="BN67" s="60" t="n">
        <v>0</v>
      </c>
      <c r="BO67" s="60" t="n">
        <v>67</v>
      </c>
      <c r="BP67" s="55" t="str">
        <f aca="false">IF(S67&lt;&gt;"",UPPER(TRIM(S67)),IF(O67="","LOSE",O67))</f>
        <v>LOSE</v>
      </c>
      <c r="BQ67" s="57" t="n">
        <f aca="false">IF(BP67="LOSE",1,IF(N(T67)&gt;0,T67,IF(N(P67)&gt;0,P67,MAX(1,G67))))</f>
        <v>1</v>
      </c>
      <c r="BR67" s="60" t="n">
        <f aca="false">IF(BP67="LOSE",1,0)</f>
        <v>1</v>
      </c>
      <c r="BS67" s="59" t="n">
        <f aca="false">IF(BR67=0,0,IF(N(R67)&gt;0,R67,IFERROR(VLOOKUP(D67,Parameter!$A$35:$C$64,3,0)+0,0)))</f>
        <v>0.03</v>
      </c>
      <c r="BT67" s="55" t="n">
        <f aca="false">IF(Y67&lt;&gt;"",Y67,X67)</f>
        <v>2</v>
      </c>
      <c r="BU67" s="55" t="str">
        <f aca="false">IF(BT67=1,"L1",IF(OR(BT67=2,BT67=3),"L23",IF(BT67="Aussen","Aussen","-")))</f>
        <v>L23</v>
      </c>
      <c r="BV67" s="66" t="n">
        <f aca="false">IF(N(Z67)&gt;0,Z67,0)</f>
        <v>0</v>
      </c>
      <c r="BW67" s="60" t="n">
        <f aca="false">IF(ISNUMBER(AC67),1,0)</f>
        <v>0</v>
      </c>
      <c r="BX67" s="57" t="n">
        <f aca="false">N(AC67)</f>
        <v>0</v>
      </c>
      <c r="BY67" s="57" t="n">
        <f aca="false">N(L67)+N(M67)</f>
        <v>5</v>
      </c>
      <c r="BZ67" s="57" t="n">
        <f aca="false">ROUNDUP(G67/BQ67,0)</f>
        <v>8</v>
      </c>
      <c r="CA67" s="57" t="n">
        <f aca="false">ROUNDUP(BX67/BQ67,0)</f>
        <v>0</v>
      </c>
      <c r="CB67" s="60" t="n">
        <f aca="false">IF(BR67=1,0,IFERROR(VLOOKUP(BP67,'Gebinde-Kategorie'!$A$5:$M$45,5,0)+0,0))</f>
        <v>0</v>
      </c>
      <c r="CC67" s="60" t="n">
        <f aca="false">IFERROR(IF(OR(BT67=1,BT67=2,BT67=3),N(INDEX(Parameter!$I$5:$I$7,BT67)),0),0)</f>
        <v>0</v>
      </c>
      <c r="CD67" s="59" t="n">
        <f aca="false">IF(AND(Parameter!$B$21="Ja",ISNUMBER(U67),N(V67)&gt;0),IFERROR(N(INDEX(Parameter!$L$5:$L$7,U67))*INDEX(Parameter!$E$5:$E$7,U67)*V67/SUMIFS($V$7:$V$1576,$U$7:$U$1576,U67),0),0)</f>
        <v>0</v>
      </c>
    </row>
    <row r="68" customFormat="false" ht="15" hidden="false" customHeight="false" outlineLevel="0" collapsed="false">
      <c r="A68" s="55" t="s">
        <v>328</v>
      </c>
      <c r="B68" s="55" t="s">
        <v>322</v>
      </c>
      <c r="C68" s="55" t="s">
        <v>160</v>
      </c>
      <c r="D68" s="55" t="s">
        <v>168</v>
      </c>
      <c r="E68" s="55" t="s">
        <v>210</v>
      </c>
      <c r="F68" s="56" t="n">
        <v>758.09</v>
      </c>
      <c r="G68" s="57" t="n">
        <f aca="false">MAX(0,IF(AND(Parameter!$B$21="Ja",ISNUMBER(W68)),W68,IF(Parameter!$B$20="Jahresanfang 2025 + Export",BJ68+BI68,BI68)))</f>
        <v>5</v>
      </c>
      <c r="H68" s="57" t="n">
        <f aca="false">G68*F68</f>
        <v>3790.45</v>
      </c>
      <c r="I68" s="57" t="n">
        <f aca="false">BL68*Parameter!$B$18</f>
        <v>0</v>
      </c>
      <c r="J68" s="58" t="n">
        <v>0</v>
      </c>
      <c r="K68" s="59" t="n">
        <v>0</v>
      </c>
      <c r="L68" s="57" t="n">
        <v>0</v>
      </c>
      <c r="M68" s="57" t="n">
        <v>5</v>
      </c>
      <c r="N68" s="60" t="n">
        <v>9999</v>
      </c>
      <c r="O68" s="55" t="s">
        <v>163</v>
      </c>
      <c r="P68" s="57"/>
      <c r="Q68" s="60" t="n">
        <f aca="false">IF(BR68=1,0,IFERROR(VLOOKUP(BP68,'Gebinde-Kategorie'!$A$5:$M$45,13,0)+0,0))</f>
        <v>0</v>
      </c>
      <c r="R68" s="61"/>
      <c r="S68" s="62"/>
      <c r="T68" s="62"/>
      <c r="U68" s="55"/>
      <c r="V68" s="57"/>
      <c r="W68" s="57"/>
      <c r="X68" s="55" t="n">
        <f aca="false">IF(A68="","",IF(AND(Parameter!$B$21="Ja",ISNUMBER(U68)),U68,IF(IFERROR(VLOOKUP(D68,Parameter!$A$35:$C$64,2,0),"Nein")="2+3",IF(ISNUMBER(SEARCH("grosser Artikel",BM68)),2,IFERROR(VLOOKUP(BP68,Parameter!$F$35:$G$64,2,0),2)),IF(OR(IFERROR(VLOOKUP(D68,Parameter!$A$35:$C$64,2,0),"Nein")="Nein",IFERROR(VLOOKUP(D68,Parameter!$A$35:$C$64,2,0),"Nein")=""),"-",VLOOKUP(D68,Parameter!$A$35:$C$64,2,0)))))</f>
        <v>2</v>
      </c>
      <c r="Y68" s="62"/>
      <c r="Z68" s="63"/>
      <c r="AA68" s="57" t="n">
        <f aca="false">AP68</f>
        <v>5</v>
      </c>
      <c r="AB68" s="57" t="n">
        <f aca="false">MAX(AP68,G68)</f>
        <v>5</v>
      </c>
      <c r="AC68" s="64"/>
      <c r="AD68" s="57" t="n">
        <f aca="false">IF(LEFT(Cockpit!$C$5,1)="A",G68,IF(BW68=1,BX68,IF(LEFT(Cockpit!$C$5,1)="B",AH68,MAX(AH68,G68))))</f>
        <v>5</v>
      </c>
      <c r="AE68" s="57" t="n">
        <f aca="false">IF(BR68=1,0,ROUNDUP(AD68/BQ68,0))</f>
        <v>0</v>
      </c>
      <c r="AF68" s="59" t="n">
        <f aca="false">IF(CD68&gt;0,CD68*MAX(1,AD68/V68),IF(BR68=1,IF(AD68&lt;=0,0,BS68*MAX(1,IF(G68&gt;0,AD68/G68,1))),IF(Q68&gt;0,AE68/Q68,0))/MAX(0.1,N(Parameter!$M$21)))</f>
        <v>0.15</v>
      </c>
      <c r="AG68" s="57" t="n">
        <f aca="false">AD68*F68</f>
        <v>3790.45</v>
      </c>
      <c r="AH68" s="57" t="n">
        <f aca="false">ROUNDUP(MAX(I68/IF(BV68&gt;0,BV68,MAX(0.1,N(Cockpit!$C$6))),BY68)/BQ68,0)*BQ68</f>
        <v>5</v>
      </c>
      <c r="AI68" s="58" t="n">
        <f aca="false">IF(AF68&gt;0,I68/AF68,-1)</f>
        <v>0</v>
      </c>
      <c r="AJ68" s="58" t="n">
        <f aca="false">IF(AND(OR(BU68="L1",BU68="L23"),AF68&gt;0),SUMIFS($AF$7:$AF$1576,$BU$7:$BU$1576,BU68,$AI$7:$AI$1576,"&gt;"&amp;AI68)+SUMIFS($AF$7:$AF$1576,$BU$7:$BU$1576,BU68,$AI$7:$AI$1576,AI68,$BO$7:$BO$1576,"&lt;="&amp;BO68),"")</f>
        <v>37.7110432079997</v>
      </c>
      <c r="AK68" s="65" t="n">
        <f aca="false">IF(AJ68="",0,MAX(0,MIN(1,(IF(BU68="L1",Parameter!$E$5,Parameter!$E$6+Parameter!$E$7)-(AJ68-AF68))/AF68)))</f>
        <v>1</v>
      </c>
      <c r="AL68" s="57" t="n">
        <f aca="false">IF(LEFT(Cockpit!$I$5,1)="A",G68,IF(BW68=1,BX68,IF(LEFT(Cockpit!$I$5,1)="B",AP68,MAX(AP68,G68))))</f>
        <v>5</v>
      </c>
      <c r="AM68" s="57" t="n">
        <f aca="false">IF(BR68=1,0,ROUNDUP(AL68/BQ68,0))</f>
        <v>0</v>
      </c>
      <c r="AN68" s="59" t="n">
        <f aca="false">IF(CD68&gt;0,CD68*MAX(1,AL68/V68),IF(BR68=1,IF(AL68&lt;=0,0,BS68*MAX(1,IF(G68&gt;0,AL68/G68,1))),IF(Q68&gt;0,AM68/Q68,0))/MAX(0.1,N(Parameter!$M$21)))</f>
        <v>0.15</v>
      </c>
      <c r="AO68" s="57" t="n">
        <f aca="false">AL68*F68</f>
        <v>3790.45</v>
      </c>
      <c r="AP68" s="57" t="n">
        <f aca="false">ROUNDUP(MAX(I68/IF(BV68&gt;0,BV68,MAX(0.1,N(Cockpit!$I$6))),BY68)/BQ68,0)*BQ68</f>
        <v>5</v>
      </c>
      <c r="AQ68" s="58" t="n">
        <f aca="false">IF(AN68&gt;0,I68/AN68,-1)</f>
        <v>0</v>
      </c>
      <c r="AR68" s="58" t="n">
        <f aca="false">IF(AND(OR(BU68="L1",BU68="L23"),AN68&gt;0),SUMIFS($AN$7:$AN$1576,$BU$7:$BU$1576,BU68,$AQ$7:$AQ$1576,"&gt;"&amp;AQ68)+SUMIFS($AN$7:$AN$1576,$BU$7:$BU$1576,BU68,$AQ$7:$AQ$1576,AQ68,$BO$7:$BO$1576,"&lt;="&amp;BO68),"")</f>
        <v>120.435248957789</v>
      </c>
      <c r="AS68" s="65" t="n">
        <f aca="false">IF(AR68="",0,MAX(0,MIN(1,(IF(BU68="L1",Parameter!$E$5,Parameter!$E$6+Parameter!$E$7)-(AR68-AN68))/AN68)))</f>
        <v>0</v>
      </c>
      <c r="AT68" s="57" t="n">
        <f aca="false">IF(LEFT(Cockpit!$O$5,1)="A",G68,IF(BW68=1,BX68,IF(LEFT(Cockpit!$O$5,1)="B",AX68,MAX(AX68,G68))))</f>
        <v>5</v>
      </c>
      <c r="AU68" s="57" t="n">
        <f aca="false">IF(BR68=1,0,ROUNDUP(AT68/BQ68,0))</f>
        <v>0</v>
      </c>
      <c r="AV68" s="59" t="n">
        <f aca="false">IF(CD68&gt;0,CD68*MAX(1,AT68/V68),IF(BR68=1,IF(AT68&lt;=0,0,BS68*MAX(1,IF(G68&gt;0,AT68/G68,1))),IF(Q68&gt;0,AU68/Q68,0))/MAX(0.1,N(Parameter!$M$21)))</f>
        <v>0.15</v>
      </c>
      <c r="AW68" s="57" t="n">
        <f aca="false">AT68*F68</f>
        <v>3790.45</v>
      </c>
      <c r="AX68" s="57" t="n">
        <f aca="false">ROUNDUP(MAX(I68/IF(BV68&gt;0,BV68,MAX(0.1,N(Cockpit!$O$6))),BY68)/BQ68,0)*BQ68</f>
        <v>5</v>
      </c>
      <c r="AY68" s="58" t="n">
        <f aca="false">IF(AV68&gt;0,I68/AV68,-1)</f>
        <v>0</v>
      </c>
      <c r="AZ68" s="58" t="n">
        <f aca="false">IF(AND(OR(BU68="L1",BU68="L23"),AV68&gt;0),SUMIFS($AV$7:$AV$1576,$BU$7:$BU$1576,BU68,$AY$7:$AY$1576,"&gt;"&amp;AY68)+SUMIFS($AV$7:$AV$1576,$BU$7:$BU$1576,BU68,$AY$7:$AY$1576,AY68,$BO$7:$BO$1576,"&lt;="&amp;BO68),"")</f>
        <v>110.49479940734</v>
      </c>
      <c r="BA68" s="65" t="n">
        <f aca="false">IF(AZ68="",0,MAX(0,MIN(1,(IF(BU68="L1",Parameter!$E$5,Parameter!$E$6+Parameter!$E$7)-(AZ68-AV68))/AV68)))</f>
        <v>0</v>
      </c>
      <c r="BB68" s="55" t="str">
        <f aca="false">IF(AF68&lt;=0,"",IF(BU68="Aussen","Aussenlager",IF(BU68="-","Nicht im Lift",IF(AK68&gt;=1,"Lift",IF(AK68&lt;=0,"Aussenlager","teilweise")))))</f>
        <v>Lift</v>
      </c>
      <c r="BC68" s="55" t="str">
        <f aca="false">IF(AN68&lt;=0,"",IF(BU68="Aussen","Aussenlager",IF(BU68="-","Nicht im Lift",IF(AS68&gt;=1,"Lift",IF(AS68&lt;=0,"Aussenlager","teilweise")))))</f>
        <v>Aussenlager</v>
      </c>
      <c r="BD68" s="55" t="str">
        <f aca="false">IF(AV68&lt;=0,"",IF(BU68="Aussen","Aussenlager",IF(BU68="-","Nicht im Lift",IF(BA68&gt;=1,"Lift",IF(BA68&lt;=0,"Aussenlager","teilweise")))))</f>
        <v>Aussenlager</v>
      </c>
      <c r="BE68" s="55" t="str">
        <f aca="false">IF(A68="","",IF(BN68=1,"Neu; ","")&amp;IF(AND(BN68=0,BI68&lt;0),"negativer Bestand (Export "&amp;BI68&amp;"); ","")&amp;IF(I68&lt;=0,"Kein Verbrauch; ","")&amp;IF(CD68&gt;0,"Lift "&amp;U68&amp;" lt. Liftbericht (Fach "&amp;V68&amp;" Stk); ",IF(BR68=1,"Lose – Fläche geschätzt; ",""))&amp;IF(G68&gt;AP68,"Überbestand "&amp;ROUND(G68-AP68,0)&amp;" Stk / CHF "&amp;ROUND((G68-AP68)*F68,0)&amp;"; ","")&amp;IF(AND(BW68=1,BX68&lt;BY68),"MAX &lt; MB+LG; ","")&amp;IF(AND(CC68&gt;0,CB68*10&gt;CC68),"zu hoch für Tablar; ","")&amp;IF(AND(BN68=0,OR(BW68=1,Y68&lt;&gt;"",S68&lt;&gt;"",T68&lt;&gt;"",Z68&lt;&gt;"")),"manuell übersteuert; ","")&amp;IF(AND(BR68=0,Q68=0),"Gebinde unbekannt / Stellmass fehlt; ","")&amp;IF(AND(BR68=0,N(T68)&lt;=0,N(P68)&lt;=0),"Menge pro Gebinde fehlt (Ist = 1 Gebinde); ","")&amp;BM68)</f>
        <v>Kein Verbrauch; Lose – Fläche geschätzt; </v>
      </c>
      <c r="BF68" s="55"/>
      <c r="BG68" s="55"/>
      <c r="BH68" s="62"/>
      <c r="BI68" s="57" t="n">
        <v>5</v>
      </c>
      <c r="BJ68" s="57" t="n">
        <v>0</v>
      </c>
      <c r="BK68" s="56" t="n">
        <v>3790.45</v>
      </c>
      <c r="BL68" s="57" t="n">
        <v>0</v>
      </c>
      <c r="BM68" s="55"/>
      <c r="BN68" s="60" t="n">
        <v>0</v>
      </c>
      <c r="BO68" s="60" t="n">
        <v>68</v>
      </c>
      <c r="BP68" s="55" t="str">
        <f aca="false">IF(S68&lt;&gt;"",UPPER(TRIM(S68)),IF(O68="","LOSE",O68))</f>
        <v>LOSE</v>
      </c>
      <c r="BQ68" s="57" t="n">
        <f aca="false">IF(BP68="LOSE",1,IF(N(T68)&gt;0,T68,IF(N(P68)&gt;0,P68,MAX(1,G68))))</f>
        <v>1</v>
      </c>
      <c r="BR68" s="60" t="n">
        <f aca="false">IF(BP68="LOSE",1,0)</f>
        <v>1</v>
      </c>
      <c r="BS68" s="59" t="n">
        <f aca="false">IF(BR68=0,0,IF(N(R68)&gt;0,R68,IFERROR(VLOOKUP(D68,Parameter!$A$35:$C$64,3,0)+0,0)))</f>
        <v>0.15</v>
      </c>
      <c r="BT68" s="55" t="n">
        <f aca="false">IF(Y68&lt;&gt;"",Y68,X68)</f>
        <v>2</v>
      </c>
      <c r="BU68" s="55" t="str">
        <f aca="false">IF(BT68=1,"L1",IF(OR(BT68=2,BT68=3),"L23",IF(BT68="Aussen","Aussen","-")))</f>
        <v>L23</v>
      </c>
      <c r="BV68" s="66" t="n">
        <f aca="false">IF(N(Z68)&gt;0,Z68,0)</f>
        <v>0</v>
      </c>
      <c r="BW68" s="60" t="n">
        <f aca="false">IF(ISNUMBER(AC68),1,0)</f>
        <v>0</v>
      </c>
      <c r="BX68" s="57" t="n">
        <f aca="false">N(AC68)</f>
        <v>0</v>
      </c>
      <c r="BY68" s="57" t="n">
        <f aca="false">N(L68)+N(M68)</f>
        <v>5</v>
      </c>
      <c r="BZ68" s="57" t="n">
        <f aca="false">ROUNDUP(G68/BQ68,0)</f>
        <v>5</v>
      </c>
      <c r="CA68" s="57" t="n">
        <f aca="false">ROUNDUP(BX68/BQ68,0)</f>
        <v>0</v>
      </c>
      <c r="CB68" s="60" t="n">
        <f aca="false">IF(BR68=1,0,IFERROR(VLOOKUP(BP68,'Gebinde-Kategorie'!$A$5:$M$45,5,0)+0,0))</f>
        <v>0</v>
      </c>
      <c r="CC68" s="60" t="n">
        <f aca="false">IFERROR(IF(OR(BT68=1,BT68=2,BT68=3),N(INDEX(Parameter!$I$5:$I$7,BT68)),0),0)</f>
        <v>0</v>
      </c>
      <c r="CD68" s="59" t="n">
        <f aca="false">IF(AND(Parameter!$B$21="Ja",ISNUMBER(U68),N(V68)&gt;0),IFERROR(N(INDEX(Parameter!$L$5:$L$7,U68))*INDEX(Parameter!$E$5:$E$7,U68)*V68/SUMIFS($V$7:$V$1576,$U$7:$U$1576,U68),0),0)</f>
        <v>0</v>
      </c>
    </row>
    <row r="69" customFormat="false" ht="15" hidden="false" customHeight="false" outlineLevel="0" collapsed="false">
      <c r="A69" s="55" t="s">
        <v>329</v>
      </c>
      <c r="B69" s="55" t="s">
        <v>330</v>
      </c>
      <c r="C69" s="55" t="s">
        <v>160</v>
      </c>
      <c r="D69" s="55" t="s">
        <v>168</v>
      </c>
      <c r="E69" s="55" t="s">
        <v>210</v>
      </c>
      <c r="F69" s="56" t="n">
        <v>223.35</v>
      </c>
      <c r="G69" s="57" t="n">
        <f aca="false">MAX(0,IF(AND(Parameter!$B$21="Ja",ISNUMBER(W69)),W69,IF(Parameter!$B$20="Jahresanfang 2025 + Export",BJ69+BI69,BI69)))</f>
        <v>15</v>
      </c>
      <c r="H69" s="57" t="n">
        <f aca="false">G69*F69</f>
        <v>3350.25</v>
      </c>
      <c r="I69" s="57" t="n">
        <f aca="false">BL69*Parameter!$B$18</f>
        <v>30</v>
      </c>
      <c r="J69" s="58" t="n">
        <v>17.5</v>
      </c>
      <c r="K69" s="59" t="n">
        <v>1.71428571428571</v>
      </c>
      <c r="L69" s="57" t="n">
        <v>2</v>
      </c>
      <c r="M69" s="57" t="n">
        <v>15</v>
      </c>
      <c r="N69" s="60" t="n">
        <v>21</v>
      </c>
      <c r="O69" s="55" t="s">
        <v>251</v>
      </c>
      <c r="P69" s="57" t="n">
        <v>28</v>
      </c>
      <c r="Q69" s="60" t="n">
        <f aca="false">IF(BR69=1,0,IFERROR(VLOOKUP(BP69,'Gebinde-Kategorie'!$A$5:$M$45,13,0)+0,0))</f>
        <v>6</v>
      </c>
      <c r="R69" s="61"/>
      <c r="S69" s="62"/>
      <c r="T69" s="62"/>
      <c r="U69" s="55"/>
      <c r="V69" s="57"/>
      <c r="W69" s="57"/>
      <c r="X69" s="55" t="n">
        <f aca="false">IF(A69="","",IF(AND(Parameter!$B$21="Ja",ISNUMBER(U69)),U69,IF(IFERROR(VLOOKUP(D69,Parameter!$A$35:$C$64,2,0),"Nein")="2+3",IF(ISNUMBER(SEARCH("grosser Artikel",BM69)),2,IFERROR(VLOOKUP(BP69,Parameter!$F$35:$G$64,2,0),2)),IF(OR(IFERROR(VLOOKUP(D69,Parameter!$A$35:$C$64,2,0),"Nein")="Nein",IFERROR(VLOOKUP(D69,Parameter!$A$35:$C$64,2,0),"Nein")=""),"-",VLOOKUP(D69,Parameter!$A$35:$C$64,2,0)))))</f>
        <v>2</v>
      </c>
      <c r="Y69" s="62"/>
      <c r="Z69" s="63"/>
      <c r="AA69" s="57" t="n">
        <f aca="false">AP69</f>
        <v>28</v>
      </c>
      <c r="AB69" s="57" t="n">
        <f aca="false">MAX(AP69,G69)</f>
        <v>28</v>
      </c>
      <c r="AC69" s="64"/>
      <c r="AD69" s="57" t="n">
        <f aca="false">IF(LEFT(Cockpit!$C$5,1)="A",G69,IF(BW69=1,BX69,IF(LEFT(Cockpit!$C$5,1)="B",AH69,MAX(AH69,G69))))</f>
        <v>15</v>
      </c>
      <c r="AE69" s="57" t="n">
        <f aca="false">IF(BR69=1,0,ROUNDUP(AD69/BQ69,0))</f>
        <v>1</v>
      </c>
      <c r="AF69" s="59" t="n">
        <f aca="false">IF(CD69&gt;0,CD69*MAX(1,AD69/V69),IF(BR69=1,IF(AD69&lt;=0,0,BS69*MAX(1,IF(G69&gt;0,AD69/G69,1))),IF(Q69&gt;0,AE69/Q69,0))/MAX(0.1,N(Parameter!$M$21)))</f>
        <v>0.166666666666667</v>
      </c>
      <c r="AG69" s="57" t="n">
        <f aca="false">AD69*F69</f>
        <v>3350.25</v>
      </c>
      <c r="AH69" s="57" t="n">
        <f aca="false">ROUNDUP(MAX(I69/IF(BV69&gt;0,BV69,MAX(0.1,N(Cockpit!$C$6))),BY69)/BQ69,0)*BQ69</f>
        <v>28</v>
      </c>
      <c r="AI69" s="58" t="n">
        <f aca="false">IF(AF69&gt;0,I69/AF69,-1)</f>
        <v>180</v>
      </c>
      <c r="AJ69" s="58" t="n">
        <f aca="false">IF(AND(OR(BU69="L1",BU69="L23"),AF69&gt;0),SUMIFS($AF$7:$AF$1576,$BU$7:$BU$1576,BU69,$AI$7:$AI$1576,"&gt;"&amp;AI69)+SUMIFS($AF$7:$AF$1576,$BU$7:$BU$1576,BU69,$AI$7:$AI$1576,AI69,$BO$7:$BO$1576,"&lt;="&amp;BO69),"")</f>
        <v>17.5660160129725</v>
      </c>
      <c r="AK69" s="65" t="n">
        <f aca="false">IF(AJ69="",0,MAX(0,MIN(1,(IF(BU69="L1",Parameter!$E$5,Parameter!$E$6+Parameter!$E$7)-(AJ69-AF69))/AF69)))</f>
        <v>1</v>
      </c>
      <c r="AL69" s="57" t="n">
        <f aca="false">IF(LEFT(Cockpit!$I$5,1)="A",G69,IF(BW69=1,BX69,IF(LEFT(Cockpit!$I$5,1)="B",AP69,MAX(AP69,G69))))</f>
        <v>28</v>
      </c>
      <c r="AM69" s="57" t="n">
        <f aca="false">IF(BR69=1,0,ROUNDUP(AL69/BQ69,0))</f>
        <v>1</v>
      </c>
      <c r="AN69" s="59" t="n">
        <f aca="false">IF(CD69&gt;0,CD69*MAX(1,AL69/V69),IF(BR69=1,IF(AL69&lt;=0,0,BS69*MAX(1,IF(G69&gt;0,AL69/G69,1))),IF(Q69&gt;0,AM69/Q69,0))/MAX(0.1,N(Parameter!$M$21)))</f>
        <v>0.166666666666667</v>
      </c>
      <c r="AO69" s="57" t="n">
        <f aca="false">AL69*F69</f>
        <v>6253.8</v>
      </c>
      <c r="AP69" s="57" t="n">
        <f aca="false">ROUNDUP(MAX(I69/IF(BV69&gt;0,BV69,MAX(0.1,N(Cockpit!$I$6))),BY69)/BQ69,0)*BQ69</f>
        <v>28</v>
      </c>
      <c r="AQ69" s="58" t="n">
        <f aca="false">IF(AN69&gt;0,I69/AN69,-1)</f>
        <v>180</v>
      </c>
      <c r="AR69" s="58" t="n">
        <f aca="false">IF(AND(OR(BU69="L1",BU69="L23"),AN69&gt;0),SUMIFS($AN$7:$AN$1576,$BU$7:$BU$1576,BU69,$AQ$7:$AQ$1576,"&gt;"&amp;AQ69)+SUMIFS($AN$7:$AN$1576,$BU$7:$BU$1576,BU69,$AQ$7:$AQ$1576,AQ69,$BO$7:$BO$1576,"&lt;="&amp;BO69),"")</f>
        <v>52.5700559950672</v>
      </c>
      <c r="AS69" s="65" t="n">
        <f aca="false">IF(AR69="",0,MAX(0,MIN(1,(IF(BU69="L1",Parameter!$E$5,Parameter!$E$6+Parameter!$E$7)-(AR69-AN69))/AN69)))</f>
        <v>1</v>
      </c>
      <c r="AT69" s="57" t="n">
        <f aca="false">IF(LEFT(Cockpit!$O$5,1)="A",G69,IF(BW69=1,BX69,IF(LEFT(Cockpit!$O$5,1)="B",AX69,MAX(AX69,G69))))</f>
        <v>28</v>
      </c>
      <c r="AU69" s="57" t="n">
        <f aca="false">IF(BR69=1,0,ROUNDUP(AT69/BQ69,0))</f>
        <v>1</v>
      </c>
      <c r="AV69" s="59" t="n">
        <f aca="false">IF(CD69&gt;0,CD69*MAX(1,AT69/V69),IF(BR69=1,IF(AT69&lt;=0,0,BS69*MAX(1,IF(G69&gt;0,AT69/G69,1))),IF(Q69&gt;0,AU69/Q69,0))/MAX(0.1,N(Parameter!$M$21)))</f>
        <v>0.166666666666667</v>
      </c>
      <c r="AW69" s="57" t="n">
        <f aca="false">AT69*F69</f>
        <v>6253.8</v>
      </c>
      <c r="AX69" s="57" t="n">
        <f aca="false">ROUNDUP(MAX(I69/IF(BV69&gt;0,BV69,MAX(0.1,N(Cockpit!$O$6))),BY69)/BQ69,0)*BQ69</f>
        <v>28</v>
      </c>
      <c r="AY69" s="58" t="n">
        <f aca="false">IF(AV69&gt;0,I69/AV69,-1)</f>
        <v>180</v>
      </c>
      <c r="AZ69" s="58" t="n">
        <f aca="false">IF(AND(OR(BU69="L1",BU69="L23"),AV69&gt;0),SUMIFS($AV$7:$AV$1576,$BU$7:$BU$1576,BU69,$AY$7:$AY$1576,"&gt;"&amp;AY69)+SUMIFS($AV$7:$AV$1576,$BU$7:$BU$1576,BU69,$AY$7:$AY$1576,AY69,$BO$7:$BO$1576,"&lt;="&amp;BO69),"")</f>
        <v>48.4520306870418</v>
      </c>
      <c r="BA69" s="65" t="n">
        <f aca="false">IF(AZ69="",0,MAX(0,MIN(1,(IF(BU69="L1",Parameter!$E$5,Parameter!$E$6+Parameter!$E$7)-(AZ69-AV69))/AV69)))</f>
        <v>1</v>
      </c>
      <c r="BB69" s="55" t="str">
        <f aca="false">IF(AF69&lt;=0,"",IF(BU69="Aussen","Aussenlager",IF(BU69="-","Nicht im Lift",IF(AK69&gt;=1,"Lift",IF(AK69&lt;=0,"Aussenlager","teilweise")))))</f>
        <v>Lift</v>
      </c>
      <c r="BC69" s="55" t="str">
        <f aca="false">IF(AN69&lt;=0,"",IF(BU69="Aussen","Aussenlager",IF(BU69="-","Nicht im Lift",IF(AS69&gt;=1,"Lift",IF(AS69&lt;=0,"Aussenlager","teilweise")))))</f>
        <v>Lift</v>
      </c>
      <c r="BD69" s="55" t="str">
        <f aca="false">IF(AV69&lt;=0,"",IF(BU69="Aussen","Aussenlager",IF(BU69="-","Nicht im Lift",IF(BA69&gt;=1,"Lift",IF(BA69&lt;=0,"Aussenlager","teilweise")))))</f>
        <v>Lift</v>
      </c>
      <c r="BE69" s="55" t="str">
        <f aca="false">IF(A69="","",IF(BN69=1,"Neu; ","")&amp;IF(AND(BN69=0,BI69&lt;0),"negativer Bestand (Export "&amp;BI69&amp;"); ","")&amp;IF(I69&lt;=0,"Kein Verbrauch; ","")&amp;IF(CD69&gt;0,"Lift "&amp;U69&amp;" lt. Liftbericht (Fach "&amp;V69&amp;" Stk); ",IF(BR69=1,"Lose – Fläche geschätzt; ",""))&amp;IF(G69&gt;AP69,"Überbestand "&amp;ROUND(G69-AP69,0)&amp;" Stk / CHF "&amp;ROUND((G69-AP69)*F69,0)&amp;"; ","")&amp;IF(AND(BW69=1,BX69&lt;BY69),"MAX &lt; MB+LG; ","")&amp;IF(AND(CC69&gt;0,CB69*10&gt;CC69),"zu hoch für Tablar; ","")&amp;IF(AND(BN69=0,OR(BW69=1,Y69&lt;&gt;"",S69&lt;&gt;"",T69&lt;&gt;"",Z69&lt;&gt;"")),"manuell übersteuert; ","")&amp;IF(AND(BR69=0,Q69=0),"Gebinde unbekannt / Stellmass fehlt; ","")&amp;IF(AND(BR69=0,N(T69)&lt;=0,N(P69)&lt;=0),"Menge pro Gebinde fehlt (Ist = 1 Gebinde); ","")&amp;BM69)</f>
        <v/>
      </c>
      <c r="BF69" s="55"/>
      <c r="BG69" s="55"/>
      <c r="BH69" s="62"/>
      <c r="BI69" s="57" t="n">
        <v>15</v>
      </c>
      <c r="BJ69" s="57" t="n">
        <v>10</v>
      </c>
      <c r="BK69" s="56" t="n">
        <v>3779.35000000001</v>
      </c>
      <c r="BL69" s="57" t="n">
        <v>30</v>
      </c>
      <c r="BM69" s="55"/>
      <c r="BN69" s="60" t="n">
        <v>0</v>
      </c>
      <c r="BO69" s="60" t="n">
        <v>69</v>
      </c>
      <c r="BP69" s="55" t="str">
        <f aca="false">IF(S69&lt;&gt;"",UPPER(TRIM(S69)),IF(O69="","LOSE",O69))</f>
        <v>S72</v>
      </c>
      <c r="BQ69" s="57" t="n">
        <f aca="false">IF(BP69="LOSE",1,IF(N(T69)&gt;0,T69,IF(N(P69)&gt;0,P69,MAX(1,G69))))</f>
        <v>28</v>
      </c>
      <c r="BR69" s="60" t="n">
        <f aca="false">IF(BP69="LOSE",1,0)</f>
        <v>0</v>
      </c>
      <c r="BS69" s="59" t="n">
        <f aca="false">IF(BR69=0,0,IF(N(R69)&gt;0,R69,IFERROR(VLOOKUP(D69,Parameter!$A$35:$C$64,3,0)+0,0)))</f>
        <v>0</v>
      </c>
      <c r="BT69" s="55" t="n">
        <f aca="false">IF(Y69&lt;&gt;"",Y69,X69)</f>
        <v>2</v>
      </c>
      <c r="BU69" s="55" t="str">
        <f aca="false">IF(BT69=1,"L1",IF(OR(BT69=2,BT69=3),"L23",IF(BT69="Aussen","Aussen","-")))</f>
        <v>L23</v>
      </c>
      <c r="BV69" s="66" t="n">
        <f aca="false">IF(N(Z69)&gt;0,Z69,0)</f>
        <v>0</v>
      </c>
      <c r="BW69" s="60" t="n">
        <f aca="false">IF(ISNUMBER(AC69),1,0)</f>
        <v>0</v>
      </c>
      <c r="BX69" s="57" t="n">
        <f aca="false">N(AC69)</f>
        <v>0</v>
      </c>
      <c r="BY69" s="57" t="n">
        <f aca="false">N(L69)+N(M69)</f>
        <v>17</v>
      </c>
      <c r="BZ69" s="57" t="n">
        <f aca="false">ROUNDUP(G69/BQ69,0)</f>
        <v>1</v>
      </c>
      <c r="CA69" s="57" t="n">
        <f aca="false">ROUNDUP(BX69/BQ69,0)</f>
        <v>0</v>
      </c>
      <c r="CB69" s="60" t="n">
        <f aca="false">IF(BR69=1,0,IFERROR(VLOOKUP(BP69,'Gebinde-Kategorie'!$A$5:$M$45,5,0)+0,0))</f>
        <v>40</v>
      </c>
      <c r="CC69" s="60" t="n">
        <f aca="false">IFERROR(IF(OR(BT69=1,BT69=2,BT69=3),N(INDEX(Parameter!$I$5:$I$7,BT69)),0),0)</f>
        <v>0</v>
      </c>
      <c r="CD69" s="59" t="n">
        <f aca="false">IF(AND(Parameter!$B$21="Ja",ISNUMBER(U69),N(V69)&gt;0),IFERROR(N(INDEX(Parameter!$L$5:$L$7,U69))*INDEX(Parameter!$E$5:$E$7,U69)*V69/SUMIFS($V$7:$V$1576,$U$7:$U$1576,U69),0),0)</f>
        <v>0</v>
      </c>
    </row>
    <row r="70" customFormat="false" ht="15" hidden="false" customHeight="false" outlineLevel="0" collapsed="false">
      <c r="A70" s="55" t="s">
        <v>331</v>
      </c>
      <c r="B70" s="55" t="s">
        <v>332</v>
      </c>
      <c r="C70" s="55" t="s">
        <v>160</v>
      </c>
      <c r="D70" s="55" t="s">
        <v>168</v>
      </c>
      <c r="E70" s="55" t="s">
        <v>210</v>
      </c>
      <c r="F70" s="56" t="n">
        <v>1842</v>
      </c>
      <c r="G70" s="57" t="n">
        <f aca="false">MAX(0,IF(AND(Parameter!$B$21="Ja",ISNUMBER(W70)),W70,IF(Parameter!$B$20="Jahresanfang 2025 + Export",BJ70+BI70,BI70)))</f>
        <v>2</v>
      </c>
      <c r="H70" s="57" t="n">
        <f aca="false">G70*F70</f>
        <v>3684</v>
      </c>
      <c r="I70" s="57" t="n">
        <f aca="false">BL70*Parameter!$B$18</f>
        <v>0</v>
      </c>
      <c r="J70" s="58" t="n">
        <v>1</v>
      </c>
      <c r="K70" s="59" t="n">
        <v>0</v>
      </c>
      <c r="L70" s="57" t="n">
        <v>0</v>
      </c>
      <c r="M70" s="57" t="n">
        <v>1</v>
      </c>
      <c r="N70" s="60" t="n">
        <v>70</v>
      </c>
      <c r="O70" s="55" t="s">
        <v>293</v>
      </c>
      <c r="P70" s="57" t="n">
        <v>2</v>
      </c>
      <c r="Q70" s="60" t="n">
        <f aca="false">IF(BR70=1,0,IFERROR(VLOOKUP(BP70,'Gebinde-Kategorie'!$A$5:$M$45,13,0)+0,0))</f>
        <v>26</v>
      </c>
      <c r="R70" s="61"/>
      <c r="S70" s="62"/>
      <c r="T70" s="62"/>
      <c r="U70" s="55"/>
      <c r="V70" s="57"/>
      <c r="W70" s="57"/>
      <c r="X70" s="55" t="n">
        <f aca="false">IF(A70="","",IF(AND(Parameter!$B$21="Ja",ISNUMBER(U70)),U70,IF(IFERROR(VLOOKUP(D70,Parameter!$A$35:$C$64,2,0),"Nein")="2+3",IF(ISNUMBER(SEARCH("grosser Artikel",BM70)),2,IFERROR(VLOOKUP(BP70,Parameter!$F$35:$G$64,2,0),2)),IF(OR(IFERROR(VLOOKUP(D70,Parameter!$A$35:$C$64,2,0),"Nein")="Nein",IFERROR(VLOOKUP(D70,Parameter!$A$35:$C$64,2,0),"Nein")=""),"-",VLOOKUP(D70,Parameter!$A$35:$C$64,2,0)))))</f>
        <v>3</v>
      </c>
      <c r="Y70" s="62"/>
      <c r="Z70" s="63"/>
      <c r="AA70" s="57" t="n">
        <f aca="false">AP70</f>
        <v>2</v>
      </c>
      <c r="AB70" s="57" t="n">
        <f aca="false">MAX(AP70,G70)</f>
        <v>2</v>
      </c>
      <c r="AC70" s="64"/>
      <c r="AD70" s="57" t="n">
        <f aca="false">IF(LEFT(Cockpit!$C$5,1)="A",G70,IF(BW70=1,BX70,IF(LEFT(Cockpit!$C$5,1)="B",AH70,MAX(AH70,G70))))</f>
        <v>2</v>
      </c>
      <c r="AE70" s="57" t="n">
        <f aca="false">IF(BR70=1,0,ROUNDUP(AD70/BQ70,0))</f>
        <v>1</v>
      </c>
      <c r="AF70" s="59" t="n">
        <f aca="false">IF(CD70&gt;0,CD70*MAX(1,AD70/V70),IF(BR70=1,IF(AD70&lt;=0,0,BS70*MAX(1,IF(G70&gt;0,AD70/G70,1))),IF(Q70&gt;0,AE70/Q70,0))/MAX(0.1,N(Parameter!$M$21)))</f>
        <v>0.0384615384615385</v>
      </c>
      <c r="AG70" s="57" t="n">
        <f aca="false">AD70*F70</f>
        <v>3684</v>
      </c>
      <c r="AH70" s="57" t="n">
        <f aca="false">ROUNDUP(MAX(I70/IF(BV70&gt;0,BV70,MAX(0.1,N(Cockpit!$C$6))),BY70)/BQ70,0)*BQ70</f>
        <v>2</v>
      </c>
      <c r="AI70" s="58" t="n">
        <f aca="false">IF(AF70&gt;0,I70/AF70,-1)</f>
        <v>0</v>
      </c>
      <c r="AJ70" s="58" t="n">
        <f aca="false">IF(AND(OR(BU70="L1",BU70="L23"),AF70&gt;0),SUMIFS($AF$7:$AF$1576,$BU$7:$BU$1576,BU70,$AI$7:$AI$1576,"&gt;"&amp;AI70)+SUMIFS($AF$7:$AF$1576,$BU$7:$BU$1576,BU70,$AI$7:$AI$1576,AI70,$BO$7:$BO$1576,"&lt;="&amp;BO70),"")</f>
        <v>37.7495047464613</v>
      </c>
      <c r="AK70" s="65" t="n">
        <f aca="false">IF(AJ70="",0,MAX(0,MIN(1,(IF(BU70="L1",Parameter!$E$5,Parameter!$E$6+Parameter!$E$7)-(AJ70-AF70))/AF70)))</f>
        <v>1</v>
      </c>
      <c r="AL70" s="57" t="n">
        <f aca="false">IF(LEFT(Cockpit!$I$5,1)="A",G70,IF(BW70=1,BX70,IF(LEFT(Cockpit!$I$5,1)="B",AP70,MAX(AP70,G70))))</f>
        <v>2</v>
      </c>
      <c r="AM70" s="57" t="n">
        <f aca="false">IF(BR70=1,0,ROUNDUP(AL70/BQ70,0))</f>
        <v>1</v>
      </c>
      <c r="AN70" s="59" t="n">
        <f aca="false">IF(CD70&gt;0,CD70*MAX(1,AL70/V70),IF(BR70=1,IF(AL70&lt;=0,0,BS70*MAX(1,IF(G70&gt;0,AL70/G70,1))),IF(Q70&gt;0,AM70/Q70,0))/MAX(0.1,N(Parameter!$M$21)))</f>
        <v>0.0384615384615385</v>
      </c>
      <c r="AO70" s="57" t="n">
        <f aca="false">AL70*F70</f>
        <v>3684</v>
      </c>
      <c r="AP70" s="57" t="n">
        <f aca="false">ROUNDUP(MAX(I70/IF(BV70&gt;0,BV70,MAX(0.1,N(Cockpit!$I$6))),BY70)/BQ70,0)*BQ70</f>
        <v>2</v>
      </c>
      <c r="AQ70" s="58" t="n">
        <f aca="false">IF(AN70&gt;0,I70/AN70,-1)</f>
        <v>0</v>
      </c>
      <c r="AR70" s="58" t="n">
        <f aca="false">IF(AND(OR(BU70="L1",BU70="L23"),AN70&gt;0),SUMIFS($AN$7:$AN$1576,$BU$7:$BU$1576,BU70,$AQ$7:$AQ$1576,"&gt;"&amp;AQ70)+SUMIFS($AN$7:$AN$1576,$BU$7:$BU$1576,BU70,$AQ$7:$AQ$1576,AQ70,$BO$7:$BO$1576,"&lt;="&amp;BO70),"")</f>
        <v>120.473710496251</v>
      </c>
      <c r="AS70" s="65" t="n">
        <f aca="false">IF(AR70="",0,MAX(0,MIN(1,(IF(BU70="L1",Parameter!$E$5,Parameter!$E$6+Parameter!$E$7)-(AR70-AN70))/AN70)))</f>
        <v>0</v>
      </c>
      <c r="AT70" s="57" t="n">
        <f aca="false">IF(LEFT(Cockpit!$O$5,1)="A",G70,IF(BW70=1,BX70,IF(LEFT(Cockpit!$O$5,1)="B",AX70,MAX(AX70,G70))))</f>
        <v>2</v>
      </c>
      <c r="AU70" s="57" t="n">
        <f aca="false">IF(BR70=1,0,ROUNDUP(AT70/BQ70,0))</f>
        <v>1</v>
      </c>
      <c r="AV70" s="59" t="n">
        <f aca="false">IF(CD70&gt;0,CD70*MAX(1,AT70/V70),IF(BR70=1,IF(AT70&lt;=0,0,BS70*MAX(1,IF(G70&gt;0,AT70/G70,1))),IF(Q70&gt;0,AU70/Q70,0))/MAX(0.1,N(Parameter!$M$21)))</f>
        <v>0.0384615384615385</v>
      </c>
      <c r="AW70" s="57" t="n">
        <f aca="false">AT70*F70</f>
        <v>3684</v>
      </c>
      <c r="AX70" s="57" t="n">
        <f aca="false">ROUNDUP(MAX(I70/IF(BV70&gt;0,BV70,MAX(0.1,N(Cockpit!$O$6))),BY70)/BQ70,0)*BQ70</f>
        <v>2</v>
      </c>
      <c r="AY70" s="58" t="n">
        <f aca="false">IF(AV70&gt;0,I70/AV70,-1)</f>
        <v>0</v>
      </c>
      <c r="AZ70" s="58" t="n">
        <f aca="false">IF(AND(OR(BU70="L1",BU70="L23"),AV70&gt;0),SUMIFS($AV$7:$AV$1576,$BU$7:$BU$1576,BU70,$AY$7:$AY$1576,"&gt;"&amp;AY70)+SUMIFS($AV$7:$AV$1576,$BU$7:$BU$1576,BU70,$AY$7:$AY$1576,AY70,$BO$7:$BO$1576,"&lt;="&amp;BO70),"")</f>
        <v>110.533260945801</v>
      </c>
      <c r="BA70" s="65" t="n">
        <f aca="false">IF(AZ70="",0,MAX(0,MIN(1,(IF(BU70="L1",Parameter!$E$5,Parameter!$E$6+Parameter!$E$7)-(AZ70-AV70))/AV70)))</f>
        <v>0</v>
      </c>
      <c r="BB70" s="55" t="str">
        <f aca="false">IF(AF70&lt;=0,"",IF(BU70="Aussen","Aussenlager",IF(BU70="-","Nicht im Lift",IF(AK70&gt;=1,"Lift",IF(AK70&lt;=0,"Aussenlager","teilweise")))))</f>
        <v>Lift</v>
      </c>
      <c r="BC70" s="55" t="str">
        <f aca="false">IF(AN70&lt;=0,"",IF(BU70="Aussen","Aussenlager",IF(BU70="-","Nicht im Lift",IF(AS70&gt;=1,"Lift",IF(AS70&lt;=0,"Aussenlager","teilweise")))))</f>
        <v>Aussenlager</v>
      </c>
      <c r="BD70" s="55" t="str">
        <f aca="false">IF(AV70&lt;=0,"",IF(BU70="Aussen","Aussenlager",IF(BU70="-","Nicht im Lift",IF(BA70&gt;=1,"Lift",IF(BA70&lt;=0,"Aussenlager","teilweise")))))</f>
        <v>Aussenlager</v>
      </c>
      <c r="BE70" s="55" t="str">
        <f aca="false">IF(A70="","",IF(BN70=1,"Neu; ","")&amp;IF(AND(BN70=0,BI70&lt;0),"negativer Bestand (Export "&amp;BI70&amp;"); ","")&amp;IF(I70&lt;=0,"Kein Verbrauch; ","")&amp;IF(CD70&gt;0,"Lift "&amp;U70&amp;" lt. Liftbericht (Fach "&amp;V70&amp;" Stk); ",IF(BR70=1,"Lose – Fläche geschätzt; ",""))&amp;IF(G70&gt;AP70,"Überbestand "&amp;ROUND(G70-AP70,0)&amp;" Stk / CHF "&amp;ROUND((G70-AP70)*F70,0)&amp;"; ","")&amp;IF(AND(BW70=1,BX70&lt;BY70),"MAX &lt; MB+LG; ","")&amp;IF(AND(CC70&gt;0,CB70*10&gt;CC70),"zu hoch für Tablar; ","")&amp;IF(AND(BN70=0,OR(BW70=1,Y70&lt;&gt;"",S70&lt;&gt;"",T70&lt;&gt;"",Z70&lt;&gt;"")),"manuell übersteuert; ","")&amp;IF(AND(BR70=0,Q70=0),"Gebinde unbekannt / Stellmass fehlt; ","")&amp;IF(AND(BR70=0,N(T70)&lt;=0,N(P70)&lt;=0),"Menge pro Gebinde fehlt (Ist = 1 Gebinde); ","")&amp;BM70)</f>
        <v>Kein Verbrauch; </v>
      </c>
      <c r="BF70" s="55"/>
      <c r="BG70" s="55"/>
      <c r="BH70" s="62"/>
      <c r="BI70" s="57" t="n">
        <v>2</v>
      </c>
      <c r="BJ70" s="57" t="n">
        <v>0</v>
      </c>
      <c r="BK70" s="56" t="n">
        <v>3684</v>
      </c>
      <c r="BL70" s="57" t="n">
        <v>0</v>
      </c>
      <c r="BM70" s="55"/>
      <c r="BN70" s="60" t="n">
        <v>0</v>
      </c>
      <c r="BO70" s="60" t="n">
        <v>70</v>
      </c>
      <c r="BP70" s="55" t="str">
        <f aca="false">IF(S70&lt;&gt;"",UPPER(TRIM(S70)),IF(O70="","LOSE",O70))</f>
        <v>S51</v>
      </c>
      <c r="BQ70" s="57" t="n">
        <f aca="false">IF(BP70="LOSE",1,IF(N(T70)&gt;0,T70,IF(N(P70)&gt;0,P70,MAX(1,G70))))</f>
        <v>2</v>
      </c>
      <c r="BR70" s="60" t="n">
        <f aca="false">IF(BP70="LOSE",1,0)</f>
        <v>0</v>
      </c>
      <c r="BS70" s="59" t="n">
        <f aca="false">IF(BR70=0,0,IF(N(R70)&gt;0,R70,IFERROR(VLOOKUP(D70,Parameter!$A$35:$C$64,3,0)+0,0)))</f>
        <v>0</v>
      </c>
      <c r="BT70" s="55" t="n">
        <f aca="false">IF(Y70&lt;&gt;"",Y70,X70)</f>
        <v>3</v>
      </c>
      <c r="BU70" s="55" t="str">
        <f aca="false">IF(BT70=1,"L1",IF(OR(BT70=2,BT70=3),"L23",IF(BT70="Aussen","Aussen","-")))</f>
        <v>L23</v>
      </c>
      <c r="BV70" s="66" t="n">
        <f aca="false">IF(N(Z70)&gt;0,Z70,0)</f>
        <v>0</v>
      </c>
      <c r="BW70" s="60" t="n">
        <f aca="false">IF(ISNUMBER(AC70),1,0)</f>
        <v>0</v>
      </c>
      <c r="BX70" s="57" t="n">
        <f aca="false">N(AC70)</f>
        <v>0</v>
      </c>
      <c r="BY70" s="57" t="n">
        <f aca="false">N(L70)+N(M70)</f>
        <v>1</v>
      </c>
      <c r="BZ70" s="57" t="n">
        <f aca="false">ROUNDUP(G70/BQ70,0)</f>
        <v>1</v>
      </c>
      <c r="CA70" s="57" t="n">
        <f aca="false">ROUNDUP(BX70/BQ70,0)</f>
        <v>0</v>
      </c>
      <c r="CB70" s="60" t="n">
        <f aca="false">IF(BR70=1,0,IFERROR(VLOOKUP(BP70,'Gebinde-Kategorie'!$A$5:$M$45,5,0)+0,0))</f>
        <v>11</v>
      </c>
      <c r="CC70" s="60" t="n">
        <f aca="false">IFERROR(IF(OR(BT70=1,BT70=2,BT70=3),N(INDEX(Parameter!$I$5:$I$7,BT70)),0),0)</f>
        <v>0</v>
      </c>
      <c r="CD70" s="59" t="n">
        <f aca="false">IF(AND(Parameter!$B$21="Ja",ISNUMBER(U70),N(V70)&gt;0),IFERROR(N(INDEX(Parameter!$L$5:$L$7,U70))*INDEX(Parameter!$E$5:$E$7,U70)*V70/SUMIFS($V$7:$V$1576,$U$7:$U$1576,U70),0),0)</f>
        <v>0</v>
      </c>
    </row>
    <row r="71" customFormat="false" ht="15" hidden="false" customHeight="false" outlineLevel="0" collapsed="false">
      <c r="A71" s="55" t="s">
        <v>333</v>
      </c>
      <c r="B71" s="55" t="s">
        <v>334</v>
      </c>
      <c r="C71" s="55" t="s">
        <v>160</v>
      </c>
      <c r="D71" s="55" t="s">
        <v>168</v>
      </c>
      <c r="E71" s="55" t="s">
        <v>210</v>
      </c>
      <c r="F71" s="56" t="n">
        <v>136.73</v>
      </c>
      <c r="G71" s="57" t="n">
        <f aca="false">MAX(0,IF(AND(Parameter!$B$21="Ja",ISNUMBER(W71)),W71,IF(Parameter!$B$20="Jahresanfang 2025 + Export",BJ71+BI71,BI71)))</f>
        <v>26</v>
      </c>
      <c r="H71" s="57" t="n">
        <f aca="false">G71*F71</f>
        <v>3554.98</v>
      </c>
      <c r="I71" s="57" t="n">
        <f aca="false">BL71*Parameter!$B$18</f>
        <v>30</v>
      </c>
      <c r="J71" s="58" t="n">
        <v>15</v>
      </c>
      <c r="K71" s="59" t="n">
        <v>2</v>
      </c>
      <c r="L71" s="57" t="n">
        <v>1</v>
      </c>
      <c r="M71" s="57" t="n">
        <v>30</v>
      </c>
      <c r="N71" s="60" t="n">
        <v>21</v>
      </c>
      <c r="O71" s="55" t="s">
        <v>169</v>
      </c>
      <c r="P71" s="57" t="n">
        <v>24</v>
      </c>
      <c r="Q71" s="60" t="n">
        <f aca="false">IF(BR71=1,0,IFERROR(VLOOKUP(BP71,'Gebinde-Kategorie'!$A$5:$M$45,13,0)+0,0))</f>
        <v>6</v>
      </c>
      <c r="R71" s="61"/>
      <c r="S71" s="62"/>
      <c r="T71" s="62"/>
      <c r="U71" s="55"/>
      <c r="V71" s="57"/>
      <c r="W71" s="57"/>
      <c r="X71" s="55" t="n">
        <f aca="false">IF(A71="","",IF(AND(Parameter!$B$21="Ja",ISNUMBER(U71)),U71,IF(IFERROR(VLOOKUP(D71,Parameter!$A$35:$C$64,2,0),"Nein")="2+3",IF(ISNUMBER(SEARCH("grosser Artikel",BM71)),2,IFERROR(VLOOKUP(BP71,Parameter!$F$35:$G$64,2,0),2)),IF(OR(IFERROR(VLOOKUP(D71,Parameter!$A$35:$C$64,2,0),"Nein")="Nein",IFERROR(VLOOKUP(D71,Parameter!$A$35:$C$64,2,0),"Nein")=""),"-",VLOOKUP(D71,Parameter!$A$35:$C$64,2,0)))))</f>
        <v>2</v>
      </c>
      <c r="Y71" s="62"/>
      <c r="Z71" s="63"/>
      <c r="AA71" s="57" t="n">
        <f aca="false">AP71</f>
        <v>48</v>
      </c>
      <c r="AB71" s="57" t="n">
        <f aca="false">MAX(AP71,G71)</f>
        <v>48</v>
      </c>
      <c r="AC71" s="64"/>
      <c r="AD71" s="57" t="n">
        <f aca="false">IF(LEFT(Cockpit!$C$5,1)="A",G71,IF(BW71=1,BX71,IF(LEFT(Cockpit!$C$5,1)="B",AH71,MAX(AH71,G71))))</f>
        <v>26</v>
      </c>
      <c r="AE71" s="57" t="n">
        <f aca="false">IF(BR71=1,0,ROUNDUP(AD71/BQ71,0))</f>
        <v>2</v>
      </c>
      <c r="AF71" s="59" t="n">
        <f aca="false">IF(CD71&gt;0,CD71*MAX(1,AD71/V71),IF(BR71=1,IF(AD71&lt;=0,0,BS71*MAX(1,IF(G71&gt;0,AD71/G71,1))),IF(Q71&gt;0,AE71/Q71,0))/MAX(0.1,N(Parameter!$M$21)))</f>
        <v>0.333333333333333</v>
      </c>
      <c r="AG71" s="57" t="n">
        <f aca="false">AD71*F71</f>
        <v>3554.98</v>
      </c>
      <c r="AH71" s="57" t="n">
        <f aca="false">ROUNDUP(MAX(I71/IF(BV71&gt;0,BV71,MAX(0.1,N(Cockpit!$C$6))),BY71)/BQ71,0)*BQ71</f>
        <v>48</v>
      </c>
      <c r="AI71" s="58" t="n">
        <f aca="false">IF(AF71&gt;0,I71/AF71,-1)</f>
        <v>90</v>
      </c>
      <c r="AJ71" s="58" t="n">
        <f aca="false">IF(AND(OR(BU71="L1",BU71="L23"),AF71&gt;0),SUMIFS($AF$7:$AF$1576,$BU$7:$BU$1576,BU71,$AI$7:$AI$1576,"&gt;"&amp;AI71)+SUMIFS($AF$7:$AF$1576,$BU$7:$BU$1576,BU71,$AI$7:$AI$1576,AI71,$BO$7:$BO$1576,"&lt;="&amp;BO71),"")</f>
        <v>22.8345863315429</v>
      </c>
      <c r="AK71" s="65" t="n">
        <f aca="false">IF(AJ71="",0,MAX(0,MIN(1,(IF(BU71="L1",Parameter!$E$5,Parameter!$E$6+Parameter!$E$7)-(AJ71-AF71))/AF71)))</f>
        <v>1</v>
      </c>
      <c r="AL71" s="57" t="n">
        <f aca="false">IF(LEFT(Cockpit!$I$5,1)="A",G71,IF(BW71=1,BX71,IF(LEFT(Cockpit!$I$5,1)="B",AP71,MAX(AP71,G71))))</f>
        <v>48</v>
      </c>
      <c r="AM71" s="57" t="n">
        <f aca="false">IF(BR71=1,0,ROUNDUP(AL71/BQ71,0))</f>
        <v>2</v>
      </c>
      <c r="AN71" s="59" t="n">
        <f aca="false">IF(CD71&gt;0,CD71*MAX(1,AL71/V71),IF(BR71=1,IF(AL71&lt;=0,0,BS71*MAX(1,IF(G71&gt;0,AL71/G71,1))),IF(Q71&gt;0,AM71/Q71,0))/MAX(0.1,N(Parameter!$M$21)))</f>
        <v>0.333333333333333</v>
      </c>
      <c r="AO71" s="57" t="n">
        <f aca="false">AL71*F71</f>
        <v>6563.04</v>
      </c>
      <c r="AP71" s="57" t="n">
        <f aca="false">ROUNDUP(MAX(I71/IF(BV71&gt;0,BV71,MAX(0.1,N(Cockpit!$I$6))),BY71)/BQ71,0)*BQ71</f>
        <v>48</v>
      </c>
      <c r="AQ71" s="58" t="n">
        <f aca="false">IF(AN71&gt;0,I71/AN71,-1)</f>
        <v>90</v>
      </c>
      <c r="AR71" s="58" t="n">
        <f aca="false">IF(AND(OR(BU71="L1",BU71="L23"),AN71&gt;0),SUMIFS($AN$7:$AN$1576,$BU$7:$BU$1576,BU71,$AQ$7:$AQ$1576,"&gt;"&amp;AQ71)+SUMIFS($AN$7:$AN$1576,$BU$7:$BU$1576,BU71,$AQ$7:$AQ$1576,AQ71,$BO$7:$BO$1576,"&lt;="&amp;BO71),"")</f>
        <v>70.8603133765745</v>
      </c>
      <c r="AS71" s="65" t="n">
        <f aca="false">IF(AR71="",0,MAX(0,MIN(1,(IF(BU71="L1",Parameter!$E$5,Parameter!$E$6+Parameter!$E$7)-(AR71-AN71))/AN71)))</f>
        <v>1</v>
      </c>
      <c r="AT71" s="57" t="n">
        <f aca="false">IF(LEFT(Cockpit!$O$5,1)="A",G71,IF(BW71=1,BX71,IF(LEFT(Cockpit!$O$5,1)="B",AX71,MAX(AX71,G71))))</f>
        <v>48</v>
      </c>
      <c r="AU71" s="57" t="n">
        <f aca="false">IF(BR71=1,0,ROUNDUP(AT71/BQ71,0))</f>
        <v>2</v>
      </c>
      <c r="AV71" s="59" t="n">
        <f aca="false">IF(CD71&gt;0,CD71*MAX(1,AT71/V71),IF(BR71=1,IF(AT71&lt;=0,0,BS71*MAX(1,IF(G71&gt;0,AT71/G71,1))),IF(Q71&gt;0,AU71/Q71,0))/MAX(0.1,N(Parameter!$M$21)))</f>
        <v>0.333333333333333</v>
      </c>
      <c r="AW71" s="57" t="n">
        <f aca="false">AT71*F71</f>
        <v>6563.04</v>
      </c>
      <c r="AX71" s="57" t="n">
        <f aca="false">ROUNDUP(MAX(I71/IF(BV71&gt;0,BV71,MAX(0.1,N(Cockpit!$O$6))),BY71)/BQ71,0)*BQ71</f>
        <v>48</v>
      </c>
      <c r="AY71" s="58" t="n">
        <f aca="false">IF(AV71&gt;0,I71/AV71,-1)</f>
        <v>90</v>
      </c>
      <c r="AZ71" s="58" t="n">
        <f aca="false">IF(AND(OR(BU71="L1",BU71="L23"),AV71&gt;0),SUMIFS($AV$7:$AV$1576,$BU$7:$BU$1576,BU71,$AY$7:$AY$1576,"&gt;"&amp;AY71)+SUMIFS($AV$7:$AV$1576,$BU$7:$BU$1576,BU71,$AY$7:$AY$1576,AY71,$BO$7:$BO$1576,"&lt;="&amp;BO71),"")</f>
        <v>65.4206971594583</v>
      </c>
      <c r="BA71" s="65" t="n">
        <f aca="false">IF(AZ71="",0,MAX(0,MIN(1,(IF(BU71="L1",Parameter!$E$5,Parameter!$E$6+Parameter!$E$7)-(AZ71-AV71))/AV71)))</f>
        <v>1</v>
      </c>
      <c r="BB71" s="55" t="str">
        <f aca="false">IF(AF71&lt;=0,"",IF(BU71="Aussen","Aussenlager",IF(BU71="-","Nicht im Lift",IF(AK71&gt;=1,"Lift",IF(AK71&lt;=0,"Aussenlager","teilweise")))))</f>
        <v>Lift</v>
      </c>
      <c r="BC71" s="55" t="str">
        <f aca="false">IF(AN71&lt;=0,"",IF(BU71="Aussen","Aussenlager",IF(BU71="-","Nicht im Lift",IF(AS71&gt;=1,"Lift",IF(AS71&lt;=0,"Aussenlager","teilweise")))))</f>
        <v>Lift</v>
      </c>
      <c r="BD71" s="55" t="str">
        <f aca="false">IF(AV71&lt;=0,"",IF(BU71="Aussen","Aussenlager",IF(BU71="-","Nicht im Lift",IF(BA71&gt;=1,"Lift",IF(BA71&lt;=0,"Aussenlager","teilweise")))))</f>
        <v>Lift</v>
      </c>
      <c r="BE71" s="55" t="str">
        <f aca="false">IF(A71="","",IF(BN71=1,"Neu; ","")&amp;IF(AND(BN71=0,BI71&lt;0),"negativer Bestand (Export "&amp;BI71&amp;"); ","")&amp;IF(I71&lt;=0,"Kein Verbrauch; ","")&amp;IF(CD71&gt;0,"Lift "&amp;U71&amp;" lt. Liftbericht (Fach "&amp;V71&amp;" Stk); ",IF(BR71=1,"Lose – Fläche geschätzt; ",""))&amp;IF(G71&gt;AP71,"Überbestand "&amp;ROUND(G71-AP71,0)&amp;" Stk / CHF "&amp;ROUND((G71-AP71)*F71,0)&amp;"; ","")&amp;IF(AND(BW71=1,BX71&lt;BY71),"MAX &lt; MB+LG; ","")&amp;IF(AND(CC71&gt;0,CB71*10&gt;CC71),"zu hoch für Tablar; ","")&amp;IF(AND(BN71=0,OR(BW71=1,Y71&lt;&gt;"",S71&lt;&gt;"",T71&lt;&gt;"",Z71&lt;&gt;"")),"manuell übersteuert; ","")&amp;IF(AND(BR71=0,Q71=0),"Gebinde unbekannt / Stellmass fehlt; ","")&amp;IF(AND(BR71=0,N(T71)&lt;=0,N(P71)&lt;=0),"Menge pro Gebinde fehlt (Ist = 1 Gebinde); ","")&amp;BM71)</f>
        <v/>
      </c>
      <c r="BF71" s="55" t="s">
        <v>335</v>
      </c>
      <c r="BG71" s="55" t="s">
        <v>336</v>
      </c>
      <c r="BH71" s="62"/>
      <c r="BI71" s="57" t="n">
        <v>26</v>
      </c>
      <c r="BJ71" s="57" t="n">
        <v>5</v>
      </c>
      <c r="BK71" s="56" t="n">
        <v>3578.48</v>
      </c>
      <c r="BL71" s="57" t="n">
        <v>30</v>
      </c>
      <c r="BM71" s="55"/>
      <c r="BN71" s="60" t="n">
        <v>0</v>
      </c>
      <c r="BO71" s="60" t="n">
        <v>71</v>
      </c>
      <c r="BP71" s="55" t="str">
        <f aca="false">IF(S71&lt;&gt;"",UPPER(TRIM(S71)),IF(O71="","LOSE",O71))</f>
        <v>S71</v>
      </c>
      <c r="BQ71" s="57" t="n">
        <f aca="false">IF(BP71="LOSE",1,IF(N(T71)&gt;0,T71,IF(N(P71)&gt;0,P71,MAX(1,G71))))</f>
        <v>24</v>
      </c>
      <c r="BR71" s="60" t="n">
        <f aca="false">IF(BP71="LOSE",1,0)</f>
        <v>0</v>
      </c>
      <c r="BS71" s="59" t="n">
        <f aca="false">IF(BR71=0,0,IF(N(R71)&gt;0,R71,IFERROR(VLOOKUP(D71,Parameter!$A$35:$C$64,3,0)+0,0)))</f>
        <v>0</v>
      </c>
      <c r="BT71" s="55" t="n">
        <f aca="false">IF(Y71&lt;&gt;"",Y71,X71)</f>
        <v>2</v>
      </c>
      <c r="BU71" s="55" t="str">
        <f aca="false">IF(BT71=1,"L1",IF(OR(BT71=2,BT71=3),"L23",IF(BT71="Aussen","Aussen","-")))</f>
        <v>L23</v>
      </c>
      <c r="BV71" s="66" t="n">
        <f aca="false">IF(N(Z71)&gt;0,Z71,0)</f>
        <v>0</v>
      </c>
      <c r="BW71" s="60" t="n">
        <f aca="false">IF(ISNUMBER(AC71),1,0)</f>
        <v>0</v>
      </c>
      <c r="BX71" s="57" t="n">
        <f aca="false">N(AC71)</f>
        <v>0</v>
      </c>
      <c r="BY71" s="57" t="n">
        <f aca="false">N(L71)+N(M71)</f>
        <v>31</v>
      </c>
      <c r="BZ71" s="57" t="n">
        <f aca="false">ROUNDUP(G71/BQ71,0)</f>
        <v>2</v>
      </c>
      <c r="CA71" s="57" t="n">
        <f aca="false">ROUNDUP(BX71/BQ71,0)</f>
        <v>0</v>
      </c>
      <c r="CB71" s="60" t="n">
        <f aca="false">IF(BR71=1,0,IFERROR(VLOOKUP(BP71,'Gebinde-Kategorie'!$A$5:$M$45,5,0)+0,0))</f>
        <v>20</v>
      </c>
      <c r="CC71" s="60" t="n">
        <f aca="false">IFERROR(IF(OR(BT71=1,BT71=2,BT71=3),N(INDEX(Parameter!$I$5:$I$7,BT71)),0),0)</f>
        <v>0</v>
      </c>
      <c r="CD71" s="59" t="n">
        <f aca="false">IF(AND(Parameter!$B$21="Ja",ISNUMBER(U71),N(V71)&gt;0),IFERROR(N(INDEX(Parameter!$L$5:$L$7,U71))*INDEX(Parameter!$E$5:$E$7,U71)*V71/SUMIFS($V$7:$V$1576,$U$7:$U$1576,U71),0),0)</f>
        <v>0</v>
      </c>
    </row>
    <row r="72" customFormat="false" ht="15" hidden="false" customHeight="false" outlineLevel="0" collapsed="false">
      <c r="A72" s="55" t="s">
        <v>337</v>
      </c>
      <c r="B72" s="55" t="s">
        <v>338</v>
      </c>
      <c r="C72" s="55" t="s">
        <v>160</v>
      </c>
      <c r="D72" s="55" t="s">
        <v>168</v>
      </c>
      <c r="E72" s="55" t="s">
        <v>210</v>
      </c>
      <c r="F72" s="56" t="n">
        <v>176.61</v>
      </c>
      <c r="G72" s="57" t="n">
        <f aca="false">MAX(0,IF(AND(Parameter!$B$21="Ja",ISNUMBER(W72)),W72,IF(Parameter!$B$20="Jahresanfang 2025 + Export",BJ72+BI72,BI72)))</f>
        <v>22</v>
      </c>
      <c r="H72" s="57" t="n">
        <f aca="false">G72*F72</f>
        <v>3885.42</v>
      </c>
      <c r="I72" s="57" t="n">
        <f aca="false">BL72*Parameter!$B$18</f>
        <v>75</v>
      </c>
      <c r="J72" s="58" t="n">
        <v>46.5</v>
      </c>
      <c r="K72" s="59" t="n">
        <v>1.61290322580645</v>
      </c>
      <c r="L72" s="57" t="n">
        <v>15</v>
      </c>
      <c r="M72" s="57" t="n">
        <v>35</v>
      </c>
      <c r="N72" s="60" t="n">
        <v>60</v>
      </c>
      <c r="O72" s="55" t="s">
        <v>339</v>
      </c>
      <c r="P72" s="57" t="n">
        <v>38</v>
      </c>
      <c r="Q72" s="60" t="n">
        <f aca="false">IF(BR72=1,0,IFERROR(VLOOKUP(BP72,'Gebinde-Kategorie'!$A$5:$M$45,13,0)+0,0))</f>
        <v>3</v>
      </c>
      <c r="R72" s="61"/>
      <c r="S72" s="62"/>
      <c r="T72" s="62"/>
      <c r="U72" s="55"/>
      <c r="V72" s="57"/>
      <c r="W72" s="57"/>
      <c r="X72" s="55" t="n">
        <f aca="false">IF(A72="","",IF(AND(Parameter!$B$21="Ja",ISNUMBER(U72)),U72,IF(IFERROR(VLOOKUP(D72,Parameter!$A$35:$C$64,2,0),"Nein")="2+3",IF(ISNUMBER(SEARCH("grosser Artikel",BM72)),2,IFERROR(VLOOKUP(BP72,Parameter!$F$35:$G$64,2,0),2)),IF(OR(IFERROR(VLOOKUP(D72,Parameter!$A$35:$C$64,2,0),"Nein")="Nein",IFERROR(VLOOKUP(D72,Parameter!$A$35:$C$64,2,0),"Nein")=""),"-",VLOOKUP(D72,Parameter!$A$35:$C$64,2,0)))))</f>
        <v>2</v>
      </c>
      <c r="Y72" s="62"/>
      <c r="Z72" s="63"/>
      <c r="AA72" s="57" t="n">
        <f aca="false">AP72</f>
        <v>76</v>
      </c>
      <c r="AB72" s="57" t="n">
        <f aca="false">MAX(AP72,G72)</f>
        <v>76</v>
      </c>
      <c r="AC72" s="64"/>
      <c r="AD72" s="57" t="n">
        <f aca="false">IF(LEFT(Cockpit!$C$5,1)="A",G72,IF(BW72=1,BX72,IF(LEFT(Cockpit!$C$5,1)="B",AH72,MAX(AH72,G72))))</f>
        <v>22</v>
      </c>
      <c r="AE72" s="57" t="n">
        <f aca="false">IF(BR72=1,0,ROUNDUP(AD72/BQ72,0))</f>
        <v>1</v>
      </c>
      <c r="AF72" s="59" t="n">
        <f aca="false">IF(CD72&gt;0,CD72*MAX(1,AD72/V72),IF(BR72=1,IF(AD72&lt;=0,0,BS72*MAX(1,IF(G72&gt;0,AD72/G72,1))),IF(Q72&gt;0,AE72/Q72,0))/MAX(0.1,N(Parameter!$M$21)))</f>
        <v>0.333333333333333</v>
      </c>
      <c r="AG72" s="57" t="n">
        <f aca="false">AD72*F72</f>
        <v>3885.42</v>
      </c>
      <c r="AH72" s="57" t="n">
        <f aca="false">ROUNDUP(MAX(I72/IF(BV72&gt;0,BV72,MAX(0.1,N(Cockpit!$C$6))),BY72)/BQ72,0)*BQ72</f>
        <v>76</v>
      </c>
      <c r="AI72" s="58" t="n">
        <f aca="false">IF(AF72&gt;0,I72/AF72,-1)</f>
        <v>225</v>
      </c>
      <c r="AJ72" s="58" t="n">
        <f aca="false">IF(AND(OR(BU72="L1",BU72="L23"),AF72&gt;0),SUMIFS($AF$7:$AF$1576,$BU$7:$BU$1576,BU72,$AI$7:$AI$1576,"&gt;"&amp;AI72)+SUMIFS($AF$7:$AF$1576,$BU$7:$BU$1576,BU72,$AI$7:$AI$1576,AI72,$BO$7:$BO$1576,"&lt;="&amp;BO72),"")</f>
        <v>16.7023566771393</v>
      </c>
      <c r="AK72" s="65" t="n">
        <f aca="false">IF(AJ72="",0,MAX(0,MIN(1,(IF(BU72="L1",Parameter!$E$5,Parameter!$E$6+Parameter!$E$7)-(AJ72-AF72))/AF72)))</f>
        <v>1</v>
      </c>
      <c r="AL72" s="57" t="n">
        <f aca="false">IF(LEFT(Cockpit!$I$5,1)="A",G72,IF(BW72=1,BX72,IF(LEFT(Cockpit!$I$5,1)="B",AP72,MAX(AP72,G72))))</f>
        <v>76</v>
      </c>
      <c r="AM72" s="57" t="n">
        <f aca="false">IF(BR72=1,0,ROUNDUP(AL72/BQ72,0))</f>
        <v>2</v>
      </c>
      <c r="AN72" s="59" t="n">
        <f aca="false">IF(CD72&gt;0,CD72*MAX(1,AL72/V72),IF(BR72=1,IF(AL72&lt;=0,0,BS72*MAX(1,IF(G72&gt;0,AL72/G72,1))),IF(Q72&gt;0,AM72/Q72,0))/MAX(0.1,N(Parameter!$M$21)))</f>
        <v>0.666666666666667</v>
      </c>
      <c r="AO72" s="57" t="n">
        <f aca="false">AL72*F72</f>
        <v>13422.36</v>
      </c>
      <c r="AP72" s="57" t="n">
        <f aca="false">ROUNDUP(MAX(I72/IF(BV72&gt;0,BV72,MAX(0.1,N(Cockpit!$I$6))),BY72)/BQ72,0)*BQ72</f>
        <v>76</v>
      </c>
      <c r="AQ72" s="58" t="n">
        <f aca="false">IF(AN72&gt;0,I72/AN72,-1)</f>
        <v>112.5</v>
      </c>
      <c r="AR72" s="58" t="n">
        <f aca="false">IF(AND(OR(BU72="L1",BU72="L23"),AN72&gt;0),SUMIFS($AN$7:$AN$1576,$BU$7:$BU$1576,BU72,$AQ$7:$AQ$1576,"&gt;"&amp;AQ72)+SUMIFS($AN$7:$AN$1576,$BU$7:$BU$1576,BU72,$AQ$7:$AQ$1576,AQ72,$BO$7:$BO$1576,"&lt;="&amp;BO72),"")</f>
        <v>67.2603357153469</v>
      </c>
      <c r="AS72" s="65" t="n">
        <f aca="false">IF(AR72="",0,MAX(0,MIN(1,(IF(BU72="L1",Parameter!$E$5,Parameter!$E$6+Parameter!$E$7)-(AR72-AN72))/AN72)))</f>
        <v>1</v>
      </c>
      <c r="AT72" s="57" t="n">
        <f aca="false">IF(LEFT(Cockpit!$O$5,1)="A",G72,IF(BW72=1,BX72,IF(LEFT(Cockpit!$O$5,1)="B",AX72,MAX(AX72,G72))))</f>
        <v>76</v>
      </c>
      <c r="AU72" s="57" t="n">
        <f aca="false">IF(BR72=1,0,ROUNDUP(AT72/BQ72,0))</f>
        <v>2</v>
      </c>
      <c r="AV72" s="59" t="n">
        <f aca="false">IF(CD72&gt;0,CD72*MAX(1,AT72/V72),IF(BR72=1,IF(AT72&lt;=0,0,BS72*MAX(1,IF(G72&gt;0,AT72/G72,1))),IF(Q72&gt;0,AU72/Q72,0))/MAX(0.1,N(Parameter!$M$21)))</f>
        <v>0.666666666666667</v>
      </c>
      <c r="AW72" s="57" t="n">
        <f aca="false">AT72*F72</f>
        <v>13422.36</v>
      </c>
      <c r="AX72" s="57" t="n">
        <f aca="false">ROUNDUP(MAX(I72/IF(BV72&gt;0,BV72,MAX(0.1,N(Cockpit!$O$6))),BY72)/BQ72,0)*BQ72</f>
        <v>76</v>
      </c>
      <c r="AY72" s="58" t="n">
        <f aca="false">IF(AV72&gt;0,I72/AV72,-1)</f>
        <v>112.5</v>
      </c>
      <c r="AZ72" s="58" t="n">
        <f aca="false">IF(AND(OR(BU72="L1",BU72="L23"),AV72&gt;0),SUMIFS($AV$7:$AV$1576,$BU$7:$BU$1576,BU72,$AY$7:$AY$1576,"&gt;"&amp;AY72)+SUMIFS($AV$7:$AV$1576,$BU$7:$BU$1576,BU72,$AY$7:$AY$1576,AY72,$BO$7:$BO$1576,"&lt;="&amp;BO72),"")</f>
        <v>62.5894694982307</v>
      </c>
      <c r="BA72" s="65" t="n">
        <f aca="false">IF(AZ72="",0,MAX(0,MIN(1,(IF(BU72="L1",Parameter!$E$5,Parameter!$E$6+Parameter!$E$7)-(AZ72-AV72))/AV72)))</f>
        <v>1</v>
      </c>
      <c r="BB72" s="55" t="str">
        <f aca="false">IF(AF72&lt;=0,"",IF(BU72="Aussen","Aussenlager",IF(BU72="-","Nicht im Lift",IF(AK72&gt;=1,"Lift",IF(AK72&lt;=0,"Aussenlager","teilweise")))))</f>
        <v>Lift</v>
      </c>
      <c r="BC72" s="55" t="str">
        <f aca="false">IF(AN72&lt;=0,"",IF(BU72="Aussen","Aussenlager",IF(BU72="-","Nicht im Lift",IF(AS72&gt;=1,"Lift",IF(AS72&lt;=0,"Aussenlager","teilweise")))))</f>
        <v>Lift</v>
      </c>
      <c r="BD72" s="55" t="str">
        <f aca="false">IF(AV72&lt;=0,"",IF(BU72="Aussen","Aussenlager",IF(BU72="-","Nicht im Lift",IF(BA72&gt;=1,"Lift",IF(BA72&lt;=0,"Aussenlager","teilweise")))))</f>
        <v>Lift</v>
      </c>
      <c r="BE72" s="55" t="str">
        <f aca="false">IF(A72="","",IF(BN72=1,"Neu; ","")&amp;IF(AND(BN72=0,BI72&lt;0),"negativer Bestand (Export "&amp;BI72&amp;"); ","")&amp;IF(I72&lt;=0,"Kein Verbrauch; ","")&amp;IF(CD72&gt;0,"Lift "&amp;U72&amp;" lt. Liftbericht (Fach "&amp;V72&amp;" Stk); ",IF(BR72=1,"Lose – Fläche geschätzt; ",""))&amp;IF(G72&gt;AP72,"Überbestand "&amp;ROUND(G72-AP72,0)&amp;" Stk / CHF "&amp;ROUND((G72-AP72)*F72,0)&amp;"; ","")&amp;IF(AND(BW72=1,BX72&lt;BY72),"MAX &lt; MB+LG; ","")&amp;IF(AND(CC72&gt;0,CB72*10&gt;CC72),"zu hoch für Tablar; ","")&amp;IF(AND(BN72=0,OR(BW72=1,Y72&lt;&gt;"",S72&lt;&gt;"",T72&lt;&gt;"",Z72&lt;&gt;"")),"manuell übersteuert; ","")&amp;IF(AND(BR72=0,Q72=0),"Gebinde unbekannt / Stellmass fehlt; ","")&amp;IF(AND(BR72=0,N(T72)&lt;=0,N(P72)&lt;=0),"Menge pro Gebinde fehlt (Ist = 1 Gebinde); ","")&amp;BM72)</f>
        <v>grosser Artikel &amp; nicht im KTL</v>
      </c>
      <c r="BF72" s="55" t="s">
        <v>340</v>
      </c>
      <c r="BG72" s="55" t="s">
        <v>336</v>
      </c>
      <c r="BH72" s="62"/>
      <c r="BI72" s="57" t="n">
        <v>22</v>
      </c>
      <c r="BJ72" s="57" t="n">
        <v>24</v>
      </c>
      <c r="BK72" s="56" t="n">
        <v>3534.78</v>
      </c>
      <c r="BL72" s="57" t="n">
        <v>75</v>
      </c>
      <c r="BM72" s="55" t="s">
        <v>253</v>
      </c>
      <c r="BN72" s="60" t="n">
        <v>0</v>
      </c>
      <c r="BO72" s="60" t="n">
        <v>72</v>
      </c>
      <c r="BP72" s="55" t="str">
        <f aca="false">IF(S72&lt;&gt;"",UPPER(TRIM(S72)),IF(O72="","LOSE",O72))</f>
        <v>S82</v>
      </c>
      <c r="BQ72" s="57" t="n">
        <f aca="false">IF(BP72="LOSE",1,IF(N(T72)&gt;0,T72,IF(N(P72)&gt;0,P72,MAX(1,G72))))</f>
        <v>38</v>
      </c>
      <c r="BR72" s="60" t="n">
        <f aca="false">IF(BP72="LOSE",1,0)</f>
        <v>0</v>
      </c>
      <c r="BS72" s="59" t="n">
        <f aca="false">IF(BR72=0,0,IF(N(R72)&gt;0,R72,IFERROR(VLOOKUP(D72,Parameter!$A$35:$C$64,3,0)+0,0)))</f>
        <v>0</v>
      </c>
      <c r="BT72" s="55" t="n">
        <f aca="false">IF(Y72&lt;&gt;"",Y72,X72)</f>
        <v>2</v>
      </c>
      <c r="BU72" s="55" t="str">
        <f aca="false">IF(BT72=1,"L1",IF(OR(BT72=2,BT72=3),"L23",IF(BT72="Aussen","Aussen","-")))</f>
        <v>L23</v>
      </c>
      <c r="BV72" s="66" t="n">
        <f aca="false">IF(N(Z72)&gt;0,Z72,0)</f>
        <v>0</v>
      </c>
      <c r="BW72" s="60" t="n">
        <f aca="false">IF(ISNUMBER(AC72),1,0)</f>
        <v>0</v>
      </c>
      <c r="BX72" s="57" t="n">
        <f aca="false">N(AC72)</f>
        <v>0</v>
      </c>
      <c r="BY72" s="57" t="n">
        <f aca="false">N(L72)+N(M72)</f>
        <v>50</v>
      </c>
      <c r="BZ72" s="57" t="n">
        <f aca="false">ROUNDUP(G72/BQ72,0)</f>
        <v>1</v>
      </c>
      <c r="CA72" s="57" t="n">
        <f aca="false">ROUNDUP(BX72/BQ72,0)</f>
        <v>0</v>
      </c>
      <c r="CB72" s="60" t="n">
        <f aca="false">IF(BR72=1,0,IFERROR(VLOOKUP(BP72,'Gebinde-Kategorie'!$A$5:$M$45,5,0)+0,0))</f>
        <v>40</v>
      </c>
      <c r="CC72" s="60" t="n">
        <f aca="false">IFERROR(IF(OR(BT72=1,BT72=2,BT72=3),N(INDEX(Parameter!$I$5:$I$7,BT72)),0),0)</f>
        <v>0</v>
      </c>
      <c r="CD72" s="59" t="n">
        <f aca="false">IF(AND(Parameter!$B$21="Ja",ISNUMBER(U72),N(V72)&gt;0),IFERROR(N(INDEX(Parameter!$L$5:$L$7,U72))*INDEX(Parameter!$E$5:$E$7,U72)*V72/SUMIFS($V$7:$V$1576,$U$7:$U$1576,U72),0),0)</f>
        <v>0</v>
      </c>
    </row>
    <row r="73" customFormat="false" ht="15" hidden="false" customHeight="false" outlineLevel="0" collapsed="false">
      <c r="A73" s="55" t="s">
        <v>341</v>
      </c>
      <c r="B73" s="55" t="s">
        <v>283</v>
      </c>
      <c r="C73" s="55" t="s">
        <v>160</v>
      </c>
      <c r="D73" s="55" t="s">
        <v>178</v>
      </c>
      <c r="E73" s="55" t="s">
        <v>210</v>
      </c>
      <c r="F73" s="56" t="n">
        <v>160.95</v>
      </c>
      <c r="G73" s="57" t="n">
        <f aca="false">MAX(0,IF(AND(Parameter!$B$21="Ja",ISNUMBER(W73)),W73,IF(Parameter!$B$20="Jahresanfang 2025 + Export",BJ73+BI73,BI73)))</f>
        <v>20</v>
      </c>
      <c r="H73" s="57" t="n">
        <f aca="false">G73*F73</f>
        <v>3219</v>
      </c>
      <c r="I73" s="57" t="n">
        <f aca="false">BL73*Parameter!$B$18</f>
        <v>97</v>
      </c>
      <c r="J73" s="58" t="n">
        <v>15.5</v>
      </c>
      <c r="K73" s="59" t="n">
        <v>6.25806451612903</v>
      </c>
      <c r="L73" s="57" t="n">
        <v>10</v>
      </c>
      <c r="M73" s="57" t="n">
        <v>40</v>
      </c>
      <c r="N73" s="60" t="n">
        <v>30</v>
      </c>
      <c r="O73" s="55" t="s">
        <v>293</v>
      </c>
      <c r="P73" s="57" t="n">
        <v>31</v>
      </c>
      <c r="Q73" s="60" t="n">
        <f aca="false">IF(BR73=1,0,IFERROR(VLOOKUP(BP73,'Gebinde-Kategorie'!$A$5:$M$45,13,0)+0,0))</f>
        <v>26</v>
      </c>
      <c r="R73" s="61"/>
      <c r="S73" s="62"/>
      <c r="T73" s="62"/>
      <c r="U73" s="55"/>
      <c r="V73" s="57"/>
      <c r="W73" s="57"/>
      <c r="X73" s="55" t="n">
        <f aca="false">IF(A73="","",IF(AND(Parameter!$B$21="Ja",ISNUMBER(U73)),U73,IF(IFERROR(VLOOKUP(D73,Parameter!$A$35:$C$64,2,0),"Nein")="2+3",IF(ISNUMBER(SEARCH("grosser Artikel",BM73)),2,IFERROR(VLOOKUP(BP73,Parameter!$F$35:$G$64,2,0),2)),IF(OR(IFERROR(VLOOKUP(D73,Parameter!$A$35:$C$64,2,0),"Nein")="Nein",IFERROR(VLOOKUP(D73,Parameter!$A$35:$C$64,2,0),"Nein")=""),"-",VLOOKUP(D73,Parameter!$A$35:$C$64,2,0)))))</f>
        <v>3</v>
      </c>
      <c r="Y73" s="62"/>
      <c r="Z73" s="63"/>
      <c r="AA73" s="57" t="n">
        <f aca="false">AP73</f>
        <v>62</v>
      </c>
      <c r="AB73" s="57" t="n">
        <f aca="false">MAX(AP73,G73)</f>
        <v>62</v>
      </c>
      <c r="AC73" s="64"/>
      <c r="AD73" s="57" t="n">
        <f aca="false">IF(LEFT(Cockpit!$C$5,1)="A",G73,IF(BW73=1,BX73,IF(LEFT(Cockpit!$C$5,1)="B",AH73,MAX(AH73,G73))))</f>
        <v>20</v>
      </c>
      <c r="AE73" s="57" t="n">
        <f aca="false">IF(BR73=1,0,ROUNDUP(AD73/BQ73,0))</f>
        <v>1</v>
      </c>
      <c r="AF73" s="59" t="n">
        <f aca="false">IF(CD73&gt;0,CD73*MAX(1,AD73/V73),IF(BR73=1,IF(AD73&lt;=0,0,BS73*MAX(1,IF(G73&gt;0,AD73/G73,1))),IF(Q73&gt;0,AE73/Q73,0))/MAX(0.1,N(Parameter!$M$21)))</f>
        <v>0.0384615384615385</v>
      </c>
      <c r="AG73" s="57" t="n">
        <f aca="false">AD73*F73</f>
        <v>3219</v>
      </c>
      <c r="AH73" s="57" t="n">
        <f aca="false">ROUNDUP(MAX(I73/IF(BV73&gt;0,BV73,MAX(0.1,N(Cockpit!$C$6))),BY73)/BQ73,0)*BQ73</f>
        <v>62</v>
      </c>
      <c r="AI73" s="58" t="n">
        <f aca="false">IF(AF73&gt;0,I73/AF73,-1)</f>
        <v>2522</v>
      </c>
      <c r="AJ73" s="58" t="n">
        <f aca="false">IF(AND(OR(BU73="L1",BU73="L23"),AF73&gt;0),SUMIFS($AF$7:$AF$1576,$BU$7:$BU$1576,BU73,$AI$7:$AI$1576,"&gt;"&amp;AI73)+SUMIFS($AF$7:$AF$1576,$BU$7:$BU$1576,BU73,$AI$7:$AI$1576,AI73,$BO$7:$BO$1576,"&lt;="&amp;BO73),"")</f>
        <v>5.73871119218945</v>
      </c>
      <c r="AK73" s="65" t="n">
        <f aca="false">IF(AJ73="",0,MAX(0,MIN(1,(IF(BU73="L1",Parameter!$E$5,Parameter!$E$6+Parameter!$E$7)-(AJ73-AF73))/AF73)))</f>
        <v>1</v>
      </c>
      <c r="AL73" s="57" t="n">
        <f aca="false">IF(LEFT(Cockpit!$I$5,1)="A",G73,IF(BW73=1,BX73,IF(LEFT(Cockpit!$I$5,1)="B",AP73,MAX(AP73,G73))))</f>
        <v>62</v>
      </c>
      <c r="AM73" s="57" t="n">
        <f aca="false">IF(BR73=1,0,ROUNDUP(AL73/BQ73,0))</f>
        <v>2</v>
      </c>
      <c r="AN73" s="59" t="n">
        <f aca="false">IF(CD73&gt;0,CD73*MAX(1,AL73/V73),IF(BR73=1,IF(AL73&lt;=0,0,BS73*MAX(1,IF(G73&gt;0,AL73/G73,1))),IF(Q73&gt;0,AM73/Q73,0))/MAX(0.1,N(Parameter!$M$21)))</f>
        <v>0.0769230769230769</v>
      </c>
      <c r="AO73" s="57" t="n">
        <f aca="false">AL73*F73</f>
        <v>9978.9</v>
      </c>
      <c r="AP73" s="57" t="n">
        <f aca="false">ROUNDUP(MAX(I73/IF(BV73&gt;0,BV73,MAX(0.1,N(Cockpit!$I$6))),BY73)/BQ73,0)*BQ73</f>
        <v>62</v>
      </c>
      <c r="AQ73" s="58" t="n">
        <f aca="false">IF(AN73&gt;0,I73/AN73,-1)</f>
        <v>1261</v>
      </c>
      <c r="AR73" s="58" t="n">
        <f aca="false">IF(AND(OR(BU73="L1",BU73="L23"),AN73&gt;0),SUMIFS($AN$7:$AN$1576,$BU$7:$BU$1576,BU73,$AQ$7:$AQ$1576,"&gt;"&amp;AQ73)+SUMIFS($AN$7:$AN$1576,$BU$7:$BU$1576,BU73,$AQ$7:$AQ$1576,AQ73,$BO$7:$BO$1576,"&lt;="&amp;BO73),"")</f>
        <v>20.4805398107684</v>
      </c>
      <c r="AS73" s="65" t="n">
        <f aca="false">IF(AR73="",0,MAX(0,MIN(1,(IF(BU73="L1",Parameter!$E$5,Parameter!$E$6+Parameter!$E$7)-(AR73-AN73))/AN73)))</f>
        <v>1</v>
      </c>
      <c r="AT73" s="57" t="n">
        <f aca="false">IF(LEFT(Cockpit!$O$5,1)="A",G73,IF(BW73=1,BX73,IF(LEFT(Cockpit!$O$5,1)="B",AX73,MAX(AX73,G73))))</f>
        <v>62</v>
      </c>
      <c r="AU73" s="57" t="n">
        <f aca="false">IF(BR73=1,0,ROUNDUP(AT73/BQ73,0))</f>
        <v>2</v>
      </c>
      <c r="AV73" s="59" t="n">
        <f aca="false">IF(CD73&gt;0,CD73*MAX(1,AT73/V73),IF(BR73=1,IF(AT73&lt;=0,0,BS73*MAX(1,IF(G73&gt;0,AT73/G73,1))),IF(Q73&gt;0,AU73/Q73,0))/MAX(0.1,N(Parameter!$M$21)))</f>
        <v>0.0769230769230769</v>
      </c>
      <c r="AW73" s="57" t="n">
        <f aca="false">AT73*F73</f>
        <v>9978.9</v>
      </c>
      <c r="AX73" s="57" t="n">
        <f aca="false">ROUNDUP(MAX(I73/IF(BV73&gt;0,BV73,MAX(0.1,N(Cockpit!$O$6))),BY73)/BQ73,0)*BQ73</f>
        <v>62</v>
      </c>
      <c r="AY73" s="58" t="n">
        <f aca="false">IF(AV73&gt;0,I73/AV73,-1)</f>
        <v>1261</v>
      </c>
      <c r="AZ73" s="58" t="n">
        <f aca="false">IF(AND(OR(BU73="L1",BU73="L23"),AV73&gt;0),SUMIFS($AV$7:$AV$1576,$BU$7:$BU$1576,BU73,$AY$7:$AY$1576,"&gt;"&amp;AY73)+SUMIFS($AV$7:$AV$1576,$BU$7:$BU$1576,BU73,$AY$7:$AY$1576,AY73,$BO$7:$BO$1576,"&lt;="&amp;BO73),"")</f>
        <v>19.5411458713744</v>
      </c>
      <c r="BA73" s="65" t="n">
        <f aca="false">IF(AZ73="",0,MAX(0,MIN(1,(IF(BU73="L1",Parameter!$E$5,Parameter!$E$6+Parameter!$E$7)-(AZ73-AV73))/AV73)))</f>
        <v>1</v>
      </c>
      <c r="BB73" s="55" t="str">
        <f aca="false">IF(AF73&lt;=0,"",IF(BU73="Aussen","Aussenlager",IF(BU73="-","Nicht im Lift",IF(AK73&gt;=1,"Lift",IF(AK73&lt;=0,"Aussenlager","teilweise")))))</f>
        <v>Lift</v>
      </c>
      <c r="BC73" s="55" t="str">
        <f aca="false">IF(AN73&lt;=0,"",IF(BU73="Aussen","Aussenlager",IF(BU73="-","Nicht im Lift",IF(AS73&gt;=1,"Lift",IF(AS73&lt;=0,"Aussenlager","teilweise")))))</f>
        <v>Lift</v>
      </c>
      <c r="BD73" s="55" t="str">
        <f aca="false">IF(AV73&lt;=0,"",IF(BU73="Aussen","Aussenlager",IF(BU73="-","Nicht im Lift",IF(BA73&gt;=1,"Lift",IF(BA73&lt;=0,"Aussenlager","teilweise")))))</f>
        <v>Lift</v>
      </c>
      <c r="BE73" s="55" t="str">
        <f aca="false">IF(A73="","",IF(BN73=1,"Neu; ","")&amp;IF(AND(BN73=0,BI73&lt;0),"negativer Bestand (Export "&amp;BI73&amp;"); ","")&amp;IF(I73&lt;=0,"Kein Verbrauch; ","")&amp;IF(CD73&gt;0,"Lift "&amp;U73&amp;" lt. Liftbericht (Fach "&amp;V73&amp;" Stk); ",IF(BR73=1,"Lose – Fläche geschätzt; ",""))&amp;IF(G73&gt;AP73,"Überbestand "&amp;ROUND(G73-AP73,0)&amp;" Stk / CHF "&amp;ROUND((G73-AP73)*F73,0)&amp;"; ","")&amp;IF(AND(BW73=1,BX73&lt;BY73),"MAX &lt; MB+LG; ","")&amp;IF(AND(CC73&gt;0,CB73*10&gt;CC73),"zu hoch für Tablar; ","")&amp;IF(AND(BN73=0,OR(BW73=1,Y73&lt;&gt;"",S73&lt;&gt;"",T73&lt;&gt;"",Z73&lt;&gt;"")),"manuell übersteuert; ","")&amp;IF(AND(BR73=0,Q73=0),"Gebinde unbekannt / Stellmass fehlt; ","")&amp;IF(AND(BR73=0,N(T73)&lt;=0,N(P73)&lt;=0),"Menge pro Gebinde fehlt (Ist = 1 Gebinde); ","")&amp;BM73)</f>
        <v/>
      </c>
      <c r="BF73" s="55"/>
      <c r="BG73" s="55"/>
      <c r="BH73" s="62"/>
      <c r="BI73" s="57" t="n">
        <v>20</v>
      </c>
      <c r="BJ73" s="57" t="n">
        <v>19</v>
      </c>
      <c r="BK73" s="56" t="n">
        <v>3430.65000000001</v>
      </c>
      <c r="BL73" s="57" t="n">
        <v>97</v>
      </c>
      <c r="BM73" s="55"/>
      <c r="BN73" s="60" t="n">
        <v>0</v>
      </c>
      <c r="BO73" s="60" t="n">
        <v>73</v>
      </c>
      <c r="BP73" s="55" t="str">
        <f aca="false">IF(S73&lt;&gt;"",UPPER(TRIM(S73)),IF(O73="","LOSE",O73))</f>
        <v>S51</v>
      </c>
      <c r="BQ73" s="57" t="n">
        <f aca="false">IF(BP73="LOSE",1,IF(N(T73)&gt;0,T73,IF(N(P73)&gt;0,P73,MAX(1,G73))))</f>
        <v>31</v>
      </c>
      <c r="BR73" s="60" t="n">
        <f aca="false">IF(BP73="LOSE",1,0)</f>
        <v>0</v>
      </c>
      <c r="BS73" s="59" t="n">
        <f aca="false">IF(BR73=0,0,IF(N(R73)&gt;0,R73,IFERROR(VLOOKUP(D73,Parameter!$A$35:$C$64,3,0)+0,0)))</f>
        <v>0</v>
      </c>
      <c r="BT73" s="55" t="n">
        <f aca="false">IF(Y73&lt;&gt;"",Y73,X73)</f>
        <v>3</v>
      </c>
      <c r="BU73" s="55" t="str">
        <f aca="false">IF(BT73=1,"L1",IF(OR(BT73=2,BT73=3),"L23",IF(BT73="Aussen","Aussen","-")))</f>
        <v>L23</v>
      </c>
      <c r="BV73" s="66" t="n">
        <f aca="false">IF(N(Z73)&gt;0,Z73,0)</f>
        <v>0</v>
      </c>
      <c r="BW73" s="60" t="n">
        <f aca="false">IF(ISNUMBER(AC73),1,0)</f>
        <v>0</v>
      </c>
      <c r="BX73" s="57" t="n">
        <f aca="false">N(AC73)</f>
        <v>0</v>
      </c>
      <c r="BY73" s="57" t="n">
        <f aca="false">N(L73)+N(M73)</f>
        <v>50</v>
      </c>
      <c r="BZ73" s="57" t="n">
        <f aca="false">ROUNDUP(G73/BQ73,0)</f>
        <v>1</v>
      </c>
      <c r="CA73" s="57" t="n">
        <f aca="false">ROUNDUP(BX73/BQ73,0)</f>
        <v>0</v>
      </c>
      <c r="CB73" s="60" t="n">
        <f aca="false">IF(BR73=1,0,IFERROR(VLOOKUP(BP73,'Gebinde-Kategorie'!$A$5:$M$45,5,0)+0,0))</f>
        <v>11</v>
      </c>
      <c r="CC73" s="60" t="n">
        <f aca="false">IFERROR(IF(OR(BT73=1,BT73=2,BT73=3),N(INDEX(Parameter!$I$5:$I$7,BT73)),0),0)</f>
        <v>0</v>
      </c>
      <c r="CD73" s="59" t="n">
        <f aca="false">IF(AND(Parameter!$B$21="Ja",ISNUMBER(U73),N(V73)&gt;0),IFERROR(N(INDEX(Parameter!$L$5:$L$7,U73))*INDEX(Parameter!$E$5:$E$7,U73)*V73/SUMIFS($V$7:$V$1576,$U$7:$U$1576,U73),0),0)</f>
        <v>0</v>
      </c>
    </row>
    <row r="74" customFormat="false" ht="15" hidden="false" customHeight="false" outlineLevel="0" collapsed="false">
      <c r="A74" s="55" t="s">
        <v>342</v>
      </c>
      <c r="B74" s="55" t="s">
        <v>343</v>
      </c>
      <c r="C74" s="55" t="s">
        <v>160</v>
      </c>
      <c r="D74" s="55" t="s">
        <v>344</v>
      </c>
      <c r="E74" s="55" t="s">
        <v>210</v>
      </c>
      <c r="F74" s="56" t="n">
        <v>3398.79</v>
      </c>
      <c r="G74" s="57" t="n">
        <f aca="false">MAX(0,IF(AND(Parameter!$B$21="Ja",ISNUMBER(W74)),W74,IF(Parameter!$B$20="Jahresanfang 2025 + Export",BJ74+BI74,BI74)))</f>
        <v>1</v>
      </c>
      <c r="H74" s="57" t="n">
        <f aca="false">G74*F74</f>
        <v>3398.79</v>
      </c>
      <c r="I74" s="57" t="n">
        <f aca="false">BL74*Parameter!$B$18</f>
        <v>0</v>
      </c>
      <c r="J74" s="58" t="n">
        <v>0.5</v>
      </c>
      <c r="K74" s="59" t="n">
        <v>0</v>
      </c>
      <c r="L74" s="57" t="n">
        <v>0</v>
      </c>
      <c r="M74" s="57" t="n">
        <v>1</v>
      </c>
      <c r="N74" s="60" t="n">
        <v>0</v>
      </c>
      <c r="O74" s="55" t="s">
        <v>163</v>
      </c>
      <c r="P74" s="57"/>
      <c r="Q74" s="60" t="n">
        <f aca="false">IF(BR74=1,0,IFERROR(VLOOKUP(BP74,'Gebinde-Kategorie'!$A$5:$M$45,13,0)+0,0))</f>
        <v>0</v>
      </c>
      <c r="R74" s="61"/>
      <c r="S74" s="62"/>
      <c r="T74" s="62"/>
      <c r="U74" s="55"/>
      <c r="V74" s="57"/>
      <c r="W74" s="57"/>
      <c r="X74" s="55" t="str">
        <f aca="false">IF(A74="","",IF(AND(Parameter!$B$21="Ja",ISNUMBER(U74)),U74,IF(IFERROR(VLOOKUP(D74,Parameter!$A$35:$C$64,2,0),"Nein")="2+3",IF(ISNUMBER(SEARCH("grosser Artikel",BM74)),2,IFERROR(VLOOKUP(BP74,Parameter!$F$35:$G$64,2,0),2)),IF(OR(IFERROR(VLOOKUP(D74,Parameter!$A$35:$C$64,2,0),"Nein")="Nein",IFERROR(VLOOKUP(D74,Parameter!$A$35:$C$64,2,0),"Nein")=""),"-",VLOOKUP(D74,Parameter!$A$35:$C$64,2,0)))))</f>
        <v>-</v>
      </c>
      <c r="Y74" s="62"/>
      <c r="Z74" s="63"/>
      <c r="AA74" s="57" t="n">
        <f aca="false">AP74</f>
        <v>1</v>
      </c>
      <c r="AB74" s="57" t="n">
        <f aca="false">MAX(AP74,G74)</f>
        <v>1</v>
      </c>
      <c r="AC74" s="64"/>
      <c r="AD74" s="57" t="n">
        <f aca="false">IF(LEFT(Cockpit!$C$5,1)="A",G74,IF(BW74=1,BX74,IF(LEFT(Cockpit!$C$5,1)="B",AH74,MAX(AH74,G74))))</f>
        <v>1</v>
      </c>
      <c r="AE74" s="57" t="n">
        <f aca="false">IF(BR74=1,0,ROUNDUP(AD74/BQ74,0))</f>
        <v>0</v>
      </c>
      <c r="AF74" s="59" t="n">
        <f aca="false">IF(CD74&gt;0,CD74*MAX(1,AD74/V74),IF(BR74=1,IF(AD74&lt;=0,0,BS74*MAX(1,IF(G74&gt;0,AD74/G74,1))),IF(Q74&gt;0,AE74/Q74,0))/MAX(0.1,N(Parameter!$M$21)))</f>
        <v>0.15</v>
      </c>
      <c r="AG74" s="57" t="n">
        <f aca="false">AD74*F74</f>
        <v>3398.79</v>
      </c>
      <c r="AH74" s="57" t="n">
        <f aca="false">ROUNDUP(MAX(I74/IF(BV74&gt;0,BV74,MAX(0.1,N(Cockpit!$C$6))),BY74)/BQ74,0)*BQ74</f>
        <v>1</v>
      </c>
      <c r="AI74" s="58" t="n">
        <f aca="false">IF(AF74&gt;0,I74/AF74,-1)</f>
        <v>0</v>
      </c>
      <c r="AJ74" s="58" t="str">
        <f aca="false">IF(AND(OR(BU74="L1",BU74="L23"),AF74&gt;0),SUMIFS($AF$7:$AF$1576,$BU$7:$BU$1576,BU74,$AI$7:$AI$1576,"&gt;"&amp;AI74)+SUMIFS($AF$7:$AF$1576,$BU$7:$BU$1576,BU74,$AI$7:$AI$1576,AI74,$BO$7:$BO$1576,"&lt;="&amp;BO74),"")</f>
        <v/>
      </c>
      <c r="AK74" s="65" t="n">
        <f aca="false">IF(AJ74="",0,MAX(0,MIN(1,(IF(BU74="L1",Parameter!$E$5,Parameter!$E$6+Parameter!$E$7)-(AJ74-AF74))/AF74)))</f>
        <v>0</v>
      </c>
      <c r="AL74" s="57" t="n">
        <f aca="false">IF(LEFT(Cockpit!$I$5,1)="A",G74,IF(BW74=1,BX74,IF(LEFT(Cockpit!$I$5,1)="B",AP74,MAX(AP74,G74))))</f>
        <v>1</v>
      </c>
      <c r="AM74" s="57" t="n">
        <f aca="false">IF(BR74=1,0,ROUNDUP(AL74/BQ74,0))</f>
        <v>0</v>
      </c>
      <c r="AN74" s="59" t="n">
        <f aca="false">IF(CD74&gt;0,CD74*MAX(1,AL74/V74),IF(BR74=1,IF(AL74&lt;=0,0,BS74*MAX(1,IF(G74&gt;0,AL74/G74,1))),IF(Q74&gt;0,AM74/Q74,0))/MAX(0.1,N(Parameter!$M$21)))</f>
        <v>0.15</v>
      </c>
      <c r="AO74" s="57" t="n">
        <f aca="false">AL74*F74</f>
        <v>3398.79</v>
      </c>
      <c r="AP74" s="57" t="n">
        <f aca="false">ROUNDUP(MAX(I74/IF(BV74&gt;0,BV74,MAX(0.1,N(Cockpit!$I$6))),BY74)/BQ74,0)*BQ74</f>
        <v>1</v>
      </c>
      <c r="AQ74" s="58" t="n">
        <f aca="false">IF(AN74&gt;0,I74/AN74,-1)</f>
        <v>0</v>
      </c>
      <c r="AR74" s="58" t="str">
        <f aca="false">IF(AND(OR(BU74="L1",BU74="L23"),AN74&gt;0),SUMIFS($AN$7:$AN$1576,$BU$7:$BU$1576,BU74,$AQ$7:$AQ$1576,"&gt;"&amp;AQ74)+SUMIFS($AN$7:$AN$1576,$BU$7:$BU$1576,BU74,$AQ$7:$AQ$1576,AQ74,$BO$7:$BO$1576,"&lt;="&amp;BO74),"")</f>
        <v/>
      </c>
      <c r="AS74" s="65" t="n">
        <f aca="false">IF(AR74="",0,MAX(0,MIN(1,(IF(BU74="L1",Parameter!$E$5,Parameter!$E$6+Parameter!$E$7)-(AR74-AN74))/AN74)))</f>
        <v>0</v>
      </c>
      <c r="AT74" s="57" t="n">
        <f aca="false">IF(LEFT(Cockpit!$O$5,1)="A",G74,IF(BW74=1,BX74,IF(LEFT(Cockpit!$O$5,1)="B",AX74,MAX(AX74,G74))))</f>
        <v>1</v>
      </c>
      <c r="AU74" s="57" t="n">
        <f aca="false">IF(BR74=1,0,ROUNDUP(AT74/BQ74,0))</f>
        <v>0</v>
      </c>
      <c r="AV74" s="59" t="n">
        <f aca="false">IF(CD74&gt;0,CD74*MAX(1,AT74/V74),IF(BR74=1,IF(AT74&lt;=0,0,BS74*MAX(1,IF(G74&gt;0,AT74/G74,1))),IF(Q74&gt;0,AU74/Q74,0))/MAX(0.1,N(Parameter!$M$21)))</f>
        <v>0.15</v>
      </c>
      <c r="AW74" s="57" t="n">
        <f aca="false">AT74*F74</f>
        <v>3398.79</v>
      </c>
      <c r="AX74" s="57" t="n">
        <f aca="false">ROUNDUP(MAX(I74/IF(BV74&gt;0,BV74,MAX(0.1,N(Cockpit!$O$6))),BY74)/BQ74,0)*BQ74</f>
        <v>1</v>
      </c>
      <c r="AY74" s="58" t="n">
        <f aca="false">IF(AV74&gt;0,I74/AV74,-1)</f>
        <v>0</v>
      </c>
      <c r="AZ74" s="58" t="str">
        <f aca="false">IF(AND(OR(BU74="L1",BU74="L23"),AV74&gt;0),SUMIFS($AV$7:$AV$1576,$BU$7:$BU$1576,BU74,$AY$7:$AY$1576,"&gt;"&amp;AY74)+SUMIFS($AV$7:$AV$1576,$BU$7:$BU$1576,BU74,$AY$7:$AY$1576,AY74,$BO$7:$BO$1576,"&lt;="&amp;BO74),"")</f>
        <v/>
      </c>
      <c r="BA74" s="65" t="n">
        <f aca="false">IF(AZ74="",0,MAX(0,MIN(1,(IF(BU74="L1",Parameter!$E$5,Parameter!$E$6+Parameter!$E$7)-(AZ74-AV74))/AV74)))</f>
        <v>0</v>
      </c>
      <c r="BB74" s="55" t="str">
        <f aca="false">IF(AF74&lt;=0,"",IF(BU74="Aussen","Aussenlager",IF(BU74="-","Nicht im Lift",IF(AK74&gt;=1,"Lift",IF(AK74&lt;=0,"Aussenlager","teilweise")))))</f>
        <v>Nicht im Lift</v>
      </c>
      <c r="BC74" s="55" t="str">
        <f aca="false">IF(AN74&lt;=0,"",IF(BU74="Aussen","Aussenlager",IF(BU74="-","Nicht im Lift",IF(AS74&gt;=1,"Lift",IF(AS74&lt;=0,"Aussenlager","teilweise")))))</f>
        <v>Nicht im Lift</v>
      </c>
      <c r="BD74" s="55" t="str">
        <f aca="false">IF(AV74&lt;=0,"",IF(BU74="Aussen","Aussenlager",IF(BU74="-","Nicht im Lift",IF(BA74&gt;=1,"Lift",IF(BA74&lt;=0,"Aussenlager","teilweise")))))</f>
        <v>Nicht im Lift</v>
      </c>
      <c r="BE74" s="55" t="str">
        <f aca="false">IF(A74="","",IF(BN74=1,"Neu; ","")&amp;IF(AND(BN74=0,BI74&lt;0),"negativer Bestand (Export "&amp;BI74&amp;"); ","")&amp;IF(I74&lt;=0,"Kein Verbrauch; ","")&amp;IF(CD74&gt;0,"Lift "&amp;U74&amp;" lt. Liftbericht (Fach "&amp;V74&amp;" Stk); ",IF(BR74=1,"Lose – Fläche geschätzt; ",""))&amp;IF(G74&gt;AP74,"Überbestand "&amp;ROUND(G74-AP74,0)&amp;" Stk / CHF "&amp;ROUND((G74-AP74)*F74,0)&amp;"; ","")&amp;IF(AND(BW74=1,BX74&lt;BY74),"MAX &lt; MB+LG; ","")&amp;IF(AND(CC74&gt;0,CB74*10&gt;CC74),"zu hoch für Tablar; ","")&amp;IF(AND(BN74=0,OR(BW74=1,Y74&lt;&gt;"",S74&lt;&gt;"",T74&lt;&gt;"",Z74&lt;&gt;"")),"manuell übersteuert; ","")&amp;IF(AND(BR74=0,Q74=0),"Gebinde unbekannt / Stellmass fehlt; ","")&amp;IF(AND(BR74=0,N(T74)&lt;=0,N(P74)&lt;=0),"Menge pro Gebinde fehlt (Ist = 1 Gebinde); ","")&amp;BM74)</f>
        <v>Kein Verbrauch; Lose – Fläche geschätzt; </v>
      </c>
      <c r="BF74" s="55"/>
      <c r="BG74" s="55"/>
      <c r="BH74" s="62"/>
      <c r="BI74" s="57" t="n">
        <v>1</v>
      </c>
      <c r="BJ74" s="57" t="n">
        <v>0</v>
      </c>
      <c r="BK74" s="56" t="n">
        <v>3398.79</v>
      </c>
      <c r="BL74" s="57" t="n">
        <v>0</v>
      </c>
      <c r="BM74" s="55"/>
      <c r="BN74" s="60" t="n">
        <v>0</v>
      </c>
      <c r="BO74" s="60" t="n">
        <v>74</v>
      </c>
      <c r="BP74" s="55" t="str">
        <f aca="false">IF(S74&lt;&gt;"",UPPER(TRIM(S74)),IF(O74="","LOSE",O74))</f>
        <v>LOSE</v>
      </c>
      <c r="BQ74" s="57" t="n">
        <f aca="false">IF(BP74="LOSE",1,IF(N(T74)&gt;0,T74,IF(N(P74)&gt;0,P74,MAX(1,G74))))</f>
        <v>1</v>
      </c>
      <c r="BR74" s="60" t="n">
        <f aca="false">IF(BP74="LOSE",1,0)</f>
        <v>1</v>
      </c>
      <c r="BS74" s="59" t="n">
        <f aca="false">IF(BR74=0,0,IF(N(R74)&gt;0,R74,IFERROR(VLOOKUP(D74,Parameter!$A$35:$C$64,3,0)+0,0)))</f>
        <v>0.15</v>
      </c>
      <c r="BT74" s="55" t="str">
        <f aca="false">IF(Y74&lt;&gt;"",Y74,X74)</f>
        <v>-</v>
      </c>
      <c r="BU74" s="55" t="str">
        <f aca="false">IF(BT74=1,"L1",IF(OR(BT74=2,BT74=3),"L23",IF(BT74="Aussen","Aussen","-")))</f>
        <v>-</v>
      </c>
      <c r="BV74" s="66" t="n">
        <f aca="false">IF(N(Z74)&gt;0,Z74,0)</f>
        <v>0</v>
      </c>
      <c r="BW74" s="60" t="n">
        <f aca="false">IF(ISNUMBER(AC74),1,0)</f>
        <v>0</v>
      </c>
      <c r="BX74" s="57" t="n">
        <f aca="false">N(AC74)</f>
        <v>0</v>
      </c>
      <c r="BY74" s="57" t="n">
        <f aca="false">N(L74)+N(M74)</f>
        <v>1</v>
      </c>
      <c r="BZ74" s="57" t="n">
        <f aca="false">ROUNDUP(G74/BQ74,0)</f>
        <v>1</v>
      </c>
      <c r="CA74" s="57" t="n">
        <f aca="false">ROUNDUP(BX74/BQ74,0)</f>
        <v>0</v>
      </c>
      <c r="CB74" s="60" t="n">
        <f aca="false">IF(BR74=1,0,IFERROR(VLOOKUP(BP74,'Gebinde-Kategorie'!$A$5:$M$45,5,0)+0,0))</f>
        <v>0</v>
      </c>
      <c r="CC74" s="60" t="n">
        <f aca="false">IFERROR(IF(OR(BT74=1,BT74=2,BT74=3),N(INDEX(Parameter!$I$5:$I$7,BT74)),0),0)</f>
        <v>0</v>
      </c>
      <c r="CD74" s="59" t="n">
        <f aca="false">IF(AND(Parameter!$B$21="Ja",ISNUMBER(U74),N(V74)&gt;0),IFERROR(N(INDEX(Parameter!$L$5:$L$7,U74))*INDEX(Parameter!$E$5:$E$7,U74)*V74/SUMIFS($V$7:$V$1576,$U$7:$U$1576,U74),0),0)</f>
        <v>0</v>
      </c>
    </row>
    <row r="75" customFormat="false" ht="15" hidden="false" customHeight="false" outlineLevel="0" collapsed="false">
      <c r="A75" s="55" t="s">
        <v>345</v>
      </c>
      <c r="B75" s="55" t="s">
        <v>346</v>
      </c>
      <c r="C75" s="55" t="s">
        <v>160</v>
      </c>
      <c r="D75" s="55" t="s">
        <v>168</v>
      </c>
      <c r="E75" s="55" t="s">
        <v>210</v>
      </c>
      <c r="F75" s="56" t="n">
        <v>674.15</v>
      </c>
      <c r="G75" s="57" t="n">
        <f aca="false">MAX(0,IF(AND(Parameter!$B$21="Ja",ISNUMBER(W75)),W75,IF(Parameter!$B$20="Jahresanfang 2025 + Export",BJ75+BI75,BI75)))</f>
        <v>2</v>
      </c>
      <c r="H75" s="57" t="n">
        <f aca="false">G75*F75</f>
        <v>1348.3</v>
      </c>
      <c r="I75" s="57" t="n">
        <f aca="false">BL75*Parameter!$B$18</f>
        <v>0</v>
      </c>
      <c r="J75" s="58" t="n">
        <v>0</v>
      </c>
      <c r="K75" s="59" t="n">
        <v>0</v>
      </c>
      <c r="L75" s="57" t="n">
        <v>0</v>
      </c>
      <c r="M75" s="57" t="n">
        <v>5</v>
      </c>
      <c r="N75" s="60" t="n">
        <v>9999</v>
      </c>
      <c r="O75" s="55" t="s">
        <v>163</v>
      </c>
      <c r="P75" s="57"/>
      <c r="Q75" s="60" t="n">
        <f aca="false">IF(BR75=1,0,IFERROR(VLOOKUP(BP75,'Gebinde-Kategorie'!$A$5:$M$45,13,0)+0,0))</f>
        <v>0</v>
      </c>
      <c r="R75" s="61"/>
      <c r="S75" s="62"/>
      <c r="T75" s="62"/>
      <c r="U75" s="55" t="n">
        <v>1</v>
      </c>
      <c r="V75" s="57" t="n">
        <v>4</v>
      </c>
      <c r="W75" s="57" t="n">
        <v>2</v>
      </c>
      <c r="X75" s="55" t="n">
        <f aca="false">IF(A75="","",IF(AND(Parameter!$B$21="Ja",ISNUMBER(U75)),U75,IF(IFERROR(VLOOKUP(D75,Parameter!$A$35:$C$64,2,0),"Nein")="2+3",IF(ISNUMBER(SEARCH("grosser Artikel",BM75)),2,IFERROR(VLOOKUP(BP75,Parameter!$F$35:$G$64,2,0),2)),IF(OR(IFERROR(VLOOKUP(D75,Parameter!$A$35:$C$64,2,0),"Nein")="Nein",IFERROR(VLOOKUP(D75,Parameter!$A$35:$C$64,2,0),"Nein")=""),"-",VLOOKUP(D75,Parameter!$A$35:$C$64,2,0)))))</f>
        <v>1</v>
      </c>
      <c r="Y75" s="62"/>
      <c r="Z75" s="63"/>
      <c r="AA75" s="57" t="n">
        <f aca="false">AP75</f>
        <v>5</v>
      </c>
      <c r="AB75" s="57" t="n">
        <f aca="false">MAX(AP75,G75)</f>
        <v>5</v>
      </c>
      <c r="AC75" s="64"/>
      <c r="AD75" s="57" t="n">
        <f aca="false">IF(LEFT(Cockpit!$C$5,1)="A",G75,IF(BW75=1,BX75,IF(LEFT(Cockpit!$C$5,1)="B",AH75,MAX(AH75,G75))))</f>
        <v>2</v>
      </c>
      <c r="AE75" s="57" t="n">
        <f aca="false">IF(BR75=1,0,ROUNDUP(AD75/BQ75,0))</f>
        <v>0</v>
      </c>
      <c r="AF75" s="59" t="n">
        <f aca="false">IF(CD75&gt;0,CD75*MAX(1,AD75/V75),IF(BR75=1,IF(AD75&lt;=0,0,BS75*MAX(1,IF(G75&gt;0,AD75/G75,1))),IF(Q75&gt;0,AE75/Q75,0))/MAX(0.1,N(Parameter!$M$21)))</f>
        <v>0.32015065913371</v>
      </c>
      <c r="AG75" s="57" t="n">
        <f aca="false">AD75*F75</f>
        <v>1348.3</v>
      </c>
      <c r="AH75" s="57" t="n">
        <f aca="false">ROUNDUP(MAX(I75/IF(BV75&gt;0,BV75,MAX(0.1,N(Cockpit!$C$6))),BY75)/BQ75,0)*BQ75</f>
        <v>5</v>
      </c>
      <c r="AI75" s="58" t="n">
        <f aca="false">IF(AF75&gt;0,I75/AF75,-1)</f>
        <v>0</v>
      </c>
      <c r="AJ75" s="58" t="n">
        <f aca="false">IF(AND(OR(BU75="L1",BU75="L23"),AF75&gt;0),SUMIFS($AF$7:$AF$1576,$BU$7:$BU$1576,BU75,$AI$7:$AI$1576,"&gt;"&amp;AI75)+SUMIFS($AF$7:$AF$1576,$BU$7:$BU$1576,BU75,$AI$7:$AI$1576,AI75,$BO$7:$BO$1576,"&lt;="&amp;BO75),"")</f>
        <v>39.1647834274953</v>
      </c>
      <c r="AK75" s="65" t="n">
        <f aca="false">IF(AJ75="",0,MAX(0,MIN(1,(IF(BU75="L1",Parameter!$E$5,Parameter!$E$6+Parameter!$E$7)-(AJ75-AF75))/AF75)))</f>
        <v>1</v>
      </c>
      <c r="AL75" s="57" t="n">
        <f aca="false">IF(LEFT(Cockpit!$I$5,1)="A",G75,IF(BW75=1,BX75,IF(LEFT(Cockpit!$I$5,1)="B",AP75,MAX(AP75,G75))))</f>
        <v>5</v>
      </c>
      <c r="AM75" s="57" t="n">
        <f aca="false">IF(BR75=1,0,ROUNDUP(AL75/BQ75,0))</f>
        <v>0</v>
      </c>
      <c r="AN75" s="59" t="n">
        <f aca="false">IF(CD75&gt;0,CD75*MAX(1,AL75/V75),IF(BR75=1,IF(AL75&lt;=0,0,BS75*MAX(1,IF(G75&gt;0,AL75/G75,1))),IF(Q75&gt;0,AM75/Q75,0))/MAX(0.1,N(Parameter!$M$21)))</f>
        <v>0.400188323917138</v>
      </c>
      <c r="AO75" s="57" t="n">
        <f aca="false">AL75*F75</f>
        <v>3370.75</v>
      </c>
      <c r="AP75" s="57" t="n">
        <f aca="false">ROUNDUP(MAX(I75/IF(BV75&gt;0,BV75,MAX(0.1,N(Cockpit!$I$6))),BY75)/BQ75,0)*BQ75</f>
        <v>5</v>
      </c>
      <c r="AQ75" s="58" t="n">
        <f aca="false">IF(AN75&gt;0,I75/AN75,-1)</f>
        <v>0</v>
      </c>
      <c r="AR75" s="58" t="n">
        <f aca="false">IF(AND(OR(BU75="L1",BU75="L23"),AN75&gt;0),SUMIFS($AN$7:$AN$1576,$BU$7:$BU$1576,BU75,$AQ$7:$AQ$1576,"&gt;"&amp;AQ75)+SUMIFS($AN$7:$AN$1576,$BU$7:$BU$1576,BU75,$AQ$7:$AQ$1576,AQ75,$BO$7:$BO$1576,"&lt;="&amp;BO75),"")</f>
        <v>44.7674199623352</v>
      </c>
      <c r="AS75" s="65" t="n">
        <f aca="false">IF(AR75="",0,MAX(0,MIN(1,(IF(BU75="L1",Parameter!$E$5,Parameter!$E$6+Parameter!$E$7)-(AR75-AN75))/AN75)))</f>
        <v>1</v>
      </c>
      <c r="AT75" s="57" t="n">
        <f aca="false">IF(LEFT(Cockpit!$O$5,1)="A",G75,IF(BW75=1,BX75,IF(LEFT(Cockpit!$O$5,1)="B",AX75,MAX(AX75,G75))))</f>
        <v>5</v>
      </c>
      <c r="AU75" s="57" t="n">
        <f aca="false">IF(BR75=1,0,ROUNDUP(AT75/BQ75,0))</f>
        <v>0</v>
      </c>
      <c r="AV75" s="59" t="n">
        <f aca="false">IF(CD75&gt;0,CD75*MAX(1,AT75/V75),IF(BR75=1,IF(AT75&lt;=0,0,BS75*MAX(1,IF(G75&gt;0,AT75/G75,1))),IF(Q75&gt;0,AU75/Q75,0))/MAX(0.1,N(Parameter!$M$21)))</f>
        <v>0.400188323917138</v>
      </c>
      <c r="AW75" s="57" t="n">
        <f aca="false">AT75*F75</f>
        <v>3370.75</v>
      </c>
      <c r="AX75" s="57" t="n">
        <f aca="false">ROUNDUP(MAX(I75/IF(BV75&gt;0,BV75,MAX(0.1,N(Cockpit!$O$6))),BY75)/BQ75,0)*BQ75</f>
        <v>5</v>
      </c>
      <c r="AY75" s="58" t="n">
        <f aca="false">IF(AV75&gt;0,I75/AV75,-1)</f>
        <v>0</v>
      </c>
      <c r="AZ75" s="58" t="n">
        <f aca="false">IF(AND(OR(BU75="L1",BU75="L23"),AV75&gt;0),SUMIFS($AV$7:$AV$1576,$BU$7:$BU$1576,BU75,$AY$7:$AY$1576,"&gt;"&amp;AY75)+SUMIFS($AV$7:$AV$1576,$BU$7:$BU$1576,BU75,$AY$7:$AY$1576,AY75,$BO$7:$BO$1576,"&lt;="&amp;BO75),"")</f>
        <v>41.8060263653484</v>
      </c>
      <c r="BA75" s="65" t="n">
        <f aca="false">IF(AZ75="",0,MAX(0,MIN(1,(IF(BU75="L1",Parameter!$E$5,Parameter!$E$6+Parameter!$E$7)-(AZ75-AV75))/AV75)))</f>
        <v>1</v>
      </c>
      <c r="BB75" s="55" t="str">
        <f aca="false">IF(AF75&lt;=0,"",IF(BU75="Aussen","Aussenlager",IF(BU75="-","Nicht im Lift",IF(AK75&gt;=1,"Lift",IF(AK75&lt;=0,"Aussenlager","teilweise")))))</f>
        <v>Lift</v>
      </c>
      <c r="BC75" s="55" t="str">
        <f aca="false">IF(AN75&lt;=0,"",IF(BU75="Aussen","Aussenlager",IF(BU75="-","Nicht im Lift",IF(AS75&gt;=1,"Lift",IF(AS75&lt;=0,"Aussenlager","teilweise")))))</f>
        <v>Lift</v>
      </c>
      <c r="BD75" s="55" t="str">
        <f aca="false">IF(AV75&lt;=0,"",IF(BU75="Aussen","Aussenlager",IF(BU75="-","Nicht im Lift",IF(BA75&gt;=1,"Lift",IF(BA75&lt;=0,"Aussenlager","teilweise")))))</f>
        <v>Lift</v>
      </c>
      <c r="BE75" s="55" t="str">
        <f aca="false">IF(A75="","",IF(BN75=1,"Neu; ","")&amp;IF(AND(BN75=0,BI75&lt;0),"negativer Bestand (Export "&amp;BI75&amp;"); ","")&amp;IF(I75&lt;=0,"Kein Verbrauch; ","")&amp;IF(CD75&gt;0,"Lift "&amp;U75&amp;" lt. Liftbericht (Fach "&amp;V75&amp;" Stk); ",IF(BR75=1,"Lose – Fläche geschätzt; ",""))&amp;IF(G75&gt;AP75,"Überbestand "&amp;ROUND(G75-AP75,0)&amp;" Stk / CHF "&amp;ROUND((G75-AP75)*F75,0)&amp;"; ","")&amp;IF(AND(BW75=1,BX75&lt;BY75),"MAX &lt; MB+LG; ","")&amp;IF(AND(CC75&gt;0,CB75*10&gt;CC75),"zu hoch für Tablar; ","")&amp;IF(AND(BN75=0,OR(BW75=1,Y75&lt;&gt;"",S75&lt;&gt;"",T75&lt;&gt;"",Z75&lt;&gt;"")),"manuell übersteuert; ","")&amp;IF(AND(BR75=0,Q75=0),"Gebinde unbekannt / Stellmass fehlt; ","")&amp;IF(AND(BR75=0,N(T75)&lt;=0,N(P75)&lt;=0),"Menge pro Gebinde fehlt (Ist = 1 Gebinde); ","")&amp;BM75)</f>
        <v>Kein Verbrauch; Lift 1 lt. Liftbericht (Fach 4 Stk); </v>
      </c>
      <c r="BF75" s="55" t="s">
        <v>347</v>
      </c>
      <c r="BG75" s="55" t="s">
        <v>336</v>
      </c>
      <c r="BH75" s="62"/>
      <c r="BI75" s="57" t="n">
        <v>5</v>
      </c>
      <c r="BJ75" s="57" t="n">
        <v>0</v>
      </c>
      <c r="BK75" s="56" t="n">
        <v>3370.75</v>
      </c>
      <c r="BL75" s="57" t="n">
        <v>0</v>
      </c>
      <c r="BM75" s="55"/>
      <c r="BN75" s="60" t="n">
        <v>0</v>
      </c>
      <c r="BO75" s="60" t="n">
        <v>75</v>
      </c>
      <c r="BP75" s="55" t="str">
        <f aca="false">IF(S75&lt;&gt;"",UPPER(TRIM(S75)),IF(O75="","LOSE",O75))</f>
        <v>LOSE</v>
      </c>
      <c r="BQ75" s="57" t="n">
        <f aca="false">IF(BP75="LOSE",1,IF(N(T75)&gt;0,T75,IF(N(P75)&gt;0,P75,MAX(1,G75))))</f>
        <v>1</v>
      </c>
      <c r="BR75" s="60" t="n">
        <f aca="false">IF(BP75="LOSE",1,0)</f>
        <v>1</v>
      </c>
      <c r="BS75" s="59" t="n">
        <f aca="false">IF(BR75=0,0,IF(N(R75)&gt;0,R75,IFERROR(VLOOKUP(D75,Parameter!$A$35:$C$64,3,0)+0,0)))</f>
        <v>0.15</v>
      </c>
      <c r="BT75" s="55" t="n">
        <f aca="false">IF(Y75&lt;&gt;"",Y75,X75)</f>
        <v>1</v>
      </c>
      <c r="BU75" s="55" t="str">
        <f aca="false">IF(BT75=1,"L1",IF(OR(BT75=2,BT75=3),"L23",IF(BT75="Aussen","Aussen","-")))</f>
        <v>L1</v>
      </c>
      <c r="BV75" s="66" t="n">
        <f aca="false">IF(N(Z75)&gt;0,Z75,0)</f>
        <v>0</v>
      </c>
      <c r="BW75" s="60" t="n">
        <f aca="false">IF(ISNUMBER(AC75),1,0)</f>
        <v>0</v>
      </c>
      <c r="BX75" s="57" t="n">
        <f aca="false">N(AC75)</f>
        <v>0</v>
      </c>
      <c r="BY75" s="57" t="n">
        <f aca="false">N(L75)+N(M75)</f>
        <v>5</v>
      </c>
      <c r="BZ75" s="57" t="n">
        <f aca="false">ROUNDUP(G75/BQ75,0)</f>
        <v>2</v>
      </c>
      <c r="CA75" s="57" t="n">
        <f aca="false">ROUNDUP(BX75/BQ75,0)</f>
        <v>0</v>
      </c>
      <c r="CB75" s="60" t="n">
        <f aca="false">IF(BR75=1,0,IFERROR(VLOOKUP(BP75,'Gebinde-Kategorie'!$A$5:$M$45,5,0)+0,0))</f>
        <v>0</v>
      </c>
      <c r="CC75" s="60" t="n">
        <f aca="false">IFERROR(IF(OR(BT75=1,BT75=2,BT75=3),N(INDEX(Parameter!$I$5:$I$7,BT75)),0),0)</f>
        <v>0</v>
      </c>
      <c r="CD75" s="59" t="n">
        <f aca="false">IF(AND(Parameter!$B$21="Ja",ISNUMBER(U75),N(V75)&gt;0),IFERROR(N(INDEX(Parameter!$L$5:$L$7,U75))*INDEX(Parameter!$E$5:$E$7,U75)*V75/SUMIFS($V$7:$V$1576,$U$7:$U$1576,U75),0),0)</f>
        <v>0.32015065913371</v>
      </c>
    </row>
    <row r="76" customFormat="false" ht="15" hidden="false" customHeight="false" outlineLevel="0" collapsed="false">
      <c r="A76" s="55" t="s">
        <v>348</v>
      </c>
      <c r="B76" s="55" t="s">
        <v>349</v>
      </c>
      <c r="C76" s="55" t="s">
        <v>160</v>
      </c>
      <c r="D76" s="55" t="s">
        <v>168</v>
      </c>
      <c r="E76" s="55" t="s">
        <v>210</v>
      </c>
      <c r="F76" s="56" t="n">
        <v>186.8</v>
      </c>
      <c r="G76" s="57" t="n">
        <f aca="false">MAX(0,IF(AND(Parameter!$B$21="Ja",ISNUMBER(W76)),W76,IF(Parameter!$B$20="Jahresanfang 2025 + Export",BJ76+BI76,BI76)))</f>
        <v>18</v>
      </c>
      <c r="H76" s="57" t="n">
        <f aca="false">G76*F76</f>
        <v>3362.4</v>
      </c>
      <c r="I76" s="57" t="n">
        <f aca="false">BL76*Parameter!$B$18</f>
        <v>46</v>
      </c>
      <c r="J76" s="58" t="n">
        <v>8</v>
      </c>
      <c r="K76" s="59" t="n">
        <v>5.75</v>
      </c>
      <c r="L76" s="57" t="n">
        <v>5</v>
      </c>
      <c r="M76" s="57" t="n">
        <v>25</v>
      </c>
      <c r="N76" s="60" t="n">
        <v>49</v>
      </c>
      <c r="O76" s="55" t="s">
        <v>169</v>
      </c>
      <c r="P76" s="57" t="n">
        <v>13</v>
      </c>
      <c r="Q76" s="60" t="n">
        <f aca="false">IF(BR76=1,0,IFERROR(VLOOKUP(BP76,'Gebinde-Kategorie'!$A$5:$M$45,13,0)+0,0))</f>
        <v>6</v>
      </c>
      <c r="R76" s="61"/>
      <c r="S76" s="62"/>
      <c r="T76" s="62"/>
      <c r="U76" s="55"/>
      <c r="V76" s="57"/>
      <c r="W76" s="57"/>
      <c r="X76" s="55" t="n">
        <f aca="false">IF(A76="","",IF(AND(Parameter!$B$21="Ja",ISNUMBER(U76)),U76,IF(IFERROR(VLOOKUP(D76,Parameter!$A$35:$C$64,2,0),"Nein")="2+3",IF(ISNUMBER(SEARCH("grosser Artikel",BM76)),2,IFERROR(VLOOKUP(BP76,Parameter!$F$35:$G$64,2,0),2)),IF(OR(IFERROR(VLOOKUP(D76,Parameter!$A$35:$C$64,2,0),"Nein")="Nein",IFERROR(VLOOKUP(D76,Parameter!$A$35:$C$64,2,0),"Nein")=""),"-",VLOOKUP(D76,Parameter!$A$35:$C$64,2,0)))))</f>
        <v>2</v>
      </c>
      <c r="Y76" s="62"/>
      <c r="Z76" s="63"/>
      <c r="AA76" s="57" t="n">
        <f aca="false">AP76</f>
        <v>39</v>
      </c>
      <c r="AB76" s="57" t="n">
        <f aca="false">MAX(AP76,G76)</f>
        <v>39</v>
      </c>
      <c r="AC76" s="64"/>
      <c r="AD76" s="57" t="n">
        <f aca="false">IF(LEFT(Cockpit!$C$5,1)="A",G76,IF(BW76=1,BX76,IF(LEFT(Cockpit!$C$5,1)="B",AH76,MAX(AH76,G76))))</f>
        <v>18</v>
      </c>
      <c r="AE76" s="57" t="n">
        <f aca="false">IF(BR76=1,0,ROUNDUP(AD76/BQ76,0))</f>
        <v>2</v>
      </c>
      <c r="AF76" s="59" t="n">
        <f aca="false">IF(CD76&gt;0,CD76*MAX(1,AD76/V76),IF(BR76=1,IF(AD76&lt;=0,0,BS76*MAX(1,IF(G76&gt;0,AD76/G76,1))),IF(Q76&gt;0,AE76/Q76,0))/MAX(0.1,N(Parameter!$M$21)))</f>
        <v>0.333333333333333</v>
      </c>
      <c r="AG76" s="57" t="n">
        <f aca="false">AD76*F76</f>
        <v>3362.4</v>
      </c>
      <c r="AH76" s="57" t="n">
        <f aca="false">ROUNDUP(MAX(I76/IF(BV76&gt;0,BV76,MAX(0.1,N(Cockpit!$C$6))),BY76)/BQ76,0)*BQ76</f>
        <v>39</v>
      </c>
      <c r="AI76" s="58" t="n">
        <f aca="false">IF(AF76&gt;0,I76/AF76,-1)</f>
        <v>138</v>
      </c>
      <c r="AJ76" s="58" t="n">
        <f aca="false">IF(AND(OR(BU76="L1",BU76="L23"),AF76&gt;0),SUMIFS($AF$7:$AF$1576,$BU$7:$BU$1576,BU76,$AI$7:$AI$1576,"&gt;"&amp;AI76)+SUMIFS($AF$7:$AF$1576,$BU$7:$BU$1576,BU76,$AI$7:$AI$1576,AI76,$BO$7:$BO$1576,"&lt;="&amp;BO76),"")</f>
        <v>19.8711442181007</v>
      </c>
      <c r="AK76" s="65" t="n">
        <f aca="false">IF(AJ76="",0,MAX(0,MIN(1,(IF(BU76="L1",Parameter!$E$5,Parameter!$E$6+Parameter!$E$7)-(AJ76-AF76))/AF76)))</f>
        <v>1</v>
      </c>
      <c r="AL76" s="57" t="n">
        <f aca="false">IF(LEFT(Cockpit!$I$5,1)="A",G76,IF(BW76=1,BX76,IF(LEFT(Cockpit!$I$5,1)="B",AP76,MAX(AP76,G76))))</f>
        <v>39</v>
      </c>
      <c r="AM76" s="57" t="n">
        <f aca="false">IF(BR76=1,0,ROUNDUP(AL76/BQ76,0))</f>
        <v>3</v>
      </c>
      <c r="AN76" s="59" t="n">
        <f aca="false">IF(CD76&gt;0,CD76*MAX(1,AL76/V76),IF(BR76=1,IF(AL76&lt;=0,0,BS76*MAX(1,IF(G76&gt;0,AL76/G76,1))),IF(Q76&gt;0,AM76/Q76,0))/MAX(0.1,N(Parameter!$M$21)))</f>
        <v>0.5</v>
      </c>
      <c r="AO76" s="57" t="n">
        <f aca="false">AL76*F76</f>
        <v>7285.2</v>
      </c>
      <c r="AP76" s="57" t="n">
        <f aca="false">ROUNDUP(MAX(I76/IF(BV76&gt;0,BV76,MAX(0.1,N(Cockpit!$I$6))),BY76)/BQ76,0)*BQ76</f>
        <v>39</v>
      </c>
      <c r="AQ76" s="58" t="n">
        <f aca="false">IF(AN76&gt;0,I76/AN76,-1)</f>
        <v>92</v>
      </c>
      <c r="AR76" s="58" t="n">
        <f aca="false">IF(AND(OR(BU76="L1",BU76="L23"),AN76&gt;0),SUMIFS($AN$7:$AN$1576,$BU$7:$BU$1576,BU76,$AQ$7:$AQ$1576,"&gt;"&amp;AQ76)+SUMIFS($AN$7:$AN$1576,$BU$7:$BU$1576,BU76,$AQ$7:$AQ$1576,AQ76,$BO$7:$BO$1576,"&lt;="&amp;BO76),"")</f>
        <v>70.5269800432412</v>
      </c>
      <c r="AS76" s="65" t="n">
        <f aca="false">IF(AR76="",0,MAX(0,MIN(1,(IF(BU76="L1",Parameter!$E$5,Parameter!$E$6+Parameter!$E$7)-(AR76-AN76))/AN76)))</f>
        <v>1</v>
      </c>
      <c r="AT76" s="57" t="n">
        <f aca="false">IF(LEFT(Cockpit!$O$5,1)="A",G76,IF(BW76=1,BX76,IF(LEFT(Cockpit!$O$5,1)="B",AX76,MAX(AX76,G76))))</f>
        <v>39</v>
      </c>
      <c r="AU76" s="57" t="n">
        <f aca="false">IF(BR76=1,0,ROUNDUP(AT76/BQ76,0))</f>
        <v>3</v>
      </c>
      <c r="AV76" s="59" t="n">
        <f aca="false">IF(CD76&gt;0,CD76*MAX(1,AT76/V76),IF(BR76=1,IF(AT76&lt;=0,0,BS76*MAX(1,IF(G76&gt;0,AT76/G76,1))),IF(Q76&gt;0,AU76/Q76,0))/MAX(0.1,N(Parameter!$M$21)))</f>
        <v>0.5</v>
      </c>
      <c r="AW76" s="57" t="n">
        <f aca="false">AT76*F76</f>
        <v>7285.2</v>
      </c>
      <c r="AX76" s="57" t="n">
        <f aca="false">ROUNDUP(MAX(I76/IF(BV76&gt;0,BV76,MAX(0.1,N(Cockpit!$O$6))),BY76)/BQ76,0)*BQ76</f>
        <v>39</v>
      </c>
      <c r="AY76" s="58" t="n">
        <f aca="false">IF(AV76&gt;0,I76/AV76,-1)</f>
        <v>92</v>
      </c>
      <c r="AZ76" s="58" t="n">
        <f aca="false">IF(AND(OR(BU76="L1",BU76="L23"),AV76&gt;0),SUMIFS($AV$7:$AV$1576,$BU$7:$BU$1576,BU76,$AY$7:$AY$1576,"&gt;"&amp;AY76)+SUMIFS($AV$7:$AV$1576,$BU$7:$BU$1576,BU76,$AY$7:$AY$1576,AY76,$BO$7:$BO$1576,"&lt;="&amp;BO76),"")</f>
        <v>65.087363826125</v>
      </c>
      <c r="BA76" s="65" t="n">
        <f aca="false">IF(AZ76="",0,MAX(0,MIN(1,(IF(BU76="L1",Parameter!$E$5,Parameter!$E$6+Parameter!$E$7)-(AZ76-AV76))/AV76)))</f>
        <v>1</v>
      </c>
      <c r="BB76" s="55" t="str">
        <f aca="false">IF(AF76&lt;=0,"",IF(BU76="Aussen","Aussenlager",IF(BU76="-","Nicht im Lift",IF(AK76&gt;=1,"Lift",IF(AK76&lt;=0,"Aussenlager","teilweise")))))</f>
        <v>Lift</v>
      </c>
      <c r="BC76" s="55" t="str">
        <f aca="false">IF(AN76&lt;=0,"",IF(BU76="Aussen","Aussenlager",IF(BU76="-","Nicht im Lift",IF(AS76&gt;=1,"Lift",IF(AS76&lt;=0,"Aussenlager","teilweise")))))</f>
        <v>Lift</v>
      </c>
      <c r="BD76" s="55" t="str">
        <f aca="false">IF(AV76&lt;=0,"",IF(BU76="Aussen","Aussenlager",IF(BU76="-","Nicht im Lift",IF(BA76&gt;=1,"Lift",IF(BA76&lt;=0,"Aussenlager","teilweise")))))</f>
        <v>Lift</v>
      </c>
      <c r="BE76" s="55" t="str">
        <f aca="false">IF(A76="","",IF(BN76=1,"Neu; ","")&amp;IF(AND(BN76=0,BI76&lt;0),"negativer Bestand (Export "&amp;BI76&amp;"); ","")&amp;IF(I76&lt;=0,"Kein Verbrauch; ","")&amp;IF(CD76&gt;0,"Lift "&amp;U76&amp;" lt. Liftbericht (Fach "&amp;V76&amp;" Stk); ",IF(BR76=1,"Lose – Fläche geschätzt; ",""))&amp;IF(G76&gt;AP76,"Überbestand "&amp;ROUND(G76-AP76,0)&amp;" Stk / CHF "&amp;ROUND((G76-AP76)*F76,0)&amp;"; ","")&amp;IF(AND(BW76=1,BX76&lt;BY76),"MAX &lt; MB+LG; ","")&amp;IF(AND(CC76&gt;0,CB76*10&gt;CC76),"zu hoch für Tablar; ","")&amp;IF(AND(BN76=0,OR(BW76=1,Y76&lt;&gt;"",S76&lt;&gt;"",T76&lt;&gt;"",Z76&lt;&gt;"")),"manuell übersteuert; ","")&amp;IF(AND(BR76=0,Q76=0),"Gebinde unbekannt / Stellmass fehlt; ","")&amp;IF(AND(BR76=0,N(T76)&lt;=0,N(P76)&lt;=0),"Menge pro Gebinde fehlt (Ist = 1 Gebinde); ","")&amp;BM76)</f>
        <v>Überbestand; grosser Artikel &amp; nicht im KTL</v>
      </c>
      <c r="BF76" s="55"/>
      <c r="BG76" s="55"/>
      <c r="BH76" s="62"/>
      <c r="BI76" s="57" t="n">
        <v>18</v>
      </c>
      <c r="BJ76" s="57" t="n">
        <v>1</v>
      </c>
      <c r="BK76" s="56" t="n">
        <v>3364.03</v>
      </c>
      <c r="BL76" s="57" t="n">
        <v>46</v>
      </c>
      <c r="BM76" s="55" t="s">
        <v>350</v>
      </c>
      <c r="BN76" s="60" t="n">
        <v>0</v>
      </c>
      <c r="BO76" s="60" t="n">
        <v>76</v>
      </c>
      <c r="BP76" s="55" t="str">
        <f aca="false">IF(S76&lt;&gt;"",UPPER(TRIM(S76)),IF(O76="","LOSE",O76))</f>
        <v>S71</v>
      </c>
      <c r="BQ76" s="57" t="n">
        <f aca="false">IF(BP76="LOSE",1,IF(N(T76)&gt;0,T76,IF(N(P76)&gt;0,P76,MAX(1,G76))))</f>
        <v>13</v>
      </c>
      <c r="BR76" s="60" t="n">
        <f aca="false">IF(BP76="LOSE",1,0)</f>
        <v>0</v>
      </c>
      <c r="BS76" s="59" t="n">
        <f aca="false">IF(BR76=0,0,IF(N(R76)&gt;0,R76,IFERROR(VLOOKUP(D76,Parameter!$A$35:$C$64,3,0)+0,0)))</f>
        <v>0</v>
      </c>
      <c r="BT76" s="55" t="n">
        <f aca="false">IF(Y76&lt;&gt;"",Y76,X76)</f>
        <v>2</v>
      </c>
      <c r="BU76" s="55" t="str">
        <f aca="false">IF(BT76=1,"L1",IF(OR(BT76=2,BT76=3),"L23",IF(BT76="Aussen","Aussen","-")))</f>
        <v>L23</v>
      </c>
      <c r="BV76" s="66" t="n">
        <f aca="false">IF(N(Z76)&gt;0,Z76,0)</f>
        <v>0</v>
      </c>
      <c r="BW76" s="60" t="n">
        <f aca="false">IF(ISNUMBER(AC76),1,0)</f>
        <v>0</v>
      </c>
      <c r="BX76" s="57" t="n">
        <f aca="false">N(AC76)</f>
        <v>0</v>
      </c>
      <c r="BY76" s="57" t="n">
        <f aca="false">N(L76)+N(M76)</f>
        <v>30</v>
      </c>
      <c r="BZ76" s="57" t="n">
        <f aca="false">ROUNDUP(G76/BQ76,0)</f>
        <v>2</v>
      </c>
      <c r="CA76" s="57" t="n">
        <f aca="false">ROUNDUP(BX76/BQ76,0)</f>
        <v>0</v>
      </c>
      <c r="CB76" s="60" t="n">
        <f aca="false">IF(BR76=1,0,IFERROR(VLOOKUP(BP76,'Gebinde-Kategorie'!$A$5:$M$45,5,0)+0,0))</f>
        <v>20</v>
      </c>
      <c r="CC76" s="60" t="n">
        <f aca="false">IFERROR(IF(OR(BT76=1,BT76=2,BT76=3),N(INDEX(Parameter!$I$5:$I$7,BT76)),0),0)</f>
        <v>0</v>
      </c>
      <c r="CD76" s="59" t="n">
        <f aca="false">IF(AND(Parameter!$B$21="Ja",ISNUMBER(U76),N(V76)&gt;0),IFERROR(N(INDEX(Parameter!$L$5:$L$7,U76))*INDEX(Parameter!$E$5:$E$7,U76)*V76/SUMIFS($V$7:$V$1576,$U$7:$U$1576,U76),0),0)</f>
        <v>0</v>
      </c>
    </row>
    <row r="77" customFormat="false" ht="15" hidden="false" customHeight="false" outlineLevel="0" collapsed="false">
      <c r="A77" s="55" t="s">
        <v>351</v>
      </c>
      <c r="B77" s="55" t="s">
        <v>352</v>
      </c>
      <c r="C77" s="55" t="s">
        <v>160</v>
      </c>
      <c r="D77" s="55" t="s">
        <v>168</v>
      </c>
      <c r="E77" s="55" t="s">
        <v>210</v>
      </c>
      <c r="F77" s="56" t="n">
        <v>553.67</v>
      </c>
      <c r="G77" s="57" t="n">
        <f aca="false">MAX(0,IF(AND(Parameter!$B$21="Ja",ISNUMBER(W77)),W77,IF(Parameter!$B$20="Jahresanfang 2025 + Export",BJ77+BI77,BI77)))</f>
        <v>6</v>
      </c>
      <c r="H77" s="57" t="n">
        <f aca="false">G77*F77</f>
        <v>3322.02</v>
      </c>
      <c r="I77" s="57" t="n">
        <f aca="false">BL77*Parameter!$B$18</f>
        <v>18</v>
      </c>
      <c r="J77" s="58" t="n">
        <v>7</v>
      </c>
      <c r="K77" s="59" t="n">
        <v>2.57142857142857</v>
      </c>
      <c r="L77" s="57" t="n">
        <v>3</v>
      </c>
      <c r="M77" s="57" t="n">
        <v>10</v>
      </c>
      <c r="N77" s="60" t="n">
        <v>63</v>
      </c>
      <c r="O77" s="55" t="s">
        <v>169</v>
      </c>
      <c r="P77" s="57" t="n">
        <v>20</v>
      </c>
      <c r="Q77" s="60" t="n">
        <f aca="false">IF(BR77=1,0,IFERROR(VLOOKUP(BP77,'Gebinde-Kategorie'!$A$5:$M$45,13,0)+0,0))</f>
        <v>6</v>
      </c>
      <c r="R77" s="61"/>
      <c r="S77" s="62"/>
      <c r="T77" s="62"/>
      <c r="U77" s="55"/>
      <c r="V77" s="57"/>
      <c r="W77" s="57"/>
      <c r="X77" s="55" t="n">
        <f aca="false">IF(A77="","",IF(AND(Parameter!$B$21="Ja",ISNUMBER(U77)),U77,IF(IFERROR(VLOOKUP(D77,Parameter!$A$35:$C$64,2,0),"Nein")="2+3",IF(ISNUMBER(SEARCH("grosser Artikel",BM77)),2,IFERROR(VLOOKUP(BP77,Parameter!$F$35:$G$64,2,0),2)),IF(OR(IFERROR(VLOOKUP(D77,Parameter!$A$35:$C$64,2,0),"Nein")="Nein",IFERROR(VLOOKUP(D77,Parameter!$A$35:$C$64,2,0),"Nein")=""),"-",VLOOKUP(D77,Parameter!$A$35:$C$64,2,0)))))</f>
        <v>2</v>
      </c>
      <c r="Y77" s="62"/>
      <c r="Z77" s="63"/>
      <c r="AA77" s="57" t="n">
        <f aca="false">AP77</f>
        <v>20</v>
      </c>
      <c r="AB77" s="57" t="n">
        <f aca="false">MAX(AP77,G77)</f>
        <v>20</v>
      </c>
      <c r="AC77" s="64"/>
      <c r="AD77" s="57" t="n">
        <f aca="false">IF(LEFT(Cockpit!$C$5,1)="A",G77,IF(BW77=1,BX77,IF(LEFT(Cockpit!$C$5,1)="B",AH77,MAX(AH77,G77))))</f>
        <v>6</v>
      </c>
      <c r="AE77" s="57" t="n">
        <f aca="false">IF(BR77=1,0,ROUNDUP(AD77/BQ77,0))</f>
        <v>1</v>
      </c>
      <c r="AF77" s="59" t="n">
        <f aca="false">IF(CD77&gt;0,CD77*MAX(1,AD77/V77),IF(BR77=1,IF(AD77&lt;=0,0,BS77*MAX(1,IF(G77&gt;0,AD77/G77,1))),IF(Q77&gt;0,AE77/Q77,0))/MAX(0.1,N(Parameter!$M$21)))</f>
        <v>0.166666666666667</v>
      </c>
      <c r="AG77" s="57" t="n">
        <f aca="false">AD77*F77</f>
        <v>3322.02</v>
      </c>
      <c r="AH77" s="57" t="n">
        <f aca="false">ROUNDUP(MAX(I77/IF(BV77&gt;0,BV77,MAX(0.1,N(Cockpit!$C$6))),BY77)/BQ77,0)*BQ77</f>
        <v>20</v>
      </c>
      <c r="AI77" s="58" t="n">
        <f aca="false">IF(AF77&gt;0,I77/AF77,-1)</f>
        <v>108</v>
      </c>
      <c r="AJ77" s="58" t="n">
        <f aca="false">IF(AND(OR(BU77="L1",BU77="L23"),AF77&gt;0),SUMIFS($AF$7:$AF$1576,$BU$7:$BU$1576,BU77,$AI$7:$AI$1576,"&gt;"&amp;AI77)+SUMIFS($AF$7:$AF$1576,$BU$7:$BU$1576,BU77,$AI$7:$AI$1576,AI77,$BO$7:$BO$1576,"&lt;="&amp;BO77),"")</f>
        <v>22.3464355933921</v>
      </c>
      <c r="AK77" s="65" t="n">
        <f aca="false">IF(AJ77="",0,MAX(0,MIN(1,(IF(BU77="L1",Parameter!$E$5,Parameter!$E$6+Parameter!$E$7)-(AJ77-AF77))/AF77)))</f>
        <v>1</v>
      </c>
      <c r="AL77" s="57" t="n">
        <f aca="false">IF(LEFT(Cockpit!$I$5,1)="A",G77,IF(BW77=1,BX77,IF(LEFT(Cockpit!$I$5,1)="B",AP77,MAX(AP77,G77))))</f>
        <v>20</v>
      </c>
      <c r="AM77" s="57" t="n">
        <f aca="false">IF(BR77=1,0,ROUNDUP(AL77/BQ77,0))</f>
        <v>1</v>
      </c>
      <c r="AN77" s="59" t="n">
        <f aca="false">IF(CD77&gt;0,CD77*MAX(1,AL77/V77),IF(BR77=1,IF(AL77&lt;=0,0,BS77*MAX(1,IF(G77&gt;0,AL77/G77,1))),IF(Q77&gt;0,AM77/Q77,0))/MAX(0.1,N(Parameter!$M$21)))</f>
        <v>0.166666666666667</v>
      </c>
      <c r="AO77" s="57" t="n">
        <f aca="false">AL77*F77</f>
        <v>11073.4</v>
      </c>
      <c r="AP77" s="57" t="n">
        <f aca="false">ROUNDUP(MAX(I77/IF(BV77&gt;0,BV77,MAX(0.1,N(Cockpit!$I$6))),BY77)/BQ77,0)*BQ77</f>
        <v>20</v>
      </c>
      <c r="AQ77" s="58" t="n">
        <f aca="false">IF(AN77&gt;0,I77/AN77,-1)</f>
        <v>108</v>
      </c>
      <c r="AR77" s="58" t="n">
        <f aca="false">IF(AND(OR(BU77="L1",BU77="L23"),AN77&gt;0),SUMIFS($AN$7:$AN$1576,$BU$7:$BU$1576,BU77,$AQ$7:$AQ$1576,"&gt;"&amp;AQ77)+SUMIFS($AN$7:$AN$1576,$BU$7:$BU$1576,BU77,$AQ$7:$AQ$1576,AQ77,$BO$7:$BO$1576,"&lt;="&amp;BO77),"")</f>
        <v>67.4270023820135</v>
      </c>
      <c r="AS77" s="65" t="n">
        <f aca="false">IF(AR77="",0,MAX(0,MIN(1,(IF(BU77="L1",Parameter!$E$5,Parameter!$E$6+Parameter!$E$7)-(AR77-AN77))/AN77)))</f>
        <v>1</v>
      </c>
      <c r="AT77" s="57" t="n">
        <f aca="false">IF(LEFT(Cockpit!$O$5,1)="A",G77,IF(BW77=1,BX77,IF(LEFT(Cockpit!$O$5,1)="B",AX77,MAX(AX77,G77))))</f>
        <v>20</v>
      </c>
      <c r="AU77" s="57" t="n">
        <f aca="false">IF(BR77=1,0,ROUNDUP(AT77/BQ77,0))</f>
        <v>1</v>
      </c>
      <c r="AV77" s="59" t="n">
        <f aca="false">IF(CD77&gt;0,CD77*MAX(1,AT77/V77),IF(BR77=1,IF(AT77&lt;=0,0,BS77*MAX(1,IF(G77&gt;0,AT77/G77,1))),IF(Q77&gt;0,AU77/Q77,0))/MAX(0.1,N(Parameter!$M$21)))</f>
        <v>0.166666666666667</v>
      </c>
      <c r="AW77" s="57" t="n">
        <f aca="false">AT77*F77</f>
        <v>11073.4</v>
      </c>
      <c r="AX77" s="57" t="n">
        <f aca="false">ROUNDUP(MAX(I77/IF(BV77&gt;0,BV77,MAX(0.1,N(Cockpit!$O$6))),BY77)/BQ77,0)*BQ77</f>
        <v>20</v>
      </c>
      <c r="AY77" s="58" t="n">
        <f aca="false">IF(AV77&gt;0,I77/AV77,-1)</f>
        <v>108</v>
      </c>
      <c r="AZ77" s="58" t="n">
        <f aca="false">IF(AND(OR(BU77="L1",BU77="L23"),AV77&gt;0),SUMIFS($AV$7:$AV$1576,$BU$7:$BU$1576,BU77,$AY$7:$AY$1576,"&gt;"&amp;AY77)+SUMIFS($AV$7:$AV$1576,$BU$7:$BU$1576,BU77,$AY$7:$AY$1576,AY77,$BO$7:$BO$1576,"&lt;="&amp;BO77),"")</f>
        <v>62.7561361648973</v>
      </c>
      <c r="BA77" s="65" t="n">
        <f aca="false">IF(AZ77="",0,MAX(0,MIN(1,(IF(BU77="L1",Parameter!$E$5,Parameter!$E$6+Parameter!$E$7)-(AZ77-AV77))/AV77)))</f>
        <v>1</v>
      </c>
      <c r="BB77" s="55" t="str">
        <f aca="false">IF(AF77&lt;=0,"",IF(BU77="Aussen","Aussenlager",IF(BU77="-","Nicht im Lift",IF(AK77&gt;=1,"Lift",IF(AK77&lt;=0,"Aussenlager","teilweise")))))</f>
        <v>Lift</v>
      </c>
      <c r="BC77" s="55" t="str">
        <f aca="false">IF(AN77&lt;=0,"",IF(BU77="Aussen","Aussenlager",IF(BU77="-","Nicht im Lift",IF(AS77&gt;=1,"Lift",IF(AS77&lt;=0,"Aussenlager","teilweise")))))</f>
        <v>Lift</v>
      </c>
      <c r="BD77" s="55" t="str">
        <f aca="false">IF(AV77&lt;=0,"",IF(BU77="Aussen","Aussenlager",IF(BU77="-","Nicht im Lift",IF(BA77&gt;=1,"Lift",IF(BA77&lt;=0,"Aussenlager","teilweise")))))</f>
        <v>Lift</v>
      </c>
      <c r="BE77" s="55" t="str">
        <f aca="false">IF(A77="","",IF(BN77=1,"Neu; ","")&amp;IF(AND(BN77=0,BI77&lt;0),"negativer Bestand (Export "&amp;BI77&amp;"); ","")&amp;IF(I77&lt;=0,"Kein Verbrauch; ","")&amp;IF(CD77&gt;0,"Lift "&amp;U77&amp;" lt. Liftbericht (Fach "&amp;V77&amp;" Stk); ",IF(BR77=1,"Lose – Fläche geschätzt; ",""))&amp;IF(G77&gt;AP77,"Überbestand "&amp;ROUND(G77-AP77,0)&amp;" Stk / CHF "&amp;ROUND((G77-AP77)*F77,0)&amp;"; ","")&amp;IF(AND(BW77=1,BX77&lt;BY77),"MAX &lt; MB+LG; ","")&amp;IF(AND(CC77&gt;0,CB77*10&gt;CC77),"zu hoch für Tablar; ","")&amp;IF(AND(BN77=0,OR(BW77=1,Y77&lt;&gt;"",S77&lt;&gt;"",T77&lt;&gt;"",Z77&lt;&gt;"")),"manuell übersteuert; ","")&amp;IF(AND(BR77=0,Q77=0),"Gebinde unbekannt / Stellmass fehlt; ","")&amp;IF(AND(BR77=0,N(T77)&lt;=0,N(P77)&lt;=0),"Menge pro Gebinde fehlt (Ist = 1 Gebinde); ","")&amp;BM77)</f>
        <v/>
      </c>
      <c r="BF77" s="55"/>
      <c r="BG77" s="55"/>
      <c r="BH77" s="62"/>
      <c r="BI77" s="57" t="n">
        <v>6</v>
      </c>
      <c r="BJ77" s="57" t="n">
        <v>0</v>
      </c>
      <c r="BK77" s="56" t="n">
        <v>3322.02</v>
      </c>
      <c r="BL77" s="57" t="n">
        <v>18</v>
      </c>
      <c r="BM77" s="55"/>
      <c r="BN77" s="60" t="n">
        <v>0</v>
      </c>
      <c r="BO77" s="60" t="n">
        <v>77</v>
      </c>
      <c r="BP77" s="55" t="str">
        <f aca="false">IF(S77&lt;&gt;"",UPPER(TRIM(S77)),IF(O77="","LOSE",O77))</f>
        <v>S71</v>
      </c>
      <c r="BQ77" s="57" t="n">
        <f aca="false">IF(BP77="LOSE",1,IF(N(T77)&gt;0,T77,IF(N(P77)&gt;0,P77,MAX(1,G77))))</f>
        <v>20</v>
      </c>
      <c r="BR77" s="60" t="n">
        <f aca="false">IF(BP77="LOSE",1,0)</f>
        <v>0</v>
      </c>
      <c r="BS77" s="59" t="n">
        <f aca="false">IF(BR77=0,0,IF(N(R77)&gt;0,R77,IFERROR(VLOOKUP(D77,Parameter!$A$35:$C$64,3,0)+0,0)))</f>
        <v>0</v>
      </c>
      <c r="BT77" s="55" t="n">
        <f aca="false">IF(Y77&lt;&gt;"",Y77,X77)</f>
        <v>2</v>
      </c>
      <c r="BU77" s="55" t="str">
        <f aca="false">IF(BT77=1,"L1",IF(OR(BT77=2,BT77=3),"L23",IF(BT77="Aussen","Aussen","-")))</f>
        <v>L23</v>
      </c>
      <c r="BV77" s="66" t="n">
        <f aca="false">IF(N(Z77)&gt;0,Z77,0)</f>
        <v>0</v>
      </c>
      <c r="BW77" s="60" t="n">
        <f aca="false">IF(ISNUMBER(AC77),1,0)</f>
        <v>0</v>
      </c>
      <c r="BX77" s="57" t="n">
        <f aca="false">N(AC77)</f>
        <v>0</v>
      </c>
      <c r="BY77" s="57" t="n">
        <f aca="false">N(L77)+N(M77)</f>
        <v>13</v>
      </c>
      <c r="BZ77" s="57" t="n">
        <f aca="false">ROUNDUP(G77/BQ77,0)</f>
        <v>1</v>
      </c>
      <c r="CA77" s="57" t="n">
        <f aca="false">ROUNDUP(BX77/BQ77,0)</f>
        <v>0</v>
      </c>
      <c r="CB77" s="60" t="n">
        <f aca="false">IF(BR77=1,0,IFERROR(VLOOKUP(BP77,'Gebinde-Kategorie'!$A$5:$M$45,5,0)+0,0))</f>
        <v>20</v>
      </c>
      <c r="CC77" s="60" t="n">
        <f aca="false">IFERROR(IF(OR(BT77=1,BT77=2,BT77=3),N(INDEX(Parameter!$I$5:$I$7,BT77)),0),0)</f>
        <v>0</v>
      </c>
      <c r="CD77" s="59" t="n">
        <f aca="false">IF(AND(Parameter!$B$21="Ja",ISNUMBER(U77),N(V77)&gt;0),IFERROR(N(INDEX(Parameter!$L$5:$L$7,U77))*INDEX(Parameter!$E$5:$E$7,U77)*V77/SUMIFS($V$7:$V$1576,$U$7:$U$1576,U77),0),0)</f>
        <v>0</v>
      </c>
    </row>
    <row r="78" customFormat="false" ht="15" hidden="false" customHeight="false" outlineLevel="0" collapsed="false">
      <c r="A78" s="55" t="s">
        <v>353</v>
      </c>
      <c r="B78" s="55" t="s">
        <v>354</v>
      </c>
      <c r="C78" s="55" t="s">
        <v>160</v>
      </c>
      <c r="D78" s="55" t="s">
        <v>178</v>
      </c>
      <c r="E78" s="55" t="s">
        <v>210</v>
      </c>
      <c r="F78" s="56" t="n">
        <v>818.16</v>
      </c>
      <c r="G78" s="57" t="n">
        <f aca="false">MAX(0,IF(AND(Parameter!$B$21="Ja",ISNUMBER(W78)),W78,IF(Parameter!$B$20="Jahresanfang 2025 + Export",BJ78+BI78,BI78)))</f>
        <v>4</v>
      </c>
      <c r="H78" s="57" t="n">
        <f aca="false">G78*F78</f>
        <v>3272.64</v>
      </c>
      <c r="I78" s="57" t="n">
        <f aca="false">BL78*Parameter!$B$18</f>
        <v>1</v>
      </c>
      <c r="J78" s="58" t="n">
        <v>2</v>
      </c>
      <c r="K78" s="59" t="n">
        <v>0.5</v>
      </c>
      <c r="L78" s="57" t="n">
        <v>0</v>
      </c>
      <c r="M78" s="57" t="n">
        <v>1</v>
      </c>
      <c r="N78" s="60" t="n">
        <v>49</v>
      </c>
      <c r="O78" s="55" t="s">
        <v>284</v>
      </c>
      <c r="P78" s="57" t="n">
        <v>5</v>
      </c>
      <c r="Q78" s="60" t="n">
        <f aca="false">IF(BR78=1,0,IFERROR(VLOOKUP(BP78,'Gebinde-Kategorie'!$A$5:$M$45,13,0)+0,0))</f>
        <v>12</v>
      </c>
      <c r="R78" s="61"/>
      <c r="S78" s="62"/>
      <c r="T78" s="62"/>
      <c r="U78" s="55"/>
      <c r="V78" s="57"/>
      <c r="W78" s="57"/>
      <c r="X78" s="55" t="n">
        <f aca="false">IF(A78="","",IF(AND(Parameter!$B$21="Ja",ISNUMBER(U78)),U78,IF(IFERROR(VLOOKUP(D78,Parameter!$A$35:$C$64,2,0),"Nein")="2+3",IF(ISNUMBER(SEARCH("grosser Artikel",BM78)),2,IFERROR(VLOOKUP(BP78,Parameter!$F$35:$G$64,2,0),2)),IF(OR(IFERROR(VLOOKUP(D78,Parameter!$A$35:$C$64,2,0),"Nein")="Nein",IFERROR(VLOOKUP(D78,Parameter!$A$35:$C$64,2,0),"Nein")=""),"-",VLOOKUP(D78,Parameter!$A$35:$C$64,2,0)))))</f>
        <v>2</v>
      </c>
      <c r="Y78" s="62"/>
      <c r="Z78" s="63"/>
      <c r="AA78" s="57" t="n">
        <f aca="false">AP78</f>
        <v>5</v>
      </c>
      <c r="AB78" s="57" t="n">
        <f aca="false">MAX(AP78,G78)</f>
        <v>5</v>
      </c>
      <c r="AC78" s="64"/>
      <c r="AD78" s="57" t="n">
        <f aca="false">IF(LEFT(Cockpit!$C$5,1)="A",G78,IF(BW78=1,BX78,IF(LEFT(Cockpit!$C$5,1)="B",AH78,MAX(AH78,G78))))</f>
        <v>4</v>
      </c>
      <c r="AE78" s="57" t="n">
        <f aca="false">IF(BR78=1,0,ROUNDUP(AD78/BQ78,0))</f>
        <v>1</v>
      </c>
      <c r="AF78" s="59" t="n">
        <f aca="false">IF(CD78&gt;0,CD78*MAX(1,AD78/V78),IF(BR78=1,IF(AD78&lt;=0,0,BS78*MAX(1,IF(G78&gt;0,AD78/G78,1))),IF(Q78&gt;0,AE78/Q78,0))/MAX(0.1,N(Parameter!$M$21)))</f>
        <v>0.0833333333333333</v>
      </c>
      <c r="AG78" s="57" t="n">
        <f aca="false">AD78*F78</f>
        <v>3272.64</v>
      </c>
      <c r="AH78" s="57" t="n">
        <f aca="false">ROUNDUP(MAX(I78/IF(BV78&gt;0,BV78,MAX(0.1,N(Cockpit!$C$6))),BY78)/BQ78,0)*BQ78</f>
        <v>5</v>
      </c>
      <c r="AI78" s="58" t="n">
        <f aca="false">IF(AF78&gt;0,I78/AF78,-1)</f>
        <v>12</v>
      </c>
      <c r="AJ78" s="58" t="n">
        <f aca="false">IF(AND(OR(BU78="L1",BU78="L23"),AF78&gt;0),SUMIFS($AF$7:$AF$1576,$BU$7:$BU$1576,BU78,$AI$7:$AI$1576,"&gt;"&amp;AI78)+SUMIFS($AF$7:$AF$1576,$BU$7:$BU$1576,BU78,$AI$7:$AI$1576,AI78,$BO$7:$BO$1576,"&lt;="&amp;BO78),"")</f>
        <v>31.0159150028715</v>
      </c>
      <c r="AK78" s="65" t="n">
        <f aca="false">IF(AJ78="",0,MAX(0,MIN(1,(IF(BU78="L1",Parameter!$E$5,Parameter!$E$6+Parameter!$E$7)-(AJ78-AF78))/AF78)))</f>
        <v>1</v>
      </c>
      <c r="AL78" s="57" t="n">
        <f aca="false">IF(LEFT(Cockpit!$I$5,1)="A",G78,IF(BW78=1,BX78,IF(LEFT(Cockpit!$I$5,1)="B",AP78,MAX(AP78,G78))))</f>
        <v>5</v>
      </c>
      <c r="AM78" s="57" t="n">
        <f aca="false">IF(BR78=1,0,ROUNDUP(AL78/BQ78,0))</f>
        <v>1</v>
      </c>
      <c r="AN78" s="59" t="n">
        <f aca="false">IF(CD78&gt;0,CD78*MAX(1,AL78/V78),IF(BR78=1,IF(AL78&lt;=0,0,BS78*MAX(1,IF(G78&gt;0,AL78/G78,1))),IF(Q78&gt;0,AM78/Q78,0))/MAX(0.1,N(Parameter!$M$21)))</f>
        <v>0.0833333333333333</v>
      </c>
      <c r="AO78" s="57" t="n">
        <f aca="false">AL78*F78</f>
        <v>4090.8</v>
      </c>
      <c r="AP78" s="57" t="n">
        <f aca="false">ROUNDUP(MAX(I78/IF(BV78&gt;0,BV78,MAX(0.1,N(Cockpit!$I$6))),BY78)/BQ78,0)*BQ78</f>
        <v>5</v>
      </c>
      <c r="AQ78" s="58" t="n">
        <f aca="false">IF(AN78&gt;0,I78/AN78,-1)</f>
        <v>12</v>
      </c>
      <c r="AR78" s="58" t="n">
        <f aca="false">IF(AND(OR(BU78="L1",BU78="L23"),AN78&gt;0),SUMIFS($AN$7:$AN$1576,$BU$7:$BU$1576,BU78,$AQ$7:$AQ$1576,"&gt;"&amp;AQ78)+SUMIFS($AN$7:$AN$1576,$BU$7:$BU$1576,BU78,$AQ$7:$AQ$1576,AQ78,$BO$7:$BO$1576,"&lt;="&amp;BO78),"")</f>
        <v>107.020639716901</v>
      </c>
      <c r="AS78" s="65" t="n">
        <f aca="false">IF(AR78="",0,MAX(0,MIN(1,(IF(BU78="L1",Parameter!$E$5,Parameter!$E$6+Parameter!$E$7)-(AR78-AN78))/AN78)))</f>
        <v>0</v>
      </c>
      <c r="AT78" s="57" t="n">
        <f aca="false">IF(LEFT(Cockpit!$O$5,1)="A",G78,IF(BW78=1,BX78,IF(LEFT(Cockpit!$O$5,1)="B",AX78,MAX(AX78,G78))))</f>
        <v>5</v>
      </c>
      <c r="AU78" s="57" t="n">
        <f aca="false">IF(BR78=1,0,ROUNDUP(AT78/BQ78,0))</f>
        <v>1</v>
      </c>
      <c r="AV78" s="59" t="n">
        <f aca="false">IF(CD78&gt;0,CD78*MAX(1,AT78/V78),IF(BR78=1,IF(AT78&lt;=0,0,BS78*MAX(1,IF(G78&gt;0,AT78/G78,1))),IF(Q78&gt;0,AU78/Q78,0))/MAX(0.1,N(Parameter!$M$21)))</f>
        <v>0.0833333333333333</v>
      </c>
      <c r="AW78" s="57" t="n">
        <f aca="false">AT78*F78</f>
        <v>4090.8</v>
      </c>
      <c r="AX78" s="57" t="n">
        <f aca="false">ROUNDUP(MAX(I78/IF(BV78&gt;0,BV78,MAX(0.1,N(Cockpit!$O$6))),BY78)/BQ78,0)*BQ78</f>
        <v>5</v>
      </c>
      <c r="AY78" s="58" t="n">
        <f aca="false">IF(AV78&gt;0,I78/AV78,-1)</f>
        <v>12</v>
      </c>
      <c r="AZ78" s="58" t="n">
        <f aca="false">IF(AND(OR(BU78="L1",BU78="L23"),AV78&gt;0),SUMIFS($AV$7:$AV$1576,$BU$7:$BU$1576,BU78,$AY$7:$AY$1576,"&gt;"&amp;AY78)+SUMIFS($AV$7:$AV$1576,$BU$7:$BU$1576,BU78,$AY$7:$AY$1576,AY78,$BO$7:$BO$1576,"&lt;="&amp;BO78),"")</f>
        <v>97.0801901664513</v>
      </c>
      <c r="BA78" s="65" t="n">
        <f aca="false">IF(AZ78="",0,MAX(0,MIN(1,(IF(BU78="L1",Parameter!$E$5,Parameter!$E$6+Parameter!$E$7)-(AZ78-AV78))/AV78)))</f>
        <v>1</v>
      </c>
      <c r="BB78" s="55" t="str">
        <f aca="false">IF(AF78&lt;=0,"",IF(BU78="Aussen","Aussenlager",IF(BU78="-","Nicht im Lift",IF(AK78&gt;=1,"Lift",IF(AK78&lt;=0,"Aussenlager","teilweise")))))</f>
        <v>Lift</v>
      </c>
      <c r="BC78" s="55" t="str">
        <f aca="false">IF(AN78&lt;=0,"",IF(BU78="Aussen","Aussenlager",IF(BU78="-","Nicht im Lift",IF(AS78&gt;=1,"Lift",IF(AS78&lt;=0,"Aussenlager","teilweise")))))</f>
        <v>Aussenlager</v>
      </c>
      <c r="BD78" s="55" t="str">
        <f aca="false">IF(AV78&lt;=0,"",IF(BU78="Aussen","Aussenlager",IF(BU78="-","Nicht im Lift",IF(BA78&gt;=1,"Lift",IF(BA78&lt;=0,"Aussenlager","teilweise")))))</f>
        <v>Lift</v>
      </c>
      <c r="BE78" s="55" t="str">
        <f aca="false">IF(A78="","",IF(BN78=1,"Neu; ","")&amp;IF(AND(BN78=0,BI78&lt;0),"negativer Bestand (Export "&amp;BI78&amp;"); ","")&amp;IF(I78&lt;=0,"Kein Verbrauch; ","")&amp;IF(CD78&gt;0,"Lift "&amp;U78&amp;" lt. Liftbericht (Fach "&amp;V78&amp;" Stk); ",IF(BR78=1,"Lose – Fläche geschätzt; ",""))&amp;IF(G78&gt;AP78,"Überbestand "&amp;ROUND(G78-AP78,0)&amp;" Stk / CHF "&amp;ROUND((G78-AP78)*F78,0)&amp;"; ","")&amp;IF(AND(BW78=1,BX78&lt;BY78),"MAX &lt; MB+LG; ","")&amp;IF(AND(CC78&gt;0,CB78*10&gt;CC78),"zu hoch für Tablar; ","")&amp;IF(AND(BN78=0,OR(BW78=1,Y78&lt;&gt;"",S78&lt;&gt;"",T78&lt;&gt;"",Z78&lt;&gt;"")),"manuell übersteuert; ","")&amp;IF(AND(BR78=0,Q78=0),"Gebinde unbekannt / Stellmass fehlt; ","")&amp;IF(AND(BR78=0,N(T78)&lt;=0,N(P78)&lt;=0),"Menge pro Gebinde fehlt (Ist = 1 Gebinde); ","")&amp;BM78)</f>
        <v/>
      </c>
      <c r="BF78" s="55"/>
      <c r="BG78" s="55" t="s">
        <v>355</v>
      </c>
      <c r="BH78" s="62"/>
      <c r="BI78" s="57" t="n">
        <v>4</v>
      </c>
      <c r="BJ78" s="57" t="n">
        <v>0</v>
      </c>
      <c r="BK78" s="56" t="n">
        <v>3272.64</v>
      </c>
      <c r="BL78" s="57" t="n">
        <v>1</v>
      </c>
      <c r="BM78" s="55"/>
      <c r="BN78" s="60" t="n">
        <v>0</v>
      </c>
      <c r="BO78" s="60" t="n">
        <v>78</v>
      </c>
      <c r="BP78" s="55" t="str">
        <f aca="false">IF(S78&lt;&gt;"",UPPER(TRIM(S78)),IF(O78="","LOSE",O78))</f>
        <v>S62</v>
      </c>
      <c r="BQ78" s="57" t="n">
        <f aca="false">IF(BP78="LOSE",1,IF(N(T78)&gt;0,T78,IF(N(P78)&gt;0,P78,MAX(1,G78))))</f>
        <v>5</v>
      </c>
      <c r="BR78" s="60" t="n">
        <f aca="false">IF(BP78="LOSE",1,0)</f>
        <v>0</v>
      </c>
      <c r="BS78" s="59" t="n">
        <f aca="false">IF(BR78=0,0,IF(N(R78)&gt;0,R78,IFERROR(VLOOKUP(D78,Parameter!$A$35:$C$64,3,0)+0,0)))</f>
        <v>0</v>
      </c>
      <c r="BT78" s="55" t="n">
        <f aca="false">IF(Y78&lt;&gt;"",Y78,X78)</f>
        <v>2</v>
      </c>
      <c r="BU78" s="55" t="str">
        <f aca="false">IF(BT78=1,"L1",IF(OR(BT78=2,BT78=3),"L23",IF(BT78="Aussen","Aussen","-")))</f>
        <v>L23</v>
      </c>
      <c r="BV78" s="66" t="n">
        <f aca="false">IF(N(Z78)&gt;0,Z78,0)</f>
        <v>0</v>
      </c>
      <c r="BW78" s="60" t="n">
        <f aca="false">IF(ISNUMBER(AC78),1,0)</f>
        <v>0</v>
      </c>
      <c r="BX78" s="57" t="n">
        <f aca="false">N(AC78)</f>
        <v>0</v>
      </c>
      <c r="BY78" s="57" t="n">
        <f aca="false">N(L78)+N(M78)</f>
        <v>1</v>
      </c>
      <c r="BZ78" s="57" t="n">
        <f aca="false">ROUNDUP(G78/BQ78,0)</f>
        <v>1</v>
      </c>
      <c r="CA78" s="57" t="n">
        <f aca="false">ROUNDUP(BX78/BQ78,0)</f>
        <v>0</v>
      </c>
      <c r="CB78" s="60" t="n">
        <f aca="false">IF(BR78=1,0,IFERROR(VLOOKUP(BP78,'Gebinde-Kategorie'!$A$5:$M$45,5,0)+0,0))</f>
        <v>21</v>
      </c>
      <c r="CC78" s="60" t="n">
        <f aca="false">IFERROR(IF(OR(BT78=1,BT78=2,BT78=3),N(INDEX(Parameter!$I$5:$I$7,BT78)),0),0)</f>
        <v>0</v>
      </c>
      <c r="CD78" s="59" t="n">
        <f aca="false">IF(AND(Parameter!$B$21="Ja",ISNUMBER(U78),N(V78)&gt;0),IFERROR(N(INDEX(Parameter!$L$5:$L$7,U78))*INDEX(Parameter!$E$5:$E$7,U78)*V78/SUMIFS($V$7:$V$1576,$U$7:$U$1576,U78),0),0)</f>
        <v>0</v>
      </c>
    </row>
    <row r="79" customFormat="false" ht="15" hidden="false" customHeight="false" outlineLevel="0" collapsed="false">
      <c r="A79" s="55" t="s">
        <v>356</v>
      </c>
      <c r="B79" s="55" t="s">
        <v>292</v>
      </c>
      <c r="C79" s="55" t="s">
        <v>160</v>
      </c>
      <c r="D79" s="55" t="s">
        <v>178</v>
      </c>
      <c r="E79" s="55" t="s">
        <v>210</v>
      </c>
      <c r="F79" s="56" t="n">
        <v>349</v>
      </c>
      <c r="G79" s="57" t="n">
        <f aca="false">MAX(0,IF(AND(Parameter!$B$21="Ja",ISNUMBER(W79)),W79,IF(Parameter!$B$20="Jahresanfang 2025 + Export",BJ79+BI79,BI79)))</f>
        <v>9</v>
      </c>
      <c r="H79" s="57" t="n">
        <f aca="false">G79*F79</f>
        <v>3141</v>
      </c>
      <c r="I79" s="57" t="n">
        <f aca="false">BL79*Parameter!$B$18</f>
        <v>77</v>
      </c>
      <c r="J79" s="58" t="n">
        <v>23</v>
      </c>
      <c r="K79" s="59" t="n">
        <v>3.34782608695652</v>
      </c>
      <c r="L79" s="57" t="n">
        <v>4</v>
      </c>
      <c r="M79" s="57" t="n">
        <v>10</v>
      </c>
      <c r="N79" s="60" t="n">
        <v>21</v>
      </c>
      <c r="O79" s="55" t="s">
        <v>225</v>
      </c>
      <c r="P79" s="57" t="n">
        <v>35</v>
      </c>
      <c r="Q79" s="60" t="n">
        <f aca="false">IF(BR79=1,0,IFERROR(VLOOKUP(BP79,'Gebinde-Kategorie'!$A$5:$M$45,13,0)+0,0))</f>
        <v>26</v>
      </c>
      <c r="R79" s="61"/>
      <c r="S79" s="62"/>
      <c r="T79" s="62"/>
      <c r="U79" s="55"/>
      <c r="V79" s="57"/>
      <c r="W79" s="57"/>
      <c r="X79" s="55" t="n">
        <f aca="false">IF(A79="","",IF(AND(Parameter!$B$21="Ja",ISNUMBER(U79)),U79,IF(IFERROR(VLOOKUP(D79,Parameter!$A$35:$C$64,2,0),"Nein")="2+3",IF(ISNUMBER(SEARCH("grosser Artikel",BM79)),2,IFERROR(VLOOKUP(BP79,Parameter!$F$35:$G$64,2,0),2)),IF(OR(IFERROR(VLOOKUP(D79,Parameter!$A$35:$C$64,2,0),"Nein")="Nein",IFERROR(VLOOKUP(D79,Parameter!$A$35:$C$64,2,0),"Nein")=""),"-",VLOOKUP(D79,Parameter!$A$35:$C$64,2,0)))))</f>
        <v>3</v>
      </c>
      <c r="Y79" s="62"/>
      <c r="Z79" s="63"/>
      <c r="AA79" s="57" t="n">
        <f aca="false">AP79</f>
        <v>70</v>
      </c>
      <c r="AB79" s="57" t="n">
        <f aca="false">MAX(AP79,G79)</f>
        <v>70</v>
      </c>
      <c r="AC79" s="64"/>
      <c r="AD79" s="57" t="n">
        <f aca="false">IF(LEFT(Cockpit!$C$5,1)="A",G79,IF(BW79=1,BX79,IF(LEFT(Cockpit!$C$5,1)="B",AH79,MAX(AH79,G79))))</f>
        <v>9</v>
      </c>
      <c r="AE79" s="57" t="n">
        <f aca="false">IF(BR79=1,0,ROUNDUP(AD79/BQ79,0))</f>
        <v>1</v>
      </c>
      <c r="AF79" s="59" t="n">
        <f aca="false">IF(CD79&gt;0,CD79*MAX(1,AD79/V79),IF(BR79=1,IF(AD79&lt;=0,0,BS79*MAX(1,IF(G79&gt;0,AD79/G79,1))),IF(Q79&gt;0,AE79/Q79,0))/MAX(0.1,N(Parameter!$M$21)))</f>
        <v>0.0384615384615385</v>
      </c>
      <c r="AG79" s="57" t="n">
        <f aca="false">AD79*F79</f>
        <v>3141</v>
      </c>
      <c r="AH79" s="57" t="n">
        <f aca="false">ROUNDUP(MAX(I79/IF(BV79&gt;0,BV79,MAX(0.1,N(Cockpit!$C$6))),BY79)/BQ79,0)*BQ79</f>
        <v>70</v>
      </c>
      <c r="AI79" s="58" t="n">
        <f aca="false">IF(AF79&gt;0,I79/AF79,-1)</f>
        <v>2002</v>
      </c>
      <c r="AJ79" s="58" t="n">
        <f aca="false">IF(AND(OR(BU79="L1",BU79="L23"),AF79&gt;0),SUMIFS($AF$7:$AF$1576,$BU$7:$BU$1576,BU79,$AI$7:$AI$1576,"&gt;"&amp;AI79)+SUMIFS($AF$7:$AF$1576,$BU$7:$BU$1576,BU79,$AI$7:$AI$1576,AI79,$BO$7:$BO$1576,"&lt;="&amp;BO79),"")</f>
        <v>6.47830613830614</v>
      </c>
      <c r="AK79" s="65" t="n">
        <f aca="false">IF(AJ79="",0,MAX(0,MIN(1,(IF(BU79="L1",Parameter!$E$5,Parameter!$E$6+Parameter!$E$7)-(AJ79-AF79))/AF79)))</f>
        <v>1</v>
      </c>
      <c r="AL79" s="57" t="n">
        <f aca="false">IF(LEFT(Cockpit!$I$5,1)="A",G79,IF(BW79=1,BX79,IF(LEFT(Cockpit!$I$5,1)="B",AP79,MAX(AP79,G79))))</f>
        <v>70</v>
      </c>
      <c r="AM79" s="57" t="n">
        <f aca="false">IF(BR79=1,0,ROUNDUP(AL79/BQ79,0))</f>
        <v>2</v>
      </c>
      <c r="AN79" s="59" t="n">
        <f aca="false">IF(CD79&gt;0,CD79*MAX(1,AL79/V79),IF(BR79=1,IF(AL79&lt;=0,0,BS79*MAX(1,IF(G79&gt;0,AL79/G79,1))),IF(Q79&gt;0,AM79/Q79,0))/MAX(0.1,N(Parameter!$M$21)))</f>
        <v>0.0769230769230769</v>
      </c>
      <c r="AO79" s="57" t="n">
        <f aca="false">AL79*F79</f>
        <v>24430</v>
      </c>
      <c r="AP79" s="57" t="n">
        <f aca="false">ROUNDUP(MAX(I79/IF(BV79&gt;0,BV79,MAX(0.1,N(Cockpit!$I$6))),BY79)/BQ79,0)*BQ79</f>
        <v>70</v>
      </c>
      <c r="AQ79" s="58" t="n">
        <f aca="false">IF(AN79&gt;0,I79/AN79,-1)</f>
        <v>1001</v>
      </c>
      <c r="AR79" s="58" t="n">
        <f aca="false">IF(AND(OR(BU79="L1",BU79="L23"),AN79&gt;0),SUMIFS($AN$7:$AN$1576,$BU$7:$BU$1576,BU79,$AQ$7:$AQ$1576,"&gt;"&amp;AQ79)+SUMIFS($AN$7:$AN$1576,$BU$7:$BU$1576,BU79,$AQ$7:$AQ$1576,AQ79,$BO$7:$BO$1576,"&lt;="&amp;BO79),"")</f>
        <v>22.8072635701008</v>
      </c>
      <c r="AS79" s="65" t="n">
        <f aca="false">IF(AR79="",0,MAX(0,MIN(1,(IF(BU79="L1",Parameter!$E$5,Parameter!$E$6+Parameter!$E$7)-(AR79-AN79))/AN79)))</f>
        <v>1</v>
      </c>
      <c r="AT79" s="57" t="n">
        <f aca="false">IF(LEFT(Cockpit!$O$5,1)="A",G79,IF(BW79=1,BX79,IF(LEFT(Cockpit!$O$5,1)="B",AX79,MAX(AX79,G79))))</f>
        <v>35</v>
      </c>
      <c r="AU79" s="57" t="n">
        <f aca="false">IF(BR79=1,0,ROUNDUP(AT79/BQ79,0))</f>
        <v>1</v>
      </c>
      <c r="AV79" s="59" t="n">
        <f aca="false">IF(CD79&gt;0,CD79*MAX(1,AT79/V79),IF(BR79=1,IF(AT79&lt;=0,0,BS79*MAX(1,IF(G79&gt;0,AT79/G79,1))),IF(Q79&gt;0,AU79/Q79,0))/MAX(0.1,N(Parameter!$M$21)))</f>
        <v>0.0384615384615385</v>
      </c>
      <c r="AW79" s="57" t="n">
        <f aca="false">AT79*F79</f>
        <v>12215</v>
      </c>
      <c r="AX79" s="57" t="n">
        <f aca="false">ROUNDUP(MAX(I79/IF(BV79&gt;0,BV79,MAX(0.1,N(Cockpit!$O$6))),BY79)/BQ79,0)*BQ79</f>
        <v>35</v>
      </c>
      <c r="AY79" s="58" t="n">
        <f aca="false">IF(AV79&gt;0,I79/AV79,-1)</f>
        <v>2002</v>
      </c>
      <c r="AZ79" s="58" t="n">
        <f aca="false">IF(AND(OR(BU79="L1",BU79="L23"),AV79&gt;0),SUMIFS($AV$7:$AV$1576,$BU$7:$BU$1576,BU79,$AY$7:$AY$1576,"&gt;"&amp;AY79)+SUMIFS($AV$7:$AV$1576,$BU$7:$BU$1576,BU79,$AY$7:$AY$1576,AY79,$BO$7:$BO$1576,"&lt;="&amp;BO79),"")</f>
        <v>15.9542569149202</v>
      </c>
      <c r="BA79" s="65" t="n">
        <f aca="false">IF(AZ79="",0,MAX(0,MIN(1,(IF(BU79="L1",Parameter!$E$5,Parameter!$E$6+Parameter!$E$7)-(AZ79-AV79))/AV79)))</f>
        <v>1</v>
      </c>
      <c r="BB79" s="55" t="str">
        <f aca="false">IF(AF79&lt;=0,"",IF(BU79="Aussen","Aussenlager",IF(BU79="-","Nicht im Lift",IF(AK79&gt;=1,"Lift",IF(AK79&lt;=0,"Aussenlager","teilweise")))))</f>
        <v>Lift</v>
      </c>
      <c r="BC79" s="55" t="str">
        <f aca="false">IF(AN79&lt;=0,"",IF(BU79="Aussen","Aussenlager",IF(BU79="-","Nicht im Lift",IF(AS79&gt;=1,"Lift",IF(AS79&lt;=0,"Aussenlager","teilweise")))))</f>
        <v>Lift</v>
      </c>
      <c r="BD79" s="55" t="str">
        <f aca="false">IF(AV79&lt;=0,"",IF(BU79="Aussen","Aussenlager",IF(BU79="-","Nicht im Lift",IF(BA79&gt;=1,"Lift",IF(BA79&lt;=0,"Aussenlager","teilweise")))))</f>
        <v>Lift</v>
      </c>
      <c r="BE79" s="55" t="str">
        <f aca="false">IF(A79="","",IF(BN79=1,"Neu; ","")&amp;IF(AND(BN79=0,BI79&lt;0),"negativer Bestand (Export "&amp;BI79&amp;"); ","")&amp;IF(I79&lt;=0,"Kein Verbrauch; ","")&amp;IF(CD79&gt;0,"Lift "&amp;U79&amp;" lt. Liftbericht (Fach "&amp;V79&amp;" Stk); ",IF(BR79=1,"Lose – Fläche geschätzt; ",""))&amp;IF(G79&gt;AP79,"Überbestand "&amp;ROUND(G79-AP79,0)&amp;" Stk / CHF "&amp;ROUND((G79-AP79)*F79,0)&amp;"; ","")&amp;IF(AND(BW79=1,BX79&lt;BY79),"MAX &lt; MB+LG; ","")&amp;IF(AND(CC79&gt;0,CB79*10&gt;CC79),"zu hoch für Tablar; ","")&amp;IF(AND(BN79=0,OR(BW79=1,Y79&lt;&gt;"",S79&lt;&gt;"",T79&lt;&gt;"",Z79&lt;&gt;"")),"manuell übersteuert; ","")&amp;IF(AND(BR79=0,Q79=0),"Gebinde unbekannt / Stellmass fehlt; ","")&amp;IF(AND(BR79=0,N(T79)&lt;=0,N(P79)&lt;=0),"Menge pro Gebinde fehlt (Ist = 1 Gebinde); ","")&amp;BM79)</f>
        <v/>
      </c>
      <c r="BF79" s="55"/>
      <c r="BG79" s="55"/>
      <c r="BH79" s="62"/>
      <c r="BI79" s="57" t="n">
        <v>9</v>
      </c>
      <c r="BJ79" s="57" t="n">
        <v>21</v>
      </c>
      <c r="BK79" s="56" t="n">
        <v>3204.82</v>
      </c>
      <c r="BL79" s="57" t="n">
        <v>77</v>
      </c>
      <c r="BM79" s="55"/>
      <c r="BN79" s="60" t="n">
        <v>0</v>
      </c>
      <c r="BO79" s="60" t="n">
        <v>79</v>
      </c>
      <c r="BP79" s="55" t="str">
        <f aca="false">IF(S79&lt;&gt;"",UPPER(TRIM(S79)),IF(O79="","LOSE",O79))</f>
        <v>S52</v>
      </c>
      <c r="BQ79" s="57" t="n">
        <f aca="false">IF(BP79="LOSE",1,IF(N(T79)&gt;0,T79,IF(N(P79)&gt;0,P79,MAX(1,G79))))</f>
        <v>35</v>
      </c>
      <c r="BR79" s="60" t="n">
        <f aca="false">IF(BP79="LOSE",1,0)</f>
        <v>0</v>
      </c>
      <c r="BS79" s="59" t="n">
        <f aca="false">IF(BR79=0,0,IF(N(R79)&gt;0,R79,IFERROR(VLOOKUP(D79,Parameter!$A$35:$C$64,3,0)+0,0)))</f>
        <v>0</v>
      </c>
      <c r="BT79" s="55" t="n">
        <f aca="false">IF(Y79&lt;&gt;"",Y79,X79)</f>
        <v>3</v>
      </c>
      <c r="BU79" s="55" t="str">
        <f aca="false">IF(BT79=1,"L1",IF(OR(BT79=2,BT79=3),"L23",IF(BT79="Aussen","Aussen","-")))</f>
        <v>L23</v>
      </c>
      <c r="BV79" s="66" t="n">
        <f aca="false">IF(N(Z79)&gt;0,Z79,0)</f>
        <v>0</v>
      </c>
      <c r="BW79" s="60" t="n">
        <f aca="false">IF(ISNUMBER(AC79),1,0)</f>
        <v>0</v>
      </c>
      <c r="BX79" s="57" t="n">
        <f aca="false">N(AC79)</f>
        <v>0</v>
      </c>
      <c r="BY79" s="57" t="n">
        <f aca="false">N(L79)+N(M79)</f>
        <v>14</v>
      </c>
      <c r="BZ79" s="57" t="n">
        <f aca="false">ROUNDUP(G79/BQ79,0)</f>
        <v>1</v>
      </c>
      <c r="CA79" s="57" t="n">
        <f aca="false">ROUNDUP(BX79/BQ79,0)</f>
        <v>0</v>
      </c>
      <c r="CB79" s="60" t="n">
        <f aca="false">IF(BR79=1,0,IFERROR(VLOOKUP(BP79,'Gebinde-Kategorie'!$A$5:$M$45,5,0)+0,0))</f>
        <v>21</v>
      </c>
      <c r="CC79" s="60" t="n">
        <f aca="false">IFERROR(IF(OR(BT79=1,BT79=2,BT79=3),N(INDEX(Parameter!$I$5:$I$7,BT79)),0),0)</f>
        <v>0</v>
      </c>
      <c r="CD79" s="59" t="n">
        <f aca="false">IF(AND(Parameter!$B$21="Ja",ISNUMBER(U79),N(V79)&gt;0),IFERROR(N(INDEX(Parameter!$L$5:$L$7,U79))*INDEX(Parameter!$E$5:$E$7,U79)*V79/SUMIFS($V$7:$V$1576,$U$7:$U$1576,U79),0),0)</f>
        <v>0</v>
      </c>
    </row>
    <row r="80" customFormat="false" ht="15" hidden="false" customHeight="false" outlineLevel="0" collapsed="false">
      <c r="A80" s="55" t="s">
        <v>357</v>
      </c>
      <c r="B80" s="55" t="s">
        <v>358</v>
      </c>
      <c r="C80" s="55" t="s">
        <v>160</v>
      </c>
      <c r="D80" s="55" t="s">
        <v>168</v>
      </c>
      <c r="E80" s="55" t="s">
        <v>210</v>
      </c>
      <c r="F80" s="56" t="n">
        <v>312</v>
      </c>
      <c r="G80" s="57" t="n">
        <f aca="false">MAX(0,IF(AND(Parameter!$B$21="Ja",ISNUMBER(W80)),W80,IF(Parameter!$B$20="Jahresanfang 2025 + Export",BJ80+BI80,BI80)))</f>
        <v>10</v>
      </c>
      <c r="H80" s="57" t="n">
        <f aca="false">G80*F80</f>
        <v>3120</v>
      </c>
      <c r="I80" s="57" t="n">
        <f aca="false">BL80*Parameter!$B$18</f>
        <v>0</v>
      </c>
      <c r="J80" s="58" t="n">
        <v>10</v>
      </c>
      <c r="K80" s="59" t="n">
        <v>0</v>
      </c>
      <c r="L80" s="57" t="n">
        <v>0</v>
      </c>
      <c r="M80" s="57" t="n">
        <v>1</v>
      </c>
      <c r="N80" s="60" t="n">
        <v>35</v>
      </c>
      <c r="O80" s="55" t="s">
        <v>163</v>
      </c>
      <c r="P80" s="57"/>
      <c r="Q80" s="60" t="n">
        <f aca="false">IF(BR80=1,0,IFERROR(VLOOKUP(BP80,'Gebinde-Kategorie'!$A$5:$M$45,13,0)+0,0))</f>
        <v>0</v>
      </c>
      <c r="R80" s="61"/>
      <c r="S80" s="62"/>
      <c r="T80" s="62"/>
      <c r="U80" s="55" t="n">
        <v>1</v>
      </c>
      <c r="V80" s="57" t="n">
        <v>20</v>
      </c>
      <c r="W80" s="57" t="n">
        <v>10</v>
      </c>
      <c r="X80" s="55" t="n">
        <f aca="false">IF(A80="","",IF(AND(Parameter!$B$21="Ja",ISNUMBER(U80)),U80,IF(IFERROR(VLOOKUP(D80,Parameter!$A$35:$C$64,2,0),"Nein")="2+3",IF(ISNUMBER(SEARCH("grosser Artikel",BM80)),2,IFERROR(VLOOKUP(BP80,Parameter!$F$35:$G$64,2,0),2)),IF(OR(IFERROR(VLOOKUP(D80,Parameter!$A$35:$C$64,2,0),"Nein")="Nein",IFERROR(VLOOKUP(D80,Parameter!$A$35:$C$64,2,0),"Nein")=""),"-",VLOOKUP(D80,Parameter!$A$35:$C$64,2,0)))))</f>
        <v>1</v>
      </c>
      <c r="Y80" s="62"/>
      <c r="Z80" s="63"/>
      <c r="AA80" s="57" t="n">
        <f aca="false">AP80</f>
        <v>1</v>
      </c>
      <c r="AB80" s="57" t="n">
        <f aca="false">MAX(AP80,G80)</f>
        <v>10</v>
      </c>
      <c r="AC80" s="64"/>
      <c r="AD80" s="57" t="n">
        <f aca="false">IF(LEFT(Cockpit!$C$5,1)="A",G80,IF(BW80=1,BX80,IF(LEFT(Cockpit!$C$5,1)="B",AH80,MAX(AH80,G80))))</f>
        <v>10</v>
      </c>
      <c r="AE80" s="57" t="n">
        <f aca="false">IF(BR80=1,0,ROUNDUP(AD80/BQ80,0))</f>
        <v>0</v>
      </c>
      <c r="AF80" s="59" t="n">
        <f aca="false">IF(CD80&gt;0,CD80*MAX(1,AD80/V80),IF(BR80=1,IF(AD80&lt;=0,0,BS80*MAX(1,IF(G80&gt;0,AD80/G80,1))),IF(Q80&gt;0,AE80/Q80,0))/MAX(0.1,N(Parameter!$M$21)))</f>
        <v>1.60075329566855</v>
      </c>
      <c r="AG80" s="57" t="n">
        <f aca="false">AD80*F80</f>
        <v>3120</v>
      </c>
      <c r="AH80" s="57" t="n">
        <f aca="false">ROUNDUP(MAX(I80/IF(BV80&gt;0,BV80,MAX(0.1,N(Cockpit!$C$6))),BY80)/BQ80,0)*BQ80</f>
        <v>1</v>
      </c>
      <c r="AI80" s="58" t="n">
        <f aca="false">IF(AF80&gt;0,I80/AF80,-1)</f>
        <v>0</v>
      </c>
      <c r="AJ80" s="58" t="n">
        <f aca="false">IF(AND(OR(BU80="L1",BU80="L23"),AF80&gt;0),SUMIFS($AF$7:$AF$1576,$BU$7:$BU$1576,BU80,$AI$7:$AI$1576,"&gt;"&amp;AI80)+SUMIFS($AF$7:$AF$1576,$BU$7:$BU$1576,BU80,$AI$7:$AI$1576,AI80,$BO$7:$BO$1576,"&lt;="&amp;BO80),"")</f>
        <v>40.7655367231639</v>
      </c>
      <c r="AK80" s="65" t="n">
        <f aca="false">IF(AJ80="",0,MAX(0,MIN(1,(IF(BU80="L1",Parameter!$E$5,Parameter!$E$6+Parameter!$E$7)-(AJ80-AF80))/AF80)))</f>
        <v>1</v>
      </c>
      <c r="AL80" s="57" t="n">
        <f aca="false">IF(LEFT(Cockpit!$I$5,1)="A",G80,IF(BW80=1,BX80,IF(LEFT(Cockpit!$I$5,1)="B",AP80,MAX(AP80,G80))))</f>
        <v>10</v>
      </c>
      <c r="AM80" s="57" t="n">
        <f aca="false">IF(BR80=1,0,ROUNDUP(AL80/BQ80,0))</f>
        <v>0</v>
      </c>
      <c r="AN80" s="59" t="n">
        <f aca="false">IF(CD80&gt;0,CD80*MAX(1,AL80/V80),IF(BR80=1,IF(AL80&lt;=0,0,BS80*MAX(1,IF(G80&gt;0,AL80/G80,1))),IF(Q80&gt;0,AM80/Q80,0))/MAX(0.1,N(Parameter!$M$21)))</f>
        <v>1.60075329566855</v>
      </c>
      <c r="AO80" s="57" t="n">
        <f aca="false">AL80*F80</f>
        <v>3120</v>
      </c>
      <c r="AP80" s="57" t="n">
        <f aca="false">ROUNDUP(MAX(I80/IF(BV80&gt;0,BV80,MAX(0.1,N(Cockpit!$I$6))),BY80)/BQ80,0)*BQ80</f>
        <v>1</v>
      </c>
      <c r="AQ80" s="58" t="n">
        <f aca="false">IF(AN80&gt;0,I80/AN80,-1)</f>
        <v>0</v>
      </c>
      <c r="AR80" s="58" t="n">
        <f aca="false">IF(AND(OR(BU80="L1",BU80="L23"),AN80&gt;0),SUMIFS($AN$7:$AN$1576,$BU$7:$BU$1576,BU80,$AQ$7:$AQ$1576,"&gt;"&amp;AQ80)+SUMIFS($AN$7:$AN$1576,$BU$7:$BU$1576,BU80,$AQ$7:$AQ$1576,AQ80,$BO$7:$BO$1576,"&lt;="&amp;BO80),"")</f>
        <v>46.3681732580038</v>
      </c>
      <c r="AS80" s="65" t="n">
        <f aca="false">IF(AR80="",0,MAX(0,MIN(1,(IF(BU80="L1",Parameter!$E$5,Parameter!$E$6+Parameter!$E$7)-(AR80-AN80))/AN80)))</f>
        <v>1</v>
      </c>
      <c r="AT80" s="57" t="n">
        <f aca="false">IF(LEFT(Cockpit!$O$5,1)="A",G80,IF(BW80=1,BX80,IF(LEFT(Cockpit!$O$5,1)="B",AX80,MAX(AX80,G80))))</f>
        <v>10</v>
      </c>
      <c r="AU80" s="57" t="n">
        <f aca="false">IF(BR80=1,0,ROUNDUP(AT80/BQ80,0))</f>
        <v>0</v>
      </c>
      <c r="AV80" s="59" t="n">
        <f aca="false">IF(CD80&gt;0,CD80*MAX(1,AT80/V80),IF(BR80=1,IF(AT80&lt;=0,0,BS80*MAX(1,IF(G80&gt;0,AT80/G80,1))),IF(Q80&gt;0,AU80/Q80,0))/MAX(0.1,N(Parameter!$M$21)))</f>
        <v>1.60075329566855</v>
      </c>
      <c r="AW80" s="57" t="n">
        <f aca="false">AT80*F80</f>
        <v>3120</v>
      </c>
      <c r="AX80" s="57" t="n">
        <f aca="false">ROUNDUP(MAX(I80/IF(BV80&gt;0,BV80,MAX(0.1,N(Cockpit!$O$6))),BY80)/BQ80,0)*BQ80</f>
        <v>1</v>
      </c>
      <c r="AY80" s="58" t="n">
        <f aca="false">IF(AV80&gt;0,I80/AV80,-1)</f>
        <v>0</v>
      </c>
      <c r="AZ80" s="58" t="n">
        <f aca="false">IF(AND(OR(BU80="L1",BU80="L23"),AV80&gt;0),SUMIFS($AV$7:$AV$1576,$BU$7:$BU$1576,BU80,$AY$7:$AY$1576,"&gt;"&amp;AY80)+SUMIFS($AV$7:$AV$1576,$BU$7:$BU$1576,BU80,$AY$7:$AY$1576,AY80,$BO$7:$BO$1576,"&lt;="&amp;BO80),"")</f>
        <v>43.406779661017</v>
      </c>
      <c r="BA80" s="65" t="n">
        <f aca="false">IF(AZ80="",0,MAX(0,MIN(1,(IF(BU80="L1",Parameter!$E$5,Parameter!$E$6+Parameter!$E$7)-(AZ80-AV80))/AV80)))</f>
        <v>1</v>
      </c>
      <c r="BB80" s="55" t="str">
        <f aca="false">IF(AF80&lt;=0,"",IF(BU80="Aussen","Aussenlager",IF(BU80="-","Nicht im Lift",IF(AK80&gt;=1,"Lift",IF(AK80&lt;=0,"Aussenlager","teilweise")))))</f>
        <v>Lift</v>
      </c>
      <c r="BC80" s="55" t="str">
        <f aca="false">IF(AN80&lt;=0,"",IF(BU80="Aussen","Aussenlager",IF(BU80="-","Nicht im Lift",IF(AS80&gt;=1,"Lift",IF(AS80&lt;=0,"Aussenlager","teilweise")))))</f>
        <v>Lift</v>
      </c>
      <c r="BD80" s="55" t="str">
        <f aca="false">IF(AV80&lt;=0,"",IF(BU80="Aussen","Aussenlager",IF(BU80="-","Nicht im Lift",IF(BA80&gt;=1,"Lift",IF(BA80&lt;=0,"Aussenlager","teilweise")))))</f>
        <v>Lift</v>
      </c>
      <c r="BE80" s="55" t="str">
        <f aca="false">IF(A80="","",IF(BN80=1,"Neu; ","")&amp;IF(AND(BN80=0,BI80&lt;0),"negativer Bestand (Export "&amp;BI80&amp;"); ","")&amp;IF(I80&lt;=0,"Kein Verbrauch; ","")&amp;IF(CD80&gt;0,"Lift "&amp;U80&amp;" lt. Liftbericht (Fach "&amp;V80&amp;" Stk); ",IF(BR80=1,"Lose – Fläche geschätzt; ",""))&amp;IF(G80&gt;AP80,"Überbestand "&amp;ROUND(G80-AP80,0)&amp;" Stk / CHF "&amp;ROUND((G80-AP80)*F80,0)&amp;"; ","")&amp;IF(AND(BW80=1,BX80&lt;BY80),"MAX &lt; MB+LG; ","")&amp;IF(AND(CC80&gt;0,CB80*10&gt;CC80),"zu hoch für Tablar; ","")&amp;IF(AND(BN80=0,OR(BW80=1,Y80&lt;&gt;"",S80&lt;&gt;"",T80&lt;&gt;"",Z80&lt;&gt;"")),"manuell übersteuert; ","")&amp;IF(AND(BR80=0,Q80=0),"Gebinde unbekannt / Stellmass fehlt; ","")&amp;IF(AND(BR80=0,N(T80)&lt;=0,N(P80)&lt;=0),"Menge pro Gebinde fehlt (Ist = 1 Gebinde); ","")&amp;BM80)</f>
        <v>Kein Verbrauch; Lift 1 lt. Liftbericht (Fach 20 Stk); Überbestand 9 Stk / CHF 2808; </v>
      </c>
      <c r="BF80" s="55"/>
      <c r="BG80" s="55"/>
      <c r="BH80" s="62"/>
      <c r="BI80" s="57" t="n">
        <v>10</v>
      </c>
      <c r="BJ80" s="57" t="n">
        <v>10</v>
      </c>
      <c r="BK80" s="56" t="n">
        <v>3120</v>
      </c>
      <c r="BL80" s="57" t="n">
        <v>0</v>
      </c>
      <c r="BM80" s="55"/>
      <c r="BN80" s="60" t="n">
        <v>0</v>
      </c>
      <c r="BO80" s="60" t="n">
        <v>80</v>
      </c>
      <c r="BP80" s="55" t="str">
        <f aca="false">IF(S80&lt;&gt;"",UPPER(TRIM(S80)),IF(O80="","LOSE",O80))</f>
        <v>LOSE</v>
      </c>
      <c r="BQ80" s="57" t="n">
        <f aca="false">IF(BP80="LOSE",1,IF(N(T80)&gt;0,T80,IF(N(P80)&gt;0,P80,MAX(1,G80))))</f>
        <v>1</v>
      </c>
      <c r="BR80" s="60" t="n">
        <f aca="false">IF(BP80="LOSE",1,0)</f>
        <v>1</v>
      </c>
      <c r="BS80" s="59" t="n">
        <f aca="false">IF(BR80=0,0,IF(N(R80)&gt;0,R80,IFERROR(VLOOKUP(D80,Parameter!$A$35:$C$64,3,0)+0,0)))</f>
        <v>0.15</v>
      </c>
      <c r="BT80" s="55" t="n">
        <f aca="false">IF(Y80&lt;&gt;"",Y80,X80)</f>
        <v>1</v>
      </c>
      <c r="BU80" s="55" t="str">
        <f aca="false">IF(BT80=1,"L1",IF(OR(BT80=2,BT80=3),"L23",IF(BT80="Aussen","Aussen","-")))</f>
        <v>L1</v>
      </c>
      <c r="BV80" s="66" t="n">
        <f aca="false">IF(N(Z80)&gt;0,Z80,0)</f>
        <v>0</v>
      </c>
      <c r="BW80" s="60" t="n">
        <f aca="false">IF(ISNUMBER(AC80),1,0)</f>
        <v>0</v>
      </c>
      <c r="BX80" s="57" t="n">
        <f aca="false">N(AC80)</f>
        <v>0</v>
      </c>
      <c r="BY80" s="57" t="n">
        <f aca="false">N(L80)+N(M80)</f>
        <v>1</v>
      </c>
      <c r="BZ80" s="57" t="n">
        <f aca="false">ROUNDUP(G80/BQ80,0)</f>
        <v>10</v>
      </c>
      <c r="CA80" s="57" t="n">
        <f aca="false">ROUNDUP(BX80/BQ80,0)</f>
        <v>0</v>
      </c>
      <c r="CB80" s="60" t="n">
        <f aca="false">IF(BR80=1,0,IFERROR(VLOOKUP(BP80,'Gebinde-Kategorie'!$A$5:$M$45,5,0)+0,0))</f>
        <v>0</v>
      </c>
      <c r="CC80" s="60" t="n">
        <f aca="false">IFERROR(IF(OR(BT80=1,BT80=2,BT80=3),N(INDEX(Parameter!$I$5:$I$7,BT80)),0),0)</f>
        <v>0</v>
      </c>
      <c r="CD80" s="59" t="n">
        <f aca="false">IF(AND(Parameter!$B$21="Ja",ISNUMBER(U80),N(V80)&gt;0),IFERROR(N(INDEX(Parameter!$L$5:$L$7,U80))*INDEX(Parameter!$E$5:$E$7,U80)*V80/SUMIFS($V$7:$V$1576,$U$7:$U$1576,U80),0),0)</f>
        <v>1.60075329566855</v>
      </c>
    </row>
    <row r="81" customFormat="false" ht="15" hidden="false" customHeight="false" outlineLevel="0" collapsed="false">
      <c r="A81" s="55" t="s">
        <v>359</v>
      </c>
      <c r="B81" s="55" t="s">
        <v>360</v>
      </c>
      <c r="C81" s="55" t="s">
        <v>160</v>
      </c>
      <c r="D81" s="55" t="s">
        <v>168</v>
      </c>
      <c r="E81" s="55" t="s">
        <v>210</v>
      </c>
      <c r="F81" s="56" t="n">
        <v>760.97</v>
      </c>
      <c r="G81" s="57" t="n">
        <f aca="false">MAX(0,IF(AND(Parameter!$B$21="Ja",ISNUMBER(W81)),W81,IF(Parameter!$B$20="Jahresanfang 2025 + Export",BJ81+BI81,BI81)))</f>
        <v>4</v>
      </c>
      <c r="H81" s="57" t="n">
        <f aca="false">G81*F81</f>
        <v>3043.88</v>
      </c>
      <c r="I81" s="57" t="n">
        <f aca="false">BL81*Parameter!$B$18</f>
        <v>27</v>
      </c>
      <c r="J81" s="58" t="n">
        <v>0.5</v>
      </c>
      <c r="K81" s="59" t="n">
        <v>54</v>
      </c>
      <c r="L81" s="57" t="n">
        <v>0</v>
      </c>
      <c r="M81" s="57" t="n">
        <v>1</v>
      </c>
      <c r="N81" s="60" t="n">
        <v>21</v>
      </c>
      <c r="O81" s="55" t="s">
        <v>163</v>
      </c>
      <c r="P81" s="57"/>
      <c r="Q81" s="60" t="n">
        <f aca="false">IF(BR81=1,0,IFERROR(VLOOKUP(BP81,'Gebinde-Kategorie'!$A$5:$M$45,13,0)+0,0))</f>
        <v>0</v>
      </c>
      <c r="R81" s="61"/>
      <c r="S81" s="62"/>
      <c r="T81" s="62"/>
      <c r="U81" s="55"/>
      <c r="V81" s="57"/>
      <c r="W81" s="57"/>
      <c r="X81" s="55" t="n">
        <f aca="false">IF(A81="","",IF(AND(Parameter!$B$21="Ja",ISNUMBER(U81)),U81,IF(IFERROR(VLOOKUP(D81,Parameter!$A$35:$C$64,2,0),"Nein")="2+3",IF(ISNUMBER(SEARCH("grosser Artikel",BM81)),2,IFERROR(VLOOKUP(BP81,Parameter!$F$35:$G$64,2,0),2)),IF(OR(IFERROR(VLOOKUP(D81,Parameter!$A$35:$C$64,2,0),"Nein")="Nein",IFERROR(VLOOKUP(D81,Parameter!$A$35:$C$64,2,0),"Nein")=""),"-",VLOOKUP(D81,Parameter!$A$35:$C$64,2,0)))))</f>
        <v>2</v>
      </c>
      <c r="Y81" s="62"/>
      <c r="Z81" s="63"/>
      <c r="AA81" s="57" t="n">
        <f aca="false">AP81</f>
        <v>14</v>
      </c>
      <c r="AB81" s="57" t="n">
        <f aca="false">MAX(AP81,G81)</f>
        <v>14</v>
      </c>
      <c r="AC81" s="64"/>
      <c r="AD81" s="57" t="n">
        <f aca="false">IF(LEFT(Cockpit!$C$5,1)="A",G81,IF(BW81=1,BX81,IF(LEFT(Cockpit!$C$5,1)="B",AH81,MAX(AH81,G81))))</f>
        <v>4</v>
      </c>
      <c r="AE81" s="57" t="n">
        <f aca="false">IF(BR81=1,0,ROUNDUP(AD81/BQ81,0))</f>
        <v>0</v>
      </c>
      <c r="AF81" s="59" t="n">
        <f aca="false">IF(CD81&gt;0,CD81*MAX(1,AD81/V81),IF(BR81=1,IF(AD81&lt;=0,0,BS81*MAX(1,IF(G81&gt;0,AD81/G81,1))),IF(Q81&gt;0,AE81/Q81,0))/MAX(0.1,N(Parameter!$M$21)))</f>
        <v>0.15</v>
      </c>
      <c r="AG81" s="57" t="n">
        <f aca="false">AD81*F81</f>
        <v>3043.88</v>
      </c>
      <c r="AH81" s="57" t="n">
        <f aca="false">ROUNDUP(MAX(I81/IF(BV81&gt;0,BV81,MAX(0.1,N(Cockpit!$C$6))),BY81)/BQ81,0)*BQ81</f>
        <v>14</v>
      </c>
      <c r="AI81" s="58" t="n">
        <f aca="false">IF(AF81&gt;0,I81/AF81,-1)</f>
        <v>180</v>
      </c>
      <c r="AJ81" s="58" t="n">
        <f aca="false">IF(AND(OR(BU81="L1",BU81="L23"),AF81&gt;0),SUMIFS($AF$7:$AF$1576,$BU$7:$BU$1576,BU81,$AI$7:$AI$1576,"&gt;"&amp;AI81)+SUMIFS($AF$7:$AF$1576,$BU$7:$BU$1576,BU81,$AI$7:$AI$1576,AI81,$BO$7:$BO$1576,"&lt;="&amp;BO81),"")</f>
        <v>17.7160160129725</v>
      </c>
      <c r="AK81" s="65" t="n">
        <f aca="false">IF(AJ81="",0,MAX(0,MIN(1,(IF(BU81="L1",Parameter!$E$5,Parameter!$E$6+Parameter!$E$7)-(AJ81-AF81))/AF81)))</f>
        <v>1</v>
      </c>
      <c r="AL81" s="57" t="n">
        <f aca="false">IF(LEFT(Cockpit!$I$5,1)="A",G81,IF(BW81=1,BX81,IF(LEFT(Cockpit!$I$5,1)="B",AP81,MAX(AP81,G81))))</f>
        <v>14</v>
      </c>
      <c r="AM81" s="57" t="n">
        <f aca="false">IF(BR81=1,0,ROUNDUP(AL81/BQ81,0))</f>
        <v>0</v>
      </c>
      <c r="AN81" s="59" t="n">
        <f aca="false">IF(CD81&gt;0,CD81*MAX(1,AL81/V81),IF(BR81=1,IF(AL81&lt;=0,0,BS81*MAX(1,IF(G81&gt;0,AL81/G81,1))),IF(Q81&gt;0,AM81/Q81,0))/MAX(0.1,N(Parameter!$M$21)))</f>
        <v>0.525</v>
      </c>
      <c r="AO81" s="57" t="n">
        <f aca="false">AL81*F81</f>
        <v>10653.58</v>
      </c>
      <c r="AP81" s="57" t="n">
        <f aca="false">ROUNDUP(MAX(I81/IF(BV81&gt;0,BV81,MAX(0.1,N(Cockpit!$I$6))),BY81)/BQ81,0)*BQ81</f>
        <v>14</v>
      </c>
      <c r="AQ81" s="58" t="n">
        <f aca="false">IF(AN81&gt;0,I81/AN81,-1)</f>
        <v>51.4285714285714</v>
      </c>
      <c r="AR81" s="58" t="n">
        <f aca="false">IF(AND(OR(BU81="L1",BU81="L23"),AN81&gt;0),SUMIFS($AN$7:$AN$1576,$BU$7:$BU$1576,BU81,$AQ$7:$AQ$1576,"&gt;"&amp;AQ81)+SUMIFS($AN$7:$AN$1576,$BU$7:$BU$1576,BU81,$AQ$7:$AQ$1576,AQ81,$BO$7:$BO$1576,"&lt;="&amp;BO81),"")</f>
        <v>82.9702551015163</v>
      </c>
      <c r="AS81" s="65" t="n">
        <f aca="false">IF(AR81="",0,MAX(0,MIN(1,(IF(BU81="L1",Parameter!$E$5,Parameter!$E$6+Parameter!$E$7)-(AR81-AN81))/AN81)))</f>
        <v>1</v>
      </c>
      <c r="AT81" s="57" t="n">
        <f aca="false">IF(LEFT(Cockpit!$O$5,1)="A",G81,IF(BW81=1,BX81,IF(LEFT(Cockpit!$O$5,1)="B",AX81,MAX(AX81,G81))))</f>
        <v>9</v>
      </c>
      <c r="AU81" s="57" t="n">
        <f aca="false">IF(BR81=1,0,ROUNDUP(AT81/BQ81,0))</f>
        <v>0</v>
      </c>
      <c r="AV81" s="59" t="n">
        <f aca="false">IF(CD81&gt;0,CD81*MAX(1,AT81/V81),IF(BR81=1,IF(AT81&lt;=0,0,BS81*MAX(1,IF(G81&gt;0,AT81/G81,1))),IF(Q81&gt;0,AU81/Q81,0))/MAX(0.1,N(Parameter!$M$21)))</f>
        <v>0.3375</v>
      </c>
      <c r="AW81" s="57" t="n">
        <f aca="false">AT81*F81</f>
        <v>6848.73</v>
      </c>
      <c r="AX81" s="57" t="n">
        <f aca="false">ROUNDUP(MAX(I81/IF(BV81&gt;0,BV81,MAX(0.1,N(Cockpit!$O$6))),BY81)/BQ81,0)*BQ81</f>
        <v>9</v>
      </c>
      <c r="AY81" s="58" t="n">
        <f aca="false">IF(AV81&gt;0,I81/AV81,-1)</f>
        <v>80</v>
      </c>
      <c r="AZ81" s="58" t="n">
        <f aca="false">IF(AND(OR(BU81="L1",BU81="L23"),AV81&gt;0),SUMIFS($AV$7:$AV$1576,$BU$7:$BU$1576,BU81,$AY$7:$AY$1576,"&gt;"&amp;AY81)+SUMIFS($AV$7:$AV$1576,$BU$7:$BU$1576,BU81,$AY$7:$AY$1576,AY81,$BO$7:$BO$1576,"&lt;="&amp;BO81),"")</f>
        <v>68.3037099799712</v>
      </c>
      <c r="BA81" s="65" t="n">
        <f aca="false">IF(AZ81="",0,MAX(0,MIN(1,(IF(BU81="L1",Parameter!$E$5,Parameter!$E$6+Parameter!$E$7)-(AZ81-AV81))/AV81)))</f>
        <v>1</v>
      </c>
      <c r="BB81" s="55" t="str">
        <f aca="false">IF(AF81&lt;=0,"",IF(BU81="Aussen","Aussenlager",IF(BU81="-","Nicht im Lift",IF(AK81&gt;=1,"Lift",IF(AK81&lt;=0,"Aussenlager","teilweise")))))</f>
        <v>Lift</v>
      </c>
      <c r="BC81" s="55" t="str">
        <f aca="false">IF(AN81&lt;=0,"",IF(BU81="Aussen","Aussenlager",IF(BU81="-","Nicht im Lift",IF(AS81&gt;=1,"Lift",IF(AS81&lt;=0,"Aussenlager","teilweise")))))</f>
        <v>Lift</v>
      </c>
      <c r="BD81" s="55" t="str">
        <f aca="false">IF(AV81&lt;=0,"",IF(BU81="Aussen","Aussenlager",IF(BU81="-","Nicht im Lift",IF(BA81&gt;=1,"Lift",IF(BA81&lt;=0,"Aussenlager","teilweise")))))</f>
        <v>Lift</v>
      </c>
      <c r="BE81" s="55" t="str">
        <f aca="false">IF(A81="","",IF(BN81=1,"Neu; ","")&amp;IF(AND(BN81=0,BI81&lt;0),"negativer Bestand (Export "&amp;BI81&amp;"); ","")&amp;IF(I81&lt;=0,"Kein Verbrauch; ","")&amp;IF(CD81&gt;0,"Lift "&amp;U81&amp;" lt. Liftbericht (Fach "&amp;V81&amp;" Stk); ",IF(BR81=1,"Lose – Fläche geschätzt; ",""))&amp;IF(G81&gt;AP81,"Überbestand "&amp;ROUND(G81-AP81,0)&amp;" Stk / CHF "&amp;ROUND((G81-AP81)*F81,0)&amp;"; ","")&amp;IF(AND(BW81=1,BX81&lt;BY81),"MAX &lt; MB+LG; ","")&amp;IF(AND(CC81&gt;0,CB81*10&gt;CC81),"zu hoch für Tablar; ","")&amp;IF(AND(BN81=0,OR(BW81=1,Y81&lt;&gt;"",S81&lt;&gt;"",T81&lt;&gt;"",Z81&lt;&gt;"")),"manuell übersteuert; ","")&amp;IF(AND(BR81=0,Q81=0),"Gebinde unbekannt / Stellmass fehlt; ","")&amp;IF(AND(BR81=0,N(T81)&lt;=0,N(P81)&lt;=0),"Menge pro Gebinde fehlt (Ist = 1 Gebinde); ","")&amp;BM81)</f>
        <v>Lose – Fläche geschätzt; </v>
      </c>
      <c r="BF81" s="55"/>
      <c r="BG81" s="55"/>
      <c r="BH81" s="62"/>
      <c r="BI81" s="57" t="n">
        <v>4</v>
      </c>
      <c r="BJ81" s="57" t="n">
        <v>0</v>
      </c>
      <c r="BK81" s="56" t="n">
        <v>3043.88</v>
      </c>
      <c r="BL81" s="57" t="n">
        <v>27</v>
      </c>
      <c r="BM81" s="55"/>
      <c r="BN81" s="60" t="n">
        <v>0</v>
      </c>
      <c r="BO81" s="60" t="n">
        <v>81</v>
      </c>
      <c r="BP81" s="55" t="str">
        <f aca="false">IF(S81&lt;&gt;"",UPPER(TRIM(S81)),IF(O81="","LOSE",O81))</f>
        <v>LOSE</v>
      </c>
      <c r="BQ81" s="57" t="n">
        <f aca="false">IF(BP81="LOSE",1,IF(N(T81)&gt;0,T81,IF(N(P81)&gt;0,P81,MAX(1,G81))))</f>
        <v>1</v>
      </c>
      <c r="BR81" s="60" t="n">
        <f aca="false">IF(BP81="LOSE",1,0)</f>
        <v>1</v>
      </c>
      <c r="BS81" s="59" t="n">
        <f aca="false">IF(BR81=0,0,IF(N(R81)&gt;0,R81,IFERROR(VLOOKUP(D81,Parameter!$A$35:$C$64,3,0)+0,0)))</f>
        <v>0.15</v>
      </c>
      <c r="BT81" s="55" t="n">
        <f aca="false">IF(Y81&lt;&gt;"",Y81,X81)</f>
        <v>2</v>
      </c>
      <c r="BU81" s="55" t="str">
        <f aca="false">IF(BT81=1,"L1",IF(OR(BT81=2,BT81=3),"L23",IF(BT81="Aussen","Aussen","-")))</f>
        <v>L23</v>
      </c>
      <c r="BV81" s="66" t="n">
        <f aca="false">IF(N(Z81)&gt;0,Z81,0)</f>
        <v>0</v>
      </c>
      <c r="BW81" s="60" t="n">
        <f aca="false">IF(ISNUMBER(AC81),1,0)</f>
        <v>0</v>
      </c>
      <c r="BX81" s="57" t="n">
        <f aca="false">N(AC81)</f>
        <v>0</v>
      </c>
      <c r="BY81" s="57" t="n">
        <f aca="false">N(L81)+N(M81)</f>
        <v>1</v>
      </c>
      <c r="BZ81" s="57" t="n">
        <f aca="false">ROUNDUP(G81/BQ81,0)</f>
        <v>4</v>
      </c>
      <c r="CA81" s="57" t="n">
        <f aca="false">ROUNDUP(BX81/BQ81,0)</f>
        <v>0</v>
      </c>
      <c r="CB81" s="60" t="n">
        <f aca="false">IF(BR81=1,0,IFERROR(VLOOKUP(BP81,'Gebinde-Kategorie'!$A$5:$M$45,5,0)+0,0))</f>
        <v>0</v>
      </c>
      <c r="CC81" s="60" t="n">
        <f aca="false">IFERROR(IF(OR(BT81=1,BT81=2,BT81=3),N(INDEX(Parameter!$I$5:$I$7,BT81)),0),0)</f>
        <v>0</v>
      </c>
      <c r="CD81" s="59" t="n">
        <f aca="false">IF(AND(Parameter!$B$21="Ja",ISNUMBER(U81),N(V81)&gt;0),IFERROR(N(INDEX(Parameter!$L$5:$L$7,U81))*INDEX(Parameter!$E$5:$E$7,U81)*V81/SUMIFS($V$7:$V$1576,$U$7:$U$1576,U81),0),0)</f>
        <v>0</v>
      </c>
    </row>
    <row r="82" customFormat="false" ht="15" hidden="false" customHeight="false" outlineLevel="0" collapsed="false">
      <c r="A82" s="55" t="s">
        <v>361</v>
      </c>
      <c r="B82" s="55" t="s">
        <v>362</v>
      </c>
      <c r="C82" s="55" t="s">
        <v>160</v>
      </c>
      <c r="D82" s="55" t="s">
        <v>168</v>
      </c>
      <c r="E82" s="55" t="s">
        <v>210</v>
      </c>
      <c r="F82" s="56" t="n">
        <v>185.43</v>
      </c>
      <c r="G82" s="57" t="n">
        <f aca="false">MAX(0,IF(AND(Parameter!$B$21="Ja",ISNUMBER(W82)),W82,IF(Parameter!$B$20="Jahresanfang 2025 + Export",BJ82+BI82,BI82)))</f>
        <v>15</v>
      </c>
      <c r="H82" s="57" t="n">
        <f aca="false">G82*F82</f>
        <v>2781.45</v>
      </c>
      <c r="I82" s="57" t="n">
        <f aca="false">BL82*Parameter!$B$18</f>
        <v>67</v>
      </c>
      <c r="J82" s="58" t="n">
        <v>14</v>
      </c>
      <c r="K82" s="59" t="n">
        <v>4.78571428571429</v>
      </c>
      <c r="L82" s="57" t="n">
        <v>10</v>
      </c>
      <c r="M82" s="57" t="n">
        <v>30</v>
      </c>
      <c r="N82" s="60" t="n">
        <v>44</v>
      </c>
      <c r="O82" s="55" t="s">
        <v>169</v>
      </c>
      <c r="P82" s="57" t="n">
        <v>18</v>
      </c>
      <c r="Q82" s="60" t="n">
        <f aca="false">IF(BR82=1,0,IFERROR(VLOOKUP(BP82,'Gebinde-Kategorie'!$A$5:$M$45,13,0)+0,0))</f>
        <v>6</v>
      </c>
      <c r="R82" s="61"/>
      <c r="S82" s="62"/>
      <c r="T82" s="62"/>
      <c r="U82" s="55"/>
      <c r="V82" s="57"/>
      <c r="W82" s="57"/>
      <c r="X82" s="55" t="n">
        <f aca="false">IF(A82="","",IF(AND(Parameter!$B$21="Ja",ISNUMBER(U82)),U82,IF(IFERROR(VLOOKUP(D82,Parameter!$A$35:$C$64,2,0),"Nein")="2+3",IF(ISNUMBER(SEARCH("grosser Artikel",BM82)),2,IFERROR(VLOOKUP(BP82,Parameter!$F$35:$G$64,2,0),2)),IF(OR(IFERROR(VLOOKUP(D82,Parameter!$A$35:$C$64,2,0),"Nein")="Nein",IFERROR(VLOOKUP(D82,Parameter!$A$35:$C$64,2,0),"Nein")=""),"-",VLOOKUP(D82,Parameter!$A$35:$C$64,2,0)))))</f>
        <v>2</v>
      </c>
      <c r="Y82" s="62"/>
      <c r="Z82" s="63"/>
      <c r="AA82" s="57" t="n">
        <f aca="false">AP82</f>
        <v>54</v>
      </c>
      <c r="AB82" s="57" t="n">
        <f aca="false">MAX(AP82,G82)</f>
        <v>54</v>
      </c>
      <c r="AC82" s="64"/>
      <c r="AD82" s="57" t="n">
        <f aca="false">IF(LEFT(Cockpit!$C$5,1)="A",G82,IF(BW82=1,BX82,IF(LEFT(Cockpit!$C$5,1)="B",AH82,MAX(AH82,G82))))</f>
        <v>15</v>
      </c>
      <c r="AE82" s="57" t="n">
        <f aca="false">IF(BR82=1,0,ROUNDUP(AD82/BQ82,0))</f>
        <v>1</v>
      </c>
      <c r="AF82" s="59" t="n">
        <f aca="false">IF(CD82&gt;0,CD82*MAX(1,AD82/V82),IF(BR82=1,IF(AD82&lt;=0,0,BS82*MAX(1,IF(G82&gt;0,AD82/G82,1))),IF(Q82&gt;0,AE82/Q82,0))/MAX(0.1,N(Parameter!$M$21)))</f>
        <v>0.166666666666667</v>
      </c>
      <c r="AG82" s="57" t="n">
        <f aca="false">AD82*F82</f>
        <v>2781.45</v>
      </c>
      <c r="AH82" s="57" t="n">
        <f aca="false">ROUNDUP(MAX(I82/IF(BV82&gt;0,BV82,MAX(0.1,N(Cockpit!$C$6))),BY82)/BQ82,0)*BQ82</f>
        <v>54</v>
      </c>
      <c r="AI82" s="58" t="n">
        <f aca="false">IF(AF82&gt;0,I82/AF82,-1)</f>
        <v>402</v>
      </c>
      <c r="AJ82" s="58" t="n">
        <f aca="false">IF(AND(OR(BU82="L1",BU82="L23"),AF82&gt;0),SUMIFS($AF$7:$AF$1576,$BU$7:$BU$1576,BU82,$AI$7:$AI$1576,"&gt;"&amp;AI82)+SUMIFS($AF$7:$AF$1576,$BU$7:$BU$1576,BU82,$AI$7:$AI$1576,AI82,$BO$7:$BO$1576,"&lt;="&amp;BO82),"")</f>
        <v>13.3954491402317</v>
      </c>
      <c r="AK82" s="65" t="n">
        <f aca="false">IF(AJ82="",0,MAX(0,MIN(1,(IF(BU82="L1",Parameter!$E$5,Parameter!$E$6+Parameter!$E$7)-(AJ82-AF82))/AF82)))</f>
        <v>1</v>
      </c>
      <c r="AL82" s="57" t="n">
        <f aca="false">IF(LEFT(Cockpit!$I$5,1)="A",G82,IF(BW82=1,BX82,IF(LEFT(Cockpit!$I$5,1)="B",AP82,MAX(AP82,G82))))</f>
        <v>54</v>
      </c>
      <c r="AM82" s="57" t="n">
        <f aca="false">IF(BR82=1,0,ROUNDUP(AL82/BQ82,0))</f>
        <v>3</v>
      </c>
      <c r="AN82" s="59" t="n">
        <f aca="false">IF(CD82&gt;0,CD82*MAX(1,AL82/V82),IF(BR82=1,IF(AL82&lt;=0,0,BS82*MAX(1,IF(G82&gt;0,AL82/G82,1))),IF(Q82&gt;0,AM82/Q82,0))/MAX(0.1,N(Parameter!$M$21)))</f>
        <v>0.5</v>
      </c>
      <c r="AO82" s="57" t="n">
        <f aca="false">AL82*F82</f>
        <v>10013.22</v>
      </c>
      <c r="AP82" s="57" t="n">
        <f aca="false">ROUNDUP(MAX(I82/IF(BV82&gt;0,BV82,MAX(0.1,N(Cockpit!$I$6))),BY82)/BQ82,0)*BQ82</f>
        <v>54</v>
      </c>
      <c r="AQ82" s="58" t="n">
        <f aca="false">IF(AN82&gt;0,I82/AN82,-1)</f>
        <v>134</v>
      </c>
      <c r="AR82" s="58" t="n">
        <f aca="false">IF(AND(OR(BU82="L1",BU82="L23"),AN82&gt;0),SUMIFS($AN$7:$AN$1576,$BU$7:$BU$1576,BU82,$AQ$7:$AQ$1576,"&gt;"&amp;AQ82)+SUMIFS($AN$7:$AN$1576,$BU$7:$BU$1576,BU82,$AQ$7:$AQ$1576,AQ82,$BO$7:$BO$1576,"&lt;="&amp;BO82),"")</f>
        <v>58.932223827235</v>
      </c>
      <c r="AS82" s="65" t="n">
        <f aca="false">IF(AR82="",0,MAX(0,MIN(1,(IF(BU82="L1",Parameter!$E$5,Parameter!$E$6+Parameter!$E$7)-(AR82-AN82))/AN82)))</f>
        <v>1</v>
      </c>
      <c r="AT82" s="57" t="n">
        <f aca="false">IF(LEFT(Cockpit!$O$5,1)="A",G82,IF(BW82=1,BX82,IF(LEFT(Cockpit!$O$5,1)="B",AX82,MAX(AX82,G82))))</f>
        <v>54</v>
      </c>
      <c r="AU82" s="57" t="n">
        <f aca="false">IF(BR82=1,0,ROUNDUP(AT82/BQ82,0))</f>
        <v>3</v>
      </c>
      <c r="AV82" s="59" t="n">
        <f aca="false">IF(CD82&gt;0,CD82*MAX(1,AT82/V82),IF(BR82=1,IF(AT82&lt;=0,0,BS82*MAX(1,IF(G82&gt;0,AT82/G82,1))),IF(Q82&gt;0,AU82/Q82,0))/MAX(0.1,N(Parameter!$M$21)))</f>
        <v>0.5</v>
      </c>
      <c r="AW82" s="57" t="n">
        <f aca="false">AT82*F82</f>
        <v>10013.22</v>
      </c>
      <c r="AX82" s="57" t="n">
        <f aca="false">ROUNDUP(MAX(I82/IF(BV82&gt;0,BV82,MAX(0.1,N(Cockpit!$O$6))),BY82)/BQ82,0)*BQ82</f>
        <v>54</v>
      </c>
      <c r="AY82" s="58" t="n">
        <f aca="false">IF(AV82&gt;0,I82/AV82,-1)</f>
        <v>134</v>
      </c>
      <c r="AZ82" s="58" t="n">
        <f aca="false">IF(AND(OR(BU82="L1",BU82="L23"),AV82&gt;0),SUMIFS($AV$7:$AV$1576,$BU$7:$BU$1576,BU82,$AY$7:$AY$1576,"&gt;"&amp;AY82)+SUMIFS($AV$7:$AV$1576,$BU$7:$BU$1576,BU82,$AY$7:$AY$1576,AY82,$BO$7:$BO$1576,"&lt;="&amp;BO82),"")</f>
        <v>53.5946909434521</v>
      </c>
      <c r="BA82" s="65" t="n">
        <f aca="false">IF(AZ82="",0,MAX(0,MIN(1,(IF(BU82="L1",Parameter!$E$5,Parameter!$E$6+Parameter!$E$7)-(AZ82-AV82))/AV82)))</f>
        <v>1</v>
      </c>
      <c r="BB82" s="55" t="str">
        <f aca="false">IF(AF82&lt;=0,"",IF(BU82="Aussen","Aussenlager",IF(BU82="-","Nicht im Lift",IF(AK82&gt;=1,"Lift",IF(AK82&lt;=0,"Aussenlager","teilweise")))))</f>
        <v>Lift</v>
      </c>
      <c r="BC82" s="55" t="str">
        <f aca="false">IF(AN82&lt;=0,"",IF(BU82="Aussen","Aussenlager",IF(BU82="-","Nicht im Lift",IF(AS82&gt;=1,"Lift",IF(AS82&lt;=0,"Aussenlager","teilweise")))))</f>
        <v>Lift</v>
      </c>
      <c r="BD82" s="55" t="str">
        <f aca="false">IF(AV82&lt;=0,"",IF(BU82="Aussen","Aussenlager",IF(BU82="-","Nicht im Lift",IF(BA82&gt;=1,"Lift",IF(BA82&lt;=0,"Aussenlager","teilweise")))))</f>
        <v>Lift</v>
      </c>
      <c r="BE82" s="55" t="str">
        <f aca="false">IF(A82="","",IF(BN82=1,"Neu; ","")&amp;IF(AND(BN82=0,BI82&lt;0),"negativer Bestand (Export "&amp;BI82&amp;"); ","")&amp;IF(I82&lt;=0,"Kein Verbrauch; ","")&amp;IF(CD82&gt;0,"Lift "&amp;U82&amp;" lt. Liftbericht (Fach "&amp;V82&amp;" Stk); ",IF(BR82=1,"Lose – Fläche geschätzt; ",""))&amp;IF(G82&gt;AP82,"Überbestand "&amp;ROUND(G82-AP82,0)&amp;" Stk / CHF "&amp;ROUND((G82-AP82)*F82,0)&amp;"; ","")&amp;IF(AND(BW82=1,BX82&lt;BY82),"MAX &lt; MB+LG; ","")&amp;IF(AND(CC82&gt;0,CB82*10&gt;CC82),"zu hoch für Tablar; ","")&amp;IF(AND(BN82=0,OR(BW82=1,Y82&lt;&gt;"",S82&lt;&gt;"",T82&lt;&gt;"",Z82&lt;&gt;"")),"manuell übersteuert; ","")&amp;IF(AND(BR82=0,Q82=0),"Gebinde unbekannt / Stellmass fehlt; ","")&amp;IF(AND(BR82=0,N(T82)&lt;=0,N(P82)&lt;=0),"Menge pro Gebinde fehlt (Ist = 1 Gebinde); ","")&amp;BM82)</f>
        <v>grosser Artikel &amp; nicht im KTL</v>
      </c>
      <c r="BF82" s="55"/>
      <c r="BG82" s="55"/>
      <c r="BH82" s="62"/>
      <c r="BI82" s="57" t="n">
        <v>15</v>
      </c>
      <c r="BJ82" s="57" t="n">
        <v>13</v>
      </c>
      <c r="BK82" s="56" t="n">
        <v>3008.04</v>
      </c>
      <c r="BL82" s="57" t="n">
        <v>67</v>
      </c>
      <c r="BM82" s="55" t="s">
        <v>253</v>
      </c>
      <c r="BN82" s="60" t="n">
        <v>0</v>
      </c>
      <c r="BO82" s="60" t="n">
        <v>82</v>
      </c>
      <c r="BP82" s="55" t="str">
        <f aca="false">IF(S82&lt;&gt;"",UPPER(TRIM(S82)),IF(O82="","LOSE",O82))</f>
        <v>S71</v>
      </c>
      <c r="BQ82" s="57" t="n">
        <f aca="false">IF(BP82="LOSE",1,IF(N(T82)&gt;0,T82,IF(N(P82)&gt;0,P82,MAX(1,G82))))</f>
        <v>18</v>
      </c>
      <c r="BR82" s="60" t="n">
        <f aca="false">IF(BP82="LOSE",1,0)</f>
        <v>0</v>
      </c>
      <c r="BS82" s="59" t="n">
        <f aca="false">IF(BR82=0,0,IF(N(R82)&gt;0,R82,IFERROR(VLOOKUP(D82,Parameter!$A$35:$C$64,3,0)+0,0)))</f>
        <v>0</v>
      </c>
      <c r="BT82" s="55" t="n">
        <f aca="false">IF(Y82&lt;&gt;"",Y82,X82)</f>
        <v>2</v>
      </c>
      <c r="BU82" s="55" t="str">
        <f aca="false">IF(BT82=1,"L1",IF(OR(BT82=2,BT82=3),"L23",IF(BT82="Aussen","Aussen","-")))</f>
        <v>L23</v>
      </c>
      <c r="BV82" s="66" t="n">
        <f aca="false">IF(N(Z82)&gt;0,Z82,0)</f>
        <v>0</v>
      </c>
      <c r="BW82" s="60" t="n">
        <f aca="false">IF(ISNUMBER(AC82),1,0)</f>
        <v>0</v>
      </c>
      <c r="BX82" s="57" t="n">
        <f aca="false">N(AC82)</f>
        <v>0</v>
      </c>
      <c r="BY82" s="57" t="n">
        <f aca="false">N(L82)+N(M82)</f>
        <v>40</v>
      </c>
      <c r="BZ82" s="57" t="n">
        <f aca="false">ROUNDUP(G82/BQ82,0)</f>
        <v>1</v>
      </c>
      <c r="CA82" s="57" t="n">
        <f aca="false">ROUNDUP(BX82/BQ82,0)</f>
        <v>0</v>
      </c>
      <c r="CB82" s="60" t="n">
        <f aca="false">IF(BR82=1,0,IFERROR(VLOOKUP(BP82,'Gebinde-Kategorie'!$A$5:$M$45,5,0)+0,0))</f>
        <v>20</v>
      </c>
      <c r="CC82" s="60" t="n">
        <f aca="false">IFERROR(IF(OR(BT82=1,BT82=2,BT82=3),N(INDEX(Parameter!$I$5:$I$7,BT82)),0),0)</f>
        <v>0</v>
      </c>
      <c r="CD82" s="59" t="n">
        <f aca="false">IF(AND(Parameter!$B$21="Ja",ISNUMBER(U82),N(V82)&gt;0),IFERROR(N(INDEX(Parameter!$L$5:$L$7,U82))*INDEX(Parameter!$E$5:$E$7,U82)*V82/SUMIFS($V$7:$V$1576,$U$7:$U$1576,U82),0),0)</f>
        <v>0</v>
      </c>
    </row>
    <row r="83" customFormat="false" ht="15" hidden="false" customHeight="false" outlineLevel="0" collapsed="false">
      <c r="A83" s="55" t="s">
        <v>363</v>
      </c>
      <c r="B83" s="55" t="s">
        <v>364</v>
      </c>
      <c r="C83" s="55" t="s">
        <v>160</v>
      </c>
      <c r="D83" s="55" t="s">
        <v>178</v>
      </c>
      <c r="E83" s="55" t="s">
        <v>210</v>
      </c>
      <c r="F83" s="56" t="n">
        <v>30.36</v>
      </c>
      <c r="G83" s="57" t="n">
        <f aca="false">MAX(0,IF(AND(Parameter!$B$21="Ja",ISNUMBER(W83)),W83,IF(Parameter!$B$20="Jahresanfang 2025 + Export",BJ83+BI83,BI83)))</f>
        <v>94</v>
      </c>
      <c r="H83" s="57" t="n">
        <f aca="false">G83*F83</f>
        <v>2853.84</v>
      </c>
      <c r="I83" s="57" t="n">
        <f aca="false">BL83*Parameter!$B$18</f>
        <v>1152</v>
      </c>
      <c r="J83" s="58" t="n">
        <v>441.5</v>
      </c>
      <c r="K83" s="59" t="n">
        <v>2.60928652321631</v>
      </c>
      <c r="L83" s="57" t="n">
        <v>106</v>
      </c>
      <c r="M83" s="57" t="n">
        <v>400</v>
      </c>
      <c r="N83" s="60" t="n">
        <v>56</v>
      </c>
      <c r="O83" s="55" t="s">
        <v>319</v>
      </c>
      <c r="P83" s="57" t="n">
        <v>550</v>
      </c>
      <c r="Q83" s="60" t="n">
        <f aca="false">IF(BR83=1,0,IFERROR(VLOOKUP(BP83,'Gebinde-Kategorie'!$A$5:$M$45,13,0)+0,0))</f>
        <v>52</v>
      </c>
      <c r="R83" s="61"/>
      <c r="S83" s="62"/>
      <c r="T83" s="62"/>
      <c r="U83" s="55"/>
      <c r="V83" s="57"/>
      <c r="W83" s="57"/>
      <c r="X83" s="55" t="n">
        <f aca="false">IF(A83="","",IF(AND(Parameter!$B$21="Ja",ISNUMBER(U83)),U83,IF(IFERROR(VLOOKUP(D83,Parameter!$A$35:$C$64,2,0),"Nein")="2+3",IF(ISNUMBER(SEARCH("grosser Artikel",BM83)),2,IFERROR(VLOOKUP(BP83,Parameter!$F$35:$G$64,2,0),2)),IF(OR(IFERROR(VLOOKUP(D83,Parameter!$A$35:$C$64,2,0),"Nein")="Nein",IFERROR(VLOOKUP(D83,Parameter!$A$35:$C$64,2,0),"Nein")=""),"-",VLOOKUP(D83,Parameter!$A$35:$C$64,2,0)))))</f>
        <v>3</v>
      </c>
      <c r="Y83" s="62"/>
      <c r="Z83" s="63"/>
      <c r="AA83" s="57" t="n">
        <f aca="false">AP83</f>
        <v>1100</v>
      </c>
      <c r="AB83" s="57" t="n">
        <f aca="false">MAX(AP83,G83)</f>
        <v>1100</v>
      </c>
      <c r="AC83" s="64"/>
      <c r="AD83" s="57" t="n">
        <f aca="false">IF(LEFT(Cockpit!$C$5,1)="A",G83,IF(BW83=1,BX83,IF(LEFT(Cockpit!$C$5,1)="B",AH83,MAX(AH83,G83))))</f>
        <v>94</v>
      </c>
      <c r="AE83" s="57" t="n">
        <f aca="false">IF(BR83=1,0,ROUNDUP(AD83/BQ83,0))</f>
        <v>1</v>
      </c>
      <c r="AF83" s="59" t="n">
        <f aca="false">IF(CD83&gt;0,CD83*MAX(1,AD83/V83),IF(BR83=1,IF(AD83&lt;=0,0,BS83*MAX(1,IF(G83&gt;0,AD83/G83,1))),IF(Q83&gt;0,AE83/Q83,0))/MAX(0.1,N(Parameter!$M$21)))</f>
        <v>0.0192307692307692</v>
      </c>
      <c r="AG83" s="57" t="n">
        <f aca="false">AD83*F83</f>
        <v>2853.84</v>
      </c>
      <c r="AH83" s="57" t="n">
        <f aca="false">ROUNDUP(MAX(I83/IF(BV83&gt;0,BV83,MAX(0.1,N(Cockpit!$C$6))),BY83)/BQ83,0)*BQ83</f>
        <v>1100</v>
      </c>
      <c r="AI83" s="58" t="n">
        <f aca="false">IF(AF83&gt;0,I83/AF83,-1)</f>
        <v>59904</v>
      </c>
      <c r="AJ83" s="58" t="n">
        <f aca="false">IF(AND(OR(BU83="L1",BU83="L23"),AF83&gt;0),SUMIFS($AF$7:$AF$1576,$BU$7:$BU$1576,BU83,$AI$7:$AI$1576,"&gt;"&amp;AI83)+SUMIFS($AF$7:$AF$1576,$BU$7:$BU$1576,BU83,$AI$7:$AI$1576,AI83,$BO$7:$BO$1576,"&lt;="&amp;BO83),"")</f>
        <v>0.571188473362386</v>
      </c>
      <c r="AK83" s="65" t="n">
        <f aca="false">IF(AJ83="",0,MAX(0,MIN(1,(IF(BU83="L1",Parameter!$E$5,Parameter!$E$6+Parameter!$E$7)-(AJ83-AF83))/AF83)))</f>
        <v>1</v>
      </c>
      <c r="AL83" s="57" t="n">
        <f aca="false">IF(LEFT(Cockpit!$I$5,1)="A",G83,IF(BW83=1,BX83,IF(LEFT(Cockpit!$I$5,1)="B",AP83,MAX(AP83,G83))))</f>
        <v>1100</v>
      </c>
      <c r="AM83" s="57" t="n">
        <f aca="false">IF(BR83=1,0,ROUNDUP(AL83/BQ83,0))</f>
        <v>2</v>
      </c>
      <c r="AN83" s="59" t="n">
        <f aca="false">IF(CD83&gt;0,CD83*MAX(1,AL83/V83),IF(BR83=1,IF(AL83&lt;=0,0,BS83*MAX(1,IF(G83&gt;0,AL83/G83,1))),IF(Q83&gt;0,AM83/Q83,0))/MAX(0.1,N(Parameter!$M$21)))</f>
        <v>0.0384615384615385</v>
      </c>
      <c r="AO83" s="57" t="n">
        <f aca="false">AL83*F83</f>
        <v>33396</v>
      </c>
      <c r="AP83" s="57" t="n">
        <f aca="false">ROUNDUP(MAX(I83/IF(BV83&gt;0,BV83,MAX(0.1,N(Cockpit!$I$6))),BY83)/BQ83,0)*BQ83</f>
        <v>1100</v>
      </c>
      <c r="AQ83" s="58" t="n">
        <f aca="false">IF(AN83&gt;0,I83/AN83,-1)</f>
        <v>29952</v>
      </c>
      <c r="AR83" s="58" t="n">
        <f aca="false">IF(AND(OR(BU83="L1",BU83="L23"),AN83&gt;0),SUMIFS($AN$7:$AN$1576,$BU$7:$BU$1576,BU83,$AQ$7:$AQ$1576,"&gt;"&amp;AQ83)+SUMIFS($AN$7:$AN$1576,$BU$7:$BU$1576,BU83,$AQ$7:$AQ$1576,AQ83,$BO$7:$BO$1576,"&lt;="&amp;BO83),"")</f>
        <v>2.80944427553123</v>
      </c>
      <c r="AS83" s="65" t="n">
        <f aca="false">IF(AR83="",0,MAX(0,MIN(1,(IF(BU83="L1",Parameter!$E$5,Parameter!$E$6+Parameter!$E$7)-(AR83-AN83))/AN83)))</f>
        <v>1</v>
      </c>
      <c r="AT83" s="57" t="n">
        <f aca="false">IF(LEFT(Cockpit!$O$5,1)="A",G83,IF(BW83=1,BX83,IF(LEFT(Cockpit!$O$5,1)="B",AX83,MAX(AX83,G83))))</f>
        <v>550</v>
      </c>
      <c r="AU83" s="57" t="n">
        <f aca="false">IF(BR83=1,0,ROUNDUP(AT83/BQ83,0))</f>
        <v>1</v>
      </c>
      <c r="AV83" s="59" t="n">
        <f aca="false">IF(CD83&gt;0,CD83*MAX(1,AT83/V83),IF(BR83=1,IF(AT83&lt;=0,0,BS83*MAX(1,IF(G83&gt;0,AT83/G83,1))),IF(Q83&gt;0,AU83/Q83,0))/MAX(0.1,N(Parameter!$M$21)))</f>
        <v>0.0192307692307692</v>
      </c>
      <c r="AW83" s="57" t="n">
        <f aca="false">AT83*F83</f>
        <v>16698</v>
      </c>
      <c r="AX83" s="57" t="n">
        <f aca="false">ROUNDUP(MAX(I83/IF(BV83&gt;0,BV83,MAX(0.1,N(Cockpit!$O$6))),BY83)/BQ83,0)*BQ83</f>
        <v>550</v>
      </c>
      <c r="AY83" s="58" t="n">
        <f aca="false">IF(AV83&gt;0,I83/AV83,-1)</f>
        <v>59904</v>
      </c>
      <c r="AZ83" s="58" t="n">
        <f aca="false">IF(AND(OR(BU83="L1",BU83="L23"),AV83&gt;0),SUMIFS($AV$7:$AV$1576,$BU$7:$BU$1576,BU83,$AY$7:$AY$1576,"&gt;"&amp;AY83)+SUMIFS($AV$7:$AV$1576,$BU$7:$BU$1576,BU83,$AY$7:$AY$1576,AY83,$BO$7:$BO$1576,"&lt;="&amp;BO83),"")</f>
        <v>0.953909665214013</v>
      </c>
      <c r="BA83" s="65" t="n">
        <f aca="false">IF(AZ83="",0,MAX(0,MIN(1,(IF(BU83="L1",Parameter!$E$5,Parameter!$E$6+Parameter!$E$7)-(AZ83-AV83))/AV83)))</f>
        <v>1</v>
      </c>
      <c r="BB83" s="55" t="str">
        <f aca="false">IF(AF83&lt;=0,"",IF(BU83="Aussen","Aussenlager",IF(BU83="-","Nicht im Lift",IF(AK83&gt;=1,"Lift",IF(AK83&lt;=0,"Aussenlager","teilweise")))))</f>
        <v>Lift</v>
      </c>
      <c r="BC83" s="55" t="str">
        <f aca="false">IF(AN83&lt;=0,"",IF(BU83="Aussen","Aussenlager",IF(BU83="-","Nicht im Lift",IF(AS83&gt;=1,"Lift",IF(AS83&lt;=0,"Aussenlager","teilweise")))))</f>
        <v>Lift</v>
      </c>
      <c r="BD83" s="55" t="str">
        <f aca="false">IF(AV83&lt;=0,"",IF(BU83="Aussen","Aussenlager",IF(BU83="-","Nicht im Lift",IF(BA83&gt;=1,"Lift",IF(BA83&lt;=0,"Aussenlager","teilweise")))))</f>
        <v>Lift</v>
      </c>
      <c r="BE83" s="55" t="str">
        <f aca="false">IF(A83="","",IF(BN83=1,"Neu; ","")&amp;IF(AND(BN83=0,BI83&lt;0),"negativer Bestand (Export "&amp;BI83&amp;"); ","")&amp;IF(I83&lt;=0,"Kein Verbrauch; ","")&amp;IF(CD83&gt;0,"Lift "&amp;U83&amp;" lt. Liftbericht (Fach "&amp;V83&amp;" Stk); ",IF(BR83=1,"Lose – Fläche geschätzt; ",""))&amp;IF(G83&gt;AP83,"Überbestand "&amp;ROUND(G83-AP83,0)&amp;" Stk / CHF "&amp;ROUND((G83-AP83)*F83,0)&amp;"; ","")&amp;IF(AND(BW83=1,BX83&lt;BY83),"MAX &lt; MB+LG; ","")&amp;IF(AND(CC83&gt;0,CB83*10&gt;CC83),"zu hoch für Tablar; ","")&amp;IF(AND(BN83=0,OR(BW83=1,Y83&lt;&gt;"",S83&lt;&gt;"",T83&lt;&gt;"",Z83&lt;&gt;"")),"manuell übersteuert; ","")&amp;IF(AND(BR83=0,Q83=0),"Gebinde unbekannt / Stellmass fehlt; ","")&amp;IF(AND(BR83=0,N(T83)&lt;=0,N(P83)&lt;=0),"Menge pro Gebinde fehlt (Ist = 1 Gebinde); ","")&amp;BM83)</f>
        <v/>
      </c>
      <c r="BF83" s="55"/>
      <c r="BG83" s="55"/>
      <c r="BH83" s="62"/>
      <c r="BI83" s="57" t="n">
        <v>94</v>
      </c>
      <c r="BJ83" s="57" t="n">
        <v>138</v>
      </c>
      <c r="BK83" s="56" t="n">
        <v>2989.54000000002</v>
      </c>
      <c r="BL83" s="57" t="n">
        <v>1152</v>
      </c>
      <c r="BM83" s="55"/>
      <c r="BN83" s="60" t="n">
        <v>0</v>
      </c>
      <c r="BO83" s="60" t="n">
        <v>83</v>
      </c>
      <c r="BP83" s="55" t="str">
        <f aca="false">IF(S83&lt;&gt;"",UPPER(TRIM(S83)),IF(O83="","LOSE",O83))</f>
        <v>S41</v>
      </c>
      <c r="BQ83" s="57" t="n">
        <f aca="false">IF(BP83="LOSE",1,IF(N(T83)&gt;0,T83,IF(N(P83)&gt;0,P83,MAX(1,G83))))</f>
        <v>550</v>
      </c>
      <c r="BR83" s="60" t="n">
        <f aca="false">IF(BP83="LOSE",1,0)</f>
        <v>0</v>
      </c>
      <c r="BS83" s="59" t="n">
        <f aca="false">IF(BR83=0,0,IF(N(R83)&gt;0,R83,IFERROR(VLOOKUP(D83,Parameter!$A$35:$C$64,3,0)+0,0)))</f>
        <v>0</v>
      </c>
      <c r="BT83" s="55" t="n">
        <f aca="false">IF(Y83&lt;&gt;"",Y83,X83)</f>
        <v>3</v>
      </c>
      <c r="BU83" s="55" t="str">
        <f aca="false">IF(BT83=1,"L1",IF(OR(BT83=2,BT83=3),"L23",IF(BT83="Aussen","Aussen","-")))</f>
        <v>L23</v>
      </c>
      <c r="BV83" s="66" t="n">
        <f aca="false">IF(N(Z83)&gt;0,Z83,0)</f>
        <v>0</v>
      </c>
      <c r="BW83" s="60" t="n">
        <f aca="false">IF(ISNUMBER(AC83),1,0)</f>
        <v>0</v>
      </c>
      <c r="BX83" s="57" t="n">
        <f aca="false">N(AC83)</f>
        <v>0</v>
      </c>
      <c r="BY83" s="57" t="n">
        <f aca="false">N(L83)+N(M83)</f>
        <v>506</v>
      </c>
      <c r="BZ83" s="57" t="n">
        <f aca="false">ROUNDUP(G83/BQ83,0)</f>
        <v>1</v>
      </c>
      <c r="CA83" s="57" t="n">
        <f aca="false">ROUNDUP(BX83/BQ83,0)</f>
        <v>0</v>
      </c>
      <c r="CB83" s="60" t="n">
        <f aca="false">IF(BR83=1,0,IFERROR(VLOOKUP(BP83,'Gebinde-Kategorie'!$A$5:$M$45,5,0)+0,0))</f>
        <v>11</v>
      </c>
      <c r="CC83" s="60" t="n">
        <f aca="false">IFERROR(IF(OR(BT83=1,BT83=2,BT83=3),N(INDEX(Parameter!$I$5:$I$7,BT83)),0),0)</f>
        <v>0</v>
      </c>
      <c r="CD83" s="59" t="n">
        <f aca="false">IF(AND(Parameter!$B$21="Ja",ISNUMBER(U83),N(V83)&gt;0),IFERROR(N(INDEX(Parameter!$L$5:$L$7,U83))*INDEX(Parameter!$E$5:$E$7,U83)*V83/SUMIFS($V$7:$V$1576,$U$7:$U$1576,U83),0),0)</f>
        <v>0</v>
      </c>
    </row>
    <row r="84" customFormat="false" ht="15" hidden="false" customHeight="false" outlineLevel="0" collapsed="false">
      <c r="A84" s="55" t="s">
        <v>365</v>
      </c>
      <c r="B84" s="55" t="s">
        <v>366</v>
      </c>
      <c r="C84" s="55" t="s">
        <v>160</v>
      </c>
      <c r="D84" s="55" t="s">
        <v>178</v>
      </c>
      <c r="E84" s="55" t="s">
        <v>210</v>
      </c>
      <c r="F84" s="56" t="n">
        <v>58.75</v>
      </c>
      <c r="G84" s="57" t="n">
        <f aca="false">MAX(0,IF(AND(Parameter!$B$21="Ja",ISNUMBER(W84)),W84,IF(Parameter!$B$20="Jahresanfang 2025 + Export",BJ84+BI84,BI84)))</f>
        <v>50</v>
      </c>
      <c r="H84" s="57" t="n">
        <f aca="false">G84*F84</f>
        <v>2937.5</v>
      </c>
      <c r="I84" s="57" t="n">
        <f aca="false">BL84*Parameter!$B$18</f>
        <v>357</v>
      </c>
      <c r="J84" s="58" t="n">
        <v>91</v>
      </c>
      <c r="K84" s="59" t="n">
        <v>3.92307692307692</v>
      </c>
      <c r="L84" s="57" t="n">
        <v>20</v>
      </c>
      <c r="M84" s="57" t="n">
        <v>80</v>
      </c>
      <c r="N84" s="60" t="n">
        <v>21</v>
      </c>
      <c r="O84" s="55" t="s">
        <v>225</v>
      </c>
      <c r="P84" s="57" t="n">
        <v>109</v>
      </c>
      <c r="Q84" s="60" t="n">
        <f aca="false">IF(BR84=1,0,IFERROR(VLOOKUP(BP84,'Gebinde-Kategorie'!$A$5:$M$45,13,0)+0,0))</f>
        <v>26</v>
      </c>
      <c r="R84" s="61"/>
      <c r="S84" s="62"/>
      <c r="T84" s="62"/>
      <c r="U84" s="55"/>
      <c r="V84" s="57"/>
      <c r="W84" s="57"/>
      <c r="X84" s="55" t="n">
        <f aca="false">IF(A84="","",IF(AND(Parameter!$B$21="Ja",ISNUMBER(U84)),U84,IF(IFERROR(VLOOKUP(D84,Parameter!$A$35:$C$64,2,0),"Nein")="2+3",IF(ISNUMBER(SEARCH("grosser Artikel",BM84)),2,IFERROR(VLOOKUP(BP84,Parameter!$F$35:$G$64,2,0),2)),IF(OR(IFERROR(VLOOKUP(D84,Parameter!$A$35:$C$64,2,0),"Nein")="Nein",IFERROR(VLOOKUP(D84,Parameter!$A$35:$C$64,2,0),"Nein")=""),"-",VLOOKUP(D84,Parameter!$A$35:$C$64,2,0)))))</f>
        <v>3</v>
      </c>
      <c r="Y84" s="62"/>
      <c r="Z84" s="63"/>
      <c r="AA84" s="57" t="n">
        <f aca="false">AP84</f>
        <v>218</v>
      </c>
      <c r="AB84" s="57" t="n">
        <f aca="false">MAX(AP84,G84)</f>
        <v>218</v>
      </c>
      <c r="AC84" s="64"/>
      <c r="AD84" s="57" t="n">
        <f aca="false">IF(LEFT(Cockpit!$C$5,1)="A",G84,IF(BW84=1,BX84,IF(LEFT(Cockpit!$C$5,1)="B",AH84,MAX(AH84,G84))))</f>
        <v>50</v>
      </c>
      <c r="AE84" s="57" t="n">
        <f aca="false">IF(BR84=1,0,ROUNDUP(AD84/BQ84,0))</f>
        <v>1</v>
      </c>
      <c r="AF84" s="59" t="n">
        <f aca="false">IF(CD84&gt;0,CD84*MAX(1,AD84/V84),IF(BR84=1,IF(AD84&lt;=0,0,BS84*MAX(1,IF(G84&gt;0,AD84/G84,1))),IF(Q84&gt;0,AE84/Q84,0))/MAX(0.1,N(Parameter!$M$21)))</f>
        <v>0.0384615384615385</v>
      </c>
      <c r="AG84" s="57" t="n">
        <f aca="false">AD84*F84</f>
        <v>2937.5</v>
      </c>
      <c r="AH84" s="57" t="n">
        <f aca="false">ROUNDUP(MAX(I84/IF(BV84&gt;0,BV84,MAX(0.1,N(Cockpit!$C$6))),BY84)/BQ84,0)*BQ84</f>
        <v>218</v>
      </c>
      <c r="AI84" s="58" t="n">
        <f aca="false">IF(AF84&gt;0,I84/AF84,-1)</f>
        <v>9282</v>
      </c>
      <c r="AJ84" s="58" t="n">
        <f aca="false">IF(AND(OR(BU84="L1",BU84="L23"),AF84&gt;0),SUMIFS($AF$7:$AF$1576,$BU$7:$BU$1576,BU84,$AI$7:$AI$1576,"&gt;"&amp;AI84)+SUMIFS($AF$7:$AF$1576,$BU$7:$BU$1576,BU84,$AI$7:$AI$1576,AI84,$BO$7:$BO$1576,"&lt;="&amp;BO84),"")</f>
        <v>2.75240701327658</v>
      </c>
      <c r="AK84" s="65" t="n">
        <f aca="false">IF(AJ84="",0,MAX(0,MIN(1,(IF(BU84="L1",Parameter!$E$5,Parameter!$E$6+Parameter!$E$7)-(AJ84-AF84))/AF84)))</f>
        <v>1</v>
      </c>
      <c r="AL84" s="57" t="n">
        <f aca="false">IF(LEFT(Cockpit!$I$5,1)="A",G84,IF(BW84=1,BX84,IF(LEFT(Cockpit!$I$5,1)="B",AP84,MAX(AP84,G84))))</f>
        <v>218</v>
      </c>
      <c r="AM84" s="57" t="n">
        <f aca="false">IF(BR84=1,0,ROUNDUP(AL84/BQ84,0))</f>
        <v>2</v>
      </c>
      <c r="AN84" s="59" t="n">
        <f aca="false">IF(CD84&gt;0,CD84*MAX(1,AL84/V84),IF(BR84=1,IF(AL84&lt;=0,0,BS84*MAX(1,IF(G84&gt;0,AL84/G84,1))),IF(Q84&gt;0,AM84/Q84,0))/MAX(0.1,N(Parameter!$M$21)))</f>
        <v>0.0769230769230769</v>
      </c>
      <c r="AO84" s="57" t="n">
        <f aca="false">AL84*F84</f>
        <v>12807.5</v>
      </c>
      <c r="AP84" s="57" t="n">
        <f aca="false">ROUNDUP(MAX(I84/IF(BV84&gt;0,BV84,MAX(0.1,N(Cockpit!$I$6))),BY84)/BQ84,0)*BQ84</f>
        <v>218</v>
      </c>
      <c r="AQ84" s="58" t="n">
        <f aca="false">IF(AN84&gt;0,I84/AN84,-1)</f>
        <v>4641</v>
      </c>
      <c r="AR84" s="58" t="n">
        <f aca="false">IF(AND(OR(BU84="L1",BU84="L23"),AN84&gt;0),SUMIFS($AN$7:$AN$1576,$BU$7:$BU$1576,BU84,$AQ$7:$AQ$1576,"&gt;"&amp;AQ84)+SUMIFS($AN$7:$AN$1576,$BU$7:$BU$1576,BU84,$AQ$7:$AQ$1576,AQ84,$BO$7:$BO$1576,"&lt;="&amp;BO84),"")</f>
        <v>12.0794861423601</v>
      </c>
      <c r="AS84" s="65" t="n">
        <f aca="false">IF(AR84="",0,MAX(0,MIN(1,(IF(BU84="L1",Parameter!$E$5,Parameter!$E$6+Parameter!$E$7)-(AR84-AN84))/AN84)))</f>
        <v>1</v>
      </c>
      <c r="AT84" s="57" t="n">
        <f aca="false">IF(LEFT(Cockpit!$O$5,1)="A",G84,IF(BW84=1,BX84,IF(LEFT(Cockpit!$O$5,1)="B",AX84,MAX(AX84,G84))))</f>
        <v>218</v>
      </c>
      <c r="AU84" s="57" t="n">
        <f aca="false">IF(BR84=1,0,ROUNDUP(AT84/BQ84,0))</f>
        <v>2</v>
      </c>
      <c r="AV84" s="59" t="n">
        <f aca="false">IF(CD84&gt;0,CD84*MAX(1,AT84/V84),IF(BR84=1,IF(AT84&lt;=0,0,BS84*MAX(1,IF(G84&gt;0,AT84/G84,1))),IF(Q84&gt;0,AU84/Q84,0))/MAX(0.1,N(Parameter!$M$21)))</f>
        <v>0.0769230769230769</v>
      </c>
      <c r="AW84" s="57" t="n">
        <f aca="false">AT84*F84</f>
        <v>12807.5</v>
      </c>
      <c r="AX84" s="57" t="n">
        <f aca="false">ROUNDUP(MAX(I84/IF(BV84&gt;0,BV84,MAX(0.1,N(Cockpit!$O$6))),BY84)/BQ84,0)*BQ84</f>
        <v>218</v>
      </c>
      <c r="AY84" s="58" t="n">
        <f aca="false">IF(AV84&gt;0,I84/AV84,-1)</f>
        <v>4641</v>
      </c>
      <c r="AZ84" s="58" t="n">
        <f aca="false">IF(AND(OR(BU84="L1",BU84="L23"),AV84&gt;0),SUMIFS($AV$7:$AV$1576,$BU$7:$BU$1576,BU84,$AY$7:$AY$1576,"&gt;"&amp;AY84)+SUMIFS($AV$7:$AV$1576,$BU$7:$BU$1576,BU84,$AY$7:$AY$1576,AY84,$BO$7:$BO$1576,"&lt;="&amp;BO84),"")</f>
        <v>11.3003486132225</v>
      </c>
      <c r="BA84" s="65" t="n">
        <f aca="false">IF(AZ84="",0,MAX(0,MIN(1,(IF(BU84="L1",Parameter!$E$5,Parameter!$E$6+Parameter!$E$7)-(AZ84-AV84))/AV84)))</f>
        <v>1</v>
      </c>
      <c r="BB84" s="55" t="str">
        <f aca="false">IF(AF84&lt;=0,"",IF(BU84="Aussen","Aussenlager",IF(BU84="-","Nicht im Lift",IF(AK84&gt;=1,"Lift",IF(AK84&lt;=0,"Aussenlager","teilweise")))))</f>
        <v>Lift</v>
      </c>
      <c r="BC84" s="55" t="str">
        <f aca="false">IF(AN84&lt;=0,"",IF(BU84="Aussen","Aussenlager",IF(BU84="-","Nicht im Lift",IF(AS84&gt;=1,"Lift",IF(AS84&lt;=0,"Aussenlager","teilweise")))))</f>
        <v>Lift</v>
      </c>
      <c r="BD84" s="55" t="str">
        <f aca="false">IF(AV84&lt;=0,"",IF(BU84="Aussen","Aussenlager",IF(BU84="-","Nicht im Lift",IF(BA84&gt;=1,"Lift",IF(BA84&lt;=0,"Aussenlager","teilweise")))))</f>
        <v>Lift</v>
      </c>
      <c r="BE84" s="55" t="str">
        <f aca="false">IF(A84="","",IF(BN84=1,"Neu; ","")&amp;IF(AND(BN84=0,BI84&lt;0),"negativer Bestand (Export "&amp;BI84&amp;"); ","")&amp;IF(I84&lt;=0,"Kein Verbrauch; ","")&amp;IF(CD84&gt;0,"Lift "&amp;U84&amp;" lt. Liftbericht (Fach "&amp;V84&amp;" Stk); ",IF(BR84=1,"Lose – Fläche geschätzt; ",""))&amp;IF(G84&gt;AP84,"Überbestand "&amp;ROUND(G84-AP84,0)&amp;" Stk / CHF "&amp;ROUND((G84-AP84)*F84,0)&amp;"; ","")&amp;IF(AND(BW84=1,BX84&lt;BY84),"MAX &lt; MB+LG; ","")&amp;IF(AND(CC84&gt;0,CB84*10&gt;CC84),"zu hoch für Tablar; ","")&amp;IF(AND(BN84=0,OR(BW84=1,Y84&lt;&gt;"",S84&lt;&gt;"",T84&lt;&gt;"",Z84&lt;&gt;"")),"manuell übersteuert; ","")&amp;IF(AND(BR84=0,Q84=0),"Gebinde unbekannt / Stellmass fehlt; ","")&amp;IF(AND(BR84=0,N(T84)&lt;=0,N(P84)&lt;=0),"Menge pro Gebinde fehlt (Ist = 1 Gebinde); ","")&amp;BM84)</f>
        <v/>
      </c>
      <c r="BF84" s="55"/>
      <c r="BG84" s="55"/>
      <c r="BH84" s="62"/>
      <c r="BI84" s="57" t="n">
        <v>50</v>
      </c>
      <c r="BJ84" s="57" t="n">
        <v>111</v>
      </c>
      <c r="BK84" s="56" t="n">
        <v>2976.35</v>
      </c>
      <c r="BL84" s="57" t="n">
        <v>357</v>
      </c>
      <c r="BM84" s="55"/>
      <c r="BN84" s="60" t="n">
        <v>0</v>
      </c>
      <c r="BO84" s="60" t="n">
        <v>84</v>
      </c>
      <c r="BP84" s="55" t="str">
        <f aca="false">IF(S84&lt;&gt;"",UPPER(TRIM(S84)),IF(O84="","LOSE",O84))</f>
        <v>S52</v>
      </c>
      <c r="BQ84" s="57" t="n">
        <f aca="false">IF(BP84="LOSE",1,IF(N(T84)&gt;0,T84,IF(N(P84)&gt;0,P84,MAX(1,G84))))</f>
        <v>109</v>
      </c>
      <c r="BR84" s="60" t="n">
        <f aca="false">IF(BP84="LOSE",1,0)</f>
        <v>0</v>
      </c>
      <c r="BS84" s="59" t="n">
        <f aca="false">IF(BR84=0,0,IF(N(R84)&gt;0,R84,IFERROR(VLOOKUP(D84,Parameter!$A$35:$C$64,3,0)+0,0)))</f>
        <v>0</v>
      </c>
      <c r="BT84" s="55" t="n">
        <f aca="false">IF(Y84&lt;&gt;"",Y84,X84)</f>
        <v>3</v>
      </c>
      <c r="BU84" s="55" t="str">
        <f aca="false">IF(BT84=1,"L1",IF(OR(BT84=2,BT84=3),"L23",IF(BT84="Aussen","Aussen","-")))</f>
        <v>L23</v>
      </c>
      <c r="BV84" s="66" t="n">
        <f aca="false">IF(N(Z84)&gt;0,Z84,0)</f>
        <v>0</v>
      </c>
      <c r="BW84" s="60" t="n">
        <f aca="false">IF(ISNUMBER(AC84),1,0)</f>
        <v>0</v>
      </c>
      <c r="BX84" s="57" t="n">
        <f aca="false">N(AC84)</f>
        <v>0</v>
      </c>
      <c r="BY84" s="57" t="n">
        <f aca="false">N(L84)+N(M84)</f>
        <v>100</v>
      </c>
      <c r="BZ84" s="57" t="n">
        <f aca="false">ROUNDUP(G84/BQ84,0)</f>
        <v>1</v>
      </c>
      <c r="CA84" s="57" t="n">
        <f aca="false">ROUNDUP(BX84/BQ84,0)</f>
        <v>0</v>
      </c>
      <c r="CB84" s="60" t="n">
        <f aca="false">IF(BR84=1,0,IFERROR(VLOOKUP(BP84,'Gebinde-Kategorie'!$A$5:$M$45,5,0)+0,0))</f>
        <v>21</v>
      </c>
      <c r="CC84" s="60" t="n">
        <f aca="false">IFERROR(IF(OR(BT84=1,BT84=2,BT84=3),N(INDEX(Parameter!$I$5:$I$7,BT84)),0),0)</f>
        <v>0</v>
      </c>
      <c r="CD84" s="59" t="n">
        <f aca="false">IF(AND(Parameter!$B$21="Ja",ISNUMBER(U84),N(V84)&gt;0),IFERROR(N(INDEX(Parameter!$L$5:$L$7,U84))*INDEX(Parameter!$E$5:$E$7,U84)*V84/SUMIFS($V$7:$V$1576,$U$7:$U$1576,U84),0),0)</f>
        <v>0</v>
      </c>
    </row>
    <row r="85" customFormat="false" ht="15" hidden="false" customHeight="false" outlineLevel="0" collapsed="false">
      <c r="A85" s="55" t="s">
        <v>367</v>
      </c>
      <c r="B85" s="55" t="s">
        <v>272</v>
      </c>
      <c r="C85" s="55" t="s">
        <v>160</v>
      </c>
      <c r="D85" s="55" t="s">
        <v>168</v>
      </c>
      <c r="E85" s="55" t="s">
        <v>210</v>
      </c>
      <c r="F85" s="56" t="n">
        <v>249.96</v>
      </c>
      <c r="G85" s="57" t="n">
        <f aca="false">MAX(0,IF(AND(Parameter!$B$21="Ja",ISNUMBER(W85)),W85,IF(Parameter!$B$20="Jahresanfang 2025 + Export",BJ85+BI85,BI85)))</f>
        <v>15</v>
      </c>
      <c r="H85" s="57" t="n">
        <f aca="false">G85*F85</f>
        <v>3749.4</v>
      </c>
      <c r="I85" s="57" t="n">
        <f aca="false">BL85*Parameter!$B$18</f>
        <v>62</v>
      </c>
      <c r="J85" s="58" t="n">
        <v>22.5</v>
      </c>
      <c r="K85" s="59" t="n">
        <v>2.75555555555556</v>
      </c>
      <c r="L85" s="57" t="n">
        <v>4</v>
      </c>
      <c r="M85" s="57" t="n">
        <v>20</v>
      </c>
      <c r="N85" s="60" t="n">
        <v>21</v>
      </c>
      <c r="O85" s="55" t="s">
        <v>251</v>
      </c>
      <c r="P85" s="57" t="n">
        <v>31</v>
      </c>
      <c r="Q85" s="60" t="n">
        <f aca="false">IF(BR85=1,0,IFERROR(VLOOKUP(BP85,'Gebinde-Kategorie'!$A$5:$M$45,13,0)+0,0))</f>
        <v>6</v>
      </c>
      <c r="R85" s="61"/>
      <c r="S85" s="62"/>
      <c r="T85" s="62"/>
      <c r="U85" s="55"/>
      <c r="V85" s="57"/>
      <c r="W85" s="57"/>
      <c r="X85" s="55" t="n">
        <f aca="false">IF(A85="","",IF(AND(Parameter!$B$21="Ja",ISNUMBER(U85)),U85,IF(IFERROR(VLOOKUP(D85,Parameter!$A$35:$C$64,2,0),"Nein")="2+3",IF(ISNUMBER(SEARCH("grosser Artikel",BM85)),2,IFERROR(VLOOKUP(BP85,Parameter!$F$35:$G$64,2,0),2)),IF(OR(IFERROR(VLOOKUP(D85,Parameter!$A$35:$C$64,2,0),"Nein")="Nein",IFERROR(VLOOKUP(D85,Parameter!$A$35:$C$64,2,0),"Nein")=""),"-",VLOOKUP(D85,Parameter!$A$35:$C$64,2,0)))))</f>
        <v>2</v>
      </c>
      <c r="Y85" s="62"/>
      <c r="Z85" s="63"/>
      <c r="AA85" s="57" t="n">
        <f aca="false">AP85</f>
        <v>31</v>
      </c>
      <c r="AB85" s="57" t="n">
        <f aca="false">MAX(AP85,G85)</f>
        <v>31</v>
      </c>
      <c r="AC85" s="64"/>
      <c r="AD85" s="57" t="n">
        <f aca="false">IF(LEFT(Cockpit!$C$5,1)="A",G85,IF(BW85=1,BX85,IF(LEFT(Cockpit!$C$5,1)="B",AH85,MAX(AH85,G85))))</f>
        <v>15</v>
      </c>
      <c r="AE85" s="57" t="n">
        <f aca="false">IF(BR85=1,0,ROUNDUP(AD85/BQ85,0))</f>
        <v>1</v>
      </c>
      <c r="AF85" s="59" t="n">
        <f aca="false">IF(CD85&gt;0,CD85*MAX(1,AD85/V85),IF(BR85=1,IF(AD85&lt;=0,0,BS85*MAX(1,IF(G85&gt;0,AD85/G85,1))),IF(Q85&gt;0,AE85/Q85,0))/MAX(0.1,N(Parameter!$M$21)))</f>
        <v>0.166666666666667</v>
      </c>
      <c r="AG85" s="57" t="n">
        <f aca="false">AD85*F85</f>
        <v>3749.4</v>
      </c>
      <c r="AH85" s="57" t="n">
        <f aca="false">ROUNDUP(MAX(I85/IF(BV85&gt;0,BV85,MAX(0.1,N(Cockpit!$C$6))),BY85)/BQ85,0)*BQ85</f>
        <v>31</v>
      </c>
      <c r="AI85" s="58" t="n">
        <f aca="false">IF(AF85&gt;0,I85/AF85,-1)</f>
        <v>372</v>
      </c>
      <c r="AJ85" s="58" t="n">
        <f aca="false">IF(AND(OR(BU85="L1",BU85="L23"),AF85&gt;0),SUMIFS($AF$7:$AF$1576,$BU$7:$BU$1576,BU85,$AI$7:$AI$1576,"&gt;"&amp;AI85)+SUMIFS($AF$7:$AF$1576,$BU$7:$BU$1576,BU85,$AI$7:$AI$1576,AI85,$BO$7:$BO$1576,"&lt;="&amp;BO85),"")</f>
        <v>13.677974392757</v>
      </c>
      <c r="AK85" s="65" t="n">
        <f aca="false">IF(AJ85="",0,MAX(0,MIN(1,(IF(BU85="L1",Parameter!$E$5,Parameter!$E$6+Parameter!$E$7)-(AJ85-AF85))/AF85)))</f>
        <v>1</v>
      </c>
      <c r="AL85" s="57" t="n">
        <f aca="false">IF(LEFT(Cockpit!$I$5,1)="A",G85,IF(BW85=1,BX85,IF(LEFT(Cockpit!$I$5,1)="B",AP85,MAX(AP85,G85))))</f>
        <v>31</v>
      </c>
      <c r="AM85" s="57" t="n">
        <f aca="false">IF(BR85=1,0,ROUNDUP(AL85/BQ85,0))</f>
        <v>1</v>
      </c>
      <c r="AN85" s="59" t="n">
        <f aca="false">IF(CD85&gt;0,CD85*MAX(1,AL85/V85),IF(BR85=1,IF(AL85&lt;=0,0,BS85*MAX(1,IF(G85&gt;0,AL85/G85,1))),IF(Q85&gt;0,AM85/Q85,0))/MAX(0.1,N(Parameter!$M$21)))</f>
        <v>0.166666666666667</v>
      </c>
      <c r="AO85" s="57" t="n">
        <f aca="false">AL85*F85</f>
        <v>7748.76</v>
      </c>
      <c r="AP85" s="57" t="n">
        <f aca="false">ROUNDUP(MAX(I85/IF(BV85&gt;0,BV85,MAX(0.1,N(Cockpit!$I$6))),BY85)/BQ85,0)*BQ85</f>
        <v>31</v>
      </c>
      <c r="AQ85" s="58" t="n">
        <f aca="false">IF(AN85&gt;0,I85/AN85,-1)</f>
        <v>372</v>
      </c>
      <c r="AR85" s="58" t="n">
        <f aca="false">IF(AND(OR(BU85="L1",BU85="L23"),AN85&gt;0),SUMIFS($AN$7:$AN$1576,$BU$7:$BU$1576,BU85,$AQ$7:$AQ$1576,"&gt;"&amp;AQ85)+SUMIFS($AN$7:$AN$1576,$BU$7:$BU$1576,BU85,$AQ$7:$AQ$1576,AQ85,$BO$7:$BO$1576,"&lt;="&amp;BO85),"")</f>
        <v>37.6782881011254</v>
      </c>
      <c r="AS85" s="65" t="n">
        <f aca="false">IF(AR85="",0,MAX(0,MIN(1,(IF(BU85="L1",Parameter!$E$5,Parameter!$E$6+Parameter!$E$7)-(AR85-AN85))/AN85)))</f>
        <v>1</v>
      </c>
      <c r="AT85" s="57" t="n">
        <f aca="false">IF(LEFT(Cockpit!$O$5,1)="A",G85,IF(BW85=1,BX85,IF(LEFT(Cockpit!$O$5,1)="B",AX85,MAX(AX85,G85))))</f>
        <v>31</v>
      </c>
      <c r="AU85" s="57" t="n">
        <f aca="false">IF(BR85=1,0,ROUNDUP(AT85/BQ85,0))</f>
        <v>1</v>
      </c>
      <c r="AV85" s="59" t="n">
        <f aca="false">IF(CD85&gt;0,CD85*MAX(1,AT85/V85),IF(BR85=1,IF(AT85&lt;=0,0,BS85*MAX(1,IF(G85&gt;0,AT85/G85,1))),IF(Q85&gt;0,AU85/Q85,0))/MAX(0.1,N(Parameter!$M$21)))</f>
        <v>0.166666666666667</v>
      </c>
      <c r="AW85" s="57" t="n">
        <f aca="false">AT85*F85</f>
        <v>7748.76</v>
      </c>
      <c r="AX85" s="57" t="n">
        <f aca="false">ROUNDUP(MAX(I85/IF(BV85&gt;0,BV85,MAX(0.1,N(Cockpit!$O$6))),BY85)/BQ85,0)*BQ85</f>
        <v>31</v>
      </c>
      <c r="AY85" s="58" t="n">
        <f aca="false">IF(AV85&gt;0,I85/AV85,-1)</f>
        <v>372</v>
      </c>
      <c r="AZ85" s="58" t="n">
        <f aca="false">IF(AND(OR(BU85="L1",BU85="L23"),AV85&gt;0),SUMIFS($AV$7:$AV$1576,$BU$7:$BU$1576,BU85,$AY$7:$AY$1576,"&gt;"&amp;AY85)+SUMIFS($AV$7:$AV$1576,$BU$7:$BU$1576,BU85,$AY$7:$AY$1576,AY85,$BO$7:$BO$1576,"&lt;="&amp;BO85),"")</f>
        <v>36.5097000225373</v>
      </c>
      <c r="BA85" s="65" t="n">
        <f aca="false">IF(AZ85="",0,MAX(0,MIN(1,(IF(BU85="L1",Parameter!$E$5,Parameter!$E$6+Parameter!$E$7)-(AZ85-AV85))/AV85)))</f>
        <v>1</v>
      </c>
      <c r="BB85" s="55" t="str">
        <f aca="false">IF(AF85&lt;=0,"",IF(BU85="Aussen","Aussenlager",IF(BU85="-","Nicht im Lift",IF(AK85&gt;=1,"Lift",IF(AK85&lt;=0,"Aussenlager","teilweise")))))</f>
        <v>Lift</v>
      </c>
      <c r="BC85" s="55" t="str">
        <f aca="false">IF(AN85&lt;=0,"",IF(BU85="Aussen","Aussenlager",IF(BU85="-","Nicht im Lift",IF(AS85&gt;=1,"Lift",IF(AS85&lt;=0,"Aussenlager","teilweise")))))</f>
        <v>Lift</v>
      </c>
      <c r="BD85" s="55" t="str">
        <f aca="false">IF(AV85&lt;=0,"",IF(BU85="Aussen","Aussenlager",IF(BU85="-","Nicht im Lift",IF(BA85&gt;=1,"Lift",IF(BA85&lt;=0,"Aussenlager","teilweise")))))</f>
        <v>Lift</v>
      </c>
      <c r="BE85" s="55" t="str">
        <f aca="false">IF(A85="","",IF(BN85=1,"Neu; ","")&amp;IF(AND(BN85=0,BI85&lt;0),"negativer Bestand (Export "&amp;BI85&amp;"); ","")&amp;IF(I85&lt;=0,"Kein Verbrauch; ","")&amp;IF(CD85&gt;0,"Lift "&amp;U85&amp;" lt. Liftbericht (Fach "&amp;V85&amp;" Stk); ",IF(BR85=1,"Lose – Fläche geschätzt; ",""))&amp;IF(G85&gt;AP85,"Überbestand "&amp;ROUND(G85-AP85,0)&amp;" Stk / CHF "&amp;ROUND((G85-AP85)*F85,0)&amp;"; ","")&amp;IF(AND(BW85=1,BX85&lt;BY85),"MAX &lt; MB+LG; ","")&amp;IF(AND(CC85&gt;0,CB85*10&gt;CC85),"zu hoch für Tablar; ","")&amp;IF(AND(BN85=0,OR(BW85=1,Y85&lt;&gt;"",S85&lt;&gt;"",T85&lt;&gt;"",Z85&lt;&gt;"")),"manuell übersteuert; ","")&amp;IF(AND(BR85=0,Q85=0),"Gebinde unbekannt / Stellmass fehlt; ","")&amp;IF(AND(BR85=0,N(T85)&lt;=0,N(P85)&lt;=0),"Menge pro Gebinde fehlt (Ist = 1 Gebinde); ","")&amp;BM85)</f>
        <v>grosser Artikel &amp; nicht im KTL</v>
      </c>
      <c r="BF85" s="55"/>
      <c r="BG85" s="55"/>
      <c r="BH85" s="62"/>
      <c r="BI85" s="57" t="n">
        <v>15</v>
      </c>
      <c r="BJ85" s="57" t="n">
        <v>14</v>
      </c>
      <c r="BK85" s="56" t="n">
        <v>2968.34</v>
      </c>
      <c r="BL85" s="57" t="n">
        <v>62</v>
      </c>
      <c r="BM85" s="55" t="s">
        <v>253</v>
      </c>
      <c r="BN85" s="60" t="n">
        <v>0</v>
      </c>
      <c r="BO85" s="60" t="n">
        <v>85</v>
      </c>
      <c r="BP85" s="55" t="str">
        <f aca="false">IF(S85&lt;&gt;"",UPPER(TRIM(S85)),IF(O85="","LOSE",O85))</f>
        <v>S72</v>
      </c>
      <c r="BQ85" s="57" t="n">
        <f aca="false">IF(BP85="LOSE",1,IF(N(T85)&gt;0,T85,IF(N(P85)&gt;0,P85,MAX(1,G85))))</f>
        <v>31</v>
      </c>
      <c r="BR85" s="60" t="n">
        <f aca="false">IF(BP85="LOSE",1,0)</f>
        <v>0</v>
      </c>
      <c r="BS85" s="59" t="n">
        <f aca="false">IF(BR85=0,0,IF(N(R85)&gt;0,R85,IFERROR(VLOOKUP(D85,Parameter!$A$35:$C$64,3,0)+0,0)))</f>
        <v>0</v>
      </c>
      <c r="BT85" s="55" t="n">
        <f aca="false">IF(Y85&lt;&gt;"",Y85,X85)</f>
        <v>2</v>
      </c>
      <c r="BU85" s="55" t="str">
        <f aca="false">IF(BT85=1,"L1",IF(OR(BT85=2,BT85=3),"L23",IF(BT85="Aussen","Aussen","-")))</f>
        <v>L23</v>
      </c>
      <c r="BV85" s="66" t="n">
        <f aca="false">IF(N(Z85)&gt;0,Z85,0)</f>
        <v>0</v>
      </c>
      <c r="BW85" s="60" t="n">
        <f aca="false">IF(ISNUMBER(AC85),1,0)</f>
        <v>0</v>
      </c>
      <c r="BX85" s="57" t="n">
        <f aca="false">N(AC85)</f>
        <v>0</v>
      </c>
      <c r="BY85" s="57" t="n">
        <f aca="false">N(L85)+N(M85)</f>
        <v>24</v>
      </c>
      <c r="BZ85" s="57" t="n">
        <f aca="false">ROUNDUP(G85/BQ85,0)</f>
        <v>1</v>
      </c>
      <c r="CA85" s="57" t="n">
        <f aca="false">ROUNDUP(BX85/BQ85,0)</f>
        <v>0</v>
      </c>
      <c r="CB85" s="60" t="n">
        <f aca="false">IF(BR85=1,0,IFERROR(VLOOKUP(BP85,'Gebinde-Kategorie'!$A$5:$M$45,5,0)+0,0))</f>
        <v>40</v>
      </c>
      <c r="CC85" s="60" t="n">
        <f aca="false">IFERROR(IF(OR(BT85=1,BT85=2,BT85=3),N(INDEX(Parameter!$I$5:$I$7,BT85)),0),0)</f>
        <v>0</v>
      </c>
      <c r="CD85" s="59" t="n">
        <f aca="false">IF(AND(Parameter!$B$21="Ja",ISNUMBER(U85),N(V85)&gt;0),IFERROR(N(INDEX(Parameter!$L$5:$L$7,U85))*INDEX(Parameter!$E$5:$E$7,U85)*V85/SUMIFS($V$7:$V$1576,$U$7:$U$1576,U85),0),0)</f>
        <v>0</v>
      </c>
    </row>
    <row r="86" customFormat="false" ht="15" hidden="false" customHeight="false" outlineLevel="0" collapsed="false">
      <c r="A86" s="55" t="s">
        <v>368</v>
      </c>
      <c r="B86" s="55" t="s">
        <v>369</v>
      </c>
      <c r="C86" s="55" t="s">
        <v>160</v>
      </c>
      <c r="D86" s="55" t="s">
        <v>168</v>
      </c>
      <c r="E86" s="55" t="s">
        <v>210</v>
      </c>
      <c r="F86" s="56" t="n">
        <v>423.8</v>
      </c>
      <c r="G86" s="57" t="n">
        <f aca="false">MAX(0,IF(AND(Parameter!$B$21="Ja",ISNUMBER(W86)),W86,IF(Parameter!$B$20="Jahresanfang 2025 + Export",BJ86+BI86,BI86)))</f>
        <v>7</v>
      </c>
      <c r="H86" s="57" t="n">
        <f aca="false">G86*F86</f>
        <v>2966.6</v>
      </c>
      <c r="I86" s="57" t="n">
        <f aca="false">BL86*Parameter!$B$18</f>
        <v>32</v>
      </c>
      <c r="J86" s="58" t="n">
        <v>14.5</v>
      </c>
      <c r="K86" s="59" t="n">
        <v>2.20689655172414</v>
      </c>
      <c r="L86" s="57" t="n">
        <v>5</v>
      </c>
      <c r="M86" s="57" t="n">
        <v>15</v>
      </c>
      <c r="N86" s="60" t="n">
        <v>63</v>
      </c>
      <c r="O86" s="55" t="s">
        <v>169</v>
      </c>
      <c r="P86" s="57" t="n">
        <v>22</v>
      </c>
      <c r="Q86" s="60" t="n">
        <f aca="false">IF(BR86=1,0,IFERROR(VLOOKUP(BP86,'Gebinde-Kategorie'!$A$5:$M$45,13,0)+0,0))</f>
        <v>6</v>
      </c>
      <c r="R86" s="61"/>
      <c r="S86" s="62"/>
      <c r="T86" s="62"/>
      <c r="U86" s="55"/>
      <c r="V86" s="57"/>
      <c r="W86" s="57"/>
      <c r="X86" s="55" t="n">
        <f aca="false">IF(A86="","",IF(AND(Parameter!$B$21="Ja",ISNUMBER(U86)),U86,IF(IFERROR(VLOOKUP(D86,Parameter!$A$35:$C$64,2,0),"Nein")="2+3",IF(ISNUMBER(SEARCH("grosser Artikel",BM86)),2,IFERROR(VLOOKUP(BP86,Parameter!$F$35:$G$64,2,0),2)),IF(OR(IFERROR(VLOOKUP(D86,Parameter!$A$35:$C$64,2,0),"Nein")="Nein",IFERROR(VLOOKUP(D86,Parameter!$A$35:$C$64,2,0),"Nein")=""),"-",VLOOKUP(D86,Parameter!$A$35:$C$64,2,0)))))</f>
        <v>2</v>
      </c>
      <c r="Y86" s="62"/>
      <c r="Z86" s="63"/>
      <c r="AA86" s="57" t="n">
        <f aca="false">AP86</f>
        <v>22</v>
      </c>
      <c r="AB86" s="57" t="n">
        <f aca="false">MAX(AP86,G86)</f>
        <v>22</v>
      </c>
      <c r="AC86" s="64"/>
      <c r="AD86" s="57" t="n">
        <f aca="false">IF(LEFT(Cockpit!$C$5,1)="A",G86,IF(BW86=1,BX86,IF(LEFT(Cockpit!$C$5,1)="B",AH86,MAX(AH86,G86))))</f>
        <v>7</v>
      </c>
      <c r="AE86" s="57" t="n">
        <f aca="false">IF(BR86=1,0,ROUNDUP(AD86/BQ86,0))</f>
        <v>1</v>
      </c>
      <c r="AF86" s="59" t="n">
        <f aca="false">IF(CD86&gt;0,CD86*MAX(1,AD86/V86),IF(BR86=1,IF(AD86&lt;=0,0,BS86*MAX(1,IF(G86&gt;0,AD86/G86,1))),IF(Q86&gt;0,AE86/Q86,0))/MAX(0.1,N(Parameter!$M$21)))</f>
        <v>0.166666666666667</v>
      </c>
      <c r="AG86" s="57" t="n">
        <f aca="false">AD86*F86</f>
        <v>2966.6</v>
      </c>
      <c r="AH86" s="57" t="n">
        <f aca="false">ROUNDUP(MAX(I86/IF(BV86&gt;0,BV86,MAX(0.1,N(Cockpit!$C$6))),BY86)/BQ86,0)*BQ86</f>
        <v>22</v>
      </c>
      <c r="AI86" s="58" t="n">
        <f aca="false">IF(AF86&gt;0,I86/AF86,-1)</f>
        <v>192</v>
      </c>
      <c r="AJ86" s="58" t="n">
        <f aca="false">IF(AND(OR(BU86="L1",BU86="L23"),AF86&gt;0),SUMIFS($AF$7:$AF$1576,$BU$7:$BU$1576,BU86,$AI$7:$AI$1576,"&gt;"&amp;AI86)+SUMIFS($AF$7:$AF$1576,$BU$7:$BU$1576,BU86,$AI$7:$AI$1576,AI86,$BO$7:$BO$1576,"&lt;="&amp;BO86),"")</f>
        <v>17.3224262693828</v>
      </c>
      <c r="AK86" s="65" t="n">
        <f aca="false">IF(AJ86="",0,MAX(0,MIN(1,(IF(BU86="L1",Parameter!$E$5,Parameter!$E$6+Parameter!$E$7)-(AJ86-AF86))/AF86)))</f>
        <v>1</v>
      </c>
      <c r="AL86" s="57" t="n">
        <f aca="false">IF(LEFT(Cockpit!$I$5,1)="A",G86,IF(BW86=1,BX86,IF(LEFT(Cockpit!$I$5,1)="B",AP86,MAX(AP86,G86))))</f>
        <v>22</v>
      </c>
      <c r="AM86" s="57" t="n">
        <f aca="false">IF(BR86=1,0,ROUNDUP(AL86/BQ86,0))</f>
        <v>1</v>
      </c>
      <c r="AN86" s="59" t="n">
        <f aca="false">IF(CD86&gt;0,CD86*MAX(1,AL86/V86),IF(BR86=1,IF(AL86&lt;=0,0,BS86*MAX(1,IF(G86&gt;0,AL86/G86,1))),IF(Q86&gt;0,AM86/Q86,0))/MAX(0.1,N(Parameter!$M$21)))</f>
        <v>0.166666666666667</v>
      </c>
      <c r="AO86" s="57" t="n">
        <f aca="false">AL86*F86</f>
        <v>9323.6</v>
      </c>
      <c r="AP86" s="57" t="n">
        <f aca="false">ROUNDUP(MAX(I86/IF(BV86&gt;0,BV86,MAX(0.1,N(Cockpit!$I$6))),BY86)/BQ86,0)*BQ86</f>
        <v>22</v>
      </c>
      <c r="AQ86" s="58" t="n">
        <f aca="false">IF(AN86&gt;0,I86/AN86,-1)</f>
        <v>192</v>
      </c>
      <c r="AR86" s="58" t="n">
        <f aca="false">IF(AND(OR(BU86="L1",BU86="L23"),AN86&gt;0),SUMIFS($AN$7:$AN$1576,$BU$7:$BU$1576,BU86,$AQ$7:$AQ$1576,"&gt;"&amp;AQ86)+SUMIFS($AN$7:$AN$1576,$BU$7:$BU$1576,BU86,$AQ$7:$AQ$1576,AQ86,$BO$7:$BO$1576,"&lt;="&amp;BO86),"")</f>
        <v>51.268590793602</v>
      </c>
      <c r="AS86" s="65" t="n">
        <f aca="false">IF(AR86="",0,MAX(0,MIN(1,(IF(BU86="L1",Parameter!$E$5,Parameter!$E$6+Parameter!$E$7)-(AR86-AN86))/AN86)))</f>
        <v>1</v>
      </c>
      <c r="AT86" s="57" t="n">
        <f aca="false">IF(LEFT(Cockpit!$O$5,1)="A",G86,IF(BW86=1,BX86,IF(LEFT(Cockpit!$O$5,1)="B",AX86,MAX(AX86,G86))))</f>
        <v>22</v>
      </c>
      <c r="AU86" s="57" t="n">
        <f aca="false">IF(BR86=1,0,ROUNDUP(AT86/BQ86,0))</f>
        <v>1</v>
      </c>
      <c r="AV86" s="59" t="n">
        <f aca="false">IF(CD86&gt;0,CD86*MAX(1,AT86/V86),IF(BR86=1,IF(AT86&lt;=0,0,BS86*MAX(1,IF(G86&gt;0,AT86/G86,1))),IF(Q86&gt;0,AU86/Q86,0))/MAX(0.1,N(Parameter!$M$21)))</f>
        <v>0.166666666666667</v>
      </c>
      <c r="AW86" s="57" t="n">
        <f aca="false">AT86*F86</f>
        <v>9323.6</v>
      </c>
      <c r="AX86" s="57" t="n">
        <f aca="false">ROUNDUP(MAX(I86/IF(BV86&gt;0,BV86,MAX(0.1,N(Cockpit!$O$6))),BY86)/BQ86,0)*BQ86</f>
        <v>22</v>
      </c>
      <c r="AY86" s="58" t="n">
        <f aca="false">IF(AV86&gt;0,I86/AV86,-1)</f>
        <v>192</v>
      </c>
      <c r="AZ86" s="58" t="n">
        <f aca="false">IF(AND(OR(BU86="L1",BU86="L23"),AV86&gt;0),SUMIFS($AV$7:$AV$1576,$BU$7:$BU$1576,BU86,$AY$7:$AY$1576,"&gt;"&amp;AY86)+SUMIFS($AV$7:$AV$1576,$BU$7:$BU$1576,BU86,$AY$7:$AY$1576,AY86,$BO$7:$BO$1576,"&lt;="&amp;BO86),"")</f>
        <v>47.4648511998624</v>
      </c>
      <c r="BA86" s="65" t="n">
        <f aca="false">IF(AZ86="",0,MAX(0,MIN(1,(IF(BU86="L1",Parameter!$E$5,Parameter!$E$6+Parameter!$E$7)-(AZ86-AV86))/AV86)))</f>
        <v>1</v>
      </c>
      <c r="BB86" s="55" t="str">
        <f aca="false">IF(AF86&lt;=0,"",IF(BU86="Aussen","Aussenlager",IF(BU86="-","Nicht im Lift",IF(AK86&gt;=1,"Lift",IF(AK86&lt;=0,"Aussenlager","teilweise")))))</f>
        <v>Lift</v>
      </c>
      <c r="BC86" s="55" t="str">
        <f aca="false">IF(AN86&lt;=0,"",IF(BU86="Aussen","Aussenlager",IF(BU86="-","Nicht im Lift",IF(AS86&gt;=1,"Lift",IF(AS86&lt;=0,"Aussenlager","teilweise")))))</f>
        <v>Lift</v>
      </c>
      <c r="BD86" s="55" t="str">
        <f aca="false">IF(AV86&lt;=0,"",IF(BU86="Aussen","Aussenlager",IF(BU86="-","Nicht im Lift",IF(BA86&gt;=1,"Lift",IF(BA86&lt;=0,"Aussenlager","teilweise")))))</f>
        <v>Lift</v>
      </c>
      <c r="BE86" s="55" t="str">
        <f aca="false">IF(A86="","",IF(BN86=1,"Neu; ","")&amp;IF(AND(BN86=0,BI86&lt;0),"negativer Bestand (Export "&amp;BI86&amp;"); ","")&amp;IF(I86&lt;=0,"Kein Verbrauch; ","")&amp;IF(CD86&gt;0,"Lift "&amp;U86&amp;" lt. Liftbericht (Fach "&amp;V86&amp;" Stk); ",IF(BR86=1,"Lose – Fläche geschätzt; ",""))&amp;IF(G86&gt;AP86,"Überbestand "&amp;ROUND(G86-AP86,0)&amp;" Stk / CHF "&amp;ROUND((G86-AP86)*F86,0)&amp;"; ","")&amp;IF(AND(BW86=1,BX86&lt;BY86),"MAX &lt; MB+LG; ","")&amp;IF(AND(CC86&gt;0,CB86*10&gt;CC86),"zu hoch für Tablar; ","")&amp;IF(AND(BN86=0,OR(BW86=1,Y86&lt;&gt;"",S86&lt;&gt;"",T86&lt;&gt;"",Z86&lt;&gt;"")),"manuell übersteuert; ","")&amp;IF(AND(BR86=0,Q86=0),"Gebinde unbekannt / Stellmass fehlt; ","")&amp;IF(AND(BR86=0,N(T86)&lt;=0,N(P86)&lt;=0),"Menge pro Gebinde fehlt (Ist = 1 Gebinde); ","")&amp;BM86)</f>
        <v/>
      </c>
      <c r="BF86" s="55" t="s">
        <v>370</v>
      </c>
      <c r="BG86" s="55" t="s">
        <v>371</v>
      </c>
      <c r="BH86" s="62"/>
      <c r="BI86" s="57" t="n">
        <v>7</v>
      </c>
      <c r="BJ86" s="57" t="n">
        <v>0</v>
      </c>
      <c r="BK86" s="56" t="n">
        <v>2966.6</v>
      </c>
      <c r="BL86" s="57" t="n">
        <v>32</v>
      </c>
      <c r="BM86" s="55"/>
      <c r="BN86" s="60" t="n">
        <v>0</v>
      </c>
      <c r="BO86" s="60" t="n">
        <v>86</v>
      </c>
      <c r="BP86" s="55" t="str">
        <f aca="false">IF(S86&lt;&gt;"",UPPER(TRIM(S86)),IF(O86="","LOSE",O86))</f>
        <v>S71</v>
      </c>
      <c r="BQ86" s="57" t="n">
        <f aca="false">IF(BP86="LOSE",1,IF(N(T86)&gt;0,T86,IF(N(P86)&gt;0,P86,MAX(1,G86))))</f>
        <v>22</v>
      </c>
      <c r="BR86" s="60" t="n">
        <f aca="false">IF(BP86="LOSE",1,0)</f>
        <v>0</v>
      </c>
      <c r="BS86" s="59" t="n">
        <f aca="false">IF(BR86=0,0,IF(N(R86)&gt;0,R86,IFERROR(VLOOKUP(D86,Parameter!$A$35:$C$64,3,0)+0,0)))</f>
        <v>0</v>
      </c>
      <c r="BT86" s="55" t="n">
        <f aca="false">IF(Y86&lt;&gt;"",Y86,X86)</f>
        <v>2</v>
      </c>
      <c r="BU86" s="55" t="str">
        <f aca="false">IF(BT86=1,"L1",IF(OR(BT86=2,BT86=3),"L23",IF(BT86="Aussen","Aussen","-")))</f>
        <v>L23</v>
      </c>
      <c r="BV86" s="66" t="n">
        <f aca="false">IF(N(Z86)&gt;0,Z86,0)</f>
        <v>0</v>
      </c>
      <c r="BW86" s="60" t="n">
        <f aca="false">IF(ISNUMBER(AC86),1,0)</f>
        <v>0</v>
      </c>
      <c r="BX86" s="57" t="n">
        <f aca="false">N(AC86)</f>
        <v>0</v>
      </c>
      <c r="BY86" s="57" t="n">
        <f aca="false">N(L86)+N(M86)</f>
        <v>20</v>
      </c>
      <c r="BZ86" s="57" t="n">
        <f aca="false">ROUNDUP(G86/BQ86,0)</f>
        <v>1</v>
      </c>
      <c r="CA86" s="57" t="n">
        <f aca="false">ROUNDUP(BX86/BQ86,0)</f>
        <v>0</v>
      </c>
      <c r="CB86" s="60" t="n">
        <f aca="false">IF(BR86=1,0,IFERROR(VLOOKUP(BP86,'Gebinde-Kategorie'!$A$5:$M$45,5,0)+0,0))</f>
        <v>20</v>
      </c>
      <c r="CC86" s="60" t="n">
        <f aca="false">IFERROR(IF(OR(BT86=1,BT86=2,BT86=3),N(INDEX(Parameter!$I$5:$I$7,BT86)),0),0)</f>
        <v>0</v>
      </c>
      <c r="CD86" s="59" t="n">
        <f aca="false">IF(AND(Parameter!$B$21="Ja",ISNUMBER(U86),N(V86)&gt;0),IFERROR(N(INDEX(Parameter!$L$5:$L$7,U86))*INDEX(Parameter!$E$5:$E$7,U86)*V86/SUMIFS($V$7:$V$1576,$U$7:$U$1576,U86),0),0)</f>
        <v>0</v>
      </c>
    </row>
    <row r="87" customFormat="false" ht="15" hidden="false" customHeight="false" outlineLevel="0" collapsed="false">
      <c r="A87" s="55" t="s">
        <v>372</v>
      </c>
      <c r="B87" s="55" t="s">
        <v>373</v>
      </c>
      <c r="C87" s="55" t="s">
        <v>160</v>
      </c>
      <c r="D87" s="55" t="s">
        <v>178</v>
      </c>
      <c r="E87" s="55" t="s">
        <v>210</v>
      </c>
      <c r="F87" s="56" t="n">
        <v>140.69</v>
      </c>
      <c r="G87" s="57" t="n">
        <f aca="false">MAX(0,IF(AND(Parameter!$B$21="Ja",ISNUMBER(W87)),W87,IF(Parameter!$B$20="Jahresanfang 2025 + Export",BJ87+BI87,BI87)))</f>
        <v>21</v>
      </c>
      <c r="H87" s="57" t="n">
        <f aca="false">G87*F87</f>
        <v>2954.49</v>
      </c>
      <c r="I87" s="57" t="n">
        <f aca="false">BL87*Parameter!$B$18</f>
        <v>30</v>
      </c>
      <c r="J87" s="58" t="n">
        <v>8.5</v>
      </c>
      <c r="K87" s="59" t="n">
        <v>3.52941176470588</v>
      </c>
      <c r="L87" s="57" t="n">
        <v>2</v>
      </c>
      <c r="M87" s="57" t="n">
        <v>25</v>
      </c>
      <c r="N87" s="60" t="n">
        <v>21</v>
      </c>
      <c r="O87" s="55" t="s">
        <v>218</v>
      </c>
      <c r="P87" s="57" t="n">
        <v>30</v>
      </c>
      <c r="Q87" s="60" t="n">
        <f aca="false">IF(BR87=1,0,IFERROR(VLOOKUP(BP87,'Gebinde-Kategorie'!$A$5:$M$45,13,0)+0,0))</f>
        <v>12</v>
      </c>
      <c r="R87" s="61"/>
      <c r="S87" s="62"/>
      <c r="T87" s="62"/>
      <c r="U87" s="55"/>
      <c r="V87" s="57"/>
      <c r="W87" s="57"/>
      <c r="X87" s="55" t="n">
        <f aca="false">IF(A87="","",IF(AND(Parameter!$B$21="Ja",ISNUMBER(U87)),U87,IF(IFERROR(VLOOKUP(D87,Parameter!$A$35:$C$64,2,0),"Nein")="2+3",IF(ISNUMBER(SEARCH("grosser Artikel",BM87)),2,IFERROR(VLOOKUP(BP87,Parameter!$F$35:$G$64,2,0),2)),IF(OR(IFERROR(VLOOKUP(D87,Parameter!$A$35:$C$64,2,0),"Nein")="Nein",IFERROR(VLOOKUP(D87,Parameter!$A$35:$C$64,2,0),"Nein")=""),"-",VLOOKUP(D87,Parameter!$A$35:$C$64,2,0)))))</f>
        <v>2</v>
      </c>
      <c r="Y87" s="62"/>
      <c r="Z87" s="63"/>
      <c r="AA87" s="57" t="n">
        <f aca="false">AP87</f>
        <v>30</v>
      </c>
      <c r="AB87" s="57" t="n">
        <f aca="false">MAX(AP87,G87)</f>
        <v>30</v>
      </c>
      <c r="AC87" s="64"/>
      <c r="AD87" s="57" t="n">
        <f aca="false">IF(LEFT(Cockpit!$C$5,1)="A",G87,IF(BW87=1,BX87,IF(LEFT(Cockpit!$C$5,1)="B",AH87,MAX(AH87,G87))))</f>
        <v>21</v>
      </c>
      <c r="AE87" s="57" t="n">
        <f aca="false">IF(BR87=1,0,ROUNDUP(AD87/BQ87,0))</f>
        <v>1</v>
      </c>
      <c r="AF87" s="59" t="n">
        <f aca="false">IF(CD87&gt;0,CD87*MAX(1,AD87/V87),IF(BR87=1,IF(AD87&lt;=0,0,BS87*MAX(1,IF(G87&gt;0,AD87/G87,1))),IF(Q87&gt;0,AE87/Q87,0))/MAX(0.1,N(Parameter!$M$21)))</f>
        <v>0.0833333333333333</v>
      </c>
      <c r="AG87" s="57" t="n">
        <f aca="false">AD87*F87</f>
        <v>2954.49</v>
      </c>
      <c r="AH87" s="57" t="n">
        <f aca="false">ROUNDUP(MAX(I87/IF(BV87&gt;0,BV87,MAX(0.1,N(Cockpit!$C$6))),BY87)/BQ87,0)*BQ87</f>
        <v>30</v>
      </c>
      <c r="AI87" s="58" t="n">
        <f aca="false">IF(AF87&gt;0,I87/AF87,-1)</f>
        <v>360</v>
      </c>
      <c r="AJ87" s="58" t="n">
        <f aca="false">IF(AND(OR(BU87="L1",BU87="L23"),AF87&gt;0),SUMIFS($AF$7:$AF$1576,$BU$7:$BU$1576,BU87,$AI$7:$AI$1576,"&gt;"&amp;AI87)+SUMIFS($AF$7:$AF$1576,$BU$7:$BU$1576,BU87,$AI$7:$AI$1576,AI87,$BO$7:$BO$1576,"&lt;="&amp;BO87),"")</f>
        <v>13.8574615722442</v>
      </c>
      <c r="AK87" s="65" t="n">
        <f aca="false">IF(AJ87="",0,MAX(0,MIN(1,(IF(BU87="L1",Parameter!$E$5,Parameter!$E$6+Parameter!$E$7)-(AJ87-AF87))/AF87)))</f>
        <v>1</v>
      </c>
      <c r="AL87" s="57" t="n">
        <f aca="false">IF(LEFT(Cockpit!$I$5,1)="A",G87,IF(BW87=1,BX87,IF(LEFT(Cockpit!$I$5,1)="B",AP87,MAX(AP87,G87))))</f>
        <v>30</v>
      </c>
      <c r="AM87" s="57" t="n">
        <f aca="false">IF(BR87=1,0,ROUNDUP(AL87/BQ87,0))</f>
        <v>1</v>
      </c>
      <c r="AN87" s="59" t="n">
        <f aca="false">IF(CD87&gt;0,CD87*MAX(1,AL87/V87),IF(BR87=1,IF(AL87&lt;=0,0,BS87*MAX(1,IF(G87&gt;0,AL87/G87,1))),IF(Q87&gt;0,AM87/Q87,0))/MAX(0.1,N(Parameter!$M$21)))</f>
        <v>0.0833333333333333</v>
      </c>
      <c r="AO87" s="57" t="n">
        <f aca="false">AL87*F87</f>
        <v>4220.7</v>
      </c>
      <c r="AP87" s="57" t="n">
        <f aca="false">ROUNDUP(MAX(I87/IF(BV87&gt;0,BV87,MAX(0.1,N(Cockpit!$I$6))),BY87)/BQ87,0)*BQ87</f>
        <v>30</v>
      </c>
      <c r="AQ87" s="58" t="n">
        <f aca="false">IF(AN87&gt;0,I87/AN87,-1)</f>
        <v>360</v>
      </c>
      <c r="AR87" s="58" t="n">
        <f aca="false">IF(AND(OR(BU87="L1",BU87="L23"),AN87&gt;0),SUMIFS($AN$7:$AN$1576,$BU$7:$BU$1576,BU87,$AQ$7:$AQ$1576,"&gt;"&amp;AQ87)+SUMIFS($AN$7:$AN$1576,$BU$7:$BU$1576,BU87,$AQ$7:$AQ$1576,AQ87,$BO$7:$BO$1576,"&lt;="&amp;BO87),"")</f>
        <v>38.0654675883048</v>
      </c>
      <c r="AS87" s="65" t="n">
        <f aca="false">IF(AR87="",0,MAX(0,MIN(1,(IF(BU87="L1",Parameter!$E$5,Parameter!$E$6+Parameter!$E$7)-(AR87-AN87))/AN87)))</f>
        <v>1</v>
      </c>
      <c r="AT87" s="57" t="n">
        <f aca="false">IF(LEFT(Cockpit!$O$5,1)="A",G87,IF(BW87=1,BX87,IF(LEFT(Cockpit!$O$5,1)="B",AX87,MAX(AX87,G87))))</f>
        <v>30</v>
      </c>
      <c r="AU87" s="57" t="n">
        <f aca="false">IF(BR87=1,0,ROUNDUP(AT87/BQ87,0))</f>
        <v>1</v>
      </c>
      <c r="AV87" s="59" t="n">
        <f aca="false">IF(CD87&gt;0,CD87*MAX(1,AT87/V87),IF(BR87=1,IF(AT87&lt;=0,0,BS87*MAX(1,IF(G87&gt;0,AT87/G87,1))),IF(Q87&gt;0,AU87/Q87,0))/MAX(0.1,N(Parameter!$M$21)))</f>
        <v>0.0833333333333333</v>
      </c>
      <c r="AW87" s="57" t="n">
        <f aca="false">AT87*F87</f>
        <v>4220.7</v>
      </c>
      <c r="AX87" s="57" t="n">
        <f aca="false">ROUNDUP(MAX(I87/IF(BV87&gt;0,BV87,MAX(0.1,N(Cockpit!$O$6))),BY87)/BQ87,0)*BQ87</f>
        <v>30</v>
      </c>
      <c r="AY87" s="58" t="n">
        <f aca="false">IF(AV87&gt;0,I87/AV87,-1)</f>
        <v>360</v>
      </c>
      <c r="AZ87" s="58" t="n">
        <f aca="false">IF(AND(OR(BU87="L1",BU87="L23"),AV87&gt;0),SUMIFS($AV$7:$AV$1576,$BU$7:$BU$1576,BU87,$AY$7:$AY$1576,"&gt;"&amp;AY87)+SUMIFS($AV$7:$AV$1576,$BU$7:$BU$1576,BU87,$AY$7:$AY$1576,AY87,$BO$7:$BO$1576,"&lt;="&amp;BO87),"")</f>
        <v>36.8968795097168</v>
      </c>
      <c r="BA87" s="65" t="n">
        <f aca="false">IF(AZ87="",0,MAX(0,MIN(1,(IF(BU87="L1",Parameter!$E$5,Parameter!$E$6+Parameter!$E$7)-(AZ87-AV87))/AV87)))</f>
        <v>1</v>
      </c>
      <c r="BB87" s="55" t="str">
        <f aca="false">IF(AF87&lt;=0,"",IF(BU87="Aussen","Aussenlager",IF(BU87="-","Nicht im Lift",IF(AK87&gt;=1,"Lift",IF(AK87&lt;=0,"Aussenlager","teilweise")))))</f>
        <v>Lift</v>
      </c>
      <c r="BC87" s="55" t="str">
        <f aca="false">IF(AN87&lt;=0,"",IF(BU87="Aussen","Aussenlager",IF(BU87="-","Nicht im Lift",IF(AS87&gt;=1,"Lift",IF(AS87&lt;=0,"Aussenlager","teilweise")))))</f>
        <v>Lift</v>
      </c>
      <c r="BD87" s="55" t="str">
        <f aca="false">IF(AV87&lt;=0,"",IF(BU87="Aussen","Aussenlager",IF(BU87="-","Nicht im Lift",IF(BA87&gt;=1,"Lift",IF(BA87&lt;=0,"Aussenlager","teilweise")))))</f>
        <v>Lift</v>
      </c>
      <c r="BE87" s="55" t="str">
        <f aca="false">IF(A87="","",IF(BN87=1,"Neu; ","")&amp;IF(AND(BN87=0,BI87&lt;0),"negativer Bestand (Export "&amp;BI87&amp;"); ","")&amp;IF(I87&lt;=0,"Kein Verbrauch; ","")&amp;IF(CD87&gt;0,"Lift "&amp;U87&amp;" lt. Liftbericht (Fach "&amp;V87&amp;" Stk); ",IF(BR87=1,"Lose – Fläche geschätzt; ",""))&amp;IF(G87&gt;AP87,"Überbestand "&amp;ROUND(G87-AP87,0)&amp;" Stk / CHF "&amp;ROUND((G87-AP87)*F87,0)&amp;"; ","")&amp;IF(AND(BW87=1,BX87&lt;BY87),"MAX &lt; MB+LG; ","")&amp;IF(AND(CC87&gt;0,CB87*10&gt;CC87),"zu hoch für Tablar; ","")&amp;IF(AND(BN87=0,OR(BW87=1,Y87&lt;&gt;"",S87&lt;&gt;"",T87&lt;&gt;"",Z87&lt;&gt;"")),"manuell übersteuert; ","")&amp;IF(AND(BR87=0,Q87=0),"Gebinde unbekannt / Stellmass fehlt; ","")&amp;IF(AND(BR87=0,N(T87)&lt;=0,N(P87)&lt;=0),"Menge pro Gebinde fehlt (Ist = 1 Gebinde); ","")&amp;BM87)</f>
        <v/>
      </c>
      <c r="BF87" s="55"/>
      <c r="BG87" s="55"/>
      <c r="BH87" s="62"/>
      <c r="BI87" s="57" t="n">
        <v>21</v>
      </c>
      <c r="BJ87" s="57" t="n">
        <v>6</v>
      </c>
      <c r="BK87" s="56" t="n">
        <v>2941.11</v>
      </c>
      <c r="BL87" s="57" t="n">
        <v>30</v>
      </c>
      <c r="BM87" s="55"/>
      <c r="BN87" s="60" t="n">
        <v>0</v>
      </c>
      <c r="BO87" s="60" t="n">
        <v>87</v>
      </c>
      <c r="BP87" s="55" t="str">
        <f aca="false">IF(S87&lt;&gt;"",UPPER(TRIM(S87)),IF(O87="","LOSE",O87))</f>
        <v>S63</v>
      </c>
      <c r="BQ87" s="57" t="n">
        <f aca="false">IF(BP87="LOSE",1,IF(N(T87)&gt;0,T87,IF(N(P87)&gt;0,P87,MAX(1,G87))))</f>
        <v>30</v>
      </c>
      <c r="BR87" s="60" t="n">
        <f aca="false">IF(BP87="LOSE",1,0)</f>
        <v>0</v>
      </c>
      <c r="BS87" s="59" t="n">
        <f aca="false">IF(BR87=0,0,IF(N(R87)&gt;0,R87,IFERROR(VLOOKUP(D87,Parameter!$A$35:$C$64,3,0)+0,0)))</f>
        <v>0</v>
      </c>
      <c r="BT87" s="55" t="n">
        <f aca="false">IF(Y87&lt;&gt;"",Y87,X87)</f>
        <v>2</v>
      </c>
      <c r="BU87" s="55" t="str">
        <f aca="false">IF(BT87=1,"L1",IF(OR(BT87=2,BT87=3),"L23",IF(BT87="Aussen","Aussen","-")))</f>
        <v>L23</v>
      </c>
      <c r="BV87" s="66" t="n">
        <f aca="false">IF(N(Z87)&gt;0,Z87,0)</f>
        <v>0</v>
      </c>
      <c r="BW87" s="60" t="n">
        <f aca="false">IF(ISNUMBER(AC87),1,0)</f>
        <v>0</v>
      </c>
      <c r="BX87" s="57" t="n">
        <f aca="false">N(AC87)</f>
        <v>0</v>
      </c>
      <c r="BY87" s="57" t="n">
        <f aca="false">N(L87)+N(M87)</f>
        <v>27</v>
      </c>
      <c r="BZ87" s="57" t="n">
        <f aca="false">ROUNDUP(G87/BQ87,0)</f>
        <v>1</v>
      </c>
      <c r="CA87" s="57" t="n">
        <f aca="false">ROUNDUP(BX87/BQ87,0)</f>
        <v>0</v>
      </c>
      <c r="CB87" s="60" t="n">
        <f aca="false">IF(BR87=1,0,IFERROR(VLOOKUP(BP87,'Gebinde-Kategorie'!$A$5:$M$45,5,0)+0,0))</f>
        <v>31</v>
      </c>
      <c r="CC87" s="60" t="n">
        <f aca="false">IFERROR(IF(OR(BT87=1,BT87=2,BT87=3),N(INDEX(Parameter!$I$5:$I$7,BT87)),0),0)</f>
        <v>0</v>
      </c>
      <c r="CD87" s="59" t="n">
        <f aca="false">IF(AND(Parameter!$B$21="Ja",ISNUMBER(U87),N(V87)&gt;0),IFERROR(N(INDEX(Parameter!$L$5:$L$7,U87))*INDEX(Parameter!$E$5:$E$7,U87)*V87/SUMIFS($V$7:$V$1576,$U$7:$U$1576,U87),0),0)</f>
        <v>0</v>
      </c>
    </row>
    <row r="88" customFormat="false" ht="15" hidden="false" customHeight="false" outlineLevel="0" collapsed="false">
      <c r="A88" s="55" t="s">
        <v>374</v>
      </c>
      <c r="B88" s="55" t="s">
        <v>375</v>
      </c>
      <c r="C88" s="55" t="s">
        <v>160</v>
      </c>
      <c r="D88" s="55" t="s">
        <v>178</v>
      </c>
      <c r="E88" s="55" t="s">
        <v>210</v>
      </c>
      <c r="F88" s="56" t="n">
        <v>12.41</v>
      </c>
      <c r="G88" s="57" t="n">
        <f aca="false">MAX(0,IF(AND(Parameter!$B$21="Ja",ISNUMBER(W88)),W88,IF(Parameter!$B$20="Jahresanfang 2025 + Export",BJ88+BI88,BI88)))</f>
        <v>229</v>
      </c>
      <c r="H88" s="57" t="n">
        <f aca="false">G88*F88</f>
        <v>2841.89</v>
      </c>
      <c r="I88" s="57" t="n">
        <f aca="false">BL88*Parameter!$B$18</f>
        <v>315</v>
      </c>
      <c r="J88" s="58" t="n">
        <v>129</v>
      </c>
      <c r="K88" s="59" t="n">
        <v>2.44186046511628</v>
      </c>
      <c r="L88" s="57" t="n">
        <v>55</v>
      </c>
      <c r="M88" s="57" t="n">
        <v>255</v>
      </c>
      <c r="N88" s="60" t="n">
        <v>56</v>
      </c>
      <c r="O88" s="55" t="s">
        <v>319</v>
      </c>
      <c r="P88" s="57" t="n">
        <v>128</v>
      </c>
      <c r="Q88" s="60" t="n">
        <f aca="false">IF(BR88=1,0,IFERROR(VLOOKUP(BP88,'Gebinde-Kategorie'!$A$5:$M$45,13,0)+0,0))</f>
        <v>52</v>
      </c>
      <c r="R88" s="61"/>
      <c r="S88" s="62"/>
      <c r="T88" s="62"/>
      <c r="U88" s="55"/>
      <c r="V88" s="57"/>
      <c r="W88" s="57"/>
      <c r="X88" s="55" t="n">
        <f aca="false">IF(A88="","",IF(AND(Parameter!$B$21="Ja",ISNUMBER(U88)),U88,IF(IFERROR(VLOOKUP(D88,Parameter!$A$35:$C$64,2,0),"Nein")="2+3",IF(ISNUMBER(SEARCH("grosser Artikel",BM88)),2,IFERROR(VLOOKUP(BP88,Parameter!$F$35:$G$64,2,0),2)),IF(OR(IFERROR(VLOOKUP(D88,Parameter!$A$35:$C$64,2,0),"Nein")="Nein",IFERROR(VLOOKUP(D88,Parameter!$A$35:$C$64,2,0),"Nein")=""),"-",VLOOKUP(D88,Parameter!$A$35:$C$64,2,0)))))</f>
        <v>3</v>
      </c>
      <c r="Y88" s="62"/>
      <c r="Z88" s="63"/>
      <c r="AA88" s="57" t="n">
        <f aca="false">AP88</f>
        <v>384</v>
      </c>
      <c r="AB88" s="57" t="n">
        <f aca="false">MAX(AP88,G88)</f>
        <v>384</v>
      </c>
      <c r="AC88" s="64"/>
      <c r="AD88" s="57" t="n">
        <f aca="false">IF(LEFT(Cockpit!$C$5,1)="A",G88,IF(BW88=1,BX88,IF(LEFT(Cockpit!$C$5,1)="B",AH88,MAX(AH88,G88))))</f>
        <v>229</v>
      </c>
      <c r="AE88" s="57" t="n">
        <f aca="false">IF(BR88=1,0,ROUNDUP(AD88/BQ88,0))</f>
        <v>2</v>
      </c>
      <c r="AF88" s="59" t="n">
        <f aca="false">IF(CD88&gt;0,CD88*MAX(1,AD88/V88),IF(BR88=1,IF(AD88&lt;=0,0,BS88*MAX(1,IF(G88&gt;0,AD88/G88,1))),IF(Q88&gt;0,AE88/Q88,0))/MAX(0.1,N(Parameter!$M$21)))</f>
        <v>0.0384615384615385</v>
      </c>
      <c r="AG88" s="57" t="n">
        <f aca="false">AD88*F88</f>
        <v>2841.89</v>
      </c>
      <c r="AH88" s="57" t="n">
        <f aca="false">ROUNDUP(MAX(I88/IF(BV88&gt;0,BV88,MAX(0.1,N(Cockpit!$C$6))),BY88)/BQ88,0)*BQ88</f>
        <v>384</v>
      </c>
      <c r="AI88" s="58" t="n">
        <f aca="false">IF(AF88&gt;0,I88/AF88,-1)</f>
        <v>8190</v>
      </c>
      <c r="AJ88" s="58" t="n">
        <f aca="false">IF(AND(OR(BU88="L1",BU88="L23"),AF88&gt;0),SUMIFS($AF$7:$AF$1576,$BU$7:$BU$1576,BU88,$AI$7:$AI$1576,"&gt;"&amp;AI88)+SUMIFS($AF$7:$AF$1576,$BU$7:$BU$1576,BU88,$AI$7:$AI$1576,AI88,$BO$7:$BO$1576,"&lt;="&amp;BO88),"")</f>
        <v>3.05754873146178</v>
      </c>
      <c r="AK88" s="65" t="n">
        <f aca="false">IF(AJ88="",0,MAX(0,MIN(1,(IF(BU88="L1",Parameter!$E$5,Parameter!$E$6+Parameter!$E$7)-(AJ88-AF88))/AF88)))</f>
        <v>1</v>
      </c>
      <c r="AL88" s="57" t="n">
        <f aca="false">IF(LEFT(Cockpit!$I$5,1)="A",G88,IF(BW88=1,BX88,IF(LEFT(Cockpit!$I$5,1)="B",AP88,MAX(AP88,G88))))</f>
        <v>384</v>
      </c>
      <c r="AM88" s="57" t="n">
        <f aca="false">IF(BR88=1,0,ROUNDUP(AL88/BQ88,0))</f>
        <v>3</v>
      </c>
      <c r="AN88" s="59" t="n">
        <f aca="false">IF(CD88&gt;0,CD88*MAX(1,AL88/V88),IF(BR88=1,IF(AL88&lt;=0,0,BS88*MAX(1,IF(G88&gt;0,AL88/G88,1))),IF(Q88&gt;0,AM88/Q88,0))/MAX(0.1,N(Parameter!$M$21)))</f>
        <v>0.0576923076923077</v>
      </c>
      <c r="AO88" s="57" t="n">
        <f aca="false">AL88*F88</f>
        <v>4765.44</v>
      </c>
      <c r="AP88" s="57" t="n">
        <f aca="false">ROUNDUP(MAX(I88/IF(BV88&gt;0,BV88,MAX(0.1,N(Cockpit!$I$6))),BY88)/BQ88,0)*BQ88</f>
        <v>384</v>
      </c>
      <c r="AQ88" s="58" t="n">
        <f aca="false">IF(AN88&gt;0,I88/AN88,-1)</f>
        <v>5460</v>
      </c>
      <c r="AR88" s="58" t="n">
        <f aca="false">IF(AND(OR(BU88="L1",BU88="L23"),AN88&gt;0),SUMIFS($AN$7:$AN$1576,$BU$7:$BU$1576,BU88,$AQ$7:$AQ$1576,"&gt;"&amp;AQ88)+SUMIFS($AN$7:$AN$1576,$BU$7:$BU$1576,BU88,$AQ$7:$AQ$1576,AQ88,$BO$7:$BO$1576,"&lt;="&amp;BO88),"")</f>
        <v>11.0922221985744</v>
      </c>
      <c r="AS88" s="65" t="n">
        <f aca="false">IF(AR88="",0,MAX(0,MIN(1,(IF(BU88="L1",Parameter!$E$5,Parameter!$E$6+Parameter!$E$7)-(AR88-AN88))/AN88)))</f>
        <v>1</v>
      </c>
      <c r="AT88" s="57" t="n">
        <f aca="false">IF(LEFT(Cockpit!$O$5,1)="A",G88,IF(BW88=1,BX88,IF(LEFT(Cockpit!$O$5,1)="B",AX88,MAX(AX88,G88))))</f>
        <v>384</v>
      </c>
      <c r="AU88" s="57" t="n">
        <f aca="false">IF(BR88=1,0,ROUNDUP(AT88/BQ88,0))</f>
        <v>3</v>
      </c>
      <c r="AV88" s="59" t="n">
        <f aca="false">IF(CD88&gt;0,CD88*MAX(1,AT88/V88),IF(BR88=1,IF(AT88&lt;=0,0,BS88*MAX(1,IF(G88&gt;0,AT88/G88,1))),IF(Q88&gt;0,AU88/Q88,0))/MAX(0.1,N(Parameter!$M$21)))</f>
        <v>0.0576923076923077</v>
      </c>
      <c r="AW88" s="57" t="n">
        <f aca="false">AT88*F88</f>
        <v>4765.44</v>
      </c>
      <c r="AX88" s="57" t="n">
        <f aca="false">ROUNDUP(MAX(I88/IF(BV88&gt;0,BV88,MAX(0.1,N(Cockpit!$O$6))),BY88)/BQ88,0)*BQ88</f>
        <v>384</v>
      </c>
      <c r="AY88" s="58" t="n">
        <f aca="false">IF(AV88&gt;0,I88/AV88,-1)</f>
        <v>5460</v>
      </c>
      <c r="AZ88" s="58" t="n">
        <f aca="false">IF(AND(OR(BU88="L1",BU88="L23"),AV88&gt;0),SUMIFS($AV$7:$AV$1576,$BU$7:$BU$1576,BU88,$AY$7:$AY$1576,"&gt;"&amp;AY88)+SUMIFS($AV$7:$AV$1576,$BU$7:$BU$1576,BU88,$AY$7:$AY$1576,AY88,$BO$7:$BO$1576,"&lt;="&amp;BO88),"")</f>
        <v>10.3130846694368</v>
      </c>
      <c r="BA88" s="65" t="n">
        <f aca="false">IF(AZ88="",0,MAX(0,MIN(1,(IF(BU88="L1",Parameter!$E$5,Parameter!$E$6+Parameter!$E$7)-(AZ88-AV88))/AV88)))</f>
        <v>1</v>
      </c>
      <c r="BB88" s="55" t="str">
        <f aca="false">IF(AF88&lt;=0,"",IF(BU88="Aussen","Aussenlager",IF(BU88="-","Nicht im Lift",IF(AK88&gt;=1,"Lift",IF(AK88&lt;=0,"Aussenlager","teilweise")))))</f>
        <v>Lift</v>
      </c>
      <c r="BC88" s="55" t="str">
        <f aca="false">IF(AN88&lt;=0,"",IF(BU88="Aussen","Aussenlager",IF(BU88="-","Nicht im Lift",IF(AS88&gt;=1,"Lift",IF(AS88&lt;=0,"Aussenlager","teilweise")))))</f>
        <v>Lift</v>
      </c>
      <c r="BD88" s="55" t="str">
        <f aca="false">IF(AV88&lt;=0,"",IF(BU88="Aussen","Aussenlager",IF(BU88="-","Nicht im Lift",IF(BA88&gt;=1,"Lift",IF(BA88&lt;=0,"Aussenlager","teilweise")))))</f>
        <v>Lift</v>
      </c>
      <c r="BE88" s="55" t="str">
        <f aca="false">IF(A88="","",IF(BN88=1,"Neu; ","")&amp;IF(AND(BN88=0,BI88&lt;0),"negativer Bestand (Export "&amp;BI88&amp;"); ","")&amp;IF(I88&lt;=0,"Kein Verbrauch; ","")&amp;IF(CD88&gt;0,"Lift "&amp;U88&amp;" lt. Liftbericht (Fach "&amp;V88&amp;" Stk); ",IF(BR88=1,"Lose – Fläche geschätzt; ",""))&amp;IF(G88&gt;AP88,"Überbestand "&amp;ROUND(G88-AP88,0)&amp;" Stk / CHF "&amp;ROUND((G88-AP88)*F88,0)&amp;"; ","")&amp;IF(AND(BW88=1,BX88&lt;BY88),"MAX &lt; MB+LG; ","")&amp;IF(AND(CC88&gt;0,CB88*10&gt;CC88),"zu hoch für Tablar; ","")&amp;IF(AND(BN88=0,OR(BW88=1,Y88&lt;&gt;"",S88&lt;&gt;"",T88&lt;&gt;"",Z88&lt;&gt;"")),"manuell übersteuert; ","")&amp;IF(AND(BR88=0,Q88=0),"Gebinde unbekannt / Stellmass fehlt; ","")&amp;IF(AND(BR88=0,N(T88)&lt;=0,N(P88)&lt;=0),"Menge pro Gebinde fehlt (Ist = 1 Gebinde); ","")&amp;BM88)</f>
        <v/>
      </c>
      <c r="BF88" s="55"/>
      <c r="BG88" s="55"/>
      <c r="BH88" s="62"/>
      <c r="BI88" s="57" t="n">
        <v>229</v>
      </c>
      <c r="BJ88" s="57" t="n">
        <v>48</v>
      </c>
      <c r="BK88" s="56" t="n">
        <v>2896.49</v>
      </c>
      <c r="BL88" s="57" t="n">
        <v>315</v>
      </c>
      <c r="BM88" s="55"/>
      <c r="BN88" s="60" t="n">
        <v>0</v>
      </c>
      <c r="BO88" s="60" t="n">
        <v>88</v>
      </c>
      <c r="BP88" s="55" t="str">
        <f aca="false">IF(S88&lt;&gt;"",UPPER(TRIM(S88)),IF(O88="","LOSE",O88))</f>
        <v>S41</v>
      </c>
      <c r="BQ88" s="57" t="n">
        <f aca="false">IF(BP88="LOSE",1,IF(N(T88)&gt;0,T88,IF(N(P88)&gt;0,P88,MAX(1,G88))))</f>
        <v>128</v>
      </c>
      <c r="BR88" s="60" t="n">
        <f aca="false">IF(BP88="LOSE",1,0)</f>
        <v>0</v>
      </c>
      <c r="BS88" s="59" t="n">
        <f aca="false">IF(BR88=0,0,IF(N(R88)&gt;0,R88,IFERROR(VLOOKUP(D88,Parameter!$A$35:$C$64,3,0)+0,0)))</f>
        <v>0</v>
      </c>
      <c r="BT88" s="55" t="n">
        <f aca="false">IF(Y88&lt;&gt;"",Y88,X88)</f>
        <v>3</v>
      </c>
      <c r="BU88" s="55" t="str">
        <f aca="false">IF(BT88=1,"L1",IF(OR(BT88=2,BT88=3),"L23",IF(BT88="Aussen","Aussen","-")))</f>
        <v>L23</v>
      </c>
      <c r="BV88" s="66" t="n">
        <f aca="false">IF(N(Z88)&gt;0,Z88,0)</f>
        <v>0</v>
      </c>
      <c r="BW88" s="60" t="n">
        <f aca="false">IF(ISNUMBER(AC88),1,0)</f>
        <v>0</v>
      </c>
      <c r="BX88" s="57" t="n">
        <f aca="false">N(AC88)</f>
        <v>0</v>
      </c>
      <c r="BY88" s="57" t="n">
        <f aca="false">N(L88)+N(M88)</f>
        <v>310</v>
      </c>
      <c r="BZ88" s="57" t="n">
        <f aca="false">ROUNDUP(G88/BQ88,0)</f>
        <v>2</v>
      </c>
      <c r="CA88" s="57" t="n">
        <f aca="false">ROUNDUP(BX88/BQ88,0)</f>
        <v>0</v>
      </c>
      <c r="CB88" s="60" t="n">
        <f aca="false">IF(BR88=1,0,IFERROR(VLOOKUP(BP88,'Gebinde-Kategorie'!$A$5:$M$45,5,0)+0,0))</f>
        <v>11</v>
      </c>
      <c r="CC88" s="60" t="n">
        <f aca="false">IFERROR(IF(OR(BT88=1,BT88=2,BT88=3),N(INDEX(Parameter!$I$5:$I$7,BT88)),0),0)</f>
        <v>0</v>
      </c>
      <c r="CD88" s="59" t="n">
        <f aca="false">IF(AND(Parameter!$B$21="Ja",ISNUMBER(U88),N(V88)&gt;0),IFERROR(N(INDEX(Parameter!$L$5:$L$7,U88))*INDEX(Parameter!$E$5:$E$7,U88)*V88/SUMIFS($V$7:$V$1576,$U$7:$U$1576,U88),0),0)</f>
        <v>0</v>
      </c>
    </row>
    <row r="89" customFormat="false" ht="15" hidden="false" customHeight="false" outlineLevel="0" collapsed="false">
      <c r="A89" s="55" t="s">
        <v>376</v>
      </c>
      <c r="B89" s="55" t="s">
        <v>377</v>
      </c>
      <c r="C89" s="55" t="s">
        <v>160</v>
      </c>
      <c r="D89" s="55" t="s">
        <v>168</v>
      </c>
      <c r="E89" s="55" t="s">
        <v>210</v>
      </c>
      <c r="F89" s="56" t="n">
        <v>1447</v>
      </c>
      <c r="G89" s="57" t="n">
        <f aca="false">MAX(0,IF(AND(Parameter!$B$21="Ja",ISNUMBER(W89)),W89,IF(Parameter!$B$20="Jahresanfang 2025 + Export",BJ89+BI89,BI89)))</f>
        <v>2</v>
      </c>
      <c r="H89" s="57" t="n">
        <f aca="false">G89*F89</f>
        <v>2894</v>
      </c>
      <c r="I89" s="57" t="n">
        <f aca="false">BL89*Parameter!$B$18</f>
        <v>0</v>
      </c>
      <c r="J89" s="58" t="n">
        <v>1</v>
      </c>
      <c r="K89" s="59" t="n">
        <v>0</v>
      </c>
      <c r="L89" s="57" t="n">
        <v>0</v>
      </c>
      <c r="M89" s="57" t="n">
        <v>1</v>
      </c>
      <c r="N89" s="60" t="n">
        <v>70</v>
      </c>
      <c r="O89" s="55" t="s">
        <v>293</v>
      </c>
      <c r="P89" s="57" t="n">
        <v>2</v>
      </c>
      <c r="Q89" s="60" t="n">
        <f aca="false">IF(BR89=1,0,IFERROR(VLOOKUP(BP89,'Gebinde-Kategorie'!$A$5:$M$45,13,0)+0,0))</f>
        <v>26</v>
      </c>
      <c r="R89" s="61"/>
      <c r="S89" s="62"/>
      <c r="T89" s="62"/>
      <c r="U89" s="55"/>
      <c r="V89" s="57"/>
      <c r="W89" s="57"/>
      <c r="X89" s="55" t="n">
        <f aca="false">IF(A89="","",IF(AND(Parameter!$B$21="Ja",ISNUMBER(U89)),U89,IF(IFERROR(VLOOKUP(D89,Parameter!$A$35:$C$64,2,0),"Nein")="2+3",IF(ISNUMBER(SEARCH("grosser Artikel",BM89)),2,IFERROR(VLOOKUP(BP89,Parameter!$F$35:$G$64,2,0),2)),IF(OR(IFERROR(VLOOKUP(D89,Parameter!$A$35:$C$64,2,0),"Nein")="Nein",IFERROR(VLOOKUP(D89,Parameter!$A$35:$C$64,2,0),"Nein")=""),"-",VLOOKUP(D89,Parameter!$A$35:$C$64,2,0)))))</f>
        <v>3</v>
      </c>
      <c r="Y89" s="62"/>
      <c r="Z89" s="63"/>
      <c r="AA89" s="57" t="n">
        <f aca="false">AP89</f>
        <v>2</v>
      </c>
      <c r="AB89" s="57" t="n">
        <f aca="false">MAX(AP89,G89)</f>
        <v>2</v>
      </c>
      <c r="AC89" s="64"/>
      <c r="AD89" s="57" t="n">
        <f aca="false">IF(LEFT(Cockpit!$C$5,1)="A",G89,IF(BW89=1,BX89,IF(LEFT(Cockpit!$C$5,1)="B",AH89,MAX(AH89,G89))))</f>
        <v>2</v>
      </c>
      <c r="AE89" s="57" t="n">
        <f aca="false">IF(BR89=1,0,ROUNDUP(AD89/BQ89,0))</f>
        <v>1</v>
      </c>
      <c r="AF89" s="59" t="n">
        <f aca="false">IF(CD89&gt;0,CD89*MAX(1,AD89/V89),IF(BR89=1,IF(AD89&lt;=0,0,BS89*MAX(1,IF(G89&gt;0,AD89/G89,1))),IF(Q89&gt;0,AE89/Q89,0))/MAX(0.1,N(Parameter!$M$21)))</f>
        <v>0.0384615384615385</v>
      </c>
      <c r="AG89" s="57" t="n">
        <f aca="false">AD89*F89</f>
        <v>2894</v>
      </c>
      <c r="AH89" s="57" t="n">
        <f aca="false">ROUNDUP(MAX(I89/IF(BV89&gt;0,BV89,MAX(0.1,N(Cockpit!$C$6))),BY89)/BQ89,0)*BQ89</f>
        <v>2</v>
      </c>
      <c r="AI89" s="58" t="n">
        <f aca="false">IF(AF89&gt;0,I89/AF89,-1)</f>
        <v>0</v>
      </c>
      <c r="AJ89" s="58" t="n">
        <f aca="false">IF(AND(OR(BU89="L1",BU89="L23"),AF89&gt;0),SUMIFS($AF$7:$AF$1576,$BU$7:$BU$1576,BU89,$AI$7:$AI$1576,"&gt;"&amp;AI89)+SUMIFS($AF$7:$AF$1576,$BU$7:$BU$1576,BU89,$AI$7:$AI$1576,AI89,$BO$7:$BO$1576,"&lt;="&amp;BO89),"")</f>
        <v>37.7879662849228</v>
      </c>
      <c r="AK89" s="65" t="n">
        <f aca="false">IF(AJ89="",0,MAX(0,MIN(1,(IF(BU89="L1",Parameter!$E$5,Parameter!$E$6+Parameter!$E$7)-(AJ89-AF89))/AF89)))</f>
        <v>1</v>
      </c>
      <c r="AL89" s="57" t="n">
        <f aca="false">IF(LEFT(Cockpit!$I$5,1)="A",G89,IF(BW89=1,BX89,IF(LEFT(Cockpit!$I$5,1)="B",AP89,MAX(AP89,G89))))</f>
        <v>2</v>
      </c>
      <c r="AM89" s="57" t="n">
        <f aca="false">IF(BR89=1,0,ROUNDUP(AL89/BQ89,0))</f>
        <v>1</v>
      </c>
      <c r="AN89" s="59" t="n">
        <f aca="false">IF(CD89&gt;0,CD89*MAX(1,AL89/V89),IF(BR89=1,IF(AL89&lt;=0,0,BS89*MAX(1,IF(G89&gt;0,AL89/G89,1))),IF(Q89&gt;0,AM89/Q89,0))/MAX(0.1,N(Parameter!$M$21)))</f>
        <v>0.0384615384615385</v>
      </c>
      <c r="AO89" s="57" t="n">
        <f aca="false">AL89*F89</f>
        <v>2894</v>
      </c>
      <c r="AP89" s="57" t="n">
        <f aca="false">ROUNDUP(MAX(I89/IF(BV89&gt;0,BV89,MAX(0.1,N(Cockpit!$I$6))),BY89)/BQ89,0)*BQ89</f>
        <v>2</v>
      </c>
      <c r="AQ89" s="58" t="n">
        <f aca="false">IF(AN89&gt;0,I89/AN89,-1)</f>
        <v>0</v>
      </c>
      <c r="AR89" s="58" t="n">
        <f aca="false">IF(AND(OR(BU89="L1",BU89="L23"),AN89&gt;0),SUMIFS($AN$7:$AN$1576,$BU$7:$BU$1576,BU89,$AQ$7:$AQ$1576,"&gt;"&amp;AQ89)+SUMIFS($AN$7:$AN$1576,$BU$7:$BU$1576,BU89,$AQ$7:$AQ$1576,AQ89,$BO$7:$BO$1576,"&lt;="&amp;BO89),"")</f>
        <v>120.512172034712</v>
      </c>
      <c r="AS89" s="65" t="n">
        <f aca="false">IF(AR89="",0,MAX(0,MIN(1,(IF(BU89="L1",Parameter!$E$5,Parameter!$E$6+Parameter!$E$7)-(AR89-AN89))/AN89)))</f>
        <v>0</v>
      </c>
      <c r="AT89" s="57" t="n">
        <f aca="false">IF(LEFT(Cockpit!$O$5,1)="A",G89,IF(BW89=1,BX89,IF(LEFT(Cockpit!$O$5,1)="B",AX89,MAX(AX89,G89))))</f>
        <v>2</v>
      </c>
      <c r="AU89" s="57" t="n">
        <f aca="false">IF(BR89=1,0,ROUNDUP(AT89/BQ89,0))</f>
        <v>1</v>
      </c>
      <c r="AV89" s="59" t="n">
        <f aca="false">IF(CD89&gt;0,CD89*MAX(1,AT89/V89),IF(BR89=1,IF(AT89&lt;=0,0,BS89*MAX(1,IF(G89&gt;0,AT89/G89,1))),IF(Q89&gt;0,AU89/Q89,0))/MAX(0.1,N(Parameter!$M$21)))</f>
        <v>0.0384615384615385</v>
      </c>
      <c r="AW89" s="57" t="n">
        <f aca="false">AT89*F89</f>
        <v>2894</v>
      </c>
      <c r="AX89" s="57" t="n">
        <f aca="false">ROUNDUP(MAX(I89/IF(BV89&gt;0,BV89,MAX(0.1,N(Cockpit!$O$6))),BY89)/BQ89,0)*BQ89</f>
        <v>2</v>
      </c>
      <c r="AY89" s="58" t="n">
        <f aca="false">IF(AV89&gt;0,I89/AV89,-1)</f>
        <v>0</v>
      </c>
      <c r="AZ89" s="58" t="n">
        <f aca="false">IF(AND(OR(BU89="L1",BU89="L23"),AV89&gt;0),SUMIFS($AV$7:$AV$1576,$BU$7:$BU$1576,BU89,$AY$7:$AY$1576,"&gt;"&amp;AY89)+SUMIFS($AV$7:$AV$1576,$BU$7:$BU$1576,BU89,$AY$7:$AY$1576,AY89,$BO$7:$BO$1576,"&lt;="&amp;BO89),"")</f>
        <v>110.571722484263</v>
      </c>
      <c r="BA89" s="65" t="n">
        <f aca="false">IF(AZ89="",0,MAX(0,MIN(1,(IF(BU89="L1",Parameter!$E$5,Parameter!$E$6+Parameter!$E$7)-(AZ89-AV89))/AV89)))</f>
        <v>0</v>
      </c>
      <c r="BB89" s="55" t="str">
        <f aca="false">IF(AF89&lt;=0,"",IF(BU89="Aussen","Aussenlager",IF(BU89="-","Nicht im Lift",IF(AK89&gt;=1,"Lift",IF(AK89&lt;=0,"Aussenlager","teilweise")))))</f>
        <v>Lift</v>
      </c>
      <c r="BC89" s="55" t="str">
        <f aca="false">IF(AN89&lt;=0,"",IF(BU89="Aussen","Aussenlager",IF(BU89="-","Nicht im Lift",IF(AS89&gt;=1,"Lift",IF(AS89&lt;=0,"Aussenlager","teilweise")))))</f>
        <v>Aussenlager</v>
      </c>
      <c r="BD89" s="55" t="str">
        <f aca="false">IF(AV89&lt;=0,"",IF(BU89="Aussen","Aussenlager",IF(BU89="-","Nicht im Lift",IF(BA89&gt;=1,"Lift",IF(BA89&lt;=0,"Aussenlager","teilweise")))))</f>
        <v>Aussenlager</v>
      </c>
      <c r="BE89" s="55" t="str">
        <f aca="false">IF(A89="","",IF(BN89=1,"Neu; ","")&amp;IF(AND(BN89=0,BI89&lt;0),"negativer Bestand (Export "&amp;BI89&amp;"); ","")&amp;IF(I89&lt;=0,"Kein Verbrauch; ","")&amp;IF(CD89&gt;0,"Lift "&amp;U89&amp;" lt. Liftbericht (Fach "&amp;V89&amp;" Stk); ",IF(BR89=1,"Lose – Fläche geschätzt; ",""))&amp;IF(G89&gt;AP89,"Überbestand "&amp;ROUND(G89-AP89,0)&amp;" Stk / CHF "&amp;ROUND((G89-AP89)*F89,0)&amp;"; ","")&amp;IF(AND(BW89=1,BX89&lt;BY89),"MAX &lt; MB+LG; ","")&amp;IF(AND(CC89&gt;0,CB89*10&gt;CC89),"zu hoch für Tablar; ","")&amp;IF(AND(BN89=0,OR(BW89=1,Y89&lt;&gt;"",S89&lt;&gt;"",T89&lt;&gt;"",Z89&lt;&gt;"")),"manuell übersteuert; ","")&amp;IF(AND(BR89=0,Q89=0),"Gebinde unbekannt / Stellmass fehlt; ","")&amp;IF(AND(BR89=0,N(T89)&lt;=0,N(P89)&lt;=0),"Menge pro Gebinde fehlt (Ist = 1 Gebinde); ","")&amp;BM89)</f>
        <v>Kein Verbrauch; </v>
      </c>
      <c r="BF89" s="55" t="s">
        <v>378</v>
      </c>
      <c r="BG89" s="55" t="s">
        <v>379</v>
      </c>
      <c r="BH89" s="62"/>
      <c r="BI89" s="57" t="n">
        <v>2</v>
      </c>
      <c r="BJ89" s="57" t="n">
        <v>0</v>
      </c>
      <c r="BK89" s="56" t="n">
        <v>2894</v>
      </c>
      <c r="BL89" s="57" t="n">
        <v>0</v>
      </c>
      <c r="BM89" s="55"/>
      <c r="BN89" s="60" t="n">
        <v>0</v>
      </c>
      <c r="BO89" s="60" t="n">
        <v>89</v>
      </c>
      <c r="BP89" s="55" t="str">
        <f aca="false">IF(S89&lt;&gt;"",UPPER(TRIM(S89)),IF(O89="","LOSE",O89))</f>
        <v>S51</v>
      </c>
      <c r="BQ89" s="57" t="n">
        <f aca="false">IF(BP89="LOSE",1,IF(N(T89)&gt;0,T89,IF(N(P89)&gt;0,P89,MAX(1,G89))))</f>
        <v>2</v>
      </c>
      <c r="BR89" s="60" t="n">
        <f aca="false">IF(BP89="LOSE",1,0)</f>
        <v>0</v>
      </c>
      <c r="BS89" s="59" t="n">
        <f aca="false">IF(BR89=0,0,IF(N(R89)&gt;0,R89,IFERROR(VLOOKUP(D89,Parameter!$A$35:$C$64,3,0)+0,0)))</f>
        <v>0</v>
      </c>
      <c r="BT89" s="55" t="n">
        <f aca="false">IF(Y89&lt;&gt;"",Y89,X89)</f>
        <v>3</v>
      </c>
      <c r="BU89" s="55" t="str">
        <f aca="false">IF(BT89=1,"L1",IF(OR(BT89=2,BT89=3),"L23",IF(BT89="Aussen","Aussen","-")))</f>
        <v>L23</v>
      </c>
      <c r="BV89" s="66" t="n">
        <f aca="false">IF(N(Z89)&gt;0,Z89,0)</f>
        <v>0</v>
      </c>
      <c r="BW89" s="60" t="n">
        <f aca="false">IF(ISNUMBER(AC89),1,0)</f>
        <v>0</v>
      </c>
      <c r="BX89" s="57" t="n">
        <f aca="false">N(AC89)</f>
        <v>0</v>
      </c>
      <c r="BY89" s="57" t="n">
        <f aca="false">N(L89)+N(M89)</f>
        <v>1</v>
      </c>
      <c r="BZ89" s="57" t="n">
        <f aca="false">ROUNDUP(G89/BQ89,0)</f>
        <v>1</v>
      </c>
      <c r="CA89" s="57" t="n">
        <f aca="false">ROUNDUP(BX89/BQ89,0)</f>
        <v>0</v>
      </c>
      <c r="CB89" s="60" t="n">
        <f aca="false">IF(BR89=1,0,IFERROR(VLOOKUP(BP89,'Gebinde-Kategorie'!$A$5:$M$45,5,0)+0,0))</f>
        <v>11</v>
      </c>
      <c r="CC89" s="60" t="n">
        <f aca="false">IFERROR(IF(OR(BT89=1,BT89=2,BT89=3),N(INDEX(Parameter!$I$5:$I$7,BT89)),0),0)</f>
        <v>0</v>
      </c>
      <c r="CD89" s="59" t="n">
        <f aca="false">IF(AND(Parameter!$B$21="Ja",ISNUMBER(U89),N(V89)&gt;0),IFERROR(N(INDEX(Parameter!$L$5:$L$7,U89))*INDEX(Parameter!$E$5:$E$7,U89)*V89/SUMIFS($V$7:$V$1576,$U$7:$U$1576,U89),0),0)</f>
        <v>0</v>
      </c>
    </row>
    <row r="90" customFormat="false" ht="15" hidden="false" customHeight="false" outlineLevel="0" collapsed="false">
      <c r="A90" s="55" t="s">
        <v>380</v>
      </c>
      <c r="B90" s="55" t="s">
        <v>381</v>
      </c>
      <c r="C90" s="55" t="s">
        <v>160</v>
      </c>
      <c r="D90" s="55" t="s">
        <v>178</v>
      </c>
      <c r="E90" s="55" t="s">
        <v>210</v>
      </c>
      <c r="F90" s="56" t="n">
        <v>294.55</v>
      </c>
      <c r="G90" s="57" t="n">
        <f aca="false">MAX(0,IF(AND(Parameter!$B$21="Ja",ISNUMBER(W90)),W90,IF(Parameter!$B$20="Jahresanfang 2025 + Export",BJ90+BI90,BI90)))</f>
        <v>8</v>
      </c>
      <c r="H90" s="57" t="n">
        <f aca="false">G90*F90</f>
        <v>2356.4</v>
      </c>
      <c r="I90" s="57" t="n">
        <f aca="false">BL90*Parameter!$B$18</f>
        <v>2</v>
      </c>
      <c r="J90" s="58" t="n">
        <v>9</v>
      </c>
      <c r="K90" s="59" t="n">
        <v>0.222222222222222</v>
      </c>
      <c r="L90" s="57" t="n">
        <v>0</v>
      </c>
      <c r="M90" s="57" t="n">
        <v>1</v>
      </c>
      <c r="N90" s="60" t="n">
        <v>42</v>
      </c>
      <c r="O90" s="55" t="s">
        <v>225</v>
      </c>
      <c r="P90" s="57" t="n">
        <v>17</v>
      </c>
      <c r="Q90" s="60" t="n">
        <f aca="false">IF(BR90=1,0,IFERROR(VLOOKUP(BP90,'Gebinde-Kategorie'!$A$5:$M$45,13,0)+0,0))</f>
        <v>26</v>
      </c>
      <c r="R90" s="61"/>
      <c r="S90" s="62"/>
      <c r="T90" s="62"/>
      <c r="U90" s="55"/>
      <c r="V90" s="57"/>
      <c r="W90" s="57"/>
      <c r="X90" s="55" t="n">
        <f aca="false">IF(A90="","",IF(AND(Parameter!$B$21="Ja",ISNUMBER(U90)),U90,IF(IFERROR(VLOOKUP(D90,Parameter!$A$35:$C$64,2,0),"Nein")="2+3",IF(ISNUMBER(SEARCH("grosser Artikel",BM90)),2,IFERROR(VLOOKUP(BP90,Parameter!$F$35:$G$64,2,0),2)),IF(OR(IFERROR(VLOOKUP(D90,Parameter!$A$35:$C$64,2,0),"Nein")="Nein",IFERROR(VLOOKUP(D90,Parameter!$A$35:$C$64,2,0),"Nein")=""),"-",VLOOKUP(D90,Parameter!$A$35:$C$64,2,0)))))</f>
        <v>3</v>
      </c>
      <c r="Y90" s="62"/>
      <c r="Z90" s="63"/>
      <c r="AA90" s="57" t="n">
        <f aca="false">AP90</f>
        <v>17</v>
      </c>
      <c r="AB90" s="57" t="n">
        <f aca="false">MAX(AP90,G90)</f>
        <v>17</v>
      </c>
      <c r="AC90" s="64"/>
      <c r="AD90" s="57" t="n">
        <f aca="false">IF(LEFT(Cockpit!$C$5,1)="A",G90,IF(BW90=1,BX90,IF(LEFT(Cockpit!$C$5,1)="B",AH90,MAX(AH90,G90))))</f>
        <v>8</v>
      </c>
      <c r="AE90" s="57" t="n">
        <f aca="false">IF(BR90=1,0,ROUNDUP(AD90/BQ90,0))</f>
        <v>1</v>
      </c>
      <c r="AF90" s="59" t="n">
        <f aca="false">IF(CD90&gt;0,CD90*MAX(1,AD90/V90),IF(BR90=1,IF(AD90&lt;=0,0,BS90*MAX(1,IF(G90&gt;0,AD90/G90,1))),IF(Q90&gt;0,AE90/Q90,0))/MAX(0.1,N(Parameter!$M$21)))</f>
        <v>0.0384615384615385</v>
      </c>
      <c r="AG90" s="57" t="n">
        <f aca="false">AD90*F90</f>
        <v>2356.4</v>
      </c>
      <c r="AH90" s="57" t="n">
        <f aca="false">ROUNDUP(MAX(I90/IF(BV90&gt;0,BV90,MAX(0.1,N(Cockpit!$C$6))),BY90)/BQ90,0)*BQ90</f>
        <v>17</v>
      </c>
      <c r="AI90" s="58" t="n">
        <f aca="false">IF(AF90&gt;0,I90/AF90,-1)</f>
        <v>52</v>
      </c>
      <c r="AJ90" s="58" t="n">
        <f aca="false">IF(AND(OR(BU90="L1",BU90="L23"),AF90&gt;0),SUMIFS($AF$7:$AF$1576,$BU$7:$BU$1576,BU90,$AI$7:$AI$1576,"&gt;"&amp;AI90)+SUMIFS($AF$7:$AF$1576,$BU$7:$BU$1576,BU90,$AI$7:$AI$1576,AI90,$BO$7:$BO$1576,"&lt;="&amp;BO90),"")</f>
        <v>25.1661714131279</v>
      </c>
      <c r="AK90" s="65" t="n">
        <f aca="false">IF(AJ90="",0,MAX(0,MIN(1,(IF(BU90="L1",Parameter!$E$5,Parameter!$E$6+Parameter!$E$7)-(AJ90-AF90))/AF90)))</f>
        <v>1</v>
      </c>
      <c r="AL90" s="57" t="n">
        <f aca="false">IF(LEFT(Cockpit!$I$5,1)="A",G90,IF(BW90=1,BX90,IF(LEFT(Cockpit!$I$5,1)="B",AP90,MAX(AP90,G90))))</f>
        <v>17</v>
      </c>
      <c r="AM90" s="57" t="n">
        <f aca="false">IF(BR90=1,0,ROUNDUP(AL90/BQ90,0))</f>
        <v>1</v>
      </c>
      <c r="AN90" s="59" t="n">
        <f aca="false">IF(CD90&gt;0,CD90*MAX(1,AL90/V90),IF(BR90=1,IF(AL90&lt;=0,0,BS90*MAX(1,IF(G90&gt;0,AL90/G90,1))),IF(Q90&gt;0,AM90/Q90,0))/MAX(0.1,N(Parameter!$M$21)))</f>
        <v>0.0384615384615385</v>
      </c>
      <c r="AO90" s="57" t="n">
        <f aca="false">AL90*F90</f>
        <v>5007.35</v>
      </c>
      <c r="AP90" s="57" t="n">
        <f aca="false">ROUNDUP(MAX(I90/IF(BV90&gt;0,BV90,MAX(0.1,N(Cockpit!$I$6))),BY90)/BQ90,0)*BQ90</f>
        <v>17</v>
      </c>
      <c r="AQ90" s="58" t="n">
        <f aca="false">IF(AN90&gt;0,I90/AN90,-1)</f>
        <v>52</v>
      </c>
      <c r="AR90" s="58" t="n">
        <f aca="false">IF(AND(OR(BU90="L1",BU90="L23"),AN90&gt;0),SUMIFS($AN$7:$AN$1576,$BU$7:$BU$1576,BU90,$AQ$7:$AQ$1576,"&gt;"&amp;AQ90)+SUMIFS($AN$7:$AN$1576,$BU$7:$BU$1576,BU90,$AQ$7:$AQ$1576,AQ90,$BO$7:$BO$1576,"&lt;="&amp;BO90),"")</f>
        <v>81.714485870747</v>
      </c>
      <c r="AS90" s="65" t="n">
        <f aca="false">IF(AR90="",0,MAX(0,MIN(1,(IF(BU90="L1",Parameter!$E$5,Parameter!$E$6+Parameter!$E$7)-(AR90-AN90))/AN90)))</f>
        <v>1</v>
      </c>
      <c r="AT90" s="57" t="n">
        <f aca="false">IF(LEFT(Cockpit!$O$5,1)="A",G90,IF(BW90=1,BX90,IF(LEFT(Cockpit!$O$5,1)="B",AX90,MAX(AX90,G90))))</f>
        <v>17</v>
      </c>
      <c r="AU90" s="57" t="n">
        <f aca="false">IF(BR90=1,0,ROUNDUP(AT90/BQ90,0))</f>
        <v>1</v>
      </c>
      <c r="AV90" s="59" t="n">
        <f aca="false">IF(CD90&gt;0,CD90*MAX(1,AT90/V90),IF(BR90=1,IF(AT90&lt;=0,0,BS90*MAX(1,IF(G90&gt;0,AT90/G90,1))),IF(Q90&gt;0,AU90/Q90,0))/MAX(0.1,N(Parameter!$M$21)))</f>
        <v>0.0384615384615385</v>
      </c>
      <c r="AW90" s="57" t="n">
        <f aca="false">AT90*F90</f>
        <v>5007.35</v>
      </c>
      <c r="AX90" s="57" t="n">
        <f aca="false">ROUNDUP(MAX(I90/IF(BV90&gt;0,BV90,MAX(0.1,N(Cockpit!$O$6))),BY90)/BQ90,0)*BQ90</f>
        <v>17</v>
      </c>
      <c r="AY90" s="58" t="n">
        <f aca="false">IF(AV90&gt;0,I90/AV90,-1)</f>
        <v>52</v>
      </c>
      <c r="AZ90" s="58" t="n">
        <f aca="false">IF(AND(OR(BU90="L1",BU90="L23"),AV90&gt;0),SUMIFS($AV$7:$AV$1576,$BU$7:$BU$1576,BU90,$AY$7:$AY$1576,"&gt;"&amp;AY90)+SUMIFS($AV$7:$AV$1576,$BU$7:$BU$1576,BU90,$AY$7:$AY$1576,AY90,$BO$7:$BO$1576,"&lt;="&amp;BO90),"")</f>
        <v>78.1323696536308</v>
      </c>
      <c r="BA90" s="65" t="n">
        <f aca="false">IF(AZ90="",0,MAX(0,MIN(1,(IF(BU90="L1",Parameter!$E$5,Parameter!$E$6+Parameter!$E$7)-(AZ90-AV90))/AV90)))</f>
        <v>1</v>
      </c>
      <c r="BB90" s="55" t="str">
        <f aca="false">IF(AF90&lt;=0,"",IF(BU90="Aussen","Aussenlager",IF(BU90="-","Nicht im Lift",IF(AK90&gt;=1,"Lift",IF(AK90&lt;=0,"Aussenlager","teilweise")))))</f>
        <v>Lift</v>
      </c>
      <c r="BC90" s="55" t="str">
        <f aca="false">IF(AN90&lt;=0,"",IF(BU90="Aussen","Aussenlager",IF(BU90="-","Nicht im Lift",IF(AS90&gt;=1,"Lift",IF(AS90&lt;=0,"Aussenlager","teilweise")))))</f>
        <v>Lift</v>
      </c>
      <c r="BD90" s="55" t="str">
        <f aca="false">IF(AV90&lt;=0,"",IF(BU90="Aussen","Aussenlager",IF(BU90="-","Nicht im Lift",IF(BA90&gt;=1,"Lift",IF(BA90&lt;=0,"Aussenlager","teilweise")))))</f>
        <v>Lift</v>
      </c>
      <c r="BE90" s="55" t="str">
        <f aca="false">IF(A90="","",IF(BN90=1,"Neu; ","")&amp;IF(AND(BN90=0,BI90&lt;0),"negativer Bestand (Export "&amp;BI90&amp;"); ","")&amp;IF(I90&lt;=0,"Kein Verbrauch; ","")&amp;IF(CD90&gt;0,"Lift "&amp;U90&amp;" lt. Liftbericht (Fach "&amp;V90&amp;" Stk); ",IF(BR90=1,"Lose – Fläche geschätzt; ",""))&amp;IF(G90&gt;AP90,"Überbestand "&amp;ROUND(G90-AP90,0)&amp;" Stk / CHF "&amp;ROUND((G90-AP90)*F90,0)&amp;"; ","")&amp;IF(AND(BW90=1,BX90&lt;BY90),"MAX &lt; MB+LG; ","")&amp;IF(AND(CC90&gt;0,CB90*10&gt;CC90),"zu hoch für Tablar; ","")&amp;IF(AND(BN90=0,OR(BW90=1,Y90&lt;&gt;"",S90&lt;&gt;"",T90&lt;&gt;"",Z90&lt;&gt;"")),"manuell übersteuert; ","")&amp;IF(AND(BR90=0,Q90=0),"Gebinde unbekannt / Stellmass fehlt; ","")&amp;IF(AND(BR90=0,N(T90)&lt;=0,N(P90)&lt;=0),"Menge pro Gebinde fehlt (Ist = 1 Gebinde); ","")&amp;BM90)</f>
        <v>Überbestand</v>
      </c>
      <c r="BF90" s="55"/>
      <c r="BG90" s="55"/>
      <c r="BH90" s="62"/>
      <c r="BI90" s="57" t="n">
        <v>8</v>
      </c>
      <c r="BJ90" s="57" t="n">
        <v>5</v>
      </c>
      <c r="BK90" s="56" t="n">
        <v>2784.35</v>
      </c>
      <c r="BL90" s="57" t="n">
        <v>2</v>
      </c>
      <c r="BM90" s="55" t="s">
        <v>382</v>
      </c>
      <c r="BN90" s="60" t="n">
        <v>0</v>
      </c>
      <c r="BO90" s="60" t="n">
        <v>90</v>
      </c>
      <c r="BP90" s="55" t="str">
        <f aca="false">IF(S90&lt;&gt;"",UPPER(TRIM(S90)),IF(O90="","LOSE",O90))</f>
        <v>S52</v>
      </c>
      <c r="BQ90" s="57" t="n">
        <f aca="false">IF(BP90="LOSE",1,IF(N(T90)&gt;0,T90,IF(N(P90)&gt;0,P90,MAX(1,G90))))</f>
        <v>17</v>
      </c>
      <c r="BR90" s="60" t="n">
        <f aca="false">IF(BP90="LOSE",1,0)</f>
        <v>0</v>
      </c>
      <c r="BS90" s="59" t="n">
        <f aca="false">IF(BR90=0,0,IF(N(R90)&gt;0,R90,IFERROR(VLOOKUP(D90,Parameter!$A$35:$C$64,3,0)+0,0)))</f>
        <v>0</v>
      </c>
      <c r="BT90" s="55" t="n">
        <f aca="false">IF(Y90&lt;&gt;"",Y90,X90)</f>
        <v>3</v>
      </c>
      <c r="BU90" s="55" t="str">
        <f aca="false">IF(BT90=1,"L1",IF(OR(BT90=2,BT90=3),"L23",IF(BT90="Aussen","Aussen","-")))</f>
        <v>L23</v>
      </c>
      <c r="BV90" s="66" t="n">
        <f aca="false">IF(N(Z90)&gt;0,Z90,0)</f>
        <v>0</v>
      </c>
      <c r="BW90" s="60" t="n">
        <f aca="false">IF(ISNUMBER(AC90),1,0)</f>
        <v>0</v>
      </c>
      <c r="BX90" s="57" t="n">
        <f aca="false">N(AC90)</f>
        <v>0</v>
      </c>
      <c r="BY90" s="57" t="n">
        <f aca="false">N(L90)+N(M90)</f>
        <v>1</v>
      </c>
      <c r="BZ90" s="57" t="n">
        <f aca="false">ROUNDUP(G90/BQ90,0)</f>
        <v>1</v>
      </c>
      <c r="CA90" s="57" t="n">
        <f aca="false">ROUNDUP(BX90/BQ90,0)</f>
        <v>0</v>
      </c>
      <c r="CB90" s="60" t="n">
        <f aca="false">IF(BR90=1,0,IFERROR(VLOOKUP(BP90,'Gebinde-Kategorie'!$A$5:$M$45,5,0)+0,0))</f>
        <v>21</v>
      </c>
      <c r="CC90" s="60" t="n">
        <f aca="false">IFERROR(IF(OR(BT90=1,BT90=2,BT90=3),N(INDEX(Parameter!$I$5:$I$7,BT90)),0),0)</f>
        <v>0</v>
      </c>
      <c r="CD90" s="59" t="n">
        <f aca="false">IF(AND(Parameter!$B$21="Ja",ISNUMBER(U90),N(V90)&gt;0),IFERROR(N(INDEX(Parameter!$L$5:$L$7,U90))*INDEX(Parameter!$E$5:$E$7,U90)*V90/SUMIFS($V$7:$V$1576,$U$7:$U$1576,U90),0),0)</f>
        <v>0</v>
      </c>
    </row>
    <row r="91" customFormat="false" ht="15" hidden="false" customHeight="false" outlineLevel="0" collapsed="false">
      <c r="A91" s="55" t="s">
        <v>383</v>
      </c>
      <c r="B91" s="55" t="s">
        <v>384</v>
      </c>
      <c r="C91" s="55" t="s">
        <v>160</v>
      </c>
      <c r="D91" s="55" t="s">
        <v>168</v>
      </c>
      <c r="E91" s="55" t="s">
        <v>210</v>
      </c>
      <c r="F91" s="56" t="n">
        <v>335.82</v>
      </c>
      <c r="G91" s="57" t="n">
        <f aca="false">MAX(0,IF(AND(Parameter!$B$21="Ja",ISNUMBER(W91)),W91,IF(Parameter!$B$20="Jahresanfang 2025 + Export",BJ91+BI91,BI91)))</f>
        <v>7</v>
      </c>
      <c r="H91" s="57" t="n">
        <f aca="false">G91*F91</f>
        <v>2350.74</v>
      </c>
      <c r="I91" s="57" t="n">
        <f aca="false">BL91*Parameter!$B$18</f>
        <v>30</v>
      </c>
      <c r="J91" s="58" t="n">
        <v>13.5</v>
      </c>
      <c r="K91" s="59" t="n">
        <v>2.22222222222222</v>
      </c>
      <c r="L91" s="57" t="n">
        <v>2</v>
      </c>
      <c r="M91" s="57" t="n">
        <v>15</v>
      </c>
      <c r="N91" s="60" t="n">
        <v>21</v>
      </c>
      <c r="O91" s="55" t="s">
        <v>169</v>
      </c>
      <c r="P91" s="57" t="n">
        <v>24</v>
      </c>
      <c r="Q91" s="60" t="n">
        <f aca="false">IF(BR91=1,0,IFERROR(VLOOKUP(BP91,'Gebinde-Kategorie'!$A$5:$M$45,13,0)+0,0))</f>
        <v>6</v>
      </c>
      <c r="R91" s="61"/>
      <c r="S91" s="62"/>
      <c r="T91" s="62"/>
      <c r="U91" s="55"/>
      <c r="V91" s="57"/>
      <c r="W91" s="57"/>
      <c r="X91" s="55" t="n">
        <f aca="false">IF(A91="","",IF(AND(Parameter!$B$21="Ja",ISNUMBER(U91)),U91,IF(IFERROR(VLOOKUP(D91,Parameter!$A$35:$C$64,2,0),"Nein")="2+3",IF(ISNUMBER(SEARCH("grosser Artikel",BM91)),2,IFERROR(VLOOKUP(BP91,Parameter!$F$35:$G$64,2,0),2)),IF(OR(IFERROR(VLOOKUP(D91,Parameter!$A$35:$C$64,2,0),"Nein")="Nein",IFERROR(VLOOKUP(D91,Parameter!$A$35:$C$64,2,0),"Nein")=""),"-",VLOOKUP(D91,Parameter!$A$35:$C$64,2,0)))))</f>
        <v>2</v>
      </c>
      <c r="Y91" s="62"/>
      <c r="Z91" s="63"/>
      <c r="AA91" s="57" t="n">
        <f aca="false">AP91</f>
        <v>24</v>
      </c>
      <c r="AB91" s="57" t="n">
        <f aca="false">MAX(AP91,G91)</f>
        <v>24</v>
      </c>
      <c r="AC91" s="64"/>
      <c r="AD91" s="57" t="n">
        <f aca="false">IF(LEFT(Cockpit!$C$5,1)="A",G91,IF(BW91=1,BX91,IF(LEFT(Cockpit!$C$5,1)="B",AH91,MAX(AH91,G91))))</f>
        <v>7</v>
      </c>
      <c r="AE91" s="57" t="n">
        <f aca="false">IF(BR91=1,0,ROUNDUP(AD91/BQ91,0))</f>
        <v>1</v>
      </c>
      <c r="AF91" s="59" t="n">
        <f aca="false">IF(CD91&gt;0,CD91*MAX(1,AD91/V91),IF(BR91=1,IF(AD91&lt;=0,0,BS91*MAX(1,IF(G91&gt;0,AD91/G91,1))),IF(Q91&gt;0,AE91/Q91,0))/MAX(0.1,N(Parameter!$M$21)))</f>
        <v>0.166666666666667</v>
      </c>
      <c r="AG91" s="57" t="n">
        <f aca="false">AD91*F91</f>
        <v>2350.74</v>
      </c>
      <c r="AH91" s="57" t="n">
        <f aca="false">ROUNDUP(MAX(I91/IF(BV91&gt;0,BV91,MAX(0.1,N(Cockpit!$C$6))),BY91)/BQ91,0)*BQ91</f>
        <v>24</v>
      </c>
      <c r="AI91" s="58" t="n">
        <f aca="false">IF(AF91&gt;0,I91/AF91,-1)</f>
        <v>180</v>
      </c>
      <c r="AJ91" s="58" t="n">
        <f aca="false">IF(AND(OR(BU91="L1",BU91="L23"),AF91&gt;0),SUMIFS($AF$7:$AF$1576,$BU$7:$BU$1576,BU91,$AI$7:$AI$1576,"&gt;"&amp;AI91)+SUMIFS($AF$7:$AF$1576,$BU$7:$BU$1576,BU91,$AI$7:$AI$1576,AI91,$BO$7:$BO$1576,"&lt;="&amp;BO91),"")</f>
        <v>17.8826826796392</v>
      </c>
      <c r="AK91" s="65" t="n">
        <f aca="false">IF(AJ91="",0,MAX(0,MIN(1,(IF(BU91="L1",Parameter!$E$5,Parameter!$E$6+Parameter!$E$7)-(AJ91-AF91))/AF91)))</f>
        <v>1</v>
      </c>
      <c r="AL91" s="57" t="n">
        <f aca="false">IF(LEFT(Cockpit!$I$5,1)="A",G91,IF(BW91=1,BX91,IF(LEFT(Cockpit!$I$5,1)="B",AP91,MAX(AP91,G91))))</f>
        <v>24</v>
      </c>
      <c r="AM91" s="57" t="n">
        <f aca="false">IF(BR91=1,0,ROUNDUP(AL91/BQ91,0))</f>
        <v>1</v>
      </c>
      <c r="AN91" s="59" t="n">
        <f aca="false">IF(CD91&gt;0,CD91*MAX(1,AL91/V91),IF(BR91=1,IF(AL91&lt;=0,0,BS91*MAX(1,IF(G91&gt;0,AL91/G91,1))),IF(Q91&gt;0,AM91/Q91,0))/MAX(0.1,N(Parameter!$M$21)))</f>
        <v>0.166666666666667</v>
      </c>
      <c r="AO91" s="57" t="n">
        <f aca="false">AL91*F91</f>
        <v>8059.68</v>
      </c>
      <c r="AP91" s="57" t="n">
        <f aca="false">ROUNDUP(MAX(I91/IF(BV91&gt;0,BV91,MAX(0.1,N(Cockpit!$I$6))),BY91)/BQ91,0)*BQ91</f>
        <v>24</v>
      </c>
      <c r="AQ91" s="58" t="n">
        <f aca="false">IF(AN91&gt;0,I91/AN91,-1)</f>
        <v>180</v>
      </c>
      <c r="AR91" s="58" t="n">
        <f aca="false">IF(AND(OR(BU91="L1",BU91="L23"),AN91&gt;0),SUMIFS($AN$7:$AN$1576,$BU$7:$BU$1576,BU91,$AQ$7:$AQ$1576,"&gt;"&amp;AQ91)+SUMIFS($AN$7:$AN$1576,$BU$7:$BU$1576,BU91,$AQ$7:$AQ$1576,AQ91,$BO$7:$BO$1576,"&lt;="&amp;BO91),"")</f>
        <v>52.7367226617338</v>
      </c>
      <c r="AS91" s="65" t="n">
        <f aca="false">IF(AR91="",0,MAX(0,MIN(1,(IF(BU91="L1",Parameter!$E$5,Parameter!$E$6+Parameter!$E$7)-(AR91-AN91))/AN91)))</f>
        <v>1</v>
      </c>
      <c r="AT91" s="57" t="n">
        <f aca="false">IF(LEFT(Cockpit!$O$5,1)="A",G91,IF(BW91=1,BX91,IF(LEFT(Cockpit!$O$5,1)="B",AX91,MAX(AX91,G91))))</f>
        <v>24</v>
      </c>
      <c r="AU91" s="57" t="n">
        <f aca="false">IF(BR91=1,0,ROUNDUP(AT91/BQ91,0))</f>
        <v>1</v>
      </c>
      <c r="AV91" s="59" t="n">
        <f aca="false">IF(CD91&gt;0,CD91*MAX(1,AT91/V91),IF(BR91=1,IF(AT91&lt;=0,0,BS91*MAX(1,IF(G91&gt;0,AT91/G91,1))),IF(Q91&gt;0,AU91/Q91,0))/MAX(0.1,N(Parameter!$M$21)))</f>
        <v>0.166666666666667</v>
      </c>
      <c r="AW91" s="57" t="n">
        <f aca="false">AT91*F91</f>
        <v>8059.68</v>
      </c>
      <c r="AX91" s="57" t="n">
        <f aca="false">ROUNDUP(MAX(I91/IF(BV91&gt;0,BV91,MAX(0.1,N(Cockpit!$O$6))),BY91)/BQ91,0)*BQ91</f>
        <v>24</v>
      </c>
      <c r="AY91" s="58" t="n">
        <f aca="false">IF(AV91&gt;0,I91/AV91,-1)</f>
        <v>180</v>
      </c>
      <c r="AZ91" s="58" t="n">
        <f aca="false">IF(AND(OR(BU91="L1",BU91="L23"),AV91&gt;0),SUMIFS($AV$7:$AV$1576,$BU$7:$BU$1576,BU91,$AY$7:$AY$1576,"&gt;"&amp;AY91)+SUMIFS($AV$7:$AV$1576,$BU$7:$BU$1576,BU91,$AY$7:$AY$1576,AY91,$BO$7:$BO$1576,"&lt;="&amp;BO91),"")</f>
        <v>48.6186973537085</v>
      </c>
      <c r="BA91" s="65" t="n">
        <f aca="false">IF(AZ91="",0,MAX(0,MIN(1,(IF(BU91="L1",Parameter!$E$5,Parameter!$E$6+Parameter!$E$7)-(AZ91-AV91))/AV91)))</f>
        <v>1</v>
      </c>
      <c r="BB91" s="55" t="str">
        <f aca="false">IF(AF91&lt;=0,"",IF(BU91="Aussen","Aussenlager",IF(BU91="-","Nicht im Lift",IF(AK91&gt;=1,"Lift",IF(AK91&lt;=0,"Aussenlager","teilweise")))))</f>
        <v>Lift</v>
      </c>
      <c r="BC91" s="55" t="str">
        <f aca="false">IF(AN91&lt;=0,"",IF(BU91="Aussen","Aussenlager",IF(BU91="-","Nicht im Lift",IF(AS91&gt;=1,"Lift",IF(AS91&lt;=0,"Aussenlager","teilweise")))))</f>
        <v>Lift</v>
      </c>
      <c r="BD91" s="55" t="str">
        <f aca="false">IF(AV91&lt;=0,"",IF(BU91="Aussen","Aussenlager",IF(BU91="-","Nicht im Lift",IF(BA91&gt;=1,"Lift",IF(BA91&lt;=0,"Aussenlager","teilweise")))))</f>
        <v>Lift</v>
      </c>
      <c r="BE91" s="55" t="str">
        <f aca="false">IF(A91="","",IF(BN91=1,"Neu; ","")&amp;IF(AND(BN91=0,BI91&lt;0),"negativer Bestand (Export "&amp;BI91&amp;"); ","")&amp;IF(I91&lt;=0,"Kein Verbrauch; ","")&amp;IF(CD91&gt;0,"Lift "&amp;U91&amp;" lt. Liftbericht (Fach "&amp;V91&amp;" Stk); ",IF(BR91=1,"Lose – Fläche geschätzt; ",""))&amp;IF(G91&gt;AP91,"Überbestand "&amp;ROUND(G91-AP91,0)&amp;" Stk / CHF "&amp;ROUND((G91-AP91)*F91,0)&amp;"; ","")&amp;IF(AND(BW91=1,BX91&lt;BY91),"MAX &lt; MB+LG; ","")&amp;IF(AND(CC91&gt;0,CB91*10&gt;CC91),"zu hoch für Tablar; ","")&amp;IF(AND(BN91=0,OR(BW91=1,Y91&lt;&gt;"",S91&lt;&gt;"",T91&lt;&gt;"",Z91&lt;&gt;"")),"manuell übersteuert; ","")&amp;IF(AND(BR91=0,Q91=0),"Gebinde unbekannt / Stellmass fehlt; ","")&amp;IF(AND(BR91=0,N(T91)&lt;=0,N(P91)&lt;=0),"Menge pro Gebinde fehlt (Ist = 1 Gebinde); ","")&amp;BM91)</f>
        <v/>
      </c>
      <c r="BF91" s="55"/>
      <c r="BG91" s="55"/>
      <c r="BH91" s="62"/>
      <c r="BI91" s="57" t="n">
        <v>7</v>
      </c>
      <c r="BJ91" s="57" t="n">
        <v>8</v>
      </c>
      <c r="BK91" s="56" t="n">
        <v>2673.78</v>
      </c>
      <c r="BL91" s="57" t="n">
        <v>30</v>
      </c>
      <c r="BM91" s="55"/>
      <c r="BN91" s="60" t="n">
        <v>0</v>
      </c>
      <c r="BO91" s="60" t="n">
        <v>91</v>
      </c>
      <c r="BP91" s="55" t="str">
        <f aca="false">IF(S91&lt;&gt;"",UPPER(TRIM(S91)),IF(O91="","LOSE",O91))</f>
        <v>S71</v>
      </c>
      <c r="BQ91" s="57" t="n">
        <f aca="false">IF(BP91="LOSE",1,IF(N(T91)&gt;0,T91,IF(N(P91)&gt;0,P91,MAX(1,G91))))</f>
        <v>24</v>
      </c>
      <c r="BR91" s="60" t="n">
        <f aca="false">IF(BP91="LOSE",1,0)</f>
        <v>0</v>
      </c>
      <c r="BS91" s="59" t="n">
        <f aca="false">IF(BR91=0,0,IF(N(R91)&gt;0,R91,IFERROR(VLOOKUP(D91,Parameter!$A$35:$C$64,3,0)+0,0)))</f>
        <v>0</v>
      </c>
      <c r="BT91" s="55" t="n">
        <f aca="false">IF(Y91&lt;&gt;"",Y91,X91)</f>
        <v>2</v>
      </c>
      <c r="BU91" s="55" t="str">
        <f aca="false">IF(BT91=1,"L1",IF(OR(BT91=2,BT91=3),"L23",IF(BT91="Aussen","Aussen","-")))</f>
        <v>L23</v>
      </c>
      <c r="BV91" s="66" t="n">
        <f aca="false">IF(N(Z91)&gt;0,Z91,0)</f>
        <v>0</v>
      </c>
      <c r="BW91" s="60" t="n">
        <f aca="false">IF(ISNUMBER(AC91),1,0)</f>
        <v>0</v>
      </c>
      <c r="BX91" s="57" t="n">
        <f aca="false">N(AC91)</f>
        <v>0</v>
      </c>
      <c r="BY91" s="57" t="n">
        <f aca="false">N(L91)+N(M91)</f>
        <v>17</v>
      </c>
      <c r="BZ91" s="57" t="n">
        <f aca="false">ROUNDUP(G91/BQ91,0)</f>
        <v>1</v>
      </c>
      <c r="CA91" s="57" t="n">
        <f aca="false">ROUNDUP(BX91/BQ91,0)</f>
        <v>0</v>
      </c>
      <c r="CB91" s="60" t="n">
        <f aca="false">IF(BR91=1,0,IFERROR(VLOOKUP(BP91,'Gebinde-Kategorie'!$A$5:$M$45,5,0)+0,0))</f>
        <v>20</v>
      </c>
      <c r="CC91" s="60" t="n">
        <f aca="false">IFERROR(IF(OR(BT91=1,BT91=2,BT91=3),N(INDEX(Parameter!$I$5:$I$7,BT91)),0),0)</f>
        <v>0</v>
      </c>
      <c r="CD91" s="59" t="n">
        <f aca="false">IF(AND(Parameter!$B$21="Ja",ISNUMBER(U91),N(V91)&gt;0),IFERROR(N(INDEX(Parameter!$L$5:$L$7,U91))*INDEX(Parameter!$E$5:$E$7,U91)*V91/SUMIFS($V$7:$V$1576,$U$7:$U$1576,U91),0),0)</f>
        <v>0</v>
      </c>
    </row>
    <row r="92" customFormat="false" ht="15" hidden="false" customHeight="false" outlineLevel="0" collapsed="false">
      <c r="A92" s="55" t="s">
        <v>385</v>
      </c>
      <c r="B92" s="55" t="s">
        <v>386</v>
      </c>
      <c r="C92" s="55" t="s">
        <v>160</v>
      </c>
      <c r="D92" s="55" t="s">
        <v>178</v>
      </c>
      <c r="E92" s="55" t="s">
        <v>210</v>
      </c>
      <c r="F92" s="56" t="n">
        <v>129.65</v>
      </c>
      <c r="G92" s="57" t="n">
        <f aca="false">MAX(0,IF(AND(Parameter!$B$21="Ja",ISNUMBER(W92)),W92,IF(Parameter!$B$20="Jahresanfang 2025 + Export",BJ92+BI92,BI92)))</f>
        <v>20</v>
      </c>
      <c r="H92" s="57" t="n">
        <f aca="false">G92*F92</f>
        <v>2593</v>
      </c>
      <c r="I92" s="57" t="n">
        <f aca="false">BL92*Parameter!$B$18</f>
        <v>0</v>
      </c>
      <c r="J92" s="58" t="n">
        <v>0</v>
      </c>
      <c r="K92" s="59" t="n">
        <v>0</v>
      </c>
      <c r="L92" s="57" t="n">
        <v>0</v>
      </c>
      <c r="M92" s="57" t="n">
        <v>1</v>
      </c>
      <c r="N92" s="60" t="n">
        <v>9999</v>
      </c>
      <c r="O92" s="55" t="s">
        <v>163</v>
      </c>
      <c r="P92" s="57"/>
      <c r="Q92" s="60" t="n">
        <f aca="false">IF(BR92=1,0,IFERROR(VLOOKUP(BP92,'Gebinde-Kategorie'!$A$5:$M$45,13,0)+0,0))</f>
        <v>0</v>
      </c>
      <c r="R92" s="61"/>
      <c r="S92" s="62"/>
      <c r="T92" s="62"/>
      <c r="U92" s="55"/>
      <c r="V92" s="57"/>
      <c r="W92" s="57"/>
      <c r="X92" s="55" t="n">
        <f aca="false">IF(A92="","",IF(AND(Parameter!$B$21="Ja",ISNUMBER(U92)),U92,IF(IFERROR(VLOOKUP(D92,Parameter!$A$35:$C$64,2,0),"Nein")="2+3",IF(ISNUMBER(SEARCH("grosser Artikel",BM92)),2,IFERROR(VLOOKUP(BP92,Parameter!$F$35:$G$64,2,0),2)),IF(OR(IFERROR(VLOOKUP(D92,Parameter!$A$35:$C$64,2,0),"Nein")="Nein",IFERROR(VLOOKUP(D92,Parameter!$A$35:$C$64,2,0),"Nein")=""),"-",VLOOKUP(D92,Parameter!$A$35:$C$64,2,0)))))</f>
        <v>2</v>
      </c>
      <c r="Y92" s="62"/>
      <c r="Z92" s="63"/>
      <c r="AA92" s="57" t="n">
        <f aca="false">AP92</f>
        <v>1</v>
      </c>
      <c r="AB92" s="57" t="n">
        <f aca="false">MAX(AP92,G92)</f>
        <v>20</v>
      </c>
      <c r="AC92" s="64"/>
      <c r="AD92" s="57" t="n">
        <f aca="false">IF(LEFT(Cockpit!$C$5,1)="A",G92,IF(BW92=1,BX92,IF(LEFT(Cockpit!$C$5,1)="B",AH92,MAX(AH92,G92))))</f>
        <v>20</v>
      </c>
      <c r="AE92" s="57" t="n">
        <f aca="false">IF(BR92=1,0,ROUNDUP(AD92/BQ92,0))</f>
        <v>0</v>
      </c>
      <c r="AF92" s="59" t="n">
        <f aca="false">IF(CD92&gt;0,CD92*MAX(1,AD92/V92),IF(BR92=1,IF(AD92&lt;=0,0,BS92*MAX(1,IF(G92&gt;0,AD92/G92,1))),IF(Q92&gt;0,AE92/Q92,0))/MAX(0.1,N(Parameter!$M$21)))</f>
        <v>0.03</v>
      </c>
      <c r="AG92" s="57" t="n">
        <f aca="false">AD92*F92</f>
        <v>2593</v>
      </c>
      <c r="AH92" s="57" t="n">
        <f aca="false">ROUNDUP(MAX(I92/IF(BV92&gt;0,BV92,MAX(0.1,N(Cockpit!$C$6))),BY92)/BQ92,0)*BQ92</f>
        <v>1</v>
      </c>
      <c r="AI92" s="58" t="n">
        <f aca="false">IF(AF92&gt;0,I92/AF92,-1)</f>
        <v>0</v>
      </c>
      <c r="AJ92" s="58" t="n">
        <f aca="false">IF(AND(OR(BU92="L1",BU92="L23"),AF92&gt;0),SUMIFS($AF$7:$AF$1576,$BU$7:$BU$1576,BU92,$AI$7:$AI$1576,"&gt;"&amp;AI92)+SUMIFS($AF$7:$AF$1576,$BU$7:$BU$1576,BU92,$AI$7:$AI$1576,AI92,$BO$7:$BO$1576,"&lt;="&amp;BO92),"")</f>
        <v>37.8179662849228</v>
      </c>
      <c r="AK92" s="65" t="n">
        <f aca="false">IF(AJ92="",0,MAX(0,MIN(1,(IF(BU92="L1",Parameter!$E$5,Parameter!$E$6+Parameter!$E$7)-(AJ92-AF92))/AF92)))</f>
        <v>1</v>
      </c>
      <c r="AL92" s="57" t="n">
        <f aca="false">IF(LEFT(Cockpit!$I$5,1)="A",G92,IF(BW92=1,BX92,IF(LEFT(Cockpit!$I$5,1)="B",AP92,MAX(AP92,G92))))</f>
        <v>20</v>
      </c>
      <c r="AM92" s="57" t="n">
        <f aca="false">IF(BR92=1,0,ROUNDUP(AL92/BQ92,0))</f>
        <v>0</v>
      </c>
      <c r="AN92" s="59" t="n">
        <f aca="false">IF(CD92&gt;0,CD92*MAX(1,AL92/V92),IF(BR92=1,IF(AL92&lt;=0,0,BS92*MAX(1,IF(G92&gt;0,AL92/G92,1))),IF(Q92&gt;0,AM92/Q92,0))/MAX(0.1,N(Parameter!$M$21)))</f>
        <v>0.03</v>
      </c>
      <c r="AO92" s="57" t="n">
        <f aca="false">AL92*F92</f>
        <v>2593</v>
      </c>
      <c r="AP92" s="57" t="n">
        <f aca="false">ROUNDUP(MAX(I92/IF(BV92&gt;0,BV92,MAX(0.1,N(Cockpit!$I$6))),BY92)/BQ92,0)*BQ92</f>
        <v>1</v>
      </c>
      <c r="AQ92" s="58" t="n">
        <f aca="false">IF(AN92&gt;0,I92/AN92,-1)</f>
        <v>0</v>
      </c>
      <c r="AR92" s="58" t="n">
        <f aca="false">IF(AND(OR(BU92="L1",BU92="L23"),AN92&gt;0),SUMIFS($AN$7:$AN$1576,$BU$7:$BU$1576,BU92,$AQ$7:$AQ$1576,"&gt;"&amp;AQ92)+SUMIFS($AN$7:$AN$1576,$BU$7:$BU$1576,BU92,$AQ$7:$AQ$1576,AQ92,$BO$7:$BO$1576,"&lt;="&amp;BO92),"")</f>
        <v>120.542172034712</v>
      </c>
      <c r="AS92" s="65" t="n">
        <f aca="false">IF(AR92="",0,MAX(0,MIN(1,(IF(BU92="L1",Parameter!$E$5,Parameter!$E$6+Parameter!$E$7)-(AR92-AN92))/AN92)))</f>
        <v>0</v>
      </c>
      <c r="AT92" s="57" t="n">
        <f aca="false">IF(LEFT(Cockpit!$O$5,1)="A",G92,IF(BW92=1,BX92,IF(LEFT(Cockpit!$O$5,1)="B",AX92,MAX(AX92,G92))))</f>
        <v>20</v>
      </c>
      <c r="AU92" s="57" t="n">
        <f aca="false">IF(BR92=1,0,ROUNDUP(AT92/BQ92,0))</f>
        <v>0</v>
      </c>
      <c r="AV92" s="59" t="n">
        <f aca="false">IF(CD92&gt;0,CD92*MAX(1,AT92/V92),IF(BR92=1,IF(AT92&lt;=0,0,BS92*MAX(1,IF(G92&gt;0,AT92/G92,1))),IF(Q92&gt;0,AU92/Q92,0))/MAX(0.1,N(Parameter!$M$21)))</f>
        <v>0.03</v>
      </c>
      <c r="AW92" s="57" t="n">
        <f aca="false">AT92*F92</f>
        <v>2593</v>
      </c>
      <c r="AX92" s="57" t="n">
        <f aca="false">ROUNDUP(MAX(I92/IF(BV92&gt;0,BV92,MAX(0.1,N(Cockpit!$O$6))),BY92)/BQ92,0)*BQ92</f>
        <v>1</v>
      </c>
      <c r="AY92" s="58" t="n">
        <f aca="false">IF(AV92&gt;0,I92/AV92,-1)</f>
        <v>0</v>
      </c>
      <c r="AZ92" s="58" t="n">
        <f aca="false">IF(AND(OR(BU92="L1",BU92="L23"),AV92&gt;0),SUMIFS($AV$7:$AV$1576,$BU$7:$BU$1576,BU92,$AY$7:$AY$1576,"&gt;"&amp;AY92)+SUMIFS($AV$7:$AV$1576,$BU$7:$BU$1576,BU92,$AY$7:$AY$1576,AY92,$BO$7:$BO$1576,"&lt;="&amp;BO92),"")</f>
        <v>110.601722484263</v>
      </c>
      <c r="BA92" s="65" t="n">
        <f aca="false">IF(AZ92="",0,MAX(0,MIN(1,(IF(BU92="L1",Parameter!$E$5,Parameter!$E$6+Parameter!$E$7)-(AZ92-AV92))/AV92)))</f>
        <v>0</v>
      </c>
      <c r="BB92" s="55" t="str">
        <f aca="false">IF(AF92&lt;=0,"",IF(BU92="Aussen","Aussenlager",IF(BU92="-","Nicht im Lift",IF(AK92&gt;=1,"Lift",IF(AK92&lt;=0,"Aussenlager","teilweise")))))</f>
        <v>Lift</v>
      </c>
      <c r="BC92" s="55" t="str">
        <f aca="false">IF(AN92&lt;=0,"",IF(BU92="Aussen","Aussenlager",IF(BU92="-","Nicht im Lift",IF(AS92&gt;=1,"Lift",IF(AS92&lt;=0,"Aussenlager","teilweise")))))</f>
        <v>Aussenlager</v>
      </c>
      <c r="BD92" s="55" t="str">
        <f aca="false">IF(AV92&lt;=0,"",IF(BU92="Aussen","Aussenlager",IF(BU92="-","Nicht im Lift",IF(BA92&gt;=1,"Lift",IF(BA92&lt;=0,"Aussenlager","teilweise")))))</f>
        <v>Aussenlager</v>
      </c>
      <c r="BE92" s="55" t="str">
        <f aca="false">IF(A92="","",IF(BN92=1,"Neu; ","")&amp;IF(AND(BN92=0,BI92&lt;0),"negativer Bestand (Export "&amp;BI92&amp;"); ","")&amp;IF(I92&lt;=0,"Kein Verbrauch; ","")&amp;IF(CD92&gt;0,"Lift "&amp;U92&amp;" lt. Liftbericht (Fach "&amp;V92&amp;" Stk); ",IF(BR92=1,"Lose – Fläche geschätzt; ",""))&amp;IF(G92&gt;AP92,"Überbestand "&amp;ROUND(G92-AP92,0)&amp;" Stk / CHF "&amp;ROUND((G92-AP92)*F92,0)&amp;"; ","")&amp;IF(AND(BW92=1,BX92&lt;BY92),"MAX &lt; MB+LG; ","")&amp;IF(AND(CC92&gt;0,CB92*10&gt;CC92),"zu hoch für Tablar; ","")&amp;IF(AND(BN92=0,OR(BW92=1,Y92&lt;&gt;"",S92&lt;&gt;"",T92&lt;&gt;"",Z92&lt;&gt;"")),"manuell übersteuert; ","")&amp;IF(AND(BR92=0,Q92=0),"Gebinde unbekannt / Stellmass fehlt; ","")&amp;IF(AND(BR92=0,N(T92)&lt;=0,N(P92)&lt;=0),"Menge pro Gebinde fehlt (Ist = 1 Gebinde); ","")&amp;BM92)</f>
        <v>Kein Verbrauch; Lose – Fläche geschätzt; Überbestand 19 Stk / CHF 2463; </v>
      </c>
      <c r="BF92" s="55"/>
      <c r="BG92" s="55"/>
      <c r="BH92" s="62"/>
      <c r="BI92" s="57" t="n">
        <v>20</v>
      </c>
      <c r="BJ92" s="57" t="n">
        <v>0</v>
      </c>
      <c r="BK92" s="56" t="n">
        <v>2593</v>
      </c>
      <c r="BL92" s="57" t="n">
        <v>0</v>
      </c>
      <c r="BM92" s="55"/>
      <c r="BN92" s="60" t="n">
        <v>0</v>
      </c>
      <c r="BO92" s="60" t="n">
        <v>92</v>
      </c>
      <c r="BP92" s="55" t="str">
        <f aca="false">IF(S92&lt;&gt;"",UPPER(TRIM(S92)),IF(O92="","LOSE",O92))</f>
        <v>LOSE</v>
      </c>
      <c r="BQ92" s="57" t="n">
        <f aca="false">IF(BP92="LOSE",1,IF(N(T92)&gt;0,T92,IF(N(P92)&gt;0,P92,MAX(1,G92))))</f>
        <v>1</v>
      </c>
      <c r="BR92" s="60" t="n">
        <f aca="false">IF(BP92="LOSE",1,0)</f>
        <v>1</v>
      </c>
      <c r="BS92" s="59" t="n">
        <f aca="false">IF(BR92=0,0,IF(N(R92)&gt;0,R92,IFERROR(VLOOKUP(D92,Parameter!$A$35:$C$64,3,0)+0,0)))</f>
        <v>0.03</v>
      </c>
      <c r="BT92" s="55" t="n">
        <f aca="false">IF(Y92&lt;&gt;"",Y92,X92)</f>
        <v>2</v>
      </c>
      <c r="BU92" s="55" t="str">
        <f aca="false">IF(BT92=1,"L1",IF(OR(BT92=2,BT92=3),"L23",IF(BT92="Aussen","Aussen","-")))</f>
        <v>L23</v>
      </c>
      <c r="BV92" s="66" t="n">
        <f aca="false">IF(N(Z92)&gt;0,Z92,0)</f>
        <v>0</v>
      </c>
      <c r="BW92" s="60" t="n">
        <f aca="false">IF(ISNUMBER(AC92),1,0)</f>
        <v>0</v>
      </c>
      <c r="BX92" s="57" t="n">
        <f aca="false">N(AC92)</f>
        <v>0</v>
      </c>
      <c r="BY92" s="57" t="n">
        <f aca="false">N(L92)+N(M92)</f>
        <v>1</v>
      </c>
      <c r="BZ92" s="57" t="n">
        <f aca="false">ROUNDUP(G92/BQ92,0)</f>
        <v>20</v>
      </c>
      <c r="CA92" s="57" t="n">
        <f aca="false">ROUNDUP(BX92/BQ92,0)</f>
        <v>0</v>
      </c>
      <c r="CB92" s="60" t="n">
        <f aca="false">IF(BR92=1,0,IFERROR(VLOOKUP(BP92,'Gebinde-Kategorie'!$A$5:$M$45,5,0)+0,0))</f>
        <v>0</v>
      </c>
      <c r="CC92" s="60" t="n">
        <f aca="false">IFERROR(IF(OR(BT92=1,BT92=2,BT92=3),N(INDEX(Parameter!$I$5:$I$7,BT92)),0),0)</f>
        <v>0</v>
      </c>
      <c r="CD92" s="59" t="n">
        <f aca="false">IF(AND(Parameter!$B$21="Ja",ISNUMBER(U92),N(V92)&gt;0),IFERROR(N(INDEX(Parameter!$L$5:$L$7,U92))*INDEX(Parameter!$E$5:$E$7,U92)*V92/SUMIFS($V$7:$V$1576,$U$7:$U$1576,U92),0),0)</f>
        <v>0</v>
      </c>
    </row>
    <row r="93" customFormat="false" ht="15" hidden="false" customHeight="false" outlineLevel="0" collapsed="false">
      <c r="A93" s="55" t="s">
        <v>387</v>
      </c>
      <c r="B93" s="55" t="s">
        <v>388</v>
      </c>
      <c r="C93" s="55" t="s">
        <v>160</v>
      </c>
      <c r="D93" s="55" t="s">
        <v>168</v>
      </c>
      <c r="E93" s="55" t="s">
        <v>210</v>
      </c>
      <c r="F93" s="56" t="n">
        <v>510.45</v>
      </c>
      <c r="G93" s="57" t="n">
        <f aca="false">MAX(0,IF(AND(Parameter!$B$21="Ja",ISNUMBER(W93)),W93,IF(Parameter!$B$20="Jahresanfang 2025 + Export",BJ93+BI93,BI93)))</f>
        <v>5</v>
      </c>
      <c r="H93" s="57" t="n">
        <f aca="false">G93*F93</f>
        <v>2552.25</v>
      </c>
      <c r="I93" s="57" t="n">
        <f aca="false">BL93*Parameter!$B$18</f>
        <v>0</v>
      </c>
      <c r="J93" s="58" t="n">
        <v>0</v>
      </c>
      <c r="K93" s="59" t="n">
        <v>0</v>
      </c>
      <c r="L93" s="57" t="n">
        <v>2</v>
      </c>
      <c r="M93" s="57" t="n">
        <v>8</v>
      </c>
      <c r="N93" s="60" t="n">
        <v>28</v>
      </c>
      <c r="O93" s="55" t="s">
        <v>163</v>
      </c>
      <c r="P93" s="57"/>
      <c r="Q93" s="60" t="n">
        <f aca="false">IF(BR93=1,0,IFERROR(VLOOKUP(BP93,'Gebinde-Kategorie'!$A$5:$M$45,13,0)+0,0))</f>
        <v>0</v>
      </c>
      <c r="R93" s="61"/>
      <c r="S93" s="62"/>
      <c r="T93" s="62"/>
      <c r="U93" s="55"/>
      <c r="V93" s="57"/>
      <c r="W93" s="57"/>
      <c r="X93" s="55" t="n">
        <f aca="false">IF(A93="","",IF(AND(Parameter!$B$21="Ja",ISNUMBER(U93)),U93,IF(IFERROR(VLOOKUP(D93,Parameter!$A$35:$C$64,2,0),"Nein")="2+3",IF(ISNUMBER(SEARCH("grosser Artikel",BM93)),2,IFERROR(VLOOKUP(BP93,Parameter!$F$35:$G$64,2,0),2)),IF(OR(IFERROR(VLOOKUP(D93,Parameter!$A$35:$C$64,2,0),"Nein")="Nein",IFERROR(VLOOKUP(D93,Parameter!$A$35:$C$64,2,0),"Nein")=""),"-",VLOOKUP(D93,Parameter!$A$35:$C$64,2,0)))))</f>
        <v>2</v>
      </c>
      <c r="Y93" s="62"/>
      <c r="Z93" s="63"/>
      <c r="AA93" s="57" t="n">
        <f aca="false">AP93</f>
        <v>10</v>
      </c>
      <c r="AB93" s="57" t="n">
        <f aca="false">MAX(AP93,G93)</f>
        <v>10</v>
      </c>
      <c r="AC93" s="64"/>
      <c r="AD93" s="57" t="n">
        <f aca="false">IF(LEFT(Cockpit!$C$5,1)="A",G93,IF(BW93=1,BX93,IF(LEFT(Cockpit!$C$5,1)="B",AH93,MAX(AH93,G93))))</f>
        <v>5</v>
      </c>
      <c r="AE93" s="57" t="n">
        <f aca="false">IF(BR93=1,0,ROUNDUP(AD93/BQ93,0))</f>
        <v>0</v>
      </c>
      <c r="AF93" s="59" t="n">
        <f aca="false">IF(CD93&gt;0,CD93*MAX(1,AD93/V93),IF(BR93=1,IF(AD93&lt;=0,0,BS93*MAX(1,IF(G93&gt;0,AD93/G93,1))),IF(Q93&gt;0,AE93/Q93,0))/MAX(0.1,N(Parameter!$M$21)))</f>
        <v>0.15</v>
      </c>
      <c r="AG93" s="57" t="n">
        <f aca="false">AD93*F93</f>
        <v>2552.25</v>
      </c>
      <c r="AH93" s="57" t="n">
        <f aca="false">ROUNDUP(MAX(I93/IF(BV93&gt;0,BV93,MAX(0.1,N(Cockpit!$C$6))),BY93)/BQ93,0)*BQ93</f>
        <v>10</v>
      </c>
      <c r="AI93" s="58" t="n">
        <f aca="false">IF(AF93&gt;0,I93/AF93,-1)</f>
        <v>0</v>
      </c>
      <c r="AJ93" s="58" t="n">
        <f aca="false">IF(AND(OR(BU93="L1",BU93="L23"),AF93&gt;0),SUMIFS($AF$7:$AF$1576,$BU$7:$BU$1576,BU93,$AI$7:$AI$1576,"&gt;"&amp;AI93)+SUMIFS($AF$7:$AF$1576,$BU$7:$BU$1576,BU93,$AI$7:$AI$1576,AI93,$BO$7:$BO$1576,"&lt;="&amp;BO93),"")</f>
        <v>37.9679662849228</v>
      </c>
      <c r="AK93" s="65" t="n">
        <f aca="false">IF(AJ93="",0,MAX(0,MIN(1,(IF(BU93="L1",Parameter!$E$5,Parameter!$E$6+Parameter!$E$7)-(AJ93-AF93))/AF93)))</f>
        <v>1</v>
      </c>
      <c r="AL93" s="57" t="n">
        <f aca="false">IF(LEFT(Cockpit!$I$5,1)="A",G93,IF(BW93=1,BX93,IF(LEFT(Cockpit!$I$5,1)="B",AP93,MAX(AP93,G93))))</f>
        <v>10</v>
      </c>
      <c r="AM93" s="57" t="n">
        <f aca="false">IF(BR93=1,0,ROUNDUP(AL93/BQ93,0))</f>
        <v>0</v>
      </c>
      <c r="AN93" s="59" t="n">
        <f aca="false">IF(CD93&gt;0,CD93*MAX(1,AL93/V93),IF(BR93=1,IF(AL93&lt;=0,0,BS93*MAX(1,IF(G93&gt;0,AL93/G93,1))),IF(Q93&gt;0,AM93/Q93,0))/MAX(0.1,N(Parameter!$M$21)))</f>
        <v>0.3</v>
      </c>
      <c r="AO93" s="57" t="n">
        <f aca="false">AL93*F93</f>
        <v>5104.5</v>
      </c>
      <c r="AP93" s="57" t="n">
        <f aca="false">ROUNDUP(MAX(I93/IF(BV93&gt;0,BV93,MAX(0.1,N(Cockpit!$I$6))),BY93)/BQ93,0)*BQ93</f>
        <v>10</v>
      </c>
      <c r="AQ93" s="58" t="n">
        <f aca="false">IF(AN93&gt;0,I93/AN93,-1)</f>
        <v>0</v>
      </c>
      <c r="AR93" s="58" t="n">
        <f aca="false">IF(AND(OR(BU93="L1",BU93="L23"),AN93&gt;0),SUMIFS($AN$7:$AN$1576,$BU$7:$BU$1576,BU93,$AQ$7:$AQ$1576,"&gt;"&amp;AQ93)+SUMIFS($AN$7:$AN$1576,$BU$7:$BU$1576,BU93,$AQ$7:$AQ$1576,AQ93,$BO$7:$BO$1576,"&lt;="&amp;BO93),"")</f>
        <v>120.842172034712</v>
      </c>
      <c r="AS93" s="65" t="n">
        <f aca="false">IF(AR93="",0,MAX(0,MIN(1,(IF(BU93="L1",Parameter!$E$5,Parameter!$E$6+Parameter!$E$7)-(AR93-AN93))/AN93)))</f>
        <v>0</v>
      </c>
      <c r="AT93" s="57" t="n">
        <f aca="false">IF(LEFT(Cockpit!$O$5,1)="A",G93,IF(BW93=1,BX93,IF(LEFT(Cockpit!$O$5,1)="B",AX93,MAX(AX93,G93))))</f>
        <v>10</v>
      </c>
      <c r="AU93" s="57" t="n">
        <f aca="false">IF(BR93=1,0,ROUNDUP(AT93/BQ93,0))</f>
        <v>0</v>
      </c>
      <c r="AV93" s="59" t="n">
        <f aca="false">IF(CD93&gt;0,CD93*MAX(1,AT93/V93),IF(BR93=1,IF(AT93&lt;=0,0,BS93*MAX(1,IF(G93&gt;0,AT93/G93,1))),IF(Q93&gt;0,AU93/Q93,0))/MAX(0.1,N(Parameter!$M$21)))</f>
        <v>0.3</v>
      </c>
      <c r="AW93" s="57" t="n">
        <f aca="false">AT93*F93</f>
        <v>5104.5</v>
      </c>
      <c r="AX93" s="57" t="n">
        <f aca="false">ROUNDUP(MAX(I93/IF(BV93&gt;0,BV93,MAX(0.1,N(Cockpit!$O$6))),BY93)/BQ93,0)*BQ93</f>
        <v>10</v>
      </c>
      <c r="AY93" s="58" t="n">
        <f aca="false">IF(AV93&gt;0,I93/AV93,-1)</f>
        <v>0</v>
      </c>
      <c r="AZ93" s="58" t="n">
        <f aca="false">IF(AND(OR(BU93="L1",BU93="L23"),AV93&gt;0),SUMIFS($AV$7:$AV$1576,$BU$7:$BU$1576,BU93,$AY$7:$AY$1576,"&gt;"&amp;AY93)+SUMIFS($AV$7:$AV$1576,$BU$7:$BU$1576,BU93,$AY$7:$AY$1576,AY93,$BO$7:$BO$1576,"&lt;="&amp;BO93),"")</f>
        <v>110.901722484263</v>
      </c>
      <c r="BA93" s="65" t="n">
        <f aca="false">IF(AZ93="",0,MAX(0,MIN(1,(IF(BU93="L1",Parameter!$E$5,Parameter!$E$6+Parameter!$E$7)-(AZ93-AV93))/AV93)))</f>
        <v>0</v>
      </c>
      <c r="BB93" s="55" t="str">
        <f aca="false">IF(AF93&lt;=0,"",IF(BU93="Aussen","Aussenlager",IF(BU93="-","Nicht im Lift",IF(AK93&gt;=1,"Lift",IF(AK93&lt;=0,"Aussenlager","teilweise")))))</f>
        <v>Lift</v>
      </c>
      <c r="BC93" s="55" t="str">
        <f aca="false">IF(AN93&lt;=0,"",IF(BU93="Aussen","Aussenlager",IF(BU93="-","Nicht im Lift",IF(AS93&gt;=1,"Lift",IF(AS93&lt;=0,"Aussenlager","teilweise")))))</f>
        <v>Aussenlager</v>
      </c>
      <c r="BD93" s="55" t="str">
        <f aca="false">IF(AV93&lt;=0,"",IF(BU93="Aussen","Aussenlager",IF(BU93="-","Nicht im Lift",IF(BA93&gt;=1,"Lift",IF(BA93&lt;=0,"Aussenlager","teilweise")))))</f>
        <v>Aussenlager</v>
      </c>
      <c r="BE93" s="55" t="str">
        <f aca="false">IF(A93="","",IF(BN93=1,"Neu; ","")&amp;IF(AND(BN93=0,BI93&lt;0),"negativer Bestand (Export "&amp;BI93&amp;"); ","")&amp;IF(I93&lt;=0,"Kein Verbrauch; ","")&amp;IF(CD93&gt;0,"Lift "&amp;U93&amp;" lt. Liftbericht (Fach "&amp;V93&amp;" Stk); ",IF(BR93=1,"Lose – Fläche geschätzt; ",""))&amp;IF(G93&gt;AP93,"Überbestand "&amp;ROUND(G93-AP93,0)&amp;" Stk / CHF "&amp;ROUND((G93-AP93)*F93,0)&amp;"; ","")&amp;IF(AND(BW93=1,BX93&lt;BY93),"MAX &lt; MB+LG; ","")&amp;IF(AND(CC93&gt;0,CB93*10&gt;CC93),"zu hoch für Tablar; ","")&amp;IF(AND(BN93=0,OR(BW93=1,Y93&lt;&gt;"",S93&lt;&gt;"",T93&lt;&gt;"",Z93&lt;&gt;"")),"manuell übersteuert; ","")&amp;IF(AND(BR93=0,Q93=0),"Gebinde unbekannt / Stellmass fehlt; ","")&amp;IF(AND(BR93=0,N(T93)&lt;=0,N(P93)&lt;=0),"Menge pro Gebinde fehlt (Ist = 1 Gebinde); ","")&amp;BM93)</f>
        <v>Kein Verbrauch; Lose – Fläche geschätzt; </v>
      </c>
      <c r="BF93" s="55"/>
      <c r="BG93" s="55"/>
      <c r="BH93" s="62"/>
      <c r="BI93" s="57" t="n">
        <v>5</v>
      </c>
      <c r="BJ93" s="57" t="n">
        <v>0</v>
      </c>
      <c r="BK93" s="56" t="n">
        <v>2552.25</v>
      </c>
      <c r="BL93" s="57" t="n">
        <v>0</v>
      </c>
      <c r="BM93" s="55"/>
      <c r="BN93" s="60" t="n">
        <v>0</v>
      </c>
      <c r="BO93" s="60" t="n">
        <v>93</v>
      </c>
      <c r="BP93" s="55" t="str">
        <f aca="false">IF(S93&lt;&gt;"",UPPER(TRIM(S93)),IF(O93="","LOSE",O93))</f>
        <v>LOSE</v>
      </c>
      <c r="BQ93" s="57" t="n">
        <f aca="false">IF(BP93="LOSE",1,IF(N(T93)&gt;0,T93,IF(N(P93)&gt;0,P93,MAX(1,G93))))</f>
        <v>1</v>
      </c>
      <c r="BR93" s="60" t="n">
        <f aca="false">IF(BP93="LOSE",1,0)</f>
        <v>1</v>
      </c>
      <c r="BS93" s="59" t="n">
        <f aca="false">IF(BR93=0,0,IF(N(R93)&gt;0,R93,IFERROR(VLOOKUP(D93,Parameter!$A$35:$C$64,3,0)+0,0)))</f>
        <v>0.15</v>
      </c>
      <c r="BT93" s="55" t="n">
        <f aca="false">IF(Y93&lt;&gt;"",Y93,X93)</f>
        <v>2</v>
      </c>
      <c r="BU93" s="55" t="str">
        <f aca="false">IF(BT93=1,"L1",IF(OR(BT93=2,BT93=3),"L23",IF(BT93="Aussen","Aussen","-")))</f>
        <v>L23</v>
      </c>
      <c r="BV93" s="66" t="n">
        <f aca="false">IF(N(Z93)&gt;0,Z93,0)</f>
        <v>0</v>
      </c>
      <c r="BW93" s="60" t="n">
        <f aca="false">IF(ISNUMBER(AC93),1,0)</f>
        <v>0</v>
      </c>
      <c r="BX93" s="57" t="n">
        <f aca="false">N(AC93)</f>
        <v>0</v>
      </c>
      <c r="BY93" s="57" t="n">
        <f aca="false">N(L93)+N(M93)</f>
        <v>10</v>
      </c>
      <c r="BZ93" s="57" t="n">
        <f aca="false">ROUNDUP(G93/BQ93,0)</f>
        <v>5</v>
      </c>
      <c r="CA93" s="57" t="n">
        <f aca="false">ROUNDUP(BX93/BQ93,0)</f>
        <v>0</v>
      </c>
      <c r="CB93" s="60" t="n">
        <f aca="false">IF(BR93=1,0,IFERROR(VLOOKUP(BP93,'Gebinde-Kategorie'!$A$5:$M$45,5,0)+0,0))</f>
        <v>0</v>
      </c>
      <c r="CC93" s="60" t="n">
        <f aca="false">IFERROR(IF(OR(BT93=1,BT93=2,BT93=3),N(INDEX(Parameter!$I$5:$I$7,BT93)),0),0)</f>
        <v>0</v>
      </c>
      <c r="CD93" s="59" t="n">
        <f aca="false">IF(AND(Parameter!$B$21="Ja",ISNUMBER(U93),N(V93)&gt;0),IFERROR(N(INDEX(Parameter!$L$5:$L$7,U93))*INDEX(Parameter!$E$5:$E$7,U93)*V93/SUMIFS($V$7:$V$1576,$U$7:$U$1576,U93),0),0)</f>
        <v>0</v>
      </c>
    </row>
    <row r="94" customFormat="false" ht="15" hidden="false" customHeight="false" outlineLevel="0" collapsed="false">
      <c r="A94" s="55" t="s">
        <v>389</v>
      </c>
      <c r="B94" s="55" t="s">
        <v>390</v>
      </c>
      <c r="C94" s="55" t="s">
        <v>160</v>
      </c>
      <c r="D94" s="55" t="s">
        <v>178</v>
      </c>
      <c r="E94" s="55" t="s">
        <v>210</v>
      </c>
      <c r="F94" s="56" t="n">
        <v>29.5</v>
      </c>
      <c r="G94" s="57" t="n">
        <f aca="false">MAX(0,IF(AND(Parameter!$B$21="Ja",ISNUMBER(W94)),W94,IF(Parameter!$B$20="Jahresanfang 2025 + Export",BJ94+BI94,BI94)))</f>
        <v>83</v>
      </c>
      <c r="H94" s="57" t="n">
        <f aca="false">G94*F94</f>
        <v>2448.5</v>
      </c>
      <c r="I94" s="57" t="n">
        <f aca="false">BL94*Parameter!$B$18</f>
        <v>88</v>
      </c>
      <c r="J94" s="58" t="n">
        <v>11</v>
      </c>
      <c r="K94" s="59" t="n">
        <v>8</v>
      </c>
      <c r="L94" s="57" t="n">
        <v>5</v>
      </c>
      <c r="M94" s="57" t="n">
        <v>90</v>
      </c>
      <c r="N94" s="60" t="n">
        <v>21</v>
      </c>
      <c r="O94" s="55" t="s">
        <v>391</v>
      </c>
      <c r="P94" s="57" t="n">
        <v>50</v>
      </c>
      <c r="Q94" s="60" t="n">
        <f aca="false">IF(BR94=1,0,IFERROR(VLOOKUP(BP94,'Gebinde-Kategorie'!$A$5:$M$45,13,0)+0,0))</f>
        <v>414</v>
      </c>
      <c r="R94" s="61"/>
      <c r="S94" s="62"/>
      <c r="T94" s="62"/>
      <c r="U94" s="55"/>
      <c r="V94" s="57"/>
      <c r="W94" s="57"/>
      <c r="X94" s="55" t="n">
        <f aca="false">IF(A94="","",IF(AND(Parameter!$B$21="Ja",ISNUMBER(U94)),U94,IF(IFERROR(VLOOKUP(D94,Parameter!$A$35:$C$64,2,0),"Nein")="2+3",IF(ISNUMBER(SEARCH("grosser Artikel",BM94)),2,IFERROR(VLOOKUP(BP94,Parameter!$F$35:$G$64,2,0),2)),IF(OR(IFERROR(VLOOKUP(D94,Parameter!$A$35:$C$64,2,0),"Nein")="Nein",IFERROR(VLOOKUP(D94,Parameter!$A$35:$C$64,2,0),"Nein")=""),"-",VLOOKUP(D94,Parameter!$A$35:$C$64,2,0)))))</f>
        <v>3</v>
      </c>
      <c r="Y94" s="62"/>
      <c r="Z94" s="63"/>
      <c r="AA94" s="57" t="n">
        <f aca="false">AP94</f>
        <v>100</v>
      </c>
      <c r="AB94" s="57" t="n">
        <f aca="false">MAX(AP94,G94)</f>
        <v>100</v>
      </c>
      <c r="AC94" s="64"/>
      <c r="AD94" s="57" t="n">
        <f aca="false">IF(LEFT(Cockpit!$C$5,1)="A",G94,IF(BW94=1,BX94,IF(LEFT(Cockpit!$C$5,1)="B",AH94,MAX(AH94,G94))))</f>
        <v>83</v>
      </c>
      <c r="AE94" s="57" t="n">
        <f aca="false">IF(BR94=1,0,ROUNDUP(AD94/BQ94,0))</f>
        <v>2</v>
      </c>
      <c r="AF94" s="59" t="n">
        <f aca="false">IF(CD94&gt;0,CD94*MAX(1,AD94/V94),IF(BR94=1,IF(AD94&lt;=0,0,BS94*MAX(1,IF(G94&gt;0,AD94/G94,1))),IF(Q94&gt;0,AE94/Q94,0))/MAX(0.1,N(Parameter!$M$21)))</f>
        <v>0.00483091787439614</v>
      </c>
      <c r="AG94" s="57" t="n">
        <f aca="false">AD94*F94</f>
        <v>2448.5</v>
      </c>
      <c r="AH94" s="57" t="n">
        <f aca="false">ROUNDUP(MAX(I94/IF(BV94&gt;0,BV94,MAX(0.1,N(Cockpit!$C$6))),BY94)/BQ94,0)*BQ94</f>
        <v>100</v>
      </c>
      <c r="AI94" s="58" t="n">
        <f aca="false">IF(AF94&gt;0,I94/AF94,-1)</f>
        <v>18216</v>
      </c>
      <c r="AJ94" s="58" t="n">
        <f aca="false">IF(AND(OR(BU94="L1",BU94="L23"),AF94&gt;0),SUMIFS($AF$7:$AF$1576,$BU$7:$BU$1576,BU94,$AI$7:$AI$1576,"&gt;"&amp;AI94)+SUMIFS($AF$7:$AF$1576,$BU$7:$BU$1576,BU94,$AI$7:$AI$1576,AI94,$BO$7:$BO$1576,"&lt;="&amp;BO94),"")</f>
        <v>2.012254653559</v>
      </c>
      <c r="AK94" s="65" t="n">
        <f aca="false">IF(AJ94="",0,MAX(0,MIN(1,(IF(BU94="L1",Parameter!$E$5,Parameter!$E$6+Parameter!$E$7)-(AJ94-AF94))/AF94)))</f>
        <v>1</v>
      </c>
      <c r="AL94" s="57" t="n">
        <f aca="false">IF(LEFT(Cockpit!$I$5,1)="A",G94,IF(BW94=1,BX94,IF(LEFT(Cockpit!$I$5,1)="B",AP94,MAX(AP94,G94))))</f>
        <v>100</v>
      </c>
      <c r="AM94" s="57" t="n">
        <f aca="false">IF(BR94=1,0,ROUNDUP(AL94/BQ94,0))</f>
        <v>2</v>
      </c>
      <c r="AN94" s="59" t="n">
        <f aca="false">IF(CD94&gt;0,CD94*MAX(1,AL94/V94),IF(BR94=1,IF(AL94&lt;=0,0,BS94*MAX(1,IF(G94&gt;0,AL94/G94,1))),IF(Q94&gt;0,AM94/Q94,0))/MAX(0.1,N(Parameter!$M$21)))</f>
        <v>0.00483091787439614</v>
      </c>
      <c r="AO94" s="57" t="n">
        <f aca="false">AL94*F94</f>
        <v>2950</v>
      </c>
      <c r="AP94" s="57" t="n">
        <f aca="false">ROUNDUP(MAX(I94/IF(BV94&gt;0,BV94,MAX(0.1,N(Cockpit!$I$6))),BY94)/BQ94,0)*BQ94</f>
        <v>100</v>
      </c>
      <c r="AQ94" s="58" t="n">
        <f aca="false">IF(AN94&gt;0,I94/AN94,-1)</f>
        <v>18216</v>
      </c>
      <c r="AR94" s="58" t="n">
        <f aca="false">IF(AND(OR(BU94="L1",BU94="L23"),AN94&gt;0),SUMIFS($AN$7:$AN$1576,$BU$7:$BU$1576,BU94,$AQ$7:$AQ$1576,"&gt;"&amp;AQ94)+SUMIFS($AN$7:$AN$1576,$BU$7:$BU$1576,BU94,$AQ$7:$AQ$1576,AQ94,$BO$7:$BO$1576,"&lt;="&amp;BO94),"")</f>
        <v>4.24379379075031</v>
      </c>
      <c r="AS94" s="65" t="n">
        <f aca="false">IF(AR94="",0,MAX(0,MIN(1,(IF(BU94="L1",Parameter!$E$5,Parameter!$E$6+Parameter!$E$7)-(AR94-AN94))/AN94)))</f>
        <v>1</v>
      </c>
      <c r="AT94" s="57" t="n">
        <f aca="false">IF(LEFT(Cockpit!$O$5,1)="A",G94,IF(BW94=1,BX94,IF(LEFT(Cockpit!$O$5,1)="B",AX94,MAX(AX94,G94))))</f>
        <v>100</v>
      </c>
      <c r="AU94" s="57" t="n">
        <f aca="false">IF(BR94=1,0,ROUNDUP(AT94/BQ94,0))</f>
        <v>2</v>
      </c>
      <c r="AV94" s="59" t="n">
        <f aca="false">IF(CD94&gt;0,CD94*MAX(1,AT94/V94),IF(BR94=1,IF(AT94&lt;=0,0,BS94*MAX(1,IF(G94&gt;0,AT94/G94,1))),IF(Q94&gt;0,AU94/Q94,0))/MAX(0.1,N(Parameter!$M$21)))</f>
        <v>0.00483091787439614</v>
      </c>
      <c r="AW94" s="57" t="n">
        <f aca="false">AT94*F94</f>
        <v>2950</v>
      </c>
      <c r="AX94" s="57" t="n">
        <f aca="false">ROUNDUP(MAX(I94/IF(BV94&gt;0,BV94,MAX(0.1,N(Cockpit!$O$6))),BY94)/BQ94,0)*BQ94</f>
        <v>100</v>
      </c>
      <c r="AY94" s="58" t="n">
        <f aca="false">IF(AV94&gt;0,I94/AV94,-1)</f>
        <v>18216</v>
      </c>
      <c r="AZ94" s="58" t="n">
        <f aca="false">IF(AND(OR(BU94="L1",BU94="L23"),AV94&gt;0),SUMIFS($AV$7:$AV$1576,$BU$7:$BU$1576,BU94,$AY$7:$AY$1576,"&gt;"&amp;AY94)+SUMIFS($AV$7:$AV$1576,$BU$7:$BU$1576,BU94,$AY$7:$AY$1576,AY94,$BO$7:$BO$1576,"&lt;="&amp;BO94),"")</f>
        <v>4.58645113340766</v>
      </c>
      <c r="BA94" s="65" t="n">
        <f aca="false">IF(AZ94="",0,MAX(0,MIN(1,(IF(BU94="L1",Parameter!$E$5,Parameter!$E$6+Parameter!$E$7)-(AZ94-AV94))/AV94)))</f>
        <v>1</v>
      </c>
      <c r="BB94" s="55" t="str">
        <f aca="false">IF(AF94&lt;=0,"",IF(BU94="Aussen","Aussenlager",IF(BU94="-","Nicht im Lift",IF(AK94&gt;=1,"Lift",IF(AK94&lt;=0,"Aussenlager","teilweise")))))</f>
        <v>Lift</v>
      </c>
      <c r="BC94" s="55" t="str">
        <f aca="false">IF(AN94&lt;=0,"",IF(BU94="Aussen","Aussenlager",IF(BU94="-","Nicht im Lift",IF(AS94&gt;=1,"Lift",IF(AS94&lt;=0,"Aussenlager","teilweise")))))</f>
        <v>Lift</v>
      </c>
      <c r="BD94" s="55" t="str">
        <f aca="false">IF(AV94&lt;=0,"",IF(BU94="Aussen","Aussenlager",IF(BU94="-","Nicht im Lift",IF(BA94&gt;=1,"Lift",IF(BA94&lt;=0,"Aussenlager","teilweise")))))</f>
        <v>Lift</v>
      </c>
      <c r="BE94" s="55" t="str">
        <f aca="false">IF(A94="","",IF(BN94=1,"Neu; ","")&amp;IF(AND(BN94=0,BI94&lt;0),"negativer Bestand (Export "&amp;BI94&amp;"); ","")&amp;IF(I94&lt;=0,"Kein Verbrauch; ","")&amp;IF(CD94&gt;0,"Lift "&amp;U94&amp;" lt. Liftbericht (Fach "&amp;V94&amp;" Stk); ",IF(BR94=1,"Lose – Fläche geschätzt; ",""))&amp;IF(G94&gt;AP94,"Überbestand "&amp;ROUND(G94-AP94,0)&amp;" Stk / CHF "&amp;ROUND((G94-AP94)*F94,0)&amp;"; ","")&amp;IF(AND(BW94=1,BX94&lt;BY94),"MAX &lt; MB+LG; ","")&amp;IF(AND(CC94&gt;0,CB94*10&gt;CC94),"zu hoch für Tablar; ","")&amp;IF(AND(BN94=0,OR(BW94=1,Y94&lt;&gt;"",S94&lt;&gt;"",T94&lt;&gt;"",Z94&lt;&gt;"")),"manuell übersteuert; ","")&amp;IF(AND(BR94=0,Q94=0),"Gebinde unbekannt / Stellmass fehlt; ","")&amp;IF(AND(BR94=0,N(T94)&lt;=0,N(P94)&lt;=0),"Menge pro Gebinde fehlt (Ist = 1 Gebinde); ","")&amp;BM94)</f>
        <v/>
      </c>
      <c r="BF94" s="55"/>
      <c r="BG94" s="55"/>
      <c r="BH94" s="62"/>
      <c r="BI94" s="57" t="n">
        <v>83</v>
      </c>
      <c r="BJ94" s="57" t="n">
        <v>15</v>
      </c>
      <c r="BK94" s="56" t="n">
        <v>2482.39</v>
      </c>
      <c r="BL94" s="57" t="n">
        <v>88</v>
      </c>
      <c r="BM94" s="55"/>
      <c r="BN94" s="60" t="n">
        <v>0</v>
      </c>
      <c r="BO94" s="60" t="n">
        <v>94</v>
      </c>
      <c r="BP94" s="55" t="str">
        <f aca="false">IF(S94&lt;&gt;"",UPPER(TRIM(S94)),IF(O94="","LOSE",O94))</f>
        <v>S21</v>
      </c>
      <c r="BQ94" s="57" t="n">
        <f aca="false">IF(BP94="LOSE",1,IF(N(T94)&gt;0,T94,IF(N(P94)&gt;0,P94,MAX(1,G94))))</f>
        <v>50</v>
      </c>
      <c r="BR94" s="60" t="n">
        <f aca="false">IF(BP94="LOSE",1,0)</f>
        <v>0</v>
      </c>
      <c r="BS94" s="59" t="n">
        <f aca="false">IF(BR94=0,0,IF(N(R94)&gt;0,R94,IFERROR(VLOOKUP(D94,Parameter!$A$35:$C$64,3,0)+0,0)))</f>
        <v>0</v>
      </c>
      <c r="BT94" s="55" t="n">
        <f aca="false">IF(Y94&lt;&gt;"",Y94,X94)</f>
        <v>3</v>
      </c>
      <c r="BU94" s="55" t="str">
        <f aca="false">IF(BT94=1,"L1",IF(OR(BT94=2,BT94=3),"L23",IF(BT94="Aussen","Aussen","-")))</f>
        <v>L23</v>
      </c>
      <c r="BV94" s="66" t="n">
        <f aca="false">IF(N(Z94)&gt;0,Z94,0)</f>
        <v>0</v>
      </c>
      <c r="BW94" s="60" t="n">
        <f aca="false">IF(ISNUMBER(AC94),1,0)</f>
        <v>0</v>
      </c>
      <c r="BX94" s="57" t="n">
        <f aca="false">N(AC94)</f>
        <v>0</v>
      </c>
      <c r="BY94" s="57" t="n">
        <f aca="false">N(L94)+N(M94)</f>
        <v>95</v>
      </c>
      <c r="BZ94" s="57" t="n">
        <f aca="false">ROUNDUP(G94/BQ94,0)</f>
        <v>2</v>
      </c>
      <c r="CA94" s="57" t="n">
        <f aca="false">ROUNDUP(BX94/BQ94,0)</f>
        <v>0</v>
      </c>
      <c r="CB94" s="60" t="n">
        <f aca="false">IF(BR94=1,0,IFERROR(VLOOKUP(BP94,'Gebinde-Kategorie'!$A$5:$M$45,5,0)+0,0))</f>
        <v>8</v>
      </c>
      <c r="CC94" s="60" t="n">
        <f aca="false">IFERROR(IF(OR(BT94=1,BT94=2,BT94=3),N(INDEX(Parameter!$I$5:$I$7,BT94)),0),0)</f>
        <v>0</v>
      </c>
      <c r="CD94" s="59" t="n">
        <f aca="false">IF(AND(Parameter!$B$21="Ja",ISNUMBER(U94),N(V94)&gt;0),IFERROR(N(INDEX(Parameter!$L$5:$L$7,U94))*INDEX(Parameter!$E$5:$E$7,U94)*V94/SUMIFS($V$7:$V$1576,$U$7:$U$1576,U94),0),0)</f>
        <v>0</v>
      </c>
    </row>
    <row r="95" customFormat="false" ht="15" hidden="false" customHeight="false" outlineLevel="0" collapsed="false">
      <c r="A95" s="55" t="s">
        <v>392</v>
      </c>
      <c r="B95" s="55" t="s">
        <v>393</v>
      </c>
      <c r="C95" s="55" t="s">
        <v>160</v>
      </c>
      <c r="D95" s="55" t="s">
        <v>178</v>
      </c>
      <c r="E95" s="55" t="s">
        <v>210</v>
      </c>
      <c r="F95" s="56" t="n">
        <v>33.76</v>
      </c>
      <c r="G95" s="57" t="n">
        <f aca="false">MAX(0,IF(AND(Parameter!$B$21="Ja",ISNUMBER(W95)),W95,IF(Parameter!$B$20="Jahresanfang 2025 + Export",BJ95+BI95,BI95)))</f>
        <v>72</v>
      </c>
      <c r="H95" s="57" t="n">
        <f aca="false">G95*F95</f>
        <v>2430.72</v>
      </c>
      <c r="I95" s="57" t="n">
        <f aca="false">BL95*Parameter!$B$18</f>
        <v>12</v>
      </c>
      <c r="J95" s="58" t="n">
        <v>40</v>
      </c>
      <c r="K95" s="59" t="n">
        <v>0.3</v>
      </c>
      <c r="L95" s="57" t="n">
        <v>0</v>
      </c>
      <c r="M95" s="57" t="n">
        <v>10</v>
      </c>
      <c r="N95" s="60" t="n">
        <v>21</v>
      </c>
      <c r="O95" s="55" t="s">
        <v>163</v>
      </c>
      <c r="P95" s="57"/>
      <c r="Q95" s="60" t="n">
        <f aca="false">IF(BR95=1,0,IFERROR(VLOOKUP(BP95,'Gebinde-Kategorie'!$A$5:$M$45,13,0)+0,0))</f>
        <v>0</v>
      </c>
      <c r="R95" s="61"/>
      <c r="S95" s="62"/>
      <c r="T95" s="62"/>
      <c r="U95" s="55"/>
      <c r="V95" s="57"/>
      <c r="W95" s="57"/>
      <c r="X95" s="55" t="n">
        <f aca="false">IF(A95="","",IF(AND(Parameter!$B$21="Ja",ISNUMBER(U95)),U95,IF(IFERROR(VLOOKUP(D95,Parameter!$A$35:$C$64,2,0),"Nein")="2+3",IF(ISNUMBER(SEARCH("grosser Artikel",BM95)),2,IFERROR(VLOOKUP(BP95,Parameter!$F$35:$G$64,2,0),2)),IF(OR(IFERROR(VLOOKUP(D95,Parameter!$A$35:$C$64,2,0),"Nein")="Nein",IFERROR(VLOOKUP(D95,Parameter!$A$35:$C$64,2,0),"Nein")=""),"-",VLOOKUP(D95,Parameter!$A$35:$C$64,2,0)))))</f>
        <v>2</v>
      </c>
      <c r="Y95" s="62"/>
      <c r="Z95" s="63"/>
      <c r="AA95" s="57" t="n">
        <f aca="false">AP95</f>
        <v>10</v>
      </c>
      <c r="AB95" s="57" t="n">
        <f aca="false">MAX(AP95,G95)</f>
        <v>72</v>
      </c>
      <c r="AC95" s="64"/>
      <c r="AD95" s="57" t="n">
        <f aca="false">IF(LEFT(Cockpit!$C$5,1)="A",G95,IF(BW95=1,BX95,IF(LEFT(Cockpit!$C$5,1)="B",AH95,MAX(AH95,G95))))</f>
        <v>72</v>
      </c>
      <c r="AE95" s="57" t="n">
        <f aca="false">IF(BR95=1,0,ROUNDUP(AD95/BQ95,0))</f>
        <v>0</v>
      </c>
      <c r="AF95" s="59" t="n">
        <f aca="false">IF(CD95&gt;0,CD95*MAX(1,AD95/V95),IF(BR95=1,IF(AD95&lt;=0,0,BS95*MAX(1,IF(G95&gt;0,AD95/G95,1))),IF(Q95&gt;0,AE95/Q95,0))/MAX(0.1,N(Parameter!$M$21)))</f>
        <v>0.03</v>
      </c>
      <c r="AG95" s="57" t="n">
        <f aca="false">AD95*F95</f>
        <v>2430.72</v>
      </c>
      <c r="AH95" s="57" t="n">
        <f aca="false">ROUNDUP(MAX(I95/IF(BV95&gt;0,BV95,MAX(0.1,N(Cockpit!$C$6))),BY95)/BQ95,0)*BQ95</f>
        <v>10</v>
      </c>
      <c r="AI95" s="58" t="n">
        <f aca="false">IF(AF95&gt;0,I95/AF95,-1)</f>
        <v>400</v>
      </c>
      <c r="AJ95" s="58" t="n">
        <f aca="false">IF(AND(OR(BU95="L1",BU95="L23"),AF95&gt;0),SUMIFS($AF$7:$AF$1576,$BU$7:$BU$1576,BU95,$AI$7:$AI$1576,"&gt;"&amp;AI95)+SUMIFS($AF$7:$AF$1576,$BU$7:$BU$1576,BU95,$AI$7:$AI$1576,AI95,$BO$7:$BO$1576,"&lt;="&amp;BO95),"")</f>
        <v>13.4254491402317</v>
      </c>
      <c r="AK95" s="65" t="n">
        <f aca="false">IF(AJ95="",0,MAX(0,MIN(1,(IF(BU95="L1",Parameter!$E$5,Parameter!$E$6+Parameter!$E$7)-(AJ95-AF95))/AF95)))</f>
        <v>1</v>
      </c>
      <c r="AL95" s="57" t="n">
        <f aca="false">IF(LEFT(Cockpit!$I$5,1)="A",G95,IF(BW95=1,BX95,IF(LEFT(Cockpit!$I$5,1)="B",AP95,MAX(AP95,G95))))</f>
        <v>72</v>
      </c>
      <c r="AM95" s="57" t="n">
        <f aca="false">IF(BR95=1,0,ROUNDUP(AL95/BQ95,0))</f>
        <v>0</v>
      </c>
      <c r="AN95" s="59" t="n">
        <f aca="false">IF(CD95&gt;0,CD95*MAX(1,AL95/V95),IF(BR95=1,IF(AL95&lt;=0,0,BS95*MAX(1,IF(G95&gt;0,AL95/G95,1))),IF(Q95&gt;0,AM95/Q95,0))/MAX(0.1,N(Parameter!$M$21)))</f>
        <v>0.03</v>
      </c>
      <c r="AO95" s="57" t="n">
        <f aca="false">AL95*F95</f>
        <v>2430.72</v>
      </c>
      <c r="AP95" s="57" t="n">
        <f aca="false">ROUNDUP(MAX(I95/IF(BV95&gt;0,BV95,MAX(0.1,N(Cockpit!$I$6))),BY95)/BQ95,0)*BQ95</f>
        <v>10</v>
      </c>
      <c r="AQ95" s="58" t="n">
        <f aca="false">IF(AN95&gt;0,I95/AN95,-1)</f>
        <v>400</v>
      </c>
      <c r="AR95" s="58" t="n">
        <f aca="false">IF(AND(OR(BU95="L1",BU95="L23"),AN95&gt;0),SUMIFS($AN$7:$AN$1576,$BU$7:$BU$1576,BU95,$AQ$7:$AQ$1576,"&gt;"&amp;AQ95)+SUMIFS($AN$7:$AN$1576,$BU$7:$BU$1576,BU95,$AQ$7:$AQ$1576,AQ95,$BO$7:$BO$1576,"&lt;="&amp;BO95),"")</f>
        <v>36.6406268734641</v>
      </c>
      <c r="AS95" s="65" t="n">
        <f aca="false">IF(AR95="",0,MAX(0,MIN(1,(IF(BU95="L1",Parameter!$E$5,Parameter!$E$6+Parameter!$E$7)-(AR95-AN95))/AN95)))</f>
        <v>1</v>
      </c>
      <c r="AT95" s="57" t="n">
        <f aca="false">IF(LEFT(Cockpit!$O$5,1)="A",G95,IF(BW95=1,BX95,IF(LEFT(Cockpit!$O$5,1)="B",AX95,MAX(AX95,G95))))</f>
        <v>72</v>
      </c>
      <c r="AU95" s="57" t="n">
        <f aca="false">IF(BR95=1,0,ROUNDUP(AT95/BQ95,0))</f>
        <v>0</v>
      </c>
      <c r="AV95" s="59" t="n">
        <f aca="false">IF(CD95&gt;0,CD95*MAX(1,AT95/V95),IF(BR95=1,IF(AT95&lt;=0,0,BS95*MAX(1,IF(G95&gt;0,AT95/G95,1))),IF(Q95&gt;0,AU95/Q95,0))/MAX(0.1,N(Parameter!$M$21)))</f>
        <v>0.03</v>
      </c>
      <c r="AW95" s="57" t="n">
        <f aca="false">AT95*F95</f>
        <v>2430.72</v>
      </c>
      <c r="AX95" s="57" t="n">
        <f aca="false">ROUNDUP(MAX(I95/IF(BV95&gt;0,BV95,MAX(0.1,N(Cockpit!$O$6))),BY95)/BQ95,0)*BQ95</f>
        <v>10</v>
      </c>
      <c r="AY95" s="58" t="n">
        <f aca="false">IF(AV95&gt;0,I95/AV95,-1)</f>
        <v>400</v>
      </c>
      <c r="AZ95" s="58" t="n">
        <f aca="false">IF(AND(OR(BU95="L1",BU95="L23"),AV95&gt;0),SUMIFS($AV$7:$AV$1576,$BU$7:$BU$1576,BU95,$AY$7:$AY$1576,"&gt;"&amp;AY95)+SUMIFS($AV$7:$AV$1576,$BU$7:$BU$1576,BU95,$AY$7:$AY$1576,AY95,$BO$7:$BO$1576,"&lt;="&amp;BO95),"")</f>
        <v>35.8053721282094</v>
      </c>
      <c r="BA95" s="65" t="n">
        <f aca="false">IF(AZ95="",0,MAX(0,MIN(1,(IF(BU95="L1",Parameter!$E$5,Parameter!$E$6+Parameter!$E$7)-(AZ95-AV95))/AV95)))</f>
        <v>1</v>
      </c>
      <c r="BB95" s="55" t="str">
        <f aca="false">IF(AF95&lt;=0,"",IF(BU95="Aussen","Aussenlager",IF(BU95="-","Nicht im Lift",IF(AK95&gt;=1,"Lift",IF(AK95&lt;=0,"Aussenlager","teilweise")))))</f>
        <v>Lift</v>
      </c>
      <c r="BC95" s="55" t="str">
        <f aca="false">IF(AN95&lt;=0,"",IF(BU95="Aussen","Aussenlager",IF(BU95="-","Nicht im Lift",IF(AS95&gt;=1,"Lift",IF(AS95&lt;=0,"Aussenlager","teilweise")))))</f>
        <v>Lift</v>
      </c>
      <c r="BD95" s="55" t="str">
        <f aca="false">IF(AV95&lt;=0,"",IF(BU95="Aussen","Aussenlager",IF(BU95="-","Nicht im Lift",IF(BA95&gt;=1,"Lift",IF(BA95&lt;=0,"Aussenlager","teilweise")))))</f>
        <v>Lift</v>
      </c>
      <c r="BE95" s="55" t="str">
        <f aca="false">IF(A95="","",IF(BN95=1,"Neu; ","")&amp;IF(AND(BN95=0,BI95&lt;0),"negativer Bestand (Export "&amp;BI95&amp;"); ","")&amp;IF(I95&lt;=0,"Kein Verbrauch; ","")&amp;IF(CD95&gt;0,"Lift "&amp;U95&amp;" lt. Liftbericht (Fach "&amp;V95&amp;" Stk); ",IF(BR95=1,"Lose – Fläche geschätzt; ",""))&amp;IF(G95&gt;AP95,"Überbestand "&amp;ROUND(G95-AP95,0)&amp;" Stk / CHF "&amp;ROUND((G95-AP95)*F95,0)&amp;"; ","")&amp;IF(AND(BW95=1,BX95&lt;BY95),"MAX &lt; MB+LG; ","")&amp;IF(AND(CC95&gt;0,CB95*10&gt;CC95),"zu hoch für Tablar; ","")&amp;IF(AND(BN95=0,OR(BW95=1,Y95&lt;&gt;"",S95&lt;&gt;"",T95&lt;&gt;"",Z95&lt;&gt;"")),"manuell übersteuert; ","")&amp;IF(AND(BR95=0,Q95=0),"Gebinde unbekannt / Stellmass fehlt; ","")&amp;IF(AND(BR95=0,N(T95)&lt;=0,N(P95)&lt;=0),"Menge pro Gebinde fehlt (Ist = 1 Gebinde); ","")&amp;BM95)</f>
        <v>Lose – Fläche geschätzt; Überbestand 62 Stk / CHF 2093; </v>
      </c>
      <c r="BF95" s="55"/>
      <c r="BG95" s="55"/>
      <c r="BH95" s="62"/>
      <c r="BI95" s="57" t="n">
        <v>72</v>
      </c>
      <c r="BJ95" s="57" t="n">
        <v>0</v>
      </c>
      <c r="BK95" s="56" t="n">
        <v>2430.72</v>
      </c>
      <c r="BL95" s="57" t="n">
        <v>12</v>
      </c>
      <c r="BM95" s="55"/>
      <c r="BN95" s="60" t="n">
        <v>0</v>
      </c>
      <c r="BO95" s="60" t="n">
        <v>95</v>
      </c>
      <c r="BP95" s="55" t="str">
        <f aca="false">IF(S95&lt;&gt;"",UPPER(TRIM(S95)),IF(O95="","LOSE",O95))</f>
        <v>LOSE</v>
      </c>
      <c r="BQ95" s="57" t="n">
        <f aca="false">IF(BP95="LOSE",1,IF(N(T95)&gt;0,T95,IF(N(P95)&gt;0,P95,MAX(1,G95))))</f>
        <v>1</v>
      </c>
      <c r="BR95" s="60" t="n">
        <f aca="false">IF(BP95="LOSE",1,0)</f>
        <v>1</v>
      </c>
      <c r="BS95" s="59" t="n">
        <f aca="false">IF(BR95=0,0,IF(N(R95)&gt;0,R95,IFERROR(VLOOKUP(D95,Parameter!$A$35:$C$64,3,0)+0,0)))</f>
        <v>0.03</v>
      </c>
      <c r="BT95" s="55" t="n">
        <f aca="false">IF(Y95&lt;&gt;"",Y95,X95)</f>
        <v>2</v>
      </c>
      <c r="BU95" s="55" t="str">
        <f aca="false">IF(BT95=1,"L1",IF(OR(BT95=2,BT95=3),"L23",IF(BT95="Aussen","Aussen","-")))</f>
        <v>L23</v>
      </c>
      <c r="BV95" s="66" t="n">
        <f aca="false">IF(N(Z95)&gt;0,Z95,0)</f>
        <v>0</v>
      </c>
      <c r="BW95" s="60" t="n">
        <f aca="false">IF(ISNUMBER(AC95),1,0)</f>
        <v>0</v>
      </c>
      <c r="BX95" s="57" t="n">
        <f aca="false">N(AC95)</f>
        <v>0</v>
      </c>
      <c r="BY95" s="57" t="n">
        <f aca="false">N(L95)+N(M95)</f>
        <v>10</v>
      </c>
      <c r="BZ95" s="57" t="n">
        <f aca="false">ROUNDUP(G95/BQ95,0)</f>
        <v>72</v>
      </c>
      <c r="CA95" s="57" t="n">
        <f aca="false">ROUNDUP(BX95/BQ95,0)</f>
        <v>0</v>
      </c>
      <c r="CB95" s="60" t="n">
        <f aca="false">IF(BR95=1,0,IFERROR(VLOOKUP(BP95,'Gebinde-Kategorie'!$A$5:$M$45,5,0)+0,0))</f>
        <v>0</v>
      </c>
      <c r="CC95" s="60" t="n">
        <f aca="false">IFERROR(IF(OR(BT95=1,BT95=2,BT95=3),N(INDEX(Parameter!$I$5:$I$7,BT95)),0),0)</f>
        <v>0</v>
      </c>
      <c r="CD95" s="59" t="n">
        <f aca="false">IF(AND(Parameter!$B$21="Ja",ISNUMBER(U95),N(V95)&gt;0),IFERROR(N(INDEX(Parameter!$L$5:$L$7,U95))*INDEX(Parameter!$E$5:$E$7,U95)*V95/SUMIFS($V$7:$V$1576,$U$7:$U$1576,U95),0),0)</f>
        <v>0</v>
      </c>
    </row>
    <row r="96" customFormat="false" ht="15" hidden="false" customHeight="false" outlineLevel="0" collapsed="false">
      <c r="A96" s="55" t="s">
        <v>394</v>
      </c>
      <c r="B96" s="55" t="s">
        <v>395</v>
      </c>
      <c r="C96" s="55" t="s">
        <v>160</v>
      </c>
      <c r="D96" s="55" t="s">
        <v>168</v>
      </c>
      <c r="E96" s="55" t="s">
        <v>210</v>
      </c>
      <c r="F96" s="56" t="n">
        <v>1.44</v>
      </c>
      <c r="G96" s="57" t="n">
        <f aca="false">MAX(0,IF(AND(Parameter!$B$21="Ja",ISNUMBER(W96)),W96,IF(Parameter!$B$20="Jahresanfang 2025 + Export",BJ96+BI96,BI96)))</f>
        <v>1628</v>
      </c>
      <c r="H96" s="57" t="n">
        <f aca="false">G96*F96</f>
        <v>2344.32</v>
      </c>
      <c r="I96" s="57" t="n">
        <f aca="false">BL96*Parameter!$B$18</f>
        <v>16871</v>
      </c>
      <c r="J96" s="58" t="n">
        <v>2824.5</v>
      </c>
      <c r="K96" s="59" t="n">
        <v>5.97309258275801</v>
      </c>
      <c r="L96" s="57" t="n">
        <v>1968</v>
      </c>
      <c r="M96" s="57" t="n">
        <v>2000</v>
      </c>
      <c r="N96" s="60" t="n">
        <v>42</v>
      </c>
      <c r="O96" s="55" t="s">
        <v>169</v>
      </c>
      <c r="P96" s="57"/>
      <c r="Q96" s="60" t="n">
        <f aca="false">IF(BR96=1,0,IFERROR(VLOOKUP(BP96,'Gebinde-Kategorie'!$A$5:$M$45,13,0)+0,0))</f>
        <v>6</v>
      </c>
      <c r="R96" s="61"/>
      <c r="S96" s="62"/>
      <c r="T96" s="62"/>
      <c r="U96" s="55"/>
      <c r="V96" s="57"/>
      <c r="W96" s="57"/>
      <c r="X96" s="55" t="n">
        <f aca="false">IF(A96="","",IF(AND(Parameter!$B$21="Ja",ISNUMBER(U96)),U96,IF(IFERROR(VLOOKUP(D96,Parameter!$A$35:$C$64,2,0),"Nein")="2+3",IF(ISNUMBER(SEARCH("grosser Artikel",BM96)),2,IFERROR(VLOOKUP(BP96,Parameter!$F$35:$G$64,2,0),2)),IF(OR(IFERROR(VLOOKUP(D96,Parameter!$A$35:$C$64,2,0),"Nein")="Nein",IFERROR(VLOOKUP(D96,Parameter!$A$35:$C$64,2,0),"Nein")=""),"-",VLOOKUP(D96,Parameter!$A$35:$C$64,2,0)))))</f>
        <v>2</v>
      </c>
      <c r="Y96" s="62"/>
      <c r="Z96" s="63"/>
      <c r="AA96" s="57" t="n">
        <f aca="false">AP96</f>
        <v>9768</v>
      </c>
      <c r="AB96" s="57" t="n">
        <f aca="false">MAX(AP96,G96)</f>
        <v>9768</v>
      </c>
      <c r="AC96" s="64"/>
      <c r="AD96" s="57" t="n">
        <f aca="false">IF(LEFT(Cockpit!$C$5,1)="A",G96,IF(BW96=1,BX96,IF(LEFT(Cockpit!$C$5,1)="B",AH96,MAX(AH96,G96))))</f>
        <v>1628</v>
      </c>
      <c r="AE96" s="57" t="n">
        <f aca="false">IF(BR96=1,0,ROUNDUP(AD96/BQ96,0))</f>
        <v>1</v>
      </c>
      <c r="AF96" s="59" t="n">
        <f aca="false">IF(CD96&gt;0,CD96*MAX(1,AD96/V96),IF(BR96=1,IF(AD96&lt;=0,0,BS96*MAX(1,IF(G96&gt;0,AD96/G96,1))),IF(Q96&gt;0,AE96/Q96,0))/MAX(0.1,N(Parameter!$M$21)))</f>
        <v>0.166666666666667</v>
      </c>
      <c r="AG96" s="57" t="n">
        <f aca="false">AD96*F96</f>
        <v>2344.32</v>
      </c>
      <c r="AH96" s="57" t="n">
        <f aca="false">ROUNDUP(MAX(I96/IF(BV96&gt;0,BV96,MAX(0.1,N(Cockpit!$C$6))),BY96)/BQ96,0)*BQ96</f>
        <v>9768</v>
      </c>
      <c r="AI96" s="58" t="n">
        <f aca="false">IF(AF96&gt;0,I96/AF96,-1)</f>
        <v>101226</v>
      </c>
      <c r="AJ96" s="58" t="n">
        <f aca="false">IF(AND(OR(BU96="L1",BU96="L23"),AF96&gt;0),SUMIFS($AF$7:$AF$1576,$BU$7:$BU$1576,BU96,$AI$7:$AI$1576,"&gt;"&amp;AI96)+SUMIFS($AF$7:$AF$1576,$BU$7:$BU$1576,BU96,$AI$7:$AI$1576,AI96,$BO$7:$BO$1576,"&lt;="&amp;BO96),"")</f>
        <v>0.352428971994189</v>
      </c>
      <c r="AK96" s="65" t="n">
        <f aca="false">IF(AJ96="",0,MAX(0,MIN(1,(IF(BU96="L1",Parameter!$E$5,Parameter!$E$6+Parameter!$E$7)-(AJ96-AF96))/AF96)))</f>
        <v>1</v>
      </c>
      <c r="AL96" s="57" t="n">
        <f aca="false">IF(LEFT(Cockpit!$I$5,1)="A",G96,IF(BW96=1,BX96,IF(LEFT(Cockpit!$I$5,1)="B",AP96,MAX(AP96,G96))))</f>
        <v>9768</v>
      </c>
      <c r="AM96" s="57" t="n">
        <f aca="false">IF(BR96=1,0,ROUNDUP(AL96/BQ96,0))</f>
        <v>6</v>
      </c>
      <c r="AN96" s="59" t="n">
        <f aca="false">IF(CD96&gt;0,CD96*MAX(1,AL96/V96),IF(BR96=1,IF(AL96&lt;=0,0,BS96*MAX(1,IF(G96&gt;0,AL96/G96,1))),IF(Q96&gt;0,AM96/Q96,0))/MAX(0.1,N(Parameter!$M$21)))</f>
        <v>1</v>
      </c>
      <c r="AO96" s="57" t="n">
        <f aca="false">AL96*F96</f>
        <v>14065.92</v>
      </c>
      <c r="AP96" s="57" t="n">
        <f aca="false">ROUNDUP(MAX(I96/IF(BV96&gt;0,BV96,MAX(0.1,N(Cockpit!$I$6))),BY96)/BQ96,0)*BQ96</f>
        <v>9768</v>
      </c>
      <c r="AQ96" s="58" t="n">
        <f aca="false">IF(AN96&gt;0,I96/AN96,-1)</f>
        <v>16871</v>
      </c>
      <c r="AR96" s="58" t="n">
        <f aca="false">IF(AND(OR(BU96="L1",BU96="L23"),AN96&gt;0),SUMIFS($AN$7:$AN$1576,$BU$7:$BU$1576,BU96,$AQ$7:$AQ$1576,"&gt;"&amp;AQ96)+SUMIFS($AN$7:$AN$1576,$BU$7:$BU$1576,BU96,$AQ$7:$AQ$1576,AQ96,$BO$7:$BO$1576,"&lt;="&amp;BO96),"")</f>
        <v>5.44406574102226</v>
      </c>
      <c r="AS96" s="65" t="n">
        <f aca="false">IF(AR96="",0,MAX(0,MIN(1,(IF(BU96="L1",Parameter!$E$5,Parameter!$E$6+Parameter!$E$7)-(AR96-AN96))/AN96)))</f>
        <v>1</v>
      </c>
      <c r="AT96" s="57" t="n">
        <f aca="false">IF(LEFT(Cockpit!$O$5,1)="A",G96,IF(BW96=1,BX96,IF(LEFT(Cockpit!$O$5,1)="B",AX96,MAX(AX96,G96))))</f>
        <v>6512</v>
      </c>
      <c r="AU96" s="57" t="n">
        <f aca="false">IF(BR96=1,0,ROUNDUP(AT96/BQ96,0))</f>
        <v>4</v>
      </c>
      <c r="AV96" s="59" t="n">
        <f aca="false">IF(CD96&gt;0,CD96*MAX(1,AT96/V96),IF(BR96=1,IF(AT96&lt;=0,0,BS96*MAX(1,IF(G96&gt;0,AT96/G96,1))),IF(Q96&gt;0,AU96/Q96,0))/MAX(0.1,N(Parameter!$M$21)))</f>
        <v>0.666666666666667</v>
      </c>
      <c r="AW96" s="57" t="n">
        <f aca="false">AT96*F96</f>
        <v>9377.28</v>
      </c>
      <c r="AX96" s="57" t="n">
        <f aca="false">ROUNDUP(MAX(I96/IF(BV96&gt;0,BV96,MAX(0.1,N(Cockpit!$O$6))),BY96)/BQ96,0)*BQ96</f>
        <v>6512</v>
      </c>
      <c r="AY96" s="58" t="n">
        <f aca="false">IF(AV96&gt;0,I96/AV96,-1)</f>
        <v>25306.5</v>
      </c>
      <c r="AZ96" s="58" t="n">
        <f aca="false">IF(AND(OR(BU96="L1",BU96="L23"),AV96&gt;0),SUMIFS($AV$7:$AV$1576,$BU$7:$BU$1576,BU96,$AY$7:$AY$1576,"&gt;"&amp;AY96)+SUMIFS($AV$7:$AV$1576,$BU$7:$BU$1576,BU96,$AY$7:$AY$1576,AY96,$BO$7:$BO$1576,"&lt;="&amp;BO96),"")</f>
        <v>3.67483733657647</v>
      </c>
      <c r="BA96" s="65" t="n">
        <f aca="false">IF(AZ96="",0,MAX(0,MIN(1,(IF(BU96="L1",Parameter!$E$5,Parameter!$E$6+Parameter!$E$7)-(AZ96-AV96))/AV96)))</f>
        <v>1</v>
      </c>
      <c r="BB96" s="55" t="str">
        <f aca="false">IF(AF96&lt;=0,"",IF(BU96="Aussen","Aussenlager",IF(BU96="-","Nicht im Lift",IF(AK96&gt;=1,"Lift",IF(AK96&lt;=0,"Aussenlager","teilweise")))))</f>
        <v>Lift</v>
      </c>
      <c r="BC96" s="55" t="str">
        <f aca="false">IF(AN96&lt;=0,"",IF(BU96="Aussen","Aussenlager",IF(BU96="-","Nicht im Lift",IF(AS96&gt;=1,"Lift",IF(AS96&lt;=0,"Aussenlager","teilweise")))))</f>
        <v>Lift</v>
      </c>
      <c r="BD96" s="55" t="str">
        <f aca="false">IF(AV96&lt;=0,"",IF(BU96="Aussen","Aussenlager",IF(BU96="-","Nicht im Lift",IF(BA96&gt;=1,"Lift",IF(BA96&lt;=0,"Aussenlager","teilweise")))))</f>
        <v>Lift</v>
      </c>
      <c r="BE96" s="55" t="str">
        <f aca="false">IF(A96="","",IF(BN96=1,"Neu; ","")&amp;IF(AND(BN96=0,BI96&lt;0),"negativer Bestand (Export "&amp;BI96&amp;"); ","")&amp;IF(I96&lt;=0,"Kein Verbrauch; ","")&amp;IF(CD96&gt;0,"Lift "&amp;U96&amp;" lt. Liftbericht (Fach "&amp;V96&amp;" Stk); ",IF(BR96=1,"Lose – Fläche geschätzt; ",""))&amp;IF(G96&gt;AP96,"Überbestand "&amp;ROUND(G96-AP96,0)&amp;" Stk / CHF "&amp;ROUND((G96-AP96)*F96,0)&amp;"; ","")&amp;IF(AND(BW96=1,BX96&lt;BY96),"MAX &lt; MB+LG; ","")&amp;IF(AND(CC96&gt;0,CB96*10&gt;CC96),"zu hoch für Tablar; ","")&amp;IF(AND(BN96=0,OR(BW96=1,Y96&lt;&gt;"",S96&lt;&gt;"",T96&lt;&gt;"",Z96&lt;&gt;"")),"manuell übersteuert; ","")&amp;IF(AND(BR96=0,Q96=0),"Gebinde unbekannt / Stellmass fehlt; ","")&amp;IF(AND(BR96=0,N(T96)&lt;=0,N(P96)&lt;=0),"Menge pro Gebinde fehlt (Ist = 1 Gebinde); ","")&amp;BM96)</f>
        <v>Menge pro Gebinde fehlt (Ist = 1 Gebinde); grosser Artikel &amp; nicht im KTL</v>
      </c>
      <c r="BF96" s="55"/>
      <c r="BG96" s="55"/>
      <c r="BH96" s="62"/>
      <c r="BI96" s="57" t="n">
        <v>1628</v>
      </c>
      <c r="BJ96" s="57" t="n">
        <v>2624</v>
      </c>
      <c r="BK96" s="56" t="n">
        <v>2421.60000000001</v>
      </c>
      <c r="BL96" s="57" t="n">
        <v>16871</v>
      </c>
      <c r="BM96" s="55" t="s">
        <v>253</v>
      </c>
      <c r="BN96" s="60" t="n">
        <v>0</v>
      </c>
      <c r="BO96" s="60" t="n">
        <v>96</v>
      </c>
      <c r="BP96" s="55" t="str">
        <f aca="false">IF(S96&lt;&gt;"",UPPER(TRIM(S96)),IF(O96="","LOSE",O96))</f>
        <v>S71</v>
      </c>
      <c r="BQ96" s="57" t="n">
        <f aca="false">IF(BP96="LOSE",1,IF(N(T96)&gt;0,T96,IF(N(P96)&gt;0,P96,MAX(1,G96))))</f>
        <v>1628</v>
      </c>
      <c r="BR96" s="60" t="n">
        <f aca="false">IF(BP96="LOSE",1,0)</f>
        <v>0</v>
      </c>
      <c r="BS96" s="59" t="n">
        <f aca="false">IF(BR96=0,0,IF(N(R96)&gt;0,R96,IFERROR(VLOOKUP(D96,Parameter!$A$35:$C$64,3,0)+0,0)))</f>
        <v>0</v>
      </c>
      <c r="BT96" s="55" t="n">
        <f aca="false">IF(Y96&lt;&gt;"",Y96,X96)</f>
        <v>2</v>
      </c>
      <c r="BU96" s="55" t="str">
        <f aca="false">IF(BT96=1,"L1",IF(OR(BT96=2,BT96=3),"L23",IF(BT96="Aussen","Aussen","-")))</f>
        <v>L23</v>
      </c>
      <c r="BV96" s="66" t="n">
        <f aca="false">IF(N(Z96)&gt;0,Z96,0)</f>
        <v>0</v>
      </c>
      <c r="BW96" s="60" t="n">
        <f aca="false">IF(ISNUMBER(AC96),1,0)</f>
        <v>0</v>
      </c>
      <c r="BX96" s="57" t="n">
        <f aca="false">N(AC96)</f>
        <v>0</v>
      </c>
      <c r="BY96" s="57" t="n">
        <f aca="false">N(L96)+N(M96)</f>
        <v>3968</v>
      </c>
      <c r="BZ96" s="57" t="n">
        <f aca="false">ROUNDUP(G96/BQ96,0)</f>
        <v>1</v>
      </c>
      <c r="CA96" s="57" t="n">
        <f aca="false">ROUNDUP(BX96/BQ96,0)</f>
        <v>0</v>
      </c>
      <c r="CB96" s="60" t="n">
        <f aca="false">IF(BR96=1,0,IFERROR(VLOOKUP(BP96,'Gebinde-Kategorie'!$A$5:$M$45,5,0)+0,0))</f>
        <v>20</v>
      </c>
      <c r="CC96" s="60" t="n">
        <f aca="false">IFERROR(IF(OR(BT96=1,BT96=2,BT96=3),N(INDEX(Parameter!$I$5:$I$7,BT96)),0),0)</f>
        <v>0</v>
      </c>
      <c r="CD96" s="59" t="n">
        <f aca="false">IF(AND(Parameter!$B$21="Ja",ISNUMBER(U96),N(V96)&gt;0),IFERROR(N(INDEX(Parameter!$L$5:$L$7,U96))*INDEX(Parameter!$E$5:$E$7,U96)*V96/SUMIFS($V$7:$V$1576,$U$7:$U$1576,U96),0),0)</f>
        <v>0</v>
      </c>
    </row>
    <row r="97" customFormat="false" ht="15" hidden="false" customHeight="false" outlineLevel="0" collapsed="false">
      <c r="A97" s="55" t="s">
        <v>396</v>
      </c>
      <c r="B97" s="55" t="s">
        <v>397</v>
      </c>
      <c r="C97" s="55" t="s">
        <v>160</v>
      </c>
      <c r="D97" s="55" t="s">
        <v>178</v>
      </c>
      <c r="E97" s="55" t="s">
        <v>210</v>
      </c>
      <c r="F97" s="56" t="n">
        <v>0.7</v>
      </c>
      <c r="G97" s="57" t="n">
        <f aca="false">MAX(0,IF(AND(Parameter!$B$21="Ja",ISNUMBER(W97)),W97,IF(Parameter!$B$20="Jahresanfang 2025 + Export",BJ97+BI97,BI97)))</f>
        <v>2568</v>
      </c>
      <c r="H97" s="57" t="n">
        <f aca="false">G97*F97</f>
        <v>1797.6</v>
      </c>
      <c r="I97" s="57" t="n">
        <f aca="false">BL97*Parameter!$B$18</f>
        <v>7575</v>
      </c>
      <c r="J97" s="58" t="n">
        <v>4450</v>
      </c>
      <c r="K97" s="59" t="n">
        <v>1.70224719101124</v>
      </c>
      <c r="L97" s="57" t="n">
        <v>850</v>
      </c>
      <c r="M97" s="57" t="n">
        <v>2000</v>
      </c>
      <c r="N97" s="60" t="n">
        <v>147</v>
      </c>
      <c r="O97" s="55" t="s">
        <v>218</v>
      </c>
      <c r="P97" s="57" t="n">
        <v>6979</v>
      </c>
      <c r="Q97" s="60" t="n">
        <f aca="false">IF(BR97=1,0,IFERROR(VLOOKUP(BP97,'Gebinde-Kategorie'!$A$5:$M$45,13,0)+0,0))</f>
        <v>12</v>
      </c>
      <c r="R97" s="61"/>
      <c r="S97" s="62"/>
      <c r="T97" s="62"/>
      <c r="U97" s="55"/>
      <c r="V97" s="57"/>
      <c r="W97" s="57"/>
      <c r="X97" s="55" t="n">
        <f aca="false">IF(A97="","",IF(AND(Parameter!$B$21="Ja",ISNUMBER(U97)),U97,IF(IFERROR(VLOOKUP(D97,Parameter!$A$35:$C$64,2,0),"Nein")="2+3",IF(ISNUMBER(SEARCH("grosser Artikel",BM97)),2,IFERROR(VLOOKUP(BP97,Parameter!$F$35:$G$64,2,0),2)),IF(OR(IFERROR(VLOOKUP(D97,Parameter!$A$35:$C$64,2,0),"Nein")="Nein",IFERROR(VLOOKUP(D97,Parameter!$A$35:$C$64,2,0),"Nein")=""),"-",VLOOKUP(D97,Parameter!$A$35:$C$64,2,0)))))</f>
        <v>2</v>
      </c>
      <c r="Y97" s="62"/>
      <c r="Z97" s="63"/>
      <c r="AA97" s="57" t="n">
        <f aca="false">AP97</f>
        <v>6979</v>
      </c>
      <c r="AB97" s="57" t="n">
        <f aca="false">MAX(AP97,G97)</f>
        <v>6979</v>
      </c>
      <c r="AC97" s="64"/>
      <c r="AD97" s="57" t="n">
        <f aca="false">IF(LEFT(Cockpit!$C$5,1)="A",G97,IF(BW97=1,BX97,IF(LEFT(Cockpit!$C$5,1)="B",AH97,MAX(AH97,G97))))</f>
        <v>2568</v>
      </c>
      <c r="AE97" s="57" t="n">
        <f aca="false">IF(BR97=1,0,ROUNDUP(AD97/BQ97,0))</f>
        <v>1</v>
      </c>
      <c r="AF97" s="59" t="n">
        <f aca="false">IF(CD97&gt;0,CD97*MAX(1,AD97/V97),IF(BR97=1,IF(AD97&lt;=0,0,BS97*MAX(1,IF(G97&gt;0,AD97/G97,1))),IF(Q97&gt;0,AE97/Q97,0))/MAX(0.1,N(Parameter!$M$21)))</f>
        <v>0.0833333333333333</v>
      </c>
      <c r="AG97" s="57" t="n">
        <f aca="false">AD97*F97</f>
        <v>1797.6</v>
      </c>
      <c r="AH97" s="57" t="n">
        <f aca="false">ROUNDUP(MAX(I97/IF(BV97&gt;0,BV97,MAX(0.1,N(Cockpit!$C$6))),BY97)/BQ97,0)*BQ97</f>
        <v>6979</v>
      </c>
      <c r="AI97" s="58" t="n">
        <f aca="false">IF(AF97&gt;0,I97/AF97,-1)</f>
        <v>90900</v>
      </c>
      <c r="AJ97" s="58" t="n">
        <f aca="false">IF(AND(OR(BU97="L1",BU97="L23"),AF97&gt;0),SUMIFS($AF$7:$AF$1576,$BU$7:$BU$1576,BU97,$AI$7:$AI$1576,"&gt;"&amp;AI97)+SUMIFS($AF$7:$AF$1576,$BU$7:$BU$1576,BU97,$AI$7:$AI$1576,AI97,$BO$7:$BO$1576,"&lt;="&amp;BO97),"")</f>
        <v>0.443228269315226</v>
      </c>
      <c r="AK97" s="65" t="n">
        <f aca="false">IF(AJ97="",0,MAX(0,MIN(1,(IF(BU97="L1",Parameter!$E$5,Parameter!$E$6+Parameter!$E$7)-(AJ97-AF97))/AF97)))</f>
        <v>1</v>
      </c>
      <c r="AL97" s="57" t="n">
        <f aca="false">IF(LEFT(Cockpit!$I$5,1)="A",G97,IF(BW97=1,BX97,IF(LEFT(Cockpit!$I$5,1)="B",AP97,MAX(AP97,G97))))</f>
        <v>6979</v>
      </c>
      <c r="AM97" s="57" t="n">
        <f aca="false">IF(BR97=1,0,ROUNDUP(AL97/BQ97,0))</f>
        <v>1</v>
      </c>
      <c r="AN97" s="59" t="n">
        <f aca="false">IF(CD97&gt;0,CD97*MAX(1,AL97/V97),IF(BR97=1,IF(AL97&lt;=0,0,BS97*MAX(1,IF(G97&gt;0,AL97/G97,1))),IF(Q97&gt;0,AM97/Q97,0))/MAX(0.1,N(Parameter!$M$21)))</f>
        <v>0.0833333333333333</v>
      </c>
      <c r="AO97" s="57" t="n">
        <f aca="false">AL97*F97</f>
        <v>4885.3</v>
      </c>
      <c r="AP97" s="57" t="n">
        <f aca="false">ROUNDUP(MAX(I97/IF(BV97&gt;0,BV97,MAX(0.1,N(Cockpit!$I$6))),BY97)/BQ97,0)*BQ97</f>
        <v>6979</v>
      </c>
      <c r="AQ97" s="58" t="n">
        <f aca="false">IF(AN97&gt;0,I97/AN97,-1)</f>
        <v>90900</v>
      </c>
      <c r="AR97" s="58" t="n">
        <f aca="false">IF(AND(OR(BU97="L1",BU97="L23"),AN97&gt;0),SUMIFS($AN$7:$AN$1576,$BU$7:$BU$1576,BU97,$AQ$7:$AQ$1576,"&gt;"&amp;AQ97)+SUMIFS($AN$7:$AN$1576,$BU$7:$BU$1576,BU97,$AQ$7:$AQ$1576,AQ97,$BO$7:$BO$1576,"&lt;="&amp;BO97),"")</f>
        <v>0.558263234350191</v>
      </c>
      <c r="AS97" s="65" t="n">
        <f aca="false">IF(AR97="",0,MAX(0,MIN(1,(IF(BU97="L1",Parameter!$E$5,Parameter!$E$6+Parameter!$E$7)-(AR97-AN97))/AN97)))</f>
        <v>1</v>
      </c>
      <c r="AT97" s="57" t="n">
        <f aca="false">IF(LEFT(Cockpit!$O$5,1)="A",G97,IF(BW97=1,BX97,IF(LEFT(Cockpit!$O$5,1)="B",AX97,MAX(AX97,G97))))</f>
        <v>6979</v>
      </c>
      <c r="AU97" s="57" t="n">
        <f aca="false">IF(BR97=1,0,ROUNDUP(AT97/BQ97,0))</f>
        <v>1</v>
      </c>
      <c r="AV97" s="59" t="n">
        <f aca="false">IF(CD97&gt;0,CD97*MAX(1,AT97/V97),IF(BR97=1,IF(AT97&lt;=0,0,BS97*MAX(1,IF(G97&gt;0,AT97/G97,1))),IF(Q97&gt;0,AU97/Q97,0))/MAX(0.1,N(Parameter!$M$21)))</f>
        <v>0.0833333333333333</v>
      </c>
      <c r="AW97" s="57" t="n">
        <f aca="false">AT97*F97</f>
        <v>4885.3</v>
      </c>
      <c r="AX97" s="57" t="n">
        <f aca="false">ROUNDUP(MAX(I97/IF(BV97&gt;0,BV97,MAX(0.1,N(Cockpit!$O$6))),BY97)/BQ97,0)*BQ97</f>
        <v>6979</v>
      </c>
      <c r="AY97" s="58" t="n">
        <f aca="false">IF(AV97&gt;0,I97/AV97,-1)</f>
        <v>90900</v>
      </c>
      <c r="AZ97" s="58" t="n">
        <f aca="false">IF(AND(OR(BU97="L1",BU97="L23"),AV97&gt;0),SUMIFS($AV$7:$AV$1576,$BU$7:$BU$1576,BU97,$AY$7:$AY$1576,"&gt;"&amp;AY97)+SUMIFS($AV$7:$AV$1576,$BU$7:$BU$1576,BU97,$AY$7:$AY$1576,AY97,$BO$7:$BO$1576,"&lt;="&amp;BO97),"")</f>
        <v>0.635186311273268</v>
      </c>
      <c r="BA97" s="65" t="n">
        <f aca="false">IF(AZ97="",0,MAX(0,MIN(1,(IF(BU97="L1",Parameter!$E$5,Parameter!$E$6+Parameter!$E$7)-(AZ97-AV97))/AV97)))</f>
        <v>1</v>
      </c>
      <c r="BB97" s="55" t="str">
        <f aca="false">IF(AF97&lt;=0,"",IF(BU97="Aussen","Aussenlager",IF(BU97="-","Nicht im Lift",IF(AK97&gt;=1,"Lift",IF(AK97&lt;=0,"Aussenlager","teilweise")))))</f>
        <v>Lift</v>
      </c>
      <c r="BC97" s="55" t="str">
        <f aca="false">IF(AN97&lt;=0,"",IF(BU97="Aussen","Aussenlager",IF(BU97="-","Nicht im Lift",IF(AS97&gt;=1,"Lift",IF(AS97&lt;=0,"Aussenlager","teilweise")))))</f>
        <v>Lift</v>
      </c>
      <c r="BD97" s="55" t="str">
        <f aca="false">IF(AV97&lt;=0,"",IF(BU97="Aussen","Aussenlager",IF(BU97="-","Nicht im Lift",IF(BA97&gt;=1,"Lift",IF(BA97&lt;=0,"Aussenlager","teilweise")))))</f>
        <v>Lift</v>
      </c>
      <c r="BE97" s="55" t="str">
        <f aca="false">IF(A97="","",IF(BN97=1,"Neu; ","")&amp;IF(AND(BN97=0,BI97&lt;0),"negativer Bestand (Export "&amp;BI97&amp;"); ","")&amp;IF(I97&lt;=0,"Kein Verbrauch; ","")&amp;IF(CD97&gt;0,"Lift "&amp;U97&amp;" lt. Liftbericht (Fach "&amp;V97&amp;" Stk); ",IF(BR97=1,"Lose – Fläche geschätzt; ",""))&amp;IF(G97&gt;AP97,"Überbestand "&amp;ROUND(G97-AP97,0)&amp;" Stk / CHF "&amp;ROUND((G97-AP97)*F97,0)&amp;"; ","")&amp;IF(AND(BW97=1,BX97&lt;BY97),"MAX &lt; MB+LG; ","")&amp;IF(AND(CC97&gt;0,CB97*10&gt;CC97),"zu hoch für Tablar; ","")&amp;IF(AND(BN97=0,OR(BW97=1,Y97&lt;&gt;"",S97&lt;&gt;"",T97&lt;&gt;"",Z97&lt;&gt;"")),"manuell übersteuert; ","")&amp;IF(AND(BR97=0,Q97=0),"Gebinde unbekannt / Stellmass fehlt; ","")&amp;IF(AND(BR97=0,N(T97)&lt;=0,N(P97)&lt;=0),"Menge pro Gebinde fehlt (Ist = 1 Gebinde); ","")&amp;BM97)</f>
        <v/>
      </c>
      <c r="BF97" s="55"/>
      <c r="BG97" s="55"/>
      <c r="BH97" s="62"/>
      <c r="BI97" s="57" t="n">
        <v>2568</v>
      </c>
      <c r="BJ97" s="57" t="n">
        <v>6228</v>
      </c>
      <c r="BK97" s="56" t="n">
        <v>2416.7</v>
      </c>
      <c r="BL97" s="57" t="n">
        <v>7575</v>
      </c>
      <c r="BM97" s="55"/>
      <c r="BN97" s="60" t="n">
        <v>0</v>
      </c>
      <c r="BO97" s="60" t="n">
        <v>97</v>
      </c>
      <c r="BP97" s="55" t="str">
        <f aca="false">IF(S97&lt;&gt;"",UPPER(TRIM(S97)),IF(O97="","LOSE",O97))</f>
        <v>S63</v>
      </c>
      <c r="BQ97" s="57" t="n">
        <f aca="false">IF(BP97="LOSE",1,IF(N(T97)&gt;0,T97,IF(N(P97)&gt;0,P97,MAX(1,G97))))</f>
        <v>6979</v>
      </c>
      <c r="BR97" s="60" t="n">
        <f aca="false">IF(BP97="LOSE",1,0)</f>
        <v>0</v>
      </c>
      <c r="BS97" s="59" t="n">
        <f aca="false">IF(BR97=0,0,IF(N(R97)&gt;0,R97,IFERROR(VLOOKUP(D97,Parameter!$A$35:$C$64,3,0)+0,0)))</f>
        <v>0</v>
      </c>
      <c r="BT97" s="55" t="n">
        <f aca="false">IF(Y97&lt;&gt;"",Y97,X97)</f>
        <v>2</v>
      </c>
      <c r="BU97" s="55" t="str">
        <f aca="false">IF(BT97=1,"L1",IF(OR(BT97=2,BT97=3),"L23",IF(BT97="Aussen","Aussen","-")))</f>
        <v>L23</v>
      </c>
      <c r="BV97" s="66" t="n">
        <f aca="false">IF(N(Z97)&gt;0,Z97,0)</f>
        <v>0</v>
      </c>
      <c r="BW97" s="60" t="n">
        <f aca="false">IF(ISNUMBER(AC97),1,0)</f>
        <v>0</v>
      </c>
      <c r="BX97" s="57" t="n">
        <f aca="false">N(AC97)</f>
        <v>0</v>
      </c>
      <c r="BY97" s="57" t="n">
        <f aca="false">N(L97)+N(M97)</f>
        <v>2850</v>
      </c>
      <c r="BZ97" s="57" t="n">
        <f aca="false">ROUNDUP(G97/BQ97,0)</f>
        <v>1</v>
      </c>
      <c r="CA97" s="57" t="n">
        <f aca="false">ROUNDUP(BX97/BQ97,0)</f>
        <v>0</v>
      </c>
      <c r="CB97" s="60" t="n">
        <f aca="false">IF(BR97=1,0,IFERROR(VLOOKUP(BP97,'Gebinde-Kategorie'!$A$5:$M$45,5,0)+0,0))</f>
        <v>31</v>
      </c>
      <c r="CC97" s="60" t="n">
        <f aca="false">IFERROR(IF(OR(BT97=1,BT97=2,BT97=3),N(INDEX(Parameter!$I$5:$I$7,BT97)),0),0)</f>
        <v>0</v>
      </c>
      <c r="CD97" s="59" t="n">
        <f aca="false">IF(AND(Parameter!$B$21="Ja",ISNUMBER(U97),N(V97)&gt;0),IFERROR(N(INDEX(Parameter!$L$5:$L$7,U97))*INDEX(Parameter!$E$5:$E$7,U97)*V97/SUMIFS($V$7:$V$1576,$U$7:$U$1576,U97),0),0)</f>
        <v>0</v>
      </c>
    </row>
    <row r="98" customFormat="false" ht="15" hidden="false" customHeight="false" outlineLevel="0" collapsed="false">
      <c r="A98" s="55" t="s">
        <v>398</v>
      </c>
      <c r="B98" s="55" t="s">
        <v>399</v>
      </c>
      <c r="C98" s="55" t="s">
        <v>160</v>
      </c>
      <c r="D98" s="55" t="s">
        <v>178</v>
      </c>
      <c r="E98" s="55" t="s">
        <v>210</v>
      </c>
      <c r="F98" s="56" t="n">
        <v>63</v>
      </c>
      <c r="G98" s="57" t="n">
        <f aca="false">MAX(0,IF(AND(Parameter!$B$21="Ja",ISNUMBER(W98)),W98,IF(Parameter!$B$20="Jahresanfang 2025 + Export",BJ98+BI98,BI98)))</f>
        <v>38</v>
      </c>
      <c r="H98" s="57" t="n">
        <f aca="false">G98*F98</f>
        <v>2394</v>
      </c>
      <c r="I98" s="57" t="n">
        <f aca="false">BL98*Parameter!$B$18</f>
        <v>66</v>
      </c>
      <c r="J98" s="58" t="n">
        <v>29.5</v>
      </c>
      <c r="K98" s="59" t="n">
        <v>2.23728813559322</v>
      </c>
      <c r="L98" s="57" t="n">
        <v>5</v>
      </c>
      <c r="M98" s="57" t="n">
        <v>50</v>
      </c>
      <c r="N98" s="60" t="n">
        <v>28</v>
      </c>
      <c r="O98" s="55" t="s">
        <v>293</v>
      </c>
      <c r="P98" s="57" t="n">
        <v>34</v>
      </c>
      <c r="Q98" s="60" t="n">
        <f aca="false">IF(BR98=1,0,IFERROR(VLOOKUP(BP98,'Gebinde-Kategorie'!$A$5:$M$45,13,0)+0,0))</f>
        <v>26</v>
      </c>
      <c r="R98" s="61"/>
      <c r="S98" s="62"/>
      <c r="T98" s="62"/>
      <c r="U98" s="55"/>
      <c r="V98" s="57"/>
      <c r="W98" s="57"/>
      <c r="X98" s="55" t="n">
        <f aca="false">IF(A98="","",IF(AND(Parameter!$B$21="Ja",ISNUMBER(U98)),U98,IF(IFERROR(VLOOKUP(D98,Parameter!$A$35:$C$64,2,0),"Nein")="2+3",IF(ISNUMBER(SEARCH("grosser Artikel",BM98)),2,IFERROR(VLOOKUP(BP98,Parameter!$F$35:$G$64,2,0),2)),IF(OR(IFERROR(VLOOKUP(D98,Parameter!$A$35:$C$64,2,0),"Nein")="Nein",IFERROR(VLOOKUP(D98,Parameter!$A$35:$C$64,2,0),"Nein")=""),"-",VLOOKUP(D98,Parameter!$A$35:$C$64,2,0)))))</f>
        <v>3</v>
      </c>
      <c r="Y98" s="62"/>
      <c r="Z98" s="63"/>
      <c r="AA98" s="57" t="n">
        <f aca="false">AP98</f>
        <v>68</v>
      </c>
      <c r="AB98" s="57" t="n">
        <f aca="false">MAX(AP98,G98)</f>
        <v>68</v>
      </c>
      <c r="AC98" s="64"/>
      <c r="AD98" s="57" t="n">
        <f aca="false">IF(LEFT(Cockpit!$C$5,1)="A",G98,IF(BW98=1,BX98,IF(LEFT(Cockpit!$C$5,1)="B",AH98,MAX(AH98,G98))))</f>
        <v>38</v>
      </c>
      <c r="AE98" s="57" t="n">
        <f aca="false">IF(BR98=1,0,ROUNDUP(AD98/BQ98,0))</f>
        <v>2</v>
      </c>
      <c r="AF98" s="59" t="n">
        <f aca="false">IF(CD98&gt;0,CD98*MAX(1,AD98/V98),IF(BR98=1,IF(AD98&lt;=0,0,BS98*MAX(1,IF(G98&gt;0,AD98/G98,1))),IF(Q98&gt;0,AE98/Q98,0))/MAX(0.1,N(Parameter!$M$21)))</f>
        <v>0.0769230769230769</v>
      </c>
      <c r="AG98" s="57" t="n">
        <f aca="false">AD98*F98</f>
        <v>2394</v>
      </c>
      <c r="AH98" s="57" t="n">
        <f aca="false">ROUNDUP(MAX(I98/IF(BV98&gt;0,BV98,MAX(0.1,N(Cockpit!$C$6))),BY98)/BQ98,0)*BQ98</f>
        <v>68</v>
      </c>
      <c r="AI98" s="58" t="n">
        <f aca="false">IF(AF98&gt;0,I98/AF98,-1)</f>
        <v>858</v>
      </c>
      <c r="AJ98" s="58" t="n">
        <f aca="false">IF(AND(OR(BU98="L1",BU98="L23"),AF98&gt;0),SUMIFS($AF$7:$AF$1576,$BU$7:$BU$1576,BU98,$AI$7:$AI$1576,"&gt;"&amp;AI98)+SUMIFS($AF$7:$AF$1576,$BU$7:$BU$1576,BU98,$AI$7:$AI$1576,AI98,$BO$7:$BO$1576,"&lt;="&amp;BO98),"")</f>
        <v>10.3561633052937</v>
      </c>
      <c r="AK98" s="65" t="n">
        <f aca="false">IF(AJ98="",0,MAX(0,MIN(1,(IF(BU98="L1",Parameter!$E$5,Parameter!$E$6+Parameter!$E$7)-(AJ98-AF98))/AF98)))</f>
        <v>1</v>
      </c>
      <c r="AL98" s="57" t="n">
        <f aca="false">IF(LEFT(Cockpit!$I$5,1)="A",G98,IF(BW98=1,BX98,IF(LEFT(Cockpit!$I$5,1)="B",AP98,MAX(AP98,G98))))</f>
        <v>68</v>
      </c>
      <c r="AM98" s="57" t="n">
        <f aca="false">IF(BR98=1,0,ROUNDUP(AL98/BQ98,0))</f>
        <v>2</v>
      </c>
      <c r="AN98" s="59" t="n">
        <f aca="false">IF(CD98&gt;0,CD98*MAX(1,AL98/V98),IF(BR98=1,IF(AL98&lt;=0,0,BS98*MAX(1,IF(G98&gt;0,AL98/G98,1))),IF(Q98&gt;0,AM98/Q98,0))/MAX(0.1,N(Parameter!$M$21)))</f>
        <v>0.0769230769230769</v>
      </c>
      <c r="AO98" s="57" t="n">
        <f aca="false">AL98*F98</f>
        <v>4284</v>
      </c>
      <c r="AP98" s="57" t="n">
        <f aca="false">ROUNDUP(MAX(I98/IF(BV98&gt;0,BV98,MAX(0.1,N(Cockpit!$I$6))),BY98)/BQ98,0)*BQ98</f>
        <v>68</v>
      </c>
      <c r="AQ98" s="58" t="n">
        <f aca="false">IF(AN98&gt;0,I98/AN98,-1)</f>
        <v>858</v>
      </c>
      <c r="AR98" s="58" t="n">
        <f aca="false">IF(AND(OR(BU98="L1",BU98="L23"),AN98&gt;0),SUMIFS($AN$7:$AN$1576,$BU$7:$BU$1576,BU98,$AQ$7:$AQ$1576,"&gt;"&amp;AQ98)+SUMIFS($AN$7:$AN$1576,$BU$7:$BU$1576,BU98,$AQ$7:$AQ$1576,AQ98,$BO$7:$BO$1576,"&lt;="&amp;BO98),"")</f>
        <v>25.4805502833875</v>
      </c>
      <c r="AS98" s="65" t="n">
        <f aca="false">IF(AR98="",0,MAX(0,MIN(1,(IF(BU98="L1",Parameter!$E$5,Parameter!$E$6+Parameter!$E$7)-(AR98-AN98))/AN98)))</f>
        <v>1</v>
      </c>
      <c r="AT98" s="57" t="n">
        <f aca="false">IF(LEFT(Cockpit!$O$5,1)="A",G98,IF(BW98=1,BX98,IF(LEFT(Cockpit!$O$5,1)="B",AX98,MAX(AX98,G98))))</f>
        <v>68</v>
      </c>
      <c r="AU98" s="57" t="n">
        <f aca="false">IF(BR98=1,0,ROUNDUP(AT98/BQ98,0))</f>
        <v>2</v>
      </c>
      <c r="AV98" s="59" t="n">
        <f aca="false">IF(CD98&gt;0,CD98*MAX(1,AT98/V98),IF(BR98=1,IF(AT98&lt;=0,0,BS98*MAX(1,IF(G98&gt;0,AT98/G98,1))),IF(Q98&gt;0,AU98/Q98,0))/MAX(0.1,N(Parameter!$M$21)))</f>
        <v>0.0769230769230769</v>
      </c>
      <c r="AW98" s="57" t="n">
        <f aca="false">AT98*F98</f>
        <v>4284</v>
      </c>
      <c r="AX98" s="57" t="n">
        <f aca="false">ROUNDUP(MAX(I98/IF(BV98&gt;0,BV98,MAX(0.1,N(Cockpit!$O$6))),BY98)/BQ98,0)*BQ98</f>
        <v>68</v>
      </c>
      <c r="AY98" s="58" t="n">
        <f aca="false">IF(AV98&gt;0,I98/AV98,-1)</f>
        <v>858</v>
      </c>
      <c r="AZ98" s="58" t="n">
        <f aca="false">IF(AND(OR(BU98="L1",BU98="L23"),AV98&gt;0),SUMIFS($AV$7:$AV$1576,$BU$7:$BU$1576,BU98,$AY$7:$AY$1576,"&gt;"&amp;AY98)+SUMIFS($AV$7:$AV$1576,$BU$7:$BU$1576,BU98,$AY$7:$AY$1576,AY98,$BO$7:$BO$1576,"&lt;="&amp;BO98),"")</f>
        <v>25.7142332670705</v>
      </c>
      <c r="BA98" s="65" t="n">
        <f aca="false">IF(AZ98="",0,MAX(0,MIN(1,(IF(BU98="L1",Parameter!$E$5,Parameter!$E$6+Parameter!$E$7)-(AZ98-AV98))/AV98)))</f>
        <v>1</v>
      </c>
      <c r="BB98" s="55" t="str">
        <f aca="false">IF(AF98&lt;=0,"",IF(BU98="Aussen","Aussenlager",IF(BU98="-","Nicht im Lift",IF(AK98&gt;=1,"Lift",IF(AK98&lt;=0,"Aussenlager","teilweise")))))</f>
        <v>Lift</v>
      </c>
      <c r="BC98" s="55" t="str">
        <f aca="false">IF(AN98&lt;=0,"",IF(BU98="Aussen","Aussenlager",IF(BU98="-","Nicht im Lift",IF(AS98&gt;=1,"Lift",IF(AS98&lt;=0,"Aussenlager","teilweise")))))</f>
        <v>Lift</v>
      </c>
      <c r="BD98" s="55" t="str">
        <f aca="false">IF(AV98&lt;=0,"",IF(BU98="Aussen","Aussenlager",IF(BU98="-","Nicht im Lift",IF(BA98&gt;=1,"Lift",IF(BA98&lt;=0,"Aussenlager","teilweise")))))</f>
        <v>Lift</v>
      </c>
      <c r="BE98" s="55" t="str">
        <f aca="false">IF(A98="","",IF(BN98=1,"Neu; ","")&amp;IF(AND(BN98=0,BI98&lt;0),"negativer Bestand (Export "&amp;BI98&amp;"); ","")&amp;IF(I98&lt;=0,"Kein Verbrauch; ","")&amp;IF(CD98&gt;0,"Lift "&amp;U98&amp;" lt. Liftbericht (Fach "&amp;V98&amp;" Stk); ",IF(BR98=1,"Lose – Fläche geschätzt; ",""))&amp;IF(G98&gt;AP98,"Überbestand "&amp;ROUND(G98-AP98,0)&amp;" Stk / CHF "&amp;ROUND((G98-AP98)*F98,0)&amp;"; ","")&amp;IF(AND(BW98=1,BX98&lt;BY98),"MAX &lt; MB+LG; ","")&amp;IF(AND(CC98&gt;0,CB98*10&gt;CC98),"zu hoch für Tablar; ","")&amp;IF(AND(BN98=0,OR(BW98=1,Y98&lt;&gt;"",S98&lt;&gt;"",T98&lt;&gt;"",Z98&lt;&gt;"")),"manuell übersteuert; ","")&amp;IF(AND(BR98=0,Q98=0),"Gebinde unbekannt / Stellmass fehlt; ","")&amp;IF(AND(BR98=0,N(T98)&lt;=0,N(P98)&lt;=0),"Menge pro Gebinde fehlt (Ist = 1 Gebinde); ","")&amp;BM98)</f>
        <v/>
      </c>
      <c r="BF98" s="55"/>
      <c r="BG98" s="55"/>
      <c r="BH98" s="62"/>
      <c r="BI98" s="57" t="n">
        <v>38</v>
      </c>
      <c r="BJ98" s="57" t="n">
        <v>13</v>
      </c>
      <c r="BK98" s="56" t="n">
        <v>2394.26</v>
      </c>
      <c r="BL98" s="57" t="n">
        <v>66</v>
      </c>
      <c r="BM98" s="55"/>
      <c r="BN98" s="60" t="n">
        <v>0</v>
      </c>
      <c r="BO98" s="60" t="n">
        <v>98</v>
      </c>
      <c r="BP98" s="55" t="str">
        <f aca="false">IF(S98&lt;&gt;"",UPPER(TRIM(S98)),IF(O98="","LOSE",O98))</f>
        <v>S51</v>
      </c>
      <c r="BQ98" s="57" t="n">
        <f aca="false">IF(BP98="LOSE",1,IF(N(T98)&gt;0,T98,IF(N(P98)&gt;0,P98,MAX(1,G98))))</f>
        <v>34</v>
      </c>
      <c r="BR98" s="60" t="n">
        <f aca="false">IF(BP98="LOSE",1,0)</f>
        <v>0</v>
      </c>
      <c r="BS98" s="59" t="n">
        <f aca="false">IF(BR98=0,0,IF(N(R98)&gt;0,R98,IFERROR(VLOOKUP(D98,Parameter!$A$35:$C$64,3,0)+0,0)))</f>
        <v>0</v>
      </c>
      <c r="BT98" s="55" t="n">
        <f aca="false">IF(Y98&lt;&gt;"",Y98,X98)</f>
        <v>3</v>
      </c>
      <c r="BU98" s="55" t="str">
        <f aca="false">IF(BT98=1,"L1",IF(OR(BT98=2,BT98=3),"L23",IF(BT98="Aussen","Aussen","-")))</f>
        <v>L23</v>
      </c>
      <c r="BV98" s="66" t="n">
        <f aca="false">IF(N(Z98)&gt;0,Z98,0)</f>
        <v>0</v>
      </c>
      <c r="BW98" s="60" t="n">
        <f aca="false">IF(ISNUMBER(AC98),1,0)</f>
        <v>0</v>
      </c>
      <c r="BX98" s="57" t="n">
        <f aca="false">N(AC98)</f>
        <v>0</v>
      </c>
      <c r="BY98" s="57" t="n">
        <f aca="false">N(L98)+N(M98)</f>
        <v>55</v>
      </c>
      <c r="BZ98" s="57" t="n">
        <f aca="false">ROUNDUP(G98/BQ98,0)</f>
        <v>2</v>
      </c>
      <c r="CA98" s="57" t="n">
        <f aca="false">ROUNDUP(BX98/BQ98,0)</f>
        <v>0</v>
      </c>
      <c r="CB98" s="60" t="n">
        <f aca="false">IF(BR98=1,0,IFERROR(VLOOKUP(BP98,'Gebinde-Kategorie'!$A$5:$M$45,5,0)+0,0))</f>
        <v>11</v>
      </c>
      <c r="CC98" s="60" t="n">
        <f aca="false">IFERROR(IF(OR(BT98=1,BT98=2,BT98=3),N(INDEX(Parameter!$I$5:$I$7,BT98)),0),0)</f>
        <v>0</v>
      </c>
      <c r="CD98" s="59" t="n">
        <f aca="false">IF(AND(Parameter!$B$21="Ja",ISNUMBER(U98),N(V98)&gt;0),IFERROR(N(INDEX(Parameter!$L$5:$L$7,U98))*INDEX(Parameter!$E$5:$E$7,U98)*V98/SUMIFS($V$7:$V$1576,$U$7:$U$1576,U98),0),0)</f>
        <v>0</v>
      </c>
    </row>
    <row r="99" customFormat="false" ht="15" hidden="false" customHeight="false" outlineLevel="0" collapsed="false">
      <c r="A99" s="55" t="s">
        <v>400</v>
      </c>
      <c r="B99" s="55" t="s">
        <v>401</v>
      </c>
      <c r="C99" s="55" t="s">
        <v>160</v>
      </c>
      <c r="D99" s="55" t="s">
        <v>168</v>
      </c>
      <c r="E99" s="55" t="s">
        <v>210</v>
      </c>
      <c r="F99" s="56" t="n">
        <v>198.42</v>
      </c>
      <c r="G99" s="57" t="n">
        <f aca="false">MAX(0,IF(AND(Parameter!$B$21="Ja",ISNUMBER(W99)),W99,IF(Parameter!$B$20="Jahresanfang 2025 + Export",BJ99+BI99,BI99)))</f>
        <v>12</v>
      </c>
      <c r="H99" s="57" t="n">
        <f aca="false">G99*F99</f>
        <v>2381.04</v>
      </c>
      <c r="I99" s="57" t="n">
        <f aca="false">BL99*Parameter!$B$18</f>
        <v>24</v>
      </c>
      <c r="J99" s="58" t="n">
        <v>7</v>
      </c>
      <c r="K99" s="59" t="n">
        <v>3.42857142857143</v>
      </c>
      <c r="L99" s="57" t="n">
        <v>3</v>
      </c>
      <c r="M99" s="57" t="n">
        <v>15</v>
      </c>
      <c r="N99" s="60" t="n">
        <v>56</v>
      </c>
      <c r="O99" s="55" t="s">
        <v>293</v>
      </c>
      <c r="P99" s="57" t="n">
        <v>12</v>
      </c>
      <c r="Q99" s="60" t="n">
        <f aca="false">IF(BR99=1,0,IFERROR(VLOOKUP(BP99,'Gebinde-Kategorie'!$A$5:$M$45,13,0)+0,0))</f>
        <v>26</v>
      </c>
      <c r="R99" s="61"/>
      <c r="S99" s="62"/>
      <c r="T99" s="62"/>
      <c r="U99" s="55"/>
      <c r="V99" s="57"/>
      <c r="W99" s="57"/>
      <c r="X99" s="55" t="n">
        <f aca="false">IF(A99="","",IF(AND(Parameter!$B$21="Ja",ISNUMBER(U99)),U99,IF(IFERROR(VLOOKUP(D99,Parameter!$A$35:$C$64,2,0),"Nein")="2+3",IF(ISNUMBER(SEARCH("grosser Artikel",BM99)),2,IFERROR(VLOOKUP(BP99,Parameter!$F$35:$G$64,2,0),2)),IF(OR(IFERROR(VLOOKUP(D99,Parameter!$A$35:$C$64,2,0),"Nein")="Nein",IFERROR(VLOOKUP(D99,Parameter!$A$35:$C$64,2,0),"Nein")=""),"-",VLOOKUP(D99,Parameter!$A$35:$C$64,2,0)))))</f>
        <v>3</v>
      </c>
      <c r="Y99" s="62"/>
      <c r="Z99" s="63"/>
      <c r="AA99" s="57" t="n">
        <f aca="false">AP99</f>
        <v>24</v>
      </c>
      <c r="AB99" s="57" t="n">
        <f aca="false">MAX(AP99,G99)</f>
        <v>24</v>
      </c>
      <c r="AC99" s="64"/>
      <c r="AD99" s="57" t="n">
        <f aca="false">IF(LEFT(Cockpit!$C$5,1)="A",G99,IF(BW99=1,BX99,IF(LEFT(Cockpit!$C$5,1)="B",AH99,MAX(AH99,G99))))</f>
        <v>12</v>
      </c>
      <c r="AE99" s="57" t="n">
        <f aca="false">IF(BR99=1,0,ROUNDUP(AD99/BQ99,0))</f>
        <v>1</v>
      </c>
      <c r="AF99" s="59" t="n">
        <f aca="false">IF(CD99&gt;0,CD99*MAX(1,AD99/V99),IF(BR99=1,IF(AD99&lt;=0,0,BS99*MAX(1,IF(G99&gt;0,AD99/G99,1))),IF(Q99&gt;0,AE99/Q99,0))/MAX(0.1,N(Parameter!$M$21)))</f>
        <v>0.0384615384615385</v>
      </c>
      <c r="AG99" s="57" t="n">
        <f aca="false">AD99*F99</f>
        <v>2381.04</v>
      </c>
      <c r="AH99" s="57" t="n">
        <f aca="false">ROUNDUP(MAX(I99/IF(BV99&gt;0,BV99,MAX(0.1,N(Cockpit!$C$6))),BY99)/BQ99,0)*BQ99</f>
        <v>24</v>
      </c>
      <c r="AI99" s="58" t="n">
        <f aca="false">IF(AF99&gt;0,I99/AF99,-1)</f>
        <v>624</v>
      </c>
      <c r="AJ99" s="58" t="n">
        <f aca="false">IF(AND(OR(BU99="L1",BU99="L23"),AF99&gt;0),SUMIFS($AF$7:$AF$1576,$BU$7:$BU$1576,BU99,$AI$7:$AI$1576,"&gt;"&amp;AI99)+SUMIFS($AF$7:$AF$1576,$BU$7:$BU$1576,BU99,$AI$7:$AI$1576,AI99,$BO$7:$BO$1576,"&lt;="&amp;BO99),"")</f>
        <v>11.7401199283808</v>
      </c>
      <c r="AK99" s="65" t="n">
        <f aca="false">IF(AJ99="",0,MAX(0,MIN(1,(IF(BU99="L1",Parameter!$E$5,Parameter!$E$6+Parameter!$E$7)-(AJ99-AF99))/AF99)))</f>
        <v>1</v>
      </c>
      <c r="AL99" s="57" t="n">
        <f aca="false">IF(LEFT(Cockpit!$I$5,1)="A",G99,IF(BW99=1,BX99,IF(LEFT(Cockpit!$I$5,1)="B",AP99,MAX(AP99,G99))))</f>
        <v>24</v>
      </c>
      <c r="AM99" s="57" t="n">
        <f aca="false">IF(BR99=1,0,ROUNDUP(AL99/BQ99,0))</f>
        <v>2</v>
      </c>
      <c r="AN99" s="59" t="n">
        <f aca="false">IF(CD99&gt;0,CD99*MAX(1,AL99/V99),IF(BR99=1,IF(AL99&lt;=0,0,BS99*MAX(1,IF(G99&gt;0,AL99/G99,1))),IF(Q99&gt;0,AM99/Q99,0))/MAX(0.1,N(Parameter!$M$21)))</f>
        <v>0.0769230769230769</v>
      </c>
      <c r="AO99" s="57" t="n">
        <f aca="false">AL99*F99</f>
        <v>4762.08</v>
      </c>
      <c r="AP99" s="57" t="n">
        <f aca="false">ROUNDUP(MAX(I99/IF(BV99&gt;0,BV99,MAX(0.1,N(Cockpit!$I$6))),BY99)/BQ99,0)*BQ99</f>
        <v>24</v>
      </c>
      <c r="AQ99" s="58" t="n">
        <f aca="false">IF(AN99&gt;0,I99/AN99,-1)</f>
        <v>312</v>
      </c>
      <c r="AR99" s="58" t="n">
        <f aca="false">IF(AND(OR(BU99="L1",BU99="L23"),AN99&gt;0),SUMIFS($AN$7:$AN$1576,$BU$7:$BU$1576,BU99,$AQ$7:$AQ$1576,"&gt;"&amp;AQ99)+SUMIFS($AN$7:$AN$1576,$BU$7:$BU$1576,BU99,$AQ$7:$AQ$1576,AQ99,$BO$7:$BO$1576,"&lt;="&amp;BO99),"")</f>
        <v>43.4078452106825</v>
      </c>
      <c r="AS99" s="65" t="n">
        <f aca="false">IF(AR99="",0,MAX(0,MIN(1,(IF(BU99="L1",Parameter!$E$5,Parameter!$E$6+Parameter!$E$7)-(AR99-AN99))/AN99)))</f>
        <v>1</v>
      </c>
      <c r="AT99" s="57" t="n">
        <f aca="false">IF(LEFT(Cockpit!$O$5,1)="A",G99,IF(BW99=1,BX99,IF(LEFT(Cockpit!$O$5,1)="B",AX99,MAX(AX99,G99))))</f>
        <v>24</v>
      </c>
      <c r="AU99" s="57" t="n">
        <f aca="false">IF(BR99=1,0,ROUNDUP(AT99/BQ99,0))</f>
        <v>2</v>
      </c>
      <c r="AV99" s="59" t="n">
        <f aca="false">IF(CD99&gt;0,CD99*MAX(1,AT99/V99),IF(BR99=1,IF(AT99&lt;=0,0,BS99*MAX(1,IF(G99&gt;0,AT99/G99,1))),IF(Q99&gt;0,AU99/Q99,0))/MAX(0.1,N(Parameter!$M$21)))</f>
        <v>0.0769230769230769</v>
      </c>
      <c r="AW99" s="57" t="n">
        <f aca="false">AT99*F99</f>
        <v>4762.08</v>
      </c>
      <c r="AX99" s="57" t="n">
        <f aca="false">ROUNDUP(MAX(I99/IF(BV99&gt;0,BV99,MAX(0.1,N(Cockpit!$O$6))),BY99)/BQ99,0)*BQ99</f>
        <v>24</v>
      </c>
      <c r="AY99" s="58" t="n">
        <f aca="false">IF(AV99&gt;0,I99/AV99,-1)</f>
        <v>312</v>
      </c>
      <c r="AZ99" s="58" t="n">
        <f aca="false">IF(AND(OR(BU99="L1",BU99="L23"),AV99&gt;0),SUMIFS($AV$7:$AV$1576,$BU$7:$BU$1576,BU99,$AY$7:$AY$1576,"&gt;"&amp;AY99)+SUMIFS($AV$7:$AV$1576,$BU$7:$BU$1576,BU99,$AY$7:$AY$1576,AY99,$BO$7:$BO$1576,"&lt;="&amp;BO99),"")</f>
        <v>39.655923798761</v>
      </c>
      <c r="BA99" s="65" t="n">
        <f aca="false">IF(AZ99="",0,MAX(0,MIN(1,(IF(BU99="L1",Parameter!$E$5,Parameter!$E$6+Parameter!$E$7)-(AZ99-AV99))/AV99)))</f>
        <v>1</v>
      </c>
      <c r="BB99" s="55" t="str">
        <f aca="false">IF(AF99&lt;=0,"",IF(BU99="Aussen","Aussenlager",IF(BU99="-","Nicht im Lift",IF(AK99&gt;=1,"Lift",IF(AK99&lt;=0,"Aussenlager","teilweise")))))</f>
        <v>Lift</v>
      </c>
      <c r="BC99" s="55" t="str">
        <f aca="false">IF(AN99&lt;=0,"",IF(BU99="Aussen","Aussenlager",IF(BU99="-","Nicht im Lift",IF(AS99&gt;=1,"Lift",IF(AS99&lt;=0,"Aussenlager","teilweise")))))</f>
        <v>Lift</v>
      </c>
      <c r="BD99" s="55" t="str">
        <f aca="false">IF(AV99&lt;=0,"",IF(BU99="Aussen","Aussenlager",IF(BU99="-","Nicht im Lift",IF(BA99&gt;=1,"Lift",IF(BA99&lt;=0,"Aussenlager","teilweise")))))</f>
        <v>Lift</v>
      </c>
      <c r="BE99" s="55" t="str">
        <f aca="false">IF(A99="","",IF(BN99=1,"Neu; ","")&amp;IF(AND(BN99=0,BI99&lt;0),"negativer Bestand (Export "&amp;BI99&amp;"); ","")&amp;IF(I99&lt;=0,"Kein Verbrauch; ","")&amp;IF(CD99&gt;0,"Lift "&amp;U99&amp;" lt. Liftbericht (Fach "&amp;V99&amp;" Stk); ",IF(BR99=1,"Lose – Fläche geschätzt; ",""))&amp;IF(G99&gt;AP99,"Überbestand "&amp;ROUND(G99-AP99,0)&amp;" Stk / CHF "&amp;ROUND((G99-AP99)*F99,0)&amp;"; ","")&amp;IF(AND(BW99=1,BX99&lt;BY99),"MAX &lt; MB+LG; ","")&amp;IF(AND(CC99&gt;0,CB99*10&gt;CC99),"zu hoch für Tablar; ","")&amp;IF(AND(BN99=0,OR(BW99=1,Y99&lt;&gt;"",S99&lt;&gt;"",T99&lt;&gt;"",Z99&lt;&gt;"")),"manuell übersteuert; ","")&amp;IF(AND(BR99=0,Q99=0),"Gebinde unbekannt / Stellmass fehlt; ","")&amp;IF(AND(BR99=0,N(T99)&lt;=0,N(P99)&lt;=0),"Menge pro Gebinde fehlt (Ist = 1 Gebinde); ","")&amp;BM99)</f>
        <v/>
      </c>
      <c r="BF99" s="55"/>
      <c r="BG99" s="55"/>
      <c r="BH99" s="62"/>
      <c r="BI99" s="57" t="n">
        <v>12</v>
      </c>
      <c r="BJ99" s="57" t="n">
        <v>0</v>
      </c>
      <c r="BK99" s="56" t="n">
        <v>2381.04</v>
      </c>
      <c r="BL99" s="57" t="n">
        <v>24</v>
      </c>
      <c r="BM99" s="55"/>
      <c r="BN99" s="60" t="n">
        <v>0</v>
      </c>
      <c r="BO99" s="60" t="n">
        <v>99</v>
      </c>
      <c r="BP99" s="55" t="str">
        <f aca="false">IF(S99&lt;&gt;"",UPPER(TRIM(S99)),IF(O99="","LOSE",O99))</f>
        <v>S51</v>
      </c>
      <c r="BQ99" s="57" t="n">
        <f aca="false">IF(BP99="LOSE",1,IF(N(T99)&gt;0,T99,IF(N(P99)&gt;0,P99,MAX(1,G99))))</f>
        <v>12</v>
      </c>
      <c r="BR99" s="60" t="n">
        <f aca="false">IF(BP99="LOSE",1,0)</f>
        <v>0</v>
      </c>
      <c r="BS99" s="59" t="n">
        <f aca="false">IF(BR99=0,0,IF(N(R99)&gt;0,R99,IFERROR(VLOOKUP(D99,Parameter!$A$35:$C$64,3,0)+0,0)))</f>
        <v>0</v>
      </c>
      <c r="BT99" s="55" t="n">
        <f aca="false">IF(Y99&lt;&gt;"",Y99,X99)</f>
        <v>3</v>
      </c>
      <c r="BU99" s="55" t="str">
        <f aca="false">IF(BT99=1,"L1",IF(OR(BT99=2,BT99=3),"L23",IF(BT99="Aussen","Aussen","-")))</f>
        <v>L23</v>
      </c>
      <c r="BV99" s="66" t="n">
        <f aca="false">IF(N(Z99)&gt;0,Z99,0)</f>
        <v>0</v>
      </c>
      <c r="BW99" s="60" t="n">
        <f aca="false">IF(ISNUMBER(AC99),1,0)</f>
        <v>0</v>
      </c>
      <c r="BX99" s="57" t="n">
        <f aca="false">N(AC99)</f>
        <v>0</v>
      </c>
      <c r="BY99" s="57" t="n">
        <f aca="false">N(L99)+N(M99)</f>
        <v>18</v>
      </c>
      <c r="BZ99" s="57" t="n">
        <f aca="false">ROUNDUP(G99/BQ99,0)</f>
        <v>1</v>
      </c>
      <c r="CA99" s="57" t="n">
        <f aca="false">ROUNDUP(BX99/BQ99,0)</f>
        <v>0</v>
      </c>
      <c r="CB99" s="60" t="n">
        <f aca="false">IF(BR99=1,0,IFERROR(VLOOKUP(BP99,'Gebinde-Kategorie'!$A$5:$M$45,5,0)+0,0))</f>
        <v>11</v>
      </c>
      <c r="CC99" s="60" t="n">
        <f aca="false">IFERROR(IF(OR(BT99=1,BT99=2,BT99=3),N(INDEX(Parameter!$I$5:$I$7,BT99)),0),0)</f>
        <v>0</v>
      </c>
      <c r="CD99" s="59" t="n">
        <f aca="false">IF(AND(Parameter!$B$21="Ja",ISNUMBER(U99),N(V99)&gt;0),IFERROR(N(INDEX(Parameter!$L$5:$L$7,U99))*INDEX(Parameter!$E$5:$E$7,U99)*V99/SUMIFS($V$7:$V$1576,$U$7:$U$1576,U99),0),0)</f>
        <v>0</v>
      </c>
    </row>
    <row r="100" customFormat="false" ht="15" hidden="false" customHeight="false" outlineLevel="0" collapsed="false">
      <c r="A100" s="55" t="s">
        <v>402</v>
      </c>
      <c r="B100" s="55" t="s">
        <v>403</v>
      </c>
      <c r="C100" s="55" t="s">
        <v>160</v>
      </c>
      <c r="D100" s="55" t="s">
        <v>168</v>
      </c>
      <c r="E100" s="55" t="s">
        <v>210</v>
      </c>
      <c r="F100" s="56" t="n">
        <v>354.44</v>
      </c>
      <c r="G100" s="57" t="n">
        <f aca="false">MAX(0,IF(AND(Parameter!$B$21="Ja",ISNUMBER(W100)),W100,IF(Parameter!$B$20="Jahresanfang 2025 + Export",BJ100+BI100,BI100)))</f>
        <v>5</v>
      </c>
      <c r="H100" s="57" t="n">
        <f aca="false">G100*F100</f>
        <v>1772.2</v>
      </c>
      <c r="I100" s="57" t="n">
        <f aca="false">BL100*Parameter!$B$18</f>
        <v>177</v>
      </c>
      <c r="J100" s="58" t="n">
        <v>52.5</v>
      </c>
      <c r="K100" s="59" t="n">
        <v>3.37142857142857</v>
      </c>
      <c r="L100" s="57" t="n">
        <v>20</v>
      </c>
      <c r="M100" s="57" t="n">
        <v>35</v>
      </c>
      <c r="N100" s="60" t="n">
        <v>84</v>
      </c>
      <c r="O100" s="55" t="s">
        <v>251</v>
      </c>
      <c r="P100" s="57" t="n">
        <v>20</v>
      </c>
      <c r="Q100" s="60" t="n">
        <f aca="false">IF(BR100=1,0,IFERROR(VLOOKUP(BP100,'Gebinde-Kategorie'!$A$5:$M$45,13,0)+0,0))</f>
        <v>6</v>
      </c>
      <c r="R100" s="61"/>
      <c r="S100" s="62"/>
      <c r="T100" s="62"/>
      <c r="U100" s="55"/>
      <c r="V100" s="57"/>
      <c r="W100" s="57"/>
      <c r="X100" s="55" t="n">
        <f aca="false">IF(A100="","",IF(AND(Parameter!$B$21="Ja",ISNUMBER(U100)),U100,IF(IFERROR(VLOOKUP(D100,Parameter!$A$35:$C$64,2,0),"Nein")="2+3",IF(ISNUMBER(SEARCH("grosser Artikel",BM100)),2,IFERROR(VLOOKUP(BP100,Parameter!$F$35:$G$64,2,0),2)),IF(OR(IFERROR(VLOOKUP(D100,Parameter!$A$35:$C$64,2,0),"Nein")="Nein",IFERROR(VLOOKUP(D100,Parameter!$A$35:$C$64,2,0),"Nein")=""),"-",VLOOKUP(D100,Parameter!$A$35:$C$64,2,0)))))</f>
        <v>2</v>
      </c>
      <c r="Y100" s="62"/>
      <c r="Z100" s="63"/>
      <c r="AA100" s="57" t="n">
        <f aca="false">AP100</f>
        <v>100</v>
      </c>
      <c r="AB100" s="57" t="n">
        <f aca="false">MAX(AP100,G100)</f>
        <v>100</v>
      </c>
      <c r="AC100" s="64"/>
      <c r="AD100" s="57" t="n">
        <f aca="false">IF(LEFT(Cockpit!$C$5,1)="A",G100,IF(BW100=1,BX100,IF(LEFT(Cockpit!$C$5,1)="B",AH100,MAX(AH100,G100))))</f>
        <v>5</v>
      </c>
      <c r="AE100" s="57" t="n">
        <f aca="false">IF(BR100=1,0,ROUNDUP(AD100/BQ100,0))</f>
        <v>1</v>
      </c>
      <c r="AF100" s="59" t="n">
        <f aca="false">IF(CD100&gt;0,CD100*MAX(1,AD100/V100),IF(BR100=1,IF(AD100&lt;=0,0,BS100*MAX(1,IF(G100&gt;0,AD100/G100,1))),IF(Q100&gt;0,AE100/Q100,0))/MAX(0.1,N(Parameter!$M$21)))</f>
        <v>0.166666666666667</v>
      </c>
      <c r="AG100" s="57" t="n">
        <f aca="false">AD100*F100</f>
        <v>1772.2</v>
      </c>
      <c r="AH100" s="57" t="n">
        <f aca="false">ROUNDUP(MAX(I100/IF(BV100&gt;0,BV100,MAX(0.1,N(Cockpit!$C$6))),BY100)/BQ100,0)*BQ100</f>
        <v>100</v>
      </c>
      <c r="AI100" s="58" t="n">
        <f aca="false">IF(AF100&gt;0,I100/AF100,-1)</f>
        <v>1062</v>
      </c>
      <c r="AJ100" s="58" t="n">
        <f aca="false">IF(AND(OR(BU100="L1",BU100="L23"),AF100&gt;0),SUMIFS($AF$7:$AF$1576,$BU$7:$BU$1576,BU100,$AI$7:$AI$1576,"&gt;"&amp;AI100)+SUMIFS($AF$7:$AF$1576,$BU$7:$BU$1576,BU100,$AI$7:$AI$1576,AI100,$BO$7:$BO$1576,"&lt;="&amp;BO100),"")</f>
        <v>8.89668389581433</v>
      </c>
      <c r="AK100" s="65" t="n">
        <f aca="false">IF(AJ100="",0,MAX(0,MIN(1,(IF(BU100="L1",Parameter!$E$5,Parameter!$E$6+Parameter!$E$7)-(AJ100-AF100))/AF100)))</f>
        <v>1</v>
      </c>
      <c r="AL100" s="57" t="n">
        <f aca="false">IF(LEFT(Cockpit!$I$5,1)="A",G100,IF(BW100=1,BX100,IF(LEFT(Cockpit!$I$5,1)="B",AP100,MAX(AP100,G100))))</f>
        <v>100</v>
      </c>
      <c r="AM100" s="57" t="n">
        <f aca="false">IF(BR100=1,0,ROUNDUP(AL100/BQ100,0))</f>
        <v>5</v>
      </c>
      <c r="AN100" s="59" t="n">
        <f aca="false">IF(CD100&gt;0,CD100*MAX(1,AL100/V100),IF(BR100=1,IF(AL100&lt;=0,0,BS100*MAX(1,IF(G100&gt;0,AL100/G100,1))),IF(Q100&gt;0,AM100/Q100,0))/MAX(0.1,N(Parameter!$M$21)))</f>
        <v>0.833333333333333</v>
      </c>
      <c r="AO100" s="57" t="n">
        <f aca="false">AL100*F100</f>
        <v>35444</v>
      </c>
      <c r="AP100" s="57" t="n">
        <f aca="false">ROUNDUP(MAX(I100/IF(BV100&gt;0,BV100,MAX(0.1,N(Cockpit!$I$6))),BY100)/BQ100,0)*BQ100</f>
        <v>100</v>
      </c>
      <c r="AQ100" s="58" t="n">
        <f aca="false">IF(AN100&gt;0,I100/AN100,-1)</f>
        <v>212.4</v>
      </c>
      <c r="AR100" s="58" t="n">
        <f aca="false">IF(AND(OR(BU100="L1",BU100="L23"),AN100&gt;0),SUMIFS($AN$7:$AN$1576,$BU$7:$BU$1576,BU100,$AQ$7:$AQ$1576,"&gt;"&amp;AQ100)+SUMIFS($AN$7:$AN$1576,$BU$7:$BU$1576,BU100,$AQ$7:$AQ$1576,AQ100,$BO$7:$BO$1576,"&lt;="&amp;BO100),"")</f>
        <v>49.0981249309622</v>
      </c>
      <c r="AS100" s="65" t="n">
        <f aca="false">IF(AR100="",0,MAX(0,MIN(1,(IF(BU100="L1",Parameter!$E$5,Parameter!$E$6+Parameter!$E$7)-(AR100-AN100))/AN100)))</f>
        <v>1</v>
      </c>
      <c r="AT100" s="57" t="n">
        <f aca="false">IF(LEFT(Cockpit!$O$5,1)="A",G100,IF(BW100=1,BX100,IF(LEFT(Cockpit!$O$5,1)="B",AX100,MAX(AX100,G100))))</f>
        <v>60</v>
      </c>
      <c r="AU100" s="57" t="n">
        <f aca="false">IF(BR100=1,0,ROUNDUP(AT100/BQ100,0))</f>
        <v>3</v>
      </c>
      <c r="AV100" s="59" t="n">
        <f aca="false">IF(CD100&gt;0,CD100*MAX(1,AT100/V100),IF(BR100=1,IF(AT100&lt;=0,0,BS100*MAX(1,IF(G100&gt;0,AT100/G100,1))),IF(Q100&gt;0,AU100/Q100,0))/MAX(0.1,N(Parameter!$M$21)))</f>
        <v>0.5</v>
      </c>
      <c r="AW100" s="57" t="n">
        <f aca="false">AT100*F100</f>
        <v>21266.4</v>
      </c>
      <c r="AX100" s="57" t="n">
        <f aca="false">ROUNDUP(MAX(I100/IF(BV100&gt;0,BV100,MAX(0.1,N(Cockpit!$O$6))),BY100)/BQ100,0)*BQ100</f>
        <v>60</v>
      </c>
      <c r="AY100" s="58" t="n">
        <f aca="false">IF(AV100&gt;0,I100/AV100,-1)</f>
        <v>354</v>
      </c>
      <c r="AZ100" s="58" t="n">
        <f aca="false">IF(AND(OR(BU100="L1",BU100="L23"),AV100&gt;0),SUMIFS($AV$7:$AV$1576,$BU$7:$BU$1576,BU100,$AY$7:$AY$1576,"&gt;"&amp;AY100)+SUMIFS($AV$7:$AV$1576,$BU$7:$BU$1576,BU100,$AY$7:$AY$1576,AY100,$BO$7:$BO$1576,"&lt;="&amp;BO100),"")</f>
        <v>37.3968795097168</v>
      </c>
      <c r="BA100" s="65" t="n">
        <f aca="false">IF(AZ100="",0,MAX(0,MIN(1,(IF(BU100="L1",Parameter!$E$5,Parameter!$E$6+Parameter!$E$7)-(AZ100-AV100))/AV100)))</f>
        <v>1</v>
      </c>
      <c r="BB100" s="55" t="str">
        <f aca="false">IF(AF100&lt;=0,"",IF(BU100="Aussen","Aussenlager",IF(BU100="-","Nicht im Lift",IF(AK100&gt;=1,"Lift",IF(AK100&lt;=0,"Aussenlager","teilweise")))))</f>
        <v>Lift</v>
      </c>
      <c r="BC100" s="55" t="str">
        <f aca="false">IF(AN100&lt;=0,"",IF(BU100="Aussen","Aussenlager",IF(BU100="-","Nicht im Lift",IF(AS100&gt;=1,"Lift",IF(AS100&lt;=0,"Aussenlager","teilweise")))))</f>
        <v>Lift</v>
      </c>
      <c r="BD100" s="55" t="str">
        <f aca="false">IF(AV100&lt;=0,"",IF(BU100="Aussen","Aussenlager",IF(BU100="-","Nicht im Lift",IF(BA100&gt;=1,"Lift",IF(BA100&lt;=0,"Aussenlager","teilweise")))))</f>
        <v>Lift</v>
      </c>
      <c r="BE100" s="55" t="str">
        <f aca="false">IF(A100="","",IF(BN100=1,"Neu; ","")&amp;IF(AND(BN100=0,BI100&lt;0),"negativer Bestand (Export "&amp;BI100&amp;"); ","")&amp;IF(I100&lt;=0,"Kein Verbrauch; ","")&amp;IF(CD100&gt;0,"Lift "&amp;U100&amp;" lt. Liftbericht (Fach "&amp;V100&amp;" Stk); ",IF(BR100=1,"Lose – Fläche geschätzt; ",""))&amp;IF(G100&gt;AP100,"Überbestand "&amp;ROUND(G100-AP100,0)&amp;" Stk / CHF "&amp;ROUND((G100-AP100)*F100,0)&amp;"; ","")&amp;IF(AND(BW100=1,BX100&lt;BY100),"MAX &lt; MB+LG; ","")&amp;IF(AND(CC100&gt;0,CB100*10&gt;CC100),"zu hoch für Tablar; ","")&amp;IF(AND(BN100=0,OR(BW100=1,Y100&lt;&gt;"",S100&lt;&gt;"",T100&lt;&gt;"",Z100&lt;&gt;"")),"manuell übersteuert; ","")&amp;IF(AND(BR100=0,Q100=0),"Gebinde unbekannt / Stellmass fehlt; ","")&amp;IF(AND(BR100=0,N(T100)&lt;=0,N(P100)&lt;=0),"Menge pro Gebinde fehlt (Ist = 1 Gebinde); ","")&amp;BM100)</f>
        <v/>
      </c>
      <c r="BF100" s="55"/>
      <c r="BG100" s="55"/>
      <c r="BH100" s="62"/>
      <c r="BI100" s="57" t="n">
        <v>5</v>
      </c>
      <c r="BJ100" s="57" t="n">
        <v>20</v>
      </c>
      <c r="BK100" s="56" t="n">
        <v>2352.15000000003</v>
      </c>
      <c r="BL100" s="57" t="n">
        <v>177</v>
      </c>
      <c r="BM100" s="55"/>
      <c r="BN100" s="60" t="n">
        <v>0</v>
      </c>
      <c r="BO100" s="60" t="n">
        <v>100</v>
      </c>
      <c r="BP100" s="55" t="str">
        <f aca="false">IF(S100&lt;&gt;"",UPPER(TRIM(S100)),IF(O100="","LOSE",O100))</f>
        <v>S72</v>
      </c>
      <c r="BQ100" s="57" t="n">
        <f aca="false">IF(BP100="LOSE",1,IF(N(T100)&gt;0,T100,IF(N(P100)&gt;0,P100,MAX(1,G100))))</f>
        <v>20</v>
      </c>
      <c r="BR100" s="60" t="n">
        <f aca="false">IF(BP100="LOSE",1,0)</f>
        <v>0</v>
      </c>
      <c r="BS100" s="59" t="n">
        <f aca="false">IF(BR100=0,0,IF(N(R100)&gt;0,R100,IFERROR(VLOOKUP(D100,Parameter!$A$35:$C$64,3,0)+0,0)))</f>
        <v>0</v>
      </c>
      <c r="BT100" s="55" t="n">
        <f aca="false">IF(Y100&lt;&gt;"",Y100,X100)</f>
        <v>2</v>
      </c>
      <c r="BU100" s="55" t="str">
        <f aca="false">IF(BT100=1,"L1",IF(OR(BT100=2,BT100=3),"L23",IF(BT100="Aussen","Aussen","-")))</f>
        <v>L23</v>
      </c>
      <c r="BV100" s="66" t="n">
        <f aca="false">IF(N(Z100)&gt;0,Z100,0)</f>
        <v>0</v>
      </c>
      <c r="BW100" s="60" t="n">
        <f aca="false">IF(ISNUMBER(AC100),1,0)</f>
        <v>0</v>
      </c>
      <c r="BX100" s="57" t="n">
        <f aca="false">N(AC100)</f>
        <v>0</v>
      </c>
      <c r="BY100" s="57" t="n">
        <f aca="false">N(L100)+N(M100)</f>
        <v>55</v>
      </c>
      <c r="BZ100" s="57" t="n">
        <f aca="false">ROUNDUP(G100/BQ100,0)</f>
        <v>1</v>
      </c>
      <c r="CA100" s="57" t="n">
        <f aca="false">ROUNDUP(BX100/BQ100,0)</f>
        <v>0</v>
      </c>
      <c r="CB100" s="60" t="n">
        <f aca="false">IF(BR100=1,0,IFERROR(VLOOKUP(BP100,'Gebinde-Kategorie'!$A$5:$M$45,5,0)+0,0))</f>
        <v>40</v>
      </c>
      <c r="CC100" s="60" t="n">
        <f aca="false">IFERROR(IF(OR(BT100=1,BT100=2,BT100=3),N(INDEX(Parameter!$I$5:$I$7,BT100)),0),0)</f>
        <v>0</v>
      </c>
      <c r="CD100" s="59" t="n">
        <f aca="false">IF(AND(Parameter!$B$21="Ja",ISNUMBER(U100),N(V100)&gt;0),IFERROR(N(INDEX(Parameter!$L$5:$L$7,U100))*INDEX(Parameter!$E$5:$E$7,U100)*V100/SUMIFS($V$7:$V$1576,$U$7:$U$1576,U100),0),0)</f>
        <v>0</v>
      </c>
    </row>
    <row r="101" customFormat="false" ht="15" hidden="false" customHeight="false" outlineLevel="0" collapsed="false">
      <c r="A101" s="55" t="s">
        <v>404</v>
      </c>
      <c r="B101" s="55" t="s">
        <v>405</v>
      </c>
      <c r="C101" s="55" t="s">
        <v>160</v>
      </c>
      <c r="D101" s="55" t="s">
        <v>178</v>
      </c>
      <c r="E101" s="55" t="s">
        <v>210</v>
      </c>
      <c r="F101" s="56" t="n">
        <v>167.07</v>
      </c>
      <c r="G101" s="57" t="n">
        <f aca="false">MAX(0,IF(AND(Parameter!$B$21="Ja",ISNUMBER(W101)),W101,IF(Parameter!$B$20="Jahresanfang 2025 + Export",BJ101+BI101,BI101)))</f>
        <v>14</v>
      </c>
      <c r="H101" s="57" t="n">
        <f aca="false">G101*F101</f>
        <v>2338.98</v>
      </c>
      <c r="I101" s="57" t="n">
        <f aca="false">BL101*Parameter!$B$18</f>
        <v>6</v>
      </c>
      <c r="J101" s="58" t="n">
        <v>0</v>
      </c>
      <c r="K101" s="59" t="n">
        <v>0</v>
      </c>
      <c r="L101" s="57" t="n">
        <v>0</v>
      </c>
      <c r="M101" s="57" t="n">
        <v>5</v>
      </c>
      <c r="N101" s="60" t="n">
        <v>28</v>
      </c>
      <c r="O101" s="55" t="s">
        <v>293</v>
      </c>
      <c r="P101" s="57" t="n">
        <v>5</v>
      </c>
      <c r="Q101" s="60" t="n">
        <f aca="false">IF(BR101=1,0,IFERROR(VLOOKUP(BP101,'Gebinde-Kategorie'!$A$5:$M$45,13,0)+0,0))</f>
        <v>26</v>
      </c>
      <c r="R101" s="61"/>
      <c r="S101" s="62"/>
      <c r="T101" s="62"/>
      <c r="U101" s="55"/>
      <c r="V101" s="57"/>
      <c r="W101" s="57"/>
      <c r="X101" s="55" t="n">
        <f aca="false">IF(A101="","",IF(AND(Parameter!$B$21="Ja",ISNUMBER(U101)),U101,IF(IFERROR(VLOOKUP(D101,Parameter!$A$35:$C$64,2,0),"Nein")="2+3",IF(ISNUMBER(SEARCH("grosser Artikel",BM101)),2,IFERROR(VLOOKUP(BP101,Parameter!$F$35:$G$64,2,0),2)),IF(OR(IFERROR(VLOOKUP(D101,Parameter!$A$35:$C$64,2,0),"Nein")="Nein",IFERROR(VLOOKUP(D101,Parameter!$A$35:$C$64,2,0),"Nein")=""),"-",VLOOKUP(D101,Parameter!$A$35:$C$64,2,0)))))</f>
        <v>3</v>
      </c>
      <c r="Y101" s="62"/>
      <c r="Z101" s="63"/>
      <c r="AA101" s="57" t="n">
        <f aca="false">AP101</f>
        <v>5</v>
      </c>
      <c r="AB101" s="57" t="n">
        <f aca="false">MAX(AP101,G101)</f>
        <v>14</v>
      </c>
      <c r="AC101" s="64"/>
      <c r="AD101" s="57" t="n">
        <f aca="false">IF(LEFT(Cockpit!$C$5,1)="A",G101,IF(BW101=1,BX101,IF(LEFT(Cockpit!$C$5,1)="B",AH101,MAX(AH101,G101))))</f>
        <v>14</v>
      </c>
      <c r="AE101" s="57" t="n">
        <f aca="false">IF(BR101=1,0,ROUNDUP(AD101/BQ101,0))</f>
        <v>3</v>
      </c>
      <c r="AF101" s="59" t="n">
        <f aca="false">IF(CD101&gt;0,CD101*MAX(1,AD101/V101),IF(BR101=1,IF(AD101&lt;=0,0,BS101*MAX(1,IF(G101&gt;0,AD101/G101,1))),IF(Q101&gt;0,AE101/Q101,0))/MAX(0.1,N(Parameter!$M$21)))</f>
        <v>0.115384615384615</v>
      </c>
      <c r="AG101" s="57" t="n">
        <f aca="false">AD101*F101</f>
        <v>2338.98</v>
      </c>
      <c r="AH101" s="57" t="n">
        <f aca="false">ROUNDUP(MAX(I101/IF(BV101&gt;0,BV101,MAX(0.1,N(Cockpit!$C$6))),BY101)/BQ101,0)*BQ101</f>
        <v>5</v>
      </c>
      <c r="AI101" s="58" t="n">
        <f aca="false">IF(AF101&gt;0,I101/AF101,-1)</f>
        <v>52</v>
      </c>
      <c r="AJ101" s="58" t="n">
        <f aca="false">IF(AND(OR(BU101="L1",BU101="L23"),AF101&gt;0),SUMIFS($AF$7:$AF$1576,$BU$7:$BU$1576,BU101,$AI$7:$AI$1576,"&gt;"&amp;AI101)+SUMIFS($AF$7:$AF$1576,$BU$7:$BU$1576,BU101,$AI$7:$AI$1576,AI101,$BO$7:$BO$1576,"&lt;="&amp;BO101),"")</f>
        <v>25.2815560285126</v>
      </c>
      <c r="AK101" s="65" t="n">
        <f aca="false">IF(AJ101="",0,MAX(0,MIN(1,(IF(BU101="L1",Parameter!$E$5,Parameter!$E$6+Parameter!$E$7)-(AJ101-AF101))/AF101)))</f>
        <v>1</v>
      </c>
      <c r="AL101" s="57" t="n">
        <f aca="false">IF(LEFT(Cockpit!$I$5,1)="A",G101,IF(BW101=1,BX101,IF(LEFT(Cockpit!$I$5,1)="B",AP101,MAX(AP101,G101))))</f>
        <v>14</v>
      </c>
      <c r="AM101" s="57" t="n">
        <f aca="false">IF(BR101=1,0,ROUNDUP(AL101/BQ101,0))</f>
        <v>3</v>
      </c>
      <c r="AN101" s="59" t="n">
        <f aca="false">IF(CD101&gt;0,CD101*MAX(1,AL101/V101),IF(BR101=1,IF(AL101&lt;=0,0,BS101*MAX(1,IF(G101&gt;0,AL101/G101,1))),IF(Q101&gt;0,AM101/Q101,0))/MAX(0.1,N(Parameter!$M$21)))</f>
        <v>0.115384615384615</v>
      </c>
      <c r="AO101" s="57" t="n">
        <f aca="false">AL101*F101</f>
        <v>2338.98</v>
      </c>
      <c r="AP101" s="57" t="n">
        <f aca="false">ROUNDUP(MAX(I101/IF(BV101&gt;0,BV101,MAX(0.1,N(Cockpit!$I$6))),BY101)/BQ101,0)*BQ101</f>
        <v>5</v>
      </c>
      <c r="AQ101" s="58" t="n">
        <f aca="false">IF(AN101&gt;0,I101/AN101,-1)</f>
        <v>52</v>
      </c>
      <c r="AR101" s="58" t="n">
        <f aca="false">IF(AND(OR(BU101="L1",BU101="L23"),AN101&gt;0),SUMIFS($AN$7:$AN$1576,$BU$7:$BU$1576,BU101,$AQ$7:$AQ$1576,"&gt;"&amp;AQ101)+SUMIFS($AN$7:$AN$1576,$BU$7:$BU$1576,BU101,$AQ$7:$AQ$1576,AQ101,$BO$7:$BO$1576,"&lt;="&amp;BO101),"")</f>
        <v>81.8298704861317</v>
      </c>
      <c r="AS101" s="65" t="n">
        <f aca="false">IF(AR101="",0,MAX(0,MIN(1,(IF(BU101="L1",Parameter!$E$5,Parameter!$E$6+Parameter!$E$7)-(AR101-AN101))/AN101)))</f>
        <v>1</v>
      </c>
      <c r="AT101" s="57" t="n">
        <f aca="false">IF(LEFT(Cockpit!$O$5,1)="A",G101,IF(BW101=1,BX101,IF(LEFT(Cockpit!$O$5,1)="B",AX101,MAX(AX101,G101))))</f>
        <v>14</v>
      </c>
      <c r="AU101" s="57" t="n">
        <f aca="false">IF(BR101=1,0,ROUNDUP(AT101/BQ101,0))</f>
        <v>3</v>
      </c>
      <c r="AV101" s="59" t="n">
        <f aca="false">IF(CD101&gt;0,CD101*MAX(1,AT101/V101),IF(BR101=1,IF(AT101&lt;=0,0,BS101*MAX(1,IF(G101&gt;0,AT101/G101,1))),IF(Q101&gt;0,AU101/Q101,0))/MAX(0.1,N(Parameter!$M$21)))</f>
        <v>0.115384615384615</v>
      </c>
      <c r="AW101" s="57" t="n">
        <f aca="false">AT101*F101</f>
        <v>2338.98</v>
      </c>
      <c r="AX101" s="57" t="n">
        <f aca="false">ROUNDUP(MAX(I101/IF(BV101&gt;0,BV101,MAX(0.1,N(Cockpit!$O$6))),BY101)/BQ101,0)*BQ101</f>
        <v>5</v>
      </c>
      <c r="AY101" s="58" t="n">
        <f aca="false">IF(AV101&gt;0,I101/AV101,-1)</f>
        <v>52</v>
      </c>
      <c r="AZ101" s="58" t="n">
        <f aca="false">IF(AND(OR(BU101="L1",BU101="L23"),AV101&gt;0),SUMIFS($AV$7:$AV$1576,$BU$7:$BU$1576,BU101,$AY$7:$AY$1576,"&gt;"&amp;AY101)+SUMIFS($AV$7:$AV$1576,$BU$7:$BU$1576,BU101,$AY$7:$AY$1576,AY101,$BO$7:$BO$1576,"&lt;="&amp;BO101),"")</f>
        <v>78.2477542690154</v>
      </c>
      <c r="BA101" s="65" t="n">
        <f aca="false">IF(AZ101="",0,MAX(0,MIN(1,(IF(BU101="L1",Parameter!$E$5,Parameter!$E$6+Parameter!$E$7)-(AZ101-AV101))/AV101)))</f>
        <v>1</v>
      </c>
      <c r="BB101" s="55" t="str">
        <f aca="false">IF(AF101&lt;=0,"",IF(BU101="Aussen","Aussenlager",IF(BU101="-","Nicht im Lift",IF(AK101&gt;=1,"Lift",IF(AK101&lt;=0,"Aussenlager","teilweise")))))</f>
        <v>Lift</v>
      </c>
      <c r="BC101" s="55" t="str">
        <f aca="false">IF(AN101&lt;=0,"",IF(BU101="Aussen","Aussenlager",IF(BU101="-","Nicht im Lift",IF(AS101&gt;=1,"Lift",IF(AS101&lt;=0,"Aussenlager","teilweise")))))</f>
        <v>Lift</v>
      </c>
      <c r="BD101" s="55" t="str">
        <f aca="false">IF(AV101&lt;=0,"",IF(BU101="Aussen","Aussenlager",IF(BU101="-","Nicht im Lift",IF(BA101&gt;=1,"Lift",IF(BA101&lt;=0,"Aussenlager","teilweise")))))</f>
        <v>Lift</v>
      </c>
      <c r="BE101" s="55" t="str">
        <f aca="false">IF(A101="","",IF(BN101=1,"Neu; ","")&amp;IF(AND(BN101=0,BI101&lt;0),"negativer Bestand (Export "&amp;BI101&amp;"); ","")&amp;IF(I101&lt;=0,"Kein Verbrauch; ","")&amp;IF(CD101&gt;0,"Lift "&amp;U101&amp;" lt. Liftbericht (Fach "&amp;V101&amp;" Stk); ",IF(BR101=1,"Lose – Fläche geschätzt; ",""))&amp;IF(G101&gt;AP101,"Überbestand "&amp;ROUND(G101-AP101,0)&amp;" Stk / CHF "&amp;ROUND((G101-AP101)*F101,0)&amp;"; ","")&amp;IF(AND(BW101=1,BX101&lt;BY101),"MAX &lt; MB+LG; ","")&amp;IF(AND(CC101&gt;0,CB101*10&gt;CC101),"zu hoch für Tablar; ","")&amp;IF(AND(BN101=0,OR(BW101=1,Y101&lt;&gt;"",S101&lt;&gt;"",T101&lt;&gt;"",Z101&lt;&gt;"")),"manuell übersteuert; ","")&amp;IF(AND(BR101=0,Q101=0),"Gebinde unbekannt / Stellmass fehlt; ","")&amp;IF(AND(BR101=0,N(T101)&lt;=0,N(P101)&lt;=0),"Menge pro Gebinde fehlt (Ist = 1 Gebinde); ","")&amp;BM101)</f>
        <v>Überbestand 9 Stk / CHF 1504; </v>
      </c>
      <c r="BF101" s="55"/>
      <c r="BG101" s="55"/>
      <c r="BH101" s="62"/>
      <c r="BI101" s="57" t="n">
        <v>14</v>
      </c>
      <c r="BJ101" s="57" t="n">
        <v>0</v>
      </c>
      <c r="BK101" s="56" t="n">
        <v>2338.96</v>
      </c>
      <c r="BL101" s="57" t="n">
        <v>6</v>
      </c>
      <c r="BM101" s="55"/>
      <c r="BN101" s="60" t="n">
        <v>0</v>
      </c>
      <c r="BO101" s="60" t="n">
        <v>101</v>
      </c>
      <c r="BP101" s="55" t="str">
        <f aca="false">IF(S101&lt;&gt;"",UPPER(TRIM(S101)),IF(O101="","LOSE",O101))</f>
        <v>S51</v>
      </c>
      <c r="BQ101" s="57" t="n">
        <f aca="false">IF(BP101="LOSE",1,IF(N(T101)&gt;0,T101,IF(N(P101)&gt;0,P101,MAX(1,G101))))</f>
        <v>5</v>
      </c>
      <c r="BR101" s="60" t="n">
        <f aca="false">IF(BP101="LOSE",1,0)</f>
        <v>0</v>
      </c>
      <c r="BS101" s="59" t="n">
        <f aca="false">IF(BR101=0,0,IF(N(R101)&gt;0,R101,IFERROR(VLOOKUP(D101,Parameter!$A$35:$C$64,3,0)+0,0)))</f>
        <v>0</v>
      </c>
      <c r="BT101" s="55" t="n">
        <f aca="false">IF(Y101&lt;&gt;"",Y101,X101)</f>
        <v>3</v>
      </c>
      <c r="BU101" s="55" t="str">
        <f aca="false">IF(BT101=1,"L1",IF(OR(BT101=2,BT101=3),"L23",IF(BT101="Aussen","Aussen","-")))</f>
        <v>L23</v>
      </c>
      <c r="BV101" s="66" t="n">
        <f aca="false">IF(N(Z101)&gt;0,Z101,0)</f>
        <v>0</v>
      </c>
      <c r="BW101" s="60" t="n">
        <f aca="false">IF(ISNUMBER(AC101),1,0)</f>
        <v>0</v>
      </c>
      <c r="BX101" s="57" t="n">
        <f aca="false">N(AC101)</f>
        <v>0</v>
      </c>
      <c r="BY101" s="57" t="n">
        <f aca="false">N(L101)+N(M101)</f>
        <v>5</v>
      </c>
      <c r="BZ101" s="57" t="n">
        <f aca="false">ROUNDUP(G101/BQ101,0)</f>
        <v>3</v>
      </c>
      <c r="CA101" s="57" t="n">
        <f aca="false">ROUNDUP(BX101/BQ101,0)</f>
        <v>0</v>
      </c>
      <c r="CB101" s="60" t="n">
        <f aca="false">IF(BR101=1,0,IFERROR(VLOOKUP(BP101,'Gebinde-Kategorie'!$A$5:$M$45,5,0)+0,0))</f>
        <v>11</v>
      </c>
      <c r="CC101" s="60" t="n">
        <f aca="false">IFERROR(IF(OR(BT101=1,BT101=2,BT101=3),N(INDEX(Parameter!$I$5:$I$7,BT101)),0),0)</f>
        <v>0</v>
      </c>
      <c r="CD101" s="59" t="n">
        <f aca="false">IF(AND(Parameter!$B$21="Ja",ISNUMBER(U101),N(V101)&gt;0),IFERROR(N(INDEX(Parameter!$L$5:$L$7,U101))*INDEX(Parameter!$E$5:$E$7,U101)*V101/SUMIFS($V$7:$V$1576,$U$7:$U$1576,U101),0),0)</f>
        <v>0</v>
      </c>
    </row>
    <row r="102" customFormat="false" ht="15" hidden="false" customHeight="false" outlineLevel="0" collapsed="false">
      <c r="A102" s="55" t="s">
        <v>406</v>
      </c>
      <c r="B102" s="55" t="s">
        <v>407</v>
      </c>
      <c r="C102" s="55" t="s">
        <v>160</v>
      </c>
      <c r="D102" s="55" t="s">
        <v>168</v>
      </c>
      <c r="E102" s="55" t="s">
        <v>210</v>
      </c>
      <c r="F102" s="56" t="n">
        <v>178.31</v>
      </c>
      <c r="G102" s="57" t="n">
        <f aca="false">MAX(0,IF(AND(Parameter!$B$21="Ja",ISNUMBER(W102)),W102,IF(Parameter!$B$20="Jahresanfang 2025 + Export",BJ102+BI102,BI102)))</f>
        <v>13</v>
      </c>
      <c r="H102" s="57" t="n">
        <f aca="false">G102*F102</f>
        <v>2318.03</v>
      </c>
      <c r="I102" s="57" t="n">
        <f aca="false">BL102*Parameter!$B$18</f>
        <v>12</v>
      </c>
      <c r="J102" s="58" t="n">
        <v>12</v>
      </c>
      <c r="K102" s="59" t="n">
        <v>1</v>
      </c>
      <c r="L102" s="57" t="n">
        <v>0</v>
      </c>
      <c r="M102" s="57" t="n">
        <v>50</v>
      </c>
      <c r="N102" s="60" t="n">
        <v>14</v>
      </c>
      <c r="O102" s="55" t="s">
        <v>215</v>
      </c>
      <c r="P102" s="57" t="n">
        <v>15</v>
      </c>
      <c r="Q102" s="60" t="n">
        <f aca="false">IF(BR102=1,0,IFERROR(VLOOKUP(BP102,'Gebinde-Kategorie'!$A$5:$M$45,13,0)+0,0))</f>
        <v>3</v>
      </c>
      <c r="R102" s="61"/>
      <c r="S102" s="62"/>
      <c r="T102" s="62"/>
      <c r="U102" s="55"/>
      <c r="V102" s="57"/>
      <c r="W102" s="57"/>
      <c r="X102" s="55" t="n">
        <f aca="false">IF(A102="","",IF(AND(Parameter!$B$21="Ja",ISNUMBER(U102)),U102,IF(IFERROR(VLOOKUP(D102,Parameter!$A$35:$C$64,2,0),"Nein")="2+3",IF(ISNUMBER(SEARCH("grosser Artikel",BM102)),2,IFERROR(VLOOKUP(BP102,Parameter!$F$35:$G$64,2,0),2)),IF(OR(IFERROR(VLOOKUP(D102,Parameter!$A$35:$C$64,2,0),"Nein")="Nein",IFERROR(VLOOKUP(D102,Parameter!$A$35:$C$64,2,0),"Nein")=""),"-",VLOOKUP(D102,Parameter!$A$35:$C$64,2,0)))))</f>
        <v>2</v>
      </c>
      <c r="Y102" s="62"/>
      <c r="Z102" s="63"/>
      <c r="AA102" s="57" t="n">
        <f aca="false">AP102</f>
        <v>60</v>
      </c>
      <c r="AB102" s="57" t="n">
        <f aca="false">MAX(AP102,G102)</f>
        <v>60</v>
      </c>
      <c r="AC102" s="64"/>
      <c r="AD102" s="57" t="n">
        <f aca="false">IF(LEFT(Cockpit!$C$5,1)="A",G102,IF(BW102=1,BX102,IF(LEFT(Cockpit!$C$5,1)="B",AH102,MAX(AH102,G102))))</f>
        <v>13</v>
      </c>
      <c r="AE102" s="57" t="n">
        <f aca="false">IF(BR102=1,0,ROUNDUP(AD102/BQ102,0))</f>
        <v>1</v>
      </c>
      <c r="AF102" s="59" t="n">
        <f aca="false">IF(CD102&gt;0,CD102*MAX(1,AD102/V102),IF(BR102=1,IF(AD102&lt;=0,0,BS102*MAX(1,IF(G102&gt;0,AD102/G102,1))),IF(Q102&gt;0,AE102/Q102,0))/MAX(0.1,N(Parameter!$M$21)))</f>
        <v>0.333333333333333</v>
      </c>
      <c r="AG102" s="57" t="n">
        <f aca="false">AD102*F102</f>
        <v>2318.03</v>
      </c>
      <c r="AH102" s="57" t="n">
        <f aca="false">ROUNDUP(MAX(I102/IF(BV102&gt;0,BV102,MAX(0.1,N(Cockpit!$C$6))),BY102)/BQ102,0)*BQ102</f>
        <v>60</v>
      </c>
      <c r="AI102" s="58" t="n">
        <f aca="false">IF(AF102&gt;0,I102/AF102,-1)</f>
        <v>36</v>
      </c>
      <c r="AJ102" s="58" t="n">
        <f aca="false">IF(AND(OR(BU102="L1",BU102="L23"),AF102&gt;0),SUMIFS($AF$7:$AF$1576,$BU$7:$BU$1576,BU102,$AI$7:$AI$1576,"&gt;"&amp;AI102)+SUMIFS($AF$7:$AF$1576,$BU$7:$BU$1576,BU102,$AI$7:$AI$1576,AI102,$BO$7:$BO$1576,"&lt;="&amp;BO102),"")</f>
        <v>28.0136073105638</v>
      </c>
      <c r="AK102" s="65" t="n">
        <f aca="false">IF(AJ102="",0,MAX(0,MIN(1,(IF(BU102="L1",Parameter!$E$5,Parameter!$E$6+Parameter!$E$7)-(AJ102-AF102))/AF102)))</f>
        <v>1</v>
      </c>
      <c r="AL102" s="57" t="n">
        <f aca="false">IF(LEFT(Cockpit!$I$5,1)="A",G102,IF(BW102=1,BX102,IF(LEFT(Cockpit!$I$5,1)="B",AP102,MAX(AP102,G102))))</f>
        <v>60</v>
      </c>
      <c r="AM102" s="57" t="n">
        <f aca="false">IF(BR102=1,0,ROUNDUP(AL102/BQ102,0))</f>
        <v>4</v>
      </c>
      <c r="AN102" s="59" t="n">
        <f aca="false">IF(CD102&gt;0,CD102*MAX(1,AL102/V102),IF(BR102=1,IF(AL102&lt;=0,0,BS102*MAX(1,IF(G102&gt;0,AL102/G102,1))),IF(Q102&gt;0,AM102/Q102,0))/MAX(0.1,N(Parameter!$M$21)))</f>
        <v>1.33333333333333</v>
      </c>
      <c r="AO102" s="57" t="n">
        <f aca="false">AL102*F102</f>
        <v>10698.6</v>
      </c>
      <c r="AP102" s="57" t="n">
        <f aca="false">ROUNDUP(MAX(I102/IF(BV102&gt;0,BV102,MAX(0.1,N(Cockpit!$I$6))),BY102)/BQ102,0)*BQ102</f>
        <v>60</v>
      </c>
      <c r="AQ102" s="58" t="n">
        <f aca="false">IF(AN102&gt;0,I102/AN102,-1)</f>
        <v>9</v>
      </c>
      <c r="AR102" s="58" t="n">
        <f aca="false">IF(AND(OR(BU102="L1",BU102="L23"),AN102&gt;0),SUMIFS($AN$7:$AN$1576,$BU$7:$BU$1576,BU102,$AQ$7:$AQ$1576,"&gt;"&amp;AQ102)+SUMIFS($AN$7:$AN$1576,$BU$7:$BU$1576,BU102,$AQ$7:$AQ$1576,AQ102,$BO$7:$BO$1576,"&lt;="&amp;BO102),"")</f>
        <v>109.603973050234</v>
      </c>
      <c r="AS102" s="65" t="n">
        <f aca="false">IF(AR102="",0,MAX(0,MIN(1,(IF(BU102="L1",Parameter!$E$5,Parameter!$E$6+Parameter!$E$7)-(AR102-AN102))/AN102)))</f>
        <v>0</v>
      </c>
      <c r="AT102" s="57" t="n">
        <f aca="false">IF(LEFT(Cockpit!$O$5,1)="A",G102,IF(BW102=1,BX102,IF(LEFT(Cockpit!$O$5,1)="B",AX102,MAX(AX102,G102))))</f>
        <v>60</v>
      </c>
      <c r="AU102" s="57" t="n">
        <f aca="false">IF(BR102=1,0,ROUNDUP(AT102/BQ102,0))</f>
        <v>4</v>
      </c>
      <c r="AV102" s="59" t="n">
        <f aca="false">IF(CD102&gt;0,CD102*MAX(1,AT102/V102),IF(BR102=1,IF(AT102&lt;=0,0,BS102*MAX(1,IF(G102&gt;0,AT102/G102,1))),IF(Q102&gt;0,AU102/Q102,0))/MAX(0.1,N(Parameter!$M$21)))</f>
        <v>1.33333333333333</v>
      </c>
      <c r="AW102" s="57" t="n">
        <f aca="false">AT102*F102</f>
        <v>10698.6</v>
      </c>
      <c r="AX102" s="57" t="n">
        <f aca="false">ROUNDUP(MAX(I102/IF(BV102&gt;0,BV102,MAX(0.1,N(Cockpit!$O$6))),BY102)/BQ102,0)*BQ102</f>
        <v>60</v>
      </c>
      <c r="AY102" s="58" t="n">
        <f aca="false">IF(AV102&gt;0,I102/AV102,-1)</f>
        <v>9</v>
      </c>
      <c r="AZ102" s="58" t="n">
        <f aca="false">IF(AND(OR(BU102="L1",BU102="L23"),AV102&gt;0),SUMIFS($AV$7:$AV$1576,$BU$7:$BU$1576,BU102,$AY$7:$AY$1576,"&gt;"&amp;AY102)+SUMIFS($AV$7:$AV$1576,$BU$7:$BU$1576,BU102,$AY$7:$AY$1576,AY102,$BO$7:$BO$1576,"&lt;="&amp;BO102),"")</f>
        <v>99.6635234997847</v>
      </c>
      <c r="BA102" s="65" t="n">
        <f aca="false">IF(AZ102="",0,MAX(0,MIN(1,(IF(BU102="L1",Parameter!$E$5,Parameter!$E$6+Parameter!$E$7)-(AZ102-AV102))/AV102)))</f>
        <v>1</v>
      </c>
      <c r="BB102" s="55" t="str">
        <f aca="false">IF(AF102&lt;=0,"",IF(BU102="Aussen","Aussenlager",IF(BU102="-","Nicht im Lift",IF(AK102&gt;=1,"Lift",IF(AK102&lt;=0,"Aussenlager","teilweise")))))</f>
        <v>Lift</v>
      </c>
      <c r="BC102" s="55" t="str">
        <f aca="false">IF(AN102&lt;=0,"",IF(BU102="Aussen","Aussenlager",IF(BU102="-","Nicht im Lift",IF(AS102&gt;=1,"Lift",IF(AS102&lt;=0,"Aussenlager","teilweise")))))</f>
        <v>Aussenlager</v>
      </c>
      <c r="BD102" s="55" t="str">
        <f aca="false">IF(AV102&lt;=0,"",IF(BU102="Aussen","Aussenlager",IF(BU102="-","Nicht im Lift",IF(BA102&gt;=1,"Lift",IF(BA102&lt;=0,"Aussenlager","teilweise")))))</f>
        <v>Lift</v>
      </c>
      <c r="BE102" s="55" t="str">
        <f aca="false">IF(A102="","",IF(BN102=1,"Neu; ","")&amp;IF(AND(BN102=0,BI102&lt;0),"negativer Bestand (Export "&amp;BI102&amp;"); ","")&amp;IF(I102&lt;=0,"Kein Verbrauch; ","")&amp;IF(CD102&gt;0,"Lift "&amp;U102&amp;" lt. Liftbericht (Fach "&amp;V102&amp;" Stk); ",IF(BR102=1,"Lose – Fläche geschätzt; ",""))&amp;IF(G102&gt;AP102,"Überbestand "&amp;ROUND(G102-AP102,0)&amp;" Stk / CHF "&amp;ROUND((G102-AP102)*F102,0)&amp;"; ","")&amp;IF(AND(BW102=1,BX102&lt;BY102),"MAX &lt; MB+LG; ","")&amp;IF(AND(CC102&gt;0,CB102*10&gt;CC102),"zu hoch für Tablar; ","")&amp;IF(AND(BN102=0,OR(BW102=1,Y102&lt;&gt;"",S102&lt;&gt;"",T102&lt;&gt;"",Z102&lt;&gt;"")),"manuell übersteuert; ","")&amp;IF(AND(BR102=0,Q102=0),"Gebinde unbekannt / Stellmass fehlt; ","")&amp;IF(AND(BR102=0,N(T102)&lt;=0,N(P102)&lt;=0),"Menge pro Gebinde fehlt (Ist = 1 Gebinde); ","")&amp;BM102)</f>
        <v>grosser Artikel &amp; nicht im KTL</v>
      </c>
      <c r="BF102" s="55"/>
      <c r="BG102" s="55"/>
      <c r="BH102" s="62"/>
      <c r="BI102" s="57" t="n">
        <v>13</v>
      </c>
      <c r="BJ102" s="57" t="n">
        <v>4</v>
      </c>
      <c r="BK102" s="56" t="n">
        <v>2328.73</v>
      </c>
      <c r="BL102" s="57" t="n">
        <v>12</v>
      </c>
      <c r="BM102" s="55" t="s">
        <v>253</v>
      </c>
      <c r="BN102" s="60" t="n">
        <v>0</v>
      </c>
      <c r="BO102" s="60" t="n">
        <v>102</v>
      </c>
      <c r="BP102" s="55" t="str">
        <f aca="false">IF(S102&lt;&gt;"",UPPER(TRIM(S102)),IF(O102="","LOSE",O102))</f>
        <v>S81</v>
      </c>
      <c r="BQ102" s="57" t="n">
        <f aca="false">IF(BP102="LOSE",1,IF(N(T102)&gt;0,T102,IF(N(P102)&gt;0,P102,MAX(1,G102))))</f>
        <v>15</v>
      </c>
      <c r="BR102" s="60" t="n">
        <f aca="false">IF(BP102="LOSE",1,0)</f>
        <v>0</v>
      </c>
      <c r="BS102" s="59" t="n">
        <f aca="false">IF(BR102=0,0,IF(N(R102)&gt;0,R102,IFERROR(VLOOKUP(D102,Parameter!$A$35:$C$64,3,0)+0,0)))</f>
        <v>0</v>
      </c>
      <c r="BT102" s="55" t="n">
        <f aca="false">IF(Y102&lt;&gt;"",Y102,X102)</f>
        <v>2</v>
      </c>
      <c r="BU102" s="55" t="str">
        <f aca="false">IF(BT102=1,"L1",IF(OR(BT102=2,BT102=3),"L23",IF(BT102="Aussen","Aussen","-")))</f>
        <v>L23</v>
      </c>
      <c r="BV102" s="66" t="n">
        <f aca="false">IF(N(Z102)&gt;0,Z102,0)</f>
        <v>0</v>
      </c>
      <c r="BW102" s="60" t="n">
        <f aca="false">IF(ISNUMBER(AC102),1,0)</f>
        <v>0</v>
      </c>
      <c r="BX102" s="57" t="n">
        <f aca="false">N(AC102)</f>
        <v>0</v>
      </c>
      <c r="BY102" s="57" t="n">
        <f aca="false">N(L102)+N(M102)</f>
        <v>50</v>
      </c>
      <c r="BZ102" s="57" t="n">
        <f aca="false">ROUNDUP(G102/BQ102,0)</f>
        <v>1</v>
      </c>
      <c r="CA102" s="57" t="n">
        <f aca="false">ROUNDUP(BX102/BQ102,0)</f>
        <v>0</v>
      </c>
      <c r="CB102" s="60" t="n">
        <f aca="false">IF(BR102=1,0,IFERROR(VLOOKUP(BP102,'Gebinde-Kategorie'!$A$5:$M$45,5,0)+0,0))</f>
        <v>20</v>
      </c>
      <c r="CC102" s="60" t="n">
        <f aca="false">IFERROR(IF(OR(BT102=1,BT102=2,BT102=3),N(INDEX(Parameter!$I$5:$I$7,BT102)),0),0)</f>
        <v>0</v>
      </c>
      <c r="CD102" s="59" t="n">
        <f aca="false">IF(AND(Parameter!$B$21="Ja",ISNUMBER(U102),N(V102)&gt;0),IFERROR(N(INDEX(Parameter!$L$5:$L$7,U102))*INDEX(Parameter!$E$5:$E$7,U102)*V102/SUMIFS($V$7:$V$1576,$U$7:$U$1576,U102),0),0)</f>
        <v>0</v>
      </c>
    </row>
    <row r="103" customFormat="false" ht="15" hidden="false" customHeight="false" outlineLevel="0" collapsed="false">
      <c r="A103" s="55" t="s">
        <v>408</v>
      </c>
      <c r="B103" s="55" t="s">
        <v>409</v>
      </c>
      <c r="C103" s="55" t="s">
        <v>160</v>
      </c>
      <c r="D103" s="55" t="s">
        <v>168</v>
      </c>
      <c r="E103" s="55" t="s">
        <v>210</v>
      </c>
      <c r="F103" s="56" t="n">
        <v>305.49</v>
      </c>
      <c r="G103" s="57" t="n">
        <f aca="false">MAX(0,IF(AND(Parameter!$B$21="Ja",ISNUMBER(W103)),W103,IF(Parameter!$B$20="Jahresanfang 2025 + Export",BJ103+BI103,BI103)))</f>
        <v>5</v>
      </c>
      <c r="H103" s="57" t="n">
        <f aca="false">G103*F103</f>
        <v>1527.45</v>
      </c>
      <c r="I103" s="57" t="n">
        <f aca="false">BL103*Parameter!$B$18</f>
        <v>151</v>
      </c>
      <c r="J103" s="58" t="n">
        <v>41.5</v>
      </c>
      <c r="K103" s="59" t="n">
        <v>3.63855421686747</v>
      </c>
      <c r="L103" s="57" t="n">
        <v>15</v>
      </c>
      <c r="M103" s="57" t="n">
        <v>24</v>
      </c>
      <c r="N103" s="60" t="n">
        <v>28</v>
      </c>
      <c r="O103" s="55" t="s">
        <v>169</v>
      </c>
      <c r="P103" s="57" t="n">
        <v>40</v>
      </c>
      <c r="Q103" s="60" t="n">
        <f aca="false">IF(BR103=1,0,IFERROR(VLOOKUP(BP103,'Gebinde-Kategorie'!$A$5:$M$45,13,0)+0,0))</f>
        <v>6</v>
      </c>
      <c r="R103" s="61"/>
      <c r="S103" s="62"/>
      <c r="T103" s="62"/>
      <c r="U103" s="55"/>
      <c r="V103" s="57"/>
      <c r="W103" s="57"/>
      <c r="X103" s="55" t="n">
        <f aca="false">IF(A103="","",IF(AND(Parameter!$B$21="Ja",ISNUMBER(U103)),U103,IF(IFERROR(VLOOKUP(D103,Parameter!$A$35:$C$64,2,0),"Nein")="2+3",IF(ISNUMBER(SEARCH("grosser Artikel",BM103)),2,IFERROR(VLOOKUP(BP103,Parameter!$F$35:$G$64,2,0),2)),IF(OR(IFERROR(VLOOKUP(D103,Parameter!$A$35:$C$64,2,0),"Nein")="Nein",IFERROR(VLOOKUP(D103,Parameter!$A$35:$C$64,2,0),"Nein")=""),"-",VLOOKUP(D103,Parameter!$A$35:$C$64,2,0)))))</f>
        <v>2</v>
      </c>
      <c r="Y103" s="62"/>
      <c r="Z103" s="63"/>
      <c r="AA103" s="57" t="n">
        <f aca="false">AP103</f>
        <v>80</v>
      </c>
      <c r="AB103" s="57" t="n">
        <f aca="false">MAX(AP103,G103)</f>
        <v>80</v>
      </c>
      <c r="AC103" s="64"/>
      <c r="AD103" s="57" t="n">
        <f aca="false">IF(LEFT(Cockpit!$C$5,1)="A",G103,IF(BW103=1,BX103,IF(LEFT(Cockpit!$C$5,1)="B",AH103,MAX(AH103,G103))))</f>
        <v>5</v>
      </c>
      <c r="AE103" s="57" t="n">
        <f aca="false">IF(BR103=1,0,ROUNDUP(AD103/BQ103,0))</f>
        <v>1</v>
      </c>
      <c r="AF103" s="59" t="n">
        <f aca="false">IF(CD103&gt;0,CD103*MAX(1,AD103/V103),IF(BR103=1,IF(AD103&lt;=0,0,BS103*MAX(1,IF(G103&gt;0,AD103/G103,1))),IF(Q103&gt;0,AE103/Q103,0))/MAX(0.1,N(Parameter!$M$21)))</f>
        <v>0.166666666666667</v>
      </c>
      <c r="AG103" s="57" t="n">
        <f aca="false">AD103*F103</f>
        <v>1527.45</v>
      </c>
      <c r="AH103" s="57" t="n">
        <f aca="false">ROUNDUP(MAX(I103/IF(BV103&gt;0,BV103,MAX(0.1,N(Cockpit!$C$6))),BY103)/BQ103,0)*BQ103</f>
        <v>80</v>
      </c>
      <c r="AI103" s="58" t="n">
        <f aca="false">IF(AF103&gt;0,I103/AF103,-1)</f>
        <v>906</v>
      </c>
      <c r="AJ103" s="58" t="n">
        <f aca="false">IF(AND(OR(BU103="L1",BU103="L23"),AF103&gt;0),SUMIFS($AF$7:$AF$1576,$BU$7:$BU$1576,BU103,$AI$7:$AI$1576,"&gt;"&amp;AI103)+SUMIFS($AF$7:$AF$1576,$BU$7:$BU$1576,BU103,$AI$7:$AI$1576,AI103,$BO$7:$BO$1576,"&lt;="&amp;BO103),"")</f>
        <v>10.0059302050606</v>
      </c>
      <c r="AK103" s="65" t="n">
        <f aca="false">IF(AJ103="",0,MAX(0,MIN(1,(IF(BU103="L1",Parameter!$E$5,Parameter!$E$6+Parameter!$E$7)-(AJ103-AF103))/AF103)))</f>
        <v>1</v>
      </c>
      <c r="AL103" s="57" t="n">
        <f aca="false">IF(LEFT(Cockpit!$I$5,1)="A",G103,IF(BW103=1,BX103,IF(LEFT(Cockpit!$I$5,1)="B",AP103,MAX(AP103,G103))))</f>
        <v>80</v>
      </c>
      <c r="AM103" s="57" t="n">
        <f aca="false">IF(BR103=1,0,ROUNDUP(AL103/BQ103,0))</f>
        <v>2</v>
      </c>
      <c r="AN103" s="59" t="n">
        <f aca="false">IF(CD103&gt;0,CD103*MAX(1,AL103/V103),IF(BR103=1,IF(AL103&lt;=0,0,BS103*MAX(1,IF(G103&gt;0,AL103/G103,1))),IF(Q103&gt;0,AM103/Q103,0))/MAX(0.1,N(Parameter!$M$21)))</f>
        <v>0.333333333333333</v>
      </c>
      <c r="AO103" s="57" t="n">
        <f aca="false">AL103*F103</f>
        <v>24439.2</v>
      </c>
      <c r="AP103" s="57" t="n">
        <f aca="false">ROUNDUP(MAX(I103/IF(BV103&gt;0,BV103,MAX(0.1,N(Cockpit!$I$6))),BY103)/BQ103,0)*BQ103</f>
        <v>80</v>
      </c>
      <c r="AQ103" s="58" t="n">
        <f aca="false">IF(AN103&gt;0,I103/AN103,-1)</f>
        <v>453</v>
      </c>
      <c r="AR103" s="58" t="n">
        <f aca="false">IF(AND(OR(BU103="L1",BU103="L23"),AN103&gt;0),SUMIFS($AN$7:$AN$1576,$BU$7:$BU$1576,BU103,$AQ$7:$AQ$1576,"&gt;"&amp;AQ103)+SUMIFS($AN$7:$AN$1576,$BU$7:$BU$1576,BU103,$AQ$7:$AQ$1576,AQ103,$BO$7:$BO$1576,"&lt;="&amp;BO103),"")</f>
        <v>35.5808981480832</v>
      </c>
      <c r="AS103" s="65" t="n">
        <f aca="false">IF(AR103="",0,MAX(0,MIN(1,(IF(BU103="L1",Parameter!$E$5,Parameter!$E$6+Parameter!$E$7)-(AR103-AN103))/AN103)))</f>
        <v>1</v>
      </c>
      <c r="AT103" s="57" t="n">
        <f aca="false">IF(LEFT(Cockpit!$O$5,1)="A",G103,IF(BW103=1,BX103,IF(LEFT(Cockpit!$O$5,1)="B",AX103,MAX(AX103,G103))))</f>
        <v>80</v>
      </c>
      <c r="AU103" s="57" t="n">
        <f aca="false">IF(BR103=1,0,ROUNDUP(AT103/BQ103,0))</f>
        <v>2</v>
      </c>
      <c r="AV103" s="59" t="n">
        <f aca="false">IF(CD103&gt;0,CD103*MAX(1,AT103/V103),IF(BR103=1,IF(AT103&lt;=0,0,BS103*MAX(1,IF(G103&gt;0,AT103/G103,1))),IF(Q103&gt;0,AU103/Q103,0))/MAX(0.1,N(Parameter!$M$21)))</f>
        <v>0.333333333333333</v>
      </c>
      <c r="AW103" s="57" t="n">
        <f aca="false">AT103*F103</f>
        <v>24439.2</v>
      </c>
      <c r="AX103" s="57" t="n">
        <f aca="false">ROUNDUP(MAX(I103/IF(BV103&gt;0,BV103,MAX(0.1,N(Cockpit!$O$6))),BY103)/BQ103,0)*BQ103</f>
        <v>80</v>
      </c>
      <c r="AY103" s="58" t="n">
        <f aca="false">IF(AV103&gt;0,I103/AV103,-1)</f>
        <v>453</v>
      </c>
      <c r="AZ103" s="58" t="n">
        <f aca="false">IF(AND(OR(BU103="L1",BU103="L23"),AV103&gt;0),SUMIFS($AV$7:$AV$1576,$BU$7:$BU$1576,BU103,$AY$7:$AY$1576,"&gt;"&amp;AY103)+SUMIFS($AV$7:$AV$1576,$BU$7:$BU$1576,BU103,$AY$7:$AY$1576,AY103,$BO$7:$BO$1576,"&lt;="&amp;BO103),"")</f>
        <v>34.732822890008</v>
      </c>
      <c r="BA103" s="65" t="n">
        <f aca="false">IF(AZ103="",0,MAX(0,MIN(1,(IF(BU103="L1",Parameter!$E$5,Parameter!$E$6+Parameter!$E$7)-(AZ103-AV103))/AV103)))</f>
        <v>1</v>
      </c>
      <c r="BB103" s="55" t="str">
        <f aca="false">IF(AF103&lt;=0,"",IF(BU103="Aussen","Aussenlager",IF(BU103="-","Nicht im Lift",IF(AK103&gt;=1,"Lift",IF(AK103&lt;=0,"Aussenlager","teilweise")))))</f>
        <v>Lift</v>
      </c>
      <c r="BC103" s="55" t="str">
        <f aca="false">IF(AN103&lt;=0,"",IF(BU103="Aussen","Aussenlager",IF(BU103="-","Nicht im Lift",IF(AS103&gt;=1,"Lift",IF(AS103&lt;=0,"Aussenlager","teilweise")))))</f>
        <v>Lift</v>
      </c>
      <c r="BD103" s="55" t="str">
        <f aca="false">IF(AV103&lt;=0,"",IF(BU103="Aussen","Aussenlager",IF(BU103="-","Nicht im Lift",IF(BA103&gt;=1,"Lift",IF(BA103&lt;=0,"Aussenlager","teilweise")))))</f>
        <v>Lift</v>
      </c>
      <c r="BE103" s="55" t="str">
        <f aca="false">IF(A103="","",IF(BN103=1,"Neu; ","")&amp;IF(AND(BN103=0,BI103&lt;0),"negativer Bestand (Export "&amp;BI103&amp;"); ","")&amp;IF(I103&lt;=0,"Kein Verbrauch; ","")&amp;IF(CD103&gt;0,"Lift "&amp;U103&amp;" lt. Liftbericht (Fach "&amp;V103&amp;" Stk); ",IF(BR103=1,"Lose – Fläche geschätzt; ",""))&amp;IF(G103&gt;AP103,"Überbestand "&amp;ROUND(G103-AP103,0)&amp;" Stk / CHF "&amp;ROUND((G103-AP103)*F103,0)&amp;"; ","")&amp;IF(AND(BW103=1,BX103&lt;BY103),"MAX &lt; MB+LG; ","")&amp;IF(AND(CC103&gt;0,CB103*10&gt;CC103),"zu hoch für Tablar; ","")&amp;IF(AND(BN103=0,OR(BW103=1,Y103&lt;&gt;"",S103&lt;&gt;"",T103&lt;&gt;"",Z103&lt;&gt;"")),"manuell übersteuert; ","")&amp;IF(AND(BR103=0,Q103=0),"Gebinde unbekannt / Stellmass fehlt; ","")&amp;IF(AND(BR103=0,N(T103)&lt;=0,N(P103)&lt;=0),"Menge pro Gebinde fehlt (Ist = 1 Gebinde); ","")&amp;BM103)</f>
        <v/>
      </c>
      <c r="BF103" s="55"/>
      <c r="BG103" s="55"/>
      <c r="BH103" s="62"/>
      <c r="BI103" s="57" t="n">
        <v>5</v>
      </c>
      <c r="BJ103" s="57" t="n">
        <v>36</v>
      </c>
      <c r="BK103" s="56" t="n">
        <v>2316.92999999999</v>
      </c>
      <c r="BL103" s="57" t="n">
        <v>151</v>
      </c>
      <c r="BM103" s="55"/>
      <c r="BN103" s="60" t="n">
        <v>0</v>
      </c>
      <c r="BO103" s="60" t="n">
        <v>103</v>
      </c>
      <c r="BP103" s="55" t="str">
        <f aca="false">IF(S103&lt;&gt;"",UPPER(TRIM(S103)),IF(O103="","LOSE",O103))</f>
        <v>S71</v>
      </c>
      <c r="BQ103" s="57" t="n">
        <f aca="false">IF(BP103="LOSE",1,IF(N(T103)&gt;0,T103,IF(N(P103)&gt;0,P103,MAX(1,G103))))</f>
        <v>40</v>
      </c>
      <c r="BR103" s="60" t="n">
        <f aca="false">IF(BP103="LOSE",1,0)</f>
        <v>0</v>
      </c>
      <c r="BS103" s="59" t="n">
        <f aca="false">IF(BR103=0,0,IF(N(R103)&gt;0,R103,IFERROR(VLOOKUP(D103,Parameter!$A$35:$C$64,3,0)+0,0)))</f>
        <v>0</v>
      </c>
      <c r="BT103" s="55" t="n">
        <f aca="false">IF(Y103&lt;&gt;"",Y103,X103)</f>
        <v>2</v>
      </c>
      <c r="BU103" s="55" t="str">
        <f aca="false">IF(BT103=1,"L1",IF(OR(BT103=2,BT103=3),"L23",IF(BT103="Aussen","Aussen","-")))</f>
        <v>L23</v>
      </c>
      <c r="BV103" s="66" t="n">
        <f aca="false">IF(N(Z103)&gt;0,Z103,0)</f>
        <v>0</v>
      </c>
      <c r="BW103" s="60" t="n">
        <f aca="false">IF(ISNUMBER(AC103),1,0)</f>
        <v>0</v>
      </c>
      <c r="BX103" s="57" t="n">
        <f aca="false">N(AC103)</f>
        <v>0</v>
      </c>
      <c r="BY103" s="57" t="n">
        <f aca="false">N(L103)+N(M103)</f>
        <v>39</v>
      </c>
      <c r="BZ103" s="57" t="n">
        <f aca="false">ROUNDUP(G103/BQ103,0)</f>
        <v>1</v>
      </c>
      <c r="CA103" s="57" t="n">
        <f aca="false">ROUNDUP(BX103/BQ103,0)</f>
        <v>0</v>
      </c>
      <c r="CB103" s="60" t="n">
        <f aca="false">IF(BR103=1,0,IFERROR(VLOOKUP(BP103,'Gebinde-Kategorie'!$A$5:$M$45,5,0)+0,0))</f>
        <v>20</v>
      </c>
      <c r="CC103" s="60" t="n">
        <f aca="false">IFERROR(IF(OR(BT103=1,BT103=2,BT103=3),N(INDEX(Parameter!$I$5:$I$7,BT103)),0),0)</f>
        <v>0</v>
      </c>
      <c r="CD103" s="59" t="n">
        <f aca="false">IF(AND(Parameter!$B$21="Ja",ISNUMBER(U103),N(V103)&gt;0),IFERROR(N(INDEX(Parameter!$L$5:$L$7,U103))*INDEX(Parameter!$E$5:$E$7,U103)*V103/SUMIFS($V$7:$V$1576,$U$7:$U$1576,U103),0),0)</f>
        <v>0</v>
      </c>
    </row>
    <row r="104" customFormat="false" ht="15" hidden="false" customHeight="false" outlineLevel="0" collapsed="false">
      <c r="A104" s="55" t="s">
        <v>410</v>
      </c>
      <c r="B104" s="55" t="s">
        <v>364</v>
      </c>
      <c r="C104" s="55" t="s">
        <v>160</v>
      </c>
      <c r="D104" s="55" t="s">
        <v>178</v>
      </c>
      <c r="E104" s="55" t="s">
        <v>210</v>
      </c>
      <c r="F104" s="56" t="n">
        <v>12.37</v>
      </c>
      <c r="G104" s="57" t="n">
        <f aca="false">MAX(0,IF(AND(Parameter!$B$21="Ja",ISNUMBER(W104)),W104,IF(Parameter!$B$20="Jahresanfang 2025 + Export",BJ104+BI104,BI104)))</f>
        <v>196</v>
      </c>
      <c r="H104" s="57" t="n">
        <f aca="false">G104*F104</f>
        <v>2424.52</v>
      </c>
      <c r="I104" s="57" t="n">
        <f aca="false">BL104*Parameter!$B$18</f>
        <v>1024</v>
      </c>
      <c r="J104" s="58" t="n">
        <v>264</v>
      </c>
      <c r="K104" s="59" t="n">
        <v>3.87878787878788</v>
      </c>
      <c r="L104" s="57" t="n">
        <v>65</v>
      </c>
      <c r="M104" s="57" t="n">
        <v>500</v>
      </c>
      <c r="N104" s="60" t="n">
        <v>21</v>
      </c>
      <c r="O104" s="55" t="s">
        <v>411</v>
      </c>
      <c r="P104" s="57" t="n">
        <v>574</v>
      </c>
      <c r="Q104" s="60" t="n">
        <f aca="false">IF(BR104=1,0,IFERROR(VLOOKUP(BP104,'Gebinde-Kategorie'!$A$5:$M$45,13,0)+0,0))</f>
        <v>132</v>
      </c>
      <c r="R104" s="61"/>
      <c r="S104" s="62"/>
      <c r="T104" s="62"/>
      <c r="U104" s="55"/>
      <c r="V104" s="57"/>
      <c r="W104" s="57"/>
      <c r="X104" s="55" t="n">
        <f aca="false">IF(A104="","",IF(AND(Parameter!$B$21="Ja",ISNUMBER(U104)),U104,IF(IFERROR(VLOOKUP(D104,Parameter!$A$35:$C$64,2,0),"Nein")="2+3",IF(ISNUMBER(SEARCH("grosser Artikel",BM104)),2,IFERROR(VLOOKUP(BP104,Parameter!$F$35:$G$64,2,0),2)),IF(OR(IFERROR(VLOOKUP(D104,Parameter!$A$35:$C$64,2,0),"Nein")="Nein",IFERROR(VLOOKUP(D104,Parameter!$A$35:$C$64,2,0),"Nein")=""),"-",VLOOKUP(D104,Parameter!$A$35:$C$64,2,0)))))</f>
        <v>3</v>
      </c>
      <c r="Y104" s="62"/>
      <c r="Z104" s="63"/>
      <c r="AA104" s="57" t="n">
        <f aca="false">AP104</f>
        <v>574</v>
      </c>
      <c r="AB104" s="57" t="n">
        <f aca="false">MAX(AP104,G104)</f>
        <v>574</v>
      </c>
      <c r="AC104" s="64"/>
      <c r="AD104" s="57" t="n">
        <f aca="false">IF(LEFT(Cockpit!$C$5,1)="A",G104,IF(BW104=1,BX104,IF(LEFT(Cockpit!$C$5,1)="B",AH104,MAX(AH104,G104))))</f>
        <v>196</v>
      </c>
      <c r="AE104" s="57" t="n">
        <f aca="false">IF(BR104=1,0,ROUNDUP(AD104/BQ104,0))</f>
        <v>1</v>
      </c>
      <c r="AF104" s="59" t="n">
        <f aca="false">IF(CD104&gt;0,CD104*MAX(1,AD104/V104),IF(BR104=1,IF(AD104&lt;=0,0,BS104*MAX(1,IF(G104&gt;0,AD104/G104,1))),IF(Q104&gt;0,AE104/Q104,0))/MAX(0.1,N(Parameter!$M$21)))</f>
        <v>0.00757575757575758</v>
      </c>
      <c r="AG104" s="57" t="n">
        <f aca="false">AD104*F104</f>
        <v>2424.52</v>
      </c>
      <c r="AH104" s="57" t="n">
        <f aca="false">ROUNDUP(MAX(I104/IF(BV104&gt;0,BV104,MAX(0.1,N(Cockpit!$C$6))),BY104)/BQ104,0)*BQ104</f>
        <v>574</v>
      </c>
      <c r="AI104" s="58" t="n">
        <f aca="false">IF(AF104&gt;0,I104/AF104,-1)</f>
        <v>135168</v>
      </c>
      <c r="AJ104" s="58" t="n">
        <f aca="false">IF(AND(OR(BU104="L1",BU104="L23"),AF104&gt;0),SUMIFS($AF$7:$AF$1576,$BU$7:$BU$1576,BU104,$AI$7:$AI$1576,"&gt;"&amp;AI104)+SUMIFS($AF$7:$AF$1576,$BU$7:$BU$1576,BU104,$AI$7:$AI$1576,AI104,$BO$7:$BO$1576,"&lt;="&amp;BO104),"")</f>
        <v>0.117968987534205</v>
      </c>
      <c r="AK104" s="65" t="n">
        <f aca="false">IF(AJ104="",0,MAX(0,MIN(1,(IF(BU104="L1",Parameter!$E$5,Parameter!$E$6+Parameter!$E$7)-(AJ104-AF104))/AF104)))</f>
        <v>1</v>
      </c>
      <c r="AL104" s="57" t="n">
        <f aca="false">IF(LEFT(Cockpit!$I$5,1)="A",G104,IF(BW104=1,BX104,IF(LEFT(Cockpit!$I$5,1)="B",AP104,MAX(AP104,G104))))</f>
        <v>574</v>
      </c>
      <c r="AM104" s="57" t="n">
        <f aca="false">IF(BR104=1,0,ROUNDUP(AL104/BQ104,0))</f>
        <v>1</v>
      </c>
      <c r="AN104" s="59" t="n">
        <f aca="false">IF(CD104&gt;0,CD104*MAX(1,AL104/V104),IF(BR104=1,IF(AL104&lt;=0,0,BS104*MAX(1,IF(G104&gt;0,AL104/G104,1))),IF(Q104&gt;0,AM104/Q104,0))/MAX(0.1,N(Parameter!$M$21)))</f>
        <v>0.00757575757575758</v>
      </c>
      <c r="AO104" s="57" t="n">
        <f aca="false">AL104*F104</f>
        <v>7100.38</v>
      </c>
      <c r="AP104" s="57" t="n">
        <f aca="false">ROUNDUP(MAX(I104/IF(BV104&gt;0,BV104,MAX(0.1,N(Cockpit!$I$6))),BY104)/BQ104,0)*BQ104</f>
        <v>574</v>
      </c>
      <c r="AQ104" s="58" t="n">
        <f aca="false">IF(AN104&gt;0,I104/AN104,-1)</f>
        <v>135168</v>
      </c>
      <c r="AR104" s="58" t="n">
        <f aca="false">IF(AND(OR(BU104="L1",BU104="L23"),AN104&gt;0),SUMIFS($AN$7:$AN$1576,$BU$7:$BU$1576,BU104,$AQ$7:$AQ$1576,"&gt;"&amp;AQ104)+SUMIFS($AN$7:$AN$1576,$BU$7:$BU$1576,BU104,$AQ$7:$AQ$1576,AQ104,$BO$7:$BO$1576,"&lt;="&amp;BO104),"")</f>
        <v>0.183735346778825</v>
      </c>
      <c r="AS104" s="65" t="n">
        <f aca="false">IF(AR104="",0,MAX(0,MIN(1,(IF(BU104="L1",Parameter!$E$5,Parameter!$E$6+Parameter!$E$7)-(AR104-AN104))/AN104)))</f>
        <v>1</v>
      </c>
      <c r="AT104" s="57" t="n">
        <f aca="false">IF(LEFT(Cockpit!$O$5,1)="A",G104,IF(BW104=1,BX104,IF(LEFT(Cockpit!$O$5,1)="B",AX104,MAX(AX104,G104))))</f>
        <v>574</v>
      </c>
      <c r="AU104" s="57" t="n">
        <f aca="false">IF(BR104=1,0,ROUNDUP(AT104/BQ104,0))</f>
        <v>1</v>
      </c>
      <c r="AV104" s="59" t="n">
        <f aca="false">IF(CD104&gt;0,CD104*MAX(1,AT104/V104),IF(BR104=1,IF(AT104&lt;=0,0,BS104*MAX(1,IF(G104&gt;0,AT104/G104,1))),IF(Q104&gt;0,AU104/Q104,0))/MAX(0.1,N(Parameter!$M$21)))</f>
        <v>0.00757575757575758</v>
      </c>
      <c r="AW104" s="57" t="n">
        <f aca="false">AT104*F104</f>
        <v>7100.38</v>
      </c>
      <c r="AX104" s="57" t="n">
        <f aca="false">ROUNDUP(MAX(I104/IF(BV104&gt;0,BV104,MAX(0.1,N(Cockpit!$O$6))),BY104)/BQ104,0)*BQ104</f>
        <v>574</v>
      </c>
      <c r="AY104" s="58" t="n">
        <f aca="false">IF(AV104&gt;0,I104/AV104,-1)</f>
        <v>135168</v>
      </c>
      <c r="AZ104" s="58" t="n">
        <f aca="false">IF(AND(OR(BU104="L1",BU104="L23"),AV104&gt;0),SUMIFS($AV$7:$AV$1576,$BU$7:$BU$1576,BU104,$AY$7:$AY$1576,"&gt;"&amp;AY104)+SUMIFS($AV$7:$AV$1576,$BU$7:$BU$1576,BU104,$AY$7:$AY$1576,AY104,$BO$7:$BO$1576,"&lt;="&amp;BO104),"")</f>
        <v>0.183735346778825</v>
      </c>
      <c r="BA104" s="65" t="n">
        <f aca="false">IF(AZ104="",0,MAX(0,MIN(1,(IF(BU104="L1",Parameter!$E$5,Parameter!$E$6+Parameter!$E$7)-(AZ104-AV104))/AV104)))</f>
        <v>1</v>
      </c>
      <c r="BB104" s="55" t="str">
        <f aca="false">IF(AF104&lt;=0,"",IF(BU104="Aussen","Aussenlager",IF(BU104="-","Nicht im Lift",IF(AK104&gt;=1,"Lift",IF(AK104&lt;=0,"Aussenlager","teilweise")))))</f>
        <v>Lift</v>
      </c>
      <c r="BC104" s="55" t="str">
        <f aca="false">IF(AN104&lt;=0,"",IF(BU104="Aussen","Aussenlager",IF(BU104="-","Nicht im Lift",IF(AS104&gt;=1,"Lift",IF(AS104&lt;=0,"Aussenlager","teilweise")))))</f>
        <v>Lift</v>
      </c>
      <c r="BD104" s="55" t="str">
        <f aca="false">IF(AV104&lt;=0,"",IF(BU104="Aussen","Aussenlager",IF(BU104="-","Nicht im Lift",IF(BA104&gt;=1,"Lift",IF(BA104&lt;=0,"Aussenlager","teilweise")))))</f>
        <v>Lift</v>
      </c>
      <c r="BE104" s="55" t="str">
        <f aca="false">IF(A104="","",IF(BN104=1,"Neu; ","")&amp;IF(AND(BN104=0,BI104&lt;0),"negativer Bestand (Export "&amp;BI104&amp;"); ","")&amp;IF(I104&lt;=0,"Kein Verbrauch; ","")&amp;IF(CD104&gt;0,"Lift "&amp;U104&amp;" lt. Liftbericht (Fach "&amp;V104&amp;" Stk); ",IF(BR104=1,"Lose – Fläche geschätzt; ",""))&amp;IF(G104&gt;AP104,"Überbestand "&amp;ROUND(G104-AP104,0)&amp;" Stk / CHF "&amp;ROUND((G104-AP104)*F104,0)&amp;"; ","")&amp;IF(AND(BW104=1,BX104&lt;BY104),"MAX &lt; MB+LG; ","")&amp;IF(AND(CC104&gt;0,CB104*10&gt;CC104),"zu hoch für Tablar; ","")&amp;IF(AND(BN104=0,OR(BW104=1,Y104&lt;&gt;"",S104&lt;&gt;"",T104&lt;&gt;"",Z104&lt;&gt;"")),"manuell übersteuert; ","")&amp;IF(AND(BR104=0,Q104=0),"Gebinde unbekannt / Stellmass fehlt; ","")&amp;IF(AND(BR104=0,N(T104)&lt;=0,N(P104)&lt;=0),"Menge pro Gebinde fehlt (Ist = 1 Gebinde); ","")&amp;BM104)</f>
        <v/>
      </c>
      <c r="BF104" s="55"/>
      <c r="BG104" s="55"/>
      <c r="BH104" s="62"/>
      <c r="BI104" s="57" t="n">
        <v>196</v>
      </c>
      <c r="BJ104" s="57" t="n">
        <v>181</v>
      </c>
      <c r="BK104" s="56" t="n">
        <v>2298.74</v>
      </c>
      <c r="BL104" s="57" t="n">
        <v>1024</v>
      </c>
      <c r="BM104" s="55"/>
      <c r="BN104" s="60" t="n">
        <v>0</v>
      </c>
      <c r="BO104" s="60" t="n">
        <v>104</v>
      </c>
      <c r="BP104" s="55" t="str">
        <f aca="false">IF(S104&lt;&gt;"",UPPER(TRIM(S104)),IF(O104="","LOSE",O104))</f>
        <v>S32</v>
      </c>
      <c r="BQ104" s="57" t="n">
        <f aca="false">IF(BP104="LOSE",1,IF(N(T104)&gt;0,T104,IF(N(P104)&gt;0,P104,MAX(1,G104))))</f>
        <v>574</v>
      </c>
      <c r="BR104" s="60" t="n">
        <f aca="false">IF(BP104="LOSE",1,0)</f>
        <v>0</v>
      </c>
      <c r="BS104" s="59" t="n">
        <f aca="false">IF(BR104=0,0,IF(N(R104)&gt;0,R104,IFERROR(VLOOKUP(D104,Parameter!$A$35:$C$64,3,0)+0,0)))</f>
        <v>0</v>
      </c>
      <c r="BT104" s="55" t="n">
        <f aca="false">IF(Y104&lt;&gt;"",Y104,X104)</f>
        <v>3</v>
      </c>
      <c r="BU104" s="55" t="str">
        <f aca="false">IF(BT104=1,"L1",IF(OR(BT104=2,BT104=3),"L23",IF(BT104="Aussen","Aussen","-")))</f>
        <v>L23</v>
      </c>
      <c r="BV104" s="66" t="n">
        <f aca="false">IF(N(Z104)&gt;0,Z104,0)</f>
        <v>0</v>
      </c>
      <c r="BW104" s="60" t="n">
        <f aca="false">IF(ISNUMBER(AC104),1,0)</f>
        <v>0</v>
      </c>
      <c r="BX104" s="57" t="n">
        <f aca="false">N(AC104)</f>
        <v>0</v>
      </c>
      <c r="BY104" s="57" t="n">
        <f aca="false">N(L104)+N(M104)</f>
        <v>565</v>
      </c>
      <c r="BZ104" s="57" t="n">
        <f aca="false">ROUNDUP(G104/BQ104,0)</f>
        <v>1</v>
      </c>
      <c r="CA104" s="57" t="n">
        <f aca="false">ROUNDUP(BX104/BQ104,0)</f>
        <v>0</v>
      </c>
      <c r="CB104" s="60" t="n">
        <f aca="false">IF(BR104=1,0,IFERROR(VLOOKUP(BP104,'Gebinde-Kategorie'!$A$5:$M$45,5,0)+0,0))</f>
        <v>8</v>
      </c>
      <c r="CC104" s="60" t="n">
        <f aca="false">IFERROR(IF(OR(BT104=1,BT104=2,BT104=3),N(INDEX(Parameter!$I$5:$I$7,BT104)),0),0)</f>
        <v>0</v>
      </c>
      <c r="CD104" s="59" t="n">
        <f aca="false">IF(AND(Parameter!$B$21="Ja",ISNUMBER(U104),N(V104)&gt;0),IFERROR(N(INDEX(Parameter!$L$5:$L$7,U104))*INDEX(Parameter!$E$5:$E$7,U104)*V104/SUMIFS($V$7:$V$1576,$U$7:$U$1576,U104),0),0)</f>
        <v>0</v>
      </c>
    </row>
    <row r="105" customFormat="false" ht="15" hidden="false" customHeight="false" outlineLevel="0" collapsed="false">
      <c r="A105" s="55" t="s">
        <v>412</v>
      </c>
      <c r="B105" s="55" t="s">
        <v>413</v>
      </c>
      <c r="C105" s="55" t="s">
        <v>160</v>
      </c>
      <c r="D105" s="55" t="s">
        <v>168</v>
      </c>
      <c r="E105" s="55" t="s">
        <v>210</v>
      </c>
      <c r="F105" s="56" t="n">
        <v>448.5</v>
      </c>
      <c r="G105" s="57" t="n">
        <f aca="false">MAX(0,IF(AND(Parameter!$B$21="Ja",ISNUMBER(W105)),W105,IF(Parameter!$B$20="Jahresanfang 2025 + Export",BJ105+BI105,BI105)))</f>
        <v>5</v>
      </c>
      <c r="H105" s="57" t="n">
        <f aca="false">G105*F105</f>
        <v>2242.5</v>
      </c>
      <c r="I105" s="57" t="n">
        <f aca="false">BL105*Parameter!$B$18</f>
        <v>5</v>
      </c>
      <c r="J105" s="58" t="n">
        <v>3.5</v>
      </c>
      <c r="K105" s="59" t="n">
        <v>1.42857142857143</v>
      </c>
      <c r="L105" s="57" t="n">
        <v>0</v>
      </c>
      <c r="M105" s="57" t="n">
        <v>5</v>
      </c>
      <c r="N105" s="60" t="n">
        <v>21</v>
      </c>
      <c r="O105" s="55" t="s">
        <v>163</v>
      </c>
      <c r="P105" s="57"/>
      <c r="Q105" s="60" t="n">
        <f aca="false">IF(BR105=1,0,IFERROR(VLOOKUP(BP105,'Gebinde-Kategorie'!$A$5:$M$45,13,0)+0,0))</f>
        <v>0</v>
      </c>
      <c r="R105" s="61"/>
      <c r="S105" s="62"/>
      <c r="T105" s="62"/>
      <c r="U105" s="55"/>
      <c r="V105" s="57"/>
      <c r="W105" s="57"/>
      <c r="X105" s="55" t="n">
        <f aca="false">IF(A105="","",IF(AND(Parameter!$B$21="Ja",ISNUMBER(U105)),U105,IF(IFERROR(VLOOKUP(D105,Parameter!$A$35:$C$64,2,0),"Nein")="2+3",IF(ISNUMBER(SEARCH("grosser Artikel",BM105)),2,IFERROR(VLOOKUP(BP105,Parameter!$F$35:$G$64,2,0),2)),IF(OR(IFERROR(VLOOKUP(D105,Parameter!$A$35:$C$64,2,0),"Nein")="Nein",IFERROR(VLOOKUP(D105,Parameter!$A$35:$C$64,2,0),"Nein")=""),"-",VLOOKUP(D105,Parameter!$A$35:$C$64,2,0)))))</f>
        <v>2</v>
      </c>
      <c r="Y105" s="62"/>
      <c r="Z105" s="63"/>
      <c r="AA105" s="57" t="n">
        <f aca="false">AP105</f>
        <v>5</v>
      </c>
      <c r="AB105" s="57" t="n">
        <f aca="false">MAX(AP105,G105)</f>
        <v>5</v>
      </c>
      <c r="AC105" s="64"/>
      <c r="AD105" s="57" t="n">
        <f aca="false">IF(LEFT(Cockpit!$C$5,1)="A",G105,IF(BW105=1,BX105,IF(LEFT(Cockpit!$C$5,1)="B",AH105,MAX(AH105,G105))))</f>
        <v>5</v>
      </c>
      <c r="AE105" s="57" t="n">
        <f aca="false">IF(BR105=1,0,ROUNDUP(AD105/BQ105,0))</f>
        <v>0</v>
      </c>
      <c r="AF105" s="59" t="n">
        <f aca="false">IF(CD105&gt;0,CD105*MAX(1,AD105/V105),IF(BR105=1,IF(AD105&lt;=0,0,BS105*MAX(1,IF(G105&gt;0,AD105/G105,1))),IF(Q105&gt;0,AE105/Q105,0))/MAX(0.1,N(Parameter!$M$21)))</f>
        <v>0.15</v>
      </c>
      <c r="AG105" s="57" t="n">
        <f aca="false">AD105*F105</f>
        <v>2242.5</v>
      </c>
      <c r="AH105" s="57" t="n">
        <f aca="false">ROUNDUP(MAX(I105/IF(BV105&gt;0,BV105,MAX(0.1,N(Cockpit!$C$6))),BY105)/BQ105,0)*BQ105</f>
        <v>5</v>
      </c>
      <c r="AI105" s="58" t="n">
        <f aca="false">IF(AF105&gt;0,I105/AF105,-1)</f>
        <v>33.3333333333333</v>
      </c>
      <c r="AJ105" s="58" t="n">
        <f aca="false">IF(AND(OR(BU105="L1",BU105="L23"),AF105&gt;0),SUMIFS($AF$7:$AF$1576,$BU$7:$BU$1576,BU105,$AI$7:$AI$1576,"&gt;"&amp;AI105)+SUMIFS($AF$7:$AF$1576,$BU$7:$BU$1576,BU105,$AI$7:$AI$1576,AI105,$BO$7:$BO$1576,"&lt;="&amp;BO105),"")</f>
        <v>28.1636073105638</v>
      </c>
      <c r="AK105" s="65" t="n">
        <f aca="false">IF(AJ105="",0,MAX(0,MIN(1,(IF(BU105="L1",Parameter!$E$5,Parameter!$E$6+Parameter!$E$7)-(AJ105-AF105))/AF105)))</f>
        <v>1</v>
      </c>
      <c r="AL105" s="57" t="n">
        <f aca="false">IF(LEFT(Cockpit!$I$5,1)="A",G105,IF(BW105=1,BX105,IF(LEFT(Cockpit!$I$5,1)="B",AP105,MAX(AP105,G105))))</f>
        <v>5</v>
      </c>
      <c r="AM105" s="57" t="n">
        <f aca="false">IF(BR105=1,0,ROUNDUP(AL105/BQ105,0))</f>
        <v>0</v>
      </c>
      <c r="AN105" s="59" t="n">
        <f aca="false">IF(CD105&gt;0,CD105*MAX(1,AL105/V105),IF(BR105=1,IF(AL105&lt;=0,0,BS105*MAX(1,IF(G105&gt;0,AL105/G105,1))),IF(Q105&gt;0,AM105/Q105,0))/MAX(0.1,N(Parameter!$M$21)))</f>
        <v>0.15</v>
      </c>
      <c r="AO105" s="57" t="n">
        <f aca="false">AL105*F105</f>
        <v>2242.5</v>
      </c>
      <c r="AP105" s="57" t="n">
        <f aca="false">ROUNDUP(MAX(I105/IF(BV105&gt;0,BV105,MAX(0.1,N(Cockpit!$I$6))),BY105)/BQ105,0)*BQ105</f>
        <v>5</v>
      </c>
      <c r="AQ105" s="58" t="n">
        <f aca="false">IF(AN105&gt;0,I105/AN105,-1)</f>
        <v>33.3333333333333</v>
      </c>
      <c r="AR105" s="58" t="n">
        <f aca="false">IF(AND(OR(BU105="L1",BU105="L23"),AN105&gt;0),SUMIFS($AN$7:$AN$1576,$BU$7:$BU$1576,BU105,$AQ$7:$AQ$1576,"&gt;"&amp;AQ105)+SUMIFS($AN$7:$AN$1576,$BU$7:$BU$1576,BU105,$AQ$7:$AQ$1576,AQ105,$BO$7:$BO$1576,"&lt;="&amp;BO105),"")</f>
        <v>94.0074345886957</v>
      </c>
      <c r="AS105" s="65" t="n">
        <f aca="false">IF(AR105="",0,MAX(0,MIN(1,(IF(BU105="L1",Parameter!$E$5,Parameter!$E$6+Parameter!$E$7)-(AR105-AN105))/AN105)))</f>
        <v>1</v>
      </c>
      <c r="AT105" s="57" t="n">
        <f aca="false">IF(LEFT(Cockpit!$O$5,1)="A",G105,IF(BW105=1,BX105,IF(LEFT(Cockpit!$O$5,1)="B",AX105,MAX(AX105,G105))))</f>
        <v>5</v>
      </c>
      <c r="AU105" s="57" t="n">
        <f aca="false">IF(BR105=1,0,ROUNDUP(AT105/BQ105,0))</f>
        <v>0</v>
      </c>
      <c r="AV105" s="59" t="n">
        <f aca="false">IF(CD105&gt;0,CD105*MAX(1,AT105/V105),IF(BR105=1,IF(AT105&lt;=0,0,BS105*MAX(1,IF(G105&gt;0,AT105/G105,1))),IF(Q105&gt;0,AU105/Q105,0))/MAX(0.1,N(Parameter!$M$21)))</f>
        <v>0.15</v>
      </c>
      <c r="AW105" s="57" t="n">
        <f aca="false">AT105*F105</f>
        <v>2242.5</v>
      </c>
      <c r="AX105" s="57" t="n">
        <f aca="false">ROUNDUP(MAX(I105/IF(BV105&gt;0,BV105,MAX(0.1,N(Cockpit!$O$6))),BY105)/BQ105,0)*BQ105</f>
        <v>5</v>
      </c>
      <c r="AY105" s="58" t="n">
        <f aca="false">IF(AV105&gt;0,I105/AV105,-1)</f>
        <v>33.3333333333333</v>
      </c>
      <c r="AZ105" s="58" t="n">
        <f aca="false">IF(AND(OR(BU105="L1",BU105="L23"),AV105&gt;0),SUMIFS($AV$7:$AV$1576,$BU$7:$BU$1576,BU105,$AY$7:$AY$1576,"&gt;"&amp;AY105)+SUMIFS($AV$7:$AV$1576,$BU$7:$BU$1576,BU105,$AY$7:$AY$1576,AY105,$BO$7:$BO$1576,"&lt;="&amp;BO105),"")</f>
        <v>85.7919850382462</v>
      </c>
      <c r="BA105" s="65" t="n">
        <f aca="false">IF(AZ105="",0,MAX(0,MIN(1,(IF(BU105="L1",Parameter!$E$5,Parameter!$E$6+Parameter!$E$7)-(AZ105-AV105))/AV105)))</f>
        <v>1</v>
      </c>
      <c r="BB105" s="55" t="str">
        <f aca="false">IF(AF105&lt;=0,"",IF(BU105="Aussen","Aussenlager",IF(BU105="-","Nicht im Lift",IF(AK105&gt;=1,"Lift",IF(AK105&lt;=0,"Aussenlager","teilweise")))))</f>
        <v>Lift</v>
      </c>
      <c r="BC105" s="55" t="str">
        <f aca="false">IF(AN105&lt;=0,"",IF(BU105="Aussen","Aussenlager",IF(BU105="-","Nicht im Lift",IF(AS105&gt;=1,"Lift",IF(AS105&lt;=0,"Aussenlager","teilweise")))))</f>
        <v>Lift</v>
      </c>
      <c r="BD105" s="55" t="str">
        <f aca="false">IF(AV105&lt;=0,"",IF(BU105="Aussen","Aussenlager",IF(BU105="-","Nicht im Lift",IF(BA105&gt;=1,"Lift",IF(BA105&lt;=0,"Aussenlager","teilweise")))))</f>
        <v>Lift</v>
      </c>
      <c r="BE105" s="55" t="str">
        <f aca="false">IF(A105="","",IF(BN105=1,"Neu; ","")&amp;IF(AND(BN105=0,BI105&lt;0),"negativer Bestand (Export "&amp;BI105&amp;"); ","")&amp;IF(I105&lt;=0,"Kein Verbrauch; ","")&amp;IF(CD105&gt;0,"Lift "&amp;U105&amp;" lt. Liftbericht (Fach "&amp;V105&amp;" Stk); ",IF(BR105=1,"Lose – Fläche geschätzt; ",""))&amp;IF(G105&gt;AP105,"Überbestand "&amp;ROUND(G105-AP105,0)&amp;" Stk / CHF "&amp;ROUND((G105-AP105)*F105,0)&amp;"; ","")&amp;IF(AND(BW105=1,BX105&lt;BY105),"MAX &lt; MB+LG; ","")&amp;IF(AND(CC105&gt;0,CB105*10&gt;CC105),"zu hoch für Tablar; ","")&amp;IF(AND(BN105=0,OR(BW105=1,Y105&lt;&gt;"",S105&lt;&gt;"",T105&lt;&gt;"",Z105&lt;&gt;"")),"manuell übersteuert; ","")&amp;IF(AND(BR105=0,Q105=0),"Gebinde unbekannt / Stellmass fehlt; ","")&amp;IF(AND(BR105=0,N(T105)&lt;=0,N(P105)&lt;=0),"Menge pro Gebinde fehlt (Ist = 1 Gebinde); ","")&amp;BM105)</f>
        <v>Lose – Fläche geschätzt; </v>
      </c>
      <c r="BF105" s="55"/>
      <c r="BG105" s="55"/>
      <c r="BH105" s="62"/>
      <c r="BI105" s="57" t="n">
        <v>5</v>
      </c>
      <c r="BJ105" s="57" t="n">
        <v>1</v>
      </c>
      <c r="BK105" s="56" t="n">
        <v>2291.16</v>
      </c>
      <c r="BL105" s="57" t="n">
        <v>5</v>
      </c>
      <c r="BM105" s="55"/>
      <c r="BN105" s="60" t="n">
        <v>0</v>
      </c>
      <c r="BO105" s="60" t="n">
        <v>105</v>
      </c>
      <c r="BP105" s="55" t="str">
        <f aca="false">IF(S105&lt;&gt;"",UPPER(TRIM(S105)),IF(O105="","LOSE",O105))</f>
        <v>LOSE</v>
      </c>
      <c r="BQ105" s="57" t="n">
        <f aca="false">IF(BP105="LOSE",1,IF(N(T105)&gt;0,T105,IF(N(P105)&gt;0,P105,MAX(1,G105))))</f>
        <v>1</v>
      </c>
      <c r="BR105" s="60" t="n">
        <f aca="false">IF(BP105="LOSE",1,0)</f>
        <v>1</v>
      </c>
      <c r="BS105" s="59" t="n">
        <f aca="false">IF(BR105=0,0,IF(N(R105)&gt;0,R105,IFERROR(VLOOKUP(D105,Parameter!$A$35:$C$64,3,0)+0,0)))</f>
        <v>0.15</v>
      </c>
      <c r="BT105" s="55" t="n">
        <f aca="false">IF(Y105&lt;&gt;"",Y105,X105)</f>
        <v>2</v>
      </c>
      <c r="BU105" s="55" t="str">
        <f aca="false">IF(BT105=1,"L1",IF(OR(BT105=2,BT105=3),"L23",IF(BT105="Aussen","Aussen","-")))</f>
        <v>L23</v>
      </c>
      <c r="BV105" s="66" t="n">
        <f aca="false">IF(N(Z105)&gt;0,Z105,0)</f>
        <v>0</v>
      </c>
      <c r="BW105" s="60" t="n">
        <f aca="false">IF(ISNUMBER(AC105),1,0)</f>
        <v>0</v>
      </c>
      <c r="BX105" s="57" t="n">
        <f aca="false">N(AC105)</f>
        <v>0</v>
      </c>
      <c r="BY105" s="57" t="n">
        <f aca="false">N(L105)+N(M105)</f>
        <v>5</v>
      </c>
      <c r="BZ105" s="57" t="n">
        <f aca="false">ROUNDUP(G105/BQ105,0)</f>
        <v>5</v>
      </c>
      <c r="CA105" s="57" t="n">
        <f aca="false">ROUNDUP(BX105/BQ105,0)</f>
        <v>0</v>
      </c>
      <c r="CB105" s="60" t="n">
        <f aca="false">IF(BR105=1,0,IFERROR(VLOOKUP(BP105,'Gebinde-Kategorie'!$A$5:$M$45,5,0)+0,0))</f>
        <v>0</v>
      </c>
      <c r="CC105" s="60" t="n">
        <f aca="false">IFERROR(IF(OR(BT105=1,BT105=2,BT105=3),N(INDEX(Parameter!$I$5:$I$7,BT105)),0),0)</f>
        <v>0</v>
      </c>
      <c r="CD105" s="59" t="n">
        <f aca="false">IF(AND(Parameter!$B$21="Ja",ISNUMBER(U105),N(V105)&gt;0),IFERROR(N(INDEX(Parameter!$L$5:$L$7,U105))*INDEX(Parameter!$E$5:$E$7,U105)*V105/SUMIFS($V$7:$V$1576,$U$7:$U$1576,U105),0),0)</f>
        <v>0</v>
      </c>
    </row>
    <row r="106" customFormat="false" ht="15" hidden="false" customHeight="false" outlineLevel="0" collapsed="false">
      <c r="A106" s="55" t="s">
        <v>414</v>
      </c>
      <c r="B106" s="55" t="s">
        <v>415</v>
      </c>
      <c r="C106" s="55" t="s">
        <v>160</v>
      </c>
      <c r="D106" s="55" t="s">
        <v>178</v>
      </c>
      <c r="E106" s="55" t="s">
        <v>210</v>
      </c>
      <c r="F106" s="56" t="n">
        <v>17.68</v>
      </c>
      <c r="G106" s="57" t="n">
        <f aca="false">MAX(0,IF(AND(Parameter!$B$21="Ja",ISNUMBER(W106)),W106,IF(Parameter!$B$20="Jahresanfang 2025 + Export",BJ106+BI106,BI106)))</f>
        <v>119</v>
      </c>
      <c r="H106" s="57" t="n">
        <f aca="false">G106*F106</f>
        <v>2103.92</v>
      </c>
      <c r="I106" s="57" t="n">
        <f aca="false">BL106*Parameter!$B$18</f>
        <v>618</v>
      </c>
      <c r="J106" s="58" t="n">
        <v>140</v>
      </c>
      <c r="K106" s="59" t="n">
        <v>4.41428571428572</v>
      </c>
      <c r="L106" s="57" t="n">
        <v>36</v>
      </c>
      <c r="M106" s="57" t="n">
        <v>100</v>
      </c>
      <c r="N106" s="60" t="n">
        <v>21</v>
      </c>
      <c r="O106" s="55" t="s">
        <v>416</v>
      </c>
      <c r="P106" s="57" t="n">
        <v>333</v>
      </c>
      <c r="Q106" s="60" t="n">
        <f aca="false">IF(BR106=1,0,IFERROR(VLOOKUP(BP106,'Gebinde-Kategorie'!$A$5:$M$45,13,0)+0,0))</f>
        <v>198</v>
      </c>
      <c r="R106" s="61"/>
      <c r="S106" s="62"/>
      <c r="T106" s="62"/>
      <c r="U106" s="55"/>
      <c r="V106" s="57"/>
      <c r="W106" s="57"/>
      <c r="X106" s="55" t="n">
        <f aca="false">IF(A106="","",IF(AND(Parameter!$B$21="Ja",ISNUMBER(U106)),U106,IF(IFERROR(VLOOKUP(D106,Parameter!$A$35:$C$64,2,0),"Nein")="2+3",IF(ISNUMBER(SEARCH("grosser Artikel",BM106)),2,IFERROR(VLOOKUP(BP106,Parameter!$F$35:$G$64,2,0),2)),IF(OR(IFERROR(VLOOKUP(D106,Parameter!$A$35:$C$64,2,0),"Nein")="Nein",IFERROR(VLOOKUP(D106,Parameter!$A$35:$C$64,2,0),"Nein")=""),"-",VLOOKUP(D106,Parameter!$A$35:$C$64,2,0)))))</f>
        <v>3</v>
      </c>
      <c r="Y106" s="62"/>
      <c r="Z106" s="63"/>
      <c r="AA106" s="57" t="n">
        <f aca="false">AP106</f>
        <v>333</v>
      </c>
      <c r="AB106" s="57" t="n">
        <f aca="false">MAX(AP106,G106)</f>
        <v>333</v>
      </c>
      <c r="AC106" s="64"/>
      <c r="AD106" s="57" t="n">
        <f aca="false">IF(LEFT(Cockpit!$C$5,1)="A",G106,IF(BW106=1,BX106,IF(LEFT(Cockpit!$C$5,1)="B",AH106,MAX(AH106,G106))))</f>
        <v>119</v>
      </c>
      <c r="AE106" s="57" t="n">
        <f aca="false">IF(BR106=1,0,ROUNDUP(AD106/BQ106,0))</f>
        <v>1</v>
      </c>
      <c r="AF106" s="59" t="n">
        <f aca="false">IF(CD106&gt;0,CD106*MAX(1,AD106/V106),IF(BR106=1,IF(AD106&lt;=0,0,BS106*MAX(1,IF(G106&gt;0,AD106/G106,1))),IF(Q106&gt;0,AE106/Q106,0))/MAX(0.1,N(Parameter!$M$21)))</f>
        <v>0.00505050505050505</v>
      </c>
      <c r="AG106" s="57" t="n">
        <f aca="false">AD106*F106</f>
        <v>2103.92</v>
      </c>
      <c r="AH106" s="57" t="n">
        <f aca="false">ROUNDUP(MAX(I106/IF(BV106&gt;0,BV106,MAX(0.1,N(Cockpit!$C$6))),BY106)/BQ106,0)*BQ106</f>
        <v>333</v>
      </c>
      <c r="AI106" s="58" t="n">
        <f aca="false">IF(AF106&gt;0,I106/AF106,-1)</f>
        <v>122364</v>
      </c>
      <c r="AJ106" s="58" t="n">
        <f aca="false">IF(AND(OR(BU106="L1",BU106="L23"),AF106&gt;0),SUMIFS($AF$7:$AF$1576,$BU$7:$BU$1576,BU106,$AI$7:$AI$1576,"&gt;"&amp;AI106)+SUMIFS($AF$7:$AF$1576,$BU$7:$BU$1576,BU106,$AI$7:$AI$1576,AI106,$BO$7:$BO$1576,"&lt;="&amp;BO106),"")</f>
        <v>0.128069997635215</v>
      </c>
      <c r="AK106" s="65" t="n">
        <f aca="false">IF(AJ106="",0,MAX(0,MIN(1,(IF(BU106="L1",Parameter!$E$5,Parameter!$E$6+Parameter!$E$7)-(AJ106-AF106))/AF106)))</f>
        <v>1</v>
      </c>
      <c r="AL106" s="57" t="n">
        <f aca="false">IF(LEFT(Cockpit!$I$5,1)="A",G106,IF(BW106=1,BX106,IF(LEFT(Cockpit!$I$5,1)="B",AP106,MAX(AP106,G106))))</f>
        <v>333</v>
      </c>
      <c r="AM106" s="57" t="n">
        <f aca="false">IF(BR106=1,0,ROUNDUP(AL106/BQ106,0))</f>
        <v>1</v>
      </c>
      <c r="AN106" s="59" t="n">
        <f aca="false">IF(CD106&gt;0,CD106*MAX(1,AL106/V106),IF(BR106=1,IF(AL106&lt;=0,0,BS106*MAX(1,IF(G106&gt;0,AL106/G106,1))),IF(Q106&gt;0,AM106/Q106,0))/MAX(0.1,N(Parameter!$M$21)))</f>
        <v>0.00505050505050505</v>
      </c>
      <c r="AO106" s="57" t="n">
        <f aca="false">AL106*F106</f>
        <v>5887.44</v>
      </c>
      <c r="AP106" s="57" t="n">
        <f aca="false">ROUNDUP(MAX(I106/IF(BV106&gt;0,BV106,MAX(0.1,N(Cockpit!$I$6))),BY106)/BQ106,0)*BQ106</f>
        <v>333</v>
      </c>
      <c r="AQ106" s="58" t="n">
        <f aca="false">IF(AN106&gt;0,I106/AN106,-1)</f>
        <v>122364</v>
      </c>
      <c r="AR106" s="58" t="n">
        <f aca="false">IF(AND(OR(BU106="L1",BU106="L23"),AN106&gt;0),SUMIFS($AN$7:$AN$1576,$BU$7:$BU$1576,BU106,$AQ$7:$AQ$1576,"&gt;"&amp;AQ106)+SUMIFS($AN$7:$AN$1576,$BU$7:$BU$1576,BU106,$AQ$7:$AQ$1576,AQ106,$BO$7:$BO$1576,"&lt;="&amp;BO106),"")</f>
        <v>0.198667274754231</v>
      </c>
      <c r="AS106" s="65" t="n">
        <f aca="false">IF(AR106="",0,MAX(0,MIN(1,(IF(BU106="L1",Parameter!$E$5,Parameter!$E$6+Parameter!$E$7)-(AR106-AN106))/AN106)))</f>
        <v>1</v>
      </c>
      <c r="AT106" s="57" t="n">
        <f aca="false">IF(LEFT(Cockpit!$O$5,1)="A",G106,IF(BW106=1,BX106,IF(LEFT(Cockpit!$O$5,1)="B",AX106,MAX(AX106,G106))))</f>
        <v>333</v>
      </c>
      <c r="AU106" s="57" t="n">
        <f aca="false">IF(BR106=1,0,ROUNDUP(AT106/BQ106,0))</f>
        <v>1</v>
      </c>
      <c r="AV106" s="59" t="n">
        <f aca="false">IF(CD106&gt;0,CD106*MAX(1,AT106/V106),IF(BR106=1,IF(AT106&lt;=0,0,BS106*MAX(1,IF(G106&gt;0,AT106/G106,1))),IF(Q106&gt;0,AU106/Q106,0))/MAX(0.1,N(Parameter!$M$21)))</f>
        <v>0.00505050505050505</v>
      </c>
      <c r="AW106" s="57" t="n">
        <f aca="false">AT106*F106</f>
        <v>5887.44</v>
      </c>
      <c r="AX106" s="57" t="n">
        <f aca="false">ROUNDUP(MAX(I106/IF(BV106&gt;0,BV106,MAX(0.1,N(Cockpit!$O$6))),BY106)/BQ106,0)*BQ106</f>
        <v>333</v>
      </c>
      <c r="AY106" s="58" t="n">
        <f aca="false">IF(AV106&gt;0,I106/AV106,-1)</f>
        <v>122364</v>
      </c>
      <c r="AZ106" s="58" t="n">
        <f aca="false">IF(AND(OR(BU106="L1",BU106="L23"),AV106&gt;0),SUMIFS($AV$7:$AV$1576,$BU$7:$BU$1576,BU106,$AY$7:$AY$1576,"&gt;"&amp;AY106)+SUMIFS($AV$7:$AV$1576,$BU$7:$BU$1576,BU106,$AY$7:$AY$1576,AY106,$BO$7:$BO$1576,"&lt;="&amp;BO106),"")</f>
        <v>0.198667274754231</v>
      </c>
      <c r="BA106" s="65" t="n">
        <f aca="false">IF(AZ106="",0,MAX(0,MIN(1,(IF(BU106="L1",Parameter!$E$5,Parameter!$E$6+Parameter!$E$7)-(AZ106-AV106))/AV106)))</f>
        <v>1</v>
      </c>
      <c r="BB106" s="55" t="str">
        <f aca="false">IF(AF106&lt;=0,"",IF(BU106="Aussen","Aussenlager",IF(BU106="-","Nicht im Lift",IF(AK106&gt;=1,"Lift",IF(AK106&lt;=0,"Aussenlager","teilweise")))))</f>
        <v>Lift</v>
      </c>
      <c r="BC106" s="55" t="str">
        <f aca="false">IF(AN106&lt;=0,"",IF(BU106="Aussen","Aussenlager",IF(BU106="-","Nicht im Lift",IF(AS106&gt;=1,"Lift",IF(AS106&lt;=0,"Aussenlager","teilweise")))))</f>
        <v>Lift</v>
      </c>
      <c r="BD106" s="55" t="str">
        <f aca="false">IF(AV106&lt;=0,"",IF(BU106="Aussen","Aussenlager",IF(BU106="-","Nicht im Lift",IF(BA106&gt;=1,"Lift",IF(BA106&lt;=0,"Aussenlager","teilweise")))))</f>
        <v>Lift</v>
      </c>
      <c r="BE106" s="55" t="str">
        <f aca="false">IF(A106="","",IF(BN106=1,"Neu; ","")&amp;IF(AND(BN106=0,BI106&lt;0),"negativer Bestand (Export "&amp;BI106&amp;"); ","")&amp;IF(I106&lt;=0,"Kein Verbrauch; ","")&amp;IF(CD106&gt;0,"Lift "&amp;U106&amp;" lt. Liftbericht (Fach "&amp;V106&amp;" Stk); ",IF(BR106=1,"Lose – Fläche geschätzt; ",""))&amp;IF(G106&gt;AP106,"Überbestand "&amp;ROUND(G106-AP106,0)&amp;" Stk / CHF "&amp;ROUND((G106-AP106)*F106,0)&amp;"; ","")&amp;IF(AND(BW106=1,BX106&lt;BY106),"MAX &lt; MB+LG; ","")&amp;IF(AND(CC106&gt;0,CB106*10&gt;CC106),"zu hoch für Tablar; ","")&amp;IF(AND(BN106=0,OR(BW106=1,Y106&lt;&gt;"",S106&lt;&gt;"",T106&lt;&gt;"",Z106&lt;&gt;"")),"manuell übersteuert; ","")&amp;IF(AND(BR106=0,Q106=0),"Gebinde unbekannt / Stellmass fehlt; ","")&amp;IF(AND(BR106=0,N(T106)&lt;=0,N(P106)&lt;=0),"Menge pro Gebinde fehlt (Ist = 1 Gebinde); ","")&amp;BM106)</f>
        <v/>
      </c>
      <c r="BF106" s="55"/>
      <c r="BG106" s="55"/>
      <c r="BH106" s="62"/>
      <c r="BI106" s="57" t="n">
        <v>119</v>
      </c>
      <c r="BJ106" s="57" t="n">
        <v>95</v>
      </c>
      <c r="BK106" s="56" t="n">
        <v>2236.92</v>
      </c>
      <c r="BL106" s="57" t="n">
        <v>618</v>
      </c>
      <c r="BM106" s="55"/>
      <c r="BN106" s="60" t="n">
        <v>0</v>
      </c>
      <c r="BO106" s="60" t="n">
        <v>106</v>
      </c>
      <c r="BP106" s="55" t="str">
        <f aca="false">IF(S106&lt;&gt;"",UPPER(TRIM(S106)),IF(O106="","LOSE",O106))</f>
        <v>S22</v>
      </c>
      <c r="BQ106" s="57" t="n">
        <f aca="false">IF(BP106="LOSE",1,IF(N(T106)&gt;0,T106,IF(N(P106)&gt;0,P106,MAX(1,G106))))</f>
        <v>333</v>
      </c>
      <c r="BR106" s="60" t="n">
        <f aca="false">IF(BP106="LOSE",1,0)</f>
        <v>0</v>
      </c>
      <c r="BS106" s="59" t="n">
        <f aca="false">IF(BR106=0,0,IF(N(R106)&gt;0,R106,IFERROR(VLOOKUP(D106,Parameter!$A$35:$C$64,3,0)+0,0)))</f>
        <v>0</v>
      </c>
      <c r="BT106" s="55" t="n">
        <f aca="false">IF(Y106&lt;&gt;"",Y106,X106)</f>
        <v>3</v>
      </c>
      <c r="BU106" s="55" t="str">
        <f aca="false">IF(BT106=1,"L1",IF(OR(BT106=2,BT106=3),"L23",IF(BT106="Aussen","Aussen","-")))</f>
        <v>L23</v>
      </c>
      <c r="BV106" s="66" t="n">
        <f aca="false">IF(N(Z106)&gt;0,Z106,0)</f>
        <v>0</v>
      </c>
      <c r="BW106" s="60" t="n">
        <f aca="false">IF(ISNUMBER(AC106),1,0)</f>
        <v>0</v>
      </c>
      <c r="BX106" s="57" t="n">
        <f aca="false">N(AC106)</f>
        <v>0</v>
      </c>
      <c r="BY106" s="57" t="n">
        <f aca="false">N(L106)+N(M106)</f>
        <v>136</v>
      </c>
      <c r="BZ106" s="57" t="n">
        <f aca="false">ROUNDUP(G106/BQ106,0)</f>
        <v>1</v>
      </c>
      <c r="CA106" s="57" t="n">
        <f aca="false">ROUNDUP(BX106/BQ106,0)</f>
        <v>0</v>
      </c>
      <c r="CB106" s="60" t="n">
        <f aca="false">IF(BR106=1,0,IFERROR(VLOOKUP(BP106,'Gebinde-Kategorie'!$A$5:$M$45,5,0)+0,0))</f>
        <v>8</v>
      </c>
      <c r="CC106" s="60" t="n">
        <f aca="false">IFERROR(IF(OR(BT106=1,BT106=2,BT106=3),N(INDEX(Parameter!$I$5:$I$7,BT106)),0),0)</f>
        <v>0</v>
      </c>
      <c r="CD106" s="59" t="n">
        <f aca="false">IF(AND(Parameter!$B$21="Ja",ISNUMBER(U106),N(V106)&gt;0),IFERROR(N(INDEX(Parameter!$L$5:$L$7,U106))*INDEX(Parameter!$E$5:$E$7,U106)*V106/SUMIFS($V$7:$V$1576,$U$7:$U$1576,U106),0),0)</f>
        <v>0</v>
      </c>
    </row>
    <row r="107" customFormat="false" ht="15" hidden="false" customHeight="false" outlineLevel="0" collapsed="false">
      <c r="A107" s="55" t="s">
        <v>417</v>
      </c>
      <c r="B107" s="55" t="s">
        <v>283</v>
      </c>
      <c r="C107" s="55" t="s">
        <v>160</v>
      </c>
      <c r="D107" s="55" t="s">
        <v>178</v>
      </c>
      <c r="E107" s="55" t="s">
        <v>210</v>
      </c>
      <c r="F107" s="56" t="n">
        <v>160.1</v>
      </c>
      <c r="G107" s="57" t="n">
        <f aca="false">MAX(0,IF(AND(Parameter!$B$21="Ja",ISNUMBER(W107)),W107,IF(Parameter!$B$20="Jahresanfang 2025 + Export",BJ107+BI107,BI107)))</f>
        <v>12</v>
      </c>
      <c r="H107" s="57" t="n">
        <f aca="false">G107*F107</f>
        <v>1921.2</v>
      </c>
      <c r="I107" s="57" t="n">
        <f aca="false">BL107*Parameter!$B$18</f>
        <v>90</v>
      </c>
      <c r="J107" s="58" t="n">
        <v>30</v>
      </c>
      <c r="K107" s="59" t="n">
        <v>3</v>
      </c>
      <c r="L107" s="57" t="n">
        <v>10</v>
      </c>
      <c r="M107" s="57" t="n">
        <v>35</v>
      </c>
      <c r="N107" s="60" t="n">
        <v>30</v>
      </c>
      <c r="O107" s="55" t="s">
        <v>293</v>
      </c>
      <c r="P107" s="57" t="n">
        <v>37</v>
      </c>
      <c r="Q107" s="60" t="n">
        <f aca="false">IF(BR107=1,0,IFERROR(VLOOKUP(BP107,'Gebinde-Kategorie'!$A$5:$M$45,13,0)+0,0))</f>
        <v>26</v>
      </c>
      <c r="R107" s="61"/>
      <c r="S107" s="62"/>
      <c r="T107" s="62"/>
      <c r="U107" s="55"/>
      <c r="V107" s="57"/>
      <c r="W107" s="57"/>
      <c r="X107" s="55" t="n">
        <f aca="false">IF(A107="","",IF(AND(Parameter!$B$21="Ja",ISNUMBER(U107)),U107,IF(IFERROR(VLOOKUP(D107,Parameter!$A$35:$C$64,2,0),"Nein")="2+3",IF(ISNUMBER(SEARCH("grosser Artikel",BM107)),2,IFERROR(VLOOKUP(BP107,Parameter!$F$35:$G$64,2,0),2)),IF(OR(IFERROR(VLOOKUP(D107,Parameter!$A$35:$C$64,2,0),"Nein")="Nein",IFERROR(VLOOKUP(D107,Parameter!$A$35:$C$64,2,0),"Nein")=""),"-",VLOOKUP(D107,Parameter!$A$35:$C$64,2,0)))))</f>
        <v>3</v>
      </c>
      <c r="Y107" s="62"/>
      <c r="Z107" s="63"/>
      <c r="AA107" s="57" t="n">
        <f aca="false">AP107</f>
        <v>74</v>
      </c>
      <c r="AB107" s="57" t="n">
        <f aca="false">MAX(AP107,G107)</f>
        <v>74</v>
      </c>
      <c r="AC107" s="64"/>
      <c r="AD107" s="57" t="n">
        <f aca="false">IF(LEFT(Cockpit!$C$5,1)="A",G107,IF(BW107=1,BX107,IF(LEFT(Cockpit!$C$5,1)="B",AH107,MAX(AH107,G107))))</f>
        <v>12</v>
      </c>
      <c r="AE107" s="57" t="n">
        <f aca="false">IF(BR107=1,0,ROUNDUP(AD107/BQ107,0))</f>
        <v>1</v>
      </c>
      <c r="AF107" s="59" t="n">
        <f aca="false">IF(CD107&gt;0,CD107*MAX(1,AD107/V107),IF(BR107=1,IF(AD107&lt;=0,0,BS107*MAX(1,IF(G107&gt;0,AD107/G107,1))),IF(Q107&gt;0,AE107/Q107,0))/MAX(0.1,N(Parameter!$M$21)))</f>
        <v>0.0384615384615385</v>
      </c>
      <c r="AG107" s="57" t="n">
        <f aca="false">AD107*F107</f>
        <v>1921.2</v>
      </c>
      <c r="AH107" s="57" t="n">
        <f aca="false">ROUNDUP(MAX(I107/IF(BV107&gt;0,BV107,MAX(0.1,N(Cockpit!$C$6))),BY107)/BQ107,0)*BQ107</f>
        <v>74</v>
      </c>
      <c r="AI107" s="58" t="n">
        <f aca="false">IF(AF107&gt;0,I107/AF107,-1)</f>
        <v>2340</v>
      </c>
      <c r="AJ107" s="58" t="n">
        <f aca="false">IF(AND(OR(BU107="L1",BU107="L23"),AF107&gt;0),SUMIFS($AF$7:$AF$1576,$BU$7:$BU$1576,BU107,$AI$7:$AI$1576,"&gt;"&amp;AI107)+SUMIFS($AF$7:$AF$1576,$BU$7:$BU$1576,BU107,$AI$7:$AI$1576,AI107,$BO$7:$BO$1576,"&lt;="&amp;BO107),"")</f>
        <v>5.9374291409074</v>
      </c>
      <c r="AK107" s="65" t="n">
        <f aca="false">IF(AJ107="",0,MAX(0,MIN(1,(IF(BU107="L1",Parameter!$E$5,Parameter!$E$6+Parameter!$E$7)-(AJ107-AF107))/AF107)))</f>
        <v>1</v>
      </c>
      <c r="AL107" s="57" t="n">
        <f aca="false">IF(LEFT(Cockpit!$I$5,1)="A",G107,IF(BW107=1,BX107,IF(LEFT(Cockpit!$I$5,1)="B",AP107,MAX(AP107,G107))))</f>
        <v>74</v>
      </c>
      <c r="AM107" s="57" t="n">
        <f aca="false">IF(BR107=1,0,ROUNDUP(AL107/BQ107,0))</f>
        <v>2</v>
      </c>
      <c r="AN107" s="59" t="n">
        <f aca="false">IF(CD107&gt;0,CD107*MAX(1,AL107/V107),IF(BR107=1,IF(AL107&lt;=0,0,BS107*MAX(1,IF(G107&gt;0,AL107/G107,1))),IF(Q107&gt;0,AM107/Q107,0))/MAX(0.1,N(Parameter!$M$21)))</f>
        <v>0.0769230769230769</v>
      </c>
      <c r="AO107" s="57" t="n">
        <f aca="false">AL107*F107</f>
        <v>11847.4</v>
      </c>
      <c r="AP107" s="57" t="n">
        <f aca="false">ROUNDUP(MAX(I107/IF(BV107&gt;0,BV107,MAX(0.1,N(Cockpit!$I$6))),BY107)/BQ107,0)*BQ107</f>
        <v>74</v>
      </c>
      <c r="AQ107" s="58" t="n">
        <f aca="false">IF(AN107&gt;0,I107/AN107,-1)</f>
        <v>1170</v>
      </c>
      <c r="AR107" s="58" t="n">
        <f aca="false">IF(AND(OR(BU107="L1",BU107="L23"),AN107&gt;0),SUMIFS($AN$7:$AN$1576,$BU$7:$BU$1576,BU107,$AQ$7:$AQ$1576,"&gt;"&amp;AQ107)+SUMIFS($AN$7:$AN$1576,$BU$7:$BU$1576,BU107,$AQ$7:$AQ$1576,AQ107,$BO$7:$BO$1576,"&lt;="&amp;BO107),"")</f>
        <v>21.1922539420477</v>
      </c>
      <c r="AS107" s="65" t="n">
        <f aca="false">IF(AR107="",0,MAX(0,MIN(1,(IF(BU107="L1",Parameter!$E$5,Parameter!$E$6+Parameter!$E$7)-(AR107-AN107))/AN107)))</f>
        <v>1</v>
      </c>
      <c r="AT107" s="57" t="n">
        <f aca="false">IF(LEFT(Cockpit!$O$5,1)="A",G107,IF(BW107=1,BX107,IF(LEFT(Cockpit!$O$5,1)="B",AX107,MAX(AX107,G107))))</f>
        <v>74</v>
      </c>
      <c r="AU107" s="57" t="n">
        <f aca="false">IF(BR107=1,0,ROUNDUP(AT107/BQ107,0))</f>
        <v>2</v>
      </c>
      <c r="AV107" s="59" t="n">
        <f aca="false">IF(CD107&gt;0,CD107*MAX(1,AT107/V107),IF(BR107=1,IF(AT107&lt;=0,0,BS107*MAX(1,IF(G107&gt;0,AT107/G107,1))),IF(Q107&gt;0,AU107/Q107,0))/MAX(0.1,N(Parameter!$M$21)))</f>
        <v>0.0769230769230769</v>
      </c>
      <c r="AW107" s="57" t="n">
        <f aca="false">AT107*F107</f>
        <v>11847.4</v>
      </c>
      <c r="AX107" s="57" t="n">
        <f aca="false">ROUNDUP(MAX(I107/IF(BV107&gt;0,BV107,MAX(0.1,N(Cockpit!$O$6))),BY107)/BQ107,0)*BQ107</f>
        <v>74</v>
      </c>
      <c r="AY107" s="58" t="n">
        <f aca="false">IF(AV107&gt;0,I107/AV107,-1)</f>
        <v>1170</v>
      </c>
      <c r="AZ107" s="58" t="n">
        <f aca="false">IF(AND(OR(BU107="L1",BU107="L23"),AV107&gt;0),SUMIFS($AV$7:$AV$1576,$BU$7:$BU$1576,BU107,$AY$7:$AY$1576,"&gt;"&amp;AY107)+SUMIFS($AV$7:$AV$1576,$BU$7:$BU$1576,BU107,$AY$7:$AY$1576,AY107,$BO$7:$BO$1576,"&lt;="&amp;BO107),"")</f>
        <v>20.5028600026538</v>
      </c>
      <c r="BA107" s="65" t="n">
        <f aca="false">IF(AZ107="",0,MAX(0,MIN(1,(IF(BU107="L1",Parameter!$E$5,Parameter!$E$6+Parameter!$E$7)-(AZ107-AV107))/AV107)))</f>
        <v>1</v>
      </c>
      <c r="BB107" s="55" t="str">
        <f aca="false">IF(AF107&lt;=0,"",IF(BU107="Aussen","Aussenlager",IF(BU107="-","Nicht im Lift",IF(AK107&gt;=1,"Lift",IF(AK107&lt;=0,"Aussenlager","teilweise")))))</f>
        <v>Lift</v>
      </c>
      <c r="BC107" s="55" t="str">
        <f aca="false">IF(AN107&lt;=0,"",IF(BU107="Aussen","Aussenlager",IF(BU107="-","Nicht im Lift",IF(AS107&gt;=1,"Lift",IF(AS107&lt;=0,"Aussenlager","teilweise")))))</f>
        <v>Lift</v>
      </c>
      <c r="BD107" s="55" t="str">
        <f aca="false">IF(AV107&lt;=0,"",IF(BU107="Aussen","Aussenlager",IF(BU107="-","Nicht im Lift",IF(BA107&gt;=1,"Lift",IF(BA107&lt;=0,"Aussenlager","teilweise")))))</f>
        <v>Lift</v>
      </c>
      <c r="BE107" s="55" t="str">
        <f aca="false">IF(A107="","",IF(BN107=1,"Neu; ","")&amp;IF(AND(BN107=0,BI107&lt;0),"negativer Bestand (Export "&amp;BI107&amp;"); ","")&amp;IF(I107&lt;=0,"Kein Verbrauch; ","")&amp;IF(CD107&gt;0,"Lift "&amp;U107&amp;" lt. Liftbericht (Fach "&amp;V107&amp;" Stk); ",IF(BR107=1,"Lose – Fläche geschätzt; ",""))&amp;IF(G107&gt;AP107,"Überbestand "&amp;ROUND(G107-AP107,0)&amp;" Stk / CHF "&amp;ROUND((G107-AP107)*F107,0)&amp;"; ","")&amp;IF(AND(BW107=1,BX107&lt;BY107),"MAX &lt; MB+LG; ","")&amp;IF(AND(CC107&gt;0,CB107*10&gt;CC107),"zu hoch für Tablar; ","")&amp;IF(AND(BN107=0,OR(BW107=1,Y107&lt;&gt;"",S107&lt;&gt;"",T107&lt;&gt;"",Z107&lt;&gt;"")),"manuell übersteuert; ","")&amp;IF(AND(BR107=0,Q107=0),"Gebinde unbekannt / Stellmass fehlt; ","")&amp;IF(AND(BR107=0,N(T107)&lt;=0,N(P107)&lt;=0),"Menge pro Gebinde fehlt (Ist = 1 Gebinde); ","")&amp;BM107)</f>
        <v/>
      </c>
      <c r="BF107" s="55"/>
      <c r="BG107" s="55"/>
      <c r="BH107" s="62"/>
      <c r="BI107" s="57" t="n">
        <v>12</v>
      </c>
      <c r="BJ107" s="57" t="n">
        <v>25</v>
      </c>
      <c r="BK107" s="56" t="n">
        <v>2199.6</v>
      </c>
      <c r="BL107" s="57" t="n">
        <v>90</v>
      </c>
      <c r="BM107" s="55"/>
      <c r="BN107" s="60" t="n">
        <v>0</v>
      </c>
      <c r="BO107" s="60" t="n">
        <v>107</v>
      </c>
      <c r="BP107" s="55" t="str">
        <f aca="false">IF(S107&lt;&gt;"",UPPER(TRIM(S107)),IF(O107="","LOSE",O107))</f>
        <v>S51</v>
      </c>
      <c r="BQ107" s="57" t="n">
        <f aca="false">IF(BP107="LOSE",1,IF(N(T107)&gt;0,T107,IF(N(P107)&gt;0,P107,MAX(1,G107))))</f>
        <v>37</v>
      </c>
      <c r="BR107" s="60" t="n">
        <f aca="false">IF(BP107="LOSE",1,0)</f>
        <v>0</v>
      </c>
      <c r="BS107" s="59" t="n">
        <f aca="false">IF(BR107=0,0,IF(N(R107)&gt;0,R107,IFERROR(VLOOKUP(D107,Parameter!$A$35:$C$64,3,0)+0,0)))</f>
        <v>0</v>
      </c>
      <c r="BT107" s="55" t="n">
        <f aca="false">IF(Y107&lt;&gt;"",Y107,X107)</f>
        <v>3</v>
      </c>
      <c r="BU107" s="55" t="str">
        <f aca="false">IF(BT107=1,"L1",IF(OR(BT107=2,BT107=3),"L23",IF(BT107="Aussen","Aussen","-")))</f>
        <v>L23</v>
      </c>
      <c r="BV107" s="66" t="n">
        <f aca="false">IF(N(Z107)&gt;0,Z107,0)</f>
        <v>0</v>
      </c>
      <c r="BW107" s="60" t="n">
        <f aca="false">IF(ISNUMBER(AC107),1,0)</f>
        <v>0</v>
      </c>
      <c r="BX107" s="57" t="n">
        <f aca="false">N(AC107)</f>
        <v>0</v>
      </c>
      <c r="BY107" s="57" t="n">
        <f aca="false">N(L107)+N(M107)</f>
        <v>45</v>
      </c>
      <c r="BZ107" s="57" t="n">
        <f aca="false">ROUNDUP(G107/BQ107,0)</f>
        <v>1</v>
      </c>
      <c r="CA107" s="57" t="n">
        <f aca="false">ROUNDUP(BX107/BQ107,0)</f>
        <v>0</v>
      </c>
      <c r="CB107" s="60" t="n">
        <f aca="false">IF(BR107=1,0,IFERROR(VLOOKUP(BP107,'Gebinde-Kategorie'!$A$5:$M$45,5,0)+0,0))</f>
        <v>11</v>
      </c>
      <c r="CC107" s="60" t="n">
        <f aca="false">IFERROR(IF(OR(BT107=1,BT107=2,BT107=3),N(INDEX(Parameter!$I$5:$I$7,BT107)),0),0)</f>
        <v>0</v>
      </c>
      <c r="CD107" s="59" t="n">
        <f aca="false">IF(AND(Parameter!$B$21="Ja",ISNUMBER(U107),N(V107)&gt;0),IFERROR(N(INDEX(Parameter!$L$5:$L$7,U107))*INDEX(Parameter!$E$5:$E$7,U107)*V107/SUMIFS($V$7:$V$1576,$U$7:$U$1576,U107),0),0)</f>
        <v>0</v>
      </c>
    </row>
    <row r="108" customFormat="false" ht="15" hidden="false" customHeight="false" outlineLevel="0" collapsed="false">
      <c r="A108" s="55" t="s">
        <v>418</v>
      </c>
      <c r="B108" s="55" t="s">
        <v>419</v>
      </c>
      <c r="C108" s="55" t="s">
        <v>160</v>
      </c>
      <c r="D108" s="55" t="s">
        <v>178</v>
      </c>
      <c r="E108" s="55" t="s">
        <v>210</v>
      </c>
      <c r="F108" s="56" t="n">
        <v>57.81</v>
      </c>
      <c r="G108" s="57" t="n">
        <f aca="false">MAX(0,IF(AND(Parameter!$B$21="Ja",ISNUMBER(W108)),W108,IF(Parameter!$B$20="Jahresanfang 2025 + Export",BJ108+BI108,BI108)))</f>
        <v>38</v>
      </c>
      <c r="H108" s="57" t="n">
        <f aca="false">G108*F108</f>
        <v>2196.78</v>
      </c>
      <c r="I108" s="57" t="n">
        <f aca="false">BL108*Parameter!$B$18</f>
        <v>90</v>
      </c>
      <c r="J108" s="58" t="n">
        <v>32</v>
      </c>
      <c r="K108" s="59" t="n">
        <v>2.8125</v>
      </c>
      <c r="L108" s="57" t="n">
        <v>20</v>
      </c>
      <c r="M108" s="57" t="n">
        <v>55</v>
      </c>
      <c r="N108" s="60" t="n">
        <v>70</v>
      </c>
      <c r="O108" s="55" t="s">
        <v>225</v>
      </c>
      <c r="P108" s="57" t="n">
        <v>50</v>
      </c>
      <c r="Q108" s="60" t="n">
        <f aca="false">IF(BR108=1,0,IFERROR(VLOOKUP(BP108,'Gebinde-Kategorie'!$A$5:$M$45,13,0)+0,0))</f>
        <v>26</v>
      </c>
      <c r="R108" s="61"/>
      <c r="S108" s="62"/>
      <c r="T108" s="62"/>
      <c r="U108" s="55"/>
      <c r="V108" s="57"/>
      <c r="W108" s="57"/>
      <c r="X108" s="55" t="n">
        <f aca="false">IF(A108="","",IF(AND(Parameter!$B$21="Ja",ISNUMBER(U108)),U108,IF(IFERROR(VLOOKUP(D108,Parameter!$A$35:$C$64,2,0),"Nein")="2+3",IF(ISNUMBER(SEARCH("grosser Artikel",BM108)),2,IFERROR(VLOOKUP(BP108,Parameter!$F$35:$G$64,2,0),2)),IF(OR(IFERROR(VLOOKUP(D108,Parameter!$A$35:$C$64,2,0),"Nein")="Nein",IFERROR(VLOOKUP(D108,Parameter!$A$35:$C$64,2,0),"Nein")=""),"-",VLOOKUP(D108,Parameter!$A$35:$C$64,2,0)))))</f>
        <v>3</v>
      </c>
      <c r="Y108" s="62"/>
      <c r="Z108" s="63"/>
      <c r="AA108" s="57" t="n">
        <f aca="false">AP108</f>
        <v>100</v>
      </c>
      <c r="AB108" s="57" t="n">
        <f aca="false">MAX(AP108,G108)</f>
        <v>100</v>
      </c>
      <c r="AC108" s="64"/>
      <c r="AD108" s="57" t="n">
        <f aca="false">IF(LEFT(Cockpit!$C$5,1)="A",G108,IF(BW108=1,BX108,IF(LEFT(Cockpit!$C$5,1)="B",AH108,MAX(AH108,G108))))</f>
        <v>38</v>
      </c>
      <c r="AE108" s="57" t="n">
        <f aca="false">IF(BR108=1,0,ROUNDUP(AD108/BQ108,0))</f>
        <v>1</v>
      </c>
      <c r="AF108" s="59" t="n">
        <f aca="false">IF(CD108&gt;0,CD108*MAX(1,AD108/V108),IF(BR108=1,IF(AD108&lt;=0,0,BS108*MAX(1,IF(G108&gt;0,AD108/G108,1))),IF(Q108&gt;0,AE108/Q108,0))/MAX(0.1,N(Parameter!$M$21)))</f>
        <v>0.0384615384615385</v>
      </c>
      <c r="AG108" s="57" t="n">
        <f aca="false">AD108*F108</f>
        <v>2196.78</v>
      </c>
      <c r="AH108" s="57" t="n">
        <f aca="false">ROUNDUP(MAX(I108/IF(BV108&gt;0,BV108,MAX(0.1,N(Cockpit!$C$6))),BY108)/BQ108,0)*BQ108</f>
        <v>100</v>
      </c>
      <c r="AI108" s="58" t="n">
        <f aca="false">IF(AF108&gt;0,I108/AF108,-1)</f>
        <v>2340</v>
      </c>
      <c r="AJ108" s="58" t="n">
        <f aca="false">IF(AND(OR(BU108="L1",BU108="L23"),AF108&gt;0),SUMIFS($AF$7:$AF$1576,$BU$7:$BU$1576,BU108,$AI$7:$AI$1576,"&gt;"&amp;AI108)+SUMIFS($AF$7:$AF$1576,$BU$7:$BU$1576,BU108,$AI$7:$AI$1576,AI108,$BO$7:$BO$1576,"&lt;="&amp;BO108),"")</f>
        <v>5.97589067936894</v>
      </c>
      <c r="AK108" s="65" t="n">
        <f aca="false">IF(AJ108="",0,MAX(0,MIN(1,(IF(BU108="L1",Parameter!$E$5,Parameter!$E$6+Parameter!$E$7)-(AJ108-AF108))/AF108)))</f>
        <v>1</v>
      </c>
      <c r="AL108" s="57" t="n">
        <f aca="false">IF(LEFT(Cockpit!$I$5,1)="A",G108,IF(BW108=1,BX108,IF(LEFT(Cockpit!$I$5,1)="B",AP108,MAX(AP108,G108))))</f>
        <v>100</v>
      </c>
      <c r="AM108" s="57" t="n">
        <f aca="false">IF(BR108=1,0,ROUNDUP(AL108/BQ108,0))</f>
        <v>2</v>
      </c>
      <c r="AN108" s="59" t="n">
        <f aca="false">IF(CD108&gt;0,CD108*MAX(1,AL108/V108),IF(BR108=1,IF(AL108&lt;=0,0,BS108*MAX(1,IF(G108&gt;0,AL108/G108,1))),IF(Q108&gt;0,AM108/Q108,0))/MAX(0.1,N(Parameter!$M$21)))</f>
        <v>0.0769230769230769</v>
      </c>
      <c r="AO108" s="57" t="n">
        <f aca="false">AL108*F108</f>
        <v>5781</v>
      </c>
      <c r="AP108" s="57" t="n">
        <f aca="false">ROUNDUP(MAX(I108/IF(BV108&gt;0,BV108,MAX(0.1,N(Cockpit!$I$6))),BY108)/BQ108,0)*BQ108</f>
        <v>100</v>
      </c>
      <c r="AQ108" s="58" t="n">
        <f aca="false">IF(AN108&gt;0,I108/AN108,-1)</f>
        <v>1170</v>
      </c>
      <c r="AR108" s="58" t="n">
        <f aca="false">IF(AND(OR(BU108="L1",BU108="L23"),AN108&gt;0),SUMIFS($AN$7:$AN$1576,$BU$7:$BU$1576,BU108,$AQ$7:$AQ$1576,"&gt;"&amp;AQ108)+SUMIFS($AN$7:$AN$1576,$BU$7:$BU$1576,BU108,$AQ$7:$AQ$1576,AQ108,$BO$7:$BO$1576,"&lt;="&amp;BO108),"")</f>
        <v>21.2691770189708</v>
      </c>
      <c r="AS108" s="65" t="n">
        <f aca="false">IF(AR108="",0,MAX(0,MIN(1,(IF(BU108="L1",Parameter!$E$5,Parameter!$E$6+Parameter!$E$7)-(AR108-AN108))/AN108)))</f>
        <v>1</v>
      </c>
      <c r="AT108" s="57" t="n">
        <f aca="false">IF(LEFT(Cockpit!$O$5,1)="A",G108,IF(BW108=1,BX108,IF(LEFT(Cockpit!$O$5,1)="B",AX108,MAX(AX108,G108))))</f>
        <v>100</v>
      </c>
      <c r="AU108" s="57" t="n">
        <f aca="false">IF(BR108=1,0,ROUNDUP(AT108/BQ108,0))</f>
        <v>2</v>
      </c>
      <c r="AV108" s="59" t="n">
        <f aca="false">IF(CD108&gt;0,CD108*MAX(1,AT108/V108),IF(BR108=1,IF(AT108&lt;=0,0,BS108*MAX(1,IF(G108&gt;0,AT108/G108,1))),IF(Q108&gt;0,AU108/Q108,0))/MAX(0.1,N(Parameter!$M$21)))</f>
        <v>0.0769230769230769</v>
      </c>
      <c r="AW108" s="57" t="n">
        <f aca="false">AT108*F108</f>
        <v>5781</v>
      </c>
      <c r="AX108" s="57" t="n">
        <f aca="false">ROUNDUP(MAX(I108/IF(BV108&gt;0,BV108,MAX(0.1,N(Cockpit!$O$6))),BY108)/BQ108,0)*BQ108</f>
        <v>100</v>
      </c>
      <c r="AY108" s="58" t="n">
        <f aca="false">IF(AV108&gt;0,I108/AV108,-1)</f>
        <v>1170</v>
      </c>
      <c r="AZ108" s="58" t="n">
        <f aca="false">IF(AND(OR(BU108="L1",BU108="L23"),AV108&gt;0),SUMIFS($AV$7:$AV$1576,$BU$7:$BU$1576,BU108,$AY$7:$AY$1576,"&gt;"&amp;AY108)+SUMIFS($AV$7:$AV$1576,$BU$7:$BU$1576,BU108,$AY$7:$AY$1576,AY108,$BO$7:$BO$1576,"&lt;="&amp;BO108),"")</f>
        <v>20.5797830795768</v>
      </c>
      <c r="BA108" s="65" t="n">
        <f aca="false">IF(AZ108="",0,MAX(0,MIN(1,(IF(BU108="L1",Parameter!$E$5,Parameter!$E$6+Parameter!$E$7)-(AZ108-AV108))/AV108)))</f>
        <v>1</v>
      </c>
      <c r="BB108" s="55" t="str">
        <f aca="false">IF(AF108&lt;=0,"",IF(BU108="Aussen","Aussenlager",IF(BU108="-","Nicht im Lift",IF(AK108&gt;=1,"Lift",IF(AK108&lt;=0,"Aussenlager","teilweise")))))</f>
        <v>Lift</v>
      </c>
      <c r="BC108" s="55" t="str">
        <f aca="false">IF(AN108&lt;=0,"",IF(BU108="Aussen","Aussenlager",IF(BU108="-","Nicht im Lift",IF(AS108&gt;=1,"Lift",IF(AS108&lt;=0,"Aussenlager","teilweise")))))</f>
        <v>Lift</v>
      </c>
      <c r="BD108" s="55" t="str">
        <f aca="false">IF(AV108&lt;=0,"",IF(BU108="Aussen","Aussenlager",IF(BU108="-","Nicht im Lift",IF(BA108&gt;=1,"Lift",IF(BA108&lt;=0,"Aussenlager","teilweise")))))</f>
        <v>Lift</v>
      </c>
      <c r="BE108" s="55" t="str">
        <f aca="false">IF(A108="","",IF(BN108=1,"Neu; ","")&amp;IF(AND(BN108=0,BI108&lt;0),"negativer Bestand (Export "&amp;BI108&amp;"); ","")&amp;IF(I108&lt;=0,"Kein Verbrauch; ","")&amp;IF(CD108&gt;0,"Lift "&amp;U108&amp;" lt. Liftbericht (Fach "&amp;V108&amp;" Stk); ",IF(BR108=1,"Lose – Fläche geschätzt; ",""))&amp;IF(G108&gt;AP108,"Überbestand "&amp;ROUND(G108-AP108,0)&amp;" Stk / CHF "&amp;ROUND((G108-AP108)*F108,0)&amp;"; ","")&amp;IF(AND(BW108=1,BX108&lt;BY108),"MAX &lt; MB+LG; ","")&amp;IF(AND(CC108&gt;0,CB108*10&gt;CC108),"zu hoch für Tablar; ","")&amp;IF(AND(BN108=0,OR(BW108=1,Y108&lt;&gt;"",S108&lt;&gt;"",T108&lt;&gt;"",Z108&lt;&gt;"")),"manuell übersteuert; ","")&amp;IF(AND(BR108=0,Q108=0),"Gebinde unbekannt / Stellmass fehlt; ","")&amp;IF(AND(BR108=0,N(T108)&lt;=0,N(P108)&lt;=0),"Menge pro Gebinde fehlt (Ist = 1 Gebinde); ","")&amp;BM108)</f>
        <v/>
      </c>
      <c r="BF108" s="55"/>
      <c r="BG108" s="55"/>
      <c r="BH108" s="62"/>
      <c r="BI108" s="57" t="n">
        <v>38</v>
      </c>
      <c r="BJ108" s="57" t="n">
        <v>15</v>
      </c>
      <c r="BK108" s="56" t="n">
        <v>2184.18</v>
      </c>
      <c r="BL108" s="57" t="n">
        <v>90</v>
      </c>
      <c r="BM108" s="55"/>
      <c r="BN108" s="60" t="n">
        <v>0</v>
      </c>
      <c r="BO108" s="60" t="n">
        <v>108</v>
      </c>
      <c r="BP108" s="55" t="str">
        <f aca="false">IF(S108&lt;&gt;"",UPPER(TRIM(S108)),IF(O108="","LOSE",O108))</f>
        <v>S52</v>
      </c>
      <c r="BQ108" s="57" t="n">
        <f aca="false">IF(BP108="LOSE",1,IF(N(T108)&gt;0,T108,IF(N(P108)&gt;0,P108,MAX(1,G108))))</f>
        <v>50</v>
      </c>
      <c r="BR108" s="60" t="n">
        <f aca="false">IF(BP108="LOSE",1,0)</f>
        <v>0</v>
      </c>
      <c r="BS108" s="59" t="n">
        <f aca="false">IF(BR108=0,0,IF(N(R108)&gt;0,R108,IFERROR(VLOOKUP(D108,Parameter!$A$35:$C$64,3,0)+0,0)))</f>
        <v>0</v>
      </c>
      <c r="BT108" s="55" t="n">
        <f aca="false">IF(Y108&lt;&gt;"",Y108,X108)</f>
        <v>3</v>
      </c>
      <c r="BU108" s="55" t="str">
        <f aca="false">IF(BT108=1,"L1",IF(OR(BT108=2,BT108=3),"L23",IF(BT108="Aussen","Aussen","-")))</f>
        <v>L23</v>
      </c>
      <c r="BV108" s="66" t="n">
        <f aca="false">IF(N(Z108)&gt;0,Z108,0)</f>
        <v>0</v>
      </c>
      <c r="BW108" s="60" t="n">
        <f aca="false">IF(ISNUMBER(AC108),1,0)</f>
        <v>0</v>
      </c>
      <c r="BX108" s="57" t="n">
        <f aca="false">N(AC108)</f>
        <v>0</v>
      </c>
      <c r="BY108" s="57" t="n">
        <f aca="false">N(L108)+N(M108)</f>
        <v>75</v>
      </c>
      <c r="BZ108" s="57" t="n">
        <f aca="false">ROUNDUP(G108/BQ108,0)</f>
        <v>1</v>
      </c>
      <c r="CA108" s="57" t="n">
        <f aca="false">ROUNDUP(BX108/BQ108,0)</f>
        <v>0</v>
      </c>
      <c r="CB108" s="60" t="n">
        <f aca="false">IF(BR108=1,0,IFERROR(VLOOKUP(BP108,'Gebinde-Kategorie'!$A$5:$M$45,5,0)+0,0))</f>
        <v>21</v>
      </c>
      <c r="CC108" s="60" t="n">
        <f aca="false">IFERROR(IF(OR(BT108=1,BT108=2,BT108=3),N(INDEX(Parameter!$I$5:$I$7,BT108)),0),0)</f>
        <v>0</v>
      </c>
      <c r="CD108" s="59" t="n">
        <f aca="false">IF(AND(Parameter!$B$21="Ja",ISNUMBER(U108),N(V108)&gt;0),IFERROR(N(INDEX(Parameter!$L$5:$L$7,U108))*INDEX(Parameter!$E$5:$E$7,U108)*V108/SUMIFS($V$7:$V$1576,$U$7:$U$1576,U108),0),0)</f>
        <v>0</v>
      </c>
    </row>
    <row r="109" customFormat="false" ht="15" hidden="false" customHeight="false" outlineLevel="0" collapsed="false">
      <c r="A109" s="55" t="s">
        <v>420</v>
      </c>
      <c r="B109" s="55" t="s">
        <v>421</v>
      </c>
      <c r="C109" s="55" t="s">
        <v>160</v>
      </c>
      <c r="D109" s="55" t="s">
        <v>178</v>
      </c>
      <c r="E109" s="55" t="s">
        <v>210</v>
      </c>
      <c r="F109" s="56" t="n">
        <v>251.24</v>
      </c>
      <c r="G109" s="57" t="n">
        <f aca="false">MAX(0,IF(AND(Parameter!$B$21="Ja",ISNUMBER(W109)),W109,IF(Parameter!$B$20="Jahresanfang 2025 + Export",BJ109+BI109,BI109)))</f>
        <v>8</v>
      </c>
      <c r="H109" s="57" t="n">
        <f aca="false">G109*F109</f>
        <v>2009.92</v>
      </c>
      <c r="I109" s="57" t="n">
        <f aca="false">BL109*Parameter!$B$18</f>
        <v>16</v>
      </c>
      <c r="J109" s="58" t="n">
        <v>17</v>
      </c>
      <c r="K109" s="59" t="n">
        <v>0.941176470588235</v>
      </c>
      <c r="L109" s="57" t="n">
        <v>2</v>
      </c>
      <c r="M109" s="57" t="n">
        <v>10</v>
      </c>
      <c r="N109" s="60" t="n">
        <v>35</v>
      </c>
      <c r="O109" s="55" t="s">
        <v>225</v>
      </c>
      <c r="P109" s="57" t="n">
        <v>22</v>
      </c>
      <c r="Q109" s="60" t="n">
        <f aca="false">IF(BR109=1,0,IFERROR(VLOOKUP(BP109,'Gebinde-Kategorie'!$A$5:$M$45,13,0)+0,0))</f>
        <v>26</v>
      </c>
      <c r="R109" s="61"/>
      <c r="S109" s="62"/>
      <c r="T109" s="62"/>
      <c r="U109" s="55"/>
      <c r="V109" s="57"/>
      <c r="W109" s="57"/>
      <c r="X109" s="55" t="n">
        <f aca="false">IF(A109="","",IF(AND(Parameter!$B$21="Ja",ISNUMBER(U109)),U109,IF(IFERROR(VLOOKUP(D109,Parameter!$A$35:$C$64,2,0),"Nein")="2+3",IF(ISNUMBER(SEARCH("grosser Artikel",BM109)),2,IFERROR(VLOOKUP(BP109,Parameter!$F$35:$G$64,2,0),2)),IF(OR(IFERROR(VLOOKUP(D109,Parameter!$A$35:$C$64,2,0),"Nein")="Nein",IFERROR(VLOOKUP(D109,Parameter!$A$35:$C$64,2,0),"Nein")=""),"-",VLOOKUP(D109,Parameter!$A$35:$C$64,2,0)))))</f>
        <v>3</v>
      </c>
      <c r="Y109" s="62"/>
      <c r="Z109" s="63"/>
      <c r="AA109" s="57" t="n">
        <f aca="false">AP109</f>
        <v>22</v>
      </c>
      <c r="AB109" s="57" t="n">
        <f aca="false">MAX(AP109,G109)</f>
        <v>22</v>
      </c>
      <c r="AC109" s="64"/>
      <c r="AD109" s="57" t="n">
        <f aca="false">IF(LEFT(Cockpit!$C$5,1)="A",G109,IF(BW109=1,BX109,IF(LEFT(Cockpit!$C$5,1)="B",AH109,MAX(AH109,G109))))</f>
        <v>8</v>
      </c>
      <c r="AE109" s="57" t="n">
        <f aca="false">IF(BR109=1,0,ROUNDUP(AD109/BQ109,0))</f>
        <v>1</v>
      </c>
      <c r="AF109" s="59" t="n">
        <f aca="false">IF(CD109&gt;0,CD109*MAX(1,AD109/V109),IF(BR109=1,IF(AD109&lt;=0,0,BS109*MAX(1,IF(G109&gt;0,AD109/G109,1))),IF(Q109&gt;0,AE109/Q109,0))/MAX(0.1,N(Parameter!$M$21)))</f>
        <v>0.0384615384615385</v>
      </c>
      <c r="AG109" s="57" t="n">
        <f aca="false">AD109*F109</f>
        <v>2009.92</v>
      </c>
      <c r="AH109" s="57" t="n">
        <f aca="false">ROUNDUP(MAX(I109/IF(BV109&gt;0,BV109,MAX(0.1,N(Cockpit!$C$6))),BY109)/BQ109,0)*BQ109</f>
        <v>22</v>
      </c>
      <c r="AI109" s="58" t="n">
        <f aca="false">IF(AF109&gt;0,I109/AF109,-1)</f>
        <v>416</v>
      </c>
      <c r="AJ109" s="58" t="n">
        <f aca="false">IF(AND(OR(BU109="L1",BU109="L23"),AF109&gt;0),SUMIFS($AF$7:$AF$1576,$BU$7:$BU$1576,BU109,$AI$7:$AI$1576,"&gt;"&amp;AI109)+SUMIFS($AF$7:$AF$1576,$BU$7:$BU$1576,BU109,$AI$7:$AI$1576,AI109,$BO$7:$BO$1576,"&lt;="&amp;BO109),"")</f>
        <v>13.2263670146279</v>
      </c>
      <c r="AK109" s="65" t="n">
        <f aca="false">IF(AJ109="",0,MAX(0,MIN(1,(IF(BU109="L1",Parameter!$E$5,Parameter!$E$6+Parameter!$E$7)-(AJ109-AF109))/AF109)))</f>
        <v>1</v>
      </c>
      <c r="AL109" s="57" t="n">
        <f aca="false">IF(LEFT(Cockpit!$I$5,1)="A",G109,IF(BW109=1,BX109,IF(LEFT(Cockpit!$I$5,1)="B",AP109,MAX(AP109,G109))))</f>
        <v>22</v>
      </c>
      <c r="AM109" s="57" t="n">
        <f aca="false">IF(BR109=1,0,ROUNDUP(AL109/BQ109,0))</f>
        <v>1</v>
      </c>
      <c r="AN109" s="59" t="n">
        <f aca="false">IF(CD109&gt;0,CD109*MAX(1,AL109/V109),IF(BR109=1,IF(AL109&lt;=0,0,BS109*MAX(1,IF(G109&gt;0,AL109/G109,1))),IF(Q109&gt;0,AM109/Q109,0))/MAX(0.1,N(Parameter!$M$21)))</f>
        <v>0.0384615384615385</v>
      </c>
      <c r="AO109" s="57" t="n">
        <f aca="false">AL109*F109</f>
        <v>5527.28</v>
      </c>
      <c r="AP109" s="57" t="n">
        <f aca="false">ROUNDUP(MAX(I109/IF(BV109&gt;0,BV109,MAX(0.1,N(Cockpit!$I$6))),BY109)/BQ109,0)*BQ109</f>
        <v>22</v>
      </c>
      <c r="AQ109" s="58" t="n">
        <f aca="false">IF(AN109&gt;0,I109/AN109,-1)</f>
        <v>416</v>
      </c>
      <c r="AR109" s="58" t="n">
        <f aca="false">IF(AND(OR(BU109="L1",BU109="L23"),AN109&gt;0),SUMIFS($AN$7:$AN$1576,$BU$7:$BU$1576,BU109,$AQ$7:$AQ$1576,"&gt;"&amp;AQ109)+SUMIFS($AN$7:$AN$1576,$BU$7:$BU$1576,BU109,$AQ$7:$AQ$1576,AQ109,$BO$7:$BO$1576,"&lt;="&amp;BO109),"")</f>
        <v>36.1834622506473</v>
      </c>
      <c r="AS109" s="65" t="n">
        <f aca="false">IF(AR109="",0,MAX(0,MIN(1,(IF(BU109="L1",Parameter!$E$5,Parameter!$E$6+Parameter!$E$7)-(AR109-AN109))/AN109)))</f>
        <v>1</v>
      </c>
      <c r="AT109" s="57" t="n">
        <f aca="false">IF(LEFT(Cockpit!$O$5,1)="A",G109,IF(BW109=1,BX109,IF(LEFT(Cockpit!$O$5,1)="B",AX109,MAX(AX109,G109))))</f>
        <v>22</v>
      </c>
      <c r="AU109" s="57" t="n">
        <f aca="false">IF(BR109=1,0,ROUNDUP(AT109/BQ109,0))</f>
        <v>1</v>
      </c>
      <c r="AV109" s="59" t="n">
        <f aca="false">IF(CD109&gt;0,CD109*MAX(1,AT109/V109),IF(BR109=1,IF(AT109&lt;=0,0,BS109*MAX(1,IF(G109&gt;0,AT109/G109,1))),IF(Q109&gt;0,AU109/Q109,0))/MAX(0.1,N(Parameter!$M$21)))</f>
        <v>0.0384615384615385</v>
      </c>
      <c r="AW109" s="57" t="n">
        <f aca="false">AT109*F109</f>
        <v>5527.28</v>
      </c>
      <c r="AX109" s="57" t="n">
        <f aca="false">ROUNDUP(MAX(I109/IF(BV109&gt;0,BV109,MAX(0.1,N(Cockpit!$O$6))),BY109)/BQ109,0)*BQ109</f>
        <v>22</v>
      </c>
      <c r="AY109" s="58" t="n">
        <f aca="false">IF(AV109&gt;0,I109/AV109,-1)</f>
        <v>416</v>
      </c>
      <c r="AZ109" s="58" t="n">
        <f aca="false">IF(AND(OR(BU109="L1",BU109="L23"),AV109&gt;0),SUMIFS($AV$7:$AV$1576,$BU$7:$BU$1576,BU109,$AY$7:$AY$1576,"&gt;"&amp;AY109)+SUMIFS($AV$7:$AV$1576,$BU$7:$BU$1576,BU109,$AY$7:$AY$1576,AY109,$BO$7:$BO$1576,"&lt;="&amp;BO109),"")</f>
        <v>35.5148741720592</v>
      </c>
      <c r="BA109" s="65" t="n">
        <f aca="false">IF(AZ109="",0,MAX(0,MIN(1,(IF(BU109="L1",Parameter!$E$5,Parameter!$E$6+Parameter!$E$7)-(AZ109-AV109))/AV109)))</f>
        <v>1</v>
      </c>
      <c r="BB109" s="55" t="str">
        <f aca="false">IF(AF109&lt;=0,"",IF(BU109="Aussen","Aussenlager",IF(BU109="-","Nicht im Lift",IF(AK109&gt;=1,"Lift",IF(AK109&lt;=0,"Aussenlager","teilweise")))))</f>
        <v>Lift</v>
      </c>
      <c r="BC109" s="55" t="str">
        <f aca="false">IF(AN109&lt;=0,"",IF(BU109="Aussen","Aussenlager",IF(BU109="-","Nicht im Lift",IF(AS109&gt;=1,"Lift",IF(AS109&lt;=0,"Aussenlager","teilweise")))))</f>
        <v>Lift</v>
      </c>
      <c r="BD109" s="55" t="str">
        <f aca="false">IF(AV109&lt;=0,"",IF(BU109="Aussen","Aussenlager",IF(BU109="-","Nicht im Lift",IF(BA109&gt;=1,"Lift",IF(BA109&lt;=0,"Aussenlager","teilweise")))))</f>
        <v>Lift</v>
      </c>
      <c r="BE109" s="55" t="str">
        <f aca="false">IF(A109="","",IF(BN109=1,"Neu; ","")&amp;IF(AND(BN109=0,BI109&lt;0),"negativer Bestand (Export "&amp;BI109&amp;"); ","")&amp;IF(I109&lt;=0,"Kein Verbrauch; ","")&amp;IF(CD109&gt;0,"Lift "&amp;U109&amp;" lt. Liftbericht (Fach "&amp;V109&amp;" Stk); ",IF(BR109=1,"Lose – Fläche geschätzt; ",""))&amp;IF(G109&gt;AP109,"Überbestand "&amp;ROUND(G109-AP109,0)&amp;" Stk / CHF "&amp;ROUND((G109-AP109)*F109,0)&amp;"; ","")&amp;IF(AND(BW109=1,BX109&lt;BY109),"MAX &lt; MB+LG; ","")&amp;IF(AND(CC109&gt;0,CB109*10&gt;CC109),"zu hoch für Tablar; ","")&amp;IF(AND(BN109=0,OR(BW109=1,Y109&lt;&gt;"",S109&lt;&gt;"",T109&lt;&gt;"",Z109&lt;&gt;"")),"manuell übersteuert; ","")&amp;IF(AND(BR109=0,Q109=0),"Gebinde unbekannt / Stellmass fehlt; ","")&amp;IF(AND(BR109=0,N(T109)&lt;=0,N(P109)&lt;=0),"Menge pro Gebinde fehlt (Ist = 1 Gebinde); ","")&amp;BM109)</f>
        <v/>
      </c>
      <c r="BF109" s="55"/>
      <c r="BG109" s="55"/>
      <c r="BH109" s="62"/>
      <c r="BI109" s="57" t="n">
        <v>8</v>
      </c>
      <c r="BJ109" s="57" t="n">
        <v>15</v>
      </c>
      <c r="BK109" s="56" t="n">
        <v>2138.62</v>
      </c>
      <c r="BL109" s="57" t="n">
        <v>16</v>
      </c>
      <c r="BM109" s="55"/>
      <c r="BN109" s="60" t="n">
        <v>0</v>
      </c>
      <c r="BO109" s="60" t="n">
        <v>109</v>
      </c>
      <c r="BP109" s="55" t="str">
        <f aca="false">IF(S109&lt;&gt;"",UPPER(TRIM(S109)),IF(O109="","LOSE",O109))</f>
        <v>S52</v>
      </c>
      <c r="BQ109" s="57" t="n">
        <f aca="false">IF(BP109="LOSE",1,IF(N(T109)&gt;0,T109,IF(N(P109)&gt;0,P109,MAX(1,G109))))</f>
        <v>22</v>
      </c>
      <c r="BR109" s="60" t="n">
        <f aca="false">IF(BP109="LOSE",1,0)</f>
        <v>0</v>
      </c>
      <c r="BS109" s="59" t="n">
        <f aca="false">IF(BR109=0,0,IF(N(R109)&gt;0,R109,IFERROR(VLOOKUP(D109,Parameter!$A$35:$C$64,3,0)+0,0)))</f>
        <v>0</v>
      </c>
      <c r="BT109" s="55" t="n">
        <f aca="false">IF(Y109&lt;&gt;"",Y109,X109)</f>
        <v>3</v>
      </c>
      <c r="BU109" s="55" t="str">
        <f aca="false">IF(BT109=1,"L1",IF(OR(BT109=2,BT109=3),"L23",IF(BT109="Aussen","Aussen","-")))</f>
        <v>L23</v>
      </c>
      <c r="BV109" s="66" t="n">
        <f aca="false">IF(N(Z109)&gt;0,Z109,0)</f>
        <v>0</v>
      </c>
      <c r="BW109" s="60" t="n">
        <f aca="false">IF(ISNUMBER(AC109),1,0)</f>
        <v>0</v>
      </c>
      <c r="BX109" s="57" t="n">
        <f aca="false">N(AC109)</f>
        <v>0</v>
      </c>
      <c r="BY109" s="57" t="n">
        <f aca="false">N(L109)+N(M109)</f>
        <v>12</v>
      </c>
      <c r="BZ109" s="57" t="n">
        <f aca="false">ROUNDUP(G109/BQ109,0)</f>
        <v>1</v>
      </c>
      <c r="CA109" s="57" t="n">
        <f aca="false">ROUNDUP(BX109/BQ109,0)</f>
        <v>0</v>
      </c>
      <c r="CB109" s="60" t="n">
        <f aca="false">IF(BR109=1,0,IFERROR(VLOOKUP(BP109,'Gebinde-Kategorie'!$A$5:$M$45,5,0)+0,0))</f>
        <v>21</v>
      </c>
      <c r="CC109" s="60" t="n">
        <f aca="false">IFERROR(IF(OR(BT109=1,BT109=2,BT109=3),N(INDEX(Parameter!$I$5:$I$7,BT109)),0),0)</f>
        <v>0</v>
      </c>
      <c r="CD109" s="59" t="n">
        <f aca="false">IF(AND(Parameter!$B$21="Ja",ISNUMBER(U109),N(V109)&gt;0),IFERROR(N(INDEX(Parameter!$L$5:$L$7,U109))*INDEX(Parameter!$E$5:$E$7,U109)*V109/SUMIFS($V$7:$V$1576,$U$7:$U$1576,U109),0),0)</f>
        <v>0</v>
      </c>
    </row>
    <row r="110" customFormat="false" ht="15" hidden="false" customHeight="false" outlineLevel="0" collapsed="false">
      <c r="A110" s="55" t="s">
        <v>422</v>
      </c>
      <c r="B110" s="55" t="s">
        <v>423</v>
      </c>
      <c r="C110" s="55" t="s">
        <v>160</v>
      </c>
      <c r="D110" s="55" t="s">
        <v>178</v>
      </c>
      <c r="E110" s="55" t="s">
        <v>210</v>
      </c>
      <c r="F110" s="56" t="n">
        <v>692.78</v>
      </c>
      <c r="G110" s="57" t="n">
        <f aca="false">MAX(0,IF(AND(Parameter!$B$21="Ja",ISNUMBER(W110)),W110,IF(Parameter!$B$20="Jahresanfang 2025 + Export",BJ110+BI110,BI110)))</f>
        <v>3</v>
      </c>
      <c r="H110" s="57" t="n">
        <f aca="false">G110*F110</f>
        <v>2078.34</v>
      </c>
      <c r="I110" s="57" t="n">
        <f aca="false">BL110*Parameter!$B$18</f>
        <v>2</v>
      </c>
      <c r="J110" s="58" t="n">
        <v>2</v>
      </c>
      <c r="K110" s="59" t="n">
        <v>1</v>
      </c>
      <c r="L110" s="57" t="n">
        <v>0</v>
      </c>
      <c r="M110" s="57" t="n">
        <v>1</v>
      </c>
      <c r="N110" s="60" t="n">
        <v>31</v>
      </c>
      <c r="O110" s="55" t="s">
        <v>225</v>
      </c>
      <c r="P110" s="57" t="n">
        <v>4</v>
      </c>
      <c r="Q110" s="60" t="n">
        <f aca="false">IF(BR110=1,0,IFERROR(VLOOKUP(BP110,'Gebinde-Kategorie'!$A$5:$M$45,13,0)+0,0))</f>
        <v>26</v>
      </c>
      <c r="R110" s="61"/>
      <c r="S110" s="62"/>
      <c r="T110" s="62"/>
      <c r="U110" s="55"/>
      <c r="V110" s="57"/>
      <c r="W110" s="57"/>
      <c r="X110" s="55" t="n">
        <f aca="false">IF(A110="","",IF(AND(Parameter!$B$21="Ja",ISNUMBER(U110)),U110,IF(IFERROR(VLOOKUP(D110,Parameter!$A$35:$C$64,2,0),"Nein")="2+3",IF(ISNUMBER(SEARCH("grosser Artikel",BM110)),2,IFERROR(VLOOKUP(BP110,Parameter!$F$35:$G$64,2,0),2)),IF(OR(IFERROR(VLOOKUP(D110,Parameter!$A$35:$C$64,2,0),"Nein")="Nein",IFERROR(VLOOKUP(D110,Parameter!$A$35:$C$64,2,0),"Nein")=""),"-",VLOOKUP(D110,Parameter!$A$35:$C$64,2,0)))))</f>
        <v>3</v>
      </c>
      <c r="Y110" s="62"/>
      <c r="Z110" s="63"/>
      <c r="AA110" s="57" t="n">
        <f aca="false">AP110</f>
        <v>4</v>
      </c>
      <c r="AB110" s="57" t="n">
        <f aca="false">MAX(AP110,G110)</f>
        <v>4</v>
      </c>
      <c r="AC110" s="64"/>
      <c r="AD110" s="57" t="n">
        <f aca="false">IF(LEFT(Cockpit!$C$5,1)="A",G110,IF(BW110=1,BX110,IF(LEFT(Cockpit!$C$5,1)="B",AH110,MAX(AH110,G110))))</f>
        <v>3</v>
      </c>
      <c r="AE110" s="57" t="n">
        <f aca="false">IF(BR110=1,0,ROUNDUP(AD110/BQ110,0))</f>
        <v>1</v>
      </c>
      <c r="AF110" s="59" t="n">
        <f aca="false">IF(CD110&gt;0,CD110*MAX(1,AD110/V110),IF(BR110=1,IF(AD110&lt;=0,0,BS110*MAX(1,IF(G110&gt;0,AD110/G110,1))),IF(Q110&gt;0,AE110/Q110,0))/MAX(0.1,N(Parameter!$M$21)))</f>
        <v>0.0384615384615385</v>
      </c>
      <c r="AG110" s="57" t="n">
        <f aca="false">AD110*F110</f>
        <v>2078.34</v>
      </c>
      <c r="AH110" s="57" t="n">
        <f aca="false">ROUNDUP(MAX(I110/IF(BV110&gt;0,BV110,MAX(0.1,N(Cockpit!$C$6))),BY110)/BQ110,0)*BQ110</f>
        <v>4</v>
      </c>
      <c r="AI110" s="58" t="n">
        <f aca="false">IF(AF110&gt;0,I110/AF110,-1)</f>
        <v>52</v>
      </c>
      <c r="AJ110" s="58" t="n">
        <f aca="false">IF(AND(OR(BU110="L1",BU110="L23"),AF110&gt;0),SUMIFS($AF$7:$AF$1576,$BU$7:$BU$1576,BU110,$AI$7:$AI$1576,"&gt;"&amp;AI110)+SUMIFS($AF$7:$AF$1576,$BU$7:$BU$1576,BU110,$AI$7:$AI$1576,AI110,$BO$7:$BO$1576,"&lt;="&amp;BO110),"")</f>
        <v>25.3200175669741</v>
      </c>
      <c r="AK110" s="65" t="n">
        <f aca="false">IF(AJ110="",0,MAX(0,MIN(1,(IF(BU110="L1",Parameter!$E$5,Parameter!$E$6+Parameter!$E$7)-(AJ110-AF110))/AF110)))</f>
        <v>1</v>
      </c>
      <c r="AL110" s="57" t="n">
        <f aca="false">IF(LEFT(Cockpit!$I$5,1)="A",G110,IF(BW110=1,BX110,IF(LEFT(Cockpit!$I$5,1)="B",AP110,MAX(AP110,G110))))</f>
        <v>4</v>
      </c>
      <c r="AM110" s="57" t="n">
        <f aca="false">IF(BR110=1,0,ROUNDUP(AL110/BQ110,0))</f>
        <v>1</v>
      </c>
      <c r="AN110" s="59" t="n">
        <f aca="false">IF(CD110&gt;0,CD110*MAX(1,AL110/V110),IF(BR110=1,IF(AL110&lt;=0,0,BS110*MAX(1,IF(G110&gt;0,AL110/G110,1))),IF(Q110&gt;0,AM110/Q110,0))/MAX(0.1,N(Parameter!$M$21)))</f>
        <v>0.0384615384615385</v>
      </c>
      <c r="AO110" s="57" t="n">
        <f aca="false">AL110*F110</f>
        <v>2771.12</v>
      </c>
      <c r="AP110" s="57" t="n">
        <f aca="false">ROUNDUP(MAX(I110/IF(BV110&gt;0,BV110,MAX(0.1,N(Cockpit!$I$6))),BY110)/BQ110,0)*BQ110</f>
        <v>4</v>
      </c>
      <c r="AQ110" s="58" t="n">
        <f aca="false">IF(AN110&gt;0,I110/AN110,-1)</f>
        <v>52</v>
      </c>
      <c r="AR110" s="58" t="n">
        <f aca="false">IF(AND(OR(BU110="L1",BU110="L23"),AN110&gt;0),SUMIFS($AN$7:$AN$1576,$BU$7:$BU$1576,BU110,$AQ$7:$AQ$1576,"&gt;"&amp;AQ110)+SUMIFS($AN$7:$AN$1576,$BU$7:$BU$1576,BU110,$AQ$7:$AQ$1576,AQ110,$BO$7:$BO$1576,"&lt;="&amp;BO110),"")</f>
        <v>81.8683320245932</v>
      </c>
      <c r="AS110" s="65" t="n">
        <f aca="false">IF(AR110="",0,MAX(0,MIN(1,(IF(BU110="L1",Parameter!$E$5,Parameter!$E$6+Parameter!$E$7)-(AR110-AN110))/AN110)))</f>
        <v>1</v>
      </c>
      <c r="AT110" s="57" t="n">
        <f aca="false">IF(LEFT(Cockpit!$O$5,1)="A",G110,IF(BW110=1,BX110,IF(LEFT(Cockpit!$O$5,1)="B",AX110,MAX(AX110,G110))))</f>
        <v>4</v>
      </c>
      <c r="AU110" s="57" t="n">
        <f aca="false">IF(BR110=1,0,ROUNDUP(AT110/BQ110,0))</f>
        <v>1</v>
      </c>
      <c r="AV110" s="59" t="n">
        <f aca="false">IF(CD110&gt;0,CD110*MAX(1,AT110/V110),IF(BR110=1,IF(AT110&lt;=0,0,BS110*MAX(1,IF(G110&gt;0,AT110/G110,1))),IF(Q110&gt;0,AU110/Q110,0))/MAX(0.1,N(Parameter!$M$21)))</f>
        <v>0.0384615384615385</v>
      </c>
      <c r="AW110" s="57" t="n">
        <f aca="false">AT110*F110</f>
        <v>2771.12</v>
      </c>
      <c r="AX110" s="57" t="n">
        <f aca="false">ROUNDUP(MAX(I110/IF(BV110&gt;0,BV110,MAX(0.1,N(Cockpit!$O$6))),BY110)/BQ110,0)*BQ110</f>
        <v>4</v>
      </c>
      <c r="AY110" s="58" t="n">
        <f aca="false">IF(AV110&gt;0,I110/AV110,-1)</f>
        <v>52</v>
      </c>
      <c r="AZ110" s="58" t="n">
        <f aca="false">IF(AND(OR(BU110="L1",BU110="L23"),AV110&gt;0),SUMIFS($AV$7:$AV$1576,$BU$7:$BU$1576,BU110,$AY$7:$AY$1576,"&gt;"&amp;AY110)+SUMIFS($AV$7:$AV$1576,$BU$7:$BU$1576,BU110,$AY$7:$AY$1576,AY110,$BO$7:$BO$1576,"&lt;="&amp;BO110),"")</f>
        <v>78.286215807477</v>
      </c>
      <c r="BA110" s="65" t="n">
        <f aca="false">IF(AZ110="",0,MAX(0,MIN(1,(IF(BU110="L1",Parameter!$E$5,Parameter!$E$6+Parameter!$E$7)-(AZ110-AV110))/AV110)))</f>
        <v>1</v>
      </c>
      <c r="BB110" s="55" t="str">
        <f aca="false">IF(AF110&lt;=0,"",IF(BU110="Aussen","Aussenlager",IF(BU110="-","Nicht im Lift",IF(AK110&gt;=1,"Lift",IF(AK110&lt;=0,"Aussenlager","teilweise")))))</f>
        <v>Lift</v>
      </c>
      <c r="BC110" s="55" t="str">
        <f aca="false">IF(AN110&lt;=0,"",IF(BU110="Aussen","Aussenlager",IF(BU110="-","Nicht im Lift",IF(AS110&gt;=1,"Lift",IF(AS110&lt;=0,"Aussenlager","teilweise")))))</f>
        <v>Lift</v>
      </c>
      <c r="BD110" s="55" t="str">
        <f aca="false">IF(AV110&lt;=0,"",IF(BU110="Aussen","Aussenlager",IF(BU110="-","Nicht im Lift",IF(BA110&gt;=1,"Lift",IF(BA110&lt;=0,"Aussenlager","teilweise")))))</f>
        <v>Lift</v>
      </c>
      <c r="BE110" s="55" t="str">
        <f aca="false">IF(A110="","",IF(BN110=1,"Neu; ","")&amp;IF(AND(BN110=0,BI110&lt;0),"negativer Bestand (Export "&amp;BI110&amp;"); ","")&amp;IF(I110&lt;=0,"Kein Verbrauch; ","")&amp;IF(CD110&gt;0,"Lift "&amp;U110&amp;" lt. Liftbericht (Fach "&amp;V110&amp;" Stk); ",IF(BR110=1,"Lose – Fläche geschätzt; ",""))&amp;IF(G110&gt;AP110,"Überbestand "&amp;ROUND(G110-AP110,0)&amp;" Stk / CHF "&amp;ROUND((G110-AP110)*F110,0)&amp;"; ","")&amp;IF(AND(BW110=1,BX110&lt;BY110),"MAX &lt; MB+LG; ","")&amp;IF(AND(CC110&gt;0,CB110*10&gt;CC110),"zu hoch für Tablar; ","")&amp;IF(AND(BN110=0,OR(BW110=1,Y110&lt;&gt;"",S110&lt;&gt;"",T110&lt;&gt;"",Z110&lt;&gt;"")),"manuell übersteuert; ","")&amp;IF(AND(BR110=0,Q110=0),"Gebinde unbekannt / Stellmass fehlt; ","")&amp;IF(AND(BR110=0,N(T110)&lt;=0,N(P110)&lt;=0),"Menge pro Gebinde fehlt (Ist = 1 Gebinde); ","")&amp;BM110)</f>
        <v/>
      </c>
      <c r="BF110" s="55"/>
      <c r="BG110" s="55"/>
      <c r="BH110" s="62"/>
      <c r="BI110" s="57" t="n">
        <v>3</v>
      </c>
      <c r="BJ110" s="57" t="n">
        <v>0</v>
      </c>
      <c r="BK110" s="56" t="n">
        <v>2078.34</v>
      </c>
      <c r="BL110" s="57" t="n">
        <v>2</v>
      </c>
      <c r="BM110" s="55"/>
      <c r="BN110" s="60" t="n">
        <v>0</v>
      </c>
      <c r="BO110" s="60" t="n">
        <v>110</v>
      </c>
      <c r="BP110" s="55" t="str">
        <f aca="false">IF(S110&lt;&gt;"",UPPER(TRIM(S110)),IF(O110="","LOSE",O110))</f>
        <v>S52</v>
      </c>
      <c r="BQ110" s="57" t="n">
        <f aca="false">IF(BP110="LOSE",1,IF(N(T110)&gt;0,T110,IF(N(P110)&gt;0,P110,MAX(1,G110))))</f>
        <v>4</v>
      </c>
      <c r="BR110" s="60" t="n">
        <f aca="false">IF(BP110="LOSE",1,0)</f>
        <v>0</v>
      </c>
      <c r="BS110" s="59" t="n">
        <f aca="false">IF(BR110=0,0,IF(N(R110)&gt;0,R110,IFERROR(VLOOKUP(D110,Parameter!$A$35:$C$64,3,0)+0,0)))</f>
        <v>0</v>
      </c>
      <c r="BT110" s="55" t="n">
        <f aca="false">IF(Y110&lt;&gt;"",Y110,X110)</f>
        <v>3</v>
      </c>
      <c r="BU110" s="55" t="str">
        <f aca="false">IF(BT110=1,"L1",IF(OR(BT110=2,BT110=3),"L23",IF(BT110="Aussen","Aussen","-")))</f>
        <v>L23</v>
      </c>
      <c r="BV110" s="66" t="n">
        <f aca="false">IF(N(Z110)&gt;0,Z110,0)</f>
        <v>0</v>
      </c>
      <c r="BW110" s="60" t="n">
        <f aca="false">IF(ISNUMBER(AC110),1,0)</f>
        <v>0</v>
      </c>
      <c r="BX110" s="57" t="n">
        <f aca="false">N(AC110)</f>
        <v>0</v>
      </c>
      <c r="BY110" s="57" t="n">
        <f aca="false">N(L110)+N(M110)</f>
        <v>1</v>
      </c>
      <c r="BZ110" s="57" t="n">
        <f aca="false">ROUNDUP(G110/BQ110,0)</f>
        <v>1</v>
      </c>
      <c r="CA110" s="57" t="n">
        <f aca="false">ROUNDUP(BX110/BQ110,0)</f>
        <v>0</v>
      </c>
      <c r="CB110" s="60" t="n">
        <f aca="false">IF(BR110=1,0,IFERROR(VLOOKUP(BP110,'Gebinde-Kategorie'!$A$5:$M$45,5,0)+0,0))</f>
        <v>21</v>
      </c>
      <c r="CC110" s="60" t="n">
        <f aca="false">IFERROR(IF(OR(BT110=1,BT110=2,BT110=3),N(INDEX(Parameter!$I$5:$I$7,BT110)),0),0)</f>
        <v>0</v>
      </c>
      <c r="CD110" s="59" t="n">
        <f aca="false">IF(AND(Parameter!$B$21="Ja",ISNUMBER(U110),N(V110)&gt;0),IFERROR(N(INDEX(Parameter!$L$5:$L$7,U110))*INDEX(Parameter!$E$5:$E$7,U110)*V110/SUMIFS($V$7:$V$1576,$U$7:$U$1576,U110),0),0)</f>
        <v>0</v>
      </c>
    </row>
    <row r="111" customFormat="false" ht="15" hidden="false" customHeight="false" outlineLevel="0" collapsed="false">
      <c r="A111" s="55" t="s">
        <v>424</v>
      </c>
      <c r="B111" s="55" t="s">
        <v>425</v>
      </c>
      <c r="C111" s="55" t="s">
        <v>160</v>
      </c>
      <c r="D111" s="55" t="s">
        <v>178</v>
      </c>
      <c r="E111" s="55" t="s">
        <v>210</v>
      </c>
      <c r="F111" s="56" t="n">
        <v>52.61</v>
      </c>
      <c r="G111" s="57" t="n">
        <f aca="false">MAX(0,IF(AND(Parameter!$B$21="Ja",ISNUMBER(W111)),W111,IF(Parameter!$B$20="Jahresanfang 2025 + Export",BJ111+BI111,BI111)))</f>
        <v>34</v>
      </c>
      <c r="H111" s="57" t="n">
        <f aca="false">G111*F111</f>
        <v>1788.74</v>
      </c>
      <c r="I111" s="57" t="n">
        <f aca="false">BL111*Parameter!$B$18</f>
        <v>74</v>
      </c>
      <c r="J111" s="58" t="n">
        <v>25.5</v>
      </c>
      <c r="K111" s="59" t="n">
        <v>2.90196078431373</v>
      </c>
      <c r="L111" s="57" t="n">
        <v>5</v>
      </c>
      <c r="M111" s="57" t="n">
        <v>75</v>
      </c>
      <c r="N111" s="60" t="n">
        <v>21</v>
      </c>
      <c r="O111" s="55" t="s">
        <v>225</v>
      </c>
      <c r="P111" s="57" t="n">
        <v>50</v>
      </c>
      <c r="Q111" s="60" t="n">
        <f aca="false">IF(BR111=1,0,IFERROR(VLOOKUP(BP111,'Gebinde-Kategorie'!$A$5:$M$45,13,0)+0,0))</f>
        <v>26</v>
      </c>
      <c r="R111" s="61"/>
      <c r="S111" s="62"/>
      <c r="T111" s="62"/>
      <c r="U111" s="55"/>
      <c r="V111" s="57"/>
      <c r="W111" s="57"/>
      <c r="X111" s="55" t="n">
        <f aca="false">IF(A111="","",IF(AND(Parameter!$B$21="Ja",ISNUMBER(U111)),U111,IF(IFERROR(VLOOKUP(D111,Parameter!$A$35:$C$64,2,0),"Nein")="2+3",IF(ISNUMBER(SEARCH("grosser Artikel",BM111)),2,IFERROR(VLOOKUP(BP111,Parameter!$F$35:$G$64,2,0),2)),IF(OR(IFERROR(VLOOKUP(D111,Parameter!$A$35:$C$64,2,0),"Nein")="Nein",IFERROR(VLOOKUP(D111,Parameter!$A$35:$C$64,2,0),"Nein")=""),"-",VLOOKUP(D111,Parameter!$A$35:$C$64,2,0)))))</f>
        <v>3</v>
      </c>
      <c r="Y111" s="62"/>
      <c r="Z111" s="63"/>
      <c r="AA111" s="57" t="n">
        <f aca="false">AP111</f>
        <v>100</v>
      </c>
      <c r="AB111" s="57" t="n">
        <f aca="false">MAX(AP111,G111)</f>
        <v>100</v>
      </c>
      <c r="AC111" s="64"/>
      <c r="AD111" s="57" t="n">
        <f aca="false">IF(LEFT(Cockpit!$C$5,1)="A",G111,IF(BW111=1,BX111,IF(LEFT(Cockpit!$C$5,1)="B",AH111,MAX(AH111,G111))))</f>
        <v>34</v>
      </c>
      <c r="AE111" s="57" t="n">
        <f aca="false">IF(BR111=1,0,ROUNDUP(AD111/BQ111,0))</f>
        <v>1</v>
      </c>
      <c r="AF111" s="59" t="n">
        <f aca="false">IF(CD111&gt;0,CD111*MAX(1,AD111/V111),IF(BR111=1,IF(AD111&lt;=0,0,BS111*MAX(1,IF(G111&gt;0,AD111/G111,1))),IF(Q111&gt;0,AE111/Q111,0))/MAX(0.1,N(Parameter!$M$21)))</f>
        <v>0.0384615384615385</v>
      </c>
      <c r="AG111" s="57" t="n">
        <f aca="false">AD111*F111</f>
        <v>1788.74</v>
      </c>
      <c r="AH111" s="57" t="n">
        <f aca="false">ROUNDUP(MAX(I111/IF(BV111&gt;0,BV111,MAX(0.1,N(Cockpit!$C$6))),BY111)/BQ111,0)*BQ111</f>
        <v>100</v>
      </c>
      <c r="AI111" s="58" t="n">
        <f aca="false">IF(AF111&gt;0,I111/AF111,-1)</f>
        <v>1924</v>
      </c>
      <c r="AJ111" s="58" t="n">
        <f aca="false">IF(AND(OR(BU111="L1",BU111="L23"),AF111&gt;0),SUMIFS($AF$7:$AF$1576,$BU$7:$BU$1576,BU111,$AI$7:$AI$1576,"&gt;"&amp;AI111)+SUMIFS($AF$7:$AF$1576,$BU$7:$BU$1576,BU111,$AI$7:$AI$1576,AI111,$BO$7:$BO$1576,"&lt;="&amp;BO111),"")</f>
        <v>6.7409324009324</v>
      </c>
      <c r="AK111" s="65" t="n">
        <f aca="false">IF(AJ111="",0,MAX(0,MIN(1,(IF(BU111="L1",Parameter!$E$5,Parameter!$E$6+Parameter!$E$7)-(AJ111-AF111))/AF111)))</f>
        <v>1</v>
      </c>
      <c r="AL111" s="57" t="n">
        <f aca="false">IF(LEFT(Cockpit!$I$5,1)="A",G111,IF(BW111=1,BX111,IF(LEFT(Cockpit!$I$5,1)="B",AP111,MAX(AP111,G111))))</f>
        <v>100</v>
      </c>
      <c r="AM111" s="57" t="n">
        <f aca="false">IF(BR111=1,0,ROUNDUP(AL111/BQ111,0))</f>
        <v>2</v>
      </c>
      <c r="AN111" s="59" t="n">
        <f aca="false">IF(CD111&gt;0,CD111*MAX(1,AL111/V111),IF(BR111=1,IF(AL111&lt;=0,0,BS111*MAX(1,IF(G111&gt;0,AL111/G111,1))),IF(Q111&gt;0,AM111/Q111,0))/MAX(0.1,N(Parameter!$M$21)))</f>
        <v>0.0769230769230769</v>
      </c>
      <c r="AO111" s="57" t="n">
        <f aca="false">AL111*F111</f>
        <v>5261</v>
      </c>
      <c r="AP111" s="57" t="n">
        <f aca="false">ROUNDUP(MAX(I111/IF(BV111&gt;0,BV111,MAX(0.1,N(Cockpit!$I$6))),BY111)/BQ111,0)*BQ111</f>
        <v>100</v>
      </c>
      <c r="AQ111" s="58" t="n">
        <f aca="false">IF(AN111&gt;0,I111/AN111,-1)</f>
        <v>962</v>
      </c>
      <c r="AR111" s="58" t="n">
        <f aca="false">IF(AND(OR(BU111="L1",BU111="L23"),AN111&gt;0),SUMIFS($AN$7:$AN$1576,$BU$7:$BU$1576,BU111,$AQ$7:$AQ$1576,"&gt;"&amp;AQ111)+SUMIFS($AN$7:$AN$1576,$BU$7:$BU$1576,BU111,$AQ$7:$AQ$1576,AQ111,$BO$7:$BO$1576,"&lt;="&amp;BO111),"")</f>
        <v>23.2096411924784</v>
      </c>
      <c r="AS111" s="65" t="n">
        <f aca="false">IF(AR111="",0,MAX(0,MIN(1,(IF(BU111="L1",Parameter!$E$5,Parameter!$E$6+Parameter!$E$7)-(AR111-AN111))/AN111)))</f>
        <v>1</v>
      </c>
      <c r="AT111" s="57" t="n">
        <f aca="false">IF(LEFT(Cockpit!$O$5,1)="A",G111,IF(BW111=1,BX111,IF(LEFT(Cockpit!$O$5,1)="B",AX111,MAX(AX111,G111))))</f>
        <v>100</v>
      </c>
      <c r="AU111" s="57" t="n">
        <f aca="false">IF(BR111=1,0,ROUNDUP(AT111/BQ111,0))</f>
        <v>2</v>
      </c>
      <c r="AV111" s="59" t="n">
        <f aca="false">IF(CD111&gt;0,CD111*MAX(1,AT111/V111),IF(BR111=1,IF(AT111&lt;=0,0,BS111*MAX(1,IF(G111&gt;0,AT111/G111,1))),IF(Q111&gt;0,AU111/Q111,0))/MAX(0.1,N(Parameter!$M$21)))</f>
        <v>0.0769230769230769</v>
      </c>
      <c r="AW111" s="57" t="n">
        <f aca="false">AT111*F111</f>
        <v>5261</v>
      </c>
      <c r="AX111" s="57" t="n">
        <f aca="false">ROUNDUP(MAX(I111/IF(BV111&gt;0,BV111,MAX(0.1,N(Cockpit!$O$6))),BY111)/BQ111,0)*BQ111</f>
        <v>100</v>
      </c>
      <c r="AY111" s="58" t="n">
        <f aca="false">IF(AV111&gt;0,I111/AV111,-1)</f>
        <v>962</v>
      </c>
      <c r="AZ111" s="58" t="n">
        <f aca="false">IF(AND(OR(BU111="L1",BU111="L23"),AV111&gt;0),SUMIFS($AV$7:$AV$1576,$BU$7:$BU$1576,BU111,$AY$7:$AY$1576,"&gt;"&amp;AY111)+SUMIFS($AV$7:$AV$1576,$BU$7:$BU$1576,BU111,$AY$7:$AY$1576,AY111,$BO$7:$BO$1576,"&lt;="&amp;BO111),"")</f>
        <v>22.2766575094948</v>
      </c>
      <c r="BA111" s="65" t="n">
        <f aca="false">IF(AZ111="",0,MAX(0,MIN(1,(IF(BU111="L1",Parameter!$E$5,Parameter!$E$6+Parameter!$E$7)-(AZ111-AV111))/AV111)))</f>
        <v>1</v>
      </c>
      <c r="BB111" s="55" t="str">
        <f aca="false">IF(AF111&lt;=0,"",IF(BU111="Aussen","Aussenlager",IF(BU111="-","Nicht im Lift",IF(AK111&gt;=1,"Lift",IF(AK111&lt;=0,"Aussenlager","teilweise")))))</f>
        <v>Lift</v>
      </c>
      <c r="BC111" s="55" t="str">
        <f aca="false">IF(AN111&lt;=0,"",IF(BU111="Aussen","Aussenlager",IF(BU111="-","Nicht im Lift",IF(AS111&gt;=1,"Lift",IF(AS111&lt;=0,"Aussenlager","teilweise")))))</f>
        <v>Lift</v>
      </c>
      <c r="BD111" s="55" t="str">
        <f aca="false">IF(AV111&lt;=0,"",IF(BU111="Aussen","Aussenlager",IF(BU111="-","Nicht im Lift",IF(BA111&gt;=1,"Lift",IF(BA111&lt;=0,"Aussenlager","teilweise")))))</f>
        <v>Lift</v>
      </c>
      <c r="BE111" s="55" t="str">
        <f aca="false">IF(A111="","",IF(BN111=1,"Neu; ","")&amp;IF(AND(BN111=0,BI111&lt;0),"negativer Bestand (Export "&amp;BI111&amp;"); ","")&amp;IF(I111&lt;=0,"Kein Verbrauch; ","")&amp;IF(CD111&gt;0,"Lift "&amp;U111&amp;" lt. Liftbericht (Fach "&amp;V111&amp;" Stk); ",IF(BR111=1,"Lose – Fläche geschätzt; ",""))&amp;IF(G111&gt;AP111,"Überbestand "&amp;ROUND(G111-AP111,0)&amp;" Stk / CHF "&amp;ROUND((G111-AP111)*F111,0)&amp;"; ","")&amp;IF(AND(BW111=1,BX111&lt;BY111),"MAX &lt; MB+LG; ","")&amp;IF(AND(CC111&gt;0,CB111*10&gt;CC111),"zu hoch für Tablar; ","")&amp;IF(AND(BN111=0,OR(BW111=1,Y111&lt;&gt;"",S111&lt;&gt;"",T111&lt;&gt;"",Z111&lt;&gt;"")),"manuell übersteuert; ","")&amp;IF(AND(BR111=0,Q111=0),"Gebinde unbekannt / Stellmass fehlt; ","")&amp;IF(AND(BR111=0,N(T111)&lt;=0,N(P111)&lt;=0),"Menge pro Gebinde fehlt (Ist = 1 Gebinde); ","")&amp;BM111)</f>
        <v/>
      </c>
      <c r="BF111" s="55"/>
      <c r="BG111" s="55"/>
      <c r="BH111" s="62"/>
      <c r="BI111" s="57" t="n">
        <v>34</v>
      </c>
      <c r="BJ111" s="57" t="n">
        <v>13</v>
      </c>
      <c r="BK111" s="56" t="n">
        <v>2066.83</v>
      </c>
      <c r="BL111" s="57" t="n">
        <v>74</v>
      </c>
      <c r="BM111" s="55"/>
      <c r="BN111" s="60" t="n">
        <v>0</v>
      </c>
      <c r="BO111" s="60" t="n">
        <v>111</v>
      </c>
      <c r="BP111" s="55" t="str">
        <f aca="false">IF(S111&lt;&gt;"",UPPER(TRIM(S111)),IF(O111="","LOSE",O111))</f>
        <v>S52</v>
      </c>
      <c r="BQ111" s="57" t="n">
        <f aca="false">IF(BP111="LOSE",1,IF(N(T111)&gt;0,T111,IF(N(P111)&gt;0,P111,MAX(1,G111))))</f>
        <v>50</v>
      </c>
      <c r="BR111" s="60" t="n">
        <f aca="false">IF(BP111="LOSE",1,0)</f>
        <v>0</v>
      </c>
      <c r="BS111" s="59" t="n">
        <f aca="false">IF(BR111=0,0,IF(N(R111)&gt;0,R111,IFERROR(VLOOKUP(D111,Parameter!$A$35:$C$64,3,0)+0,0)))</f>
        <v>0</v>
      </c>
      <c r="BT111" s="55" t="n">
        <f aca="false">IF(Y111&lt;&gt;"",Y111,X111)</f>
        <v>3</v>
      </c>
      <c r="BU111" s="55" t="str">
        <f aca="false">IF(BT111=1,"L1",IF(OR(BT111=2,BT111=3),"L23",IF(BT111="Aussen","Aussen","-")))</f>
        <v>L23</v>
      </c>
      <c r="BV111" s="66" t="n">
        <f aca="false">IF(N(Z111)&gt;0,Z111,0)</f>
        <v>0</v>
      </c>
      <c r="BW111" s="60" t="n">
        <f aca="false">IF(ISNUMBER(AC111),1,0)</f>
        <v>0</v>
      </c>
      <c r="BX111" s="57" t="n">
        <f aca="false">N(AC111)</f>
        <v>0</v>
      </c>
      <c r="BY111" s="57" t="n">
        <f aca="false">N(L111)+N(M111)</f>
        <v>80</v>
      </c>
      <c r="BZ111" s="57" t="n">
        <f aca="false">ROUNDUP(G111/BQ111,0)</f>
        <v>1</v>
      </c>
      <c r="CA111" s="57" t="n">
        <f aca="false">ROUNDUP(BX111/BQ111,0)</f>
        <v>0</v>
      </c>
      <c r="CB111" s="60" t="n">
        <f aca="false">IF(BR111=1,0,IFERROR(VLOOKUP(BP111,'Gebinde-Kategorie'!$A$5:$M$45,5,0)+0,0))</f>
        <v>21</v>
      </c>
      <c r="CC111" s="60" t="n">
        <f aca="false">IFERROR(IF(OR(BT111=1,BT111=2,BT111=3),N(INDEX(Parameter!$I$5:$I$7,BT111)),0),0)</f>
        <v>0</v>
      </c>
      <c r="CD111" s="59" t="n">
        <f aca="false">IF(AND(Parameter!$B$21="Ja",ISNUMBER(U111),N(V111)&gt;0),IFERROR(N(INDEX(Parameter!$L$5:$L$7,U111))*INDEX(Parameter!$E$5:$E$7,U111)*V111/SUMIFS($V$7:$V$1576,$U$7:$U$1576,U111),0),0)</f>
        <v>0</v>
      </c>
    </row>
    <row r="112" customFormat="false" ht="15" hidden="false" customHeight="false" outlineLevel="0" collapsed="false">
      <c r="A112" s="55" t="s">
        <v>426</v>
      </c>
      <c r="B112" s="55" t="s">
        <v>427</v>
      </c>
      <c r="C112" s="55" t="s">
        <v>160</v>
      </c>
      <c r="D112" s="55" t="s">
        <v>168</v>
      </c>
      <c r="E112" s="55" t="s">
        <v>210</v>
      </c>
      <c r="F112" s="56" t="n">
        <v>345.4</v>
      </c>
      <c r="G112" s="57" t="n">
        <f aca="false">MAX(0,IF(AND(Parameter!$B$21="Ja",ISNUMBER(W112)),W112,IF(Parameter!$B$20="Jahresanfang 2025 + Export",BJ112+BI112,BI112)))</f>
        <v>1</v>
      </c>
      <c r="H112" s="57" t="n">
        <f aca="false">G112*F112</f>
        <v>345.4</v>
      </c>
      <c r="I112" s="57" t="n">
        <f aca="false">BL112*Parameter!$B$18</f>
        <v>34</v>
      </c>
      <c r="J112" s="58" t="n">
        <v>28</v>
      </c>
      <c r="K112" s="59" t="n">
        <v>1.21428571428571</v>
      </c>
      <c r="L112" s="57" t="n">
        <v>10</v>
      </c>
      <c r="M112" s="57" t="n">
        <v>15</v>
      </c>
      <c r="N112" s="60" t="n">
        <v>98</v>
      </c>
      <c r="O112" s="55" t="s">
        <v>169</v>
      </c>
      <c r="P112" s="57" t="n">
        <v>24</v>
      </c>
      <c r="Q112" s="60" t="n">
        <f aca="false">IF(BR112=1,0,IFERROR(VLOOKUP(BP112,'Gebinde-Kategorie'!$A$5:$M$45,13,0)+0,0))</f>
        <v>6</v>
      </c>
      <c r="R112" s="61"/>
      <c r="S112" s="62"/>
      <c r="T112" s="62"/>
      <c r="U112" s="55"/>
      <c r="V112" s="57"/>
      <c r="W112" s="57"/>
      <c r="X112" s="55" t="n">
        <f aca="false">IF(A112="","",IF(AND(Parameter!$B$21="Ja",ISNUMBER(U112)),U112,IF(IFERROR(VLOOKUP(D112,Parameter!$A$35:$C$64,2,0),"Nein")="2+3",IF(ISNUMBER(SEARCH("grosser Artikel",BM112)),2,IFERROR(VLOOKUP(BP112,Parameter!$F$35:$G$64,2,0),2)),IF(OR(IFERROR(VLOOKUP(D112,Parameter!$A$35:$C$64,2,0),"Nein")="Nein",IFERROR(VLOOKUP(D112,Parameter!$A$35:$C$64,2,0),"Nein")=""),"-",VLOOKUP(D112,Parameter!$A$35:$C$64,2,0)))))</f>
        <v>2</v>
      </c>
      <c r="Y112" s="62"/>
      <c r="Z112" s="63"/>
      <c r="AA112" s="57" t="n">
        <f aca="false">AP112</f>
        <v>48</v>
      </c>
      <c r="AB112" s="57" t="n">
        <f aca="false">MAX(AP112,G112)</f>
        <v>48</v>
      </c>
      <c r="AC112" s="64"/>
      <c r="AD112" s="57" t="n">
        <f aca="false">IF(LEFT(Cockpit!$C$5,1)="A",G112,IF(BW112=1,BX112,IF(LEFT(Cockpit!$C$5,1)="B",AH112,MAX(AH112,G112))))</f>
        <v>1</v>
      </c>
      <c r="AE112" s="57" t="n">
        <f aca="false">IF(BR112=1,0,ROUNDUP(AD112/BQ112,0))</f>
        <v>1</v>
      </c>
      <c r="AF112" s="59" t="n">
        <f aca="false">IF(CD112&gt;0,CD112*MAX(1,AD112/V112),IF(BR112=1,IF(AD112&lt;=0,0,BS112*MAX(1,IF(G112&gt;0,AD112/G112,1))),IF(Q112&gt;0,AE112/Q112,0))/MAX(0.1,N(Parameter!$M$21)))</f>
        <v>0.166666666666667</v>
      </c>
      <c r="AG112" s="57" t="n">
        <f aca="false">AD112*F112</f>
        <v>345.4</v>
      </c>
      <c r="AH112" s="57" t="n">
        <f aca="false">ROUNDUP(MAX(I112/IF(BV112&gt;0,BV112,MAX(0.1,N(Cockpit!$C$6))),BY112)/BQ112,0)*BQ112</f>
        <v>48</v>
      </c>
      <c r="AI112" s="58" t="n">
        <f aca="false">IF(AF112&gt;0,I112/AF112,-1)</f>
        <v>204</v>
      </c>
      <c r="AJ112" s="58" t="n">
        <f aca="false">IF(AND(OR(BU112="L1",BU112="L23"),AF112&gt;0),SUMIFS($AF$7:$AF$1576,$BU$7:$BU$1576,BU112,$AI$7:$AI$1576,"&gt;"&amp;AI112)+SUMIFS($AF$7:$AF$1576,$BU$7:$BU$1576,BU112,$AI$7:$AI$1576,AI112,$BO$7:$BO$1576,"&lt;="&amp;BO112),"")</f>
        <v>17.1257596027161</v>
      </c>
      <c r="AK112" s="65" t="n">
        <f aca="false">IF(AJ112="",0,MAX(0,MIN(1,(IF(BU112="L1",Parameter!$E$5,Parameter!$E$6+Parameter!$E$7)-(AJ112-AF112))/AF112)))</f>
        <v>1</v>
      </c>
      <c r="AL112" s="57" t="n">
        <f aca="false">IF(LEFT(Cockpit!$I$5,1)="A",G112,IF(BW112=1,BX112,IF(LEFT(Cockpit!$I$5,1)="B",AP112,MAX(AP112,G112))))</f>
        <v>48</v>
      </c>
      <c r="AM112" s="57" t="n">
        <f aca="false">IF(BR112=1,0,ROUNDUP(AL112/BQ112,0))</f>
        <v>2</v>
      </c>
      <c r="AN112" s="59" t="n">
        <f aca="false">IF(CD112&gt;0,CD112*MAX(1,AL112/V112),IF(BR112=1,IF(AL112&lt;=0,0,BS112*MAX(1,IF(G112&gt;0,AL112/G112,1))),IF(Q112&gt;0,AM112/Q112,0))/MAX(0.1,N(Parameter!$M$21)))</f>
        <v>0.333333333333333</v>
      </c>
      <c r="AO112" s="57" t="n">
        <f aca="false">AL112*F112</f>
        <v>16579.2</v>
      </c>
      <c r="AP112" s="57" t="n">
        <f aca="false">ROUNDUP(MAX(I112/IF(BV112&gt;0,BV112,MAX(0.1,N(Cockpit!$I$6))),BY112)/BQ112,0)*BQ112</f>
        <v>48</v>
      </c>
      <c r="AQ112" s="58" t="n">
        <f aca="false">IF(AN112&gt;0,I112/AN112,-1)</f>
        <v>102</v>
      </c>
      <c r="AR112" s="58" t="n">
        <f aca="false">IF(AND(OR(BU112="L1",BU112="L23"),AN112&gt;0),SUMIFS($AN$7:$AN$1576,$BU$7:$BU$1576,BU112,$AQ$7:$AQ$1576,"&gt;"&amp;AQ112)+SUMIFS($AN$7:$AN$1576,$BU$7:$BU$1576,BU112,$AQ$7:$AQ$1576,AQ112,$BO$7:$BO$1576,"&lt;="&amp;BO112),"")</f>
        <v>69.0867780230392</v>
      </c>
      <c r="AS112" s="65" t="n">
        <f aca="false">IF(AR112="",0,MAX(0,MIN(1,(IF(BU112="L1",Parameter!$E$5,Parameter!$E$6+Parameter!$E$7)-(AR112-AN112))/AN112)))</f>
        <v>1</v>
      </c>
      <c r="AT112" s="57" t="n">
        <f aca="false">IF(LEFT(Cockpit!$O$5,1)="A",G112,IF(BW112=1,BX112,IF(LEFT(Cockpit!$O$5,1)="B",AX112,MAX(AX112,G112))))</f>
        <v>48</v>
      </c>
      <c r="AU112" s="57" t="n">
        <f aca="false">IF(BR112=1,0,ROUNDUP(AT112/BQ112,0))</f>
        <v>2</v>
      </c>
      <c r="AV112" s="59" t="n">
        <f aca="false">IF(CD112&gt;0,CD112*MAX(1,AT112/V112),IF(BR112=1,IF(AT112&lt;=0,0,BS112*MAX(1,IF(G112&gt;0,AT112/G112,1))),IF(Q112&gt;0,AU112/Q112,0))/MAX(0.1,N(Parameter!$M$21)))</f>
        <v>0.333333333333333</v>
      </c>
      <c r="AW112" s="57" t="n">
        <f aca="false">AT112*F112</f>
        <v>16579.2</v>
      </c>
      <c r="AX112" s="57" t="n">
        <f aca="false">ROUNDUP(MAX(I112/IF(BV112&gt;0,BV112,MAX(0.1,N(Cockpit!$O$6))),BY112)/BQ112,0)*BQ112</f>
        <v>48</v>
      </c>
      <c r="AY112" s="58" t="n">
        <f aca="false">IF(AV112&gt;0,I112/AV112,-1)</f>
        <v>102</v>
      </c>
      <c r="AZ112" s="58" t="n">
        <f aca="false">IF(AND(OR(BU112="L1",BU112="L23"),AV112&gt;0),SUMIFS($AV$7:$AV$1576,$BU$7:$BU$1576,BU112,$AY$7:$AY$1576,"&gt;"&amp;AY112)+SUMIFS($AV$7:$AV$1576,$BU$7:$BU$1576,BU112,$AY$7:$AY$1576,AY112,$BO$7:$BO$1576,"&lt;="&amp;BO112),"")</f>
        <v>63.647161805923</v>
      </c>
      <c r="BA112" s="65" t="n">
        <f aca="false">IF(AZ112="",0,MAX(0,MIN(1,(IF(BU112="L1",Parameter!$E$5,Parameter!$E$6+Parameter!$E$7)-(AZ112-AV112))/AV112)))</f>
        <v>1</v>
      </c>
      <c r="BB112" s="55" t="str">
        <f aca="false">IF(AF112&lt;=0,"",IF(BU112="Aussen","Aussenlager",IF(BU112="-","Nicht im Lift",IF(AK112&gt;=1,"Lift",IF(AK112&lt;=0,"Aussenlager","teilweise")))))</f>
        <v>Lift</v>
      </c>
      <c r="BC112" s="55" t="str">
        <f aca="false">IF(AN112&lt;=0,"",IF(BU112="Aussen","Aussenlager",IF(BU112="-","Nicht im Lift",IF(AS112&gt;=1,"Lift",IF(AS112&lt;=0,"Aussenlager","teilweise")))))</f>
        <v>Lift</v>
      </c>
      <c r="BD112" s="55" t="str">
        <f aca="false">IF(AV112&lt;=0,"",IF(BU112="Aussen","Aussenlager",IF(BU112="-","Nicht im Lift",IF(BA112&gt;=1,"Lift",IF(BA112&lt;=0,"Aussenlager","teilweise")))))</f>
        <v>Lift</v>
      </c>
      <c r="BE112" s="55" t="str">
        <f aca="false">IF(A112="","",IF(BN112=1,"Neu; ","")&amp;IF(AND(BN112=0,BI112&lt;0),"negativer Bestand (Export "&amp;BI112&amp;"); ","")&amp;IF(I112&lt;=0,"Kein Verbrauch; ","")&amp;IF(CD112&gt;0,"Lift "&amp;U112&amp;" lt. Liftbericht (Fach "&amp;V112&amp;" Stk); ",IF(BR112=1,"Lose – Fläche geschätzt; ",""))&amp;IF(G112&gt;AP112,"Überbestand "&amp;ROUND(G112-AP112,0)&amp;" Stk / CHF "&amp;ROUND((G112-AP112)*F112,0)&amp;"; ","")&amp;IF(AND(BW112=1,BX112&lt;BY112),"MAX &lt; MB+LG; ","")&amp;IF(AND(CC112&gt;0,CB112*10&gt;CC112),"zu hoch für Tablar; ","")&amp;IF(AND(BN112=0,OR(BW112=1,Y112&lt;&gt;"",S112&lt;&gt;"",T112&lt;&gt;"",Z112&lt;&gt;"")),"manuell übersteuert; ","")&amp;IF(AND(BR112=0,Q112=0),"Gebinde unbekannt / Stellmass fehlt; ","")&amp;IF(AND(BR112=0,N(T112)&lt;=0,N(P112)&lt;=0),"Menge pro Gebinde fehlt (Ist = 1 Gebinde); ","")&amp;BM112)</f>
        <v/>
      </c>
      <c r="BF112" s="55"/>
      <c r="BG112" s="55"/>
      <c r="BH112" s="62"/>
      <c r="BI112" s="57" t="n">
        <v>1</v>
      </c>
      <c r="BJ112" s="57" t="n">
        <v>33</v>
      </c>
      <c r="BK112" s="56" t="n">
        <v>2056.76</v>
      </c>
      <c r="BL112" s="57" t="n">
        <v>34</v>
      </c>
      <c r="BM112" s="55"/>
      <c r="BN112" s="60" t="n">
        <v>0</v>
      </c>
      <c r="BO112" s="60" t="n">
        <v>112</v>
      </c>
      <c r="BP112" s="55" t="str">
        <f aca="false">IF(S112&lt;&gt;"",UPPER(TRIM(S112)),IF(O112="","LOSE",O112))</f>
        <v>S71</v>
      </c>
      <c r="BQ112" s="57" t="n">
        <f aca="false">IF(BP112="LOSE",1,IF(N(T112)&gt;0,T112,IF(N(P112)&gt;0,P112,MAX(1,G112))))</f>
        <v>24</v>
      </c>
      <c r="BR112" s="60" t="n">
        <f aca="false">IF(BP112="LOSE",1,0)</f>
        <v>0</v>
      </c>
      <c r="BS112" s="59" t="n">
        <f aca="false">IF(BR112=0,0,IF(N(R112)&gt;0,R112,IFERROR(VLOOKUP(D112,Parameter!$A$35:$C$64,3,0)+0,0)))</f>
        <v>0</v>
      </c>
      <c r="BT112" s="55" t="n">
        <f aca="false">IF(Y112&lt;&gt;"",Y112,X112)</f>
        <v>2</v>
      </c>
      <c r="BU112" s="55" t="str">
        <f aca="false">IF(BT112=1,"L1",IF(OR(BT112=2,BT112=3),"L23",IF(BT112="Aussen","Aussen","-")))</f>
        <v>L23</v>
      </c>
      <c r="BV112" s="66" t="n">
        <f aca="false">IF(N(Z112)&gt;0,Z112,0)</f>
        <v>0</v>
      </c>
      <c r="BW112" s="60" t="n">
        <f aca="false">IF(ISNUMBER(AC112),1,0)</f>
        <v>0</v>
      </c>
      <c r="BX112" s="57" t="n">
        <f aca="false">N(AC112)</f>
        <v>0</v>
      </c>
      <c r="BY112" s="57" t="n">
        <f aca="false">N(L112)+N(M112)</f>
        <v>25</v>
      </c>
      <c r="BZ112" s="57" t="n">
        <f aca="false">ROUNDUP(G112/BQ112,0)</f>
        <v>1</v>
      </c>
      <c r="CA112" s="57" t="n">
        <f aca="false">ROUNDUP(BX112/BQ112,0)</f>
        <v>0</v>
      </c>
      <c r="CB112" s="60" t="n">
        <f aca="false">IF(BR112=1,0,IFERROR(VLOOKUP(BP112,'Gebinde-Kategorie'!$A$5:$M$45,5,0)+0,0))</f>
        <v>20</v>
      </c>
      <c r="CC112" s="60" t="n">
        <f aca="false">IFERROR(IF(OR(BT112=1,BT112=2,BT112=3),N(INDEX(Parameter!$I$5:$I$7,BT112)),0),0)</f>
        <v>0</v>
      </c>
      <c r="CD112" s="59" t="n">
        <f aca="false">IF(AND(Parameter!$B$21="Ja",ISNUMBER(U112),N(V112)&gt;0),IFERROR(N(INDEX(Parameter!$L$5:$L$7,U112))*INDEX(Parameter!$E$5:$E$7,U112)*V112/SUMIFS($V$7:$V$1576,$U$7:$U$1576,U112),0),0)</f>
        <v>0</v>
      </c>
    </row>
    <row r="113" customFormat="false" ht="15" hidden="false" customHeight="false" outlineLevel="0" collapsed="false">
      <c r="A113" s="55" t="s">
        <v>428</v>
      </c>
      <c r="B113" s="55" t="s">
        <v>421</v>
      </c>
      <c r="C113" s="55" t="s">
        <v>160</v>
      </c>
      <c r="D113" s="55" t="s">
        <v>178</v>
      </c>
      <c r="E113" s="55" t="s">
        <v>210</v>
      </c>
      <c r="F113" s="56" t="n">
        <v>100.28</v>
      </c>
      <c r="G113" s="57" t="n">
        <f aca="false">MAX(0,IF(AND(Parameter!$B$21="Ja",ISNUMBER(W113)),W113,IF(Parameter!$B$20="Jahresanfang 2025 + Export",BJ113+BI113,BI113)))</f>
        <v>19</v>
      </c>
      <c r="H113" s="57" t="n">
        <f aca="false">G113*F113</f>
        <v>1905.32</v>
      </c>
      <c r="I113" s="57" t="n">
        <f aca="false">BL113*Parameter!$B$18</f>
        <v>64</v>
      </c>
      <c r="J113" s="58" t="n">
        <v>17.5</v>
      </c>
      <c r="K113" s="59" t="n">
        <v>3.65714285714286</v>
      </c>
      <c r="L113" s="57" t="n">
        <v>5</v>
      </c>
      <c r="M113" s="57" t="n">
        <v>40</v>
      </c>
      <c r="N113" s="60" t="n">
        <v>35</v>
      </c>
      <c r="O113" s="55" t="s">
        <v>218</v>
      </c>
      <c r="P113" s="57" t="n">
        <v>76</v>
      </c>
      <c r="Q113" s="60" t="n">
        <f aca="false">IF(BR113=1,0,IFERROR(VLOOKUP(BP113,'Gebinde-Kategorie'!$A$5:$M$45,13,0)+0,0))</f>
        <v>12</v>
      </c>
      <c r="R113" s="61"/>
      <c r="S113" s="62"/>
      <c r="T113" s="62"/>
      <c r="U113" s="55"/>
      <c r="V113" s="57"/>
      <c r="W113" s="57"/>
      <c r="X113" s="55" t="n">
        <f aca="false">IF(A113="","",IF(AND(Parameter!$B$21="Ja",ISNUMBER(U113)),U113,IF(IFERROR(VLOOKUP(D113,Parameter!$A$35:$C$64,2,0),"Nein")="2+3",IF(ISNUMBER(SEARCH("grosser Artikel",BM113)),2,IFERROR(VLOOKUP(BP113,Parameter!$F$35:$G$64,2,0),2)),IF(OR(IFERROR(VLOOKUP(D113,Parameter!$A$35:$C$64,2,0),"Nein")="Nein",IFERROR(VLOOKUP(D113,Parameter!$A$35:$C$64,2,0),"Nein")=""),"-",VLOOKUP(D113,Parameter!$A$35:$C$64,2,0)))))</f>
        <v>2</v>
      </c>
      <c r="Y113" s="62"/>
      <c r="Z113" s="63"/>
      <c r="AA113" s="57" t="n">
        <f aca="false">AP113</f>
        <v>76</v>
      </c>
      <c r="AB113" s="57" t="n">
        <f aca="false">MAX(AP113,G113)</f>
        <v>76</v>
      </c>
      <c r="AC113" s="64"/>
      <c r="AD113" s="57" t="n">
        <f aca="false">IF(LEFT(Cockpit!$C$5,1)="A",G113,IF(BW113=1,BX113,IF(LEFT(Cockpit!$C$5,1)="B",AH113,MAX(AH113,G113))))</f>
        <v>19</v>
      </c>
      <c r="AE113" s="57" t="n">
        <f aca="false">IF(BR113=1,0,ROUNDUP(AD113/BQ113,0))</f>
        <v>1</v>
      </c>
      <c r="AF113" s="59" t="n">
        <f aca="false">IF(CD113&gt;0,CD113*MAX(1,AD113/V113),IF(BR113=1,IF(AD113&lt;=0,0,BS113*MAX(1,IF(G113&gt;0,AD113/G113,1))),IF(Q113&gt;0,AE113/Q113,0))/MAX(0.1,N(Parameter!$M$21)))</f>
        <v>0.0833333333333333</v>
      </c>
      <c r="AG113" s="57" t="n">
        <f aca="false">AD113*F113</f>
        <v>1905.32</v>
      </c>
      <c r="AH113" s="57" t="n">
        <f aca="false">ROUNDUP(MAX(I113/IF(BV113&gt;0,BV113,MAX(0.1,N(Cockpit!$C$6))),BY113)/BQ113,0)*BQ113</f>
        <v>76</v>
      </c>
      <c r="AI113" s="58" t="n">
        <f aca="false">IF(AF113&gt;0,I113/AF113,-1)</f>
        <v>768</v>
      </c>
      <c r="AJ113" s="58" t="n">
        <f aca="false">IF(AND(OR(BU113="L1",BU113="L23"),AF113&gt;0),SUMIFS($AF$7:$AF$1576,$BU$7:$BU$1576,BU113,$AI$7:$AI$1576,"&gt;"&amp;AI113)+SUMIFS($AF$7:$AF$1576,$BU$7:$BU$1576,BU113,$AI$7:$AI$1576,AI113,$BO$7:$BO$1576,"&lt;="&amp;BO113),"")</f>
        <v>10.9021245903855</v>
      </c>
      <c r="AK113" s="65" t="n">
        <f aca="false">IF(AJ113="",0,MAX(0,MIN(1,(IF(BU113="L1",Parameter!$E$5,Parameter!$E$6+Parameter!$E$7)-(AJ113-AF113))/AF113)))</f>
        <v>1</v>
      </c>
      <c r="AL113" s="57" t="n">
        <f aca="false">IF(LEFT(Cockpit!$I$5,1)="A",G113,IF(BW113=1,BX113,IF(LEFT(Cockpit!$I$5,1)="B",AP113,MAX(AP113,G113))))</f>
        <v>76</v>
      </c>
      <c r="AM113" s="57" t="n">
        <f aca="false">IF(BR113=1,0,ROUNDUP(AL113/BQ113,0))</f>
        <v>1</v>
      </c>
      <c r="AN113" s="59" t="n">
        <f aca="false">IF(CD113&gt;0,CD113*MAX(1,AL113/V113),IF(BR113=1,IF(AL113&lt;=0,0,BS113*MAX(1,IF(G113&gt;0,AL113/G113,1))),IF(Q113&gt;0,AM113/Q113,0))/MAX(0.1,N(Parameter!$M$21)))</f>
        <v>0.0833333333333333</v>
      </c>
      <c r="AO113" s="57" t="n">
        <f aca="false">AL113*F113</f>
        <v>7621.28</v>
      </c>
      <c r="AP113" s="57" t="n">
        <f aca="false">ROUNDUP(MAX(I113/IF(BV113&gt;0,BV113,MAX(0.1,N(Cockpit!$I$6))),BY113)/BQ113,0)*BQ113</f>
        <v>76</v>
      </c>
      <c r="AQ113" s="58" t="n">
        <f aca="false">IF(AN113&gt;0,I113/AN113,-1)</f>
        <v>768</v>
      </c>
      <c r="AR113" s="58" t="n">
        <f aca="false">IF(AND(OR(BU113="L1",BU113="L23"),AN113&gt;0),SUMIFS($AN$7:$AN$1576,$BU$7:$BU$1576,BU113,$AQ$7:$AQ$1576,"&gt;"&amp;AQ113)+SUMIFS($AN$7:$AN$1576,$BU$7:$BU$1576,BU113,$AQ$7:$AQ$1576,AQ113,$BO$7:$BO$1576,"&lt;="&amp;BO113),"")</f>
        <v>26.7925076496927</v>
      </c>
      <c r="AS113" s="65" t="n">
        <f aca="false">IF(AR113="",0,MAX(0,MIN(1,(IF(BU113="L1",Parameter!$E$5,Parameter!$E$6+Parameter!$E$7)-(AR113-AN113))/AN113)))</f>
        <v>1</v>
      </c>
      <c r="AT113" s="57" t="n">
        <f aca="false">IF(LEFT(Cockpit!$O$5,1)="A",G113,IF(BW113=1,BX113,IF(LEFT(Cockpit!$O$5,1)="B",AX113,MAX(AX113,G113))))</f>
        <v>76</v>
      </c>
      <c r="AU113" s="57" t="n">
        <f aca="false">IF(BR113=1,0,ROUNDUP(AT113/BQ113,0))</f>
        <v>1</v>
      </c>
      <c r="AV113" s="59" t="n">
        <f aca="false">IF(CD113&gt;0,CD113*MAX(1,AT113/V113),IF(BR113=1,IF(AT113&lt;=0,0,BS113*MAX(1,IF(G113&gt;0,AT113/G113,1))),IF(Q113&gt;0,AU113/Q113,0))/MAX(0.1,N(Parameter!$M$21)))</f>
        <v>0.0833333333333333</v>
      </c>
      <c r="AW113" s="57" t="n">
        <f aca="false">AT113*F113</f>
        <v>7621.28</v>
      </c>
      <c r="AX113" s="57" t="n">
        <f aca="false">ROUNDUP(MAX(I113/IF(BV113&gt;0,BV113,MAX(0.1,N(Cockpit!$O$6))),BY113)/BQ113,0)*BQ113</f>
        <v>76</v>
      </c>
      <c r="AY113" s="58" t="n">
        <f aca="false">IF(AV113&gt;0,I113/AV113,-1)</f>
        <v>768</v>
      </c>
      <c r="AZ113" s="58" t="n">
        <f aca="false">IF(AND(OR(BU113="L1",BU113="L23"),AV113&gt;0),SUMIFS($AV$7:$AV$1576,$BU$7:$BU$1576,BU113,$AY$7:$AY$1576,"&gt;"&amp;AY113)+SUMIFS($AV$7:$AV$1576,$BU$7:$BU$1576,BU113,$AY$7:$AY$1576,AY113,$BO$7:$BO$1576,"&lt;="&amp;BO113),"")</f>
        <v>26.859523966709</v>
      </c>
      <c r="BA113" s="65" t="n">
        <f aca="false">IF(AZ113="",0,MAX(0,MIN(1,(IF(BU113="L1",Parameter!$E$5,Parameter!$E$6+Parameter!$E$7)-(AZ113-AV113))/AV113)))</f>
        <v>1</v>
      </c>
      <c r="BB113" s="55" t="str">
        <f aca="false">IF(AF113&lt;=0,"",IF(BU113="Aussen","Aussenlager",IF(BU113="-","Nicht im Lift",IF(AK113&gt;=1,"Lift",IF(AK113&lt;=0,"Aussenlager","teilweise")))))</f>
        <v>Lift</v>
      </c>
      <c r="BC113" s="55" t="str">
        <f aca="false">IF(AN113&lt;=0,"",IF(BU113="Aussen","Aussenlager",IF(BU113="-","Nicht im Lift",IF(AS113&gt;=1,"Lift",IF(AS113&lt;=0,"Aussenlager","teilweise")))))</f>
        <v>Lift</v>
      </c>
      <c r="BD113" s="55" t="str">
        <f aca="false">IF(AV113&lt;=0,"",IF(BU113="Aussen","Aussenlager",IF(BU113="-","Nicht im Lift",IF(BA113&gt;=1,"Lift",IF(BA113&lt;=0,"Aussenlager","teilweise")))))</f>
        <v>Lift</v>
      </c>
      <c r="BE113" s="55" t="str">
        <f aca="false">IF(A113="","",IF(BN113=1,"Neu; ","")&amp;IF(AND(BN113=0,BI113&lt;0),"negativer Bestand (Export "&amp;BI113&amp;"); ","")&amp;IF(I113&lt;=0,"Kein Verbrauch; ","")&amp;IF(CD113&gt;0,"Lift "&amp;U113&amp;" lt. Liftbericht (Fach "&amp;V113&amp;" Stk); ",IF(BR113=1,"Lose – Fläche geschätzt; ",""))&amp;IF(G113&gt;AP113,"Überbestand "&amp;ROUND(G113-AP113,0)&amp;" Stk / CHF "&amp;ROUND((G113-AP113)*F113,0)&amp;"; ","")&amp;IF(AND(BW113=1,BX113&lt;BY113),"MAX &lt; MB+LG; ","")&amp;IF(AND(CC113&gt;0,CB113*10&gt;CC113),"zu hoch für Tablar; ","")&amp;IF(AND(BN113=0,OR(BW113=1,Y113&lt;&gt;"",S113&lt;&gt;"",T113&lt;&gt;"",Z113&lt;&gt;"")),"manuell übersteuert; ","")&amp;IF(AND(BR113=0,Q113=0),"Gebinde unbekannt / Stellmass fehlt; ","")&amp;IF(AND(BR113=0,N(T113)&lt;=0,N(P113)&lt;=0),"Menge pro Gebinde fehlt (Ist = 1 Gebinde); ","")&amp;BM113)</f>
        <v/>
      </c>
      <c r="BF113" s="55"/>
      <c r="BG113" s="55"/>
      <c r="BH113" s="62"/>
      <c r="BI113" s="57" t="n">
        <v>19</v>
      </c>
      <c r="BJ113" s="57" t="n">
        <v>20</v>
      </c>
      <c r="BK113" s="56" t="n">
        <v>2016.52</v>
      </c>
      <c r="BL113" s="57" t="n">
        <v>64</v>
      </c>
      <c r="BM113" s="55"/>
      <c r="BN113" s="60" t="n">
        <v>0</v>
      </c>
      <c r="BO113" s="60" t="n">
        <v>113</v>
      </c>
      <c r="BP113" s="55" t="str">
        <f aca="false">IF(S113&lt;&gt;"",UPPER(TRIM(S113)),IF(O113="","LOSE",O113))</f>
        <v>S63</v>
      </c>
      <c r="BQ113" s="57" t="n">
        <f aca="false">IF(BP113="LOSE",1,IF(N(T113)&gt;0,T113,IF(N(P113)&gt;0,P113,MAX(1,G113))))</f>
        <v>76</v>
      </c>
      <c r="BR113" s="60" t="n">
        <f aca="false">IF(BP113="LOSE",1,0)</f>
        <v>0</v>
      </c>
      <c r="BS113" s="59" t="n">
        <f aca="false">IF(BR113=0,0,IF(N(R113)&gt;0,R113,IFERROR(VLOOKUP(D113,Parameter!$A$35:$C$64,3,0)+0,0)))</f>
        <v>0</v>
      </c>
      <c r="BT113" s="55" t="n">
        <f aca="false">IF(Y113&lt;&gt;"",Y113,X113)</f>
        <v>2</v>
      </c>
      <c r="BU113" s="55" t="str">
        <f aca="false">IF(BT113=1,"L1",IF(OR(BT113=2,BT113=3),"L23",IF(BT113="Aussen","Aussen","-")))</f>
        <v>L23</v>
      </c>
      <c r="BV113" s="66" t="n">
        <f aca="false">IF(N(Z113)&gt;0,Z113,0)</f>
        <v>0</v>
      </c>
      <c r="BW113" s="60" t="n">
        <f aca="false">IF(ISNUMBER(AC113),1,0)</f>
        <v>0</v>
      </c>
      <c r="BX113" s="57" t="n">
        <f aca="false">N(AC113)</f>
        <v>0</v>
      </c>
      <c r="BY113" s="57" t="n">
        <f aca="false">N(L113)+N(M113)</f>
        <v>45</v>
      </c>
      <c r="BZ113" s="57" t="n">
        <f aca="false">ROUNDUP(G113/BQ113,0)</f>
        <v>1</v>
      </c>
      <c r="CA113" s="57" t="n">
        <f aca="false">ROUNDUP(BX113/BQ113,0)</f>
        <v>0</v>
      </c>
      <c r="CB113" s="60" t="n">
        <f aca="false">IF(BR113=1,0,IFERROR(VLOOKUP(BP113,'Gebinde-Kategorie'!$A$5:$M$45,5,0)+0,0))</f>
        <v>31</v>
      </c>
      <c r="CC113" s="60" t="n">
        <f aca="false">IFERROR(IF(OR(BT113=1,BT113=2,BT113=3),N(INDEX(Parameter!$I$5:$I$7,BT113)),0),0)</f>
        <v>0</v>
      </c>
      <c r="CD113" s="59" t="n">
        <f aca="false">IF(AND(Parameter!$B$21="Ja",ISNUMBER(U113),N(V113)&gt;0),IFERROR(N(INDEX(Parameter!$L$5:$L$7,U113))*INDEX(Parameter!$E$5:$E$7,U113)*V113/SUMIFS($V$7:$V$1576,$U$7:$U$1576,U113),0),0)</f>
        <v>0</v>
      </c>
    </row>
    <row r="114" customFormat="false" ht="15" hidden="false" customHeight="false" outlineLevel="0" collapsed="false">
      <c r="A114" s="55" t="s">
        <v>429</v>
      </c>
      <c r="B114" s="55" t="s">
        <v>430</v>
      </c>
      <c r="C114" s="55" t="s">
        <v>160</v>
      </c>
      <c r="D114" s="55" t="s">
        <v>178</v>
      </c>
      <c r="E114" s="55" t="s">
        <v>210</v>
      </c>
      <c r="F114" s="56" t="n">
        <v>107</v>
      </c>
      <c r="G114" s="57" t="n">
        <f aca="false">MAX(0,IF(AND(Parameter!$B$21="Ja",ISNUMBER(W114)),W114,IF(Parameter!$B$20="Jahresanfang 2025 + Export",BJ114+BI114,BI114)))</f>
        <v>18</v>
      </c>
      <c r="H114" s="57" t="n">
        <f aca="false">G114*F114</f>
        <v>1926</v>
      </c>
      <c r="I114" s="57" t="n">
        <f aca="false">BL114*Parameter!$B$18</f>
        <v>59</v>
      </c>
      <c r="J114" s="58" t="n">
        <v>18.5</v>
      </c>
      <c r="K114" s="59" t="n">
        <v>3.18918918918919</v>
      </c>
      <c r="L114" s="57" t="n">
        <v>2</v>
      </c>
      <c r="M114" s="57" t="n">
        <v>35</v>
      </c>
      <c r="N114" s="60" t="n">
        <v>14</v>
      </c>
      <c r="O114" s="55" t="s">
        <v>225</v>
      </c>
      <c r="P114" s="57" t="n">
        <v>18</v>
      </c>
      <c r="Q114" s="60" t="n">
        <f aca="false">IF(BR114=1,0,IFERROR(VLOOKUP(BP114,'Gebinde-Kategorie'!$A$5:$M$45,13,0)+0,0))</f>
        <v>26</v>
      </c>
      <c r="R114" s="61"/>
      <c r="S114" s="62"/>
      <c r="T114" s="62"/>
      <c r="U114" s="55"/>
      <c r="V114" s="57"/>
      <c r="W114" s="57"/>
      <c r="X114" s="55" t="n">
        <f aca="false">IF(A114="","",IF(AND(Parameter!$B$21="Ja",ISNUMBER(U114)),U114,IF(IFERROR(VLOOKUP(D114,Parameter!$A$35:$C$64,2,0),"Nein")="2+3",IF(ISNUMBER(SEARCH("grosser Artikel",BM114)),2,IFERROR(VLOOKUP(BP114,Parameter!$F$35:$G$64,2,0),2)),IF(OR(IFERROR(VLOOKUP(D114,Parameter!$A$35:$C$64,2,0),"Nein")="Nein",IFERROR(VLOOKUP(D114,Parameter!$A$35:$C$64,2,0),"Nein")=""),"-",VLOOKUP(D114,Parameter!$A$35:$C$64,2,0)))))</f>
        <v>3</v>
      </c>
      <c r="Y114" s="62"/>
      <c r="Z114" s="63"/>
      <c r="AA114" s="57" t="n">
        <f aca="false">AP114</f>
        <v>54</v>
      </c>
      <c r="AB114" s="57" t="n">
        <f aca="false">MAX(AP114,G114)</f>
        <v>54</v>
      </c>
      <c r="AC114" s="64"/>
      <c r="AD114" s="57" t="n">
        <f aca="false">IF(LEFT(Cockpit!$C$5,1)="A",G114,IF(BW114=1,BX114,IF(LEFT(Cockpit!$C$5,1)="B",AH114,MAX(AH114,G114))))</f>
        <v>18</v>
      </c>
      <c r="AE114" s="57" t="n">
        <f aca="false">IF(BR114=1,0,ROUNDUP(AD114/BQ114,0))</f>
        <v>1</v>
      </c>
      <c r="AF114" s="59" t="n">
        <f aca="false">IF(CD114&gt;0,CD114*MAX(1,AD114/V114),IF(BR114=1,IF(AD114&lt;=0,0,BS114*MAX(1,IF(G114&gt;0,AD114/G114,1))),IF(Q114&gt;0,AE114/Q114,0))/MAX(0.1,N(Parameter!$M$21)))</f>
        <v>0.0384615384615385</v>
      </c>
      <c r="AG114" s="57" t="n">
        <f aca="false">AD114*F114</f>
        <v>1926</v>
      </c>
      <c r="AH114" s="57" t="n">
        <f aca="false">ROUNDUP(MAX(I114/IF(BV114&gt;0,BV114,MAX(0.1,N(Cockpit!$C$6))),BY114)/BQ114,0)*BQ114</f>
        <v>54</v>
      </c>
      <c r="AI114" s="58" t="n">
        <f aca="false">IF(AF114&gt;0,I114/AF114,-1)</f>
        <v>1534</v>
      </c>
      <c r="AJ114" s="58" t="n">
        <f aca="false">IF(AND(OR(BU114="L1",BU114="L23"),AF114&gt;0),SUMIFS($AF$7:$AF$1576,$BU$7:$BU$1576,BU114,$AI$7:$AI$1576,"&gt;"&amp;AI114)+SUMIFS($AF$7:$AF$1576,$BU$7:$BU$1576,BU114,$AI$7:$AI$1576,AI114,$BO$7:$BO$1576,"&lt;="&amp;BO114),"")</f>
        <v>7.77158677071721</v>
      </c>
      <c r="AK114" s="65" t="n">
        <f aca="false">IF(AJ114="",0,MAX(0,MIN(1,(IF(BU114="L1",Parameter!$E$5,Parameter!$E$6+Parameter!$E$7)-(AJ114-AF114))/AF114)))</f>
        <v>1</v>
      </c>
      <c r="AL114" s="57" t="n">
        <f aca="false">IF(LEFT(Cockpit!$I$5,1)="A",G114,IF(BW114=1,BX114,IF(LEFT(Cockpit!$I$5,1)="B",AP114,MAX(AP114,G114))))</f>
        <v>54</v>
      </c>
      <c r="AM114" s="57" t="n">
        <f aca="false">IF(BR114=1,0,ROUNDUP(AL114/BQ114,0))</f>
        <v>3</v>
      </c>
      <c r="AN114" s="59" t="n">
        <f aca="false">IF(CD114&gt;0,CD114*MAX(1,AL114/V114),IF(BR114=1,IF(AL114&lt;=0,0,BS114*MAX(1,IF(G114&gt;0,AL114/G114,1))),IF(Q114&gt;0,AM114/Q114,0))/MAX(0.1,N(Parameter!$M$21)))</f>
        <v>0.115384615384615</v>
      </c>
      <c r="AO114" s="57" t="n">
        <f aca="false">AL114*F114</f>
        <v>5778</v>
      </c>
      <c r="AP114" s="57" t="n">
        <f aca="false">ROUNDUP(MAX(I114/IF(BV114&gt;0,BV114,MAX(0.1,N(Cockpit!$I$6))),BY114)/BQ114,0)*BQ114</f>
        <v>54</v>
      </c>
      <c r="AQ114" s="58" t="n">
        <f aca="false">IF(AN114&gt;0,I114/AN114,-1)</f>
        <v>511.333333333333</v>
      </c>
      <c r="AR114" s="58" t="n">
        <f aca="false">IF(AND(OR(BU114="L1",BU114="L23"),AN114&gt;0),SUMIFS($AN$7:$AN$1576,$BU$7:$BU$1576,BU114,$AQ$7:$AQ$1576,"&gt;"&amp;AQ114)+SUMIFS($AN$7:$AN$1576,$BU$7:$BU$1576,BU114,$AQ$7:$AQ$1576,AQ114,$BO$7:$BO$1576,"&lt;="&amp;BO114),"")</f>
        <v>33.4929893901745</v>
      </c>
      <c r="AS114" s="65" t="n">
        <f aca="false">IF(AR114="",0,MAX(0,MIN(1,(IF(BU114="L1",Parameter!$E$5,Parameter!$E$6+Parameter!$E$7)-(AR114-AN114))/AN114)))</f>
        <v>1</v>
      </c>
      <c r="AT114" s="57" t="n">
        <f aca="false">IF(LEFT(Cockpit!$O$5,1)="A",G114,IF(BW114=1,BX114,IF(LEFT(Cockpit!$O$5,1)="B",AX114,MAX(AX114,G114))))</f>
        <v>54</v>
      </c>
      <c r="AU114" s="57" t="n">
        <f aca="false">IF(BR114=1,0,ROUNDUP(AT114/BQ114,0))</f>
        <v>3</v>
      </c>
      <c r="AV114" s="59" t="n">
        <f aca="false">IF(CD114&gt;0,CD114*MAX(1,AT114/V114),IF(BR114=1,IF(AT114&lt;=0,0,BS114*MAX(1,IF(G114&gt;0,AT114/G114,1))),IF(Q114&gt;0,AU114/Q114,0))/MAX(0.1,N(Parameter!$M$21)))</f>
        <v>0.115384615384615</v>
      </c>
      <c r="AW114" s="57" t="n">
        <f aca="false">AT114*F114</f>
        <v>5778</v>
      </c>
      <c r="AX114" s="57" t="n">
        <f aca="false">ROUNDUP(MAX(I114/IF(BV114&gt;0,BV114,MAX(0.1,N(Cockpit!$O$6))),BY114)/BQ114,0)*BQ114</f>
        <v>54</v>
      </c>
      <c r="AY114" s="58" t="n">
        <f aca="false">IF(AV114&gt;0,I114/AV114,-1)</f>
        <v>511.333333333333</v>
      </c>
      <c r="AZ114" s="58" t="n">
        <f aca="false">IF(AND(OR(BU114="L1",BU114="L23"),AV114&gt;0),SUMIFS($AV$7:$AV$1576,$BU$7:$BU$1576,BU114,$AY$7:$AY$1576,"&gt;"&amp;AY114)+SUMIFS($AV$7:$AV$1576,$BU$7:$BU$1576,BU114,$AY$7:$AY$1576,AY114,$BO$7:$BO$1576,"&lt;="&amp;BO114),"")</f>
        <v>31.5696760368611</v>
      </c>
      <c r="BA114" s="65" t="n">
        <f aca="false">IF(AZ114="",0,MAX(0,MIN(1,(IF(BU114="L1",Parameter!$E$5,Parameter!$E$6+Parameter!$E$7)-(AZ114-AV114))/AV114)))</f>
        <v>1</v>
      </c>
      <c r="BB114" s="55" t="str">
        <f aca="false">IF(AF114&lt;=0,"",IF(BU114="Aussen","Aussenlager",IF(BU114="-","Nicht im Lift",IF(AK114&gt;=1,"Lift",IF(AK114&lt;=0,"Aussenlager","teilweise")))))</f>
        <v>Lift</v>
      </c>
      <c r="BC114" s="55" t="str">
        <f aca="false">IF(AN114&lt;=0,"",IF(BU114="Aussen","Aussenlager",IF(BU114="-","Nicht im Lift",IF(AS114&gt;=1,"Lift",IF(AS114&lt;=0,"Aussenlager","teilweise")))))</f>
        <v>Lift</v>
      </c>
      <c r="BD114" s="55" t="str">
        <f aca="false">IF(AV114&lt;=0,"",IF(BU114="Aussen","Aussenlager",IF(BU114="-","Nicht im Lift",IF(BA114&gt;=1,"Lift",IF(BA114&lt;=0,"Aussenlager","teilweise")))))</f>
        <v>Lift</v>
      </c>
      <c r="BE114" s="55" t="str">
        <f aca="false">IF(A114="","",IF(BN114=1,"Neu; ","")&amp;IF(AND(BN114=0,BI114&lt;0),"negativer Bestand (Export "&amp;BI114&amp;"); ","")&amp;IF(I114&lt;=0,"Kein Verbrauch; ","")&amp;IF(CD114&gt;0,"Lift "&amp;U114&amp;" lt. Liftbericht (Fach "&amp;V114&amp;" Stk); ",IF(BR114=1,"Lose – Fläche geschätzt; ",""))&amp;IF(G114&gt;AP114,"Überbestand "&amp;ROUND(G114-AP114,0)&amp;" Stk / CHF "&amp;ROUND((G114-AP114)*F114,0)&amp;"; ","")&amp;IF(AND(BW114=1,BX114&lt;BY114),"MAX &lt; MB+LG; ","")&amp;IF(AND(CC114&gt;0,CB114*10&gt;CC114),"zu hoch für Tablar; ","")&amp;IF(AND(BN114=0,OR(BW114=1,Y114&lt;&gt;"",S114&lt;&gt;"",T114&lt;&gt;"",Z114&lt;&gt;"")),"manuell übersteuert; ","")&amp;IF(AND(BR114=0,Q114=0),"Gebinde unbekannt / Stellmass fehlt; ","")&amp;IF(AND(BR114=0,N(T114)&lt;=0,N(P114)&lt;=0),"Menge pro Gebinde fehlt (Ist = 1 Gebinde); ","")&amp;BM114)</f>
        <v/>
      </c>
      <c r="BF114" s="55"/>
      <c r="BG114" s="55"/>
      <c r="BH114" s="62"/>
      <c r="BI114" s="57" t="n">
        <v>18</v>
      </c>
      <c r="BJ114" s="57" t="n">
        <v>7</v>
      </c>
      <c r="BK114" s="56" t="n">
        <v>1926</v>
      </c>
      <c r="BL114" s="57" t="n">
        <v>59</v>
      </c>
      <c r="BM114" s="55"/>
      <c r="BN114" s="60" t="n">
        <v>0</v>
      </c>
      <c r="BO114" s="60" t="n">
        <v>114</v>
      </c>
      <c r="BP114" s="55" t="str">
        <f aca="false">IF(S114&lt;&gt;"",UPPER(TRIM(S114)),IF(O114="","LOSE",O114))</f>
        <v>S52</v>
      </c>
      <c r="BQ114" s="57" t="n">
        <f aca="false">IF(BP114="LOSE",1,IF(N(T114)&gt;0,T114,IF(N(P114)&gt;0,P114,MAX(1,G114))))</f>
        <v>18</v>
      </c>
      <c r="BR114" s="60" t="n">
        <f aca="false">IF(BP114="LOSE",1,0)</f>
        <v>0</v>
      </c>
      <c r="BS114" s="59" t="n">
        <f aca="false">IF(BR114=0,0,IF(N(R114)&gt;0,R114,IFERROR(VLOOKUP(D114,Parameter!$A$35:$C$64,3,0)+0,0)))</f>
        <v>0</v>
      </c>
      <c r="BT114" s="55" t="n">
        <f aca="false">IF(Y114&lt;&gt;"",Y114,X114)</f>
        <v>3</v>
      </c>
      <c r="BU114" s="55" t="str">
        <f aca="false">IF(BT114=1,"L1",IF(OR(BT114=2,BT114=3),"L23",IF(BT114="Aussen","Aussen","-")))</f>
        <v>L23</v>
      </c>
      <c r="BV114" s="66" t="n">
        <f aca="false">IF(N(Z114)&gt;0,Z114,0)</f>
        <v>0</v>
      </c>
      <c r="BW114" s="60" t="n">
        <f aca="false">IF(ISNUMBER(AC114),1,0)</f>
        <v>0</v>
      </c>
      <c r="BX114" s="57" t="n">
        <f aca="false">N(AC114)</f>
        <v>0</v>
      </c>
      <c r="BY114" s="57" t="n">
        <f aca="false">N(L114)+N(M114)</f>
        <v>37</v>
      </c>
      <c r="BZ114" s="57" t="n">
        <f aca="false">ROUNDUP(G114/BQ114,0)</f>
        <v>1</v>
      </c>
      <c r="CA114" s="57" t="n">
        <f aca="false">ROUNDUP(BX114/BQ114,0)</f>
        <v>0</v>
      </c>
      <c r="CB114" s="60" t="n">
        <f aca="false">IF(BR114=1,0,IFERROR(VLOOKUP(BP114,'Gebinde-Kategorie'!$A$5:$M$45,5,0)+0,0))</f>
        <v>21</v>
      </c>
      <c r="CC114" s="60" t="n">
        <f aca="false">IFERROR(IF(OR(BT114=1,BT114=2,BT114=3),N(INDEX(Parameter!$I$5:$I$7,BT114)),0),0)</f>
        <v>0</v>
      </c>
      <c r="CD114" s="59" t="n">
        <f aca="false">IF(AND(Parameter!$B$21="Ja",ISNUMBER(U114),N(V114)&gt;0),IFERROR(N(INDEX(Parameter!$L$5:$L$7,U114))*INDEX(Parameter!$E$5:$E$7,U114)*V114/SUMIFS($V$7:$V$1576,$U$7:$U$1576,U114),0),0)</f>
        <v>0</v>
      </c>
    </row>
    <row r="115" customFormat="false" ht="15" hidden="false" customHeight="false" outlineLevel="0" collapsed="false">
      <c r="A115" s="55" t="s">
        <v>431</v>
      </c>
      <c r="B115" s="55" t="s">
        <v>432</v>
      </c>
      <c r="C115" s="55" t="s">
        <v>160</v>
      </c>
      <c r="D115" s="55" t="s">
        <v>178</v>
      </c>
      <c r="E115" s="55" t="s">
        <v>210</v>
      </c>
      <c r="F115" s="56" t="n">
        <v>13.66</v>
      </c>
      <c r="G115" s="57" t="n">
        <f aca="false">MAX(0,IF(AND(Parameter!$B$21="Ja",ISNUMBER(W115)),W115,IF(Parameter!$B$20="Jahresanfang 2025 + Export",BJ115+BI115,BI115)))</f>
        <v>147.8</v>
      </c>
      <c r="H115" s="57" t="n">
        <f aca="false">G115*F115</f>
        <v>2018.948</v>
      </c>
      <c r="I115" s="57" t="n">
        <f aca="false">BL115*Parameter!$B$18</f>
        <v>447.2</v>
      </c>
      <c r="J115" s="58" t="n">
        <v>62.2</v>
      </c>
      <c r="K115" s="59" t="n">
        <v>7.18971061093248</v>
      </c>
      <c r="L115" s="57" t="n">
        <v>30</v>
      </c>
      <c r="M115" s="57" t="n">
        <v>265</v>
      </c>
      <c r="N115" s="60" t="n">
        <v>21</v>
      </c>
      <c r="O115" s="55" t="s">
        <v>218</v>
      </c>
      <c r="P115" s="57" t="n">
        <v>91</v>
      </c>
      <c r="Q115" s="60" t="n">
        <f aca="false">IF(BR115=1,0,IFERROR(VLOOKUP(BP115,'Gebinde-Kategorie'!$A$5:$M$45,13,0)+0,0))</f>
        <v>12</v>
      </c>
      <c r="R115" s="61"/>
      <c r="S115" s="62"/>
      <c r="T115" s="62"/>
      <c r="U115" s="55"/>
      <c r="V115" s="57"/>
      <c r="W115" s="57"/>
      <c r="X115" s="55" t="n">
        <f aca="false">IF(A115="","",IF(AND(Parameter!$B$21="Ja",ISNUMBER(U115)),U115,IF(IFERROR(VLOOKUP(D115,Parameter!$A$35:$C$64,2,0),"Nein")="2+3",IF(ISNUMBER(SEARCH("grosser Artikel",BM115)),2,IFERROR(VLOOKUP(BP115,Parameter!$F$35:$G$64,2,0),2)),IF(OR(IFERROR(VLOOKUP(D115,Parameter!$A$35:$C$64,2,0),"Nein")="Nein",IFERROR(VLOOKUP(D115,Parameter!$A$35:$C$64,2,0),"Nein")=""),"-",VLOOKUP(D115,Parameter!$A$35:$C$64,2,0)))))</f>
        <v>2</v>
      </c>
      <c r="Y115" s="62"/>
      <c r="Z115" s="63"/>
      <c r="AA115" s="57" t="n">
        <f aca="false">AP115</f>
        <v>364</v>
      </c>
      <c r="AB115" s="57" t="n">
        <f aca="false">MAX(AP115,G115)</f>
        <v>364</v>
      </c>
      <c r="AC115" s="64"/>
      <c r="AD115" s="57" t="n">
        <f aca="false">IF(LEFT(Cockpit!$C$5,1)="A",G115,IF(BW115=1,BX115,IF(LEFT(Cockpit!$C$5,1)="B",AH115,MAX(AH115,G115))))</f>
        <v>147.8</v>
      </c>
      <c r="AE115" s="57" t="n">
        <f aca="false">IF(BR115=1,0,ROUNDUP(AD115/BQ115,0))</f>
        <v>2</v>
      </c>
      <c r="AF115" s="59" t="n">
        <f aca="false">IF(CD115&gt;0,CD115*MAX(1,AD115/V115),IF(BR115=1,IF(AD115&lt;=0,0,BS115*MAX(1,IF(G115&gt;0,AD115/G115,1))),IF(Q115&gt;0,AE115/Q115,0))/MAX(0.1,N(Parameter!$M$21)))</f>
        <v>0.166666666666667</v>
      </c>
      <c r="AG115" s="57" t="n">
        <f aca="false">AD115*F115</f>
        <v>2018.948</v>
      </c>
      <c r="AH115" s="57" t="n">
        <f aca="false">ROUNDUP(MAX(I115/IF(BV115&gt;0,BV115,MAX(0.1,N(Cockpit!$C$6))),BY115)/BQ115,0)*BQ115</f>
        <v>364</v>
      </c>
      <c r="AI115" s="58" t="n">
        <f aca="false">IF(AF115&gt;0,I115/AF115,-1)</f>
        <v>2683.2</v>
      </c>
      <c r="AJ115" s="58" t="n">
        <f aca="false">IF(AND(OR(BU115="L1",BU115="L23"),AF115&gt;0),SUMIFS($AF$7:$AF$1576,$BU$7:$BU$1576,BU115,$AI$7:$AI$1576,"&gt;"&amp;AI115)+SUMIFS($AF$7:$AF$1576,$BU$7:$BU$1576,BU115,$AI$7:$AI$1576,AI115,$BO$7:$BO$1576,"&lt;="&amp;BO115),"")</f>
        <v>5.49512144859971</v>
      </c>
      <c r="AK115" s="65" t="n">
        <f aca="false">IF(AJ115="",0,MAX(0,MIN(1,(IF(BU115="L1",Parameter!$E$5,Parameter!$E$6+Parameter!$E$7)-(AJ115-AF115))/AF115)))</f>
        <v>1</v>
      </c>
      <c r="AL115" s="57" t="n">
        <f aca="false">IF(LEFT(Cockpit!$I$5,1)="A",G115,IF(BW115=1,BX115,IF(LEFT(Cockpit!$I$5,1)="B",AP115,MAX(AP115,G115))))</f>
        <v>364</v>
      </c>
      <c r="AM115" s="57" t="n">
        <f aca="false">IF(BR115=1,0,ROUNDUP(AL115/BQ115,0))</f>
        <v>4</v>
      </c>
      <c r="AN115" s="59" t="n">
        <f aca="false">IF(CD115&gt;0,CD115*MAX(1,AL115/V115),IF(BR115=1,IF(AL115&lt;=0,0,BS115*MAX(1,IF(G115&gt;0,AL115/G115,1))),IF(Q115&gt;0,AM115/Q115,0))/MAX(0.1,N(Parameter!$M$21)))</f>
        <v>0.333333333333333</v>
      </c>
      <c r="AO115" s="57" t="n">
        <f aca="false">AL115*F115</f>
        <v>4972.24</v>
      </c>
      <c r="AP115" s="57" t="n">
        <f aca="false">ROUNDUP(MAX(I115/IF(BV115&gt;0,BV115,MAX(0.1,N(Cockpit!$I$6))),BY115)/BQ115,0)*BQ115</f>
        <v>364</v>
      </c>
      <c r="AQ115" s="58" t="n">
        <f aca="false">IF(AN115&gt;0,I115/AN115,-1)</f>
        <v>1341.6</v>
      </c>
      <c r="AR115" s="58" t="n">
        <f aca="false">IF(AND(OR(BU115="L1",BU115="L23"),AN115&gt;0),SUMIFS($AN$7:$AN$1576,$BU$7:$BU$1576,BU115,$AQ$7:$AQ$1576,"&gt;"&amp;AQ115)+SUMIFS($AN$7:$AN$1576,$BU$7:$BU$1576,BU115,$AQ$7:$AQ$1576,AQ115,$BO$7:$BO$1576,"&lt;="&amp;BO115),"")</f>
        <v>20.1547822350108</v>
      </c>
      <c r="AS115" s="65" t="n">
        <f aca="false">IF(AR115="",0,MAX(0,MIN(1,(IF(BU115="L1",Parameter!$E$5,Parameter!$E$6+Parameter!$E$7)-(AR115-AN115))/AN115)))</f>
        <v>1</v>
      </c>
      <c r="AT115" s="57" t="n">
        <f aca="false">IF(LEFT(Cockpit!$O$5,1)="A",G115,IF(BW115=1,BX115,IF(LEFT(Cockpit!$O$5,1)="B",AX115,MAX(AX115,G115))))</f>
        <v>364</v>
      </c>
      <c r="AU115" s="57" t="n">
        <f aca="false">IF(BR115=1,0,ROUNDUP(AT115/BQ115,0))</f>
        <v>4</v>
      </c>
      <c r="AV115" s="59" t="n">
        <f aca="false">IF(CD115&gt;0,CD115*MAX(1,AT115/V115),IF(BR115=1,IF(AT115&lt;=0,0,BS115*MAX(1,IF(G115&gt;0,AT115/G115,1))),IF(Q115&gt;0,AU115/Q115,0))/MAX(0.1,N(Parameter!$M$21)))</f>
        <v>0.333333333333333</v>
      </c>
      <c r="AW115" s="57" t="n">
        <f aca="false">AT115*F115</f>
        <v>4972.24</v>
      </c>
      <c r="AX115" s="57" t="n">
        <f aca="false">ROUNDUP(MAX(I115/IF(BV115&gt;0,BV115,MAX(0.1,N(Cockpit!$O$6))),BY115)/BQ115,0)*BQ115</f>
        <v>364</v>
      </c>
      <c r="AY115" s="58" t="n">
        <f aca="false">IF(AV115&gt;0,I115/AV115,-1)</f>
        <v>1341.6</v>
      </c>
      <c r="AZ115" s="58" t="n">
        <f aca="false">IF(AND(OR(BU115="L1",BU115="L23"),AV115&gt;0),SUMIFS($AV$7:$AV$1576,$BU$7:$BU$1576,BU115,$AY$7:$AY$1576,"&gt;"&amp;AY115)+SUMIFS($AV$7:$AV$1576,$BU$7:$BU$1576,BU115,$AY$7:$AY$1576,AY115,$BO$7:$BO$1576,"&lt;="&amp;BO115),"")</f>
        <v>19.2153882956168</v>
      </c>
      <c r="BA115" s="65" t="n">
        <f aca="false">IF(AZ115="",0,MAX(0,MIN(1,(IF(BU115="L1",Parameter!$E$5,Parameter!$E$6+Parameter!$E$7)-(AZ115-AV115))/AV115)))</f>
        <v>1</v>
      </c>
      <c r="BB115" s="55" t="str">
        <f aca="false">IF(AF115&lt;=0,"",IF(BU115="Aussen","Aussenlager",IF(BU115="-","Nicht im Lift",IF(AK115&gt;=1,"Lift",IF(AK115&lt;=0,"Aussenlager","teilweise")))))</f>
        <v>Lift</v>
      </c>
      <c r="BC115" s="55" t="str">
        <f aca="false">IF(AN115&lt;=0,"",IF(BU115="Aussen","Aussenlager",IF(BU115="-","Nicht im Lift",IF(AS115&gt;=1,"Lift",IF(AS115&lt;=0,"Aussenlager","teilweise")))))</f>
        <v>Lift</v>
      </c>
      <c r="BD115" s="55" t="str">
        <f aca="false">IF(AV115&lt;=0,"",IF(BU115="Aussen","Aussenlager",IF(BU115="-","Nicht im Lift",IF(BA115&gt;=1,"Lift",IF(BA115&lt;=0,"Aussenlager","teilweise")))))</f>
        <v>Lift</v>
      </c>
      <c r="BE115" s="55" t="str">
        <f aca="false">IF(A115="","",IF(BN115=1,"Neu; ","")&amp;IF(AND(BN115=0,BI115&lt;0),"negativer Bestand (Export "&amp;BI115&amp;"); ","")&amp;IF(I115&lt;=0,"Kein Verbrauch; ","")&amp;IF(CD115&gt;0,"Lift "&amp;U115&amp;" lt. Liftbericht (Fach "&amp;V115&amp;" Stk); ",IF(BR115=1,"Lose – Fläche geschätzt; ",""))&amp;IF(G115&gt;AP115,"Überbestand "&amp;ROUND(G115-AP115,0)&amp;" Stk / CHF "&amp;ROUND((G115-AP115)*F115,0)&amp;"; ","")&amp;IF(AND(BW115=1,BX115&lt;BY115),"MAX &lt; MB+LG; ","")&amp;IF(AND(CC115&gt;0,CB115*10&gt;CC115),"zu hoch für Tablar; ","")&amp;IF(AND(BN115=0,OR(BW115=1,Y115&lt;&gt;"",S115&lt;&gt;"",T115&lt;&gt;"",Z115&lt;&gt;"")),"manuell übersteuert; ","")&amp;IF(AND(BR115=0,Q115=0),"Gebinde unbekannt / Stellmass fehlt; ","")&amp;IF(AND(BR115=0,N(T115)&lt;=0,N(P115)&lt;=0),"Menge pro Gebinde fehlt (Ist = 1 Gebinde); ","")&amp;BM115)</f>
        <v/>
      </c>
      <c r="BF115" s="55"/>
      <c r="BG115" s="55"/>
      <c r="BH115" s="62"/>
      <c r="BI115" s="57" t="n">
        <v>147.8</v>
      </c>
      <c r="BJ115" s="57" t="n">
        <v>47.3</v>
      </c>
      <c r="BK115" s="56" t="n">
        <v>1915.36</v>
      </c>
      <c r="BL115" s="57" t="n">
        <v>447.2</v>
      </c>
      <c r="BM115" s="55"/>
      <c r="BN115" s="60" t="n">
        <v>0</v>
      </c>
      <c r="BO115" s="60" t="n">
        <v>115</v>
      </c>
      <c r="BP115" s="55" t="str">
        <f aca="false">IF(S115&lt;&gt;"",UPPER(TRIM(S115)),IF(O115="","LOSE",O115))</f>
        <v>S63</v>
      </c>
      <c r="BQ115" s="57" t="n">
        <f aca="false">IF(BP115="LOSE",1,IF(N(T115)&gt;0,T115,IF(N(P115)&gt;0,P115,MAX(1,G115))))</f>
        <v>91</v>
      </c>
      <c r="BR115" s="60" t="n">
        <f aca="false">IF(BP115="LOSE",1,0)</f>
        <v>0</v>
      </c>
      <c r="BS115" s="59" t="n">
        <f aca="false">IF(BR115=0,0,IF(N(R115)&gt;0,R115,IFERROR(VLOOKUP(D115,Parameter!$A$35:$C$64,3,0)+0,0)))</f>
        <v>0</v>
      </c>
      <c r="BT115" s="55" t="n">
        <f aca="false">IF(Y115&lt;&gt;"",Y115,X115)</f>
        <v>2</v>
      </c>
      <c r="BU115" s="55" t="str">
        <f aca="false">IF(BT115=1,"L1",IF(OR(BT115=2,BT115=3),"L23",IF(BT115="Aussen","Aussen","-")))</f>
        <v>L23</v>
      </c>
      <c r="BV115" s="66" t="n">
        <f aca="false">IF(N(Z115)&gt;0,Z115,0)</f>
        <v>0</v>
      </c>
      <c r="BW115" s="60" t="n">
        <f aca="false">IF(ISNUMBER(AC115),1,0)</f>
        <v>0</v>
      </c>
      <c r="BX115" s="57" t="n">
        <f aca="false">N(AC115)</f>
        <v>0</v>
      </c>
      <c r="BY115" s="57" t="n">
        <f aca="false">N(L115)+N(M115)</f>
        <v>295</v>
      </c>
      <c r="BZ115" s="57" t="n">
        <f aca="false">ROUNDUP(G115/BQ115,0)</f>
        <v>2</v>
      </c>
      <c r="CA115" s="57" t="n">
        <f aca="false">ROUNDUP(BX115/BQ115,0)</f>
        <v>0</v>
      </c>
      <c r="CB115" s="60" t="n">
        <f aca="false">IF(BR115=1,0,IFERROR(VLOOKUP(BP115,'Gebinde-Kategorie'!$A$5:$M$45,5,0)+0,0))</f>
        <v>31</v>
      </c>
      <c r="CC115" s="60" t="n">
        <f aca="false">IFERROR(IF(OR(BT115=1,BT115=2,BT115=3),N(INDEX(Parameter!$I$5:$I$7,BT115)),0),0)</f>
        <v>0</v>
      </c>
      <c r="CD115" s="59" t="n">
        <f aca="false">IF(AND(Parameter!$B$21="Ja",ISNUMBER(U115),N(V115)&gt;0),IFERROR(N(INDEX(Parameter!$L$5:$L$7,U115))*INDEX(Parameter!$E$5:$E$7,U115)*V115/SUMIFS($V$7:$V$1576,$U$7:$U$1576,U115),0),0)</f>
        <v>0</v>
      </c>
    </row>
    <row r="116" customFormat="false" ht="15" hidden="false" customHeight="false" outlineLevel="0" collapsed="false">
      <c r="A116" s="55" t="s">
        <v>433</v>
      </c>
      <c r="B116" s="55" t="s">
        <v>364</v>
      </c>
      <c r="C116" s="55" t="s">
        <v>160</v>
      </c>
      <c r="D116" s="55" t="s">
        <v>178</v>
      </c>
      <c r="E116" s="55" t="s">
        <v>210</v>
      </c>
      <c r="F116" s="56" t="n">
        <v>9.17</v>
      </c>
      <c r="G116" s="57" t="n">
        <f aca="false">MAX(0,IF(AND(Parameter!$B$21="Ja",ISNUMBER(W116)),W116,IF(Parameter!$B$20="Jahresanfang 2025 + Export",BJ116+BI116,BI116)))</f>
        <v>220</v>
      </c>
      <c r="H116" s="57" t="n">
        <f aca="false">G116*F116</f>
        <v>2017.4</v>
      </c>
      <c r="I116" s="57" t="n">
        <f aca="false">BL116*Parameter!$B$18</f>
        <v>309</v>
      </c>
      <c r="J116" s="58" t="n">
        <v>66</v>
      </c>
      <c r="K116" s="59" t="n">
        <v>4.68181818181818</v>
      </c>
      <c r="L116" s="57" t="n">
        <v>30</v>
      </c>
      <c r="M116" s="57" t="n">
        <v>265</v>
      </c>
      <c r="N116" s="60" t="n">
        <v>30</v>
      </c>
      <c r="O116" s="55" t="s">
        <v>391</v>
      </c>
      <c r="P116" s="57" t="n">
        <v>58</v>
      </c>
      <c r="Q116" s="60" t="n">
        <f aca="false">IF(BR116=1,0,IFERROR(VLOOKUP(BP116,'Gebinde-Kategorie'!$A$5:$M$45,13,0)+0,0))</f>
        <v>414</v>
      </c>
      <c r="R116" s="61"/>
      <c r="S116" s="62"/>
      <c r="T116" s="62"/>
      <c r="U116" s="55"/>
      <c r="V116" s="57"/>
      <c r="W116" s="57"/>
      <c r="X116" s="55" t="n">
        <f aca="false">IF(A116="","",IF(AND(Parameter!$B$21="Ja",ISNUMBER(U116)),U116,IF(IFERROR(VLOOKUP(D116,Parameter!$A$35:$C$64,2,0),"Nein")="2+3",IF(ISNUMBER(SEARCH("grosser Artikel",BM116)),2,IFERROR(VLOOKUP(BP116,Parameter!$F$35:$G$64,2,0),2)),IF(OR(IFERROR(VLOOKUP(D116,Parameter!$A$35:$C$64,2,0),"Nein")="Nein",IFERROR(VLOOKUP(D116,Parameter!$A$35:$C$64,2,0),"Nein")=""),"-",VLOOKUP(D116,Parameter!$A$35:$C$64,2,0)))))</f>
        <v>3</v>
      </c>
      <c r="Y116" s="62"/>
      <c r="Z116" s="63"/>
      <c r="AA116" s="57" t="n">
        <f aca="false">AP116</f>
        <v>348</v>
      </c>
      <c r="AB116" s="57" t="n">
        <f aca="false">MAX(AP116,G116)</f>
        <v>348</v>
      </c>
      <c r="AC116" s="64"/>
      <c r="AD116" s="57" t="n">
        <f aca="false">IF(LEFT(Cockpit!$C$5,1)="A",G116,IF(BW116=1,BX116,IF(LEFT(Cockpit!$C$5,1)="B",AH116,MAX(AH116,G116))))</f>
        <v>220</v>
      </c>
      <c r="AE116" s="57" t="n">
        <f aca="false">IF(BR116=1,0,ROUNDUP(AD116/BQ116,0))</f>
        <v>4</v>
      </c>
      <c r="AF116" s="59" t="n">
        <f aca="false">IF(CD116&gt;0,CD116*MAX(1,AD116/V116),IF(BR116=1,IF(AD116&lt;=0,0,BS116*MAX(1,IF(G116&gt;0,AD116/G116,1))),IF(Q116&gt;0,AE116/Q116,0))/MAX(0.1,N(Parameter!$M$21)))</f>
        <v>0.00966183574879227</v>
      </c>
      <c r="AG116" s="57" t="n">
        <f aca="false">AD116*F116</f>
        <v>2017.4</v>
      </c>
      <c r="AH116" s="57" t="n">
        <f aca="false">ROUNDUP(MAX(I116/IF(BV116&gt;0,BV116,MAX(0.1,N(Cockpit!$C$6))),BY116)/BQ116,0)*BQ116</f>
        <v>348</v>
      </c>
      <c r="AI116" s="58" t="n">
        <f aca="false">IF(AF116&gt;0,I116/AF116,-1)</f>
        <v>31981.5</v>
      </c>
      <c r="AJ116" s="58" t="n">
        <f aca="false">IF(AND(OR(BU116="L1",BU116="L23"),AF116&gt;0),SUMIFS($AF$7:$AF$1576,$BU$7:$BU$1576,BU116,$AI$7:$AI$1576,"&gt;"&amp;AI116)+SUMIFS($AF$7:$AF$1576,$BU$7:$BU$1576,BU116,$AI$7:$AI$1576,AI116,$BO$7:$BO$1576,"&lt;="&amp;BO116),"")</f>
        <v>1.41301814127901</v>
      </c>
      <c r="AK116" s="65" t="n">
        <f aca="false">IF(AJ116="",0,MAX(0,MIN(1,(IF(BU116="L1",Parameter!$E$5,Parameter!$E$6+Parameter!$E$7)-(AJ116-AF116))/AF116)))</f>
        <v>1</v>
      </c>
      <c r="AL116" s="57" t="n">
        <f aca="false">IF(LEFT(Cockpit!$I$5,1)="A",G116,IF(BW116=1,BX116,IF(LEFT(Cockpit!$I$5,1)="B",AP116,MAX(AP116,G116))))</f>
        <v>348</v>
      </c>
      <c r="AM116" s="57" t="n">
        <f aca="false">IF(BR116=1,0,ROUNDUP(AL116/BQ116,0))</f>
        <v>6</v>
      </c>
      <c r="AN116" s="59" t="n">
        <f aca="false">IF(CD116&gt;0,CD116*MAX(1,AL116/V116),IF(BR116=1,IF(AL116&lt;=0,0,BS116*MAX(1,IF(G116&gt;0,AL116/G116,1))),IF(Q116&gt;0,AM116/Q116,0))/MAX(0.1,N(Parameter!$M$21)))</f>
        <v>0.0144927536231884</v>
      </c>
      <c r="AO116" s="57" t="n">
        <f aca="false">AL116*F116</f>
        <v>3191.16</v>
      </c>
      <c r="AP116" s="57" t="n">
        <f aca="false">ROUNDUP(MAX(I116/IF(BV116&gt;0,BV116,MAX(0.1,N(Cockpit!$I$6))),BY116)/BQ116,0)*BQ116</f>
        <v>348</v>
      </c>
      <c r="AQ116" s="58" t="n">
        <f aca="false">IF(AN116&gt;0,I116/AN116,-1)</f>
        <v>21321</v>
      </c>
      <c r="AR116" s="58" t="n">
        <f aca="false">IF(AND(OR(BU116="L1",BU116="L23"),AN116&gt;0),SUMIFS($AN$7:$AN$1576,$BU$7:$BU$1576,BU116,$AQ$7:$AQ$1576,"&gt;"&amp;AQ116)+SUMIFS($AN$7:$AN$1576,$BU$7:$BU$1576,BU116,$AQ$7:$AQ$1576,AQ116,$BO$7:$BO$1576,"&lt;="&amp;BO116),"")</f>
        <v>3.84504881591838</v>
      </c>
      <c r="AS116" s="65" t="n">
        <f aca="false">IF(AR116="",0,MAX(0,MIN(1,(IF(BU116="L1",Parameter!$E$5,Parameter!$E$6+Parameter!$E$7)-(AR116-AN116))/AN116)))</f>
        <v>1</v>
      </c>
      <c r="AT116" s="57" t="n">
        <f aca="false">IF(LEFT(Cockpit!$O$5,1)="A",G116,IF(BW116=1,BX116,IF(LEFT(Cockpit!$O$5,1)="B",AX116,MAX(AX116,G116))))</f>
        <v>348</v>
      </c>
      <c r="AU116" s="57" t="n">
        <f aca="false">IF(BR116=1,0,ROUNDUP(AT116/BQ116,0))</f>
        <v>6</v>
      </c>
      <c r="AV116" s="59" t="n">
        <f aca="false">IF(CD116&gt;0,CD116*MAX(1,AT116/V116),IF(BR116=1,IF(AT116&lt;=0,0,BS116*MAX(1,IF(G116&gt;0,AT116/G116,1))),IF(Q116&gt;0,AU116/Q116,0))/MAX(0.1,N(Parameter!$M$21)))</f>
        <v>0.0144927536231884</v>
      </c>
      <c r="AW116" s="57" t="n">
        <f aca="false">AT116*F116</f>
        <v>3191.16</v>
      </c>
      <c r="AX116" s="57" t="n">
        <f aca="false">ROUNDUP(MAX(I116/IF(BV116&gt;0,BV116,MAX(0.1,N(Cockpit!$O$6))),BY116)/BQ116,0)*BQ116</f>
        <v>348</v>
      </c>
      <c r="AY116" s="58" t="n">
        <f aca="false">IF(AV116&gt;0,I116/AV116,-1)</f>
        <v>21321</v>
      </c>
      <c r="AZ116" s="58" t="n">
        <f aca="false">IF(AND(OR(BU116="L1",BU116="L23"),AV116&gt;0),SUMIFS($AV$7:$AV$1576,$BU$7:$BU$1576,BU116,$AY$7:$AY$1576,"&gt;"&amp;AY116)+SUMIFS($AV$7:$AV$1576,$BU$7:$BU$1576,BU116,$AY$7:$AY$1576,AY116,$BO$7:$BO$1576,"&lt;="&amp;BO116),"")</f>
        <v>4.18770615857572</v>
      </c>
      <c r="BA116" s="65" t="n">
        <f aca="false">IF(AZ116="",0,MAX(0,MIN(1,(IF(BU116="L1",Parameter!$E$5,Parameter!$E$6+Parameter!$E$7)-(AZ116-AV116))/AV116)))</f>
        <v>1</v>
      </c>
      <c r="BB116" s="55" t="str">
        <f aca="false">IF(AF116&lt;=0,"",IF(BU116="Aussen","Aussenlager",IF(BU116="-","Nicht im Lift",IF(AK116&gt;=1,"Lift",IF(AK116&lt;=0,"Aussenlager","teilweise")))))</f>
        <v>Lift</v>
      </c>
      <c r="BC116" s="55" t="str">
        <f aca="false">IF(AN116&lt;=0,"",IF(BU116="Aussen","Aussenlager",IF(BU116="-","Nicht im Lift",IF(AS116&gt;=1,"Lift",IF(AS116&lt;=0,"Aussenlager","teilweise")))))</f>
        <v>Lift</v>
      </c>
      <c r="BD116" s="55" t="str">
        <f aca="false">IF(AV116&lt;=0,"",IF(BU116="Aussen","Aussenlager",IF(BU116="-","Nicht im Lift",IF(BA116&gt;=1,"Lift",IF(BA116&lt;=0,"Aussenlager","teilweise")))))</f>
        <v>Lift</v>
      </c>
      <c r="BE116" s="55" t="str">
        <f aca="false">IF(A116="","",IF(BN116=1,"Neu; ","")&amp;IF(AND(BN116=0,BI116&lt;0),"negativer Bestand (Export "&amp;BI116&amp;"); ","")&amp;IF(I116&lt;=0,"Kein Verbrauch; ","")&amp;IF(CD116&gt;0,"Lift "&amp;U116&amp;" lt. Liftbericht (Fach "&amp;V116&amp;" Stk); ",IF(BR116=1,"Lose – Fläche geschätzt; ",""))&amp;IF(G116&gt;AP116,"Überbestand "&amp;ROUND(G116-AP116,0)&amp;" Stk / CHF "&amp;ROUND((G116-AP116)*F116,0)&amp;"; ","")&amp;IF(AND(BW116=1,BX116&lt;BY116),"MAX &lt; MB+LG; ","")&amp;IF(AND(CC116&gt;0,CB116*10&gt;CC116),"zu hoch für Tablar; ","")&amp;IF(AND(BN116=0,OR(BW116=1,Y116&lt;&gt;"",S116&lt;&gt;"",T116&lt;&gt;"",Z116&lt;&gt;"")),"manuell übersteuert; ","")&amp;IF(AND(BR116=0,Q116=0),"Gebinde unbekannt / Stellmass fehlt; ","")&amp;IF(AND(BR116=0,N(T116)&lt;=0,N(P116)&lt;=0),"Menge pro Gebinde fehlt (Ist = 1 Gebinde); ","")&amp;BM116)</f>
        <v/>
      </c>
      <c r="BF116" s="55"/>
      <c r="BG116" s="55"/>
      <c r="BH116" s="62"/>
      <c r="BI116" s="57" t="n">
        <v>220</v>
      </c>
      <c r="BJ116" s="57" t="n">
        <v>46</v>
      </c>
      <c r="BK116" s="56" t="n">
        <v>1914.82</v>
      </c>
      <c r="BL116" s="57" t="n">
        <v>309</v>
      </c>
      <c r="BM116" s="55"/>
      <c r="BN116" s="60" t="n">
        <v>0</v>
      </c>
      <c r="BO116" s="60" t="n">
        <v>116</v>
      </c>
      <c r="BP116" s="55" t="str">
        <f aca="false">IF(S116&lt;&gt;"",UPPER(TRIM(S116)),IF(O116="","LOSE",O116))</f>
        <v>S21</v>
      </c>
      <c r="BQ116" s="57" t="n">
        <f aca="false">IF(BP116="LOSE",1,IF(N(T116)&gt;0,T116,IF(N(P116)&gt;0,P116,MAX(1,G116))))</f>
        <v>58</v>
      </c>
      <c r="BR116" s="60" t="n">
        <f aca="false">IF(BP116="LOSE",1,0)</f>
        <v>0</v>
      </c>
      <c r="BS116" s="59" t="n">
        <f aca="false">IF(BR116=0,0,IF(N(R116)&gt;0,R116,IFERROR(VLOOKUP(D116,Parameter!$A$35:$C$64,3,0)+0,0)))</f>
        <v>0</v>
      </c>
      <c r="BT116" s="55" t="n">
        <f aca="false">IF(Y116&lt;&gt;"",Y116,X116)</f>
        <v>3</v>
      </c>
      <c r="BU116" s="55" t="str">
        <f aca="false">IF(BT116=1,"L1",IF(OR(BT116=2,BT116=3),"L23",IF(BT116="Aussen","Aussen","-")))</f>
        <v>L23</v>
      </c>
      <c r="BV116" s="66" t="n">
        <f aca="false">IF(N(Z116)&gt;0,Z116,0)</f>
        <v>0</v>
      </c>
      <c r="BW116" s="60" t="n">
        <f aca="false">IF(ISNUMBER(AC116),1,0)</f>
        <v>0</v>
      </c>
      <c r="BX116" s="57" t="n">
        <f aca="false">N(AC116)</f>
        <v>0</v>
      </c>
      <c r="BY116" s="57" t="n">
        <f aca="false">N(L116)+N(M116)</f>
        <v>295</v>
      </c>
      <c r="BZ116" s="57" t="n">
        <f aca="false">ROUNDUP(G116/BQ116,0)</f>
        <v>4</v>
      </c>
      <c r="CA116" s="57" t="n">
        <f aca="false">ROUNDUP(BX116/BQ116,0)</f>
        <v>0</v>
      </c>
      <c r="CB116" s="60" t="n">
        <f aca="false">IF(BR116=1,0,IFERROR(VLOOKUP(BP116,'Gebinde-Kategorie'!$A$5:$M$45,5,0)+0,0))</f>
        <v>8</v>
      </c>
      <c r="CC116" s="60" t="n">
        <f aca="false">IFERROR(IF(OR(BT116=1,BT116=2,BT116=3),N(INDEX(Parameter!$I$5:$I$7,BT116)),0),0)</f>
        <v>0</v>
      </c>
      <c r="CD116" s="59" t="n">
        <f aca="false">IF(AND(Parameter!$B$21="Ja",ISNUMBER(U116),N(V116)&gt;0),IFERROR(N(INDEX(Parameter!$L$5:$L$7,U116))*INDEX(Parameter!$E$5:$E$7,U116)*V116/SUMIFS($V$7:$V$1576,$U$7:$U$1576,U116),0),0)</f>
        <v>0</v>
      </c>
    </row>
    <row r="117" customFormat="false" ht="15" hidden="false" customHeight="false" outlineLevel="0" collapsed="false">
      <c r="A117" s="55" t="s">
        <v>434</v>
      </c>
      <c r="B117" s="55" t="s">
        <v>435</v>
      </c>
      <c r="C117" s="55" t="s">
        <v>160</v>
      </c>
      <c r="D117" s="55" t="s">
        <v>168</v>
      </c>
      <c r="E117" s="55" t="s">
        <v>210</v>
      </c>
      <c r="F117" s="56" t="n">
        <v>127.1</v>
      </c>
      <c r="G117" s="57" t="n">
        <f aca="false">MAX(0,IF(AND(Parameter!$B$21="Ja",ISNUMBER(W117)),W117,IF(Parameter!$B$20="Jahresanfang 2025 + Export",BJ117+BI117,BI117)))</f>
        <v>15</v>
      </c>
      <c r="H117" s="57" t="n">
        <f aca="false">G117*F117</f>
        <v>1906.5</v>
      </c>
      <c r="I117" s="57" t="n">
        <f aca="false">BL117*Parameter!$B$18</f>
        <v>0</v>
      </c>
      <c r="J117" s="58" t="n">
        <v>0</v>
      </c>
      <c r="K117" s="59" t="n">
        <v>0</v>
      </c>
      <c r="L117" s="57" t="n">
        <v>0</v>
      </c>
      <c r="M117" s="57" t="n">
        <v>1</v>
      </c>
      <c r="N117" s="60" t="n">
        <v>9999</v>
      </c>
      <c r="O117" s="55" t="s">
        <v>163</v>
      </c>
      <c r="P117" s="57"/>
      <c r="Q117" s="60" t="n">
        <f aca="false">IF(BR117=1,0,IFERROR(VLOOKUP(BP117,'Gebinde-Kategorie'!$A$5:$M$45,13,0)+0,0))</f>
        <v>0</v>
      </c>
      <c r="R117" s="61"/>
      <c r="S117" s="62"/>
      <c r="T117" s="62"/>
      <c r="U117" s="55"/>
      <c r="V117" s="57"/>
      <c r="W117" s="57"/>
      <c r="X117" s="55" t="n">
        <f aca="false">IF(A117="","",IF(AND(Parameter!$B$21="Ja",ISNUMBER(U117)),U117,IF(IFERROR(VLOOKUP(D117,Parameter!$A$35:$C$64,2,0),"Nein")="2+3",IF(ISNUMBER(SEARCH("grosser Artikel",BM117)),2,IFERROR(VLOOKUP(BP117,Parameter!$F$35:$G$64,2,0),2)),IF(OR(IFERROR(VLOOKUP(D117,Parameter!$A$35:$C$64,2,0),"Nein")="Nein",IFERROR(VLOOKUP(D117,Parameter!$A$35:$C$64,2,0),"Nein")=""),"-",VLOOKUP(D117,Parameter!$A$35:$C$64,2,0)))))</f>
        <v>2</v>
      </c>
      <c r="Y117" s="62"/>
      <c r="Z117" s="63"/>
      <c r="AA117" s="57" t="n">
        <f aca="false">AP117</f>
        <v>1</v>
      </c>
      <c r="AB117" s="57" t="n">
        <f aca="false">MAX(AP117,G117)</f>
        <v>15</v>
      </c>
      <c r="AC117" s="64"/>
      <c r="AD117" s="57" t="n">
        <f aca="false">IF(LEFT(Cockpit!$C$5,1)="A",G117,IF(BW117=1,BX117,IF(LEFT(Cockpit!$C$5,1)="B",AH117,MAX(AH117,G117))))</f>
        <v>15</v>
      </c>
      <c r="AE117" s="57" t="n">
        <f aca="false">IF(BR117=1,0,ROUNDUP(AD117/BQ117,0))</f>
        <v>0</v>
      </c>
      <c r="AF117" s="59" t="n">
        <f aca="false">IF(CD117&gt;0,CD117*MAX(1,AD117/V117),IF(BR117=1,IF(AD117&lt;=0,0,BS117*MAX(1,IF(G117&gt;0,AD117/G117,1))),IF(Q117&gt;0,AE117/Q117,0))/MAX(0.1,N(Parameter!$M$21)))</f>
        <v>0.15</v>
      </c>
      <c r="AG117" s="57" t="n">
        <f aca="false">AD117*F117</f>
        <v>1906.5</v>
      </c>
      <c r="AH117" s="57" t="n">
        <f aca="false">ROUNDUP(MAX(I117/IF(BV117&gt;0,BV117,MAX(0.1,N(Cockpit!$C$6))),BY117)/BQ117,0)*BQ117</f>
        <v>1</v>
      </c>
      <c r="AI117" s="58" t="n">
        <f aca="false">IF(AF117&gt;0,I117/AF117,-1)</f>
        <v>0</v>
      </c>
      <c r="AJ117" s="58" t="n">
        <f aca="false">IF(AND(OR(BU117="L1",BU117="L23"),AF117&gt;0),SUMIFS($AF$7:$AF$1576,$BU$7:$BU$1576,BU117,$AI$7:$AI$1576,"&gt;"&amp;AI117)+SUMIFS($AF$7:$AF$1576,$BU$7:$BU$1576,BU117,$AI$7:$AI$1576,AI117,$BO$7:$BO$1576,"&lt;="&amp;BO117),"")</f>
        <v>38.1179662849228</v>
      </c>
      <c r="AK117" s="65" t="n">
        <f aca="false">IF(AJ117="",0,MAX(0,MIN(1,(IF(BU117="L1",Parameter!$E$5,Parameter!$E$6+Parameter!$E$7)-(AJ117-AF117))/AF117)))</f>
        <v>1</v>
      </c>
      <c r="AL117" s="57" t="n">
        <f aca="false">IF(LEFT(Cockpit!$I$5,1)="A",G117,IF(BW117=1,BX117,IF(LEFT(Cockpit!$I$5,1)="B",AP117,MAX(AP117,G117))))</f>
        <v>15</v>
      </c>
      <c r="AM117" s="57" t="n">
        <f aca="false">IF(BR117=1,0,ROUNDUP(AL117/BQ117,0))</f>
        <v>0</v>
      </c>
      <c r="AN117" s="59" t="n">
        <f aca="false">IF(CD117&gt;0,CD117*MAX(1,AL117/V117),IF(BR117=1,IF(AL117&lt;=0,0,BS117*MAX(1,IF(G117&gt;0,AL117/G117,1))),IF(Q117&gt;0,AM117/Q117,0))/MAX(0.1,N(Parameter!$M$21)))</f>
        <v>0.15</v>
      </c>
      <c r="AO117" s="57" t="n">
        <f aca="false">AL117*F117</f>
        <v>1906.5</v>
      </c>
      <c r="AP117" s="57" t="n">
        <f aca="false">ROUNDUP(MAX(I117/IF(BV117&gt;0,BV117,MAX(0.1,N(Cockpit!$I$6))),BY117)/BQ117,0)*BQ117</f>
        <v>1</v>
      </c>
      <c r="AQ117" s="58" t="n">
        <f aca="false">IF(AN117&gt;0,I117/AN117,-1)</f>
        <v>0</v>
      </c>
      <c r="AR117" s="58" t="n">
        <f aca="false">IF(AND(OR(BU117="L1",BU117="L23"),AN117&gt;0),SUMIFS($AN$7:$AN$1576,$BU$7:$BU$1576,BU117,$AQ$7:$AQ$1576,"&gt;"&amp;AQ117)+SUMIFS($AN$7:$AN$1576,$BU$7:$BU$1576,BU117,$AQ$7:$AQ$1576,AQ117,$BO$7:$BO$1576,"&lt;="&amp;BO117),"")</f>
        <v>120.992172034712</v>
      </c>
      <c r="AS117" s="65" t="n">
        <f aca="false">IF(AR117="",0,MAX(0,MIN(1,(IF(BU117="L1",Parameter!$E$5,Parameter!$E$6+Parameter!$E$7)-(AR117-AN117))/AN117)))</f>
        <v>0</v>
      </c>
      <c r="AT117" s="57" t="n">
        <f aca="false">IF(LEFT(Cockpit!$O$5,1)="A",G117,IF(BW117=1,BX117,IF(LEFT(Cockpit!$O$5,1)="B",AX117,MAX(AX117,G117))))</f>
        <v>15</v>
      </c>
      <c r="AU117" s="57" t="n">
        <f aca="false">IF(BR117=1,0,ROUNDUP(AT117/BQ117,0))</f>
        <v>0</v>
      </c>
      <c r="AV117" s="59" t="n">
        <f aca="false">IF(CD117&gt;0,CD117*MAX(1,AT117/V117),IF(BR117=1,IF(AT117&lt;=0,0,BS117*MAX(1,IF(G117&gt;0,AT117/G117,1))),IF(Q117&gt;0,AU117/Q117,0))/MAX(0.1,N(Parameter!$M$21)))</f>
        <v>0.15</v>
      </c>
      <c r="AW117" s="57" t="n">
        <f aca="false">AT117*F117</f>
        <v>1906.5</v>
      </c>
      <c r="AX117" s="57" t="n">
        <f aca="false">ROUNDUP(MAX(I117/IF(BV117&gt;0,BV117,MAX(0.1,N(Cockpit!$O$6))),BY117)/BQ117,0)*BQ117</f>
        <v>1</v>
      </c>
      <c r="AY117" s="58" t="n">
        <f aca="false">IF(AV117&gt;0,I117/AV117,-1)</f>
        <v>0</v>
      </c>
      <c r="AZ117" s="58" t="n">
        <f aca="false">IF(AND(OR(BU117="L1",BU117="L23"),AV117&gt;0),SUMIFS($AV$7:$AV$1576,$BU$7:$BU$1576,BU117,$AY$7:$AY$1576,"&gt;"&amp;AY117)+SUMIFS($AV$7:$AV$1576,$BU$7:$BU$1576,BU117,$AY$7:$AY$1576,AY117,$BO$7:$BO$1576,"&lt;="&amp;BO117),"")</f>
        <v>111.051722484263</v>
      </c>
      <c r="BA117" s="65" t="n">
        <f aca="false">IF(AZ117="",0,MAX(0,MIN(1,(IF(BU117="L1",Parameter!$E$5,Parameter!$E$6+Parameter!$E$7)-(AZ117-AV117))/AV117)))</f>
        <v>0</v>
      </c>
      <c r="BB117" s="55" t="str">
        <f aca="false">IF(AF117&lt;=0,"",IF(BU117="Aussen","Aussenlager",IF(BU117="-","Nicht im Lift",IF(AK117&gt;=1,"Lift",IF(AK117&lt;=0,"Aussenlager","teilweise")))))</f>
        <v>Lift</v>
      </c>
      <c r="BC117" s="55" t="str">
        <f aca="false">IF(AN117&lt;=0,"",IF(BU117="Aussen","Aussenlager",IF(BU117="-","Nicht im Lift",IF(AS117&gt;=1,"Lift",IF(AS117&lt;=0,"Aussenlager","teilweise")))))</f>
        <v>Aussenlager</v>
      </c>
      <c r="BD117" s="55" t="str">
        <f aca="false">IF(AV117&lt;=0,"",IF(BU117="Aussen","Aussenlager",IF(BU117="-","Nicht im Lift",IF(BA117&gt;=1,"Lift",IF(BA117&lt;=0,"Aussenlager","teilweise")))))</f>
        <v>Aussenlager</v>
      </c>
      <c r="BE117" s="55" t="str">
        <f aca="false">IF(A117="","",IF(BN117=1,"Neu; ","")&amp;IF(AND(BN117=0,BI117&lt;0),"negativer Bestand (Export "&amp;BI117&amp;"); ","")&amp;IF(I117&lt;=0,"Kein Verbrauch; ","")&amp;IF(CD117&gt;0,"Lift "&amp;U117&amp;" lt. Liftbericht (Fach "&amp;V117&amp;" Stk); ",IF(BR117=1,"Lose – Fläche geschätzt; ",""))&amp;IF(G117&gt;AP117,"Überbestand "&amp;ROUND(G117-AP117,0)&amp;" Stk / CHF "&amp;ROUND((G117-AP117)*F117,0)&amp;"; ","")&amp;IF(AND(BW117=1,BX117&lt;BY117),"MAX &lt; MB+LG; ","")&amp;IF(AND(CC117&gt;0,CB117*10&gt;CC117),"zu hoch für Tablar; ","")&amp;IF(AND(BN117=0,OR(BW117=1,Y117&lt;&gt;"",S117&lt;&gt;"",T117&lt;&gt;"",Z117&lt;&gt;"")),"manuell übersteuert; ","")&amp;IF(AND(BR117=0,Q117=0),"Gebinde unbekannt / Stellmass fehlt; ","")&amp;IF(AND(BR117=0,N(T117)&lt;=0,N(P117)&lt;=0),"Menge pro Gebinde fehlt (Ist = 1 Gebinde); ","")&amp;BM117)</f>
        <v>Kein Verbrauch; Lose – Fläche geschätzt; Überbestand 14 Stk / CHF 1779; </v>
      </c>
      <c r="BF117" s="55"/>
      <c r="BG117" s="55"/>
      <c r="BH117" s="62"/>
      <c r="BI117" s="57" t="n">
        <v>15</v>
      </c>
      <c r="BJ117" s="57" t="n">
        <v>0</v>
      </c>
      <c r="BK117" s="56" t="n">
        <v>1906.5</v>
      </c>
      <c r="BL117" s="57" t="n">
        <v>0</v>
      </c>
      <c r="BM117" s="55"/>
      <c r="BN117" s="60" t="n">
        <v>0</v>
      </c>
      <c r="BO117" s="60" t="n">
        <v>117</v>
      </c>
      <c r="BP117" s="55" t="str">
        <f aca="false">IF(S117&lt;&gt;"",UPPER(TRIM(S117)),IF(O117="","LOSE",O117))</f>
        <v>LOSE</v>
      </c>
      <c r="BQ117" s="57" t="n">
        <f aca="false">IF(BP117="LOSE",1,IF(N(T117)&gt;0,T117,IF(N(P117)&gt;0,P117,MAX(1,G117))))</f>
        <v>1</v>
      </c>
      <c r="BR117" s="60" t="n">
        <f aca="false">IF(BP117="LOSE",1,0)</f>
        <v>1</v>
      </c>
      <c r="BS117" s="59" t="n">
        <f aca="false">IF(BR117=0,0,IF(N(R117)&gt;0,R117,IFERROR(VLOOKUP(D117,Parameter!$A$35:$C$64,3,0)+0,0)))</f>
        <v>0.15</v>
      </c>
      <c r="BT117" s="55" t="n">
        <f aca="false">IF(Y117&lt;&gt;"",Y117,X117)</f>
        <v>2</v>
      </c>
      <c r="BU117" s="55" t="str">
        <f aca="false">IF(BT117=1,"L1",IF(OR(BT117=2,BT117=3),"L23",IF(BT117="Aussen","Aussen","-")))</f>
        <v>L23</v>
      </c>
      <c r="BV117" s="66" t="n">
        <f aca="false">IF(N(Z117)&gt;0,Z117,0)</f>
        <v>0</v>
      </c>
      <c r="BW117" s="60" t="n">
        <f aca="false">IF(ISNUMBER(AC117),1,0)</f>
        <v>0</v>
      </c>
      <c r="BX117" s="57" t="n">
        <f aca="false">N(AC117)</f>
        <v>0</v>
      </c>
      <c r="BY117" s="57" t="n">
        <f aca="false">N(L117)+N(M117)</f>
        <v>1</v>
      </c>
      <c r="BZ117" s="57" t="n">
        <f aca="false">ROUNDUP(G117/BQ117,0)</f>
        <v>15</v>
      </c>
      <c r="CA117" s="57" t="n">
        <f aca="false">ROUNDUP(BX117/BQ117,0)</f>
        <v>0</v>
      </c>
      <c r="CB117" s="60" t="n">
        <f aca="false">IF(BR117=1,0,IFERROR(VLOOKUP(BP117,'Gebinde-Kategorie'!$A$5:$M$45,5,0)+0,0))</f>
        <v>0</v>
      </c>
      <c r="CC117" s="60" t="n">
        <f aca="false">IFERROR(IF(OR(BT117=1,BT117=2,BT117=3),N(INDEX(Parameter!$I$5:$I$7,BT117)),0),0)</f>
        <v>0</v>
      </c>
      <c r="CD117" s="59" t="n">
        <f aca="false">IF(AND(Parameter!$B$21="Ja",ISNUMBER(U117),N(V117)&gt;0),IFERROR(N(INDEX(Parameter!$L$5:$L$7,U117))*INDEX(Parameter!$E$5:$E$7,U117)*V117/SUMIFS($V$7:$V$1576,$U$7:$U$1576,U117),0),0)</f>
        <v>0</v>
      </c>
    </row>
    <row r="118" customFormat="false" ht="15" hidden="false" customHeight="false" outlineLevel="0" collapsed="false">
      <c r="A118" s="55" t="s">
        <v>436</v>
      </c>
      <c r="B118" s="55" t="s">
        <v>437</v>
      </c>
      <c r="C118" s="55" t="s">
        <v>160</v>
      </c>
      <c r="D118" s="55" t="s">
        <v>178</v>
      </c>
      <c r="E118" s="55" t="s">
        <v>210</v>
      </c>
      <c r="F118" s="56" t="n">
        <v>348.07</v>
      </c>
      <c r="G118" s="57" t="n">
        <f aca="false">MAX(0,IF(AND(Parameter!$B$21="Ja",ISNUMBER(W118)),W118,IF(Parameter!$B$20="Jahresanfang 2025 + Export",BJ118+BI118,BI118)))</f>
        <v>5</v>
      </c>
      <c r="H118" s="57" t="n">
        <f aca="false">G118*F118</f>
        <v>1740.35</v>
      </c>
      <c r="I118" s="57" t="n">
        <f aca="false">BL118*Parameter!$B$18</f>
        <v>24</v>
      </c>
      <c r="J118" s="58" t="n">
        <v>10</v>
      </c>
      <c r="K118" s="59" t="n">
        <v>2.4</v>
      </c>
      <c r="L118" s="57" t="n">
        <v>2</v>
      </c>
      <c r="M118" s="57" t="n">
        <v>15</v>
      </c>
      <c r="N118" s="60" t="n">
        <v>42</v>
      </c>
      <c r="O118" s="55" t="s">
        <v>293</v>
      </c>
      <c r="P118" s="57" t="n">
        <v>12</v>
      </c>
      <c r="Q118" s="60" t="n">
        <f aca="false">IF(BR118=1,0,IFERROR(VLOOKUP(BP118,'Gebinde-Kategorie'!$A$5:$M$45,13,0)+0,0))</f>
        <v>26</v>
      </c>
      <c r="R118" s="61"/>
      <c r="S118" s="62"/>
      <c r="T118" s="62"/>
      <c r="U118" s="55"/>
      <c r="V118" s="57"/>
      <c r="W118" s="57"/>
      <c r="X118" s="55" t="n">
        <f aca="false">IF(A118="","",IF(AND(Parameter!$B$21="Ja",ISNUMBER(U118)),U118,IF(IFERROR(VLOOKUP(D118,Parameter!$A$35:$C$64,2,0),"Nein")="2+3",IF(ISNUMBER(SEARCH("grosser Artikel",BM118)),2,IFERROR(VLOOKUP(BP118,Parameter!$F$35:$G$64,2,0),2)),IF(OR(IFERROR(VLOOKUP(D118,Parameter!$A$35:$C$64,2,0),"Nein")="Nein",IFERROR(VLOOKUP(D118,Parameter!$A$35:$C$64,2,0),"Nein")=""),"-",VLOOKUP(D118,Parameter!$A$35:$C$64,2,0)))))</f>
        <v>3</v>
      </c>
      <c r="Y118" s="62"/>
      <c r="Z118" s="63"/>
      <c r="AA118" s="57" t="n">
        <f aca="false">AP118</f>
        <v>24</v>
      </c>
      <c r="AB118" s="57" t="n">
        <f aca="false">MAX(AP118,G118)</f>
        <v>24</v>
      </c>
      <c r="AC118" s="64"/>
      <c r="AD118" s="57" t="n">
        <f aca="false">IF(LEFT(Cockpit!$C$5,1)="A",G118,IF(BW118=1,BX118,IF(LEFT(Cockpit!$C$5,1)="B",AH118,MAX(AH118,G118))))</f>
        <v>5</v>
      </c>
      <c r="AE118" s="57" t="n">
        <f aca="false">IF(BR118=1,0,ROUNDUP(AD118/BQ118,0))</f>
        <v>1</v>
      </c>
      <c r="AF118" s="59" t="n">
        <f aca="false">IF(CD118&gt;0,CD118*MAX(1,AD118/V118),IF(BR118=1,IF(AD118&lt;=0,0,BS118*MAX(1,IF(G118&gt;0,AD118/G118,1))),IF(Q118&gt;0,AE118/Q118,0))/MAX(0.1,N(Parameter!$M$21)))</f>
        <v>0.0384615384615385</v>
      </c>
      <c r="AG118" s="57" t="n">
        <f aca="false">AD118*F118</f>
        <v>1740.35</v>
      </c>
      <c r="AH118" s="57" t="n">
        <f aca="false">ROUNDUP(MAX(I118/IF(BV118&gt;0,BV118,MAX(0.1,N(Cockpit!$C$6))),BY118)/BQ118,0)*BQ118</f>
        <v>24</v>
      </c>
      <c r="AI118" s="58" t="n">
        <f aca="false">IF(AF118&gt;0,I118/AF118,-1)</f>
        <v>624</v>
      </c>
      <c r="AJ118" s="58" t="n">
        <f aca="false">IF(AND(OR(BU118="L1",BU118="L23"),AF118&gt;0),SUMIFS($AF$7:$AF$1576,$BU$7:$BU$1576,BU118,$AI$7:$AI$1576,"&gt;"&amp;AI118)+SUMIFS($AF$7:$AF$1576,$BU$7:$BU$1576,BU118,$AI$7:$AI$1576,AI118,$BO$7:$BO$1576,"&lt;="&amp;BO118),"")</f>
        <v>11.7785814668423</v>
      </c>
      <c r="AK118" s="65" t="n">
        <f aca="false">IF(AJ118="",0,MAX(0,MIN(1,(IF(BU118="L1",Parameter!$E$5,Parameter!$E$6+Parameter!$E$7)-(AJ118-AF118))/AF118)))</f>
        <v>1</v>
      </c>
      <c r="AL118" s="57" t="n">
        <f aca="false">IF(LEFT(Cockpit!$I$5,1)="A",G118,IF(BW118=1,BX118,IF(LEFT(Cockpit!$I$5,1)="B",AP118,MAX(AP118,G118))))</f>
        <v>24</v>
      </c>
      <c r="AM118" s="57" t="n">
        <f aca="false">IF(BR118=1,0,ROUNDUP(AL118/BQ118,0))</f>
        <v>2</v>
      </c>
      <c r="AN118" s="59" t="n">
        <f aca="false">IF(CD118&gt;0,CD118*MAX(1,AL118/V118),IF(BR118=1,IF(AL118&lt;=0,0,BS118*MAX(1,IF(G118&gt;0,AL118/G118,1))),IF(Q118&gt;0,AM118/Q118,0))/MAX(0.1,N(Parameter!$M$21)))</f>
        <v>0.0769230769230769</v>
      </c>
      <c r="AO118" s="57" t="n">
        <f aca="false">AL118*F118</f>
        <v>8353.68</v>
      </c>
      <c r="AP118" s="57" t="n">
        <f aca="false">ROUNDUP(MAX(I118/IF(BV118&gt;0,BV118,MAX(0.1,N(Cockpit!$I$6))),BY118)/BQ118,0)*BQ118</f>
        <v>24</v>
      </c>
      <c r="AQ118" s="58" t="n">
        <f aca="false">IF(AN118&gt;0,I118/AN118,-1)</f>
        <v>312</v>
      </c>
      <c r="AR118" s="58" t="n">
        <f aca="false">IF(AND(OR(BU118="L1",BU118="L23"),AN118&gt;0),SUMIFS($AN$7:$AN$1576,$BU$7:$BU$1576,BU118,$AQ$7:$AQ$1576,"&gt;"&amp;AQ118)+SUMIFS($AN$7:$AN$1576,$BU$7:$BU$1576,BU118,$AQ$7:$AQ$1576,AQ118,$BO$7:$BO$1576,"&lt;="&amp;BO118),"")</f>
        <v>43.4847682876055</v>
      </c>
      <c r="AS118" s="65" t="n">
        <f aca="false">IF(AR118="",0,MAX(0,MIN(1,(IF(BU118="L1",Parameter!$E$5,Parameter!$E$6+Parameter!$E$7)-(AR118-AN118))/AN118)))</f>
        <v>1</v>
      </c>
      <c r="AT118" s="57" t="n">
        <f aca="false">IF(LEFT(Cockpit!$O$5,1)="A",G118,IF(BW118=1,BX118,IF(LEFT(Cockpit!$O$5,1)="B",AX118,MAX(AX118,G118))))</f>
        <v>24</v>
      </c>
      <c r="AU118" s="57" t="n">
        <f aca="false">IF(BR118=1,0,ROUNDUP(AT118/BQ118,0))</f>
        <v>2</v>
      </c>
      <c r="AV118" s="59" t="n">
        <f aca="false">IF(CD118&gt;0,CD118*MAX(1,AT118/V118),IF(BR118=1,IF(AT118&lt;=0,0,BS118*MAX(1,IF(G118&gt;0,AT118/G118,1))),IF(Q118&gt;0,AU118/Q118,0))/MAX(0.1,N(Parameter!$M$21)))</f>
        <v>0.0769230769230769</v>
      </c>
      <c r="AW118" s="57" t="n">
        <f aca="false">AT118*F118</f>
        <v>8353.68</v>
      </c>
      <c r="AX118" s="57" t="n">
        <f aca="false">ROUNDUP(MAX(I118/IF(BV118&gt;0,BV118,MAX(0.1,N(Cockpit!$O$6))),BY118)/BQ118,0)*BQ118</f>
        <v>24</v>
      </c>
      <c r="AY118" s="58" t="n">
        <f aca="false">IF(AV118&gt;0,I118/AV118,-1)</f>
        <v>312</v>
      </c>
      <c r="AZ118" s="58" t="n">
        <f aca="false">IF(AND(OR(BU118="L1",BU118="L23"),AV118&gt;0),SUMIFS($AV$7:$AV$1576,$BU$7:$BU$1576,BU118,$AY$7:$AY$1576,"&gt;"&amp;AY118)+SUMIFS($AV$7:$AV$1576,$BU$7:$BU$1576,BU118,$AY$7:$AY$1576,AY118,$BO$7:$BO$1576,"&lt;="&amp;BO118),"")</f>
        <v>39.7328468756841</v>
      </c>
      <c r="BA118" s="65" t="n">
        <f aca="false">IF(AZ118="",0,MAX(0,MIN(1,(IF(BU118="L1",Parameter!$E$5,Parameter!$E$6+Parameter!$E$7)-(AZ118-AV118))/AV118)))</f>
        <v>1</v>
      </c>
      <c r="BB118" s="55" t="str">
        <f aca="false">IF(AF118&lt;=0,"",IF(BU118="Aussen","Aussenlager",IF(BU118="-","Nicht im Lift",IF(AK118&gt;=1,"Lift",IF(AK118&lt;=0,"Aussenlager","teilweise")))))</f>
        <v>Lift</v>
      </c>
      <c r="BC118" s="55" t="str">
        <f aca="false">IF(AN118&lt;=0,"",IF(BU118="Aussen","Aussenlager",IF(BU118="-","Nicht im Lift",IF(AS118&gt;=1,"Lift",IF(AS118&lt;=0,"Aussenlager","teilweise")))))</f>
        <v>Lift</v>
      </c>
      <c r="BD118" s="55" t="str">
        <f aca="false">IF(AV118&lt;=0,"",IF(BU118="Aussen","Aussenlager",IF(BU118="-","Nicht im Lift",IF(BA118&gt;=1,"Lift",IF(BA118&lt;=0,"Aussenlager","teilweise")))))</f>
        <v>Lift</v>
      </c>
      <c r="BE118" s="55" t="str">
        <f aca="false">IF(A118="","",IF(BN118=1,"Neu; ","")&amp;IF(AND(BN118=0,BI118&lt;0),"negativer Bestand (Export "&amp;BI118&amp;"); ","")&amp;IF(I118&lt;=0,"Kein Verbrauch; ","")&amp;IF(CD118&gt;0,"Lift "&amp;U118&amp;" lt. Liftbericht (Fach "&amp;V118&amp;" Stk); ",IF(BR118=1,"Lose – Fläche geschätzt; ",""))&amp;IF(G118&gt;AP118,"Überbestand "&amp;ROUND(G118-AP118,0)&amp;" Stk / CHF "&amp;ROUND((G118-AP118)*F118,0)&amp;"; ","")&amp;IF(AND(BW118=1,BX118&lt;BY118),"MAX &lt; MB+LG; ","")&amp;IF(AND(CC118&gt;0,CB118*10&gt;CC118),"zu hoch für Tablar; ","")&amp;IF(AND(BN118=0,OR(BW118=1,Y118&lt;&gt;"",S118&lt;&gt;"",T118&lt;&gt;"",Z118&lt;&gt;"")),"manuell übersteuert; ","")&amp;IF(AND(BR118=0,Q118=0),"Gebinde unbekannt / Stellmass fehlt; ","")&amp;IF(AND(BR118=0,N(T118)&lt;=0,N(P118)&lt;=0),"Menge pro Gebinde fehlt (Ist = 1 Gebinde); ","")&amp;BM118)</f>
        <v/>
      </c>
      <c r="BF118" s="55"/>
      <c r="BG118" s="55"/>
      <c r="BH118" s="62"/>
      <c r="BI118" s="57" t="n">
        <v>5</v>
      </c>
      <c r="BJ118" s="57" t="n">
        <v>12</v>
      </c>
      <c r="BK118" s="56" t="n">
        <v>1902.10999999999</v>
      </c>
      <c r="BL118" s="57" t="n">
        <v>24</v>
      </c>
      <c r="BM118" s="55"/>
      <c r="BN118" s="60" t="n">
        <v>0</v>
      </c>
      <c r="BO118" s="60" t="n">
        <v>118</v>
      </c>
      <c r="BP118" s="55" t="str">
        <f aca="false">IF(S118&lt;&gt;"",UPPER(TRIM(S118)),IF(O118="","LOSE",O118))</f>
        <v>S51</v>
      </c>
      <c r="BQ118" s="57" t="n">
        <f aca="false">IF(BP118="LOSE",1,IF(N(T118)&gt;0,T118,IF(N(P118)&gt;0,P118,MAX(1,G118))))</f>
        <v>12</v>
      </c>
      <c r="BR118" s="60" t="n">
        <f aca="false">IF(BP118="LOSE",1,0)</f>
        <v>0</v>
      </c>
      <c r="BS118" s="59" t="n">
        <f aca="false">IF(BR118=0,0,IF(N(R118)&gt;0,R118,IFERROR(VLOOKUP(D118,Parameter!$A$35:$C$64,3,0)+0,0)))</f>
        <v>0</v>
      </c>
      <c r="BT118" s="55" t="n">
        <f aca="false">IF(Y118&lt;&gt;"",Y118,X118)</f>
        <v>3</v>
      </c>
      <c r="BU118" s="55" t="str">
        <f aca="false">IF(BT118=1,"L1",IF(OR(BT118=2,BT118=3),"L23",IF(BT118="Aussen","Aussen","-")))</f>
        <v>L23</v>
      </c>
      <c r="BV118" s="66" t="n">
        <f aca="false">IF(N(Z118)&gt;0,Z118,0)</f>
        <v>0</v>
      </c>
      <c r="BW118" s="60" t="n">
        <f aca="false">IF(ISNUMBER(AC118),1,0)</f>
        <v>0</v>
      </c>
      <c r="BX118" s="57" t="n">
        <f aca="false">N(AC118)</f>
        <v>0</v>
      </c>
      <c r="BY118" s="57" t="n">
        <f aca="false">N(L118)+N(M118)</f>
        <v>17</v>
      </c>
      <c r="BZ118" s="57" t="n">
        <f aca="false">ROUNDUP(G118/BQ118,0)</f>
        <v>1</v>
      </c>
      <c r="CA118" s="57" t="n">
        <f aca="false">ROUNDUP(BX118/BQ118,0)</f>
        <v>0</v>
      </c>
      <c r="CB118" s="60" t="n">
        <f aca="false">IF(BR118=1,0,IFERROR(VLOOKUP(BP118,'Gebinde-Kategorie'!$A$5:$M$45,5,0)+0,0))</f>
        <v>11</v>
      </c>
      <c r="CC118" s="60" t="n">
        <f aca="false">IFERROR(IF(OR(BT118=1,BT118=2,BT118=3),N(INDEX(Parameter!$I$5:$I$7,BT118)),0),0)</f>
        <v>0</v>
      </c>
      <c r="CD118" s="59" t="n">
        <f aca="false">IF(AND(Parameter!$B$21="Ja",ISNUMBER(U118),N(V118)&gt;0),IFERROR(N(INDEX(Parameter!$L$5:$L$7,U118))*INDEX(Parameter!$E$5:$E$7,U118)*V118/SUMIFS($V$7:$V$1576,$U$7:$U$1576,U118),0),0)</f>
        <v>0</v>
      </c>
    </row>
    <row r="119" customFormat="false" ht="15" hidden="false" customHeight="false" outlineLevel="0" collapsed="false">
      <c r="A119" s="55" t="s">
        <v>438</v>
      </c>
      <c r="B119" s="55" t="s">
        <v>415</v>
      </c>
      <c r="C119" s="55" t="s">
        <v>160</v>
      </c>
      <c r="D119" s="55" t="s">
        <v>178</v>
      </c>
      <c r="E119" s="55" t="s">
        <v>210</v>
      </c>
      <c r="F119" s="56" t="n">
        <v>41.62</v>
      </c>
      <c r="G119" s="57" t="n">
        <f aca="false">MAX(0,IF(AND(Parameter!$B$21="Ja",ISNUMBER(W119)),W119,IF(Parameter!$B$20="Jahresanfang 2025 + Export",BJ119+BI119,BI119)))</f>
        <v>45</v>
      </c>
      <c r="H119" s="57" t="n">
        <f aca="false">G119*F119</f>
        <v>1872.9</v>
      </c>
      <c r="I119" s="57" t="n">
        <f aca="false">BL119*Parameter!$B$18</f>
        <v>1320</v>
      </c>
      <c r="J119" s="58" t="n">
        <v>220</v>
      </c>
      <c r="K119" s="59" t="n">
        <v>6</v>
      </c>
      <c r="L119" s="57" t="n">
        <v>77</v>
      </c>
      <c r="M119" s="57" t="n">
        <v>200</v>
      </c>
      <c r="N119" s="60" t="n">
        <v>21</v>
      </c>
      <c r="O119" s="55" t="s">
        <v>225</v>
      </c>
      <c r="P119" s="57" t="n">
        <v>850</v>
      </c>
      <c r="Q119" s="60" t="n">
        <f aca="false">IF(BR119=1,0,IFERROR(VLOOKUP(BP119,'Gebinde-Kategorie'!$A$5:$M$45,13,0)+0,0))</f>
        <v>26</v>
      </c>
      <c r="R119" s="61"/>
      <c r="S119" s="62"/>
      <c r="T119" s="62"/>
      <c r="U119" s="55"/>
      <c r="V119" s="57"/>
      <c r="W119" s="57"/>
      <c r="X119" s="55" t="n">
        <f aca="false">IF(A119="","",IF(AND(Parameter!$B$21="Ja",ISNUMBER(U119)),U119,IF(IFERROR(VLOOKUP(D119,Parameter!$A$35:$C$64,2,0),"Nein")="2+3",IF(ISNUMBER(SEARCH("grosser Artikel",BM119)),2,IFERROR(VLOOKUP(BP119,Parameter!$F$35:$G$64,2,0),2)),IF(OR(IFERROR(VLOOKUP(D119,Parameter!$A$35:$C$64,2,0),"Nein")="Nein",IFERROR(VLOOKUP(D119,Parameter!$A$35:$C$64,2,0),"Nein")=""),"-",VLOOKUP(D119,Parameter!$A$35:$C$64,2,0)))))</f>
        <v>3</v>
      </c>
      <c r="Y119" s="62"/>
      <c r="Z119" s="63"/>
      <c r="AA119" s="57" t="n">
        <f aca="false">AP119</f>
        <v>850</v>
      </c>
      <c r="AB119" s="57" t="n">
        <f aca="false">MAX(AP119,G119)</f>
        <v>850</v>
      </c>
      <c r="AC119" s="64"/>
      <c r="AD119" s="57" t="n">
        <f aca="false">IF(LEFT(Cockpit!$C$5,1)="A",G119,IF(BW119=1,BX119,IF(LEFT(Cockpit!$C$5,1)="B",AH119,MAX(AH119,G119))))</f>
        <v>45</v>
      </c>
      <c r="AE119" s="57" t="n">
        <f aca="false">IF(BR119=1,0,ROUNDUP(AD119/BQ119,0))</f>
        <v>1</v>
      </c>
      <c r="AF119" s="59" t="n">
        <f aca="false">IF(CD119&gt;0,CD119*MAX(1,AD119/V119),IF(BR119=1,IF(AD119&lt;=0,0,BS119*MAX(1,IF(G119&gt;0,AD119/G119,1))),IF(Q119&gt;0,AE119/Q119,0))/MAX(0.1,N(Parameter!$M$21)))</f>
        <v>0.0384615384615385</v>
      </c>
      <c r="AG119" s="57" t="n">
        <f aca="false">AD119*F119</f>
        <v>1872.9</v>
      </c>
      <c r="AH119" s="57" t="n">
        <f aca="false">ROUNDUP(MAX(I119/IF(BV119&gt;0,BV119,MAX(0.1,N(Cockpit!$C$6))),BY119)/BQ119,0)*BQ119</f>
        <v>850</v>
      </c>
      <c r="AI119" s="58" t="n">
        <f aca="false">IF(AF119&gt;0,I119/AF119,-1)</f>
        <v>34320</v>
      </c>
      <c r="AJ119" s="58" t="n">
        <f aca="false">IF(AND(OR(BU119="L1",BU119="L23"),AF119&gt;0),SUMIFS($AF$7:$AF$1576,$BU$7:$BU$1576,BU119,$AI$7:$AI$1576,"&gt;"&amp;AI119)+SUMIFS($AF$7:$AF$1576,$BU$7:$BU$1576,BU119,$AI$7:$AI$1576,AI119,$BO$7:$BO$1576,"&lt;="&amp;BO119),"")</f>
        <v>1.24951015168406</v>
      </c>
      <c r="AK119" s="65" t="n">
        <f aca="false">IF(AJ119="",0,MAX(0,MIN(1,(IF(BU119="L1",Parameter!$E$5,Parameter!$E$6+Parameter!$E$7)-(AJ119-AF119))/AF119)))</f>
        <v>1</v>
      </c>
      <c r="AL119" s="57" t="n">
        <f aca="false">IF(LEFT(Cockpit!$I$5,1)="A",G119,IF(BW119=1,BX119,IF(LEFT(Cockpit!$I$5,1)="B",AP119,MAX(AP119,G119))))</f>
        <v>850</v>
      </c>
      <c r="AM119" s="57" t="n">
        <f aca="false">IF(BR119=1,0,ROUNDUP(AL119/BQ119,0))</f>
        <v>1</v>
      </c>
      <c r="AN119" s="59" t="n">
        <f aca="false">IF(CD119&gt;0,CD119*MAX(1,AL119/V119),IF(BR119=1,IF(AL119&lt;=0,0,BS119*MAX(1,IF(G119&gt;0,AL119/G119,1))),IF(Q119&gt;0,AM119/Q119,0))/MAX(0.1,N(Parameter!$M$21)))</f>
        <v>0.0384615384615385</v>
      </c>
      <c r="AO119" s="57" t="n">
        <f aca="false">AL119*F119</f>
        <v>35377</v>
      </c>
      <c r="AP119" s="57" t="n">
        <f aca="false">ROUNDUP(MAX(I119/IF(BV119&gt;0,BV119,MAX(0.1,N(Cockpit!$I$6))),BY119)/BQ119,0)*BQ119</f>
        <v>850</v>
      </c>
      <c r="AQ119" s="58" t="n">
        <f aca="false">IF(AN119&gt;0,I119/AN119,-1)</f>
        <v>34320</v>
      </c>
      <c r="AR119" s="58" t="n">
        <f aca="false">IF(AND(OR(BU119="L1",BU119="L23"),AN119&gt;0),SUMIFS($AN$7:$AN$1576,$BU$7:$BU$1576,BU119,$AQ$7:$AQ$1576,"&gt;"&amp;AQ119)+SUMIFS($AN$7:$AN$1576,$BU$7:$BU$1576,BU119,$AQ$7:$AQ$1576,AQ119,$BO$7:$BO$1576,"&lt;="&amp;BO119),"")</f>
        <v>2.58938312894835</v>
      </c>
      <c r="AS119" s="65" t="n">
        <f aca="false">IF(AR119="",0,MAX(0,MIN(1,(IF(BU119="L1",Parameter!$E$5,Parameter!$E$6+Parameter!$E$7)-(AR119-AN119))/AN119)))</f>
        <v>1</v>
      </c>
      <c r="AT119" s="57" t="n">
        <f aca="false">IF(LEFT(Cockpit!$O$5,1)="A",G119,IF(BW119=1,BX119,IF(LEFT(Cockpit!$O$5,1)="B",AX119,MAX(AX119,G119))))</f>
        <v>850</v>
      </c>
      <c r="AU119" s="57" t="n">
        <f aca="false">IF(BR119=1,0,ROUNDUP(AT119/BQ119,0))</f>
        <v>1</v>
      </c>
      <c r="AV119" s="59" t="n">
        <f aca="false">IF(CD119&gt;0,CD119*MAX(1,AT119/V119),IF(BR119=1,IF(AT119&lt;=0,0,BS119*MAX(1,IF(G119&gt;0,AT119/G119,1))),IF(Q119&gt;0,AU119/Q119,0))/MAX(0.1,N(Parameter!$M$21)))</f>
        <v>0.0384615384615385</v>
      </c>
      <c r="AW119" s="57" t="n">
        <f aca="false">AT119*F119</f>
        <v>35377</v>
      </c>
      <c r="AX119" s="57" t="n">
        <f aca="false">ROUNDUP(MAX(I119/IF(BV119&gt;0,BV119,MAX(0.1,N(Cockpit!$O$6))),BY119)/BQ119,0)*BQ119</f>
        <v>850</v>
      </c>
      <c r="AY119" s="58" t="n">
        <f aca="false">IF(AV119&gt;0,I119/AV119,-1)</f>
        <v>34320</v>
      </c>
      <c r="AZ119" s="58" t="n">
        <f aca="false">IF(AND(OR(BU119="L1",BU119="L23"),AV119&gt;0),SUMIFS($AV$7:$AV$1576,$BU$7:$BU$1576,BU119,$AY$7:$AY$1576,"&gt;"&amp;AY119)+SUMIFS($AV$7:$AV$1576,$BU$7:$BU$1576,BU119,$AY$7:$AY$1576,AY119,$BO$7:$BO$1576,"&lt;="&amp;BO119),"")</f>
        <v>2.39590993547515</v>
      </c>
      <c r="BA119" s="65" t="n">
        <f aca="false">IF(AZ119="",0,MAX(0,MIN(1,(IF(BU119="L1",Parameter!$E$5,Parameter!$E$6+Parameter!$E$7)-(AZ119-AV119))/AV119)))</f>
        <v>1</v>
      </c>
      <c r="BB119" s="55" t="str">
        <f aca="false">IF(AF119&lt;=0,"",IF(BU119="Aussen","Aussenlager",IF(BU119="-","Nicht im Lift",IF(AK119&gt;=1,"Lift",IF(AK119&lt;=0,"Aussenlager","teilweise")))))</f>
        <v>Lift</v>
      </c>
      <c r="BC119" s="55" t="str">
        <f aca="false">IF(AN119&lt;=0,"",IF(BU119="Aussen","Aussenlager",IF(BU119="-","Nicht im Lift",IF(AS119&gt;=1,"Lift",IF(AS119&lt;=0,"Aussenlager","teilweise")))))</f>
        <v>Lift</v>
      </c>
      <c r="BD119" s="55" t="str">
        <f aca="false">IF(AV119&lt;=0,"",IF(BU119="Aussen","Aussenlager",IF(BU119="-","Nicht im Lift",IF(BA119&gt;=1,"Lift",IF(BA119&lt;=0,"Aussenlager","teilweise")))))</f>
        <v>Lift</v>
      </c>
      <c r="BE119" s="55" t="str">
        <f aca="false">IF(A119="","",IF(BN119=1,"Neu; ","")&amp;IF(AND(BN119=0,BI119&lt;0),"negativer Bestand (Export "&amp;BI119&amp;"); ","")&amp;IF(I119&lt;=0,"Kein Verbrauch; ","")&amp;IF(CD119&gt;0,"Lift "&amp;U119&amp;" lt. Liftbericht (Fach "&amp;V119&amp;" Stk); ",IF(BR119=1,"Lose – Fläche geschätzt; ",""))&amp;IF(G119&gt;AP119,"Überbestand "&amp;ROUND(G119-AP119,0)&amp;" Stk / CHF "&amp;ROUND((G119-AP119)*F119,0)&amp;"; ","")&amp;IF(AND(BW119=1,BX119&lt;BY119),"MAX &lt; MB+LG; ","")&amp;IF(AND(CC119&gt;0,CB119*10&gt;CC119),"zu hoch für Tablar; ","")&amp;IF(AND(BN119=0,OR(BW119=1,Y119&lt;&gt;"",S119&lt;&gt;"",T119&lt;&gt;"",Z119&lt;&gt;"")),"manuell übersteuert; ","")&amp;IF(AND(BR119=0,Q119=0),"Gebinde unbekannt / Stellmass fehlt; ","")&amp;IF(AND(BR119=0,N(T119)&lt;=0,N(P119)&lt;=0),"Menge pro Gebinde fehlt (Ist = 1 Gebinde); ","")&amp;BM119)</f>
        <v/>
      </c>
      <c r="BF119" s="55"/>
      <c r="BG119" s="55"/>
      <c r="BH119" s="62"/>
      <c r="BI119" s="57" t="n">
        <v>45</v>
      </c>
      <c r="BJ119" s="57" t="n">
        <v>183</v>
      </c>
      <c r="BK119" s="56" t="n">
        <v>1852.62</v>
      </c>
      <c r="BL119" s="57" t="n">
        <v>1320</v>
      </c>
      <c r="BM119" s="55"/>
      <c r="BN119" s="60" t="n">
        <v>0</v>
      </c>
      <c r="BO119" s="60" t="n">
        <v>119</v>
      </c>
      <c r="BP119" s="55" t="str">
        <f aca="false">IF(S119&lt;&gt;"",UPPER(TRIM(S119)),IF(O119="","LOSE",O119))</f>
        <v>S52</v>
      </c>
      <c r="BQ119" s="57" t="n">
        <f aca="false">IF(BP119="LOSE",1,IF(N(T119)&gt;0,T119,IF(N(P119)&gt;0,P119,MAX(1,G119))))</f>
        <v>850</v>
      </c>
      <c r="BR119" s="60" t="n">
        <f aca="false">IF(BP119="LOSE",1,0)</f>
        <v>0</v>
      </c>
      <c r="BS119" s="59" t="n">
        <f aca="false">IF(BR119=0,0,IF(N(R119)&gt;0,R119,IFERROR(VLOOKUP(D119,Parameter!$A$35:$C$64,3,0)+0,0)))</f>
        <v>0</v>
      </c>
      <c r="BT119" s="55" t="n">
        <f aca="false">IF(Y119&lt;&gt;"",Y119,X119)</f>
        <v>3</v>
      </c>
      <c r="BU119" s="55" t="str">
        <f aca="false">IF(BT119=1,"L1",IF(OR(BT119=2,BT119=3),"L23",IF(BT119="Aussen","Aussen","-")))</f>
        <v>L23</v>
      </c>
      <c r="BV119" s="66" t="n">
        <f aca="false">IF(N(Z119)&gt;0,Z119,0)</f>
        <v>0</v>
      </c>
      <c r="BW119" s="60" t="n">
        <f aca="false">IF(ISNUMBER(AC119),1,0)</f>
        <v>0</v>
      </c>
      <c r="BX119" s="57" t="n">
        <f aca="false">N(AC119)</f>
        <v>0</v>
      </c>
      <c r="BY119" s="57" t="n">
        <f aca="false">N(L119)+N(M119)</f>
        <v>277</v>
      </c>
      <c r="BZ119" s="57" t="n">
        <f aca="false">ROUNDUP(G119/BQ119,0)</f>
        <v>1</v>
      </c>
      <c r="CA119" s="57" t="n">
        <f aca="false">ROUNDUP(BX119/BQ119,0)</f>
        <v>0</v>
      </c>
      <c r="CB119" s="60" t="n">
        <f aca="false">IF(BR119=1,0,IFERROR(VLOOKUP(BP119,'Gebinde-Kategorie'!$A$5:$M$45,5,0)+0,0))</f>
        <v>21</v>
      </c>
      <c r="CC119" s="60" t="n">
        <f aca="false">IFERROR(IF(OR(BT119=1,BT119=2,BT119=3),N(INDEX(Parameter!$I$5:$I$7,BT119)),0),0)</f>
        <v>0</v>
      </c>
      <c r="CD119" s="59" t="n">
        <f aca="false">IF(AND(Parameter!$B$21="Ja",ISNUMBER(U119),N(V119)&gt;0),IFERROR(N(INDEX(Parameter!$L$5:$L$7,U119))*INDEX(Parameter!$E$5:$E$7,U119)*V119/SUMIFS($V$7:$V$1576,$U$7:$U$1576,U119),0),0)</f>
        <v>0</v>
      </c>
    </row>
    <row r="120" customFormat="false" ht="15" hidden="false" customHeight="false" outlineLevel="0" collapsed="false">
      <c r="A120" s="55" t="s">
        <v>439</v>
      </c>
      <c r="B120" s="55" t="s">
        <v>440</v>
      </c>
      <c r="C120" s="55" t="s">
        <v>160</v>
      </c>
      <c r="D120" s="55" t="s">
        <v>168</v>
      </c>
      <c r="E120" s="55" t="s">
        <v>210</v>
      </c>
      <c r="F120" s="56" t="n">
        <v>106.7</v>
      </c>
      <c r="G120" s="57" t="n">
        <f aca="false">MAX(0,IF(AND(Parameter!$B$21="Ja",ISNUMBER(W120)),W120,IF(Parameter!$B$20="Jahresanfang 2025 + Export",BJ120+BI120,BI120)))</f>
        <v>20</v>
      </c>
      <c r="H120" s="57" t="n">
        <f aca="false">G120*F120</f>
        <v>2134</v>
      </c>
      <c r="I120" s="57" t="n">
        <f aca="false">BL120*Parameter!$B$18</f>
        <v>444</v>
      </c>
      <c r="J120" s="58" t="n">
        <v>83.5</v>
      </c>
      <c r="K120" s="59" t="n">
        <v>5.31736526946108</v>
      </c>
      <c r="L120" s="57" t="n">
        <v>25</v>
      </c>
      <c r="M120" s="57" t="n">
        <v>110</v>
      </c>
      <c r="N120" s="60" t="n">
        <v>21</v>
      </c>
      <c r="O120" s="55" t="s">
        <v>169</v>
      </c>
      <c r="P120" s="57" t="n">
        <v>56</v>
      </c>
      <c r="Q120" s="60" t="n">
        <f aca="false">IF(BR120=1,0,IFERROR(VLOOKUP(BP120,'Gebinde-Kategorie'!$A$5:$M$45,13,0)+0,0))</f>
        <v>6</v>
      </c>
      <c r="R120" s="61"/>
      <c r="S120" s="62"/>
      <c r="T120" s="62"/>
      <c r="U120" s="55"/>
      <c r="V120" s="57"/>
      <c r="W120" s="57"/>
      <c r="X120" s="55" t="n">
        <f aca="false">IF(A120="","",IF(AND(Parameter!$B$21="Ja",ISNUMBER(U120)),U120,IF(IFERROR(VLOOKUP(D120,Parameter!$A$35:$C$64,2,0),"Nein")="2+3",IF(ISNUMBER(SEARCH("grosser Artikel",BM120)),2,IFERROR(VLOOKUP(BP120,Parameter!$F$35:$G$64,2,0),2)),IF(OR(IFERROR(VLOOKUP(D120,Parameter!$A$35:$C$64,2,0),"Nein")="Nein",IFERROR(VLOOKUP(D120,Parameter!$A$35:$C$64,2,0),"Nein")=""),"-",VLOOKUP(D120,Parameter!$A$35:$C$64,2,0)))))</f>
        <v>2</v>
      </c>
      <c r="Y120" s="62"/>
      <c r="Z120" s="63"/>
      <c r="AA120" s="57" t="n">
        <f aca="false">AP120</f>
        <v>224</v>
      </c>
      <c r="AB120" s="57" t="n">
        <f aca="false">MAX(AP120,G120)</f>
        <v>224</v>
      </c>
      <c r="AC120" s="64"/>
      <c r="AD120" s="57" t="n">
        <f aca="false">IF(LEFT(Cockpit!$C$5,1)="A",G120,IF(BW120=1,BX120,IF(LEFT(Cockpit!$C$5,1)="B",AH120,MAX(AH120,G120))))</f>
        <v>20</v>
      </c>
      <c r="AE120" s="57" t="n">
        <f aca="false">IF(BR120=1,0,ROUNDUP(AD120/BQ120,0))</f>
        <v>1</v>
      </c>
      <c r="AF120" s="59" t="n">
        <f aca="false">IF(CD120&gt;0,CD120*MAX(1,AD120/V120),IF(BR120=1,IF(AD120&lt;=0,0,BS120*MAX(1,IF(G120&gt;0,AD120/G120,1))),IF(Q120&gt;0,AE120/Q120,0))/MAX(0.1,N(Parameter!$M$21)))</f>
        <v>0.166666666666667</v>
      </c>
      <c r="AG120" s="57" t="n">
        <f aca="false">AD120*F120</f>
        <v>2134</v>
      </c>
      <c r="AH120" s="57" t="n">
        <f aca="false">ROUNDUP(MAX(I120/IF(BV120&gt;0,BV120,MAX(0.1,N(Cockpit!$C$6))),BY120)/BQ120,0)*BQ120</f>
        <v>224</v>
      </c>
      <c r="AI120" s="58" t="n">
        <f aca="false">IF(AF120&gt;0,I120/AF120,-1)</f>
        <v>2664</v>
      </c>
      <c r="AJ120" s="58" t="n">
        <f aca="false">IF(AND(OR(BU120="L1",BU120="L23"),AF120&gt;0),SUMIFS($AF$7:$AF$1576,$BU$7:$BU$1576,BU120,$AI$7:$AI$1576,"&gt;"&amp;AI120)+SUMIFS($AF$7:$AF$1576,$BU$7:$BU$1576,BU120,$AI$7:$AI$1576,AI120,$BO$7:$BO$1576,"&lt;="&amp;BO120),"")</f>
        <v>5.66178811526638</v>
      </c>
      <c r="AK120" s="65" t="n">
        <f aca="false">IF(AJ120="",0,MAX(0,MIN(1,(IF(BU120="L1",Parameter!$E$5,Parameter!$E$6+Parameter!$E$7)-(AJ120-AF120))/AF120)))</f>
        <v>1</v>
      </c>
      <c r="AL120" s="57" t="n">
        <f aca="false">IF(LEFT(Cockpit!$I$5,1)="A",G120,IF(BW120=1,BX120,IF(LEFT(Cockpit!$I$5,1)="B",AP120,MAX(AP120,G120))))</f>
        <v>224</v>
      </c>
      <c r="AM120" s="57" t="n">
        <f aca="false">IF(BR120=1,0,ROUNDUP(AL120/BQ120,0))</f>
        <v>4</v>
      </c>
      <c r="AN120" s="59" t="n">
        <f aca="false">IF(CD120&gt;0,CD120*MAX(1,AL120/V120),IF(BR120=1,IF(AL120&lt;=0,0,BS120*MAX(1,IF(G120&gt;0,AL120/G120,1))),IF(Q120&gt;0,AM120/Q120,0))/MAX(0.1,N(Parameter!$M$21)))</f>
        <v>0.666666666666667</v>
      </c>
      <c r="AO120" s="57" t="n">
        <f aca="false">AL120*F120</f>
        <v>23900.8</v>
      </c>
      <c r="AP120" s="57" t="n">
        <f aca="false">ROUNDUP(MAX(I120/IF(BV120&gt;0,BV120,MAX(0.1,N(Cockpit!$I$6))),BY120)/BQ120,0)*BQ120</f>
        <v>224</v>
      </c>
      <c r="AQ120" s="58" t="n">
        <f aca="false">IF(AN120&gt;0,I120/AN120,-1)</f>
        <v>666</v>
      </c>
      <c r="AR120" s="58" t="n">
        <f aca="false">IF(AND(OR(BU120="L1",BU120="L23"),AN120&gt;0),SUMIFS($AN$7:$AN$1576,$BU$7:$BU$1576,BU120,$AQ$7:$AQ$1576,"&gt;"&amp;AQ120)+SUMIFS($AN$7:$AN$1576,$BU$7:$BU$1576,BU120,$AQ$7:$AQ$1576,AQ120,$BO$7:$BO$1576,"&lt;="&amp;BO120),"")</f>
        <v>29.3758409830261</v>
      </c>
      <c r="AS120" s="65" t="n">
        <f aca="false">IF(AR120="",0,MAX(0,MIN(1,(IF(BU120="L1",Parameter!$E$5,Parameter!$E$6+Parameter!$E$7)-(AR120-AN120))/AN120)))</f>
        <v>1</v>
      </c>
      <c r="AT120" s="57" t="n">
        <f aca="false">IF(LEFT(Cockpit!$O$5,1)="A",G120,IF(BW120=1,BX120,IF(LEFT(Cockpit!$O$5,1)="B",AX120,MAX(AX120,G120))))</f>
        <v>168</v>
      </c>
      <c r="AU120" s="57" t="n">
        <f aca="false">IF(BR120=1,0,ROUNDUP(AT120/BQ120,0))</f>
        <v>3</v>
      </c>
      <c r="AV120" s="59" t="n">
        <f aca="false">IF(CD120&gt;0,CD120*MAX(1,AT120/V120),IF(BR120=1,IF(AT120&lt;=0,0,BS120*MAX(1,IF(G120&gt;0,AT120/G120,1))),IF(Q120&gt;0,AU120/Q120,0))/MAX(0.1,N(Parameter!$M$21)))</f>
        <v>0.5</v>
      </c>
      <c r="AW120" s="57" t="n">
        <f aca="false">AT120*F120</f>
        <v>17925.6</v>
      </c>
      <c r="AX120" s="57" t="n">
        <f aca="false">ROUNDUP(MAX(I120/IF(BV120&gt;0,BV120,MAX(0.1,N(Cockpit!$O$6))),BY120)/BQ120,0)*BQ120</f>
        <v>168</v>
      </c>
      <c r="AY120" s="58" t="n">
        <f aca="false">IF(AV120&gt;0,I120/AV120,-1)</f>
        <v>888</v>
      </c>
      <c r="AZ120" s="58" t="n">
        <f aca="false">IF(AND(OR(BU120="L1",BU120="L23"),AV120&gt;0),SUMIFS($AV$7:$AV$1576,$BU$7:$BU$1576,BU120,$AY$7:$AY$1576,"&gt;"&amp;AY120)+SUMIFS($AV$7:$AV$1576,$BU$7:$BU$1576,BU120,$AY$7:$AY$1576,AY120,$BO$7:$BO$1576,"&lt;="&amp;BO120),"")</f>
        <v>24.852461705299</v>
      </c>
      <c r="BA120" s="65" t="n">
        <f aca="false">IF(AZ120="",0,MAX(0,MIN(1,(IF(BU120="L1",Parameter!$E$5,Parameter!$E$6+Parameter!$E$7)-(AZ120-AV120))/AV120)))</f>
        <v>1</v>
      </c>
      <c r="BB120" s="55" t="str">
        <f aca="false">IF(AF120&lt;=0,"",IF(BU120="Aussen","Aussenlager",IF(BU120="-","Nicht im Lift",IF(AK120&gt;=1,"Lift",IF(AK120&lt;=0,"Aussenlager","teilweise")))))</f>
        <v>Lift</v>
      </c>
      <c r="BC120" s="55" t="str">
        <f aca="false">IF(AN120&lt;=0,"",IF(BU120="Aussen","Aussenlager",IF(BU120="-","Nicht im Lift",IF(AS120&gt;=1,"Lift",IF(AS120&lt;=0,"Aussenlager","teilweise")))))</f>
        <v>Lift</v>
      </c>
      <c r="BD120" s="55" t="str">
        <f aca="false">IF(AV120&lt;=0,"",IF(BU120="Aussen","Aussenlager",IF(BU120="-","Nicht im Lift",IF(BA120&gt;=1,"Lift",IF(BA120&lt;=0,"Aussenlager","teilweise")))))</f>
        <v>Lift</v>
      </c>
      <c r="BE120" s="55" t="str">
        <f aca="false">IF(A120="","",IF(BN120=1,"Neu; ","")&amp;IF(AND(BN120=0,BI120&lt;0),"negativer Bestand (Export "&amp;BI120&amp;"); ","")&amp;IF(I120&lt;=0,"Kein Verbrauch; ","")&amp;IF(CD120&gt;0,"Lift "&amp;U120&amp;" lt. Liftbericht (Fach "&amp;V120&amp;" Stk); ",IF(BR120=1,"Lose – Fläche geschätzt; ",""))&amp;IF(G120&gt;AP120,"Überbestand "&amp;ROUND(G120-AP120,0)&amp;" Stk / CHF "&amp;ROUND((G120-AP120)*F120,0)&amp;"; ","")&amp;IF(AND(BW120=1,BX120&lt;BY120),"MAX &lt; MB+LG; ","")&amp;IF(AND(CC120&gt;0,CB120*10&gt;CC120),"zu hoch für Tablar; ","")&amp;IF(AND(BN120=0,OR(BW120=1,Y120&lt;&gt;"",S120&lt;&gt;"",T120&lt;&gt;"",Z120&lt;&gt;"")),"manuell übersteuert; ","")&amp;IF(AND(BR120=0,Q120=0),"Gebinde unbekannt / Stellmass fehlt; ","")&amp;IF(AND(BR120=0,N(T120)&lt;=0,N(P120)&lt;=0),"Menge pro Gebinde fehlt (Ist = 1 Gebinde); ","")&amp;BM120)</f>
        <v>grosser Artikel &amp; nicht im KTL</v>
      </c>
      <c r="BF120" s="55"/>
      <c r="BG120" s="55"/>
      <c r="BH120" s="62"/>
      <c r="BI120" s="57" t="n">
        <v>20</v>
      </c>
      <c r="BJ120" s="57" t="n">
        <v>93</v>
      </c>
      <c r="BK120" s="56" t="n">
        <v>1844.19999999997</v>
      </c>
      <c r="BL120" s="57" t="n">
        <v>444</v>
      </c>
      <c r="BM120" s="55" t="s">
        <v>253</v>
      </c>
      <c r="BN120" s="60" t="n">
        <v>0</v>
      </c>
      <c r="BO120" s="60" t="n">
        <v>120</v>
      </c>
      <c r="BP120" s="55" t="str">
        <f aca="false">IF(S120&lt;&gt;"",UPPER(TRIM(S120)),IF(O120="","LOSE",O120))</f>
        <v>S71</v>
      </c>
      <c r="BQ120" s="57" t="n">
        <f aca="false">IF(BP120="LOSE",1,IF(N(T120)&gt;0,T120,IF(N(P120)&gt;0,P120,MAX(1,G120))))</f>
        <v>56</v>
      </c>
      <c r="BR120" s="60" t="n">
        <f aca="false">IF(BP120="LOSE",1,0)</f>
        <v>0</v>
      </c>
      <c r="BS120" s="59" t="n">
        <f aca="false">IF(BR120=0,0,IF(N(R120)&gt;0,R120,IFERROR(VLOOKUP(D120,Parameter!$A$35:$C$64,3,0)+0,0)))</f>
        <v>0</v>
      </c>
      <c r="BT120" s="55" t="n">
        <f aca="false">IF(Y120&lt;&gt;"",Y120,X120)</f>
        <v>2</v>
      </c>
      <c r="BU120" s="55" t="str">
        <f aca="false">IF(BT120=1,"L1",IF(OR(BT120=2,BT120=3),"L23",IF(BT120="Aussen","Aussen","-")))</f>
        <v>L23</v>
      </c>
      <c r="BV120" s="66" t="n">
        <f aca="false">IF(N(Z120)&gt;0,Z120,0)</f>
        <v>0</v>
      </c>
      <c r="BW120" s="60" t="n">
        <f aca="false">IF(ISNUMBER(AC120),1,0)</f>
        <v>0</v>
      </c>
      <c r="BX120" s="57" t="n">
        <f aca="false">N(AC120)</f>
        <v>0</v>
      </c>
      <c r="BY120" s="57" t="n">
        <f aca="false">N(L120)+N(M120)</f>
        <v>135</v>
      </c>
      <c r="BZ120" s="57" t="n">
        <f aca="false">ROUNDUP(G120/BQ120,0)</f>
        <v>1</v>
      </c>
      <c r="CA120" s="57" t="n">
        <f aca="false">ROUNDUP(BX120/BQ120,0)</f>
        <v>0</v>
      </c>
      <c r="CB120" s="60" t="n">
        <f aca="false">IF(BR120=1,0,IFERROR(VLOOKUP(BP120,'Gebinde-Kategorie'!$A$5:$M$45,5,0)+0,0))</f>
        <v>20</v>
      </c>
      <c r="CC120" s="60" t="n">
        <f aca="false">IFERROR(IF(OR(BT120=1,BT120=2,BT120=3),N(INDEX(Parameter!$I$5:$I$7,BT120)),0),0)</f>
        <v>0</v>
      </c>
      <c r="CD120" s="59" t="n">
        <f aca="false">IF(AND(Parameter!$B$21="Ja",ISNUMBER(U120),N(V120)&gt;0),IFERROR(N(INDEX(Parameter!$L$5:$L$7,U120))*INDEX(Parameter!$E$5:$E$7,U120)*V120/SUMIFS($V$7:$V$1576,$U$7:$U$1576,U120),0),0)</f>
        <v>0</v>
      </c>
    </row>
    <row r="121" customFormat="false" ht="15" hidden="false" customHeight="false" outlineLevel="0" collapsed="false">
      <c r="A121" s="55" t="s">
        <v>441</v>
      </c>
      <c r="B121" s="55" t="s">
        <v>442</v>
      </c>
      <c r="C121" s="55" t="s">
        <v>160</v>
      </c>
      <c r="D121" s="55" t="s">
        <v>178</v>
      </c>
      <c r="E121" s="55" t="s">
        <v>210</v>
      </c>
      <c r="F121" s="56" t="n">
        <v>59.19</v>
      </c>
      <c r="G121" s="57" t="n">
        <f aca="false">MAX(0,IF(AND(Parameter!$B$21="Ja",ISNUMBER(W121)),W121,IF(Parameter!$B$20="Jahresanfang 2025 + Export",BJ121+BI121,BI121)))</f>
        <v>31</v>
      </c>
      <c r="H121" s="57" t="n">
        <f aca="false">G121*F121</f>
        <v>1834.89</v>
      </c>
      <c r="I121" s="57" t="n">
        <f aca="false">BL121*Parameter!$B$18</f>
        <v>59</v>
      </c>
      <c r="J121" s="58" t="n">
        <v>52</v>
      </c>
      <c r="K121" s="59" t="n">
        <v>1.13461538461539</v>
      </c>
      <c r="L121" s="57" t="n">
        <v>5</v>
      </c>
      <c r="M121" s="57" t="n">
        <v>50</v>
      </c>
      <c r="N121" s="60" t="n">
        <v>28</v>
      </c>
      <c r="O121" s="55" t="s">
        <v>225</v>
      </c>
      <c r="P121" s="57" t="n">
        <v>12</v>
      </c>
      <c r="Q121" s="60" t="n">
        <f aca="false">IF(BR121=1,0,IFERROR(VLOOKUP(BP121,'Gebinde-Kategorie'!$A$5:$M$45,13,0)+0,0))</f>
        <v>26</v>
      </c>
      <c r="R121" s="61"/>
      <c r="S121" s="62"/>
      <c r="T121" s="62"/>
      <c r="U121" s="55"/>
      <c r="V121" s="57"/>
      <c r="W121" s="57"/>
      <c r="X121" s="55" t="n">
        <f aca="false">IF(A121="","",IF(AND(Parameter!$B$21="Ja",ISNUMBER(U121)),U121,IF(IFERROR(VLOOKUP(D121,Parameter!$A$35:$C$64,2,0),"Nein")="2+3",IF(ISNUMBER(SEARCH("grosser Artikel",BM121)),2,IFERROR(VLOOKUP(BP121,Parameter!$F$35:$G$64,2,0),2)),IF(OR(IFERROR(VLOOKUP(D121,Parameter!$A$35:$C$64,2,0),"Nein")="Nein",IFERROR(VLOOKUP(D121,Parameter!$A$35:$C$64,2,0),"Nein")=""),"-",VLOOKUP(D121,Parameter!$A$35:$C$64,2,0)))))</f>
        <v>3</v>
      </c>
      <c r="Y121" s="62"/>
      <c r="Z121" s="63"/>
      <c r="AA121" s="57" t="n">
        <f aca="false">AP121</f>
        <v>60</v>
      </c>
      <c r="AB121" s="57" t="n">
        <f aca="false">MAX(AP121,G121)</f>
        <v>60</v>
      </c>
      <c r="AC121" s="64"/>
      <c r="AD121" s="57" t="n">
        <f aca="false">IF(LEFT(Cockpit!$C$5,1)="A",G121,IF(BW121=1,BX121,IF(LEFT(Cockpit!$C$5,1)="B",AH121,MAX(AH121,G121))))</f>
        <v>31</v>
      </c>
      <c r="AE121" s="57" t="n">
        <f aca="false">IF(BR121=1,0,ROUNDUP(AD121/BQ121,0))</f>
        <v>3</v>
      </c>
      <c r="AF121" s="59" t="n">
        <f aca="false">IF(CD121&gt;0,CD121*MAX(1,AD121/V121),IF(BR121=1,IF(AD121&lt;=0,0,BS121*MAX(1,IF(G121&gt;0,AD121/G121,1))),IF(Q121&gt;0,AE121/Q121,0))/MAX(0.1,N(Parameter!$M$21)))</f>
        <v>0.115384615384615</v>
      </c>
      <c r="AG121" s="57" t="n">
        <f aca="false">AD121*F121</f>
        <v>1834.89</v>
      </c>
      <c r="AH121" s="57" t="n">
        <f aca="false">ROUNDUP(MAX(I121/IF(BV121&gt;0,BV121,MAX(0.1,N(Cockpit!$C$6))),BY121)/BQ121,0)*BQ121</f>
        <v>60</v>
      </c>
      <c r="AI121" s="58" t="n">
        <f aca="false">IF(AF121&gt;0,I121/AF121,-1)</f>
        <v>511.333333333333</v>
      </c>
      <c r="AJ121" s="58" t="n">
        <f aca="false">IF(AND(OR(BU121="L1",BU121="L23"),AF121&gt;0),SUMIFS($AF$7:$AF$1576,$BU$7:$BU$1576,BU121,$AI$7:$AI$1576,"&gt;"&amp;AI121)+SUMIFS($AF$7:$AF$1576,$BU$7:$BU$1576,BU121,$AI$7:$AI$1576,AI121,$BO$7:$BO$1576,"&lt;="&amp;BO121),"")</f>
        <v>12.5165768048377</v>
      </c>
      <c r="AK121" s="65" t="n">
        <f aca="false">IF(AJ121="",0,MAX(0,MIN(1,(IF(BU121="L1",Parameter!$E$5,Parameter!$E$6+Parameter!$E$7)-(AJ121-AF121))/AF121)))</f>
        <v>1</v>
      </c>
      <c r="AL121" s="57" t="n">
        <f aca="false">IF(LEFT(Cockpit!$I$5,1)="A",G121,IF(BW121=1,BX121,IF(LEFT(Cockpit!$I$5,1)="B",AP121,MAX(AP121,G121))))</f>
        <v>60</v>
      </c>
      <c r="AM121" s="57" t="n">
        <f aca="false">IF(BR121=1,0,ROUNDUP(AL121/BQ121,0))</f>
        <v>5</v>
      </c>
      <c r="AN121" s="59" t="n">
        <f aca="false">IF(CD121&gt;0,CD121*MAX(1,AL121/V121),IF(BR121=1,IF(AL121&lt;=0,0,BS121*MAX(1,IF(G121&gt;0,AL121/G121,1))),IF(Q121&gt;0,AM121/Q121,0))/MAX(0.1,N(Parameter!$M$21)))</f>
        <v>0.192307692307692</v>
      </c>
      <c r="AO121" s="57" t="n">
        <f aca="false">AL121*F121</f>
        <v>3551.4</v>
      </c>
      <c r="AP121" s="57" t="n">
        <f aca="false">ROUNDUP(MAX(I121/IF(BV121&gt;0,BV121,MAX(0.1,N(Cockpit!$I$6))),BY121)/BQ121,0)*BQ121</f>
        <v>60</v>
      </c>
      <c r="AQ121" s="58" t="n">
        <f aca="false">IF(AN121&gt;0,I121/AN121,-1)</f>
        <v>306.8</v>
      </c>
      <c r="AR121" s="58" t="n">
        <f aca="false">IF(AND(OR(BU121="L1",BU121="L23"),AN121&gt;0),SUMIFS($AN$7:$AN$1576,$BU$7:$BU$1576,BU121,$AQ$7:$AQ$1576,"&gt;"&amp;AQ121)+SUMIFS($AN$7:$AN$1576,$BU$7:$BU$1576,BU121,$AQ$7:$AQ$1576,AQ121,$BO$7:$BO$1576,"&lt;="&amp;BO121),"")</f>
        <v>43.7539990568363</v>
      </c>
      <c r="AS121" s="65" t="n">
        <f aca="false">IF(AR121="",0,MAX(0,MIN(1,(IF(BU121="L1",Parameter!$E$5,Parameter!$E$6+Parameter!$E$7)-(AR121-AN121))/AN121)))</f>
        <v>1</v>
      </c>
      <c r="AT121" s="57" t="n">
        <f aca="false">IF(LEFT(Cockpit!$O$5,1)="A",G121,IF(BW121=1,BX121,IF(LEFT(Cockpit!$O$5,1)="B",AX121,MAX(AX121,G121))))</f>
        <v>60</v>
      </c>
      <c r="AU121" s="57" t="n">
        <f aca="false">IF(BR121=1,0,ROUNDUP(AT121/BQ121,0))</f>
        <v>5</v>
      </c>
      <c r="AV121" s="59" t="n">
        <f aca="false">IF(CD121&gt;0,CD121*MAX(1,AT121/V121),IF(BR121=1,IF(AT121&lt;=0,0,BS121*MAX(1,IF(G121&gt;0,AT121/G121,1))),IF(Q121&gt;0,AU121/Q121,0))/MAX(0.1,N(Parameter!$M$21)))</f>
        <v>0.192307692307692</v>
      </c>
      <c r="AW121" s="57" t="n">
        <f aca="false">AT121*F121</f>
        <v>3551.4</v>
      </c>
      <c r="AX121" s="57" t="n">
        <f aca="false">ROUNDUP(MAX(I121/IF(BV121&gt;0,BV121,MAX(0.1,N(Cockpit!$O$6))),BY121)/BQ121,0)*BQ121</f>
        <v>60</v>
      </c>
      <c r="AY121" s="58" t="n">
        <f aca="false">IF(AV121&gt;0,I121/AV121,-1)</f>
        <v>306.8</v>
      </c>
      <c r="AZ121" s="58" t="n">
        <f aca="false">IF(AND(OR(BU121="L1",BU121="L23"),AV121&gt;0),SUMIFS($AV$7:$AV$1576,$BU$7:$BU$1576,BU121,$AY$7:$AY$1576,"&gt;"&amp;AY121)+SUMIFS($AV$7:$AV$1576,$BU$7:$BU$1576,BU121,$AY$7:$AY$1576,AY121,$BO$7:$BO$1576,"&lt;="&amp;BO121),"")</f>
        <v>40.0020776449149</v>
      </c>
      <c r="BA121" s="65" t="n">
        <f aca="false">IF(AZ121="",0,MAX(0,MIN(1,(IF(BU121="L1",Parameter!$E$5,Parameter!$E$6+Parameter!$E$7)-(AZ121-AV121))/AV121)))</f>
        <v>1</v>
      </c>
      <c r="BB121" s="55" t="str">
        <f aca="false">IF(AF121&lt;=0,"",IF(BU121="Aussen","Aussenlager",IF(BU121="-","Nicht im Lift",IF(AK121&gt;=1,"Lift",IF(AK121&lt;=0,"Aussenlager","teilweise")))))</f>
        <v>Lift</v>
      </c>
      <c r="BC121" s="55" t="str">
        <f aca="false">IF(AN121&lt;=0,"",IF(BU121="Aussen","Aussenlager",IF(BU121="-","Nicht im Lift",IF(AS121&gt;=1,"Lift",IF(AS121&lt;=0,"Aussenlager","teilweise")))))</f>
        <v>Lift</v>
      </c>
      <c r="BD121" s="55" t="str">
        <f aca="false">IF(AV121&lt;=0,"",IF(BU121="Aussen","Aussenlager",IF(BU121="-","Nicht im Lift",IF(BA121&gt;=1,"Lift",IF(BA121&lt;=0,"Aussenlager","teilweise")))))</f>
        <v>Lift</v>
      </c>
      <c r="BE121" s="55" t="str">
        <f aca="false">IF(A121="","",IF(BN121=1,"Neu; ","")&amp;IF(AND(BN121=0,BI121&lt;0),"negativer Bestand (Export "&amp;BI121&amp;"); ","")&amp;IF(I121&lt;=0,"Kein Verbrauch; ","")&amp;IF(CD121&gt;0,"Lift "&amp;U121&amp;" lt. Liftbericht (Fach "&amp;V121&amp;" Stk); ",IF(BR121=1,"Lose – Fläche geschätzt; ",""))&amp;IF(G121&gt;AP121,"Überbestand "&amp;ROUND(G121-AP121,0)&amp;" Stk / CHF "&amp;ROUND((G121-AP121)*F121,0)&amp;"; ","")&amp;IF(AND(BW121=1,BX121&lt;BY121),"MAX &lt; MB+LG; ","")&amp;IF(AND(CC121&gt;0,CB121*10&gt;CC121),"zu hoch für Tablar; ","")&amp;IF(AND(BN121=0,OR(BW121=1,Y121&lt;&gt;"",S121&lt;&gt;"",T121&lt;&gt;"",Z121&lt;&gt;"")),"manuell übersteuert; ","")&amp;IF(AND(BR121=0,Q121=0),"Gebinde unbekannt / Stellmass fehlt; ","")&amp;IF(AND(BR121=0,N(T121)&lt;=0,N(P121)&lt;=0),"Menge pro Gebinde fehlt (Ist = 1 Gebinde); ","")&amp;BM121)</f>
        <v/>
      </c>
      <c r="BF121" s="55"/>
      <c r="BG121" s="55"/>
      <c r="BH121" s="62"/>
      <c r="BI121" s="57" t="n">
        <v>31</v>
      </c>
      <c r="BJ121" s="57" t="n">
        <v>28</v>
      </c>
      <c r="BK121" s="56" t="n">
        <v>1839.24</v>
      </c>
      <c r="BL121" s="57" t="n">
        <v>59</v>
      </c>
      <c r="BM121" s="55"/>
      <c r="BN121" s="60" t="n">
        <v>0</v>
      </c>
      <c r="BO121" s="60" t="n">
        <v>121</v>
      </c>
      <c r="BP121" s="55" t="str">
        <f aca="false">IF(S121&lt;&gt;"",UPPER(TRIM(S121)),IF(O121="","LOSE",O121))</f>
        <v>S52</v>
      </c>
      <c r="BQ121" s="57" t="n">
        <f aca="false">IF(BP121="LOSE",1,IF(N(T121)&gt;0,T121,IF(N(P121)&gt;0,P121,MAX(1,G121))))</f>
        <v>12</v>
      </c>
      <c r="BR121" s="60" t="n">
        <f aca="false">IF(BP121="LOSE",1,0)</f>
        <v>0</v>
      </c>
      <c r="BS121" s="59" t="n">
        <f aca="false">IF(BR121=0,0,IF(N(R121)&gt;0,R121,IFERROR(VLOOKUP(D121,Parameter!$A$35:$C$64,3,0)+0,0)))</f>
        <v>0</v>
      </c>
      <c r="BT121" s="55" t="n">
        <f aca="false">IF(Y121&lt;&gt;"",Y121,X121)</f>
        <v>3</v>
      </c>
      <c r="BU121" s="55" t="str">
        <f aca="false">IF(BT121=1,"L1",IF(OR(BT121=2,BT121=3),"L23",IF(BT121="Aussen","Aussen","-")))</f>
        <v>L23</v>
      </c>
      <c r="BV121" s="66" t="n">
        <f aca="false">IF(N(Z121)&gt;0,Z121,0)</f>
        <v>0</v>
      </c>
      <c r="BW121" s="60" t="n">
        <f aca="false">IF(ISNUMBER(AC121),1,0)</f>
        <v>0</v>
      </c>
      <c r="BX121" s="57" t="n">
        <f aca="false">N(AC121)</f>
        <v>0</v>
      </c>
      <c r="BY121" s="57" t="n">
        <f aca="false">N(L121)+N(M121)</f>
        <v>55</v>
      </c>
      <c r="BZ121" s="57" t="n">
        <f aca="false">ROUNDUP(G121/BQ121,0)</f>
        <v>3</v>
      </c>
      <c r="CA121" s="57" t="n">
        <f aca="false">ROUNDUP(BX121/BQ121,0)</f>
        <v>0</v>
      </c>
      <c r="CB121" s="60" t="n">
        <f aca="false">IF(BR121=1,0,IFERROR(VLOOKUP(BP121,'Gebinde-Kategorie'!$A$5:$M$45,5,0)+0,0))</f>
        <v>21</v>
      </c>
      <c r="CC121" s="60" t="n">
        <f aca="false">IFERROR(IF(OR(BT121=1,BT121=2,BT121=3),N(INDEX(Parameter!$I$5:$I$7,BT121)),0),0)</f>
        <v>0</v>
      </c>
      <c r="CD121" s="59" t="n">
        <f aca="false">IF(AND(Parameter!$B$21="Ja",ISNUMBER(U121),N(V121)&gt;0),IFERROR(N(INDEX(Parameter!$L$5:$L$7,U121))*INDEX(Parameter!$E$5:$E$7,U121)*V121/SUMIFS($V$7:$V$1576,$U$7:$U$1576,U121),0),0)</f>
        <v>0</v>
      </c>
    </row>
    <row r="122" customFormat="false" ht="15" hidden="false" customHeight="false" outlineLevel="0" collapsed="false">
      <c r="A122" s="55" t="s">
        <v>443</v>
      </c>
      <c r="B122" s="55" t="s">
        <v>435</v>
      </c>
      <c r="C122" s="55" t="s">
        <v>160</v>
      </c>
      <c r="D122" s="55" t="s">
        <v>168</v>
      </c>
      <c r="E122" s="55" t="s">
        <v>210</v>
      </c>
      <c r="F122" s="56" t="n">
        <v>255.71</v>
      </c>
      <c r="G122" s="57" t="n">
        <f aca="false">MAX(0,IF(AND(Parameter!$B$21="Ja",ISNUMBER(W122)),W122,IF(Parameter!$B$20="Jahresanfang 2025 + Export",BJ122+BI122,BI122)))</f>
        <v>7</v>
      </c>
      <c r="H122" s="57" t="n">
        <f aca="false">G122*F122</f>
        <v>1789.97</v>
      </c>
      <c r="I122" s="57" t="n">
        <f aca="false">BL122*Parameter!$B$18</f>
        <v>50</v>
      </c>
      <c r="J122" s="58" t="n">
        <v>19</v>
      </c>
      <c r="K122" s="59" t="n">
        <v>2.63157894736842</v>
      </c>
      <c r="L122" s="57" t="n">
        <v>10</v>
      </c>
      <c r="M122" s="57" t="n">
        <v>20</v>
      </c>
      <c r="N122" s="60" t="n">
        <v>40</v>
      </c>
      <c r="O122" s="55" t="s">
        <v>339</v>
      </c>
      <c r="P122" s="57" t="n">
        <v>35</v>
      </c>
      <c r="Q122" s="60" t="n">
        <f aca="false">IF(BR122=1,0,IFERROR(VLOOKUP(BP122,'Gebinde-Kategorie'!$A$5:$M$45,13,0)+0,0))</f>
        <v>3</v>
      </c>
      <c r="R122" s="61"/>
      <c r="S122" s="62"/>
      <c r="T122" s="62"/>
      <c r="U122" s="55"/>
      <c r="V122" s="57"/>
      <c r="W122" s="57"/>
      <c r="X122" s="55" t="n">
        <f aca="false">IF(A122="","",IF(AND(Parameter!$B$21="Ja",ISNUMBER(U122)),U122,IF(IFERROR(VLOOKUP(D122,Parameter!$A$35:$C$64,2,0),"Nein")="2+3",IF(ISNUMBER(SEARCH("grosser Artikel",BM122)),2,IFERROR(VLOOKUP(BP122,Parameter!$F$35:$G$64,2,0),2)),IF(OR(IFERROR(VLOOKUP(D122,Parameter!$A$35:$C$64,2,0),"Nein")="Nein",IFERROR(VLOOKUP(D122,Parameter!$A$35:$C$64,2,0),"Nein")=""),"-",VLOOKUP(D122,Parameter!$A$35:$C$64,2,0)))))</f>
        <v>2</v>
      </c>
      <c r="Y122" s="62"/>
      <c r="Z122" s="63"/>
      <c r="AA122" s="57" t="n">
        <f aca="false">AP122</f>
        <v>35</v>
      </c>
      <c r="AB122" s="57" t="n">
        <f aca="false">MAX(AP122,G122)</f>
        <v>35</v>
      </c>
      <c r="AC122" s="64"/>
      <c r="AD122" s="57" t="n">
        <f aca="false">IF(LEFT(Cockpit!$C$5,1)="A",G122,IF(BW122=1,BX122,IF(LEFT(Cockpit!$C$5,1)="B",AH122,MAX(AH122,G122))))</f>
        <v>7</v>
      </c>
      <c r="AE122" s="57" t="n">
        <f aca="false">IF(BR122=1,0,ROUNDUP(AD122/BQ122,0))</f>
        <v>1</v>
      </c>
      <c r="AF122" s="59" t="n">
        <f aca="false">IF(CD122&gt;0,CD122*MAX(1,AD122/V122),IF(BR122=1,IF(AD122&lt;=0,0,BS122*MAX(1,IF(G122&gt;0,AD122/G122,1))),IF(Q122&gt;0,AE122/Q122,0))/MAX(0.1,N(Parameter!$M$21)))</f>
        <v>0.333333333333333</v>
      </c>
      <c r="AG122" s="57" t="n">
        <f aca="false">AD122*F122</f>
        <v>1789.97</v>
      </c>
      <c r="AH122" s="57" t="n">
        <f aca="false">ROUNDUP(MAX(I122/IF(BV122&gt;0,BV122,MAX(0.1,N(Cockpit!$C$6))),BY122)/BQ122,0)*BQ122</f>
        <v>35</v>
      </c>
      <c r="AI122" s="58" t="n">
        <f aca="false">IF(AF122&gt;0,I122/AF122,-1)</f>
        <v>150</v>
      </c>
      <c r="AJ122" s="58" t="n">
        <f aca="false">IF(AND(OR(BU122="L1",BU122="L23"),AF122&gt;0),SUMIFS($AF$7:$AF$1576,$BU$7:$BU$1576,BU122,$AI$7:$AI$1576,"&gt;"&amp;AI122)+SUMIFS($AF$7:$AF$1576,$BU$7:$BU$1576,BU122,$AI$7:$AI$1576,AI122,$BO$7:$BO$1576,"&lt;="&amp;BO122),"")</f>
        <v>19.2044775514341</v>
      </c>
      <c r="AK122" s="65" t="n">
        <f aca="false">IF(AJ122="",0,MAX(0,MIN(1,(IF(BU122="L1",Parameter!$E$5,Parameter!$E$6+Parameter!$E$7)-(AJ122-AF122))/AF122)))</f>
        <v>1</v>
      </c>
      <c r="AL122" s="57" t="n">
        <f aca="false">IF(LEFT(Cockpit!$I$5,1)="A",G122,IF(BW122=1,BX122,IF(LEFT(Cockpit!$I$5,1)="B",AP122,MAX(AP122,G122))))</f>
        <v>35</v>
      </c>
      <c r="AM122" s="57" t="n">
        <f aca="false">IF(BR122=1,0,ROUNDUP(AL122/BQ122,0))</f>
        <v>1</v>
      </c>
      <c r="AN122" s="59" t="n">
        <f aca="false">IF(CD122&gt;0,CD122*MAX(1,AL122/V122),IF(BR122=1,IF(AL122&lt;=0,0,BS122*MAX(1,IF(G122&gt;0,AL122/G122,1))),IF(Q122&gt;0,AM122/Q122,0))/MAX(0.1,N(Parameter!$M$21)))</f>
        <v>0.333333333333333</v>
      </c>
      <c r="AO122" s="57" t="n">
        <f aca="false">AL122*F122</f>
        <v>8949.85</v>
      </c>
      <c r="AP122" s="57" t="n">
        <f aca="false">ROUNDUP(MAX(I122/IF(BV122&gt;0,BV122,MAX(0.1,N(Cockpit!$I$6))),BY122)/BQ122,0)*BQ122</f>
        <v>35</v>
      </c>
      <c r="AQ122" s="58" t="n">
        <f aca="false">IF(AN122&gt;0,I122/AN122,-1)</f>
        <v>150</v>
      </c>
      <c r="AR122" s="58" t="n">
        <f aca="false">IF(AND(OR(BU122="L1",BU122="L23"),AN122&gt;0),SUMIFS($AN$7:$AN$1576,$BU$7:$BU$1576,BU122,$AQ$7:$AQ$1576,"&gt;"&amp;AQ122)+SUMIFS($AN$7:$AN$1576,$BU$7:$BU$1576,BU122,$AQ$7:$AQ$1576,AQ122,$BO$7:$BO$1576,"&lt;="&amp;BO122),"")</f>
        <v>54.894927789939</v>
      </c>
      <c r="AS122" s="65" t="n">
        <f aca="false">IF(AR122="",0,MAX(0,MIN(1,(IF(BU122="L1",Parameter!$E$5,Parameter!$E$6+Parameter!$E$7)-(AR122-AN122))/AN122)))</f>
        <v>1</v>
      </c>
      <c r="AT122" s="57" t="n">
        <f aca="false">IF(LEFT(Cockpit!$O$5,1)="A",G122,IF(BW122=1,BX122,IF(LEFT(Cockpit!$O$5,1)="B",AX122,MAX(AX122,G122))))</f>
        <v>35</v>
      </c>
      <c r="AU122" s="57" t="n">
        <f aca="false">IF(BR122=1,0,ROUNDUP(AT122/BQ122,0))</f>
        <v>1</v>
      </c>
      <c r="AV122" s="59" t="n">
        <f aca="false">IF(CD122&gt;0,CD122*MAX(1,AT122/V122),IF(BR122=1,IF(AT122&lt;=0,0,BS122*MAX(1,IF(G122&gt;0,AT122/G122,1))),IF(Q122&gt;0,AU122/Q122,0))/MAX(0.1,N(Parameter!$M$21)))</f>
        <v>0.333333333333333</v>
      </c>
      <c r="AW122" s="57" t="n">
        <f aca="false">AT122*F122</f>
        <v>8949.85</v>
      </c>
      <c r="AX122" s="57" t="n">
        <f aca="false">ROUNDUP(MAX(I122/IF(BV122&gt;0,BV122,MAX(0.1,N(Cockpit!$O$6))),BY122)/BQ122,0)*BQ122</f>
        <v>35</v>
      </c>
      <c r="AY122" s="58" t="n">
        <f aca="false">IF(AV122&gt;0,I122/AV122,-1)</f>
        <v>150</v>
      </c>
      <c r="AZ122" s="58" t="n">
        <f aca="false">IF(AND(OR(BU122="L1",BU122="L23"),AV122&gt;0),SUMIFS($AV$7:$AV$1576,$BU$7:$BU$1576,BU122,$AY$7:$AY$1576,"&gt;"&amp;AY122)+SUMIFS($AV$7:$AV$1576,$BU$7:$BU$1576,BU122,$AY$7:$AY$1576,AY122,$BO$7:$BO$1576,"&lt;="&amp;BO122),"")</f>
        <v>51.2331524819136</v>
      </c>
      <c r="BA122" s="65" t="n">
        <f aca="false">IF(AZ122="",0,MAX(0,MIN(1,(IF(BU122="L1",Parameter!$E$5,Parameter!$E$6+Parameter!$E$7)-(AZ122-AV122))/AV122)))</f>
        <v>1</v>
      </c>
      <c r="BB122" s="55" t="str">
        <f aca="false">IF(AF122&lt;=0,"",IF(BU122="Aussen","Aussenlager",IF(BU122="-","Nicht im Lift",IF(AK122&gt;=1,"Lift",IF(AK122&lt;=0,"Aussenlager","teilweise")))))</f>
        <v>Lift</v>
      </c>
      <c r="BC122" s="55" t="str">
        <f aca="false">IF(AN122&lt;=0,"",IF(BU122="Aussen","Aussenlager",IF(BU122="-","Nicht im Lift",IF(AS122&gt;=1,"Lift",IF(AS122&lt;=0,"Aussenlager","teilweise")))))</f>
        <v>Lift</v>
      </c>
      <c r="BD122" s="55" t="str">
        <f aca="false">IF(AV122&lt;=0,"",IF(BU122="Aussen","Aussenlager",IF(BU122="-","Nicht im Lift",IF(BA122&gt;=1,"Lift",IF(BA122&lt;=0,"Aussenlager","teilweise")))))</f>
        <v>Lift</v>
      </c>
      <c r="BE122" s="55" t="str">
        <f aca="false">IF(A122="","",IF(BN122=1,"Neu; ","")&amp;IF(AND(BN122=0,BI122&lt;0),"negativer Bestand (Export "&amp;BI122&amp;"); ","")&amp;IF(I122&lt;=0,"Kein Verbrauch; ","")&amp;IF(CD122&gt;0,"Lift "&amp;U122&amp;" lt. Liftbericht (Fach "&amp;V122&amp;" Stk); ",IF(BR122=1,"Lose – Fläche geschätzt; ",""))&amp;IF(G122&gt;AP122,"Überbestand "&amp;ROUND(G122-AP122,0)&amp;" Stk / CHF "&amp;ROUND((G122-AP122)*F122,0)&amp;"; ","")&amp;IF(AND(BW122=1,BX122&lt;BY122),"MAX &lt; MB+LG; ","")&amp;IF(AND(CC122&gt;0,CB122*10&gt;CC122),"zu hoch für Tablar; ","")&amp;IF(AND(BN122=0,OR(BW122=1,Y122&lt;&gt;"",S122&lt;&gt;"",T122&lt;&gt;"",Z122&lt;&gt;"")),"manuell übersteuert; ","")&amp;IF(AND(BR122=0,Q122=0),"Gebinde unbekannt / Stellmass fehlt; ","")&amp;IF(AND(BR122=0,N(T122)&lt;=0,N(P122)&lt;=0),"Menge pro Gebinde fehlt (Ist = 1 Gebinde); ","")&amp;BM122)</f>
        <v>Überbestand</v>
      </c>
      <c r="BF122" s="55"/>
      <c r="BG122" s="55"/>
      <c r="BH122" s="62"/>
      <c r="BI122" s="57" t="n">
        <v>7</v>
      </c>
      <c r="BJ122" s="57" t="n">
        <v>10</v>
      </c>
      <c r="BK122" s="56" t="n">
        <v>1826.97</v>
      </c>
      <c r="BL122" s="57" t="n">
        <v>50</v>
      </c>
      <c r="BM122" s="55" t="s">
        <v>382</v>
      </c>
      <c r="BN122" s="60" t="n">
        <v>0</v>
      </c>
      <c r="BO122" s="60" t="n">
        <v>122</v>
      </c>
      <c r="BP122" s="55" t="str">
        <f aca="false">IF(S122&lt;&gt;"",UPPER(TRIM(S122)),IF(O122="","LOSE",O122))</f>
        <v>S82</v>
      </c>
      <c r="BQ122" s="57" t="n">
        <f aca="false">IF(BP122="LOSE",1,IF(N(T122)&gt;0,T122,IF(N(P122)&gt;0,P122,MAX(1,G122))))</f>
        <v>35</v>
      </c>
      <c r="BR122" s="60" t="n">
        <f aca="false">IF(BP122="LOSE",1,0)</f>
        <v>0</v>
      </c>
      <c r="BS122" s="59" t="n">
        <f aca="false">IF(BR122=0,0,IF(N(R122)&gt;0,R122,IFERROR(VLOOKUP(D122,Parameter!$A$35:$C$64,3,0)+0,0)))</f>
        <v>0</v>
      </c>
      <c r="BT122" s="55" t="n">
        <f aca="false">IF(Y122&lt;&gt;"",Y122,X122)</f>
        <v>2</v>
      </c>
      <c r="BU122" s="55" t="str">
        <f aca="false">IF(BT122=1,"L1",IF(OR(BT122=2,BT122=3),"L23",IF(BT122="Aussen","Aussen","-")))</f>
        <v>L23</v>
      </c>
      <c r="BV122" s="66" t="n">
        <f aca="false">IF(N(Z122)&gt;0,Z122,0)</f>
        <v>0</v>
      </c>
      <c r="BW122" s="60" t="n">
        <f aca="false">IF(ISNUMBER(AC122),1,0)</f>
        <v>0</v>
      </c>
      <c r="BX122" s="57" t="n">
        <f aca="false">N(AC122)</f>
        <v>0</v>
      </c>
      <c r="BY122" s="57" t="n">
        <f aca="false">N(L122)+N(M122)</f>
        <v>30</v>
      </c>
      <c r="BZ122" s="57" t="n">
        <f aca="false">ROUNDUP(G122/BQ122,0)</f>
        <v>1</v>
      </c>
      <c r="CA122" s="57" t="n">
        <f aca="false">ROUNDUP(BX122/BQ122,0)</f>
        <v>0</v>
      </c>
      <c r="CB122" s="60" t="n">
        <f aca="false">IF(BR122=1,0,IFERROR(VLOOKUP(BP122,'Gebinde-Kategorie'!$A$5:$M$45,5,0)+0,0))</f>
        <v>40</v>
      </c>
      <c r="CC122" s="60" t="n">
        <f aca="false">IFERROR(IF(OR(BT122=1,BT122=2,BT122=3),N(INDEX(Parameter!$I$5:$I$7,BT122)),0),0)</f>
        <v>0</v>
      </c>
      <c r="CD122" s="59" t="n">
        <f aca="false">IF(AND(Parameter!$B$21="Ja",ISNUMBER(U122),N(V122)&gt;0),IFERROR(N(INDEX(Parameter!$L$5:$L$7,U122))*INDEX(Parameter!$E$5:$E$7,U122)*V122/SUMIFS($V$7:$V$1576,$U$7:$U$1576,U122),0),0)</f>
        <v>0</v>
      </c>
    </row>
    <row r="123" customFormat="false" ht="15" hidden="false" customHeight="false" outlineLevel="0" collapsed="false">
      <c r="A123" s="55" t="s">
        <v>444</v>
      </c>
      <c r="B123" s="55" t="s">
        <v>445</v>
      </c>
      <c r="C123" s="55" t="s">
        <v>446</v>
      </c>
      <c r="D123" s="55" t="s">
        <v>168</v>
      </c>
      <c r="E123" s="55" t="s">
        <v>210</v>
      </c>
      <c r="F123" s="56" t="n">
        <v>606.9</v>
      </c>
      <c r="G123" s="57" t="n">
        <f aca="false">MAX(0,IF(AND(Parameter!$B$21="Ja",ISNUMBER(W123)),W123,IF(Parameter!$B$20="Jahresanfang 2025 + Export",BJ123+BI123,BI123)))</f>
        <v>3</v>
      </c>
      <c r="H123" s="57" t="n">
        <f aca="false">G123*F123</f>
        <v>1820.7</v>
      </c>
      <c r="I123" s="57" t="n">
        <f aca="false">BL123*Parameter!$B$18</f>
        <v>6</v>
      </c>
      <c r="J123" s="58" t="n">
        <v>1.5</v>
      </c>
      <c r="K123" s="59" t="n">
        <v>4</v>
      </c>
      <c r="L123" s="57" t="n">
        <v>0</v>
      </c>
      <c r="M123" s="57" t="n">
        <v>1</v>
      </c>
      <c r="N123" s="60" t="n">
        <v>14</v>
      </c>
      <c r="O123" s="55" t="s">
        <v>163</v>
      </c>
      <c r="P123" s="57"/>
      <c r="Q123" s="60" t="n">
        <f aca="false">IF(BR123=1,0,IFERROR(VLOOKUP(BP123,'Gebinde-Kategorie'!$A$5:$M$45,13,0)+0,0))</f>
        <v>0</v>
      </c>
      <c r="R123" s="61"/>
      <c r="S123" s="62"/>
      <c r="T123" s="62"/>
      <c r="U123" s="55"/>
      <c r="V123" s="57"/>
      <c r="W123" s="57"/>
      <c r="X123" s="55" t="n">
        <f aca="false">IF(A123="","",IF(AND(Parameter!$B$21="Ja",ISNUMBER(U123)),U123,IF(IFERROR(VLOOKUP(D123,Parameter!$A$35:$C$64,2,0),"Nein")="2+3",IF(ISNUMBER(SEARCH("grosser Artikel",BM123)),2,IFERROR(VLOOKUP(BP123,Parameter!$F$35:$G$64,2,0),2)),IF(OR(IFERROR(VLOOKUP(D123,Parameter!$A$35:$C$64,2,0),"Nein")="Nein",IFERROR(VLOOKUP(D123,Parameter!$A$35:$C$64,2,0),"Nein")=""),"-",VLOOKUP(D123,Parameter!$A$35:$C$64,2,0)))))</f>
        <v>2</v>
      </c>
      <c r="Y123" s="62"/>
      <c r="Z123" s="63"/>
      <c r="AA123" s="57" t="n">
        <f aca="false">AP123</f>
        <v>3</v>
      </c>
      <c r="AB123" s="57" t="n">
        <f aca="false">MAX(AP123,G123)</f>
        <v>3</v>
      </c>
      <c r="AC123" s="64"/>
      <c r="AD123" s="57" t="n">
        <f aca="false">IF(LEFT(Cockpit!$C$5,1)="A",G123,IF(BW123=1,BX123,IF(LEFT(Cockpit!$C$5,1)="B",AH123,MAX(AH123,G123))))</f>
        <v>3</v>
      </c>
      <c r="AE123" s="57" t="n">
        <f aca="false">IF(BR123=1,0,ROUNDUP(AD123/BQ123,0))</f>
        <v>0</v>
      </c>
      <c r="AF123" s="59" t="n">
        <f aca="false">IF(CD123&gt;0,CD123*MAX(1,AD123/V123),IF(BR123=1,IF(AD123&lt;=0,0,BS123*MAX(1,IF(G123&gt;0,AD123/G123,1))),IF(Q123&gt;0,AE123/Q123,0))/MAX(0.1,N(Parameter!$M$21)))</f>
        <v>0.15</v>
      </c>
      <c r="AG123" s="57" t="n">
        <f aca="false">AD123*F123</f>
        <v>1820.7</v>
      </c>
      <c r="AH123" s="57" t="n">
        <f aca="false">ROUNDUP(MAX(I123/IF(BV123&gt;0,BV123,MAX(0.1,N(Cockpit!$C$6))),BY123)/BQ123,0)*BQ123</f>
        <v>3</v>
      </c>
      <c r="AI123" s="58" t="n">
        <f aca="false">IF(AF123&gt;0,I123/AF123,-1)</f>
        <v>40</v>
      </c>
      <c r="AJ123" s="58" t="n">
        <f aca="false">IF(AND(OR(BU123="L1",BU123="L23"),AF123&gt;0),SUMIFS($AF$7:$AF$1576,$BU$7:$BU$1576,BU123,$AI$7:$AI$1576,"&gt;"&amp;AI123)+SUMIFS($AF$7:$AF$1576,$BU$7:$BU$1576,BU123,$AI$7:$AI$1576,AI123,$BO$7:$BO$1576,"&lt;="&amp;BO123),"")</f>
        <v>25.8636073105638</v>
      </c>
      <c r="AK123" s="65" t="n">
        <f aca="false">IF(AJ123="",0,MAX(0,MIN(1,(IF(BU123="L1",Parameter!$E$5,Parameter!$E$6+Parameter!$E$7)-(AJ123-AF123))/AF123)))</f>
        <v>1</v>
      </c>
      <c r="AL123" s="57" t="n">
        <f aca="false">IF(LEFT(Cockpit!$I$5,1)="A",G123,IF(BW123=1,BX123,IF(LEFT(Cockpit!$I$5,1)="B",AP123,MAX(AP123,G123))))</f>
        <v>3</v>
      </c>
      <c r="AM123" s="57" t="n">
        <f aca="false">IF(BR123=1,0,ROUNDUP(AL123/BQ123,0))</f>
        <v>0</v>
      </c>
      <c r="AN123" s="59" t="n">
        <f aca="false">IF(CD123&gt;0,CD123*MAX(1,AL123/V123),IF(BR123=1,IF(AL123&lt;=0,0,BS123*MAX(1,IF(G123&gt;0,AL123/G123,1))),IF(Q123&gt;0,AM123/Q123,0))/MAX(0.1,N(Parameter!$M$21)))</f>
        <v>0.15</v>
      </c>
      <c r="AO123" s="57" t="n">
        <f aca="false">AL123*F123</f>
        <v>1820.7</v>
      </c>
      <c r="AP123" s="57" t="n">
        <f aca="false">ROUNDUP(MAX(I123/IF(BV123&gt;0,BV123,MAX(0.1,N(Cockpit!$I$6))),BY123)/BQ123,0)*BQ123</f>
        <v>3</v>
      </c>
      <c r="AQ123" s="58" t="n">
        <f aca="false">IF(AN123&gt;0,I123/AN123,-1)</f>
        <v>40</v>
      </c>
      <c r="AR123" s="58" t="n">
        <f aca="false">IF(AND(OR(BU123="L1",BU123="L23"),AN123&gt;0),SUMIFS($AN$7:$AN$1576,$BU$7:$BU$1576,BU123,$AQ$7:$AQ$1576,"&gt;"&amp;AQ123)+SUMIFS($AN$7:$AN$1576,$BU$7:$BU$1576,BU123,$AQ$7:$AQ$1576,AQ123,$BO$7:$BO$1576,"&lt;="&amp;BO123),"")</f>
        <v>89.8785884348496</v>
      </c>
      <c r="AS123" s="65" t="n">
        <f aca="false">IF(AR123="",0,MAX(0,MIN(1,(IF(BU123="L1",Parameter!$E$5,Parameter!$E$6+Parameter!$E$7)-(AR123-AN123))/AN123)))</f>
        <v>1</v>
      </c>
      <c r="AT123" s="57" t="n">
        <f aca="false">IF(LEFT(Cockpit!$O$5,1)="A",G123,IF(BW123=1,BX123,IF(LEFT(Cockpit!$O$5,1)="B",AX123,MAX(AX123,G123))))</f>
        <v>3</v>
      </c>
      <c r="AU123" s="57" t="n">
        <f aca="false">IF(BR123=1,0,ROUNDUP(AT123/BQ123,0))</f>
        <v>0</v>
      </c>
      <c r="AV123" s="59" t="n">
        <f aca="false">IF(CD123&gt;0,CD123*MAX(1,AT123/V123),IF(BR123=1,IF(AT123&lt;=0,0,BS123*MAX(1,IF(G123&gt;0,AT123/G123,1))),IF(Q123&gt;0,AU123/Q123,0))/MAX(0.1,N(Parameter!$M$21)))</f>
        <v>0.15</v>
      </c>
      <c r="AW123" s="57" t="n">
        <f aca="false">AT123*F123</f>
        <v>1820.7</v>
      </c>
      <c r="AX123" s="57" t="n">
        <f aca="false">ROUNDUP(MAX(I123/IF(BV123&gt;0,BV123,MAX(0.1,N(Cockpit!$O$6))),BY123)/BQ123,0)*BQ123</f>
        <v>2</v>
      </c>
      <c r="AY123" s="58" t="n">
        <f aca="false">IF(AV123&gt;0,I123/AV123,-1)</f>
        <v>40</v>
      </c>
      <c r="AZ123" s="58" t="n">
        <f aca="false">IF(AND(OR(BU123="L1",BU123="L23"),AV123&gt;0),SUMIFS($AV$7:$AV$1576,$BU$7:$BU$1576,BU123,$AY$7:$AY$1576,"&gt;"&amp;AY123)+SUMIFS($AV$7:$AV$1576,$BU$7:$BU$1576,BU123,$AY$7:$AY$1576,AY123,$BO$7:$BO$1576,"&lt;="&amp;BO123),"")</f>
        <v>81.5881388844</v>
      </c>
      <c r="BA123" s="65" t="n">
        <f aca="false">IF(AZ123="",0,MAX(0,MIN(1,(IF(BU123="L1",Parameter!$E$5,Parameter!$E$6+Parameter!$E$7)-(AZ123-AV123))/AV123)))</f>
        <v>1</v>
      </c>
      <c r="BB123" s="55" t="str">
        <f aca="false">IF(AF123&lt;=0,"",IF(BU123="Aussen","Aussenlager",IF(BU123="-","Nicht im Lift",IF(AK123&gt;=1,"Lift",IF(AK123&lt;=0,"Aussenlager","teilweise")))))</f>
        <v>Lift</v>
      </c>
      <c r="BC123" s="55" t="str">
        <f aca="false">IF(AN123&lt;=0,"",IF(BU123="Aussen","Aussenlager",IF(BU123="-","Nicht im Lift",IF(AS123&gt;=1,"Lift",IF(AS123&lt;=0,"Aussenlager","teilweise")))))</f>
        <v>Lift</v>
      </c>
      <c r="BD123" s="55" t="str">
        <f aca="false">IF(AV123&lt;=0,"",IF(BU123="Aussen","Aussenlager",IF(BU123="-","Nicht im Lift",IF(BA123&gt;=1,"Lift",IF(BA123&lt;=0,"Aussenlager","teilweise")))))</f>
        <v>Lift</v>
      </c>
      <c r="BE123" s="55" t="str">
        <f aca="false">IF(A123="","",IF(BN123=1,"Neu; ","")&amp;IF(AND(BN123=0,BI123&lt;0),"negativer Bestand (Export "&amp;BI123&amp;"); ","")&amp;IF(I123&lt;=0,"Kein Verbrauch; ","")&amp;IF(CD123&gt;0,"Lift "&amp;U123&amp;" lt. Liftbericht (Fach "&amp;V123&amp;" Stk); ",IF(BR123=1,"Lose – Fläche geschätzt; ",""))&amp;IF(G123&gt;AP123,"Überbestand "&amp;ROUND(G123-AP123,0)&amp;" Stk / CHF "&amp;ROUND((G123-AP123)*F123,0)&amp;"; ","")&amp;IF(AND(BW123=1,BX123&lt;BY123),"MAX &lt; MB+LG; ","")&amp;IF(AND(CC123&gt;0,CB123*10&gt;CC123),"zu hoch für Tablar; ","")&amp;IF(AND(BN123=0,OR(BW123=1,Y123&lt;&gt;"",S123&lt;&gt;"",T123&lt;&gt;"",Z123&lt;&gt;"")),"manuell übersteuert; ","")&amp;IF(AND(BR123=0,Q123=0),"Gebinde unbekannt / Stellmass fehlt; ","")&amp;IF(AND(BR123=0,N(T123)&lt;=0,N(P123)&lt;=0),"Menge pro Gebinde fehlt (Ist = 1 Gebinde); ","")&amp;BM123)</f>
        <v>Lose – Fläche geschätzt; </v>
      </c>
      <c r="BF123" s="55"/>
      <c r="BG123" s="55"/>
      <c r="BH123" s="62"/>
      <c r="BI123" s="57" t="n">
        <v>3</v>
      </c>
      <c r="BJ123" s="57" t="n">
        <v>0</v>
      </c>
      <c r="BK123" s="56" t="n">
        <v>1820.7</v>
      </c>
      <c r="BL123" s="57" t="n">
        <v>6</v>
      </c>
      <c r="BM123" s="55"/>
      <c r="BN123" s="60" t="n">
        <v>0</v>
      </c>
      <c r="BO123" s="60" t="n">
        <v>123</v>
      </c>
      <c r="BP123" s="55" t="str">
        <f aca="false">IF(S123&lt;&gt;"",UPPER(TRIM(S123)),IF(O123="","LOSE",O123))</f>
        <v>LOSE</v>
      </c>
      <c r="BQ123" s="57" t="n">
        <f aca="false">IF(BP123="LOSE",1,IF(N(T123)&gt;0,T123,IF(N(P123)&gt;0,P123,MAX(1,G123))))</f>
        <v>1</v>
      </c>
      <c r="BR123" s="60" t="n">
        <f aca="false">IF(BP123="LOSE",1,0)</f>
        <v>1</v>
      </c>
      <c r="BS123" s="59" t="n">
        <f aca="false">IF(BR123=0,0,IF(N(R123)&gt;0,R123,IFERROR(VLOOKUP(D123,Parameter!$A$35:$C$64,3,0)+0,0)))</f>
        <v>0.15</v>
      </c>
      <c r="BT123" s="55" t="n">
        <f aca="false">IF(Y123&lt;&gt;"",Y123,X123)</f>
        <v>2</v>
      </c>
      <c r="BU123" s="55" t="str">
        <f aca="false">IF(BT123=1,"L1",IF(OR(BT123=2,BT123=3),"L23",IF(BT123="Aussen","Aussen","-")))</f>
        <v>L23</v>
      </c>
      <c r="BV123" s="66" t="n">
        <f aca="false">IF(N(Z123)&gt;0,Z123,0)</f>
        <v>0</v>
      </c>
      <c r="BW123" s="60" t="n">
        <f aca="false">IF(ISNUMBER(AC123),1,0)</f>
        <v>0</v>
      </c>
      <c r="BX123" s="57" t="n">
        <f aca="false">N(AC123)</f>
        <v>0</v>
      </c>
      <c r="BY123" s="57" t="n">
        <f aca="false">N(L123)+N(M123)</f>
        <v>1</v>
      </c>
      <c r="BZ123" s="57" t="n">
        <f aca="false">ROUNDUP(G123/BQ123,0)</f>
        <v>3</v>
      </c>
      <c r="CA123" s="57" t="n">
        <f aca="false">ROUNDUP(BX123/BQ123,0)</f>
        <v>0</v>
      </c>
      <c r="CB123" s="60" t="n">
        <f aca="false">IF(BR123=1,0,IFERROR(VLOOKUP(BP123,'Gebinde-Kategorie'!$A$5:$M$45,5,0)+0,0))</f>
        <v>0</v>
      </c>
      <c r="CC123" s="60" t="n">
        <f aca="false">IFERROR(IF(OR(BT123=1,BT123=2,BT123=3),N(INDEX(Parameter!$I$5:$I$7,BT123)),0),0)</f>
        <v>0</v>
      </c>
      <c r="CD123" s="59" t="n">
        <f aca="false">IF(AND(Parameter!$B$21="Ja",ISNUMBER(U123),N(V123)&gt;0),IFERROR(N(INDEX(Parameter!$L$5:$L$7,U123))*INDEX(Parameter!$E$5:$E$7,U123)*V123/SUMIFS($V$7:$V$1576,$U$7:$U$1576,U123),0),0)</f>
        <v>0</v>
      </c>
    </row>
    <row r="124" customFormat="false" ht="15" hidden="false" customHeight="false" outlineLevel="0" collapsed="false">
      <c r="A124" s="55" t="s">
        <v>447</v>
      </c>
      <c r="B124" s="55" t="s">
        <v>448</v>
      </c>
      <c r="C124" s="55" t="s">
        <v>160</v>
      </c>
      <c r="D124" s="55" t="s">
        <v>178</v>
      </c>
      <c r="E124" s="55" t="s">
        <v>210</v>
      </c>
      <c r="F124" s="56" t="n">
        <v>44.35</v>
      </c>
      <c r="G124" s="57" t="n">
        <f aca="false">MAX(0,IF(AND(Parameter!$B$21="Ja",ISNUMBER(W124)),W124,IF(Parameter!$B$20="Jahresanfang 2025 + Export",BJ124+BI124,BI124)))</f>
        <v>40</v>
      </c>
      <c r="H124" s="57" t="n">
        <f aca="false">G124*F124</f>
        <v>1774</v>
      </c>
      <c r="I124" s="57" t="n">
        <f aca="false">BL124*Parameter!$B$18</f>
        <v>0</v>
      </c>
      <c r="J124" s="58" t="n">
        <v>10</v>
      </c>
      <c r="K124" s="59" t="n">
        <v>0</v>
      </c>
      <c r="L124" s="57" t="n">
        <v>0</v>
      </c>
      <c r="M124" s="57" t="n">
        <v>1</v>
      </c>
      <c r="N124" s="60" t="n">
        <v>42</v>
      </c>
      <c r="O124" s="55" t="s">
        <v>293</v>
      </c>
      <c r="P124" s="57" t="n">
        <v>50</v>
      </c>
      <c r="Q124" s="60" t="n">
        <f aca="false">IF(BR124=1,0,IFERROR(VLOOKUP(BP124,'Gebinde-Kategorie'!$A$5:$M$45,13,0)+0,0))</f>
        <v>26</v>
      </c>
      <c r="R124" s="61"/>
      <c r="S124" s="62"/>
      <c r="T124" s="62"/>
      <c r="U124" s="55"/>
      <c r="V124" s="57"/>
      <c r="W124" s="57"/>
      <c r="X124" s="55" t="n">
        <f aca="false">IF(A124="","",IF(AND(Parameter!$B$21="Ja",ISNUMBER(U124)),U124,IF(IFERROR(VLOOKUP(D124,Parameter!$A$35:$C$64,2,0),"Nein")="2+3",IF(ISNUMBER(SEARCH("grosser Artikel",BM124)),2,IFERROR(VLOOKUP(BP124,Parameter!$F$35:$G$64,2,0),2)),IF(OR(IFERROR(VLOOKUP(D124,Parameter!$A$35:$C$64,2,0),"Nein")="Nein",IFERROR(VLOOKUP(D124,Parameter!$A$35:$C$64,2,0),"Nein")=""),"-",VLOOKUP(D124,Parameter!$A$35:$C$64,2,0)))))</f>
        <v>3</v>
      </c>
      <c r="Y124" s="62"/>
      <c r="Z124" s="63"/>
      <c r="AA124" s="57" t="n">
        <f aca="false">AP124</f>
        <v>50</v>
      </c>
      <c r="AB124" s="57" t="n">
        <f aca="false">MAX(AP124,G124)</f>
        <v>50</v>
      </c>
      <c r="AC124" s="64"/>
      <c r="AD124" s="57" t="n">
        <f aca="false">IF(LEFT(Cockpit!$C$5,1)="A",G124,IF(BW124=1,BX124,IF(LEFT(Cockpit!$C$5,1)="B",AH124,MAX(AH124,G124))))</f>
        <v>40</v>
      </c>
      <c r="AE124" s="57" t="n">
        <f aca="false">IF(BR124=1,0,ROUNDUP(AD124/BQ124,0))</f>
        <v>1</v>
      </c>
      <c r="AF124" s="59" t="n">
        <f aca="false">IF(CD124&gt;0,CD124*MAX(1,AD124/V124),IF(BR124=1,IF(AD124&lt;=0,0,BS124*MAX(1,IF(G124&gt;0,AD124/G124,1))),IF(Q124&gt;0,AE124/Q124,0))/MAX(0.1,N(Parameter!$M$21)))</f>
        <v>0.0384615384615385</v>
      </c>
      <c r="AG124" s="57" t="n">
        <f aca="false">AD124*F124</f>
        <v>1774</v>
      </c>
      <c r="AH124" s="57" t="n">
        <f aca="false">ROUNDUP(MAX(I124/IF(BV124&gt;0,BV124,MAX(0.1,N(Cockpit!$C$6))),BY124)/BQ124,0)*BQ124</f>
        <v>50</v>
      </c>
      <c r="AI124" s="58" t="n">
        <f aca="false">IF(AF124&gt;0,I124/AF124,-1)</f>
        <v>0</v>
      </c>
      <c r="AJ124" s="58" t="n">
        <f aca="false">IF(AND(OR(BU124="L1",BU124="L23"),AF124&gt;0),SUMIFS($AF$7:$AF$1576,$BU$7:$BU$1576,BU124,$AI$7:$AI$1576,"&gt;"&amp;AI124)+SUMIFS($AF$7:$AF$1576,$BU$7:$BU$1576,BU124,$AI$7:$AI$1576,AI124,$BO$7:$BO$1576,"&lt;="&amp;BO124),"")</f>
        <v>38.1564278233843</v>
      </c>
      <c r="AK124" s="65" t="n">
        <f aca="false">IF(AJ124="",0,MAX(0,MIN(1,(IF(BU124="L1",Parameter!$E$5,Parameter!$E$6+Parameter!$E$7)-(AJ124-AF124))/AF124)))</f>
        <v>1</v>
      </c>
      <c r="AL124" s="57" t="n">
        <f aca="false">IF(LEFT(Cockpit!$I$5,1)="A",G124,IF(BW124=1,BX124,IF(LEFT(Cockpit!$I$5,1)="B",AP124,MAX(AP124,G124))))</f>
        <v>50</v>
      </c>
      <c r="AM124" s="57" t="n">
        <f aca="false">IF(BR124=1,0,ROUNDUP(AL124/BQ124,0))</f>
        <v>1</v>
      </c>
      <c r="AN124" s="59" t="n">
        <f aca="false">IF(CD124&gt;0,CD124*MAX(1,AL124/V124),IF(BR124=1,IF(AL124&lt;=0,0,BS124*MAX(1,IF(G124&gt;0,AL124/G124,1))),IF(Q124&gt;0,AM124/Q124,0))/MAX(0.1,N(Parameter!$M$21)))</f>
        <v>0.0384615384615385</v>
      </c>
      <c r="AO124" s="57" t="n">
        <f aca="false">AL124*F124</f>
        <v>2217.5</v>
      </c>
      <c r="AP124" s="57" t="n">
        <f aca="false">ROUNDUP(MAX(I124/IF(BV124&gt;0,BV124,MAX(0.1,N(Cockpit!$I$6))),BY124)/BQ124,0)*BQ124</f>
        <v>50</v>
      </c>
      <c r="AQ124" s="58" t="n">
        <f aca="false">IF(AN124&gt;0,I124/AN124,-1)</f>
        <v>0</v>
      </c>
      <c r="AR124" s="58" t="n">
        <f aca="false">IF(AND(OR(BU124="L1",BU124="L23"),AN124&gt;0),SUMIFS($AN$7:$AN$1576,$BU$7:$BU$1576,BU124,$AQ$7:$AQ$1576,"&gt;"&amp;AQ124)+SUMIFS($AN$7:$AN$1576,$BU$7:$BU$1576,BU124,$AQ$7:$AQ$1576,AQ124,$BO$7:$BO$1576,"&lt;="&amp;BO124),"")</f>
        <v>121.030633573174</v>
      </c>
      <c r="AS124" s="65" t="n">
        <f aca="false">IF(AR124="",0,MAX(0,MIN(1,(IF(BU124="L1",Parameter!$E$5,Parameter!$E$6+Parameter!$E$7)-(AR124-AN124))/AN124)))</f>
        <v>0</v>
      </c>
      <c r="AT124" s="57" t="n">
        <f aca="false">IF(LEFT(Cockpit!$O$5,1)="A",G124,IF(BW124=1,BX124,IF(LEFT(Cockpit!$O$5,1)="B",AX124,MAX(AX124,G124))))</f>
        <v>50</v>
      </c>
      <c r="AU124" s="57" t="n">
        <f aca="false">IF(BR124=1,0,ROUNDUP(AT124/BQ124,0))</f>
        <v>1</v>
      </c>
      <c r="AV124" s="59" t="n">
        <f aca="false">IF(CD124&gt;0,CD124*MAX(1,AT124/V124),IF(BR124=1,IF(AT124&lt;=0,0,BS124*MAX(1,IF(G124&gt;0,AT124/G124,1))),IF(Q124&gt;0,AU124/Q124,0))/MAX(0.1,N(Parameter!$M$21)))</f>
        <v>0.0384615384615385</v>
      </c>
      <c r="AW124" s="57" t="n">
        <f aca="false">AT124*F124</f>
        <v>2217.5</v>
      </c>
      <c r="AX124" s="57" t="n">
        <f aca="false">ROUNDUP(MAX(I124/IF(BV124&gt;0,BV124,MAX(0.1,N(Cockpit!$O$6))),BY124)/BQ124,0)*BQ124</f>
        <v>50</v>
      </c>
      <c r="AY124" s="58" t="n">
        <f aca="false">IF(AV124&gt;0,I124/AV124,-1)</f>
        <v>0</v>
      </c>
      <c r="AZ124" s="58" t="n">
        <f aca="false">IF(AND(OR(BU124="L1",BU124="L23"),AV124&gt;0),SUMIFS($AV$7:$AV$1576,$BU$7:$BU$1576,BU124,$AY$7:$AY$1576,"&gt;"&amp;AY124)+SUMIFS($AV$7:$AV$1576,$BU$7:$BU$1576,BU124,$AY$7:$AY$1576,AY124,$BO$7:$BO$1576,"&lt;="&amp;BO124),"")</f>
        <v>111.090184022724</v>
      </c>
      <c r="BA124" s="65" t="n">
        <f aca="false">IF(AZ124="",0,MAX(0,MIN(1,(IF(BU124="L1",Parameter!$E$5,Parameter!$E$6+Parameter!$E$7)-(AZ124-AV124))/AV124)))</f>
        <v>0</v>
      </c>
      <c r="BB124" s="55" t="str">
        <f aca="false">IF(AF124&lt;=0,"",IF(BU124="Aussen","Aussenlager",IF(BU124="-","Nicht im Lift",IF(AK124&gt;=1,"Lift",IF(AK124&lt;=0,"Aussenlager","teilweise")))))</f>
        <v>Lift</v>
      </c>
      <c r="BC124" s="55" t="str">
        <f aca="false">IF(AN124&lt;=0,"",IF(BU124="Aussen","Aussenlager",IF(BU124="-","Nicht im Lift",IF(AS124&gt;=1,"Lift",IF(AS124&lt;=0,"Aussenlager","teilweise")))))</f>
        <v>Aussenlager</v>
      </c>
      <c r="BD124" s="55" t="str">
        <f aca="false">IF(AV124&lt;=0,"",IF(BU124="Aussen","Aussenlager",IF(BU124="-","Nicht im Lift",IF(BA124&gt;=1,"Lift",IF(BA124&lt;=0,"Aussenlager","teilweise")))))</f>
        <v>Aussenlager</v>
      </c>
      <c r="BE124" s="55" t="str">
        <f aca="false">IF(A124="","",IF(BN124=1,"Neu; ","")&amp;IF(AND(BN124=0,BI124&lt;0),"negativer Bestand (Export "&amp;BI124&amp;"); ","")&amp;IF(I124&lt;=0,"Kein Verbrauch; ","")&amp;IF(CD124&gt;0,"Lift "&amp;U124&amp;" lt. Liftbericht (Fach "&amp;V124&amp;" Stk); ",IF(BR124=1,"Lose – Fläche geschätzt; ",""))&amp;IF(G124&gt;AP124,"Überbestand "&amp;ROUND(G124-AP124,0)&amp;" Stk / CHF "&amp;ROUND((G124-AP124)*F124,0)&amp;"; ","")&amp;IF(AND(BW124=1,BX124&lt;BY124),"MAX &lt; MB+LG; ","")&amp;IF(AND(CC124&gt;0,CB124*10&gt;CC124),"zu hoch für Tablar; ","")&amp;IF(AND(BN124=0,OR(BW124=1,Y124&lt;&gt;"",S124&lt;&gt;"",T124&lt;&gt;"",Z124&lt;&gt;"")),"manuell übersteuert; ","")&amp;IF(AND(BR124=0,Q124=0),"Gebinde unbekannt / Stellmass fehlt; ","")&amp;IF(AND(BR124=0,N(T124)&lt;=0,N(P124)&lt;=0),"Menge pro Gebinde fehlt (Ist = 1 Gebinde); ","")&amp;BM124)</f>
        <v>Kein Verbrauch; </v>
      </c>
      <c r="BF124" s="55"/>
      <c r="BG124" s="55"/>
      <c r="BH124" s="62"/>
      <c r="BI124" s="57" t="n">
        <v>40</v>
      </c>
      <c r="BJ124" s="57" t="n">
        <v>10</v>
      </c>
      <c r="BK124" s="56" t="n">
        <v>1795</v>
      </c>
      <c r="BL124" s="57" t="n">
        <v>0</v>
      </c>
      <c r="BM124" s="55"/>
      <c r="BN124" s="60" t="n">
        <v>0</v>
      </c>
      <c r="BO124" s="60" t="n">
        <v>124</v>
      </c>
      <c r="BP124" s="55" t="str">
        <f aca="false">IF(S124&lt;&gt;"",UPPER(TRIM(S124)),IF(O124="","LOSE",O124))</f>
        <v>S51</v>
      </c>
      <c r="BQ124" s="57" t="n">
        <f aca="false">IF(BP124="LOSE",1,IF(N(T124)&gt;0,T124,IF(N(P124)&gt;0,P124,MAX(1,G124))))</f>
        <v>50</v>
      </c>
      <c r="BR124" s="60" t="n">
        <f aca="false">IF(BP124="LOSE",1,0)</f>
        <v>0</v>
      </c>
      <c r="BS124" s="59" t="n">
        <f aca="false">IF(BR124=0,0,IF(N(R124)&gt;0,R124,IFERROR(VLOOKUP(D124,Parameter!$A$35:$C$64,3,0)+0,0)))</f>
        <v>0</v>
      </c>
      <c r="BT124" s="55" t="n">
        <f aca="false">IF(Y124&lt;&gt;"",Y124,X124)</f>
        <v>3</v>
      </c>
      <c r="BU124" s="55" t="str">
        <f aca="false">IF(BT124=1,"L1",IF(OR(BT124=2,BT124=3),"L23",IF(BT124="Aussen","Aussen","-")))</f>
        <v>L23</v>
      </c>
      <c r="BV124" s="66" t="n">
        <f aca="false">IF(N(Z124)&gt;0,Z124,0)</f>
        <v>0</v>
      </c>
      <c r="BW124" s="60" t="n">
        <f aca="false">IF(ISNUMBER(AC124),1,0)</f>
        <v>0</v>
      </c>
      <c r="BX124" s="57" t="n">
        <f aca="false">N(AC124)</f>
        <v>0</v>
      </c>
      <c r="BY124" s="57" t="n">
        <f aca="false">N(L124)+N(M124)</f>
        <v>1</v>
      </c>
      <c r="BZ124" s="57" t="n">
        <f aca="false">ROUNDUP(G124/BQ124,0)</f>
        <v>1</v>
      </c>
      <c r="CA124" s="57" t="n">
        <f aca="false">ROUNDUP(BX124/BQ124,0)</f>
        <v>0</v>
      </c>
      <c r="CB124" s="60" t="n">
        <f aca="false">IF(BR124=1,0,IFERROR(VLOOKUP(BP124,'Gebinde-Kategorie'!$A$5:$M$45,5,0)+0,0))</f>
        <v>11</v>
      </c>
      <c r="CC124" s="60" t="n">
        <f aca="false">IFERROR(IF(OR(BT124=1,BT124=2,BT124=3),N(INDEX(Parameter!$I$5:$I$7,BT124)),0),0)</f>
        <v>0</v>
      </c>
      <c r="CD124" s="59" t="n">
        <f aca="false">IF(AND(Parameter!$B$21="Ja",ISNUMBER(U124),N(V124)&gt;0),IFERROR(N(INDEX(Parameter!$L$5:$L$7,U124))*INDEX(Parameter!$E$5:$E$7,U124)*V124/SUMIFS($V$7:$V$1576,$U$7:$U$1576,U124),0),0)</f>
        <v>0</v>
      </c>
    </row>
    <row r="125" customFormat="false" ht="15" hidden="false" customHeight="false" outlineLevel="0" collapsed="false">
      <c r="A125" s="55" t="s">
        <v>449</v>
      </c>
      <c r="B125" s="55" t="s">
        <v>450</v>
      </c>
      <c r="C125" s="55" t="s">
        <v>160</v>
      </c>
      <c r="D125" s="55" t="s">
        <v>168</v>
      </c>
      <c r="E125" s="55" t="s">
        <v>210</v>
      </c>
      <c r="F125" s="56" t="n">
        <v>583</v>
      </c>
      <c r="G125" s="57" t="n">
        <f aca="false">MAX(0,IF(AND(Parameter!$B$21="Ja",ISNUMBER(W125)),W125,IF(Parameter!$B$20="Jahresanfang 2025 + Export",BJ125+BI125,BI125)))</f>
        <v>3</v>
      </c>
      <c r="H125" s="57" t="n">
        <f aca="false">G125*F125</f>
        <v>1749</v>
      </c>
      <c r="I125" s="57" t="n">
        <f aca="false">BL125*Parameter!$B$18</f>
        <v>2</v>
      </c>
      <c r="J125" s="58" t="n">
        <v>1.5</v>
      </c>
      <c r="K125" s="59" t="n">
        <v>1.33333333333333</v>
      </c>
      <c r="L125" s="57" t="n">
        <v>0</v>
      </c>
      <c r="M125" s="57" t="n">
        <v>1</v>
      </c>
      <c r="N125" s="60" t="n">
        <v>35</v>
      </c>
      <c r="O125" s="55" t="s">
        <v>179</v>
      </c>
      <c r="P125" s="57" t="n">
        <v>7</v>
      </c>
      <c r="Q125" s="60" t="n">
        <f aca="false">IF(BR125=1,0,IFERROR(VLOOKUP(BP125,'Gebinde-Kategorie'!$A$5:$M$45,13,0)+0,0))</f>
        <v>12</v>
      </c>
      <c r="R125" s="61"/>
      <c r="S125" s="62"/>
      <c r="T125" s="62"/>
      <c r="U125" s="55"/>
      <c r="V125" s="57"/>
      <c r="W125" s="57"/>
      <c r="X125" s="55" t="n">
        <f aca="false">IF(A125="","",IF(AND(Parameter!$B$21="Ja",ISNUMBER(U125)),U125,IF(IFERROR(VLOOKUP(D125,Parameter!$A$35:$C$64,2,0),"Nein")="2+3",IF(ISNUMBER(SEARCH("grosser Artikel",BM125)),2,IFERROR(VLOOKUP(BP125,Parameter!$F$35:$G$64,2,0),2)),IF(OR(IFERROR(VLOOKUP(D125,Parameter!$A$35:$C$64,2,0),"Nein")="Nein",IFERROR(VLOOKUP(D125,Parameter!$A$35:$C$64,2,0),"Nein")=""),"-",VLOOKUP(D125,Parameter!$A$35:$C$64,2,0)))))</f>
        <v>2</v>
      </c>
      <c r="Y125" s="62"/>
      <c r="Z125" s="63"/>
      <c r="AA125" s="57" t="n">
        <f aca="false">AP125</f>
        <v>7</v>
      </c>
      <c r="AB125" s="57" t="n">
        <f aca="false">MAX(AP125,G125)</f>
        <v>7</v>
      </c>
      <c r="AC125" s="64"/>
      <c r="AD125" s="57" t="n">
        <f aca="false">IF(LEFT(Cockpit!$C$5,1)="A",G125,IF(BW125=1,BX125,IF(LEFT(Cockpit!$C$5,1)="B",AH125,MAX(AH125,G125))))</f>
        <v>3</v>
      </c>
      <c r="AE125" s="57" t="n">
        <f aca="false">IF(BR125=1,0,ROUNDUP(AD125/BQ125,0))</f>
        <v>1</v>
      </c>
      <c r="AF125" s="59" t="n">
        <f aca="false">IF(CD125&gt;0,CD125*MAX(1,AD125/V125),IF(BR125=1,IF(AD125&lt;=0,0,BS125*MAX(1,IF(G125&gt;0,AD125/G125,1))),IF(Q125&gt;0,AE125/Q125,0))/MAX(0.1,N(Parameter!$M$21)))</f>
        <v>0.0833333333333333</v>
      </c>
      <c r="AG125" s="57" t="n">
        <f aca="false">AD125*F125</f>
        <v>1749</v>
      </c>
      <c r="AH125" s="57" t="n">
        <f aca="false">ROUNDUP(MAX(I125/IF(BV125&gt;0,BV125,MAX(0.1,N(Cockpit!$C$6))),BY125)/BQ125,0)*BQ125</f>
        <v>7</v>
      </c>
      <c r="AI125" s="58" t="n">
        <f aca="false">IF(AF125&gt;0,I125/AF125,-1)</f>
        <v>24</v>
      </c>
      <c r="AJ125" s="58" t="n">
        <f aca="false">IF(AND(OR(BU125="L1",BU125="L23"),AF125&gt;0),SUMIFS($AF$7:$AF$1576,$BU$7:$BU$1576,BU125,$AI$7:$AI$1576,"&gt;"&amp;AI125)+SUMIFS($AF$7:$AF$1576,$BU$7:$BU$1576,BU125,$AI$7:$AI$1576,AI125,$BO$7:$BO$1576,"&lt;="&amp;BO125),"")</f>
        <v>28.4992483362049</v>
      </c>
      <c r="AK125" s="65" t="n">
        <f aca="false">IF(AJ125="",0,MAX(0,MIN(1,(IF(BU125="L1",Parameter!$E$5,Parameter!$E$6+Parameter!$E$7)-(AJ125-AF125))/AF125)))</f>
        <v>1</v>
      </c>
      <c r="AL125" s="57" t="n">
        <f aca="false">IF(LEFT(Cockpit!$I$5,1)="A",G125,IF(BW125=1,BX125,IF(LEFT(Cockpit!$I$5,1)="B",AP125,MAX(AP125,G125))))</f>
        <v>7</v>
      </c>
      <c r="AM125" s="57" t="n">
        <f aca="false">IF(BR125=1,0,ROUNDUP(AL125/BQ125,0))</f>
        <v>1</v>
      </c>
      <c r="AN125" s="59" t="n">
        <f aca="false">IF(CD125&gt;0,CD125*MAX(1,AL125/V125),IF(BR125=1,IF(AL125&lt;=0,0,BS125*MAX(1,IF(G125&gt;0,AL125/G125,1))),IF(Q125&gt;0,AM125/Q125,0))/MAX(0.1,N(Parameter!$M$21)))</f>
        <v>0.0833333333333333</v>
      </c>
      <c r="AO125" s="57" t="n">
        <f aca="false">AL125*F125</f>
        <v>4081</v>
      </c>
      <c r="AP125" s="57" t="n">
        <f aca="false">ROUNDUP(MAX(I125/IF(BV125&gt;0,BV125,MAX(0.1,N(Cockpit!$I$6))),BY125)/BQ125,0)*BQ125</f>
        <v>7</v>
      </c>
      <c r="AQ125" s="58" t="n">
        <f aca="false">IF(AN125&gt;0,I125/AN125,-1)</f>
        <v>24</v>
      </c>
      <c r="AR125" s="58" t="n">
        <f aca="false">IF(AND(OR(BU125="L1",BU125="L23"),AN125&gt;0),SUMIFS($AN$7:$AN$1576,$BU$7:$BU$1576,BU125,$AQ$7:$AQ$1576,"&gt;"&amp;AQ125)+SUMIFS($AN$7:$AN$1576,$BU$7:$BU$1576,BU125,$AQ$7:$AQ$1576,AQ125,$BO$7:$BO$1576,"&lt;="&amp;BO125),"")</f>
        <v>97.6296140758752</v>
      </c>
      <c r="AS125" s="65" t="n">
        <f aca="false">IF(AR125="",0,MAX(0,MIN(1,(IF(BU125="L1",Parameter!$E$5,Parameter!$E$6+Parameter!$E$7)-(AR125-AN125))/AN125)))</f>
        <v>1</v>
      </c>
      <c r="AT125" s="57" t="n">
        <f aca="false">IF(LEFT(Cockpit!$O$5,1)="A",G125,IF(BW125=1,BX125,IF(LEFT(Cockpit!$O$5,1)="B",AX125,MAX(AX125,G125))))</f>
        <v>7</v>
      </c>
      <c r="AU125" s="57" t="n">
        <f aca="false">IF(BR125=1,0,ROUNDUP(AT125/BQ125,0))</f>
        <v>1</v>
      </c>
      <c r="AV125" s="59" t="n">
        <f aca="false">IF(CD125&gt;0,CD125*MAX(1,AT125/V125),IF(BR125=1,IF(AT125&lt;=0,0,BS125*MAX(1,IF(G125&gt;0,AT125/G125,1))),IF(Q125&gt;0,AU125/Q125,0))/MAX(0.1,N(Parameter!$M$21)))</f>
        <v>0.0833333333333333</v>
      </c>
      <c r="AW125" s="57" t="n">
        <f aca="false">AT125*F125</f>
        <v>4081</v>
      </c>
      <c r="AX125" s="57" t="n">
        <f aca="false">ROUNDUP(MAX(I125/IF(BV125&gt;0,BV125,MAX(0.1,N(Cockpit!$O$6))),BY125)/BQ125,0)*BQ125</f>
        <v>7</v>
      </c>
      <c r="AY125" s="58" t="n">
        <f aca="false">IF(AV125&gt;0,I125/AV125,-1)</f>
        <v>24</v>
      </c>
      <c r="AZ125" s="58" t="n">
        <f aca="false">IF(AND(OR(BU125="L1",BU125="L23"),AV125&gt;0),SUMIFS($AV$7:$AV$1576,$BU$7:$BU$1576,BU125,$AY$7:$AY$1576,"&gt;"&amp;AY125)+SUMIFS($AV$7:$AV$1576,$BU$7:$BU$1576,BU125,$AY$7:$AY$1576,AY125,$BO$7:$BO$1576,"&lt;="&amp;BO125),"")</f>
        <v>88.4391645254257</v>
      </c>
      <c r="BA125" s="65" t="n">
        <f aca="false">IF(AZ125="",0,MAX(0,MIN(1,(IF(BU125="L1",Parameter!$E$5,Parameter!$E$6+Parameter!$E$7)-(AZ125-AV125))/AV125)))</f>
        <v>1</v>
      </c>
      <c r="BB125" s="55" t="str">
        <f aca="false">IF(AF125&lt;=0,"",IF(BU125="Aussen","Aussenlager",IF(BU125="-","Nicht im Lift",IF(AK125&gt;=1,"Lift",IF(AK125&lt;=0,"Aussenlager","teilweise")))))</f>
        <v>Lift</v>
      </c>
      <c r="BC125" s="55" t="str">
        <f aca="false">IF(AN125&lt;=0,"",IF(BU125="Aussen","Aussenlager",IF(BU125="-","Nicht im Lift",IF(AS125&gt;=1,"Lift",IF(AS125&lt;=0,"Aussenlager","teilweise")))))</f>
        <v>Lift</v>
      </c>
      <c r="BD125" s="55" t="str">
        <f aca="false">IF(AV125&lt;=0,"",IF(BU125="Aussen","Aussenlager",IF(BU125="-","Nicht im Lift",IF(BA125&gt;=1,"Lift",IF(BA125&lt;=0,"Aussenlager","teilweise")))))</f>
        <v>Lift</v>
      </c>
      <c r="BE125" s="55" t="str">
        <f aca="false">IF(A125="","",IF(BN125=1,"Neu; ","")&amp;IF(AND(BN125=0,BI125&lt;0),"negativer Bestand (Export "&amp;BI125&amp;"); ","")&amp;IF(I125&lt;=0,"Kein Verbrauch; ","")&amp;IF(CD125&gt;0,"Lift "&amp;U125&amp;" lt. Liftbericht (Fach "&amp;V125&amp;" Stk); ",IF(BR125=1,"Lose – Fläche geschätzt; ",""))&amp;IF(G125&gt;AP125,"Überbestand "&amp;ROUND(G125-AP125,0)&amp;" Stk / CHF "&amp;ROUND((G125-AP125)*F125,0)&amp;"; ","")&amp;IF(AND(BW125=1,BX125&lt;BY125),"MAX &lt; MB+LG; ","")&amp;IF(AND(CC125&gt;0,CB125*10&gt;CC125),"zu hoch für Tablar; ","")&amp;IF(AND(BN125=0,OR(BW125=1,Y125&lt;&gt;"",S125&lt;&gt;"",T125&lt;&gt;"",Z125&lt;&gt;"")),"manuell übersteuert; ","")&amp;IF(AND(BR125=0,Q125=0),"Gebinde unbekannt / Stellmass fehlt; ","")&amp;IF(AND(BR125=0,N(T125)&lt;=0,N(P125)&lt;=0),"Menge pro Gebinde fehlt (Ist = 1 Gebinde); ","")&amp;BM125)</f>
        <v/>
      </c>
      <c r="BF125" s="55"/>
      <c r="BG125" s="55"/>
      <c r="BH125" s="62"/>
      <c r="BI125" s="57" t="n">
        <v>3</v>
      </c>
      <c r="BJ125" s="57" t="n">
        <v>2</v>
      </c>
      <c r="BK125" s="56" t="n">
        <v>1783</v>
      </c>
      <c r="BL125" s="57" t="n">
        <v>2</v>
      </c>
      <c r="BM125" s="55"/>
      <c r="BN125" s="60" t="n">
        <v>0</v>
      </c>
      <c r="BO125" s="60" t="n">
        <v>125</v>
      </c>
      <c r="BP125" s="55" t="str">
        <f aca="false">IF(S125&lt;&gt;"",UPPER(TRIM(S125)),IF(O125="","LOSE",O125))</f>
        <v>S61</v>
      </c>
      <c r="BQ125" s="57" t="n">
        <f aca="false">IF(BP125="LOSE",1,IF(N(T125)&gt;0,T125,IF(N(P125)&gt;0,P125,MAX(1,G125))))</f>
        <v>7</v>
      </c>
      <c r="BR125" s="60" t="n">
        <f aca="false">IF(BP125="LOSE",1,0)</f>
        <v>0</v>
      </c>
      <c r="BS125" s="59" t="n">
        <f aca="false">IF(BR125=0,0,IF(N(R125)&gt;0,R125,IFERROR(VLOOKUP(D125,Parameter!$A$35:$C$64,3,0)+0,0)))</f>
        <v>0</v>
      </c>
      <c r="BT125" s="55" t="n">
        <f aca="false">IF(Y125&lt;&gt;"",Y125,X125)</f>
        <v>2</v>
      </c>
      <c r="BU125" s="55" t="str">
        <f aca="false">IF(BT125=1,"L1",IF(OR(BT125=2,BT125=3),"L23",IF(BT125="Aussen","Aussen","-")))</f>
        <v>L23</v>
      </c>
      <c r="BV125" s="66" t="n">
        <f aca="false">IF(N(Z125)&gt;0,Z125,0)</f>
        <v>0</v>
      </c>
      <c r="BW125" s="60" t="n">
        <f aca="false">IF(ISNUMBER(AC125),1,0)</f>
        <v>0</v>
      </c>
      <c r="BX125" s="57" t="n">
        <f aca="false">N(AC125)</f>
        <v>0</v>
      </c>
      <c r="BY125" s="57" t="n">
        <f aca="false">N(L125)+N(M125)</f>
        <v>1</v>
      </c>
      <c r="BZ125" s="57" t="n">
        <f aca="false">ROUNDUP(G125/BQ125,0)</f>
        <v>1</v>
      </c>
      <c r="CA125" s="57" t="n">
        <f aca="false">ROUNDUP(BX125/BQ125,0)</f>
        <v>0</v>
      </c>
      <c r="CB125" s="60" t="n">
        <f aca="false">IF(BR125=1,0,IFERROR(VLOOKUP(BP125,'Gebinde-Kategorie'!$A$5:$M$45,5,0)+0,0))</f>
        <v>11</v>
      </c>
      <c r="CC125" s="60" t="n">
        <f aca="false">IFERROR(IF(OR(BT125=1,BT125=2,BT125=3),N(INDEX(Parameter!$I$5:$I$7,BT125)),0),0)</f>
        <v>0</v>
      </c>
      <c r="CD125" s="59" t="n">
        <f aca="false">IF(AND(Parameter!$B$21="Ja",ISNUMBER(U125),N(V125)&gt;0),IFERROR(N(INDEX(Parameter!$L$5:$L$7,U125))*INDEX(Parameter!$E$5:$E$7,U125)*V125/SUMIFS($V$7:$V$1576,$U$7:$U$1576,U125),0),0)</f>
        <v>0</v>
      </c>
    </row>
    <row r="126" customFormat="false" ht="15" hidden="false" customHeight="false" outlineLevel="0" collapsed="false">
      <c r="A126" s="55" t="s">
        <v>451</v>
      </c>
      <c r="B126" s="55" t="s">
        <v>452</v>
      </c>
      <c r="C126" s="55" t="s">
        <v>160</v>
      </c>
      <c r="D126" s="55" t="s">
        <v>161</v>
      </c>
      <c r="E126" s="55" t="s">
        <v>210</v>
      </c>
      <c r="F126" s="56" t="n">
        <v>222.71</v>
      </c>
      <c r="G126" s="57" t="n">
        <f aca="false">MAX(0,IF(AND(Parameter!$B$21="Ja",ISNUMBER(W126)),W126,IF(Parameter!$B$20="Jahresanfang 2025 + Export",BJ126+BI126,BI126)))</f>
        <v>8</v>
      </c>
      <c r="H126" s="57" t="n">
        <f aca="false">G126*F126</f>
        <v>1781.68</v>
      </c>
      <c r="I126" s="57" t="n">
        <f aca="false">BL126*Parameter!$B$18</f>
        <v>0</v>
      </c>
      <c r="J126" s="58" t="n">
        <v>4</v>
      </c>
      <c r="K126" s="59" t="n">
        <v>0</v>
      </c>
      <c r="L126" s="57" t="n">
        <v>0</v>
      </c>
      <c r="M126" s="57" t="n">
        <v>1</v>
      </c>
      <c r="N126" s="60" t="n">
        <v>42</v>
      </c>
      <c r="O126" s="55" t="s">
        <v>163</v>
      </c>
      <c r="P126" s="57"/>
      <c r="Q126" s="60" t="n">
        <f aca="false">IF(BR126=1,0,IFERROR(VLOOKUP(BP126,'Gebinde-Kategorie'!$A$5:$M$45,13,0)+0,0))</f>
        <v>0</v>
      </c>
      <c r="R126" s="61"/>
      <c r="S126" s="62"/>
      <c r="T126" s="62"/>
      <c r="U126" s="55" t="n">
        <v>1</v>
      </c>
      <c r="V126" s="57" t="n">
        <v>8</v>
      </c>
      <c r="W126" s="57" t="n">
        <v>8</v>
      </c>
      <c r="X126" s="55" t="n">
        <f aca="false">IF(A126="","",IF(AND(Parameter!$B$21="Ja",ISNUMBER(U126)),U126,IF(IFERROR(VLOOKUP(D126,Parameter!$A$35:$C$64,2,0),"Nein")="2+3",IF(ISNUMBER(SEARCH("grosser Artikel",BM126)),2,IFERROR(VLOOKUP(BP126,Parameter!$F$35:$G$64,2,0),2)),IF(OR(IFERROR(VLOOKUP(D126,Parameter!$A$35:$C$64,2,0),"Nein")="Nein",IFERROR(VLOOKUP(D126,Parameter!$A$35:$C$64,2,0),"Nein")=""),"-",VLOOKUP(D126,Parameter!$A$35:$C$64,2,0)))))</f>
        <v>1</v>
      </c>
      <c r="Y126" s="62"/>
      <c r="Z126" s="63"/>
      <c r="AA126" s="57" t="n">
        <f aca="false">AP126</f>
        <v>1</v>
      </c>
      <c r="AB126" s="57" t="n">
        <f aca="false">MAX(AP126,G126)</f>
        <v>8</v>
      </c>
      <c r="AC126" s="64"/>
      <c r="AD126" s="57" t="n">
        <f aca="false">IF(LEFT(Cockpit!$C$5,1)="A",G126,IF(BW126=1,BX126,IF(LEFT(Cockpit!$C$5,1)="B",AH126,MAX(AH126,G126))))</f>
        <v>8</v>
      </c>
      <c r="AE126" s="57" t="n">
        <f aca="false">IF(BR126=1,0,ROUNDUP(AD126/BQ126,0))</f>
        <v>0</v>
      </c>
      <c r="AF126" s="59" t="n">
        <f aca="false">IF(CD126&gt;0,CD126*MAX(1,AD126/V126),IF(BR126=1,IF(AD126&lt;=0,0,BS126*MAX(1,IF(G126&gt;0,AD126/G126,1))),IF(Q126&gt;0,AE126/Q126,0))/MAX(0.1,N(Parameter!$M$21)))</f>
        <v>0.64030131826742</v>
      </c>
      <c r="AG126" s="57" t="n">
        <f aca="false">AD126*F126</f>
        <v>1781.68</v>
      </c>
      <c r="AH126" s="57" t="n">
        <f aca="false">ROUNDUP(MAX(I126/IF(BV126&gt;0,BV126,MAX(0.1,N(Cockpit!$C$6))),BY126)/BQ126,0)*BQ126</f>
        <v>1</v>
      </c>
      <c r="AI126" s="58" t="n">
        <f aca="false">IF(AF126&gt;0,I126/AF126,-1)</f>
        <v>0</v>
      </c>
      <c r="AJ126" s="58" t="n">
        <f aca="false">IF(AND(OR(BU126="L1",BU126="L23"),AF126&gt;0),SUMIFS($AF$7:$AF$1576,$BU$7:$BU$1576,BU126,$AI$7:$AI$1576,"&gt;"&amp;AI126)+SUMIFS($AF$7:$AF$1576,$BU$7:$BU$1576,BU126,$AI$7:$AI$1576,AI126,$BO$7:$BO$1576,"&lt;="&amp;BO126),"")</f>
        <v>41.4058380414313</v>
      </c>
      <c r="AK126" s="65" t="n">
        <f aca="false">IF(AJ126="",0,MAX(0,MIN(1,(IF(BU126="L1",Parameter!$E$5,Parameter!$E$6+Parameter!$E$7)-(AJ126-AF126))/AF126)))</f>
        <v>1</v>
      </c>
      <c r="AL126" s="57" t="n">
        <f aca="false">IF(LEFT(Cockpit!$I$5,1)="A",G126,IF(BW126=1,BX126,IF(LEFT(Cockpit!$I$5,1)="B",AP126,MAX(AP126,G126))))</f>
        <v>8</v>
      </c>
      <c r="AM126" s="57" t="n">
        <f aca="false">IF(BR126=1,0,ROUNDUP(AL126/BQ126,0))</f>
        <v>0</v>
      </c>
      <c r="AN126" s="59" t="n">
        <f aca="false">IF(CD126&gt;0,CD126*MAX(1,AL126/V126),IF(BR126=1,IF(AL126&lt;=0,0,BS126*MAX(1,IF(G126&gt;0,AL126/G126,1))),IF(Q126&gt;0,AM126/Q126,0))/MAX(0.1,N(Parameter!$M$21)))</f>
        <v>0.64030131826742</v>
      </c>
      <c r="AO126" s="57" t="n">
        <f aca="false">AL126*F126</f>
        <v>1781.68</v>
      </c>
      <c r="AP126" s="57" t="n">
        <f aca="false">ROUNDUP(MAX(I126/IF(BV126&gt;0,BV126,MAX(0.1,N(Cockpit!$I$6))),BY126)/BQ126,0)*BQ126</f>
        <v>1</v>
      </c>
      <c r="AQ126" s="58" t="n">
        <f aca="false">IF(AN126&gt;0,I126/AN126,-1)</f>
        <v>0</v>
      </c>
      <c r="AR126" s="58" t="n">
        <f aca="false">IF(AND(OR(BU126="L1",BU126="L23"),AN126&gt;0),SUMIFS($AN$7:$AN$1576,$BU$7:$BU$1576,BU126,$AQ$7:$AQ$1576,"&gt;"&amp;AQ126)+SUMIFS($AN$7:$AN$1576,$BU$7:$BU$1576,BU126,$AQ$7:$AQ$1576,AQ126,$BO$7:$BO$1576,"&lt;="&amp;BO126),"")</f>
        <v>47.0084745762712</v>
      </c>
      <c r="AS126" s="65" t="n">
        <f aca="false">IF(AR126="",0,MAX(0,MIN(1,(IF(BU126="L1",Parameter!$E$5,Parameter!$E$6+Parameter!$E$7)-(AR126-AN126))/AN126)))</f>
        <v>1</v>
      </c>
      <c r="AT126" s="57" t="n">
        <f aca="false">IF(LEFT(Cockpit!$O$5,1)="A",G126,IF(BW126=1,BX126,IF(LEFT(Cockpit!$O$5,1)="B",AX126,MAX(AX126,G126))))</f>
        <v>8</v>
      </c>
      <c r="AU126" s="57" t="n">
        <f aca="false">IF(BR126=1,0,ROUNDUP(AT126/BQ126,0))</f>
        <v>0</v>
      </c>
      <c r="AV126" s="59" t="n">
        <f aca="false">IF(CD126&gt;0,CD126*MAX(1,AT126/V126),IF(BR126=1,IF(AT126&lt;=0,0,BS126*MAX(1,IF(G126&gt;0,AT126/G126,1))),IF(Q126&gt;0,AU126/Q126,0))/MAX(0.1,N(Parameter!$M$21)))</f>
        <v>0.64030131826742</v>
      </c>
      <c r="AW126" s="57" t="n">
        <f aca="false">AT126*F126</f>
        <v>1781.68</v>
      </c>
      <c r="AX126" s="57" t="n">
        <f aca="false">ROUNDUP(MAX(I126/IF(BV126&gt;0,BV126,MAX(0.1,N(Cockpit!$O$6))),BY126)/BQ126,0)*BQ126</f>
        <v>1</v>
      </c>
      <c r="AY126" s="58" t="n">
        <f aca="false">IF(AV126&gt;0,I126/AV126,-1)</f>
        <v>0</v>
      </c>
      <c r="AZ126" s="58" t="n">
        <f aca="false">IF(AND(OR(BU126="L1",BU126="L23"),AV126&gt;0),SUMIFS($AV$7:$AV$1576,$BU$7:$BU$1576,BU126,$AY$7:$AY$1576,"&gt;"&amp;AY126)+SUMIFS($AV$7:$AV$1576,$BU$7:$BU$1576,BU126,$AY$7:$AY$1576,AY126,$BO$7:$BO$1576,"&lt;="&amp;BO126),"")</f>
        <v>44.0470809792844</v>
      </c>
      <c r="BA126" s="65" t="n">
        <f aca="false">IF(AZ126="",0,MAX(0,MIN(1,(IF(BU126="L1",Parameter!$E$5,Parameter!$E$6+Parameter!$E$7)-(AZ126-AV126))/AV126)))</f>
        <v>1</v>
      </c>
      <c r="BB126" s="55" t="str">
        <f aca="false">IF(AF126&lt;=0,"",IF(BU126="Aussen","Aussenlager",IF(BU126="-","Nicht im Lift",IF(AK126&gt;=1,"Lift",IF(AK126&lt;=0,"Aussenlager","teilweise")))))</f>
        <v>Lift</v>
      </c>
      <c r="BC126" s="55" t="str">
        <f aca="false">IF(AN126&lt;=0,"",IF(BU126="Aussen","Aussenlager",IF(BU126="-","Nicht im Lift",IF(AS126&gt;=1,"Lift",IF(AS126&lt;=0,"Aussenlager","teilweise")))))</f>
        <v>Lift</v>
      </c>
      <c r="BD126" s="55" t="str">
        <f aca="false">IF(AV126&lt;=0,"",IF(BU126="Aussen","Aussenlager",IF(BU126="-","Nicht im Lift",IF(BA126&gt;=1,"Lift",IF(BA126&lt;=0,"Aussenlager","teilweise")))))</f>
        <v>Lift</v>
      </c>
      <c r="BE126" s="55" t="str">
        <f aca="false">IF(A126="","",IF(BN126=1,"Neu; ","")&amp;IF(AND(BN126=0,BI126&lt;0),"negativer Bestand (Export "&amp;BI126&amp;"); ","")&amp;IF(I126&lt;=0,"Kein Verbrauch; ","")&amp;IF(CD126&gt;0,"Lift "&amp;U126&amp;" lt. Liftbericht (Fach "&amp;V126&amp;" Stk); ",IF(BR126=1,"Lose – Fläche geschätzt; ",""))&amp;IF(G126&gt;AP126,"Überbestand "&amp;ROUND(G126-AP126,0)&amp;" Stk / CHF "&amp;ROUND((G126-AP126)*F126,0)&amp;"; ","")&amp;IF(AND(BW126=1,BX126&lt;BY126),"MAX &lt; MB+LG; ","")&amp;IF(AND(CC126&gt;0,CB126*10&gt;CC126),"zu hoch für Tablar; ","")&amp;IF(AND(BN126=0,OR(BW126=1,Y126&lt;&gt;"",S126&lt;&gt;"",T126&lt;&gt;"",Z126&lt;&gt;"")),"manuell übersteuert; ","")&amp;IF(AND(BR126=0,Q126=0),"Gebinde unbekannt / Stellmass fehlt; ","")&amp;IF(AND(BR126=0,N(T126)&lt;=0,N(P126)&lt;=0),"Menge pro Gebinde fehlt (Ist = 1 Gebinde); ","")&amp;BM126)</f>
        <v>Kein Verbrauch; Lift 1 lt. Liftbericht (Fach 8 Stk); Überbestand 7 Stk / CHF 1559; </v>
      </c>
      <c r="BF126" s="55"/>
      <c r="BG126" s="55"/>
      <c r="BH126" s="62"/>
      <c r="BI126" s="57" t="n">
        <v>8</v>
      </c>
      <c r="BJ126" s="57" t="n">
        <v>0</v>
      </c>
      <c r="BK126" s="56" t="n">
        <v>1781.68</v>
      </c>
      <c r="BL126" s="57" t="n">
        <v>0</v>
      </c>
      <c r="BM126" s="55"/>
      <c r="BN126" s="60" t="n">
        <v>0</v>
      </c>
      <c r="BO126" s="60" t="n">
        <v>126</v>
      </c>
      <c r="BP126" s="55" t="str">
        <f aca="false">IF(S126&lt;&gt;"",UPPER(TRIM(S126)),IF(O126="","LOSE",O126))</f>
        <v>LOSE</v>
      </c>
      <c r="BQ126" s="57" t="n">
        <f aca="false">IF(BP126="LOSE",1,IF(N(T126)&gt;0,T126,IF(N(P126)&gt;0,P126,MAX(1,G126))))</f>
        <v>1</v>
      </c>
      <c r="BR126" s="60" t="n">
        <f aca="false">IF(BP126="LOSE",1,0)</f>
        <v>1</v>
      </c>
      <c r="BS126" s="59" t="n">
        <f aca="false">IF(BR126=0,0,IF(N(R126)&gt;0,R126,IFERROR(VLOOKUP(D126,Parameter!$A$35:$C$64,3,0)+0,0)))</f>
        <v>1</v>
      </c>
      <c r="BT126" s="55" t="n">
        <f aca="false">IF(Y126&lt;&gt;"",Y126,X126)</f>
        <v>1</v>
      </c>
      <c r="BU126" s="55" t="str">
        <f aca="false">IF(BT126=1,"L1",IF(OR(BT126=2,BT126=3),"L23",IF(BT126="Aussen","Aussen","-")))</f>
        <v>L1</v>
      </c>
      <c r="BV126" s="66" t="n">
        <f aca="false">IF(N(Z126)&gt;0,Z126,0)</f>
        <v>0</v>
      </c>
      <c r="BW126" s="60" t="n">
        <f aca="false">IF(ISNUMBER(AC126),1,0)</f>
        <v>0</v>
      </c>
      <c r="BX126" s="57" t="n">
        <f aca="false">N(AC126)</f>
        <v>0</v>
      </c>
      <c r="BY126" s="57" t="n">
        <f aca="false">N(L126)+N(M126)</f>
        <v>1</v>
      </c>
      <c r="BZ126" s="57" t="n">
        <f aca="false">ROUNDUP(G126/BQ126,0)</f>
        <v>8</v>
      </c>
      <c r="CA126" s="57" t="n">
        <f aca="false">ROUNDUP(BX126/BQ126,0)</f>
        <v>0</v>
      </c>
      <c r="CB126" s="60" t="n">
        <f aca="false">IF(BR126=1,0,IFERROR(VLOOKUP(BP126,'Gebinde-Kategorie'!$A$5:$M$45,5,0)+0,0))</f>
        <v>0</v>
      </c>
      <c r="CC126" s="60" t="n">
        <f aca="false">IFERROR(IF(OR(BT126=1,BT126=2,BT126=3),N(INDEX(Parameter!$I$5:$I$7,BT126)),0),0)</f>
        <v>0</v>
      </c>
      <c r="CD126" s="59" t="n">
        <f aca="false">IF(AND(Parameter!$B$21="Ja",ISNUMBER(U126),N(V126)&gt;0),IFERROR(N(INDEX(Parameter!$L$5:$L$7,U126))*INDEX(Parameter!$E$5:$E$7,U126)*V126/SUMIFS($V$7:$V$1576,$U$7:$U$1576,U126),0),0)</f>
        <v>0.64030131826742</v>
      </c>
    </row>
    <row r="127" customFormat="false" ht="15" hidden="false" customHeight="false" outlineLevel="0" collapsed="false">
      <c r="A127" s="55" t="s">
        <v>453</v>
      </c>
      <c r="B127" s="55" t="s">
        <v>454</v>
      </c>
      <c r="C127" s="55" t="s">
        <v>160</v>
      </c>
      <c r="D127" s="55" t="s">
        <v>168</v>
      </c>
      <c r="E127" s="55" t="s">
        <v>210</v>
      </c>
      <c r="F127" s="56" t="n">
        <v>19.53</v>
      </c>
      <c r="G127" s="57" t="n">
        <f aca="false">MAX(0,IF(AND(Parameter!$B$21="Ja",ISNUMBER(W127)),W127,IF(Parameter!$B$20="Jahresanfang 2025 + Export",BJ127+BI127,BI127)))</f>
        <v>91</v>
      </c>
      <c r="H127" s="57" t="n">
        <f aca="false">G127*F127</f>
        <v>1777.23</v>
      </c>
      <c r="I127" s="57" t="n">
        <f aca="false">BL127*Parameter!$B$18</f>
        <v>25</v>
      </c>
      <c r="J127" s="58" t="n">
        <v>89</v>
      </c>
      <c r="K127" s="59" t="n">
        <v>0.280898876404494</v>
      </c>
      <c r="L127" s="57" t="n">
        <v>1</v>
      </c>
      <c r="M127" s="57" t="n">
        <v>25</v>
      </c>
      <c r="N127" s="60" t="n">
        <v>21</v>
      </c>
      <c r="O127" s="55" t="s">
        <v>163</v>
      </c>
      <c r="P127" s="57"/>
      <c r="Q127" s="60" t="n">
        <f aca="false">IF(BR127=1,0,IFERROR(VLOOKUP(BP127,'Gebinde-Kategorie'!$A$5:$M$45,13,0)+0,0))</f>
        <v>0</v>
      </c>
      <c r="R127" s="61"/>
      <c r="S127" s="62"/>
      <c r="T127" s="62"/>
      <c r="U127" s="55"/>
      <c r="V127" s="57"/>
      <c r="W127" s="57"/>
      <c r="X127" s="55" t="n">
        <f aca="false">IF(A127="","",IF(AND(Parameter!$B$21="Ja",ISNUMBER(U127)),U127,IF(IFERROR(VLOOKUP(D127,Parameter!$A$35:$C$64,2,0),"Nein")="2+3",IF(ISNUMBER(SEARCH("grosser Artikel",BM127)),2,IFERROR(VLOOKUP(BP127,Parameter!$F$35:$G$64,2,0),2)),IF(OR(IFERROR(VLOOKUP(D127,Parameter!$A$35:$C$64,2,0),"Nein")="Nein",IFERROR(VLOOKUP(D127,Parameter!$A$35:$C$64,2,0),"Nein")=""),"-",VLOOKUP(D127,Parameter!$A$35:$C$64,2,0)))))</f>
        <v>2</v>
      </c>
      <c r="Y127" s="62"/>
      <c r="Z127" s="63"/>
      <c r="AA127" s="57" t="n">
        <f aca="false">AP127</f>
        <v>26</v>
      </c>
      <c r="AB127" s="57" t="n">
        <f aca="false">MAX(AP127,G127)</f>
        <v>91</v>
      </c>
      <c r="AC127" s="64"/>
      <c r="AD127" s="57" t="n">
        <f aca="false">IF(LEFT(Cockpit!$C$5,1)="A",G127,IF(BW127=1,BX127,IF(LEFT(Cockpit!$C$5,1)="B",AH127,MAX(AH127,G127))))</f>
        <v>91</v>
      </c>
      <c r="AE127" s="57" t="n">
        <f aca="false">IF(BR127=1,0,ROUNDUP(AD127/BQ127,0))</f>
        <v>0</v>
      </c>
      <c r="AF127" s="59" t="n">
        <f aca="false">IF(CD127&gt;0,CD127*MAX(1,AD127/V127),IF(BR127=1,IF(AD127&lt;=0,0,BS127*MAX(1,IF(G127&gt;0,AD127/G127,1))),IF(Q127&gt;0,AE127/Q127,0))/MAX(0.1,N(Parameter!$M$21)))</f>
        <v>0.15</v>
      </c>
      <c r="AG127" s="57" t="n">
        <f aca="false">AD127*F127</f>
        <v>1777.23</v>
      </c>
      <c r="AH127" s="57" t="n">
        <f aca="false">ROUNDUP(MAX(I127/IF(BV127&gt;0,BV127,MAX(0.1,N(Cockpit!$C$6))),BY127)/BQ127,0)*BQ127</f>
        <v>26</v>
      </c>
      <c r="AI127" s="58" t="n">
        <f aca="false">IF(AF127&gt;0,I127/AF127,-1)</f>
        <v>166.666666666667</v>
      </c>
      <c r="AJ127" s="58" t="n">
        <f aca="false">IF(AND(OR(BU127="L1",BU127="L23"),AF127&gt;0),SUMIFS($AF$7:$AF$1576,$BU$7:$BU$1576,BU127,$AI$7:$AI$1576,"&gt;"&amp;AI127)+SUMIFS($AF$7:$AF$1576,$BU$7:$BU$1576,BU127,$AI$7:$AI$1576,AI127,$BO$7:$BO$1576,"&lt;="&amp;BO127),"")</f>
        <v>18.5160160129725</v>
      </c>
      <c r="AK127" s="65" t="n">
        <f aca="false">IF(AJ127="",0,MAX(0,MIN(1,(IF(BU127="L1",Parameter!$E$5,Parameter!$E$6+Parameter!$E$7)-(AJ127-AF127))/AF127)))</f>
        <v>1</v>
      </c>
      <c r="AL127" s="57" t="n">
        <f aca="false">IF(LEFT(Cockpit!$I$5,1)="A",G127,IF(BW127=1,BX127,IF(LEFT(Cockpit!$I$5,1)="B",AP127,MAX(AP127,G127))))</f>
        <v>91</v>
      </c>
      <c r="AM127" s="57" t="n">
        <f aca="false">IF(BR127=1,0,ROUNDUP(AL127/BQ127,0))</f>
        <v>0</v>
      </c>
      <c r="AN127" s="59" t="n">
        <f aca="false">IF(CD127&gt;0,CD127*MAX(1,AL127/V127),IF(BR127=1,IF(AL127&lt;=0,0,BS127*MAX(1,IF(G127&gt;0,AL127/G127,1))),IF(Q127&gt;0,AM127/Q127,0))/MAX(0.1,N(Parameter!$M$21)))</f>
        <v>0.15</v>
      </c>
      <c r="AO127" s="57" t="n">
        <f aca="false">AL127*F127</f>
        <v>1777.23</v>
      </c>
      <c r="AP127" s="57" t="n">
        <f aca="false">ROUNDUP(MAX(I127/IF(BV127&gt;0,BV127,MAX(0.1,N(Cockpit!$I$6))),BY127)/BQ127,0)*BQ127</f>
        <v>26</v>
      </c>
      <c r="AQ127" s="58" t="n">
        <f aca="false">IF(AN127&gt;0,I127/AN127,-1)</f>
        <v>166.666666666667</v>
      </c>
      <c r="AR127" s="58" t="n">
        <f aca="false">IF(AND(OR(BU127="L1",BU127="L23"),AN127&gt;0),SUMIFS($AN$7:$AN$1576,$BU$7:$BU$1576,BU127,$AQ$7:$AQ$1576,"&gt;"&amp;AQ127)+SUMIFS($AN$7:$AN$1576,$BU$7:$BU$1576,BU127,$AQ$7:$AQ$1576,AQ127,$BO$7:$BO$1576,"&lt;="&amp;BO127),"")</f>
        <v>53.3533893284005</v>
      </c>
      <c r="AS127" s="65" t="n">
        <f aca="false">IF(AR127="",0,MAX(0,MIN(1,(IF(BU127="L1",Parameter!$E$5,Parameter!$E$6+Parameter!$E$7)-(AR127-AN127))/AN127)))</f>
        <v>1</v>
      </c>
      <c r="AT127" s="57" t="n">
        <f aca="false">IF(LEFT(Cockpit!$O$5,1)="A",G127,IF(BW127=1,BX127,IF(LEFT(Cockpit!$O$5,1)="B",AX127,MAX(AX127,G127))))</f>
        <v>91</v>
      </c>
      <c r="AU127" s="57" t="n">
        <f aca="false">IF(BR127=1,0,ROUNDUP(AT127/BQ127,0))</f>
        <v>0</v>
      </c>
      <c r="AV127" s="59" t="n">
        <f aca="false">IF(CD127&gt;0,CD127*MAX(1,AT127/V127),IF(BR127=1,IF(AT127&lt;=0,0,BS127*MAX(1,IF(G127&gt;0,AT127/G127,1))),IF(Q127&gt;0,AU127/Q127,0))/MAX(0.1,N(Parameter!$M$21)))</f>
        <v>0.15</v>
      </c>
      <c r="AW127" s="57" t="n">
        <f aca="false">AT127*F127</f>
        <v>1777.23</v>
      </c>
      <c r="AX127" s="57" t="n">
        <f aca="false">ROUNDUP(MAX(I127/IF(BV127&gt;0,BV127,MAX(0.1,N(Cockpit!$O$6))),BY127)/BQ127,0)*BQ127</f>
        <v>26</v>
      </c>
      <c r="AY127" s="58" t="n">
        <f aca="false">IF(AV127&gt;0,I127/AV127,-1)</f>
        <v>166.666666666667</v>
      </c>
      <c r="AZ127" s="58" t="n">
        <f aca="false">IF(AND(OR(BU127="L1",BU127="L23"),AV127&gt;0),SUMIFS($AV$7:$AV$1576,$BU$7:$BU$1576,BU127,$AY$7:$AY$1576,"&gt;"&amp;AY127)+SUMIFS($AV$7:$AV$1576,$BU$7:$BU$1576,BU127,$AY$7:$AY$1576,AY127,$BO$7:$BO$1576,"&lt;="&amp;BO127),"")</f>
        <v>49.1853640203752</v>
      </c>
      <c r="BA127" s="65" t="n">
        <f aca="false">IF(AZ127="",0,MAX(0,MIN(1,(IF(BU127="L1",Parameter!$E$5,Parameter!$E$6+Parameter!$E$7)-(AZ127-AV127))/AV127)))</f>
        <v>1</v>
      </c>
      <c r="BB127" s="55" t="str">
        <f aca="false">IF(AF127&lt;=0,"",IF(BU127="Aussen","Aussenlager",IF(BU127="-","Nicht im Lift",IF(AK127&gt;=1,"Lift",IF(AK127&lt;=0,"Aussenlager","teilweise")))))</f>
        <v>Lift</v>
      </c>
      <c r="BC127" s="55" t="str">
        <f aca="false">IF(AN127&lt;=0,"",IF(BU127="Aussen","Aussenlager",IF(BU127="-","Nicht im Lift",IF(AS127&gt;=1,"Lift",IF(AS127&lt;=0,"Aussenlager","teilweise")))))</f>
        <v>Lift</v>
      </c>
      <c r="BD127" s="55" t="str">
        <f aca="false">IF(AV127&lt;=0,"",IF(BU127="Aussen","Aussenlager",IF(BU127="-","Nicht im Lift",IF(BA127&gt;=1,"Lift",IF(BA127&lt;=0,"Aussenlager","teilweise")))))</f>
        <v>Lift</v>
      </c>
      <c r="BE127" s="55" t="str">
        <f aca="false">IF(A127="","",IF(BN127=1,"Neu; ","")&amp;IF(AND(BN127=0,BI127&lt;0),"negativer Bestand (Export "&amp;BI127&amp;"); ","")&amp;IF(I127&lt;=0,"Kein Verbrauch; ","")&amp;IF(CD127&gt;0,"Lift "&amp;U127&amp;" lt. Liftbericht (Fach "&amp;V127&amp;" Stk); ",IF(BR127=1,"Lose – Fläche geschätzt; ",""))&amp;IF(G127&gt;AP127,"Überbestand "&amp;ROUND(G127-AP127,0)&amp;" Stk / CHF "&amp;ROUND((G127-AP127)*F127,0)&amp;"; ","")&amp;IF(AND(BW127=1,BX127&lt;BY127),"MAX &lt; MB+LG; ","")&amp;IF(AND(CC127&gt;0,CB127*10&gt;CC127),"zu hoch für Tablar; ","")&amp;IF(AND(BN127=0,OR(BW127=1,Y127&lt;&gt;"",S127&lt;&gt;"",T127&lt;&gt;"",Z127&lt;&gt;"")),"manuell übersteuert; ","")&amp;IF(AND(BR127=0,Q127=0),"Gebinde unbekannt / Stellmass fehlt; ","")&amp;IF(AND(BR127=0,N(T127)&lt;=0,N(P127)&lt;=0),"Menge pro Gebinde fehlt (Ist = 1 Gebinde); ","")&amp;BM127)</f>
        <v>Lose – Fläche geschätzt; Überbestand 65 Stk / CHF 1269; </v>
      </c>
      <c r="BF127" s="55"/>
      <c r="BG127" s="55"/>
      <c r="BH127" s="62"/>
      <c r="BI127" s="57" t="n">
        <v>91</v>
      </c>
      <c r="BJ127" s="57" t="n">
        <v>22</v>
      </c>
      <c r="BK127" s="56" t="n">
        <v>1776.13</v>
      </c>
      <c r="BL127" s="57" t="n">
        <v>25</v>
      </c>
      <c r="BM127" s="55"/>
      <c r="BN127" s="60" t="n">
        <v>0</v>
      </c>
      <c r="BO127" s="60" t="n">
        <v>127</v>
      </c>
      <c r="BP127" s="55" t="str">
        <f aca="false">IF(S127&lt;&gt;"",UPPER(TRIM(S127)),IF(O127="","LOSE",O127))</f>
        <v>LOSE</v>
      </c>
      <c r="BQ127" s="57" t="n">
        <f aca="false">IF(BP127="LOSE",1,IF(N(T127)&gt;0,T127,IF(N(P127)&gt;0,P127,MAX(1,G127))))</f>
        <v>1</v>
      </c>
      <c r="BR127" s="60" t="n">
        <f aca="false">IF(BP127="LOSE",1,0)</f>
        <v>1</v>
      </c>
      <c r="BS127" s="59" t="n">
        <f aca="false">IF(BR127=0,0,IF(N(R127)&gt;0,R127,IFERROR(VLOOKUP(D127,Parameter!$A$35:$C$64,3,0)+0,0)))</f>
        <v>0.15</v>
      </c>
      <c r="BT127" s="55" t="n">
        <f aca="false">IF(Y127&lt;&gt;"",Y127,X127)</f>
        <v>2</v>
      </c>
      <c r="BU127" s="55" t="str">
        <f aca="false">IF(BT127=1,"L1",IF(OR(BT127=2,BT127=3),"L23",IF(BT127="Aussen","Aussen","-")))</f>
        <v>L23</v>
      </c>
      <c r="BV127" s="66" t="n">
        <f aca="false">IF(N(Z127)&gt;0,Z127,0)</f>
        <v>0</v>
      </c>
      <c r="BW127" s="60" t="n">
        <f aca="false">IF(ISNUMBER(AC127),1,0)</f>
        <v>0</v>
      </c>
      <c r="BX127" s="57" t="n">
        <f aca="false">N(AC127)</f>
        <v>0</v>
      </c>
      <c r="BY127" s="57" t="n">
        <f aca="false">N(L127)+N(M127)</f>
        <v>26</v>
      </c>
      <c r="BZ127" s="57" t="n">
        <f aca="false">ROUNDUP(G127/BQ127,0)</f>
        <v>91</v>
      </c>
      <c r="CA127" s="57" t="n">
        <f aca="false">ROUNDUP(BX127/BQ127,0)</f>
        <v>0</v>
      </c>
      <c r="CB127" s="60" t="n">
        <f aca="false">IF(BR127=1,0,IFERROR(VLOOKUP(BP127,'Gebinde-Kategorie'!$A$5:$M$45,5,0)+0,0))</f>
        <v>0</v>
      </c>
      <c r="CC127" s="60" t="n">
        <f aca="false">IFERROR(IF(OR(BT127=1,BT127=2,BT127=3),N(INDEX(Parameter!$I$5:$I$7,BT127)),0),0)</f>
        <v>0</v>
      </c>
      <c r="CD127" s="59" t="n">
        <f aca="false">IF(AND(Parameter!$B$21="Ja",ISNUMBER(U127),N(V127)&gt;0),IFERROR(N(INDEX(Parameter!$L$5:$L$7,U127))*INDEX(Parameter!$E$5:$E$7,U127)*V127/SUMIFS($V$7:$V$1576,$U$7:$U$1576,U127),0),0)</f>
        <v>0</v>
      </c>
    </row>
    <row r="128" customFormat="false" ht="15" hidden="false" customHeight="false" outlineLevel="0" collapsed="false">
      <c r="A128" s="55" t="s">
        <v>455</v>
      </c>
      <c r="B128" s="55" t="s">
        <v>421</v>
      </c>
      <c r="C128" s="55" t="s">
        <v>160</v>
      </c>
      <c r="D128" s="55" t="s">
        <v>178</v>
      </c>
      <c r="E128" s="55" t="s">
        <v>210</v>
      </c>
      <c r="F128" s="56" t="n">
        <v>110.3</v>
      </c>
      <c r="G128" s="57" t="n">
        <f aca="false">MAX(0,IF(AND(Parameter!$B$21="Ja",ISNUMBER(W128)),W128,IF(Parameter!$B$20="Jahresanfang 2025 + Export",BJ128+BI128,BI128)))</f>
        <v>11</v>
      </c>
      <c r="H128" s="57" t="n">
        <f aca="false">G128*F128</f>
        <v>1213.3</v>
      </c>
      <c r="I128" s="57" t="n">
        <f aca="false">BL128*Parameter!$B$18</f>
        <v>73</v>
      </c>
      <c r="J128" s="58" t="n">
        <v>26.5</v>
      </c>
      <c r="K128" s="59" t="n">
        <v>2.75471698113208</v>
      </c>
      <c r="L128" s="57" t="n">
        <v>10</v>
      </c>
      <c r="M128" s="57" t="n">
        <v>40</v>
      </c>
      <c r="N128" s="60" t="n">
        <v>35</v>
      </c>
      <c r="O128" s="55" t="s">
        <v>284</v>
      </c>
      <c r="P128" s="57" t="n">
        <v>75</v>
      </c>
      <c r="Q128" s="60" t="n">
        <f aca="false">IF(BR128=1,0,IFERROR(VLOOKUP(BP128,'Gebinde-Kategorie'!$A$5:$M$45,13,0)+0,0))</f>
        <v>12</v>
      </c>
      <c r="R128" s="61"/>
      <c r="S128" s="62"/>
      <c r="T128" s="62"/>
      <c r="U128" s="55"/>
      <c r="V128" s="57"/>
      <c r="W128" s="57"/>
      <c r="X128" s="55" t="n">
        <f aca="false">IF(A128="","",IF(AND(Parameter!$B$21="Ja",ISNUMBER(U128)),U128,IF(IFERROR(VLOOKUP(D128,Parameter!$A$35:$C$64,2,0),"Nein")="2+3",IF(ISNUMBER(SEARCH("grosser Artikel",BM128)),2,IFERROR(VLOOKUP(BP128,Parameter!$F$35:$G$64,2,0),2)),IF(OR(IFERROR(VLOOKUP(D128,Parameter!$A$35:$C$64,2,0),"Nein")="Nein",IFERROR(VLOOKUP(D128,Parameter!$A$35:$C$64,2,0),"Nein")=""),"-",VLOOKUP(D128,Parameter!$A$35:$C$64,2,0)))))</f>
        <v>2</v>
      </c>
      <c r="Y128" s="62"/>
      <c r="Z128" s="63"/>
      <c r="AA128" s="57" t="n">
        <f aca="false">AP128</f>
        <v>75</v>
      </c>
      <c r="AB128" s="57" t="n">
        <f aca="false">MAX(AP128,G128)</f>
        <v>75</v>
      </c>
      <c r="AC128" s="64"/>
      <c r="AD128" s="57" t="n">
        <f aca="false">IF(LEFT(Cockpit!$C$5,1)="A",G128,IF(BW128=1,BX128,IF(LEFT(Cockpit!$C$5,1)="B",AH128,MAX(AH128,G128))))</f>
        <v>11</v>
      </c>
      <c r="AE128" s="57" t="n">
        <f aca="false">IF(BR128=1,0,ROUNDUP(AD128/BQ128,0))</f>
        <v>1</v>
      </c>
      <c r="AF128" s="59" t="n">
        <f aca="false">IF(CD128&gt;0,CD128*MAX(1,AD128/V128),IF(BR128=1,IF(AD128&lt;=0,0,BS128*MAX(1,IF(G128&gt;0,AD128/G128,1))),IF(Q128&gt;0,AE128/Q128,0))/MAX(0.1,N(Parameter!$M$21)))</f>
        <v>0.0833333333333333</v>
      </c>
      <c r="AG128" s="57" t="n">
        <f aca="false">AD128*F128</f>
        <v>1213.3</v>
      </c>
      <c r="AH128" s="57" t="n">
        <f aca="false">ROUNDUP(MAX(I128/IF(BV128&gt;0,BV128,MAX(0.1,N(Cockpit!$C$6))),BY128)/BQ128,0)*BQ128</f>
        <v>75</v>
      </c>
      <c r="AI128" s="58" t="n">
        <f aca="false">IF(AF128&gt;0,I128/AF128,-1)</f>
        <v>876</v>
      </c>
      <c r="AJ128" s="58" t="n">
        <f aca="false">IF(AND(OR(BU128="L1",BU128="L23"),AF128&gt;0),SUMIFS($AF$7:$AF$1576,$BU$7:$BU$1576,BU128,$AI$7:$AI$1576,"&gt;"&amp;AI128)+SUMIFS($AF$7:$AF$1576,$BU$7:$BU$1576,BU128,$AI$7:$AI$1576,AI128,$BO$7:$BO$1576,"&lt;="&amp;BO128),"")</f>
        <v>10.1277250768555</v>
      </c>
      <c r="AK128" s="65" t="n">
        <f aca="false">IF(AJ128="",0,MAX(0,MIN(1,(IF(BU128="L1",Parameter!$E$5,Parameter!$E$6+Parameter!$E$7)-(AJ128-AF128))/AF128)))</f>
        <v>1</v>
      </c>
      <c r="AL128" s="57" t="n">
        <f aca="false">IF(LEFT(Cockpit!$I$5,1)="A",G128,IF(BW128=1,BX128,IF(LEFT(Cockpit!$I$5,1)="B",AP128,MAX(AP128,G128))))</f>
        <v>75</v>
      </c>
      <c r="AM128" s="57" t="n">
        <f aca="false">IF(BR128=1,0,ROUNDUP(AL128/BQ128,0))</f>
        <v>1</v>
      </c>
      <c r="AN128" s="59" t="n">
        <f aca="false">IF(CD128&gt;0,CD128*MAX(1,AL128/V128),IF(BR128=1,IF(AL128&lt;=0,0,BS128*MAX(1,IF(G128&gt;0,AL128/G128,1))),IF(Q128&gt;0,AM128/Q128,0))/MAX(0.1,N(Parameter!$M$21)))</f>
        <v>0.0833333333333333</v>
      </c>
      <c r="AO128" s="57" t="n">
        <f aca="false">AL128*F128</f>
        <v>8272.5</v>
      </c>
      <c r="AP128" s="57" t="n">
        <f aca="false">ROUNDUP(MAX(I128/IF(BV128&gt;0,BV128,MAX(0.1,N(Cockpit!$I$6))),BY128)/BQ128,0)*BQ128</f>
        <v>75</v>
      </c>
      <c r="AQ128" s="58" t="n">
        <f aca="false">IF(AN128&gt;0,I128/AN128,-1)</f>
        <v>876</v>
      </c>
      <c r="AR128" s="58" t="n">
        <f aca="false">IF(AND(OR(BU128="L1",BU128="L23"),AN128&gt;0),SUMIFS($AN$7:$AN$1576,$BU$7:$BU$1576,BU128,$AQ$7:$AQ$1576,"&gt;"&amp;AQ128)+SUMIFS($AN$7:$AN$1576,$BU$7:$BU$1576,BU128,$AQ$7:$AQ$1576,AQ128,$BO$7:$BO$1576,"&lt;="&amp;BO128),"")</f>
        <v>24.7021120549493</v>
      </c>
      <c r="AS128" s="65" t="n">
        <f aca="false">IF(AR128="",0,MAX(0,MIN(1,(IF(BU128="L1",Parameter!$E$5,Parameter!$E$6+Parameter!$E$7)-(AR128-AN128))/AN128)))</f>
        <v>1</v>
      </c>
      <c r="AT128" s="57" t="n">
        <f aca="false">IF(LEFT(Cockpit!$O$5,1)="A",G128,IF(BW128=1,BX128,IF(LEFT(Cockpit!$O$5,1)="B",AX128,MAX(AX128,G128))))</f>
        <v>75</v>
      </c>
      <c r="AU128" s="57" t="n">
        <f aca="false">IF(BR128=1,0,ROUNDUP(AT128/BQ128,0))</f>
        <v>1</v>
      </c>
      <c r="AV128" s="59" t="n">
        <f aca="false">IF(CD128&gt;0,CD128*MAX(1,AT128/V128),IF(BR128=1,IF(AT128&lt;=0,0,BS128*MAX(1,IF(G128&gt;0,AT128/G128,1))),IF(Q128&gt;0,AU128/Q128,0))/MAX(0.1,N(Parameter!$M$21)))</f>
        <v>0.0833333333333333</v>
      </c>
      <c r="AW128" s="57" t="n">
        <f aca="false">AT128*F128</f>
        <v>8272.5</v>
      </c>
      <c r="AX128" s="57" t="n">
        <f aca="false">ROUNDUP(MAX(I128/IF(BV128&gt;0,BV128,MAX(0.1,N(Cockpit!$O$6))),BY128)/BQ128,0)*BQ128</f>
        <v>75</v>
      </c>
      <c r="AY128" s="58" t="n">
        <f aca="false">IF(AV128&gt;0,I128/AV128,-1)</f>
        <v>876</v>
      </c>
      <c r="AZ128" s="58" t="n">
        <f aca="false">IF(AND(OR(BU128="L1",BU128="L23"),AV128&gt;0),SUMIFS($AV$7:$AV$1576,$BU$7:$BU$1576,BU128,$AY$7:$AY$1576,"&gt;"&amp;AY128)+SUMIFS($AV$7:$AV$1576,$BU$7:$BU$1576,BU128,$AY$7:$AY$1576,AY128,$BO$7:$BO$1576,"&lt;="&amp;BO128),"")</f>
        <v>24.9357950386323</v>
      </c>
      <c r="BA128" s="65" t="n">
        <f aca="false">IF(AZ128="",0,MAX(0,MIN(1,(IF(BU128="L1",Parameter!$E$5,Parameter!$E$6+Parameter!$E$7)-(AZ128-AV128))/AV128)))</f>
        <v>1</v>
      </c>
      <c r="BB128" s="55" t="str">
        <f aca="false">IF(AF128&lt;=0,"",IF(BU128="Aussen","Aussenlager",IF(BU128="-","Nicht im Lift",IF(AK128&gt;=1,"Lift",IF(AK128&lt;=0,"Aussenlager","teilweise")))))</f>
        <v>Lift</v>
      </c>
      <c r="BC128" s="55" t="str">
        <f aca="false">IF(AN128&lt;=0,"",IF(BU128="Aussen","Aussenlager",IF(BU128="-","Nicht im Lift",IF(AS128&gt;=1,"Lift",IF(AS128&lt;=0,"Aussenlager","teilweise")))))</f>
        <v>Lift</v>
      </c>
      <c r="BD128" s="55" t="str">
        <f aca="false">IF(AV128&lt;=0,"",IF(BU128="Aussen","Aussenlager",IF(BU128="-","Nicht im Lift",IF(BA128&gt;=1,"Lift",IF(BA128&lt;=0,"Aussenlager","teilweise")))))</f>
        <v>Lift</v>
      </c>
      <c r="BE128" s="55" t="str">
        <f aca="false">IF(A128="","",IF(BN128=1,"Neu; ","")&amp;IF(AND(BN128=0,BI128&lt;0),"negativer Bestand (Export "&amp;BI128&amp;"); ","")&amp;IF(I128&lt;=0,"Kein Verbrauch; ","")&amp;IF(CD128&gt;0,"Lift "&amp;U128&amp;" lt. Liftbericht (Fach "&amp;V128&amp;" Stk); ",IF(BR128=1,"Lose – Fläche geschätzt; ",""))&amp;IF(G128&gt;AP128,"Überbestand "&amp;ROUND(G128-AP128,0)&amp;" Stk / CHF "&amp;ROUND((G128-AP128)*F128,0)&amp;"; ","")&amp;IF(AND(BW128=1,BX128&lt;BY128),"MAX &lt; MB+LG; ","")&amp;IF(AND(CC128&gt;0,CB128*10&gt;CC128),"zu hoch für Tablar; ","")&amp;IF(AND(BN128=0,OR(BW128=1,Y128&lt;&gt;"",S128&lt;&gt;"",T128&lt;&gt;"",Z128&lt;&gt;"")),"manuell übersteuert; ","")&amp;IF(AND(BR128=0,Q128=0),"Gebinde unbekannt / Stellmass fehlt; ","")&amp;IF(AND(BR128=0,N(T128)&lt;=0,N(P128)&lt;=0),"Menge pro Gebinde fehlt (Ist = 1 Gebinde); ","")&amp;BM128)</f>
        <v/>
      </c>
      <c r="BF128" s="55"/>
      <c r="BG128" s="55"/>
      <c r="BH128" s="62"/>
      <c r="BI128" s="57" t="n">
        <v>11</v>
      </c>
      <c r="BJ128" s="57" t="n">
        <v>33</v>
      </c>
      <c r="BK128" s="56" t="n">
        <v>1770.01</v>
      </c>
      <c r="BL128" s="57" t="n">
        <v>73</v>
      </c>
      <c r="BM128" s="55"/>
      <c r="BN128" s="60" t="n">
        <v>0</v>
      </c>
      <c r="BO128" s="60" t="n">
        <v>128</v>
      </c>
      <c r="BP128" s="55" t="str">
        <f aca="false">IF(S128&lt;&gt;"",UPPER(TRIM(S128)),IF(O128="","LOSE",O128))</f>
        <v>S62</v>
      </c>
      <c r="BQ128" s="57" t="n">
        <f aca="false">IF(BP128="LOSE",1,IF(N(T128)&gt;0,T128,IF(N(P128)&gt;0,P128,MAX(1,G128))))</f>
        <v>75</v>
      </c>
      <c r="BR128" s="60" t="n">
        <f aca="false">IF(BP128="LOSE",1,0)</f>
        <v>0</v>
      </c>
      <c r="BS128" s="59" t="n">
        <f aca="false">IF(BR128=0,0,IF(N(R128)&gt;0,R128,IFERROR(VLOOKUP(D128,Parameter!$A$35:$C$64,3,0)+0,0)))</f>
        <v>0</v>
      </c>
      <c r="BT128" s="55" t="n">
        <f aca="false">IF(Y128&lt;&gt;"",Y128,X128)</f>
        <v>2</v>
      </c>
      <c r="BU128" s="55" t="str">
        <f aca="false">IF(BT128=1,"L1",IF(OR(BT128=2,BT128=3),"L23",IF(BT128="Aussen","Aussen","-")))</f>
        <v>L23</v>
      </c>
      <c r="BV128" s="66" t="n">
        <f aca="false">IF(N(Z128)&gt;0,Z128,0)</f>
        <v>0</v>
      </c>
      <c r="BW128" s="60" t="n">
        <f aca="false">IF(ISNUMBER(AC128),1,0)</f>
        <v>0</v>
      </c>
      <c r="BX128" s="57" t="n">
        <f aca="false">N(AC128)</f>
        <v>0</v>
      </c>
      <c r="BY128" s="57" t="n">
        <f aca="false">N(L128)+N(M128)</f>
        <v>50</v>
      </c>
      <c r="BZ128" s="57" t="n">
        <f aca="false">ROUNDUP(G128/BQ128,0)</f>
        <v>1</v>
      </c>
      <c r="CA128" s="57" t="n">
        <f aca="false">ROUNDUP(BX128/BQ128,0)</f>
        <v>0</v>
      </c>
      <c r="CB128" s="60" t="n">
        <f aca="false">IF(BR128=1,0,IFERROR(VLOOKUP(BP128,'Gebinde-Kategorie'!$A$5:$M$45,5,0)+0,0))</f>
        <v>21</v>
      </c>
      <c r="CC128" s="60" t="n">
        <f aca="false">IFERROR(IF(OR(BT128=1,BT128=2,BT128=3),N(INDEX(Parameter!$I$5:$I$7,BT128)),0),0)</f>
        <v>0</v>
      </c>
      <c r="CD128" s="59" t="n">
        <f aca="false">IF(AND(Parameter!$B$21="Ja",ISNUMBER(U128),N(V128)&gt;0),IFERROR(N(INDEX(Parameter!$L$5:$L$7,U128))*INDEX(Parameter!$E$5:$E$7,U128)*V128/SUMIFS($V$7:$V$1576,$U$7:$U$1576,U128),0),0)</f>
        <v>0</v>
      </c>
    </row>
    <row r="129" customFormat="false" ht="15" hidden="false" customHeight="false" outlineLevel="0" collapsed="false">
      <c r="A129" s="55" t="s">
        <v>456</v>
      </c>
      <c r="B129" s="55" t="s">
        <v>457</v>
      </c>
      <c r="C129" s="55" t="s">
        <v>160</v>
      </c>
      <c r="D129" s="55" t="s">
        <v>178</v>
      </c>
      <c r="E129" s="55" t="s">
        <v>210</v>
      </c>
      <c r="F129" s="56" t="n">
        <v>3.7</v>
      </c>
      <c r="G129" s="57" t="n">
        <f aca="false">MAX(0,IF(AND(Parameter!$B$21="Ja",ISNUMBER(W129)),W129,IF(Parameter!$B$20="Jahresanfang 2025 + Export",BJ129+BI129,BI129)))</f>
        <v>487</v>
      </c>
      <c r="H129" s="57" t="n">
        <f aca="false">G129*F129</f>
        <v>1801.9</v>
      </c>
      <c r="I129" s="57" t="n">
        <f aca="false">BL129*Parameter!$B$18</f>
        <v>689</v>
      </c>
      <c r="J129" s="58" t="n">
        <v>214</v>
      </c>
      <c r="K129" s="59" t="n">
        <v>3.2196261682243</v>
      </c>
      <c r="L129" s="57" t="n">
        <v>26</v>
      </c>
      <c r="M129" s="57" t="n">
        <v>690</v>
      </c>
      <c r="N129" s="60" t="n">
        <v>14</v>
      </c>
      <c r="O129" s="55" t="s">
        <v>225</v>
      </c>
      <c r="P129" s="57" t="n">
        <v>331</v>
      </c>
      <c r="Q129" s="60" t="n">
        <f aca="false">IF(BR129=1,0,IFERROR(VLOOKUP(BP129,'Gebinde-Kategorie'!$A$5:$M$45,13,0)+0,0))</f>
        <v>26</v>
      </c>
      <c r="R129" s="61"/>
      <c r="S129" s="62"/>
      <c r="T129" s="62"/>
      <c r="U129" s="55"/>
      <c r="V129" s="57"/>
      <c r="W129" s="57"/>
      <c r="X129" s="55" t="n">
        <f aca="false">IF(A129="","",IF(AND(Parameter!$B$21="Ja",ISNUMBER(U129)),U129,IF(IFERROR(VLOOKUP(D129,Parameter!$A$35:$C$64,2,0),"Nein")="2+3",IF(ISNUMBER(SEARCH("grosser Artikel",BM129)),2,IFERROR(VLOOKUP(BP129,Parameter!$F$35:$G$64,2,0),2)),IF(OR(IFERROR(VLOOKUP(D129,Parameter!$A$35:$C$64,2,0),"Nein")="Nein",IFERROR(VLOOKUP(D129,Parameter!$A$35:$C$64,2,0),"Nein")=""),"-",VLOOKUP(D129,Parameter!$A$35:$C$64,2,0)))))</f>
        <v>3</v>
      </c>
      <c r="Y129" s="62"/>
      <c r="Z129" s="63"/>
      <c r="AA129" s="57" t="n">
        <f aca="false">AP129</f>
        <v>993</v>
      </c>
      <c r="AB129" s="57" t="n">
        <f aca="false">MAX(AP129,G129)</f>
        <v>993</v>
      </c>
      <c r="AC129" s="64"/>
      <c r="AD129" s="57" t="n">
        <f aca="false">IF(LEFT(Cockpit!$C$5,1)="A",G129,IF(BW129=1,BX129,IF(LEFT(Cockpit!$C$5,1)="B",AH129,MAX(AH129,G129))))</f>
        <v>487</v>
      </c>
      <c r="AE129" s="57" t="n">
        <f aca="false">IF(BR129=1,0,ROUNDUP(AD129/BQ129,0))</f>
        <v>2</v>
      </c>
      <c r="AF129" s="59" t="n">
        <f aca="false">IF(CD129&gt;0,CD129*MAX(1,AD129/V129),IF(BR129=1,IF(AD129&lt;=0,0,BS129*MAX(1,IF(G129&gt;0,AD129/G129,1))),IF(Q129&gt;0,AE129/Q129,0))/MAX(0.1,N(Parameter!$M$21)))</f>
        <v>0.0769230769230769</v>
      </c>
      <c r="AG129" s="57" t="n">
        <f aca="false">AD129*F129</f>
        <v>1801.9</v>
      </c>
      <c r="AH129" s="57" t="n">
        <f aca="false">ROUNDUP(MAX(I129/IF(BV129&gt;0,BV129,MAX(0.1,N(Cockpit!$C$6))),BY129)/BQ129,0)*BQ129</f>
        <v>993</v>
      </c>
      <c r="AI129" s="58" t="n">
        <f aca="false">IF(AF129&gt;0,I129/AF129,-1)</f>
        <v>8957</v>
      </c>
      <c r="AJ129" s="58" t="n">
        <f aca="false">IF(AND(OR(BU129="L1",BU129="L23"),AF129&gt;0),SUMIFS($AF$7:$AF$1576,$BU$7:$BU$1576,BU129,$AI$7:$AI$1576,"&gt;"&amp;AI129)+SUMIFS($AF$7:$AF$1576,$BU$7:$BU$1576,BU129,$AI$7:$AI$1576,AI129,$BO$7:$BO$1576,"&lt;="&amp;BO129),"")</f>
        <v>2.83690584777541</v>
      </c>
      <c r="AK129" s="65" t="n">
        <f aca="false">IF(AJ129="",0,MAX(0,MIN(1,(IF(BU129="L1",Parameter!$E$5,Parameter!$E$6+Parameter!$E$7)-(AJ129-AF129))/AF129)))</f>
        <v>1</v>
      </c>
      <c r="AL129" s="57" t="n">
        <f aca="false">IF(LEFT(Cockpit!$I$5,1)="A",G129,IF(BW129=1,BX129,IF(LEFT(Cockpit!$I$5,1)="B",AP129,MAX(AP129,G129))))</f>
        <v>993</v>
      </c>
      <c r="AM129" s="57" t="n">
        <f aca="false">IF(BR129=1,0,ROUNDUP(AL129/BQ129,0))</f>
        <v>3</v>
      </c>
      <c r="AN129" s="59" t="n">
        <f aca="false">IF(CD129&gt;0,CD129*MAX(1,AL129/V129),IF(BR129=1,IF(AL129&lt;=0,0,BS129*MAX(1,IF(G129&gt;0,AL129/G129,1))),IF(Q129&gt;0,AM129/Q129,0))/MAX(0.1,N(Parameter!$M$21)))</f>
        <v>0.115384615384615</v>
      </c>
      <c r="AO129" s="57" t="n">
        <f aca="false">AL129*F129</f>
        <v>3674.1</v>
      </c>
      <c r="AP129" s="57" t="n">
        <f aca="false">ROUNDUP(MAX(I129/IF(BV129&gt;0,BV129,MAX(0.1,N(Cockpit!$I$6))),BY129)/BQ129,0)*BQ129</f>
        <v>993</v>
      </c>
      <c r="AQ129" s="58" t="n">
        <f aca="false">IF(AN129&gt;0,I129/AN129,-1)</f>
        <v>5971.33333333333</v>
      </c>
      <c r="AR129" s="58" t="n">
        <f aca="false">IF(AND(OR(BU129="L1",BU129="L23"),AN129&gt;0),SUMIFS($AN$7:$AN$1576,$BU$7:$BU$1576,BU129,$AQ$7:$AQ$1576,"&gt;"&amp;AQ129)+SUMIFS($AN$7:$AN$1576,$BU$7:$BU$1576,BU129,$AQ$7:$AQ$1576,AQ129,$BO$7:$BO$1576,"&lt;="&amp;BO129),"")</f>
        <v>10.9036509509814</v>
      </c>
      <c r="AS129" s="65" t="n">
        <f aca="false">IF(AR129="",0,MAX(0,MIN(1,(IF(BU129="L1",Parameter!$E$5,Parameter!$E$6+Parameter!$E$7)-(AR129-AN129))/AN129)))</f>
        <v>1</v>
      </c>
      <c r="AT129" s="57" t="n">
        <f aca="false">IF(LEFT(Cockpit!$O$5,1)="A",G129,IF(BW129=1,BX129,IF(LEFT(Cockpit!$O$5,1)="B",AX129,MAX(AX129,G129))))</f>
        <v>993</v>
      </c>
      <c r="AU129" s="57" t="n">
        <f aca="false">IF(BR129=1,0,ROUNDUP(AT129/BQ129,0))</f>
        <v>3</v>
      </c>
      <c r="AV129" s="59" t="n">
        <f aca="false">IF(CD129&gt;0,CD129*MAX(1,AT129/V129),IF(BR129=1,IF(AT129&lt;=0,0,BS129*MAX(1,IF(G129&gt;0,AT129/G129,1))),IF(Q129&gt;0,AU129/Q129,0))/MAX(0.1,N(Parameter!$M$21)))</f>
        <v>0.115384615384615</v>
      </c>
      <c r="AW129" s="57" t="n">
        <f aca="false">AT129*F129</f>
        <v>3674.1</v>
      </c>
      <c r="AX129" s="57" t="n">
        <f aca="false">ROUNDUP(MAX(I129/IF(BV129&gt;0,BV129,MAX(0.1,N(Cockpit!$O$6))),BY129)/BQ129,0)*BQ129</f>
        <v>993</v>
      </c>
      <c r="AY129" s="58" t="n">
        <f aca="false">IF(AV129&gt;0,I129/AV129,-1)</f>
        <v>5971.33333333333</v>
      </c>
      <c r="AZ129" s="58" t="n">
        <f aca="false">IF(AND(OR(BU129="L1",BU129="L23"),AV129&gt;0),SUMIFS($AV$7:$AV$1576,$BU$7:$BU$1576,BU129,$AY$7:$AY$1576,"&gt;"&amp;AY129)+SUMIFS($AV$7:$AV$1576,$BU$7:$BU$1576,BU129,$AY$7:$AY$1576,AY129,$BO$7:$BO$1576,"&lt;="&amp;BO129),"")</f>
        <v>10.0860518833823</v>
      </c>
      <c r="BA129" s="65" t="n">
        <f aca="false">IF(AZ129="",0,MAX(0,MIN(1,(IF(BU129="L1",Parameter!$E$5,Parameter!$E$6+Parameter!$E$7)-(AZ129-AV129))/AV129)))</f>
        <v>1</v>
      </c>
      <c r="BB129" s="55" t="str">
        <f aca="false">IF(AF129&lt;=0,"",IF(BU129="Aussen","Aussenlager",IF(BU129="-","Nicht im Lift",IF(AK129&gt;=1,"Lift",IF(AK129&lt;=0,"Aussenlager","teilweise")))))</f>
        <v>Lift</v>
      </c>
      <c r="BC129" s="55" t="str">
        <f aca="false">IF(AN129&lt;=0,"",IF(BU129="Aussen","Aussenlager",IF(BU129="-","Nicht im Lift",IF(AS129&gt;=1,"Lift",IF(AS129&lt;=0,"Aussenlager","teilweise")))))</f>
        <v>Lift</v>
      </c>
      <c r="BD129" s="55" t="str">
        <f aca="false">IF(AV129&lt;=0,"",IF(BU129="Aussen","Aussenlager",IF(BU129="-","Nicht im Lift",IF(BA129&gt;=1,"Lift",IF(BA129&lt;=0,"Aussenlager","teilweise")))))</f>
        <v>Lift</v>
      </c>
      <c r="BE129" s="55" t="str">
        <f aca="false">IF(A129="","",IF(BN129=1,"Neu; ","")&amp;IF(AND(BN129=0,BI129&lt;0),"negativer Bestand (Export "&amp;BI129&amp;"); ","")&amp;IF(I129&lt;=0,"Kein Verbrauch; ","")&amp;IF(CD129&gt;0,"Lift "&amp;U129&amp;" lt. Liftbericht (Fach "&amp;V129&amp;" Stk); ",IF(BR129=1,"Lose – Fläche geschätzt; ",""))&amp;IF(G129&gt;AP129,"Überbestand "&amp;ROUND(G129-AP129,0)&amp;" Stk / CHF "&amp;ROUND((G129-AP129)*F129,0)&amp;"; ","")&amp;IF(AND(BW129=1,BX129&lt;BY129),"MAX &lt; MB+LG; ","")&amp;IF(AND(CC129&gt;0,CB129*10&gt;CC129),"zu hoch für Tablar; ","")&amp;IF(AND(BN129=0,OR(BW129=1,Y129&lt;&gt;"",S129&lt;&gt;"",T129&lt;&gt;"",Z129&lt;&gt;"")),"manuell übersteuert; ","")&amp;IF(AND(BR129=0,Q129=0),"Gebinde unbekannt / Stellmass fehlt; ","")&amp;IF(AND(BR129=0,N(T129)&lt;=0,N(P129)&lt;=0),"Menge pro Gebinde fehlt (Ist = 1 Gebinde); ","")&amp;BM129)</f>
        <v/>
      </c>
      <c r="BF129" s="55"/>
      <c r="BG129" s="55"/>
      <c r="BH129" s="62"/>
      <c r="BI129" s="57" t="n">
        <v>487</v>
      </c>
      <c r="BJ129" s="57" t="n">
        <v>114</v>
      </c>
      <c r="BK129" s="56" t="n">
        <v>1761.24</v>
      </c>
      <c r="BL129" s="57" t="n">
        <v>689</v>
      </c>
      <c r="BM129" s="55"/>
      <c r="BN129" s="60" t="n">
        <v>0</v>
      </c>
      <c r="BO129" s="60" t="n">
        <v>129</v>
      </c>
      <c r="BP129" s="55" t="str">
        <f aca="false">IF(S129&lt;&gt;"",UPPER(TRIM(S129)),IF(O129="","LOSE",O129))</f>
        <v>S52</v>
      </c>
      <c r="BQ129" s="57" t="n">
        <f aca="false">IF(BP129="LOSE",1,IF(N(T129)&gt;0,T129,IF(N(P129)&gt;0,P129,MAX(1,G129))))</f>
        <v>331</v>
      </c>
      <c r="BR129" s="60" t="n">
        <f aca="false">IF(BP129="LOSE",1,0)</f>
        <v>0</v>
      </c>
      <c r="BS129" s="59" t="n">
        <f aca="false">IF(BR129=0,0,IF(N(R129)&gt;0,R129,IFERROR(VLOOKUP(D129,Parameter!$A$35:$C$64,3,0)+0,0)))</f>
        <v>0</v>
      </c>
      <c r="BT129" s="55" t="n">
        <f aca="false">IF(Y129&lt;&gt;"",Y129,X129)</f>
        <v>3</v>
      </c>
      <c r="BU129" s="55" t="str">
        <f aca="false">IF(BT129=1,"L1",IF(OR(BT129=2,BT129=3),"L23",IF(BT129="Aussen","Aussen","-")))</f>
        <v>L23</v>
      </c>
      <c r="BV129" s="66" t="n">
        <f aca="false">IF(N(Z129)&gt;0,Z129,0)</f>
        <v>0</v>
      </c>
      <c r="BW129" s="60" t="n">
        <f aca="false">IF(ISNUMBER(AC129),1,0)</f>
        <v>0</v>
      </c>
      <c r="BX129" s="57" t="n">
        <f aca="false">N(AC129)</f>
        <v>0</v>
      </c>
      <c r="BY129" s="57" t="n">
        <f aca="false">N(L129)+N(M129)</f>
        <v>716</v>
      </c>
      <c r="BZ129" s="57" t="n">
        <f aca="false">ROUNDUP(G129/BQ129,0)</f>
        <v>2</v>
      </c>
      <c r="CA129" s="57" t="n">
        <f aca="false">ROUNDUP(BX129/BQ129,0)</f>
        <v>0</v>
      </c>
      <c r="CB129" s="60" t="n">
        <f aca="false">IF(BR129=1,0,IFERROR(VLOOKUP(BP129,'Gebinde-Kategorie'!$A$5:$M$45,5,0)+0,0))</f>
        <v>21</v>
      </c>
      <c r="CC129" s="60" t="n">
        <f aca="false">IFERROR(IF(OR(BT129=1,BT129=2,BT129=3),N(INDEX(Parameter!$I$5:$I$7,BT129)),0),0)</f>
        <v>0</v>
      </c>
      <c r="CD129" s="59" t="n">
        <f aca="false">IF(AND(Parameter!$B$21="Ja",ISNUMBER(U129),N(V129)&gt;0),IFERROR(N(INDEX(Parameter!$L$5:$L$7,U129))*INDEX(Parameter!$E$5:$E$7,U129)*V129/SUMIFS($V$7:$V$1576,$U$7:$U$1576,U129),0),0)</f>
        <v>0</v>
      </c>
    </row>
    <row r="130" customFormat="false" ht="15" hidden="false" customHeight="false" outlineLevel="0" collapsed="false">
      <c r="A130" s="55" t="s">
        <v>458</v>
      </c>
      <c r="B130" s="55" t="s">
        <v>159</v>
      </c>
      <c r="C130" s="55" t="s">
        <v>160</v>
      </c>
      <c r="D130" s="55" t="s">
        <v>161</v>
      </c>
      <c r="E130" s="55" t="s">
        <v>210</v>
      </c>
      <c r="F130" s="56" t="n">
        <v>3280</v>
      </c>
      <c r="G130" s="57" t="n">
        <f aca="false">MAX(0,IF(AND(Parameter!$B$21="Ja",ISNUMBER(W130)),W130,IF(Parameter!$B$20="Jahresanfang 2025 + Export",BJ130+BI130,BI130)))</f>
        <v>1</v>
      </c>
      <c r="H130" s="57" t="n">
        <f aca="false">G130*F130</f>
        <v>3280</v>
      </c>
      <c r="I130" s="57" t="n">
        <f aca="false">BL130*Parameter!$B$18</f>
        <v>3</v>
      </c>
      <c r="J130" s="58" t="n">
        <v>0.5</v>
      </c>
      <c r="K130" s="59" t="n">
        <v>6</v>
      </c>
      <c r="L130" s="57" t="n">
        <v>0</v>
      </c>
      <c r="M130" s="57" t="n">
        <v>1</v>
      </c>
      <c r="N130" s="60" t="n">
        <v>58</v>
      </c>
      <c r="O130" s="55" t="s">
        <v>163</v>
      </c>
      <c r="P130" s="57"/>
      <c r="Q130" s="60" t="n">
        <f aca="false">IF(BR130=1,0,IFERROR(VLOOKUP(BP130,'Gebinde-Kategorie'!$A$5:$M$45,13,0)+0,0))</f>
        <v>0</v>
      </c>
      <c r="R130" s="61"/>
      <c r="S130" s="62"/>
      <c r="T130" s="62"/>
      <c r="U130" s="55" t="n">
        <v>1</v>
      </c>
      <c r="V130" s="57" t="n">
        <v>2</v>
      </c>
      <c r="W130" s="57" t="n">
        <v>1</v>
      </c>
      <c r="X130" s="55" t="n">
        <f aca="false">IF(A130="","",IF(AND(Parameter!$B$21="Ja",ISNUMBER(U130)),U130,IF(IFERROR(VLOOKUP(D130,Parameter!$A$35:$C$64,2,0),"Nein")="2+3",IF(ISNUMBER(SEARCH("grosser Artikel",BM130)),2,IFERROR(VLOOKUP(BP130,Parameter!$F$35:$G$64,2,0),2)),IF(OR(IFERROR(VLOOKUP(D130,Parameter!$A$35:$C$64,2,0),"Nein")="Nein",IFERROR(VLOOKUP(D130,Parameter!$A$35:$C$64,2,0),"Nein")=""),"-",VLOOKUP(D130,Parameter!$A$35:$C$64,2,0)))))</f>
        <v>1</v>
      </c>
      <c r="Y130" s="62"/>
      <c r="Z130" s="63"/>
      <c r="AA130" s="57" t="n">
        <f aca="false">AP130</f>
        <v>2</v>
      </c>
      <c r="AB130" s="57" t="n">
        <f aca="false">MAX(AP130,G130)</f>
        <v>2</v>
      </c>
      <c r="AC130" s="64"/>
      <c r="AD130" s="57" t="n">
        <f aca="false">IF(LEFT(Cockpit!$C$5,1)="A",G130,IF(BW130=1,BX130,IF(LEFT(Cockpit!$C$5,1)="B",AH130,MAX(AH130,G130))))</f>
        <v>1</v>
      </c>
      <c r="AE130" s="57" t="n">
        <f aca="false">IF(BR130=1,0,ROUNDUP(AD130/BQ130,0))</f>
        <v>0</v>
      </c>
      <c r="AF130" s="59" t="n">
        <f aca="false">IF(CD130&gt;0,CD130*MAX(1,AD130/V130),IF(BR130=1,IF(AD130&lt;=0,0,BS130*MAX(1,IF(G130&gt;0,AD130/G130,1))),IF(Q130&gt;0,AE130/Q130,0))/MAX(0.1,N(Parameter!$M$21)))</f>
        <v>0.160075329566855</v>
      </c>
      <c r="AG130" s="57" t="n">
        <f aca="false">AD130*F130</f>
        <v>3280</v>
      </c>
      <c r="AH130" s="57" t="n">
        <f aca="false">ROUNDUP(MAX(I130/IF(BV130&gt;0,BV130,MAX(0.1,N(Cockpit!$C$6))),BY130)/BQ130,0)*BQ130</f>
        <v>2</v>
      </c>
      <c r="AI130" s="58" t="n">
        <f aca="false">IF(AF130&gt;0,I130/AF130,-1)</f>
        <v>18.7411764705882</v>
      </c>
      <c r="AJ130" s="58" t="n">
        <f aca="false">IF(AND(OR(BU130="L1",BU130="L23"),AF130&gt;0),SUMIFS($AF$7:$AF$1576,$BU$7:$BU$1576,BU130,$AI$7:$AI$1576,"&gt;"&amp;AI130)+SUMIFS($AF$7:$AF$1576,$BU$7:$BU$1576,BU130,$AI$7:$AI$1576,AI130,$BO$7:$BO$1576,"&lt;="&amp;BO130),"")</f>
        <v>15.2071563088512</v>
      </c>
      <c r="AK130" s="65" t="n">
        <f aca="false">IF(AJ130="",0,MAX(0,MIN(1,(IF(BU130="L1",Parameter!$E$5,Parameter!$E$6+Parameter!$E$7)-(AJ130-AF130))/AF130)))</f>
        <v>1</v>
      </c>
      <c r="AL130" s="57" t="n">
        <f aca="false">IF(LEFT(Cockpit!$I$5,1)="A",G130,IF(BW130=1,BX130,IF(LEFT(Cockpit!$I$5,1)="B",AP130,MAX(AP130,G130))))</f>
        <v>2</v>
      </c>
      <c r="AM130" s="57" t="n">
        <f aca="false">IF(BR130=1,0,ROUNDUP(AL130/BQ130,0))</f>
        <v>0</v>
      </c>
      <c r="AN130" s="59" t="n">
        <f aca="false">IF(CD130&gt;0,CD130*MAX(1,AL130/V130),IF(BR130=1,IF(AL130&lt;=0,0,BS130*MAX(1,IF(G130&gt;0,AL130/G130,1))),IF(Q130&gt;0,AM130/Q130,0))/MAX(0.1,N(Parameter!$M$21)))</f>
        <v>0.160075329566855</v>
      </c>
      <c r="AO130" s="57" t="n">
        <f aca="false">AL130*F130</f>
        <v>6560</v>
      </c>
      <c r="AP130" s="57" t="n">
        <f aca="false">ROUNDUP(MAX(I130/IF(BV130&gt;0,BV130,MAX(0.1,N(Cockpit!$I$6))),BY130)/BQ130,0)*BQ130</f>
        <v>2</v>
      </c>
      <c r="AQ130" s="58" t="n">
        <f aca="false">IF(AN130&gt;0,I130/AN130,-1)</f>
        <v>18.7411764705882</v>
      </c>
      <c r="AR130" s="58" t="n">
        <f aca="false">IF(AND(OR(BU130="L1",BU130="L23"),AN130&gt;0),SUMIFS($AN$7:$AN$1576,$BU$7:$BU$1576,BU130,$AQ$7:$AQ$1576,"&gt;"&amp;AQ130)+SUMIFS($AN$7:$AN$1576,$BU$7:$BU$1576,BU130,$AQ$7:$AQ$1576,AQ130,$BO$7:$BO$1576,"&lt;="&amp;BO130),"")</f>
        <v>18.8888888888889</v>
      </c>
      <c r="AS130" s="65" t="n">
        <f aca="false">IF(AR130="",0,MAX(0,MIN(1,(IF(BU130="L1",Parameter!$E$5,Parameter!$E$6+Parameter!$E$7)-(AR130-AN130))/AN130)))</f>
        <v>1</v>
      </c>
      <c r="AT130" s="57" t="n">
        <f aca="false">IF(LEFT(Cockpit!$O$5,1)="A",G130,IF(BW130=1,BX130,IF(LEFT(Cockpit!$O$5,1)="B",AX130,MAX(AX130,G130))))</f>
        <v>1</v>
      </c>
      <c r="AU130" s="57" t="n">
        <f aca="false">IF(BR130=1,0,ROUNDUP(AT130/BQ130,0))</f>
        <v>0</v>
      </c>
      <c r="AV130" s="59" t="n">
        <f aca="false">IF(CD130&gt;0,CD130*MAX(1,AT130/V130),IF(BR130=1,IF(AT130&lt;=0,0,BS130*MAX(1,IF(G130&gt;0,AT130/G130,1))),IF(Q130&gt;0,AU130/Q130,0))/MAX(0.1,N(Parameter!$M$21)))</f>
        <v>0.160075329566855</v>
      </c>
      <c r="AW130" s="57" t="n">
        <f aca="false">AT130*F130</f>
        <v>3280</v>
      </c>
      <c r="AX130" s="57" t="n">
        <f aca="false">ROUNDUP(MAX(I130/IF(BV130&gt;0,BV130,MAX(0.1,N(Cockpit!$O$6))),BY130)/BQ130,0)*BQ130</f>
        <v>1</v>
      </c>
      <c r="AY130" s="58" t="n">
        <f aca="false">IF(AV130&gt;0,I130/AV130,-1)</f>
        <v>18.7411764705882</v>
      </c>
      <c r="AZ130" s="58" t="n">
        <f aca="false">IF(AND(OR(BU130="L1",BU130="L23"),AV130&gt;0),SUMIFS($AV$7:$AV$1576,$BU$7:$BU$1576,BU130,$AY$7:$AY$1576,"&gt;"&amp;AY130)+SUMIFS($AV$7:$AV$1576,$BU$7:$BU$1576,BU130,$AY$7:$AY$1576,AY130,$BO$7:$BO$1576,"&lt;="&amp;BO130),"")</f>
        <v>15.9274952919021</v>
      </c>
      <c r="BA130" s="65" t="n">
        <f aca="false">IF(AZ130="",0,MAX(0,MIN(1,(IF(BU130="L1",Parameter!$E$5,Parameter!$E$6+Parameter!$E$7)-(AZ130-AV130))/AV130)))</f>
        <v>1</v>
      </c>
      <c r="BB130" s="55" t="str">
        <f aca="false">IF(AF130&lt;=0,"",IF(BU130="Aussen","Aussenlager",IF(BU130="-","Nicht im Lift",IF(AK130&gt;=1,"Lift",IF(AK130&lt;=0,"Aussenlager","teilweise")))))</f>
        <v>Lift</v>
      </c>
      <c r="BC130" s="55" t="str">
        <f aca="false">IF(AN130&lt;=0,"",IF(BU130="Aussen","Aussenlager",IF(BU130="-","Nicht im Lift",IF(AS130&gt;=1,"Lift",IF(AS130&lt;=0,"Aussenlager","teilweise")))))</f>
        <v>Lift</v>
      </c>
      <c r="BD130" s="55" t="str">
        <f aca="false">IF(AV130&lt;=0,"",IF(BU130="Aussen","Aussenlager",IF(BU130="-","Nicht im Lift",IF(BA130&gt;=1,"Lift",IF(BA130&lt;=0,"Aussenlager","teilweise")))))</f>
        <v>Lift</v>
      </c>
      <c r="BE130" s="55" t="str">
        <f aca="false">IF(A130="","",IF(BN130=1,"Neu; ","")&amp;IF(AND(BN130=0,BI130&lt;0),"negativer Bestand (Export "&amp;BI130&amp;"); ","")&amp;IF(I130&lt;=0,"Kein Verbrauch; ","")&amp;IF(CD130&gt;0,"Lift "&amp;U130&amp;" lt. Liftbericht (Fach "&amp;V130&amp;" Stk); ",IF(BR130=1,"Lose – Fläche geschätzt; ",""))&amp;IF(G130&gt;AP130,"Überbestand "&amp;ROUND(G130-AP130,0)&amp;" Stk / CHF "&amp;ROUND((G130-AP130)*F130,0)&amp;"; ","")&amp;IF(AND(BW130=1,BX130&lt;BY130),"MAX &lt; MB+LG; ","")&amp;IF(AND(CC130&gt;0,CB130*10&gt;CC130),"zu hoch für Tablar; ","")&amp;IF(AND(BN130=0,OR(BW130=1,Y130&lt;&gt;"",S130&lt;&gt;"",T130&lt;&gt;"",Z130&lt;&gt;"")),"manuell übersteuert; ","")&amp;IF(AND(BR130=0,Q130=0),"Gebinde unbekannt / Stellmass fehlt; ","")&amp;IF(AND(BR130=0,N(T130)&lt;=0,N(P130)&lt;=0),"Menge pro Gebinde fehlt (Ist = 1 Gebinde); ","")&amp;BM130)</f>
        <v>Lift 1 lt. Liftbericht (Fach 2 Stk); </v>
      </c>
      <c r="BF130" s="55"/>
      <c r="BG130" s="55"/>
      <c r="BH130" s="62"/>
      <c r="BI130" s="57" t="n">
        <v>0</v>
      </c>
      <c r="BJ130" s="57" t="n">
        <v>1</v>
      </c>
      <c r="BK130" s="56" t="n">
        <v>1745</v>
      </c>
      <c r="BL130" s="57" t="n">
        <v>3</v>
      </c>
      <c r="BM130" s="55"/>
      <c r="BN130" s="60" t="n">
        <v>0</v>
      </c>
      <c r="BO130" s="60" t="n">
        <v>130</v>
      </c>
      <c r="BP130" s="55" t="str">
        <f aca="false">IF(S130&lt;&gt;"",UPPER(TRIM(S130)),IF(O130="","LOSE",O130))</f>
        <v>LOSE</v>
      </c>
      <c r="BQ130" s="57" t="n">
        <f aca="false">IF(BP130="LOSE",1,IF(N(T130)&gt;0,T130,IF(N(P130)&gt;0,P130,MAX(1,G130))))</f>
        <v>1</v>
      </c>
      <c r="BR130" s="60" t="n">
        <f aca="false">IF(BP130="LOSE",1,0)</f>
        <v>1</v>
      </c>
      <c r="BS130" s="59" t="n">
        <f aca="false">IF(BR130=0,0,IF(N(R130)&gt;0,R130,IFERROR(VLOOKUP(D130,Parameter!$A$35:$C$64,3,0)+0,0)))</f>
        <v>1</v>
      </c>
      <c r="BT130" s="55" t="n">
        <f aca="false">IF(Y130&lt;&gt;"",Y130,X130)</f>
        <v>1</v>
      </c>
      <c r="BU130" s="55" t="str">
        <f aca="false">IF(BT130=1,"L1",IF(OR(BT130=2,BT130=3),"L23",IF(BT130="Aussen","Aussen","-")))</f>
        <v>L1</v>
      </c>
      <c r="BV130" s="66" t="n">
        <f aca="false">IF(N(Z130)&gt;0,Z130,0)</f>
        <v>0</v>
      </c>
      <c r="BW130" s="60" t="n">
        <f aca="false">IF(ISNUMBER(AC130),1,0)</f>
        <v>0</v>
      </c>
      <c r="BX130" s="57" t="n">
        <f aca="false">N(AC130)</f>
        <v>0</v>
      </c>
      <c r="BY130" s="57" t="n">
        <f aca="false">N(L130)+N(M130)</f>
        <v>1</v>
      </c>
      <c r="BZ130" s="57" t="n">
        <f aca="false">ROUNDUP(G130/BQ130,0)</f>
        <v>1</v>
      </c>
      <c r="CA130" s="57" t="n">
        <f aca="false">ROUNDUP(BX130/BQ130,0)</f>
        <v>0</v>
      </c>
      <c r="CB130" s="60" t="n">
        <f aca="false">IF(BR130=1,0,IFERROR(VLOOKUP(BP130,'Gebinde-Kategorie'!$A$5:$M$45,5,0)+0,0))</f>
        <v>0</v>
      </c>
      <c r="CC130" s="60" t="n">
        <f aca="false">IFERROR(IF(OR(BT130=1,BT130=2,BT130=3),N(INDEX(Parameter!$I$5:$I$7,BT130)),0),0)</f>
        <v>0</v>
      </c>
      <c r="CD130" s="59" t="n">
        <f aca="false">IF(AND(Parameter!$B$21="Ja",ISNUMBER(U130),N(V130)&gt;0),IFERROR(N(INDEX(Parameter!$L$5:$L$7,U130))*INDEX(Parameter!$E$5:$E$7,U130)*V130/SUMIFS($V$7:$V$1576,$U$7:$U$1576,U130),0),0)</f>
        <v>0.160075329566855</v>
      </c>
    </row>
    <row r="131" customFormat="false" ht="15" hidden="false" customHeight="false" outlineLevel="0" collapsed="false">
      <c r="A131" s="55" t="s">
        <v>459</v>
      </c>
      <c r="B131" s="55" t="s">
        <v>460</v>
      </c>
      <c r="C131" s="55" t="s">
        <v>160</v>
      </c>
      <c r="D131" s="55" t="s">
        <v>168</v>
      </c>
      <c r="E131" s="55" t="s">
        <v>210</v>
      </c>
      <c r="F131" s="56" t="n">
        <v>2.89</v>
      </c>
      <c r="G131" s="57" t="n">
        <f aca="false">MAX(0,IF(AND(Parameter!$B$21="Ja",ISNUMBER(W131)),W131,IF(Parameter!$B$20="Jahresanfang 2025 + Export",BJ131+BI131,BI131)))</f>
        <v>567</v>
      </c>
      <c r="H131" s="57" t="n">
        <f aca="false">G131*F131</f>
        <v>1638.63</v>
      </c>
      <c r="I131" s="57" t="n">
        <f aca="false">BL131*Parameter!$B$18</f>
        <v>797</v>
      </c>
      <c r="J131" s="58" t="n">
        <v>333</v>
      </c>
      <c r="K131" s="59" t="n">
        <v>2.39339339339339</v>
      </c>
      <c r="L131" s="57" t="n">
        <v>112</v>
      </c>
      <c r="M131" s="57" t="n">
        <v>800</v>
      </c>
      <c r="N131" s="60" t="n">
        <v>51</v>
      </c>
      <c r="O131" s="55" t="s">
        <v>218</v>
      </c>
      <c r="P131" s="57" t="n">
        <v>250</v>
      </c>
      <c r="Q131" s="60" t="n">
        <f aca="false">IF(BR131=1,0,IFERROR(VLOOKUP(BP131,'Gebinde-Kategorie'!$A$5:$M$45,13,0)+0,0))</f>
        <v>12</v>
      </c>
      <c r="R131" s="61"/>
      <c r="S131" s="62"/>
      <c r="T131" s="62"/>
      <c r="U131" s="55"/>
      <c r="V131" s="57"/>
      <c r="W131" s="57"/>
      <c r="X131" s="55" t="n">
        <f aca="false">IF(A131="","",IF(AND(Parameter!$B$21="Ja",ISNUMBER(U131)),U131,IF(IFERROR(VLOOKUP(D131,Parameter!$A$35:$C$64,2,0),"Nein")="2+3",IF(ISNUMBER(SEARCH("grosser Artikel",BM131)),2,IFERROR(VLOOKUP(BP131,Parameter!$F$35:$G$64,2,0),2)),IF(OR(IFERROR(VLOOKUP(D131,Parameter!$A$35:$C$64,2,0),"Nein")="Nein",IFERROR(VLOOKUP(D131,Parameter!$A$35:$C$64,2,0),"Nein")=""),"-",VLOOKUP(D131,Parameter!$A$35:$C$64,2,0)))))</f>
        <v>2</v>
      </c>
      <c r="Y131" s="62"/>
      <c r="Z131" s="63"/>
      <c r="AA131" s="57" t="n">
        <f aca="false">AP131</f>
        <v>1000</v>
      </c>
      <c r="AB131" s="57" t="n">
        <f aca="false">MAX(AP131,G131)</f>
        <v>1000</v>
      </c>
      <c r="AC131" s="64"/>
      <c r="AD131" s="57" t="n">
        <f aca="false">IF(LEFT(Cockpit!$C$5,1)="A",G131,IF(BW131=1,BX131,IF(LEFT(Cockpit!$C$5,1)="B",AH131,MAX(AH131,G131))))</f>
        <v>567</v>
      </c>
      <c r="AE131" s="57" t="n">
        <f aca="false">IF(BR131=1,0,ROUNDUP(AD131/BQ131,0))</f>
        <v>3</v>
      </c>
      <c r="AF131" s="59" t="n">
        <f aca="false">IF(CD131&gt;0,CD131*MAX(1,AD131/V131),IF(BR131=1,IF(AD131&lt;=0,0,BS131*MAX(1,IF(G131&gt;0,AD131/G131,1))),IF(Q131&gt;0,AE131/Q131,0))/MAX(0.1,N(Parameter!$M$21)))</f>
        <v>0.25</v>
      </c>
      <c r="AG131" s="57" t="n">
        <f aca="false">AD131*F131</f>
        <v>1638.63</v>
      </c>
      <c r="AH131" s="57" t="n">
        <f aca="false">ROUNDUP(MAX(I131/IF(BV131&gt;0,BV131,MAX(0.1,N(Cockpit!$C$6))),BY131)/BQ131,0)*BQ131</f>
        <v>1000</v>
      </c>
      <c r="AI131" s="58" t="n">
        <f aca="false">IF(AF131&gt;0,I131/AF131,-1)</f>
        <v>3188</v>
      </c>
      <c r="AJ131" s="58" t="n">
        <f aca="false">IF(AND(OR(BU131="L1",BU131="L23"),AF131&gt;0),SUMIFS($AF$7:$AF$1576,$BU$7:$BU$1576,BU131,$AI$7:$AI$1576,"&gt;"&amp;AI131)+SUMIFS($AF$7:$AF$1576,$BU$7:$BU$1576,BU131,$AI$7:$AI$1576,AI131,$BO$7:$BO$1576,"&lt;="&amp;BO131),"")</f>
        <v>4.82204452552279</v>
      </c>
      <c r="AK131" s="65" t="n">
        <f aca="false">IF(AJ131="",0,MAX(0,MIN(1,(IF(BU131="L1",Parameter!$E$5,Parameter!$E$6+Parameter!$E$7)-(AJ131-AF131))/AF131)))</f>
        <v>1</v>
      </c>
      <c r="AL131" s="57" t="n">
        <f aca="false">IF(LEFT(Cockpit!$I$5,1)="A",G131,IF(BW131=1,BX131,IF(LEFT(Cockpit!$I$5,1)="B",AP131,MAX(AP131,G131))))</f>
        <v>1000</v>
      </c>
      <c r="AM131" s="57" t="n">
        <f aca="false">IF(BR131=1,0,ROUNDUP(AL131/BQ131,0))</f>
        <v>4</v>
      </c>
      <c r="AN131" s="59" t="n">
        <f aca="false">IF(CD131&gt;0,CD131*MAX(1,AL131/V131),IF(BR131=1,IF(AL131&lt;=0,0,BS131*MAX(1,IF(G131&gt;0,AL131/G131,1))),IF(Q131&gt;0,AM131/Q131,0))/MAX(0.1,N(Parameter!$M$21)))</f>
        <v>0.333333333333333</v>
      </c>
      <c r="AO131" s="57" t="n">
        <f aca="false">AL131*F131</f>
        <v>2890</v>
      </c>
      <c r="AP131" s="57" t="n">
        <f aca="false">ROUNDUP(MAX(I131/IF(BV131&gt;0,BV131,MAX(0.1,N(Cockpit!$I$6))),BY131)/BQ131,0)*BQ131</f>
        <v>1000</v>
      </c>
      <c r="AQ131" s="58" t="n">
        <f aca="false">IF(AN131&gt;0,I131/AN131,-1)</f>
        <v>2391</v>
      </c>
      <c r="AR131" s="58" t="n">
        <f aca="false">IF(AND(OR(BU131="L1",BU131="L23"),AN131&gt;0),SUMIFS($AN$7:$AN$1576,$BU$7:$BU$1576,BU131,$AQ$7:$AQ$1576,"&gt;"&amp;AQ131)+SUMIFS($AN$7:$AN$1576,$BU$7:$BU$1576,BU131,$AQ$7:$AQ$1576,AQ131,$BO$7:$BO$1576,"&lt;="&amp;BO131),"")</f>
        <v>16.2922775898974</v>
      </c>
      <c r="AS131" s="65" t="n">
        <f aca="false">IF(AR131="",0,MAX(0,MIN(1,(IF(BU131="L1",Parameter!$E$5,Parameter!$E$6+Parameter!$E$7)-(AR131-AN131))/AN131)))</f>
        <v>1</v>
      </c>
      <c r="AT131" s="57" t="n">
        <f aca="false">IF(LEFT(Cockpit!$O$5,1)="A",G131,IF(BW131=1,BX131,IF(LEFT(Cockpit!$O$5,1)="B",AX131,MAX(AX131,G131))))</f>
        <v>1000</v>
      </c>
      <c r="AU131" s="57" t="n">
        <f aca="false">IF(BR131=1,0,ROUNDUP(AT131/BQ131,0))</f>
        <v>4</v>
      </c>
      <c r="AV131" s="59" t="n">
        <f aca="false">IF(CD131&gt;0,CD131*MAX(1,AT131/V131),IF(BR131=1,IF(AT131&lt;=0,0,BS131*MAX(1,IF(G131&gt;0,AT131/G131,1))),IF(Q131&gt;0,AU131/Q131,0))/MAX(0.1,N(Parameter!$M$21)))</f>
        <v>0.333333333333333</v>
      </c>
      <c r="AW131" s="57" t="n">
        <f aca="false">AT131*F131</f>
        <v>2890</v>
      </c>
      <c r="AX131" s="57" t="n">
        <f aca="false">ROUNDUP(MAX(I131/IF(BV131&gt;0,BV131,MAX(0.1,N(Cockpit!$O$6))),BY131)/BQ131,0)*BQ131</f>
        <v>1000</v>
      </c>
      <c r="AY131" s="58" t="n">
        <f aca="false">IF(AV131&gt;0,I131/AV131,-1)</f>
        <v>2391</v>
      </c>
      <c r="AZ131" s="58" t="n">
        <f aca="false">IF(AND(OR(BU131="L1",BU131="L23"),AV131&gt;0),SUMIFS($AV$7:$AV$1576,$BU$7:$BU$1576,BU131,$AY$7:$AY$1576,"&gt;"&amp;AY131)+SUMIFS($AV$7:$AV$1576,$BU$7:$BU$1576,BU131,$AY$7:$AY$1576,AY131,$BO$7:$BO$1576,"&lt;="&amp;BO131),"")</f>
        <v>15.0964733940932</v>
      </c>
      <c r="BA131" s="65" t="n">
        <f aca="false">IF(AZ131="",0,MAX(0,MIN(1,(IF(BU131="L1",Parameter!$E$5,Parameter!$E$6+Parameter!$E$7)-(AZ131-AV131))/AV131)))</f>
        <v>1</v>
      </c>
      <c r="BB131" s="55" t="str">
        <f aca="false">IF(AF131&lt;=0,"",IF(BU131="Aussen","Aussenlager",IF(BU131="-","Nicht im Lift",IF(AK131&gt;=1,"Lift",IF(AK131&lt;=0,"Aussenlager","teilweise")))))</f>
        <v>Lift</v>
      </c>
      <c r="BC131" s="55" t="str">
        <f aca="false">IF(AN131&lt;=0,"",IF(BU131="Aussen","Aussenlager",IF(BU131="-","Nicht im Lift",IF(AS131&gt;=1,"Lift",IF(AS131&lt;=0,"Aussenlager","teilweise")))))</f>
        <v>Lift</v>
      </c>
      <c r="BD131" s="55" t="str">
        <f aca="false">IF(AV131&lt;=0,"",IF(BU131="Aussen","Aussenlager",IF(BU131="-","Nicht im Lift",IF(BA131&gt;=1,"Lift",IF(BA131&lt;=0,"Aussenlager","teilweise")))))</f>
        <v>Lift</v>
      </c>
      <c r="BE131" s="55" t="str">
        <f aca="false">IF(A131="","",IF(BN131=1,"Neu; ","")&amp;IF(AND(BN131=0,BI131&lt;0),"negativer Bestand (Export "&amp;BI131&amp;"); ","")&amp;IF(I131&lt;=0,"Kein Verbrauch; ","")&amp;IF(CD131&gt;0,"Lift "&amp;U131&amp;" lt. Liftbericht (Fach "&amp;V131&amp;" Stk); ",IF(BR131=1,"Lose – Fläche geschätzt; ",""))&amp;IF(G131&gt;AP131,"Überbestand "&amp;ROUND(G131-AP131,0)&amp;" Stk / CHF "&amp;ROUND((G131-AP131)*F131,0)&amp;"; ","")&amp;IF(AND(BW131=1,BX131&lt;BY131),"MAX &lt; MB+LG; ","")&amp;IF(AND(CC131&gt;0,CB131*10&gt;CC131),"zu hoch für Tablar; ","")&amp;IF(AND(BN131=0,OR(BW131=1,Y131&lt;&gt;"",S131&lt;&gt;"",T131&lt;&gt;"",Z131&lt;&gt;"")),"manuell übersteuert; ","")&amp;IF(AND(BR131=0,Q131=0),"Gebinde unbekannt / Stellmass fehlt; ","")&amp;IF(AND(BR131=0,N(T131)&lt;=0,N(P131)&lt;=0),"Menge pro Gebinde fehlt (Ist = 1 Gebinde); ","")&amp;BM131)</f>
        <v>gehört dieser Artikel ins KTL ?</v>
      </c>
      <c r="BF131" s="55"/>
      <c r="BG131" s="55"/>
      <c r="BH131" s="62"/>
      <c r="BI131" s="57" t="n">
        <v>567</v>
      </c>
      <c r="BJ131" s="57" t="n">
        <v>225</v>
      </c>
      <c r="BK131" s="56" t="n">
        <v>1734.11</v>
      </c>
      <c r="BL131" s="57" t="n">
        <v>797</v>
      </c>
      <c r="BM131" s="55" t="s">
        <v>461</v>
      </c>
      <c r="BN131" s="60" t="n">
        <v>0</v>
      </c>
      <c r="BO131" s="60" t="n">
        <v>131</v>
      </c>
      <c r="BP131" s="55" t="str">
        <f aca="false">IF(S131&lt;&gt;"",UPPER(TRIM(S131)),IF(O131="","LOSE",O131))</f>
        <v>S63</v>
      </c>
      <c r="BQ131" s="57" t="n">
        <f aca="false">IF(BP131="LOSE",1,IF(N(T131)&gt;0,T131,IF(N(P131)&gt;0,P131,MAX(1,G131))))</f>
        <v>250</v>
      </c>
      <c r="BR131" s="60" t="n">
        <f aca="false">IF(BP131="LOSE",1,0)</f>
        <v>0</v>
      </c>
      <c r="BS131" s="59" t="n">
        <f aca="false">IF(BR131=0,0,IF(N(R131)&gt;0,R131,IFERROR(VLOOKUP(D131,Parameter!$A$35:$C$64,3,0)+0,0)))</f>
        <v>0</v>
      </c>
      <c r="BT131" s="55" t="n">
        <f aca="false">IF(Y131&lt;&gt;"",Y131,X131)</f>
        <v>2</v>
      </c>
      <c r="BU131" s="55" t="str">
        <f aca="false">IF(BT131=1,"L1",IF(OR(BT131=2,BT131=3),"L23",IF(BT131="Aussen","Aussen","-")))</f>
        <v>L23</v>
      </c>
      <c r="BV131" s="66" t="n">
        <f aca="false">IF(N(Z131)&gt;0,Z131,0)</f>
        <v>0</v>
      </c>
      <c r="BW131" s="60" t="n">
        <f aca="false">IF(ISNUMBER(AC131),1,0)</f>
        <v>0</v>
      </c>
      <c r="BX131" s="57" t="n">
        <f aca="false">N(AC131)</f>
        <v>0</v>
      </c>
      <c r="BY131" s="57" t="n">
        <f aca="false">N(L131)+N(M131)</f>
        <v>912</v>
      </c>
      <c r="BZ131" s="57" t="n">
        <f aca="false">ROUNDUP(G131/BQ131,0)</f>
        <v>3</v>
      </c>
      <c r="CA131" s="57" t="n">
        <f aca="false">ROUNDUP(BX131/BQ131,0)</f>
        <v>0</v>
      </c>
      <c r="CB131" s="60" t="n">
        <f aca="false">IF(BR131=1,0,IFERROR(VLOOKUP(BP131,'Gebinde-Kategorie'!$A$5:$M$45,5,0)+0,0))</f>
        <v>31</v>
      </c>
      <c r="CC131" s="60" t="n">
        <f aca="false">IFERROR(IF(OR(BT131=1,BT131=2,BT131=3),N(INDEX(Parameter!$I$5:$I$7,BT131)),0),0)</f>
        <v>0</v>
      </c>
      <c r="CD131" s="59" t="n">
        <f aca="false">IF(AND(Parameter!$B$21="Ja",ISNUMBER(U131),N(V131)&gt;0),IFERROR(N(INDEX(Parameter!$L$5:$L$7,U131))*INDEX(Parameter!$E$5:$E$7,U131)*V131/SUMIFS($V$7:$V$1576,$U$7:$U$1576,U131),0),0)</f>
        <v>0</v>
      </c>
    </row>
    <row r="132" customFormat="false" ht="15" hidden="false" customHeight="false" outlineLevel="0" collapsed="false">
      <c r="A132" s="55" t="s">
        <v>462</v>
      </c>
      <c r="B132" s="55" t="s">
        <v>457</v>
      </c>
      <c r="C132" s="55" t="s">
        <v>160</v>
      </c>
      <c r="D132" s="55" t="s">
        <v>178</v>
      </c>
      <c r="E132" s="55" t="s">
        <v>210</v>
      </c>
      <c r="F132" s="56" t="n">
        <v>7.89</v>
      </c>
      <c r="G132" s="57" t="n">
        <f aca="false">MAX(0,IF(AND(Parameter!$B$21="Ja",ISNUMBER(W132)),W132,IF(Parameter!$B$20="Jahresanfang 2025 + Export",BJ132+BI132,BI132)))</f>
        <v>217</v>
      </c>
      <c r="H132" s="57" t="n">
        <f aca="false">G132*F132</f>
        <v>1712.13</v>
      </c>
      <c r="I132" s="57" t="n">
        <f aca="false">BL132*Parameter!$B$18</f>
        <v>391</v>
      </c>
      <c r="J132" s="58" t="n">
        <v>72.5</v>
      </c>
      <c r="K132" s="59" t="n">
        <v>5.39310344827586</v>
      </c>
      <c r="L132" s="57" t="n">
        <v>15</v>
      </c>
      <c r="M132" s="57" t="n">
        <v>390</v>
      </c>
      <c r="N132" s="60" t="n">
        <v>14</v>
      </c>
      <c r="O132" s="55" t="s">
        <v>319</v>
      </c>
      <c r="P132" s="57" t="n">
        <v>178</v>
      </c>
      <c r="Q132" s="60" t="n">
        <f aca="false">IF(BR132=1,0,IFERROR(VLOOKUP(BP132,'Gebinde-Kategorie'!$A$5:$M$45,13,0)+0,0))</f>
        <v>52</v>
      </c>
      <c r="R132" s="61"/>
      <c r="S132" s="62"/>
      <c r="T132" s="62"/>
      <c r="U132" s="55"/>
      <c r="V132" s="57"/>
      <c r="W132" s="57"/>
      <c r="X132" s="55" t="n">
        <f aca="false">IF(A132="","",IF(AND(Parameter!$B$21="Ja",ISNUMBER(U132)),U132,IF(IFERROR(VLOOKUP(D132,Parameter!$A$35:$C$64,2,0),"Nein")="2+3",IF(ISNUMBER(SEARCH("grosser Artikel",BM132)),2,IFERROR(VLOOKUP(BP132,Parameter!$F$35:$G$64,2,0),2)),IF(OR(IFERROR(VLOOKUP(D132,Parameter!$A$35:$C$64,2,0),"Nein")="Nein",IFERROR(VLOOKUP(D132,Parameter!$A$35:$C$64,2,0),"Nein")=""),"-",VLOOKUP(D132,Parameter!$A$35:$C$64,2,0)))))</f>
        <v>3</v>
      </c>
      <c r="Y132" s="62"/>
      <c r="Z132" s="63"/>
      <c r="AA132" s="57" t="n">
        <f aca="false">AP132</f>
        <v>534</v>
      </c>
      <c r="AB132" s="57" t="n">
        <f aca="false">MAX(AP132,G132)</f>
        <v>534</v>
      </c>
      <c r="AC132" s="64"/>
      <c r="AD132" s="57" t="n">
        <f aca="false">IF(LEFT(Cockpit!$C$5,1)="A",G132,IF(BW132=1,BX132,IF(LEFT(Cockpit!$C$5,1)="B",AH132,MAX(AH132,G132))))</f>
        <v>217</v>
      </c>
      <c r="AE132" s="57" t="n">
        <f aca="false">IF(BR132=1,0,ROUNDUP(AD132/BQ132,0))</f>
        <v>2</v>
      </c>
      <c r="AF132" s="59" t="n">
        <f aca="false">IF(CD132&gt;0,CD132*MAX(1,AD132/V132),IF(BR132=1,IF(AD132&lt;=0,0,BS132*MAX(1,IF(G132&gt;0,AD132/G132,1))),IF(Q132&gt;0,AE132/Q132,0))/MAX(0.1,N(Parameter!$M$21)))</f>
        <v>0.0384615384615385</v>
      </c>
      <c r="AG132" s="57" t="n">
        <f aca="false">AD132*F132</f>
        <v>1712.13</v>
      </c>
      <c r="AH132" s="57" t="n">
        <f aca="false">ROUNDUP(MAX(I132/IF(BV132&gt;0,BV132,MAX(0.1,N(Cockpit!$C$6))),BY132)/BQ132,0)*BQ132</f>
        <v>534</v>
      </c>
      <c r="AI132" s="58" t="n">
        <f aca="false">IF(AF132&gt;0,I132/AF132,-1)</f>
        <v>10166</v>
      </c>
      <c r="AJ132" s="58" t="n">
        <f aca="false">IF(AND(OR(BU132="L1",BU132="L23"),AF132&gt;0),SUMIFS($AF$7:$AF$1576,$BU$7:$BU$1576,BU132,$AI$7:$AI$1576,"&gt;"&amp;AI132)+SUMIFS($AF$7:$AF$1576,$BU$7:$BU$1576,BU132,$AI$7:$AI$1576,AI132,$BO$7:$BO$1576,"&lt;="&amp;BO132),"")</f>
        <v>2.52785378872335</v>
      </c>
      <c r="AK132" s="65" t="n">
        <f aca="false">IF(AJ132="",0,MAX(0,MIN(1,(IF(BU132="L1",Parameter!$E$5,Parameter!$E$6+Parameter!$E$7)-(AJ132-AF132))/AF132)))</f>
        <v>1</v>
      </c>
      <c r="AL132" s="57" t="n">
        <f aca="false">IF(LEFT(Cockpit!$I$5,1)="A",G132,IF(BW132=1,BX132,IF(LEFT(Cockpit!$I$5,1)="B",AP132,MAX(AP132,G132))))</f>
        <v>534</v>
      </c>
      <c r="AM132" s="57" t="n">
        <f aca="false">IF(BR132=1,0,ROUNDUP(AL132/BQ132,0))</f>
        <v>3</v>
      </c>
      <c r="AN132" s="59" t="n">
        <f aca="false">IF(CD132&gt;0,CD132*MAX(1,AL132/V132),IF(BR132=1,IF(AL132&lt;=0,0,BS132*MAX(1,IF(G132&gt;0,AL132/G132,1))),IF(Q132&gt;0,AM132/Q132,0))/MAX(0.1,N(Parameter!$M$21)))</f>
        <v>0.0576923076923077</v>
      </c>
      <c r="AO132" s="57" t="n">
        <f aca="false">AL132*F132</f>
        <v>4213.26</v>
      </c>
      <c r="AP132" s="57" t="n">
        <f aca="false">ROUNDUP(MAX(I132/IF(BV132&gt;0,BV132,MAX(0.1,N(Cockpit!$I$6))),BY132)/BQ132,0)*BQ132</f>
        <v>534</v>
      </c>
      <c r="AQ132" s="58" t="n">
        <f aca="false">IF(AN132&gt;0,I132/AN132,-1)</f>
        <v>6777.33333333333</v>
      </c>
      <c r="AR132" s="58" t="n">
        <f aca="false">IF(AND(OR(BU132="L1",BU132="L23"),AN132&gt;0),SUMIFS($AN$7:$AN$1576,$BU$7:$BU$1576,BU132,$AQ$7:$AQ$1576,"&gt;"&amp;AQ132)+SUMIFS($AN$7:$AN$1576,$BU$7:$BU$1576,BU132,$AQ$7:$AQ$1576,AQ132,$BO$7:$BO$1576,"&lt;="&amp;BO132),"")</f>
        <v>8.96783385696429</v>
      </c>
      <c r="AS132" s="65" t="n">
        <f aca="false">IF(AR132="",0,MAX(0,MIN(1,(IF(BU132="L1",Parameter!$E$5,Parameter!$E$6+Parameter!$E$7)-(AR132-AN132))/AN132)))</f>
        <v>1</v>
      </c>
      <c r="AT132" s="57" t="n">
        <f aca="false">IF(LEFT(Cockpit!$O$5,1)="A",G132,IF(BW132=1,BX132,IF(LEFT(Cockpit!$O$5,1)="B",AX132,MAX(AX132,G132))))</f>
        <v>534</v>
      </c>
      <c r="AU132" s="57" t="n">
        <f aca="false">IF(BR132=1,0,ROUNDUP(AT132/BQ132,0))</f>
        <v>3</v>
      </c>
      <c r="AV132" s="59" t="n">
        <f aca="false">IF(CD132&gt;0,CD132*MAX(1,AT132/V132),IF(BR132=1,IF(AT132&lt;=0,0,BS132*MAX(1,IF(G132&gt;0,AT132/G132,1))),IF(Q132&gt;0,AU132/Q132,0))/MAX(0.1,N(Parameter!$M$21)))</f>
        <v>0.0576923076923077</v>
      </c>
      <c r="AW132" s="57" t="n">
        <f aca="false">AT132*F132</f>
        <v>4213.26</v>
      </c>
      <c r="AX132" s="57" t="n">
        <f aca="false">ROUNDUP(MAX(I132/IF(BV132&gt;0,BV132,MAX(0.1,N(Cockpit!$O$6))),BY132)/BQ132,0)*BQ132</f>
        <v>534</v>
      </c>
      <c r="AY132" s="58" t="n">
        <f aca="false">IF(AV132&gt;0,I132/AV132,-1)</f>
        <v>6777.33333333333</v>
      </c>
      <c r="AZ132" s="58" t="n">
        <f aca="false">IF(AND(OR(BU132="L1",BU132="L23"),AV132&gt;0),SUMIFS($AV$7:$AV$1576,$BU$7:$BU$1576,BU132,$AY$7:$AY$1576,"&gt;"&amp;AY132)+SUMIFS($AV$7:$AV$1576,$BU$7:$BU$1576,BU132,$AY$7:$AY$1576,AY132,$BO$7:$BO$1576,"&lt;="&amp;BO132),"")</f>
        <v>8.98356812269856</v>
      </c>
      <c r="BA132" s="65" t="n">
        <f aca="false">IF(AZ132="",0,MAX(0,MIN(1,(IF(BU132="L1",Parameter!$E$5,Parameter!$E$6+Parameter!$E$7)-(AZ132-AV132))/AV132)))</f>
        <v>1</v>
      </c>
      <c r="BB132" s="55" t="str">
        <f aca="false">IF(AF132&lt;=0,"",IF(BU132="Aussen","Aussenlager",IF(BU132="-","Nicht im Lift",IF(AK132&gt;=1,"Lift",IF(AK132&lt;=0,"Aussenlager","teilweise")))))</f>
        <v>Lift</v>
      </c>
      <c r="BC132" s="55" t="str">
        <f aca="false">IF(AN132&lt;=0,"",IF(BU132="Aussen","Aussenlager",IF(BU132="-","Nicht im Lift",IF(AS132&gt;=1,"Lift",IF(AS132&lt;=0,"Aussenlager","teilweise")))))</f>
        <v>Lift</v>
      </c>
      <c r="BD132" s="55" t="str">
        <f aca="false">IF(AV132&lt;=0,"",IF(BU132="Aussen","Aussenlager",IF(BU132="-","Nicht im Lift",IF(BA132&gt;=1,"Lift",IF(BA132&lt;=0,"Aussenlager","teilweise")))))</f>
        <v>Lift</v>
      </c>
      <c r="BE132" s="55" t="str">
        <f aca="false">IF(A132="","",IF(BN132=1,"Neu; ","")&amp;IF(AND(BN132=0,BI132&lt;0),"negativer Bestand (Export "&amp;BI132&amp;"); ","")&amp;IF(I132&lt;=0,"Kein Verbrauch; ","")&amp;IF(CD132&gt;0,"Lift "&amp;U132&amp;" lt. Liftbericht (Fach "&amp;V132&amp;" Stk); ",IF(BR132=1,"Lose – Fläche geschätzt; ",""))&amp;IF(G132&gt;AP132,"Überbestand "&amp;ROUND(G132-AP132,0)&amp;" Stk / CHF "&amp;ROUND((G132-AP132)*F132,0)&amp;"; ","")&amp;IF(AND(BW132=1,BX132&lt;BY132),"MAX &lt; MB+LG; ","")&amp;IF(AND(CC132&gt;0,CB132*10&gt;CC132),"zu hoch für Tablar; ","")&amp;IF(AND(BN132=0,OR(BW132=1,Y132&lt;&gt;"",S132&lt;&gt;"",T132&lt;&gt;"",Z132&lt;&gt;"")),"manuell übersteuert; ","")&amp;IF(AND(BR132=0,Q132=0),"Gebinde unbekannt / Stellmass fehlt; ","")&amp;IF(AND(BR132=0,N(T132)&lt;=0,N(P132)&lt;=0),"Menge pro Gebinde fehlt (Ist = 1 Gebinde); ","")&amp;BM132)</f>
        <v/>
      </c>
      <c r="BF132" s="55"/>
      <c r="BG132" s="55"/>
      <c r="BH132" s="62"/>
      <c r="BI132" s="57" t="n">
        <v>217</v>
      </c>
      <c r="BJ132" s="57" t="n">
        <v>46</v>
      </c>
      <c r="BK132" s="56" t="n">
        <v>1710.09</v>
      </c>
      <c r="BL132" s="57" t="n">
        <v>391</v>
      </c>
      <c r="BM132" s="55"/>
      <c r="BN132" s="60" t="n">
        <v>0</v>
      </c>
      <c r="BO132" s="60" t="n">
        <v>132</v>
      </c>
      <c r="BP132" s="55" t="str">
        <f aca="false">IF(S132&lt;&gt;"",UPPER(TRIM(S132)),IF(O132="","LOSE",O132))</f>
        <v>S41</v>
      </c>
      <c r="BQ132" s="57" t="n">
        <f aca="false">IF(BP132="LOSE",1,IF(N(T132)&gt;0,T132,IF(N(P132)&gt;0,P132,MAX(1,G132))))</f>
        <v>178</v>
      </c>
      <c r="BR132" s="60" t="n">
        <f aca="false">IF(BP132="LOSE",1,0)</f>
        <v>0</v>
      </c>
      <c r="BS132" s="59" t="n">
        <f aca="false">IF(BR132=0,0,IF(N(R132)&gt;0,R132,IFERROR(VLOOKUP(D132,Parameter!$A$35:$C$64,3,0)+0,0)))</f>
        <v>0</v>
      </c>
      <c r="BT132" s="55" t="n">
        <f aca="false">IF(Y132&lt;&gt;"",Y132,X132)</f>
        <v>3</v>
      </c>
      <c r="BU132" s="55" t="str">
        <f aca="false">IF(BT132=1,"L1",IF(OR(BT132=2,BT132=3),"L23",IF(BT132="Aussen","Aussen","-")))</f>
        <v>L23</v>
      </c>
      <c r="BV132" s="66" t="n">
        <f aca="false">IF(N(Z132)&gt;0,Z132,0)</f>
        <v>0</v>
      </c>
      <c r="BW132" s="60" t="n">
        <f aca="false">IF(ISNUMBER(AC132),1,0)</f>
        <v>0</v>
      </c>
      <c r="BX132" s="57" t="n">
        <f aca="false">N(AC132)</f>
        <v>0</v>
      </c>
      <c r="BY132" s="57" t="n">
        <f aca="false">N(L132)+N(M132)</f>
        <v>405</v>
      </c>
      <c r="BZ132" s="57" t="n">
        <f aca="false">ROUNDUP(G132/BQ132,0)</f>
        <v>2</v>
      </c>
      <c r="CA132" s="57" t="n">
        <f aca="false">ROUNDUP(BX132/BQ132,0)</f>
        <v>0</v>
      </c>
      <c r="CB132" s="60" t="n">
        <f aca="false">IF(BR132=1,0,IFERROR(VLOOKUP(BP132,'Gebinde-Kategorie'!$A$5:$M$45,5,0)+0,0))</f>
        <v>11</v>
      </c>
      <c r="CC132" s="60" t="n">
        <f aca="false">IFERROR(IF(OR(BT132=1,BT132=2,BT132=3),N(INDEX(Parameter!$I$5:$I$7,BT132)),0),0)</f>
        <v>0</v>
      </c>
      <c r="CD132" s="59" t="n">
        <f aca="false">IF(AND(Parameter!$B$21="Ja",ISNUMBER(U132),N(V132)&gt;0),IFERROR(N(INDEX(Parameter!$L$5:$L$7,U132))*INDEX(Parameter!$E$5:$E$7,U132)*V132/SUMIFS($V$7:$V$1576,$U$7:$U$1576,U132),0),0)</f>
        <v>0</v>
      </c>
    </row>
    <row r="133" customFormat="false" ht="15" hidden="false" customHeight="false" outlineLevel="0" collapsed="false">
      <c r="A133" s="55" t="s">
        <v>463</v>
      </c>
      <c r="B133" s="55" t="s">
        <v>464</v>
      </c>
      <c r="C133" s="55" t="s">
        <v>160</v>
      </c>
      <c r="D133" s="55" t="s">
        <v>178</v>
      </c>
      <c r="E133" s="55" t="s">
        <v>210</v>
      </c>
      <c r="F133" s="56" t="n">
        <v>1.3</v>
      </c>
      <c r="G133" s="57" t="n">
        <f aca="false">MAX(0,IF(AND(Parameter!$B$21="Ja",ISNUMBER(W133)),W133,IF(Parameter!$B$20="Jahresanfang 2025 + Export",BJ133+BI133,BI133)))</f>
        <v>1387</v>
      </c>
      <c r="H133" s="57" t="n">
        <f aca="false">G133*F133</f>
        <v>1803.1</v>
      </c>
      <c r="I133" s="57" t="n">
        <f aca="false">BL133*Parameter!$B$18</f>
        <v>2371</v>
      </c>
      <c r="J133" s="58" t="n">
        <v>739</v>
      </c>
      <c r="K133" s="59" t="n">
        <v>3.20838971583221</v>
      </c>
      <c r="L133" s="57" t="n">
        <v>100</v>
      </c>
      <c r="M133" s="57" t="n">
        <v>2145</v>
      </c>
      <c r="N133" s="60" t="n">
        <v>14</v>
      </c>
      <c r="O133" s="55" t="s">
        <v>465</v>
      </c>
      <c r="P133" s="57" t="n">
        <v>1988</v>
      </c>
      <c r="Q133" s="60" t="n">
        <f aca="false">IF(BR133=1,0,IFERROR(VLOOKUP(BP133,'Gebinde-Kategorie'!$A$5:$M$45,13,0)+0,0))</f>
        <v>66</v>
      </c>
      <c r="R133" s="61"/>
      <c r="S133" s="62"/>
      <c r="T133" s="62"/>
      <c r="U133" s="55"/>
      <c r="V133" s="57"/>
      <c r="W133" s="57"/>
      <c r="X133" s="55" t="n">
        <f aca="false">IF(A133="","",IF(AND(Parameter!$B$21="Ja",ISNUMBER(U133)),U133,IF(IFERROR(VLOOKUP(D133,Parameter!$A$35:$C$64,2,0),"Nein")="2+3",IF(ISNUMBER(SEARCH("grosser Artikel",BM133)),2,IFERROR(VLOOKUP(BP133,Parameter!$F$35:$G$64,2,0),2)),IF(OR(IFERROR(VLOOKUP(D133,Parameter!$A$35:$C$64,2,0),"Nein")="Nein",IFERROR(VLOOKUP(D133,Parameter!$A$35:$C$64,2,0),"Nein")=""),"-",VLOOKUP(D133,Parameter!$A$35:$C$64,2,0)))))</f>
        <v>3</v>
      </c>
      <c r="Y133" s="62"/>
      <c r="Z133" s="63"/>
      <c r="AA133" s="57" t="n">
        <f aca="false">AP133</f>
        <v>3976</v>
      </c>
      <c r="AB133" s="57" t="n">
        <f aca="false">MAX(AP133,G133)</f>
        <v>3976</v>
      </c>
      <c r="AC133" s="64"/>
      <c r="AD133" s="57" t="n">
        <f aca="false">IF(LEFT(Cockpit!$C$5,1)="A",G133,IF(BW133=1,BX133,IF(LEFT(Cockpit!$C$5,1)="B",AH133,MAX(AH133,G133))))</f>
        <v>1387</v>
      </c>
      <c r="AE133" s="57" t="n">
        <f aca="false">IF(BR133=1,0,ROUNDUP(AD133/BQ133,0))</f>
        <v>1</v>
      </c>
      <c r="AF133" s="59" t="n">
        <f aca="false">IF(CD133&gt;0,CD133*MAX(1,AD133/V133),IF(BR133=1,IF(AD133&lt;=0,0,BS133*MAX(1,IF(G133&gt;0,AD133/G133,1))),IF(Q133&gt;0,AE133/Q133,0))/MAX(0.1,N(Parameter!$M$21)))</f>
        <v>0.0151515151515152</v>
      </c>
      <c r="AG133" s="57" t="n">
        <f aca="false">AD133*F133</f>
        <v>1803.1</v>
      </c>
      <c r="AH133" s="57" t="n">
        <f aca="false">ROUNDUP(MAX(I133/IF(BV133&gt;0,BV133,MAX(0.1,N(Cockpit!$C$6))),BY133)/BQ133,0)*BQ133</f>
        <v>3976</v>
      </c>
      <c r="AI133" s="58" t="n">
        <f aca="false">IF(AF133&gt;0,I133/AF133,-1)</f>
        <v>156486</v>
      </c>
      <c r="AJ133" s="58" t="n">
        <f aca="false">IF(AND(OR(BU133="L1",BU133="L23"),AF133&gt;0),SUMIFS($AF$7:$AF$1576,$BU$7:$BU$1576,BU133,$AI$7:$AI$1576,"&gt;"&amp;AI133)+SUMIFS($AF$7:$AF$1576,$BU$7:$BU$1576,BU133,$AI$7:$AI$1576,AI133,$BO$7:$BO$1576,"&lt;="&amp;BO133),"")</f>
        <v>0.0835867031519205</v>
      </c>
      <c r="AK133" s="65" t="n">
        <f aca="false">IF(AJ133="",0,MAX(0,MIN(1,(IF(BU133="L1",Parameter!$E$5,Parameter!$E$6+Parameter!$E$7)-(AJ133-AF133))/AF133)))</f>
        <v>1</v>
      </c>
      <c r="AL133" s="57" t="n">
        <f aca="false">IF(LEFT(Cockpit!$I$5,1)="A",G133,IF(BW133=1,BX133,IF(LEFT(Cockpit!$I$5,1)="B",AP133,MAX(AP133,G133))))</f>
        <v>3976</v>
      </c>
      <c r="AM133" s="57" t="n">
        <f aca="false">IF(BR133=1,0,ROUNDUP(AL133/BQ133,0))</f>
        <v>2</v>
      </c>
      <c r="AN133" s="59" t="n">
        <f aca="false">IF(CD133&gt;0,CD133*MAX(1,AL133/V133),IF(BR133=1,IF(AL133&lt;=0,0,BS133*MAX(1,IF(G133&gt;0,AL133/G133,1))),IF(Q133&gt;0,AM133/Q133,0))/MAX(0.1,N(Parameter!$M$21)))</f>
        <v>0.0303030303030303</v>
      </c>
      <c r="AO133" s="57" t="n">
        <f aca="false">AL133*F133</f>
        <v>5168.8</v>
      </c>
      <c r="AP133" s="57" t="n">
        <f aca="false">ROUNDUP(MAX(I133/IF(BV133&gt;0,BV133,MAX(0.1,N(Cockpit!$I$6))),BY133)/BQ133,0)*BQ133</f>
        <v>3976</v>
      </c>
      <c r="AQ133" s="58" t="n">
        <f aca="false">IF(AN133&gt;0,I133/AN133,-1)</f>
        <v>78243</v>
      </c>
      <c r="AR133" s="58" t="n">
        <f aca="false">IF(AND(OR(BU133="L1",BU133="L23"),AN133&gt;0),SUMIFS($AN$7:$AN$1576,$BU$7:$BU$1576,BU133,$AQ$7:$AQ$1576,"&gt;"&amp;AQ133)+SUMIFS($AN$7:$AN$1576,$BU$7:$BU$1576,BU133,$AQ$7:$AQ$1576,AQ133,$BO$7:$BO$1576,"&lt;="&amp;BO133),"")</f>
        <v>0.716028174723827</v>
      </c>
      <c r="AS133" s="65" t="n">
        <f aca="false">IF(AR133="",0,MAX(0,MIN(1,(IF(BU133="L1",Parameter!$E$5,Parameter!$E$6+Parameter!$E$7)-(AR133-AN133))/AN133)))</f>
        <v>1</v>
      </c>
      <c r="AT133" s="57" t="n">
        <f aca="false">IF(LEFT(Cockpit!$O$5,1)="A",G133,IF(BW133=1,BX133,IF(LEFT(Cockpit!$O$5,1)="B",AX133,MAX(AX133,G133))))</f>
        <v>3976</v>
      </c>
      <c r="AU133" s="57" t="n">
        <f aca="false">IF(BR133=1,0,ROUNDUP(AT133/BQ133,0))</f>
        <v>2</v>
      </c>
      <c r="AV133" s="59" t="n">
        <f aca="false">IF(CD133&gt;0,CD133*MAX(1,AT133/V133),IF(BR133=1,IF(AT133&lt;=0,0,BS133*MAX(1,IF(G133&gt;0,AT133/G133,1))),IF(Q133&gt;0,AU133/Q133,0))/MAX(0.1,N(Parameter!$M$21)))</f>
        <v>0.0303030303030303</v>
      </c>
      <c r="AW133" s="57" t="n">
        <f aca="false">AT133*F133</f>
        <v>5168.8</v>
      </c>
      <c r="AX133" s="57" t="n">
        <f aca="false">ROUNDUP(MAX(I133/IF(BV133&gt;0,BV133,MAX(0.1,N(Cockpit!$O$6))),BY133)/BQ133,0)*BQ133</f>
        <v>3976</v>
      </c>
      <c r="AY133" s="58" t="n">
        <f aca="false">IF(AV133&gt;0,I133/AV133,-1)</f>
        <v>78243</v>
      </c>
      <c r="AZ133" s="58" t="n">
        <f aca="false">IF(AND(OR(BU133="L1",BU133="L23"),AV133&gt;0),SUMIFS($AV$7:$AV$1576,$BU$7:$BU$1576,BU133,$AY$7:$AY$1576,"&gt;"&amp;AY133)+SUMIFS($AV$7:$AV$1576,$BU$7:$BU$1576,BU133,$AY$7:$AY$1576,AY133,$BO$7:$BO$1576,"&lt;="&amp;BO133),"")</f>
        <v>0.877450086145738</v>
      </c>
      <c r="BA133" s="65" t="n">
        <f aca="false">IF(AZ133="",0,MAX(0,MIN(1,(IF(BU133="L1",Parameter!$E$5,Parameter!$E$6+Parameter!$E$7)-(AZ133-AV133))/AV133)))</f>
        <v>1</v>
      </c>
      <c r="BB133" s="55" t="str">
        <f aca="false">IF(AF133&lt;=0,"",IF(BU133="Aussen","Aussenlager",IF(BU133="-","Nicht im Lift",IF(AK133&gt;=1,"Lift",IF(AK133&lt;=0,"Aussenlager","teilweise")))))</f>
        <v>Lift</v>
      </c>
      <c r="BC133" s="55" t="str">
        <f aca="false">IF(AN133&lt;=0,"",IF(BU133="Aussen","Aussenlager",IF(BU133="-","Nicht im Lift",IF(AS133&gt;=1,"Lift",IF(AS133&lt;=0,"Aussenlager","teilweise")))))</f>
        <v>Lift</v>
      </c>
      <c r="BD133" s="55" t="str">
        <f aca="false">IF(AV133&lt;=0,"",IF(BU133="Aussen","Aussenlager",IF(BU133="-","Nicht im Lift",IF(BA133&gt;=1,"Lift",IF(BA133&lt;=0,"Aussenlager","teilweise")))))</f>
        <v>Lift</v>
      </c>
      <c r="BE133" s="55" t="str">
        <f aca="false">IF(A133="","",IF(BN133=1,"Neu; ","")&amp;IF(AND(BN133=0,BI133&lt;0),"negativer Bestand (Export "&amp;BI133&amp;"); ","")&amp;IF(I133&lt;=0,"Kein Verbrauch; ","")&amp;IF(CD133&gt;0,"Lift "&amp;U133&amp;" lt. Liftbericht (Fach "&amp;V133&amp;" Stk); ",IF(BR133=1,"Lose – Fläche geschätzt; ",""))&amp;IF(G133&gt;AP133,"Überbestand "&amp;ROUND(G133-AP133,0)&amp;" Stk / CHF "&amp;ROUND((G133-AP133)*F133,0)&amp;"; ","")&amp;IF(AND(BW133=1,BX133&lt;BY133),"MAX &lt; MB+LG; ","")&amp;IF(AND(CC133&gt;0,CB133*10&gt;CC133),"zu hoch für Tablar; ","")&amp;IF(AND(BN133=0,OR(BW133=1,Y133&lt;&gt;"",S133&lt;&gt;"",T133&lt;&gt;"",Z133&lt;&gt;"")),"manuell übersteuert; ","")&amp;IF(AND(BR133=0,Q133=0),"Gebinde unbekannt / Stellmass fehlt; ","")&amp;IF(AND(BR133=0,N(T133)&lt;=0,N(P133)&lt;=0),"Menge pro Gebinde fehlt (Ist = 1 Gebinde); ","")&amp;BM133)</f>
        <v/>
      </c>
      <c r="BF133" s="55"/>
      <c r="BG133" s="55"/>
      <c r="BH133" s="62"/>
      <c r="BI133" s="57" t="n">
        <v>1387</v>
      </c>
      <c r="BJ133" s="57" t="n">
        <v>670</v>
      </c>
      <c r="BK133" s="56" t="n">
        <v>1675.10000000001</v>
      </c>
      <c r="BL133" s="57" t="n">
        <v>2371</v>
      </c>
      <c r="BM133" s="55"/>
      <c r="BN133" s="60" t="n">
        <v>0</v>
      </c>
      <c r="BO133" s="60" t="n">
        <v>133</v>
      </c>
      <c r="BP133" s="55" t="str">
        <f aca="false">IF(S133&lt;&gt;"",UPPER(TRIM(S133)),IF(O133="","LOSE",O133))</f>
        <v>S33</v>
      </c>
      <c r="BQ133" s="57" t="n">
        <f aca="false">IF(BP133="LOSE",1,IF(N(T133)&gt;0,T133,IF(N(P133)&gt;0,P133,MAX(1,G133))))</f>
        <v>1988</v>
      </c>
      <c r="BR133" s="60" t="n">
        <f aca="false">IF(BP133="LOSE",1,0)</f>
        <v>0</v>
      </c>
      <c r="BS133" s="59" t="n">
        <f aca="false">IF(BR133=0,0,IF(N(R133)&gt;0,R133,IFERROR(VLOOKUP(D133,Parameter!$A$35:$C$64,3,0)+0,0)))</f>
        <v>0</v>
      </c>
      <c r="BT133" s="55" t="n">
        <f aca="false">IF(Y133&lt;&gt;"",Y133,X133)</f>
        <v>3</v>
      </c>
      <c r="BU133" s="55" t="str">
        <f aca="false">IF(BT133=1,"L1",IF(OR(BT133=2,BT133=3),"L23",IF(BT133="Aussen","Aussen","-")))</f>
        <v>L23</v>
      </c>
      <c r="BV133" s="66" t="n">
        <f aca="false">IF(N(Z133)&gt;0,Z133,0)</f>
        <v>0</v>
      </c>
      <c r="BW133" s="60" t="n">
        <f aca="false">IF(ISNUMBER(AC133),1,0)</f>
        <v>0</v>
      </c>
      <c r="BX133" s="57" t="n">
        <f aca="false">N(AC133)</f>
        <v>0</v>
      </c>
      <c r="BY133" s="57" t="n">
        <f aca="false">N(L133)+N(M133)</f>
        <v>2245</v>
      </c>
      <c r="BZ133" s="57" t="n">
        <f aca="false">ROUNDUP(G133/BQ133,0)</f>
        <v>1</v>
      </c>
      <c r="CA133" s="57" t="n">
        <f aca="false">ROUNDUP(BX133/BQ133,0)</f>
        <v>0</v>
      </c>
      <c r="CB133" s="60" t="n">
        <f aca="false">IF(BR133=1,0,IFERROR(VLOOKUP(BP133,'Gebinde-Kategorie'!$A$5:$M$45,5,0)+0,0))</f>
        <v>8</v>
      </c>
      <c r="CC133" s="60" t="n">
        <f aca="false">IFERROR(IF(OR(BT133=1,BT133=2,BT133=3),N(INDEX(Parameter!$I$5:$I$7,BT133)),0),0)</f>
        <v>0</v>
      </c>
      <c r="CD133" s="59" t="n">
        <f aca="false">IF(AND(Parameter!$B$21="Ja",ISNUMBER(U133),N(V133)&gt;0),IFERROR(N(INDEX(Parameter!$L$5:$L$7,U133))*INDEX(Parameter!$E$5:$E$7,U133)*V133/SUMIFS($V$7:$V$1576,$U$7:$U$1576,U133),0),0)</f>
        <v>0</v>
      </c>
    </row>
    <row r="134" customFormat="false" ht="15" hidden="false" customHeight="false" outlineLevel="0" collapsed="false">
      <c r="A134" s="55" t="s">
        <v>466</v>
      </c>
      <c r="B134" s="55" t="s">
        <v>292</v>
      </c>
      <c r="C134" s="55" t="s">
        <v>160</v>
      </c>
      <c r="D134" s="55" t="s">
        <v>178</v>
      </c>
      <c r="E134" s="55" t="s">
        <v>210</v>
      </c>
      <c r="F134" s="56" t="n">
        <v>332.74</v>
      </c>
      <c r="G134" s="57" t="n">
        <f aca="false">MAX(0,IF(AND(Parameter!$B$21="Ja",ISNUMBER(W134)),W134,IF(Parameter!$B$20="Jahresanfang 2025 + Export",BJ134+BI134,BI134)))</f>
        <v>5</v>
      </c>
      <c r="H134" s="57" t="n">
        <f aca="false">G134*F134</f>
        <v>1663.7</v>
      </c>
      <c r="I134" s="57" t="n">
        <f aca="false">BL134*Parameter!$B$18</f>
        <v>7</v>
      </c>
      <c r="J134" s="58" t="n">
        <v>18.5</v>
      </c>
      <c r="K134" s="59" t="n">
        <v>0.378378378378378</v>
      </c>
      <c r="L134" s="57" t="n">
        <v>2</v>
      </c>
      <c r="M134" s="57" t="n">
        <v>5</v>
      </c>
      <c r="N134" s="60" t="n">
        <v>105</v>
      </c>
      <c r="O134" s="55" t="s">
        <v>293</v>
      </c>
      <c r="P134" s="57" t="n">
        <v>16</v>
      </c>
      <c r="Q134" s="60" t="n">
        <f aca="false">IF(BR134=1,0,IFERROR(VLOOKUP(BP134,'Gebinde-Kategorie'!$A$5:$M$45,13,0)+0,0))</f>
        <v>26</v>
      </c>
      <c r="R134" s="61"/>
      <c r="S134" s="62"/>
      <c r="T134" s="62"/>
      <c r="U134" s="55"/>
      <c r="V134" s="57"/>
      <c r="W134" s="57"/>
      <c r="X134" s="55" t="n">
        <f aca="false">IF(A134="","",IF(AND(Parameter!$B$21="Ja",ISNUMBER(U134)),U134,IF(IFERROR(VLOOKUP(D134,Parameter!$A$35:$C$64,2,0),"Nein")="2+3",IF(ISNUMBER(SEARCH("grosser Artikel",BM134)),2,IFERROR(VLOOKUP(BP134,Parameter!$F$35:$G$64,2,0),2)),IF(OR(IFERROR(VLOOKUP(D134,Parameter!$A$35:$C$64,2,0),"Nein")="Nein",IFERROR(VLOOKUP(D134,Parameter!$A$35:$C$64,2,0),"Nein")=""),"-",VLOOKUP(D134,Parameter!$A$35:$C$64,2,0)))))</f>
        <v>3</v>
      </c>
      <c r="Y134" s="62"/>
      <c r="Z134" s="63"/>
      <c r="AA134" s="57" t="n">
        <f aca="false">AP134</f>
        <v>16</v>
      </c>
      <c r="AB134" s="57" t="n">
        <f aca="false">MAX(AP134,G134)</f>
        <v>16</v>
      </c>
      <c r="AC134" s="64"/>
      <c r="AD134" s="57" t="n">
        <f aca="false">IF(LEFT(Cockpit!$C$5,1)="A",G134,IF(BW134=1,BX134,IF(LEFT(Cockpit!$C$5,1)="B",AH134,MAX(AH134,G134))))</f>
        <v>5</v>
      </c>
      <c r="AE134" s="57" t="n">
        <f aca="false">IF(BR134=1,0,ROUNDUP(AD134/BQ134,0))</f>
        <v>1</v>
      </c>
      <c r="AF134" s="59" t="n">
        <f aca="false">IF(CD134&gt;0,CD134*MAX(1,AD134/V134),IF(BR134=1,IF(AD134&lt;=0,0,BS134*MAX(1,IF(G134&gt;0,AD134/G134,1))),IF(Q134&gt;0,AE134/Q134,0))/MAX(0.1,N(Parameter!$M$21)))</f>
        <v>0.0384615384615385</v>
      </c>
      <c r="AG134" s="57" t="n">
        <f aca="false">AD134*F134</f>
        <v>1663.7</v>
      </c>
      <c r="AH134" s="57" t="n">
        <f aca="false">ROUNDUP(MAX(I134/IF(BV134&gt;0,BV134,MAX(0.1,N(Cockpit!$C$6))),BY134)/BQ134,0)*BQ134</f>
        <v>16</v>
      </c>
      <c r="AI134" s="58" t="n">
        <f aca="false">IF(AF134&gt;0,I134/AF134,-1)</f>
        <v>182</v>
      </c>
      <c r="AJ134" s="58" t="n">
        <f aca="false">IF(AND(OR(BU134="L1",BU134="L23"),AF134&gt;0),SUMIFS($AF$7:$AF$1576,$BU$7:$BU$1576,BU134,$AI$7:$AI$1576,"&gt;"&amp;AI134)+SUMIFS($AF$7:$AF$1576,$BU$7:$BU$1576,BU134,$AI$7:$AI$1576,AI134,$BO$7:$BO$1576,"&lt;="&amp;BO134),"")</f>
        <v>17.3608878078443</v>
      </c>
      <c r="AK134" s="65" t="n">
        <f aca="false">IF(AJ134="",0,MAX(0,MIN(1,(IF(BU134="L1",Parameter!$E$5,Parameter!$E$6+Parameter!$E$7)-(AJ134-AF134))/AF134)))</f>
        <v>1</v>
      </c>
      <c r="AL134" s="57" t="n">
        <f aca="false">IF(LEFT(Cockpit!$I$5,1)="A",G134,IF(BW134=1,BX134,IF(LEFT(Cockpit!$I$5,1)="B",AP134,MAX(AP134,G134))))</f>
        <v>16</v>
      </c>
      <c r="AM134" s="57" t="n">
        <f aca="false">IF(BR134=1,0,ROUNDUP(AL134/BQ134,0))</f>
        <v>1</v>
      </c>
      <c r="AN134" s="59" t="n">
        <f aca="false">IF(CD134&gt;0,CD134*MAX(1,AL134/V134),IF(BR134=1,IF(AL134&lt;=0,0,BS134*MAX(1,IF(G134&gt;0,AL134/G134,1))),IF(Q134&gt;0,AM134/Q134,0))/MAX(0.1,N(Parameter!$M$21)))</f>
        <v>0.0384615384615385</v>
      </c>
      <c r="AO134" s="57" t="n">
        <f aca="false">AL134*F134</f>
        <v>5323.84</v>
      </c>
      <c r="AP134" s="57" t="n">
        <f aca="false">ROUNDUP(MAX(I134/IF(BV134&gt;0,BV134,MAX(0.1,N(Cockpit!$I$6))),BY134)/BQ134,0)*BQ134</f>
        <v>16</v>
      </c>
      <c r="AQ134" s="58" t="n">
        <f aca="false">IF(AN134&gt;0,I134/AN134,-1)</f>
        <v>182</v>
      </c>
      <c r="AR134" s="58" t="n">
        <f aca="false">IF(AND(OR(BU134="L1",BU134="L23"),AN134&gt;0),SUMIFS($AN$7:$AN$1576,$BU$7:$BU$1576,BU134,$AQ$7:$AQ$1576,"&gt;"&amp;AQ134)+SUMIFS($AN$7:$AN$1576,$BU$7:$BU$1576,BU134,$AQ$7:$AQ$1576,AQ134,$BO$7:$BO$1576,"&lt;="&amp;BO134),"")</f>
        <v>52.2880047130159</v>
      </c>
      <c r="AS134" s="65" t="n">
        <f aca="false">IF(AR134="",0,MAX(0,MIN(1,(IF(BU134="L1",Parameter!$E$5,Parameter!$E$6+Parameter!$E$7)-(AR134-AN134))/AN134)))</f>
        <v>1</v>
      </c>
      <c r="AT134" s="57" t="n">
        <f aca="false">IF(LEFT(Cockpit!$O$5,1)="A",G134,IF(BW134=1,BX134,IF(LEFT(Cockpit!$O$5,1)="B",AX134,MAX(AX134,G134))))</f>
        <v>16</v>
      </c>
      <c r="AU134" s="57" t="n">
        <f aca="false">IF(BR134=1,0,ROUNDUP(AT134/BQ134,0))</f>
        <v>1</v>
      </c>
      <c r="AV134" s="59" t="n">
        <f aca="false">IF(CD134&gt;0,CD134*MAX(1,AT134/V134),IF(BR134=1,IF(AT134&lt;=0,0,BS134*MAX(1,IF(G134&gt;0,AT134/G134,1))),IF(Q134&gt;0,AU134/Q134,0))/MAX(0.1,N(Parameter!$M$21)))</f>
        <v>0.0384615384615385</v>
      </c>
      <c r="AW134" s="57" t="n">
        <f aca="false">AT134*F134</f>
        <v>5323.84</v>
      </c>
      <c r="AX134" s="57" t="n">
        <f aca="false">ROUNDUP(MAX(I134/IF(BV134&gt;0,BV134,MAX(0.1,N(Cockpit!$O$6))),BY134)/BQ134,0)*BQ134</f>
        <v>16</v>
      </c>
      <c r="AY134" s="58" t="n">
        <f aca="false">IF(AV134&gt;0,I134/AV134,-1)</f>
        <v>182</v>
      </c>
      <c r="AZ134" s="58" t="n">
        <f aca="false">IF(AND(OR(BU134="L1",BU134="L23"),AV134&gt;0),SUMIFS($AV$7:$AV$1576,$BU$7:$BU$1576,BU134,$AY$7:$AY$1576,"&gt;"&amp;AY134)+SUMIFS($AV$7:$AV$1576,$BU$7:$BU$1576,BU134,$AY$7:$AY$1576,AY134,$BO$7:$BO$1576,"&lt;="&amp;BO134),"")</f>
        <v>48.1699794049906</v>
      </c>
      <c r="BA134" s="65" t="n">
        <f aca="false">IF(AZ134="",0,MAX(0,MIN(1,(IF(BU134="L1",Parameter!$E$5,Parameter!$E$6+Parameter!$E$7)-(AZ134-AV134))/AV134)))</f>
        <v>1</v>
      </c>
      <c r="BB134" s="55" t="str">
        <f aca="false">IF(AF134&lt;=0,"",IF(BU134="Aussen","Aussenlager",IF(BU134="-","Nicht im Lift",IF(AK134&gt;=1,"Lift",IF(AK134&lt;=0,"Aussenlager","teilweise")))))</f>
        <v>Lift</v>
      </c>
      <c r="BC134" s="55" t="str">
        <f aca="false">IF(AN134&lt;=0,"",IF(BU134="Aussen","Aussenlager",IF(BU134="-","Nicht im Lift",IF(AS134&gt;=1,"Lift",IF(AS134&lt;=0,"Aussenlager","teilweise")))))</f>
        <v>Lift</v>
      </c>
      <c r="BD134" s="55" t="str">
        <f aca="false">IF(AV134&lt;=0,"",IF(BU134="Aussen","Aussenlager",IF(BU134="-","Nicht im Lift",IF(BA134&gt;=1,"Lift",IF(BA134&lt;=0,"Aussenlager","teilweise")))))</f>
        <v>Lift</v>
      </c>
      <c r="BE134" s="55" t="str">
        <f aca="false">IF(A134="","",IF(BN134=1,"Neu; ","")&amp;IF(AND(BN134=0,BI134&lt;0),"negativer Bestand (Export "&amp;BI134&amp;"); ","")&amp;IF(I134&lt;=0,"Kein Verbrauch; ","")&amp;IF(CD134&gt;0,"Lift "&amp;U134&amp;" lt. Liftbericht (Fach "&amp;V134&amp;" Stk); ",IF(BR134=1,"Lose – Fläche geschätzt; ",""))&amp;IF(G134&gt;AP134,"Überbestand "&amp;ROUND(G134-AP134,0)&amp;" Stk / CHF "&amp;ROUND((G134-AP134)*F134,0)&amp;"; ","")&amp;IF(AND(BW134=1,BX134&lt;BY134),"MAX &lt; MB+LG; ","")&amp;IF(AND(CC134&gt;0,CB134*10&gt;CC134),"zu hoch für Tablar; ","")&amp;IF(AND(BN134=0,OR(BW134=1,Y134&lt;&gt;"",S134&lt;&gt;"",T134&lt;&gt;"",Z134&lt;&gt;"")),"manuell übersteuert; ","")&amp;IF(AND(BR134=0,Q134=0),"Gebinde unbekannt / Stellmass fehlt; ","")&amp;IF(AND(BR134=0,N(T134)&lt;=0,N(P134)&lt;=0),"Menge pro Gebinde fehlt (Ist = 1 Gebinde); ","")&amp;BM134)</f>
        <v/>
      </c>
      <c r="BF134" s="55"/>
      <c r="BG134" s="55"/>
      <c r="BH134" s="62"/>
      <c r="BI134" s="57" t="n">
        <v>5</v>
      </c>
      <c r="BJ134" s="57" t="n">
        <v>17</v>
      </c>
      <c r="BK134" s="56" t="n">
        <v>1663.19</v>
      </c>
      <c r="BL134" s="57" t="n">
        <v>7</v>
      </c>
      <c r="BM134" s="55"/>
      <c r="BN134" s="60" t="n">
        <v>0</v>
      </c>
      <c r="BO134" s="60" t="n">
        <v>134</v>
      </c>
      <c r="BP134" s="55" t="str">
        <f aca="false">IF(S134&lt;&gt;"",UPPER(TRIM(S134)),IF(O134="","LOSE",O134))</f>
        <v>S51</v>
      </c>
      <c r="BQ134" s="57" t="n">
        <f aca="false">IF(BP134="LOSE",1,IF(N(T134)&gt;0,T134,IF(N(P134)&gt;0,P134,MAX(1,G134))))</f>
        <v>16</v>
      </c>
      <c r="BR134" s="60" t="n">
        <f aca="false">IF(BP134="LOSE",1,0)</f>
        <v>0</v>
      </c>
      <c r="BS134" s="59" t="n">
        <f aca="false">IF(BR134=0,0,IF(N(R134)&gt;0,R134,IFERROR(VLOOKUP(D134,Parameter!$A$35:$C$64,3,0)+0,0)))</f>
        <v>0</v>
      </c>
      <c r="BT134" s="55" t="n">
        <f aca="false">IF(Y134&lt;&gt;"",Y134,X134)</f>
        <v>3</v>
      </c>
      <c r="BU134" s="55" t="str">
        <f aca="false">IF(BT134=1,"L1",IF(OR(BT134=2,BT134=3),"L23",IF(BT134="Aussen","Aussen","-")))</f>
        <v>L23</v>
      </c>
      <c r="BV134" s="66" t="n">
        <f aca="false">IF(N(Z134)&gt;0,Z134,0)</f>
        <v>0</v>
      </c>
      <c r="BW134" s="60" t="n">
        <f aca="false">IF(ISNUMBER(AC134),1,0)</f>
        <v>0</v>
      </c>
      <c r="BX134" s="57" t="n">
        <f aca="false">N(AC134)</f>
        <v>0</v>
      </c>
      <c r="BY134" s="57" t="n">
        <f aca="false">N(L134)+N(M134)</f>
        <v>7</v>
      </c>
      <c r="BZ134" s="57" t="n">
        <f aca="false">ROUNDUP(G134/BQ134,0)</f>
        <v>1</v>
      </c>
      <c r="CA134" s="57" t="n">
        <f aca="false">ROUNDUP(BX134/BQ134,0)</f>
        <v>0</v>
      </c>
      <c r="CB134" s="60" t="n">
        <f aca="false">IF(BR134=1,0,IFERROR(VLOOKUP(BP134,'Gebinde-Kategorie'!$A$5:$M$45,5,0)+0,0))</f>
        <v>11</v>
      </c>
      <c r="CC134" s="60" t="n">
        <f aca="false">IFERROR(IF(OR(BT134=1,BT134=2,BT134=3),N(INDEX(Parameter!$I$5:$I$7,BT134)),0),0)</f>
        <v>0</v>
      </c>
      <c r="CD134" s="59" t="n">
        <f aca="false">IF(AND(Parameter!$B$21="Ja",ISNUMBER(U134),N(V134)&gt;0),IFERROR(N(INDEX(Parameter!$L$5:$L$7,U134))*INDEX(Parameter!$E$5:$E$7,U134)*V134/SUMIFS($V$7:$V$1576,$U$7:$U$1576,U134),0),0)</f>
        <v>0</v>
      </c>
    </row>
    <row r="135" customFormat="false" ht="15" hidden="false" customHeight="false" outlineLevel="0" collapsed="false">
      <c r="A135" s="55" t="s">
        <v>467</v>
      </c>
      <c r="B135" s="55" t="s">
        <v>338</v>
      </c>
      <c r="C135" s="55" t="s">
        <v>160</v>
      </c>
      <c r="D135" s="55" t="s">
        <v>168</v>
      </c>
      <c r="E135" s="55" t="s">
        <v>210</v>
      </c>
      <c r="F135" s="56" t="n">
        <v>112.45</v>
      </c>
      <c r="G135" s="57" t="n">
        <f aca="false">MAX(0,IF(AND(Parameter!$B$21="Ja",ISNUMBER(W135)),W135,IF(Parameter!$B$20="Jahresanfang 2025 + Export",BJ135+BI135,BI135)))</f>
        <v>20</v>
      </c>
      <c r="H135" s="57" t="n">
        <f aca="false">G135*F135</f>
        <v>2249</v>
      </c>
      <c r="I135" s="57" t="n">
        <f aca="false">BL135*Parameter!$B$18</f>
        <v>315</v>
      </c>
      <c r="J135" s="58" t="n">
        <v>124.5</v>
      </c>
      <c r="K135" s="59" t="n">
        <v>2.53012048192771</v>
      </c>
      <c r="L135" s="57" t="n">
        <v>18</v>
      </c>
      <c r="M135" s="57" t="n">
        <v>100</v>
      </c>
      <c r="N135" s="60" t="n">
        <v>21</v>
      </c>
      <c r="O135" s="55" t="s">
        <v>169</v>
      </c>
      <c r="P135" s="57" t="n">
        <v>60</v>
      </c>
      <c r="Q135" s="60" t="n">
        <f aca="false">IF(BR135=1,0,IFERROR(VLOOKUP(BP135,'Gebinde-Kategorie'!$A$5:$M$45,13,0)+0,0))</f>
        <v>6</v>
      </c>
      <c r="R135" s="61"/>
      <c r="S135" s="62"/>
      <c r="T135" s="62"/>
      <c r="U135" s="55"/>
      <c r="V135" s="57"/>
      <c r="W135" s="57"/>
      <c r="X135" s="55" t="n">
        <f aca="false">IF(A135="","",IF(AND(Parameter!$B$21="Ja",ISNUMBER(U135)),U135,IF(IFERROR(VLOOKUP(D135,Parameter!$A$35:$C$64,2,0),"Nein")="2+3",IF(ISNUMBER(SEARCH("grosser Artikel",BM135)),2,IFERROR(VLOOKUP(BP135,Parameter!$F$35:$G$64,2,0),2)),IF(OR(IFERROR(VLOOKUP(D135,Parameter!$A$35:$C$64,2,0),"Nein")="Nein",IFERROR(VLOOKUP(D135,Parameter!$A$35:$C$64,2,0),"Nein")=""),"-",VLOOKUP(D135,Parameter!$A$35:$C$64,2,0)))))</f>
        <v>2</v>
      </c>
      <c r="Y135" s="62"/>
      <c r="Z135" s="63"/>
      <c r="AA135" s="57" t="n">
        <f aca="false">AP135</f>
        <v>180</v>
      </c>
      <c r="AB135" s="57" t="n">
        <f aca="false">MAX(AP135,G135)</f>
        <v>180</v>
      </c>
      <c r="AC135" s="64"/>
      <c r="AD135" s="57" t="n">
        <f aca="false">IF(LEFT(Cockpit!$C$5,1)="A",G135,IF(BW135=1,BX135,IF(LEFT(Cockpit!$C$5,1)="B",AH135,MAX(AH135,G135))))</f>
        <v>20</v>
      </c>
      <c r="AE135" s="57" t="n">
        <f aca="false">IF(BR135=1,0,ROUNDUP(AD135/BQ135,0))</f>
        <v>1</v>
      </c>
      <c r="AF135" s="59" t="n">
        <f aca="false">IF(CD135&gt;0,CD135*MAX(1,AD135/V135),IF(BR135=1,IF(AD135&lt;=0,0,BS135*MAX(1,IF(G135&gt;0,AD135/G135,1))),IF(Q135&gt;0,AE135/Q135,0))/MAX(0.1,N(Parameter!$M$21)))</f>
        <v>0.166666666666667</v>
      </c>
      <c r="AG135" s="57" t="n">
        <f aca="false">AD135*F135</f>
        <v>2249</v>
      </c>
      <c r="AH135" s="57" t="n">
        <f aca="false">ROUNDUP(MAX(I135/IF(BV135&gt;0,BV135,MAX(0.1,N(Cockpit!$C$6))),BY135)/BQ135,0)*BQ135</f>
        <v>180</v>
      </c>
      <c r="AI135" s="58" t="n">
        <f aca="false">IF(AF135&gt;0,I135/AF135,-1)</f>
        <v>1890</v>
      </c>
      <c r="AJ135" s="58" t="n">
        <f aca="false">IF(AND(OR(BU135="L1",BU135="L23"),AF135&gt;0),SUMIFS($AF$7:$AF$1576,$BU$7:$BU$1576,BU135,$AI$7:$AI$1576,"&gt;"&amp;AI135)+SUMIFS($AF$7:$AF$1576,$BU$7:$BU$1576,BU135,$AI$7:$AI$1576,AI135,$BO$7:$BO$1576,"&lt;="&amp;BO135),"")</f>
        <v>6.90759906759907</v>
      </c>
      <c r="AK135" s="65" t="n">
        <f aca="false">IF(AJ135="",0,MAX(0,MIN(1,(IF(BU135="L1",Parameter!$E$5,Parameter!$E$6+Parameter!$E$7)-(AJ135-AF135))/AF135)))</f>
        <v>1</v>
      </c>
      <c r="AL135" s="57" t="n">
        <f aca="false">IF(LEFT(Cockpit!$I$5,1)="A",G135,IF(BW135=1,BX135,IF(LEFT(Cockpit!$I$5,1)="B",AP135,MAX(AP135,G135))))</f>
        <v>180</v>
      </c>
      <c r="AM135" s="57" t="n">
        <f aca="false">IF(BR135=1,0,ROUNDUP(AL135/BQ135,0))</f>
        <v>3</v>
      </c>
      <c r="AN135" s="59" t="n">
        <f aca="false">IF(CD135&gt;0,CD135*MAX(1,AL135/V135),IF(BR135=1,IF(AL135&lt;=0,0,BS135*MAX(1,IF(G135&gt;0,AL135/G135,1))),IF(Q135&gt;0,AM135/Q135,0))/MAX(0.1,N(Parameter!$M$21)))</f>
        <v>0.5</v>
      </c>
      <c r="AO135" s="57" t="n">
        <f aca="false">AL135*F135</f>
        <v>20241</v>
      </c>
      <c r="AP135" s="57" t="n">
        <f aca="false">ROUNDUP(MAX(I135/IF(BV135&gt;0,BV135,MAX(0.1,N(Cockpit!$I$6))),BY135)/BQ135,0)*BQ135</f>
        <v>180</v>
      </c>
      <c r="AQ135" s="58" t="n">
        <f aca="false">IF(AN135&gt;0,I135/AN135,-1)</f>
        <v>630</v>
      </c>
      <c r="AR135" s="58" t="n">
        <f aca="false">IF(AND(OR(BU135="L1",BU135="L23"),AN135&gt;0),SUMIFS($AN$7:$AN$1576,$BU$7:$BU$1576,BU135,$AQ$7:$AQ$1576,"&gt;"&amp;AQ135)+SUMIFS($AN$7:$AN$1576,$BU$7:$BU$1576,BU135,$AQ$7:$AQ$1576,AQ135,$BO$7:$BO$1576,"&lt;="&amp;BO135),"")</f>
        <v>30.6190810762662</v>
      </c>
      <c r="AS135" s="65" t="n">
        <f aca="false">IF(AR135="",0,MAX(0,MIN(1,(IF(BU135="L1",Parameter!$E$5,Parameter!$E$6+Parameter!$E$7)-(AR135-AN135))/AN135)))</f>
        <v>1</v>
      </c>
      <c r="AT135" s="57" t="n">
        <f aca="false">IF(LEFT(Cockpit!$O$5,1)="A",G135,IF(BW135=1,BX135,IF(LEFT(Cockpit!$O$5,1)="B",AX135,MAX(AX135,G135))))</f>
        <v>120</v>
      </c>
      <c r="AU135" s="57" t="n">
        <f aca="false">IF(BR135=1,0,ROUNDUP(AT135/BQ135,0))</f>
        <v>2</v>
      </c>
      <c r="AV135" s="59" t="n">
        <f aca="false">IF(CD135&gt;0,CD135*MAX(1,AT135/V135),IF(BR135=1,IF(AT135&lt;=0,0,BS135*MAX(1,IF(G135&gt;0,AT135/G135,1))),IF(Q135&gt;0,AU135/Q135,0))/MAX(0.1,N(Parameter!$M$21)))</f>
        <v>0.333333333333333</v>
      </c>
      <c r="AW135" s="57" t="n">
        <f aca="false">AT135*F135</f>
        <v>13494</v>
      </c>
      <c r="AX135" s="57" t="n">
        <f aca="false">ROUNDUP(MAX(I135/IF(BV135&gt;0,BV135,MAX(0.1,N(Cockpit!$O$6))),BY135)/BQ135,0)*BQ135</f>
        <v>120</v>
      </c>
      <c r="AY135" s="58" t="n">
        <f aca="false">IF(AV135&gt;0,I135/AV135,-1)</f>
        <v>945</v>
      </c>
      <c r="AZ135" s="58" t="n">
        <f aca="false">IF(AND(OR(BU135="L1",BU135="L23"),AV135&gt;0),SUMIFS($AV$7:$AV$1576,$BU$7:$BU$1576,BU135,$AY$7:$AY$1576,"&gt;"&amp;AY135)+SUMIFS($AV$7:$AV$1576,$BU$7:$BU$1576,BU135,$AY$7:$AY$1576,AY135,$BO$7:$BO$1576,"&lt;="&amp;BO135),"")</f>
        <v>22.8753754582127</v>
      </c>
      <c r="BA135" s="65" t="n">
        <f aca="false">IF(AZ135="",0,MAX(0,MIN(1,(IF(BU135="L1",Parameter!$E$5,Parameter!$E$6+Parameter!$E$7)-(AZ135-AV135))/AV135)))</f>
        <v>1</v>
      </c>
      <c r="BB135" s="55" t="str">
        <f aca="false">IF(AF135&lt;=0,"",IF(BU135="Aussen","Aussenlager",IF(BU135="-","Nicht im Lift",IF(AK135&gt;=1,"Lift",IF(AK135&lt;=0,"Aussenlager","teilweise")))))</f>
        <v>Lift</v>
      </c>
      <c r="BC135" s="55" t="str">
        <f aca="false">IF(AN135&lt;=0,"",IF(BU135="Aussen","Aussenlager",IF(BU135="-","Nicht im Lift",IF(AS135&gt;=1,"Lift",IF(AS135&lt;=0,"Aussenlager","teilweise")))))</f>
        <v>Lift</v>
      </c>
      <c r="BD135" s="55" t="str">
        <f aca="false">IF(AV135&lt;=0,"",IF(BU135="Aussen","Aussenlager",IF(BU135="-","Nicht im Lift",IF(BA135&gt;=1,"Lift",IF(BA135&lt;=0,"Aussenlager","teilweise")))))</f>
        <v>Lift</v>
      </c>
      <c r="BE135" s="55" t="str">
        <f aca="false">IF(A135="","",IF(BN135=1,"Neu; ","")&amp;IF(AND(BN135=0,BI135&lt;0),"negativer Bestand (Export "&amp;BI135&amp;"); ","")&amp;IF(I135&lt;=0,"Kein Verbrauch; ","")&amp;IF(CD135&gt;0,"Lift "&amp;U135&amp;" lt. Liftbericht (Fach "&amp;V135&amp;" Stk); ",IF(BR135=1,"Lose – Fläche geschätzt; ",""))&amp;IF(G135&gt;AP135,"Überbestand "&amp;ROUND(G135-AP135,0)&amp;" Stk / CHF "&amp;ROUND((G135-AP135)*F135,0)&amp;"; ","")&amp;IF(AND(BW135=1,BX135&lt;BY135),"MAX &lt; MB+LG; ","")&amp;IF(AND(CC135&gt;0,CB135*10&gt;CC135),"zu hoch für Tablar; ","")&amp;IF(AND(BN135=0,OR(BW135=1,Y135&lt;&gt;"",S135&lt;&gt;"",T135&lt;&gt;"",Z135&lt;&gt;"")),"manuell übersteuert; ","")&amp;IF(AND(BR135=0,Q135=0),"Gebinde unbekannt / Stellmass fehlt; ","")&amp;IF(AND(BR135=0,N(T135)&lt;=0,N(P135)&lt;=0),"Menge pro Gebinde fehlt (Ist = 1 Gebinde); ","")&amp;BM135)</f>
        <v/>
      </c>
      <c r="BF135" s="55"/>
      <c r="BG135" s="55"/>
      <c r="BH135" s="62"/>
      <c r="BI135" s="57" t="n">
        <v>20</v>
      </c>
      <c r="BJ135" s="57" t="n">
        <v>106</v>
      </c>
      <c r="BK135" s="56" t="n">
        <v>1645.25000000001</v>
      </c>
      <c r="BL135" s="57" t="n">
        <v>315</v>
      </c>
      <c r="BM135" s="55"/>
      <c r="BN135" s="60" t="n">
        <v>0</v>
      </c>
      <c r="BO135" s="60" t="n">
        <v>135</v>
      </c>
      <c r="BP135" s="55" t="str">
        <f aca="false">IF(S135&lt;&gt;"",UPPER(TRIM(S135)),IF(O135="","LOSE",O135))</f>
        <v>S71</v>
      </c>
      <c r="BQ135" s="57" t="n">
        <f aca="false">IF(BP135="LOSE",1,IF(N(T135)&gt;0,T135,IF(N(P135)&gt;0,P135,MAX(1,G135))))</f>
        <v>60</v>
      </c>
      <c r="BR135" s="60" t="n">
        <f aca="false">IF(BP135="LOSE",1,0)</f>
        <v>0</v>
      </c>
      <c r="BS135" s="59" t="n">
        <f aca="false">IF(BR135=0,0,IF(N(R135)&gt;0,R135,IFERROR(VLOOKUP(D135,Parameter!$A$35:$C$64,3,0)+0,0)))</f>
        <v>0</v>
      </c>
      <c r="BT135" s="55" t="n">
        <f aca="false">IF(Y135&lt;&gt;"",Y135,X135)</f>
        <v>2</v>
      </c>
      <c r="BU135" s="55" t="str">
        <f aca="false">IF(BT135=1,"L1",IF(OR(BT135=2,BT135=3),"L23",IF(BT135="Aussen","Aussen","-")))</f>
        <v>L23</v>
      </c>
      <c r="BV135" s="66" t="n">
        <f aca="false">IF(N(Z135)&gt;0,Z135,0)</f>
        <v>0</v>
      </c>
      <c r="BW135" s="60" t="n">
        <f aca="false">IF(ISNUMBER(AC135),1,0)</f>
        <v>0</v>
      </c>
      <c r="BX135" s="57" t="n">
        <f aca="false">N(AC135)</f>
        <v>0</v>
      </c>
      <c r="BY135" s="57" t="n">
        <f aca="false">N(L135)+N(M135)</f>
        <v>118</v>
      </c>
      <c r="BZ135" s="57" t="n">
        <f aca="false">ROUNDUP(G135/BQ135,0)</f>
        <v>1</v>
      </c>
      <c r="CA135" s="57" t="n">
        <f aca="false">ROUNDUP(BX135/BQ135,0)</f>
        <v>0</v>
      </c>
      <c r="CB135" s="60" t="n">
        <f aca="false">IF(BR135=1,0,IFERROR(VLOOKUP(BP135,'Gebinde-Kategorie'!$A$5:$M$45,5,0)+0,0))</f>
        <v>20</v>
      </c>
      <c r="CC135" s="60" t="n">
        <f aca="false">IFERROR(IF(OR(BT135=1,BT135=2,BT135=3),N(INDEX(Parameter!$I$5:$I$7,BT135)),0),0)</f>
        <v>0</v>
      </c>
      <c r="CD135" s="59" t="n">
        <f aca="false">IF(AND(Parameter!$B$21="Ja",ISNUMBER(U135),N(V135)&gt;0),IFERROR(N(INDEX(Parameter!$L$5:$L$7,U135))*INDEX(Parameter!$E$5:$E$7,U135)*V135/SUMIFS($V$7:$V$1576,$U$7:$U$1576,U135),0),0)</f>
        <v>0</v>
      </c>
    </row>
    <row r="136" customFormat="false" ht="15" hidden="false" customHeight="false" outlineLevel="0" collapsed="false">
      <c r="A136" s="55" t="s">
        <v>468</v>
      </c>
      <c r="B136" s="55" t="s">
        <v>469</v>
      </c>
      <c r="C136" s="55" t="s">
        <v>160</v>
      </c>
      <c r="D136" s="55" t="s">
        <v>168</v>
      </c>
      <c r="E136" s="55" t="s">
        <v>210</v>
      </c>
      <c r="F136" s="56" t="n">
        <v>96.49</v>
      </c>
      <c r="G136" s="57" t="n">
        <f aca="false">MAX(0,IF(AND(Parameter!$B$21="Ja",ISNUMBER(W136)),W136,IF(Parameter!$B$20="Jahresanfang 2025 + Export",BJ136+BI136,BI136)))</f>
        <v>19</v>
      </c>
      <c r="H136" s="57" t="n">
        <f aca="false">G136*F136</f>
        <v>1833.31</v>
      </c>
      <c r="I136" s="57" t="n">
        <f aca="false">BL136*Parameter!$B$18</f>
        <v>151</v>
      </c>
      <c r="J136" s="58" t="n">
        <v>34.5</v>
      </c>
      <c r="K136" s="59" t="n">
        <v>4.3768115942029</v>
      </c>
      <c r="L136" s="57" t="n">
        <v>15</v>
      </c>
      <c r="M136" s="57" t="n">
        <v>60</v>
      </c>
      <c r="N136" s="60" t="n">
        <v>28</v>
      </c>
      <c r="O136" s="55" t="s">
        <v>169</v>
      </c>
      <c r="P136" s="57" t="n">
        <v>12</v>
      </c>
      <c r="Q136" s="60" t="n">
        <f aca="false">IF(BR136=1,0,IFERROR(VLOOKUP(BP136,'Gebinde-Kategorie'!$A$5:$M$45,13,0)+0,0))</f>
        <v>6</v>
      </c>
      <c r="R136" s="61"/>
      <c r="S136" s="62"/>
      <c r="T136" s="62"/>
      <c r="U136" s="55"/>
      <c r="V136" s="57"/>
      <c r="W136" s="57"/>
      <c r="X136" s="55" t="n">
        <f aca="false">IF(A136="","",IF(AND(Parameter!$B$21="Ja",ISNUMBER(U136)),U136,IF(IFERROR(VLOOKUP(D136,Parameter!$A$35:$C$64,2,0),"Nein")="2+3",IF(ISNUMBER(SEARCH("grosser Artikel",BM136)),2,IFERROR(VLOOKUP(BP136,Parameter!$F$35:$G$64,2,0),2)),IF(OR(IFERROR(VLOOKUP(D136,Parameter!$A$35:$C$64,2,0),"Nein")="Nein",IFERROR(VLOOKUP(D136,Parameter!$A$35:$C$64,2,0),"Nein")=""),"-",VLOOKUP(D136,Parameter!$A$35:$C$64,2,0)))))</f>
        <v>2</v>
      </c>
      <c r="Y136" s="62"/>
      <c r="Z136" s="63"/>
      <c r="AA136" s="57" t="n">
        <f aca="false">AP136</f>
        <v>84</v>
      </c>
      <c r="AB136" s="57" t="n">
        <f aca="false">MAX(AP136,G136)</f>
        <v>84</v>
      </c>
      <c r="AC136" s="64"/>
      <c r="AD136" s="57" t="n">
        <f aca="false">IF(LEFT(Cockpit!$C$5,1)="A",G136,IF(BW136=1,BX136,IF(LEFT(Cockpit!$C$5,1)="B",AH136,MAX(AH136,G136))))</f>
        <v>19</v>
      </c>
      <c r="AE136" s="57" t="n">
        <f aca="false">IF(BR136=1,0,ROUNDUP(AD136/BQ136,0))</f>
        <v>2</v>
      </c>
      <c r="AF136" s="59" t="n">
        <f aca="false">IF(CD136&gt;0,CD136*MAX(1,AD136/V136),IF(BR136=1,IF(AD136&lt;=0,0,BS136*MAX(1,IF(G136&gt;0,AD136/G136,1))),IF(Q136&gt;0,AE136/Q136,0))/MAX(0.1,N(Parameter!$M$21)))</f>
        <v>0.333333333333333</v>
      </c>
      <c r="AG136" s="57" t="n">
        <f aca="false">AD136*F136</f>
        <v>1833.31</v>
      </c>
      <c r="AH136" s="57" t="n">
        <f aca="false">ROUNDUP(MAX(I136/IF(BV136&gt;0,BV136,MAX(0.1,N(Cockpit!$C$6))),BY136)/BQ136,0)*BQ136</f>
        <v>84</v>
      </c>
      <c r="AI136" s="58" t="n">
        <f aca="false">IF(AF136&gt;0,I136/AF136,-1)</f>
        <v>453</v>
      </c>
      <c r="AJ136" s="58" t="n">
        <f aca="false">IF(AND(OR(BU136="L1",BU136="L23"),AF136&gt;0),SUMIFS($AF$7:$AF$1576,$BU$7:$BU$1576,BU136,$AI$7:$AI$1576,"&gt;"&amp;AI136)+SUMIFS($AF$7:$AF$1576,$BU$7:$BU$1576,BU136,$AI$7:$AI$1576,AI136,$BO$7:$BO$1576,"&lt;="&amp;BO136),"")</f>
        <v>13.1879054761663</v>
      </c>
      <c r="AK136" s="65" t="n">
        <f aca="false">IF(AJ136="",0,MAX(0,MIN(1,(IF(BU136="L1",Parameter!$E$5,Parameter!$E$6+Parameter!$E$7)-(AJ136-AF136))/AF136)))</f>
        <v>1</v>
      </c>
      <c r="AL136" s="57" t="n">
        <f aca="false">IF(LEFT(Cockpit!$I$5,1)="A",G136,IF(BW136=1,BX136,IF(LEFT(Cockpit!$I$5,1)="B",AP136,MAX(AP136,G136))))</f>
        <v>84</v>
      </c>
      <c r="AM136" s="57" t="n">
        <f aca="false">IF(BR136=1,0,ROUNDUP(AL136/BQ136,0))</f>
        <v>7</v>
      </c>
      <c r="AN136" s="59" t="n">
        <f aca="false">IF(CD136&gt;0,CD136*MAX(1,AL136/V136),IF(BR136=1,IF(AL136&lt;=0,0,BS136*MAX(1,IF(G136&gt;0,AL136/G136,1))),IF(Q136&gt;0,AM136/Q136,0))/MAX(0.1,N(Parameter!$M$21)))</f>
        <v>1.16666666666667</v>
      </c>
      <c r="AO136" s="57" t="n">
        <f aca="false">AL136*F136</f>
        <v>8105.16</v>
      </c>
      <c r="AP136" s="57" t="n">
        <f aca="false">ROUNDUP(MAX(I136/IF(BV136&gt;0,BV136,MAX(0.1,N(Cockpit!$I$6))),BY136)/BQ136,0)*BQ136</f>
        <v>84</v>
      </c>
      <c r="AQ136" s="58" t="n">
        <f aca="false">IF(AN136&gt;0,I136/AN136,-1)</f>
        <v>129.428571428571</v>
      </c>
      <c r="AR136" s="58" t="n">
        <f aca="false">IF(AND(OR(BU136="L1",BU136="L23"),AN136&gt;0),SUMIFS($AN$7:$AN$1576,$BU$7:$BU$1576,BU136,$AQ$7:$AQ$1576,"&gt;"&amp;AQ136)+SUMIFS($AN$7:$AN$1576,$BU$7:$BU$1576,BU136,$AQ$7:$AQ$1576,AQ136,$BO$7:$BO$1576,"&lt;="&amp;BO136),"")</f>
        <v>62.4436690486802</v>
      </c>
      <c r="AS136" s="65" t="n">
        <f aca="false">IF(AR136="",0,MAX(0,MIN(1,(IF(BU136="L1",Parameter!$E$5,Parameter!$E$6+Parameter!$E$7)-(AR136-AN136))/AN136)))</f>
        <v>1</v>
      </c>
      <c r="AT136" s="57" t="n">
        <f aca="false">IF(LEFT(Cockpit!$O$5,1)="A",G136,IF(BW136=1,BX136,IF(LEFT(Cockpit!$O$5,1)="B",AX136,MAX(AX136,G136))))</f>
        <v>84</v>
      </c>
      <c r="AU136" s="57" t="n">
        <f aca="false">IF(BR136=1,0,ROUNDUP(AT136/BQ136,0))</f>
        <v>7</v>
      </c>
      <c r="AV136" s="59" t="n">
        <f aca="false">IF(CD136&gt;0,CD136*MAX(1,AT136/V136),IF(BR136=1,IF(AT136&lt;=0,0,BS136*MAX(1,IF(G136&gt;0,AT136/G136,1))),IF(Q136&gt;0,AU136/Q136,0))/MAX(0.1,N(Parameter!$M$21)))</f>
        <v>1.16666666666667</v>
      </c>
      <c r="AW136" s="57" t="n">
        <f aca="false">AT136*F136</f>
        <v>8105.16</v>
      </c>
      <c r="AX136" s="57" t="n">
        <f aca="false">ROUNDUP(MAX(I136/IF(BV136&gt;0,BV136,MAX(0.1,N(Cockpit!$O$6))),BY136)/BQ136,0)*BQ136</f>
        <v>84</v>
      </c>
      <c r="AY136" s="58" t="n">
        <f aca="false">IF(AV136&gt;0,I136/AV136,-1)</f>
        <v>129.428571428571</v>
      </c>
      <c r="AZ136" s="58" t="n">
        <f aca="false">IF(AND(OR(BU136="L1",BU136="L23"),AV136&gt;0),SUMIFS($AV$7:$AV$1576,$BU$7:$BU$1576,BU136,$AY$7:$AY$1576,"&gt;"&amp;AY136)+SUMIFS($AV$7:$AV$1576,$BU$7:$BU$1576,BU136,$AY$7:$AY$1576,AY136,$BO$7:$BO$1576,"&lt;="&amp;BO136),"")</f>
        <v>57.772802831564</v>
      </c>
      <c r="BA136" s="65" t="n">
        <f aca="false">IF(AZ136="",0,MAX(0,MIN(1,(IF(BU136="L1",Parameter!$E$5,Parameter!$E$6+Parameter!$E$7)-(AZ136-AV136))/AV136)))</f>
        <v>1</v>
      </c>
      <c r="BB136" s="55" t="str">
        <f aca="false">IF(AF136&lt;=0,"",IF(BU136="Aussen","Aussenlager",IF(BU136="-","Nicht im Lift",IF(AK136&gt;=1,"Lift",IF(AK136&lt;=0,"Aussenlager","teilweise")))))</f>
        <v>Lift</v>
      </c>
      <c r="BC136" s="55" t="str">
        <f aca="false">IF(AN136&lt;=0,"",IF(BU136="Aussen","Aussenlager",IF(BU136="-","Nicht im Lift",IF(AS136&gt;=1,"Lift",IF(AS136&lt;=0,"Aussenlager","teilweise")))))</f>
        <v>Lift</v>
      </c>
      <c r="BD136" s="55" t="str">
        <f aca="false">IF(AV136&lt;=0,"",IF(BU136="Aussen","Aussenlager",IF(BU136="-","Nicht im Lift",IF(BA136&gt;=1,"Lift",IF(BA136&lt;=0,"Aussenlager","teilweise")))))</f>
        <v>Lift</v>
      </c>
      <c r="BE136" s="55" t="str">
        <f aca="false">IF(A136="","",IF(BN136=1,"Neu; ","")&amp;IF(AND(BN136=0,BI136&lt;0),"negativer Bestand (Export "&amp;BI136&amp;"); ","")&amp;IF(I136&lt;=0,"Kein Verbrauch; ","")&amp;IF(CD136&gt;0,"Lift "&amp;U136&amp;" lt. Liftbericht (Fach "&amp;V136&amp;" Stk); ",IF(BR136=1,"Lose – Fläche geschätzt; ",""))&amp;IF(G136&gt;AP136,"Überbestand "&amp;ROUND(G136-AP136,0)&amp;" Stk / CHF "&amp;ROUND((G136-AP136)*F136,0)&amp;"; ","")&amp;IF(AND(BW136=1,BX136&lt;BY136),"MAX &lt; MB+LG; ","")&amp;IF(AND(CC136&gt;0,CB136*10&gt;CC136),"zu hoch für Tablar; ","")&amp;IF(AND(BN136=0,OR(BW136=1,Y136&lt;&gt;"",S136&lt;&gt;"",T136&lt;&gt;"",Z136&lt;&gt;"")),"manuell übersteuert; ","")&amp;IF(AND(BR136=0,Q136=0),"Gebinde unbekannt / Stellmass fehlt; ","")&amp;IF(AND(BR136=0,N(T136)&lt;=0,N(P136)&lt;=0),"Menge pro Gebinde fehlt (Ist = 1 Gebinde); ","")&amp;BM136)</f>
        <v/>
      </c>
      <c r="BF136" s="55"/>
      <c r="BG136" s="55"/>
      <c r="BH136" s="62"/>
      <c r="BI136" s="57" t="n">
        <v>19</v>
      </c>
      <c r="BJ136" s="57" t="n">
        <v>30</v>
      </c>
      <c r="BK136" s="56" t="n">
        <v>1630.51</v>
      </c>
      <c r="BL136" s="57" t="n">
        <v>151</v>
      </c>
      <c r="BM136" s="55"/>
      <c r="BN136" s="60" t="n">
        <v>0</v>
      </c>
      <c r="BO136" s="60" t="n">
        <v>136</v>
      </c>
      <c r="BP136" s="55" t="str">
        <f aca="false">IF(S136&lt;&gt;"",UPPER(TRIM(S136)),IF(O136="","LOSE",O136))</f>
        <v>S71</v>
      </c>
      <c r="BQ136" s="57" t="n">
        <f aca="false">IF(BP136="LOSE",1,IF(N(T136)&gt;0,T136,IF(N(P136)&gt;0,P136,MAX(1,G136))))</f>
        <v>12</v>
      </c>
      <c r="BR136" s="60" t="n">
        <f aca="false">IF(BP136="LOSE",1,0)</f>
        <v>0</v>
      </c>
      <c r="BS136" s="59" t="n">
        <f aca="false">IF(BR136=0,0,IF(N(R136)&gt;0,R136,IFERROR(VLOOKUP(D136,Parameter!$A$35:$C$64,3,0)+0,0)))</f>
        <v>0</v>
      </c>
      <c r="BT136" s="55" t="n">
        <f aca="false">IF(Y136&lt;&gt;"",Y136,X136)</f>
        <v>2</v>
      </c>
      <c r="BU136" s="55" t="str">
        <f aca="false">IF(BT136=1,"L1",IF(OR(BT136=2,BT136=3),"L23",IF(BT136="Aussen","Aussen","-")))</f>
        <v>L23</v>
      </c>
      <c r="BV136" s="66" t="n">
        <f aca="false">IF(N(Z136)&gt;0,Z136,0)</f>
        <v>0</v>
      </c>
      <c r="BW136" s="60" t="n">
        <f aca="false">IF(ISNUMBER(AC136),1,0)</f>
        <v>0</v>
      </c>
      <c r="BX136" s="57" t="n">
        <f aca="false">N(AC136)</f>
        <v>0</v>
      </c>
      <c r="BY136" s="57" t="n">
        <f aca="false">N(L136)+N(M136)</f>
        <v>75</v>
      </c>
      <c r="BZ136" s="57" t="n">
        <f aca="false">ROUNDUP(G136/BQ136,0)</f>
        <v>2</v>
      </c>
      <c r="CA136" s="57" t="n">
        <f aca="false">ROUNDUP(BX136/BQ136,0)</f>
        <v>0</v>
      </c>
      <c r="CB136" s="60" t="n">
        <f aca="false">IF(BR136=1,0,IFERROR(VLOOKUP(BP136,'Gebinde-Kategorie'!$A$5:$M$45,5,0)+0,0))</f>
        <v>20</v>
      </c>
      <c r="CC136" s="60" t="n">
        <f aca="false">IFERROR(IF(OR(BT136=1,BT136=2,BT136=3),N(INDEX(Parameter!$I$5:$I$7,BT136)),0),0)</f>
        <v>0</v>
      </c>
      <c r="CD136" s="59" t="n">
        <f aca="false">IF(AND(Parameter!$B$21="Ja",ISNUMBER(U136),N(V136)&gt;0),IFERROR(N(INDEX(Parameter!$L$5:$L$7,U136))*INDEX(Parameter!$E$5:$E$7,U136)*V136/SUMIFS($V$7:$V$1576,$U$7:$U$1576,U136),0),0)</f>
        <v>0</v>
      </c>
    </row>
    <row r="137" customFormat="false" ht="15" hidden="false" customHeight="false" outlineLevel="0" collapsed="false">
      <c r="A137" s="55" t="s">
        <v>470</v>
      </c>
      <c r="B137" s="55" t="s">
        <v>281</v>
      </c>
      <c r="C137" s="55" t="s">
        <v>160</v>
      </c>
      <c r="D137" s="55" t="s">
        <v>168</v>
      </c>
      <c r="E137" s="55" t="s">
        <v>210</v>
      </c>
      <c r="F137" s="56" t="n">
        <v>120.56</v>
      </c>
      <c r="G137" s="57" t="n">
        <f aca="false">MAX(0,IF(AND(Parameter!$B$21="Ja",ISNUMBER(W137)),W137,IF(Parameter!$B$20="Jahresanfang 2025 + Export",BJ137+BI137,BI137)))</f>
        <v>13</v>
      </c>
      <c r="H137" s="57" t="n">
        <f aca="false">G137*F137</f>
        <v>1567.28</v>
      </c>
      <c r="I137" s="57" t="n">
        <f aca="false">BL137*Parameter!$B$18</f>
        <v>0</v>
      </c>
      <c r="J137" s="58" t="n">
        <v>13</v>
      </c>
      <c r="K137" s="59" t="n">
        <v>0</v>
      </c>
      <c r="L137" s="57" t="n">
        <v>0</v>
      </c>
      <c r="M137" s="57" t="n">
        <v>1</v>
      </c>
      <c r="N137" s="60" t="n">
        <v>77</v>
      </c>
      <c r="O137" s="55" t="s">
        <v>284</v>
      </c>
      <c r="P137" s="57" t="n">
        <v>15</v>
      </c>
      <c r="Q137" s="60" t="n">
        <f aca="false">IF(BR137=1,0,IFERROR(VLOOKUP(BP137,'Gebinde-Kategorie'!$A$5:$M$45,13,0)+0,0))</f>
        <v>12</v>
      </c>
      <c r="R137" s="61"/>
      <c r="S137" s="62"/>
      <c r="T137" s="62"/>
      <c r="U137" s="55"/>
      <c r="V137" s="57"/>
      <c r="W137" s="57"/>
      <c r="X137" s="55" t="n">
        <f aca="false">IF(A137="","",IF(AND(Parameter!$B$21="Ja",ISNUMBER(U137)),U137,IF(IFERROR(VLOOKUP(D137,Parameter!$A$35:$C$64,2,0),"Nein")="2+3",IF(ISNUMBER(SEARCH("grosser Artikel",BM137)),2,IFERROR(VLOOKUP(BP137,Parameter!$F$35:$G$64,2,0),2)),IF(OR(IFERROR(VLOOKUP(D137,Parameter!$A$35:$C$64,2,0),"Nein")="Nein",IFERROR(VLOOKUP(D137,Parameter!$A$35:$C$64,2,0),"Nein")=""),"-",VLOOKUP(D137,Parameter!$A$35:$C$64,2,0)))))</f>
        <v>2</v>
      </c>
      <c r="Y137" s="62"/>
      <c r="Z137" s="63"/>
      <c r="AA137" s="57" t="n">
        <f aca="false">AP137</f>
        <v>15</v>
      </c>
      <c r="AB137" s="57" t="n">
        <f aca="false">MAX(AP137,G137)</f>
        <v>15</v>
      </c>
      <c r="AC137" s="64"/>
      <c r="AD137" s="57" t="n">
        <f aca="false">IF(LEFT(Cockpit!$C$5,1)="A",G137,IF(BW137=1,BX137,IF(LEFT(Cockpit!$C$5,1)="B",AH137,MAX(AH137,G137))))</f>
        <v>13</v>
      </c>
      <c r="AE137" s="57" t="n">
        <f aca="false">IF(BR137=1,0,ROUNDUP(AD137/BQ137,0))</f>
        <v>1</v>
      </c>
      <c r="AF137" s="59" t="n">
        <f aca="false">IF(CD137&gt;0,CD137*MAX(1,AD137/V137),IF(BR137=1,IF(AD137&lt;=0,0,BS137*MAX(1,IF(G137&gt;0,AD137/G137,1))),IF(Q137&gt;0,AE137/Q137,0))/MAX(0.1,N(Parameter!$M$21)))</f>
        <v>0.0833333333333333</v>
      </c>
      <c r="AG137" s="57" t="n">
        <f aca="false">AD137*F137</f>
        <v>1567.28</v>
      </c>
      <c r="AH137" s="57" t="n">
        <f aca="false">ROUNDUP(MAX(I137/IF(BV137&gt;0,BV137,MAX(0.1,N(Cockpit!$C$6))),BY137)/BQ137,0)*BQ137</f>
        <v>15</v>
      </c>
      <c r="AI137" s="58" t="n">
        <f aca="false">IF(AF137&gt;0,I137/AF137,-1)</f>
        <v>0</v>
      </c>
      <c r="AJ137" s="58" t="n">
        <f aca="false">IF(AND(OR(BU137="L1",BU137="L23"),AF137&gt;0),SUMIFS($AF$7:$AF$1576,$BU$7:$BU$1576,BU137,$AI$7:$AI$1576,"&gt;"&amp;AI137)+SUMIFS($AF$7:$AF$1576,$BU$7:$BU$1576,BU137,$AI$7:$AI$1576,AI137,$BO$7:$BO$1576,"&lt;="&amp;BO137),"")</f>
        <v>38.2397611567177</v>
      </c>
      <c r="AK137" s="65" t="n">
        <f aca="false">IF(AJ137="",0,MAX(0,MIN(1,(IF(BU137="L1",Parameter!$E$5,Parameter!$E$6+Parameter!$E$7)-(AJ137-AF137))/AF137)))</f>
        <v>1</v>
      </c>
      <c r="AL137" s="57" t="n">
        <f aca="false">IF(LEFT(Cockpit!$I$5,1)="A",G137,IF(BW137=1,BX137,IF(LEFT(Cockpit!$I$5,1)="B",AP137,MAX(AP137,G137))))</f>
        <v>15</v>
      </c>
      <c r="AM137" s="57" t="n">
        <f aca="false">IF(BR137=1,0,ROUNDUP(AL137/BQ137,0))</f>
        <v>1</v>
      </c>
      <c r="AN137" s="59" t="n">
        <f aca="false">IF(CD137&gt;0,CD137*MAX(1,AL137/V137),IF(BR137=1,IF(AL137&lt;=0,0,BS137*MAX(1,IF(G137&gt;0,AL137/G137,1))),IF(Q137&gt;0,AM137/Q137,0))/MAX(0.1,N(Parameter!$M$21)))</f>
        <v>0.0833333333333333</v>
      </c>
      <c r="AO137" s="57" t="n">
        <f aca="false">AL137*F137</f>
        <v>1808.4</v>
      </c>
      <c r="AP137" s="57" t="n">
        <f aca="false">ROUNDUP(MAX(I137/IF(BV137&gt;0,BV137,MAX(0.1,N(Cockpit!$I$6))),BY137)/BQ137,0)*BQ137</f>
        <v>15</v>
      </c>
      <c r="AQ137" s="58" t="n">
        <f aca="false">IF(AN137&gt;0,I137/AN137,-1)</f>
        <v>0</v>
      </c>
      <c r="AR137" s="58" t="n">
        <f aca="false">IF(AND(OR(BU137="L1",BU137="L23"),AN137&gt;0),SUMIFS($AN$7:$AN$1576,$BU$7:$BU$1576,BU137,$AQ$7:$AQ$1576,"&gt;"&amp;AQ137)+SUMIFS($AN$7:$AN$1576,$BU$7:$BU$1576,BU137,$AQ$7:$AQ$1576,AQ137,$BO$7:$BO$1576,"&lt;="&amp;BO137),"")</f>
        <v>121.113966906507</v>
      </c>
      <c r="AS137" s="65" t="n">
        <f aca="false">IF(AR137="",0,MAX(0,MIN(1,(IF(BU137="L1",Parameter!$E$5,Parameter!$E$6+Parameter!$E$7)-(AR137-AN137))/AN137)))</f>
        <v>0</v>
      </c>
      <c r="AT137" s="57" t="n">
        <f aca="false">IF(LEFT(Cockpit!$O$5,1)="A",G137,IF(BW137=1,BX137,IF(LEFT(Cockpit!$O$5,1)="B",AX137,MAX(AX137,G137))))</f>
        <v>15</v>
      </c>
      <c r="AU137" s="57" t="n">
        <f aca="false">IF(BR137=1,0,ROUNDUP(AT137/BQ137,0))</f>
        <v>1</v>
      </c>
      <c r="AV137" s="59" t="n">
        <f aca="false">IF(CD137&gt;0,CD137*MAX(1,AT137/V137),IF(BR137=1,IF(AT137&lt;=0,0,BS137*MAX(1,IF(G137&gt;0,AT137/G137,1))),IF(Q137&gt;0,AU137/Q137,0))/MAX(0.1,N(Parameter!$M$21)))</f>
        <v>0.0833333333333333</v>
      </c>
      <c r="AW137" s="57" t="n">
        <f aca="false">AT137*F137</f>
        <v>1808.4</v>
      </c>
      <c r="AX137" s="57" t="n">
        <f aca="false">ROUNDUP(MAX(I137/IF(BV137&gt;0,BV137,MAX(0.1,N(Cockpit!$O$6))),BY137)/BQ137,0)*BQ137</f>
        <v>15</v>
      </c>
      <c r="AY137" s="58" t="n">
        <f aca="false">IF(AV137&gt;0,I137/AV137,-1)</f>
        <v>0</v>
      </c>
      <c r="AZ137" s="58" t="n">
        <f aca="false">IF(AND(OR(BU137="L1",BU137="L23"),AV137&gt;0),SUMIFS($AV$7:$AV$1576,$BU$7:$BU$1576,BU137,$AY$7:$AY$1576,"&gt;"&amp;AY137)+SUMIFS($AV$7:$AV$1576,$BU$7:$BU$1576,BU137,$AY$7:$AY$1576,AY137,$BO$7:$BO$1576,"&lt;="&amp;BO137),"")</f>
        <v>111.173517356058</v>
      </c>
      <c r="BA137" s="65" t="n">
        <f aca="false">IF(AZ137="",0,MAX(0,MIN(1,(IF(BU137="L1",Parameter!$E$5,Parameter!$E$6+Parameter!$E$7)-(AZ137-AV137))/AV137)))</f>
        <v>0</v>
      </c>
      <c r="BB137" s="55" t="str">
        <f aca="false">IF(AF137&lt;=0,"",IF(BU137="Aussen","Aussenlager",IF(BU137="-","Nicht im Lift",IF(AK137&gt;=1,"Lift",IF(AK137&lt;=0,"Aussenlager","teilweise")))))</f>
        <v>Lift</v>
      </c>
      <c r="BC137" s="55" t="str">
        <f aca="false">IF(AN137&lt;=0,"",IF(BU137="Aussen","Aussenlager",IF(BU137="-","Nicht im Lift",IF(AS137&gt;=1,"Lift",IF(AS137&lt;=0,"Aussenlager","teilweise")))))</f>
        <v>Aussenlager</v>
      </c>
      <c r="BD137" s="55" t="str">
        <f aca="false">IF(AV137&lt;=0,"",IF(BU137="Aussen","Aussenlager",IF(BU137="-","Nicht im Lift",IF(BA137&gt;=1,"Lift",IF(BA137&lt;=0,"Aussenlager","teilweise")))))</f>
        <v>Aussenlager</v>
      </c>
      <c r="BE137" s="55" t="str">
        <f aca="false">IF(A137="","",IF(BN137=1,"Neu; ","")&amp;IF(AND(BN137=0,BI137&lt;0),"negativer Bestand (Export "&amp;BI137&amp;"); ","")&amp;IF(I137&lt;=0,"Kein Verbrauch; ","")&amp;IF(CD137&gt;0,"Lift "&amp;U137&amp;" lt. Liftbericht (Fach "&amp;V137&amp;" Stk); ",IF(BR137=1,"Lose – Fläche geschätzt; ",""))&amp;IF(G137&gt;AP137,"Überbestand "&amp;ROUND(G137-AP137,0)&amp;" Stk / CHF "&amp;ROUND((G137-AP137)*F137,0)&amp;"; ","")&amp;IF(AND(BW137=1,BX137&lt;BY137),"MAX &lt; MB+LG; ","")&amp;IF(AND(CC137&gt;0,CB137*10&gt;CC137),"zu hoch für Tablar; ","")&amp;IF(AND(BN137=0,OR(BW137=1,Y137&lt;&gt;"",S137&lt;&gt;"",T137&lt;&gt;"",Z137&lt;&gt;"")),"manuell übersteuert; ","")&amp;IF(AND(BR137=0,Q137=0),"Gebinde unbekannt / Stellmass fehlt; ","")&amp;IF(AND(BR137=0,N(T137)&lt;=0,N(P137)&lt;=0),"Menge pro Gebinde fehlt (Ist = 1 Gebinde); ","")&amp;BM137)</f>
        <v>Kein Verbrauch; </v>
      </c>
      <c r="BF137" s="55"/>
      <c r="BG137" s="55"/>
      <c r="BH137" s="62"/>
      <c r="BI137" s="57" t="n">
        <v>13</v>
      </c>
      <c r="BJ137" s="57" t="n">
        <v>13</v>
      </c>
      <c r="BK137" s="56" t="n">
        <v>1567.28</v>
      </c>
      <c r="BL137" s="57" t="n">
        <v>0</v>
      </c>
      <c r="BM137" s="55"/>
      <c r="BN137" s="60" t="n">
        <v>0</v>
      </c>
      <c r="BO137" s="60" t="n">
        <v>137</v>
      </c>
      <c r="BP137" s="55" t="str">
        <f aca="false">IF(S137&lt;&gt;"",UPPER(TRIM(S137)),IF(O137="","LOSE",O137))</f>
        <v>S62</v>
      </c>
      <c r="BQ137" s="57" t="n">
        <f aca="false">IF(BP137="LOSE",1,IF(N(T137)&gt;0,T137,IF(N(P137)&gt;0,P137,MAX(1,G137))))</f>
        <v>15</v>
      </c>
      <c r="BR137" s="60" t="n">
        <f aca="false">IF(BP137="LOSE",1,0)</f>
        <v>0</v>
      </c>
      <c r="BS137" s="59" t="n">
        <f aca="false">IF(BR137=0,0,IF(N(R137)&gt;0,R137,IFERROR(VLOOKUP(D137,Parameter!$A$35:$C$64,3,0)+0,0)))</f>
        <v>0</v>
      </c>
      <c r="BT137" s="55" t="n">
        <f aca="false">IF(Y137&lt;&gt;"",Y137,X137)</f>
        <v>2</v>
      </c>
      <c r="BU137" s="55" t="str">
        <f aca="false">IF(BT137=1,"L1",IF(OR(BT137=2,BT137=3),"L23",IF(BT137="Aussen","Aussen","-")))</f>
        <v>L23</v>
      </c>
      <c r="BV137" s="66" t="n">
        <f aca="false">IF(N(Z137)&gt;0,Z137,0)</f>
        <v>0</v>
      </c>
      <c r="BW137" s="60" t="n">
        <f aca="false">IF(ISNUMBER(AC137),1,0)</f>
        <v>0</v>
      </c>
      <c r="BX137" s="57" t="n">
        <f aca="false">N(AC137)</f>
        <v>0</v>
      </c>
      <c r="BY137" s="57" t="n">
        <f aca="false">N(L137)+N(M137)</f>
        <v>1</v>
      </c>
      <c r="BZ137" s="57" t="n">
        <f aca="false">ROUNDUP(G137/BQ137,0)</f>
        <v>1</v>
      </c>
      <c r="CA137" s="57" t="n">
        <f aca="false">ROUNDUP(BX137/BQ137,0)</f>
        <v>0</v>
      </c>
      <c r="CB137" s="60" t="n">
        <f aca="false">IF(BR137=1,0,IFERROR(VLOOKUP(BP137,'Gebinde-Kategorie'!$A$5:$M$45,5,0)+0,0))</f>
        <v>21</v>
      </c>
      <c r="CC137" s="60" t="n">
        <f aca="false">IFERROR(IF(OR(BT137=1,BT137=2,BT137=3),N(INDEX(Parameter!$I$5:$I$7,BT137)),0),0)</f>
        <v>0</v>
      </c>
      <c r="CD137" s="59" t="n">
        <f aca="false">IF(AND(Parameter!$B$21="Ja",ISNUMBER(U137),N(V137)&gt;0),IFERROR(N(INDEX(Parameter!$L$5:$L$7,U137))*INDEX(Parameter!$E$5:$E$7,U137)*V137/SUMIFS($V$7:$V$1576,$U$7:$U$1576,U137),0),0)</f>
        <v>0</v>
      </c>
    </row>
    <row r="138" customFormat="false" ht="15" hidden="false" customHeight="false" outlineLevel="0" collapsed="false">
      <c r="A138" s="55" t="s">
        <v>471</v>
      </c>
      <c r="B138" s="55" t="s">
        <v>472</v>
      </c>
      <c r="C138" s="55" t="s">
        <v>160</v>
      </c>
      <c r="D138" s="55" t="s">
        <v>178</v>
      </c>
      <c r="E138" s="55" t="s">
        <v>210</v>
      </c>
      <c r="F138" s="56" t="n">
        <v>138.33</v>
      </c>
      <c r="G138" s="57" t="n">
        <f aca="false">MAX(0,IF(AND(Parameter!$B$21="Ja",ISNUMBER(W138)),W138,IF(Parameter!$B$20="Jahresanfang 2025 + Export",BJ138+BI138,BI138)))</f>
        <v>11</v>
      </c>
      <c r="H138" s="57" t="n">
        <f aca="false">G138*F138</f>
        <v>1521.63</v>
      </c>
      <c r="I138" s="57" t="n">
        <f aca="false">BL138*Parameter!$B$18</f>
        <v>25</v>
      </c>
      <c r="J138" s="58" t="n">
        <v>33.5</v>
      </c>
      <c r="K138" s="59" t="n">
        <v>0.746268656716418</v>
      </c>
      <c r="L138" s="57" t="n">
        <v>1</v>
      </c>
      <c r="M138" s="57" t="n">
        <v>25</v>
      </c>
      <c r="N138" s="60" t="n">
        <v>28</v>
      </c>
      <c r="O138" s="55" t="s">
        <v>319</v>
      </c>
      <c r="P138" s="57" t="n">
        <v>20</v>
      </c>
      <c r="Q138" s="60" t="n">
        <f aca="false">IF(BR138=1,0,IFERROR(VLOOKUP(BP138,'Gebinde-Kategorie'!$A$5:$M$45,13,0)+0,0))</f>
        <v>52</v>
      </c>
      <c r="R138" s="61"/>
      <c r="S138" s="62"/>
      <c r="T138" s="62"/>
      <c r="U138" s="55"/>
      <c r="V138" s="57"/>
      <c r="W138" s="57"/>
      <c r="X138" s="55" t="n">
        <f aca="false">IF(A138="","",IF(AND(Parameter!$B$21="Ja",ISNUMBER(U138)),U138,IF(IFERROR(VLOOKUP(D138,Parameter!$A$35:$C$64,2,0),"Nein")="2+3",IF(ISNUMBER(SEARCH("grosser Artikel",BM138)),2,IFERROR(VLOOKUP(BP138,Parameter!$F$35:$G$64,2,0),2)),IF(OR(IFERROR(VLOOKUP(D138,Parameter!$A$35:$C$64,2,0),"Nein")="Nein",IFERROR(VLOOKUP(D138,Parameter!$A$35:$C$64,2,0),"Nein")=""),"-",VLOOKUP(D138,Parameter!$A$35:$C$64,2,0)))))</f>
        <v>3</v>
      </c>
      <c r="Y138" s="62"/>
      <c r="Z138" s="63"/>
      <c r="AA138" s="57" t="n">
        <f aca="false">AP138</f>
        <v>40</v>
      </c>
      <c r="AB138" s="57" t="n">
        <f aca="false">MAX(AP138,G138)</f>
        <v>40</v>
      </c>
      <c r="AC138" s="64"/>
      <c r="AD138" s="57" t="n">
        <f aca="false">IF(LEFT(Cockpit!$C$5,1)="A",G138,IF(BW138=1,BX138,IF(LEFT(Cockpit!$C$5,1)="B",AH138,MAX(AH138,G138))))</f>
        <v>11</v>
      </c>
      <c r="AE138" s="57" t="n">
        <f aca="false">IF(BR138=1,0,ROUNDUP(AD138/BQ138,0))</f>
        <v>1</v>
      </c>
      <c r="AF138" s="59" t="n">
        <f aca="false">IF(CD138&gt;0,CD138*MAX(1,AD138/V138),IF(BR138=1,IF(AD138&lt;=0,0,BS138*MAX(1,IF(G138&gt;0,AD138/G138,1))),IF(Q138&gt;0,AE138/Q138,0))/MAX(0.1,N(Parameter!$M$21)))</f>
        <v>0.0192307692307692</v>
      </c>
      <c r="AG138" s="57" t="n">
        <f aca="false">AD138*F138</f>
        <v>1521.63</v>
      </c>
      <c r="AH138" s="57" t="n">
        <f aca="false">ROUNDUP(MAX(I138/IF(BV138&gt;0,BV138,MAX(0.1,N(Cockpit!$C$6))),BY138)/BQ138,0)*BQ138</f>
        <v>40</v>
      </c>
      <c r="AI138" s="58" t="n">
        <f aca="false">IF(AF138&gt;0,I138/AF138,-1)</f>
        <v>1300</v>
      </c>
      <c r="AJ138" s="58" t="n">
        <f aca="false">IF(AND(OR(BU138="L1",BU138="L23"),AF138&gt;0),SUMIFS($AF$7:$AF$1576,$BU$7:$BU$1576,BU138,$AI$7:$AI$1576,"&gt;"&amp;AI138)+SUMIFS($AF$7:$AF$1576,$BU$7:$BU$1576,BU138,$AI$7:$AI$1576,AI138,$BO$7:$BO$1576,"&lt;="&amp;BO138),"")</f>
        <v>8.31937231850275</v>
      </c>
      <c r="AK138" s="65" t="n">
        <f aca="false">IF(AJ138="",0,MAX(0,MIN(1,(IF(BU138="L1",Parameter!$E$5,Parameter!$E$6+Parameter!$E$7)-(AJ138-AF138))/AF138)))</f>
        <v>1</v>
      </c>
      <c r="AL138" s="57" t="n">
        <f aca="false">IF(LEFT(Cockpit!$I$5,1)="A",G138,IF(BW138=1,BX138,IF(LEFT(Cockpit!$I$5,1)="B",AP138,MAX(AP138,G138))))</f>
        <v>40</v>
      </c>
      <c r="AM138" s="57" t="n">
        <f aca="false">IF(BR138=1,0,ROUNDUP(AL138/BQ138,0))</f>
        <v>2</v>
      </c>
      <c r="AN138" s="59" t="n">
        <f aca="false">IF(CD138&gt;0,CD138*MAX(1,AL138/V138),IF(BR138=1,IF(AL138&lt;=0,0,BS138*MAX(1,IF(G138&gt;0,AL138/G138,1))),IF(Q138&gt;0,AM138/Q138,0))/MAX(0.1,N(Parameter!$M$21)))</f>
        <v>0.0384615384615385</v>
      </c>
      <c r="AO138" s="57" t="n">
        <f aca="false">AL138*F138</f>
        <v>5533.2</v>
      </c>
      <c r="AP138" s="57" t="n">
        <f aca="false">ROUNDUP(MAX(I138/IF(BV138&gt;0,BV138,MAX(0.1,N(Cockpit!$I$6))),BY138)/BQ138,0)*BQ138</f>
        <v>40</v>
      </c>
      <c r="AQ138" s="58" t="n">
        <f aca="false">IF(AN138&gt;0,I138/AN138,-1)</f>
        <v>650</v>
      </c>
      <c r="AR138" s="58" t="n">
        <f aca="false">IF(AND(OR(BU138="L1",BU138="L23"),AN138&gt;0),SUMIFS($AN$7:$AN$1576,$BU$7:$BU$1576,BU138,$AQ$7:$AQ$1576,"&gt;"&amp;AQ138)+SUMIFS($AN$7:$AN$1576,$BU$7:$BU$1576,BU138,$AQ$7:$AQ$1576,AQ138,$BO$7:$BO$1576,"&lt;="&amp;BO138),"")</f>
        <v>30.0036964608815</v>
      </c>
      <c r="AS138" s="65" t="n">
        <f aca="false">IF(AR138="",0,MAX(0,MIN(1,(IF(BU138="L1",Parameter!$E$5,Parameter!$E$6+Parameter!$E$7)-(AR138-AN138))/AN138)))</f>
        <v>1</v>
      </c>
      <c r="AT138" s="57" t="n">
        <f aca="false">IF(LEFT(Cockpit!$O$5,1)="A",G138,IF(BW138=1,BX138,IF(LEFT(Cockpit!$O$5,1)="B",AX138,MAX(AX138,G138))))</f>
        <v>40</v>
      </c>
      <c r="AU138" s="57" t="n">
        <f aca="false">IF(BR138=1,0,ROUNDUP(AT138/BQ138,0))</f>
        <v>2</v>
      </c>
      <c r="AV138" s="59" t="n">
        <f aca="false">IF(CD138&gt;0,CD138*MAX(1,AT138/V138),IF(BR138=1,IF(AT138&lt;=0,0,BS138*MAX(1,IF(G138&gt;0,AT138/G138,1))),IF(Q138&gt;0,AU138/Q138,0))/MAX(0.1,N(Parameter!$M$21)))</f>
        <v>0.0384615384615385</v>
      </c>
      <c r="AW138" s="57" t="n">
        <f aca="false">AT138*F138</f>
        <v>5533.2</v>
      </c>
      <c r="AX138" s="57" t="n">
        <f aca="false">ROUNDUP(MAX(I138/IF(BV138&gt;0,BV138,MAX(0.1,N(Cockpit!$O$6))),BY138)/BQ138,0)*BQ138</f>
        <v>40</v>
      </c>
      <c r="AY138" s="58" t="n">
        <f aca="false">IF(AV138&gt;0,I138/AV138,-1)</f>
        <v>650</v>
      </c>
      <c r="AZ138" s="58" t="n">
        <f aca="false">IF(AND(OR(BU138="L1",BU138="L23"),AV138&gt;0),SUMIFS($AV$7:$AV$1576,$BU$7:$BU$1576,BU138,$AY$7:$AY$1576,"&gt;"&amp;AY138)+SUMIFS($AV$7:$AV$1576,$BU$7:$BU$1576,BU138,$AY$7:$AY$1576,AY138,$BO$7:$BO$1576,"&lt;="&amp;BO138),"")</f>
        <v>29.7149984921836</v>
      </c>
      <c r="BA138" s="65" t="n">
        <f aca="false">IF(AZ138="",0,MAX(0,MIN(1,(IF(BU138="L1",Parameter!$E$5,Parameter!$E$6+Parameter!$E$7)-(AZ138-AV138))/AV138)))</f>
        <v>1</v>
      </c>
      <c r="BB138" s="55" t="str">
        <f aca="false">IF(AF138&lt;=0,"",IF(BU138="Aussen","Aussenlager",IF(BU138="-","Nicht im Lift",IF(AK138&gt;=1,"Lift",IF(AK138&lt;=0,"Aussenlager","teilweise")))))</f>
        <v>Lift</v>
      </c>
      <c r="BC138" s="55" t="str">
        <f aca="false">IF(AN138&lt;=0,"",IF(BU138="Aussen","Aussenlager",IF(BU138="-","Nicht im Lift",IF(AS138&gt;=1,"Lift",IF(AS138&lt;=0,"Aussenlager","teilweise")))))</f>
        <v>Lift</v>
      </c>
      <c r="BD138" s="55" t="str">
        <f aca="false">IF(AV138&lt;=0,"",IF(BU138="Aussen","Aussenlager",IF(BU138="-","Nicht im Lift",IF(BA138&gt;=1,"Lift",IF(BA138&lt;=0,"Aussenlager","teilweise")))))</f>
        <v>Lift</v>
      </c>
      <c r="BE138" s="55" t="str">
        <f aca="false">IF(A138="","",IF(BN138=1,"Neu; ","")&amp;IF(AND(BN138=0,BI138&lt;0),"negativer Bestand (Export "&amp;BI138&amp;"); ","")&amp;IF(I138&lt;=0,"Kein Verbrauch; ","")&amp;IF(CD138&gt;0,"Lift "&amp;U138&amp;" lt. Liftbericht (Fach "&amp;V138&amp;" Stk); ",IF(BR138=1,"Lose – Fläche geschätzt; ",""))&amp;IF(G138&gt;AP138,"Überbestand "&amp;ROUND(G138-AP138,0)&amp;" Stk / CHF "&amp;ROUND((G138-AP138)*F138,0)&amp;"; ","")&amp;IF(AND(BW138=1,BX138&lt;BY138),"MAX &lt; MB+LG; ","")&amp;IF(AND(CC138&gt;0,CB138*10&gt;CC138),"zu hoch für Tablar; ","")&amp;IF(AND(BN138=0,OR(BW138=1,Y138&lt;&gt;"",S138&lt;&gt;"",T138&lt;&gt;"",Z138&lt;&gt;"")),"manuell übersteuert; ","")&amp;IF(AND(BR138=0,Q138=0),"Gebinde unbekannt / Stellmass fehlt; ","")&amp;IF(AND(BR138=0,N(T138)&lt;=0,N(P138)&lt;=0),"Menge pro Gebinde fehlt (Ist = 1 Gebinde); ","")&amp;BM138)</f>
        <v/>
      </c>
      <c r="BF138" s="55"/>
      <c r="BG138" s="55"/>
      <c r="BH138" s="62"/>
      <c r="BI138" s="57" t="n">
        <v>11</v>
      </c>
      <c r="BJ138" s="57" t="n">
        <v>46</v>
      </c>
      <c r="BK138" s="56" t="n">
        <v>1567.17</v>
      </c>
      <c r="BL138" s="57" t="n">
        <v>25</v>
      </c>
      <c r="BM138" s="55"/>
      <c r="BN138" s="60" t="n">
        <v>0</v>
      </c>
      <c r="BO138" s="60" t="n">
        <v>138</v>
      </c>
      <c r="BP138" s="55" t="str">
        <f aca="false">IF(S138&lt;&gt;"",UPPER(TRIM(S138)),IF(O138="","LOSE",O138))</f>
        <v>S41</v>
      </c>
      <c r="BQ138" s="57" t="n">
        <f aca="false">IF(BP138="LOSE",1,IF(N(T138)&gt;0,T138,IF(N(P138)&gt;0,P138,MAX(1,G138))))</f>
        <v>20</v>
      </c>
      <c r="BR138" s="60" t="n">
        <f aca="false">IF(BP138="LOSE",1,0)</f>
        <v>0</v>
      </c>
      <c r="BS138" s="59" t="n">
        <f aca="false">IF(BR138=0,0,IF(N(R138)&gt;0,R138,IFERROR(VLOOKUP(D138,Parameter!$A$35:$C$64,3,0)+0,0)))</f>
        <v>0</v>
      </c>
      <c r="BT138" s="55" t="n">
        <f aca="false">IF(Y138&lt;&gt;"",Y138,X138)</f>
        <v>3</v>
      </c>
      <c r="BU138" s="55" t="str">
        <f aca="false">IF(BT138=1,"L1",IF(OR(BT138=2,BT138=3),"L23",IF(BT138="Aussen","Aussen","-")))</f>
        <v>L23</v>
      </c>
      <c r="BV138" s="66" t="n">
        <f aca="false">IF(N(Z138)&gt;0,Z138,0)</f>
        <v>0</v>
      </c>
      <c r="BW138" s="60" t="n">
        <f aca="false">IF(ISNUMBER(AC138),1,0)</f>
        <v>0</v>
      </c>
      <c r="BX138" s="57" t="n">
        <f aca="false">N(AC138)</f>
        <v>0</v>
      </c>
      <c r="BY138" s="57" t="n">
        <f aca="false">N(L138)+N(M138)</f>
        <v>26</v>
      </c>
      <c r="BZ138" s="57" t="n">
        <f aca="false">ROUNDUP(G138/BQ138,0)</f>
        <v>1</v>
      </c>
      <c r="CA138" s="57" t="n">
        <f aca="false">ROUNDUP(BX138/BQ138,0)</f>
        <v>0</v>
      </c>
      <c r="CB138" s="60" t="n">
        <f aca="false">IF(BR138=1,0,IFERROR(VLOOKUP(BP138,'Gebinde-Kategorie'!$A$5:$M$45,5,0)+0,0))</f>
        <v>11</v>
      </c>
      <c r="CC138" s="60" t="n">
        <f aca="false">IFERROR(IF(OR(BT138=1,BT138=2,BT138=3),N(INDEX(Parameter!$I$5:$I$7,BT138)),0),0)</f>
        <v>0</v>
      </c>
      <c r="CD138" s="59" t="n">
        <f aca="false">IF(AND(Parameter!$B$21="Ja",ISNUMBER(U138),N(V138)&gt;0),IFERROR(N(INDEX(Parameter!$L$5:$L$7,U138))*INDEX(Parameter!$E$5:$E$7,U138)*V138/SUMIFS($V$7:$V$1576,$U$7:$U$1576,U138),0),0)</f>
        <v>0</v>
      </c>
    </row>
    <row r="139" customFormat="false" ht="15" hidden="false" customHeight="false" outlineLevel="0" collapsed="false">
      <c r="A139" s="55" t="s">
        <v>473</v>
      </c>
      <c r="B139" s="55" t="s">
        <v>474</v>
      </c>
      <c r="C139" s="55" t="s">
        <v>160</v>
      </c>
      <c r="D139" s="55" t="s">
        <v>168</v>
      </c>
      <c r="E139" s="55" t="s">
        <v>210</v>
      </c>
      <c r="F139" s="56" t="n">
        <v>116.64</v>
      </c>
      <c r="G139" s="57" t="n">
        <f aca="false">MAX(0,IF(AND(Parameter!$B$21="Ja",ISNUMBER(W139)),W139,IF(Parameter!$B$20="Jahresanfang 2025 + Export",BJ139+BI139,BI139)))</f>
        <v>13</v>
      </c>
      <c r="H139" s="57" t="n">
        <f aca="false">G139*F139</f>
        <v>1516.32</v>
      </c>
      <c r="I139" s="57" t="n">
        <f aca="false">BL139*Parameter!$B$18</f>
        <v>157</v>
      </c>
      <c r="J139" s="58" t="n">
        <v>37.5</v>
      </c>
      <c r="K139" s="59" t="n">
        <v>4.18666666666667</v>
      </c>
      <c r="L139" s="57" t="n">
        <v>3</v>
      </c>
      <c r="M139" s="57" t="n">
        <v>25</v>
      </c>
      <c r="N139" s="60" t="n">
        <v>7</v>
      </c>
      <c r="O139" s="55" t="s">
        <v>169</v>
      </c>
      <c r="P139" s="57" t="n">
        <v>60</v>
      </c>
      <c r="Q139" s="60" t="n">
        <f aca="false">IF(BR139=1,0,IFERROR(VLOOKUP(BP139,'Gebinde-Kategorie'!$A$5:$M$45,13,0)+0,0))</f>
        <v>6</v>
      </c>
      <c r="R139" s="61"/>
      <c r="S139" s="62"/>
      <c r="T139" s="62"/>
      <c r="U139" s="55"/>
      <c r="V139" s="57"/>
      <c r="W139" s="57"/>
      <c r="X139" s="55" t="n">
        <f aca="false">IF(A139="","",IF(AND(Parameter!$B$21="Ja",ISNUMBER(U139)),U139,IF(IFERROR(VLOOKUP(D139,Parameter!$A$35:$C$64,2,0),"Nein")="2+3",IF(ISNUMBER(SEARCH("grosser Artikel",BM139)),2,IFERROR(VLOOKUP(BP139,Parameter!$F$35:$G$64,2,0),2)),IF(OR(IFERROR(VLOOKUP(D139,Parameter!$A$35:$C$64,2,0),"Nein")="Nein",IFERROR(VLOOKUP(D139,Parameter!$A$35:$C$64,2,0),"Nein")=""),"-",VLOOKUP(D139,Parameter!$A$35:$C$64,2,0)))))</f>
        <v>2</v>
      </c>
      <c r="Y139" s="62"/>
      <c r="Z139" s="63"/>
      <c r="AA139" s="57" t="n">
        <f aca="false">AP139</f>
        <v>120</v>
      </c>
      <c r="AB139" s="57" t="n">
        <f aca="false">MAX(AP139,G139)</f>
        <v>120</v>
      </c>
      <c r="AC139" s="64"/>
      <c r="AD139" s="57" t="n">
        <f aca="false">IF(LEFT(Cockpit!$C$5,1)="A",G139,IF(BW139=1,BX139,IF(LEFT(Cockpit!$C$5,1)="B",AH139,MAX(AH139,G139))))</f>
        <v>13</v>
      </c>
      <c r="AE139" s="57" t="n">
        <f aca="false">IF(BR139=1,0,ROUNDUP(AD139/BQ139,0))</f>
        <v>1</v>
      </c>
      <c r="AF139" s="59" t="n">
        <f aca="false">IF(CD139&gt;0,CD139*MAX(1,AD139/V139),IF(BR139=1,IF(AD139&lt;=0,0,BS139*MAX(1,IF(G139&gt;0,AD139/G139,1))),IF(Q139&gt;0,AE139/Q139,0))/MAX(0.1,N(Parameter!$M$21)))</f>
        <v>0.166666666666667</v>
      </c>
      <c r="AG139" s="57" t="n">
        <f aca="false">AD139*F139</f>
        <v>1516.32</v>
      </c>
      <c r="AH139" s="57" t="n">
        <f aca="false">ROUNDUP(MAX(I139/IF(BV139&gt;0,BV139,MAX(0.1,N(Cockpit!$C$6))),BY139)/BQ139,0)*BQ139</f>
        <v>120</v>
      </c>
      <c r="AI139" s="58" t="n">
        <f aca="false">IF(AF139&gt;0,I139/AF139,-1)</f>
        <v>942</v>
      </c>
      <c r="AJ139" s="58" t="n">
        <f aca="false">IF(AND(OR(BU139="L1",BU139="L23"),AF139&gt;0),SUMIFS($AF$7:$AF$1576,$BU$7:$BU$1576,BU139,$AI$7:$AI$1576,"&gt;"&amp;AI139)+SUMIFS($AF$7:$AF$1576,$BU$7:$BU$1576,BU139,$AI$7:$AI$1576,AI139,$BO$7:$BO$1576,"&lt;="&amp;BO139),"")</f>
        <v>9.72387892300936</v>
      </c>
      <c r="AK139" s="65" t="n">
        <f aca="false">IF(AJ139="",0,MAX(0,MIN(1,(IF(BU139="L1",Parameter!$E$5,Parameter!$E$6+Parameter!$E$7)-(AJ139-AF139))/AF139)))</f>
        <v>1</v>
      </c>
      <c r="AL139" s="57" t="n">
        <f aca="false">IF(LEFT(Cockpit!$I$5,1)="A",G139,IF(BW139=1,BX139,IF(LEFT(Cockpit!$I$5,1)="B",AP139,MAX(AP139,G139))))</f>
        <v>120</v>
      </c>
      <c r="AM139" s="57" t="n">
        <f aca="false">IF(BR139=1,0,ROUNDUP(AL139/BQ139,0))</f>
        <v>2</v>
      </c>
      <c r="AN139" s="59" t="n">
        <f aca="false">IF(CD139&gt;0,CD139*MAX(1,AL139/V139),IF(BR139=1,IF(AL139&lt;=0,0,BS139*MAX(1,IF(G139&gt;0,AL139/G139,1))),IF(Q139&gt;0,AM139/Q139,0))/MAX(0.1,N(Parameter!$M$21)))</f>
        <v>0.333333333333333</v>
      </c>
      <c r="AO139" s="57" t="n">
        <f aca="false">AL139*F139</f>
        <v>13996.8</v>
      </c>
      <c r="AP139" s="57" t="n">
        <f aca="false">ROUNDUP(MAX(I139/IF(BV139&gt;0,BV139,MAX(0.1,N(Cockpit!$I$6))),BY139)/BQ139,0)*BQ139</f>
        <v>120</v>
      </c>
      <c r="AQ139" s="58" t="n">
        <f aca="false">IF(AN139&gt;0,I139/AN139,-1)</f>
        <v>471</v>
      </c>
      <c r="AR139" s="58" t="n">
        <f aca="false">IF(AND(OR(BU139="L1",BU139="L23"),AN139&gt;0),SUMIFS($AN$7:$AN$1576,$BU$7:$BU$1576,BU139,$AQ$7:$AQ$1576,"&gt;"&amp;AQ139)+SUMIFS($AN$7:$AN$1576,$BU$7:$BU$1576,BU139,$AQ$7:$AQ$1576,AQ139,$BO$7:$BO$1576,"&lt;="&amp;BO139),"")</f>
        <v>33.9929893901745</v>
      </c>
      <c r="AS139" s="65" t="n">
        <f aca="false">IF(AR139="",0,MAX(0,MIN(1,(IF(BU139="L1",Parameter!$E$5,Parameter!$E$6+Parameter!$E$7)-(AR139-AN139))/AN139)))</f>
        <v>1</v>
      </c>
      <c r="AT139" s="57" t="n">
        <f aca="false">IF(LEFT(Cockpit!$O$5,1)="A",G139,IF(BW139=1,BX139,IF(LEFT(Cockpit!$O$5,1)="B",AX139,MAX(AX139,G139))))</f>
        <v>60</v>
      </c>
      <c r="AU139" s="57" t="n">
        <f aca="false">IF(BR139=1,0,ROUNDUP(AT139/BQ139,0))</f>
        <v>1</v>
      </c>
      <c r="AV139" s="59" t="n">
        <f aca="false">IF(CD139&gt;0,CD139*MAX(1,AT139/V139),IF(BR139=1,IF(AT139&lt;=0,0,BS139*MAX(1,IF(G139&gt;0,AT139/G139,1))),IF(Q139&gt;0,AU139/Q139,0))/MAX(0.1,N(Parameter!$M$21)))</f>
        <v>0.166666666666667</v>
      </c>
      <c r="AW139" s="57" t="n">
        <f aca="false">AT139*F139</f>
        <v>6998.4</v>
      </c>
      <c r="AX139" s="57" t="n">
        <f aca="false">ROUNDUP(MAX(I139/IF(BV139&gt;0,BV139,MAX(0.1,N(Cockpit!$O$6))),BY139)/BQ139,0)*BQ139</f>
        <v>60</v>
      </c>
      <c r="AY139" s="58" t="n">
        <f aca="false">IF(AV139&gt;0,I139/AV139,-1)</f>
        <v>942</v>
      </c>
      <c r="AZ139" s="58" t="n">
        <f aca="false">IF(AND(OR(BU139="L1",BU139="L23"),AV139&gt;0),SUMIFS($AV$7:$AV$1576,$BU$7:$BU$1576,BU139,$AY$7:$AY$1576,"&gt;"&amp;AY139)+SUMIFS($AV$7:$AV$1576,$BU$7:$BU$1576,BU139,$AY$7:$AY$1576,AY139,$BO$7:$BO$1576,"&lt;="&amp;BO139),"")</f>
        <v>23.0420421248794</v>
      </c>
      <c r="BA139" s="65" t="n">
        <f aca="false">IF(AZ139="",0,MAX(0,MIN(1,(IF(BU139="L1",Parameter!$E$5,Parameter!$E$6+Parameter!$E$7)-(AZ139-AV139))/AV139)))</f>
        <v>1</v>
      </c>
      <c r="BB139" s="55" t="str">
        <f aca="false">IF(AF139&lt;=0,"",IF(BU139="Aussen","Aussenlager",IF(BU139="-","Nicht im Lift",IF(AK139&gt;=1,"Lift",IF(AK139&lt;=0,"Aussenlager","teilweise")))))</f>
        <v>Lift</v>
      </c>
      <c r="BC139" s="55" t="str">
        <f aca="false">IF(AN139&lt;=0,"",IF(BU139="Aussen","Aussenlager",IF(BU139="-","Nicht im Lift",IF(AS139&gt;=1,"Lift",IF(AS139&lt;=0,"Aussenlager","teilweise")))))</f>
        <v>Lift</v>
      </c>
      <c r="BD139" s="55" t="str">
        <f aca="false">IF(AV139&lt;=0,"",IF(BU139="Aussen","Aussenlager",IF(BU139="-","Nicht im Lift",IF(BA139&gt;=1,"Lift",IF(BA139&lt;=0,"Aussenlager","teilweise")))))</f>
        <v>Lift</v>
      </c>
      <c r="BE139" s="55" t="str">
        <f aca="false">IF(A139="","",IF(BN139=1,"Neu; ","")&amp;IF(AND(BN139=0,BI139&lt;0),"negativer Bestand (Export "&amp;BI139&amp;"); ","")&amp;IF(I139&lt;=0,"Kein Verbrauch; ","")&amp;IF(CD139&gt;0,"Lift "&amp;U139&amp;" lt. Liftbericht (Fach "&amp;V139&amp;" Stk); ",IF(BR139=1,"Lose – Fläche geschätzt; ",""))&amp;IF(G139&gt;AP139,"Überbestand "&amp;ROUND(G139-AP139,0)&amp;" Stk / CHF "&amp;ROUND((G139-AP139)*F139,0)&amp;"; ","")&amp;IF(AND(BW139=1,BX139&lt;BY139),"MAX &lt; MB+LG; ","")&amp;IF(AND(CC139&gt;0,CB139*10&gt;CC139),"zu hoch für Tablar; ","")&amp;IF(AND(BN139=0,OR(BW139=1,Y139&lt;&gt;"",S139&lt;&gt;"",T139&lt;&gt;"",Z139&lt;&gt;"")),"manuell übersteuert; ","")&amp;IF(AND(BR139=0,Q139=0),"Gebinde unbekannt / Stellmass fehlt; ","")&amp;IF(AND(BR139=0,N(T139)&lt;=0,N(P139)&lt;=0),"Menge pro Gebinde fehlt (Ist = 1 Gebinde); ","")&amp;BM139)</f>
        <v/>
      </c>
      <c r="BF139" s="55"/>
      <c r="BG139" s="55"/>
      <c r="BH139" s="62"/>
      <c r="BI139" s="57" t="n">
        <v>13</v>
      </c>
      <c r="BJ139" s="57" t="n">
        <v>18</v>
      </c>
      <c r="BK139" s="56" t="n">
        <v>1547.82</v>
      </c>
      <c r="BL139" s="57" t="n">
        <v>157</v>
      </c>
      <c r="BM139" s="55"/>
      <c r="BN139" s="60" t="n">
        <v>0</v>
      </c>
      <c r="BO139" s="60" t="n">
        <v>139</v>
      </c>
      <c r="BP139" s="55" t="str">
        <f aca="false">IF(S139&lt;&gt;"",UPPER(TRIM(S139)),IF(O139="","LOSE",O139))</f>
        <v>S71</v>
      </c>
      <c r="BQ139" s="57" t="n">
        <f aca="false">IF(BP139="LOSE",1,IF(N(T139)&gt;0,T139,IF(N(P139)&gt;0,P139,MAX(1,G139))))</f>
        <v>60</v>
      </c>
      <c r="BR139" s="60" t="n">
        <f aca="false">IF(BP139="LOSE",1,0)</f>
        <v>0</v>
      </c>
      <c r="BS139" s="59" t="n">
        <f aca="false">IF(BR139=0,0,IF(N(R139)&gt;0,R139,IFERROR(VLOOKUP(D139,Parameter!$A$35:$C$64,3,0)+0,0)))</f>
        <v>0</v>
      </c>
      <c r="BT139" s="55" t="n">
        <f aca="false">IF(Y139&lt;&gt;"",Y139,X139)</f>
        <v>2</v>
      </c>
      <c r="BU139" s="55" t="str">
        <f aca="false">IF(BT139=1,"L1",IF(OR(BT139=2,BT139=3),"L23",IF(BT139="Aussen","Aussen","-")))</f>
        <v>L23</v>
      </c>
      <c r="BV139" s="66" t="n">
        <f aca="false">IF(N(Z139)&gt;0,Z139,0)</f>
        <v>0</v>
      </c>
      <c r="BW139" s="60" t="n">
        <f aca="false">IF(ISNUMBER(AC139),1,0)</f>
        <v>0</v>
      </c>
      <c r="BX139" s="57" t="n">
        <f aca="false">N(AC139)</f>
        <v>0</v>
      </c>
      <c r="BY139" s="57" t="n">
        <f aca="false">N(L139)+N(M139)</f>
        <v>28</v>
      </c>
      <c r="BZ139" s="57" t="n">
        <f aca="false">ROUNDUP(G139/BQ139,0)</f>
        <v>1</v>
      </c>
      <c r="CA139" s="57" t="n">
        <f aca="false">ROUNDUP(BX139/BQ139,0)</f>
        <v>0</v>
      </c>
      <c r="CB139" s="60" t="n">
        <f aca="false">IF(BR139=1,0,IFERROR(VLOOKUP(BP139,'Gebinde-Kategorie'!$A$5:$M$45,5,0)+0,0))</f>
        <v>20</v>
      </c>
      <c r="CC139" s="60" t="n">
        <f aca="false">IFERROR(IF(OR(BT139=1,BT139=2,BT139=3),N(INDEX(Parameter!$I$5:$I$7,BT139)),0),0)</f>
        <v>0</v>
      </c>
      <c r="CD139" s="59" t="n">
        <f aca="false">IF(AND(Parameter!$B$21="Ja",ISNUMBER(U139),N(V139)&gt;0),IFERROR(N(INDEX(Parameter!$L$5:$L$7,U139))*INDEX(Parameter!$E$5:$E$7,U139)*V139/SUMIFS($V$7:$V$1576,$U$7:$U$1576,U139),0),0)</f>
        <v>0</v>
      </c>
    </row>
    <row r="140" customFormat="false" ht="15" hidden="false" customHeight="false" outlineLevel="0" collapsed="false">
      <c r="A140" s="55" t="s">
        <v>475</v>
      </c>
      <c r="B140" s="55" t="s">
        <v>476</v>
      </c>
      <c r="C140" s="55" t="s">
        <v>160</v>
      </c>
      <c r="D140" s="55" t="s">
        <v>178</v>
      </c>
      <c r="E140" s="55" t="s">
        <v>210</v>
      </c>
      <c r="F140" s="56" t="n">
        <v>371.25</v>
      </c>
      <c r="G140" s="57" t="n">
        <f aca="false">MAX(0,IF(AND(Parameter!$B$21="Ja",ISNUMBER(W140)),W140,IF(Parameter!$B$20="Jahresanfang 2025 + Export",BJ140+BI140,BI140)))</f>
        <v>4</v>
      </c>
      <c r="H140" s="57" t="n">
        <f aca="false">G140*F140</f>
        <v>1485</v>
      </c>
      <c r="I140" s="57" t="n">
        <f aca="false">BL140*Parameter!$B$18</f>
        <v>0</v>
      </c>
      <c r="J140" s="58" t="n">
        <v>3</v>
      </c>
      <c r="K140" s="59" t="n">
        <v>0</v>
      </c>
      <c r="L140" s="57" t="n">
        <v>0</v>
      </c>
      <c r="M140" s="57" t="n">
        <v>1</v>
      </c>
      <c r="N140" s="60" t="n">
        <v>21</v>
      </c>
      <c r="O140" s="55" t="s">
        <v>319</v>
      </c>
      <c r="P140" s="57" t="n">
        <v>1</v>
      </c>
      <c r="Q140" s="60" t="n">
        <f aca="false">IF(BR140=1,0,IFERROR(VLOOKUP(BP140,'Gebinde-Kategorie'!$A$5:$M$45,13,0)+0,0))</f>
        <v>52</v>
      </c>
      <c r="R140" s="61"/>
      <c r="S140" s="62"/>
      <c r="T140" s="62"/>
      <c r="U140" s="55"/>
      <c r="V140" s="57"/>
      <c r="W140" s="57"/>
      <c r="X140" s="55" t="n">
        <f aca="false">IF(A140="","",IF(AND(Parameter!$B$21="Ja",ISNUMBER(U140)),U140,IF(IFERROR(VLOOKUP(D140,Parameter!$A$35:$C$64,2,0),"Nein")="2+3",IF(ISNUMBER(SEARCH("grosser Artikel",BM140)),2,IFERROR(VLOOKUP(BP140,Parameter!$F$35:$G$64,2,0),2)),IF(OR(IFERROR(VLOOKUP(D140,Parameter!$A$35:$C$64,2,0),"Nein")="Nein",IFERROR(VLOOKUP(D140,Parameter!$A$35:$C$64,2,0),"Nein")=""),"-",VLOOKUP(D140,Parameter!$A$35:$C$64,2,0)))))</f>
        <v>3</v>
      </c>
      <c r="Y140" s="62"/>
      <c r="Z140" s="63"/>
      <c r="AA140" s="57" t="n">
        <f aca="false">AP140</f>
        <v>1</v>
      </c>
      <c r="AB140" s="57" t="n">
        <f aca="false">MAX(AP140,G140)</f>
        <v>4</v>
      </c>
      <c r="AC140" s="64"/>
      <c r="AD140" s="57" t="n">
        <f aca="false">IF(LEFT(Cockpit!$C$5,1)="A",G140,IF(BW140=1,BX140,IF(LEFT(Cockpit!$C$5,1)="B",AH140,MAX(AH140,G140))))</f>
        <v>4</v>
      </c>
      <c r="AE140" s="57" t="n">
        <f aca="false">IF(BR140=1,0,ROUNDUP(AD140/BQ140,0))</f>
        <v>4</v>
      </c>
      <c r="AF140" s="59" t="n">
        <f aca="false">IF(CD140&gt;0,CD140*MAX(1,AD140/V140),IF(BR140=1,IF(AD140&lt;=0,0,BS140*MAX(1,IF(G140&gt;0,AD140/G140,1))),IF(Q140&gt;0,AE140/Q140,0))/MAX(0.1,N(Parameter!$M$21)))</f>
        <v>0.0769230769230769</v>
      </c>
      <c r="AG140" s="57" t="n">
        <f aca="false">AD140*F140</f>
        <v>1485</v>
      </c>
      <c r="AH140" s="57" t="n">
        <f aca="false">ROUNDUP(MAX(I140/IF(BV140&gt;0,BV140,MAX(0.1,N(Cockpit!$C$6))),BY140)/BQ140,0)*BQ140</f>
        <v>1</v>
      </c>
      <c r="AI140" s="58" t="n">
        <f aca="false">IF(AF140&gt;0,I140/AF140,-1)</f>
        <v>0</v>
      </c>
      <c r="AJ140" s="58" t="n">
        <f aca="false">IF(AND(OR(BU140="L1",BU140="L23"),AF140&gt;0),SUMIFS($AF$7:$AF$1576,$BU$7:$BU$1576,BU140,$AI$7:$AI$1576,"&gt;"&amp;AI140)+SUMIFS($AF$7:$AF$1576,$BU$7:$BU$1576,BU140,$AI$7:$AI$1576,AI140,$BO$7:$BO$1576,"&lt;="&amp;BO140),"")</f>
        <v>38.3166842336408</v>
      </c>
      <c r="AK140" s="65" t="n">
        <f aca="false">IF(AJ140="",0,MAX(0,MIN(1,(IF(BU140="L1",Parameter!$E$5,Parameter!$E$6+Parameter!$E$7)-(AJ140-AF140))/AF140)))</f>
        <v>1</v>
      </c>
      <c r="AL140" s="57" t="n">
        <f aca="false">IF(LEFT(Cockpit!$I$5,1)="A",G140,IF(BW140=1,BX140,IF(LEFT(Cockpit!$I$5,1)="B",AP140,MAX(AP140,G140))))</f>
        <v>4</v>
      </c>
      <c r="AM140" s="57" t="n">
        <f aca="false">IF(BR140=1,0,ROUNDUP(AL140/BQ140,0))</f>
        <v>4</v>
      </c>
      <c r="AN140" s="59" t="n">
        <f aca="false">IF(CD140&gt;0,CD140*MAX(1,AL140/V140),IF(BR140=1,IF(AL140&lt;=0,0,BS140*MAX(1,IF(G140&gt;0,AL140/G140,1))),IF(Q140&gt;0,AM140/Q140,0))/MAX(0.1,N(Parameter!$M$21)))</f>
        <v>0.0769230769230769</v>
      </c>
      <c r="AO140" s="57" t="n">
        <f aca="false">AL140*F140</f>
        <v>1485</v>
      </c>
      <c r="AP140" s="57" t="n">
        <f aca="false">ROUNDUP(MAX(I140/IF(BV140&gt;0,BV140,MAX(0.1,N(Cockpit!$I$6))),BY140)/BQ140,0)*BQ140</f>
        <v>1</v>
      </c>
      <c r="AQ140" s="58" t="n">
        <f aca="false">IF(AN140&gt;0,I140/AN140,-1)</f>
        <v>0</v>
      </c>
      <c r="AR140" s="58" t="n">
        <f aca="false">IF(AND(OR(BU140="L1",BU140="L23"),AN140&gt;0),SUMIFS($AN$7:$AN$1576,$BU$7:$BU$1576,BU140,$AQ$7:$AQ$1576,"&gt;"&amp;AQ140)+SUMIFS($AN$7:$AN$1576,$BU$7:$BU$1576,BU140,$AQ$7:$AQ$1576,AQ140,$BO$7:$BO$1576,"&lt;="&amp;BO140),"")</f>
        <v>121.19088998343</v>
      </c>
      <c r="AS140" s="65" t="n">
        <f aca="false">IF(AR140="",0,MAX(0,MIN(1,(IF(BU140="L1",Parameter!$E$5,Parameter!$E$6+Parameter!$E$7)-(AR140-AN140))/AN140)))</f>
        <v>0</v>
      </c>
      <c r="AT140" s="57" t="n">
        <f aca="false">IF(LEFT(Cockpit!$O$5,1)="A",G140,IF(BW140=1,BX140,IF(LEFT(Cockpit!$O$5,1)="B",AX140,MAX(AX140,G140))))</f>
        <v>4</v>
      </c>
      <c r="AU140" s="57" t="n">
        <f aca="false">IF(BR140=1,0,ROUNDUP(AT140/BQ140,0))</f>
        <v>4</v>
      </c>
      <c r="AV140" s="59" t="n">
        <f aca="false">IF(CD140&gt;0,CD140*MAX(1,AT140/V140),IF(BR140=1,IF(AT140&lt;=0,0,BS140*MAX(1,IF(G140&gt;0,AT140/G140,1))),IF(Q140&gt;0,AU140/Q140,0))/MAX(0.1,N(Parameter!$M$21)))</f>
        <v>0.0769230769230769</v>
      </c>
      <c r="AW140" s="57" t="n">
        <f aca="false">AT140*F140</f>
        <v>1485</v>
      </c>
      <c r="AX140" s="57" t="n">
        <f aca="false">ROUNDUP(MAX(I140/IF(BV140&gt;0,BV140,MAX(0.1,N(Cockpit!$O$6))),BY140)/BQ140,0)*BQ140</f>
        <v>1</v>
      </c>
      <c r="AY140" s="58" t="n">
        <f aca="false">IF(AV140&gt;0,I140/AV140,-1)</f>
        <v>0</v>
      </c>
      <c r="AZ140" s="58" t="n">
        <f aca="false">IF(AND(OR(BU140="L1",BU140="L23"),AV140&gt;0),SUMIFS($AV$7:$AV$1576,$BU$7:$BU$1576,BU140,$AY$7:$AY$1576,"&gt;"&amp;AY140)+SUMIFS($AV$7:$AV$1576,$BU$7:$BU$1576,BU140,$AY$7:$AY$1576,AY140,$BO$7:$BO$1576,"&lt;="&amp;BO140),"")</f>
        <v>111.250440432981</v>
      </c>
      <c r="BA140" s="65" t="n">
        <f aca="false">IF(AZ140="",0,MAX(0,MIN(1,(IF(BU140="L1",Parameter!$E$5,Parameter!$E$6+Parameter!$E$7)-(AZ140-AV140))/AV140)))</f>
        <v>0</v>
      </c>
      <c r="BB140" s="55" t="str">
        <f aca="false">IF(AF140&lt;=0,"",IF(BU140="Aussen","Aussenlager",IF(BU140="-","Nicht im Lift",IF(AK140&gt;=1,"Lift",IF(AK140&lt;=0,"Aussenlager","teilweise")))))</f>
        <v>Lift</v>
      </c>
      <c r="BC140" s="55" t="str">
        <f aca="false">IF(AN140&lt;=0,"",IF(BU140="Aussen","Aussenlager",IF(BU140="-","Nicht im Lift",IF(AS140&gt;=1,"Lift",IF(AS140&lt;=0,"Aussenlager","teilweise")))))</f>
        <v>Aussenlager</v>
      </c>
      <c r="BD140" s="55" t="str">
        <f aca="false">IF(AV140&lt;=0,"",IF(BU140="Aussen","Aussenlager",IF(BU140="-","Nicht im Lift",IF(BA140&gt;=1,"Lift",IF(BA140&lt;=0,"Aussenlager","teilweise")))))</f>
        <v>Aussenlager</v>
      </c>
      <c r="BE140" s="55" t="str">
        <f aca="false">IF(A140="","",IF(BN140=1,"Neu; ","")&amp;IF(AND(BN140=0,BI140&lt;0),"negativer Bestand (Export "&amp;BI140&amp;"); ","")&amp;IF(I140&lt;=0,"Kein Verbrauch; ","")&amp;IF(CD140&gt;0,"Lift "&amp;U140&amp;" lt. Liftbericht (Fach "&amp;V140&amp;" Stk); ",IF(BR140=1,"Lose – Fläche geschätzt; ",""))&amp;IF(G140&gt;AP140,"Überbestand "&amp;ROUND(G140-AP140,0)&amp;" Stk / CHF "&amp;ROUND((G140-AP140)*F140,0)&amp;"; ","")&amp;IF(AND(BW140=1,BX140&lt;BY140),"MAX &lt; MB+LG; ","")&amp;IF(AND(CC140&gt;0,CB140*10&gt;CC140),"zu hoch für Tablar; ","")&amp;IF(AND(BN140=0,OR(BW140=1,Y140&lt;&gt;"",S140&lt;&gt;"",T140&lt;&gt;"",Z140&lt;&gt;"")),"manuell übersteuert; ","")&amp;IF(AND(BR140=0,Q140=0),"Gebinde unbekannt / Stellmass fehlt; ","")&amp;IF(AND(BR140=0,N(T140)&lt;=0,N(P140)&lt;=0),"Menge pro Gebinde fehlt (Ist = 1 Gebinde); ","")&amp;BM140)</f>
        <v>Kein Verbrauch; Überbestand 3 Stk / CHF 1114; </v>
      </c>
      <c r="BF140" s="55"/>
      <c r="BG140" s="55"/>
      <c r="BH140" s="62"/>
      <c r="BI140" s="57" t="n">
        <v>4</v>
      </c>
      <c r="BJ140" s="57" t="n">
        <v>1</v>
      </c>
      <c r="BK140" s="56" t="n">
        <v>1487.25</v>
      </c>
      <c r="BL140" s="57" t="n">
        <v>0</v>
      </c>
      <c r="BM140" s="55"/>
      <c r="BN140" s="60" t="n">
        <v>0</v>
      </c>
      <c r="BO140" s="60" t="n">
        <v>140</v>
      </c>
      <c r="BP140" s="55" t="str">
        <f aca="false">IF(S140&lt;&gt;"",UPPER(TRIM(S140)),IF(O140="","LOSE",O140))</f>
        <v>S41</v>
      </c>
      <c r="BQ140" s="57" t="n">
        <f aca="false">IF(BP140="LOSE",1,IF(N(T140)&gt;0,T140,IF(N(P140)&gt;0,P140,MAX(1,G140))))</f>
        <v>1</v>
      </c>
      <c r="BR140" s="60" t="n">
        <f aca="false">IF(BP140="LOSE",1,0)</f>
        <v>0</v>
      </c>
      <c r="BS140" s="59" t="n">
        <f aca="false">IF(BR140=0,0,IF(N(R140)&gt;0,R140,IFERROR(VLOOKUP(D140,Parameter!$A$35:$C$64,3,0)+0,0)))</f>
        <v>0</v>
      </c>
      <c r="BT140" s="55" t="n">
        <f aca="false">IF(Y140&lt;&gt;"",Y140,X140)</f>
        <v>3</v>
      </c>
      <c r="BU140" s="55" t="str">
        <f aca="false">IF(BT140=1,"L1",IF(OR(BT140=2,BT140=3),"L23",IF(BT140="Aussen","Aussen","-")))</f>
        <v>L23</v>
      </c>
      <c r="BV140" s="66" t="n">
        <f aca="false">IF(N(Z140)&gt;0,Z140,0)</f>
        <v>0</v>
      </c>
      <c r="BW140" s="60" t="n">
        <f aca="false">IF(ISNUMBER(AC140),1,0)</f>
        <v>0</v>
      </c>
      <c r="BX140" s="57" t="n">
        <f aca="false">N(AC140)</f>
        <v>0</v>
      </c>
      <c r="BY140" s="57" t="n">
        <f aca="false">N(L140)+N(M140)</f>
        <v>1</v>
      </c>
      <c r="BZ140" s="57" t="n">
        <f aca="false">ROUNDUP(G140/BQ140,0)</f>
        <v>4</v>
      </c>
      <c r="CA140" s="57" t="n">
        <f aca="false">ROUNDUP(BX140/BQ140,0)</f>
        <v>0</v>
      </c>
      <c r="CB140" s="60" t="n">
        <f aca="false">IF(BR140=1,0,IFERROR(VLOOKUP(BP140,'Gebinde-Kategorie'!$A$5:$M$45,5,0)+0,0))</f>
        <v>11</v>
      </c>
      <c r="CC140" s="60" t="n">
        <f aca="false">IFERROR(IF(OR(BT140=1,BT140=2,BT140=3),N(INDEX(Parameter!$I$5:$I$7,BT140)),0),0)</f>
        <v>0</v>
      </c>
      <c r="CD140" s="59" t="n">
        <f aca="false">IF(AND(Parameter!$B$21="Ja",ISNUMBER(U140),N(V140)&gt;0),IFERROR(N(INDEX(Parameter!$L$5:$L$7,U140))*INDEX(Parameter!$E$5:$E$7,U140)*V140/SUMIFS($V$7:$V$1576,$U$7:$U$1576,U140),0),0)</f>
        <v>0</v>
      </c>
    </row>
    <row r="141" customFormat="false" ht="15" hidden="false" customHeight="false" outlineLevel="0" collapsed="false">
      <c r="A141" s="55" t="s">
        <v>477</v>
      </c>
      <c r="B141" s="55" t="s">
        <v>478</v>
      </c>
      <c r="C141" s="55" t="s">
        <v>160</v>
      </c>
      <c r="D141" s="55" t="s">
        <v>178</v>
      </c>
      <c r="E141" s="55" t="s">
        <v>210</v>
      </c>
      <c r="F141" s="56" t="n">
        <v>1.64</v>
      </c>
      <c r="G141" s="57" t="n">
        <f aca="false">MAX(0,IF(AND(Parameter!$B$21="Ja",ISNUMBER(W141)),W141,IF(Parameter!$B$20="Jahresanfang 2025 + Export",BJ141+BI141,BI141)))</f>
        <v>902</v>
      </c>
      <c r="H141" s="57" t="n">
        <f aca="false">G141*F141</f>
        <v>1479.28</v>
      </c>
      <c r="I141" s="57" t="n">
        <f aca="false">BL141*Parameter!$B$18</f>
        <v>4228</v>
      </c>
      <c r="J141" s="58" t="n">
        <v>1050.5</v>
      </c>
      <c r="K141" s="59" t="n">
        <v>4.02475011899096</v>
      </c>
      <c r="L141" s="57" t="n">
        <v>83</v>
      </c>
      <c r="M141" s="57" t="n">
        <v>2500</v>
      </c>
      <c r="N141" s="60" t="n">
        <v>7</v>
      </c>
      <c r="O141" s="55" t="s">
        <v>218</v>
      </c>
      <c r="P141" s="57" t="n">
        <v>3358</v>
      </c>
      <c r="Q141" s="60" t="n">
        <f aca="false">IF(BR141=1,0,IFERROR(VLOOKUP(BP141,'Gebinde-Kategorie'!$A$5:$M$45,13,0)+0,0))</f>
        <v>12</v>
      </c>
      <c r="R141" s="61"/>
      <c r="S141" s="62"/>
      <c r="T141" s="62"/>
      <c r="U141" s="55"/>
      <c r="V141" s="57"/>
      <c r="W141" s="57"/>
      <c r="X141" s="55" t="n">
        <f aca="false">IF(A141="","",IF(AND(Parameter!$B$21="Ja",ISNUMBER(U141)),U141,IF(IFERROR(VLOOKUP(D141,Parameter!$A$35:$C$64,2,0),"Nein")="2+3",IF(ISNUMBER(SEARCH("grosser Artikel",BM141)),2,IFERROR(VLOOKUP(BP141,Parameter!$F$35:$G$64,2,0),2)),IF(OR(IFERROR(VLOOKUP(D141,Parameter!$A$35:$C$64,2,0),"Nein")="Nein",IFERROR(VLOOKUP(D141,Parameter!$A$35:$C$64,2,0),"Nein")=""),"-",VLOOKUP(D141,Parameter!$A$35:$C$64,2,0)))))</f>
        <v>2</v>
      </c>
      <c r="Y141" s="62"/>
      <c r="Z141" s="63"/>
      <c r="AA141" s="57" t="n">
        <f aca="false">AP141</f>
        <v>3358</v>
      </c>
      <c r="AB141" s="57" t="n">
        <f aca="false">MAX(AP141,G141)</f>
        <v>3358</v>
      </c>
      <c r="AC141" s="64"/>
      <c r="AD141" s="57" t="n">
        <f aca="false">IF(LEFT(Cockpit!$C$5,1)="A",G141,IF(BW141=1,BX141,IF(LEFT(Cockpit!$C$5,1)="B",AH141,MAX(AH141,G141))))</f>
        <v>902</v>
      </c>
      <c r="AE141" s="57" t="n">
        <f aca="false">IF(BR141=1,0,ROUNDUP(AD141/BQ141,0))</f>
        <v>1</v>
      </c>
      <c r="AF141" s="59" t="n">
        <f aca="false">IF(CD141&gt;0,CD141*MAX(1,AD141/V141),IF(BR141=1,IF(AD141&lt;=0,0,BS141*MAX(1,IF(G141&gt;0,AD141/G141,1))),IF(Q141&gt;0,AE141/Q141,0))/MAX(0.1,N(Parameter!$M$21)))</f>
        <v>0.0833333333333333</v>
      </c>
      <c r="AG141" s="57" t="n">
        <f aca="false">AD141*F141</f>
        <v>1479.28</v>
      </c>
      <c r="AH141" s="57" t="n">
        <f aca="false">ROUNDUP(MAX(I141/IF(BV141&gt;0,BV141,MAX(0.1,N(Cockpit!$C$6))),BY141)/BQ141,0)*BQ141</f>
        <v>3358</v>
      </c>
      <c r="AI141" s="58" t="n">
        <f aca="false">IF(AF141&gt;0,I141/AF141,-1)</f>
        <v>50736</v>
      </c>
      <c r="AJ141" s="58" t="n">
        <f aca="false">IF(AND(OR(BU141="L1",BU141="L23"),AF141&gt;0),SUMIFS($AF$7:$AF$1576,$BU$7:$BU$1576,BU141,$AI$7:$AI$1576,"&gt;"&amp;AI141)+SUMIFS($AF$7:$AF$1576,$BU$7:$BU$1576,BU141,$AI$7:$AI$1576,AI141,$BO$7:$BO$1576,"&lt;="&amp;BO141),"")</f>
        <v>0.797684199858113</v>
      </c>
      <c r="AK141" s="65" t="n">
        <f aca="false">IF(AJ141="",0,MAX(0,MIN(1,(IF(BU141="L1",Parameter!$E$5,Parameter!$E$6+Parameter!$E$7)-(AJ141-AF141))/AF141)))</f>
        <v>1</v>
      </c>
      <c r="AL141" s="57" t="n">
        <f aca="false">IF(LEFT(Cockpit!$I$5,1)="A",G141,IF(BW141=1,BX141,IF(LEFT(Cockpit!$I$5,1)="B",AP141,MAX(AP141,G141))))</f>
        <v>3358</v>
      </c>
      <c r="AM141" s="57" t="n">
        <f aca="false">IF(BR141=1,0,ROUNDUP(AL141/BQ141,0))</f>
        <v>1</v>
      </c>
      <c r="AN141" s="59" t="n">
        <f aca="false">IF(CD141&gt;0,CD141*MAX(1,AL141/V141),IF(BR141=1,IF(AL141&lt;=0,0,BS141*MAX(1,IF(G141&gt;0,AL141/G141,1))),IF(Q141&gt;0,AM141/Q141,0))/MAX(0.1,N(Parameter!$M$21)))</f>
        <v>0.0833333333333333</v>
      </c>
      <c r="AO141" s="57" t="n">
        <f aca="false">AL141*F141</f>
        <v>5507.12</v>
      </c>
      <c r="AP141" s="57" t="n">
        <f aca="false">ROUNDUP(MAX(I141/IF(BV141&gt;0,BV141,MAX(0.1,N(Cockpit!$I$6))),BY141)/BQ141,0)*BQ141</f>
        <v>3358</v>
      </c>
      <c r="AQ141" s="58" t="n">
        <f aca="false">IF(AN141&gt;0,I141/AN141,-1)</f>
        <v>50736</v>
      </c>
      <c r="AR141" s="58" t="n">
        <f aca="false">IF(AND(OR(BU141="L1",BU141="L23"),AN141&gt;0),SUMIFS($AN$7:$AN$1576,$BU$7:$BU$1576,BU141,$AQ$7:$AQ$1576,"&gt;"&amp;AQ141)+SUMIFS($AN$7:$AN$1576,$BU$7:$BU$1576,BU141,$AQ$7:$AQ$1576,AQ141,$BO$7:$BO$1576,"&lt;="&amp;BO141),"")</f>
        <v>1.24812269855748</v>
      </c>
      <c r="AS141" s="65" t="n">
        <f aca="false">IF(AR141="",0,MAX(0,MIN(1,(IF(BU141="L1",Parameter!$E$5,Parameter!$E$6+Parameter!$E$7)-(AR141-AN141))/AN141)))</f>
        <v>1</v>
      </c>
      <c r="AT141" s="57" t="n">
        <f aca="false">IF(LEFT(Cockpit!$O$5,1)="A",G141,IF(BW141=1,BX141,IF(LEFT(Cockpit!$O$5,1)="B",AX141,MAX(AX141,G141))))</f>
        <v>3358</v>
      </c>
      <c r="AU141" s="57" t="n">
        <f aca="false">IF(BR141=1,0,ROUNDUP(AT141/BQ141,0))</f>
        <v>1</v>
      </c>
      <c r="AV141" s="59" t="n">
        <f aca="false">IF(CD141&gt;0,CD141*MAX(1,AT141/V141),IF(BR141=1,IF(AT141&lt;=0,0,BS141*MAX(1,IF(G141&gt;0,AT141/G141,1))),IF(Q141&gt;0,AU141/Q141,0))/MAX(0.1,N(Parameter!$M$21)))</f>
        <v>0.0833333333333333</v>
      </c>
      <c r="AW141" s="57" t="n">
        <f aca="false">AT141*F141</f>
        <v>5507.12</v>
      </c>
      <c r="AX141" s="57" t="n">
        <f aca="false">ROUNDUP(MAX(I141/IF(BV141&gt;0,BV141,MAX(0.1,N(Cockpit!$O$6))),BY141)/BQ141,0)*BQ141</f>
        <v>3358</v>
      </c>
      <c r="AY141" s="58" t="n">
        <f aca="false">IF(AV141&gt;0,I141/AV141,-1)</f>
        <v>50736</v>
      </c>
      <c r="AZ141" s="58" t="n">
        <f aca="false">IF(AND(OR(BU141="L1",BU141="L23"),AV141&gt;0),SUMIFS($AV$7:$AV$1576,$BU$7:$BU$1576,BU141,$AY$7:$AY$1576,"&gt;"&amp;AY141)+SUMIFS($AV$7:$AV$1576,$BU$7:$BU$1576,BU141,$AY$7:$AY$1576,AY141,$BO$7:$BO$1576,"&lt;="&amp;BO141),"")</f>
        <v>1.57737677781156</v>
      </c>
      <c r="BA141" s="65" t="n">
        <f aca="false">IF(AZ141="",0,MAX(0,MIN(1,(IF(BU141="L1",Parameter!$E$5,Parameter!$E$6+Parameter!$E$7)-(AZ141-AV141))/AV141)))</f>
        <v>1</v>
      </c>
      <c r="BB141" s="55" t="str">
        <f aca="false">IF(AF141&lt;=0,"",IF(BU141="Aussen","Aussenlager",IF(BU141="-","Nicht im Lift",IF(AK141&gt;=1,"Lift",IF(AK141&lt;=0,"Aussenlager","teilweise")))))</f>
        <v>Lift</v>
      </c>
      <c r="BC141" s="55" t="str">
        <f aca="false">IF(AN141&lt;=0,"",IF(BU141="Aussen","Aussenlager",IF(BU141="-","Nicht im Lift",IF(AS141&gt;=1,"Lift",IF(AS141&lt;=0,"Aussenlager","teilweise")))))</f>
        <v>Lift</v>
      </c>
      <c r="BD141" s="55" t="str">
        <f aca="false">IF(AV141&lt;=0,"",IF(BU141="Aussen","Aussenlager",IF(BU141="-","Nicht im Lift",IF(BA141&gt;=1,"Lift",IF(BA141&lt;=0,"Aussenlager","teilweise")))))</f>
        <v>Lift</v>
      </c>
      <c r="BE141" s="55" t="str">
        <f aca="false">IF(A141="","",IF(BN141=1,"Neu; ","")&amp;IF(AND(BN141=0,BI141&lt;0),"negativer Bestand (Export "&amp;BI141&amp;"); ","")&amp;IF(I141&lt;=0,"Kein Verbrauch; ","")&amp;IF(CD141&gt;0,"Lift "&amp;U141&amp;" lt. Liftbericht (Fach "&amp;V141&amp;" Stk); ",IF(BR141=1,"Lose – Fläche geschätzt; ",""))&amp;IF(G141&gt;AP141,"Überbestand "&amp;ROUND(G141-AP141,0)&amp;" Stk / CHF "&amp;ROUND((G141-AP141)*F141,0)&amp;"; ","")&amp;IF(AND(BW141=1,BX141&lt;BY141),"MAX &lt; MB+LG; ","")&amp;IF(AND(CC141&gt;0,CB141*10&gt;CC141),"zu hoch für Tablar; ","")&amp;IF(AND(BN141=0,OR(BW141=1,Y141&lt;&gt;"",S141&lt;&gt;"",T141&lt;&gt;"",Z141&lt;&gt;"")),"manuell übersteuert; ","")&amp;IF(AND(BR141=0,Q141=0),"Gebinde unbekannt / Stellmass fehlt; ","")&amp;IF(AND(BR141=0,N(T141)&lt;=0,N(P141)&lt;=0),"Menge pro Gebinde fehlt (Ist = 1 Gebinde); ","")&amp;BM141)</f>
        <v/>
      </c>
      <c r="BF141" s="55"/>
      <c r="BG141" s="55"/>
      <c r="BH141" s="62"/>
      <c r="BI141" s="57" t="n">
        <v>902</v>
      </c>
      <c r="BJ141" s="57" t="n">
        <v>637</v>
      </c>
      <c r="BK141" s="56" t="n">
        <v>1466.8</v>
      </c>
      <c r="BL141" s="57" t="n">
        <v>4228</v>
      </c>
      <c r="BM141" s="55"/>
      <c r="BN141" s="60" t="n">
        <v>0</v>
      </c>
      <c r="BO141" s="60" t="n">
        <v>141</v>
      </c>
      <c r="BP141" s="55" t="str">
        <f aca="false">IF(S141&lt;&gt;"",UPPER(TRIM(S141)),IF(O141="","LOSE",O141))</f>
        <v>S63</v>
      </c>
      <c r="BQ141" s="57" t="n">
        <f aca="false">IF(BP141="LOSE",1,IF(N(T141)&gt;0,T141,IF(N(P141)&gt;0,P141,MAX(1,G141))))</f>
        <v>3358</v>
      </c>
      <c r="BR141" s="60" t="n">
        <f aca="false">IF(BP141="LOSE",1,0)</f>
        <v>0</v>
      </c>
      <c r="BS141" s="59" t="n">
        <f aca="false">IF(BR141=0,0,IF(N(R141)&gt;0,R141,IFERROR(VLOOKUP(D141,Parameter!$A$35:$C$64,3,0)+0,0)))</f>
        <v>0</v>
      </c>
      <c r="BT141" s="55" t="n">
        <f aca="false">IF(Y141&lt;&gt;"",Y141,X141)</f>
        <v>2</v>
      </c>
      <c r="BU141" s="55" t="str">
        <f aca="false">IF(BT141=1,"L1",IF(OR(BT141=2,BT141=3),"L23",IF(BT141="Aussen","Aussen","-")))</f>
        <v>L23</v>
      </c>
      <c r="BV141" s="66" t="n">
        <f aca="false">IF(N(Z141)&gt;0,Z141,0)</f>
        <v>0</v>
      </c>
      <c r="BW141" s="60" t="n">
        <f aca="false">IF(ISNUMBER(AC141),1,0)</f>
        <v>0</v>
      </c>
      <c r="BX141" s="57" t="n">
        <f aca="false">N(AC141)</f>
        <v>0</v>
      </c>
      <c r="BY141" s="57" t="n">
        <f aca="false">N(L141)+N(M141)</f>
        <v>2583</v>
      </c>
      <c r="BZ141" s="57" t="n">
        <f aca="false">ROUNDUP(G141/BQ141,0)</f>
        <v>1</v>
      </c>
      <c r="CA141" s="57" t="n">
        <f aca="false">ROUNDUP(BX141/BQ141,0)</f>
        <v>0</v>
      </c>
      <c r="CB141" s="60" t="n">
        <f aca="false">IF(BR141=1,0,IFERROR(VLOOKUP(BP141,'Gebinde-Kategorie'!$A$5:$M$45,5,0)+0,0))</f>
        <v>31</v>
      </c>
      <c r="CC141" s="60" t="n">
        <f aca="false">IFERROR(IF(OR(BT141=1,BT141=2,BT141=3),N(INDEX(Parameter!$I$5:$I$7,BT141)),0),0)</f>
        <v>0</v>
      </c>
      <c r="CD141" s="59" t="n">
        <f aca="false">IF(AND(Parameter!$B$21="Ja",ISNUMBER(U141),N(V141)&gt;0),IFERROR(N(INDEX(Parameter!$L$5:$L$7,U141))*INDEX(Parameter!$E$5:$E$7,U141)*V141/SUMIFS($V$7:$V$1576,$U$7:$U$1576,U141),0),0)</f>
        <v>0</v>
      </c>
    </row>
    <row r="142" customFormat="false" ht="15" hidden="false" customHeight="false" outlineLevel="0" collapsed="false">
      <c r="A142" s="55" t="s">
        <v>479</v>
      </c>
      <c r="B142" s="55" t="s">
        <v>480</v>
      </c>
      <c r="C142" s="55" t="s">
        <v>160</v>
      </c>
      <c r="D142" s="55" t="s">
        <v>168</v>
      </c>
      <c r="E142" s="55" t="s">
        <v>210</v>
      </c>
      <c r="F142" s="56" t="n">
        <v>365.35</v>
      </c>
      <c r="G142" s="57" t="n">
        <f aca="false">MAX(0,IF(AND(Parameter!$B$21="Ja",ISNUMBER(W142)),W142,IF(Parameter!$B$20="Jahresanfang 2025 + Export",BJ142+BI142,BI142)))</f>
        <v>4</v>
      </c>
      <c r="H142" s="57" t="n">
        <f aca="false">G142*F142</f>
        <v>1461.4</v>
      </c>
      <c r="I142" s="57" t="n">
        <f aca="false">BL142*Parameter!$B$18</f>
        <v>0</v>
      </c>
      <c r="J142" s="58" t="n">
        <v>0</v>
      </c>
      <c r="K142" s="59" t="n">
        <v>0</v>
      </c>
      <c r="L142" s="57" t="n">
        <v>0</v>
      </c>
      <c r="M142" s="57" t="n">
        <v>1</v>
      </c>
      <c r="N142" s="60" t="n">
        <v>14</v>
      </c>
      <c r="O142" s="55" t="s">
        <v>163</v>
      </c>
      <c r="P142" s="57"/>
      <c r="Q142" s="60" t="n">
        <f aca="false">IF(BR142=1,0,IFERROR(VLOOKUP(BP142,'Gebinde-Kategorie'!$A$5:$M$45,13,0)+0,0))</f>
        <v>0</v>
      </c>
      <c r="R142" s="61"/>
      <c r="S142" s="62"/>
      <c r="T142" s="62"/>
      <c r="U142" s="55"/>
      <c r="V142" s="57"/>
      <c r="W142" s="57"/>
      <c r="X142" s="55" t="n">
        <f aca="false">IF(A142="","",IF(AND(Parameter!$B$21="Ja",ISNUMBER(U142)),U142,IF(IFERROR(VLOOKUP(D142,Parameter!$A$35:$C$64,2,0),"Nein")="2+3",IF(ISNUMBER(SEARCH("grosser Artikel",BM142)),2,IFERROR(VLOOKUP(BP142,Parameter!$F$35:$G$64,2,0),2)),IF(OR(IFERROR(VLOOKUP(D142,Parameter!$A$35:$C$64,2,0),"Nein")="Nein",IFERROR(VLOOKUP(D142,Parameter!$A$35:$C$64,2,0),"Nein")=""),"-",VLOOKUP(D142,Parameter!$A$35:$C$64,2,0)))))</f>
        <v>2</v>
      </c>
      <c r="Y142" s="62"/>
      <c r="Z142" s="63"/>
      <c r="AA142" s="57" t="n">
        <f aca="false">AP142</f>
        <v>1</v>
      </c>
      <c r="AB142" s="57" t="n">
        <f aca="false">MAX(AP142,G142)</f>
        <v>4</v>
      </c>
      <c r="AC142" s="64"/>
      <c r="AD142" s="57" t="n">
        <f aca="false">IF(LEFT(Cockpit!$C$5,1)="A",G142,IF(BW142=1,BX142,IF(LEFT(Cockpit!$C$5,1)="B",AH142,MAX(AH142,G142))))</f>
        <v>4</v>
      </c>
      <c r="AE142" s="57" t="n">
        <f aca="false">IF(BR142=1,0,ROUNDUP(AD142/BQ142,0))</f>
        <v>0</v>
      </c>
      <c r="AF142" s="59" t="n">
        <f aca="false">IF(CD142&gt;0,CD142*MAX(1,AD142/V142),IF(BR142=1,IF(AD142&lt;=0,0,BS142*MAX(1,IF(G142&gt;0,AD142/G142,1))),IF(Q142&gt;0,AE142/Q142,0))/MAX(0.1,N(Parameter!$M$21)))</f>
        <v>0.15</v>
      </c>
      <c r="AG142" s="57" t="n">
        <f aca="false">AD142*F142</f>
        <v>1461.4</v>
      </c>
      <c r="AH142" s="57" t="n">
        <f aca="false">ROUNDUP(MAX(I142/IF(BV142&gt;0,BV142,MAX(0.1,N(Cockpit!$C$6))),BY142)/BQ142,0)*BQ142</f>
        <v>1</v>
      </c>
      <c r="AI142" s="58" t="n">
        <f aca="false">IF(AF142&gt;0,I142/AF142,-1)</f>
        <v>0</v>
      </c>
      <c r="AJ142" s="58" t="n">
        <f aca="false">IF(AND(OR(BU142="L1",BU142="L23"),AF142&gt;0),SUMIFS($AF$7:$AF$1576,$BU$7:$BU$1576,BU142,$AI$7:$AI$1576,"&gt;"&amp;AI142)+SUMIFS($AF$7:$AF$1576,$BU$7:$BU$1576,BU142,$AI$7:$AI$1576,AI142,$BO$7:$BO$1576,"&lt;="&amp;BO142),"")</f>
        <v>38.4666842336408</v>
      </c>
      <c r="AK142" s="65" t="n">
        <f aca="false">IF(AJ142="",0,MAX(0,MIN(1,(IF(BU142="L1",Parameter!$E$5,Parameter!$E$6+Parameter!$E$7)-(AJ142-AF142))/AF142)))</f>
        <v>1</v>
      </c>
      <c r="AL142" s="57" t="n">
        <f aca="false">IF(LEFT(Cockpit!$I$5,1)="A",G142,IF(BW142=1,BX142,IF(LEFT(Cockpit!$I$5,1)="B",AP142,MAX(AP142,G142))))</f>
        <v>4</v>
      </c>
      <c r="AM142" s="57" t="n">
        <f aca="false">IF(BR142=1,0,ROUNDUP(AL142/BQ142,0))</f>
        <v>0</v>
      </c>
      <c r="AN142" s="59" t="n">
        <f aca="false">IF(CD142&gt;0,CD142*MAX(1,AL142/V142),IF(BR142=1,IF(AL142&lt;=0,0,BS142*MAX(1,IF(G142&gt;0,AL142/G142,1))),IF(Q142&gt;0,AM142/Q142,0))/MAX(0.1,N(Parameter!$M$21)))</f>
        <v>0.15</v>
      </c>
      <c r="AO142" s="57" t="n">
        <f aca="false">AL142*F142</f>
        <v>1461.4</v>
      </c>
      <c r="AP142" s="57" t="n">
        <f aca="false">ROUNDUP(MAX(I142/IF(BV142&gt;0,BV142,MAX(0.1,N(Cockpit!$I$6))),BY142)/BQ142,0)*BQ142</f>
        <v>1</v>
      </c>
      <c r="AQ142" s="58" t="n">
        <f aca="false">IF(AN142&gt;0,I142/AN142,-1)</f>
        <v>0</v>
      </c>
      <c r="AR142" s="58" t="n">
        <f aca="false">IF(AND(OR(BU142="L1",BU142="L23"),AN142&gt;0),SUMIFS($AN$7:$AN$1576,$BU$7:$BU$1576,BU142,$AQ$7:$AQ$1576,"&gt;"&amp;AQ142)+SUMIFS($AN$7:$AN$1576,$BU$7:$BU$1576,BU142,$AQ$7:$AQ$1576,AQ142,$BO$7:$BO$1576,"&lt;="&amp;BO142),"")</f>
        <v>121.34088998343</v>
      </c>
      <c r="AS142" s="65" t="n">
        <f aca="false">IF(AR142="",0,MAX(0,MIN(1,(IF(BU142="L1",Parameter!$E$5,Parameter!$E$6+Parameter!$E$7)-(AR142-AN142))/AN142)))</f>
        <v>0</v>
      </c>
      <c r="AT142" s="57" t="n">
        <f aca="false">IF(LEFT(Cockpit!$O$5,1)="A",G142,IF(BW142=1,BX142,IF(LEFT(Cockpit!$O$5,1)="B",AX142,MAX(AX142,G142))))</f>
        <v>4</v>
      </c>
      <c r="AU142" s="57" t="n">
        <f aca="false">IF(BR142=1,0,ROUNDUP(AT142/BQ142,0))</f>
        <v>0</v>
      </c>
      <c r="AV142" s="59" t="n">
        <f aca="false">IF(CD142&gt;0,CD142*MAX(1,AT142/V142),IF(BR142=1,IF(AT142&lt;=0,0,BS142*MAX(1,IF(G142&gt;0,AT142/G142,1))),IF(Q142&gt;0,AU142/Q142,0))/MAX(0.1,N(Parameter!$M$21)))</f>
        <v>0.15</v>
      </c>
      <c r="AW142" s="57" t="n">
        <f aca="false">AT142*F142</f>
        <v>1461.4</v>
      </c>
      <c r="AX142" s="57" t="n">
        <f aca="false">ROUNDUP(MAX(I142/IF(BV142&gt;0,BV142,MAX(0.1,N(Cockpit!$O$6))),BY142)/BQ142,0)*BQ142</f>
        <v>1</v>
      </c>
      <c r="AY142" s="58" t="n">
        <f aca="false">IF(AV142&gt;0,I142/AV142,-1)</f>
        <v>0</v>
      </c>
      <c r="AZ142" s="58" t="n">
        <f aca="false">IF(AND(OR(BU142="L1",BU142="L23"),AV142&gt;0),SUMIFS($AV$7:$AV$1576,$BU$7:$BU$1576,BU142,$AY$7:$AY$1576,"&gt;"&amp;AY142)+SUMIFS($AV$7:$AV$1576,$BU$7:$BU$1576,BU142,$AY$7:$AY$1576,AY142,$BO$7:$BO$1576,"&lt;="&amp;BO142),"")</f>
        <v>111.400440432981</v>
      </c>
      <c r="BA142" s="65" t="n">
        <f aca="false">IF(AZ142="",0,MAX(0,MIN(1,(IF(BU142="L1",Parameter!$E$5,Parameter!$E$6+Parameter!$E$7)-(AZ142-AV142))/AV142)))</f>
        <v>0</v>
      </c>
      <c r="BB142" s="55" t="str">
        <f aca="false">IF(AF142&lt;=0,"",IF(BU142="Aussen","Aussenlager",IF(BU142="-","Nicht im Lift",IF(AK142&gt;=1,"Lift",IF(AK142&lt;=0,"Aussenlager","teilweise")))))</f>
        <v>Lift</v>
      </c>
      <c r="BC142" s="55" t="str">
        <f aca="false">IF(AN142&lt;=0,"",IF(BU142="Aussen","Aussenlager",IF(BU142="-","Nicht im Lift",IF(AS142&gt;=1,"Lift",IF(AS142&lt;=0,"Aussenlager","teilweise")))))</f>
        <v>Aussenlager</v>
      </c>
      <c r="BD142" s="55" t="str">
        <f aca="false">IF(AV142&lt;=0,"",IF(BU142="Aussen","Aussenlager",IF(BU142="-","Nicht im Lift",IF(BA142&gt;=1,"Lift",IF(BA142&lt;=0,"Aussenlager","teilweise")))))</f>
        <v>Aussenlager</v>
      </c>
      <c r="BE142" s="55" t="str">
        <f aca="false">IF(A142="","",IF(BN142=1,"Neu; ","")&amp;IF(AND(BN142=0,BI142&lt;0),"negativer Bestand (Export "&amp;BI142&amp;"); ","")&amp;IF(I142&lt;=0,"Kein Verbrauch; ","")&amp;IF(CD142&gt;0,"Lift "&amp;U142&amp;" lt. Liftbericht (Fach "&amp;V142&amp;" Stk); ",IF(BR142=1,"Lose – Fläche geschätzt; ",""))&amp;IF(G142&gt;AP142,"Überbestand "&amp;ROUND(G142-AP142,0)&amp;" Stk / CHF "&amp;ROUND((G142-AP142)*F142,0)&amp;"; ","")&amp;IF(AND(BW142=1,BX142&lt;BY142),"MAX &lt; MB+LG; ","")&amp;IF(AND(CC142&gt;0,CB142*10&gt;CC142),"zu hoch für Tablar; ","")&amp;IF(AND(BN142=0,OR(BW142=1,Y142&lt;&gt;"",S142&lt;&gt;"",T142&lt;&gt;"",Z142&lt;&gt;"")),"manuell übersteuert; ","")&amp;IF(AND(BR142=0,Q142=0),"Gebinde unbekannt / Stellmass fehlt; ","")&amp;IF(AND(BR142=0,N(T142)&lt;=0,N(P142)&lt;=0),"Menge pro Gebinde fehlt (Ist = 1 Gebinde); ","")&amp;BM142)</f>
        <v>Kein Verbrauch; Lose – Fläche geschätzt; Überbestand 3 Stk / CHF 1096; </v>
      </c>
      <c r="BF142" s="55"/>
      <c r="BG142" s="55"/>
      <c r="BH142" s="62"/>
      <c r="BI142" s="57" t="n">
        <v>4</v>
      </c>
      <c r="BJ142" s="57" t="n">
        <v>0</v>
      </c>
      <c r="BK142" s="56" t="n">
        <v>1461.4</v>
      </c>
      <c r="BL142" s="57" t="n">
        <v>0</v>
      </c>
      <c r="BM142" s="55"/>
      <c r="BN142" s="60" t="n">
        <v>0</v>
      </c>
      <c r="BO142" s="60" t="n">
        <v>142</v>
      </c>
      <c r="BP142" s="55" t="str">
        <f aca="false">IF(S142&lt;&gt;"",UPPER(TRIM(S142)),IF(O142="","LOSE",O142))</f>
        <v>LOSE</v>
      </c>
      <c r="BQ142" s="57" t="n">
        <f aca="false">IF(BP142="LOSE",1,IF(N(T142)&gt;0,T142,IF(N(P142)&gt;0,P142,MAX(1,G142))))</f>
        <v>1</v>
      </c>
      <c r="BR142" s="60" t="n">
        <f aca="false">IF(BP142="LOSE",1,0)</f>
        <v>1</v>
      </c>
      <c r="BS142" s="59" t="n">
        <f aca="false">IF(BR142=0,0,IF(N(R142)&gt;0,R142,IFERROR(VLOOKUP(D142,Parameter!$A$35:$C$64,3,0)+0,0)))</f>
        <v>0.15</v>
      </c>
      <c r="BT142" s="55" t="n">
        <f aca="false">IF(Y142&lt;&gt;"",Y142,X142)</f>
        <v>2</v>
      </c>
      <c r="BU142" s="55" t="str">
        <f aca="false">IF(BT142=1,"L1",IF(OR(BT142=2,BT142=3),"L23",IF(BT142="Aussen","Aussen","-")))</f>
        <v>L23</v>
      </c>
      <c r="BV142" s="66" t="n">
        <f aca="false">IF(N(Z142)&gt;0,Z142,0)</f>
        <v>0</v>
      </c>
      <c r="BW142" s="60" t="n">
        <f aca="false">IF(ISNUMBER(AC142),1,0)</f>
        <v>0</v>
      </c>
      <c r="BX142" s="57" t="n">
        <f aca="false">N(AC142)</f>
        <v>0</v>
      </c>
      <c r="BY142" s="57" t="n">
        <f aca="false">N(L142)+N(M142)</f>
        <v>1</v>
      </c>
      <c r="BZ142" s="57" t="n">
        <f aca="false">ROUNDUP(G142/BQ142,0)</f>
        <v>4</v>
      </c>
      <c r="CA142" s="57" t="n">
        <f aca="false">ROUNDUP(BX142/BQ142,0)</f>
        <v>0</v>
      </c>
      <c r="CB142" s="60" t="n">
        <f aca="false">IF(BR142=1,0,IFERROR(VLOOKUP(BP142,'Gebinde-Kategorie'!$A$5:$M$45,5,0)+0,0))</f>
        <v>0</v>
      </c>
      <c r="CC142" s="60" t="n">
        <f aca="false">IFERROR(IF(OR(BT142=1,BT142=2,BT142=3),N(INDEX(Parameter!$I$5:$I$7,BT142)),0),0)</f>
        <v>0</v>
      </c>
      <c r="CD142" s="59" t="n">
        <f aca="false">IF(AND(Parameter!$B$21="Ja",ISNUMBER(U142),N(V142)&gt;0),IFERROR(N(INDEX(Parameter!$L$5:$L$7,U142))*INDEX(Parameter!$E$5:$E$7,U142)*V142/SUMIFS($V$7:$V$1576,$U$7:$U$1576,U142),0),0)</f>
        <v>0</v>
      </c>
    </row>
    <row r="143" customFormat="false" ht="15" hidden="false" customHeight="false" outlineLevel="0" collapsed="false">
      <c r="A143" s="55" t="s">
        <v>481</v>
      </c>
      <c r="B143" s="55" t="s">
        <v>482</v>
      </c>
      <c r="C143" s="55" t="s">
        <v>160</v>
      </c>
      <c r="D143" s="55" t="s">
        <v>168</v>
      </c>
      <c r="E143" s="55" t="s">
        <v>210</v>
      </c>
      <c r="F143" s="56" t="n">
        <v>65.52</v>
      </c>
      <c r="G143" s="57" t="n">
        <f aca="false">MAX(0,IF(AND(Parameter!$B$21="Ja",ISNUMBER(W143)),W143,IF(Parameter!$B$20="Jahresanfang 2025 + Export",BJ143+BI143,BI143)))</f>
        <v>24</v>
      </c>
      <c r="H143" s="57" t="n">
        <f aca="false">G143*F143</f>
        <v>1572.48</v>
      </c>
      <c r="I143" s="57" t="n">
        <f aca="false">BL143*Parameter!$B$18</f>
        <v>8</v>
      </c>
      <c r="J143" s="58" t="n">
        <v>38</v>
      </c>
      <c r="K143" s="59" t="n">
        <v>0.210526315789474</v>
      </c>
      <c r="L143" s="57" t="n">
        <v>0</v>
      </c>
      <c r="M143" s="57" t="n">
        <v>10</v>
      </c>
      <c r="N143" s="60" t="n">
        <v>28</v>
      </c>
      <c r="O143" s="55" t="s">
        <v>169</v>
      </c>
      <c r="P143" s="57" t="n">
        <v>50</v>
      </c>
      <c r="Q143" s="60" t="n">
        <f aca="false">IF(BR143=1,0,IFERROR(VLOOKUP(BP143,'Gebinde-Kategorie'!$A$5:$M$45,13,0)+0,0))</f>
        <v>6</v>
      </c>
      <c r="R143" s="61"/>
      <c r="S143" s="62"/>
      <c r="T143" s="62"/>
      <c r="U143" s="55"/>
      <c r="V143" s="57"/>
      <c r="W143" s="57"/>
      <c r="X143" s="55" t="n">
        <f aca="false">IF(A143="","",IF(AND(Parameter!$B$21="Ja",ISNUMBER(U143)),U143,IF(IFERROR(VLOOKUP(D143,Parameter!$A$35:$C$64,2,0),"Nein")="2+3",IF(ISNUMBER(SEARCH("grosser Artikel",BM143)),2,IFERROR(VLOOKUP(BP143,Parameter!$F$35:$G$64,2,0),2)),IF(OR(IFERROR(VLOOKUP(D143,Parameter!$A$35:$C$64,2,0),"Nein")="Nein",IFERROR(VLOOKUP(D143,Parameter!$A$35:$C$64,2,0),"Nein")=""),"-",VLOOKUP(D143,Parameter!$A$35:$C$64,2,0)))))</f>
        <v>2</v>
      </c>
      <c r="Y143" s="62"/>
      <c r="Z143" s="63"/>
      <c r="AA143" s="57" t="n">
        <f aca="false">AP143</f>
        <v>50</v>
      </c>
      <c r="AB143" s="57" t="n">
        <f aca="false">MAX(AP143,G143)</f>
        <v>50</v>
      </c>
      <c r="AC143" s="64"/>
      <c r="AD143" s="57" t="n">
        <f aca="false">IF(LEFT(Cockpit!$C$5,1)="A",G143,IF(BW143=1,BX143,IF(LEFT(Cockpit!$C$5,1)="B",AH143,MAX(AH143,G143))))</f>
        <v>24</v>
      </c>
      <c r="AE143" s="57" t="n">
        <f aca="false">IF(BR143=1,0,ROUNDUP(AD143/BQ143,0))</f>
        <v>1</v>
      </c>
      <c r="AF143" s="59" t="n">
        <f aca="false">IF(CD143&gt;0,CD143*MAX(1,AD143/V143),IF(BR143=1,IF(AD143&lt;=0,0,BS143*MAX(1,IF(G143&gt;0,AD143/G143,1))),IF(Q143&gt;0,AE143/Q143,0))/MAX(0.1,N(Parameter!$M$21)))</f>
        <v>0.166666666666667</v>
      </c>
      <c r="AG143" s="57" t="n">
        <f aca="false">AD143*F143</f>
        <v>1572.48</v>
      </c>
      <c r="AH143" s="57" t="n">
        <f aca="false">ROUNDUP(MAX(I143/IF(BV143&gt;0,BV143,MAX(0.1,N(Cockpit!$C$6))),BY143)/BQ143,0)*BQ143</f>
        <v>50</v>
      </c>
      <c r="AI143" s="58" t="n">
        <f aca="false">IF(AF143&gt;0,I143/AF143,-1)</f>
        <v>48</v>
      </c>
      <c r="AJ143" s="58" t="n">
        <f aca="false">IF(AND(OR(BU143="L1",BU143="L23"),AF143&gt;0),SUMIFS($AF$7:$AF$1576,$BU$7:$BU$1576,BU143,$AI$7:$AI$1576,"&gt;"&amp;AI143)+SUMIFS($AF$7:$AF$1576,$BU$7:$BU$1576,BU143,$AI$7:$AI$1576,AI143,$BO$7:$BO$1576,"&lt;="&amp;BO143),"")</f>
        <v>25.5636073105638</v>
      </c>
      <c r="AK143" s="65" t="n">
        <f aca="false">IF(AJ143="",0,MAX(0,MIN(1,(IF(BU143="L1",Parameter!$E$5,Parameter!$E$6+Parameter!$E$7)-(AJ143-AF143))/AF143)))</f>
        <v>1</v>
      </c>
      <c r="AL143" s="57" t="n">
        <f aca="false">IF(LEFT(Cockpit!$I$5,1)="A",G143,IF(BW143=1,BX143,IF(LEFT(Cockpit!$I$5,1)="B",AP143,MAX(AP143,G143))))</f>
        <v>50</v>
      </c>
      <c r="AM143" s="57" t="n">
        <f aca="false">IF(BR143=1,0,ROUNDUP(AL143/BQ143,0))</f>
        <v>1</v>
      </c>
      <c r="AN143" s="59" t="n">
        <f aca="false">IF(CD143&gt;0,CD143*MAX(1,AL143/V143),IF(BR143=1,IF(AL143&lt;=0,0,BS143*MAX(1,IF(G143&gt;0,AL143/G143,1))),IF(Q143&gt;0,AM143/Q143,0))/MAX(0.1,N(Parameter!$M$21)))</f>
        <v>0.166666666666667</v>
      </c>
      <c r="AO143" s="57" t="n">
        <f aca="false">AL143*F143</f>
        <v>3276</v>
      </c>
      <c r="AP143" s="57" t="n">
        <f aca="false">ROUNDUP(MAX(I143/IF(BV143&gt;0,BV143,MAX(0.1,N(Cockpit!$I$6))),BY143)/BQ143,0)*BQ143</f>
        <v>50</v>
      </c>
      <c r="AQ143" s="58" t="n">
        <f aca="false">IF(AN143&gt;0,I143/AN143,-1)</f>
        <v>48</v>
      </c>
      <c r="AR143" s="58" t="n">
        <f aca="false">IF(AND(OR(BU143="L1",BU143="L23"),AN143&gt;0),SUMIFS($AN$7:$AN$1576,$BU$7:$BU$1576,BU143,$AQ$7:$AQ$1576,"&gt;"&amp;AQ143)+SUMIFS($AN$7:$AN$1576,$BU$7:$BU$1576,BU143,$AQ$7:$AQ$1576,AQ143,$BO$7:$BO$1576,"&lt;="&amp;BO143),"")</f>
        <v>83.9702551015163</v>
      </c>
      <c r="AS143" s="65" t="n">
        <f aca="false">IF(AR143="",0,MAX(0,MIN(1,(IF(BU143="L1",Parameter!$E$5,Parameter!$E$6+Parameter!$E$7)-(AR143-AN143))/AN143)))</f>
        <v>1</v>
      </c>
      <c r="AT143" s="57" t="n">
        <f aca="false">IF(LEFT(Cockpit!$O$5,1)="A",G143,IF(BW143=1,BX143,IF(LEFT(Cockpit!$O$5,1)="B",AX143,MAX(AX143,G143))))</f>
        <v>50</v>
      </c>
      <c r="AU143" s="57" t="n">
        <f aca="false">IF(BR143=1,0,ROUNDUP(AT143/BQ143,0))</f>
        <v>1</v>
      </c>
      <c r="AV143" s="59" t="n">
        <f aca="false">IF(CD143&gt;0,CD143*MAX(1,AT143/V143),IF(BR143=1,IF(AT143&lt;=0,0,BS143*MAX(1,IF(G143&gt;0,AT143/G143,1))),IF(Q143&gt;0,AU143/Q143,0))/MAX(0.1,N(Parameter!$M$21)))</f>
        <v>0.166666666666667</v>
      </c>
      <c r="AW143" s="57" t="n">
        <f aca="false">AT143*F143</f>
        <v>3276</v>
      </c>
      <c r="AX143" s="57" t="n">
        <f aca="false">ROUNDUP(MAX(I143/IF(BV143&gt;0,BV143,MAX(0.1,N(Cockpit!$O$6))),BY143)/BQ143,0)*BQ143</f>
        <v>50</v>
      </c>
      <c r="AY143" s="58" t="n">
        <f aca="false">IF(AV143&gt;0,I143/AV143,-1)</f>
        <v>48</v>
      </c>
      <c r="AZ143" s="58" t="n">
        <f aca="false">IF(AND(OR(BU143="L1",BU143="L23"),AV143&gt;0),SUMIFS($AV$7:$AV$1576,$BU$7:$BU$1576,BU143,$AY$7:$AY$1576,"&gt;"&amp;AY143)+SUMIFS($AV$7:$AV$1576,$BU$7:$BU$1576,BU143,$AY$7:$AY$1576,AY143,$BO$7:$BO$1576,"&lt;="&amp;BO143),"")</f>
        <v>79.8631388844</v>
      </c>
      <c r="BA143" s="65" t="n">
        <f aca="false">IF(AZ143="",0,MAX(0,MIN(1,(IF(BU143="L1",Parameter!$E$5,Parameter!$E$6+Parameter!$E$7)-(AZ143-AV143))/AV143)))</f>
        <v>1</v>
      </c>
      <c r="BB143" s="55" t="str">
        <f aca="false">IF(AF143&lt;=0,"",IF(BU143="Aussen","Aussenlager",IF(BU143="-","Nicht im Lift",IF(AK143&gt;=1,"Lift",IF(AK143&lt;=0,"Aussenlager","teilweise")))))</f>
        <v>Lift</v>
      </c>
      <c r="BC143" s="55" t="str">
        <f aca="false">IF(AN143&lt;=0,"",IF(BU143="Aussen","Aussenlager",IF(BU143="-","Nicht im Lift",IF(AS143&gt;=1,"Lift",IF(AS143&lt;=0,"Aussenlager","teilweise")))))</f>
        <v>Lift</v>
      </c>
      <c r="BD143" s="55" t="str">
        <f aca="false">IF(AV143&lt;=0,"",IF(BU143="Aussen","Aussenlager",IF(BU143="-","Nicht im Lift",IF(BA143&gt;=1,"Lift",IF(BA143&lt;=0,"Aussenlager","teilweise")))))</f>
        <v>Lift</v>
      </c>
      <c r="BE143" s="55" t="str">
        <f aca="false">IF(A143="","",IF(BN143=1,"Neu; ","")&amp;IF(AND(BN143=0,BI143&lt;0),"negativer Bestand (Export "&amp;BI143&amp;"); ","")&amp;IF(I143&lt;=0,"Kein Verbrauch; ","")&amp;IF(CD143&gt;0,"Lift "&amp;U143&amp;" lt. Liftbericht (Fach "&amp;V143&amp;" Stk); ",IF(BR143=1,"Lose – Fläche geschätzt; ",""))&amp;IF(G143&gt;AP143,"Überbestand "&amp;ROUND(G143-AP143,0)&amp;" Stk / CHF "&amp;ROUND((G143-AP143)*F143,0)&amp;"; ","")&amp;IF(AND(BW143=1,BX143&lt;BY143),"MAX &lt; MB+LG; ","")&amp;IF(AND(CC143&gt;0,CB143*10&gt;CC143),"zu hoch für Tablar; ","")&amp;IF(AND(BN143=0,OR(BW143=1,Y143&lt;&gt;"",S143&lt;&gt;"",T143&lt;&gt;"",Z143&lt;&gt;"")),"manuell übersteuert; ","")&amp;IF(AND(BR143=0,Q143=0),"Gebinde unbekannt / Stellmass fehlt; ","")&amp;IF(AND(BR143=0,N(T143)&lt;=0,N(P143)&lt;=0),"Menge pro Gebinde fehlt (Ist = 1 Gebinde); ","")&amp;BM143)</f>
        <v/>
      </c>
      <c r="BF143" s="55"/>
      <c r="BG143" s="55"/>
      <c r="BH143" s="62"/>
      <c r="BI143" s="57" t="n">
        <v>24</v>
      </c>
      <c r="BJ143" s="57" t="n">
        <v>26</v>
      </c>
      <c r="BK143" s="56" t="n">
        <v>1431.56</v>
      </c>
      <c r="BL143" s="57" t="n">
        <v>8</v>
      </c>
      <c r="BM143" s="55"/>
      <c r="BN143" s="60" t="n">
        <v>0</v>
      </c>
      <c r="BO143" s="60" t="n">
        <v>143</v>
      </c>
      <c r="BP143" s="55" t="str">
        <f aca="false">IF(S143&lt;&gt;"",UPPER(TRIM(S143)),IF(O143="","LOSE",O143))</f>
        <v>S71</v>
      </c>
      <c r="BQ143" s="57" t="n">
        <f aca="false">IF(BP143="LOSE",1,IF(N(T143)&gt;0,T143,IF(N(P143)&gt;0,P143,MAX(1,G143))))</f>
        <v>50</v>
      </c>
      <c r="BR143" s="60" t="n">
        <f aca="false">IF(BP143="LOSE",1,0)</f>
        <v>0</v>
      </c>
      <c r="BS143" s="59" t="n">
        <f aca="false">IF(BR143=0,0,IF(N(R143)&gt;0,R143,IFERROR(VLOOKUP(D143,Parameter!$A$35:$C$64,3,0)+0,0)))</f>
        <v>0</v>
      </c>
      <c r="BT143" s="55" t="n">
        <f aca="false">IF(Y143&lt;&gt;"",Y143,X143)</f>
        <v>2</v>
      </c>
      <c r="BU143" s="55" t="str">
        <f aca="false">IF(BT143=1,"L1",IF(OR(BT143=2,BT143=3),"L23",IF(BT143="Aussen","Aussen","-")))</f>
        <v>L23</v>
      </c>
      <c r="BV143" s="66" t="n">
        <f aca="false">IF(N(Z143)&gt;0,Z143,0)</f>
        <v>0</v>
      </c>
      <c r="BW143" s="60" t="n">
        <f aca="false">IF(ISNUMBER(AC143),1,0)</f>
        <v>0</v>
      </c>
      <c r="BX143" s="57" t="n">
        <f aca="false">N(AC143)</f>
        <v>0</v>
      </c>
      <c r="BY143" s="57" t="n">
        <f aca="false">N(L143)+N(M143)</f>
        <v>10</v>
      </c>
      <c r="BZ143" s="57" t="n">
        <f aca="false">ROUNDUP(G143/BQ143,0)</f>
        <v>1</v>
      </c>
      <c r="CA143" s="57" t="n">
        <f aca="false">ROUNDUP(BX143/BQ143,0)</f>
        <v>0</v>
      </c>
      <c r="CB143" s="60" t="n">
        <f aca="false">IF(BR143=1,0,IFERROR(VLOOKUP(BP143,'Gebinde-Kategorie'!$A$5:$M$45,5,0)+0,0))</f>
        <v>20</v>
      </c>
      <c r="CC143" s="60" t="n">
        <f aca="false">IFERROR(IF(OR(BT143=1,BT143=2,BT143=3),N(INDEX(Parameter!$I$5:$I$7,BT143)),0),0)</f>
        <v>0</v>
      </c>
      <c r="CD143" s="59" t="n">
        <f aca="false">IF(AND(Parameter!$B$21="Ja",ISNUMBER(U143),N(V143)&gt;0),IFERROR(N(INDEX(Parameter!$L$5:$L$7,U143))*INDEX(Parameter!$E$5:$E$7,U143)*V143/SUMIFS($V$7:$V$1576,$U$7:$U$1576,U143),0),0)</f>
        <v>0</v>
      </c>
    </row>
    <row r="144" customFormat="false" ht="15" hidden="false" customHeight="false" outlineLevel="0" collapsed="false">
      <c r="A144" s="55" t="s">
        <v>483</v>
      </c>
      <c r="B144" s="55" t="s">
        <v>484</v>
      </c>
      <c r="C144" s="55" t="s">
        <v>160</v>
      </c>
      <c r="D144" s="55" t="s">
        <v>178</v>
      </c>
      <c r="E144" s="55" t="s">
        <v>210</v>
      </c>
      <c r="F144" s="56" t="n">
        <v>6.9</v>
      </c>
      <c r="G144" s="57" t="n">
        <f aca="false">MAX(0,IF(AND(Parameter!$B$21="Ja",ISNUMBER(W144)),W144,IF(Parameter!$B$20="Jahresanfang 2025 + Export",BJ144+BI144,BI144)))</f>
        <v>207</v>
      </c>
      <c r="H144" s="57" t="n">
        <f aca="false">G144*F144</f>
        <v>1428.3</v>
      </c>
      <c r="I144" s="57" t="n">
        <f aca="false">BL144*Parameter!$B$18</f>
        <v>40</v>
      </c>
      <c r="J144" s="58" t="n">
        <v>8</v>
      </c>
      <c r="K144" s="59" t="n">
        <v>5</v>
      </c>
      <c r="L144" s="57" t="n">
        <v>1</v>
      </c>
      <c r="M144" s="57" t="n">
        <v>40</v>
      </c>
      <c r="N144" s="60" t="n">
        <v>14</v>
      </c>
      <c r="O144" s="55" t="s">
        <v>416</v>
      </c>
      <c r="P144" s="57" t="n">
        <v>30</v>
      </c>
      <c r="Q144" s="60" t="n">
        <f aca="false">IF(BR144=1,0,IFERROR(VLOOKUP(BP144,'Gebinde-Kategorie'!$A$5:$M$45,13,0)+0,0))</f>
        <v>198</v>
      </c>
      <c r="R144" s="61"/>
      <c r="S144" s="62"/>
      <c r="T144" s="62"/>
      <c r="U144" s="55"/>
      <c r="V144" s="57"/>
      <c r="W144" s="57"/>
      <c r="X144" s="55" t="n">
        <f aca="false">IF(A144="","",IF(AND(Parameter!$B$21="Ja",ISNUMBER(U144)),U144,IF(IFERROR(VLOOKUP(D144,Parameter!$A$35:$C$64,2,0),"Nein")="2+3",IF(ISNUMBER(SEARCH("grosser Artikel",BM144)),2,IFERROR(VLOOKUP(BP144,Parameter!$F$35:$G$64,2,0),2)),IF(OR(IFERROR(VLOOKUP(D144,Parameter!$A$35:$C$64,2,0),"Nein")="Nein",IFERROR(VLOOKUP(D144,Parameter!$A$35:$C$64,2,0),"Nein")=""),"-",VLOOKUP(D144,Parameter!$A$35:$C$64,2,0)))))</f>
        <v>3</v>
      </c>
      <c r="Y144" s="62"/>
      <c r="Z144" s="63"/>
      <c r="AA144" s="57" t="n">
        <f aca="false">AP144</f>
        <v>60</v>
      </c>
      <c r="AB144" s="57" t="n">
        <f aca="false">MAX(AP144,G144)</f>
        <v>207</v>
      </c>
      <c r="AC144" s="64"/>
      <c r="AD144" s="57" t="n">
        <f aca="false">IF(LEFT(Cockpit!$C$5,1)="A",G144,IF(BW144=1,BX144,IF(LEFT(Cockpit!$C$5,1)="B",AH144,MAX(AH144,G144))))</f>
        <v>207</v>
      </c>
      <c r="AE144" s="57" t="n">
        <f aca="false">IF(BR144=1,0,ROUNDUP(AD144/BQ144,0))</f>
        <v>7</v>
      </c>
      <c r="AF144" s="59" t="n">
        <f aca="false">IF(CD144&gt;0,CD144*MAX(1,AD144/V144),IF(BR144=1,IF(AD144&lt;=0,0,BS144*MAX(1,IF(G144&gt;0,AD144/G144,1))),IF(Q144&gt;0,AE144/Q144,0))/MAX(0.1,N(Parameter!$M$21)))</f>
        <v>0.0353535353535354</v>
      </c>
      <c r="AG144" s="57" t="n">
        <f aca="false">AD144*F144</f>
        <v>1428.3</v>
      </c>
      <c r="AH144" s="57" t="n">
        <f aca="false">ROUNDUP(MAX(I144/IF(BV144&gt;0,BV144,MAX(0.1,N(Cockpit!$C$6))),BY144)/BQ144,0)*BQ144</f>
        <v>60</v>
      </c>
      <c r="AI144" s="58" t="n">
        <f aca="false">IF(AF144&gt;0,I144/AF144,-1)</f>
        <v>1131.42857142857</v>
      </c>
      <c r="AJ144" s="58" t="n">
        <f aca="false">IF(AND(OR(BU144="L1",BU144="L23"),AF144&gt;0),SUMIFS($AF$7:$AF$1576,$BU$7:$BU$1576,BU144,$AI$7:$AI$1576,"&gt;"&amp;AI144)+SUMIFS($AF$7:$AF$1576,$BU$7:$BU$1576,BU144,$AI$7:$AI$1576,AI144,$BO$7:$BO$1576,"&lt;="&amp;BO144),"")</f>
        <v>8.563350562481</v>
      </c>
      <c r="AK144" s="65" t="n">
        <f aca="false">IF(AJ144="",0,MAX(0,MIN(1,(IF(BU144="L1",Parameter!$E$5,Parameter!$E$6+Parameter!$E$7)-(AJ144-AF144))/AF144)))</f>
        <v>1</v>
      </c>
      <c r="AL144" s="57" t="n">
        <f aca="false">IF(LEFT(Cockpit!$I$5,1)="A",G144,IF(BW144=1,BX144,IF(LEFT(Cockpit!$I$5,1)="B",AP144,MAX(AP144,G144))))</f>
        <v>207</v>
      </c>
      <c r="AM144" s="57" t="n">
        <f aca="false">IF(BR144=1,0,ROUNDUP(AL144/BQ144,0))</f>
        <v>7</v>
      </c>
      <c r="AN144" s="59" t="n">
        <f aca="false">IF(CD144&gt;0,CD144*MAX(1,AL144/V144),IF(BR144=1,IF(AL144&lt;=0,0,BS144*MAX(1,IF(G144&gt;0,AL144/G144,1))),IF(Q144&gt;0,AM144/Q144,0))/MAX(0.1,N(Parameter!$M$21)))</f>
        <v>0.0353535353535354</v>
      </c>
      <c r="AO144" s="57" t="n">
        <f aca="false">AL144*F144</f>
        <v>1428.3</v>
      </c>
      <c r="AP144" s="57" t="n">
        <f aca="false">ROUNDUP(MAX(I144/IF(BV144&gt;0,BV144,MAX(0.1,N(Cockpit!$I$6))),BY144)/BQ144,0)*BQ144</f>
        <v>60</v>
      </c>
      <c r="AQ144" s="58" t="n">
        <f aca="false">IF(AN144&gt;0,I144/AN144,-1)</f>
        <v>1131.42857142857</v>
      </c>
      <c r="AR144" s="58" t="n">
        <f aca="false">IF(AND(OR(BU144="L1",BU144="L23"),AN144&gt;0),SUMIFS($AN$7:$AN$1576,$BU$7:$BU$1576,BU144,$AQ$7:$AQ$1576,"&gt;"&amp;AQ144)+SUMIFS($AN$7:$AN$1576,$BU$7:$BU$1576,BU144,$AQ$7:$AQ$1576,AQ144,$BO$7:$BO$1576,"&lt;="&amp;BO144),"")</f>
        <v>21.8622228620166</v>
      </c>
      <c r="AS144" s="65" t="n">
        <f aca="false">IF(AR144="",0,MAX(0,MIN(1,(IF(BU144="L1",Parameter!$E$5,Parameter!$E$6+Parameter!$E$7)-(AR144-AN144))/AN144)))</f>
        <v>1</v>
      </c>
      <c r="AT144" s="57" t="n">
        <f aca="false">IF(LEFT(Cockpit!$O$5,1)="A",G144,IF(BW144=1,BX144,IF(LEFT(Cockpit!$O$5,1)="B",AX144,MAX(AX144,G144))))</f>
        <v>207</v>
      </c>
      <c r="AU144" s="57" t="n">
        <f aca="false">IF(BR144=1,0,ROUNDUP(AT144/BQ144,0))</f>
        <v>7</v>
      </c>
      <c r="AV144" s="59" t="n">
        <f aca="false">IF(CD144&gt;0,CD144*MAX(1,AT144/V144),IF(BR144=1,IF(AT144&lt;=0,0,BS144*MAX(1,IF(G144&gt;0,AT144/G144,1))),IF(Q144&gt;0,AU144/Q144,0))/MAX(0.1,N(Parameter!$M$21)))</f>
        <v>0.0353535353535354</v>
      </c>
      <c r="AW144" s="57" t="n">
        <f aca="false">AT144*F144</f>
        <v>1428.3</v>
      </c>
      <c r="AX144" s="57" t="n">
        <f aca="false">ROUNDUP(MAX(I144/IF(BV144&gt;0,BV144,MAX(0.1,N(Cockpit!$O$6))),BY144)/BQ144,0)*BQ144</f>
        <v>60</v>
      </c>
      <c r="AY144" s="58" t="n">
        <f aca="false">IF(AV144&gt;0,I144/AV144,-1)</f>
        <v>1131.42857142857</v>
      </c>
      <c r="AZ144" s="58" t="n">
        <f aca="false">IF(AND(OR(BU144="L1",BU144="L23"),AV144&gt;0),SUMIFS($AV$7:$AV$1576,$BU$7:$BU$1576,BU144,$AY$7:$AY$1576,"&gt;"&amp;AY144)+SUMIFS($AV$7:$AV$1576,$BU$7:$BU$1576,BU144,$AY$7:$AY$1576,AY144,$BO$7:$BO$1576,"&lt;="&amp;BO144),"")</f>
        <v>21.1728289226227</v>
      </c>
      <c r="BA144" s="65" t="n">
        <f aca="false">IF(AZ144="",0,MAX(0,MIN(1,(IF(BU144="L1",Parameter!$E$5,Parameter!$E$6+Parameter!$E$7)-(AZ144-AV144))/AV144)))</f>
        <v>1</v>
      </c>
      <c r="BB144" s="55" t="str">
        <f aca="false">IF(AF144&lt;=0,"",IF(BU144="Aussen","Aussenlager",IF(BU144="-","Nicht im Lift",IF(AK144&gt;=1,"Lift",IF(AK144&lt;=0,"Aussenlager","teilweise")))))</f>
        <v>Lift</v>
      </c>
      <c r="BC144" s="55" t="str">
        <f aca="false">IF(AN144&lt;=0,"",IF(BU144="Aussen","Aussenlager",IF(BU144="-","Nicht im Lift",IF(AS144&gt;=1,"Lift",IF(AS144&lt;=0,"Aussenlager","teilweise")))))</f>
        <v>Lift</v>
      </c>
      <c r="BD144" s="55" t="str">
        <f aca="false">IF(AV144&lt;=0,"",IF(BU144="Aussen","Aussenlager",IF(BU144="-","Nicht im Lift",IF(BA144&gt;=1,"Lift",IF(BA144&lt;=0,"Aussenlager","teilweise")))))</f>
        <v>Lift</v>
      </c>
      <c r="BE144" s="55" t="str">
        <f aca="false">IF(A144="","",IF(BN144=1,"Neu; ","")&amp;IF(AND(BN144=0,BI144&lt;0),"negativer Bestand (Export "&amp;BI144&amp;"); ","")&amp;IF(I144&lt;=0,"Kein Verbrauch; ","")&amp;IF(CD144&gt;0,"Lift "&amp;U144&amp;" lt. Liftbericht (Fach "&amp;V144&amp;" Stk); ",IF(BR144=1,"Lose – Fläche geschätzt; ",""))&amp;IF(G144&gt;AP144,"Überbestand "&amp;ROUND(G144-AP144,0)&amp;" Stk / CHF "&amp;ROUND((G144-AP144)*F144,0)&amp;"; ","")&amp;IF(AND(BW144=1,BX144&lt;BY144),"MAX &lt; MB+LG; ","")&amp;IF(AND(CC144&gt;0,CB144*10&gt;CC144),"zu hoch für Tablar; ","")&amp;IF(AND(BN144=0,OR(BW144=1,Y144&lt;&gt;"",S144&lt;&gt;"",T144&lt;&gt;"",Z144&lt;&gt;"")),"manuell übersteuert; ","")&amp;IF(AND(BR144=0,Q144=0),"Gebinde unbekannt / Stellmass fehlt; ","")&amp;IF(AND(BR144=0,N(T144)&lt;=0,N(P144)&lt;=0),"Menge pro Gebinde fehlt (Ist = 1 Gebinde); ","")&amp;BM144)</f>
        <v>Überbestand 147 Stk / CHF 1014; </v>
      </c>
      <c r="BF144" s="55"/>
      <c r="BG144" s="55"/>
      <c r="BH144" s="62"/>
      <c r="BI144" s="57" t="n">
        <v>207</v>
      </c>
      <c r="BJ144" s="57" t="n">
        <v>0</v>
      </c>
      <c r="BK144" s="56" t="n">
        <v>1428.28</v>
      </c>
      <c r="BL144" s="57" t="n">
        <v>40</v>
      </c>
      <c r="BM144" s="55"/>
      <c r="BN144" s="60" t="n">
        <v>0</v>
      </c>
      <c r="BO144" s="60" t="n">
        <v>144</v>
      </c>
      <c r="BP144" s="55" t="str">
        <f aca="false">IF(S144&lt;&gt;"",UPPER(TRIM(S144)),IF(O144="","LOSE",O144))</f>
        <v>S22</v>
      </c>
      <c r="BQ144" s="57" t="n">
        <f aca="false">IF(BP144="LOSE",1,IF(N(T144)&gt;0,T144,IF(N(P144)&gt;0,P144,MAX(1,G144))))</f>
        <v>30</v>
      </c>
      <c r="BR144" s="60" t="n">
        <f aca="false">IF(BP144="LOSE",1,0)</f>
        <v>0</v>
      </c>
      <c r="BS144" s="59" t="n">
        <f aca="false">IF(BR144=0,0,IF(N(R144)&gt;0,R144,IFERROR(VLOOKUP(D144,Parameter!$A$35:$C$64,3,0)+0,0)))</f>
        <v>0</v>
      </c>
      <c r="BT144" s="55" t="n">
        <f aca="false">IF(Y144&lt;&gt;"",Y144,X144)</f>
        <v>3</v>
      </c>
      <c r="BU144" s="55" t="str">
        <f aca="false">IF(BT144=1,"L1",IF(OR(BT144=2,BT144=3),"L23",IF(BT144="Aussen","Aussen","-")))</f>
        <v>L23</v>
      </c>
      <c r="BV144" s="66" t="n">
        <f aca="false">IF(N(Z144)&gt;0,Z144,0)</f>
        <v>0</v>
      </c>
      <c r="BW144" s="60" t="n">
        <f aca="false">IF(ISNUMBER(AC144),1,0)</f>
        <v>0</v>
      </c>
      <c r="BX144" s="57" t="n">
        <f aca="false">N(AC144)</f>
        <v>0</v>
      </c>
      <c r="BY144" s="57" t="n">
        <f aca="false">N(L144)+N(M144)</f>
        <v>41</v>
      </c>
      <c r="BZ144" s="57" t="n">
        <f aca="false">ROUNDUP(G144/BQ144,0)</f>
        <v>7</v>
      </c>
      <c r="CA144" s="57" t="n">
        <f aca="false">ROUNDUP(BX144/BQ144,0)</f>
        <v>0</v>
      </c>
      <c r="CB144" s="60" t="n">
        <f aca="false">IF(BR144=1,0,IFERROR(VLOOKUP(BP144,'Gebinde-Kategorie'!$A$5:$M$45,5,0)+0,0))</f>
        <v>8</v>
      </c>
      <c r="CC144" s="60" t="n">
        <f aca="false">IFERROR(IF(OR(BT144=1,BT144=2,BT144=3),N(INDEX(Parameter!$I$5:$I$7,BT144)),0),0)</f>
        <v>0</v>
      </c>
      <c r="CD144" s="59" t="n">
        <f aca="false">IF(AND(Parameter!$B$21="Ja",ISNUMBER(U144),N(V144)&gt;0),IFERROR(N(INDEX(Parameter!$L$5:$L$7,U144))*INDEX(Parameter!$E$5:$E$7,U144)*V144/SUMIFS($V$7:$V$1576,$U$7:$U$1576,U144),0),0)</f>
        <v>0</v>
      </c>
    </row>
    <row r="145" customFormat="false" ht="15" hidden="false" customHeight="false" outlineLevel="0" collapsed="false">
      <c r="A145" s="55" t="s">
        <v>485</v>
      </c>
      <c r="B145" s="55" t="s">
        <v>486</v>
      </c>
      <c r="C145" s="55" t="s">
        <v>160</v>
      </c>
      <c r="D145" s="55" t="s">
        <v>178</v>
      </c>
      <c r="E145" s="55" t="s">
        <v>210</v>
      </c>
      <c r="F145" s="56" t="n">
        <v>8.71</v>
      </c>
      <c r="G145" s="57" t="n">
        <f aca="false">MAX(0,IF(AND(Parameter!$B$21="Ja",ISNUMBER(W145)),W145,IF(Parameter!$B$20="Jahresanfang 2025 + Export",BJ145+BI145,BI145)))</f>
        <v>165</v>
      </c>
      <c r="H145" s="57" t="n">
        <f aca="false">G145*F145</f>
        <v>1437.15</v>
      </c>
      <c r="I145" s="57" t="n">
        <f aca="false">BL145*Parameter!$B$18</f>
        <v>134</v>
      </c>
      <c r="J145" s="58" t="n">
        <v>86</v>
      </c>
      <c r="K145" s="59" t="n">
        <v>1.55813953488372</v>
      </c>
      <c r="L145" s="57" t="n">
        <v>20</v>
      </c>
      <c r="M145" s="57" t="n">
        <v>135</v>
      </c>
      <c r="N145" s="60" t="n">
        <v>56</v>
      </c>
      <c r="O145" s="55" t="s">
        <v>411</v>
      </c>
      <c r="P145" s="57" t="n">
        <v>91</v>
      </c>
      <c r="Q145" s="60" t="n">
        <f aca="false">IF(BR145=1,0,IFERROR(VLOOKUP(BP145,'Gebinde-Kategorie'!$A$5:$M$45,13,0)+0,0))</f>
        <v>132</v>
      </c>
      <c r="R145" s="61"/>
      <c r="S145" s="62"/>
      <c r="T145" s="62"/>
      <c r="U145" s="55"/>
      <c r="V145" s="57"/>
      <c r="W145" s="57"/>
      <c r="X145" s="55" t="n">
        <f aca="false">IF(A145="","",IF(AND(Parameter!$B$21="Ja",ISNUMBER(U145)),U145,IF(IFERROR(VLOOKUP(D145,Parameter!$A$35:$C$64,2,0),"Nein")="2+3",IF(ISNUMBER(SEARCH("grosser Artikel",BM145)),2,IFERROR(VLOOKUP(BP145,Parameter!$F$35:$G$64,2,0),2)),IF(OR(IFERROR(VLOOKUP(D145,Parameter!$A$35:$C$64,2,0),"Nein")="Nein",IFERROR(VLOOKUP(D145,Parameter!$A$35:$C$64,2,0),"Nein")=""),"-",VLOOKUP(D145,Parameter!$A$35:$C$64,2,0)))))</f>
        <v>3</v>
      </c>
      <c r="Y145" s="62"/>
      <c r="Z145" s="63"/>
      <c r="AA145" s="57" t="n">
        <f aca="false">AP145</f>
        <v>182</v>
      </c>
      <c r="AB145" s="57" t="n">
        <f aca="false">MAX(AP145,G145)</f>
        <v>182</v>
      </c>
      <c r="AC145" s="64"/>
      <c r="AD145" s="57" t="n">
        <f aca="false">IF(LEFT(Cockpit!$C$5,1)="A",G145,IF(BW145=1,BX145,IF(LEFT(Cockpit!$C$5,1)="B",AH145,MAX(AH145,G145))))</f>
        <v>165</v>
      </c>
      <c r="AE145" s="57" t="n">
        <f aca="false">IF(BR145=1,0,ROUNDUP(AD145/BQ145,0))</f>
        <v>2</v>
      </c>
      <c r="AF145" s="59" t="n">
        <f aca="false">IF(CD145&gt;0,CD145*MAX(1,AD145/V145),IF(BR145=1,IF(AD145&lt;=0,0,BS145*MAX(1,IF(G145&gt;0,AD145/G145,1))),IF(Q145&gt;0,AE145/Q145,0))/MAX(0.1,N(Parameter!$M$21)))</f>
        <v>0.0151515151515152</v>
      </c>
      <c r="AG145" s="57" t="n">
        <f aca="false">AD145*F145</f>
        <v>1437.15</v>
      </c>
      <c r="AH145" s="57" t="n">
        <f aca="false">ROUNDUP(MAX(I145/IF(BV145&gt;0,BV145,MAX(0.1,N(Cockpit!$C$6))),BY145)/BQ145,0)*BQ145</f>
        <v>182</v>
      </c>
      <c r="AI145" s="58" t="n">
        <f aca="false">IF(AF145&gt;0,I145/AF145,-1)</f>
        <v>8844</v>
      </c>
      <c r="AJ145" s="58" t="n">
        <f aca="false">IF(AND(OR(BU145="L1",BU145="L23"),AF145&gt;0),SUMIFS($AF$7:$AF$1576,$BU$7:$BU$1576,BU145,$AI$7:$AI$1576,"&gt;"&amp;AI145)+SUMIFS($AF$7:$AF$1576,$BU$7:$BU$1576,BU145,$AI$7:$AI$1576,AI145,$BO$7:$BO$1576,"&lt;="&amp;BO145),"")</f>
        <v>2.85205736292693</v>
      </c>
      <c r="AK145" s="65" t="n">
        <f aca="false">IF(AJ145="",0,MAX(0,MIN(1,(IF(BU145="L1",Parameter!$E$5,Parameter!$E$6+Parameter!$E$7)-(AJ145-AF145))/AF145)))</f>
        <v>1</v>
      </c>
      <c r="AL145" s="57" t="n">
        <f aca="false">IF(LEFT(Cockpit!$I$5,1)="A",G145,IF(BW145=1,BX145,IF(LEFT(Cockpit!$I$5,1)="B",AP145,MAX(AP145,G145))))</f>
        <v>182</v>
      </c>
      <c r="AM145" s="57" t="n">
        <f aca="false">IF(BR145=1,0,ROUNDUP(AL145/BQ145,0))</f>
        <v>2</v>
      </c>
      <c r="AN145" s="59" t="n">
        <f aca="false">IF(CD145&gt;0,CD145*MAX(1,AL145/V145),IF(BR145=1,IF(AL145&lt;=0,0,BS145*MAX(1,IF(G145&gt;0,AL145/G145,1))),IF(Q145&gt;0,AM145/Q145,0))/MAX(0.1,N(Parameter!$M$21)))</f>
        <v>0.0151515151515152</v>
      </c>
      <c r="AO145" s="57" t="n">
        <f aca="false">AL145*F145</f>
        <v>1585.22</v>
      </c>
      <c r="AP145" s="57" t="n">
        <f aca="false">ROUNDUP(MAX(I145/IF(BV145&gt;0,BV145,MAX(0.1,N(Cockpit!$I$6))),BY145)/BQ145,0)*BQ145</f>
        <v>182</v>
      </c>
      <c r="AQ145" s="58" t="n">
        <f aca="false">IF(AN145&gt;0,I145/AN145,-1)</f>
        <v>8844</v>
      </c>
      <c r="AR145" s="58" t="n">
        <f aca="false">IF(AND(OR(BU145="L1",BU145="L23"),AN145&gt;0),SUMIFS($AN$7:$AN$1576,$BU$7:$BU$1576,BU145,$AQ$7:$AQ$1576,"&gt;"&amp;AQ145)+SUMIFS($AN$7:$AN$1576,$BU$7:$BU$1576,BU145,$AQ$7:$AQ$1576,AQ145,$BO$7:$BO$1576,"&lt;="&amp;BO145),"")</f>
        <v>7.76655585959934</v>
      </c>
      <c r="AS145" s="65" t="n">
        <f aca="false">IF(AR145="",0,MAX(0,MIN(1,(IF(BU145="L1",Parameter!$E$5,Parameter!$E$6+Parameter!$E$7)-(AR145-AN145))/AN145)))</f>
        <v>1</v>
      </c>
      <c r="AT145" s="57" t="n">
        <f aca="false">IF(LEFT(Cockpit!$O$5,1)="A",G145,IF(BW145=1,BX145,IF(LEFT(Cockpit!$O$5,1)="B",AX145,MAX(AX145,G145))))</f>
        <v>182</v>
      </c>
      <c r="AU145" s="57" t="n">
        <f aca="false">IF(BR145=1,0,ROUNDUP(AT145/BQ145,0))</f>
        <v>2</v>
      </c>
      <c r="AV145" s="59" t="n">
        <f aca="false">IF(CD145&gt;0,CD145*MAX(1,AT145/V145),IF(BR145=1,IF(AT145&lt;=0,0,BS145*MAX(1,IF(G145&gt;0,AT145/G145,1))),IF(Q145&gt;0,AU145/Q145,0))/MAX(0.1,N(Parameter!$M$21)))</f>
        <v>0.0151515151515152</v>
      </c>
      <c r="AW145" s="57" t="n">
        <f aca="false">AT145*F145</f>
        <v>1585.22</v>
      </c>
      <c r="AX145" s="57" t="n">
        <f aca="false">ROUNDUP(MAX(I145/IF(BV145&gt;0,BV145,MAX(0.1,N(Cockpit!$O$6))),BY145)/BQ145,0)*BQ145</f>
        <v>182</v>
      </c>
      <c r="AY145" s="58" t="n">
        <f aca="false">IF(AV145&gt;0,I145/AV145,-1)</f>
        <v>8844</v>
      </c>
      <c r="AZ145" s="58" t="n">
        <f aca="false">IF(AND(OR(BU145="L1",BU145="L23"),AV145&gt;0),SUMIFS($AV$7:$AV$1576,$BU$7:$BU$1576,BU145,$AY$7:$AY$1576,"&gt;"&amp;AY145)+SUMIFS($AV$7:$AV$1576,$BU$7:$BU$1576,BU145,$AY$7:$AY$1576,AY145,$BO$7:$BO$1576,"&lt;="&amp;BO145),"")</f>
        <v>7.85921320225668</v>
      </c>
      <c r="BA145" s="65" t="n">
        <f aca="false">IF(AZ145="",0,MAX(0,MIN(1,(IF(BU145="L1",Parameter!$E$5,Parameter!$E$6+Parameter!$E$7)-(AZ145-AV145))/AV145)))</f>
        <v>1</v>
      </c>
      <c r="BB145" s="55" t="str">
        <f aca="false">IF(AF145&lt;=0,"",IF(BU145="Aussen","Aussenlager",IF(BU145="-","Nicht im Lift",IF(AK145&gt;=1,"Lift",IF(AK145&lt;=0,"Aussenlager","teilweise")))))</f>
        <v>Lift</v>
      </c>
      <c r="BC145" s="55" t="str">
        <f aca="false">IF(AN145&lt;=0,"",IF(BU145="Aussen","Aussenlager",IF(BU145="-","Nicht im Lift",IF(AS145&gt;=1,"Lift",IF(AS145&lt;=0,"Aussenlager","teilweise")))))</f>
        <v>Lift</v>
      </c>
      <c r="BD145" s="55" t="str">
        <f aca="false">IF(AV145&lt;=0,"",IF(BU145="Aussen","Aussenlager",IF(BU145="-","Nicht im Lift",IF(BA145&gt;=1,"Lift",IF(BA145&lt;=0,"Aussenlager","teilweise")))))</f>
        <v>Lift</v>
      </c>
      <c r="BE145" s="55" t="str">
        <f aca="false">IF(A145="","",IF(BN145=1,"Neu; ","")&amp;IF(AND(BN145=0,BI145&lt;0),"negativer Bestand (Export "&amp;BI145&amp;"); ","")&amp;IF(I145&lt;=0,"Kein Verbrauch; ","")&amp;IF(CD145&gt;0,"Lift "&amp;U145&amp;" lt. Liftbericht (Fach "&amp;V145&amp;" Stk); ",IF(BR145=1,"Lose – Fläche geschätzt; ",""))&amp;IF(G145&gt;AP145,"Überbestand "&amp;ROUND(G145-AP145,0)&amp;" Stk / CHF "&amp;ROUND((G145-AP145)*F145,0)&amp;"; ","")&amp;IF(AND(BW145=1,BX145&lt;BY145),"MAX &lt; MB+LG; ","")&amp;IF(AND(CC145&gt;0,CB145*10&gt;CC145),"zu hoch für Tablar; ","")&amp;IF(AND(BN145=0,OR(BW145=1,Y145&lt;&gt;"",S145&lt;&gt;"",T145&lt;&gt;"",Z145&lt;&gt;"")),"manuell übersteuert; ","")&amp;IF(AND(BR145=0,Q145=0),"Gebinde unbekannt / Stellmass fehlt; ","")&amp;IF(AND(BR145=0,N(T145)&lt;=0,N(P145)&lt;=0),"Menge pro Gebinde fehlt (Ist = 1 Gebinde); ","")&amp;BM145)</f>
        <v/>
      </c>
      <c r="BF145" s="55"/>
      <c r="BG145" s="55"/>
      <c r="BH145" s="62"/>
      <c r="BI145" s="57" t="n">
        <v>165</v>
      </c>
      <c r="BJ145" s="57" t="n">
        <v>32</v>
      </c>
      <c r="BK145" s="56" t="n">
        <v>1394.19</v>
      </c>
      <c r="BL145" s="57" t="n">
        <v>134</v>
      </c>
      <c r="BM145" s="55"/>
      <c r="BN145" s="60" t="n">
        <v>0</v>
      </c>
      <c r="BO145" s="60" t="n">
        <v>145</v>
      </c>
      <c r="BP145" s="55" t="str">
        <f aca="false">IF(S145&lt;&gt;"",UPPER(TRIM(S145)),IF(O145="","LOSE",O145))</f>
        <v>S32</v>
      </c>
      <c r="BQ145" s="57" t="n">
        <f aca="false">IF(BP145="LOSE",1,IF(N(T145)&gt;0,T145,IF(N(P145)&gt;0,P145,MAX(1,G145))))</f>
        <v>91</v>
      </c>
      <c r="BR145" s="60" t="n">
        <f aca="false">IF(BP145="LOSE",1,0)</f>
        <v>0</v>
      </c>
      <c r="BS145" s="59" t="n">
        <f aca="false">IF(BR145=0,0,IF(N(R145)&gt;0,R145,IFERROR(VLOOKUP(D145,Parameter!$A$35:$C$64,3,0)+0,0)))</f>
        <v>0</v>
      </c>
      <c r="BT145" s="55" t="n">
        <f aca="false">IF(Y145&lt;&gt;"",Y145,X145)</f>
        <v>3</v>
      </c>
      <c r="BU145" s="55" t="str">
        <f aca="false">IF(BT145=1,"L1",IF(OR(BT145=2,BT145=3),"L23",IF(BT145="Aussen","Aussen","-")))</f>
        <v>L23</v>
      </c>
      <c r="BV145" s="66" t="n">
        <f aca="false">IF(N(Z145)&gt;0,Z145,0)</f>
        <v>0</v>
      </c>
      <c r="BW145" s="60" t="n">
        <f aca="false">IF(ISNUMBER(AC145),1,0)</f>
        <v>0</v>
      </c>
      <c r="BX145" s="57" t="n">
        <f aca="false">N(AC145)</f>
        <v>0</v>
      </c>
      <c r="BY145" s="57" t="n">
        <f aca="false">N(L145)+N(M145)</f>
        <v>155</v>
      </c>
      <c r="BZ145" s="57" t="n">
        <f aca="false">ROUNDUP(G145/BQ145,0)</f>
        <v>2</v>
      </c>
      <c r="CA145" s="57" t="n">
        <f aca="false">ROUNDUP(BX145/BQ145,0)</f>
        <v>0</v>
      </c>
      <c r="CB145" s="60" t="n">
        <f aca="false">IF(BR145=1,0,IFERROR(VLOOKUP(BP145,'Gebinde-Kategorie'!$A$5:$M$45,5,0)+0,0))</f>
        <v>8</v>
      </c>
      <c r="CC145" s="60" t="n">
        <f aca="false">IFERROR(IF(OR(BT145=1,BT145=2,BT145=3),N(INDEX(Parameter!$I$5:$I$7,BT145)),0),0)</f>
        <v>0</v>
      </c>
      <c r="CD145" s="59" t="n">
        <f aca="false">IF(AND(Parameter!$B$21="Ja",ISNUMBER(U145),N(V145)&gt;0),IFERROR(N(INDEX(Parameter!$L$5:$L$7,U145))*INDEX(Parameter!$E$5:$E$7,U145)*V145/SUMIFS($V$7:$V$1576,$U$7:$U$1576,U145),0),0)</f>
        <v>0</v>
      </c>
    </row>
    <row r="146" customFormat="false" ht="15" hidden="false" customHeight="false" outlineLevel="0" collapsed="false">
      <c r="A146" s="55" t="s">
        <v>487</v>
      </c>
      <c r="B146" s="55" t="s">
        <v>488</v>
      </c>
      <c r="C146" s="55" t="s">
        <v>160</v>
      </c>
      <c r="D146" s="55" t="s">
        <v>168</v>
      </c>
      <c r="E146" s="55" t="s">
        <v>210</v>
      </c>
      <c r="F146" s="56" t="n">
        <v>1394</v>
      </c>
      <c r="G146" s="57" t="n">
        <f aca="false">MAX(0,IF(AND(Parameter!$B$21="Ja",ISNUMBER(W146)),W146,IF(Parameter!$B$20="Jahresanfang 2025 + Export",BJ146+BI146,BI146)))</f>
        <v>1</v>
      </c>
      <c r="H146" s="57" t="n">
        <f aca="false">G146*F146</f>
        <v>1394</v>
      </c>
      <c r="I146" s="57" t="n">
        <f aca="false">BL146*Parameter!$B$18</f>
        <v>0</v>
      </c>
      <c r="J146" s="58" t="n">
        <v>1</v>
      </c>
      <c r="K146" s="59" t="n">
        <v>0</v>
      </c>
      <c r="L146" s="57" t="n">
        <v>0</v>
      </c>
      <c r="M146" s="57" t="n">
        <v>1</v>
      </c>
      <c r="N146" s="60" t="n">
        <v>70</v>
      </c>
      <c r="O146" s="55" t="s">
        <v>293</v>
      </c>
      <c r="P146" s="57" t="n">
        <v>2</v>
      </c>
      <c r="Q146" s="60" t="n">
        <f aca="false">IF(BR146=1,0,IFERROR(VLOOKUP(BP146,'Gebinde-Kategorie'!$A$5:$M$45,13,0)+0,0))</f>
        <v>26</v>
      </c>
      <c r="R146" s="61"/>
      <c r="S146" s="62"/>
      <c r="T146" s="62"/>
      <c r="U146" s="55"/>
      <c r="V146" s="57"/>
      <c r="W146" s="57"/>
      <c r="X146" s="55" t="n">
        <f aca="false">IF(A146="","",IF(AND(Parameter!$B$21="Ja",ISNUMBER(U146)),U146,IF(IFERROR(VLOOKUP(D146,Parameter!$A$35:$C$64,2,0),"Nein")="2+3",IF(ISNUMBER(SEARCH("grosser Artikel",BM146)),2,IFERROR(VLOOKUP(BP146,Parameter!$F$35:$G$64,2,0),2)),IF(OR(IFERROR(VLOOKUP(D146,Parameter!$A$35:$C$64,2,0),"Nein")="Nein",IFERROR(VLOOKUP(D146,Parameter!$A$35:$C$64,2,0),"Nein")=""),"-",VLOOKUP(D146,Parameter!$A$35:$C$64,2,0)))))</f>
        <v>3</v>
      </c>
      <c r="Y146" s="62"/>
      <c r="Z146" s="63"/>
      <c r="AA146" s="57" t="n">
        <f aca="false">AP146</f>
        <v>2</v>
      </c>
      <c r="AB146" s="57" t="n">
        <f aca="false">MAX(AP146,G146)</f>
        <v>2</v>
      </c>
      <c r="AC146" s="64"/>
      <c r="AD146" s="57" t="n">
        <f aca="false">IF(LEFT(Cockpit!$C$5,1)="A",G146,IF(BW146=1,BX146,IF(LEFT(Cockpit!$C$5,1)="B",AH146,MAX(AH146,G146))))</f>
        <v>1</v>
      </c>
      <c r="AE146" s="57" t="n">
        <f aca="false">IF(BR146=1,0,ROUNDUP(AD146/BQ146,0))</f>
        <v>1</v>
      </c>
      <c r="AF146" s="59" t="n">
        <f aca="false">IF(CD146&gt;0,CD146*MAX(1,AD146/V146),IF(BR146=1,IF(AD146&lt;=0,0,BS146*MAX(1,IF(G146&gt;0,AD146/G146,1))),IF(Q146&gt;0,AE146/Q146,0))/MAX(0.1,N(Parameter!$M$21)))</f>
        <v>0.0384615384615385</v>
      </c>
      <c r="AG146" s="57" t="n">
        <f aca="false">AD146*F146</f>
        <v>1394</v>
      </c>
      <c r="AH146" s="57" t="n">
        <f aca="false">ROUNDUP(MAX(I146/IF(BV146&gt;0,BV146,MAX(0.1,N(Cockpit!$C$6))),BY146)/BQ146,0)*BQ146</f>
        <v>2</v>
      </c>
      <c r="AI146" s="58" t="n">
        <f aca="false">IF(AF146&gt;0,I146/AF146,-1)</f>
        <v>0</v>
      </c>
      <c r="AJ146" s="58" t="n">
        <f aca="false">IF(AND(OR(BU146="L1",BU146="L23"),AF146&gt;0),SUMIFS($AF$7:$AF$1576,$BU$7:$BU$1576,BU146,$AI$7:$AI$1576,"&gt;"&amp;AI146)+SUMIFS($AF$7:$AF$1576,$BU$7:$BU$1576,BU146,$AI$7:$AI$1576,AI146,$BO$7:$BO$1576,"&lt;="&amp;BO146),"")</f>
        <v>38.5051457721023</v>
      </c>
      <c r="AK146" s="65" t="n">
        <f aca="false">IF(AJ146="",0,MAX(0,MIN(1,(IF(BU146="L1",Parameter!$E$5,Parameter!$E$6+Parameter!$E$7)-(AJ146-AF146))/AF146)))</f>
        <v>1</v>
      </c>
      <c r="AL146" s="57" t="n">
        <f aca="false">IF(LEFT(Cockpit!$I$5,1)="A",G146,IF(BW146=1,BX146,IF(LEFT(Cockpit!$I$5,1)="B",AP146,MAX(AP146,G146))))</f>
        <v>2</v>
      </c>
      <c r="AM146" s="57" t="n">
        <f aca="false">IF(BR146=1,0,ROUNDUP(AL146/BQ146,0))</f>
        <v>1</v>
      </c>
      <c r="AN146" s="59" t="n">
        <f aca="false">IF(CD146&gt;0,CD146*MAX(1,AL146/V146),IF(BR146=1,IF(AL146&lt;=0,0,BS146*MAX(1,IF(G146&gt;0,AL146/G146,1))),IF(Q146&gt;0,AM146/Q146,0))/MAX(0.1,N(Parameter!$M$21)))</f>
        <v>0.0384615384615385</v>
      </c>
      <c r="AO146" s="57" t="n">
        <f aca="false">AL146*F146</f>
        <v>2788</v>
      </c>
      <c r="AP146" s="57" t="n">
        <f aca="false">ROUNDUP(MAX(I146/IF(BV146&gt;0,BV146,MAX(0.1,N(Cockpit!$I$6))),BY146)/BQ146,0)*BQ146</f>
        <v>2</v>
      </c>
      <c r="AQ146" s="58" t="n">
        <f aca="false">IF(AN146&gt;0,I146/AN146,-1)</f>
        <v>0</v>
      </c>
      <c r="AR146" s="58" t="n">
        <f aca="false">IF(AND(OR(BU146="L1",BU146="L23"),AN146&gt;0),SUMIFS($AN$7:$AN$1576,$BU$7:$BU$1576,BU146,$AQ$7:$AQ$1576,"&gt;"&amp;AQ146)+SUMIFS($AN$7:$AN$1576,$BU$7:$BU$1576,BU146,$AQ$7:$AQ$1576,AQ146,$BO$7:$BO$1576,"&lt;="&amp;BO146),"")</f>
        <v>121.379351521892</v>
      </c>
      <c r="AS146" s="65" t="n">
        <f aca="false">IF(AR146="",0,MAX(0,MIN(1,(IF(BU146="L1",Parameter!$E$5,Parameter!$E$6+Parameter!$E$7)-(AR146-AN146))/AN146)))</f>
        <v>0</v>
      </c>
      <c r="AT146" s="57" t="n">
        <f aca="false">IF(LEFT(Cockpit!$O$5,1)="A",G146,IF(BW146=1,BX146,IF(LEFT(Cockpit!$O$5,1)="B",AX146,MAX(AX146,G146))))</f>
        <v>2</v>
      </c>
      <c r="AU146" s="57" t="n">
        <f aca="false">IF(BR146=1,0,ROUNDUP(AT146/BQ146,0))</f>
        <v>1</v>
      </c>
      <c r="AV146" s="59" t="n">
        <f aca="false">IF(CD146&gt;0,CD146*MAX(1,AT146/V146),IF(BR146=1,IF(AT146&lt;=0,0,BS146*MAX(1,IF(G146&gt;0,AT146/G146,1))),IF(Q146&gt;0,AU146/Q146,0))/MAX(0.1,N(Parameter!$M$21)))</f>
        <v>0.0384615384615385</v>
      </c>
      <c r="AW146" s="57" t="n">
        <f aca="false">AT146*F146</f>
        <v>2788</v>
      </c>
      <c r="AX146" s="57" t="n">
        <f aca="false">ROUNDUP(MAX(I146/IF(BV146&gt;0,BV146,MAX(0.1,N(Cockpit!$O$6))),BY146)/BQ146,0)*BQ146</f>
        <v>2</v>
      </c>
      <c r="AY146" s="58" t="n">
        <f aca="false">IF(AV146&gt;0,I146/AV146,-1)</f>
        <v>0</v>
      </c>
      <c r="AZ146" s="58" t="n">
        <f aca="false">IF(AND(OR(BU146="L1",BU146="L23"),AV146&gt;0),SUMIFS($AV$7:$AV$1576,$BU$7:$BU$1576,BU146,$AY$7:$AY$1576,"&gt;"&amp;AY146)+SUMIFS($AV$7:$AV$1576,$BU$7:$BU$1576,BU146,$AY$7:$AY$1576,AY146,$BO$7:$BO$1576,"&lt;="&amp;BO146),"")</f>
        <v>111.438901971442</v>
      </c>
      <c r="BA146" s="65" t="n">
        <f aca="false">IF(AZ146="",0,MAX(0,MIN(1,(IF(BU146="L1",Parameter!$E$5,Parameter!$E$6+Parameter!$E$7)-(AZ146-AV146))/AV146)))</f>
        <v>0</v>
      </c>
      <c r="BB146" s="55" t="str">
        <f aca="false">IF(AF146&lt;=0,"",IF(BU146="Aussen","Aussenlager",IF(BU146="-","Nicht im Lift",IF(AK146&gt;=1,"Lift",IF(AK146&lt;=0,"Aussenlager","teilweise")))))</f>
        <v>Lift</v>
      </c>
      <c r="BC146" s="55" t="str">
        <f aca="false">IF(AN146&lt;=0,"",IF(BU146="Aussen","Aussenlager",IF(BU146="-","Nicht im Lift",IF(AS146&gt;=1,"Lift",IF(AS146&lt;=0,"Aussenlager","teilweise")))))</f>
        <v>Aussenlager</v>
      </c>
      <c r="BD146" s="55" t="str">
        <f aca="false">IF(AV146&lt;=0,"",IF(BU146="Aussen","Aussenlager",IF(BU146="-","Nicht im Lift",IF(BA146&gt;=1,"Lift",IF(BA146&lt;=0,"Aussenlager","teilweise")))))</f>
        <v>Aussenlager</v>
      </c>
      <c r="BE146" s="55" t="str">
        <f aca="false">IF(A146="","",IF(BN146=1,"Neu; ","")&amp;IF(AND(BN146=0,BI146&lt;0),"negativer Bestand (Export "&amp;BI146&amp;"); ","")&amp;IF(I146&lt;=0,"Kein Verbrauch; ","")&amp;IF(CD146&gt;0,"Lift "&amp;U146&amp;" lt. Liftbericht (Fach "&amp;V146&amp;" Stk); ",IF(BR146=1,"Lose – Fläche geschätzt; ",""))&amp;IF(G146&gt;AP146,"Überbestand "&amp;ROUND(G146-AP146,0)&amp;" Stk / CHF "&amp;ROUND((G146-AP146)*F146,0)&amp;"; ","")&amp;IF(AND(BW146=1,BX146&lt;BY146),"MAX &lt; MB+LG; ","")&amp;IF(AND(CC146&gt;0,CB146*10&gt;CC146),"zu hoch für Tablar; ","")&amp;IF(AND(BN146=0,OR(BW146=1,Y146&lt;&gt;"",S146&lt;&gt;"",T146&lt;&gt;"",Z146&lt;&gt;"")),"manuell übersteuert; ","")&amp;IF(AND(BR146=0,Q146=0),"Gebinde unbekannt / Stellmass fehlt; ","")&amp;IF(AND(BR146=0,N(T146)&lt;=0,N(P146)&lt;=0),"Menge pro Gebinde fehlt (Ist = 1 Gebinde); ","")&amp;BM146)</f>
        <v>Kein Verbrauch; </v>
      </c>
      <c r="BF146" s="55"/>
      <c r="BG146" s="55"/>
      <c r="BH146" s="62"/>
      <c r="BI146" s="57" t="n">
        <v>1</v>
      </c>
      <c r="BJ146" s="57" t="n">
        <v>0</v>
      </c>
      <c r="BK146" s="56" t="n">
        <v>1394</v>
      </c>
      <c r="BL146" s="57" t="n">
        <v>0</v>
      </c>
      <c r="BM146" s="55"/>
      <c r="BN146" s="60" t="n">
        <v>0</v>
      </c>
      <c r="BO146" s="60" t="n">
        <v>146</v>
      </c>
      <c r="BP146" s="55" t="str">
        <f aca="false">IF(S146&lt;&gt;"",UPPER(TRIM(S146)),IF(O146="","LOSE",O146))</f>
        <v>S51</v>
      </c>
      <c r="BQ146" s="57" t="n">
        <f aca="false">IF(BP146="LOSE",1,IF(N(T146)&gt;0,T146,IF(N(P146)&gt;0,P146,MAX(1,G146))))</f>
        <v>2</v>
      </c>
      <c r="BR146" s="60" t="n">
        <f aca="false">IF(BP146="LOSE",1,0)</f>
        <v>0</v>
      </c>
      <c r="BS146" s="59" t="n">
        <f aca="false">IF(BR146=0,0,IF(N(R146)&gt;0,R146,IFERROR(VLOOKUP(D146,Parameter!$A$35:$C$64,3,0)+0,0)))</f>
        <v>0</v>
      </c>
      <c r="BT146" s="55" t="n">
        <f aca="false">IF(Y146&lt;&gt;"",Y146,X146)</f>
        <v>3</v>
      </c>
      <c r="BU146" s="55" t="str">
        <f aca="false">IF(BT146=1,"L1",IF(OR(BT146=2,BT146=3),"L23",IF(BT146="Aussen","Aussen","-")))</f>
        <v>L23</v>
      </c>
      <c r="BV146" s="66" t="n">
        <f aca="false">IF(N(Z146)&gt;0,Z146,0)</f>
        <v>0</v>
      </c>
      <c r="BW146" s="60" t="n">
        <f aca="false">IF(ISNUMBER(AC146),1,0)</f>
        <v>0</v>
      </c>
      <c r="BX146" s="57" t="n">
        <f aca="false">N(AC146)</f>
        <v>0</v>
      </c>
      <c r="BY146" s="57" t="n">
        <f aca="false">N(L146)+N(M146)</f>
        <v>1</v>
      </c>
      <c r="BZ146" s="57" t="n">
        <f aca="false">ROUNDUP(G146/BQ146,0)</f>
        <v>1</v>
      </c>
      <c r="CA146" s="57" t="n">
        <f aca="false">ROUNDUP(BX146/BQ146,0)</f>
        <v>0</v>
      </c>
      <c r="CB146" s="60" t="n">
        <f aca="false">IF(BR146=1,0,IFERROR(VLOOKUP(BP146,'Gebinde-Kategorie'!$A$5:$M$45,5,0)+0,0))</f>
        <v>11</v>
      </c>
      <c r="CC146" s="60" t="n">
        <f aca="false">IFERROR(IF(OR(BT146=1,BT146=2,BT146=3),N(INDEX(Parameter!$I$5:$I$7,BT146)),0),0)</f>
        <v>0</v>
      </c>
      <c r="CD146" s="59" t="n">
        <f aca="false">IF(AND(Parameter!$B$21="Ja",ISNUMBER(U146),N(V146)&gt;0),IFERROR(N(INDEX(Parameter!$L$5:$L$7,U146))*INDEX(Parameter!$E$5:$E$7,U146)*V146/SUMIFS($V$7:$V$1576,$U$7:$U$1576,U146),0),0)</f>
        <v>0</v>
      </c>
    </row>
    <row r="147" customFormat="false" ht="15" hidden="false" customHeight="false" outlineLevel="0" collapsed="false">
      <c r="A147" s="55" t="s">
        <v>489</v>
      </c>
      <c r="B147" s="55" t="s">
        <v>490</v>
      </c>
      <c r="C147" s="55" t="s">
        <v>160</v>
      </c>
      <c r="D147" s="55" t="s">
        <v>168</v>
      </c>
      <c r="E147" s="55" t="s">
        <v>210</v>
      </c>
      <c r="F147" s="56" t="n">
        <v>23</v>
      </c>
      <c r="G147" s="57" t="n">
        <f aca="false">MAX(0,IF(AND(Parameter!$B$21="Ja",ISNUMBER(W147)),W147,IF(Parameter!$B$20="Jahresanfang 2025 + Export",BJ147+BI147,BI147)))</f>
        <v>60</v>
      </c>
      <c r="H147" s="57" t="n">
        <f aca="false">G147*F147</f>
        <v>1380</v>
      </c>
      <c r="I147" s="57" t="n">
        <f aca="false">BL147*Parameter!$B$18</f>
        <v>0</v>
      </c>
      <c r="J147" s="58" t="n">
        <v>5</v>
      </c>
      <c r="K147" s="59" t="n">
        <v>0</v>
      </c>
      <c r="L147" s="57" t="n">
        <v>0</v>
      </c>
      <c r="M147" s="57" t="n">
        <v>1</v>
      </c>
      <c r="N147" s="60" t="n">
        <v>28</v>
      </c>
      <c r="O147" s="55" t="s">
        <v>163</v>
      </c>
      <c r="P147" s="57"/>
      <c r="Q147" s="60" t="n">
        <f aca="false">IF(BR147=1,0,IFERROR(VLOOKUP(BP147,'Gebinde-Kategorie'!$A$5:$M$45,13,0)+0,0))</f>
        <v>0</v>
      </c>
      <c r="R147" s="61"/>
      <c r="S147" s="62"/>
      <c r="T147" s="62"/>
      <c r="U147" s="55"/>
      <c r="V147" s="57"/>
      <c r="W147" s="57"/>
      <c r="X147" s="55" t="n">
        <f aca="false">IF(A147="","",IF(AND(Parameter!$B$21="Ja",ISNUMBER(U147)),U147,IF(IFERROR(VLOOKUP(D147,Parameter!$A$35:$C$64,2,0),"Nein")="2+3",IF(ISNUMBER(SEARCH("grosser Artikel",BM147)),2,IFERROR(VLOOKUP(BP147,Parameter!$F$35:$G$64,2,0),2)),IF(OR(IFERROR(VLOOKUP(D147,Parameter!$A$35:$C$64,2,0),"Nein")="Nein",IFERROR(VLOOKUP(D147,Parameter!$A$35:$C$64,2,0),"Nein")=""),"-",VLOOKUP(D147,Parameter!$A$35:$C$64,2,0)))))</f>
        <v>2</v>
      </c>
      <c r="Y147" s="62"/>
      <c r="Z147" s="63"/>
      <c r="AA147" s="57" t="n">
        <f aca="false">AP147</f>
        <v>1</v>
      </c>
      <c r="AB147" s="57" t="n">
        <f aca="false">MAX(AP147,G147)</f>
        <v>60</v>
      </c>
      <c r="AC147" s="64"/>
      <c r="AD147" s="57" t="n">
        <f aca="false">IF(LEFT(Cockpit!$C$5,1)="A",G147,IF(BW147=1,BX147,IF(LEFT(Cockpit!$C$5,1)="B",AH147,MAX(AH147,G147))))</f>
        <v>60</v>
      </c>
      <c r="AE147" s="57" t="n">
        <f aca="false">IF(BR147=1,0,ROUNDUP(AD147/BQ147,0))</f>
        <v>0</v>
      </c>
      <c r="AF147" s="59" t="n">
        <f aca="false">IF(CD147&gt;0,CD147*MAX(1,AD147/V147),IF(BR147=1,IF(AD147&lt;=0,0,BS147*MAX(1,IF(G147&gt;0,AD147/G147,1))),IF(Q147&gt;0,AE147/Q147,0))/MAX(0.1,N(Parameter!$M$21)))</f>
        <v>0.15</v>
      </c>
      <c r="AG147" s="57" t="n">
        <f aca="false">AD147*F147</f>
        <v>1380</v>
      </c>
      <c r="AH147" s="57" t="n">
        <f aca="false">ROUNDUP(MAX(I147/IF(BV147&gt;0,BV147,MAX(0.1,N(Cockpit!$C$6))),BY147)/BQ147,0)*BQ147</f>
        <v>1</v>
      </c>
      <c r="AI147" s="58" t="n">
        <f aca="false">IF(AF147&gt;0,I147/AF147,-1)</f>
        <v>0</v>
      </c>
      <c r="AJ147" s="58" t="n">
        <f aca="false">IF(AND(OR(BU147="L1",BU147="L23"),AF147&gt;0),SUMIFS($AF$7:$AF$1576,$BU$7:$BU$1576,BU147,$AI$7:$AI$1576,"&gt;"&amp;AI147)+SUMIFS($AF$7:$AF$1576,$BU$7:$BU$1576,BU147,$AI$7:$AI$1576,AI147,$BO$7:$BO$1576,"&lt;="&amp;BO147),"")</f>
        <v>38.6551457721023</v>
      </c>
      <c r="AK147" s="65" t="n">
        <f aca="false">IF(AJ147="",0,MAX(0,MIN(1,(IF(BU147="L1",Parameter!$E$5,Parameter!$E$6+Parameter!$E$7)-(AJ147-AF147))/AF147)))</f>
        <v>1</v>
      </c>
      <c r="AL147" s="57" t="n">
        <f aca="false">IF(LEFT(Cockpit!$I$5,1)="A",G147,IF(BW147=1,BX147,IF(LEFT(Cockpit!$I$5,1)="B",AP147,MAX(AP147,G147))))</f>
        <v>60</v>
      </c>
      <c r="AM147" s="57" t="n">
        <f aca="false">IF(BR147=1,0,ROUNDUP(AL147/BQ147,0))</f>
        <v>0</v>
      </c>
      <c r="AN147" s="59" t="n">
        <f aca="false">IF(CD147&gt;0,CD147*MAX(1,AL147/V147),IF(BR147=1,IF(AL147&lt;=0,0,BS147*MAX(1,IF(G147&gt;0,AL147/G147,1))),IF(Q147&gt;0,AM147/Q147,0))/MAX(0.1,N(Parameter!$M$21)))</f>
        <v>0.15</v>
      </c>
      <c r="AO147" s="57" t="n">
        <f aca="false">AL147*F147</f>
        <v>1380</v>
      </c>
      <c r="AP147" s="57" t="n">
        <f aca="false">ROUNDUP(MAX(I147/IF(BV147&gt;0,BV147,MAX(0.1,N(Cockpit!$I$6))),BY147)/BQ147,0)*BQ147</f>
        <v>1</v>
      </c>
      <c r="AQ147" s="58" t="n">
        <f aca="false">IF(AN147&gt;0,I147/AN147,-1)</f>
        <v>0</v>
      </c>
      <c r="AR147" s="58" t="n">
        <f aca="false">IF(AND(OR(BU147="L1",BU147="L23"),AN147&gt;0),SUMIFS($AN$7:$AN$1576,$BU$7:$BU$1576,BU147,$AQ$7:$AQ$1576,"&gt;"&amp;AQ147)+SUMIFS($AN$7:$AN$1576,$BU$7:$BU$1576,BU147,$AQ$7:$AQ$1576,AQ147,$BO$7:$BO$1576,"&lt;="&amp;BO147),"")</f>
        <v>121.529351521892</v>
      </c>
      <c r="AS147" s="65" t="n">
        <f aca="false">IF(AR147="",0,MAX(0,MIN(1,(IF(BU147="L1",Parameter!$E$5,Parameter!$E$6+Parameter!$E$7)-(AR147-AN147))/AN147)))</f>
        <v>0</v>
      </c>
      <c r="AT147" s="57" t="n">
        <f aca="false">IF(LEFT(Cockpit!$O$5,1)="A",G147,IF(BW147=1,BX147,IF(LEFT(Cockpit!$O$5,1)="B",AX147,MAX(AX147,G147))))</f>
        <v>60</v>
      </c>
      <c r="AU147" s="57" t="n">
        <f aca="false">IF(BR147=1,0,ROUNDUP(AT147/BQ147,0))</f>
        <v>0</v>
      </c>
      <c r="AV147" s="59" t="n">
        <f aca="false">IF(CD147&gt;0,CD147*MAX(1,AT147/V147),IF(BR147=1,IF(AT147&lt;=0,0,BS147*MAX(1,IF(G147&gt;0,AT147/G147,1))),IF(Q147&gt;0,AU147/Q147,0))/MAX(0.1,N(Parameter!$M$21)))</f>
        <v>0.15</v>
      </c>
      <c r="AW147" s="57" t="n">
        <f aca="false">AT147*F147</f>
        <v>1380</v>
      </c>
      <c r="AX147" s="57" t="n">
        <f aca="false">ROUNDUP(MAX(I147/IF(BV147&gt;0,BV147,MAX(0.1,N(Cockpit!$O$6))),BY147)/BQ147,0)*BQ147</f>
        <v>1</v>
      </c>
      <c r="AY147" s="58" t="n">
        <f aca="false">IF(AV147&gt;0,I147/AV147,-1)</f>
        <v>0</v>
      </c>
      <c r="AZ147" s="58" t="n">
        <f aca="false">IF(AND(OR(BU147="L1",BU147="L23"),AV147&gt;0),SUMIFS($AV$7:$AV$1576,$BU$7:$BU$1576,BU147,$AY$7:$AY$1576,"&gt;"&amp;AY147)+SUMIFS($AV$7:$AV$1576,$BU$7:$BU$1576,BU147,$AY$7:$AY$1576,AY147,$BO$7:$BO$1576,"&lt;="&amp;BO147),"")</f>
        <v>111.588901971442</v>
      </c>
      <c r="BA147" s="65" t="n">
        <f aca="false">IF(AZ147="",0,MAX(0,MIN(1,(IF(BU147="L1",Parameter!$E$5,Parameter!$E$6+Parameter!$E$7)-(AZ147-AV147))/AV147)))</f>
        <v>0</v>
      </c>
      <c r="BB147" s="55" t="str">
        <f aca="false">IF(AF147&lt;=0,"",IF(BU147="Aussen","Aussenlager",IF(BU147="-","Nicht im Lift",IF(AK147&gt;=1,"Lift",IF(AK147&lt;=0,"Aussenlager","teilweise")))))</f>
        <v>Lift</v>
      </c>
      <c r="BC147" s="55" t="str">
        <f aca="false">IF(AN147&lt;=0,"",IF(BU147="Aussen","Aussenlager",IF(BU147="-","Nicht im Lift",IF(AS147&gt;=1,"Lift",IF(AS147&lt;=0,"Aussenlager","teilweise")))))</f>
        <v>Aussenlager</v>
      </c>
      <c r="BD147" s="55" t="str">
        <f aca="false">IF(AV147&lt;=0,"",IF(BU147="Aussen","Aussenlager",IF(BU147="-","Nicht im Lift",IF(BA147&gt;=1,"Lift",IF(BA147&lt;=0,"Aussenlager","teilweise")))))</f>
        <v>Aussenlager</v>
      </c>
      <c r="BE147" s="55" t="str">
        <f aca="false">IF(A147="","",IF(BN147=1,"Neu; ","")&amp;IF(AND(BN147=0,BI147&lt;0),"negativer Bestand (Export "&amp;BI147&amp;"); ","")&amp;IF(I147&lt;=0,"Kein Verbrauch; ","")&amp;IF(CD147&gt;0,"Lift "&amp;U147&amp;" lt. Liftbericht (Fach "&amp;V147&amp;" Stk); ",IF(BR147=1,"Lose – Fläche geschätzt; ",""))&amp;IF(G147&gt;AP147,"Überbestand "&amp;ROUND(G147-AP147,0)&amp;" Stk / CHF "&amp;ROUND((G147-AP147)*F147,0)&amp;"; ","")&amp;IF(AND(BW147=1,BX147&lt;BY147),"MAX &lt; MB+LG; ","")&amp;IF(AND(CC147&gt;0,CB147*10&gt;CC147),"zu hoch für Tablar; ","")&amp;IF(AND(BN147=0,OR(BW147=1,Y147&lt;&gt;"",S147&lt;&gt;"",T147&lt;&gt;"",Z147&lt;&gt;"")),"manuell übersteuert; ","")&amp;IF(AND(BR147=0,Q147=0),"Gebinde unbekannt / Stellmass fehlt; ","")&amp;IF(AND(BR147=0,N(T147)&lt;=0,N(P147)&lt;=0),"Menge pro Gebinde fehlt (Ist = 1 Gebinde); ","")&amp;BM147)</f>
        <v>Kein Verbrauch; Lose – Fläche geschätzt; Überbestand 59 Stk / CHF 1357; </v>
      </c>
      <c r="BF147" s="55"/>
      <c r="BG147" s="55"/>
      <c r="BH147" s="62"/>
      <c r="BI147" s="57" t="n">
        <v>60</v>
      </c>
      <c r="BJ147" s="57" t="n">
        <v>0</v>
      </c>
      <c r="BK147" s="56" t="n">
        <v>1380</v>
      </c>
      <c r="BL147" s="57" t="n">
        <v>0</v>
      </c>
      <c r="BM147" s="55"/>
      <c r="BN147" s="60" t="n">
        <v>0</v>
      </c>
      <c r="BO147" s="60" t="n">
        <v>147</v>
      </c>
      <c r="BP147" s="55" t="str">
        <f aca="false">IF(S147&lt;&gt;"",UPPER(TRIM(S147)),IF(O147="","LOSE",O147))</f>
        <v>LOSE</v>
      </c>
      <c r="BQ147" s="57" t="n">
        <f aca="false">IF(BP147="LOSE",1,IF(N(T147)&gt;0,T147,IF(N(P147)&gt;0,P147,MAX(1,G147))))</f>
        <v>1</v>
      </c>
      <c r="BR147" s="60" t="n">
        <f aca="false">IF(BP147="LOSE",1,0)</f>
        <v>1</v>
      </c>
      <c r="BS147" s="59" t="n">
        <f aca="false">IF(BR147=0,0,IF(N(R147)&gt;0,R147,IFERROR(VLOOKUP(D147,Parameter!$A$35:$C$64,3,0)+0,0)))</f>
        <v>0.15</v>
      </c>
      <c r="BT147" s="55" t="n">
        <f aca="false">IF(Y147&lt;&gt;"",Y147,X147)</f>
        <v>2</v>
      </c>
      <c r="BU147" s="55" t="str">
        <f aca="false">IF(BT147=1,"L1",IF(OR(BT147=2,BT147=3),"L23",IF(BT147="Aussen","Aussen","-")))</f>
        <v>L23</v>
      </c>
      <c r="BV147" s="66" t="n">
        <f aca="false">IF(N(Z147)&gt;0,Z147,0)</f>
        <v>0</v>
      </c>
      <c r="BW147" s="60" t="n">
        <f aca="false">IF(ISNUMBER(AC147),1,0)</f>
        <v>0</v>
      </c>
      <c r="BX147" s="57" t="n">
        <f aca="false">N(AC147)</f>
        <v>0</v>
      </c>
      <c r="BY147" s="57" t="n">
        <f aca="false">N(L147)+N(M147)</f>
        <v>1</v>
      </c>
      <c r="BZ147" s="57" t="n">
        <f aca="false">ROUNDUP(G147/BQ147,0)</f>
        <v>60</v>
      </c>
      <c r="CA147" s="57" t="n">
        <f aca="false">ROUNDUP(BX147/BQ147,0)</f>
        <v>0</v>
      </c>
      <c r="CB147" s="60" t="n">
        <f aca="false">IF(BR147=1,0,IFERROR(VLOOKUP(BP147,'Gebinde-Kategorie'!$A$5:$M$45,5,0)+0,0))</f>
        <v>0</v>
      </c>
      <c r="CC147" s="60" t="n">
        <f aca="false">IFERROR(IF(OR(BT147=1,BT147=2,BT147=3),N(INDEX(Parameter!$I$5:$I$7,BT147)),0),0)</f>
        <v>0</v>
      </c>
      <c r="CD147" s="59" t="n">
        <f aca="false">IF(AND(Parameter!$B$21="Ja",ISNUMBER(U147),N(V147)&gt;0),IFERROR(N(INDEX(Parameter!$L$5:$L$7,U147))*INDEX(Parameter!$E$5:$E$7,U147)*V147/SUMIFS($V$7:$V$1576,$U$7:$U$1576,U147),0),0)</f>
        <v>0</v>
      </c>
    </row>
    <row r="148" customFormat="false" ht="15" hidden="false" customHeight="false" outlineLevel="0" collapsed="false">
      <c r="A148" s="55" t="s">
        <v>491</v>
      </c>
      <c r="B148" s="55" t="s">
        <v>492</v>
      </c>
      <c r="C148" s="55" t="s">
        <v>160</v>
      </c>
      <c r="D148" s="55" t="s">
        <v>178</v>
      </c>
      <c r="E148" s="55" t="s">
        <v>210</v>
      </c>
      <c r="F148" s="56" t="n">
        <v>227.16</v>
      </c>
      <c r="G148" s="57" t="n">
        <f aca="false">MAX(0,IF(AND(Parameter!$B$21="Ja",ISNUMBER(W148)),W148,IF(Parameter!$B$20="Jahresanfang 2025 + Export",BJ148+BI148,BI148)))</f>
        <v>6</v>
      </c>
      <c r="H148" s="57" t="n">
        <f aca="false">G148*F148</f>
        <v>1362.96</v>
      </c>
      <c r="I148" s="57" t="n">
        <f aca="false">BL148*Parameter!$B$18</f>
        <v>0</v>
      </c>
      <c r="J148" s="58" t="n">
        <v>5</v>
      </c>
      <c r="K148" s="59" t="n">
        <v>0</v>
      </c>
      <c r="L148" s="57" t="n">
        <v>0</v>
      </c>
      <c r="M148" s="57" t="n">
        <v>1</v>
      </c>
      <c r="N148" s="60" t="n">
        <v>14</v>
      </c>
      <c r="O148" s="55" t="s">
        <v>284</v>
      </c>
      <c r="P148" s="57" t="n">
        <v>8</v>
      </c>
      <c r="Q148" s="60" t="n">
        <f aca="false">IF(BR148=1,0,IFERROR(VLOOKUP(BP148,'Gebinde-Kategorie'!$A$5:$M$45,13,0)+0,0))</f>
        <v>12</v>
      </c>
      <c r="R148" s="61"/>
      <c r="S148" s="62"/>
      <c r="T148" s="62"/>
      <c r="U148" s="55"/>
      <c r="V148" s="57"/>
      <c r="W148" s="57"/>
      <c r="X148" s="55" t="n">
        <f aca="false">IF(A148="","",IF(AND(Parameter!$B$21="Ja",ISNUMBER(U148)),U148,IF(IFERROR(VLOOKUP(D148,Parameter!$A$35:$C$64,2,0),"Nein")="2+3",IF(ISNUMBER(SEARCH("grosser Artikel",BM148)),2,IFERROR(VLOOKUP(BP148,Parameter!$F$35:$G$64,2,0),2)),IF(OR(IFERROR(VLOOKUP(D148,Parameter!$A$35:$C$64,2,0),"Nein")="Nein",IFERROR(VLOOKUP(D148,Parameter!$A$35:$C$64,2,0),"Nein")=""),"-",VLOOKUP(D148,Parameter!$A$35:$C$64,2,0)))))</f>
        <v>2</v>
      </c>
      <c r="Y148" s="62"/>
      <c r="Z148" s="63"/>
      <c r="AA148" s="57" t="n">
        <f aca="false">AP148</f>
        <v>8</v>
      </c>
      <c r="AB148" s="57" t="n">
        <f aca="false">MAX(AP148,G148)</f>
        <v>8</v>
      </c>
      <c r="AC148" s="64"/>
      <c r="AD148" s="57" t="n">
        <f aca="false">IF(LEFT(Cockpit!$C$5,1)="A",G148,IF(BW148=1,BX148,IF(LEFT(Cockpit!$C$5,1)="B",AH148,MAX(AH148,G148))))</f>
        <v>6</v>
      </c>
      <c r="AE148" s="57" t="n">
        <f aca="false">IF(BR148=1,0,ROUNDUP(AD148/BQ148,0))</f>
        <v>1</v>
      </c>
      <c r="AF148" s="59" t="n">
        <f aca="false">IF(CD148&gt;0,CD148*MAX(1,AD148/V148),IF(BR148=1,IF(AD148&lt;=0,0,BS148*MAX(1,IF(G148&gt;0,AD148/G148,1))),IF(Q148&gt;0,AE148/Q148,0))/MAX(0.1,N(Parameter!$M$21)))</f>
        <v>0.0833333333333333</v>
      </c>
      <c r="AG148" s="57" t="n">
        <f aca="false">AD148*F148</f>
        <v>1362.96</v>
      </c>
      <c r="AH148" s="57" t="n">
        <f aca="false">ROUNDUP(MAX(I148/IF(BV148&gt;0,BV148,MAX(0.1,N(Cockpit!$C$6))),BY148)/BQ148,0)*BQ148</f>
        <v>8</v>
      </c>
      <c r="AI148" s="58" t="n">
        <f aca="false">IF(AF148&gt;0,I148/AF148,-1)</f>
        <v>0</v>
      </c>
      <c r="AJ148" s="58" t="n">
        <f aca="false">IF(AND(OR(BU148="L1",BU148="L23"),AF148&gt;0),SUMIFS($AF$7:$AF$1576,$BU$7:$BU$1576,BU148,$AI$7:$AI$1576,"&gt;"&amp;AI148)+SUMIFS($AF$7:$AF$1576,$BU$7:$BU$1576,BU148,$AI$7:$AI$1576,AI148,$BO$7:$BO$1576,"&lt;="&amp;BO148),"")</f>
        <v>38.7384791054356</v>
      </c>
      <c r="AK148" s="65" t="n">
        <f aca="false">IF(AJ148="",0,MAX(0,MIN(1,(IF(BU148="L1",Parameter!$E$5,Parameter!$E$6+Parameter!$E$7)-(AJ148-AF148))/AF148)))</f>
        <v>1</v>
      </c>
      <c r="AL148" s="57" t="n">
        <f aca="false">IF(LEFT(Cockpit!$I$5,1)="A",G148,IF(BW148=1,BX148,IF(LEFT(Cockpit!$I$5,1)="B",AP148,MAX(AP148,G148))))</f>
        <v>8</v>
      </c>
      <c r="AM148" s="57" t="n">
        <f aca="false">IF(BR148=1,0,ROUNDUP(AL148/BQ148,0))</f>
        <v>1</v>
      </c>
      <c r="AN148" s="59" t="n">
        <f aca="false">IF(CD148&gt;0,CD148*MAX(1,AL148/V148),IF(BR148=1,IF(AL148&lt;=0,0,BS148*MAX(1,IF(G148&gt;0,AL148/G148,1))),IF(Q148&gt;0,AM148/Q148,0))/MAX(0.1,N(Parameter!$M$21)))</f>
        <v>0.0833333333333333</v>
      </c>
      <c r="AO148" s="57" t="n">
        <f aca="false">AL148*F148</f>
        <v>1817.28</v>
      </c>
      <c r="AP148" s="57" t="n">
        <f aca="false">ROUNDUP(MAX(I148/IF(BV148&gt;0,BV148,MAX(0.1,N(Cockpit!$I$6))),BY148)/BQ148,0)*BQ148</f>
        <v>8</v>
      </c>
      <c r="AQ148" s="58" t="n">
        <f aca="false">IF(AN148&gt;0,I148/AN148,-1)</f>
        <v>0</v>
      </c>
      <c r="AR148" s="58" t="n">
        <f aca="false">IF(AND(OR(BU148="L1",BU148="L23"),AN148&gt;0),SUMIFS($AN$7:$AN$1576,$BU$7:$BU$1576,BU148,$AQ$7:$AQ$1576,"&gt;"&amp;AQ148)+SUMIFS($AN$7:$AN$1576,$BU$7:$BU$1576,BU148,$AQ$7:$AQ$1576,AQ148,$BO$7:$BO$1576,"&lt;="&amp;BO148),"")</f>
        <v>121.612684855225</v>
      </c>
      <c r="AS148" s="65" t="n">
        <f aca="false">IF(AR148="",0,MAX(0,MIN(1,(IF(BU148="L1",Parameter!$E$5,Parameter!$E$6+Parameter!$E$7)-(AR148-AN148))/AN148)))</f>
        <v>0</v>
      </c>
      <c r="AT148" s="57" t="n">
        <f aca="false">IF(LEFT(Cockpit!$O$5,1)="A",G148,IF(BW148=1,BX148,IF(LEFT(Cockpit!$O$5,1)="B",AX148,MAX(AX148,G148))))</f>
        <v>8</v>
      </c>
      <c r="AU148" s="57" t="n">
        <f aca="false">IF(BR148=1,0,ROUNDUP(AT148/BQ148,0))</f>
        <v>1</v>
      </c>
      <c r="AV148" s="59" t="n">
        <f aca="false">IF(CD148&gt;0,CD148*MAX(1,AT148/V148),IF(BR148=1,IF(AT148&lt;=0,0,BS148*MAX(1,IF(G148&gt;0,AT148/G148,1))),IF(Q148&gt;0,AU148/Q148,0))/MAX(0.1,N(Parameter!$M$21)))</f>
        <v>0.0833333333333333</v>
      </c>
      <c r="AW148" s="57" t="n">
        <f aca="false">AT148*F148</f>
        <v>1817.28</v>
      </c>
      <c r="AX148" s="57" t="n">
        <f aca="false">ROUNDUP(MAX(I148/IF(BV148&gt;0,BV148,MAX(0.1,N(Cockpit!$O$6))),BY148)/BQ148,0)*BQ148</f>
        <v>8</v>
      </c>
      <c r="AY148" s="58" t="n">
        <f aca="false">IF(AV148&gt;0,I148/AV148,-1)</f>
        <v>0</v>
      </c>
      <c r="AZ148" s="58" t="n">
        <f aca="false">IF(AND(OR(BU148="L1",BU148="L23"),AV148&gt;0),SUMIFS($AV$7:$AV$1576,$BU$7:$BU$1576,BU148,$AY$7:$AY$1576,"&gt;"&amp;AY148)+SUMIFS($AV$7:$AV$1576,$BU$7:$BU$1576,BU148,$AY$7:$AY$1576,AY148,$BO$7:$BO$1576,"&lt;="&amp;BO148),"")</f>
        <v>111.672235304776</v>
      </c>
      <c r="BA148" s="65" t="n">
        <f aca="false">IF(AZ148="",0,MAX(0,MIN(1,(IF(BU148="L1",Parameter!$E$5,Parameter!$E$6+Parameter!$E$7)-(AZ148-AV148))/AV148)))</f>
        <v>0</v>
      </c>
      <c r="BB148" s="55" t="str">
        <f aca="false">IF(AF148&lt;=0,"",IF(BU148="Aussen","Aussenlager",IF(BU148="-","Nicht im Lift",IF(AK148&gt;=1,"Lift",IF(AK148&lt;=0,"Aussenlager","teilweise")))))</f>
        <v>Lift</v>
      </c>
      <c r="BC148" s="55" t="str">
        <f aca="false">IF(AN148&lt;=0,"",IF(BU148="Aussen","Aussenlager",IF(BU148="-","Nicht im Lift",IF(AS148&gt;=1,"Lift",IF(AS148&lt;=0,"Aussenlager","teilweise")))))</f>
        <v>Aussenlager</v>
      </c>
      <c r="BD148" s="55" t="str">
        <f aca="false">IF(AV148&lt;=0,"",IF(BU148="Aussen","Aussenlager",IF(BU148="-","Nicht im Lift",IF(BA148&gt;=1,"Lift",IF(BA148&lt;=0,"Aussenlager","teilweise")))))</f>
        <v>Aussenlager</v>
      </c>
      <c r="BE148" s="55" t="str">
        <f aca="false">IF(A148="","",IF(BN148=1,"Neu; ","")&amp;IF(AND(BN148=0,BI148&lt;0),"negativer Bestand (Export "&amp;BI148&amp;"); ","")&amp;IF(I148&lt;=0,"Kein Verbrauch; ","")&amp;IF(CD148&gt;0,"Lift "&amp;U148&amp;" lt. Liftbericht (Fach "&amp;V148&amp;" Stk); ",IF(BR148=1,"Lose – Fläche geschätzt; ",""))&amp;IF(G148&gt;AP148,"Überbestand "&amp;ROUND(G148-AP148,0)&amp;" Stk / CHF "&amp;ROUND((G148-AP148)*F148,0)&amp;"; ","")&amp;IF(AND(BW148=1,BX148&lt;BY148),"MAX &lt; MB+LG; ","")&amp;IF(AND(CC148&gt;0,CB148*10&gt;CC148),"zu hoch für Tablar; ","")&amp;IF(AND(BN148=0,OR(BW148=1,Y148&lt;&gt;"",S148&lt;&gt;"",T148&lt;&gt;"",Z148&lt;&gt;"")),"manuell übersteuert; ","")&amp;IF(AND(BR148=0,Q148=0),"Gebinde unbekannt / Stellmass fehlt; ","")&amp;IF(AND(BR148=0,N(T148)&lt;=0,N(P148)&lt;=0),"Menge pro Gebinde fehlt (Ist = 1 Gebinde); ","")&amp;BM148)</f>
        <v>Kein Verbrauch; </v>
      </c>
      <c r="BF148" s="55"/>
      <c r="BG148" s="55"/>
      <c r="BH148" s="62"/>
      <c r="BI148" s="57" t="n">
        <v>6</v>
      </c>
      <c r="BJ148" s="57" t="n">
        <v>2</v>
      </c>
      <c r="BK148" s="56" t="n">
        <v>1362.96</v>
      </c>
      <c r="BL148" s="57" t="n">
        <v>0</v>
      </c>
      <c r="BM148" s="55"/>
      <c r="BN148" s="60" t="n">
        <v>0</v>
      </c>
      <c r="BO148" s="60" t="n">
        <v>148</v>
      </c>
      <c r="BP148" s="55" t="str">
        <f aca="false">IF(S148&lt;&gt;"",UPPER(TRIM(S148)),IF(O148="","LOSE",O148))</f>
        <v>S62</v>
      </c>
      <c r="BQ148" s="57" t="n">
        <f aca="false">IF(BP148="LOSE",1,IF(N(T148)&gt;0,T148,IF(N(P148)&gt;0,P148,MAX(1,G148))))</f>
        <v>8</v>
      </c>
      <c r="BR148" s="60" t="n">
        <f aca="false">IF(BP148="LOSE",1,0)</f>
        <v>0</v>
      </c>
      <c r="BS148" s="59" t="n">
        <f aca="false">IF(BR148=0,0,IF(N(R148)&gt;0,R148,IFERROR(VLOOKUP(D148,Parameter!$A$35:$C$64,3,0)+0,0)))</f>
        <v>0</v>
      </c>
      <c r="BT148" s="55" t="n">
        <f aca="false">IF(Y148&lt;&gt;"",Y148,X148)</f>
        <v>2</v>
      </c>
      <c r="BU148" s="55" t="str">
        <f aca="false">IF(BT148=1,"L1",IF(OR(BT148=2,BT148=3),"L23",IF(BT148="Aussen","Aussen","-")))</f>
        <v>L23</v>
      </c>
      <c r="BV148" s="66" t="n">
        <f aca="false">IF(N(Z148)&gt;0,Z148,0)</f>
        <v>0</v>
      </c>
      <c r="BW148" s="60" t="n">
        <f aca="false">IF(ISNUMBER(AC148),1,0)</f>
        <v>0</v>
      </c>
      <c r="BX148" s="57" t="n">
        <f aca="false">N(AC148)</f>
        <v>0</v>
      </c>
      <c r="BY148" s="57" t="n">
        <f aca="false">N(L148)+N(M148)</f>
        <v>1</v>
      </c>
      <c r="BZ148" s="57" t="n">
        <f aca="false">ROUNDUP(G148/BQ148,0)</f>
        <v>1</v>
      </c>
      <c r="CA148" s="57" t="n">
        <f aca="false">ROUNDUP(BX148/BQ148,0)</f>
        <v>0</v>
      </c>
      <c r="CB148" s="60" t="n">
        <f aca="false">IF(BR148=1,0,IFERROR(VLOOKUP(BP148,'Gebinde-Kategorie'!$A$5:$M$45,5,0)+0,0))</f>
        <v>21</v>
      </c>
      <c r="CC148" s="60" t="n">
        <f aca="false">IFERROR(IF(OR(BT148=1,BT148=2,BT148=3),N(INDEX(Parameter!$I$5:$I$7,BT148)),0),0)</f>
        <v>0</v>
      </c>
      <c r="CD148" s="59" t="n">
        <f aca="false">IF(AND(Parameter!$B$21="Ja",ISNUMBER(U148),N(V148)&gt;0),IFERROR(N(INDEX(Parameter!$L$5:$L$7,U148))*INDEX(Parameter!$E$5:$E$7,U148)*V148/SUMIFS($V$7:$V$1576,$U$7:$U$1576,U148),0),0)</f>
        <v>0</v>
      </c>
    </row>
    <row r="149" customFormat="false" ht="15" hidden="false" customHeight="false" outlineLevel="0" collapsed="false">
      <c r="A149" s="55" t="s">
        <v>493</v>
      </c>
      <c r="B149" s="55" t="s">
        <v>494</v>
      </c>
      <c r="C149" s="55" t="s">
        <v>160</v>
      </c>
      <c r="D149" s="55" t="s">
        <v>178</v>
      </c>
      <c r="E149" s="55" t="s">
        <v>210</v>
      </c>
      <c r="F149" s="56" t="n">
        <v>50.41</v>
      </c>
      <c r="G149" s="57" t="n">
        <f aca="false">MAX(0,IF(AND(Parameter!$B$21="Ja",ISNUMBER(W149)),W149,IF(Parameter!$B$20="Jahresanfang 2025 + Export",BJ149+BI149,BI149)))</f>
        <v>25</v>
      </c>
      <c r="H149" s="57" t="n">
        <f aca="false">G149*F149</f>
        <v>1260.25</v>
      </c>
      <c r="I149" s="57" t="n">
        <f aca="false">BL149*Parameter!$B$18</f>
        <v>59</v>
      </c>
      <c r="J149" s="58" t="n">
        <v>34.5</v>
      </c>
      <c r="K149" s="59" t="n">
        <v>1.71014492753623</v>
      </c>
      <c r="L149" s="57" t="n">
        <v>10</v>
      </c>
      <c r="M149" s="57" t="n">
        <v>60</v>
      </c>
      <c r="N149" s="60" t="n">
        <v>35</v>
      </c>
      <c r="O149" s="55" t="s">
        <v>284</v>
      </c>
      <c r="P149" s="57" t="n">
        <v>16</v>
      </c>
      <c r="Q149" s="60" t="n">
        <f aca="false">IF(BR149=1,0,IFERROR(VLOOKUP(BP149,'Gebinde-Kategorie'!$A$5:$M$45,13,0)+0,0))</f>
        <v>12</v>
      </c>
      <c r="R149" s="61"/>
      <c r="S149" s="62"/>
      <c r="T149" s="62"/>
      <c r="U149" s="55"/>
      <c r="V149" s="57"/>
      <c r="W149" s="57"/>
      <c r="X149" s="55" t="n">
        <f aca="false">IF(A149="","",IF(AND(Parameter!$B$21="Ja",ISNUMBER(U149)),U149,IF(IFERROR(VLOOKUP(D149,Parameter!$A$35:$C$64,2,0),"Nein")="2+3",IF(ISNUMBER(SEARCH("grosser Artikel",BM149)),2,IFERROR(VLOOKUP(BP149,Parameter!$F$35:$G$64,2,0),2)),IF(OR(IFERROR(VLOOKUP(D149,Parameter!$A$35:$C$64,2,0),"Nein")="Nein",IFERROR(VLOOKUP(D149,Parameter!$A$35:$C$64,2,0),"Nein")=""),"-",VLOOKUP(D149,Parameter!$A$35:$C$64,2,0)))))</f>
        <v>2</v>
      </c>
      <c r="Y149" s="62"/>
      <c r="Z149" s="63"/>
      <c r="AA149" s="57" t="n">
        <f aca="false">AP149</f>
        <v>80</v>
      </c>
      <c r="AB149" s="57" t="n">
        <f aca="false">MAX(AP149,G149)</f>
        <v>80</v>
      </c>
      <c r="AC149" s="64"/>
      <c r="AD149" s="57" t="n">
        <f aca="false">IF(LEFT(Cockpit!$C$5,1)="A",G149,IF(BW149=1,BX149,IF(LEFT(Cockpit!$C$5,1)="B",AH149,MAX(AH149,G149))))</f>
        <v>25</v>
      </c>
      <c r="AE149" s="57" t="n">
        <f aca="false">IF(BR149=1,0,ROUNDUP(AD149/BQ149,0))</f>
        <v>2</v>
      </c>
      <c r="AF149" s="59" t="n">
        <f aca="false">IF(CD149&gt;0,CD149*MAX(1,AD149/V149),IF(BR149=1,IF(AD149&lt;=0,0,BS149*MAX(1,IF(G149&gt;0,AD149/G149,1))),IF(Q149&gt;0,AE149/Q149,0))/MAX(0.1,N(Parameter!$M$21)))</f>
        <v>0.166666666666667</v>
      </c>
      <c r="AG149" s="57" t="n">
        <f aca="false">AD149*F149</f>
        <v>1260.25</v>
      </c>
      <c r="AH149" s="57" t="n">
        <f aca="false">ROUNDUP(MAX(I149/IF(BV149&gt;0,BV149,MAX(0.1,N(Cockpit!$C$6))),BY149)/BQ149,0)*BQ149</f>
        <v>80</v>
      </c>
      <c r="AI149" s="58" t="n">
        <f aca="false">IF(AF149&gt;0,I149/AF149,-1)</f>
        <v>354</v>
      </c>
      <c r="AJ149" s="58" t="n">
        <f aca="false">IF(AND(OR(BU149="L1",BU149="L23"),AF149&gt;0),SUMIFS($AF$7:$AF$1576,$BU$7:$BU$1576,BU149,$AI$7:$AI$1576,"&gt;"&amp;AI149)+SUMIFS($AF$7:$AF$1576,$BU$7:$BU$1576,BU149,$AI$7:$AI$1576,AI149,$BO$7:$BO$1576,"&lt;="&amp;BO149),"")</f>
        <v>14.1074615722442</v>
      </c>
      <c r="AK149" s="65" t="n">
        <f aca="false">IF(AJ149="",0,MAX(0,MIN(1,(IF(BU149="L1",Parameter!$E$5,Parameter!$E$6+Parameter!$E$7)-(AJ149-AF149))/AF149)))</f>
        <v>1</v>
      </c>
      <c r="AL149" s="57" t="n">
        <f aca="false">IF(LEFT(Cockpit!$I$5,1)="A",G149,IF(BW149=1,BX149,IF(LEFT(Cockpit!$I$5,1)="B",AP149,MAX(AP149,G149))))</f>
        <v>80</v>
      </c>
      <c r="AM149" s="57" t="n">
        <f aca="false">IF(BR149=1,0,ROUNDUP(AL149/BQ149,0))</f>
        <v>5</v>
      </c>
      <c r="AN149" s="59" t="n">
        <f aca="false">IF(CD149&gt;0,CD149*MAX(1,AL149/V149),IF(BR149=1,IF(AL149&lt;=0,0,BS149*MAX(1,IF(G149&gt;0,AL149/G149,1))),IF(Q149&gt;0,AM149/Q149,0))/MAX(0.1,N(Parameter!$M$21)))</f>
        <v>0.416666666666667</v>
      </c>
      <c r="AO149" s="57" t="n">
        <f aca="false">AL149*F149</f>
        <v>4032.8</v>
      </c>
      <c r="AP149" s="57" t="n">
        <f aca="false">ROUNDUP(MAX(I149/IF(BV149&gt;0,BV149,MAX(0.1,N(Cockpit!$I$6))),BY149)/BQ149,0)*BQ149</f>
        <v>80</v>
      </c>
      <c r="AQ149" s="58" t="n">
        <f aca="false">IF(AN149&gt;0,I149/AN149,-1)</f>
        <v>141.6</v>
      </c>
      <c r="AR149" s="58" t="n">
        <f aca="false">IF(AND(OR(BU149="L1",BU149="L23"),AN149&gt;0),SUMIFS($AN$7:$AN$1576,$BU$7:$BU$1576,BU149,$AQ$7:$AQ$1576,"&gt;"&amp;AQ149)+SUMIFS($AN$7:$AN$1576,$BU$7:$BU$1576,BU149,$AQ$7:$AQ$1576,AQ149,$BO$7:$BO$1576,"&lt;="&amp;BO149),"")</f>
        <v>57.9296597246709</v>
      </c>
      <c r="AS149" s="65" t="n">
        <f aca="false">IF(AR149="",0,MAX(0,MIN(1,(IF(BU149="L1",Parameter!$E$5,Parameter!$E$6+Parameter!$E$7)-(AR149-AN149))/AN149)))</f>
        <v>1</v>
      </c>
      <c r="AT149" s="57" t="n">
        <f aca="false">IF(LEFT(Cockpit!$O$5,1)="A",G149,IF(BW149=1,BX149,IF(LEFT(Cockpit!$O$5,1)="B",AX149,MAX(AX149,G149))))</f>
        <v>80</v>
      </c>
      <c r="AU149" s="57" t="n">
        <f aca="false">IF(BR149=1,0,ROUNDUP(AT149/BQ149,0))</f>
        <v>5</v>
      </c>
      <c r="AV149" s="59" t="n">
        <f aca="false">IF(CD149&gt;0,CD149*MAX(1,AT149/V149),IF(BR149=1,IF(AT149&lt;=0,0,BS149*MAX(1,IF(G149&gt;0,AT149/G149,1))),IF(Q149&gt;0,AU149/Q149,0))/MAX(0.1,N(Parameter!$M$21)))</f>
        <v>0.416666666666667</v>
      </c>
      <c r="AW149" s="57" t="n">
        <f aca="false">AT149*F149</f>
        <v>4032.8</v>
      </c>
      <c r="AX149" s="57" t="n">
        <f aca="false">ROUNDUP(MAX(I149/IF(BV149&gt;0,BV149,MAX(0.1,N(Cockpit!$O$6))),BY149)/BQ149,0)*BQ149</f>
        <v>80</v>
      </c>
      <c r="AY149" s="58" t="n">
        <f aca="false">IF(AV149&gt;0,I149/AV149,-1)</f>
        <v>141.6</v>
      </c>
      <c r="AZ149" s="58" t="n">
        <f aca="false">IF(AND(OR(BU149="L1",BU149="L23"),AV149&gt;0),SUMIFS($AV$7:$AV$1576,$BU$7:$BU$1576,BU149,$AY$7:$AY$1576,"&gt;"&amp;AY149)+SUMIFS($AV$7:$AV$1576,$BU$7:$BU$1576,BU149,$AY$7:$AY$1576,AY149,$BO$7:$BO$1576,"&lt;="&amp;BO149),"")</f>
        <v>52.592126840888</v>
      </c>
      <c r="BA149" s="65" t="n">
        <f aca="false">IF(AZ149="",0,MAX(0,MIN(1,(IF(BU149="L1",Parameter!$E$5,Parameter!$E$6+Parameter!$E$7)-(AZ149-AV149))/AV149)))</f>
        <v>1</v>
      </c>
      <c r="BB149" s="55" t="str">
        <f aca="false">IF(AF149&lt;=0,"",IF(BU149="Aussen","Aussenlager",IF(BU149="-","Nicht im Lift",IF(AK149&gt;=1,"Lift",IF(AK149&lt;=0,"Aussenlager","teilweise")))))</f>
        <v>Lift</v>
      </c>
      <c r="BC149" s="55" t="str">
        <f aca="false">IF(AN149&lt;=0,"",IF(BU149="Aussen","Aussenlager",IF(BU149="-","Nicht im Lift",IF(AS149&gt;=1,"Lift",IF(AS149&lt;=0,"Aussenlager","teilweise")))))</f>
        <v>Lift</v>
      </c>
      <c r="BD149" s="55" t="str">
        <f aca="false">IF(AV149&lt;=0,"",IF(BU149="Aussen","Aussenlager",IF(BU149="-","Nicht im Lift",IF(BA149&gt;=1,"Lift",IF(BA149&lt;=0,"Aussenlager","teilweise")))))</f>
        <v>Lift</v>
      </c>
      <c r="BE149" s="55" t="str">
        <f aca="false">IF(A149="","",IF(BN149=1,"Neu; ","")&amp;IF(AND(BN149=0,BI149&lt;0),"negativer Bestand (Export "&amp;BI149&amp;"); ","")&amp;IF(I149&lt;=0,"Kein Verbrauch; ","")&amp;IF(CD149&gt;0,"Lift "&amp;U149&amp;" lt. Liftbericht (Fach "&amp;V149&amp;" Stk); ",IF(BR149=1,"Lose – Fläche geschätzt; ",""))&amp;IF(G149&gt;AP149,"Überbestand "&amp;ROUND(G149-AP149,0)&amp;" Stk / CHF "&amp;ROUND((G149-AP149)*F149,0)&amp;"; ","")&amp;IF(AND(BW149=1,BX149&lt;BY149),"MAX &lt; MB+LG; ","")&amp;IF(AND(CC149&gt;0,CB149*10&gt;CC149),"zu hoch für Tablar; ","")&amp;IF(AND(BN149=0,OR(BW149=1,Y149&lt;&gt;"",S149&lt;&gt;"",T149&lt;&gt;"",Z149&lt;&gt;"")),"manuell übersteuert; ","")&amp;IF(AND(BR149=0,Q149=0),"Gebinde unbekannt / Stellmass fehlt; ","")&amp;IF(AND(BR149=0,N(T149)&lt;=0,N(P149)&lt;=0),"Menge pro Gebinde fehlt (Ist = 1 Gebinde); ","")&amp;BM149)</f>
        <v/>
      </c>
      <c r="BF149" s="55"/>
      <c r="BG149" s="55"/>
      <c r="BH149" s="62"/>
      <c r="BI149" s="57" t="n">
        <v>25</v>
      </c>
      <c r="BJ149" s="57" t="n">
        <v>14</v>
      </c>
      <c r="BK149" s="56" t="n">
        <v>1353.35</v>
      </c>
      <c r="BL149" s="57" t="n">
        <v>59</v>
      </c>
      <c r="BM149" s="55"/>
      <c r="BN149" s="60" t="n">
        <v>0</v>
      </c>
      <c r="BO149" s="60" t="n">
        <v>149</v>
      </c>
      <c r="BP149" s="55" t="str">
        <f aca="false">IF(S149&lt;&gt;"",UPPER(TRIM(S149)),IF(O149="","LOSE",O149))</f>
        <v>S62</v>
      </c>
      <c r="BQ149" s="57" t="n">
        <f aca="false">IF(BP149="LOSE",1,IF(N(T149)&gt;0,T149,IF(N(P149)&gt;0,P149,MAX(1,G149))))</f>
        <v>16</v>
      </c>
      <c r="BR149" s="60" t="n">
        <f aca="false">IF(BP149="LOSE",1,0)</f>
        <v>0</v>
      </c>
      <c r="BS149" s="59" t="n">
        <f aca="false">IF(BR149=0,0,IF(N(R149)&gt;0,R149,IFERROR(VLOOKUP(D149,Parameter!$A$35:$C$64,3,0)+0,0)))</f>
        <v>0</v>
      </c>
      <c r="BT149" s="55" t="n">
        <f aca="false">IF(Y149&lt;&gt;"",Y149,X149)</f>
        <v>2</v>
      </c>
      <c r="BU149" s="55" t="str">
        <f aca="false">IF(BT149=1,"L1",IF(OR(BT149=2,BT149=3),"L23",IF(BT149="Aussen","Aussen","-")))</f>
        <v>L23</v>
      </c>
      <c r="BV149" s="66" t="n">
        <f aca="false">IF(N(Z149)&gt;0,Z149,0)</f>
        <v>0</v>
      </c>
      <c r="BW149" s="60" t="n">
        <f aca="false">IF(ISNUMBER(AC149),1,0)</f>
        <v>0</v>
      </c>
      <c r="BX149" s="57" t="n">
        <f aca="false">N(AC149)</f>
        <v>0</v>
      </c>
      <c r="BY149" s="57" t="n">
        <f aca="false">N(L149)+N(M149)</f>
        <v>70</v>
      </c>
      <c r="BZ149" s="57" t="n">
        <f aca="false">ROUNDUP(G149/BQ149,0)</f>
        <v>2</v>
      </c>
      <c r="CA149" s="57" t="n">
        <f aca="false">ROUNDUP(BX149/BQ149,0)</f>
        <v>0</v>
      </c>
      <c r="CB149" s="60" t="n">
        <f aca="false">IF(BR149=1,0,IFERROR(VLOOKUP(BP149,'Gebinde-Kategorie'!$A$5:$M$45,5,0)+0,0))</f>
        <v>21</v>
      </c>
      <c r="CC149" s="60" t="n">
        <f aca="false">IFERROR(IF(OR(BT149=1,BT149=2,BT149=3),N(INDEX(Parameter!$I$5:$I$7,BT149)),0),0)</f>
        <v>0</v>
      </c>
      <c r="CD149" s="59" t="n">
        <f aca="false">IF(AND(Parameter!$B$21="Ja",ISNUMBER(U149),N(V149)&gt;0),IFERROR(N(INDEX(Parameter!$L$5:$L$7,U149))*INDEX(Parameter!$E$5:$E$7,U149)*V149/SUMIFS($V$7:$V$1576,$U$7:$U$1576,U149),0),0)</f>
        <v>0</v>
      </c>
    </row>
    <row r="150" customFormat="false" ht="15" hidden="false" customHeight="false" outlineLevel="0" collapsed="false">
      <c r="A150" s="55" t="s">
        <v>495</v>
      </c>
      <c r="B150" s="55" t="s">
        <v>496</v>
      </c>
      <c r="C150" s="55" t="s">
        <v>160</v>
      </c>
      <c r="D150" s="55" t="s">
        <v>178</v>
      </c>
      <c r="E150" s="55" t="s">
        <v>210</v>
      </c>
      <c r="F150" s="56" t="n">
        <v>4.04</v>
      </c>
      <c r="G150" s="57" t="n">
        <f aca="false">MAX(0,IF(AND(Parameter!$B$21="Ja",ISNUMBER(W150)),W150,IF(Parameter!$B$20="Jahresanfang 2025 + Export",BJ150+BI150,BI150)))</f>
        <v>340</v>
      </c>
      <c r="H150" s="57" t="n">
        <f aca="false">G150*F150</f>
        <v>1373.6</v>
      </c>
      <c r="I150" s="57" t="n">
        <f aca="false">BL150*Parameter!$B$18</f>
        <v>199</v>
      </c>
      <c r="J150" s="58" t="n">
        <v>57</v>
      </c>
      <c r="K150" s="59" t="n">
        <v>3.49122807017544</v>
      </c>
      <c r="L150" s="57" t="n">
        <v>11</v>
      </c>
      <c r="M150" s="57" t="n">
        <v>200</v>
      </c>
      <c r="N150" s="60" t="n">
        <v>21</v>
      </c>
      <c r="O150" s="55" t="s">
        <v>293</v>
      </c>
      <c r="P150" s="57" t="n">
        <v>71</v>
      </c>
      <c r="Q150" s="60" t="n">
        <f aca="false">IF(BR150=1,0,IFERROR(VLOOKUP(BP150,'Gebinde-Kategorie'!$A$5:$M$45,13,0)+0,0))</f>
        <v>26</v>
      </c>
      <c r="R150" s="61"/>
      <c r="S150" s="62"/>
      <c r="T150" s="62"/>
      <c r="U150" s="55"/>
      <c r="V150" s="57"/>
      <c r="W150" s="57"/>
      <c r="X150" s="55" t="n">
        <f aca="false">IF(A150="","",IF(AND(Parameter!$B$21="Ja",ISNUMBER(U150)),U150,IF(IFERROR(VLOOKUP(D150,Parameter!$A$35:$C$64,2,0),"Nein")="2+3",IF(ISNUMBER(SEARCH("grosser Artikel",BM150)),2,IFERROR(VLOOKUP(BP150,Parameter!$F$35:$G$64,2,0),2)),IF(OR(IFERROR(VLOOKUP(D150,Parameter!$A$35:$C$64,2,0),"Nein")="Nein",IFERROR(VLOOKUP(D150,Parameter!$A$35:$C$64,2,0),"Nein")=""),"-",VLOOKUP(D150,Parameter!$A$35:$C$64,2,0)))))</f>
        <v>3</v>
      </c>
      <c r="Y150" s="62"/>
      <c r="Z150" s="63"/>
      <c r="AA150" s="57" t="n">
        <f aca="false">AP150</f>
        <v>213</v>
      </c>
      <c r="AB150" s="57" t="n">
        <f aca="false">MAX(AP150,G150)</f>
        <v>340</v>
      </c>
      <c r="AC150" s="64"/>
      <c r="AD150" s="57" t="n">
        <f aca="false">IF(LEFT(Cockpit!$C$5,1)="A",G150,IF(BW150=1,BX150,IF(LEFT(Cockpit!$C$5,1)="B",AH150,MAX(AH150,G150))))</f>
        <v>340</v>
      </c>
      <c r="AE150" s="57" t="n">
        <f aca="false">IF(BR150=1,0,ROUNDUP(AD150/BQ150,0))</f>
        <v>5</v>
      </c>
      <c r="AF150" s="59" t="n">
        <f aca="false">IF(CD150&gt;0,CD150*MAX(1,AD150/V150),IF(BR150=1,IF(AD150&lt;=0,0,BS150*MAX(1,IF(G150&gt;0,AD150/G150,1))),IF(Q150&gt;0,AE150/Q150,0))/MAX(0.1,N(Parameter!$M$21)))</f>
        <v>0.192307692307692</v>
      </c>
      <c r="AG150" s="57" t="n">
        <f aca="false">AD150*F150</f>
        <v>1373.6</v>
      </c>
      <c r="AH150" s="57" t="n">
        <f aca="false">ROUNDUP(MAX(I150/IF(BV150&gt;0,BV150,MAX(0.1,N(Cockpit!$C$6))),BY150)/BQ150,0)*BQ150</f>
        <v>213</v>
      </c>
      <c r="AI150" s="58" t="n">
        <f aca="false">IF(AF150&gt;0,I150/AF150,-1)</f>
        <v>1034.8</v>
      </c>
      <c r="AJ150" s="58" t="n">
        <f aca="false">IF(AND(OR(BU150="L1",BU150="L23"),AF150&gt;0),SUMIFS($AF$7:$AF$1576,$BU$7:$BU$1576,BU150,$AI$7:$AI$1576,"&gt;"&amp;AI150)+SUMIFS($AF$7:$AF$1576,$BU$7:$BU$1576,BU150,$AI$7:$AI$1576,AI150,$BO$7:$BO$1576,"&lt;="&amp;BO150),"")</f>
        <v>9.13852538765582</v>
      </c>
      <c r="AK150" s="65" t="n">
        <f aca="false">IF(AJ150="",0,MAX(0,MIN(1,(IF(BU150="L1",Parameter!$E$5,Parameter!$E$6+Parameter!$E$7)-(AJ150-AF150))/AF150)))</f>
        <v>1</v>
      </c>
      <c r="AL150" s="57" t="n">
        <f aca="false">IF(LEFT(Cockpit!$I$5,1)="A",G150,IF(BW150=1,BX150,IF(LEFT(Cockpit!$I$5,1)="B",AP150,MAX(AP150,G150))))</f>
        <v>340</v>
      </c>
      <c r="AM150" s="57" t="n">
        <f aca="false">IF(BR150=1,0,ROUNDUP(AL150/BQ150,0))</f>
        <v>5</v>
      </c>
      <c r="AN150" s="59" t="n">
        <f aca="false">IF(CD150&gt;0,CD150*MAX(1,AL150/V150),IF(BR150=1,IF(AL150&lt;=0,0,BS150*MAX(1,IF(G150&gt;0,AL150/G150,1))),IF(Q150&gt;0,AM150/Q150,0))/MAX(0.1,N(Parameter!$M$21)))</f>
        <v>0.192307692307692</v>
      </c>
      <c r="AO150" s="57" t="n">
        <f aca="false">AL150*F150</f>
        <v>1373.6</v>
      </c>
      <c r="AP150" s="57" t="n">
        <f aca="false">ROUNDUP(MAX(I150/IF(BV150&gt;0,BV150,MAX(0.1,N(Cockpit!$I$6))),BY150)/BQ150,0)*BQ150</f>
        <v>213</v>
      </c>
      <c r="AQ150" s="58" t="n">
        <f aca="false">IF(AN150&gt;0,I150/AN150,-1)</f>
        <v>1034.8</v>
      </c>
      <c r="AR150" s="58" t="n">
        <f aca="false">IF(AND(OR(BU150="L1",BU150="L23"),AN150&gt;0),SUMIFS($AN$7:$AN$1576,$BU$7:$BU$1576,BU150,$AQ$7:$AQ$1576,"&gt;"&amp;AQ150)+SUMIFS($AN$7:$AN$1576,$BU$7:$BU$1576,BU150,$AQ$7:$AQ$1576,AQ150,$BO$7:$BO$1576,"&lt;="&amp;BO150),"")</f>
        <v>22.7303404931777</v>
      </c>
      <c r="AS150" s="65" t="n">
        <f aca="false">IF(AR150="",0,MAX(0,MIN(1,(IF(BU150="L1",Parameter!$E$5,Parameter!$E$6+Parameter!$E$7)-(AR150-AN150))/AN150)))</f>
        <v>1</v>
      </c>
      <c r="AT150" s="57" t="n">
        <f aca="false">IF(LEFT(Cockpit!$O$5,1)="A",G150,IF(BW150=1,BX150,IF(LEFT(Cockpit!$O$5,1)="B",AX150,MAX(AX150,G150))))</f>
        <v>340</v>
      </c>
      <c r="AU150" s="57" t="n">
        <f aca="false">IF(BR150=1,0,ROUNDUP(AT150/BQ150,0))</f>
        <v>5</v>
      </c>
      <c r="AV150" s="59" t="n">
        <f aca="false">IF(CD150&gt;0,CD150*MAX(1,AT150/V150),IF(BR150=1,IF(AT150&lt;=0,0,BS150*MAX(1,IF(G150&gt;0,AT150/G150,1))),IF(Q150&gt;0,AU150/Q150,0))/MAX(0.1,N(Parameter!$M$21)))</f>
        <v>0.192307692307692</v>
      </c>
      <c r="AW150" s="57" t="n">
        <f aca="false">AT150*F150</f>
        <v>1373.6</v>
      </c>
      <c r="AX150" s="57" t="n">
        <f aca="false">ROUNDUP(MAX(I150/IF(BV150&gt;0,BV150,MAX(0.1,N(Cockpit!$O$6))),BY150)/BQ150,0)*BQ150</f>
        <v>213</v>
      </c>
      <c r="AY150" s="58" t="n">
        <f aca="false">IF(AV150&gt;0,I150/AV150,-1)</f>
        <v>1034.8</v>
      </c>
      <c r="AZ150" s="58" t="n">
        <f aca="false">IF(AND(OR(BU150="L1",BU150="L23"),AV150&gt;0),SUMIFS($AV$7:$AV$1576,$BU$7:$BU$1576,BU150,$AY$7:$AY$1576,"&gt;"&amp;AY150)+SUMIFS($AV$7:$AV$1576,$BU$7:$BU$1576,BU150,$AY$7:$AY$1576,AY150,$BO$7:$BO$1576,"&lt;="&amp;BO150),"")</f>
        <v>22.0409465537838</v>
      </c>
      <c r="BA150" s="65" t="n">
        <f aca="false">IF(AZ150="",0,MAX(0,MIN(1,(IF(BU150="L1",Parameter!$E$5,Parameter!$E$6+Parameter!$E$7)-(AZ150-AV150))/AV150)))</f>
        <v>1</v>
      </c>
      <c r="BB150" s="55" t="str">
        <f aca="false">IF(AF150&lt;=0,"",IF(BU150="Aussen","Aussenlager",IF(BU150="-","Nicht im Lift",IF(AK150&gt;=1,"Lift",IF(AK150&lt;=0,"Aussenlager","teilweise")))))</f>
        <v>Lift</v>
      </c>
      <c r="BC150" s="55" t="str">
        <f aca="false">IF(AN150&lt;=0,"",IF(BU150="Aussen","Aussenlager",IF(BU150="-","Nicht im Lift",IF(AS150&gt;=1,"Lift",IF(AS150&lt;=0,"Aussenlager","teilweise")))))</f>
        <v>Lift</v>
      </c>
      <c r="BD150" s="55" t="str">
        <f aca="false">IF(AV150&lt;=0,"",IF(BU150="Aussen","Aussenlager",IF(BU150="-","Nicht im Lift",IF(BA150&gt;=1,"Lift",IF(BA150&lt;=0,"Aussenlager","teilweise")))))</f>
        <v>Lift</v>
      </c>
      <c r="BE150" s="55" t="str">
        <f aca="false">IF(A150="","",IF(BN150=1,"Neu; ","")&amp;IF(AND(BN150=0,BI150&lt;0),"negativer Bestand (Export "&amp;BI150&amp;"); ","")&amp;IF(I150&lt;=0,"Kein Verbrauch; ","")&amp;IF(CD150&gt;0,"Lift "&amp;U150&amp;" lt. Liftbericht (Fach "&amp;V150&amp;" Stk); ",IF(BR150=1,"Lose – Fläche geschätzt; ",""))&amp;IF(G150&gt;AP150,"Überbestand "&amp;ROUND(G150-AP150,0)&amp;" Stk / CHF "&amp;ROUND((G150-AP150)*F150,0)&amp;"; ","")&amp;IF(AND(BW150=1,BX150&lt;BY150),"MAX &lt; MB+LG; ","")&amp;IF(AND(CC150&gt;0,CB150*10&gt;CC150),"zu hoch für Tablar; ","")&amp;IF(AND(BN150=0,OR(BW150=1,Y150&lt;&gt;"",S150&lt;&gt;"",T150&lt;&gt;"",Z150&lt;&gt;"")),"manuell übersteuert; ","")&amp;IF(AND(BR150=0,Q150=0),"Gebinde unbekannt / Stellmass fehlt; ","")&amp;IF(AND(BR150=0,N(T150)&lt;=0,N(P150)&lt;=0),"Menge pro Gebinde fehlt (Ist = 1 Gebinde); ","")&amp;BM150)</f>
        <v>Überbestand 127 Stk / CHF 513; </v>
      </c>
      <c r="BF150" s="55"/>
      <c r="BG150" s="55"/>
      <c r="BH150" s="62"/>
      <c r="BI150" s="57" t="n">
        <v>340</v>
      </c>
      <c r="BJ150" s="57" t="n">
        <v>57</v>
      </c>
      <c r="BK150" s="56" t="n">
        <v>1338.26</v>
      </c>
      <c r="BL150" s="57" t="n">
        <v>199</v>
      </c>
      <c r="BM150" s="55"/>
      <c r="BN150" s="60" t="n">
        <v>0</v>
      </c>
      <c r="BO150" s="60" t="n">
        <v>150</v>
      </c>
      <c r="BP150" s="55" t="str">
        <f aca="false">IF(S150&lt;&gt;"",UPPER(TRIM(S150)),IF(O150="","LOSE",O150))</f>
        <v>S51</v>
      </c>
      <c r="BQ150" s="57" t="n">
        <f aca="false">IF(BP150="LOSE",1,IF(N(T150)&gt;0,T150,IF(N(P150)&gt;0,P150,MAX(1,G150))))</f>
        <v>71</v>
      </c>
      <c r="BR150" s="60" t="n">
        <f aca="false">IF(BP150="LOSE",1,0)</f>
        <v>0</v>
      </c>
      <c r="BS150" s="59" t="n">
        <f aca="false">IF(BR150=0,0,IF(N(R150)&gt;0,R150,IFERROR(VLOOKUP(D150,Parameter!$A$35:$C$64,3,0)+0,0)))</f>
        <v>0</v>
      </c>
      <c r="BT150" s="55" t="n">
        <f aca="false">IF(Y150&lt;&gt;"",Y150,X150)</f>
        <v>3</v>
      </c>
      <c r="BU150" s="55" t="str">
        <f aca="false">IF(BT150=1,"L1",IF(OR(BT150=2,BT150=3),"L23",IF(BT150="Aussen","Aussen","-")))</f>
        <v>L23</v>
      </c>
      <c r="BV150" s="66" t="n">
        <f aca="false">IF(N(Z150)&gt;0,Z150,0)</f>
        <v>0</v>
      </c>
      <c r="BW150" s="60" t="n">
        <f aca="false">IF(ISNUMBER(AC150),1,0)</f>
        <v>0</v>
      </c>
      <c r="BX150" s="57" t="n">
        <f aca="false">N(AC150)</f>
        <v>0</v>
      </c>
      <c r="BY150" s="57" t="n">
        <f aca="false">N(L150)+N(M150)</f>
        <v>211</v>
      </c>
      <c r="BZ150" s="57" t="n">
        <f aca="false">ROUNDUP(G150/BQ150,0)</f>
        <v>5</v>
      </c>
      <c r="CA150" s="57" t="n">
        <f aca="false">ROUNDUP(BX150/BQ150,0)</f>
        <v>0</v>
      </c>
      <c r="CB150" s="60" t="n">
        <f aca="false">IF(BR150=1,0,IFERROR(VLOOKUP(BP150,'Gebinde-Kategorie'!$A$5:$M$45,5,0)+0,0))</f>
        <v>11</v>
      </c>
      <c r="CC150" s="60" t="n">
        <f aca="false">IFERROR(IF(OR(BT150=1,BT150=2,BT150=3),N(INDEX(Parameter!$I$5:$I$7,BT150)),0),0)</f>
        <v>0</v>
      </c>
      <c r="CD150" s="59" t="n">
        <f aca="false">IF(AND(Parameter!$B$21="Ja",ISNUMBER(U150),N(V150)&gt;0),IFERROR(N(INDEX(Parameter!$L$5:$L$7,U150))*INDEX(Parameter!$E$5:$E$7,U150)*V150/SUMIFS($V$7:$V$1576,$U$7:$U$1576,U150),0),0)</f>
        <v>0</v>
      </c>
    </row>
    <row r="151" customFormat="false" ht="15" hidden="false" customHeight="false" outlineLevel="0" collapsed="false">
      <c r="A151" s="55" t="s">
        <v>497</v>
      </c>
      <c r="B151" s="55" t="s">
        <v>498</v>
      </c>
      <c r="C151" s="55" t="s">
        <v>160</v>
      </c>
      <c r="D151" s="55" t="s">
        <v>168</v>
      </c>
      <c r="E151" s="55" t="s">
        <v>210</v>
      </c>
      <c r="F151" s="56" t="n">
        <v>444.6</v>
      </c>
      <c r="G151" s="57" t="n">
        <f aca="false">MAX(0,IF(AND(Parameter!$B$21="Ja",ISNUMBER(W151)),W151,IF(Parameter!$B$20="Jahresanfang 2025 + Export",BJ151+BI151,BI151)))</f>
        <v>3</v>
      </c>
      <c r="H151" s="57" t="n">
        <f aca="false">G151*F151</f>
        <v>1333.8</v>
      </c>
      <c r="I151" s="57" t="n">
        <f aca="false">BL151*Parameter!$B$18</f>
        <v>3</v>
      </c>
      <c r="J151" s="58" t="n">
        <v>0</v>
      </c>
      <c r="K151" s="59" t="n">
        <v>0</v>
      </c>
      <c r="L151" s="57" t="n">
        <v>0</v>
      </c>
      <c r="M151" s="57" t="n">
        <v>5</v>
      </c>
      <c r="N151" s="60" t="n">
        <v>28</v>
      </c>
      <c r="O151" s="55" t="s">
        <v>163</v>
      </c>
      <c r="P151" s="57"/>
      <c r="Q151" s="60" t="n">
        <f aca="false">IF(BR151=1,0,IFERROR(VLOOKUP(BP151,'Gebinde-Kategorie'!$A$5:$M$45,13,0)+0,0))</f>
        <v>0</v>
      </c>
      <c r="R151" s="61"/>
      <c r="S151" s="62"/>
      <c r="T151" s="62"/>
      <c r="U151" s="55"/>
      <c r="V151" s="57"/>
      <c r="W151" s="57"/>
      <c r="X151" s="55" t="n">
        <f aca="false">IF(A151="","",IF(AND(Parameter!$B$21="Ja",ISNUMBER(U151)),U151,IF(IFERROR(VLOOKUP(D151,Parameter!$A$35:$C$64,2,0),"Nein")="2+3",IF(ISNUMBER(SEARCH("grosser Artikel",BM151)),2,IFERROR(VLOOKUP(BP151,Parameter!$F$35:$G$64,2,0),2)),IF(OR(IFERROR(VLOOKUP(D151,Parameter!$A$35:$C$64,2,0),"Nein")="Nein",IFERROR(VLOOKUP(D151,Parameter!$A$35:$C$64,2,0),"Nein")=""),"-",VLOOKUP(D151,Parameter!$A$35:$C$64,2,0)))))</f>
        <v>2</v>
      </c>
      <c r="Y151" s="62"/>
      <c r="Z151" s="63"/>
      <c r="AA151" s="57" t="n">
        <f aca="false">AP151</f>
        <v>5</v>
      </c>
      <c r="AB151" s="57" t="n">
        <f aca="false">MAX(AP151,G151)</f>
        <v>5</v>
      </c>
      <c r="AC151" s="64"/>
      <c r="AD151" s="57" t="n">
        <f aca="false">IF(LEFT(Cockpit!$C$5,1)="A",G151,IF(BW151=1,BX151,IF(LEFT(Cockpit!$C$5,1)="B",AH151,MAX(AH151,G151))))</f>
        <v>3</v>
      </c>
      <c r="AE151" s="57" t="n">
        <f aca="false">IF(BR151=1,0,ROUNDUP(AD151/BQ151,0))</f>
        <v>0</v>
      </c>
      <c r="AF151" s="59" t="n">
        <f aca="false">IF(CD151&gt;0,CD151*MAX(1,AD151/V151),IF(BR151=1,IF(AD151&lt;=0,0,BS151*MAX(1,IF(G151&gt;0,AD151/G151,1))),IF(Q151&gt;0,AE151/Q151,0))/MAX(0.1,N(Parameter!$M$21)))</f>
        <v>0.15</v>
      </c>
      <c r="AG151" s="57" t="n">
        <f aca="false">AD151*F151</f>
        <v>1333.8</v>
      </c>
      <c r="AH151" s="57" t="n">
        <f aca="false">ROUNDUP(MAX(I151/IF(BV151&gt;0,BV151,MAX(0.1,N(Cockpit!$C$6))),BY151)/BQ151,0)*BQ151</f>
        <v>5</v>
      </c>
      <c r="AI151" s="58" t="n">
        <f aca="false">IF(AF151&gt;0,I151/AF151,-1)</f>
        <v>20</v>
      </c>
      <c r="AJ151" s="58" t="n">
        <f aca="false">IF(AND(OR(BU151="L1",BU151="L23"),AF151&gt;0),SUMIFS($AF$7:$AF$1576,$BU$7:$BU$1576,BU151,$AI$7:$AI$1576,"&gt;"&amp;AI151)+SUMIFS($AF$7:$AF$1576,$BU$7:$BU$1576,BU151,$AI$7:$AI$1576,AI151,$BO$7:$BO$1576,"&lt;="&amp;BO151),"")</f>
        <v>29.1492483362049</v>
      </c>
      <c r="AK151" s="65" t="n">
        <f aca="false">IF(AJ151="",0,MAX(0,MIN(1,(IF(BU151="L1",Parameter!$E$5,Parameter!$E$6+Parameter!$E$7)-(AJ151-AF151))/AF151)))</f>
        <v>1</v>
      </c>
      <c r="AL151" s="57" t="n">
        <f aca="false">IF(LEFT(Cockpit!$I$5,1)="A",G151,IF(BW151=1,BX151,IF(LEFT(Cockpit!$I$5,1)="B",AP151,MAX(AP151,G151))))</f>
        <v>5</v>
      </c>
      <c r="AM151" s="57" t="n">
        <f aca="false">IF(BR151=1,0,ROUNDUP(AL151/BQ151,0))</f>
        <v>0</v>
      </c>
      <c r="AN151" s="59" t="n">
        <f aca="false">IF(CD151&gt;0,CD151*MAX(1,AL151/V151),IF(BR151=1,IF(AL151&lt;=0,0,BS151*MAX(1,IF(G151&gt;0,AL151/G151,1))),IF(Q151&gt;0,AM151/Q151,0))/MAX(0.1,N(Parameter!$M$21)))</f>
        <v>0.25</v>
      </c>
      <c r="AO151" s="57" t="n">
        <f aca="false">AL151*F151</f>
        <v>2223</v>
      </c>
      <c r="AP151" s="57" t="n">
        <f aca="false">ROUNDUP(MAX(I151/IF(BV151&gt;0,BV151,MAX(0.1,N(Cockpit!$I$6))),BY151)/BQ151,0)*BQ151</f>
        <v>5</v>
      </c>
      <c r="AQ151" s="58" t="n">
        <f aca="false">IF(AN151&gt;0,I151/AN151,-1)</f>
        <v>12</v>
      </c>
      <c r="AR151" s="58" t="n">
        <f aca="false">IF(AND(OR(BU151="L1",BU151="L23"),AN151&gt;0),SUMIFS($AN$7:$AN$1576,$BU$7:$BU$1576,BU151,$AQ$7:$AQ$1576,"&gt;"&amp;AQ151)+SUMIFS($AN$7:$AN$1576,$BU$7:$BU$1576,BU151,$AQ$7:$AQ$1576,AQ151,$BO$7:$BO$1576,"&lt;="&amp;BO151),"")</f>
        <v>107.270639716901</v>
      </c>
      <c r="AS151" s="65" t="n">
        <f aca="false">IF(AR151="",0,MAX(0,MIN(1,(IF(BU151="L1",Parameter!$E$5,Parameter!$E$6+Parameter!$E$7)-(AR151-AN151))/AN151)))</f>
        <v>0</v>
      </c>
      <c r="AT151" s="57" t="n">
        <f aca="false">IF(LEFT(Cockpit!$O$5,1)="A",G151,IF(BW151=1,BX151,IF(LEFT(Cockpit!$O$5,1)="B",AX151,MAX(AX151,G151))))</f>
        <v>5</v>
      </c>
      <c r="AU151" s="57" t="n">
        <f aca="false">IF(BR151=1,0,ROUNDUP(AT151/BQ151,0))</f>
        <v>0</v>
      </c>
      <c r="AV151" s="59" t="n">
        <f aca="false">IF(CD151&gt;0,CD151*MAX(1,AT151/V151),IF(BR151=1,IF(AT151&lt;=0,0,BS151*MAX(1,IF(G151&gt;0,AT151/G151,1))),IF(Q151&gt;0,AU151/Q151,0))/MAX(0.1,N(Parameter!$M$21)))</f>
        <v>0.25</v>
      </c>
      <c r="AW151" s="57" t="n">
        <f aca="false">AT151*F151</f>
        <v>2223</v>
      </c>
      <c r="AX151" s="57" t="n">
        <f aca="false">ROUNDUP(MAX(I151/IF(BV151&gt;0,BV151,MAX(0.1,N(Cockpit!$O$6))),BY151)/BQ151,0)*BQ151</f>
        <v>5</v>
      </c>
      <c r="AY151" s="58" t="n">
        <f aca="false">IF(AV151&gt;0,I151/AV151,-1)</f>
        <v>12</v>
      </c>
      <c r="AZ151" s="58" t="n">
        <f aca="false">IF(AND(OR(BU151="L1",BU151="L23"),AV151&gt;0),SUMIFS($AV$7:$AV$1576,$BU$7:$BU$1576,BU151,$AY$7:$AY$1576,"&gt;"&amp;AY151)+SUMIFS($AV$7:$AV$1576,$BU$7:$BU$1576,BU151,$AY$7:$AY$1576,AY151,$BO$7:$BO$1576,"&lt;="&amp;BO151),"")</f>
        <v>97.3301901664513</v>
      </c>
      <c r="BA151" s="65" t="n">
        <f aca="false">IF(AZ151="",0,MAX(0,MIN(1,(IF(BU151="L1",Parameter!$E$5,Parameter!$E$6+Parameter!$E$7)-(AZ151-AV151))/AV151)))</f>
        <v>1</v>
      </c>
      <c r="BB151" s="55" t="str">
        <f aca="false">IF(AF151&lt;=0,"",IF(BU151="Aussen","Aussenlager",IF(BU151="-","Nicht im Lift",IF(AK151&gt;=1,"Lift",IF(AK151&lt;=0,"Aussenlager","teilweise")))))</f>
        <v>Lift</v>
      </c>
      <c r="BC151" s="55" t="str">
        <f aca="false">IF(AN151&lt;=0,"",IF(BU151="Aussen","Aussenlager",IF(BU151="-","Nicht im Lift",IF(AS151&gt;=1,"Lift",IF(AS151&lt;=0,"Aussenlager","teilweise")))))</f>
        <v>Aussenlager</v>
      </c>
      <c r="BD151" s="55" t="str">
        <f aca="false">IF(AV151&lt;=0,"",IF(BU151="Aussen","Aussenlager",IF(BU151="-","Nicht im Lift",IF(BA151&gt;=1,"Lift",IF(BA151&lt;=0,"Aussenlager","teilweise")))))</f>
        <v>Lift</v>
      </c>
      <c r="BE151" s="55" t="str">
        <f aca="false">IF(A151="","",IF(BN151=1,"Neu; ","")&amp;IF(AND(BN151=0,BI151&lt;0),"negativer Bestand (Export "&amp;BI151&amp;"); ","")&amp;IF(I151&lt;=0,"Kein Verbrauch; ","")&amp;IF(CD151&gt;0,"Lift "&amp;U151&amp;" lt. Liftbericht (Fach "&amp;V151&amp;" Stk); ",IF(BR151=1,"Lose – Fläche geschätzt; ",""))&amp;IF(G151&gt;AP151,"Überbestand "&amp;ROUND(G151-AP151,0)&amp;" Stk / CHF "&amp;ROUND((G151-AP151)*F151,0)&amp;"; ","")&amp;IF(AND(BW151=1,BX151&lt;BY151),"MAX &lt; MB+LG; ","")&amp;IF(AND(CC151&gt;0,CB151*10&gt;CC151),"zu hoch für Tablar; ","")&amp;IF(AND(BN151=0,OR(BW151=1,Y151&lt;&gt;"",S151&lt;&gt;"",T151&lt;&gt;"",Z151&lt;&gt;"")),"manuell übersteuert; ","")&amp;IF(AND(BR151=0,Q151=0),"Gebinde unbekannt / Stellmass fehlt; ","")&amp;IF(AND(BR151=0,N(T151)&lt;=0,N(P151)&lt;=0),"Menge pro Gebinde fehlt (Ist = 1 Gebinde); ","")&amp;BM151)</f>
        <v>Lose – Fläche geschätzt; </v>
      </c>
      <c r="BF151" s="55"/>
      <c r="BG151" s="55"/>
      <c r="BH151" s="62"/>
      <c r="BI151" s="57" t="n">
        <v>3</v>
      </c>
      <c r="BJ151" s="57" t="n">
        <v>0</v>
      </c>
      <c r="BK151" s="56" t="n">
        <v>1333.8</v>
      </c>
      <c r="BL151" s="57" t="n">
        <v>3</v>
      </c>
      <c r="BM151" s="55"/>
      <c r="BN151" s="60" t="n">
        <v>0</v>
      </c>
      <c r="BO151" s="60" t="n">
        <v>151</v>
      </c>
      <c r="BP151" s="55" t="str">
        <f aca="false">IF(S151&lt;&gt;"",UPPER(TRIM(S151)),IF(O151="","LOSE",O151))</f>
        <v>LOSE</v>
      </c>
      <c r="BQ151" s="57" t="n">
        <f aca="false">IF(BP151="LOSE",1,IF(N(T151)&gt;0,T151,IF(N(P151)&gt;0,P151,MAX(1,G151))))</f>
        <v>1</v>
      </c>
      <c r="BR151" s="60" t="n">
        <f aca="false">IF(BP151="LOSE",1,0)</f>
        <v>1</v>
      </c>
      <c r="BS151" s="59" t="n">
        <f aca="false">IF(BR151=0,0,IF(N(R151)&gt;0,R151,IFERROR(VLOOKUP(D151,Parameter!$A$35:$C$64,3,0)+0,0)))</f>
        <v>0.15</v>
      </c>
      <c r="BT151" s="55" t="n">
        <f aca="false">IF(Y151&lt;&gt;"",Y151,X151)</f>
        <v>2</v>
      </c>
      <c r="BU151" s="55" t="str">
        <f aca="false">IF(BT151=1,"L1",IF(OR(BT151=2,BT151=3),"L23",IF(BT151="Aussen","Aussen","-")))</f>
        <v>L23</v>
      </c>
      <c r="BV151" s="66" t="n">
        <f aca="false">IF(N(Z151)&gt;0,Z151,0)</f>
        <v>0</v>
      </c>
      <c r="BW151" s="60" t="n">
        <f aca="false">IF(ISNUMBER(AC151),1,0)</f>
        <v>0</v>
      </c>
      <c r="BX151" s="57" t="n">
        <f aca="false">N(AC151)</f>
        <v>0</v>
      </c>
      <c r="BY151" s="57" t="n">
        <f aca="false">N(L151)+N(M151)</f>
        <v>5</v>
      </c>
      <c r="BZ151" s="57" t="n">
        <f aca="false">ROUNDUP(G151/BQ151,0)</f>
        <v>3</v>
      </c>
      <c r="CA151" s="57" t="n">
        <f aca="false">ROUNDUP(BX151/BQ151,0)</f>
        <v>0</v>
      </c>
      <c r="CB151" s="60" t="n">
        <f aca="false">IF(BR151=1,0,IFERROR(VLOOKUP(BP151,'Gebinde-Kategorie'!$A$5:$M$45,5,0)+0,0))</f>
        <v>0</v>
      </c>
      <c r="CC151" s="60" t="n">
        <f aca="false">IFERROR(IF(OR(BT151=1,BT151=2,BT151=3),N(INDEX(Parameter!$I$5:$I$7,BT151)),0),0)</f>
        <v>0</v>
      </c>
      <c r="CD151" s="59" t="n">
        <f aca="false">IF(AND(Parameter!$B$21="Ja",ISNUMBER(U151),N(V151)&gt;0),IFERROR(N(INDEX(Parameter!$L$5:$L$7,U151))*INDEX(Parameter!$E$5:$E$7,U151)*V151/SUMIFS($V$7:$V$1576,$U$7:$U$1576,U151),0),0)</f>
        <v>0</v>
      </c>
    </row>
    <row r="152" customFormat="false" ht="15" hidden="false" customHeight="false" outlineLevel="0" collapsed="false">
      <c r="A152" s="55" t="s">
        <v>499</v>
      </c>
      <c r="B152" s="55" t="s">
        <v>500</v>
      </c>
      <c r="C152" s="55" t="s">
        <v>160</v>
      </c>
      <c r="D152" s="55" t="s">
        <v>178</v>
      </c>
      <c r="E152" s="55" t="s">
        <v>210</v>
      </c>
      <c r="F152" s="56" t="n">
        <v>32.83</v>
      </c>
      <c r="G152" s="57" t="n">
        <f aca="false">MAX(0,IF(AND(Parameter!$B$21="Ja",ISNUMBER(W152)),W152,IF(Parameter!$B$20="Jahresanfang 2025 + Export",BJ152+BI152,BI152)))</f>
        <v>40</v>
      </c>
      <c r="H152" s="57" t="n">
        <f aca="false">G152*F152</f>
        <v>1313.2</v>
      </c>
      <c r="I152" s="57" t="n">
        <f aca="false">BL152*Parameter!$B$18</f>
        <v>0</v>
      </c>
      <c r="J152" s="58" t="n">
        <v>2</v>
      </c>
      <c r="K152" s="59" t="n">
        <v>0</v>
      </c>
      <c r="L152" s="57" t="n">
        <v>0</v>
      </c>
      <c r="M152" s="57" t="n">
        <v>1</v>
      </c>
      <c r="N152" s="60" t="n">
        <v>28</v>
      </c>
      <c r="O152" s="55" t="s">
        <v>293</v>
      </c>
      <c r="P152" s="57" t="n">
        <v>50</v>
      </c>
      <c r="Q152" s="60" t="n">
        <f aca="false">IF(BR152=1,0,IFERROR(VLOOKUP(BP152,'Gebinde-Kategorie'!$A$5:$M$45,13,0)+0,0))</f>
        <v>26</v>
      </c>
      <c r="R152" s="61"/>
      <c r="S152" s="62"/>
      <c r="T152" s="62"/>
      <c r="U152" s="55"/>
      <c r="V152" s="57"/>
      <c r="W152" s="57"/>
      <c r="X152" s="55" t="n">
        <f aca="false">IF(A152="","",IF(AND(Parameter!$B$21="Ja",ISNUMBER(U152)),U152,IF(IFERROR(VLOOKUP(D152,Parameter!$A$35:$C$64,2,0),"Nein")="2+3",IF(ISNUMBER(SEARCH("grosser Artikel",BM152)),2,IFERROR(VLOOKUP(BP152,Parameter!$F$35:$G$64,2,0),2)),IF(OR(IFERROR(VLOOKUP(D152,Parameter!$A$35:$C$64,2,0),"Nein")="Nein",IFERROR(VLOOKUP(D152,Parameter!$A$35:$C$64,2,0),"Nein")=""),"-",VLOOKUP(D152,Parameter!$A$35:$C$64,2,0)))))</f>
        <v>3</v>
      </c>
      <c r="Y152" s="62"/>
      <c r="Z152" s="63"/>
      <c r="AA152" s="57" t="n">
        <f aca="false">AP152</f>
        <v>50</v>
      </c>
      <c r="AB152" s="57" t="n">
        <f aca="false">MAX(AP152,G152)</f>
        <v>50</v>
      </c>
      <c r="AC152" s="64"/>
      <c r="AD152" s="57" t="n">
        <f aca="false">IF(LEFT(Cockpit!$C$5,1)="A",G152,IF(BW152=1,BX152,IF(LEFT(Cockpit!$C$5,1)="B",AH152,MAX(AH152,G152))))</f>
        <v>40</v>
      </c>
      <c r="AE152" s="57" t="n">
        <f aca="false">IF(BR152=1,0,ROUNDUP(AD152/BQ152,0))</f>
        <v>1</v>
      </c>
      <c r="AF152" s="59" t="n">
        <f aca="false">IF(CD152&gt;0,CD152*MAX(1,AD152/V152),IF(BR152=1,IF(AD152&lt;=0,0,BS152*MAX(1,IF(G152&gt;0,AD152/G152,1))),IF(Q152&gt;0,AE152/Q152,0))/MAX(0.1,N(Parameter!$M$21)))</f>
        <v>0.0384615384615385</v>
      </c>
      <c r="AG152" s="57" t="n">
        <f aca="false">AD152*F152</f>
        <v>1313.2</v>
      </c>
      <c r="AH152" s="57" t="n">
        <f aca="false">ROUNDUP(MAX(I152/IF(BV152&gt;0,BV152,MAX(0.1,N(Cockpit!$C$6))),BY152)/BQ152,0)*BQ152</f>
        <v>50</v>
      </c>
      <c r="AI152" s="58" t="n">
        <f aca="false">IF(AF152&gt;0,I152/AF152,-1)</f>
        <v>0</v>
      </c>
      <c r="AJ152" s="58" t="n">
        <f aca="false">IF(AND(OR(BU152="L1",BU152="L23"),AF152&gt;0),SUMIFS($AF$7:$AF$1576,$BU$7:$BU$1576,BU152,$AI$7:$AI$1576,"&gt;"&amp;AI152)+SUMIFS($AF$7:$AF$1576,$BU$7:$BU$1576,BU152,$AI$7:$AI$1576,AI152,$BO$7:$BO$1576,"&lt;="&amp;BO152),"")</f>
        <v>38.7769406438972</v>
      </c>
      <c r="AK152" s="65" t="n">
        <f aca="false">IF(AJ152="",0,MAX(0,MIN(1,(IF(BU152="L1",Parameter!$E$5,Parameter!$E$6+Parameter!$E$7)-(AJ152-AF152))/AF152)))</f>
        <v>1</v>
      </c>
      <c r="AL152" s="57" t="n">
        <f aca="false">IF(LEFT(Cockpit!$I$5,1)="A",G152,IF(BW152=1,BX152,IF(LEFT(Cockpit!$I$5,1)="B",AP152,MAX(AP152,G152))))</f>
        <v>50</v>
      </c>
      <c r="AM152" s="57" t="n">
        <f aca="false">IF(BR152=1,0,ROUNDUP(AL152/BQ152,0))</f>
        <v>1</v>
      </c>
      <c r="AN152" s="59" t="n">
        <f aca="false">IF(CD152&gt;0,CD152*MAX(1,AL152/V152),IF(BR152=1,IF(AL152&lt;=0,0,BS152*MAX(1,IF(G152&gt;0,AL152/G152,1))),IF(Q152&gt;0,AM152/Q152,0))/MAX(0.1,N(Parameter!$M$21)))</f>
        <v>0.0384615384615385</v>
      </c>
      <c r="AO152" s="57" t="n">
        <f aca="false">AL152*F152</f>
        <v>1641.5</v>
      </c>
      <c r="AP152" s="57" t="n">
        <f aca="false">ROUNDUP(MAX(I152/IF(BV152&gt;0,BV152,MAX(0.1,N(Cockpit!$I$6))),BY152)/BQ152,0)*BQ152</f>
        <v>50</v>
      </c>
      <c r="AQ152" s="58" t="n">
        <f aca="false">IF(AN152&gt;0,I152/AN152,-1)</f>
        <v>0</v>
      </c>
      <c r="AR152" s="58" t="n">
        <f aca="false">IF(AND(OR(BU152="L1",BU152="L23"),AN152&gt;0),SUMIFS($AN$7:$AN$1576,$BU$7:$BU$1576,BU152,$AQ$7:$AQ$1576,"&gt;"&amp;AQ152)+SUMIFS($AN$7:$AN$1576,$BU$7:$BU$1576,BU152,$AQ$7:$AQ$1576,AQ152,$BO$7:$BO$1576,"&lt;="&amp;BO152),"")</f>
        <v>121.651146393687</v>
      </c>
      <c r="AS152" s="65" t="n">
        <f aca="false">IF(AR152="",0,MAX(0,MIN(1,(IF(BU152="L1",Parameter!$E$5,Parameter!$E$6+Parameter!$E$7)-(AR152-AN152))/AN152)))</f>
        <v>0</v>
      </c>
      <c r="AT152" s="57" t="n">
        <f aca="false">IF(LEFT(Cockpit!$O$5,1)="A",G152,IF(BW152=1,BX152,IF(LEFT(Cockpit!$O$5,1)="B",AX152,MAX(AX152,G152))))</f>
        <v>50</v>
      </c>
      <c r="AU152" s="57" t="n">
        <f aca="false">IF(BR152=1,0,ROUNDUP(AT152/BQ152,0))</f>
        <v>1</v>
      </c>
      <c r="AV152" s="59" t="n">
        <f aca="false">IF(CD152&gt;0,CD152*MAX(1,AT152/V152),IF(BR152=1,IF(AT152&lt;=0,0,BS152*MAX(1,IF(G152&gt;0,AT152/G152,1))),IF(Q152&gt;0,AU152/Q152,0))/MAX(0.1,N(Parameter!$M$21)))</f>
        <v>0.0384615384615385</v>
      </c>
      <c r="AW152" s="57" t="n">
        <f aca="false">AT152*F152</f>
        <v>1641.5</v>
      </c>
      <c r="AX152" s="57" t="n">
        <f aca="false">ROUNDUP(MAX(I152/IF(BV152&gt;0,BV152,MAX(0.1,N(Cockpit!$O$6))),BY152)/BQ152,0)*BQ152</f>
        <v>50</v>
      </c>
      <c r="AY152" s="58" t="n">
        <f aca="false">IF(AV152&gt;0,I152/AV152,-1)</f>
        <v>0</v>
      </c>
      <c r="AZ152" s="58" t="n">
        <f aca="false">IF(AND(OR(BU152="L1",BU152="L23"),AV152&gt;0),SUMIFS($AV$7:$AV$1576,$BU$7:$BU$1576,BU152,$AY$7:$AY$1576,"&gt;"&amp;AY152)+SUMIFS($AV$7:$AV$1576,$BU$7:$BU$1576,BU152,$AY$7:$AY$1576,AY152,$BO$7:$BO$1576,"&lt;="&amp;BO152),"")</f>
        <v>111.710696843237</v>
      </c>
      <c r="BA152" s="65" t="n">
        <f aca="false">IF(AZ152="",0,MAX(0,MIN(1,(IF(BU152="L1",Parameter!$E$5,Parameter!$E$6+Parameter!$E$7)-(AZ152-AV152))/AV152)))</f>
        <v>0</v>
      </c>
      <c r="BB152" s="55" t="str">
        <f aca="false">IF(AF152&lt;=0,"",IF(BU152="Aussen","Aussenlager",IF(BU152="-","Nicht im Lift",IF(AK152&gt;=1,"Lift",IF(AK152&lt;=0,"Aussenlager","teilweise")))))</f>
        <v>Lift</v>
      </c>
      <c r="BC152" s="55" t="str">
        <f aca="false">IF(AN152&lt;=0,"",IF(BU152="Aussen","Aussenlager",IF(BU152="-","Nicht im Lift",IF(AS152&gt;=1,"Lift",IF(AS152&lt;=0,"Aussenlager","teilweise")))))</f>
        <v>Aussenlager</v>
      </c>
      <c r="BD152" s="55" t="str">
        <f aca="false">IF(AV152&lt;=0,"",IF(BU152="Aussen","Aussenlager",IF(BU152="-","Nicht im Lift",IF(BA152&gt;=1,"Lift",IF(BA152&lt;=0,"Aussenlager","teilweise")))))</f>
        <v>Aussenlager</v>
      </c>
      <c r="BE152" s="55" t="str">
        <f aca="false">IF(A152="","",IF(BN152=1,"Neu; ","")&amp;IF(AND(BN152=0,BI152&lt;0),"negativer Bestand (Export "&amp;BI152&amp;"); ","")&amp;IF(I152&lt;=0,"Kein Verbrauch; ","")&amp;IF(CD152&gt;0,"Lift "&amp;U152&amp;" lt. Liftbericht (Fach "&amp;V152&amp;" Stk); ",IF(BR152=1,"Lose – Fläche geschätzt; ",""))&amp;IF(G152&gt;AP152,"Überbestand "&amp;ROUND(G152-AP152,0)&amp;" Stk / CHF "&amp;ROUND((G152-AP152)*F152,0)&amp;"; ","")&amp;IF(AND(BW152=1,BX152&lt;BY152),"MAX &lt; MB+LG; ","")&amp;IF(AND(CC152&gt;0,CB152*10&gt;CC152),"zu hoch für Tablar; ","")&amp;IF(AND(BN152=0,OR(BW152=1,Y152&lt;&gt;"",S152&lt;&gt;"",T152&lt;&gt;"",Z152&lt;&gt;"")),"manuell übersteuert; ","")&amp;IF(AND(BR152=0,Q152=0),"Gebinde unbekannt / Stellmass fehlt; ","")&amp;IF(AND(BR152=0,N(T152)&lt;=0,N(P152)&lt;=0),"Menge pro Gebinde fehlt (Ist = 1 Gebinde); ","")&amp;BM152)</f>
        <v>Kein Verbrauch; Neuer Art.</v>
      </c>
      <c r="BF152" s="55"/>
      <c r="BG152" s="55"/>
      <c r="BH152" s="62"/>
      <c r="BI152" s="57" t="n">
        <v>40</v>
      </c>
      <c r="BJ152" s="57" t="n">
        <v>2</v>
      </c>
      <c r="BK152" s="56" t="n">
        <v>1322.06</v>
      </c>
      <c r="BL152" s="57" t="n">
        <v>0</v>
      </c>
      <c r="BM152" s="55" t="s">
        <v>501</v>
      </c>
      <c r="BN152" s="60" t="n">
        <v>0</v>
      </c>
      <c r="BO152" s="60" t="n">
        <v>152</v>
      </c>
      <c r="BP152" s="55" t="str">
        <f aca="false">IF(S152&lt;&gt;"",UPPER(TRIM(S152)),IF(O152="","LOSE",O152))</f>
        <v>S51</v>
      </c>
      <c r="BQ152" s="57" t="n">
        <f aca="false">IF(BP152="LOSE",1,IF(N(T152)&gt;0,T152,IF(N(P152)&gt;0,P152,MAX(1,G152))))</f>
        <v>50</v>
      </c>
      <c r="BR152" s="60" t="n">
        <f aca="false">IF(BP152="LOSE",1,0)</f>
        <v>0</v>
      </c>
      <c r="BS152" s="59" t="n">
        <f aca="false">IF(BR152=0,0,IF(N(R152)&gt;0,R152,IFERROR(VLOOKUP(D152,Parameter!$A$35:$C$64,3,0)+0,0)))</f>
        <v>0</v>
      </c>
      <c r="BT152" s="55" t="n">
        <f aca="false">IF(Y152&lt;&gt;"",Y152,X152)</f>
        <v>3</v>
      </c>
      <c r="BU152" s="55" t="str">
        <f aca="false">IF(BT152=1,"L1",IF(OR(BT152=2,BT152=3),"L23",IF(BT152="Aussen","Aussen","-")))</f>
        <v>L23</v>
      </c>
      <c r="BV152" s="66" t="n">
        <f aca="false">IF(N(Z152)&gt;0,Z152,0)</f>
        <v>0</v>
      </c>
      <c r="BW152" s="60" t="n">
        <f aca="false">IF(ISNUMBER(AC152),1,0)</f>
        <v>0</v>
      </c>
      <c r="BX152" s="57" t="n">
        <f aca="false">N(AC152)</f>
        <v>0</v>
      </c>
      <c r="BY152" s="57" t="n">
        <f aca="false">N(L152)+N(M152)</f>
        <v>1</v>
      </c>
      <c r="BZ152" s="57" t="n">
        <f aca="false">ROUNDUP(G152/BQ152,0)</f>
        <v>1</v>
      </c>
      <c r="CA152" s="57" t="n">
        <f aca="false">ROUNDUP(BX152/BQ152,0)</f>
        <v>0</v>
      </c>
      <c r="CB152" s="60" t="n">
        <f aca="false">IF(BR152=1,0,IFERROR(VLOOKUP(BP152,'Gebinde-Kategorie'!$A$5:$M$45,5,0)+0,0))</f>
        <v>11</v>
      </c>
      <c r="CC152" s="60" t="n">
        <f aca="false">IFERROR(IF(OR(BT152=1,BT152=2,BT152=3),N(INDEX(Parameter!$I$5:$I$7,BT152)),0),0)</f>
        <v>0</v>
      </c>
      <c r="CD152" s="59" t="n">
        <f aca="false">IF(AND(Parameter!$B$21="Ja",ISNUMBER(U152),N(V152)&gt;0),IFERROR(N(INDEX(Parameter!$L$5:$L$7,U152))*INDEX(Parameter!$E$5:$E$7,U152)*V152/SUMIFS($V$7:$V$1576,$U$7:$U$1576,U152),0),0)</f>
        <v>0</v>
      </c>
    </row>
    <row r="153" customFormat="false" ht="15" hidden="false" customHeight="false" outlineLevel="0" collapsed="false">
      <c r="A153" s="55" t="s">
        <v>502</v>
      </c>
      <c r="B153" s="55" t="s">
        <v>503</v>
      </c>
      <c r="C153" s="55" t="s">
        <v>160</v>
      </c>
      <c r="D153" s="55" t="s">
        <v>168</v>
      </c>
      <c r="E153" s="55" t="s">
        <v>210</v>
      </c>
      <c r="F153" s="56" t="n">
        <v>2753.47</v>
      </c>
      <c r="G153" s="57" t="n">
        <f aca="false">MAX(0,IF(AND(Parameter!$B$21="Ja",ISNUMBER(W153)),W153,IF(Parameter!$B$20="Jahresanfang 2025 + Export",BJ153+BI153,BI153)))</f>
        <v>2</v>
      </c>
      <c r="H153" s="57" t="n">
        <f aca="false">G153*F153</f>
        <v>5506.94</v>
      </c>
      <c r="I153" s="57" t="n">
        <f aca="false">BL153*Parameter!$B$18</f>
        <v>2</v>
      </c>
      <c r="J153" s="58" t="n">
        <v>2.5</v>
      </c>
      <c r="K153" s="59" t="n">
        <v>0.8</v>
      </c>
      <c r="L153" s="57" t="n">
        <v>1</v>
      </c>
      <c r="M153" s="57" t="n">
        <v>1</v>
      </c>
      <c r="N153" s="60" t="n">
        <v>56</v>
      </c>
      <c r="O153" s="55" t="s">
        <v>163</v>
      </c>
      <c r="P153" s="57"/>
      <c r="Q153" s="60" t="n">
        <f aca="false">IF(BR153=1,0,IFERROR(VLOOKUP(BP153,'Gebinde-Kategorie'!$A$5:$M$45,13,0)+0,0))</f>
        <v>0</v>
      </c>
      <c r="R153" s="61"/>
      <c r="S153" s="62"/>
      <c r="T153" s="62"/>
      <c r="U153" s="55" t="n">
        <v>1</v>
      </c>
      <c r="V153" s="57" t="n">
        <v>4</v>
      </c>
      <c r="W153" s="57" t="n">
        <v>2</v>
      </c>
      <c r="X153" s="55" t="n">
        <f aca="false">IF(A153="","",IF(AND(Parameter!$B$21="Ja",ISNUMBER(U153)),U153,IF(IFERROR(VLOOKUP(D153,Parameter!$A$35:$C$64,2,0),"Nein")="2+3",IF(ISNUMBER(SEARCH("grosser Artikel",BM153)),2,IFERROR(VLOOKUP(BP153,Parameter!$F$35:$G$64,2,0),2)),IF(OR(IFERROR(VLOOKUP(D153,Parameter!$A$35:$C$64,2,0),"Nein")="Nein",IFERROR(VLOOKUP(D153,Parameter!$A$35:$C$64,2,0),"Nein")=""),"-",VLOOKUP(D153,Parameter!$A$35:$C$64,2,0)))))</f>
        <v>1</v>
      </c>
      <c r="Y153" s="62"/>
      <c r="Z153" s="63"/>
      <c r="AA153" s="57" t="n">
        <f aca="false">AP153</f>
        <v>2</v>
      </c>
      <c r="AB153" s="57" t="n">
        <f aca="false">MAX(AP153,G153)</f>
        <v>2</v>
      </c>
      <c r="AC153" s="64"/>
      <c r="AD153" s="57" t="n">
        <f aca="false">IF(LEFT(Cockpit!$C$5,1)="A",G153,IF(BW153=1,BX153,IF(LEFT(Cockpit!$C$5,1)="B",AH153,MAX(AH153,G153))))</f>
        <v>2</v>
      </c>
      <c r="AE153" s="57" t="n">
        <f aca="false">IF(BR153=1,0,ROUNDUP(AD153/BQ153,0))</f>
        <v>0</v>
      </c>
      <c r="AF153" s="59" t="n">
        <f aca="false">IF(CD153&gt;0,CD153*MAX(1,AD153/V153),IF(BR153=1,IF(AD153&lt;=0,0,BS153*MAX(1,IF(G153&gt;0,AD153/G153,1))),IF(Q153&gt;0,AE153/Q153,0))/MAX(0.1,N(Parameter!$M$21)))</f>
        <v>0.32015065913371</v>
      </c>
      <c r="AG153" s="57" t="n">
        <f aca="false">AD153*F153</f>
        <v>5506.94</v>
      </c>
      <c r="AH153" s="57" t="n">
        <f aca="false">ROUNDUP(MAX(I153/IF(BV153&gt;0,BV153,MAX(0.1,N(Cockpit!$C$6))),BY153)/BQ153,0)*BQ153</f>
        <v>2</v>
      </c>
      <c r="AI153" s="58" t="n">
        <f aca="false">IF(AF153&gt;0,I153/AF153,-1)</f>
        <v>6.24705882352941</v>
      </c>
      <c r="AJ153" s="58" t="n">
        <f aca="false">IF(AND(OR(BU153="L1",BU153="L23"),AF153&gt;0),SUMIFS($AF$7:$AF$1576,$BU$7:$BU$1576,BU153,$AI$7:$AI$1576,"&gt;"&amp;AI153)+SUMIFS($AF$7:$AF$1576,$BU$7:$BU$1576,BU153,$AI$7:$AI$1576,AI153,$BO$7:$BO$1576,"&lt;="&amp;BO153),"")</f>
        <v>28.0131826741996</v>
      </c>
      <c r="AK153" s="65" t="n">
        <f aca="false">IF(AJ153="",0,MAX(0,MIN(1,(IF(BU153="L1",Parameter!$E$5,Parameter!$E$6+Parameter!$E$7)-(AJ153-AF153))/AF153)))</f>
        <v>1</v>
      </c>
      <c r="AL153" s="57" t="n">
        <f aca="false">IF(LEFT(Cockpit!$I$5,1)="A",G153,IF(BW153=1,BX153,IF(LEFT(Cockpit!$I$5,1)="B",AP153,MAX(AP153,G153))))</f>
        <v>2</v>
      </c>
      <c r="AM153" s="57" t="n">
        <f aca="false">IF(BR153=1,0,ROUNDUP(AL153/BQ153,0))</f>
        <v>0</v>
      </c>
      <c r="AN153" s="59" t="n">
        <f aca="false">IF(CD153&gt;0,CD153*MAX(1,AL153/V153),IF(BR153=1,IF(AL153&lt;=0,0,BS153*MAX(1,IF(G153&gt;0,AL153/G153,1))),IF(Q153&gt;0,AM153/Q153,0))/MAX(0.1,N(Parameter!$M$21)))</f>
        <v>0.32015065913371</v>
      </c>
      <c r="AO153" s="57" t="n">
        <f aca="false">AL153*F153</f>
        <v>5506.94</v>
      </c>
      <c r="AP153" s="57" t="n">
        <f aca="false">ROUNDUP(MAX(I153/IF(BV153&gt;0,BV153,MAX(0.1,N(Cockpit!$I$6))),BY153)/BQ153,0)*BQ153</f>
        <v>2</v>
      </c>
      <c r="AQ153" s="58" t="n">
        <f aca="false">IF(AN153&gt;0,I153/AN153,-1)</f>
        <v>6.24705882352941</v>
      </c>
      <c r="AR153" s="58" t="n">
        <f aca="false">IF(AND(OR(BU153="L1",BU153="L23"),AN153&gt;0),SUMIFS($AN$7:$AN$1576,$BU$7:$BU$1576,BU153,$AQ$7:$AQ$1576,"&gt;"&amp;AQ153)+SUMIFS($AN$7:$AN$1576,$BU$7:$BU$1576,BU153,$AQ$7:$AQ$1576,AQ153,$BO$7:$BO$1576,"&lt;="&amp;BO153),"")</f>
        <v>33.4557438794727</v>
      </c>
      <c r="AS153" s="65" t="n">
        <f aca="false">IF(AR153="",0,MAX(0,MIN(1,(IF(BU153="L1",Parameter!$E$5,Parameter!$E$6+Parameter!$E$7)-(AR153-AN153))/AN153)))</f>
        <v>1</v>
      </c>
      <c r="AT153" s="57" t="n">
        <f aca="false">IF(LEFT(Cockpit!$O$5,1)="A",G153,IF(BW153=1,BX153,IF(LEFT(Cockpit!$O$5,1)="B",AX153,MAX(AX153,G153))))</f>
        <v>2</v>
      </c>
      <c r="AU153" s="57" t="n">
        <f aca="false">IF(BR153=1,0,ROUNDUP(AT153/BQ153,0))</f>
        <v>0</v>
      </c>
      <c r="AV153" s="59" t="n">
        <f aca="false">IF(CD153&gt;0,CD153*MAX(1,AT153/V153),IF(BR153=1,IF(AT153&lt;=0,0,BS153*MAX(1,IF(G153&gt;0,AT153/G153,1))),IF(Q153&gt;0,AU153/Q153,0))/MAX(0.1,N(Parameter!$M$21)))</f>
        <v>0.32015065913371</v>
      </c>
      <c r="AW153" s="57" t="n">
        <f aca="false">AT153*F153</f>
        <v>5506.94</v>
      </c>
      <c r="AX153" s="57" t="n">
        <f aca="false">ROUNDUP(MAX(I153/IF(BV153&gt;0,BV153,MAX(0.1,N(Cockpit!$O$6))),BY153)/BQ153,0)*BQ153</f>
        <v>2</v>
      </c>
      <c r="AY153" s="58" t="n">
        <f aca="false">IF(AV153&gt;0,I153/AV153,-1)</f>
        <v>6.24705882352941</v>
      </c>
      <c r="AZ153" s="58" t="n">
        <f aca="false">IF(AND(OR(BU153="L1",BU153="L23"),AV153&gt;0),SUMIFS($AV$7:$AV$1576,$BU$7:$BU$1576,BU153,$AY$7:$AY$1576,"&gt;"&amp;AY153)+SUMIFS($AV$7:$AV$1576,$BU$7:$BU$1576,BU153,$AY$7:$AY$1576,AY153,$BO$7:$BO$1576,"&lt;="&amp;BO153),"")</f>
        <v>30.4943502824859</v>
      </c>
      <c r="BA153" s="65" t="n">
        <f aca="false">IF(AZ153="",0,MAX(0,MIN(1,(IF(BU153="L1",Parameter!$E$5,Parameter!$E$6+Parameter!$E$7)-(AZ153-AV153))/AV153)))</f>
        <v>1</v>
      </c>
      <c r="BB153" s="55" t="str">
        <f aca="false">IF(AF153&lt;=0,"",IF(BU153="Aussen","Aussenlager",IF(BU153="-","Nicht im Lift",IF(AK153&gt;=1,"Lift",IF(AK153&lt;=0,"Aussenlager","teilweise")))))</f>
        <v>Lift</v>
      </c>
      <c r="BC153" s="55" t="str">
        <f aca="false">IF(AN153&lt;=0,"",IF(BU153="Aussen","Aussenlager",IF(BU153="-","Nicht im Lift",IF(AS153&gt;=1,"Lift",IF(AS153&lt;=0,"Aussenlager","teilweise")))))</f>
        <v>Lift</v>
      </c>
      <c r="BD153" s="55" t="str">
        <f aca="false">IF(AV153&lt;=0,"",IF(BU153="Aussen","Aussenlager",IF(BU153="-","Nicht im Lift",IF(BA153&gt;=1,"Lift",IF(BA153&lt;=0,"Aussenlager","teilweise")))))</f>
        <v>Lift</v>
      </c>
      <c r="BE153" s="55" t="str">
        <f aca="false">IF(A153="","",IF(BN153=1,"Neu; ","")&amp;IF(AND(BN153=0,BI153&lt;0),"negativer Bestand (Export "&amp;BI153&amp;"); ","")&amp;IF(I153&lt;=0,"Kein Verbrauch; ","")&amp;IF(CD153&gt;0,"Lift "&amp;U153&amp;" lt. Liftbericht (Fach "&amp;V153&amp;" Stk); ",IF(BR153=1,"Lose – Fläche geschätzt; ",""))&amp;IF(G153&gt;AP153,"Überbestand "&amp;ROUND(G153-AP153,0)&amp;" Stk / CHF "&amp;ROUND((G153-AP153)*F153,0)&amp;"; ","")&amp;IF(AND(BW153=1,BX153&lt;BY153),"MAX &lt; MB+LG; ","")&amp;IF(AND(CC153&gt;0,CB153*10&gt;CC153),"zu hoch für Tablar; ","")&amp;IF(AND(BN153=0,OR(BW153=1,Y153&lt;&gt;"",S153&lt;&gt;"",T153&lt;&gt;"",Z153&lt;&gt;"")),"manuell übersteuert; ","")&amp;IF(AND(BR153=0,Q153=0),"Gebinde unbekannt / Stellmass fehlt; ","")&amp;IF(AND(BR153=0,N(T153)&lt;=0,N(P153)&lt;=0),"Menge pro Gebinde fehlt (Ist = 1 Gebinde); ","")&amp;BM153)</f>
        <v>Lift 1 lt. Liftbericht (Fach 4 Stk); </v>
      </c>
      <c r="BF153" s="55"/>
      <c r="BG153" s="55"/>
      <c r="BH153" s="62"/>
      <c r="BI153" s="57" t="n">
        <v>0</v>
      </c>
      <c r="BJ153" s="57" t="n">
        <v>3</v>
      </c>
      <c r="BK153" s="56" t="n">
        <v>1295.4</v>
      </c>
      <c r="BL153" s="57" t="n">
        <v>2</v>
      </c>
      <c r="BM153" s="55"/>
      <c r="BN153" s="60" t="n">
        <v>0</v>
      </c>
      <c r="BO153" s="60" t="n">
        <v>153</v>
      </c>
      <c r="BP153" s="55" t="str">
        <f aca="false">IF(S153&lt;&gt;"",UPPER(TRIM(S153)),IF(O153="","LOSE",O153))</f>
        <v>LOSE</v>
      </c>
      <c r="BQ153" s="57" t="n">
        <f aca="false">IF(BP153="LOSE",1,IF(N(T153)&gt;0,T153,IF(N(P153)&gt;0,P153,MAX(1,G153))))</f>
        <v>1</v>
      </c>
      <c r="BR153" s="60" t="n">
        <f aca="false">IF(BP153="LOSE",1,0)</f>
        <v>1</v>
      </c>
      <c r="BS153" s="59" t="n">
        <f aca="false">IF(BR153=0,0,IF(N(R153)&gt;0,R153,IFERROR(VLOOKUP(D153,Parameter!$A$35:$C$64,3,0)+0,0)))</f>
        <v>0.15</v>
      </c>
      <c r="BT153" s="55" t="n">
        <f aca="false">IF(Y153&lt;&gt;"",Y153,X153)</f>
        <v>1</v>
      </c>
      <c r="BU153" s="55" t="str">
        <f aca="false">IF(BT153=1,"L1",IF(OR(BT153=2,BT153=3),"L23",IF(BT153="Aussen","Aussen","-")))</f>
        <v>L1</v>
      </c>
      <c r="BV153" s="66" t="n">
        <f aca="false">IF(N(Z153)&gt;0,Z153,0)</f>
        <v>0</v>
      </c>
      <c r="BW153" s="60" t="n">
        <f aca="false">IF(ISNUMBER(AC153),1,0)</f>
        <v>0</v>
      </c>
      <c r="BX153" s="57" t="n">
        <f aca="false">N(AC153)</f>
        <v>0</v>
      </c>
      <c r="BY153" s="57" t="n">
        <f aca="false">N(L153)+N(M153)</f>
        <v>2</v>
      </c>
      <c r="BZ153" s="57" t="n">
        <f aca="false">ROUNDUP(G153/BQ153,0)</f>
        <v>2</v>
      </c>
      <c r="CA153" s="57" t="n">
        <f aca="false">ROUNDUP(BX153/BQ153,0)</f>
        <v>0</v>
      </c>
      <c r="CB153" s="60" t="n">
        <f aca="false">IF(BR153=1,0,IFERROR(VLOOKUP(BP153,'Gebinde-Kategorie'!$A$5:$M$45,5,0)+0,0))</f>
        <v>0</v>
      </c>
      <c r="CC153" s="60" t="n">
        <f aca="false">IFERROR(IF(OR(BT153=1,BT153=2,BT153=3),N(INDEX(Parameter!$I$5:$I$7,BT153)),0),0)</f>
        <v>0</v>
      </c>
      <c r="CD153" s="59" t="n">
        <f aca="false">IF(AND(Parameter!$B$21="Ja",ISNUMBER(U153),N(V153)&gt;0),IFERROR(N(INDEX(Parameter!$L$5:$L$7,U153))*INDEX(Parameter!$E$5:$E$7,U153)*V153/SUMIFS($V$7:$V$1576,$U$7:$U$1576,U153),0),0)</f>
        <v>0.32015065913371</v>
      </c>
    </row>
    <row r="154" customFormat="false" ht="15" hidden="false" customHeight="false" outlineLevel="0" collapsed="false">
      <c r="A154" s="55" t="s">
        <v>504</v>
      </c>
      <c r="B154" s="55" t="s">
        <v>505</v>
      </c>
      <c r="C154" s="55" t="s">
        <v>160</v>
      </c>
      <c r="D154" s="55" t="s">
        <v>168</v>
      </c>
      <c r="E154" s="55" t="s">
        <v>210</v>
      </c>
      <c r="F154" s="56" t="n">
        <v>66.47</v>
      </c>
      <c r="G154" s="57" t="n">
        <f aca="false">MAX(0,IF(AND(Parameter!$B$21="Ja",ISNUMBER(W154)),W154,IF(Parameter!$B$20="Jahresanfang 2025 + Export",BJ154+BI154,BI154)))</f>
        <v>19</v>
      </c>
      <c r="H154" s="57" t="n">
        <f aca="false">G154*F154</f>
        <v>1262.93</v>
      </c>
      <c r="I154" s="57" t="n">
        <f aca="false">BL154*Parameter!$B$18</f>
        <v>1</v>
      </c>
      <c r="J154" s="58" t="n">
        <v>26.5</v>
      </c>
      <c r="K154" s="59" t="n">
        <v>0.0377358490566038</v>
      </c>
      <c r="L154" s="57" t="n">
        <v>0</v>
      </c>
      <c r="M154" s="57" t="n">
        <v>1</v>
      </c>
      <c r="N154" s="60" t="n">
        <v>56</v>
      </c>
      <c r="O154" s="55" t="s">
        <v>163</v>
      </c>
      <c r="P154" s="57"/>
      <c r="Q154" s="60" t="n">
        <f aca="false">IF(BR154=1,0,IFERROR(VLOOKUP(BP154,'Gebinde-Kategorie'!$A$5:$M$45,13,0)+0,0))</f>
        <v>0</v>
      </c>
      <c r="R154" s="61"/>
      <c r="S154" s="62"/>
      <c r="T154" s="62"/>
      <c r="U154" s="55"/>
      <c r="V154" s="57"/>
      <c r="W154" s="57"/>
      <c r="X154" s="55" t="n">
        <f aca="false">IF(A154="","",IF(AND(Parameter!$B$21="Ja",ISNUMBER(U154)),U154,IF(IFERROR(VLOOKUP(D154,Parameter!$A$35:$C$64,2,0),"Nein")="2+3",IF(ISNUMBER(SEARCH("grosser Artikel",BM154)),2,IFERROR(VLOOKUP(BP154,Parameter!$F$35:$G$64,2,0),2)),IF(OR(IFERROR(VLOOKUP(D154,Parameter!$A$35:$C$64,2,0),"Nein")="Nein",IFERROR(VLOOKUP(D154,Parameter!$A$35:$C$64,2,0),"Nein")=""),"-",VLOOKUP(D154,Parameter!$A$35:$C$64,2,0)))))</f>
        <v>2</v>
      </c>
      <c r="Y154" s="62"/>
      <c r="Z154" s="63"/>
      <c r="AA154" s="57" t="n">
        <f aca="false">AP154</f>
        <v>1</v>
      </c>
      <c r="AB154" s="57" t="n">
        <f aca="false">MAX(AP154,G154)</f>
        <v>19</v>
      </c>
      <c r="AC154" s="64"/>
      <c r="AD154" s="57" t="n">
        <f aca="false">IF(LEFT(Cockpit!$C$5,1)="A",G154,IF(BW154=1,BX154,IF(LEFT(Cockpit!$C$5,1)="B",AH154,MAX(AH154,G154))))</f>
        <v>19</v>
      </c>
      <c r="AE154" s="57" t="n">
        <f aca="false">IF(BR154=1,0,ROUNDUP(AD154/BQ154,0))</f>
        <v>0</v>
      </c>
      <c r="AF154" s="59" t="n">
        <f aca="false">IF(CD154&gt;0,CD154*MAX(1,AD154/V154),IF(BR154=1,IF(AD154&lt;=0,0,BS154*MAX(1,IF(G154&gt;0,AD154/G154,1))),IF(Q154&gt;0,AE154/Q154,0))/MAX(0.1,N(Parameter!$M$21)))</f>
        <v>0.15</v>
      </c>
      <c r="AG154" s="57" t="n">
        <f aca="false">AD154*F154</f>
        <v>1262.93</v>
      </c>
      <c r="AH154" s="57" t="n">
        <f aca="false">ROUNDUP(MAX(I154/IF(BV154&gt;0,BV154,MAX(0.1,N(Cockpit!$C$6))),BY154)/BQ154,0)*BQ154</f>
        <v>1</v>
      </c>
      <c r="AI154" s="58" t="n">
        <f aca="false">IF(AF154&gt;0,I154/AF154,-1)</f>
        <v>6.66666666666667</v>
      </c>
      <c r="AJ154" s="58" t="n">
        <f aca="false">IF(AND(OR(BU154="L1",BU154="L23"),AF154&gt;0),SUMIFS($AF$7:$AF$1576,$BU$7:$BU$1576,BU154,$AI$7:$AI$1576,"&gt;"&amp;AI154)+SUMIFS($AF$7:$AF$1576,$BU$7:$BU$1576,BU154,$AI$7:$AI$1576,AI154,$BO$7:$BO$1576,"&lt;="&amp;BO154),"")</f>
        <v>31.6492483362049</v>
      </c>
      <c r="AK154" s="65" t="n">
        <f aca="false">IF(AJ154="",0,MAX(0,MIN(1,(IF(BU154="L1",Parameter!$E$5,Parameter!$E$6+Parameter!$E$7)-(AJ154-AF154))/AF154)))</f>
        <v>1</v>
      </c>
      <c r="AL154" s="57" t="n">
        <f aca="false">IF(LEFT(Cockpit!$I$5,1)="A",G154,IF(BW154=1,BX154,IF(LEFT(Cockpit!$I$5,1)="B",AP154,MAX(AP154,G154))))</f>
        <v>19</v>
      </c>
      <c r="AM154" s="57" t="n">
        <f aca="false">IF(BR154=1,0,ROUNDUP(AL154/BQ154,0))</f>
        <v>0</v>
      </c>
      <c r="AN154" s="59" t="n">
        <f aca="false">IF(CD154&gt;0,CD154*MAX(1,AL154/V154),IF(BR154=1,IF(AL154&lt;=0,0,BS154*MAX(1,IF(G154&gt;0,AL154/G154,1))),IF(Q154&gt;0,AM154/Q154,0))/MAX(0.1,N(Parameter!$M$21)))</f>
        <v>0.15</v>
      </c>
      <c r="AO154" s="57" t="n">
        <f aca="false">AL154*F154</f>
        <v>1262.93</v>
      </c>
      <c r="AP154" s="57" t="n">
        <f aca="false">ROUNDUP(MAX(I154/IF(BV154&gt;0,BV154,MAX(0.1,N(Cockpit!$I$6))),BY154)/BQ154,0)*BQ154</f>
        <v>1</v>
      </c>
      <c r="AQ154" s="58" t="n">
        <f aca="false">IF(AN154&gt;0,I154/AN154,-1)</f>
        <v>6.66666666666667</v>
      </c>
      <c r="AR154" s="58" t="n">
        <f aca="false">IF(AND(OR(BU154="L1",BU154="L23"),AN154&gt;0),SUMIFS($AN$7:$AN$1576,$BU$7:$BU$1576,BU154,$AQ$7:$AQ$1576,"&gt;"&amp;AQ154)+SUMIFS($AN$7:$AN$1576,$BU$7:$BU$1576,BU154,$AQ$7:$AQ$1576,AQ154,$BO$7:$BO$1576,"&lt;="&amp;BO154),"")</f>
        <v>109.942434588696</v>
      </c>
      <c r="AS154" s="65" t="n">
        <f aca="false">IF(AR154="",0,MAX(0,MIN(1,(IF(BU154="L1",Parameter!$E$5,Parameter!$E$6+Parameter!$E$7)-(AR154-AN154))/AN154)))</f>
        <v>0</v>
      </c>
      <c r="AT154" s="57" t="n">
        <f aca="false">IF(LEFT(Cockpit!$O$5,1)="A",G154,IF(BW154=1,BX154,IF(LEFT(Cockpit!$O$5,1)="B",AX154,MAX(AX154,G154))))</f>
        <v>19</v>
      </c>
      <c r="AU154" s="57" t="n">
        <f aca="false">IF(BR154=1,0,ROUNDUP(AT154/BQ154,0))</f>
        <v>0</v>
      </c>
      <c r="AV154" s="59" t="n">
        <f aca="false">IF(CD154&gt;0,CD154*MAX(1,AT154/V154),IF(BR154=1,IF(AT154&lt;=0,0,BS154*MAX(1,IF(G154&gt;0,AT154/G154,1))),IF(Q154&gt;0,AU154/Q154,0))/MAX(0.1,N(Parameter!$M$21)))</f>
        <v>0.15</v>
      </c>
      <c r="AW154" s="57" t="n">
        <f aca="false">AT154*F154</f>
        <v>1262.93</v>
      </c>
      <c r="AX154" s="57" t="n">
        <f aca="false">ROUNDUP(MAX(I154/IF(BV154&gt;0,BV154,MAX(0.1,N(Cockpit!$O$6))),BY154)/BQ154,0)*BQ154</f>
        <v>1</v>
      </c>
      <c r="AY154" s="58" t="n">
        <f aca="false">IF(AV154&gt;0,I154/AV154,-1)</f>
        <v>6.66666666666667</v>
      </c>
      <c r="AZ154" s="58" t="n">
        <f aca="false">IF(AND(OR(BU154="L1",BU154="L23"),AV154&gt;0),SUMIFS($AV$7:$AV$1576,$BU$7:$BU$1576,BU154,$AY$7:$AY$1576,"&gt;"&amp;AY154)+SUMIFS($AV$7:$AV$1576,$BU$7:$BU$1576,BU154,$AY$7:$AY$1576,AY154,$BO$7:$BO$1576,"&lt;="&amp;BO154),"")</f>
        <v>100.001985038246</v>
      </c>
      <c r="BA154" s="65" t="n">
        <f aca="false">IF(AZ154="",0,MAX(0,MIN(1,(IF(BU154="L1",Parameter!$E$5,Parameter!$E$6+Parameter!$E$7)-(AZ154-AV154))/AV154)))</f>
        <v>0.986766411692107</v>
      </c>
      <c r="BB154" s="55" t="str">
        <f aca="false">IF(AF154&lt;=0,"",IF(BU154="Aussen","Aussenlager",IF(BU154="-","Nicht im Lift",IF(AK154&gt;=1,"Lift",IF(AK154&lt;=0,"Aussenlager","teilweise")))))</f>
        <v>Lift</v>
      </c>
      <c r="BC154" s="55" t="str">
        <f aca="false">IF(AN154&lt;=0,"",IF(BU154="Aussen","Aussenlager",IF(BU154="-","Nicht im Lift",IF(AS154&gt;=1,"Lift",IF(AS154&lt;=0,"Aussenlager","teilweise")))))</f>
        <v>Aussenlager</v>
      </c>
      <c r="BD154" s="55" t="str">
        <f aca="false">IF(AV154&lt;=0,"",IF(BU154="Aussen","Aussenlager",IF(BU154="-","Nicht im Lift",IF(BA154&gt;=1,"Lift",IF(BA154&lt;=0,"Aussenlager","teilweise")))))</f>
        <v>teilweise</v>
      </c>
      <c r="BE154" s="55" t="str">
        <f aca="false">IF(A154="","",IF(BN154=1,"Neu; ","")&amp;IF(AND(BN154=0,BI154&lt;0),"negativer Bestand (Export "&amp;BI154&amp;"); ","")&amp;IF(I154&lt;=0,"Kein Verbrauch; ","")&amp;IF(CD154&gt;0,"Lift "&amp;U154&amp;" lt. Liftbericht (Fach "&amp;V154&amp;" Stk); ",IF(BR154=1,"Lose – Fläche geschätzt; ",""))&amp;IF(G154&gt;AP154,"Überbestand "&amp;ROUND(G154-AP154,0)&amp;" Stk / CHF "&amp;ROUND((G154-AP154)*F154,0)&amp;"; ","")&amp;IF(AND(BW154=1,BX154&lt;BY154),"MAX &lt; MB+LG; ","")&amp;IF(AND(CC154&gt;0,CB154*10&gt;CC154),"zu hoch für Tablar; ","")&amp;IF(AND(BN154=0,OR(BW154=1,Y154&lt;&gt;"",S154&lt;&gt;"",T154&lt;&gt;"",Z154&lt;&gt;"")),"manuell übersteuert; ","")&amp;IF(AND(BR154=0,Q154=0),"Gebinde unbekannt / Stellmass fehlt; ","")&amp;IF(AND(BR154=0,N(T154)&lt;=0,N(P154)&lt;=0),"Menge pro Gebinde fehlt (Ist = 1 Gebinde); ","")&amp;BM154)</f>
        <v>Lose – Fläche geschätzt; Überbestand 18 Stk / CHF 1196; </v>
      </c>
      <c r="BF154" s="55"/>
      <c r="BG154" s="55"/>
      <c r="BH154" s="62"/>
      <c r="BI154" s="57" t="n">
        <v>19</v>
      </c>
      <c r="BJ154" s="57" t="n">
        <v>17</v>
      </c>
      <c r="BK154" s="56" t="n">
        <v>1283.5</v>
      </c>
      <c r="BL154" s="57" t="n">
        <v>1</v>
      </c>
      <c r="BM154" s="55"/>
      <c r="BN154" s="60" t="n">
        <v>0</v>
      </c>
      <c r="BO154" s="60" t="n">
        <v>154</v>
      </c>
      <c r="BP154" s="55" t="str">
        <f aca="false">IF(S154&lt;&gt;"",UPPER(TRIM(S154)),IF(O154="","LOSE",O154))</f>
        <v>LOSE</v>
      </c>
      <c r="BQ154" s="57" t="n">
        <f aca="false">IF(BP154="LOSE",1,IF(N(T154)&gt;0,T154,IF(N(P154)&gt;0,P154,MAX(1,G154))))</f>
        <v>1</v>
      </c>
      <c r="BR154" s="60" t="n">
        <f aca="false">IF(BP154="LOSE",1,0)</f>
        <v>1</v>
      </c>
      <c r="BS154" s="59" t="n">
        <f aca="false">IF(BR154=0,0,IF(N(R154)&gt;0,R154,IFERROR(VLOOKUP(D154,Parameter!$A$35:$C$64,3,0)+0,0)))</f>
        <v>0.15</v>
      </c>
      <c r="BT154" s="55" t="n">
        <f aca="false">IF(Y154&lt;&gt;"",Y154,X154)</f>
        <v>2</v>
      </c>
      <c r="BU154" s="55" t="str">
        <f aca="false">IF(BT154=1,"L1",IF(OR(BT154=2,BT154=3),"L23",IF(BT154="Aussen","Aussen","-")))</f>
        <v>L23</v>
      </c>
      <c r="BV154" s="66" t="n">
        <f aca="false">IF(N(Z154)&gt;0,Z154,0)</f>
        <v>0</v>
      </c>
      <c r="BW154" s="60" t="n">
        <f aca="false">IF(ISNUMBER(AC154),1,0)</f>
        <v>0</v>
      </c>
      <c r="BX154" s="57" t="n">
        <f aca="false">N(AC154)</f>
        <v>0</v>
      </c>
      <c r="BY154" s="57" t="n">
        <f aca="false">N(L154)+N(M154)</f>
        <v>1</v>
      </c>
      <c r="BZ154" s="57" t="n">
        <f aca="false">ROUNDUP(G154/BQ154,0)</f>
        <v>19</v>
      </c>
      <c r="CA154" s="57" t="n">
        <f aca="false">ROUNDUP(BX154/BQ154,0)</f>
        <v>0</v>
      </c>
      <c r="CB154" s="60" t="n">
        <f aca="false">IF(BR154=1,0,IFERROR(VLOOKUP(BP154,'Gebinde-Kategorie'!$A$5:$M$45,5,0)+0,0))</f>
        <v>0</v>
      </c>
      <c r="CC154" s="60" t="n">
        <f aca="false">IFERROR(IF(OR(BT154=1,BT154=2,BT154=3),N(INDEX(Parameter!$I$5:$I$7,BT154)),0),0)</f>
        <v>0</v>
      </c>
      <c r="CD154" s="59" t="n">
        <f aca="false">IF(AND(Parameter!$B$21="Ja",ISNUMBER(U154),N(V154)&gt;0),IFERROR(N(INDEX(Parameter!$L$5:$L$7,U154))*INDEX(Parameter!$E$5:$E$7,U154)*V154/SUMIFS($V$7:$V$1576,$U$7:$U$1576,U154),0),0)</f>
        <v>0</v>
      </c>
    </row>
    <row r="155" customFormat="false" ht="15" hidden="false" customHeight="false" outlineLevel="0" collapsed="false">
      <c r="A155" s="55" t="s">
        <v>506</v>
      </c>
      <c r="B155" s="55" t="s">
        <v>507</v>
      </c>
      <c r="C155" s="55" t="s">
        <v>160</v>
      </c>
      <c r="D155" s="55" t="s">
        <v>168</v>
      </c>
      <c r="E155" s="55" t="s">
        <v>210</v>
      </c>
      <c r="F155" s="56" t="n">
        <v>57.07</v>
      </c>
      <c r="G155" s="57" t="n">
        <f aca="false">MAX(0,IF(AND(Parameter!$B$21="Ja",ISNUMBER(W155)),W155,IF(Parameter!$B$20="Jahresanfang 2025 + Export",BJ155+BI155,BI155)))</f>
        <v>27</v>
      </c>
      <c r="H155" s="57" t="n">
        <f aca="false">G155*F155</f>
        <v>1540.89</v>
      </c>
      <c r="I155" s="57" t="n">
        <f aca="false">BL155*Parameter!$B$18</f>
        <v>388</v>
      </c>
      <c r="J155" s="58" t="n">
        <v>163.5</v>
      </c>
      <c r="K155" s="59" t="n">
        <v>2.37308868501529</v>
      </c>
      <c r="L155" s="57" t="n">
        <v>80</v>
      </c>
      <c r="M155" s="57" t="n">
        <v>135</v>
      </c>
      <c r="N155" s="60" t="n">
        <v>70</v>
      </c>
      <c r="O155" s="55" t="s">
        <v>169</v>
      </c>
      <c r="P155" s="57" t="n">
        <v>150</v>
      </c>
      <c r="Q155" s="60" t="n">
        <f aca="false">IF(BR155=1,0,IFERROR(VLOOKUP(BP155,'Gebinde-Kategorie'!$A$5:$M$45,13,0)+0,0))</f>
        <v>6</v>
      </c>
      <c r="R155" s="61"/>
      <c r="S155" s="62"/>
      <c r="T155" s="62"/>
      <c r="U155" s="55"/>
      <c r="V155" s="57"/>
      <c r="W155" s="57"/>
      <c r="X155" s="55" t="n">
        <f aca="false">IF(A155="","",IF(AND(Parameter!$B$21="Ja",ISNUMBER(U155)),U155,IF(IFERROR(VLOOKUP(D155,Parameter!$A$35:$C$64,2,0),"Nein")="2+3",IF(ISNUMBER(SEARCH("grosser Artikel",BM155)),2,IFERROR(VLOOKUP(BP155,Parameter!$F$35:$G$64,2,0),2)),IF(OR(IFERROR(VLOOKUP(D155,Parameter!$A$35:$C$64,2,0),"Nein")="Nein",IFERROR(VLOOKUP(D155,Parameter!$A$35:$C$64,2,0),"Nein")=""),"-",VLOOKUP(D155,Parameter!$A$35:$C$64,2,0)))))</f>
        <v>2</v>
      </c>
      <c r="Y155" s="62"/>
      <c r="Z155" s="63"/>
      <c r="AA155" s="57" t="n">
        <f aca="false">AP155</f>
        <v>300</v>
      </c>
      <c r="AB155" s="57" t="n">
        <f aca="false">MAX(AP155,G155)</f>
        <v>300</v>
      </c>
      <c r="AC155" s="64"/>
      <c r="AD155" s="57" t="n">
        <f aca="false">IF(LEFT(Cockpit!$C$5,1)="A",G155,IF(BW155=1,BX155,IF(LEFT(Cockpit!$C$5,1)="B",AH155,MAX(AH155,G155))))</f>
        <v>27</v>
      </c>
      <c r="AE155" s="57" t="n">
        <f aca="false">IF(BR155=1,0,ROUNDUP(AD155/BQ155,0))</f>
        <v>1</v>
      </c>
      <c r="AF155" s="59" t="n">
        <f aca="false">IF(CD155&gt;0,CD155*MAX(1,AD155/V155),IF(BR155=1,IF(AD155&lt;=0,0,BS155*MAX(1,IF(G155&gt;0,AD155/G155,1))),IF(Q155&gt;0,AE155/Q155,0))/MAX(0.1,N(Parameter!$M$21)))</f>
        <v>0.166666666666667</v>
      </c>
      <c r="AG155" s="57" t="n">
        <f aca="false">AD155*F155</f>
        <v>1540.89</v>
      </c>
      <c r="AH155" s="57" t="n">
        <f aca="false">ROUNDUP(MAX(I155/IF(BV155&gt;0,BV155,MAX(0.1,N(Cockpit!$C$6))),BY155)/BQ155,0)*BQ155</f>
        <v>300</v>
      </c>
      <c r="AI155" s="58" t="n">
        <f aca="false">IF(AF155&gt;0,I155/AF155,-1)</f>
        <v>2328</v>
      </c>
      <c r="AJ155" s="58" t="n">
        <f aca="false">IF(AND(OR(BU155="L1",BU155="L23"),AF155&gt;0),SUMIFS($AF$7:$AF$1576,$BU$7:$BU$1576,BU155,$AI$7:$AI$1576,"&gt;"&amp;AI155)+SUMIFS($AF$7:$AF$1576,$BU$7:$BU$1576,BU155,$AI$7:$AI$1576,AI155,$BO$7:$BO$1576,"&lt;="&amp;BO155),"")</f>
        <v>6.14255734603561</v>
      </c>
      <c r="AK155" s="65" t="n">
        <f aca="false">IF(AJ155="",0,MAX(0,MIN(1,(IF(BU155="L1",Parameter!$E$5,Parameter!$E$6+Parameter!$E$7)-(AJ155-AF155))/AF155)))</f>
        <v>1</v>
      </c>
      <c r="AL155" s="57" t="n">
        <f aca="false">IF(LEFT(Cockpit!$I$5,1)="A",G155,IF(BW155=1,BX155,IF(LEFT(Cockpit!$I$5,1)="B",AP155,MAX(AP155,G155))))</f>
        <v>300</v>
      </c>
      <c r="AM155" s="57" t="n">
        <f aca="false">IF(BR155=1,0,ROUNDUP(AL155/BQ155,0))</f>
        <v>2</v>
      </c>
      <c r="AN155" s="59" t="n">
        <f aca="false">IF(CD155&gt;0,CD155*MAX(1,AL155/V155),IF(BR155=1,IF(AL155&lt;=0,0,BS155*MAX(1,IF(G155&gt;0,AL155/G155,1))),IF(Q155&gt;0,AM155/Q155,0))/MAX(0.1,N(Parameter!$M$21)))</f>
        <v>0.333333333333333</v>
      </c>
      <c r="AO155" s="57" t="n">
        <f aca="false">AL155*F155</f>
        <v>17121</v>
      </c>
      <c r="AP155" s="57" t="n">
        <f aca="false">ROUNDUP(MAX(I155/IF(BV155&gt;0,BV155,MAX(0.1,N(Cockpit!$I$6))),BY155)/BQ155,0)*BQ155</f>
        <v>300</v>
      </c>
      <c r="AQ155" s="58" t="n">
        <f aca="false">IF(AN155&gt;0,I155/AN155,-1)</f>
        <v>1164</v>
      </c>
      <c r="AR155" s="58" t="n">
        <f aca="false">IF(AND(OR(BU155="L1",BU155="L23"),AN155&gt;0),SUMIFS($AN$7:$AN$1576,$BU$7:$BU$1576,BU155,$AQ$7:$AQ$1576,"&gt;"&amp;AQ155)+SUMIFS($AN$7:$AN$1576,$BU$7:$BU$1576,BU155,$AQ$7:$AQ$1576,AQ155,$BO$7:$BO$1576,"&lt;="&amp;BO155),"")</f>
        <v>21.6025103523041</v>
      </c>
      <c r="AS155" s="65" t="n">
        <f aca="false">IF(AR155="",0,MAX(0,MIN(1,(IF(BU155="L1",Parameter!$E$5,Parameter!$E$6+Parameter!$E$7)-(AR155-AN155))/AN155)))</f>
        <v>1</v>
      </c>
      <c r="AT155" s="57" t="n">
        <f aca="false">IF(LEFT(Cockpit!$O$5,1)="A",G155,IF(BW155=1,BX155,IF(LEFT(Cockpit!$O$5,1)="B",AX155,MAX(AX155,G155))))</f>
        <v>300</v>
      </c>
      <c r="AU155" s="57" t="n">
        <f aca="false">IF(BR155=1,0,ROUNDUP(AT155/BQ155,0))</f>
        <v>2</v>
      </c>
      <c r="AV155" s="59" t="n">
        <f aca="false">IF(CD155&gt;0,CD155*MAX(1,AT155/V155),IF(BR155=1,IF(AT155&lt;=0,0,BS155*MAX(1,IF(G155&gt;0,AT155/G155,1))),IF(Q155&gt;0,AU155/Q155,0))/MAX(0.1,N(Parameter!$M$21)))</f>
        <v>0.333333333333333</v>
      </c>
      <c r="AW155" s="57" t="n">
        <f aca="false">AT155*F155</f>
        <v>17121</v>
      </c>
      <c r="AX155" s="57" t="n">
        <f aca="false">ROUNDUP(MAX(I155/IF(BV155&gt;0,BV155,MAX(0.1,N(Cockpit!$O$6))),BY155)/BQ155,0)*BQ155</f>
        <v>300</v>
      </c>
      <c r="AY155" s="58" t="n">
        <f aca="false">IF(AV155&gt;0,I155/AV155,-1)</f>
        <v>1164</v>
      </c>
      <c r="AZ155" s="58" t="n">
        <f aca="false">IF(AND(OR(BU155="L1",BU155="L23"),AV155&gt;0),SUMIFS($AV$7:$AV$1576,$BU$7:$BU$1576,BU155,$AY$7:$AY$1576,"&gt;"&amp;AY155)+SUMIFS($AV$7:$AV$1576,$BU$7:$BU$1576,BU155,$AY$7:$AY$1576,AY155,$BO$7:$BO$1576,"&lt;="&amp;BO155),"")</f>
        <v>20.9131164129102</v>
      </c>
      <c r="BA155" s="65" t="n">
        <f aca="false">IF(AZ155="",0,MAX(0,MIN(1,(IF(BU155="L1",Parameter!$E$5,Parameter!$E$6+Parameter!$E$7)-(AZ155-AV155))/AV155)))</f>
        <v>1</v>
      </c>
      <c r="BB155" s="55" t="str">
        <f aca="false">IF(AF155&lt;=0,"",IF(BU155="Aussen","Aussenlager",IF(BU155="-","Nicht im Lift",IF(AK155&gt;=1,"Lift",IF(AK155&lt;=0,"Aussenlager","teilweise")))))</f>
        <v>Lift</v>
      </c>
      <c r="BC155" s="55" t="str">
        <f aca="false">IF(AN155&lt;=0,"",IF(BU155="Aussen","Aussenlager",IF(BU155="-","Nicht im Lift",IF(AS155&gt;=1,"Lift",IF(AS155&lt;=0,"Aussenlager","teilweise")))))</f>
        <v>Lift</v>
      </c>
      <c r="BD155" s="55" t="str">
        <f aca="false">IF(AV155&lt;=0,"",IF(BU155="Aussen","Aussenlager",IF(BU155="-","Nicht im Lift",IF(BA155&gt;=1,"Lift",IF(BA155&lt;=0,"Aussenlager","teilweise")))))</f>
        <v>Lift</v>
      </c>
      <c r="BE155" s="55" t="str">
        <f aca="false">IF(A155="","",IF(BN155=1,"Neu; ","")&amp;IF(AND(BN155=0,BI155&lt;0),"negativer Bestand (Export "&amp;BI155&amp;"); ","")&amp;IF(I155&lt;=0,"Kein Verbrauch; ","")&amp;IF(CD155&gt;0,"Lift "&amp;U155&amp;" lt. Liftbericht (Fach "&amp;V155&amp;" Stk); ",IF(BR155=1,"Lose – Fläche geschätzt; ",""))&amp;IF(G155&gt;AP155,"Überbestand "&amp;ROUND(G155-AP155,0)&amp;" Stk / CHF "&amp;ROUND((G155-AP155)*F155,0)&amp;"; ","")&amp;IF(AND(BW155=1,BX155&lt;BY155),"MAX &lt; MB+LG; ","")&amp;IF(AND(CC155&gt;0,CB155*10&gt;CC155),"zu hoch für Tablar; ","")&amp;IF(AND(BN155=0,OR(BW155=1,Y155&lt;&gt;"",S155&lt;&gt;"",T155&lt;&gt;"",Z155&lt;&gt;"")),"manuell übersteuert; ","")&amp;IF(AND(BR155=0,Q155=0),"Gebinde unbekannt / Stellmass fehlt; ","")&amp;IF(AND(BR155=0,N(T155)&lt;=0,N(P155)&lt;=0),"Menge pro Gebinde fehlt (Ist = 1 Gebinde); ","")&amp;BM155)</f>
        <v>grosser Artikel &amp; nicht im KTL</v>
      </c>
      <c r="BF155" s="55"/>
      <c r="BG155" s="55"/>
      <c r="BH155" s="62"/>
      <c r="BI155" s="57" t="n">
        <v>27</v>
      </c>
      <c r="BJ155" s="57" t="n">
        <v>97</v>
      </c>
      <c r="BK155" s="56" t="n">
        <v>1272.2</v>
      </c>
      <c r="BL155" s="57" t="n">
        <v>388</v>
      </c>
      <c r="BM155" s="55" t="s">
        <v>253</v>
      </c>
      <c r="BN155" s="60" t="n">
        <v>0</v>
      </c>
      <c r="BO155" s="60" t="n">
        <v>155</v>
      </c>
      <c r="BP155" s="55" t="str">
        <f aca="false">IF(S155&lt;&gt;"",UPPER(TRIM(S155)),IF(O155="","LOSE",O155))</f>
        <v>S71</v>
      </c>
      <c r="BQ155" s="57" t="n">
        <f aca="false">IF(BP155="LOSE",1,IF(N(T155)&gt;0,T155,IF(N(P155)&gt;0,P155,MAX(1,G155))))</f>
        <v>150</v>
      </c>
      <c r="BR155" s="60" t="n">
        <f aca="false">IF(BP155="LOSE",1,0)</f>
        <v>0</v>
      </c>
      <c r="BS155" s="59" t="n">
        <f aca="false">IF(BR155=0,0,IF(N(R155)&gt;0,R155,IFERROR(VLOOKUP(D155,Parameter!$A$35:$C$64,3,0)+0,0)))</f>
        <v>0</v>
      </c>
      <c r="BT155" s="55" t="n">
        <f aca="false">IF(Y155&lt;&gt;"",Y155,X155)</f>
        <v>2</v>
      </c>
      <c r="BU155" s="55" t="str">
        <f aca="false">IF(BT155=1,"L1",IF(OR(BT155=2,BT155=3),"L23",IF(BT155="Aussen","Aussen","-")))</f>
        <v>L23</v>
      </c>
      <c r="BV155" s="66" t="n">
        <f aca="false">IF(N(Z155)&gt;0,Z155,0)</f>
        <v>0</v>
      </c>
      <c r="BW155" s="60" t="n">
        <f aca="false">IF(ISNUMBER(AC155),1,0)</f>
        <v>0</v>
      </c>
      <c r="BX155" s="57" t="n">
        <f aca="false">N(AC155)</f>
        <v>0</v>
      </c>
      <c r="BY155" s="57" t="n">
        <f aca="false">N(L155)+N(M155)</f>
        <v>215</v>
      </c>
      <c r="BZ155" s="57" t="n">
        <f aca="false">ROUNDUP(G155/BQ155,0)</f>
        <v>1</v>
      </c>
      <c r="CA155" s="57" t="n">
        <f aca="false">ROUNDUP(BX155/BQ155,0)</f>
        <v>0</v>
      </c>
      <c r="CB155" s="60" t="n">
        <f aca="false">IF(BR155=1,0,IFERROR(VLOOKUP(BP155,'Gebinde-Kategorie'!$A$5:$M$45,5,0)+0,0))</f>
        <v>20</v>
      </c>
      <c r="CC155" s="60" t="n">
        <f aca="false">IFERROR(IF(OR(BT155=1,BT155=2,BT155=3),N(INDEX(Parameter!$I$5:$I$7,BT155)),0),0)</f>
        <v>0</v>
      </c>
      <c r="CD155" s="59" t="n">
        <f aca="false">IF(AND(Parameter!$B$21="Ja",ISNUMBER(U155),N(V155)&gt;0),IFERROR(N(INDEX(Parameter!$L$5:$L$7,U155))*INDEX(Parameter!$E$5:$E$7,U155)*V155/SUMIFS($V$7:$V$1576,$U$7:$U$1576,U155),0),0)</f>
        <v>0</v>
      </c>
    </row>
    <row r="156" customFormat="false" ht="15" hidden="false" customHeight="false" outlineLevel="0" collapsed="false">
      <c r="A156" s="55" t="s">
        <v>508</v>
      </c>
      <c r="B156" s="55" t="s">
        <v>509</v>
      </c>
      <c r="C156" s="55" t="s">
        <v>160</v>
      </c>
      <c r="D156" s="55" t="s">
        <v>178</v>
      </c>
      <c r="E156" s="55" t="s">
        <v>210</v>
      </c>
      <c r="F156" s="56" t="n">
        <v>45.59</v>
      </c>
      <c r="G156" s="57" t="n">
        <f aca="false">MAX(0,IF(AND(Parameter!$B$21="Ja",ISNUMBER(W156)),W156,IF(Parameter!$B$20="Jahresanfang 2025 + Export",BJ156+BI156,BI156)))</f>
        <v>26</v>
      </c>
      <c r="H156" s="57" t="n">
        <f aca="false">G156*F156</f>
        <v>1185.34</v>
      </c>
      <c r="I156" s="57" t="n">
        <f aca="false">BL156*Parameter!$B$18</f>
        <v>69</v>
      </c>
      <c r="J156" s="58" t="n">
        <v>33.5</v>
      </c>
      <c r="K156" s="59" t="n">
        <v>2.05970149253731</v>
      </c>
      <c r="L156" s="57" t="n">
        <v>2</v>
      </c>
      <c r="M156" s="57" t="n">
        <v>60</v>
      </c>
      <c r="N156" s="60" t="n">
        <v>10</v>
      </c>
      <c r="O156" s="55" t="s">
        <v>293</v>
      </c>
      <c r="P156" s="57" t="n">
        <v>107</v>
      </c>
      <c r="Q156" s="60" t="n">
        <f aca="false">IF(BR156=1,0,IFERROR(VLOOKUP(BP156,'Gebinde-Kategorie'!$A$5:$M$45,13,0)+0,0))</f>
        <v>26</v>
      </c>
      <c r="R156" s="61"/>
      <c r="S156" s="62"/>
      <c r="T156" s="62"/>
      <c r="U156" s="55"/>
      <c r="V156" s="57"/>
      <c r="W156" s="57"/>
      <c r="X156" s="55" t="n">
        <f aca="false">IF(A156="","",IF(AND(Parameter!$B$21="Ja",ISNUMBER(U156)),U156,IF(IFERROR(VLOOKUP(D156,Parameter!$A$35:$C$64,2,0),"Nein")="2+3",IF(ISNUMBER(SEARCH("grosser Artikel",BM156)),2,IFERROR(VLOOKUP(BP156,Parameter!$F$35:$G$64,2,0),2)),IF(OR(IFERROR(VLOOKUP(D156,Parameter!$A$35:$C$64,2,0),"Nein")="Nein",IFERROR(VLOOKUP(D156,Parameter!$A$35:$C$64,2,0),"Nein")=""),"-",VLOOKUP(D156,Parameter!$A$35:$C$64,2,0)))))</f>
        <v>3</v>
      </c>
      <c r="Y156" s="62"/>
      <c r="Z156" s="63"/>
      <c r="AA156" s="57" t="n">
        <f aca="false">AP156</f>
        <v>107</v>
      </c>
      <c r="AB156" s="57" t="n">
        <f aca="false">MAX(AP156,G156)</f>
        <v>107</v>
      </c>
      <c r="AC156" s="64"/>
      <c r="AD156" s="57" t="n">
        <f aca="false">IF(LEFT(Cockpit!$C$5,1)="A",G156,IF(BW156=1,BX156,IF(LEFT(Cockpit!$C$5,1)="B",AH156,MAX(AH156,G156))))</f>
        <v>26</v>
      </c>
      <c r="AE156" s="57" t="n">
        <f aca="false">IF(BR156=1,0,ROUNDUP(AD156/BQ156,0))</f>
        <v>1</v>
      </c>
      <c r="AF156" s="59" t="n">
        <f aca="false">IF(CD156&gt;0,CD156*MAX(1,AD156/V156),IF(BR156=1,IF(AD156&lt;=0,0,BS156*MAX(1,IF(G156&gt;0,AD156/G156,1))),IF(Q156&gt;0,AE156/Q156,0))/MAX(0.1,N(Parameter!$M$21)))</f>
        <v>0.0384615384615385</v>
      </c>
      <c r="AG156" s="57" t="n">
        <f aca="false">AD156*F156</f>
        <v>1185.34</v>
      </c>
      <c r="AH156" s="57" t="n">
        <f aca="false">ROUNDUP(MAX(I156/IF(BV156&gt;0,BV156,MAX(0.1,N(Cockpit!$C$6))),BY156)/BQ156,0)*BQ156</f>
        <v>107</v>
      </c>
      <c r="AI156" s="58" t="n">
        <f aca="false">IF(AF156&gt;0,I156/AF156,-1)</f>
        <v>1794</v>
      </c>
      <c r="AJ156" s="58" t="n">
        <f aca="false">IF(AND(OR(BU156="L1",BU156="L23"),AF156&gt;0),SUMIFS($AF$7:$AF$1576,$BU$7:$BU$1576,BU156,$AI$7:$AI$1576,"&gt;"&amp;AI156)+SUMIFS($AF$7:$AF$1576,$BU$7:$BU$1576,BU156,$AI$7:$AI$1576,AI156,$BO$7:$BO$1576,"&lt;="&amp;BO156),"")</f>
        <v>7.23708624708625</v>
      </c>
      <c r="AK156" s="65" t="n">
        <f aca="false">IF(AJ156="",0,MAX(0,MIN(1,(IF(BU156="L1",Parameter!$E$5,Parameter!$E$6+Parameter!$E$7)-(AJ156-AF156))/AF156)))</f>
        <v>1</v>
      </c>
      <c r="AL156" s="57" t="n">
        <f aca="false">IF(LEFT(Cockpit!$I$5,1)="A",G156,IF(BW156=1,BX156,IF(LEFT(Cockpit!$I$5,1)="B",AP156,MAX(AP156,G156))))</f>
        <v>107</v>
      </c>
      <c r="AM156" s="57" t="n">
        <f aca="false">IF(BR156=1,0,ROUNDUP(AL156/BQ156,0))</f>
        <v>1</v>
      </c>
      <c r="AN156" s="59" t="n">
        <f aca="false">IF(CD156&gt;0,CD156*MAX(1,AL156/V156),IF(BR156=1,IF(AL156&lt;=0,0,BS156*MAX(1,IF(G156&gt;0,AL156/G156,1))),IF(Q156&gt;0,AM156/Q156,0))/MAX(0.1,N(Parameter!$M$21)))</f>
        <v>0.0384615384615385</v>
      </c>
      <c r="AO156" s="57" t="n">
        <f aca="false">AL156*F156</f>
        <v>4878.13</v>
      </c>
      <c r="AP156" s="57" t="n">
        <f aca="false">ROUNDUP(MAX(I156/IF(BV156&gt;0,BV156,MAX(0.1,N(Cockpit!$I$6))),BY156)/BQ156,0)*BQ156</f>
        <v>107</v>
      </c>
      <c r="AQ156" s="58" t="n">
        <f aca="false">IF(AN156&gt;0,I156/AN156,-1)</f>
        <v>1794</v>
      </c>
      <c r="AR156" s="58" t="n">
        <f aca="false">IF(AND(OR(BU156="L1",BU156="L23"),AN156&gt;0),SUMIFS($AN$7:$AN$1576,$BU$7:$BU$1576,BU156,$AQ$7:$AQ$1576,"&gt;"&amp;AQ156)+SUMIFS($AN$7:$AN$1576,$BU$7:$BU$1576,BU156,$AQ$7:$AQ$1576,AQ156,$BO$7:$BO$1576,"&lt;="&amp;BO156),"")</f>
        <v>18.0915918022551</v>
      </c>
      <c r="AS156" s="65" t="n">
        <f aca="false">IF(AR156="",0,MAX(0,MIN(1,(IF(BU156="L1",Parameter!$E$5,Parameter!$E$6+Parameter!$E$7)-(AR156-AN156))/AN156)))</f>
        <v>1</v>
      </c>
      <c r="AT156" s="57" t="n">
        <f aca="false">IF(LEFT(Cockpit!$O$5,1)="A",G156,IF(BW156=1,BX156,IF(LEFT(Cockpit!$O$5,1)="B",AX156,MAX(AX156,G156))))</f>
        <v>107</v>
      </c>
      <c r="AU156" s="57" t="n">
        <f aca="false">IF(BR156=1,0,ROUNDUP(AT156/BQ156,0))</f>
        <v>1</v>
      </c>
      <c r="AV156" s="59" t="n">
        <f aca="false">IF(CD156&gt;0,CD156*MAX(1,AT156/V156),IF(BR156=1,IF(AT156&lt;=0,0,BS156*MAX(1,IF(G156&gt;0,AT156/G156,1))),IF(Q156&gt;0,AU156/Q156,0))/MAX(0.1,N(Parameter!$M$21)))</f>
        <v>0.0384615384615385</v>
      </c>
      <c r="AW156" s="57" t="n">
        <f aca="false">AT156*F156</f>
        <v>4878.13</v>
      </c>
      <c r="AX156" s="57" t="n">
        <f aca="false">ROUNDUP(MAX(I156/IF(BV156&gt;0,BV156,MAX(0.1,N(Cockpit!$O$6))),BY156)/BQ156,0)*BQ156</f>
        <v>107</v>
      </c>
      <c r="AY156" s="58" t="n">
        <f aca="false">IF(AV156&gt;0,I156/AV156,-1)</f>
        <v>1794</v>
      </c>
      <c r="AZ156" s="58" t="n">
        <f aca="false">IF(AND(OR(BU156="L1",BU156="L23"),AV156&gt;0),SUMIFS($AV$7:$AV$1576,$BU$7:$BU$1576,BU156,$AY$7:$AY$1576,"&gt;"&amp;AY156)+SUMIFS($AV$7:$AV$1576,$BU$7:$BU$1576,BU156,$AY$7:$AY$1576,AY156,$BO$7:$BO$1576,"&lt;="&amp;BO156),"")</f>
        <v>17.0688645295279</v>
      </c>
      <c r="BA156" s="65" t="n">
        <f aca="false">IF(AZ156="",0,MAX(0,MIN(1,(IF(BU156="L1",Parameter!$E$5,Parameter!$E$6+Parameter!$E$7)-(AZ156-AV156))/AV156)))</f>
        <v>1</v>
      </c>
      <c r="BB156" s="55" t="str">
        <f aca="false">IF(AF156&lt;=0,"",IF(BU156="Aussen","Aussenlager",IF(BU156="-","Nicht im Lift",IF(AK156&gt;=1,"Lift",IF(AK156&lt;=0,"Aussenlager","teilweise")))))</f>
        <v>Lift</v>
      </c>
      <c r="BC156" s="55" t="str">
        <f aca="false">IF(AN156&lt;=0,"",IF(BU156="Aussen","Aussenlager",IF(BU156="-","Nicht im Lift",IF(AS156&gt;=1,"Lift",IF(AS156&lt;=0,"Aussenlager","teilweise")))))</f>
        <v>Lift</v>
      </c>
      <c r="BD156" s="55" t="str">
        <f aca="false">IF(AV156&lt;=0,"",IF(BU156="Aussen","Aussenlager",IF(BU156="-","Nicht im Lift",IF(BA156&gt;=1,"Lift",IF(BA156&lt;=0,"Aussenlager","teilweise")))))</f>
        <v>Lift</v>
      </c>
      <c r="BE156" s="55" t="str">
        <f aca="false">IF(A156="","",IF(BN156=1,"Neu; ","")&amp;IF(AND(BN156=0,BI156&lt;0),"negativer Bestand (Export "&amp;BI156&amp;"); ","")&amp;IF(I156&lt;=0,"Kein Verbrauch; ","")&amp;IF(CD156&gt;0,"Lift "&amp;U156&amp;" lt. Liftbericht (Fach "&amp;V156&amp;" Stk); ",IF(BR156=1,"Lose – Fläche geschätzt; ",""))&amp;IF(G156&gt;AP156,"Überbestand "&amp;ROUND(G156-AP156,0)&amp;" Stk / CHF "&amp;ROUND((G156-AP156)*F156,0)&amp;"; ","")&amp;IF(AND(BW156=1,BX156&lt;BY156),"MAX &lt; MB+LG; ","")&amp;IF(AND(CC156&gt;0,CB156*10&gt;CC156),"zu hoch für Tablar; ","")&amp;IF(AND(BN156=0,OR(BW156=1,Y156&lt;&gt;"",S156&lt;&gt;"",T156&lt;&gt;"",Z156&lt;&gt;"")),"manuell übersteuert; ","")&amp;IF(AND(BR156=0,Q156=0),"Gebinde unbekannt / Stellmass fehlt; ","")&amp;IF(AND(BR156=0,N(T156)&lt;=0,N(P156)&lt;=0),"Menge pro Gebinde fehlt (Ist = 1 Gebinde); ","")&amp;BM156)</f>
        <v/>
      </c>
      <c r="BF156" s="55"/>
      <c r="BG156" s="55"/>
      <c r="BH156" s="62"/>
      <c r="BI156" s="57" t="n">
        <v>26</v>
      </c>
      <c r="BJ156" s="57" t="n">
        <v>38</v>
      </c>
      <c r="BK156" s="56" t="n">
        <v>1269.7</v>
      </c>
      <c r="BL156" s="57" t="n">
        <v>69</v>
      </c>
      <c r="BM156" s="55"/>
      <c r="BN156" s="60" t="n">
        <v>0</v>
      </c>
      <c r="BO156" s="60" t="n">
        <v>156</v>
      </c>
      <c r="BP156" s="55" t="str">
        <f aca="false">IF(S156&lt;&gt;"",UPPER(TRIM(S156)),IF(O156="","LOSE",O156))</f>
        <v>S51</v>
      </c>
      <c r="BQ156" s="57" t="n">
        <f aca="false">IF(BP156="LOSE",1,IF(N(T156)&gt;0,T156,IF(N(P156)&gt;0,P156,MAX(1,G156))))</f>
        <v>107</v>
      </c>
      <c r="BR156" s="60" t="n">
        <f aca="false">IF(BP156="LOSE",1,0)</f>
        <v>0</v>
      </c>
      <c r="BS156" s="59" t="n">
        <f aca="false">IF(BR156=0,0,IF(N(R156)&gt;0,R156,IFERROR(VLOOKUP(D156,Parameter!$A$35:$C$64,3,0)+0,0)))</f>
        <v>0</v>
      </c>
      <c r="BT156" s="55" t="n">
        <f aca="false">IF(Y156&lt;&gt;"",Y156,X156)</f>
        <v>3</v>
      </c>
      <c r="BU156" s="55" t="str">
        <f aca="false">IF(BT156=1,"L1",IF(OR(BT156=2,BT156=3),"L23",IF(BT156="Aussen","Aussen","-")))</f>
        <v>L23</v>
      </c>
      <c r="BV156" s="66" t="n">
        <f aca="false">IF(N(Z156)&gt;0,Z156,0)</f>
        <v>0</v>
      </c>
      <c r="BW156" s="60" t="n">
        <f aca="false">IF(ISNUMBER(AC156),1,0)</f>
        <v>0</v>
      </c>
      <c r="BX156" s="57" t="n">
        <f aca="false">N(AC156)</f>
        <v>0</v>
      </c>
      <c r="BY156" s="57" t="n">
        <f aca="false">N(L156)+N(M156)</f>
        <v>62</v>
      </c>
      <c r="BZ156" s="57" t="n">
        <f aca="false">ROUNDUP(G156/BQ156,0)</f>
        <v>1</v>
      </c>
      <c r="CA156" s="57" t="n">
        <f aca="false">ROUNDUP(BX156/BQ156,0)</f>
        <v>0</v>
      </c>
      <c r="CB156" s="60" t="n">
        <f aca="false">IF(BR156=1,0,IFERROR(VLOOKUP(BP156,'Gebinde-Kategorie'!$A$5:$M$45,5,0)+0,0))</f>
        <v>11</v>
      </c>
      <c r="CC156" s="60" t="n">
        <f aca="false">IFERROR(IF(OR(BT156=1,BT156=2,BT156=3),N(INDEX(Parameter!$I$5:$I$7,BT156)),0),0)</f>
        <v>0</v>
      </c>
      <c r="CD156" s="59" t="n">
        <f aca="false">IF(AND(Parameter!$B$21="Ja",ISNUMBER(U156),N(V156)&gt;0),IFERROR(N(INDEX(Parameter!$L$5:$L$7,U156))*INDEX(Parameter!$E$5:$E$7,U156)*V156/SUMIFS($V$7:$V$1576,$U$7:$U$1576,U156),0),0)</f>
        <v>0</v>
      </c>
    </row>
    <row r="157" customFormat="false" ht="15" hidden="false" customHeight="false" outlineLevel="0" collapsed="false">
      <c r="A157" s="55" t="s">
        <v>510</v>
      </c>
      <c r="B157" s="55" t="s">
        <v>511</v>
      </c>
      <c r="C157" s="55" t="s">
        <v>160</v>
      </c>
      <c r="D157" s="55" t="s">
        <v>168</v>
      </c>
      <c r="E157" s="55" t="s">
        <v>210</v>
      </c>
      <c r="F157" s="56" t="n">
        <v>421.59</v>
      </c>
      <c r="G157" s="57" t="n">
        <f aca="false">MAX(0,IF(AND(Parameter!$B$21="Ja",ISNUMBER(W157)),W157,IF(Parameter!$B$20="Jahresanfang 2025 + Export",BJ157+BI157,BI157)))</f>
        <v>3</v>
      </c>
      <c r="H157" s="57" t="n">
        <f aca="false">G157*F157</f>
        <v>1264.77</v>
      </c>
      <c r="I157" s="57" t="n">
        <f aca="false">BL157*Parameter!$B$18</f>
        <v>0</v>
      </c>
      <c r="J157" s="58" t="n">
        <v>5.5</v>
      </c>
      <c r="K157" s="59" t="n">
        <v>0</v>
      </c>
      <c r="L157" s="57" t="n">
        <v>0</v>
      </c>
      <c r="M157" s="57" t="n">
        <v>1</v>
      </c>
      <c r="N157" s="60" t="n">
        <v>30</v>
      </c>
      <c r="O157" s="55" t="s">
        <v>169</v>
      </c>
      <c r="P157" s="57" t="n">
        <v>7</v>
      </c>
      <c r="Q157" s="60" t="n">
        <f aca="false">IF(BR157=1,0,IFERROR(VLOOKUP(BP157,'Gebinde-Kategorie'!$A$5:$M$45,13,0)+0,0))</f>
        <v>6</v>
      </c>
      <c r="R157" s="61"/>
      <c r="S157" s="62"/>
      <c r="T157" s="62"/>
      <c r="U157" s="55"/>
      <c r="V157" s="57"/>
      <c r="W157" s="57"/>
      <c r="X157" s="55" t="n">
        <f aca="false">IF(A157="","",IF(AND(Parameter!$B$21="Ja",ISNUMBER(U157)),U157,IF(IFERROR(VLOOKUP(D157,Parameter!$A$35:$C$64,2,0),"Nein")="2+3",IF(ISNUMBER(SEARCH("grosser Artikel",BM157)),2,IFERROR(VLOOKUP(BP157,Parameter!$F$35:$G$64,2,0),2)),IF(OR(IFERROR(VLOOKUP(D157,Parameter!$A$35:$C$64,2,0),"Nein")="Nein",IFERROR(VLOOKUP(D157,Parameter!$A$35:$C$64,2,0),"Nein")=""),"-",VLOOKUP(D157,Parameter!$A$35:$C$64,2,0)))))</f>
        <v>2</v>
      </c>
      <c r="Y157" s="62"/>
      <c r="Z157" s="63"/>
      <c r="AA157" s="57" t="n">
        <f aca="false">AP157</f>
        <v>7</v>
      </c>
      <c r="AB157" s="57" t="n">
        <f aca="false">MAX(AP157,G157)</f>
        <v>7</v>
      </c>
      <c r="AC157" s="64"/>
      <c r="AD157" s="57" t="n">
        <f aca="false">IF(LEFT(Cockpit!$C$5,1)="A",G157,IF(BW157=1,BX157,IF(LEFT(Cockpit!$C$5,1)="B",AH157,MAX(AH157,G157))))</f>
        <v>3</v>
      </c>
      <c r="AE157" s="57" t="n">
        <f aca="false">IF(BR157=1,0,ROUNDUP(AD157/BQ157,0))</f>
        <v>1</v>
      </c>
      <c r="AF157" s="59" t="n">
        <f aca="false">IF(CD157&gt;0,CD157*MAX(1,AD157/V157),IF(BR157=1,IF(AD157&lt;=0,0,BS157*MAX(1,IF(G157&gt;0,AD157/G157,1))),IF(Q157&gt;0,AE157/Q157,0))/MAX(0.1,N(Parameter!$M$21)))</f>
        <v>0.166666666666667</v>
      </c>
      <c r="AG157" s="57" t="n">
        <f aca="false">AD157*F157</f>
        <v>1264.77</v>
      </c>
      <c r="AH157" s="57" t="n">
        <f aca="false">ROUNDUP(MAX(I157/IF(BV157&gt;0,BV157,MAX(0.1,N(Cockpit!$C$6))),BY157)/BQ157,0)*BQ157</f>
        <v>7</v>
      </c>
      <c r="AI157" s="58" t="n">
        <f aca="false">IF(AF157&gt;0,I157/AF157,-1)</f>
        <v>0</v>
      </c>
      <c r="AJ157" s="58" t="n">
        <f aca="false">IF(AND(OR(BU157="L1",BU157="L23"),AF157&gt;0),SUMIFS($AF$7:$AF$1576,$BU$7:$BU$1576,BU157,$AI$7:$AI$1576,"&gt;"&amp;AI157)+SUMIFS($AF$7:$AF$1576,$BU$7:$BU$1576,BU157,$AI$7:$AI$1576,AI157,$BO$7:$BO$1576,"&lt;="&amp;BO157),"")</f>
        <v>38.9436073105638</v>
      </c>
      <c r="AK157" s="65" t="n">
        <f aca="false">IF(AJ157="",0,MAX(0,MIN(1,(IF(BU157="L1",Parameter!$E$5,Parameter!$E$6+Parameter!$E$7)-(AJ157-AF157))/AF157)))</f>
        <v>1</v>
      </c>
      <c r="AL157" s="57" t="n">
        <f aca="false">IF(LEFT(Cockpit!$I$5,1)="A",G157,IF(BW157=1,BX157,IF(LEFT(Cockpit!$I$5,1)="B",AP157,MAX(AP157,G157))))</f>
        <v>7</v>
      </c>
      <c r="AM157" s="57" t="n">
        <f aca="false">IF(BR157=1,0,ROUNDUP(AL157/BQ157,0))</f>
        <v>1</v>
      </c>
      <c r="AN157" s="59" t="n">
        <f aca="false">IF(CD157&gt;0,CD157*MAX(1,AL157/V157),IF(BR157=1,IF(AL157&lt;=0,0,BS157*MAX(1,IF(G157&gt;0,AL157/G157,1))),IF(Q157&gt;0,AM157/Q157,0))/MAX(0.1,N(Parameter!$M$21)))</f>
        <v>0.166666666666667</v>
      </c>
      <c r="AO157" s="57" t="n">
        <f aca="false">AL157*F157</f>
        <v>2951.13</v>
      </c>
      <c r="AP157" s="57" t="n">
        <f aca="false">ROUNDUP(MAX(I157/IF(BV157&gt;0,BV157,MAX(0.1,N(Cockpit!$I$6))),BY157)/BQ157,0)*BQ157</f>
        <v>7</v>
      </c>
      <c r="AQ157" s="58" t="n">
        <f aca="false">IF(AN157&gt;0,I157/AN157,-1)</f>
        <v>0</v>
      </c>
      <c r="AR157" s="58" t="n">
        <f aca="false">IF(AND(OR(BU157="L1",BU157="L23"),AN157&gt;0),SUMIFS($AN$7:$AN$1576,$BU$7:$BU$1576,BU157,$AQ$7:$AQ$1576,"&gt;"&amp;AQ157)+SUMIFS($AN$7:$AN$1576,$BU$7:$BU$1576,BU157,$AQ$7:$AQ$1576,AQ157,$BO$7:$BO$1576,"&lt;="&amp;BO157),"")</f>
        <v>121.817813060353</v>
      </c>
      <c r="AS157" s="65" t="n">
        <f aca="false">IF(AR157="",0,MAX(0,MIN(1,(IF(BU157="L1",Parameter!$E$5,Parameter!$E$6+Parameter!$E$7)-(AR157-AN157))/AN157)))</f>
        <v>0</v>
      </c>
      <c r="AT157" s="57" t="n">
        <f aca="false">IF(LEFT(Cockpit!$O$5,1)="A",G157,IF(BW157=1,BX157,IF(LEFT(Cockpit!$O$5,1)="B",AX157,MAX(AX157,G157))))</f>
        <v>7</v>
      </c>
      <c r="AU157" s="57" t="n">
        <f aca="false">IF(BR157=1,0,ROUNDUP(AT157/BQ157,0))</f>
        <v>1</v>
      </c>
      <c r="AV157" s="59" t="n">
        <f aca="false">IF(CD157&gt;0,CD157*MAX(1,AT157/V157),IF(BR157=1,IF(AT157&lt;=0,0,BS157*MAX(1,IF(G157&gt;0,AT157/G157,1))),IF(Q157&gt;0,AU157/Q157,0))/MAX(0.1,N(Parameter!$M$21)))</f>
        <v>0.166666666666667</v>
      </c>
      <c r="AW157" s="57" t="n">
        <f aca="false">AT157*F157</f>
        <v>2951.13</v>
      </c>
      <c r="AX157" s="57" t="n">
        <f aca="false">ROUNDUP(MAX(I157/IF(BV157&gt;0,BV157,MAX(0.1,N(Cockpit!$O$6))),BY157)/BQ157,0)*BQ157</f>
        <v>7</v>
      </c>
      <c r="AY157" s="58" t="n">
        <f aca="false">IF(AV157&gt;0,I157/AV157,-1)</f>
        <v>0</v>
      </c>
      <c r="AZ157" s="58" t="n">
        <f aca="false">IF(AND(OR(BU157="L1",BU157="L23"),AV157&gt;0),SUMIFS($AV$7:$AV$1576,$BU$7:$BU$1576,BU157,$AY$7:$AY$1576,"&gt;"&amp;AY157)+SUMIFS($AV$7:$AV$1576,$BU$7:$BU$1576,BU157,$AY$7:$AY$1576,AY157,$BO$7:$BO$1576,"&lt;="&amp;BO157),"")</f>
        <v>111.877363509904</v>
      </c>
      <c r="BA157" s="65" t="n">
        <f aca="false">IF(AZ157="",0,MAX(0,MIN(1,(IF(BU157="L1",Parameter!$E$5,Parameter!$E$6+Parameter!$E$7)-(AZ157-AV157))/AV157)))</f>
        <v>0</v>
      </c>
      <c r="BB157" s="55" t="str">
        <f aca="false">IF(AF157&lt;=0,"",IF(BU157="Aussen","Aussenlager",IF(BU157="-","Nicht im Lift",IF(AK157&gt;=1,"Lift",IF(AK157&lt;=0,"Aussenlager","teilweise")))))</f>
        <v>Lift</v>
      </c>
      <c r="BC157" s="55" t="str">
        <f aca="false">IF(AN157&lt;=0,"",IF(BU157="Aussen","Aussenlager",IF(BU157="-","Nicht im Lift",IF(AS157&gt;=1,"Lift",IF(AS157&lt;=0,"Aussenlager","teilweise")))))</f>
        <v>Aussenlager</v>
      </c>
      <c r="BD157" s="55" t="str">
        <f aca="false">IF(AV157&lt;=0,"",IF(BU157="Aussen","Aussenlager",IF(BU157="-","Nicht im Lift",IF(BA157&gt;=1,"Lift",IF(BA157&lt;=0,"Aussenlager","teilweise")))))</f>
        <v>Aussenlager</v>
      </c>
      <c r="BE157" s="55" t="str">
        <f aca="false">IF(A157="","",IF(BN157=1,"Neu; ","")&amp;IF(AND(BN157=0,BI157&lt;0),"negativer Bestand (Export "&amp;BI157&amp;"); ","")&amp;IF(I157&lt;=0,"Kein Verbrauch; ","")&amp;IF(CD157&gt;0,"Lift "&amp;U157&amp;" lt. Liftbericht (Fach "&amp;V157&amp;" Stk); ",IF(BR157=1,"Lose – Fläche geschätzt; ",""))&amp;IF(G157&gt;AP157,"Überbestand "&amp;ROUND(G157-AP157,0)&amp;" Stk / CHF "&amp;ROUND((G157-AP157)*F157,0)&amp;"; ","")&amp;IF(AND(BW157=1,BX157&lt;BY157),"MAX &lt; MB+LG; ","")&amp;IF(AND(CC157&gt;0,CB157*10&gt;CC157),"zu hoch für Tablar; ","")&amp;IF(AND(BN157=0,OR(BW157=1,Y157&lt;&gt;"",S157&lt;&gt;"",T157&lt;&gt;"",Z157&lt;&gt;"")),"manuell übersteuert; ","")&amp;IF(AND(BR157=0,Q157=0),"Gebinde unbekannt / Stellmass fehlt; ","")&amp;IF(AND(BR157=0,N(T157)&lt;=0,N(P157)&lt;=0),"Menge pro Gebinde fehlt (Ist = 1 Gebinde); ","")&amp;BM157)</f>
        <v>Kein Verbrauch; grosser Artikel &amp; nicht im KTL</v>
      </c>
      <c r="BF157" s="55"/>
      <c r="BG157" s="55"/>
      <c r="BH157" s="62"/>
      <c r="BI157" s="57" t="n">
        <v>3</v>
      </c>
      <c r="BJ157" s="57" t="n">
        <v>4</v>
      </c>
      <c r="BK157" s="56" t="n">
        <v>1264.77</v>
      </c>
      <c r="BL157" s="57" t="n">
        <v>0</v>
      </c>
      <c r="BM157" s="55" t="s">
        <v>253</v>
      </c>
      <c r="BN157" s="60" t="n">
        <v>0</v>
      </c>
      <c r="BO157" s="60" t="n">
        <v>157</v>
      </c>
      <c r="BP157" s="55" t="str">
        <f aca="false">IF(S157&lt;&gt;"",UPPER(TRIM(S157)),IF(O157="","LOSE",O157))</f>
        <v>S71</v>
      </c>
      <c r="BQ157" s="57" t="n">
        <f aca="false">IF(BP157="LOSE",1,IF(N(T157)&gt;0,T157,IF(N(P157)&gt;0,P157,MAX(1,G157))))</f>
        <v>7</v>
      </c>
      <c r="BR157" s="60" t="n">
        <f aca="false">IF(BP157="LOSE",1,0)</f>
        <v>0</v>
      </c>
      <c r="BS157" s="59" t="n">
        <f aca="false">IF(BR157=0,0,IF(N(R157)&gt;0,R157,IFERROR(VLOOKUP(D157,Parameter!$A$35:$C$64,3,0)+0,0)))</f>
        <v>0</v>
      </c>
      <c r="BT157" s="55" t="n">
        <f aca="false">IF(Y157&lt;&gt;"",Y157,X157)</f>
        <v>2</v>
      </c>
      <c r="BU157" s="55" t="str">
        <f aca="false">IF(BT157=1,"L1",IF(OR(BT157=2,BT157=3),"L23",IF(BT157="Aussen","Aussen","-")))</f>
        <v>L23</v>
      </c>
      <c r="BV157" s="66" t="n">
        <f aca="false">IF(N(Z157)&gt;0,Z157,0)</f>
        <v>0</v>
      </c>
      <c r="BW157" s="60" t="n">
        <f aca="false">IF(ISNUMBER(AC157),1,0)</f>
        <v>0</v>
      </c>
      <c r="BX157" s="57" t="n">
        <f aca="false">N(AC157)</f>
        <v>0</v>
      </c>
      <c r="BY157" s="57" t="n">
        <f aca="false">N(L157)+N(M157)</f>
        <v>1</v>
      </c>
      <c r="BZ157" s="57" t="n">
        <f aca="false">ROUNDUP(G157/BQ157,0)</f>
        <v>1</v>
      </c>
      <c r="CA157" s="57" t="n">
        <f aca="false">ROUNDUP(BX157/BQ157,0)</f>
        <v>0</v>
      </c>
      <c r="CB157" s="60" t="n">
        <f aca="false">IF(BR157=1,0,IFERROR(VLOOKUP(BP157,'Gebinde-Kategorie'!$A$5:$M$45,5,0)+0,0))</f>
        <v>20</v>
      </c>
      <c r="CC157" s="60" t="n">
        <f aca="false">IFERROR(IF(OR(BT157=1,BT157=2,BT157=3),N(INDEX(Parameter!$I$5:$I$7,BT157)),0),0)</f>
        <v>0</v>
      </c>
      <c r="CD157" s="59" t="n">
        <f aca="false">IF(AND(Parameter!$B$21="Ja",ISNUMBER(U157),N(V157)&gt;0),IFERROR(N(INDEX(Parameter!$L$5:$L$7,U157))*INDEX(Parameter!$E$5:$E$7,U157)*V157/SUMIFS($V$7:$V$1576,$U$7:$U$1576,U157),0),0)</f>
        <v>0</v>
      </c>
    </row>
    <row r="158" customFormat="false" ht="15" hidden="false" customHeight="false" outlineLevel="0" collapsed="false">
      <c r="A158" s="55" t="s">
        <v>512</v>
      </c>
      <c r="B158" s="55" t="s">
        <v>513</v>
      </c>
      <c r="C158" s="55" t="s">
        <v>160</v>
      </c>
      <c r="D158" s="55" t="s">
        <v>178</v>
      </c>
      <c r="E158" s="55" t="s">
        <v>210</v>
      </c>
      <c r="F158" s="56" t="n">
        <v>4.82</v>
      </c>
      <c r="G158" s="57" t="n">
        <f aca="false">MAX(0,IF(AND(Parameter!$B$21="Ja",ISNUMBER(W158)),W158,IF(Parameter!$B$20="Jahresanfang 2025 + Export",BJ158+BI158,BI158)))</f>
        <v>259</v>
      </c>
      <c r="H158" s="57" t="n">
        <f aca="false">G158*F158</f>
        <v>1248.38</v>
      </c>
      <c r="I158" s="57" t="n">
        <f aca="false">BL158*Parameter!$B$18</f>
        <v>386</v>
      </c>
      <c r="J158" s="58" t="n">
        <v>85.5</v>
      </c>
      <c r="K158" s="59" t="n">
        <v>4.51461988304094</v>
      </c>
      <c r="L158" s="57" t="n">
        <v>15</v>
      </c>
      <c r="M158" s="57" t="n">
        <v>390</v>
      </c>
      <c r="N158" s="60" t="n">
        <v>14</v>
      </c>
      <c r="O158" s="55" t="s">
        <v>225</v>
      </c>
      <c r="P158" s="57" t="n">
        <v>131</v>
      </c>
      <c r="Q158" s="60" t="n">
        <f aca="false">IF(BR158=1,0,IFERROR(VLOOKUP(BP158,'Gebinde-Kategorie'!$A$5:$M$45,13,0)+0,0))</f>
        <v>26</v>
      </c>
      <c r="R158" s="61"/>
      <c r="S158" s="62"/>
      <c r="T158" s="62"/>
      <c r="U158" s="55"/>
      <c r="V158" s="57"/>
      <c r="W158" s="57"/>
      <c r="X158" s="55" t="n">
        <f aca="false">IF(A158="","",IF(AND(Parameter!$B$21="Ja",ISNUMBER(U158)),U158,IF(IFERROR(VLOOKUP(D158,Parameter!$A$35:$C$64,2,0),"Nein")="2+3",IF(ISNUMBER(SEARCH("grosser Artikel",BM158)),2,IFERROR(VLOOKUP(BP158,Parameter!$F$35:$G$64,2,0),2)),IF(OR(IFERROR(VLOOKUP(D158,Parameter!$A$35:$C$64,2,0),"Nein")="Nein",IFERROR(VLOOKUP(D158,Parameter!$A$35:$C$64,2,0),"Nein")=""),"-",VLOOKUP(D158,Parameter!$A$35:$C$64,2,0)))))</f>
        <v>3</v>
      </c>
      <c r="Y158" s="62"/>
      <c r="Z158" s="63"/>
      <c r="AA158" s="57" t="n">
        <f aca="false">AP158</f>
        <v>524</v>
      </c>
      <c r="AB158" s="57" t="n">
        <f aca="false">MAX(AP158,G158)</f>
        <v>524</v>
      </c>
      <c r="AC158" s="64"/>
      <c r="AD158" s="57" t="n">
        <f aca="false">IF(LEFT(Cockpit!$C$5,1)="A",G158,IF(BW158=1,BX158,IF(LEFT(Cockpit!$C$5,1)="B",AH158,MAX(AH158,G158))))</f>
        <v>259</v>
      </c>
      <c r="AE158" s="57" t="n">
        <f aca="false">IF(BR158=1,0,ROUNDUP(AD158/BQ158,0))</f>
        <v>2</v>
      </c>
      <c r="AF158" s="59" t="n">
        <f aca="false">IF(CD158&gt;0,CD158*MAX(1,AD158/V158),IF(BR158=1,IF(AD158&lt;=0,0,BS158*MAX(1,IF(G158&gt;0,AD158/G158,1))),IF(Q158&gt;0,AE158/Q158,0))/MAX(0.1,N(Parameter!$M$21)))</f>
        <v>0.0769230769230769</v>
      </c>
      <c r="AG158" s="57" t="n">
        <f aca="false">AD158*F158</f>
        <v>1248.38</v>
      </c>
      <c r="AH158" s="57" t="n">
        <f aca="false">ROUNDUP(MAX(I158/IF(BV158&gt;0,BV158,MAX(0.1,N(Cockpit!$C$6))),BY158)/BQ158,0)*BQ158</f>
        <v>524</v>
      </c>
      <c r="AI158" s="58" t="n">
        <f aca="false">IF(AF158&gt;0,I158/AF158,-1)</f>
        <v>5018</v>
      </c>
      <c r="AJ158" s="58" t="n">
        <f aca="false">IF(AND(OR(BU158="L1",BU158="L23"),AF158&gt;0),SUMIFS($AF$7:$AF$1576,$BU$7:$BU$1576,BU158,$AI$7:$AI$1576,"&gt;"&amp;AI158)+SUMIFS($AF$7:$AF$1576,$BU$7:$BU$1576,BU158,$AI$7:$AI$1576,AI158,$BO$7:$BO$1576,"&lt;="&amp;BO158),"")</f>
        <v>3.80700280395933</v>
      </c>
      <c r="AK158" s="65" t="n">
        <f aca="false">IF(AJ158="",0,MAX(0,MIN(1,(IF(BU158="L1",Parameter!$E$5,Parameter!$E$6+Parameter!$E$7)-(AJ158-AF158))/AF158)))</f>
        <v>1</v>
      </c>
      <c r="AL158" s="57" t="n">
        <f aca="false">IF(LEFT(Cockpit!$I$5,1)="A",G158,IF(BW158=1,BX158,IF(LEFT(Cockpit!$I$5,1)="B",AP158,MAX(AP158,G158))))</f>
        <v>524</v>
      </c>
      <c r="AM158" s="57" t="n">
        <f aca="false">IF(BR158=1,0,ROUNDUP(AL158/BQ158,0))</f>
        <v>4</v>
      </c>
      <c r="AN158" s="59" t="n">
        <f aca="false">IF(CD158&gt;0,CD158*MAX(1,AL158/V158),IF(BR158=1,IF(AL158&lt;=0,0,BS158*MAX(1,IF(G158&gt;0,AL158/G158,1))),IF(Q158&gt;0,AM158/Q158,0))/MAX(0.1,N(Parameter!$M$21)))</f>
        <v>0.153846153846154</v>
      </c>
      <c r="AO158" s="57" t="n">
        <f aca="false">AL158*F158</f>
        <v>2525.68</v>
      </c>
      <c r="AP158" s="57" t="n">
        <f aca="false">ROUNDUP(MAX(I158/IF(BV158&gt;0,BV158,MAX(0.1,N(Cockpit!$I$6))),BY158)/BQ158,0)*BQ158</f>
        <v>524</v>
      </c>
      <c r="AQ158" s="58" t="n">
        <f aca="false">IF(AN158&gt;0,I158/AN158,-1)</f>
        <v>2509</v>
      </c>
      <c r="AR158" s="58" t="n">
        <f aca="false">IF(AND(OR(BU158="L1",BU158="L23"),AN158&gt;0),SUMIFS($AN$7:$AN$1576,$BU$7:$BU$1576,BU158,$AQ$7:$AQ$1576,"&gt;"&amp;AQ158)+SUMIFS($AN$7:$AN$1576,$BU$7:$BU$1576,BU158,$AQ$7:$AQ$1576,AQ158,$BO$7:$BO$1576,"&lt;="&amp;BO158),"")</f>
        <v>15.4050514826713</v>
      </c>
      <c r="AS158" s="65" t="n">
        <f aca="false">IF(AR158="",0,MAX(0,MIN(1,(IF(BU158="L1",Parameter!$E$5,Parameter!$E$6+Parameter!$E$7)-(AR158-AN158))/AN158)))</f>
        <v>1</v>
      </c>
      <c r="AT158" s="57" t="n">
        <f aca="false">IF(LEFT(Cockpit!$O$5,1)="A",G158,IF(BW158=1,BX158,IF(LEFT(Cockpit!$O$5,1)="B",AX158,MAX(AX158,G158))))</f>
        <v>524</v>
      </c>
      <c r="AU158" s="57" t="n">
        <f aca="false">IF(BR158=1,0,ROUNDUP(AT158/BQ158,0))</f>
        <v>4</v>
      </c>
      <c r="AV158" s="59" t="n">
        <f aca="false">IF(CD158&gt;0,CD158*MAX(1,AT158/V158),IF(BR158=1,IF(AT158&lt;=0,0,BS158*MAX(1,IF(G158&gt;0,AT158/G158,1))),IF(Q158&gt;0,AU158/Q158,0))/MAX(0.1,N(Parameter!$M$21)))</f>
        <v>0.153846153846154</v>
      </c>
      <c r="AW158" s="57" t="n">
        <f aca="false">AT158*F158</f>
        <v>2525.68</v>
      </c>
      <c r="AX158" s="57" t="n">
        <f aca="false">ROUNDUP(MAX(I158/IF(BV158&gt;0,BV158,MAX(0.1,N(Cockpit!$O$6))),BY158)/BQ158,0)*BQ158</f>
        <v>524</v>
      </c>
      <c r="AY158" s="58" t="n">
        <f aca="false">IF(AV158&gt;0,I158/AV158,-1)</f>
        <v>2509</v>
      </c>
      <c r="AZ158" s="58" t="n">
        <f aca="false">IF(AND(OR(BU158="L1",BU158="L23"),AV158&gt;0),SUMIFS($AV$7:$AV$1576,$BU$7:$BU$1576,BU158,$AY$7:$AY$1576,"&gt;"&amp;AY158)+SUMIFS($AV$7:$AV$1576,$BU$7:$BU$1576,BU158,$AY$7:$AY$1576,AY158,$BO$7:$BO$1576,"&lt;="&amp;BO158),"")</f>
        <v>14.2092472868671</v>
      </c>
      <c r="BA158" s="65" t="n">
        <f aca="false">IF(AZ158="",0,MAX(0,MIN(1,(IF(BU158="L1",Parameter!$E$5,Parameter!$E$6+Parameter!$E$7)-(AZ158-AV158))/AV158)))</f>
        <v>1</v>
      </c>
      <c r="BB158" s="55" t="str">
        <f aca="false">IF(AF158&lt;=0,"",IF(BU158="Aussen","Aussenlager",IF(BU158="-","Nicht im Lift",IF(AK158&gt;=1,"Lift",IF(AK158&lt;=0,"Aussenlager","teilweise")))))</f>
        <v>Lift</v>
      </c>
      <c r="BC158" s="55" t="str">
        <f aca="false">IF(AN158&lt;=0,"",IF(BU158="Aussen","Aussenlager",IF(BU158="-","Nicht im Lift",IF(AS158&gt;=1,"Lift",IF(AS158&lt;=0,"Aussenlager","teilweise")))))</f>
        <v>Lift</v>
      </c>
      <c r="BD158" s="55" t="str">
        <f aca="false">IF(AV158&lt;=0,"",IF(BU158="Aussen","Aussenlager",IF(BU158="-","Nicht im Lift",IF(BA158&gt;=1,"Lift",IF(BA158&lt;=0,"Aussenlager","teilweise")))))</f>
        <v>Lift</v>
      </c>
      <c r="BE158" s="55" t="str">
        <f aca="false">IF(A158="","",IF(BN158=1,"Neu; ","")&amp;IF(AND(BN158=0,BI158&lt;0),"negativer Bestand (Export "&amp;BI158&amp;"); ","")&amp;IF(I158&lt;=0,"Kein Verbrauch; ","")&amp;IF(CD158&gt;0,"Lift "&amp;U158&amp;" lt. Liftbericht (Fach "&amp;V158&amp;" Stk); ",IF(BR158=1,"Lose – Fläche geschätzt; ",""))&amp;IF(G158&gt;AP158,"Überbestand "&amp;ROUND(G158-AP158,0)&amp;" Stk / CHF "&amp;ROUND((G158-AP158)*F158,0)&amp;"; ","")&amp;IF(AND(BW158=1,BX158&lt;BY158),"MAX &lt; MB+LG; ","")&amp;IF(AND(CC158&gt;0,CB158*10&gt;CC158),"zu hoch für Tablar; ","")&amp;IF(AND(BN158=0,OR(BW158=1,Y158&lt;&gt;"",S158&lt;&gt;"",T158&lt;&gt;"",Z158&lt;&gt;"")),"manuell übersteuert; ","")&amp;IF(AND(BR158=0,Q158=0),"Gebinde unbekannt / Stellmass fehlt; ","")&amp;IF(AND(BR158=0,N(T158)&lt;=0,N(P158)&lt;=0),"Menge pro Gebinde fehlt (Ist = 1 Gebinde); ","")&amp;BM158)</f>
        <v/>
      </c>
      <c r="BF158" s="55"/>
      <c r="BG158" s="55"/>
      <c r="BH158" s="62"/>
      <c r="BI158" s="57" t="n">
        <v>259</v>
      </c>
      <c r="BJ158" s="57" t="n">
        <v>80</v>
      </c>
      <c r="BK158" s="56" t="n">
        <v>1249.1</v>
      </c>
      <c r="BL158" s="57" t="n">
        <v>386</v>
      </c>
      <c r="BM158" s="55"/>
      <c r="BN158" s="60" t="n">
        <v>0</v>
      </c>
      <c r="BO158" s="60" t="n">
        <v>158</v>
      </c>
      <c r="BP158" s="55" t="str">
        <f aca="false">IF(S158&lt;&gt;"",UPPER(TRIM(S158)),IF(O158="","LOSE",O158))</f>
        <v>S52</v>
      </c>
      <c r="BQ158" s="57" t="n">
        <f aca="false">IF(BP158="LOSE",1,IF(N(T158)&gt;0,T158,IF(N(P158)&gt;0,P158,MAX(1,G158))))</f>
        <v>131</v>
      </c>
      <c r="BR158" s="60" t="n">
        <f aca="false">IF(BP158="LOSE",1,0)</f>
        <v>0</v>
      </c>
      <c r="BS158" s="59" t="n">
        <f aca="false">IF(BR158=0,0,IF(N(R158)&gt;0,R158,IFERROR(VLOOKUP(D158,Parameter!$A$35:$C$64,3,0)+0,0)))</f>
        <v>0</v>
      </c>
      <c r="BT158" s="55" t="n">
        <f aca="false">IF(Y158&lt;&gt;"",Y158,X158)</f>
        <v>3</v>
      </c>
      <c r="BU158" s="55" t="str">
        <f aca="false">IF(BT158=1,"L1",IF(OR(BT158=2,BT158=3),"L23",IF(BT158="Aussen","Aussen","-")))</f>
        <v>L23</v>
      </c>
      <c r="BV158" s="66" t="n">
        <f aca="false">IF(N(Z158)&gt;0,Z158,0)</f>
        <v>0</v>
      </c>
      <c r="BW158" s="60" t="n">
        <f aca="false">IF(ISNUMBER(AC158),1,0)</f>
        <v>0</v>
      </c>
      <c r="BX158" s="57" t="n">
        <f aca="false">N(AC158)</f>
        <v>0</v>
      </c>
      <c r="BY158" s="57" t="n">
        <f aca="false">N(L158)+N(M158)</f>
        <v>405</v>
      </c>
      <c r="BZ158" s="57" t="n">
        <f aca="false">ROUNDUP(G158/BQ158,0)</f>
        <v>2</v>
      </c>
      <c r="CA158" s="57" t="n">
        <f aca="false">ROUNDUP(BX158/BQ158,0)</f>
        <v>0</v>
      </c>
      <c r="CB158" s="60" t="n">
        <f aca="false">IF(BR158=1,0,IFERROR(VLOOKUP(BP158,'Gebinde-Kategorie'!$A$5:$M$45,5,0)+0,0))</f>
        <v>21</v>
      </c>
      <c r="CC158" s="60" t="n">
        <f aca="false">IFERROR(IF(OR(BT158=1,BT158=2,BT158=3),N(INDEX(Parameter!$I$5:$I$7,BT158)),0),0)</f>
        <v>0</v>
      </c>
      <c r="CD158" s="59" t="n">
        <f aca="false">IF(AND(Parameter!$B$21="Ja",ISNUMBER(U158),N(V158)&gt;0),IFERROR(N(INDEX(Parameter!$L$5:$L$7,U158))*INDEX(Parameter!$E$5:$E$7,U158)*V158/SUMIFS($V$7:$V$1576,$U$7:$U$1576,U158),0),0)</f>
        <v>0</v>
      </c>
    </row>
    <row r="159" customFormat="false" ht="15" hidden="false" customHeight="false" outlineLevel="0" collapsed="false">
      <c r="A159" s="55" t="s">
        <v>514</v>
      </c>
      <c r="B159" s="55" t="s">
        <v>515</v>
      </c>
      <c r="C159" s="55" t="s">
        <v>160</v>
      </c>
      <c r="D159" s="55" t="s">
        <v>168</v>
      </c>
      <c r="E159" s="55" t="s">
        <v>210</v>
      </c>
      <c r="F159" s="56" t="n">
        <v>103.6</v>
      </c>
      <c r="G159" s="57" t="n">
        <f aca="false">MAX(0,IF(AND(Parameter!$B$21="Ja",ISNUMBER(W159)),W159,IF(Parameter!$B$20="Jahresanfang 2025 + Export",BJ159+BI159,BI159)))</f>
        <v>14</v>
      </c>
      <c r="H159" s="57" t="n">
        <f aca="false">G159*F159</f>
        <v>1450.4</v>
      </c>
      <c r="I159" s="57" t="n">
        <f aca="false">BL159*Parameter!$B$18</f>
        <v>151</v>
      </c>
      <c r="J159" s="58" t="n">
        <v>35.5</v>
      </c>
      <c r="K159" s="59" t="n">
        <v>4.25352112676056</v>
      </c>
      <c r="L159" s="57" t="n">
        <v>15</v>
      </c>
      <c r="M159" s="57" t="n">
        <v>55</v>
      </c>
      <c r="N159" s="60" t="n">
        <v>28</v>
      </c>
      <c r="O159" s="55" t="s">
        <v>163</v>
      </c>
      <c r="P159" s="57"/>
      <c r="Q159" s="60" t="n">
        <f aca="false">IF(BR159=1,0,IFERROR(VLOOKUP(BP159,'Gebinde-Kategorie'!$A$5:$M$45,13,0)+0,0))</f>
        <v>0</v>
      </c>
      <c r="R159" s="61"/>
      <c r="S159" s="62"/>
      <c r="T159" s="62"/>
      <c r="U159" s="55"/>
      <c r="V159" s="57"/>
      <c r="W159" s="57"/>
      <c r="X159" s="55" t="n">
        <f aca="false">IF(A159="","",IF(AND(Parameter!$B$21="Ja",ISNUMBER(U159)),U159,IF(IFERROR(VLOOKUP(D159,Parameter!$A$35:$C$64,2,0),"Nein")="2+3",IF(ISNUMBER(SEARCH("grosser Artikel",BM159)),2,IFERROR(VLOOKUP(BP159,Parameter!$F$35:$G$64,2,0),2)),IF(OR(IFERROR(VLOOKUP(D159,Parameter!$A$35:$C$64,2,0),"Nein")="Nein",IFERROR(VLOOKUP(D159,Parameter!$A$35:$C$64,2,0),"Nein")=""),"-",VLOOKUP(D159,Parameter!$A$35:$C$64,2,0)))))</f>
        <v>2</v>
      </c>
      <c r="Y159" s="62"/>
      <c r="Z159" s="63"/>
      <c r="AA159" s="57" t="n">
        <f aca="false">AP159</f>
        <v>76</v>
      </c>
      <c r="AB159" s="57" t="n">
        <f aca="false">MAX(AP159,G159)</f>
        <v>76</v>
      </c>
      <c r="AC159" s="64"/>
      <c r="AD159" s="57" t="n">
        <f aca="false">IF(LEFT(Cockpit!$C$5,1)="A",G159,IF(BW159=1,BX159,IF(LEFT(Cockpit!$C$5,1)="B",AH159,MAX(AH159,G159))))</f>
        <v>14</v>
      </c>
      <c r="AE159" s="57" t="n">
        <f aca="false">IF(BR159=1,0,ROUNDUP(AD159/BQ159,0))</f>
        <v>0</v>
      </c>
      <c r="AF159" s="59" t="n">
        <f aca="false">IF(CD159&gt;0,CD159*MAX(1,AD159/V159),IF(BR159=1,IF(AD159&lt;=0,0,BS159*MAX(1,IF(G159&gt;0,AD159/G159,1))),IF(Q159&gt;0,AE159/Q159,0))/MAX(0.1,N(Parameter!$M$21)))</f>
        <v>0.15</v>
      </c>
      <c r="AG159" s="57" t="n">
        <f aca="false">AD159*F159</f>
        <v>1450.4</v>
      </c>
      <c r="AH159" s="57" t="n">
        <f aca="false">ROUNDUP(MAX(I159/IF(BV159&gt;0,BV159,MAX(0.1,N(Cockpit!$C$6))),BY159)/BQ159,0)*BQ159</f>
        <v>76</v>
      </c>
      <c r="AI159" s="58" t="n">
        <f aca="false">IF(AF159&gt;0,I159/AF159,-1)</f>
        <v>1006.66666666667</v>
      </c>
      <c r="AJ159" s="58" t="n">
        <f aca="false">IF(AND(OR(BU159="L1",BU159="L23"),AF159&gt;0),SUMIFS($AF$7:$AF$1576,$BU$7:$BU$1576,BU159,$AI$7:$AI$1576,"&gt;"&amp;AI159)+SUMIFS($AF$7:$AF$1576,$BU$7:$BU$1576,BU159,$AI$7:$AI$1576,AI159,$BO$7:$BO$1576,"&lt;="&amp;BO159),"")</f>
        <v>9.28852538765582</v>
      </c>
      <c r="AK159" s="65" t="n">
        <f aca="false">IF(AJ159="",0,MAX(0,MIN(1,(IF(BU159="L1",Parameter!$E$5,Parameter!$E$6+Parameter!$E$7)-(AJ159-AF159))/AF159)))</f>
        <v>1</v>
      </c>
      <c r="AL159" s="57" t="n">
        <f aca="false">IF(LEFT(Cockpit!$I$5,1)="A",G159,IF(BW159=1,BX159,IF(LEFT(Cockpit!$I$5,1)="B",AP159,MAX(AP159,G159))))</f>
        <v>76</v>
      </c>
      <c r="AM159" s="57" t="n">
        <f aca="false">IF(BR159=1,0,ROUNDUP(AL159/BQ159,0))</f>
        <v>0</v>
      </c>
      <c r="AN159" s="59" t="n">
        <f aca="false">IF(CD159&gt;0,CD159*MAX(1,AL159/V159),IF(BR159=1,IF(AL159&lt;=0,0,BS159*MAX(1,IF(G159&gt;0,AL159/G159,1))),IF(Q159&gt;0,AM159/Q159,0))/MAX(0.1,N(Parameter!$M$21)))</f>
        <v>0.814285714285714</v>
      </c>
      <c r="AO159" s="57" t="n">
        <f aca="false">AL159*F159</f>
        <v>7873.6</v>
      </c>
      <c r="AP159" s="57" t="n">
        <f aca="false">ROUNDUP(MAX(I159/IF(BV159&gt;0,BV159,MAX(0.1,N(Cockpit!$I$6))),BY159)/BQ159,0)*BQ159</f>
        <v>76</v>
      </c>
      <c r="AQ159" s="58" t="n">
        <f aca="false">IF(AN159&gt;0,I159/AN159,-1)</f>
        <v>185.438596491228</v>
      </c>
      <c r="AR159" s="58" t="n">
        <f aca="false">IF(AND(OR(BU159="L1",BU159="L23"),AN159&gt;0),SUMIFS($AN$7:$AN$1576,$BU$7:$BU$1576,BU159,$AQ$7:$AQ$1576,"&gt;"&amp;AQ159)+SUMIFS($AN$7:$AN$1576,$BU$7:$BU$1576,BU159,$AQ$7:$AQ$1576,AQ159,$BO$7:$BO$1576,"&lt;="&amp;BO159),"")</f>
        <v>52.2495431745543</v>
      </c>
      <c r="AS159" s="65" t="n">
        <f aca="false">IF(AR159="",0,MAX(0,MIN(1,(IF(BU159="L1",Parameter!$E$5,Parameter!$E$6+Parameter!$E$7)-(AR159-AN159))/AN159)))</f>
        <v>1</v>
      </c>
      <c r="AT159" s="57" t="n">
        <f aca="false">IF(LEFT(Cockpit!$O$5,1)="A",G159,IF(BW159=1,BX159,IF(LEFT(Cockpit!$O$5,1)="B",AX159,MAX(AX159,G159))))</f>
        <v>70</v>
      </c>
      <c r="AU159" s="57" t="n">
        <f aca="false">IF(BR159=1,0,ROUNDUP(AT159/BQ159,0))</f>
        <v>0</v>
      </c>
      <c r="AV159" s="59" t="n">
        <f aca="false">IF(CD159&gt;0,CD159*MAX(1,AT159/V159),IF(BR159=1,IF(AT159&lt;=0,0,BS159*MAX(1,IF(G159&gt;0,AT159/G159,1))),IF(Q159&gt;0,AU159/Q159,0))/MAX(0.1,N(Parameter!$M$21)))</f>
        <v>0.75</v>
      </c>
      <c r="AW159" s="57" t="n">
        <f aca="false">AT159*F159</f>
        <v>7252</v>
      </c>
      <c r="AX159" s="57" t="n">
        <f aca="false">ROUNDUP(MAX(I159/IF(BV159&gt;0,BV159,MAX(0.1,N(Cockpit!$O$6))),BY159)/BQ159,0)*BQ159</f>
        <v>70</v>
      </c>
      <c r="AY159" s="58" t="n">
        <f aca="false">IF(AV159&gt;0,I159/AV159,-1)</f>
        <v>201.333333333333</v>
      </c>
      <c r="AZ159" s="58" t="n">
        <f aca="false">IF(AND(OR(BU159="L1",BU159="L23"),AV159&gt;0),SUMIFS($AV$7:$AV$1576,$BU$7:$BU$1576,BU159,$AY$7:$AY$1576,"&gt;"&amp;AY159)+SUMIFS($AV$7:$AV$1576,$BU$7:$BU$1576,BU159,$AY$7:$AY$1576,AY159,$BO$7:$BO$1576,"&lt;="&amp;BO159),"")</f>
        <v>46.9957602907715</v>
      </c>
      <c r="BA159" s="65" t="n">
        <f aca="false">IF(AZ159="",0,MAX(0,MIN(1,(IF(BU159="L1",Parameter!$E$5,Parameter!$E$6+Parameter!$E$7)-(AZ159-AV159))/AV159)))</f>
        <v>1</v>
      </c>
      <c r="BB159" s="55" t="str">
        <f aca="false">IF(AF159&lt;=0,"",IF(BU159="Aussen","Aussenlager",IF(BU159="-","Nicht im Lift",IF(AK159&gt;=1,"Lift",IF(AK159&lt;=0,"Aussenlager","teilweise")))))</f>
        <v>Lift</v>
      </c>
      <c r="BC159" s="55" t="str">
        <f aca="false">IF(AN159&lt;=0,"",IF(BU159="Aussen","Aussenlager",IF(BU159="-","Nicht im Lift",IF(AS159&gt;=1,"Lift",IF(AS159&lt;=0,"Aussenlager","teilweise")))))</f>
        <v>Lift</v>
      </c>
      <c r="BD159" s="55" t="str">
        <f aca="false">IF(AV159&lt;=0,"",IF(BU159="Aussen","Aussenlager",IF(BU159="-","Nicht im Lift",IF(BA159&gt;=1,"Lift",IF(BA159&lt;=0,"Aussenlager","teilweise")))))</f>
        <v>Lift</v>
      </c>
      <c r="BE159" s="55" t="str">
        <f aca="false">IF(A159="","",IF(BN159=1,"Neu; ","")&amp;IF(AND(BN159=0,BI159&lt;0),"negativer Bestand (Export "&amp;BI159&amp;"); ","")&amp;IF(I159&lt;=0,"Kein Verbrauch; ","")&amp;IF(CD159&gt;0,"Lift "&amp;U159&amp;" lt. Liftbericht (Fach "&amp;V159&amp;" Stk); ",IF(BR159=1,"Lose – Fläche geschätzt; ",""))&amp;IF(G159&gt;AP159,"Überbestand "&amp;ROUND(G159-AP159,0)&amp;" Stk / CHF "&amp;ROUND((G159-AP159)*F159,0)&amp;"; ","")&amp;IF(AND(BW159=1,BX159&lt;BY159),"MAX &lt; MB+LG; ","")&amp;IF(AND(CC159&gt;0,CB159*10&gt;CC159),"zu hoch für Tablar; ","")&amp;IF(AND(BN159=0,OR(BW159=1,Y159&lt;&gt;"",S159&lt;&gt;"",T159&lt;&gt;"",Z159&lt;&gt;"")),"manuell übersteuert; ","")&amp;IF(AND(BR159=0,Q159=0),"Gebinde unbekannt / Stellmass fehlt; ","")&amp;IF(AND(BR159=0,N(T159)&lt;=0,N(P159)&lt;=0),"Menge pro Gebinde fehlt (Ist = 1 Gebinde); ","")&amp;BM159)</f>
        <v>Lose – Fläche geschätzt; </v>
      </c>
      <c r="BF159" s="55"/>
      <c r="BG159" s="55"/>
      <c r="BH159" s="62"/>
      <c r="BI159" s="57" t="n">
        <v>14</v>
      </c>
      <c r="BJ159" s="57" t="n">
        <v>31</v>
      </c>
      <c r="BK159" s="56" t="n">
        <v>1244.25</v>
      </c>
      <c r="BL159" s="57" t="n">
        <v>151</v>
      </c>
      <c r="BM159" s="55"/>
      <c r="BN159" s="60" t="n">
        <v>0</v>
      </c>
      <c r="BO159" s="60" t="n">
        <v>159</v>
      </c>
      <c r="BP159" s="55" t="str">
        <f aca="false">IF(S159&lt;&gt;"",UPPER(TRIM(S159)),IF(O159="","LOSE",O159))</f>
        <v>LOSE</v>
      </c>
      <c r="BQ159" s="57" t="n">
        <f aca="false">IF(BP159="LOSE",1,IF(N(T159)&gt;0,T159,IF(N(P159)&gt;0,P159,MAX(1,G159))))</f>
        <v>1</v>
      </c>
      <c r="BR159" s="60" t="n">
        <f aca="false">IF(BP159="LOSE",1,0)</f>
        <v>1</v>
      </c>
      <c r="BS159" s="59" t="n">
        <f aca="false">IF(BR159=0,0,IF(N(R159)&gt;0,R159,IFERROR(VLOOKUP(D159,Parameter!$A$35:$C$64,3,0)+0,0)))</f>
        <v>0.15</v>
      </c>
      <c r="BT159" s="55" t="n">
        <f aca="false">IF(Y159&lt;&gt;"",Y159,X159)</f>
        <v>2</v>
      </c>
      <c r="BU159" s="55" t="str">
        <f aca="false">IF(BT159=1,"L1",IF(OR(BT159=2,BT159=3),"L23",IF(BT159="Aussen","Aussen","-")))</f>
        <v>L23</v>
      </c>
      <c r="BV159" s="66" t="n">
        <f aca="false">IF(N(Z159)&gt;0,Z159,0)</f>
        <v>0</v>
      </c>
      <c r="BW159" s="60" t="n">
        <f aca="false">IF(ISNUMBER(AC159),1,0)</f>
        <v>0</v>
      </c>
      <c r="BX159" s="57" t="n">
        <f aca="false">N(AC159)</f>
        <v>0</v>
      </c>
      <c r="BY159" s="57" t="n">
        <f aca="false">N(L159)+N(M159)</f>
        <v>70</v>
      </c>
      <c r="BZ159" s="57" t="n">
        <f aca="false">ROUNDUP(G159/BQ159,0)</f>
        <v>14</v>
      </c>
      <c r="CA159" s="57" t="n">
        <f aca="false">ROUNDUP(BX159/BQ159,0)</f>
        <v>0</v>
      </c>
      <c r="CB159" s="60" t="n">
        <f aca="false">IF(BR159=1,0,IFERROR(VLOOKUP(BP159,'Gebinde-Kategorie'!$A$5:$M$45,5,0)+0,0))</f>
        <v>0</v>
      </c>
      <c r="CC159" s="60" t="n">
        <f aca="false">IFERROR(IF(OR(BT159=1,BT159=2,BT159=3),N(INDEX(Parameter!$I$5:$I$7,BT159)),0),0)</f>
        <v>0</v>
      </c>
      <c r="CD159" s="59" t="n">
        <f aca="false">IF(AND(Parameter!$B$21="Ja",ISNUMBER(U159),N(V159)&gt;0),IFERROR(N(INDEX(Parameter!$L$5:$L$7,U159))*INDEX(Parameter!$E$5:$E$7,U159)*V159/SUMIFS($V$7:$V$1576,$U$7:$U$1576,U159),0),0)</f>
        <v>0</v>
      </c>
    </row>
    <row r="160" customFormat="false" ht="15" hidden="false" customHeight="false" outlineLevel="0" collapsed="false">
      <c r="A160" s="55" t="s">
        <v>516</v>
      </c>
      <c r="B160" s="55" t="s">
        <v>373</v>
      </c>
      <c r="C160" s="55" t="s">
        <v>160</v>
      </c>
      <c r="D160" s="55" t="s">
        <v>178</v>
      </c>
      <c r="E160" s="55" t="s">
        <v>210</v>
      </c>
      <c r="F160" s="56" t="n">
        <v>598.49</v>
      </c>
      <c r="G160" s="57" t="n">
        <f aca="false">MAX(0,IF(AND(Parameter!$B$21="Ja",ISNUMBER(W160)),W160,IF(Parameter!$B$20="Jahresanfang 2025 + Export",BJ160+BI160,BI160)))</f>
        <v>2</v>
      </c>
      <c r="H160" s="57" t="n">
        <f aca="false">G160*F160</f>
        <v>1196.98</v>
      </c>
      <c r="I160" s="57" t="n">
        <f aca="false">BL160*Parameter!$B$18</f>
        <v>21</v>
      </c>
      <c r="J160" s="58" t="n">
        <v>6.5</v>
      </c>
      <c r="K160" s="59" t="n">
        <v>3.23076923076923</v>
      </c>
      <c r="L160" s="57" t="n">
        <v>1</v>
      </c>
      <c r="M160" s="57" t="n">
        <v>1</v>
      </c>
      <c r="N160" s="60" t="n">
        <v>14</v>
      </c>
      <c r="O160" s="55" t="s">
        <v>169</v>
      </c>
      <c r="P160" s="57" t="n">
        <v>12</v>
      </c>
      <c r="Q160" s="60" t="n">
        <f aca="false">IF(BR160=1,0,IFERROR(VLOOKUP(BP160,'Gebinde-Kategorie'!$A$5:$M$45,13,0)+0,0))</f>
        <v>6</v>
      </c>
      <c r="R160" s="61"/>
      <c r="S160" s="62"/>
      <c r="T160" s="62"/>
      <c r="U160" s="55"/>
      <c r="V160" s="57"/>
      <c r="W160" s="57"/>
      <c r="X160" s="55" t="n">
        <f aca="false">IF(A160="","",IF(AND(Parameter!$B$21="Ja",ISNUMBER(U160)),U160,IF(IFERROR(VLOOKUP(D160,Parameter!$A$35:$C$64,2,0),"Nein")="2+3",IF(ISNUMBER(SEARCH("grosser Artikel",BM160)),2,IFERROR(VLOOKUP(BP160,Parameter!$F$35:$G$64,2,0),2)),IF(OR(IFERROR(VLOOKUP(D160,Parameter!$A$35:$C$64,2,0),"Nein")="Nein",IFERROR(VLOOKUP(D160,Parameter!$A$35:$C$64,2,0),"Nein")=""),"-",VLOOKUP(D160,Parameter!$A$35:$C$64,2,0)))))</f>
        <v>2</v>
      </c>
      <c r="Y160" s="62"/>
      <c r="Z160" s="63"/>
      <c r="AA160" s="57" t="n">
        <f aca="false">AP160</f>
        <v>12</v>
      </c>
      <c r="AB160" s="57" t="n">
        <f aca="false">MAX(AP160,G160)</f>
        <v>12</v>
      </c>
      <c r="AC160" s="64"/>
      <c r="AD160" s="57" t="n">
        <f aca="false">IF(LEFT(Cockpit!$C$5,1)="A",G160,IF(BW160=1,BX160,IF(LEFT(Cockpit!$C$5,1)="B",AH160,MAX(AH160,G160))))</f>
        <v>2</v>
      </c>
      <c r="AE160" s="57" t="n">
        <f aca="false">IF(BR160=1,0,ROUNDUP(AD160/BQ160,0))</f>
        <v>1</v>
      </c>
      <c r="AF160" s="59" t="n">
        <f aca="false">IF(CD160&gt;0,CD160*MAX(1,AD160/V160),IF(BR160=1,IF(AD160&lt;=0,0,BS160*MAX(1,IF(G160&gt;0,AD160/G160,1))),IF(Q160&gt;0,AE160/Q160,0))/MAX(0.1,N(Parameter!$M$21)))</f>
        <v>0.166666666666667</v>
      </c>
      <c r="AG160" s="57" t="n">
        <f aca="false">AD160*F160</f>
        <v>1196.98</v>
      </c>
      <c r="AH160" s="57" t="n">
        <f aca="false">ROUNDUP(MAX(I160/IF(BV160&gt;0,BV160,MAX(0.1,N(Cockpit!$C$6))),BY160)/BQ160,0)*BQ160</f>
        <v>12</v>
      </c>
      <c r="AI160" s="58" t="n">
        <f aca="false">IF(AF160&gt;0,I160/AF160,-1)</f>
        <v>126</v>
      </c>
      <c r="AJ160" s="58" t="n">
        <f aca="false">IF(AND(OR(BU160="L1",BU160="L23"),AF160&gt;0),SUMIFS($AF$7:$AF$1576,$BU$7:$BU$1576,BU160,$AI$7:$AI$1576,"&gt;"&amp;AI160)+SUMIFS($AF$7:$AF$1576,$BU$7:$BU$1576,BU160,$AI$7:$AI$1576,AI160,$BO$7:$BO$1576,"&lt;="&amp;BO160),"")</f>
        <v>20.6964355933921</v>
      </c>
      <c r="AK160" s="65" t="n">
        <f aca="false">IF(AJ160="",0,MAX(0,MIN(1,(IF(BU160="L1",Parameter!$E$5,Parameter!$E$6+Parameter!$E$7)-(AJ160-AF160))/AF160)))</f>
        <v>1</v>
      </c>
      <c r="AL160" s="57" t="n">
        <f aca="false">IF(LEFT(Cockpit!$I$5,1)="A",G160,IF(BW160=1,BX160,IF(LEFT(Cockpit!$I$5,1)="B",AP160,MAX(AP160,G160))))</f>
        <v>12</v>
      </c>
      <c r="AM160" s="57" t="n">
        <f aca="false">IF(BR160=1,0,ROUNDUP(AL160/BQ160,0))</f>
        <v>1</v>
      </c>
      <c r="AN160" s="59" t="n">
        <f aca="false">IF(CD160&gt;0,CD160*MAX(1,AL160/V160),IF(BR160=1,IF(AL160&lt;=0,0,BS160*MAX(1,IF(G160&gt;0,AL160/G160,1))),IF(Q160&gt;0,AM160/Q160,0))/MAX(0.1,N(Parameter!$M$21)))</f>
        <v>0.166666666666667</v>
      </c>
      <c r="AO160" s="57" t="n">
        <f aca="false">AL160*F160</f>
        <v>7181.88</v>
      </c>
      <c r="AP160" s="57" t="n">
        <f aca="false">ROUNDUP(MAX(I160/IF(BV160&gt;0,BV160,MAX(0.1,N(Cockpit!$I$6))),BY160)/BQ160,0)*BQ160</f>
        <v>12</v>
      </c>
      <c r="AQ160" s="58" t="n">
        <f aca="false">IF(AN160&gt;0,I160/AN160,-1)</f>
        <v>126</v>
      </c>
      <c r="AR160" s="58" t="n">
        <f aca="false">IF(AND(OR(BU160="L1",BU160="L23"),AN160&gt;0),SUMIFS($AN$7:$AN$1576,$BU$7:$BU$1576,BU160,$AQ$7:$AQ$1576,"&gt;"&amp;AQ160)+SUMIFS($AN$7:$AN$1576,$BU$7:$BU$1576,BU160,$AQ$7:$AQ$1576,AQ160,$BO$7:$BO$1576,"&lt;="&amp;BO160),"")</f>
        <v>63.6103357153469</v>
      </c>
      <c r="AS160" s="65" t="n">
        <f aca="false">IF(AR160="",0,MAX(0,MIN(1,(IF(BU160="L1",Parameter!$E$5,Parameter!$E$6+Parameter!$E$7)-(AR160-AN160))/AN160)))</f>
        <v>1</v>
      </c>
      <c r="AT160" s="57" t="n">
        <f aca="false">IF(LEFT(Cockpit!$O$5,1)="A",G160,IF(BW160=1,BX160,IF(LEFT(Cockpit!$O$5,1)="B",AX160,MAX(AX160,G160))))</f>
        <v>12</v>
      </c>
      <c r="AU160" s="57" t="n">
        <f aca="false">IF(BR160=1,0,ROUNDUP(AT160/BQ160,0))</f>
        <v>1</v>
      </c>
      <c r="AV160" s="59" t="n">
        <f aca="false">IF(CD160&gt;0,CD160*MAX(1,AT160/V160),IF(BR160=1,IF(AT160&lt;=0,0,BS160*MAX(1,IF(G160&gt;0,AT160/G160,1))),IF(Q160&gt;0,AU160/Q160,0))/MAX(0.1,N(Parameter!$M$21)))</f>
        <v>0.166666666666667</v>
      </c>
      <c r="AW160" s="57" t="n">
        <f aca="false">AT160*F160</f>
        <v>7181.88</v>
      </c>
      <c r="AX160" s="57" t="n">
        <f aca="false">ROUNDUP(MAX(I160/IF(BV160&gt;0,BV160,MAX(0.1,N(Cockpit!$O$6))),BY160)/BQ160,0)*BQ160</f>
        <v>12</v>
      </c>
      <c r="AY160" s="58" t="n">
        <f aca="false">IF(AV160&gt;0,I160/AV160,-1)</f>
        <v>126</v>
      </c>
      <c r="AZ160" s="58" t="n">
        <f aca="false">IF(AND(OR(BU160="L1",BU160="L23"),AV160&gt;0),SUMIFS($AV$7:$AV$1576,$BU$7:$BU$1576,BU160,$AY$7:$AY$1576,"&gt;"&amp;AY160)+SUMIFS($AV$7:$AV$1576,$BU$7:$BU$1576,BU160,$AY$7:$AY$1576,AY160,$BO$7:$BO$1576,"&lt;="&amp;BO160),"")</f>
        <v>58.9394694982307</v>
      </c>
      <c r="BA160" s="65" t="n">
        <f aca="false">IF(AZ160="",0,MAX(0,MIN(1,(IF(BU160="L1",Parameter!$E$5,Parameter!$E$6+Parameter!$E$7)-(AZ160-AV160))/AV160)))</f>
        <v>1</v>
      </c>
      <c r="BB160" s="55" t="str">
        <f aca="false">IF(AF160&lt;=0,"",IF(BU160="Aussen","Aussenlager",IF(BU160="-","Nicht im Lift",IF(AK160&gt;=1,"Lift",IF(AK160&lt;=0,"Aussenlager","teilweise")))))</f>
        <v>Lift</v>
      </c>
      <c r="BC160" s="55" t="str">
        <f aca="false">IF(AN160&lt;=0,"",IF(BU160="Aussen","Aussenlager",IF(BU160="-","Nicht im Lift",IF(AS160&gt;=1,"Lift",IF(AS160&lt;=0,"Aussenlager","teilweise")))))</f>
        <v>Lift</v>
      </c>
      <c r="BD160" s="55" t="str">
        <f aca="false">IF(AV160&lt;=0,"",IF(BU160="Aussen","Aussenlager",IF(BU160="-","Nicht im Lift",IF(BA160&gt;=1,"Lift",IF(BA160&lt;=0,"Aussenlager","teilweise")))))</f>
        <v>Lift</v>
      </c>
      <c r="BE160" s="55" t="str">
        <f aca="false">IF(A160="","",IF(BN160=1,"Neu; ","")&amp;IF(AND(BN160=0,BI160&lt;0),"negativer Bestand (Export "&amp;BI160&amp;"); ","")&amp;IF(I160&lt;=0,"Kein Verbrauch; ","")&amp;IF(CD160&gt;0,"Lift "&amp;U160&amp;" lt. Liftbericht (Fach "&amp;V160&amp;" Stk); ",IF(BR160=1,"Lose – Fläche geschätzt; ",""))&amp;IF(G160&gt;AP160,"Überbestand "&amp;ROUND(G160-AP160,0)&amp;" Stk / CHF "&amp;ROUND((G160-AP160)*F160,0)&amp;"; ","")&amp;IF(AND(BW160=1,BX160&lt;BY160),"MAX &lt; MB+LG; ","")&amp;IF(AND(CC160&gt;0,CB160*10&gt;CC160),"zu hoch für Tablar; ","")&amp;IF(AND(BN160=0,OR(BW160=1,Y160&lt;&gt;"",S160&lt;&gt;"",T160&lt;&gt;"",Z160&lt;&gt;"")),"manuell übersteuert; ","")&amp;IF(AND(BR160=0,Q160=0),"Gebinde unbekannt / Stellmass fehlt; ","")&amp;IF(AND(BR160=0,N(T160)&lt;=0,N(P160)&lt;=0),"Menge pro Gebinde fehlt (Ist = 1 Gebinde); ","")&amp;BM160)</f>
        <v>länger als die Kisten</v>
      </c>
      <c r="BF160" s="55"/>
      <c r="BG160" s="55"/>
      <c r="BH160" s="62"/>
      <c r="BI160" s="57" t="n">
        <v>2</v>
      </c>
      <c r="BJ160" s="57" t="n">
        <v>5</v>
      </c>
      <c r="BK160" s="56" t="n">
        <v>1225.11</v>
      </c>
      <c r="BL160" s="57" t="n">
        <v>21</v>
      </c>
      <c r="BM160" s="55" t="s">
        <v>517</v>
      </c>
      <c r="BN160" s="60" t="n">
        <v>0</v>
      </c>
      <c r="BO160" s="60" t="n">
        <v>160</v>
      </c>
      <c r="BP160" s="55" t="str">
        <f aca="false">IF(S160&lt;&gt;"",UPPER(TRIM(S160)),IF(O160="","LOSE",O160))</f>
        <v>S71</v>
      </c>
      <c r="BQ160" s="57" t="n">
        <f aca="false">IF(BP160="LOSE",1,IF(N(T160)&gt;0,T160,IF(N(P160)&gt;0,P160,MAX(1,G160))))</f>
        <v>12</v>
      </c>
      <c r="BR160" s="60" t="n">
        <f aca="false">IF(BP160="LOSE",1,0)</f>
        <v>0</v>
      </c>
      <c r="BS160" s="59" t="n">
        <f aca="false">IF(BR160=0,0,IF(N(R160)&gt;0,R160,IFERROR(VLOOKUP(D160,Parameter!$A$35:$C$64,3,0)+0,0)))</f>
        <v>0</v>
      </c>
      <c r="BT160" s="55" t="n">
        <f aca="false">IF(Y160&lt;&gt;"",Y160,X160)</f>
        <v>2</v>
      </c>
      <c r="BU160" s="55" t="str">
        <f aca="false">IF(BT160=1,"L1",IF(OR(BT160=2,BT160=3),"L23",IF(BT160="Aussen","Aussen","-")))</f>
        <v>L23</v>
      </c>
      <c r="BV160" s="66" t="n">
        <f aca="false">IF(N(Z160)&gt;0,Z160,0)</f>
        <v>0</v>
      </c>
      <c r="BW160" s="60" t="n">
        <f aca="false">IF(ISNUMBER(AC160),1,0)</f>
        <v>0</v>
      </c>
      <c r="BX160" s="57" t="n">
        <f aca="false">N(AC160)</f>
        <v>0</v>
      </c>
      <c r="BY160" s="57" t="n">
        <f aca="false">N(L160)+N(M160)</f>
        <v>2</v>
      </c>
      <c r="BZ160" s="57" t="n">
        <f aca="false">ROUNDUP(G160/BQ160,0)</f>
        <v>1</v>
      </c>
      <c r="CA160" s="57" t="n">
        <f aca="false">ROUNDUP(BX160/BQ160,0)</f>
        <v>0</v>
      </c>
      <c r="CB160" s="60" t="n">
        <f aca="false">IF(BR160=1,0,IFERROR(VLOOKUP(BP160,'Gebinde-Kategorie'!$A$5:$M$45,5,0)+0,0))</f>
        <v>20</v>
      </c>
      <c r="CC160" s="60" t="n">
        <f aca="false">IFERROR(IF(OR(BT160=1,BT160=2,BT160=3),N(INDEX(Parameter!$I$5:$I$7,BT160)),0),0)</f>
        <v>0</v>
      </c>
      <c r="CD160" s="59" t="n">
        <f aca="false">IF(AND(Parameter!$B$21="Ja",ISNUMBER(U160),N(V160)&gt;0),IFERROR(N(INDEX(Parameter!$L$5:$L$7,U160))*INDEX(Parameter!$E$5:$E$7,U160)*V160/SUMIFS($V$7:$V$1576,$U$7:$U$1576,U160),0),0)</f>
        <v>0</v>
      </c>
    </row>
    <row r="161" customFormat="false" ht="15" hidden="false" customHeight="false" outlineLevel="0" collapsed="false">
      <c r="A161" s="55" t="s">
        <v>518</v>
      </c>
      <c r="B161" s="55" t="s">
        <v>519</v>
      </c>
      <c r="C161" s="55" t="s">
        <v>160</v>
      </c>
      <c r="D161" s="55" t="s">
        <v>178</v>
      </c>
      <c r="E161" s="55" t="s">
        <v>210</v>
      </c>
      <c r="F161" s="56" t="n">
        <v>51</v>
      </c>
      <c r="G161" s="57" t="n">
        <f aca="false">MAX(0,IF(AND(Parameter!$B$21="Ja",ISNUMBER(W161)),W161,IF(Parameter!$B$20="Jahresanfang 2025 + Export",BJ161+BI161,BI161)))</f>
        <v>24</v>
      </c>
      <c r="H161" s="57" t="n">
        <f aca="false">G161*F161</f>
        <v>1224</v>
      </c>
      <c r="I161" s="57" t="n">
        <f aca="false">BL161*Parameter!$B$18</f>
        <v>0</v>
      </c>
      <c r="J161" s="58" t="n">
        <v>0</v>
      </c>
      <c r="K161" s="59" t="n">
        <v>0</v>
      </c>
      <c r="L161" s="57" t="n">
        <v>0</v>
      </c>
      <c r="M161" s="57" t="n">
        <v>1</v>
      </c>
      <c r="N161" s="60" t="n">
        <v>9999</v>
      </c>
      <c r="O161" s="55" t="s">
        <v>163</v>
      </c>
      <c r="P161" s="57"/>
      <c r="Q161" s="60" t="n">
        <f aca="false">IF(BR161=1,0,IFERROR(VLOOKUP(BP161,'Gebinde-Kategorie'!$A$5:$M$45,13,0)+0,0))</f>
        <v>0</v>
      </c>
      <c r="R161" s="61"/>
      <c r="S161" s="62"/>
      <c r="T161" s="62"/>
      <c r="U161" s="55"/>
      <c r="V161" s="57"/>
      <c r="W161" s="57"/>
      <c r="X161" s="55" t="n">
        <f aca="false">IF(A161="","",IF(AND(Parameter!$B$21="Ja",ISNUMBER(U161)),U161,IF(IFERROR(VLOOKUP(D161,Parameter!$A$35:$C$64,2,0),"Nein")="2+3",IF(ISNUMBER(SEARCH("grosser Artikel",BM161)),2,IFERROR(VLOOKUP(BP161,Parameter!$F$35:$G$64,2,0),2)),IF(OR(IFERROR(VLOOKUP(D161,Parameter!$A$35:$C$64,2,0),"Nein")="Nein",IFERROR(VLOOKUP(D161,Parameter!$A$35:$C$64,2,0),"Nein")=""),"-",VLOOKUP(D161,Parameter!$A$35:$C$64,2,0)))))</f>
        <v>2</v>
      </c>
      <c r="Y161" s="62"/>
      <c r="Z161" s="63"/>
      <c r="AA161" s="57" t="n">
        <f aca="false">AP161</f>
        <v>1</v>
      </c>
      <c r="AB161" s="57" t="n">
        <f aca="false">MAX(AP161,G161)</f>
        <v>24</v>
      </c>
      <c r="AC161" s="64"/>
      <c r="AD161" s="57" t="n">
        <f aca="false">IF(LEFT(Cockpit!$C$5,1)="A",G161,IF(BW161=1,BX161,IF(LEFT(Cockpit!$C$5,1)="B",AH161,MAX(AH161,G161))))</f>
        <v>24</v>
      </c>
      <c r="AE161" s="57" t="n">
        <f aca="false">IF(BR161=1,0,ROUNDUP(AD161/BQ161,0))</f>
        <v>0</v>
      </c>
      <c r="AF161" s="59" t="n">
        <f aca="false">IF(CD161&gt;0,CD161*MAX(1,AD161/V161),IF(BR161=1,IF(AD161&lt;=0,0,BS161*MAX(1,IF(G161&gt;0,AD161/G161,1))),IF(Q161&gt;0,AE161/Q161,0))/MAX(0.1,N(Parameter!$M$21)))</f>
        <v>0.03</v>
      </c>
      <c r="AG161" s="57" t="n">
        <f aca="false">AD161*F161</f>
        <v>1224</v>
      </c>
      <c r="AH161" s="57" t="n">
        <f aca="false">ROUNDUP(MAX(I161/IF(BV161&gt;0,BV161,MAX(0.1,N(Cockpit!$C$6))),BY161)/BQ161,0)*BQ161</f>
        <v>1</v>
      </c>
      <c r="AI161" s="58" t="n">
        <f aca="false">IF(AF161&gt;0,I161/AF161,-1)</f>
        <v>0</v>
      </c>
      <c r="AJ161" s="58" t="n">
        <f aca="false">IF(AND(OR(BU161="L1",BU161="L23"),AF161&gt;0),SUMIFS($AF$7:$AF$1576,$BU$7:$BU$1576,BU161,$AI$7:$AI$1576,"&gt;"&amp;AI161)+SUMIFS($AF$7:$AF$1576,$BU$7:$BU$1576,BU161,$AI$7:$AI$1576,AI161,$BO$7:$BO$1576,"&lt;="&amp;BO161),"")</f>
        <v>38.9736073105638</v>
      </c>
      <c r="AK161" s="65" t="n">
        <f aca="false">IF(AJ161="",0,MAX(0,MIN(1,(IF(BU161="L1",Parameter!$E$5,Parameter!$E$6+Parameter!$E$7)-(AJ161-AF161))/AF161)))</f>
        <v>1</v>
      </c>
      <c r="AL161" s="57" t="n">
        <f aca="false">IF(LEFT(Cockpit!$I$5,1)="A",G161,IF(BW161=1,BX161,IF(LEFT(Cockpit!$I$5,1)="B",AP161,MAX(AP161,G161))))</f>
        <v>24</v>
      </c>
      <c r="AM161" s="57" t="n">
        <f aca="false">IF(BR161=1,0,ROUNDUP(AL161/BQ161,0))</f>
        <v>0</v>
      </c>
      <c r="AN161" s="59" t="n">
        <f aca="false">IF(CD161&gt;0,CD161*MAX(1,AL161/V161),IF(BR161=1,IF(AL161&lt;=0,0,BS161*MAX(1,IF(G161&gt;0,AL161/G161,1))),IF(Q161&gt;0,AM161/Q161,0))/MAX(0.1,N(Parameter!$M$21)))</f>
        <v>0.03</v>
      </c>
      <c r="AO161" s="57" t="n">
        <f aca="false">AL161*F161</f>
        <v>1224</v>
      </c>
      <c r="AP161" s="57" t="n">
        <f aca="false">ROUNDUP(MAX(I161/IF(BV161&gt;0,BV161,MAX(0.1,N(Cockpit!$I$6))),BY161)/BQ161,0)*BQ161</f>
        <v>1</v>
      </c>
      <c r="AQ161" s="58" t="n">
        <f aca="false">IF(AN161&gt;0,I161/AN161,-1)</f>
        <v>0</v>
      </c>
      <c r="AR161" s="58" t="n">
        <f aca="false">IF(AND(OR(BU161="L1",BU161="L23"),AN161&gt;0),SUMIFS($AN$7:$AN$1576,$BU$7:$BU$1576,BU161,$AQ$7:$AQ$1576,"&gt;"&amp;AQ161)+SUMIFS($AN$7:$AN$1576,$BU$7:$BU$1576,BU161,$AQ$7:$AQ$1576,AQ161,$BO$7:$BO$1576,"&lt;="&amp;BO161),"")</f>
        <v>121.847813060353</v>
      </c>
      <c r="AS161" s="65" t="n">
        <f aca="false">IF(AR161="",0,MAX(0,MIN(1,(IF(BU161="L1",Parameter!$E$5,Parameter!$E$6+Parameter!$E$7)-(AR161-AN161))/AN161)))</f>
        <v>0</v>
      </c>
      <c r="AT161" s="57" t="n">
        <f aca="false">IF(LEFT(Cockpit!$O$5,1)="A",G161,IF(BW161=1,BX161,IF(LEFT(Cockpit!$O$5,1)="B",AX161,MAX(AX161,G161))))</f>
        <v>24</v>
      </c>
      <c r="AU161" s="57" t="n">
        <f aca="false">IF(BR161=1,0,ROUNDUP(AT161/BQ161,0))</f>
        <v>0</v>
      </c>
      <c r="AV161" s="59" t="n">
        <f aca="false">IF(CD161&gt;0,CD161*MAX(1,AT161/V161),IF(BR161=1,IF(AT161&lt;=0,0,BS161*MAX(1,IF(G161&gt;0,AT161/G161,1))),IF(Q161&gt;0,AU161/Q161,0))/MAX(0.1,N(Parameter!$M$21)))</f>
        <v>0.03</v>
      </c>
      <c r="AW161" s="57" t="n">
        <f aca="false">AT161*F161</f>
        <v>1224</v>
      </c>
      <c r="AX161" s="57" t="n">
        <f aca="false">ROUNDUP(MAX(I161/IF(BV161&gt;0,BV161,MAX(0.1,N(Cockpit!$O$6))),BY161)/BQ161,0)*BQ161</f>
        <v>1</v>
      </c>
      <c r="AY161" s="58" t="n">
        <f aca="false">IF(AV161&gt;0,I161/AV161,-1)</f>
        <v>0</v>
      </c>
      <c r="AZ161" s="58" t="n">
        <f aca="false">IF(AND(OR(BU161="L1",BU161="L23"),AV161&gt;0),SUMIFS($AV$7:$AV$1576,$BU$7:$BU$1576,BU161,$AY$7:$AY$1576,"&gt;"&amp;AY161)+SUMIFS($AV$7:$AV$1576,$BU$7:$BU$1576,BU161,$AY$7:$AY$1576,AY161,$BO$7:$BO$1576,"&lt;="&amp;BO161),"")</f>
        <v>111.907363509904</v>
      </c>
      <c r="BA161" s="65" t="n">
        <f aca="false">IF(AZ161="",0,MAX(0,MIN(1,(IF(BU161="L1",Parameter!$E$5,Parameter!$E$6+Parameter!$E$7)-(AZ161-AV161))/AV161)))</f>
        <v>0</v>
      </c>
      <c r="BB161" s="55" t="str">
        <f aca="false">IF(AF161&lt;=0,"",IF(BU161="Aussen","Aussenlager",IF(BU161="-","Nicht im Lift",IF(AK161&gt;=1,"Lift",IF(AK161&lt;=0,"Aussenlager","teilweise")))))</f>
        <v>Lift</v>
      </c>
      <c r="BC161" s="55" t="str">
        <f aca="false">IF(AN161&lt;=0,"",IF(BU161="Aussen","Aussenlager",IF(BU161="-","Nicht im Lift",IF(AS161&gt;=1,"Lift",IF(AS161&lt;=0,"Aussenlager","teilweise")))))</f>
        <v>Aussenlager</v>
      </c>
      <c r="BD161" s="55" t="str">
        <f aca="false">IF(AV161&lt;=0,"",IF(BU161="Aussen","Aussenlager",IF(BU161="-","Nicht im Lift",IF(BA161&gt;=1,"Lift",IF(BA161&lt;=0,"Aussenlager","teilweise")))))</f>
        <v>Aussenlager</v>
      </c>
      <c r="BE161" s="55" t="str">
        <f aca="false">IF(A161="","",IF(BN161=1,"Neu; ","")&amp;IF(AND(BN161=0,BI161&lt;0),"negativer Bestand (Export "&amp;BI161&amp;"); ","")&amp;IF(I161&lt;=0,"Kein Verbrauch; ","")&amp;IF(CD161&gt;0,"Lift "&amp;U161&amp;" lt. Liftbericht (Fach "&amp;V161&amp;" Stk); ",IF(BR161=1,"Lose – Fläche geschätzt; ",""))&amp;IF(G161&gt;AP161,"Überbestand "&amp;ROUND(G161-AP161,0)&amp;" Stk / CHF "&amp;ROUND((G161-AP161)*F161,0)&amp;"; ","")&amp;IF(AND(BW161=1,BX161&lt;BY161),"MAX &lt; MB+LG; ","")&amp;IF(AND(CC161&gt;0,CB161*10&gt;CC161),"zu hoch für Tablar; ","")&amp;IF(AND(BN161=0,OR(BW161=1,Y161&lt;&gt;"",S161&lt;&gt;"",T161&lt;&gt;"",Z161&lt;&gt;"")),"manuell übersteuert; ","")&amp;IF(AND(BR161=0,Q161=0),"Gebinde unbekannt / Stellmass fehlt; ","")&amp;IF(AND(BR161=0,N(T161)&lt;=0,N(P161)&lt;=0),"Menge pro Gebinde fehlt (Ist = 1 Gebinde); ","")&amp;BM161)</f>
        <v>Kein Verbrauch; Lose – Fläche geschätzt; Überbestand 23 Stk / CHF 1173; </v>
      </c>
      <c r="BF161" s="55"/>
      <c r="BG161" s="55"/>
      <c r="BH161" s="62"/>
      <c r="BI161" s="57" t="n">
        <v>24</v>
      </c>
      <c r="BJ161" s="57" t="n">
        <v>0</v>
      </c>
      <c r="BK161" s="56" t="n">
        <v>1224</v>
      </c>
      <c r="BL161" s="57" t="n">
        <v>0</v>
      </c>
      <c r="BM161" s="55"/>
      <c r="BN161" s="60" t="n">
        <v>0</v>
      </c>
      <c r="BO161" s="60" t="n">
        <v>161</v>
      </c>
      <c r="BP161" s="55" t="str">
        <f aca="false">IF(S161&lt;&gt;"",UPPER(TRIM(S161)),IF(O161="","LOSE",O161))</f>
        <v>LOSE</v>
      </c>
      <c r="BQ161" s="57" t="n">
        <f aca="false">IF(BP161="LOSE",1,IF(N(T161)&gt;0,T161,IF(N(P161)&gt;0,P161,MAX(1,G161))))</f>
        <v>1</v>
      </c>
      <c r="BR161" s="60" t="n">
        <f aca="false">IF(BP161="LOSE",1,0)</f>
        <v>1</v>
      </c>
      <c r="BS161" s="59" t="n">
        <f aca="false">IF(BR161=0,0,IF(N(R161)&gt;0,R161,IFERROR(VLOOKUP(D161,Parameter!$A$35:$C$64,3,0)+0,0)))</f>
        <v>0.03</v>
      </c>
      <c r="BT161" s="55" t="n">
        <f aca="false">IF(Y161&lt;&gt;"",Y161,X161)</f>
        <v>2</v>
      </c>
      <c r="BU161" s="55" t="str">
        <f aca="false">IF(BT161=1,"L1",IF(OR(BT161=2,BT161=3),"L23",IF(BT161="Aussen","Aussen","-")))</f>
        <v>L23</v>
      </c>
      <c r="BV161" s="66" t="n">
        <f aca="false">IF(N(Z161)&gt;0,Z161,0)</f>
        <v>0</v>
      </c>
      <c r="BW161" s="60" t="n">
        <f aca="false">IF(ISNUMBER(AC161),1,0)</f>
        <v>0</v>
      </c>
      <c r="BX161" s="57" t="n">
        <f aca="false">N(AC161)</f>
        <v>0</v>
      </c>
      <c r="BY161" s="57" t="n">
        <f aca="false">N(L161)+N(M161)</f>
        <v>1</v>
      </c>
      <c r="BZ161" s="57" t="n">
        <f aca="false">ROUNDUP(G161/BQ161,0)</f>
        <v>24</v>
      </c>
      <c r="CA161" s="57" t="n">
        <f aca="false">ROUNDUP(BX161/BQ161,0)</f>
        <v>0</v>
      </c>
      <c r="CB161" s="60" t="n">
        <f aca="false">IF(BR161=1,0,IFERROR(VLOOKUP(BP161,'Gebinde-Kategorie'!$A$5:$M$45,5,0)+0,0))</f>
        <v>0</v>
      </c>
      <c r="CC161" s="60" t="n">
        <f aca="false">IFERROR(IF(OR(BT161=1,BT161=2,BT161=3),N(INDEX(Parameter!$I$5:$I$7,BT161)),0),0)</f>
        <v>0</v>
      </c>
      <c r="CD161" s="59" t="n">
        <f aca="false">IF(AND(Parameter!$B$21="Ja",ISNUMBER(U161),N(V161)&gt;0),IFERROR(N(INDEX(Parameter!$L$5:$L$7,U161))*INDEX(Parameter!$E$5:$E$7,U161)*V161/SUMIFS($V$7:$V$1576,$U$7:$U$1576,U161),0),0)</f>
        <v>0</v>
      </c>
    </row>
    <row r="162" customFormat="false" ht="15" hidden="false" customHeight="false" outlineLevel="0" collapsed="false">
      <c r="A162" s="55" t="s">
        <v>520</v>
      </c>
      <c r="B162" s="55" t="s">
        <v>521</v>
      </c>
      <c r="C162" s="55" t="s">
        <v>160</v>
      </c>
      <c r="D162" s="55" t="s">
        <v>178</v>
      </c>
      <c r="E162" s="55" t="s">
        <v>210</v>
      </c>
      <c r="F162" s="56" t="n">
        <v>10.02</v>
      </c>
      <c r="G162" s="57" t="n">
        <f aca="false">MAX(0,IF(AND(Parameter!$B$21="Ja",ISNUMBER(W162)),W162,IF(Parameter!$B$20="Jahresanfang 2025 + Export",BJ162+BI162,BI162)))</f>
        <v>122</v>
      </c>
      <c r="H162" s="57" t="n">
        <f aca="false">G162*F162</f>
        <v>1222.44</v>
      </c>
      <c r="I162" s="57" t="n">
        <f aca="false">BL162*Parameter!$B$18</f>
        <v>153</v>
      </c>
      <c r="J162" s="58" t="n">
        <v>52</v>
      </c>
      <c r="K162" s="59" t="n">
        <v>2.94230769230769</v>
      </c>
      <c r="L162" s="57" t="n">
        <v>26</v>
      </c>
      <c r="M162" s="57" t="n">
        <v>155</v>
      </c>
      <c r="N162" s="60" t="n">
        <v>63</v>
      </c>
      <c r="O162" s="55" t="s">
        <v>319</v>
      </c>
      <c r="P162" s="57" t="n">
        <v>40</v>
      </c>
      <c r="Q162" s="60" t="n">
        <f aca="false">IF(BR162=1,0,IFERROR(VLOOKUP(BP162,'Gebinde-Kategorie'!$A$5:$M$45,13,0)+0,0))</f>
        <v>52</v>
      </c>
      <c r="R162" s="61"/>
      <c r="S162" s="62"/>
      <c r="T162" s="62"/>
      <c r="U162" s="55"/>
      <c r="V162" s="57"/>
      <c r="W162" s="57"/>
      <c r="X162" s="55" t="n">
        <f aca="false">IF(A162="","",IF(AND(Parameter!$B$21="Ja",ISNUMBER(U162)),U162,IF(IFERROR(VLOOKUP(D162,Parameter!$A$35:$C$64,2,0),"Nein")="2+3",IF(ISNUMBER(SEARCH("grosser Artikel",BM162)),2,IFERROR(VLOOKUP(BP162,Parameter!$F$35:$G$64,2,0),2)),IF(OR(IFERROR(VLOOKUP(D162,Parameter!$A$35:$C$64,2,0),"Nein")="Nein",IFERROR(VLOOKUP(D162,Parameter!$A$35:$C$64,2,0),"Nein")=""),"-",VLOOKUP(D162,Parameter!$A$35:$C$64,2,0)))))</f>
        <v>3</v>
      </c>
      <c r="Y162" s="62"/>
      <c r="Z162" s="63"/>
      <c r="AA162" s="57" t="n">
        <f aca="false">AP162</f>
        <v>200</v>
      </c>
      <c r="AB162" s="57" t="n">
        <f aca="false">MAX(AP162,G162)</f>
        <v>200</v>
      </c>
      <c r="AC162" s="64"/>
      <c r="AD162" s="57" t="n">
        <f aca="false">IF(LEFT(Cockpit!$C$5,1)="A",G162,IF(BW162=1,BX162,IF(LEFT(Cockpit!$C$5,1)="B",AH162,MAX(AH162,G162))))</f>
        <v>122</v>
      </c>
      <c r="AE162" s="57" t="n">
        <f aca="false">IF(BR162=1,0,ROUNDUP(AD162/BQ162,0))</f>
        <v>4</v>
      </c>
      <c r="AF162" s="59" t="n">
        <f aca="false">IF(CD162&gt;0,CD162*MAX(1,AD162/V162),IF(BR162=1,IF(AD162&lt;=0,0,BS162*MAX(1,IF(G162&gt;0,AD162/G162,1))),IF(Q162&gt;0,AE162/Q162,0))/MAX(0.1,N(Parameter!$M$21)))</f>
        <v>0.0769230769230769</v>
      </c>
      <c r="AG162" s="57" t="n">
        <f aca="false">AD162*F162</f>
        <v>1222.44</v>
      </c>
      <c r="AH162" s="57" t="n">
        <f aca="false">ROUNDUP(MAX(I162/IF(BV162&gt;0,BV162,MAX(0.1,N(Cockpit!$C$6))),BY162)/BQ162,0)*BQ162</f>
        <v>200</v>
      </c>
      <c r="AI162" s="58" t="n">
        <f aca="false">IF(AF162&gt;0,I162/AF162,-1)</f>
        <v>1989</v>
      </c>
      <c r="AJ162" s="58" t="n">
        <f aca="false">IF(AND(OR(BU162="L1",BU162="L23"),AF162&gt;0),SUMIFS($AF$7:$AF$1576,$BU$7:$BU$1576,BU162,$AI$7:$AI$1576,"&gt;"&amp;AI162)+SUMIFS($AF$7:$AF$1576,$BU$7:$BU$1576,BU162,$AI$7:$AI$1576,AI162,$BO$7:$BO$1576,"&lt;="&amp;BO162),"")</f>
        <v>6.55522921522922</v>
      </c>
      <c r="AK162" s="65" t="n">
        <f aca="false">IF(AJ162="",0,MAX(0,MIN(1,(IF(BU162="L1",Parameter!$E$5,Parameter!$E$6+Parameter!$E$7)-(AJ162-AF162))/AF162)))</f>
        <v>1</v>
      </c>
      <c r="AL162" s="57" t="n">
        <f aca="false">IF(LEFT(Cockpit!$I$5,1)="A",G162,IF(BW162=1,BX162,IF(LEFT(Cockpit!$I$5,1)="B",AP162,MAX(AP162,G162))))</f>
        <v>200</v>
      </c>
      <c r="AM162" s="57" t="n">
        <f aca="false">IF(BR162=1,0,ROUNDUP(AL162/BQ162,0))</f>
        <v>5</v>
      </c>
      <c r="AN162" s="59" t="n">
        <f aca="false">IF(CD162&gt;0,CD162*MAX(1,AL162/V162),IF(BR162=1,IF(AL162&lt;=0,0,BS162*MAX(1,IF(G162&gt;0,AL162/G162,1))),IF(Q162&gt;0,AM162/Q162,0))/MAX(0.1,N(Parameter!$M$21)))</f>
        <v>0.0961538461538462</v>
      </c>
      <c r="AO162" s="57" t="n">
        <f aca="false">AL162*F162</f>
        <v>2004</v>
      </c>
      <c r="AP162" s="57" t="n">
        <f aca="false">ROUNDUP(MAX(I162/IF(BV162&gt;0,BV162,MAX(0.1,N(Cockpit!$I$6))),BY162)/BQ162,0)*BQ162</f>
        <v>200</v>
      </c>
      <c r="AQ162" s="58" t="n">
        <f aca="false">IF(AN162&gt;0,I162/AN162,-1)</f>
        <v>1591.2</v>
      </c>
      <c r="AR162" s="58" t="n">
        <f aca="false">IF(AND(OR(BU162="L1",BU162="L23"),AN162&gt;0),SUMIFS($AN$7:$AN$1576,$BU$7:$BU$1576,BU162,$AQ$7:$AQ$1576,"&gt;"&amp;AQ162)+SUMIFS($AN$7:$AN$1576,$BU$7:$BU$1576,BU162,$AQ$7:$AQ$1576,AQ162,$BO$7:$BO$1576,"&lt;="&amp;BO162),"")</f>
        <v>18.8558311860597</v>
      </c>
      <c r="AS162" s="65" t="n">
        <f aca="false">IF(AR162="",0,MAX(0,MIN(1,(IF(BU162="L1",Parameter!$E$5,Parameter!$E$6+Parameter!$E$7)-(AR162-AN162))/AN162)))</f>
        <v>1</v>
      </c>
      <c r="AT162" s="57" t="n">
        <f aca="false">IF(LEFT(Cockpit!$O$5,1)="A",G162,IF(BW162=1,BX162,IF(LEFT(Cockpit!$O$5,1)="B",AX162,MAX(AX162,G162))))</f>
        <v>200</v>
      </c>
      <c r="AU162" s="57" t="n">
        <f aca="false">IF(BR162=1,0,ROUNDUP(AT162/BQ162,0))</f>
        <v>5</v>
      </c>
      <c r="AV162" s="59" t="n">
        <f aca="false">IF(CD162&gt;0,CD162*MAX(1,AT162/V162),IF(BR162=1,IF(AT162&lt;=0,0,BS162*MAX(1,IF(G162&gt;0,AT162/G162,1))),IF(Q162&gt;0,AU162/Q162,0))/MAX(0.1,N(Parameter!$M$21)))</f>
        <v>0.0961538461538462</v>
      </c>
      <c r="AW162" s="57" t="n">
        <f aca="false">AT162*F162</f>
        <v>2004</v>
      </c>
      <c r="AX162" s="57" t="n">
        <f aca="false">ROUNDUP(MAX(I162/IF(BV162&gt;0,BV162,MAX(0.1,N(Cockpit!$O$6))),BY162)/BQ162,0)*BQ162</f>
        <v>200</v>
      </c>
      <c r="AY162" s="58" t="n">
        <f aca="false">IF(AV162&gt;0,I162/AV162,-1)</f>
        <v>1591.2</v>
      </c>
      <c r="AZ162" s="58" t="n">
        <f aca="false">IF(AND(OR(BU162="L1",BU162="L23"),AV162&gt;0),SUMIFS($AV$7:$AV$1576,$BU$7:$BU$1576,BU162,$AY$7:$AY$1576,"&gt;"&amp;AY162)+SUMIFS($AV$7:$AV$1576,$BU$7:$BU$1576,BU162,$AY$7:$AY$1576,AY162,$BO$7:$BO$1576,"&lt;="&amp;BO162),"")</f>
        <v>17.8331039133325</v>
      </c>
      <c r="BA162" s="65" t="n">
        <f aca="false">IF(AZ162="",0,MAX(0,MIN(1,(IF(BU162="L1",Parameter!$E$5,Parameter!$E$6+Parameter!$E$7)-(AZ162-AV162))/AV162)))</f>
        <v>1</v>
      </c>
      <c r="BB162" s="55" t="str">
        <f aca="false">IF(AF162&lt;=0,"",IF(BU162="Aussen","Aussenlager",IF(BU162="-","Nicht im Lift",IF(AK162&gt;=1,"Lift",IF(AK162&lt;=0,"Aussenlager","teilweise")))))</f>
        <v>Lift</v>
      </c>
      <c r="BC162" s="55" t="str">
        <f aca="false">IF(AN162&lt;=0,"",IF(BU162="Aussen","Aussenlager",IF(BU162="-","Nicht im Lift",IF(AS162&gt;=1,"Lift",IF(AS162&lt;=0,"Aussenlager","teilweise")))))</f>
        <v>Lift</v>
      </c>
      <c r="BD162" s="55" t="str">
        <f aca="false">IF(AV162&lt;=0,"",IF(BU162="Aussen","Aussenlager",IF(BU162="-","Nicht im Lift",IF(BA162&gt;=1,"Lift",IF(BA162&lt;=0,"Aussenlager","teilweise")))))</f>
        <v>Lift</v>
      </c>
      <c r="BE162" s="55" t="str">
        <f aca="false">IF(A162="","",IF(BN162=1,"Neu; ","")&amp;IF(AND(BN162=0,BI162&lt;0),"negativer Bestand (Export "&amp;BI162&amp;"); ","")&amp;IF(I162&lt;=0,"Kein Verbrauch; ","")&amp;IF(CD162&gt;0,"Lift "&amp;U162&amp;" lt. Liftbericht (Fach "&amp;V162&amp;" Stk); ",IF(BR162=1,"Lose – Fläche geschätzt; ",""))&amp;IF(G162&gt;AP162,"Überbestand "&amp;ROUND(G162-AP162,0)&amp;" Stk / CHF "&amp;ROUND((G162-AP162)*F162,0)&amp;"; ","")&amp;IF(AND(BW162=1,BX162&lt;BY162),"MAX &lt; MB+LG; ","")&amp;IF(AND(CC162&gt;0,CB162*10&gt;CC162),"zu hoch für Tablar; ","")&amp;IF(AND(BN162=0,OR(BW162=1,Y162&lt;&gt;"",S162&lt;&gt;"",T162&lt;&gt;"",Z162&lt;&gt;"")),"manuell übersteuert; ","")&amp;IF(AND(BR162=0,Q162=0),"Gebinde unbekannt / Stellmass fehlt; ","")&amp;IF(AND(BR162=0,N(T162)&lt;=0,N(P162)&lt;=0),"Menge pro Gebinde fehlt (Ist = 1 Gebinde); ","")&amp;BM162)</f>
        <v/>
      </c>
      <c r="BF162" s="55"/>
      <c r="BG162" s="55"/>
      <c r="BH162" s="62"/>
      <c r="BI162" s="57" t="n">
        <v>122</v>
      </c>
      <c r="BJ162" s="57" t="n">
        <v>51</v>
      </c>
      <c r="BK162" s="56" t="n">
        <v>1214.28</v>
      </c>
      <c r="BL162" s="57" t="n">
        <v>153</v>
      </c>
      <c r="BM162" s="55"/>
      <c r="BN162" s="60" t="n">
        <v>0</v>
      </c>
      <c r="BO162" s="60" t="n">
        <v>162</v>
      </c>
      <c r="BP162" s="55" t="str">
        <f aca="false">IF(S162&lt;&gt;"",UPPER(TRIM(S162)),IF(O162="","LOSE",O162))</f>
        <v>S41</v>
      </c>
      <c r="BQ162" s="57" t="n">
        <f aca="false">IF(BP162="LOSE",1,IF(N(T162)&gt;0,T162,IF(N(P162)&gt;0,P162,MAX(1,G162))))</f>
        <v>40</v>
      </c>
      <c r="BR162" s="60" t="n">
        <f aca="false">IF(BP162="LOSE",1,0)</f>
        <v>0</v>
      </c>
      <c r="BS162" s="59" t="n">
        <f aca="false">IF(BR162=0,0,IF(N(R162)&gt;0,R162,IFERROR(VLOOKUP(D162,Parameter!$A$35:$C$64,3,0)+0,0)))</f>
        <v>0</v>
      </c>
      <c r="BT162" s="55" t="n">
        <f aca="false">IF(Y162&lt;&gt;"",Y162,X162)</f>
        <v>3</v>
      </c>
      <c r="BU162" s="55" t="str">
        <f aca="false">IF(BT162=1,"L1",IF(OR(BT162=2,BT162=3),"L23",IF(BT162="Aussen","Aussen","-")))</f>
        <v>L23</v>
      </c>
      <c r="BV162" s="66" t="n">
        <f aca="false">IF(N(Z162)&gt;0,Z162,0)</f>
        <v>0</v>
      </c>
      <c r="BW162" s="60" t="n">
        <f aca="false">IF(ISNUMBER(AC162),1,0)</f>
        <v>0</v>
      </c>
      <c r="BX162" s="57" t="n">
        <f aca="false">N(AC162)</f>
        <v>0</v>
      </c>
      <c r="BY162" s="57" t="n">
        <f aca="false">N(L162)+N(M162)</f>
        <v>181</v>
      </c>
      <c r="BZ162" s="57" t="n">
        <f aca="false">ROUNDUP(G162/BQ162,0)</f>
        <v>4</v>
      </c>
      <c r="CA162" s="57" t="n">
        <f aca="false">ROUNDUP(BX162/BQ162,0)</f>
        <v>0</v>
      </c>
      <c r="CB162" s="60" t="n">
        <f aca="false">IF(BR162=1,0,IFERROR(VLOOKUP(BP162,'Gebinde-Kategorie'!$A$5:$M$45,5,0)+0,0))</f>
        <v>11</v>
      </c>
      <c r="CC162" s="60" t="n">
        <f aca="false">IFERROR(IF(OR(BT162=1,BT162=2,BT162=3),N(INDEX(Parameter!$I$5:$I$7,BT162)),0),0)</f>
        <v>0</v>
      </c>
      <c r="CD162" s="59" t="n">
        <f aca="false">IF(AND(Parameter!$B$21="Ja",ISNUMBER(U162),N(V162)&gt;0),IFERROR(N(INDEX(Parameter!$L$5:$L$7,U162))*INDEX(Parameter!$E$5:$E$7,U162)*V162/SUMIFS($V$7:$V$1576,$U$7:$U$1576,U162),0),0)</f>
        <v>0</v>
      </c>
    </row>
    <row r="163" customFormat="false" ht="15" hidden="false" customHeight="false" outlineLevel="0" collapsed="false">
      <c r="A163" s="55" t="s">
        <v>522</v>
      </c>
      <c r="B163" s="55" t="s">
        <v>478</v>
      </c>
      <c r="C163" s="55" t="s">
        <v>160</v>
      </c>
      <c r="D163" s="55" t="s">
        <v>178</v>
      </c>
      <c r="E163" s="55" t="s">
        <v>210</v>
      </c>
      <c r="F163" s="56" t="n">
        <v>1.8</v>
      </c>
      <c r="G163" s="57" t="n">
        <f aca="false">MAX(0,IF(AND(Parameter!$B$21="Ja",ISNUMBER(W163)),W163,IF(Parameter!$B$20="Jahresanfang 2025 + Export",BJ163+BI163,BI163)))</f>
        <v>665</v>
      </c>
      <c r="H163" s="57" t="n">
        <f aca="false">G163*F163</f>
        <v>1197</v>
      </c>
      <c r="I163" s="57" t="n">
        <f aca="false">BL163*Parameter!$B$18</f>
        <v>985</v>
      </c>
      <c r="J163" s="58" t="n">
        <v>215</v>
      </c>
      <c r="K163" s="59" t="n">
        <v>4.58139534883721</v>
      </c>
      <c r="L163" s="57" t="n">
        <v>38</v>
      </c>
      <c r="M163" s="57" t="n">
        <v>985</v>
      </c>
      <c r="N163" s="60" t="n">
        <v>14</v>
      </c>
      <c r="O163" s="55" t="s">
        <v>319</v>
      </c>
      <c r="P163" s="57" t="n">
        <v>388</v>
      </c>
      <c r="Q163" s="60" t="n">
        <f aca="false">IF(BR163=1,0,IFERROR(VLOOKUP(BP163,'Gebinde-Kategorie'!$A$5:$M$45,13,0)+0,0))</f>
        <v>52</v>
      </c>
      <c r="R163" s="61"/>
      <c r="S163" s="62"/>
      <c r="T163" s="62"/>
      <c r="U163" s="55"/>
      <c r="V163" s="57"/>
      <c r="W163" s="57"/>
      <c r="X163" s="55" t="n">
        <f aca="false">IF(A163="","",IF(AND(Parameter!$B$21="Ja",ISNUMBER(U163)),U163,IF(IFERROR(VLOOKUP(D163,Parameter!$A$35:$C$64,2,0),"Nein")="2+3",IF(ISNUMBER(SEARCH("grosser Artikel",BM163)),2,IFERROR(VLOOKUP(BP163,Parameter!$F$35:$G$64,2,0),2)),IF(OR(IFERROR(VLOOKUP(D163,Parameter!$A$35:$C$64,2,0),"Nein")="Nein",IFERROR(VLOOKUP(D163,Parameter!$A$35:$C$64,2,0),"Nein")=""),"-",VLOOKUP(D163,Parameter!$A$35:$C$64,2,0)))))</f>
        <v>3</v>
      </c>
      <c r="Y163" s="62"/>
      <c r="Z163" s="63"/>
      <c r="AA163" s="57" t="n">
        <f aca="false">AP163</f>
        <v>1164</v>
      </c>
      <c r="AB163" s="57" t="n">
        <f aca="false">MAX(AP163,G163)</f>
        <v>1164</v>
      </c>
      <c r="AC163" s="64"/>
      <c r="AD163" s="57" t="n">
        <f aca="false">IF(LEFT(Cockpit!$C$5,1)="A",G163,IF(BW163=1,BX163,IF(LEFT(Cockpit!$C$5,1)="B",AH163,MAX(AH163,G163))))</f>
        <v>665</v>
      </c>
      <c r="AE163" s="57" t="n">
        <f aca="false">IF(BR163=1,0,ROUNDUP(AD163/BQ163,0))</f>
        <v>2</v>
      </c>
      <c r="AF163" s="59" t="n">
        <f aca="false">IF(CD163&gt;0,CD163*MAX(1,AD163/V163),IF(BR163=1,IF(AD163&lt;=0,0,BS163*MAX(1,IF(G163&gt;0,AD163/G163,1))),IF(Q163&gt;0,AE163/Q163,0))/MAX(0.1,N(Parameter!$M$21)))</f>
        <v>0.0384615384615385</v>
      </c>
      <c r="AG163" s="57" t="n">
        <f aca="false">AD163*F163</f>
        <v>1197</v>
      </c>
      <c r="AH163" s="57" t="n">
        <f aca="false">ROUNDUP(MAX(I163/IF(BV163&gt;0,BV163,MAX(0.1,N(Cockpit!$C$6))),BY163)/BQ163,0)*BQ163</f>
        <v>1164</v>
      </c>
      <c r="AI163" s="58" t="n">
        <f aca="false">IF(AF163&gt;0,I163/AF163,-1)</f>
        <v>25610</v>
      </c>
      <c r="AJ163" s="58" t="n">
        <f aca="false">IF(AND(OR(BU163="L1",BU163="L23"),AF163&gt;0),SUMIFS($AF$7:$AF$1576,$BU$7:$BU$1576,BU163,$AI$7:$AI$1576,"&gt;"&amp;AI163)+SUMIFS($AF$7:$AF$1576,$BU$7:$BU$1576,BU163,$AI$7:$AI$1576,AI163,$BO$7:$BO$1576,"&lt;="&amp;BO163),"")</f>
        <v>1.67059389885477</v>
      </c>
      <c r="AK163" s="65" t="n">
        <f aca="false">IF(AJ163="",0,MAX(0,MIN(1,(IF(BU163="L1",Parameter!$E$5,Parameter!$E$6+Parameter!$E$7)-(AJ163-AF163))/AF163)))</f>
        <v>1</v>
      </c>
      <c r="AL163" s="57" t="n">
        <f aca="false">IF(LEFT(Cockpit!$I$5,1)="A",G163,IF(BW163=1,BX163,IF(LEFT(Cockpit!$I$5,1)="B",AP163,MAX(AP163,G163))))</f>
        <v>1164</v>
      </c>
      <c r="AM163" s="57" t="n">
        <f aca="false">IF(BR163=1,0,ROUNDUP(AL163/BQ163,0))</f>
        <v>3</v>
      </c>
      <c r="AN163" s="59" t="n">
        <f aca="false">IF(CD163&gt;0,CD163*MAX(1,AL163/V163),IF(BR163=1,IF(AL163&lt;=0,0,BS163*MAX(1,IF(G163&gt;0,AL163/G163,1))),IF(Q163&gt;0,AM163/Q163,0))/MAX(0.1,N(Parameter!$M$21)))</f>
        <v>0.0576923076923077</v>
      </c>
      <c r="AO163" s="57" t="n">
        <f aca="false">AL163*F163</f>
        <v>2095.2</v>
      </c>
      <c r="AP163" s="57" t="n">
        <f aca="false">ROUNDUP(MAX(I163/IF(BV163&gt;0,BV163,MAX(0.1,N(Cockpit!$I$6))),BY163)/BQ163,0)*BQ163</f>
        <v>1164</v>
      </c>
      <c r="AQ163" s="58" t="n">
        <f aca="false">IF(AN163&gt;0,I163/AN163,-1)</f>
        <v>17073.3333333333</v>
      </c>
      <c r="AR163" s="58" t="n">
        <f aca="false">IF(AND(OR(BU163="L1",BU163="L23"),AN163&gt;0),SUMIFS($AN$7:$AN$1576,$BU$7:$BU$1576,BU163,$AQ$7:$AQ$1576,"&gt;"&amp;AQ163)+SUMIFS($AN$7:$AN$1576,$BU$7:$BU$1576,BU163,$AQ$7:$AQ$1576,AQ163,$BO$7:$BO$1576,"&lt;="&amp;BO163),"")</f>
        <v>4.42891422587075</v>
      </c>
      <c r="AS163" s="65" t="n">
        <f aca="false">IF(AR163="",0,MAX(0,MIN(1,(IF(BU163="L1",Parameter!$E$5,Parameter!$E$6+Parameter!$E$7)-(AR163-AN163))/AN163)))</f>
        <v>1</v>
      </c>
      <c r="AT163" s="57" t="n">
        <f aca="false">IF(LEFT(Cockpit!$O$5,1)="A",G163,IF(BW163=1,BX163,IF(LEFT(Cockpit!$O$5,1)="B",AX163,MAX(AX163,G163))))</f>
        <v>1164</v>
      </c>
      <c r="AU163" s="57" t="n">
        <f aca="false">IF(BR163=1,0,ROUNDUP(AT163/BQ163,0))</f>
        <v>3</v>
      </c>
      <c r="AV163" s="59" t="n">
        <f aca="false">IF(CD163&gt;0,CD163*MAX(1,AT163/V163),IF(BR163=1,IF(AT163&lt;=0,0,BS163*MAX(1,IF(G163&gt;0,AT163/G163,1))),IF(Q163&gt;0,AU163/Q163,0))/MAX(0.1,N(Parameter!$M$21)))</f>
        <v>0.0576923076923077</v>
      </c>
      <c r="AW163" s="57" t="n">
        <f aca="false">AT163*F163</f>
        <v>2095.2</v>
      </c>
      <c r="AX163" s="57" t="n">
        <f aca="false">ROUNDUP(MAX(I163/IF(BV163&gt;0,BV163,MAX(0.1,N(Cockpit!$O$6))),BY163)/BQ163,0)*BQ163</f>
        <v>1164</v>
      </c>
      <c r="AY163" s="58" t="n">
        <f aca="false">IF(AV163&gt;0,I163/AV163,-1)</f>
        <v>17073.3333333333</v>
      </c>
      <c r="AZ163" s="58" t="n">
        <f aca="false">IF(AND(OR(BU163="L1",BU163="L23"),AV163&gt;0),SUMIFS($AV$7:$AV$1576,$BU$7:$BU$1576,BU163,$AY$7:$AY$1576,"&gt;"&amp;AY163)+SUMIFS($AV$7:$AV$1576,$BU$7:$BU$1576,BU163,$AY$7:$AY$1576,AY163,$BO$7:$BO$1576,"&lt;="&amp;BO163),"")</f>
        <v>4.81003310698963</v>
      </c>
      <c r="BA163" s="65" t="n">
        <f aca="false">IF(AZ163="",0,MAX(0,MIN(1,(IF(BU163="L1",Parameter!$E$5,Parameter!$E$6+Parameter!$E$7)-(AZ163-AV163))/AV163)))</f>
        <v>1</v>
      </c>
      <c r="BB163" s="55" t="str">
        <f aca="false">IF(AF163&lt;=0,"",IF(BU163="Aussen","Aussenlager",IF(BU163="-","Nicht im Lift",IF(AK163&gt;=1,"Lift",IF(AK163&lt;=0,"Aussenlager","teilweise")))))</f>
        <v>Lift</v>
      </c>
      <c r="BC163" s="55" t="str">
        <f aca="false">IF(AN163&lt;=0,"",IF(BU163="Aussen","Aussenlager",IF(BU163="-","Nicht im Lift",IF(AS163&gt;=1,"Lift",IF(AS163&lt;=0,"Aussenlager","teilweise")))))</f>
        <v>Lift</v>
      </c>
      <c r="BD163" s="55" t="str">
        <f aca="false">IF(AV163&lt;=0,"",IF(BU163="Aussen","Aussenlager",IF(BU163="-","Nicht im Lift",IF(BA163&gt;=1,"Lift",IF(BA163&lt;=0,"Aussenlager","teilweise")))))</f>
        <v>Lift</v>
      </c>
      <c r="BE163" s="55" t="str">
        <f aca="false">IF(A163="","",IF(BN163=1,"Neu; ","")&amp;IF(AND(BN163=0,BI163&lt;0),"negativer Bestand (Export "&amp;BI163&amp;"); ","")&amp;IF(I163&lt;=0,"Kein Verbrauch; ","")&amp;IF(CD163&gt;0,"Lift "&amp;U163&amp;" lt. Liftbericht (Fach "&amp;V163&amp;" Stk); ",IF(BR163=1,"Lose – Fläche geschätzt; ",""))&amp;IF(G163&gt;AP163,"Überbestand "&amp;ROUND(G163-AP163,0)&amp;" Stk / CHF "&amp;ROUND((G163-AP163)*F163,0)&amp;"; ","")&amp;IF(AND(BW163=1,BX163&lt;BY163),"MAX &lt; MB+LG; ","")&amp;IF(AND(CC163&gt;0,CB163*10&gt;CC163),"zu hoch für Tablar; ","")&amp;IF(AND(BN163=0,OR(BW163=1,Y163&lt;&gt;"",S163&lt;&gt;"",T163&lt;&gt;"",Z163&lt;&gt;"")),"manuell übersteuert; ","")&amp;IF(AND(BR163=0,Q163=0),"Gebinde unbekannt / Stellmass fehlt; ","")&amp;IF(AND(BR163=0,N(T163)&lt;=0,N(P163)&lt;=0),"Menge pro Gebinde fehlt (Ist = 1 Gebinde); ","")&amp;BM163)</f>
        <v/>
      </c>
      <c r="BF163" s="55"/>
      <c r="BG163" s="55"/>
      <c r="BH163" s="62"/>
      <c r="BI163" s="57" t="n">
        <v>665</v>
      </c>
      <c r="BJ163" s="57" t="n">
        <v>111</v>
      </c>
      <c r="BK163" s="56" t="n">
        <v>1197</v>
      </c>
      <c r="BL163" s="57" t="n">
        <v>985</v>
      </c>
      <c r="BM163" s="55"/>
      <c r="BN163" s="60" t="n">
        <v>0</v>
      </c>
      <c r="BO163" s="60" t="n">
        <v>163</v>
      </c>
      <c r="BP163" s="55" t="str">
        <f aca="false">IF(S163&lt;&gt;"",UPPER(TRIM(S163)),IF(O163="","LOSE",O163))</f>
        <v>S41</v>
      </c>
      <c r="BQ163" s="57" t="n">
        <f aca="false">IF(BP163="LOSE",1,IF(N(T163)&gt;0,T163,IF(N(P163)&gt;0,P163,MAX(1,G163))))</f>
        <v>388</v>
      </c>
      <c r="BR163" s="60" t="n">
        <f aca="false">IF(BP163="LOSE",1,0)</f>
        <v>0</v>
      </c>
      <c r="BS163" s="59" t="n">
        <f aca="false">IF(BR163=0,0,IF(N(R163)&gt;0,R163,IFERROR(VLOOKUP(D163,Parameter!$A$35:$C$64,3,0)+0,0)))</f>
        <v>0</v>
      </c>
      <c r="BT163" s="55" t="n">
        <f aca="false">IF(Y163&lt;&gt;"",Y163,X163)</f>
        <v>3</v>
      </c>
      <c r="BU163" s="55" t="str">
        <f aca="false">IF(BT163=1,"L1",IF(OR(BT163=2,BT163=3),"L23",IF(BT163="Aussen","Aussen","-")))</f>
        <v>L23</v>
      </c>
      <c r="BV163" s="66" t="n">
        <f aca="false">IF(N(Z163)&gt;0,Z163,0)</f>
        <v>0</v>
      </c>
      <c r="BW163" s="60" t="n">
        <f aca="false">IF(ISNUMBER(AC163),1,0)</f>
        <v>0</v>
      </c>
      <c r="BX163" s="57" t="n">
        <f aca="false">N(AC163)</f>
        <v>0</v>
      </c>
      <c r="BY163" s="57" t="n">
        <f aca="false">N(L163)+N(M163)</f>
        <v>1023</v>
      </c>
      <c r="BZ163" s="57" t="n">
        <f aca="false">ROUNDUP(G163/BQ163,0)</f>
        <v>2</v>
      </c>
      <c r="CA163" s="57" t="n">
        <f aca="false">ROUNDUP(BX163/BQ163,0)</f>
        <v>0</v>
      </c>
      <c r="CB163" s="60" t="n">
        <f aca="false">IF(BR163=1,0,IFERROR(VLOOKUP(BP163,'Gebinde-Kategorie'!$A$5:$M$45,5,0)+0,0))</f>
        <v>11</v>
      </c>
      <c r="CC163" s="60" t="n">
        <f aca="false">IFERROR(IF(OR(BT163=1,BT163=2,BT163=3),N(INDEX(Parameter!$I$5:$I$7,BT163)),0),0)</f>
        <v>0</v>
      </c>
      <c r="CD163" s="59" t="n">
        <f aca="false">IF(AND(Parameter!$B$21="Ja",ISNUMBER(U163),N(V163)&gt;0),IFERROR(N(INDEX(Parameter!$L$5:$L$7,U163))*INDEX(Parameter!$E$5:$E$7,U163)*V163/SUMIFS($V$7:$V$1576,$U$7:$U$1576,U163),0),0)</f>
        <v>0</v>
      </c>
    </row>
    <row r="164" customFormat="false" ht="15" hidden="false" customHeight="false" outlineLevel="0" collapsed="false">
      <c r="A164" s="55" t="s">
        <v>523</v>
      </c>
      <c r="B164" s="55" t="s">
        <v>524</v>
      </c>
      <c r="C164" s="55" t="s">
        <v>160</v>
      </c>
      <c r="D164" s="55" t="s">
        <v>178</v>
      </c>
      <c r="E164" s="55" t="s">
        <v>210</v>
      </c>
      <c r="F164" s="56" t="n">
        <v>22.14</v>
      </c>
      <c r="G164" s="57" t="n">
        <f aca="false">MAX(0,IF(AND(Parameter!$B$21="Ja",ISNUMBER(W164)),W164,IF(Parameter!$B$20="Jahresanfang 2025 + Export",BJ164+BI164,BI164)))</f>
        <v>48</v>
      </c>
      <c r="H164" s="57" t="n">
        <f aca="false">G164*F164</f>
        <v>1062.72</v>
      </c>
      <c r="I164" s="57" t="n">
        <f aca="false">BL164*Parameter!$B$18</f>
        <v>2</v>
      </c>
      <c r="J164" s="58" t="n">
        <v>75</v>
      </c>
      <c r="K164" s="59" t="n">
        <v>0.0266666666666667</v>
      </c>
      <c r="L164" s="57" t="n">
        <v>0</v>
      </c>
      <c r="M164" s="57" t="n">
        <v>1</v>
      </c>
      <c r="N164" s="60" t="n">
        <v>70</v>
      </c>
      <c r="O164" s="55" t="s">
        <v>179</v>
      </c>
      <c r="P164" s="57" t="n">
        <v>100</v>
      </c>
      <c r="Q164" s="60" t="n">
        <f aca="false">IF(BR164=1,0,IFERROR(VLOOKUP(BP164,'Gebinde-Kategorie'!$A$5:$M$45,13,0)+0,0))</f>
        <v>12</v>
      </c>
      <c r="R164" s="61"/>
      <c r="S164" s="62"/>
      <c r="T164" s="62"/>
      <c r="U164" s="55"/>
      <c r="V164" s="57"/>
      <c r="W164" s="57"/>
      <c r="X164" s="55" t="n">
        <f aca="false">IF(A164="","",IF(AND(Parameter!$B$21="Ja",ISNUMBER(U164)),U164,IF(IFERROR(VLOOKUP(D164,Parameter!$A$35:$C$64,2,0),"Nein")="2+3",IF(ISNUMBER(SEARCH("grosser Artikel",BM164)),2,IFERROR(VLOOKUP(BP164,Parameter!$F$35:$G$64,2,0),2)),IF(OR(IFERROR(VLOOKUP(D164,Parameter!$A$35:$C$64,2,0),"Nein")="Nein",IFERROR(VLOOKUP(D164,Parameter!$A$35:$C$64,2,0),"Nein")=""),"-",VLOOKUP(D164,Parameter!$A$35:$C$64,2,0)))))</f>
        <v>2</v>
      </c>
      <c r="Y164" s="62"/>
      <c r="Z164" s="63"/>
      <c r="AA164" s="57" t="n">
        <f aca="false">AP164</f>
        <v>100</v>
      </c>
      <c r="AB164" s="57" t="n">
        <f aca="false">MAX(AP164,G164)</f>
        <v>100</v>
      </c>
      <c r="AC164" s="64"/>
      <c r="AD164" s="57" t="n">
        <f aca="false">IF(LEFT(Cockpit!$C$5,1)="A",G164,IF(BW164=1,BX164,IF(LEFT(Cockpit!$C$5,1)="B",AH164,MAX(AH164,G164))))</f>
        <v>48</v>
      </c>
      <c r="AE164" s="57" t="n">
        <f aca="false">IF(BR164=1,0,ROUNDUP(AD164/BQ164,0))</f>
        <v>1</v>
      </c>
      <c r="AF164" s="59" t="n">
        <f aca="false">IF(CD164&gt;0,CD164*MAX(1,AD164/V164),IF(BR164=1,IF(AD164&lt;=0,0,BS164*MAX(1,IF(G164&gt;0,AD164/G164,1))),IF(Q164&gt;0,AE164/Q164,0))/MAX(0.1,N(Parameter!$M$21)))</f>
        <v>0.0833333333333333</v>
      </c>
      <c r="AG164" s="57" t="n">
        <f aca="false">AD164*F164</f>
        <v>1062.72</v>
      </c>
      <c r="AH164" s="57" t="n">
        <f aca="false">ROUNDUP(MAX(I164/IF(BV164&gt;0,BV164,MAX(0.1,N(Cockpit!$C$6))),BY164)/BQ164,0)*BQ164</f>
        <v>100</v>
      </c>
      <c r="AI164" s="58" t="n">
        <f aca="false">IF(AF164&gt;0,I164/AF164,-1)</f>
        <v>24</v>
      </c>
      <c r="AJ164" s="58" t="n">
        <f aca="false">IF(AND(OR(BU164="L1",BU164="L23"),AF164&gt;0),SUMIFS($AF$7:$AF$1576,$BU$7:$BU$1576,BU164,$AI$7:$AI$1576,"&gt;"&amp;AI164)+SUMIFS($AF$7:$AF$1576,$BU$7:$BU$1576,BU164,$AI$7:$AI$1576,AI164,$BO$7:$BO$1576,"&lt;="&amp;BO164),"")</f>
        <v>28.5825816695382</v>
      </c>
      <c r="AK164" s="65" t="n">
        <f aca="false">IF(AJ164="",0,MAX(0,MIN(1,(IF(BU164="L1",Parameter!$E$5,Parameter!$E$6+Parameter!$E$7)-(AJ164-AF164))/AF164)))</f>
        <v>1</v>
      </c>
      <c r="AL164" s="57" t="n">
        <f aca="false">IF(LEFT(Cockpit!$I$5,1)="A",G164,IF(BW164=1,BX164,IF(LEFT(Cockpit!$I$5,1)="B",AP164,MAX(AP164,G164))))</f>
        <v>100</v>
      </c>
      <c r="AM164" s="57" t="n">
        <f aca="false">IF(BR164=1,0,ROUNDUP(AL164/BQ164,0))</f>
        <v>1</v>
      </c>
      <c r="AN164" s="59" t="n">
        <f aca="false">IF(CD164&gt;0,CD164*MAX(1,AL164/V164),IF(BR164=1,IF(AL164&lt;=0,0,BS164*MAX(1,IF(G164&gt;0,AL164/G164,1))),IF(Q164&gt;0,AM164/Q164,0))/MAX(0.1,N(Parameter!$M$21)))</f>
        <v>0.0833333333333333</v>
      </c>
      <c r="AO164" s="57" t="n">
        <f aca="false">AL164*F164</f>
        <v>2214</v>
      </c>
      <c r="AP164" s="57" t="n">
        <f aca="false">ROUNDUP(MAX(I164/IF(BV164&gt;0,BV164,MAX(0.1,N(Cockpit!$I$6))),BY164)/BQ164,0)*BQ164</f>
        <v>100</v>
      </c>
      <c r="AQ164" s="58" t="n">
        <f aca="false">IF(AN164&gt;0,I164/AN164,-1)</f>
        <v>24</v>
      </c>
      <c r="AR164" s="58" t="n">
        <f aca="false">IF(AND(OR(BU164="L1",BU164="L23"),AN164&gt;0),SUMIFS($AN$7:$AN$1576,$BU$7:$BU$1576,BU164,$AQ$7:$AQ$1576,"&gt;"&amp;AQ164)+SUMIFS($AN$7:$AN$1576,$BU$7:$BU$1576,BU164,$AQ$7:$AQ$1576,AQ164,$BO$7:$BO$1576,"&lt;="&amp;BO164),"")</f>
        <v>97.7129474092086</v>
      </c>
      <c r="AS164" s="65" t="n">
        <f aca="false">IF(AR164="",0,MAX(0,MIN(1,(IF(BU164="L1",Parameter!$E$5,Parameter!$E$6+Parameter!$E$7)-(AR164-AN164))/AN164)))</f>
        <v>1</v>
      </c>
      <c r="AT164" s="57" t="n">
        <f aca="false">IF(LEFT(Cockpit!$O$5,1)="A",G164,IF(BW164=1,BX164,IF(LEFT(Cockpit!$O$5,1)="B",AX164,MAX(AX164,G164))))</f>
        <v>100</v>
      </c>
      <c r="AU164" s="57" t="n">
        <f aca="false">IF(BR164=1,0,ROUNDUP(AT164/BQ164,0))</f>
        <v>1</v>
      </c>
      <c r="AV164" s="59" t="n">
        <f aca="false">IF(CD164&gt;0,CD164*MAX(1,AT164/V164),IF(BR164=1,IF(AT164&lt;=0,0,BS164*MAX(1,IF(G164&gt;0,AT164/G164,1))),IF(Q164&gt;0,AU164/Q164,0))/MAX(0.1,N(Parameter!$M$21)))</f>
        <v>0.0833333333333333</v>
      </c>
      <c r="AW164" s="57" t="n">
        <f aca="false">AT164*F164</f>
        <v>2214</v>
      </c>
      <c r="AX164" s="57" t="n">
        <f aca="false">ROUNDUP(MAX(I164/IF(BV164&gt;0,BV164,MAX(0.1,N(Cockpit!$O$6))),BY164)/BQ164,0)*BQ164</f>
        <v>100</v>
      </c>
      <c r="AY164" s="58" t="n">
        <f aca="false">IF(AV164&gt;0,I164/AV164,-1)</f>
        <v>24</v>
      </c>
      <c r="AZ164" s="58" t="n">
        <f aca="false">IF(AND(OR(BU164="L1",BU164="L23"),AV164&gt;0),SUMIFS($AV$7:$AV$1576,$BU$7:$BU$1576,BU164,$AY$7:$AY$1576,"&gt;"&amp;AY164)+SUMIFS($AV$7:$AV$1576,$BU$7:$BU$1576,BU164,$AY$7:$AY$1576,AY164,$BO$7:$BO$1576,"&lt;="&amp;BO164),"")</f>
        <v>88.522497858759</v>
      </c>
      <c r="BA164" s="65" t="n">
        <f aca="false">IF(AZ164="",0,MAX(0,MIN(1,(IF(BU164="L1",Parameter!$E$5,Parameter!$E$6+Parameter!$E$7)-(AZ164-AV164))/AV164)))</f>
        <v>1</v>
      </c>
      <c r="BB164" s="55" t="str">
        <f aca="false">IF(AF164&lt;=0,"",IF(BU164="Aussen","Aussenlager",IF(BU164="-","Nicht im Lift",IF(AK164&gt;=1,"Lift",IF(AK164&lt;=0,"Aussenlager","teilweise")))))</f>
        <v>Lift</v>
      </c>
      <c r="BC164" s="55" t="str">
        <f aca="false">IF(AN164&lt;=0,"",IF(BU164="Aussen","Aussenlager",IF(BU164="-","Nicht im Lift",IF(AS164&gt;=1,"Lift",IF(AS164&lt;=0,"Aussenlager","teilweise")))))</f>
        <v>Lift</v>
      </c>
      <c r="BD164" s="55" t="str">
        <f aca="false">IF(AV164&lt;=0,"",IF(BU164="Aussen","Aussenlager",IF(BU164="-","Nicht im Lift",IF(BA164&gt;=1,"Lift",IF(BA164&lt;=0,"Aussenlager","teilweise")))))</f>
        <v>Lift</v>
      </c>
      <c r="BE164" s="55" t="str">
        <f aca="false">IF(A164="","",IF(BN164=1,"Neu; ","")&amp;IF(AND(BN164=0,BI164&lt;0),"negativer Bestand (Export "&amp;BI164&amp;"); ","")&amp;IF(I164&lt;=0,"Kein Verbrauch; ","")&amp;IF(CD164&gt;0,"Lift "&amp;U164&amp;" lt. Liftbericht (Fach "&amp;V164&amp;" Stk); ",IF(BR164=1,"Lose – Fläche geschätzt; ",""))&amp;IF(G164&gt;AP164,"Überbestand "&amp;ROUND(G164-AP164,0)&amp;" Stk / CHF "&amp;ROUND((G164-AP164)*F164,0)&amp;"; ","")&amp;IF(AND(BW164=1,BX164&lt;BY164),"MAX &lt; MB+LG; ","")&amp;IF(AND(CC164&gt;0,CB164*10&gt;CC164),"zu hoch für Tablar; ","")&amp;IF(AND(BN164=0,OR(BW164=1,Y164&lt;&gt;"",S164&lt;&gt;"",T164&lt;&gt;"",Z164&lt;&gt;"")),"manuell übersteuert; ","")&amp;IF(AND(BR164=0,Q164=0),"Gebinde unbekannt / Stellmass fehlt; ","")&amp;IF(AND(BR164=0,N(T164)&lt;=0,N(P164)&lt;=0),"Menge pro Gebinde fehlt (Ist = 1 Gebinde); ","")&amp;BM164)</f>
        <v>i.o</v>
      </c>
      <c r="BF164" s="55"/>
      <c r="BG164" s="55"/>
      <c r="BH164" s="62"/>
      <c r="BI164" s="57" t="n">
        <v>48</v>
      </c>
      <c r="BJ164" s="57" t="n">
        <v>75</v>
      </c>
      <c r="BK164" s="56" t="n">
        <v>1171.2</v>
      </c>
      <c r="BL164" s="57" t="n">
        <v>2</v>
      </c>
      <c r="BM164" s="55" t="s">
        <v>525</v>
      </c>
      <c r="BN164" s="60" t="n">
        <v>0</v>
      </c>
      <c r="BO164" s="60" t="n">
        <v>164</v>
      </c>
      <c r="BP164" s="55" t="str">
        <f aca="false">IF(S164&lt;&gt;"",UPPER(TRIM(S164)),IF(O164="","LOSE",O164))</f>
        <v>S61</v>
      </c>
      <c r="BQ164" s="57" t="n">
        <f aca="false">IF(BP164="LOSE",1,IF(N(T164)&gt;0,T164,IF(N(P164)&gt;0,P164,MAX(1,G164))))</f>
        <v>100</v>
      </c>
      <c r="BR164" s="60" t="n">
        <f aca="false">IF(BP164="LOSE",1,0)</f>
        <v>0</v>
      </c>
      <c r="BS164" s="59" t="n">
        <f aca="false">IF(BR164=0,0,IF(N(R164)&gt;0,R164,IFERROR(VLOOKUP(D164,Parameter!$A$35:$C$64,3,0)+0,0)))</f>
        <v>0</v>
      </c>
      <c r="BT164" s="55" t="n">
        <f aca="false">IF(Y164&lt;&gt;"",Y164,X164)</f>
        <v>2</v>
      </c>
      <c r="BU164" s="55" t="str">
        <f aca="false">IF(BT164=1,"L1",IF(OR(BT164=2,BT164=3),"L23",IF(BT164="Aussen","Aussen","-")))</f>
        <v>L23</v>
      </c>
      <c r="BV164" s="66" t="n">
        <f aca="false">IF(N(Z164)&gt;0,Z164,0)</f>
        <v>0</v>
      </c>
      <c r="BW164" s="60" t="n">
        <f aca="false">IF(ISNUMBER(AC164),1,0)</f>
        <v>0</v>
      </c>
      <c r="BX164" s="57" t="n">
        <f aca="false">N(AC164)</f>
        <v>0</v>
      </c>
      <c r="BY164" s="57" t="n">
        <f aca="false">N(L164)+N(M164)</f>
        <v>1</v>
      </c>
      <c r="BZ164" s="57" t="n">
        <f aca="false">ROUNDUP(G164/BQ164,0)</f>
        <v>1</v>
      </c>
      <c r="CA164" s="57" t="n">
        <f aca="false">ROUNDUP(BX164/BQ164,0)</f>
        <v>0</v>
      </c>
      <c r="CB164" s="60" t="n">
        <f aca="false">IF(BR164=1,0,IFERROR(VLOOKUP(BP164,'Gebinde-Kategorie'!$A$5:$M$45,5,0)+0,0))</f>
        <v>11</v>
      </c>
      <c r="CC164" s="60" t="n">
        <f aca="false">IFERROR(IF(OR(BT164=1,BT164=2,BT164=3),N(INDEX(Parameter!$I$5:$I$7,BT164)),0),0)</f>
        <v>0</v>
      </c>
      <c r="CD164" s="59" t="n">
        <f aca="false">IF(AND(Parameter!$B$21="Ja",ISNUMBER(U164),N(V164)&gt;0),IFERROR(N(INDEX(Parameter!$L$5:$L$7,U164))*INDEX(Parameter!$E$5:$E$7,U164)*V164/SUMIFS($V$7:$V$1576,$U$7:$U$1576,U164),0),0)</f>
        <v>0</v>
      </c>
    </row>
    <row r="165" customFormat="false" ht="15" hidden="false" customHeight="false" outlineLevel="0" collapsed="false">
      <c r="A165" s="55" t="s">
        <v>526</v>
      </c>
      <c r="B165" s="55" t="s">
        <v>527</v>
      </c>
      <c r="C165" s="55" t="s">
        <v>160</v>
      </c>
      <c r="D165" s="55" t="s">
        <v>168</v>
      </c>
      <c r="E165" s="55" t="s">
        <v>210</v>
      </c>
      <c r="F165" s="56" t="n">
        <v>145.13</v>
      </c>
      <c r="G165" s="57" t="n">
        <f aca="false">MAX(0,IF(AND(Parameter!$B$21="Ja",ISNUMBER(W165)),W165,IF(Parameter!$B$20="Jahresanfang 2025 + Export",BJ165+BI165,BI165)))</f>
        <v>7</v>
      </c>
      <c r="H165" s="57" t="n">
        <f aca="false">G165*F165</f>
        <v>1015.91</v>
      </c>
      <c r="I165" s="57" t="n">
        <f aca="false">BL165*Parameter!$B$18</f>
        <v>28</v>
      </c>
      <c r="J165" s="58" t="n">
        <v>11.5</v>
      </c>
      <c r="K165" s="59" t="n">
        <v>2.43478260869565</v>
      </c>
      <c r="L165" s="57" t="n">
        <v>4</v>
      </c>
      <c r="M165" s="57" t="n">
        <v>20</v>
      </c>
      <c r="N165" s="60" t="n">
        <v>50</v>
      </c>
      <c r="O165" s="55" t="s">
        <v>169</v>
      </c>
      <c r="P165" s="57" t="n">
        <v>15</v>
      </c>
      <c r="Q165" s="60" t="n">
        <f aca="false">IF(BR165=1,0,IFERROR(VLOOKUP(BP165,'Gebinde-Kategorie'!$A$5:$M$45,13,0)+0,0))</f>
        <v>6</v>
      </c>
      <c r="R165" s="61"/>
      <c r="S165" s="62"/>
      <c r="T165" s="62"/>
      <c r="U165" s="55"/>
      <c r="V165" s="57"/>
      <c r="W165" s="57"/>
      <c r="X165" s="55" t="n">
        <f aca="false">IF(A165="","",IF(AND(Parameter!$B$21="Ja",ISNUMBER(U165)),U165,IF(IFERROR(VLOOKUP(D165,Parameter!$A$35:$C$64,2,0),"Nein")="2+3",IF(ISNUMBER(SEARCH("grosser Artikel",BM165)),2,IFERROR(VLOOKUP(BP165,Parameter!$F$35:$G$64,2,0),2)),IF(OR(IFERROR(VLOOKUP(D165,Parameter!$A$35:$C$64,2,0),"Nein")="Nein",IFERROR(VLOOKUP(D165,Parameter!$A$35:$C$64,2,0),"Nein")=""),"-",VLOOKUP(D165,Parameter!$A$35:$C$64,2,0)))))</f>
        <v>2</v>
      </c>
      <c r="Y165" s="62"/>
      <c r="Z165" s="63"/>
      <c r="AA165" s="57" t="n">
        <f aca="false">AP165</f>
        <v>30</v>
      </c>
      <c r="AB165" s="57" t="n">
        <f aca="false">MAX(AP165,G165)</f>
        <v>30</v>
      </c>
      <c r="AC165" s="64"/>
      <c r="AD165" s="57" t="n">
        <f aca="false">IF(LEFT(Cockpit!$C$5,1)="A",G165,IF(BW165=1,BX165,IF(LEFT(Cockpit!$C$5,1)="B",AH165,MAX(AH165,G165))))</f>
        <v>7</v>
      </c>
      <c r="AE165" s="57" t="n">
        <f aca="false">IF(BR165=1,0,ROUNDUP(AD165/BQ165,0))</f>
        <v>1</v>
      </c>
      <c r="AF165" s="59" t="n">
        <f aca="false">IF(CD165&gt;0,CD165*MAX(1,AD165/V165),IF(BR165=1,IF(AD165&lt;=0,0,BS165*MAX(1,IF(G165&gt;0,AD165/G165,1))),IF(Q165&gt;0,AE165/Q165,0))/MAX(0.1,N(Parameter!$M$21)))</f>
        <v>0.166666666666667</v>
      </c>
      <c r="AG165" s="57" t="n">
        <f aca="false">AD165*F165</f>
        <v>1015.91</v>
      </c>
      <c r="AH165" s="57" t="n">
        <f aca="false">ROUNDUP(MAX(I165/IF(BV165&gt;0,BV165,MAX(0.1,N(Cockpit!$C$6))),BY165)/BQ165,0)*BQ165</f>
        <v>30</v>
      </c>
      <c r="AI165" s="58" t="n">
        <f aca="false">IF(AF165&gt;0,I165/AF165,-1)</f>
        <v>168</v>
      </c>
      <c r="AJ165" s="58" t="n">
        <f aca="false">IF(AND(OR(BU165="L1",BU165="L23"),AF165&gt;0),SUMIFS($AF$7:$AF$1576,$BU$7:$BU$1576,BU165,$AI$7:$AI$1576,"&gt;"&amp;AI165)+SUMIFS($AF$7:$AF$1576,$BU$7:$BU$1576,BU165,$AI$7:$AI$1576,AI165,$BO$7:$BO$1576,"&lt;="&amp;BO165),"")</f>
        <v>18.3660160129725</v>
      </c>
      <c r="AK165" s="65" t="n">
        <f aca="false">IF(AJ165="",0,MAX(0,MIN(1,(IF(BU165="L1",Parameter!$E$5,Parameter!$E$6+Parameter!$E$7)-(AJ165-AF165))/AF165)))</f>
        <v>1</v>
      </c>
      <c r="AL165" s="57" t="n">
        <f aca="false">IF(LEFT(Cockpit!$I$5,1)="A",G165,IF(BW165=1,BX165,IF(LEFT(Cockpit!$I$5,1)="B",AP165,MAX(AP165,G165))))</f>
        <v>30</v>
      </c>
      <c r="AM165" s="57" t="n">
        <f aca="false">IF(BR165=1,0,ROUNDUP(AL165/BQ165,0))</f>
        <v>2</v>
      </c>
      <c r="AN165" s="59" t="n">
        <f aca="false">IF(CD165&gt;0,CD165*MAX(1,AL165/V165),IF(BR165=1,IF(AL165&lt;=0,0,BS165*MAX(1,IF(G165&gt;0,AL165/G165,1))),IF(Q165&gt;0,AM165/Q165,0))/MAX(0.1,N(Parameter!$M$21)))</f>
        <v>0.333333333333333</v>
      </c>
      <c r="AO165" s="57" t="n">
        <f aca="false">AL165*F165</f>
        <v>4353.9</v>
      </c>
      <c r="AP165" s="57" t="n">
        <f aca="false">ROUNDUP(MAX(I165/IF(BV165&gt;0,BV165,MAX(0.1,N(Cockpit!$I$6))),BY165)/BQ165,0)*BQ165</f>
        <v>30</v>
      </c>
      <c r="AQ165" s="58" t="n">
        <f aca="false">IF(AN165&gt;0,I165/AN165,-1)</f>
        <v>84</v>
      </c>
      <c r="AR165" s="58" t="n">
        <f aca="false">IF(AND(OR(BU165="L1",BU165="L23"),AN165&gt;0),SUMIFS($AN$7:$AN$1576,$BU$7:$BU$1576,BU165,$AQ$7:$AQ$1576,"&gt;"&amp;AQ165)+SUMIFS($AN$7:$AN$1576,$BU$7:$BU$1576,BU165,$AQ$7:$AQ$1576,AQ165,$BO$7:$BO$1576,"&lt;="&amp;BO165),"")</f>
        <v>73.8808261970873</v>
      </c>
      <c r="AS165" s="65" t="n">
        <f aca="false">IF(AR165="",0,MAX(0,MIN(1,(IF(BU165="L1",Parameter!$E$5,Parameter!$E$6+Parameter!$E$7)-(AR165-AN165))/AN165)))</f>
        <v>1</v>
      </c>
      <c r="AT165" s="57" t="n">
        <f aca="false">IF(LEFT(Cockpit!$O$5,1)="A",G165,IF(BW165=1,BX165,IF(LEFT(Cockpit!$O$5,1)="B",AX165,MAX(AX165,G165))))</f>
        <v>30</v>
      </c>
      <c r="AU165" s="57" t="n">
        <f aca="false">IF(BR165=1,0,ROUNDUP(AT165/BQ165,0))</f>
        <v>2</v>
      </c>
      <c r="AV165" s="59" t="n">
        <f aca="false">IF(CD165&gt;0,CD165*MAX(1,AT165/V165),IF(BR165=1,IF(AT165&lt;=0,0,BS165*MAX(1,IF(G165&gt;0,AT165/G165,1))),IF(Q165&gt;0,AU165/Q165,0))/MAX(0.1,N(Parameter!$M$21)))</f>
        <v>0.333333333333333</v>
      </c>
      <c r="AW165" s="57" t="n">
        <f aca="false">AT165*F165</f>
        <v>4353.9</v>
      </c>
      <c r="AX165" s="57" t="n">
        <f aca="false">ROUNDUP(MAX(I165/IF(BV165&gt;0,BV165,MAX(0.1,N(Cockpit!$O$6))),BY165)/BQ165,0)*BQ165</f>
        <v>30</v>
      </c>
      <c r="AY165" s="58" t="n">
        <f aca="false">IF(AV165&gt;0,I165/AV165,-1)</f>
        <v>84</v>
      </c>
      <c r="AZ165" s="58" t="n">
        <f aca="false">IF(AND(OR(BU165="L1",BU165="L23"),AV165&gt;0),SUMIFS($AV$7:$AV$1576,$BU$7:$BU$1576,BU165,$AY$7:$AY$1576,"&gt;"&amp;AY165)+SUMIFS($AV$7:$AV$1576,$BU$7:$BU$1576,BU165,$AY$7:$AY$1576,AY165,$BO$7:$BO$1576,"&lt;="&amp;BO165),"")</f>
        <v>67.4412099799711</v>
      </c>
      <c r="BA165" s="65" t="n">
        <f aca="false">IF(AZ165="",0,MAX(0,MIN(1,(IF(BU165="L1",Parameter!$E$5,Parameter!$E$6+Parameter!$E$7)-(AZ165-AV165))/AV165)))</f>
        <v>1</v>
      </c>
      <c r="BB165" s="55" t="str">
        <f aca="false">IF(AF165&lt;=0,"",IF(BU165="Aussen","Aussenlager",IF(BU165="-","Nicht im Lift",IF(AK165&gt;=1,"Lift",IF(AK165&lt;=0,"Aussenlager","teilweise")))))</f>
        <v>Lift</v>
      </c>
      <c r="BC165" s="55" t="str">
        <f aca="false">IF(AN165&lt;=0,"",IF(BU165="Aussen","Aussenlager",IF(BU165="-","Nicht im Lift",IF(AS165&gt;=1,"Lift",IF(AS165&lt;=0,"Aussenlager","teilweise")))))</f>
        <v>Lift</v>
      </c>
      <c r="BD165" s="55" t="str">
        <f aca="false">IF(AV165&lt;=0,"",IF(BU165="Aussen","Aussenlager",IF(BU165="-","Nicht im Lift",IF(BA165&gt;=1,"Lift",IF(BA165&lt;=0,"Aussenlager","teilweise")))))</f>
        <v>Lift</v>
      </c>
      <c r="BE165" s="55" t="str">
        <f aca="false">IF(A165="","",IF(BN165=1,"Neu; ","")&amp;IF(AND(BN165=0,BI165&lt;0),"negativer Bestand (Export "&amp;BI165&amp;"); ","")&amp;IF(I165&lt;=0,"Kein Verbrauch; ","")&amp;IF(CD165&gt;0,"Lift "&amp;U165&amp;" lt. Liftbericht (Fach "&amp;V165&amp;" Stk); ",IF(BR165=1,"Lose – Fläche geschätzt; ",""))&amp;IF(G165&gt;AP165,"Überbestand "&amp;ROUND(G165-AP165,0)&amp;" Stk / CHF "&amp;ROUND((G165-AP165)*F165,0)&amp;"; ","")&amp;IF(AND(BW165=1,BX165&lt;BY165),"MAX &lt; MB+LG; ","")&amp;IF(AND(CC165&gt;0,CB165*10&gt;CC165),"zu hoch für Tablar; ","")&amp;IF(AND(BN165=0,OR(BW165=1,Y165&lt;&gt;"",S165&lt;&gt;"",T165&lt;&gt;"",Z165&lt;&gt;"")),"manuell übersteuert; ","")&amp;IF(AND(BR165=0,Q165=0),"Gebinde unbekannt / Stellmass fehlt; ","")&amp;IF(AND(BR165=0,N(T165)&lt;=0,N(P165)&lt;=0),"Menge pro Gebinde fehlt (Ist = 1 Gebinde); ","")&amp;BM165)</f>
        <v/>
      </c>
      <c r="BF165" s="55"/>
      <c r="BG165" s="55"/>
      <c r="BH165" s="62"/>
      <c r="BI165" s="57" t="n">
        <v>7</v>
      </c>
      <c r="BJ165" s="57" t="n">
        <v>11</v>
      </c>
      <c r="BK165" s="56" t="n">
        <v>1134.27</v>
      </c>
      <c r="BL165" s="57" t="n">
        <v>28</v>
      </c>
      <c r="BM165" s="55"/>
      <c r="BN165" s="60" t="n">
        <v>0</v>
      </c>
      <c r="BO165" s="60" t="n">
        <v>165</v>
      </c>
      <c r="BP165" s="55" t="str">
        <f aca="false">IF(S165&lt;&gt;"",UPPER(TRIM(S165)),IF(O165="","LOSE",O165))</f>
        <v>S71</v>
      </c>
      <c r="BQ165" s="57" t="n">
        <f aca="false">IF(BP165="LOSE",1,IF(N(T165)&gt;0,T165,IF(N(P165)&gt;0,P165,MAX(1,G165))))</f>
        <v>15</v>
      </c>
      <c r="BR165" s="60" t="n">
        <f aca="false">IF(BP165="LOSE",1,0)</f>
        <v>0</v>
      </c>
      <c r="BS165" s="59" t="n">
        <f aca="false">IF(BR165=0,0,IF(N(R165)&gt;0,R165,IFERROR(VLOOKUP(D165,Parameter!$A$35:$C$64,3,0)+0,0)))</f>
        <v>0</v>
      </c>
      <c r="BT165" s="55" t="n">
        <f aca="false">IF(Y165&lt;&gt;"",Y165,X165)</f>
        <v>2</v>
      </c>
      <c r="BU165" s="55" t="str">
        <f aca="false">IF(BT165=1,"L1",IF(OR(BT165=2,BT165=3),"L23",IF(BT165="Aussen","Aussen","-")))</f>
        <v>L23</v>
      </c>
      <c r="BV165" s="66" t="n">
        <f aca="false">IF(N(Z165)&gt;0,Z165,0)</f>
        <v>0</v>
      </c>
      <c r="BW165" s="60" t="n">
        <f aca="false">IF(ISNUMBER(AC165),1,0)</f>
        <v>0</v>
      </c>
      <c r="BX165" s="57" t="n">
        <f aca="false">N(AC165)</f>
        <v>0</v>
      </c>
      <c r="BY165" s="57" t="n">
        <f aca="false">N(L165)+N(M165)</f>
        <v>24</v>
      </c>
      <c r="BZ165" s="57" t="n">
        <f aca="false">ROUNDUP(G165/BQ165,0)</f>
        <v>1</v>
      </c>
      <c r="CA165" s="57" t="n">
        <f aca="false">ROUNDUP(BX165/BQ165,0)</f>
        <v>0</v>
      </c>
      <c r="CB165" s="60" t="n">
        <f aca="false">IF(BR165=1,0,IFERROR(VLOOKUP(BP165,'Gebinde-Kategorie'!$A$5:$M$45,5,0)+0,0))</f>
        <v>20</v>
      </c>
      <c r="CC165" s="60" t="n">
        <f aca="false">IFERROR(IF(OR(BT165=1,BT165=2,BT165=3),N(INDEX(Parameter!$I$5:$I$7,BT165)),0),0)</f>
        <v>0</v>
      </c>
      <c r="CD165" s="59" t="n">
        <f aca="false">IF(AND(Parameter!$B$21="Ja",ISNUMBER(U165),N(V165)&gt;0),IFERROR(N(INDEX(Parameter!$L$5:$L$7,U165))*INDEX(Parameter!$E$5:$E$7,U165)*V165/SUMIFS($V$7:$V$1576,$U$7:$U$1576,U165),0),0)</f>
        <v>0</v>
      </c>
    </row>
    <row r="166" customFormat="false" ht="15" hidden="false" customHeight="false" outlineLevel="0" collapsed="false">
      <c r="A166" s="55" t="s">
        <v>528</v>
      </c>
      <c r="B166" s="55" t="s">
        <v>529</v>
      </c>
      <c r="C166" s="55" t="s">
        <v>160</v>
      </c>
      <c r="D166" s="55" t="s">
        <v>168</v>
      </c>
      <c r="E166" s="55" t="s">
        <v>210</v>
      </c>
      <c r="F166" s="56" t="n">
        <v>314.61</v>
      </c>
      <c r="G166" s="57" t="n">
        <f aca="false">MAX(0,IF(AND(Parameter!$B$21="Ja",ISNUMBER(W166)),W166,IF(Parameter!$B$20="Jahresanfang 2025 + Export",BJ166+BI166,BI166)))</f>
        <v>3</v>
      </c>
      <c r="H166" s="57" t="n">
        <f aca="false">G166*F166</f>
        <v>943.83</v>
      </c>
      <c r="I166" s="57" t="n">
        <f aca="false">BL166*Parameter!$B$18</f>
        <v>17</v>
      </c>
      <c r="J166" s="58" t="n">
        <v>1.5</v>
      </c>
      <c r="K166" s="59" t="n">
        <v>11.3333333333333</v>
      </c>
      <c r="L166" s="57" t="n">
        <v>1</v>
      </c>
      <c r="M166" s="57" t="n">
        <v>2</v>
      </c>
      <c r="N166" s="60" t="n">
        <v>14</v>
      </c>
      <c r="O166" s="55" t="s">
        <v>163</v>
      </c>
      <c r="P166" s="57"/>
      <c r="Q166" s="60" t="n">
        <f aca="false">IF(BR166=1,0,IFERROR(VLOOKUP(BP166,'Gebinde-Kategorie'!$A$5:$M$45,13,0)+0,0))</f>
        <v>0</v>
      </c>
      <c r="R166" s="61"/>
      <c r="S166" s="62"/>
      <c r="T166" s="62"/>
      <c r="U166" s="55"/>
      <c r="V166" s="57"/>
      <c r="W166" s="57"/>
      <c r="X166" s="55" t="n">
        <f aca="false">IF(A166="","",IF(AND(Parameter!$B$21="Ja",ISNUMBER(U166)),U166,IF(IFERROR(VLOOKUP(D166,Parameter!$A$35:$C$64,2,0),"Nein")="2+3",IF(ISNUMBER(SEARCH("grosser Artikel",BM166)),2,IFERROR(VLOOKUP(BP166,Parameter!$F$35:$G$64,2,0),2)),IF(OR(IFERROR(VLOOKUP(D166,Parameter!$A$35:$C$64,2,0),"Nein")="Nein",IFERROR(VLOOKUP(D166,Parameter!$A$35:$C$64,2,0),"Nein")=""),"-",VLOOKUP(D166,Parameter!$A$35:$C$64,2,0)))))</f>
        <v>2</v>
      </c>
      <c r="Y166" s="62"/>
      <c r="Z166" s="63"/>
      <c r="AA166" s="57" t="n">
        <f aca="false">AP166</f>
        <v>9</v>
      </c>
      <c r="AB166" s="57" t="n">
        <f aca="false">MAX(AP166,G166)</f>
        <v>9</v>
      </c>
      <c r="AC166" s="64"/>
      <c r="AD166" s="57" t="n">
        <f aca="false">IF(LEFT(Cockpit!$C$5,1)="A",G166,IF(BW166=1,BX166,IF(LEFT(Cockpit!$C$5,1)="B",AH166,MAX(AH166,G166))))</f>
        <v>3</v>
      </c>
      <c r="AE166" s="57" t="n">
        <f aca="false">IF(BR166=1,0,ROUNDUP(AD166/BQ166,0))</f>
        <v>0</v>
      </c>
      <c r="AF166" s="59" t="n">
        <f aca="false">IF(CD166&gt;0,CD166*MAX(1,AD166/V166),IF(BR166=1,IF(AD166&lt;=0,0,BS166*MAX(1,IF(G166&gt;0,AD166/G166,1))),IF(Q166&gt;0,AE166/Q166,0))/MAX(0.1,N(Parameter!$M$21)))</f>
        <v>0.15</v>
      </c>
      <c r="AG166" s="57" t="n">
        <f aca="false">AD166*F166</f>
        <v>943.83</v>
      </c>
      <c r="AH166" s="57" t="n">
        <f aca="false">ROUNDUP(MAX(I166/IF(BV166&gt;0,BV166,MAX(0.1,N(Cockpit!$C$6))),BY166)/BQ166,0)*BQ166</f>
        <v>9</v>
      </c>
      <c r="AI166" s="58" t="n">
        <f aca="false">IF(AF166&gt;0,I166/AF166,-1)</f>
        <v>113.333333333333</v>
      </c>
      <c r="AJ166" s="58" t="n">
        <f aca="false">IF(AND(OR(BU166="L1",BU166="L23"),AF166&gt;0),SUMIFS($AF$7:$AF$1576,$BU$7:$BU$1576,BU166,$AI$7:$AI$1576,"&gt;"&amp;AI166)+SUMIFS($AF$7:$AF$1576,$BU$7:$BU$1576,BU166,$AI$7:$AI$1576,AI166,$BO$7:$BO$1576,"&lt;="&amp;BO166),"")</f>
        <v>20.8464355933921</v>
      </c>
      <c r="AK166" s="65" t="n">
        <f aca="false">IF(AJ166="",0,MAX(0,MIN(1,(IF(BU166="L1",Parameter!$E$5,Parameter!$E$6+Parameter!$E$7)-(AJ166-AF166))/AF166)))</f>
        <v>1</v>
      </c>
      <c r="AL166" s="57" t="n">
        <f aca="false">IF(LEFT(Cockpit!$I$5,1)="A",G166,IF(BW166=1,BX166,IF(LEFT(Cockpit!$I$5,1)="B",AP166,MAX(AP166,G166))))</f>
        <v>9</v>
      </c>
      <c r="AM166" s="57" t="n">
        <f aca="false">IF(BR166=1,0,ROUNDUP(AL166/BQ166,0))</f>
        <v>0</v>
      </c>
      <c r="AN166" s="59" t="n">
        <f aca="false">IF(CD166&gt;0,CD166*MAX(1,AL166/V166),IF(BR166=1,IF(AL166&lt;=0,0,BS166*MAX(1,IF(G166&gt;0,AL166/G166,1))),IF(Q166&gt;0,AM166/Q166,0))/MAX(0.1,N(Parameter!$M$21)))</f>
        <v>0.45</v>
      </c>
      <c r="AO166" s="57" t="n">
        <f aca="false">AL166*F166</f>
        <v>2831.49</v>
      </c>
      <c r="AP166" s="57" t="n">
        <f aca="false">ROUNDUP(MAX(I166/IF(BV166&gt;0,BV166,MAX(0.1,N(Cockpit!$I$6))),BY166)/BQ166,0)*BQ166</f>
        <v>9</v>
      </c>
      <c r="AQ166" s="58" t="n">
        <f aca="false">IF(AN166&gt;0,I166/AN166,-1)</f>
        <v>37.7777777777778</v>
      </c>
      <c r="AR166" s="58" t="n">
        <f aca="false">IF(AND(OR(BU166="L1",BU166="L23"),AN166&gt;0),SUMIFS($AN$7:$AN$1576,$BU$7:$BU$1576,BU166,$AQ$7:$AQ$1576,"&gt;"&amp;AQ166)+SUMIFS($AN$7:$AN$1576,$BU$7:$BU$1576,BU166,$AQ$7:$AQ$1576,AQ166,$BO$7:$BO$1576,"&lt;="&amp;BO166),"")</f>
        <v>91.1324345886957</v>
      </c>
      <c r="AS166" s="65" t="n">
        <f aca="false">IF(AR166="",0,MAX(0,MIN(1,(IF(BU166="L1",Parameter!$E$5,Parameter!$E$6+Parameter!$E$7)-(AR166-AN166))/AN166)))</f>
        <v>1</v>
      </c>
      <c r="AT166" s="57" t="n">
        <f aca="false">IF(LEFT(Cockpit!$O$5,1)="A",G166,IF(BW166=1,BX166,IF(LEFT(Cockpit!$O$5,1)="B",AX166,MAX(AX166,G166))))</f>
        <v>6</v>
      </c>
      <c r="AU166" s="57" t="n">
        <f aca="false">IF(BR166=1,0,ROUNDUP(AT166/BQ166,0))</f>
        <v>0</v>
      </c>
      <c r="AV166" s="59" t="n">
        <f aca="false">IF(CD166&gt;0,CD166*MAX(1,AT166/V166),IF(BR166=1,IF(AT166&lt;=0,0,BS166*MAX(1,IF(G166&gt;0,AT166/G166,1))),IF(Q166&gt;0,AU166/Q166,0))/MAX(0.1,N(Parameter!$M$21)))</f>
        <v>0.3</v>
      </c>
      <c r="AW166" s="57" t="n">
        <f aca="false">AT166*F166</f>
        <v>1887.66</v>
      </c>
      <c r="AX166" s="57" t="n">
        <f aca="false">ROUNDUP(MAX(I166/IF(BV166&gt;0,BV166,MAX(0.1,N(Cockpit!$O$6))),BY166)/BQ166,0)*BQ166</f>
        <v>6</v>
      </c>
      <c r="AY166" s="58" t="n">
        <f aca="false">IF(AV166&gt;0,I166/AV166,-1)</f>
        <v>56.6666666666667</v>
      </c>
      <c r="AZ166" s="58" t="n">
        <f aca="false">IF(AND(OR(BU166="L1",BU166="L23"),AV166&gt;0),SUMIFS($AV$7:$AV$1576,$BU$7:$BU$1576,BU166,$AY$7:$AY$1576,"&gt;"&amp;AY166)+SUMIFS($AV$7:$AV$1576,$BU$7:$BU$1576,BU166,$AY$7:$AY$1576,AY166,$BO$7:$BO$1576,"&lt;="&amp;BO166),"")</f>
        <v>76.6439081151693</v>
      </c>
      <c r="BA166" s="65" t="n">
        <f aca="false">IF(AZ166="",0,MAX(0,MIN(1,(IF(BU166="L1",Parameter!$E$5,Parameter!$E$6+Parameter!$E$7)-(AZ166-AV166))/AV166)))</f>
        <v>1</v>
      </c>
      <c r="BB166" s="55" t="str">
        <f aca="false">IF(AF166&lt;=0,"",IF(BU166="Aussen","Aussenlager",IF(BU166="-","Nicht im Lift",IF(AK166&gt;=1,"Lift",IF(AK166&lt;=0,"Aussenlager","teilweise")))))</f>
        <v>Lift</v>
      </c>
      <c r="BC166" s="55" t="str">
        <f aca="false">IF(AN166&lt;=0,"",IF(BU166="Aussen","Aussenlager",IF(BU166="-","Nicht im Lift",IF(AS166&gt;=1,"Lift",IF(AS166&lt;=0,"Aussenlager","teilweise")))))</f>
        <v>Lift</v>
      </c>
      <c r="BD166" s="55" t="str">
        <f aca="false">IF(AV166&lt;=0,"",IF(BU166="Aussen","Aussenlager",IF(BU166="-","Nicht im Lift",IF(BA166&gt;=1,"Lift",IF(BA166&lt;=0,"Aussenlager","teilweise")))))</f>
        <v>Lift</v>
      </c>
      <c r="BE166" s="55" t="str">
        <f aca="false">IF(A166="","",IF(BN166=1,"Neu; ","")&amp;IF(AND(BN166=0,BI166&lt;0),"negativer Bestand (Export "&amp;BI166&amp;"); ","")&amp;IF(I166&lt;=0,"Kein Verbrauch; ","")&amp;IF(CD166&gt;0,"Lift "&amp;U166&amp;" lt. Liftbericht (Fach "&amp;V166&amp;" Stk); ",IF(BR166=1,"Lose – Fläche geschätzt; ",""))&amp;IF(G166&gt;AP166,"Überbestand "&amp;ROUND(G166-AP166,0)&amp;" Stk / CHF "&amp;ROUND((G166-AP166)*F166,0)&amp;"; ","")&amp;IF(AND(BW166=1,BX166&lt;BY166),"MAX &lt; MB+LG; ","")&amp;IF(AND(CC166&gt;0,CB166*10&gt;CC166),"zu hoch für Tablar; ","")&amp;IF(AND(BN166=0,OR(BW166=1,Y166&lt;&gt;"",S166&lt;&gt;"",T166&lt;&gt;"",Z166&lt;&gt;"")),"manuell übersteuert; ","")&amp;IF(AND(BR166=0,Q166=0),"Gebinde unbekannt / Stellmass fehlt; ","")&amp;IF(AND(BR166=0,N(T166)&lt;=0,N(P166)&lt;=0),"Menge pro Gebinde fehlt (Ist = 1 Gebinde); ","")&amp;BM166)</f>
        <v>Lose – Fläche geschätzt; </v>
      </c>
      <c r="BF166" s="55"/>
      <c r="BG166" s="55"/>
      <c r="BH166" s="62"/>
      <c r="BI166" s="57" t="n">
        <v>3</v>
      </c>
      <c r="BJ166" s="57" t="n">
        <v>2</v>
      </c>
      <c r="BK166" s="56" t="n">
        <v>1123.95</v>
      </c>
      <c r="BL166" s="57" t="n">
        <v>17</v>
      </c>
      <c r="BM166" s="55"/>
      <c r="BN166" s="60" t="n">
        <v>0</v>
      </c>
      <c r="BO166" s="60" t="n">
        <v>166</v>
      </c>
      <c r="BP166" s="55" t="str">
        <f aca="false">IF(S166&lt;&gt;"",UPPER(TRIM(S166)),IF(O166="","LOSE",O166))</f>
        <v>LOSE</v>
      </c>
      <c r="BQ166" s="57" t="n">
        <f aca="false">IF(BP166="LOSE",1,IF(N(T166)&gt;0,T166,IF(N(P166)&gt;0,P166,MAX(1,G166))))</f>
        <v>1</v>
      </c>
      <c r="BR166" s="60" t="n">
        <f aca="false">IF(BP166="LOSE",1,0)</f>
        <v>1</v>
      </c>
      <c r="BS166" s="59" t="n">
        <f aca="false">IF(BR166=0,0,IF(N(R166)&gt;0,R166,IFERROR(VLOOKUP(D166,Parameter!$A$35:$C$64,3,0)+0,0)))</f>
        <v>0.15</v>
      </c>
      <c r="BT166" s="55" t="n">
        <f aca="false">IF(Y166&lt;&gt;"",Y166,X166)</f>
        <v>2</v>
      </c>
      <c r="BU166" s="55" t="str">
        <f aca="false">IF(BT166=1,"L1",IF(OR(BT166=2,BT166=3),"L23",IF(BT166="Aussen","Aussen","-")))</f>
        <v>L23</v>
      </c>
      <c r="BV166" s="66" t="n">
        <f aca="false">IF(N(Z166)&gt;0,Z166,0)</f>
        <v>0</v>
      </c>
      <c r="BW166" s="60" t="n">
        <f aca="false">IF(ISNUMBER(AC166),1,0)</f>
        <v>0</v>
      </c>
      <c r="BX166" s="57" t="n">
        <f aca="false">N(AC166)</f>
        <v>0</v>
      </c>
      <c r="BY166" s="57" t="n">
        <f aca="false">N(L166)+N(M166)</f>
        <v>3</v>
      </c>
      <c r="BZ166" s="57" t="n">
        <f aca="false">ROUNDUP(G166/BQ166,0)</f>
        <v>3</v>
      </c>
      <c r="CA166" s="57" t="n">
        <f aca="false">ROUNDUP(BX166/BQ166,0)</f>
        <v>0</v>
      </c>
      <c r="CB166" s="60" t="n">
        <f aca="false">IF(BR166=1,0,IFERROR(VLOOKUP(BP166,'Gebinde-Kategorie'!$A$5:$M$45,5,0)+0,0))</f>
        <v>0</v>
      </c>
      <c r="CC166" s="60" t="n">
        <f aca="false">IFERROR(IF(OR(BT166=1,BT166=2,BT166=3),N(INDEX(Parameter!$I$5:$I$7,BT166)),0),0)</f>
        <v>0</v>
      </c>
      <c r="CD166" s="59" t="n">
        <f aca="false">IF(AND(Parameter!$B$21="Ja",ISNUMBER(U166),N(V166)&gt;0),IFERROR(N(INDEX(Parameter!$L$5:$L$7,U166))*INDEX(Parameter!$E$5:$E$7,U166)*V166/SUMIFS($V$7:$V$1576,$U$7:$U$1576,U166),0),0)</f>
        <v>0</v>
      </c>
    </row>
    <row r="167" customFormat="false" ht="15" hidden="false" customHeight="false" outlineLevel="0" collapsed="false">
      <c r="A167" s="55" t="s">
        <v>530</v>
      </c>
      <c r="B167" s="55" t="s">
        <v>531</v>
      </c>
      <c r="C167" s="55" t="s">
        <v>160</v>
      </c>
      <c r="D167" s="55" t="s">
        <v>178</v>
      </c>
      <c r="E167" s="55" t="s">
        <v>210</v>
      </c>
      <c r="F167" s="56" t="n">
        <v>102.3</v>
      </c>
      <c r="G167" s="57" t="n">
        <f aca="false">MAX(0,IF(AND(Parameter!$B$21="Ja",ISNUMBER(W167)),W167,IF(Parameter!$B$20="Jahresanfang 2025 + Export",BJ167+BI167,BI167)))</f>
        <v>10</v>
      </c>
      <c r="H167" s="57" t="n">
        <f aca="false">G167*F167</f>
        <v>1023</v>
      </c>
      <c r="I167" s="57" t="n">
        <f aca="false">BL167*Parameter!$B$18</f>
        <v>28</v>
      </c>
      <c r="J167" s="58" t="n">
        <v>13</v>
      </c>
      <c r="K167" s="59" t="n">
        <v>2.15384615384615</v>
      </c>
      <c r="L167" s="57" t="n">
        <v>1</v>
      </c>
      <c r="M167" s="57" t="n">
        <v>30</v>
      </c>
      <c r="N167" s="60" t="n">
        <v>21</v>
      </c>
      <c r="O167" s="55" t="s">
        <v>293</v>
      </c>
      <c r="P167" s="57" t="n">
        <v>7</v>
      </c>
      <c r="Q167" s="60" t="n">
        <f aca="false">IF(BR167=1,0,IFERROR(VLOOKUP(BP167,'Gebinde-Kategorie'!$A$5:$M$45,13,0)+0,0))</f>
        <v>26</v>
      </c>
      <c r="R167" s="61"/>
      <c r="S167" s="62"/>
      <c r="T167" s="62"/>
      <c r="U167" s="55"/>
      <c r="V167" s="57"/>
      <c r="W167" s="57"/>
      <c r="X167" s="55" t="n">
        <f aca="false">IF(A167="","",IF(AND(Parameter!$B$21="Ja",ISNUMBER(U167)),U167,IF(IFERROR(VLOOKUP(D167,Parameter!$A$35:$C$64,2,0),"Nein")="2+3",IF(ISNUMBER(SEARCH("grosser Artikel",BM167)),2,IFERROR(VLOOKUP(BP167,Parameter!$F$35:$G$64,2,0),2)),IF(OR(IFERROR(VLOOKUP(D167,Parameter!$A$35:$C$64,2,0),"Nein")="Nein",IFERROR(VLOOKUP(D167,Parameter!$A$35:$C$64,2,0),"Nein")=""),"-",VLOOKUP(D167,Parameter!$A$35:$C$64,2,0)))))</f>
        <v>3</v>
      </c>
      <c r="Y167" s="62"/>
      <c r="Z167" s="63"/>
      <c r="AA167" s="57" t="n">
        <f aca="false">AP167</f>
        <v>35</v>
      </c>
      <c r="AB167" s="57" t="n">
        <f aca="false">MAX(AP167,G167)</f>
        <v>35</v>
      </c>
      <c r="AC167" s="64"/>
      <c r="AD167" s="57" t="n">
        <f aca="false">IF(LEFT(Cockpit!$C$5,1)="A",G167,IF(BW167=1,BX167,IF(LEFT(Cockpit!$C$5,1)="B",AH167,MAX(AH167,G167))))</f>
        <v>10</v>
      </c>
      <c r="AE167" s="57" t="n">
        <f aca="false">IF(BR167=1,0,ROUNDUP(AD167/BQ167,0))</f>
        <v>2</v>
      </c>
      <c r="AF167" s="59" t="n">
        <f aca="false">IF(CD167&gt;0,CD167*MAX(1,AD167/V167),IF(BR167=1,IF(AD167&lt;=0,0,BS167*MAX(1,IF(G167&gt;0,AD167/G167,1))),IF(Q167&gt;0,AE167/Q167,0))/MAX(0.1,N(Parameter!$M$21)))</f>
        <v>0.0769230769230769</v>
      </c>
      <c r="AG167" s="57" t="n">
        <f aca="false">AD167*F167</f>
        <v>1023</v>
      </c>
      <c r="AH167" s="57" t="n">
        <f aca="false">ROUNDUP(MAX(I167/IF(BV167&gt;0,BV167,MAX(0.1,N(Cockpit!$C$6))),BY167)/BQ167,0)*BQ167</f>
        <v>35</v>
      </c>
      <c r="AI167" s="58" t="n">
        <f aca="false">IF(AF167&gt;0,I167/AF167,-1)</f>
        <v>364</v>
      </c>
      <c r="AJ167" s="58" t="n">
        <f aca="false">IF(AND(OR(BU167="L1",BU167="L23"),AF167&gt;0),SUMIFS($AF$7:$AF$1576,$BU$7:$BU$1576,BU167,$AI$7:$AI$1576,"&gt;"&amp;AI167)+SUMIFS($AF$7:$AF$1576,$BU$7:$BU$1576,BU167,$AI$7:$AI$1576,AI167,$BO$7:$BO$1576,"&lt;="&amp;BO167),"")</f>
        <v>13.7548974696801</v>
      </c>
      <c r="AK167" s="65" t="n">
        <f aca="false">IF(AJ167="",0,MAX(0,MIN(1,(IF(BU167="L1",Parameter!$E$5,Parameter!$E$6+Parameter!$E$7)-(AJ167-AF167))/AF167)))</f>
        <v>1</v>
      </c>
      <c r="AL167" s="57" t="n">
        <f aca="false">IF(LEFT(Cockpit!$I$5,1)="A",G167,IF(BW167=1,BX167,IF(LEFT(Cockpit!$I$5,1)="B",AP167,MAX(AP167,G167))))</f>
        <v>35</v>
      </c>
      <c r="AM167" s="57" t="n">
        <f aca="false">IF(BR167=1,0,ROUNDUP(AL167/BQ167,0))</f>
        <v>5</v>
      </c>
      <c r="AN167" s="59" t="n">
        <f aca="false">IF(CD167&gt;0,CD167*MAX(1,AL167/V167),IF(BR167=1,IF(AL167&lt;=0,0,BS167*MAX(1,IF(G167&gt;0,AL167/G167,1))),IF(Q167&gt;0,AM167/Q167,0))/MAX(0.1,N(Parameter!$M$21)))</f>
        <v>0.192307692307692</v>
      </c>
      <c r="AO167" s="57" t="n">
        <f aca="false">AL167*F167</f>
        <v>3580.5</v>
      </c>
      <c r="AP167" s="57" t="n">
        <f aca="false">ROUNDUP(MAX(I167/IF(BV167&gt;0,BV167,MAX(0.1,N(Cockpit!$I$6))),BY167)/BQ167,0)*BQ167</f>
        <v>35</v>
      </c>
      <c r="AQ167" s="58" t="n">
        <f aca="false">IF(AN167&gt;0,I167/AN167,-1)</f>
        <v>145.6</v>
      </c>
      <c r="AR167" s="58" t="n">
        <f aca="false">IF(AND(OR(BU167="L1",BU167="L23"),AN167&gt;0),SUMIFS($AN$7:$AN$1576,$BU$7:$BU$1576,BU167,$AQ$7:$AQ$1576,"&gt;"&amp;AQ167)+SUMIFS($AN$7:$AN$1576,$BU$7:$BU$1576,BU167,$AQ$7:$AQ$1576,AQ167,$BO$7:$BO$1576,"&lt;="&amp;BO167),"")</f>
        <v>56.4296597246709</v>
      </c>
      <c r="AS167" s="65" t="n">
        <f aca="false">IF(AR167="",0,MAX(0,MIN(1,(IF(BU167="L1",Parameter!$E$5,Parameter!$E$6+Parameter!$E$7)-(AR167-AN167))/AN167)))</f>
        <v>1</v>
      </c>
      <c r="AT167" s="57" t="n">
        <f aca="false">IF(LEFT(Cockpit!$O$5,1)="A",G167,IF(BW167=1,BX167,IF(LEFT(Cockpit!$O$5,1)="B",AX167,MAX(AX167,G167))))</f>
        <v>35</v>
      </c>
      <c r="AU167" s="57" t="n">
        <f aca="false">IF(BR167=1,0,ROUNDUP(AT167/BQ167,0))</f>
        <v>5</v>
      </c>
      <c r="AV167" s="59" t="n">
        <f aca="false">IF(CD167&gt;0,CD167*MAX(1,AT167/V167),IF(BR167=1,IF(AT167&lt;=0,0,BS167*MAX(1,IF(G167&gt;0,AT167/G167,1))),IF(Q167&gt;0,AU167/Q167,0))/MAX(0.1,N(Parameter!$M$21)))</f>
        <v>0.192307692307692</v>
      </c>
      <c r="AW167" s="57" t="n">
        <f aca="false">AT167*F167</f>
        <v>3580.5</v>
      </c>
      <c r="AX167" s="57" t="n">
        <f aca="false">ROUNDUP(MAX(I167/IF(BV167&gt;0,BV167,MAX(0.1,N(Cockpit!$O$6))),BY167)/BQ167,0)*BQ167</f>
        <v>35</v>
      </c>
      <c r="AY167" s="58" t="n">
        <f aca="false">IF(AV167&gt;0,I167/AV167,-1)</f>
        <v>145.6</v>
      </c>
      <c r="AZ167" s="58" t="n">
        <f aca="false">IF(AND(OR(BU167="L1",BU167="L23"),AV167&gt;0),SUMIFS($AV$7:$AV$1576,$BU$7:$BU$1576,BU167,$AY$7:$AY$1576,"&gt;"&amp;AY167)+SUMIFS($AV$7:$AV$1576,$BU$7:$BU$1576,BU167,$AY$7:$AY$1576,AY167,$BO$7:$BO$1576,"&lt;="&amp;BO167),"")</f>
        <v>51.7587935075547</v>
      </c>
      <c r="BA167" s="65" t="n">
        <f aca="false">IF(AZ167="",0,MAX(0,MIN(1,(IF(BU167="L1",Parameter!$E$5,Parameter!$E$6+Parameter!$E$7)-(AZ167-AV167))/AV167)))</f>
        <v>1</v>
      </c>
      <c r="BB167" s="55" t="str">
        <f aca="false">IF(AF167&lt;=0,"",IF(BU167="Aussen","Aussenlager",IF(BU167="-","Nicht im Lift",IF(AK167&gt;=1,"Lift",IF(AK167&lt;=0,"Aussenlager","teilweise")))))</f>
        <v>Lift</v>
      </c>
      <c r="BC167" s="55" t="str">
        <f aca="false">IF(AN167&lt;=0,"",IF(BU167="Aussen","Aussenlager",IF(BU167="-","Nicht im Lift",IF(AS167&gt;=1,"Lift",IF(AS167&lt;=0,"Aussenlager","teilweise")))))</f>
        <v>Lift</v>
      </c>
      <c r="BD167" s="55" t="str">
        <f aca="false">IF(AV167&lt;=0,"",IF(BU167="Aussen","Aussenlager",IF(BU167="-","Nicht im Lift",IF(BA167&gt;=1,"Lift",IF(BA167&lt;=0,"Aussenlager","teilweise")))))</f>
        <v>Lift</v>
      </c>
      <c r="BE167" s="55" t="str">
        <f aca="false">IF(A167="","",IF(BN167=1,"Neu; ","")&amp;IF(AND(BN167=0,BI167&lt;0),"negativer Bestand (Export "&amp;BI167&amp;"); ","")&amp;IF(I167&lt;=0,"Kein Verbrauch; ","")&amp;IF(CD167&gt;0,"Lift "&amp;U167&amp;" lt. Liftbericht (Fach "&amp;V167&amp;" Stk); ",IF(BR167=1,"Lose – Fläche geschätzt; ",""))&amp;IF(G167&gt;AP167,"Überbestand "&amp;ROUND(G167-AP167,0)&amp;" Stk / CHF "&amp;ROUND((G167-AP167)*F167,0)&amp;"; ","")&amp;IF(AND(BW167=1,BX167&lt;BY167),"MAX &lt; MB+LG; ","")&amp;IF(AND(CC167&gt;0,CB167*10&gt;CC167),"zu hoch für Tablar; ","")&amp;IF(AND(BN167=0,OR(BW167=1,Y167&lt;&gt;"",S167&lt;&gt;"",T167&lt;&gt;"",Z167&lt;&gt;"")),"manuell übersteuert; ","")&amp;IF(AND(BR167=0,Q167=0),"Gebinde unbekannt / Stellmass fehlt; ","")&amp;IF(AND(BR167=0,N(T167)&lt;=0,N(P167)&lt;=0),"Menge pro Gebinde fehlt (Ist = 1 Gebinde); ","")&amp;BM167)</f>
        <v/>
      </c>
      <c r="BF167" s="55"/>
      <c r="BG167" s="55"/>
      <c r="BH167" s="62"/>
      <c r="BI167" s="57" t="n">
        <v>10</v>
      </c>
      <c r="BJ167" s="57" t="n">
        <v>8</v>
      </c>
      <c r="BK167" s="56" t="n">
        <v>1120.12</v>
      </c>
      <c r="BL167" s="57" t="n">
        <v>28</v>
      </c>
      <c r="BM167" s="55"/>
      <c r="BN167" s="60" t="n">
        <v>0</v>
      </c>
      <c r="BO167" s="60" t="n">
        <v>167</v>
      </c>
      <c r="BP167" s="55" t="str">
        <f aca="false">IF(S167&lt;&gt;"",UPPER(TRIM(S167)),IF(O167="","LOSE",O167))</f>
        <v>S51</v>
      </c>
      <c r="BQ167" s="57" t="n">
        <f aca="false">IF(BP167="LOSE",1,IF(N(T167)&gt;0,T167,IF(N(P167)&gt;0,P167,MAX(1,G167))))</f>
        <v>7</v>
      </c>
      <c r="BR167" s="60" t="n">
        <f aca="false">IF(BP167="LOSE",1,0)</f>
        <v>0</v>
      </c>
      <c r="BS167" s="59" t="n">
        <f aca="false">IF(BR167=0,0,IF(N(R167)&gt;0,R167,IFERROR(VLOOKUP(D167,Parameter!$A$35:$C$64,3,0)+0,0)))</f>
        <v>0</v>
      </c>
      <c r="BT167" s="55" t="n">
        <f aca="false">IF(Y167&lt;&gt;"",Y167,X167)</f>
        <v>3</v>
      </c>
      <c r="BU167" s="55" t="str">
        <f aca="false">IF(BT167=1,"L1",IF(OR(BT167=2,BT167=3),"L23",IF(BT167="Aussen","Aussen","-")))</f>
        <v>L23</v>
      </c>
      <c r="BV167" s="66" t="n">
        <f aca="false">IF(N(Z167)&gt;0,Z167,0)</f>
        <v>0</v>
      </c>
      <c r="BW167" s="60" t="n">
        <f aca="false">IF(ISNUMBER(AC167),1,0)</f>
        <v>0</v>
      </c>
      <c r="BX167" s="57" t="n">
        <f aca="false">N(AC167)</f>
        <v>0</v>
      </c>
      <c r="BY167" s="57" t="n">
        <f aca="false">N(L167)+N(M167)</f>
        <v>31</v>
      </c>
      <c r="BZ167" s="57" t="n">
        <f aca="false">ROUNDUP(G167/BQ167,0)</f>
        <v>2</v>
      </c>
      <c r="CA167" s="57" t="n">
        <f aca="false">ROUNDUP(BX167/BQ167,0)</f>
        <v>0</v>
      </c>
      <c r="CB167" s="60" t="n">
        <f aca="false">IF(BR167=1,0,IFERROR(VLOOKUP(BP167,'Gebinde-Kategorie'!$A$5:$M$45,5,0)+0,0))</f>
        <v>11</v>
      </c>
      <c r="CC167" s="60" t="n">
        <f aca="false">IFERROR(IF(OR(BT167=1,BT167=2,BT167=3),N(INDEX(Parameter!$I$5:$I$7,BT167)),0),0)</f>
        <v>0</v>
      </c>
      <c r="CD167" s="59" t="n">
        <f aca="false">IF(AND(Parameter!$B$21="Ja",ISNUMBER(U167),N(V167)&gt;0),IFERROR(N(INDEX(Parameter!$L$5:$L$7,U167))*INDEX(Parameter!$E$5:$E$7,U167)*V167/SUMIFS($V$7:$V$1576,$U$7:$U$1576,U167),0),0)</f>
        <v>0</v>
      </c>
    </row>
    <row r="168" customFormat="false" ht="15" hidden="false" customHeight="false" outlineLevel="0" collapsed="false">
      <c r="A168" s="55" t="s">
        <v>532</v>
      </c>
      <c r="B168" s="55" t="s">
        <v>533</v>
      </c>
      <c r="C168" s="55" t="s">
        <v>160</v>
      </c>
      <c r="D168" s="55" t="s">
        <v>178</v>
      </c>
      <c r="E168" s="55" t="s">
        <v>210</v>
      </c>
      <c r="F168" s="56" t="n">
        <v>14.58</v>
      </c>
      <c r="G168" s="57" t="n">
        <f aca="false">MAX(0,IF(AND(Parameter!$B$21="Ja",ISNUMBER(W168)),W168,IF(Parameter!$B$20="Jahresanfang 2025 + Export",BJ168+BI168,BI168)))</f>
        <v>82</v>
      </c>
      <c r="H168" s="57" t="n">
        <f aca="false">G168*F168</f>
        <v>1195.56</v>
      </c>
      <c r="I168" s="57" t="n">
        <f aca="false">BL168*Parameter!$B$18</f>
        <v>151</v>
      </c>
      <c r="J168" s="58" t="n">
        <v>44</v>
      </c>
      <c r="K168" s="59" t="n">
        <v>3.43181818181818</v>
      </c>
      <c r="L168" s="57" t="n">
        <v>8</v>
      </c>
      <c r="M168" s="57" t="n">
        <v>150</v>
      </c>
      <c r="N168" s="60" t="n">
        <v>28</v>
      </c>
      <c r="O168" s="55" t="s">
        <v>411</v>
      </c>
      <c r="P168" s="57" t="n">
        <v>76</v>
      </c>
      <c r="Q168" s="60" t="n">
        <f aca="false">IF(BR168=1,0,IFERROR(VLOOKUP(BP168,'Gebinde-Kategorie'!$A$5:$M$45,13,0)+0,0))</f>
        <v>132</v>
      </c>
      <c r="R168" s="61"/>
      <c r="S168" s="62"/>
      <c r="T168" s="62"/>
      <c r="U168" s="55"/>
      <c r="V168" s="57"/>
      <c r="W168" s="57"/>
      <c r="X168" s="55" t="n">
        <f aca="false">IF(A168="","",IF(AND(Parameter!$B$21="Ja",ISNUMBER(U168)),U168,IF(IFERROR(VLOOKUP(D168,Parameter!$A$35:$C$64,2,0),"Nein")="2+3",IF(ISNUMBER(SEARCH("grosser Artikel",BM168)),2,IFERROR(VLOOKUP(BP168,Parameter!$F$35:$G$64,2,0),2)),IF(OR(IFERROR(VLOOKUP(D168,Parameter!$A$35:$C$64,2,0),"Nein")="Nein",IFERROR(VLOOKUP(D168,Parameter!$A$35:$C$64,2,0),"Nein")=""),"-",VLOOKUP(D168,Parameter!$A$35:$C$64,2,0)))))</f>
        <v>3</v>
      </c>
      <c r="Y168" s="62"/>
      <c r="Z168" s="63"/>
      <c r="AA168" s="57" t="n">
        <f aca="false">AP168</f>
        <v>228</v>
      </c>
      <c r="AB168" s="57" t="n">
        <f aca="false">MAX(AP168,G168)</f>
        <v>228</v>
      </c>
      <c r="AC168" s="64"/>
      <c r="AD168" s="57" t="n">
        <f aca="false">IF(LEFT(Cockpit!$C$5,1)="A",G168,IF(BW168=1,BX168,IF(LEFT(Cockpit!$C$5,1)="B",AH168,MAX(AH168,G168))))</f>
        <v>82</v>
      </c>
      <c r="AE168" s="57" t="n">
        <f aca="false">IF(BR168=1,0,ROUNDUP(AD168/BQ168,0))</f>
        <v>2</v>
      </c>
      <c r="AF168" s="59" t="n">
        <f aca="false">IF(CD168&gt;0,CD168*MAX(1,AD168/V168),IF(BR168=1,IF(AD168&lt;=0,0,BS168*MAX(1,IF(G168&gt;0,AD168/G168,1))),IF(Q168&gt;0,AE168/Q168,0))/MAX(0.1,N(Parameter!$M$21)))</f>
        <v>0.0151515151515152</v>
      </c>
      <c r="AG168" s="57" t="n">
        <f aca="false">AD168*F168</f>
        <v>1195.56</v>
      </c>
      <c r="AH168" s="57" t="n">
        <f aca="false">ROUNDUP(MAX(I168/IF(BV168&gt;0,BV168,MAX(0.1,N(Cockpit!$C$6))),BY168)/BQ168,0)*BQ168</f>
        <v>228</v>
      </c>
      <c r="AI168" s="58" t="n">
        <f aca="false">IF(AF168&gt;0,I168/AF168,-1)</f>
        <v>9966</v>
      </c>
      <c r="AJ168" s="58" t="n">
        <f aca="false">IF(AND(OR(BU168="L1",BU168="L23"),AF168&gt;0),SUMIFS($AF$7:$AF$1576,$BU$7:$BU$1576,BU168,$AI$7:$AI$1576,"&gt;"&amp;AI168)+SUMIFS($AF$7:$AF$1576,$BU$7:$BU$1576,BU168,$AI$7:$AI$1576,AI168,$BO$7:$BO$1576,"&lt;="&amp;BO168),"")</f>
        <v>2.55815681902638</v>
      </c>
      <c r="AK168" s="65" t="n">
        <f aca="false">IF(AJ168="",0,MAX(0,MIN(1,(IF(BU168="L1",Parameter!$E$5,Parameter!$E$6+Parameter!$E$7)-(AJ168-AF168))/AF168)))</f>
        <v>1</v>
      </c>
      <c r="AL168" s="57" t="n">
        <f aca="false">IF(LEFT(Cockpit!$I$5,1)="A",G168,IF(BW168=1,BX168,IF(LEFT(Cockpit!$I$5,1)="B",AP168,MAX(AP168,G168))))</f>
        <v>228</v>
      </c>
      <c r="AM168" s="57" t="n">
        <f aca="false">IF(BR168=1,0,ROUNDUP(AL168/BQ168,0))</f>
        <v>3</v>
      </c>
      <c r="AN168" s="59" t="n">
        <f aca="false">IF(CD168&gt;0,CD168*MAX(1,AL168/V168),IF(BR168=1,IF(AL168&lt;=0,0,BS168*MAX(1,IF(G168&gt;0,AL168/G168,1))),IF(Q168&gt;0,AM168/Q168,0))/MAX(0.1,N(Parameter!$M$21)))</f>
        <v>0.0227272727272727</v>
      </c>
      <c r="AO168" s="57" t="n">
        <f aca="false">AL168*F168</f>
        <v>3324.24</v>
      </c>
      <c r="AP168" s="57" t="n">
        <f aca="false">ROUNDUP(MAX(I168/IF(BV168&gt;0,BV168,MAX(0.1,N(Cockpit!$I$6))),BY168)/BQ168,0)*BQ168</f>
        <v>228</v>
      </c>
      <c r="AQ168" s="58" t="n">
        <f aca="false">IF(AN168&gt;0,I168/AN168,-1)</f>
        <v>6644</v>
      </c>
      <c r="AR168" s="58" t="n">
        <f aca="false">IF(AND(OR(BU168="L1",BU168="L23"),AN168&gt;0),SUMIFS($AN$7:$AN$1576,$BU$7:$BU$1576,BU168,$AQ$7:$AQ$1576,"&gt;"&amp;AQ168)+SUMIFS($AN$7:$AN$1576,$BU$7:$BU$1576,BU168,$AQ$7:$AQ$1576,AQ168,$BO$7:$BO$1576,"&lt;="&amp;BO168),"")</f>
        <v>9.05174994088038</v>
      </c>
      <c r="AS168" s="65" t="n">
        <f aca="false">IF(AR168="",0,MAX(0,MIN(1,(IF(BU168="L1",Parameter!$E$5,Parameter!$E$6+Parameter!$E$7)-(AR168-AN168))/AN168)))</f>
        <v>1</v>
      </c>
      <c r="AT168" s="57" t="n">
        <f aca="false">IF(LEFT(Cockpit!$O$5,1)="A",G168,IF(BW168=1,BX168,IF(LEFT(Cockpit!$O$5,1)="B",AX168,MAX(AX168,G168))))</f>
        <v>228</v>
      </c>
      <c r="AU168" s="57" t="n">
        <f aca="false">IF(BR168=1,0,ROUNDUP(AT168/BQ168,0))</f>
        <v>3</v>
      </c>
      <c r="AV168" s="59" t="n">
        <f aca="false">IF(CD168&gt;0,CD168*MAX(1,AT168/V168),IF(BR168=1,IF(AT168&lt;=0,0,BS168*MAX(1,IF(G168&gt;0,AT168/G168,1))),IF(Q168&gt;0,AU168/Q168,0))/MAX(0.1,N(Parameter!$M$21)))</f>
        <v>0.0227272727272727</v>
      </c>
      <c r="AW168" s="57" t="n">
        <f aca="false">AT168*F168</f>
        <v>3324.24</v>
      </c>
      <c r="AX168" s="57" t="n">
        <f aca="false">ROUNDUP(MAX(I168/IF(BV168&gt;0,BV168,MAX(0.1,N(Cockpit!$O$6))),BY168)/BQ168,0)*BQ168</f>
        <v>228</v>
      </c>
      <c r="AY168" s="58" t="n">
        <f aca="false">IF(AV168&gt;0,I168/AV168,-1)</f>
        <v>6644</v>
      </c>
      <c r="AZ168" s="58" t="n">
        <f aca="false">IF(AND(OR(BU168="L1",BU168="L23"),AV168&gt;0),SUMIFS($AV$7:$AV$1576,$BU$7:$BU$1576,BU168,$AY$7:$AY$1576,"&gt;"&amp;AY168)+SUMIFS($AV$7:$AV$1576,$BU$7:$BU$1576,BU168,$AY$7:$AY$1576,AY168,$BO$7:$BO$1576,"&lt;="&amp;BO168),"")</f>
        <v>9.06748420661464</v>
      </c>
      <c r="BA168" s="65" t="n">
        <f aca="false">IF(AZ168="",0,MAX(0,MIN(1,(IF(BU168="L1",Parameter!$E$5,Parameter!$E$6+Parameter!$E$7)-(AZ168-AV168))/AV168)))</f>
        <v>1</v>
      </c>
      <c r="BB168" s="55" t="str">
        <f aca="false">IF(AF168&lt;=0,"",IF(BU168="Aussen","Aussenlager",IF(BU168="-","Nicht im Lift",IF(AK168&gt;=1,"Lift",IF(AK168&lt;=0,"Aussenlager","teilweise")))))</f>
        <v>Lift</v>
      </c>
      <c r="BC168" s="55" t="str">
        <f aca="false">IF(AN168&lt;=0,"",IF(BU168="Aussen","Aussenlager",IF(BU168="-","Nicht im Lift",IF(AS168&gt;=1,"Lift",IF(AS168&lt;=0,"Aussenlager","teilweise")))))</f>
        <v>Lift</v>
      </c>
      <c r="BD168" s="55" t="str">
        <f aca="false">IF(AV168&lt;=0,"",IF(BU168="Aussen","Aussenlager",IF(BU168="-","Nicht im Lift",IF(BA168&gt;=1,"Lift",IF(BA168&lt;=0,"Aussenlager","teilweise")))))</f>
        <v>Lift</v>
      </c>
      <c r="BE168" s="55" t="str">
        <f aca="false">IF(A168="","",IF(BN168=1,"Neu; ","")&amp;IF(AND(BN168=0,BI168&lt;0),"negativer Bestand (Export "&amp;BI168&amp;"); ","")&amp;IF(I168&lt;=0,"Kein Verbrauch; ","")&amp;IF(CD168&gt;0,"Lift "&amp;U168&amp;" lt. Liftbericht (Fach "&amp;V168&amp;" Stk); ",IF(BR168=1,"Lose – Fläche geschätzt; ",""))&amp;IF(G168&gt;AP168,"Überbestand "&amp;ROUND(G168-AP168,0)&amp;" Stk / CHF "&amp;ROUND((G168-AP168)*F168,0)&amp;"; ","")&amp;IF(AND(BW168=1,BX168&lt;BY168),"MAX &lt; MB+LG; ","")&amp;IF(AND(CC168&gt;0,CB168*10&gt;CC168),"zu hoch für Tablar; ","")&amp;IF(AND(BN168=0,OR(BW168=1,Y168&lt;&gt;"",S168&lt;&gt;"",T168&lt;&gt;"",Z168&lt;&gt;"")),"manuell übersteuert; ","")&amp;IF(AND(BR168=0,Q168=0),"Gebinde unbekannt / Stellmass fehlt; ","")&amp;IF(AND(BR168=0,N(T168)&lt;=0,N(P168)&lt;=0),"Menge pro Gebinde fehlt (Ist = 1 Gebinde); ","")&amp;BM168)</f>
        <v/>
      </c>
      <c r="BF168" s="55"/>
      <c r="BG168" s="55"/>
      <c r="BH168" s="62"/>
      <c r="BI168" s="57" t="n">
        <v>82</v>
      </c>
      <c r="BJ168" s="57" t="n">
        <v>48</v>
      </c>
      <c r="BK168" s="56" t="n">
        <v>1112.04</v>
      </c>
      <c r="BL168" s="57" t="n">
        <v>151</v>
      </c>
      <c r="BM168" s="55"/>
      <c r="BN168" s="60" t="n">
        <v>0</v>
      </c>
      <c r="BO168" s="60" t="n">
        <v>168</v>
      </c>
      <c r="BP168" s="55" t="str">
        <f aca="false">IF(S168&lt;&gt;"",UPPER(TRIM(S168)),IF(O168="","LOSE",O168))</f>
        <v>S32</v>
      </c>
      <c r="BQ168" s="57" t="n">
        <f aca="false">IF(BP168="LOSE",1,IF(N(T168)&gt;0,T168,IF(N(P168)&gt;0,P168,MAX(1,G168))))</f>
        <v>76</v>
      </c>
      <c r="BR168" s="60" t="n">
        <f aca="false">IF(BP168="LOSE",1,0)</f>
        <v>0</v>
      </c>
      <c r="BS168" s="59" t="n">
        <f aca="false">IF(BR168=0,0,IF(N(R168)&gt;0,R168,IFERROR(VLOOKUP(D168,Parameter!$A$35:$C$64,3,0)+0,0)))</f>
        <v>0</v>
      </c>
      <c r="BT168" s="55" t="n">
        <f aca="false">IF(Y168&lt;&gt;"",Y168,X168)</f>
        <v>3</v>
      </c>
      <c r="BU168" s="55" t="str">
        <f aca="false">IF(BT168=1,"L1",IF(OR(BT168=2,BT168=3),"L23",IF(BT168="Aussen","Aussen","-")))</f>
        <v>L23</v>
      </c>
      <c r="BV168" s="66" t="n">
        <f aca="false">IF(N(Z168)&gt;0,Z168,0)</f>
        <v>0</v>
      </c>
      <c r="BW168" s="60" t="n">
        <f aca="false">IF(ISNUMBER(AC168),1,0)</f>
        <v>0</v>
      </c>
      <c r="BX168" s="57" t="n">
        <f aca="false">N(AC168)</f>
        <v>0</v>
      </c>
      <c r="BY168" s="57" t="n">
        <f aca="false">N(L168)+N(M168)</f>
        <v>158</v>
      </c>
      <c r="BZ168" s="57" t="n">
        <f aca="false">ROUNDUP(G168/BQ168,0)</f>
        <v>2</v>
      </c>
      <c r="CA168" s="57" t="n">
        <f aca="false">ROUNDUP(BX168/BQ168,0)</f>
        <v>0</v>
      </c>
      <c r="CB168" s="60" t="n">
        <f aca="false">IF(BR168=1,0,IFERROR(VLOOKUP(BP168,'Gebinde-Kategorie'!$A$5:$M$45,5,0)+0,0))</f>
        <v>8</v>
      </c>
      <c r="CC168" s="60" t="n">
        <f aca="false">IFERROR(IF(OR(BT168=1,BT168=2,BT168=3),N(INDEX(Parameter!$I$5:$I$7,BT168)),0),0)</f>
        <v>0</v>
      </c>
      <c r="CD168" s="59" t="n">
        <f aca="false">IF(AND(Parameter!$B$21="Ja",ISNUMBER(U168),N(V168)&gt;0),IFERROR(N(INDEX(Parameter!$L$5:$L$7,U168))*INDEX(Parameter!$E$5:$E$7,U168)*V168/SUMIFS($V$7:$V$1576,$U$7:$U$1576,U168),0),0)</f>
        <v>0</v>
      </c>
    </row>
    <row r="169" customFormat="false" ht="15" hidden="false" customHeight="false" outlineLevel="0" collapsed="false">
      <c r="A169" s="55" t="s">
        <v>534</v>
      </c>
      <c r="B169" s="55" t="s">
        <v>535</v>
      </c>
      <c r="C169" s="55" t="s">
        <v>160</v>
      </c>
      <c r="D169" s="55" t="s">
        <v>178</v>
      </c>
      <c r="E169" s="55" t="s">
        <v>210</v>
      </c>
      <c r="F169" s="56" t="n">
        <v>11.02</v>
      </c>
      <c r="G169" s="57" t="n">
        <f aca="false">MAX(0,IF(AND(Parameter!$B$21="Ja",ISNUMBER(W169)),W169,IF(Parameter!$B$20="Jahresanfang 2025 + Export",BJ169+BI169,BI169)))</f>
        <v>100</v>
      </c>
      <c r="H169" s="57" t="n">
        <f aca="false">G169*F169</f>
        <v>1102</v>
      </c>
      <c r="I169" s="57" t="n">
        <f aca="false">BL169*Parameter!$B$18</f>
        <v>0</v>
      </c>
      <c r="J169" s="58" t="n">
        <v>0</v>
      </c>
      <c r="K169" s="59" t="n">
        <v>0</v>
      </c>
      <c r="L169" s="57" t="n">
        <v>0</v>
      </c>
      <c r="M169" s="57" t="n">
        <v>1</v>
      </c>
      <c r="N169" s="60" t="n">
        <v>9999</v>
      </c>
      <c r="O169" s="55" t="s">
        <v>163</v>
      </c>
      <c r="P169" s="57"/>
      <c r="Q169" s="60" t="n">
        <f aca="false">IF(BR169=1,0,IFERROR(VLOOKUP(BP169,'Gebinde-Kategorie'!$A$5:$M$45,13,0)+0,0))</f>
        <v>0</v>
      </c>
      <c r="R169" s="61"/>
      <c r="S169" s="62"/>
      <c r="T169" s="62"/>
      <c r="U169" s="55"/>
      <c r="V169" s="57"/>
      <c r="W169" s="57"/>
      <c r="X169" s="55" t="n">
        <f aca="false">IF(A169="","",IF(AND(Parameter!$B$21="Ja",ISNUMBER(U169)),U169,IF(IFERROR(VLOOKUP(D169,Parameter!$A$35:$C$64,2,0),"Nein")="2+3",IF(ISNUMBER(SEARCH("grosser Artikel",BM169)),2,IFERROR(VLOOKUP(BP169,Parameter!$F$35:$G$64,2,0),2)),IF(OR(IFERROR(VLOOKUP(D169,Parameter!$A$35:$C$64,2,0),"Nein")="Nein",IFERROR(VLOOKUP(D169,Parameter!$A$35:$C$64,2,0),"Nein")=""),"-",VLOOKUP(D169,Parameter!$A$35:$C$64,2,0)))))</f>
        <v>2</v>
      </c>
      <c r="Y169" s="62"/>
      <c r="Z169" s="63"/>
      <c r="AA169" s="57" t="n">
        <f aca="false">AP169</f>
        <v>1</v>
      </c>
      <c r="AB169" s="57" t="n">
        <f aca="false">MAX(AP169,G169)</f>
        <v>100</v>
      </c>
      <c r="AC169" s="64"/>
      <c r="AD169" s="57" t="n">
        <f aca="false">IF(LEFT(Cockpit!$C$5,1)="A",G169,IF(BW169=1,BX169,IF(LEFT(Cockpit!$C$5,1)="B",AH169,MAX(AH169,G169))))</f>
        <v>100</v>
      </c>
      <c r="AE169" s="57" t="n">
        <f aca="false">IF(BR169=1,0,ROUNDUP(AD169/BQ169,0))</f>
        <v>0</v>
      </c>
      <c r="AF169" s="59" t="n">
        <f aca="false">IF(CD169&gt;0,CD169*MAX(1,AD169/V169),IF(BR169=1,IF(AD169&lt;=0,0,BS169*MAX(1,IF(G169&gt;0,AD169/G169,1))),IF(Q169&gt;0,AE169/Q169,0))/MAX(0.1,N(Parameter!$M$21)))</f>
        <v>0.03</v>
      </c>
      <c r="AG169" s="57" t="n">
        <f aca="false">AD169*F169</f>
        <v>1102</v>
      </c>
      <c r="AH169" s="57" t="n">
        <f aca="false">ROUNDUP(MAX(I169/IF(BV169&gt;0,BV169,MAX(0.1,N(Cockpit!$C$6))),BY169)/BQ169,0)*BQ169</f>
        <v>1</v>
      </c>
      <c r="AI169" s="58" t="n">
        <f aca="false">IF(AF169&gt;0,I169/AF169,-1)</f>
        <v>0</v>
      </c>
      <c r="AJ169" s="58" t="n">
        <f aca="false">IF(AND(OR(BU169="L1",BU169="L23"),AF169&gt;0),SUMIFS($AF$7:$AF$1576,$BU$7:$BU$1576,BU169,$AI$7:$AI$1576,"&gt;"&amp;AI169)+SUMIFS($AF$7:$AF$1576,$BU$7:$BU$1576,BU169,$AI$7:$AI$1576,AI169,$BO$7:$BO$1576,"&lt;="&amp;BO169),"")</f>
        <v>39.0036073105638</v>
      </c>
      <c r="AK169" s="65" t="n">
        <f aca="false">IF(AJ169="",0,MAX(0,MIN(1,(IF(BU169="L1",Parameter!$E$5,Parameter!$E$6+Parameter!$E$7)-(AJ169-AF169))/AF169)))</f>
        <v>1</v>
      </c>
      <c r="AL169" s="57" t="n">
        <f aca="false">IF(LEFT(Cockpit!$I$5,1)="A",G169,IF(BW169=1,BX169,IF(LEFT(Cockpit!$I$5,1)="B",AP169,MAX(AP169,G169))))</f>
        <v>100</v>
      </c>
      <c r="AM169" s="57" t="n">
        <f aca="false">IF(BR169=1,0,ROUNDUP(AL169/BQ169,0))</f>
        <v>0</v>
      </c>
      <c r="AN169" s="59" t="n">
        <f aca="false">IF(CD169&gt;0,CD169*MAX(1,AL169/V169),IF(BR169=1,IF(AL169&lt;=0,0,BS169*MAX(1,IF(G169&gt;0,AL169/G169,1))),IF(Q169&gt;0,AM169/Q169,0))/MAX(0.1,N(Parameter!$M$21)))</f>
        <v>0.03</v>
      </c>
      <c r="AO169" s="57" t="n">
        <f aca="false">AL169*F169</f>
        <v>1102</v>
      </c>
      <c r="AP169" s="57" t="n">
        <f aca="false">ROUNDUP(MAX(I169/IF(BV169&gt;0,BV169,MAX(0.1,N(Cockpit!$I$6))),BY169)/BQ169,0)*BQ169</f>
        <v>1</v>
      </c>
      <c r="AQ169" s="58" t="n">
        <f aca="false">IF(AN169&gt;0,I169/AN169,-1)</f>
        <v>0</v>
      </c>
      <c r="AR169" s="58" t="n">
        <f aca="false">IF(AND(OR(BU169="L1",BU169="L23"),AN169&gt;0),SUMIFS($AN$7:$AN$1576,$BU$7:$BU$1576,BU169,$AQ$7:$AQ$1576,"&gt;"&amp;AQ169)+SUMIFS($AN$7:$AN$1576,$BU$7:$BU$1576,BU169,$AQ$7:$AQ$1576,AQ169,$BO$7:$BO$1576,"&lt;="&amp;BO169),"")</f>
        <v>121.877813060353</v>
      </c>
      <c r="AS169" s="65" t="n">
        <f aca="false">IF(AR169="",0,MAX(0,MIN(1,(IF(BU169="L1",Parameter!$E$5,Parameter!$E$6+Parameter!$E$7)-(AR169-AN169))/AN169)))</f>
        <v>0</v>
      </c>
      <c r="AT169" s="57" t="n">
        <f aca="false">IF(LEFT(Cockpit!$O$5,1)="A",G169,IF(BW169=1,BX169,IF(LEFT(Cockpit!$O$5,1)="B",AX169,MAX(AX169,G169))))</f>
        <v>100</v>
      </c>
      <c r="AU169" s="57" t="n">
        <f aca="false">IF(BR169=1,0,ROUNDUP(AT169/BQ169,0))</f>
        <v>0</v>
      </c>
      <c r="AV169" s="59" t="n">
        <f aca="false">IF(CD169&gt;0,CD169*MAX(1,AT169/V169),IF(BR169=1,IF(AT169&lt;=0,0,BS169*MAX(1,IF(G169&gt;0,AT169/G169,1))),IF(Q169&gt;0,AU169/Q169,0))/MAX(0.1,N(Parameter!$M$21)))</f>
        <v>0.03</v>
      </c>
      <c r="AW169" s="57" t="n">
        <f aca="false">AT169*F169</f>
        <v>1102</v>
      </c>
      <c r="AX169" s="57" t="n">
        <f aca="false">ROUNDUP(MAX(I169/IF(BV169&gt;0,BV169,MAX(0.1,N(Cockpit!$O$6))),BY169)/BQ169,0)*BQ169</f>
        <v>1</v>
      </c>
      <c r="AY169" s="58" t="n">
        <f aca="false">IF(AV169&gt;0,I169/AV169,-1)</f>
        <v>0</v>
      </c>
      <c r="AZ169" s="58" t="n">
        <f aca="false">IF(AND(OR(BU169="L1",BU169="L23"),AV169&gt;0),SUMIFS($AV$7:$AV$1576,$BU$7:$BU$1576,BU169,$AY$7:$AY$1576,"&gt;"&amp;AY169)+SUMIFS($AV$7:$AV$1576,$BU$7:$BU$1576,BU169,$AY$7:$AY$1576,AY169,$BO$7:$BO$1576,"&lt;="&amp;BO169),"")</f>
        <v>111.937363509904</v>
      </c>
      <c r="BA169" s="65" t="n">
        <f aca="false">IF(AZ169="",0,MAX(0,MIN(1,(IF(BU169="L1",Parameter!$E$5,Parameter!$E$6+Parameter!$E$7)-(AZ169-AV169))/AV169)))</f>
        <v>0</v>
      </c>
      <c r="BB169" s="55" t="str">
        <f aca="false">IF(AF169&lt;=0,"",IF(BU169="Aussen","Aussenlager",IF(BU169="-","Nicht im Lift",IF(AK169&gt;=1,"Lift",IF(AK169&lt;=0,"Aussenlager","teilweise")))))</f>
        <v>Lift</v>
      </c>
      <c r="BC169" s="55" t="str">
        <f aca="false">IF(AN169&lt;=0,"",IF(BU169="Aussen","Aussenlager",IF(BU169="-","Nicht im Lift",IF(AS169&gt;=1,"Lift",IF(AS169&lt;=0,"Aussenlager","teilweise")))))</f>
        <v>Aussenlager</v>
      </c>
      <c r="BD169" s="55" t="str">
        <f aca="false">IF(AV169&lt;=0,"",IF(BU169="Aussen","Aussenlager",IF(BU169="-","Nicht im Lift",IF(BA169&gt;=1,"Lift",IF(BA169&lt;=0,"Aussenlager","teilweise")))))</f>
        <v>Aussenlager</v>
      </c>
      <c r="BE169" s="55" t="str">
        <f aca="false">IF(A169="","",IF(BN169=1,"Neu; ","")&amp;IF(AND(BN169=0,BI169&lt;0),"negativer Bestand (Export "&amp;BI169&amp;"); ","")&amp;IF(I169&lt;=0,"Kein Verbrauch; ","")&amp;IF(CD169&gt;0,"Lift "&amp;U169&amp;" lt. Liftbericht (Fach "&amp;V169&amp;" Stk); ",IF(BR169=1,"Lose – Fläche geschätzt; ",""))&amp;IF(G169&gt;AP169,"Überbestand "&amp;ROUND(G169-AP169,0)&amp;" Stk / CHF "&amp;ROUND((G169-AP169)*F169,0)&amp;"; ","")&amp;IF(AND(BW169=1,BX169&lt;BY169),"MAX &lt; MB+LG; ","")&amp;IF(AND(CC169&gt;0,CB169*10&gt;CC169),"zu hoch für Tablar; ","")&amp;IF(AND(BN169=0,OR(BW169=1,Y169&lt;&gt;"",S169&lt;&gt;"",T169&lt;&gt;"",Z169&lt;&gt;"")),"manuell übersteuert; ","")&amp;IF(AND(BR169=0,Q169=0),"Gebinde unbekannt / Stellmass fehlt; ","")&amp;IF(AND(BR169=0,N(T169)&lt;=0,N(P169)&lt;=0),"Menge pro Gebinde fehlt (Ist = 1 Gebinde); ","")&amp;BM169)</f>
        <v>Kein Verbrauch; Lose – Fläche geschätzt; Überbestand 99 Stk / CHF 1091; </v>
      </c>
      <c r="BF169" s="55"/>
      <c r="BG169" s="55"/>
      <c r="BH169" s="62"/>
      <c r="BI169" s="57" t="n">
        <v>100</v>
      </c>
      <c r="BJ169" s="57" t="n">
        <v>0</v>
      </c>
      <c r="BK169" s="56" t="n">
        <v>1102</v>
      </c>
      <c r="BL169" s="57" t="n">
        <v>0</v>
      </c>
      <c r="BM169" s="55"/>
      <c r="BN169" s="60" t="n">
        <v>0</v>
      </c>
      <c r="BO169" s="60" t="n">
        <v>169</v>
      </c>
      <c r="BP169" s="55" t="str">
        <f aca="false">IF(S169&lt;&gt;"",UPPER(TRIM(S169)),IF(O169="","LOSE",O169))</f>
        <v>LOSE</v>
      </c>
      <c r="BQ169" s="57" t="n">
        <f aca="false">IF(BP169="LOSE",1,IF(N(T169)&gt;0,T169,IF(N(P169)&gt;0,P169,MAX(1,G169))))</f>
        <v>1</v>
      </c>
      <c r="BR169" s="60" t="n">
        <f aca="false">IF(BP169="LOSE",1,0)</f>
        <v>1</v>
      </c>
      <c r="BS169" s="59" t="n">
        <f aca="false">IF(BR169=0,0,IF(N(R169)&gt;0,R169,IFERROR(VLOOKUP(D169,Parameter!$A$35:$C$64,3,0)+0,0)))</f>
        <v>0.03</v>
      </c>
      <c r="BT169" s="55" t="n">
        <f aca="false">IF(Y169&lt;&gt;"",Y169,X169)</f>
        <v>2</v>
      </c>
      <c r="BU169" s="55" t="str">
        <f aca="false">IF(BT169=1,"L1",IF(OR(BT169=2,BT169=3),"L23",IF(BT169="Aussen","Aussen","-")))</f>
        <v>L23</v>
      </c>
      <c r="BV169" s="66" t="n">
        <f aca="false">IF(N(Z169)&gt;0,Z169,0)</f>
        <v>0</v>
      </c>
      <c r="BW169" s="60" t="n">
        <f aca="false">IF(ISNUMBER(AC169),1,0)</f>
        <v>0</v>
      </c>
      <c r="BX169" s="57" t="n">
        <f aca="false">N(AC169)</f>
        <v>0</v>
      </c>
      <c r="BY169" s="57" t="n">
        <f aca="false">N(L169)+N(M169)</f>
        <v>1</v>
      </c>
      <c r="BZ169" s="57" t="n">
        <f aca="false">ROUNDUP(G169/BQ169,0)</f>
        <v>100</v>
      </c>
      <c r="CA169" s="57" t="n">
        <f aca="false">ROUNDUP(BX169/BQ169,0)</f>
        <v>0</v>
      </c>
      <c r="CB169" s="60" t="n">
        <f aca="false">IF(BR169=1,0,IFERROR(VLOOKUP(BP169,'Gebinde-Kategorie'!$A$5:$M$45,5,0)+0,0))</f>
        <v>0</v>
      </c>
      <c r="CC169" s="60" t="n">
        <f aca="false">IFERROR(IF(OR(BT169=1,BT169=2,BT169=3),N(INDEX(Parameter!$I$5:$I$7,BT169)),0),0)</f>
        <v>0</v>
      </c>
      <c r="CD169" s="59" t="n">
        <f aca="false">IF(AND(Parameter!$B$21="Ja",ISNUMBER(U169),N(V169)&gt;0),IFERROR(N(INDEX(Parameter!$L$5:$L$7,U169))*INDEX(Parameter!$E$5:$E$7,U169)*V169/SUMIFS($V$7:$V$1576,$U$7:$U$1576,U169),0),0)</f>
        <v>0</v>
      </c>
    </row>
    <row r="170" customFormat="false" ht="15" hidden="false" customHeight="false" outlineLevel="0" collapsed="false">
      <c r="A170" s="55" t="s">
        <v>536</v>
      </c>
      <c r="B170" s="55" t="s">
        <v>537</v>
      </c>
      <c r="C170" s="55" t="s">
        <v>160</v>
      </c>
      <c r="D170" s="55" t="s">
        <v>178</v>
      </c>
      <c r="E170" s="55" t="s">
        <v>210</v>
      </c>
      <c r="F170" s="56" t="n">
        <v>45.71</v>
      </c>
      <c r="G170" s="57" t="n">
        <f aca="false">MAX(0,IF(AND(Parameter!$B$21="Ja",ISNUMBER(W170)),W170,IF(Parameter!$B$20="Jahresanfang 2025 + Export",BJ170+BI170,BI170)))</f>
        <v>24</v>
      </c>
      <c r="H170" s="57" t="n">
        <f aca="false">G170*F170</f>
        <v>1097.04</v>
      </c>
      <c r="I170" s="57" t="n">
        <f aca="false">BL170*Parameter!$B$18</f>
        <v>0</v>
      </c>
      <c r="J170" s="58" t="n">
        <v>0</v>
      </c>
      <c r="K170" s="59" t="n">
        <v>0</v>
      </c>
      <c r="L170" s="57" t="n">
        <v>0</v>
      </c>
      <c r="M170" s="57" t="n">
        <v>1</v>
      </c>
      <c r="N170" s="60" t="n">
        <v>9999</v>
      </c>
      <c r="O170" s="55" t="s">
        <v>163</v>
      </c>
      <c r="P170" s="57"/>
      <c r="Q170" s="60" t="n">
        <f aca="false">IF(BR170=1,0,IFERROR(VLOOKUP(BP170,'Gebinde-Kategorie'!$A$5:$M$45,13,0)+0,0))</f>
        <v>0</v>
      </c>
      <c r="R170" s="61"/>
      <c r="S170" s="62"/>
      <c r="T170" s="62"/>
      <c r="U170" s="55"/>
      <c r="V170" s="57"/>
      <c r="W170" s="57"/>
      <c r="X170" s="55" t="n">
        <f aca="false">IF(A170="","",IF(AND(Parameter!$B$21="Ja",ISNUMBER(U170)),U170,IF(IFERROR(VLOOKUP(D170,Parameter!$A$35:$C$64,2,0),"Nein")="2+3",IF(ISNUMBER(SEARCH("grosser Artikel",BM170)),2,IFERROR(VLOOKUP(BP170,Parameter!$F$35:$G$64,2,0),2)),IF(OR(IFERROR(VLOOKUP(D170,Parameter!$A$35:$C$64,2,0),"Nein")="Nein",IFERROR(VLOOKUP(D170,Parameter!$A$35:$C$64,2,0),"Nein")=""),"-",VLOOKUP(D170,Parameter!$A$35:$C$64,2,0)))))</f>
        <v>2</v>
      </c>
      <c r="Y170" s="62"/>
      <c r="Z170" s="63"/>
      <c r="AA170" s="57" t="n">
        <f aca="false">AP170</f>
        <v>1</v>
      </c>
      <c r="AB170" s="57" t="n">
        <f aca="false">MAX(AP170,G170)</f>
        <v>24</v>
      </c>
      <c r="AC170" s="64"/>
      <c r="AD170" s="57" t="n">
        <f aca="false">IF(LEFT(Cockpit!$C$5,1)="A",G170,IF(BW170=1,BX170,IF(LEFT(Cockpit!$C$5,1)="B",AH170,MAX(AH170,G170))))</f>
        <v>24</v>
      </c>
      <c r="AE170" s="57" t="n">
        <f aca="false">IF(BR170=1,0,ROUNDUP(AD170/BQ170,0))</f>
        <v>0</v>
      </c>
      <c r="AF170" s="59" t="n">
        <f aca="false">IF(CD170&gt;0,CD170*MAX(1,AD170/V170),IF(BR170=1,IF(AD170&lt;=0,0,BS170*MAX(1,IF(G170&gt;0,AD170/G170,1))),IF(Q170&gt;0,AE170/Q170,0))/MAX(0.1,N(Parameter!$M$21)))</f>
        <v>0.03</v>
      </c>
      <c r="AG170" s="57" t="n">
        <f aca="false">AD170*F170</f>
        <v>1097.04</v>
      </c>
      <c r="AH170" s="57" t="n">
        <f aca="false">ROUNDUP(MAX(I170/IF(BV170&gt;0,BV170,MAX(0.1,N(Cockpit!$C$6))),BY170)/BQ170,0)*BQ170</f>
        <v>1</v>
      </c>
      <c r="AI170" s="58" t="n">
        <f aca="false">IF(AF170&gt;0,I170/AF170,-1)</f>
        <v>0</v>
      </c>
      <c r="AJ170" s="58" t="n">
        <f aca="false">IF(AND(OR(BU170="L1",BU170="L23"),AF170&gt;0),SUMIFS($AF$7:$AF$1576,$BU$7:$BU$1576,BU170,$AI$7:$AI$1576,"&gt;"&amp;AI170)+SUMIFS($AF$7:$AF$1576,$BU$7:$BU$1576,BU170,$AI$7:$AI$1576,AI170,$BO$7:$BO$1576,"&lt;="&amp;BO170),"")</f>
        <v>39.0336073105638</v>
      </c>
      <c r="AK170" s="65" t="n">
        <f aca="false">IF(AJ170="",0,MAX(0,MIN(1,(IF(BU170="L1",Parameter!$E$5,Parameter!$E$6+Parameter!$E$7)-(AJ170-AF170))/AF170)))</f>
        <v>1</v>
      </c>
      <c r="AL170" s="57" t="n">
        <f aca="false">IF(LEFT(Cockpit!$I$5,1)="A",G170,IF(BW170=1,BX170,IF(LEFT(Cockpit!$I$5,1)="B",AP170,MAX(AP170,G170))))</f>
        <v>24</v>
      </c>
      <c r="AM170" s="57" t="n">
        <f aca="false">IF(BR170=1,0,ROUNDUP(AL170/BQ170,0))</f>
        <v>0</v>
      </c>
      <c r="AN170" s="59" t="n">
        <f aca="false">IF(CD170&gt;0,CD170*MAX(1,AL170/V170),IF(BR170=1,IF(AL170&lt;=0,0,BS170*MAX(1,IF(G170&gt;0,AL170/G170,1))),IF(Q170&gt;0,AM170/Q170,0))/MAX(0.1,N(Parameter!$M$21)))</f>
        <v>0.03</v>
      </c>
      <c r="AO170" s="57" t="n">
        <f aca="false">AL170*F170</f>
        <v>1097.04</v>
      </c>
      <c r="AP170" s="57" t="n">
        <f aca="false">ROUNDUP(MAX(I170/IF(BV170&gt;0,BV170,MAX(0.1,N(Cockpit!$I$6))),BY170)/BQ170,0)*BQ170</f>
        <v>1</v>
      </c>
      <c r="AQ170" s="58" t="n">
        <f aca="false">IF(AN170&gt;0,I170/AN170,-1)</f>
        <v>0</v>
      </c>
      <c r="AR170" s="58" t="n">
        <f aca="false">IF(AND(OR(BU170="L1",BU170="L23"),AN170&gt;0),SUMIFS($AN$7:$AN$1576,$BU$7:$BU$1576,BU170,$AQ$7:$AQ$1576,"&gt;"&amp;AQ170)+SUMIFS($AN$7:$AN$1576,$BU$7:$BU$1576,BU170,$AQ$7:$AQ$1576,AQ170,$BO$7:$BO$1576,"&lt;="&amp;BO170),"")</f>
        <v>121.907813060353</v>
      </c>
      <c r="AS170" s="65" t="n">
        <f aca="false">IF(AR170="",0,MAX(0,MIN(1,(IF(BU170="L1",Parameter!$E$5,Parameter!$E$6+Parameter!$E$7)-(AR170-AN170))/AN170)))</f>
        <v>0</v>
      </c>
      <c r="AT170" s="57" t="n">
        <f aca="false">IF(LEFT(Cockpit!$O$5,1)="A",G170,IF(BW170=1,BX170,IF(LEFT(Cockpit!$O$5,1)="B",AX170,MAX(AX170,G170))))</f>
        <v>24</v>
      </c>
      <c r="AU170" s="57" t="n">
        <f aca="false">IF(BR170=1,0,ROUNDUP(AT170/BQ170,0))</f>
        <v>0</v>
      </c>
      <c r="AV170" s="59" t="n">
        <f aca="false">IF(CD170&gt;0,CD170*MAX(1,AT170/V170),IF(BR170=1,IF(AT170&lt;=0,0,BS170*MAX(1,IF(G170&gt;0,AT170/G170,1))),IF(Q170&gt;0,AU170/Q170,0))/MAX(0.1,N(Parameter!$M$21)))</f>
        <v>0.03</v>
      </c>
      <c r="AW170" s="57" t="n">
        <f aca="false">AT170*F170</f>
        <v>1097.04</v>
      </c>
      <c r="AX170" s="57" t="n">
        <f aca="false">ROUNDUP(MAX(I170/IF(BV170&gt;0,BV170,MAX(0.1,N(Cockpit!$O$6))),BY170)/BQ170,0)*BQ170</f>
        <v>1</v>
      </c>
      <c r="AY170" s="58" t="n">
        <f aca="false">IF(AV170&gt;0,I170/AV170,-1)</f>
        <v>0</v>
      </c>
      <c r="AZ170" s="58" t="n">
        <f aca="false">IF(AND(OR(BU170="L1",BU170="L23"),AV170&gt;0),SUMIFS($AV$7:$AV$1576,$BU$7:$BU$1576,BU170,$AY$7:$AY$1576,"&gt;"&amp;AY170)+SUMIFS($AV$7:$AV$1576,$BU$7:$BU$1576,BU170,$AY$7:$AY$1576,AY170,$BO$7:$BO$1576,"&lt;="&amp;BO170),"")</f>
        <v>111.967363509904</v>
      </c>
      <c r="BA170" s="65" t="n">
        <f aca="false">IF(AZ170="",0,MAX(0,MIN(1,(IF(BU170="L1",Parameter!$E$5,Parameter!$E$6+Parameter!$E$7)-(AZ170-AV170))/AV170)))</f>
        <v>0</v>
      </c>
      <c r="BB170" s="55" t="str">
        <f aca="false">IF(AF170&lt;=0,"",IF(BU170="Aussen","Aussenlager",IF(BU170="-","Nicht im Lift",IF(AK170&gt;=1,"Lift",IF(AK170&lt;=0,"Aussenlager","teilweise")))))</f>
        <v>Lift</v>
      </c>
      <c r="BC170" s="55" t="str">
        <f aca="false">IF(AN170&lt;=0,"",IF(BU170="Aussen","Aussenlager",IF(BU170="-","Nicht im Lift",IF(AS170&gt;=1,"Lift",IF(AS170&lt;=0,"Aussenlager","teilweise")))))</f>
        <v>Aussenlager</v>
      </c>
      <c r="BD170" s="55" t="str">
        <f aca="false">IF(AV170&lt;=0,"",IF(BU170="Aussen","Aussenlager",IF(BU170="-","Nicht im Lift",IF(BA170&gt;=1,"Lift",IF(BA170&lt;=0,"Aussenlager","teilweise")))))</f>
        <v>Aussenlager</v>
      </c>
      <c r="BE170" s="55" t="str">
        <f aca="false">IF(A170="","",IF(BN170=1,"Neu; ","")&amp;IF(AND(BN170=0,BI170&lt;0),"negativer Bestand (Export "&amp;BI170&amp;"); ","")&amp;IF(I170&lt;=0,"Kein Verbrauch; ","")&amp;IF(CD170&gt;0,"Lift "&amp;U170&amp;" lt. Liftbericht (Fach "&amp;V170&amp;" Stk); ",IF(BR170=1,"Lose – Fläche geschätzt; ",""))&amp;IF(G170&gt;AP170,"Überbestand "&amp;ROUND(G170-AP170,0)&amp;" Stk / CHF "&amp;ROUND((G170-AP170)*F170,0)&amp;"; ","")&amp;IF(AND(BW170=1,BX170&lt;BY170),"MAX &lt; MB+LG; ","")&amp;IF(AND(CC170&gt;0,CB170*10&gt;CC170),"zu hoch für Tablar; ","")&amp;IF(AND(BN170=0,OR(BW170=1,Y170&lt;&gt;"",S170&lt;&gt;"",T170&lt;&gt;"",Z170&lt;&gt;"")),"manuell übersteuert; ","")&amp;IF(AND(BR170=0,Q170=0),"Gebinde unbekannt / Stellmass fehlt; ","")&amp;IF(AND(BR170=0,N(T170)&lt;=0,N(P170)&lt;=0),"Menge pro Gebinde fehlt (Ist = 1 Gebinde); ","")&amp;BM170)</f>
        <v>Kein Verbrauch; Lose – Fläche geschätzt; Überbestand 23 Stk / CHF 1051; </v>
      </c>
      <c r="BF170" s="55"/>
      <c r="BG170" s="55"/>
      <c r="BH170" s="62"/>
      <c r="BI170" s="57" t="n">
        <v>24</v>
      </c>
      <c r="BJ170" s="57" t="n">
        <v>0</v>
      </c>
      <c r="BK170" s="56" t="n">
        <v>1097.04</v>
      </c>
      <c r="BL170" s="57" t="n">
        <v>0</v>
      </c>
      <c r="BM170" s="55"/>
      <c r="BN170" s="60" t="n">
        <v>0</v>
      </c>
      <c r="BO170" s="60" t="n">
        <v>170</v>
      </c>
      <c r="BP170" s="55" t="str">
        <f aca="false">IF(S170&lt;&gt;"",UPPER(TRIM(S170)),IF(O170="","LOSE",O170))</f>
        <v>LOSE</v>
      </c>
      <c r="BQ170" s="57" t="n">
        <f aca="false">IF(BP170="LOSE",1,IF(N(T170)&gt;0,T170,IF(N(P170)&gt;0,P170,MAX(1,G170))))</f>
        <v>1</v>
      </c>
      <c r="BR170" s="60" t="n">
        <f aca="false">IF(BP170="LOSE",1,0)</f>
        <v>1</v>
      </c>
      <c r="BS170" s="59" t="n">
        <f aca="false">IF(BR170=0,0,IF(N(R170)&gt;0,R170,IFERROR(VLOOKUP(D170,Parameter!$A$35:$C$64,3,0)+0,0)))</f>
        <v>0.03</v>
      </c>
      <c r="BT170" s="55" t="n">
        <f aca="false">IF(Y170&lt;&gt;"",Y170,X170)</f>
        <v>2</v>
      </c>
      <c r="BU170" s="55" t="str">
        <f aca="false">IF(BT170=1,"L1",IF(OR(BT170=2,BT170=3),"L23",IF(BT170="Aussen","Aussen","-")))</f>
        <v>L23</v>
      </c>
      <c r="BV170" s="66" t="n">
        <f aca="false">IF(N(Z170)&gt;0,Z170,0)</f>
        <v>0</v>
      </c>
      <c r="BW170" s="60" t="n">
        <f aca="false">IF(ISNUMBER(AC170),1,0)</f>
        <v>0</v>
      </c>
      <c r="BX170" s="57" t="n">
        <f aca="false">N(AC170)</f>
        <v>0</v>
      </c>
      <c r="BY170" s="57" t="n">
        <f aca="false">N(L170)+N(M170)</f>
        <v>1</v>
      </c>
      <c r="BZ170" s="57" t="n">
        <f aca="false">ROUNDUP(G170/BQ170,0)</f>
        <v>24</v>
      </c>
      <c r="CA170" s="57" t="n">
        <f aca="false">ROUNDUP(BX170/BQ170,0)</f>
        <v>0</v>
      </c>
      <c r="CB170" s="60" t="n">
        <f aca="false">IF(BR170=1,0,IFERROR(VLOOKUP(BP170,'Gebinde-Kategorie'!$A$5:$M$45,5,0)+0,0))</f>
        <v>0</v>
      </c>
      <c r="CC170" s="60" t="n">
        <f aca="false">IFERROR(IF(OR(BT170=1,BT170=2,BT170=3),N(INDEX(Parameter!$I$5:$I$7,BT170)),0),0)</f>
        <v>0</v>
      </c>
      <c r="CD170" s="59" t="n">
        <f aca="false">IF(AND(Parameter!$B$21="Ja",ISNUMBER(U170),N(V170)&gt;0),IFERROR(N(INDEX(Parameter!$L$5:$L$7,U170))*INDEX(Parameter!$E$5:$E$7,U170)*V170/SUMIFS($V$7:$V$1576,$U$7:$U$1576,U170),0),0)</f>
        <v>0</v>
      </c>
    </row>
    <row r="171" customFormat="false" ht="15" hidden="false" customHeight="false" outlineLevel="0" collapsed="false">
      <c r="A171" s="55" t="s">
        <v>538</v>
      </c>
      <c r="B171" s="55" t="s">
        <v>537</v>
      </c>
      <c r="C171" s="55" t="s">
        <v>160</v>
      </c>
      <c r="D171" s="55" t="s">
        <v>178</v>
      </c>
      <c r="E171" s="55" t="s">
        <v>210</v>
      </c>
      <c r="F171" s="56" t="n">
        <v>45.71</v>
      </c>
      <c r="G171" s="57" t="n">
        <f aca="false">MAX(0,IF(AND(Parameter!$B$21="Ja",ISNUMBER(W171)),W171,IF(Parameter!$B$20="Jahresanfang 2025 + Export",BJ171+BI171,BI171)))</f>
        <v>24</v>
      </c>
      <c r="H171" s="57" t="n">
        <f aca="false">G171*F171</f>
        <v>1097.04</v>
      </c>
      <c r="I171" s="57" t="n">
        <f aca="false">BL171*Parameter!$B$18</f>
        <v>0</v>
      </c>
      <c r="J171" s="58" t="n">
        <v>0</v>
      </c>
      <c r="K171" s="59" t="n">
        <v>0</v>
      </c>
      <c r="L171" s="57" t="n">
        <v>0</v>
      </c>
      <c r="M171" s="57" t="n">
        <v>1</v>
      </c>
      <c r="N171" s="60" t="n">
        <v>9999</v>
      </c>
      <c r="O171" s="55" t="s">
        <v>163</v>
      </c>
      <c r="P171" s="57"/>
      <c r="Q171" s="60" t="n">
        <f aca="false">IF(BR171=1,0,IFERROR(VLOOKUP(BP171,'Gebinde-Kategorie'!$A$5:$M$45,13,0)+0,0))</f>
        <v>0</v>
      </c>
      <c r="R171" s="61"/>
      <c r="S171" s="62"/>
      <c r="T171" s="62"/>
      <c r="U171" s="55"/>
      <c r="V171" s="57"/>
      <c r="W171" s="57"/>
      <c r="X171" s="55" t="n">
        <f aca="false">IF(A171="","",IF(AND(Parameter!$B$21="Ja",ISNUMBER(U171)),U171,IF(IFERROR(VLOOKUP(D171,Parameter!$A$35:$C$64,2,0),"Nein")="2+3",IF(ISNUMBER(SEARCH("grosser Artikel",BM171)),2,IFERROR(VLOOKUP(BP171,Parameter!$F$35:$G$64,2,0),2)),IF(OR(IFERROR(VLOOKUP(D171,Parameter!$A$35:$C$64,2,0),"Nein")="Nein",IFERROR(VLOOKUP(D171,Parameter!$A$35:$C$64,2,0),"Nein")=""),"-",VLOOKUP(D171,Parameter!$A$35:$C$64,2,0)))))</f>
        <v>2</v>
      </c>
      <c r="Y171" s="62"/>
      <c r="Z171" s="63"/>
      <c r="AA171" s="57" t="n">
        <f aca="false">AP171</f>
        <v>1</v>
      </c>
      <c r="AB171" s="57" t="n">
        <f aca="false">MAX(AP171,G171)</f>
        <v>24</v>
      </c>
      <c r="AC171" s="64"/>
      <c r="AD171" s="57" t="n">
        <f aca="false">IF(LEFT(Cockpit!$C$5,1)="A",G171,IF(BW171=1,BX171,IF(LEFT(Cockpit!$C$5,1)="B",AH171,MAX(AH171,G171))))</f>
        <v>24</v>
      </c>
      <c r="AE171" s="57" t="n">
        <f aca="false">IF(BR171=1,0,ROUNDUP(AD171/BQ171,0))</f>
        <v>0</v>
      </c>
      <c r="AF171" s="59" t="n">
        <f aca="false">IF(CD171&gt;0,CD171*MAX(1,AD171/V171),IF(BR171=1,IF(AD171&lt;=0,0,BS171*MAX(1,IF(G171&gt;0,AD171/G171,1))),IF(Q171&gt;0,AE171/Q171,0))/MAX(0.1,N(Parameter!$M$21)))</f>
        <v>0.03</v>
      </c>
      <c r="AG171" s="57" t="n">
        <f aca="false">AD171*F171</f>
        <v>1097.04</v>
      </c>
      <c r="AH171" s="57" t="n">
        <f aca="false">ROUNDUP(MAX(I171/IF(BV171&gt;0,BV171,MAX(0.1,N(Cockpit!$C$6))),BY171)/BQ171,0)*BQ171</f>
        <v>1</v>
      </c>
      <c r="AI171" s="58" t="n">
        <f aca="false">IF(AF171&gt;0,I171/AF171,-1)</f>
        <v>0</v>
      </c>
      <c r="AJ171" s="58" t="n">
        <f aca="false">IF(AND(OR(BU171="L1",BU171="L23"),AF171&gt;0),SUMIFS($AF$7:$AF$1576,$BU$7:$BU$1576,BU171,$AI$7:$AI$1576,"&gt;"&amp;AI171)+SUMIFS($AF$7:$AF$1576,$BU$7:$BU$1576,BU171,$AI$7:$AI$1576,AI171,$BO$7:$BO$1576,"&lt;="&amp;BO171),"")</f>
        <v>39.0636073105638</v>
      </c>
      <c r="AK171" s="65" t="n">
        <f aca="false">IF(AJ171="",0,MAX(0,MIN(1,(IF(BU171="L1",Parameter!$E$5,Parameter!$E$6+Parameter!$E$7)-(AJ171-AF171))/AF171)))</f>
        <v>1</v>
      </c>
      <c r="AL171" s="57" t="n">
        <f aca="false">IF(LEFT(Cockpit!$I$5,1)="A",G171,IF(BW171=1,BX171,IF(LEFT(Cockpit!$I$5,1)="B",AP171,MAX(AP171,G171))))</f>
        <v>24</v>
      </c>
      <c r="AM171" s="57" t="n">
        <f aca="false">IF(BR171=1,0,ROUNDUP(AL171/BQ171,0))</f>
        <v>0</v>
      </c>
      <c r="AN171" s="59" t="n">
        <f aca="false">IF(CD171&gt;0,CD171*MAX(1,AL171/V171),IF(BR171=1,IF(AL171&lt;=0,0,BS171*MAX(1,IF(G171&gt;0,AL171/G171,1))),IF(Q171&gt;0,AM171/Q171,0))/MAX(0.1,N(Parameter!$M$21)))</f>
        <v>0.03</v>
      </c>
      <c r="AO171" s="57" t="n">
        <f aca="false">AL171*F171</f>
        <v>1097.04</v>
      </c>
      <c r="AP171" s="57" t="n">
        <f aca="false">ROUNDUP(MAX(I171/IF(BV171&gt;0,BV171,MAX(0.1,N(Cockpit!$I$6))),BY171)/BQ171,0)*BQ171</f>
        <v>1</v>
      </c>
      <c r="AQ171" s="58" t="n">
        <f aca="false">IF(AN171&gt;0,I171/AN171,-1)</f>
        <v>0</v>
      </c>
      <c r="AR171" s="58" t="n">
        <f aca="false">IF(AND(OR(BU171="L1",BU171="L23"),AN171&gt;0),SUMIFS($AN$7:$AN$1576,$BU$7:$BU$1576,BU171,$AQ$7:$AQ$1576,"&gt;"&amp;AQ171)+SUMIFS($AN$7:$AN$1576,$BU$7:$BU$1576,BU171,$AQ$7:$AQ$1576,AQ171,$BO$7:$BO$1576,"&lt;="&amp;BO171),"")</f>
        <v>121.937813060353</v>
      </c>
      <c r="AS171" s="65" t="n">
        <f aca="false">IF(AR171="",0,MAX(0,MIN(1,(IF(BU171="L1",Parameter!$E$5,Parameter!$E$6+Parameter!$E$7)-(AR171-AN171))/AN171)))</f>
        <v>0</v>
      </c>
      <c r="AT171" s="57" t="n">
        <f aca="false">IF(LEFT(Cockpit!$O$5,1)="A",G171,IF(BW171=1,BX171,IF(LEFT(Cockpit!$O$5,1)="B",AX171,MAX(AX171,G171))))</f>
        <v>24</v>
      </c>
      <c r="AU171" s="57" t="n">
        <f aca="false">IF(BR171=1,0,ROUNDUP(AT171/BQ171,0))</f>
        <v>0</v>
      </c>
      <c r="AV171" s="59" t="n">
        <f aca="false">IF(CD171&gt;0,CD171*MAX(1,AT171/V171),IF(BR171=1,IF(AT171&lt;=0,0,BS171*MAX(1,IF(G171&gt;0,AT171/G171,1))),IF(Q171&gt;0,AU171/Q171,0))/MAX(0.1,N(Parameter!$M$21)))</f>
        <v>0.03</v>
      </c>
      <c r="AW171" s="57" t="n">
        <f aca="false">AT171*F171</f>
        <v>1097.04</v>
      </c>
      <c r="AX171" s="57" t="n">
        <f aca="false">ROUNDUP(MAX(I171/IF(BV171&gt;0,BV171,MAX(0.1,N(Cockpit!$O$6))),BY171)/BQ171,0)*BQ171</f>
        <v>1</v>
      </c>
      <c r="AY171" s="58" t="n">
        <f aca="false">IF(AV171&gt;0,I171/AV171,-1)</f>
        <v>0</v>
      </c>
      <c r="AZ171" s="58" t="n">
        <f aca="false">IF(AND(OR(BU171="L1",BU171="L23"),AV171&gt;0),SUMIFS($AV$7:$AV$1576,$BU$7:$BU$1576,BU171,$AY$7:$AY$1576,"&gt;"&amp;AY171)+SUMIFS($AV$7:$AV$1576,$BU$7:$BU$1576,BU171,$AY$7:$AY$1576,AY171,$BO$7:$BO$1576,"&lt;="&amp;BO171),"")</f>
        <v>111.997363509904</v>
      </c>
      <c r="BA171" s="65" t="n">
        <f aca="false">IF(AZ171="",0,MAX(0,MIN(1,(IF(BU171="L1",Parameter!$E$5,Parameter!$E$6+Parameter!$E$7)-(AZ171-AV171))/AV171)))</f>
        <v>0</v>
      </c>
      <c r="BB171" s="55" t="str">
        <f aca="false">IF(AF171&lt;=0,"",IF(BU171="Aussen","Aussenlager",IF(BU171="-","Nicht im Lift",IF(AK171&gt;=1,"Lift",IF(AK171&lt;=0,"Aussenlager","teilweise")))))</f>
        <v>Lift</v>
      </c>
      <c r="BC171" s="55" t="str">
        <f aca="false">IF(AN171&lt;=0,"",IF(BU171="Aussen","Aussenlager",IF(BU171="-","Nicht im Lift",IF(AS171&gt;=1,"Lift",IF(AS171&lt;=0,"Aussenlager","teilweise")))))</f>
        <v>Aussenlager</v>
      </c>
      <c r="BD171" s="55" t="str">
        <f aca="false">IF(AV171&lt;=0,"",IF(BU171="Aussen","Aussenlager",IF(BU171="-","Nicht im Lift",IF(BA171&gt;=1,"Lift",IF(BA171&lt;=0,"Aussenlager","teilweise")))))</f>
        <v>Aussenlager</v>
      </c>
      <c r="BE171" s="55" t="str">
        <f aca="false">IF(A171="","",IF(BN171=1,"Neu; ","")&amp;IF(AND(BN171=0,BI171&lt;0),"negativer Bestand (Export "&amp;BI171&amp;"); ","")&amp;IF(I171&lt;=0,"Kein Verbrauch; ","")&amp;IF(CD171&gt;0,"Lift "&amp;U171&amp;" lt. Liftbericht (Fach "&amp;V171&amp;" Stk); ",IF(BR171=1,"Lose – Fläche geschätzt; ",""))&amp;IF(G171&gt;AP171,"Überbestand "&amp;ROUND(G171-AP171,0)&amp;" Stk / CHF "&amp;ROUND((G171-AP171)*F171,0)&amp;"; ","")&amp;IF(AND(BW171=1,BX171&lt;BY171),"MAX &lt; MB+LG; ","")&amp;IF(AND(CC171&gt;0,CB171*10&gt;CC171),"zu hoch für Tablar; ","")&amp;IF(AND(BN171=0,OR(BW171=1,Y171&lt;&gt;"",S171&lt;&gt;"",T171&lt;&gt;"",Z171&lt;&gt;"")),"manuell übersteuert; ","")&amp;IF(AND(BR171=0,Q171=0),"Gebinde unbekannt / Stellmass fehlt; ","")&amp;IF(AND(BR171=0,N(T171)&lt;=0,N(P171)&lt;=0),"Menge pro Gebinde fehlt (Ist = 1 Gebinde); ","")&amp;BM171)</f>
        <v>Kein Verbrauch; Lose – Fläche geschätzt; Überbestand 23 Stk / CHF 1051; </v>
      </c>
      <c r="BF171" s="55"/>
      <c r="BG171" s="55"/>
      <c r="BH171" s="62"/>
      <c r="BI171" s="57" t="n">
        <v>24</v>
      </c>
      <c r="BJ171" s="57" t="n">
        <v>0</v>
      </c>
      <c r="BK171" s="56" t="n">
        <v>1097.04</v>
      </c>
      <c r="BL171" s="57" t="n">
        <v>0</v>
      </c>
      <c r="BM171" s="55"/>
      <c r="BN171" s="60" t="n">
        <v>0</v>
      </c>
      <c r="BO171" s="60" t="n">
        <v>171</v>
      </c>
      <c r="BP171" s="55" t="str">
        <f aca="false">IF(S171&lt;&gt;"",UPPER(TRIM(S171)),IF(O171="","LOSE",O171))</f>
        <v>LOSE</v>
      </c>
      <c r="BQ171" s="57" t="n">
        <f aca="false">IF(BP171="LOSE",1,IF(N(T171)&gt;0,T171,IF(N(P171)&gt;0,P171,MAX(1,G171))))</f>
        <v>1</v>
      </c>
      <c r="BR171" s="60" t="n">
        <f aca="false">IF(BP171="LOSE",1,0)</f>
        <v>1</v>
      </c>
      <c r="BS171" s="59" t="n">
        <f aca="false">IF(BR171=0,0,IF(N(R171)&gt;0,R171,IFERROR(VLOOKUP(D171,Parameter!$A$35:$C$64,3,0)+0,0)))</f>
        <v>0.03</v>
      </c>
      <c r="BT171" s="55" t="n">
        <f aca="false">IF(Y171&lt;&gt;"",Y171,X171)</f>
        <v>2</v>
      </c>
      <c r="BU171" s="55" t="str">
        <f aca="false">IF(BT171=1,"L1",IF(OR(BT171=2,BT171=3),"L23",IF(BT171="Aussen","Aussen","-")))</f>
        <v>L23</v>
      </c>
      <c r="BV171" s="66" t="n">
        <f aca="false">IF(N(Z171)&gt;0,Z171,0)</f>
        <v>0</v>
      </c>
      <c r="BW171" s="60" t="n">
        <f aca="false">IF(ISNUMBER(AC171),1,0)</f>
        <v>0</v>
      </c>
      <c r="BX171" s="57" t="n">
        <f aca="false">N(AC171)</f>
        <v>0</v>
      </c>
      <c r="BY171" s="57" t="n">
        <f aca="false">N(L171)+N(M171)</f>
        <v>1</v>
      </c>
      <c r="BZ171" s="57" t="n">
        <f aca="false">ROUNDUP(G171/BQ171,0)</f>
        <v>24</v>
      </c>
      <c r="CA171" s="57" t="n">
        <f aca="false">ROUNDUP(BX171/BQ171,0)</f>
        <v>0</v>
      </c>
      <c r="CB171" s="60" t="n">
        <f aca="false">IF(BR171=1,0,IFERROR(VLOOKUP(BP171,'Gebinde-Kategorie'!$A$5:$M$45,5,0)+0,0))</f>
        <v>0</v>
      </c>
      <c r="CC171" s="60" t="n">
        <f aca="false">IFERROR(IF(OR(BT171=1,BT171=2,BT171=3),N(INDEX(Parameter!$I$5:$I$7,BT171)),0),0)</f>
        <v>0</v>
      </c>
      <c r="CD171" s="59" t="n">
        <f aca="false">IF(AND(Parameter!$B$21="Ja",ISNUMBER(U171),N(V171)&gt;0),IFERROR(N(INDEX(Parameter!$L$5:$L$7,U171))*INDEX(Parameter!$E$5:$E$7,U171)*V171/SUMIFS($V$7:$V$1576,$U$7:$U$1576,U171),0),0)</f>
        <v>0</v>
      </c>
    </row>
    <row r="172" customFormat="false" ht="15" hidden="false" customHeight="false" outlineLevel="0" collapsed="false">
      <c r="A172" s="55" t="s">
        <v>539</v>
      </c>
      <c r="B172" s="55" t="s">
        <v>540</v>
      </c>
      <c r="C172" s="55" t="s">
        <v>160</v>
      </c>
      <c r="D172" s="55" t="s">
        <v>178</v>
      </c>
      <c r="E172" s="55" t="s">
        <v>210</v>
      </c>
      <c r="F172" s="56" t="n">
        <v>10.48</v>
      </c>
      <c r="G172" s="57" t="n">
        <f aca="false">MAX(0,IF(AND(Parameter!$B$21="Ja",ISNUMBER(W172)),W172,IF(Parameter!$B$20="Jahresanfang 2025 + Export",BJ172+BI172,BI172)))</f>
        <v>119</v>
      </c>
      <c r="H172" s="57" t="n">
        <f aca="false">G172*F172</f>
        <v>1247.12</v>
      </c>
      <c r="I172" s="57" t="n">
        <f aca="false">BL172*Parameter!$B$18</f>
        <v>378</v>
      </c>
      <c r="J172" s="58" t="n">
        <v>102.5</v>
      </c>
      <c r="K172" s="59" t="n">
        <v>3.68780487804878</v>
      </c>
      <c r="L172" s="57" t="n">
        <v>25</v>
      </c>
      <c r="M172" s="57" t="n">
        <v>280</v>
      </c>
      <c r="N172" s="60" t="n">
        <v>21</v>
      </c>
      <c r="O172" s="55" t="s">
        <v>293</v>
      </c>
      <c r="P172" s="57" t="n">
        <v>155</v>
      </c>
      <c r="Q172" s="60" t="n">
        <f aca="false">IF(BR172=1,0,IFERROR(VLOOKUP(BP172,'Gebinde-Kategorie'!$A$5:$M$45,13,0)+0,0))</f>
        <v>26</v>
      </c>
      <c r="R172" s="61"/>
      <c r="S172" s="62"/>
      <c r="T172" s="62"/>
      <c r="U172" s="55"/>
      <c r="V172" s="57"/>
      <c r="W172" s="57"/>
      <c r="X172" s="55" t="n">
        <f aca="false">IF(A172="","",IF(AND(Parameter!$B$21="Ja",ISNUMBER(U172)),U172,IF(IFERROR(VLOOKUP(D172,Parameter!$A$35:$C$64,2,0),"Nein")="2+3",IF(ISNUMBER(SEARCH("grosser Artikel",BM172)),2,IFERROR(VLOOKUP(BP172,Parameter!$F$35:$G$64,2,0),2)),IF(OR(IFERROR(VLOOKUP(D172,Parameter!$A$35:$C$64,2,0),"Nein")="Nein",IFERROR(VLOOKUP(D172,Parameter!$A$35:$C$64,2,0),"Nein")=""),"-",VLOOKUP(D172,Parameter!$A$35:$C$64,2,0)))))</f>
        <v>3</v>
      </c>
      <c r="Y172" s="62"/>
      <c r="Z172" s="63"/>
      <c r="AA172" s="57" t="n">
        <f aca="false">AP172</f>
        <v>310</v>
      </c>
      <c r="AB172" s="57" t="n">
        <f aca="false">MAX(AP172,G172)</f>
        <v>310</v>
      </c>
      <c r="AC172" s="64"/>
      <c r="AD172" s="57" t="n">
        <f aca="false">IF(LEFT(Cockpit!$C$5,1)="A",G172,IF(BW172=1,BX172,IF(LEFT(Cockpit!$C$5,1)="B",AH172,MAX(AH172,G172))))</f>
        <v>119</v>
      </c>
      <c r="AE172" s="57" t="n">
        <f aca="false">IF(BR172=1,0,ROUNDUP(AD172/BQ172,0))</f>
        <v>1</v>
      </c>
      <c r="AF172" s="59" t="n">
        <f aca="false">IF(CD172&gt;0,CD172*MAX(1,AD172/V172),IF(BR172=1,IF(AD172&lt;=0,0,BS172*MAX(1,IF(G172&gt;0,AD172/G172,1))),IF(Q172&gt;0,AE172/Q172,0))/MAX(0.1,N(Parameter!$M$21)))</f>
        <v>0.0384615384615385</v>
      </c>
      <c r="AG172" s="57" t="n">
        <f aca="false">AD172*F172</f>
        <v>1247.12</v>
      </c>
      <c r="AH172" s="57" t="n">
        <f aca="false">ROUNDUP(MAX(I172/IF(BV172&gt;0,BV172,MAX(0.1,N(Cockpit!$C$6))),BY172)/BQ172,0)*BQ172</f>
        <v>310</v>
      </c>
      <c r="AI172" s="58" t="n">
        <f aca="false">IF(AF172&gt;0,I172/AF172,-1)</f>
        <v>9828</v>
      </c>
      <c r="AJ172" s="58" t="n">
        <f aca="false">IF(AND(OR(BU172="L1",BU172="L23"),AF172&gt;0),SUMIFS($AF$7:$AF$1576,$BU$7:$BU$1576,BU172,$AI$7:$AI$1576,"&gt;"&amp;AI172)+SUMIFS($AF$7:$AF$1576,$BU$7:$BU$1576,BU172,$AI$7:$AI$1576,AI172,$BO$7:$BO$1576,"&lt;="&amp;BO172),"")</f>
        <v>2.6754839363535</v>
      </c>
      <c r="AK172" s="65" t="n">
        <f aca="false">IF(AJ172="",0,MAX(0,MIN(1,(IF(BU172="L1",Parameter!$E$5,Parameter!$E$6+Parameter!$E$7)-(AJ172-AF172))/AF172)))</f>
        <v>1</v>
      </c>
      <c r="AL172" s="57" t="n">
        <f aca="false">IF(LEFT(Cockpit!$I$5,1)="A",G172,IF(BW172=1,BX172,IF(LEFT(Cockpit!$I$5,1)="B",AP172,MAX(AP172,G172))))</f>
        <v>310</v>
      </c>
      <c r="AM172" s="57" t="n">
        <f aca="false">IF(BR172=1,0,ROUNDUP(AL172/BQ172,0))</f>
        <v>2</v>
      </c>
      <c r="AN172" s="59" t="n">
        <f aca="false">IF(CD172&gt;0,CD172*MAX(1,AL172/V172),IF(BR172=1,IF(AL172&lt;=0,0,BS172*MAX(1,IF(G172&gt;0,AL172/G172,1))),IF(Q172&gt;0,AM172/Q172,0))/MAX(0.1,N(Parameter!$M$21)))</f>
        <v>0.0769230769230769</v>
      </c>
      <c r="AO172" s="57" t="n">
        <f aca="false">AL172*F172</f>
        <v>3248.8</v>
      </c>
      <c r="AP172" s="57" t="n">
        <f aca="false">ROUNDUP(MAX(I172/IF(BV172&gt;0,BV172,MAX(0.1,N(Cockpit!$I$6))),BY172)/BQ172,0)*BQ172</f>
        <v>310</v>
      </c>
      <c r="AQ172" s="58" t="n">
        <f aca="false">IF(AN172&gt;0,I172/AN172,-1)</f>
        <v>4914</v>
      </c>
      <c r="AR172" s="58" t="n">
        <f aca="false">IF(AND(OR(BU172="L1",BU172="L23"),AN172&gt;0),SUMIFS($AN$7:$AN$1576,$BU$7:$BU$1576,BU172,$AQ$7:$AQ$1576,"&gt;"&amp;AQ172)+SUMIFS($AN$7:$AN$1576,$BU$7:$BU$1576,BU172,$AQ$7:$AQ$1576,AQ172,$BO$7:$BO$1576,"&lt;="&amp;BO172),"")</f>
        <v>11.4168987297726</v>
      </c>
      <c r="AS172" s="65" t="n">
        <f aca="false">IF(AR172="",0,MAX(0,MIN(1,(IF(BU172="L1",Parameter!$E$5,Parameter!$E$6+Parameter!$E$7)-(AR172-AN172))/AN172)))</f>
        <v>1</v>
      </c>
      <c r="AT172" s="57" t="n">
        <f aca="false">IF(LEFT(Cockpit!$O$5,1)="A",G172,IF(BW172=1,BX172,IF(LEFT(Cockpit!$O$5,1)="B",AX172,MAX(AX172,G172))))</f>
        <v>310</v>
      </c>
      <c r="AU172" s="57" t="n">
        <f aca="false">IF(BR172=1,0,ROUNDUP(AT172/BQ172,0))</f>
        <v>2</v>
      </c>
      <c r="AV172" s="59" t="n">
        <f aca="false">IF(CD172&gt;0,CD172*MAX(1,AT172/V172),IF(BR172=1,IF(AT172&lt;=0,0,BS172*MAX(1,IF(G172&gt;0,AT172/G172,1))),IF(Q172&gt;0,AU172/Q172,0))/MAX(0.1,N(Parameter!$M$21)))</f>
        <v>0.0769230769230769</v>
      </c>
      <c r="AW172" s="57" t="n">
        <f aca="false">AT172*F172</f>
        <v>3248.8</v>
      </c>
      <c r="AX172" s="57" t="n">
        <f aca="false">ROUNDUP(MAX(I172/IF(BV172&gt;0,BV172,MAX(0.1,N(Cockpit!$O$6))),BY172)/BQ172,0)*BQ172</f>
        <v>310</v>
      </c>
      <c r="AY172" s="58" t="n">
        <f aca="false">IF(AV172&gt;0,I172/AV172,-1)</f>
        <v>4914</v>
      </c>
      <c r="AZ172" s="58" t="n">
        <f aca="false">IF(AND(OR(BU172="L1",BU172="L23"),AV172&gt;0),SUMIFS($AV$7:$AV$1576,$BU$7:$BU$1576,BU172,$AY$7:$AY$1576,"&gt;"&amp;AY172)+SUMIFS($AV$7:$AV$1576,$BU$7:$BU$1576,BU172,$AY$7:$AY$1576,AY172,$BO$7:$BO$1576,"&lt;="&amp;BO172),"")</f>
        <v>10.6377612006351</v>
      </c>
      <c r="BA172" s="65" t="n">
        <f aca="false">IF(AZ172="",0,MAX(0,MIN(1,(IF(BU172="L1",Parameter!$E$5,Parameter!$E$6+Parameter!$E$7)-(AZ172-AV172))/AV172)))</f>
        <v>1</v>
      </c>
      <c r="BB172" s="55" t="str">
        <f aca="false">IF(AF172&lt;=0,"",IF(BU172="Aussen","Aussenlager",IF(BU172="-","Nicht im Lift",IF(AK172&gt;=1,"Lift",IF(AK172&lt;=0,"Aussenlager","teilweise")))))</f>
        <v>Lift</v>
      </c>
      <c r="BC172" s="55" t="str">
        <f aca="false">IF(AN172&lt;=0,"",IF(BU172="Aussen","Aussenlager",IF(BU172="-","Nicht im Lift",IF(AS172&gt;=1,"Lift",IF(AS172&lt;=0,"Aussenlager","teilweise")))))</f>
        <v>Lift</v>
      </c>
      <c r="BD172" s="55" t="str">
        <f aca="false">IF(AV172&lt;=0,"",IF(BU172="Aussen","Aussenlager",IF(BU172="-","Nicht im Lift",IF(BA172&gt;=1,"Lift",IF(BA172&lt;=0,"Aussenlager","teilweise")))))</f>
        <v>Lift</v>
      </c>
      <c r="BE172" s="55" t="str">
        <f aca="false">IF(A172="","",IF(BN172=1,"Neu; ","")&amp;IF(AND(BN172=0,BI172&lt;0),"negativer Bestand (Export "&amp;BI172&amp;"); ","")&amp;IF(I172&lt;=0,"Kein Verbrauch; ","")&amp;IF(CD172&gt;0,"Lift "&amp;U172&amp;" lt. Liftbericht (Fach "&amp;V172&amp;" Stk); ",IF(BR172=1,"Lose – Fläche geschätzt; ",""))&amp;IF(G172&gt;AP172,"Überbestand "&amp;ROUND(G172-AP172,0)&amp;" Stk / CHF "&amp;ROUND((G172-AP172)*F172,0)&amp;"; ","")&amp;IF(AND(BW172=1,BX172&lt;BY172),"MAX &lt; MB+LG; ","")&amp;IF(AND(CC172&gt;0,CB172*10&gt;CC172),"zu hoch für Tablar; ","")&amp;IF(AND(BN172=0,OR(BW172=1,Y172&lt;&gt;"",S172&lt;&gt;"",T172&lt;&gt;"",Z172&lt;&gt;"")),"manuell übersteuert; ","")&amp;IF(AND(BR172=0,Q172=0),"Gebinde unbekannt / Stellmass fehlt; ","")&amp;IF(AND(BR172=0,N(T172)&lt;=0,N(P172)&lt;=0),"Menge pro Gebinde fehlt (Ist = 1 Gebinde); ","")&amp;BM172)</f>
        <v/>
      </c>
      <c r="BF172" s="55"/>
      <c r="BG172" s="55"/>
      <c r="BH172" s="62"/>
      <c r="BI172" s="57" t="n">
        <v>119</v>
      </c>
      <c r="BJ172" s="57" t="n">
        <v>87</v>
      </c>
      <c r="BK172" s="56" t="n">
        <v>1093.13</v>
      </c>
      <c r="BL172" s="57" t="n">
        <v>378</v>
      </c>
      <c r="BM172" s="55"/>
      <c r="BN172" s="60" t="n">
        <v>0</v>
      </c>
      <c r="BO172" s="60" t="n">
        <v>172</v>
      </c>
      <c r="BP172" s="55" t="str">
        <f aca="false">IF(S172&lt;&gt;"",UPPER(TRIM(S172)),IF(O172="","LOSE",O172))</f>
        <v>S51</v>
      </c>
      <c r="BQ172" s="57" t="n">
        <f aca="false">IF(BP172="LOSE",1,IF(N(T172)&gt;0,T172,IF(N(P172)&gt;0,P172,MAX(1,G172))))</f>
        <v>155</v>
      </c>
      <c r="BR172" s="60" t="n">
        <f aca="false">IF(BP172="LOSE",1,0)</f>
        <v>0</v>
      </c>
      <c r="BS172" s="59" t="n">
        <f aca="false">IF(BR172=0,0,IF(N(R172)&gt;0,R172,IFERROR(VLOOKUP(D172,Parameter!$A$35:$C$64,3,0)+0,0)))</f>
        <v>0</v>
      </c>
      <c r="BT172" s="55" t="n">
        <f aca="false">IF(Y172&lt;&gt;"",Y172,X172)</f>
        <v>3</v>
      </c>
      <c r="BU172" s="55" t="str">
        <f aca="false">IF(BT172=1,"L1",IF(OR(BT172=2,BT172=3),"L23",IF(BT172="Aussen","Aussen","-")))</f>
        <v>L23</v>
      </c>
      <c r="BV172" s="66" t="n">
        <f aca="false">IF(N(Z172)&gt;0,Z172,0)</f>
        <v>0</v>
      </c>
      <c r="BW172" s="60" t="n">
        <f aca="false">IF(ISNUMBER(AC172),1,0)</f>
        <v>0</v>
      </c>
      <c r="BX172" s="57" t="n">
        <f aca="false">N(AC172)</f>
        <v>0</v>
      </c>
      <c r="BY172" s="57" t="n">
        <f aca="false">N(L172)+N(M172)</f>
        <v>305</v>
      </c>
      <c r="BZ172" s="57" t="n">
        <f aca="false">ROUNDUP(G172/BQ172,0)</f>
        <v>1</v>
      </c>
      <c r="CA172" s="57" t="n">
        <f aca="false">ROUNDUP(BX172/BQ172,0)</f>
        <v>0</v>
      </c>
      <c r="CB172" s="60" t="n">
        <f aca="false">IF(BR172=1,0,IFERROR(VLOOKUP(BP172,'Gebinde-Kategorie'!$A$5:$M$45,5,0)+0,0))</f>
        <v>11</v>
      </c>
      <c r="CC172" s="60" t="n">
        <f aca="false">IFERROR(IF(OR(BT172=1,BT172=2,BT172=3),N(INDEX(Parameter!$I$5:$I$7,BT172)),0),0)</f>
        <v>0</v>
      </c>
      <c r="CD172" s="59" t="n">
        <f aca="false">IF(AND(Parameter!$B$21="Ja",ISNUMBER(U172),N(V172)&gt;0),IFERROR(N(INDEX(Parameter!$L$5:$L$7,U172))*INDEX(Parameter!$E$5:$E$7,U172)*V172/SUMIFS($V$7:$V$1576,$U$7:$U$1576,U172),0),0)</f>
        <v>0</v>
      </c>
    </row>
    <row r="173" customFormat="false" ht="15" hidden="false" customHeight="false" outlineLevel="0" collapsed="false">
      <c r="A173" s="55" t="s">
        <v>541</v>
      </c>
      <c r="B173" s="55" t="s">
        <v>542</v>
      </c>
      <c r="C173" s="55" t="s">
        <v>160</v>
      </c>
      <c r="D173" s="55" t="s">
        <v>178</v>
      </c>
      <c r="E173" s="55" t="s">
        <v>210</v>
      </c>
      <c r="F173" s="56" t="n">
        <v>11.46</v>
      </c>
      <c r="G173" s="57" t="n">
        <f aca="false">MAX(0,IF(AND(Parameter!$B$21="Ja",ISNUMBER(W173)),W173,IF(Parameter!$B$20="Jahresanfang 2025 + Export",BJ173+BI173,BI173)))</f>
        <v>84</v>
      </c>
      <c r="H173" s="57" t="n">
        <f aca="false">G173*F173</f>
        <v>962.64</v>
      </c>
      <c r="I173" s="57" t="n">
        <f aca="false">BL173*Parameter!$B$18</f>
        <v>152</v>
      </c>
      <c r="J173" s="58" t="n">
        <v>110</v>
      </c>
      <c r="K173" s="59" t="n">
        <v>1.38181818181818</v>
      </c>
      <c r="L173" s="57" t="n">
        <v>17</v>
      </c>
      <c r="M173" s="57" t="n">
        <v>150</v>
      </c>
      <c r="N173" s="60" t="n">
        <v>42</v>
      </c>
      <c r="O173" s="55" t="s">
        <v>293</v>
      </c>
      <c r="P173" s="57" t="n">
        <v>122</v>
      </c>
      <c r="Q173" s="60" t="n">
        <f aca="false">IF(BR173=1,0,IFERROR(VLOOKUP(BP173,'Gebinde-Kategorie'!$A$5:$M$45,13,0)+0,0))</f>
        <v>26</v>
      </c>
      <c r="R173" s="61"/>
      <c r="S173" s="62"/>
      <c r="T173" s="62"/>
      <c r="U173" s="55"/>
      <c r="V173" s="57"/>
      <c r="W173" s="57"/>
      <c r="X173" s="55" t="n">
        <f aca="false">IF(A173="","",IF(AND(Parameter!$B$21="Ja",ISNUMBER(U173)),U173,IF(IFERROR(VLOOKUP(D173,Parameter!$A$35:$C$64,2,0),"Nein")="2+3",IF(ISNUMBER(SEARCH("grosser Artikel",BM173)),2,IFERROR(VLOOKUP(BP173,Parameter!$F$35:$G$64,2,0),2)),IF(OR(IFERROR(VLOOKUP(D173,Parameter!$A$35:$C$64,2,0),"Nein")="Nein",IFERROR(VLOOKUP(D173,Parameter!$A$35:$C$64,2,0),"Nein")=""),"-",VLOOKUP(D173,Parameter!$A$35:$C$64,2,0)))))</f>
        <v>3</v>
      </c>
      <c r="Y173" s="62"/>
      <c r="Z173" s="63"/>
      <c r="AA173" s="57" t="n">
        <f aca="false">AP173</f>
        <v>244</v>
      </c>
      <c r="AB173" s="57" t="n">
        <f aca="false">MAX(AP173,G173)</f>
        <v>244</v>
      </c>
      <c r="AC173" s="64"/>
      <c r="AD173" s="57" t="n">
        <f aca="false">IF(LEFT(Cockpit!$C$5,1)="A",G173,IF(BW173=1,BX173,IF(LEFT(Cockpit!$C$5,1)="B",AH173,MAX(AH173,G173))))</f>
        <v>84</v>
      </c>
      <c r="AE173" s="57" t="n">
        <f aca="false">IF(BR173=1,0,ROUNDUP(AD173/BQ173,0))</f>
        <v>1</v>
      </c>
      <c r="AF173" s="59" t="n">
        <f aca="false">IF(CD173&gt;0,CD173*MAX(1,AD173/V173),IF(BR173=1,IF(AD173&lt;=0,0,BS173*MAX(1,IF(G173&gt;0,AD173/G173,1))),IF(Q173&gt;0,AE173/Q173,0))/MAX(0.1,N(Parameter!$M$21)))</f>
        <v>0.0384615384615385</v>
      </c>
      <c r="AG173" s="57" t="n">
        <f aca="false">AD173*F173</f>
        <v>962.64</v>
      </c>
      <c r="AH173" s="57" t="n">
        <f aca="false">ROUNDUP(MAX(I173/IF(BV173&gt;0,BV173,MAX(0.1,N(Cockpit!$C$6))),BY173)/BQ173,0)*BQ173</f>
        <v>244</v>
      </c>
      <c r="AI173" s="58" t="n">
        <f aca="false">IF(AF173&gt;0,I173/AF173,-1)</f>
        <v>3952</v>
      </c>
      <c r="AJ173" s="58" t="n">
        <f aca="false">IF(AND(OR(BU173="L1",BU173="L23"),AF173&gt;0),SUMIFS($AF$7:$AF$1576,$BU$7:$BU$1576,BU173,$AI$7:$AI$1576,"&gt;"&amp;AI173)+SUMIFS($AF$7:$AF$1576,$BU$7:$BU$1576,BU173,$AI$7:$AI$1576,AI173,$BO$7:$BO$1576,"&lt;="&amp;BO173),"")</f>
        <v>4.2837772372555</v>
      </c>
      <c r="AK173" s="65" t="n">
        <f aca="false">IF(AJ173="",0,MAX(0,MIN(1,(IF(BU173="L1",Parameter!$E$5,Parameter!$E$6+Parameter!$E$7)-(AJ173-AF173))/AF173)))</f>
        <v>1</v>
      </c>
      <c r="AL173" s="57" t="n">
        <f aca="false">IF(LEFT(Cockpit!$I$5,1)="A",G173,IF(BW173=1,BX173,IF(LEFT(Cockpit!$I$5,1)="B",AP173,MAX(AP173,G173))))</f>
        <v>244</v>
      </c>
      <c r="AM173" s="57" t="n">
        <f aca="false">IF(BR173=1,0,ROUNDUP(AL173/BQ173,0))</f>
        <v>2</v>
      </c>
      <c r="AN173" s="59" t="n">
        <f aca="false">IF(CD173&gt;0,CD173*MAX(1,AL173/V173),IF(BR173=1,IF(AL173&lt;=0,0,BS173*MAX(1,IF(G173&gt;0,AL173/G173,1))),IF(Q173&gt;0,AM173/Q173,0))/MAX(0.1,N(Parameter!$M$21)))</f>
        <v>0.0769230769230769</v>
      </c>
      <c r="AO173" s="57" t="n">
        <f aca="false">AL173*F173</f>
        <v>2796.24</v>
      </c>
      <c r="AP173" s="57" t="n">
        <f aca="false">ROUNDUP(MAX(I173/IF(BV173&gt;0,BV173,MAX(0.1,N(Cockpit!$I$6))),BY173)/BQ173,0)*BQ173</f>
        <v>244</v>
      </c>
      <c r="AQ173" s="58" t="n">
        <f aca="false">IF(AN173&gt;0,I173/AN173,-1)</f>
        <v>1976</v>
      </c>
      <c r="AR173" s="58" t="n">
        <f aca="false">IF(AND(OR(BU173="L1",BU173="L23"),AN173&gt;0),SUMIFS($AN$7:$AN$1576,$BU$7:$BU$1576,BU173,$AQ$7:$AQ$1576,"&gt;"&amp;AQ173)+SUMIFS($AN$7:$AN$1576,$BU$7:$BU$1576,BU173,$AQ$7:$AQ$1576,AQ173,$BO$7:$BO$1576,"&lt;="&amp;BO173),"")</f>
        <v>17.3600455707089</v>
      </c>
      <c r="AS173" s="65" t="n">
        <f aca="false">IF(AR173="",0,MAX(0,MIN(1,(IF(BU173="L1",Parameter!$E$5,Parameter!$E$6+Parameter!$E$7)-(AR173-AN173))/AN173)))</f>
        <v>1</v>
      </c>
      <c r="AT173" s="57" t="n">
        <f aca="false">IF(LEFT(Cockpit!$O$5,1)="A",G173,IF(BW173=1,BX173,IF(LEFT(Cockpit!$O$5,1)="B",AX173,MAX(AX173,G173))))</f>
        <v>244</v>
      </c>
      <c r="AU173" s="57" t="n">
        <f aca="false">IF(BR173=1,0,ROUNDUP(AT173/BQ173,0))</f>
        <v>2</v>
      </c>
      <c r="AV173" s="59" t="n">
        <f aca="false">IF(CD173&gt;0,CD173*MAX(1,AT173/V173),IF(BR173=1,IF(AT173&lt;=0,0,BS173*MAX(1,IF(G173&gt;0,AT173/G173,1))),IF(Q173&gt;0,AU173/Q173,0))/MAX(0.1,N(Parameter!$M$21)))</f>
        <v>0.0769230769230769</v>
      </c>
      <c r="AW173" s="57" t="n">
        <f aca="false">AT173*F173</f>
        <v>2796.24</v>
      </c>
      <c r="AX173" s="57" t="n">
        <f aca="false">ROUNDUP(MAX(I173/IF(BV173&gt;0,BV173,MAX(0.1,N(Cockpit!$O$6))),BY173)/BQ173,0)*BQ173</f>
        <v>244</v>
      </c>
      <c r="AY173" s="58" t="n">
        <f aca="false">IF(AV173&gt;0,I173/AV173,-1)</f>
        <v>1976</v>
      </c>
      <c r="AZ173" s="58" t="n">
        <f aca="false">IF(AND(OR(BU173="L1",BU173="L23"),AV173&gt;0),SUMIFS($AV$7:$AV$1576,$BU$7:$BU$1576,BU173,$AY$7:$AY$1576,"&gt;"&amp;AY173)+SUMIFS($AV$7:$AV$1576,$BU$7:$BU$1576,BU173,$AY$7:$AY$1576,AY173,$BO$7:$BO$1576,"&lt;="&amp;BO173),"")</f>
        <v>16.0873182979816</v>
      </c>
      <c r="BA173" s="65" t="n">
        <f aca="false">IF(AZ173="",0,MAX(0,MIN(1,(IF(BU173="L1",Parameter!$E$5,Parameter!$E$6+Parameter!$E$7)-(AZ173-AV173))/AV173)))</f>
        <v>1</v>
      </c>
      <c r="BB173" s="55" t="str">
        <f aca="false">IF(AF173&lt;=0,"",IF(BU173="Aussen","Aussenlager",IF(BU173="-","Nicht im Lift",IF(AK173&gt;=1,"Lift",IF(AK173&lt;=0,"Aussenlager","teilweise")))))</f>
        <v>Lift</v>
      </c>
      <c r="BC173" s="55" t="str">
        <f aca="false">IF(AN173&lt;=0,"",IF(BU173="Aussen","Aussenlager",IF(BU173="-","Nicht im Lift",IF(AS173&gt;=1,"Lift",IF(AS173&lt;=0,"Aussenlager","teilweise")))))</f>
        <v>Lift</v>
      </c>
      <c r="BD173" s="55" t="str">
        <f aca="false">IF(AV173&lt;=0,"",IF(BU173="Aussen","Aussenlager",IF(BU173="-","Nicht im Lift",IF(BA173&gt;=1,"Lift",IF(BA173&lt;=0,"Aussenlager","teilweise")))))</f>
        <v>Lift</v>
      </c>
      <c r="BE173" s="55" t="str">
        <f aca="false">IF(A173="","",IF(BN173=1,"Neu; ","")&amp;IF(AND(BN173=0,BI173&lt;0),"negativer Bestand (Export "&amp;BI173&amp;"); ","")&amp;IF(I173&lt;=0,"Kein Verbrauch; ","")&amp;IF(CD173&gt;0,"Lift "&amp;U173&amp;" lt. Liftbericht (Fach "&amp;V173&amp;" Stk); ",IF(BR173=1,"Lose – Fläche geschätzt; ",""))&amp;IF(G173&gt;AP173,"Überbestand "&amp;ROUND(G173-AP173,0)&amp;" Stk / CHF "&amp;ROUND((G173-AP173)*F173,0)&amp;"; ","")&amp;IF(AND(BW173=1,BX173&lt;BY173),"MAX &lt; MB+LG; ","")&amp;IF(AND(CC173&gt;0,CB173*10&gt;CC173),"zu hoch für Tablar; ","")&amp;IF(AND(BN173=0,OR(BW173=1,Y173&lt;&gt;"",S173&lt;&gt;"",T173&lt;&gt;"",Z173&lt;&gt;"")),"manuell übersteuert; ","")&amp;IF(AND(BR173=0,Q173=0),"Gebinde unbekannt / Stellmass fehlt; ","")&amp;IF(AND(BR173=0,N(T173)&lt;=0,N(P173)&lt;=0),"Menge pro Gebinde fehlt (Ist = 1 Gebinde); ","")&amp;BM173)</f>
        <v/>
      </c>
      <c r="BF173" s="55"/>
      <c r="BG173" s="55"/>
      <c r="BH173" s="62"/>
      <c r="BI173" s="57" t="n">
        <v>84</v>
      </c>
      <c r="BJ173" s="57" t="n">
        <v>88</v>
      </c>
      <c r="BK173" s="56" t="n">
        <v>1092</v>
      </c>
      <c r="BL173" s="57" t="n">
        <v>152</v>
      </c>
      <c r="BM173" s="55"/>
      <c r="BN173" s="60" t="n">
        <v>0</v>
      </c>
      <c r="BO173" s="60" t="n">
        <v>173</v>
      </c>
      <c r="BP173" s="55" t="str">
        <f aca="false">IF(S173&lt;&gt;"",UPPER(TRIM(S173)),IF(O173="","LOSE",O173))</f>
        <v>S51</v>
      </c>
      <c r="BQ173" s="57" t="n">
        <f aca="false">IF(BP173="LOSE",1,IF(N(T173)&gt;0,T173,IF(N(P173)&gt;0,P173,MAX(1,G173))))</f>
        <v>122</v>
      </c>
      <c r="BR173" s="60" t="n">
        <f aca="false">IF(BP173="LOSE",1,0)</f>
        <v>0</v>
      </c>
      <c r="BS173" s="59" t="n">
        <f aca="false">IF(BR173=0,0,IF(N(R173)&gt;0,R173,IFERROR(VLOOKUP(D173,Parameter!$A$35:$C$64,3,0)+0,0)))</f>
        <v>0</v>
      </c>
      <c r="BT173" s="55" t="n">
        <f aca="false">IF(Y173&lt;&gt;"",Y173,X173)</f>
        <v>3</v>
      </c>
      <c r="BU173" s="55" t="str">
        <f aca="false">IF(BT173=1,"L1",IF(OR(BT173=2,BT173=3),"L23",IF(BT173="Aussen","Aussen","-")))</f>
        <v>L23</v>
      </c>
      <c r="BV173" s="66" t="n">
        <f aca="false">IF(N(Z173)&gt;0,Z173,0)</f>
        <v>0</v>
      </c>
      <c r="BW173" s="60" t="n">
        <f aca="false">IF(ISNUMBER(AC173),1,0)</f>
        <v>0</v>
      </c>
      <c r="BX173" s="57" t="n">
        <f aca="false">N(AC173)</f>
        <v>0</v>
      </c>
      <c r="BY173" s="57" t="n">
        <f aca="false">N(L173)+N(M173)</f>
        <v>167</v>
      </c>
      <c r="BZ173" s="57" t="n">
        <f aca="false">ROUNDUP(G173/BQ173,0)</f>
        <v>1</v>
      </c>
      <c r="CA173" s="57" t="n">
        <f aca="false">ROUNDUP(BX173/BQ173,0)</f>
        <v>0</v>
      </c>
      <c r="CB173" s="60" t="n">
        <f aca="false">IF(BR173=1,0,IFERROR(VLOOKUP(BP173,'Gebinde-Kategorie'!$A$5:$M$45,5,0)+0,0))</f>
        <v>11</v>
      </c>
      <c r="CC173" s="60" t="n">
        <f aca="false">IFERROR(IF(OR(BT173=1,BT173=2,BT173=3),N(INDEX(Parameter!$I$5:$I$7,BT173)),0),0)</f>
        <v>0</v>
      </c>
      <c r="CD173" s="59" t="n">
        <f aca="false">IF(AND(Parameter!$B$21="Ja",ISNUMBER(U173),N(V173)&gt;0),IFERROR(N(INDEX(Parameter!$L$5:$L$7,U173))*INDEX(Parameter!$E$5:$E$7,U173)*V173/SUMIFS($V$7:$V$1576,$U$7:$U$1576,U173),0),0)</f>
        <v>0</v>
      </c>
    </row>
    <row r="174" customFormat="false" ht="15" hidden="false" customHeight="false" outlineLevel="0" collapsed="false">
      <c r="A174" s="55" t="s">
        <v>543</v>
      </c>
      <c r="B174" s="55" t="s">
        <v>544</v>
      </c>
      <c r="C174" s="55" t="s">
        <v>160</v>
      </c>
      <c r="D174" s="55" t="s">
        <v>168</v>
      </c>
      <c r="E174" s="55" t="s">
        <v>210</v>
      </c>
      <c r="F174" s="56" t="n">
        <v>533.7</v>
      </c>
      <c r="G174" s="57" t="n">
        <f aca="false">MAX(0,IF(AND(Parameter!$B$21="Ja",ISNUMBER(W174)),W174,IF(Parameter!$B$20="Jahresanfang 2025 + Export",BJ174+BI174,BI174)))</f>
        <v>2</v>
      </c>
      <c r="H174" s="57" t="n">
        <f aca="false">G174*F174</f>
        <v>1067.4</v>
      </c>
      <c r="I174" s="57" t="n">
        <f aca="false">BL174*Parameter!$B$18</f>
        <v>0</v>
      </c>
      <c r="J174" s="58" t="n">
        <v>0</v>
      </c>
      <c r="K174" s="59" t="n">
        <v>0</v>
      </c>
      <c r="L174" s="57" t="n">
        <v>0</v>
      </c>
      <c r="M174" s="57" t="n">
        <v>1</v>
      </c>
      <c r="N174" s="60" t="n">
        <v>28</v>
      </c>
      <c r="O174" s="55" t="s">
        <v>163</v>
      </c>
      <c r="P174" s="57"/>
      <c r="Q174" s="60" t="n">
        <f aca="false">IF(BR174=1,0,IFERROR(VLOOKUP(BP174,'Gebinde-Kategorie'!$A$5:$M$45,13,0)+0,0))</f>
        <v>0</v>
      </c>
      <c r="R174" s="61"/>
      <c r="S174" s="62"/>
      <c r="T174" s="62"/>
      <c r="U174" s="55"/>
      <c r="V174" s="57"/>
      <c r="W174" s="57"/>
      <c r="X174" s="55" t="n">
        <f aca="false">IF(A174="","",IF(AND(Parameter!$B$21="Ja",ISNUMBER(U174)),U174,IF(IFERROR(VLOOKUP(D174,Parameter!$A$35:$C$64,2,0),"Nein")="2+3",IF(ISNUMBER(SEARCH("grosser Artikel",BM174)),2,IFERROR(VLOOKUP(BP174,Parameter!$F$35:$G$64,2,0),2)),IF(OR(IFERROR(VLOOKUP(D174,Parameter!$A$35:$C$64,2,0),"Nein")="Nein",IFERROR(VLOOKUP(D174,Parameter!$A$35:$C$64,2,0),"Nein")=""),"-",VLOOKUP(D174,Parameter!$A$35:$C$64,2,0)))))</f>
        <v>2</v>
      </c>
      <c r="Y174" s="62"/>
      <c r="Z174" s="63"/>
      <c r="AA174" s="57" t="n">
        <f aca="false">AP174</f>
        <v>1</v>
      </c>
      <c r="AB174" s="57" t="n">
        <f aca="false">MAX(AP174,G174)</f>
        <v>2</v>
      </c>
      <c r="AC174" s="64"/>
      <c r="AD174" s="57" t="n">
        <f aca="false">IF(LEFT(Cockpit!$C$5,1)="A",G174,IF(BW174=1,BX174,IF(LEFT(Cockpit!$C$5,1)="B",AH174,MAX(AH174,G174))))</f>
        <v>2</v>
      </c>
      <c r="AE174" s="57" t="n">
        <f aca="false">IF(BR174=1,0,ROUNDUP(AD174/BQ174,0))</f>
        <v>0</v>
      </c>
      <c r="AF174" s="59" t="n">
        <f aca="false">IF(CD174&gt;0,CD174*MAX(1,AD174/V174),IF(BR174=1,IF(AD174&lt;=0,0,BS174*MAX(1,IF(G174&gt;0,AD174/G174,1))),IF(Q174&gt;0,AE174/Q174,0))/MAX(0.1,N(Parameter!$M$21)))</f>
        <v>0.15</v>
      </c>
      <c r="AG174" s="57" t="n">
        <f aca="false">AD174*F174</f>
        <v>1067.4</v>
      </c>
      <c r="AH174" s="57" t="n">
        <f aca="false">ROUNDUP(MAX(I174/IF(BV174&gt;0,BV174,MAX(0.1,N(Cockpit!$C$6))),BY174)/BQ174,0)*BQ174</f>
        <v>1</v>
      </c>
      <c r="AI174" s="58" t="n">
        <f aca="false">IF(AF174&gt;0,I174/AF174,-1)</f>
        <v>0</v>
      </c>
      <c r="AJ174" s="58" t="n">
        <f aca="false">IF(AND(OR(BU174="L1",BU174="L23"),AF174&gt;0),SUMIFS($AF$7:$AF$1576,$BU$7:$BU$1576,BU174,$AI$7:$AI$1576,"&gt;"&amp;AI174)+SUMIFS($AF$7:$AF$1576,$BU$7:$BU$1576,BU174,$AI$7:$AI$1576,AI174,$BO$7:$BO$1576,"&lt;="&amp;BO174),"")</f>
        <v>39.2136073105638</v>
      </c>
      <c r="AK174" s="65" t="n">
        <f aca="false">IF(AJ174="",0,MAX(0,MIN(1,(IF(BU174="L1",Parameter!$E$5,Parameter!$E$6+Parameter!$E$7)-(AJ174-AF174))/AF174)))</f>
        <v>1</v>
      </c>
      <c r="AL174" s="57" t="n">
        <f aca="false">IF(LEFT(Cockpit!$I$5,1)="A",G174,IF(BW174=1,BX174,IF(LEFT(Cockpit!$I$5,1)="B",AP174,MAX(AP174,G174))))</f>
        <v>2</v>
      </c>
      <c r="AM174" s="57" t="n">
        <f aca="false">IF(BR174=1,0,ROUNDUP(AL174/BQ174,0))</f>
        <v>0</v>
      </c>
      <c r="AN174" s="59" t="n">
        <f aca="false">IF(CD174&gt;0,CD174*MAX(1,AL174/V174),IF(BR174=1,IF(AL174&lt;=0,0,BS174*MAX(1,IF(G174&gt;0,AL174/G174,1))),IF(Q174&gt;0,AM174/Q174,0))/MAX(0.1,N(Parameter!$M$21)))</f>
        <v>0.15</v>
      </c>
      <c r="AO174" s="57" t="n">
        <f aca="false">AL174*F174</f>
        <v>1067.4</v>
      </c>
      <c r="AP174" s="57" t="n">
        <f aca="false">ROUNDUP(MAX(I174/IF(BV174&gt;0,BV174,MAX(0.1,N(Cockpit!$I$6))),BY174)/BQ174,0)*BQ174</f>
        <v>1</v>
      </c>
      <c r="AQ174" s="58" t="n">
        <f aca="false">IF(AN174&gt;0,I174/AN174,-1)</f>
        <v>0</v>
      </c>
      <c r="AR174" s="58" t="n">
        <f aca="false">IF(AND(OR(BU174="L1",BU174="L23"),AN174&gt;0),SUMIFS($AN$7:$AN$1576,$BU$7:$BU$1576,BU174,$AQ$7:$AQ$1576,"&gt;"&amp;AQ174)+SUMIFS($AN$7:$AN$1576,$BU$7:$BU$1576,BU174,$AQ$7:$AQ$1576,AQ174,$BO$7:$BO$1576,"&lt;="&amp;BO174),"")</f>
        <v>122.087813060353</v>
      </c>
      <c r="AS174" s="65" t="n">
        <f aca="false">IF(AR174="",0,MAX(0,MIN(1,(IF(BU174="L1",Parameter!$E$5,Parameter!$E$6+Parameter!$E$7)-(AR174-AN174))/AN174)))</f>
        <v>0</v>
      </c>
      <c r="AT174" s="57" t="n">
        <f aca="false">IF(LEFT(Cockpit!$O$5,1)="A",G174,IF(BW174=1,BX174,IF(LEFT(Cockpit!$O$5,1)="B",AX174,MAX(AX174,G174))))</f>
        <v>2</v>
      </c>
      <c r="AU174" s="57" t="n">
        <f aca="false">IF(BR174=1,0,ROUNDUP(AT174/BQ174,0))</f>
        <v>0</v>
      </c>
      <c r="AV174" s="59" t="n">
        <f aca="false">IF(CD174&gt;0,CD174*MAX(1,AT174/V174),IF(BR174=1,IF(AT174&lt;=0,0,BS174*MAX(1,IF(G174&gt;0,AT174/G174,1))),IF(Q174&gt;0,AU174/Q174,0))/MAX(0.1,N(Parameter!$M$21)))</f>
        <v>0.15</v>
      </c>
      <c r="AW174" s="57" t="n">
        <f aca="false">AT174*F174</f>
        <v>1067.4</v>
      </c>
      <c r="AX174" s="57" t="n">
        <f aca="false">ROUNDUP(MAX(I174/IF(BV174&gt;0,BV174,MAX(0.1,N(Cockpit!$O$6))),BY174)/BQ174,0)*BQ174</f>
        <v>1</v>
      </c>
      <c r="AY174" s="58" t="n">
        <f aca="false">IF(AV174&gt;0,I174/AV174,-1)</f>
        <v>0</v>
      </c>
      <c r="AZ174" s="58" t="n">
        <f aca="false">IF(AND(OR(BU174="L1",BU174="L23"),AV174&gt;0),SUMIFS($AV$7:$AV$1576,$BU$7:$BU$1576,BU174,$AY$7:$AY$1576,"&gt;"&amp;AY174)+SUMIFS($AV$7:$AV$1576,$BU$7:$BU$1576,BU174,$AY$7:$AY$1576,AY174,$BO$7:$BO$1576,"&lt;="&amp;BO174),"")</f>
        <v>112.147363509904</v>
      </c>
      <c r="BA174" s="65" t="n">
        <f aca="false">IF(AZ174="",0,MAX(0,MIN(1,(IF(BU174="L1",Parameter!$E$5,Parameter!$E$6+Parameter!$E$7)-(AZ174-AV174))/AV174)))</f>
        <v>0</v>
      </c>
      <c r="BB174" s="55" t="str">
        <f aca="false">IF(AF174&lt;=0,"",IF(BU174="Aussen","Aussenlager",IF(BU174="-","Nicht im Lift",IF(AK174&gt;=1,"Lift",IF(AK174&lt;=0,"Aussenlager","teilweise")))))</f>
        <v>Lift</v>
      </c>
      <c r="BC174" s="55" t="str">
        <f aca="false">IF(AN174&lt;=0,"",IF(BU174="Aussen","Aussenlager",IF(BU174="-","Nicht im Lift",IF(AS174&gt;=1,"Lift",IF(AS174&lt;=0,"Aussenlager","teilweise")))))</f>
        <v>Aussenlager</v>
      </c>
      <c r="BD174" s="55" t="str">
        <f aca="false">IF(AV174&lt;=0,"",IF(BU174="Aussen","Aussenlager",IF(BU174="-","Nicht im Lift",IF(BA174&gt;=1,"Lift",IF(BA174&lt;=0,"Aussenlager","teilweise")))))</f>
        <v>Aussenlager</v>
      </c>
      <c r="BE174" s="55" t="str">
        <f aca="false">IF(A174="","",IF(BN174=1,"Neu; ","")&amp;IF(AND(BN174=0,BI174&lt;0),"negativer Bestand (Export "&amp;BI174&amp;"); ","")&amp;IF(I174&lt;=0,"Kein Verbrauch; ","")&amp;IF(CD174&gt;0,"Lift "&amp;U174&amp;" lt. Liftbericht (Fach "&amp;V174&amp;" Stk); ",IF(BR174=1,"Lose – Fläche geschätzt; ",""))&amp;IF(G174&gt;AP174,"Überbestand "&amp;ROUND(G174-AP174,0)&amp;" Stk / CHF "&amp;ROUND((G174-AP174)*F174,0)&amp;"; ","")&amp;IF(AND(BW174=1,BX174&lt;BY174),"MAX &lt; MB+LG; ","")&amp;IF(AND(CC174&gt;0,CB174*10&gt;CC174),"zu hoch für Tablar; ","")&amp;IF(AND(BN174=0,OR(BW174=1,Y174&lt;&gt;"",S174&lt;&gt;"",T174&lt;&gt;"",Z174&lt;&gt;"")),"manuell übersteuert; ","")&amp;IF(AND(BR174=0,Q174=0),"Gebinde unbekannt / Stellmass fehlt; ","")&amp;IF(AND(BR174=0,N(T174)&lt;=0,N(P174)&lt;=0),"Menge pro Gebinde fehlt (Ist = 1 Gebinde); ","")&amp;BM174)</f>
        <v>Kein Verbrauch; Lose – Fläche geschätzt; Überbestand 1 Stk / CHF 534; </v>
      </c>
      <c r="BF174" s="55"/>
      <c r="BG174" s="55"/>
      <c r="BH174" s="62"/>
      <c r="BI174" s="57" t="n">
        <v>2</v>
      </c>
      <c r="BJ174" s="57" t="n">
        <v>0</v>
      </c>
      <c r="BK174" s="56" t="n">
        <v>1067.4</v>
      </c>
      <c r="BL174" s="57" t="n">
        <v>0</v>
      </c>
      <c r="BM174" s="55"/>
      <c r="BN174" s="60" t="n">
        <v>0</v>
      </c>
      <c r="BO174" s="60" t="n">
        <v>174</v>
      </c>
      <c r="BP174" s="55" t="str">
        <f aca="false">IF(S174&lt;&gt;"",UPPER(TRIM(S174)),IF(O174="","LOSE",O174))</f>
        <v>LOSE</v>
      </c>
      <c r="BQ174" s="57" t="n">
        <f aca="false">IF(BP174="LOSE",1,IF(N(T174)&gt;0,T174,IF(N(P174)&gt;0,P174,MAX(1,G174))))</f>
        <v>1</v>
      </c>
      <c r="BR174" s="60" t="n">
        <f aca="false">IF(BP174="LOSE",1,0)</f>
        <v>1</v>
      </c>
      <c r="BS174" s="59" t="n">
        <f aca="false">IF(BR174=0,0,IF(N(R174)&gt;0,R174,IFERROR(VLOOKUP(D174,Parameter!$A$35:$C$64,3,0)+0,0)))</f>
        <v>0.15</v>
      </c>
      <c r="BT174" s="55" t="n">
        <f aca="false">IF(Y174&lt;&gt;"",Y174,X174)</f>
        <v>2</v>
      </c>
      <c r="BU174" s="55" t="str">
        <f aca="false">IF(BT174=1,"L1",IF(OR(BT174=2,BT174=3),"L23",IF(BT174="Aussen","Aussen","-")))</f>
        <v>L23</v>
      </c>
      <c r="BV174" s="66" t="n">
        <f aca="false">IF(N(Z174)&gt;0,Z174,0)</f>
        <v>0</v>
      </c>
      <c r="BW174" s="60" t="n">
        <f aca="false">IF(ISNUMBER(AC174),1,0)</f>
        <v>0</v>
      </c>
      <c r="BX174" s="57" t="n">
        <f aca="false">N(AC174)</f>
        <v>0</v>
      </c>
      <c r="BY174" s="57" t="n">
        <f aca="false">N(L174)+N(M174)</f>
        <v>1</v>
      </c>
      <c r="BZ174" s="57" t="n">
        <f aca="false">ROUNDUP(G174/BQ174,0)</f>
        <v>2</v>
      </c>
      <c r="CA174" s="57" t="n">
        <f aca="false">ROUNDUP(BX174/BQ174,0)</f>
        <v>0</v>
      </c>
      <c r="CB174" s="60" t="n">
        <f aca="false">IF(BR174=1,0,IFERROR(VLOOKUP(BP174,'Gebinde-Kategorie'!$A$5:$M$45,5,0)+0,0))</f>
        <v>0</v>
      </c>
      <c r="CC174" s="60" t="n">
        <f aca="false">IFERROR(IF(OR(BT174=1,BT174=2,BT174=3),N(INDEX(Parameter!$I$5:$I$7,BT174)),0),0)</f>
        <v>0</v>
      </c>
      <c r="CD174" s="59" t="n">
        <f aca="false">IF(AND(Parameter!$B$21="Ja",ISNUMBER(U174),N(V174)&gt;0),IFERROR(N(INDEX(Parameter!$L$5:$L$7,U174))*INDEX(Parameter!$E$5:$E$7,U174)*V174/SUMIFS($V$7:$V$1576,$U$7:$U$1576,U174),0),0)</f>
        <v>0</v>
      </c>
    </row>
    <row r="175" customFormat="false" ht="15" hidden="false" customHeight="false" outlineLevel="0" collapsed="false">
      <c r="A175" s="55" t="s">
        <v>545</v>
      </c>
      <c r="B175" s="55" t="s">
        <v>546</v>
      </c>
      <c r="C175" s="55" t="s">
        <v>160</v>
      </c>
      <c r="D175" s="55" t="s">
        <v>178</v>
      </c>
      <c r="E175" s="55" t="s">
        <v>210</v>
      </c>
      <c r="F175" s="56" t="n">
        <v>9.07</v>
      </c>
      <c r="G175" s="57" t="n">
        <f aca="false">MAX(0,IF(AND(Parameter!$B$21="Ja",ISNUMBER(W175)),W175,IF(Parameter!$B$20="Jahresanfang 2025 + Export",BJ175+BI175,BI175)))</f>
        <v>116</v>
      </c>
      <c r="H175" s="57" t="n">
        <f aca="false">G175*F175</f>
        <v>1052.12</v>
      </c>
      <c r="I175" s="57" t="n">
        <f aca="false">BL175*Parameter!$B$18</f>
        <v>178</v>
      </c>
      <c r="J175" s="58" t="n">
        <v>76.5</v>
      </c>
      <c r="K175" s="59" t="n">
        <v>2.32679738562092</v>
      </c>
      <c r="L175" s="57" t="n">
        <v>13</v>
      </c>
      <c r="M175" s="57" t="n">
        <v>180</v>
      </c>
      <c r="N175" s="60" t="n">
        <v>28</v>
      </c>
      <c r="O175" s="55" t="s">
        <v>179</v>
      </c>
      <c r="P175" s="57" t="n">
        <v>90</v>
      </c>
      <c r="Q175" s="60" t="n">
        <f aca="false">IF(BR175=1,0,IFERROR(VLOOKUP(BP175,'Gebinde-Kategorie'!$A$5:$M$45,13,0)+0,0))</f>
        <v>12</v>
      </c>
      <c r="R175" s="61"/>
      <c r="S175" s="62"/>
      <c r="T175" s="62"/>
      <c r="U175" s="55"/>
      <c r="V175" s="57"/>
      <c r="W175" s="57"/>
      <c r="X175" s="55" t="n">
        <f aca="false">IF(A175="","",IF(AND(Parameter!$B$21="Ja",ISNUMBER(U175)),U175,IF(IFERROR(VLOOKUP(D175,Parameter!$A$35:$C$64,2,0),"Nein")="2+3",IF(ISNUMBER(SEARCH("grosser Artikel",BM175)),2,IFERROR(VLOOKUP(BP175,Parameter!$F$35:$G$64,2,0),2)),IF(OR(IFERROR(VLOOKUP(D175,Parameter!$A$35:$C$64,2,0),"Nein")="Nein",IFERROR(VLOOKUP(D175,Parameter!$A$35:$C$64,2,0),"Nein")=""),"-",VLOOKUP(D175,Parameter!$A$35:$C$64,2,0)))))</f>
        <v>2</v>
      </c>
      <c r="Y175" s="62"/>
      <c r="Z175" s="63"/>
      <c r="AA175" s="57" t="n">
        <f aca="false">AP175</f>
        <v>270</v>
      </c>
      <c r="AB175" s="57" t="n">
        <f aca="false">MAX(AP175,G175)</f>
        <v>270</v>
      </c>
      <c r="AC175" s="64"/>
      <c r="AD175" s="57" t="n">
        <f aca="false">IF(LEFT(Cockpit!$C$5,1)="A",G175,IF(BW175=1,BX175,IF(LEFT(Cockpit!$C$5,1)="B",AH175,MAX(AH175,G175))))</f>
        <v>116</v>
      </c>
      <c r="AE175" s="57" t="n">
        <f aca="false">IF(BR175=1,0,ROUNDUP(AD175/BQ175,0))</f>
        <v>2</v>
      </c>
      <c r="AF175" s="59" t="n">
        <f aca="false">IF(CD175&gt;0,CD175*MAX(1,AD175/V175),IF(BR175=1,IF(AD175&lt;=0,0,BS175*MAX(1,IF(G175&gt;0,AD175/G175,1))),IF(Q175&gt;0,AE175/Q175,0))/MAX(0.1,N(Parameter!$M$21)))</f>
        <v>0.166666666666667</v>
      </c>
      <c r="AG175" s="57" t="n">
        <f aca="false">AD175*F175</f>
        <v>1052.12</v>
      </c>
      <c r="AH175" s="57" t="n">
        <f aca="false">ROUNDUP(MAX(I175/IF(BV175&gt;0,BV175,MAX(0.1,N(Cockpit!$C$6))),BY175)/BQ175,0)*BQ175</f>
        <v>270</v>
      </c>
      <c r="AI175" s="58" t="n">
        <f aca="false">IF(AF175&gt;0,I175/AF175,-1)</f>
        <v>1068</v>
      </c>
      <c r="AJ175" s="58" t="n">
        <f aca="false">IF(AND(OR(BU175="L1",BU175="L23"),AF175&gt;0),SUMIFS($AF$7:$AF$1576,$BU$7:$BU$1576,BU175,$AI$7:$AI$1576,"&gt;"&amp;AI175)+SUMIFS($AF$7:$AF$1576,$BU$7:$BU$1576,BU175,$AI$7:$AI$1576,AI175,$BO$7:$BO$1576,"&lt;="&amp;BO175),"")</f>
        <v>8.73001722914766</v>
      </c>
      <c r="AK175" s="65" t="n">
        <f aca="false">IF(AJ175="",0,MAX(0,MIN(1,(IF(BU175="L1",Parameter!$E$5,Parameter!$E$6+Parameter!$E$7)-(AJ175-AF175))/AF175)))</f>
        <v>1</v>
      </c>
      <c r="AL175" s="57" t="n">
        <f aca="false">IF(LEFT(Cockpit!$I$5,1)="A",G175,IF(BW175=1,BX175,IF(LEFT(Cockpit!$I$5,1)="B",AP175,MAX(AP175,G175))))</f>
        <v>270</v>
      </c>
      <c r="AM175" s="57" t="n">
        <f aca="false">IF(BR175=1,0,ROUNDUP(AL175/BQ175,0))</f>
        <v>3</v>
      </c>
      <c r="AN175" s="59" t="n">
        <f aca="false">IF(CD175&gt;0,CD175*MAX(1,AL175/V175),IF(BR175=1,IF(AL175&lt;=0,0,BS175*MAX(1,IF(G175&gt;0,AL175/G175,1))),IF(Q175&gt;0,AM175/Q175,0))/MAX(0.1,N(Parameter!$M$21)))</f>
        <v>0.25</v>
      </c>
      <c r="AO175" s="57" t="n">
        <f aca="false">AL175*F175</f>
        <v>2448.9</v>
      </c>
      <c r="AP175" s="57" t="n">
        <f aca="false">ROUNDUP(MAX(I175/IF(BV175&gt;0,BV175,MAX(0.1,N(Cockpit!$I$6))),BY175)/BQ175,0)*BQ175</f>
        <v>270</v>
      </c>
      <c r="AQ175" s="58" t="n">
        <f aca="false">IF(AN175&gt;0,I175/AN175,-1)</f>
        <v>712</v>
      </c>
      <c r="AR175" s="58" t="n">
        <f aca="false">IF(AND(OR(BU175="L1",BU175="L23"),AN175&gt;0),SUMIFS($AN$7:$AN$1576,$BU$7:$BU$1576,BU175,$AQ$7:$AQ$1576,"&gt;"&amp;AQ175)+SUMIFS($AN$7:$AN$1576,$BU$7:$BU$1576,BU175,$AQ$7:$AQ$1576,AQ175,$BO$7:$BO$1576,"&lt;="&amp;BO175),"")</f>
        <v>28.1322512394363</v>
      </c>
      <c r="AS175" s="65" t="n">
        <f aca="false">IF(AR175="",0,MAX(0,MIN(1,(IF(BU175="L1",Parameter!$E$5,Parameter!$E$6+Parameter!$E$7)-(AR175-AN175))/AN175)))</f>
        <v>1</v>
      </c>
      <c r="AT175" s="57" t="n">
        <f aca="false">IF(LEFT(Cockpit!$O$5,1)="A",G175,IF(BW175=1,BX175,IF(LEFT(Cockpit!$O$5,1)="B",AX175,MAX(AX175,G175))))</f>
        <v>270</v>
      </c>
      <c r="AU175" s="57" t="n">
        <f aca="false">IF(BR175=1,0,ROUNDUP(AT175/BQ175,0))</f>
        <v>3</v>
      </c>
      <c r="AV175" s="59" t="n">
        <f aca="false">IF(CD175&gt;0,CD175*MAX(1,AT175/V175),IF(BR175=1,IF(AT175&lt;=0,0,BS175*MAX(1,IF(G175&gt;0,AT175/G175,1))),IF(Q175&gt;0,AU175/Q175,0))/MAX(0.1,N(Parameter!$M$21)))</f>
        <v>0.25</v>
      </c>
      <c r="AW175" s="57" t="n">
        <f aca="false">AT175*F175</f>
        <v>2448.9</v>
      </c>
      <c r="AX175" s="57" t="n">
        <f aca="false">ROUNDUP(MAX(I175/IF(BV175&gt;0,BV175,MAX(0.1,N(Cockpit!$O$6))),BY175)/BQ175,0)*BQ175</f>
        <v>270</v>
      </c>
      <c r="AY175" s="58" t="n">
        <f aca="false">IF(AV175&gt;0,I175/AV175,-1)</f>
        <v>712</v>
      </c>
      <c r="AZ175" s="58" t="n">
        <f aca="false">IF(AND(OR(BU175="L1",BU175="L23"),AV175&gt;0),SUMIFS($AV$7:$AV$1576,$BU$7:$BU$1576,BU175,$AY$7:$AY$1576,"&gt;"&amp;AY175)+SUMIFS($AV$7:$AV$1576,$BU$7:$BU$1576,BU175,$AY$7:$AY$1576,AY175,$BO$7:$BO$1576,"&lt;="&amp;BO175),"")</f>
        <v>28.1159342231193</v>
      </c>
      <c r="BA175" s="65" t="n">
        <f aca="false">IF(AZ175="",0,MAX(0,MIN(1,(IF(BU175="L1",Parameter!$E$5,Parameter!$E$6+Parameter!$E$7)-(AZ175-AV175))/AV175)))</f>
        <v>1</v>
      </c>
      <c r="BB175" s="55" t="str">
        <f aca="false">IF(AF175&lt;=0,"",IF(BU175="Aussen","Aussenlager",IF(BU175="-","Nicht im Lift",IF(AK175&gt;=1,"Lift",IF(AK175&lt;=0,"Aussenlager","teilweise")))))</f>
        <v>Lift</v>
      </c>
      <c r="BC175" s="55" t="str">
        <f aca="false">IF(AN175&lt;=0,"",IF(BU175="Aussen","Aussenlager",IF(BU175="-","Nicht im Lift",IF(AS175&gt;=1,"Lift",IF(AS175&lt;=0,"Aussenlager","teilweise")))))</f>
        <v>Lift</v>
      </c>
      <c r="BD175" s="55" t="str">
        <f aca="false">IF(AV175&lt;=0,"",IF(BU175="Aussen","Aussenlager",IF(BU175="-","Nicht im Lift",IF(BA175&gt;=1,"Lift",IF(BA175&lt;=0,"Aussenlager","teilweise")))))</f>
        <v>Lift</v>
      </c>
      <c r="BE175" s="55" t="str">
        <f aca="false">IF(A175="","",IF(BN175=1,"Neu; ","")&amp;IF(AND(BN175=0,BI175&lt;0),"negativer Bestand (Export "&amp;BI175&amp;"); ","")&amp;IF(I175&lt;=0,"Kein Verbrauch; ","")&amp;IF(CD175&gt;0,"Lift "&amp;U175&amp;" lt. Liftbericht (Fach "&amp;V175&amp;" Stk); ",IF(BR175=1,"Lose – Fläche geschätzt; ",""))&amp;IF(G175&gt;AP175,"Überbestand "&amp;ROUND(G175-AP175,0)&amp;" Stk / CHF "&amp;ROUND((G175-AP175)*F175,0)&amp;"; ","")&amp;IF(AND(BW175=1,BX175&lt;BY175),"MAX &lt; MB+LG; ","")&amp;IF(AND(CC175&gt;0,CB175*10&gt;CC175),"zu hoch für Tablar; ","")&amp;IF(AND(BN175=0,OR(BW175=1,Y175&lt;&gt;"",S175&lt;&gt;"",T175&lt;&gt;"",Z175&lt;&gt;"")),"manuell übersteuert; ","")&amp;IF(AND(BR175=0,Q175=0),"Gebinde unbekannt / Stellmass fehlt; ","")&amp;IF(AND(BR175=0,N(T175)&lt;=0,N(P175)&lt;=0),"Menge pro Gebinde fehlt (Ist = 1 Gebinde); ","")&amp;BM175)</f>
        <v>nicht im KTL vorhanden</v>
      </c>
      <c r="BF175" s="55"/>
      <c r="BG175" s="55"/>
      <c r="BH175" s="62"/>
      <c r="BI175" s="57" t="n">
        <v>116</v>
      </c>
      <c r="BJ175" s="57" t="n">
        <v>91</v>
      </c>
      <c r="BK175" s="56" t="n">
        <v>1053.94</v>
      </c>
      <c r="BL175" s="57" t="n">
        <v>178</v>
      </c>
      <c r="BM175" s="55" t="s">
        <v>222</v>
      </c>
      <c r="BN175" s="60" t="n">
        <v>0</v>
      </c>
      <c r="BO175" s="60" t="n">
        <v>175</v>
      </c>
      <c r="BP175" s="55" t="str">
        <f aca="false">IF(S175&lt;&gt;"",UPPER(TRIM(S175)),IF(O175="","LOSE",O175))</f>
        <v>S61</v>
      </c>
      <c r="BQ175" s="57" t="n">
        <f aca="false">IF(BP175="LOSE",1,IF(N(T175)&gt;0,T175,IF(N(P175)&gt;0,P175,MAX(1,G175))))</f>
        <v>90</v>
      </c>
      <c r="BR175" s="60" t="n">
        <f aca="false">IF(BP175="LOSE",1,0)</f>
        <v>0</v>
      </c>
      <c r="BS175" s="59" t="n">
        <f aca="false">IF(BR175=0,0,IF(N(R175)&gt;0,R175,IFERROR(VLOOKUP(D175,Parameter!$A$35:$C$64,3,0)+0,0)))</f>
        <v>0</v>
      </c>
      <c r="BT175" s="55" t="n">
        <f aca="false">IF(Y175&lt;&gt;"",Y175,X175)</f>
        <v>2</v>
      </c>
      <c r="BU175" s="55" t="str">
        <f aca="false">IF(BT175=1,"L1",IF(OR(BT175=2,BT175=3),"L23",IF(BT175="Aussen","Aussen","-")))</f>
        <v>L23</v>
      </c>
      <c r="BV175" s="66" t="n">
        <f aca="false">IF(N(Z175)&gt;0,Z175,0)</f>
        <v>0</v>
      </c>
      <c r="BW175" s="60" t="n">
        <f aca="false">IF(ISNUMBER(AC175),1,0)</f>
        <v>0</v>
      </c>
      <c r="BX175" s="57" t="n">
        <f aca="false">N(AC175)</f>
        <v>0</v>
      </c>
      <c r="BY175" s="57" t="n">
        <f aca="false">N(L175)+N(M175)</f>
        <v>193</v>
      </c>
      <c r="BZ175" s="57" t="n">
        <f aca="false">ROUNDUP(G175/BQ175,0)</f>
        <v>2</v>
      </c>
      <c r="CA175" s="57" t="n">
        <f aca="false">ROUNDUP(BX175/BQ175,0)</f>
        <v>0</v>
      </c>
      <c r="CB175" s="60" t="n">
        <f aca="false">IF(BR175=1,0,IFERROR(VLOOKUP(BP175,'Gebinde-Kategorie'!$A$5:$M$45,5,0)+0,0))</f>
        <v>11</v>
      </c>
      <c r="CC175" s="60" t="n">
        <f aca="false">IFERROR(IF(OR(BT175=1,BT175=2,BT175=3),N(INDEX(Parameter!$I$5:$I$7,BT175)),0),0)</f>
        <v>0</v>
      </c>
      <c r="CD175" s="59" t="n">
        <f aca="false">IF(AND(Parameter!$B$21="Ja",ISNUMBER(U175),N(V175)&gt;0),IFERROR(N(INDEX(Parameter!$L$5:$L$7,U175))*INDEX(Parameter!$E$5:$E$7,U175)*V175/SUMIFS($V$7:$V$1576,$U$7:$U$1576,U175),0),0)</f>
        <v>0</v>
      </c>
    </row>
    <row r="176" customFormat="false" ht="15" hidden="false" customHeight="false" outlineLevel="0" collapsed="false">
      <c r="A176" s="55" t="s">
        <v>547</v>
      </c>
      <c r="B176" s="55" t="s">
        <v>548</v>
      </c>
      <c r="C176" s="55" t="s">
        <v>160</v>
      </c>
      <c r="D176" s="55" t="s">
        <v>178</v>
      </c>
      <c r="E176" s="55" t="s">
        <v>210</v>
      </c>
      <c r="F176" s="56" t="n">
        <v>11.84</v>
      </c>
      <c r="G176" s="57" t="n">
        <f aca="false">MAX(0,IF(AND(Parameter!$B$21="Ja",ISNUMBER(W176)),W176,IF(Parameter!$B$20="Jahresanfang 2025 + Export",BJ176+BI176,BI176)))</f>
        <v>88</v>
      </c>
      <c r="H176" s="57" t="n">
        <f aca="false">G176*F176</f>
        <v>1041.92</v>
      </c>
      <c r="I176" s="57" t="n">
        <f aca="false">BL176*Parameter!$B$18</f>
        <v>161</v>
      </c>
      <c r="J176" s="58" t="n">
        <v>60.5</v>
      </c>
      <c r="K176" s="59" t="n">
        <v>2.66115702479339</v>
      </c>
      <c r="L176" s="57" t="n">
        <v>12</v>
      </c>
      <c r="M176" s="57" t="n">
        <v>160</v>
      </c>
      <c r="N176" s="60" t="n">
        <v>28</v>
      </c>
      <c r="O176" s="55" t="s">
        <v>225</v>
      </c>
      <c r="P176" s="57" t="n">
        <v>67</v>
      </c>
      <c r="Q176" s="60" t="n">
        <f aca="false">IF(BR176=1,0,IFERROR(VLOOKUP(BP176,'Gebinde-Kategorie'!$A$5:$M$45,13,0)+0,0))</f>
        <v>26</v>
      </c>
      <c r="R176" s="61"/>
      <c r="S176" s="62"/>
      <c r="T176" s="62"/>
      <c r="U176" s="55"/>
      <c r="V176" s="57"/>
      <c r="W176" s="57"/>
      <c r="X176" s="55" t="n">
        <f aca="false">IF(A176="","",IF(AND(Parameter!$B$21="Ja",ISNUMBER(U176)),U176,IF(IFERROR(VLOOKUP(D176,Parameter!$A$35:$C$64,2,0),"Nein")="2+3",IF(ISNUMBER(SEARCH("grosser Artikel",BM176)),2,IFERROR(VLOOKUP(BP176,Parameter!$F$35:$G$64,2,0),2)),IF(OR(IFERROR(VLOOKUP(D176,Parameter!$A$35:$C$64,2,0),"Nein")="Nein",IFERROR(VLOOKUP(D176,Parameter!$A$35:$C$64,2,0),"Nein")=""),"-",VLOOKUP(D176,Parameter!$A$35:$C$64,2,0)))))</f>
        <v>3</v>
      </c>
      <c r="Y176" s="62"/>
      <c r="Z176" s="63"/>
      <c r="AA176" s="57" t="n">
        <f aca="false">AP176</f>
        <v>201</v>
      </c>
      <c r="AB176" s="57" t="n">
        <f aca="false">MAX(AP176,G176)</f>
        <v>201</v>
      </c>
      <c r="AC176" s="64"/>
      <c r="AD176" s="57" t="n">
        <f aca="false">IF(LEFT(Cockpit!$C$5,1)="A",G176,IF(BW176=1,BX176,IF(LEFT(Cockpit!$C$5,1)="B",AH176,MAX(AH176,G176))))</f>
        <v>88</v>
      </c>
      <c r="AE176" s="57" t="n">
        <f aca="false">IF(BR176=1,0,ROUNDUP(AD176/BQ176,0))</f>
        <v>2</v>
      </c>
      <c r="AF176" s="59" t="n">
        <f aca="false">IF(CD176&gt;0,CD176*MAX(1,AD176/V176),IF(BR176=1,IF(AD176&lt;=0,0,BS176*MAX(1,IF(G176&gt;0,AD176/G176,1))),IF(Q176&gt;0,AE176/Q176,0))/MAX(0.1,N(Parameter!$M$21)))</f>
        <v>0.0769230769230769</v>
      </c>
      <c r="AG176" s="57" t="n">
        <f aca="false">AD176*F176</f>
        <v>1041.92</v>
      </c>
      <c r="AH176" s="57" t="n">
        <f aca="false">ROUNDUP(MAX(I176/IF(BV176&gt;0,BV176,MAX(0.1,N(Cockpit!$C$6))),BY176)/BQ176,0)*BQ176</f>
        <v>201</v>
      </c>
      <c r="AI176" s="58" t="n">
        <f aca="false">IF(AF176&gt;0,I176/AF176,-1)</f>
        <v>2093</v>
      </c>
      <c r="AJ176" s="58" t="n">
        <f aca="false">IF(AND(OR(BU176="L1",BU176="L23"),AF176&gt;0),SUMIFS($AF$7:$AF$1576,$BU$7:$BU$1576,BU176,$AI$7:$AI$1576,"&gt;"&amp;AI176)+SUMIFS($AF$7:$AF$1576,$BU$7:$BU$1576,BU176,$AI$7:$AI$1576,AI176,$BO$7:$BO$1576,"&lt;="&amp;BO176),"")</f>
        <v>6.36050606398432</v>
      </c>
      <c r="AK176" s="65" t="n">
        <f aca="false">IF(AJ176="",0,MAX(0,MIN(1,(IF(BU176="L1",Parameter!$E$5,Parameter!$E$6+Parameter!$E$7)-(AJ176-AF176))/AF176)))</f>
        <v>1</v>
      </c>
      <c r="AL176" s="57" t="n">
        <f aca="false">IF(LEFT(Cockpit!$I$5,1)="A",G176,IF(BW176=1,BX176,IF(LEFT(Cockpit!$I$5,1)="B",AP176,MAX(AP176,G176))))</f>
        <v>201</v>
      </c>
      <c r="AM176" s="57" t="n">
        <f aca="false">IF(BR176=1,0,ROUNDUP(AL176/BQ176,0))</f>
        <v>3</v>
      </c>
      <c r="AN176" s="59" t="n">
        <f aca="false">IF(CD176&gt;0,CD176*MAX(1,AL176/V176),IF(BR176=1,IF(AL176&lt;=0,0,BS176*MAX(1,IF(G176&gt;0,AL176/G176,1))),IF(Q176&gt;0,AM176/Q176,0))/MAX(0.1,N(Parameter!$M$21)))</f>
        <v>0.115384615384615</v>
      </c>
      <c r="AO176" s="57" t="n">
        <f aca="false">AL176*F176</f>
        <v>2379.84</v>
      </c>
      <c r="AP176" s="57" t="n">
        <f aca="false">ROUNDUP(MAX(I176/IF(BV176&gt;0,BV176,MAX(0.1,N(Cockpit!$I$6))),BY176)/BQ176,0)*BQ176</f>
        <v>201</v>
      </c>
      <c r="AQ176" s="58" t="n">
        <f aca="false">IF(AN176&gt;0,I176/AN176,-1)</f>
        <v>1395.33333333333</v>
      </c>
      <c r="AR176" s="58" t="n">
        <f aca="false">IF(AND(OR(BU176="L1",BU176="L23"),AN176&gt;0),SUMIFS($AN$7:$AN$1576,$BU$7:$BU$1576,BU176,$AQ$7:$AQ$1576,"&gt;"&amp;AQ176)+SUMIFS($AN$7:$AN$1576,$BU$7:$BU$1576,BU176,$AQ$7:$AQ$1576,AQ176,$BO$7:$BO$1576,"&lt;="&amp;BO176),"")</f>
        <v>19.5728086530372</v>
      </c>
      <c r="AS176" s="65" t="n">
        <f aca="false">IF(AR176="",0,MAX(0,MIN(1,(IF(BU176="L1",Parameter!$E$5,Parameter!$E$6+Parameter!$E$7)-(AR176-AN176))/AN176)))</f>
        <v>1</v>
      </c>
      <c r="AT176" s="57" t="n">
        <f aca="false">IF(LEFT(Cockpit!$O$5,1)="A",G176,IF(BW176=1,BX176,IF(LEFT(Cockpit!$O$5,1)="B",AX176,MAX(AX176,G176))))</f>
        <v>201</v>
      </c>
      <c r="AU176" s="57" t="n">
        <f aca="false">IF(BR176=1,0,ROUNDUP(AT176/BQ176,0))</f>
        <v>3</v>
      </c>
      <c r="AV176" s="59" t="n">
        <f aca="false">IF(CD176&gt;0,CD176*MAX(1,AT176/V176),IF(BR176=1,IF(AT176&lt;=0,0,BS176*MAX(1,IF(G176&gt;0,AT176/G176,1))),IF(Q176&gt;0,AU176/Q176,0))/MAX(0.1,N(Parameter!$M$21)))</f>
        <v>0.115384615384615</v>
      </c>
      <c r="AW176" s="57" t="n">
        <f aca="false">AT176*F176</f>
        <v>2379.84</v>
      </c>
      <c r="AX176" s="57" t="n">
        <f aca="false">ROUNDUP(MAX(I176/IF(BV176&gt;0,BV176,MAX(0.1,N(Cockpit!$O$6))),BY176)/BQ176,0)*BQ176</f>
        <v>201</v>
      </c>
      <c r="AY176" s="58" t="n">
        <f aca="false">IF(AV176&gt;0,I176/AV176,-1)</f>
        <v>1395.33333333333</v>
      </c>
      <c r="AZ176" s="58" t="n">
        <f aca="false">IF(AND(OR(BU176="L1",BU176="L23"),AV176&gt;0),SUMIFS($AV$7:$AV$1576,$BU$7:$BU$1576,BU176,$AY$7:$AY$1576,"&gt;"&amp;AY176)+SUMIFS($AV$7:$AV$1576,$BU$7:$BU$1576,BU176,$AY$7:$AY$1576,AY176,$BO$7:$BO$1576,"&lt;="&amp;BO176),"")</f>
        <v>18.5500813803099</v>
      </c>
      <c r="BA176" s="65" t="n">
        <f aca="false">IF(AZ176="",0,MAX(0,MIN(1,(IF(BU176="L1",Parameter!$E$5,Parameter!$E$6+Parameter!$E$7)-(AZ176-AV176))/AV176)))</f>
        <v>1</v>
      </c>
      <c r="BB176" s="55" t="str">
        <f aca="false">IF(AF176&lt;=0,"",IF(BU176="Aussen","Aussenlager",IF(BU176="-","Nicht im Lift",IF(AK176&gt;=1,"Lift",IF(AK176&lt;=0,"Aussenlager","teilweise")))))</f>
        <v>Lift</v>
      </c>
      <c r="BC176" s="55" t="str">
        <f aca="false">IF(AN176&lt;=0,"",IF(BU176="Aussen","Aussenlager",IF(BU176="-","Nicht im Lift",IF(AS176&gt;=1,"Lift",IF(AS176&lt;=0,"Aussenlager","teilweise")))))</f>
        <v>Lift</v>
      </c>
      <c r="BD176" s="55" t="str">
        <f aca="false">IF(AV176&lt;=0,"",IF(BU176="Aussen","Aussenlager",IF(BU176="-","Nicht im Lift",IF(BA176&gt;=1,"Lift",IF(BA176&lt;=0,"Aussenlager","teilweise")))))</f>
        <v>Lift</v>
      </c>
      <c r="BE176" s="55" t="str">
        <f aca="false">IF(A176="","",IF(BN176=1,"Neu; ","")&amp;IF(AND(BN176=0,BI176&lt;0),"negativer Bestand (Export "&amp;BI176&amp;"); ","")&amp;IF(I176&lt;=0,"Kein Verbrauch; ","")&amp;IF(CD176&gt;0,"Lift "&amp;U176&amp;" lt. Liftbericht (Fach "&amp;V176&amp;" Stk); ",IF(BR176=1,"Lose – Fläche geschätzt; ",""))&amp;IF(G176&gt;AP176,"Überbestand "&amp;ROUND(G176-AP176,0)&amp;" Stk / CHF "&amp;ROUND((G176-AP176)*F176,0)&amp;"; ","")&amp;IF(AND(BW176=1,BX176&lt;BY176),"MAX &lt; MB+LG; ","")&amp;IF(AND(CC176&gt;0,CB176*10&gt;CC176),"zu hoch für Tablar; ","")&amp;IF(AND(BN176=0,OR(BW176=1,Y176&lt;&gt;"",S176&lt;&gt;"",T176&lt;&gt;"",Z176&lt;&gt;"")),"manuell übersteuert; ","")&amp;IF(AND(BR176=0,Q176=0),"Gebinde unbekannt / Stellmass fehlt; ","")&amp;IF(AND(BR176=0,N(T176)&lt;=0,N(P176)&lt;=0),"Menge pro Gebinde fehlt (Ist = 1 Gebinde); ","")&amp;BM176)</f>
        <v/>
      </c>
      <c r="BF176" s="55"/>
      <c r="BG176" s="55"/>
      <c r="BH176" s="62"/>
      <c r="BI176" s="57" t="n">
        <v>88</v>
      </c>
      <c r="BJ176" s="57" t="n">
        <v>61</v>
      </c>
      <c r="BK176" s="56" t="n">
        <v>1041.92</v>
      </c>
      <c r="BL176" s="57" t="n">
        <v>161</v>
      </c>
      <c r="BM176" s="55"/>
      <c r="BN176" s="60" t="n">
        <v>0</v>
      </c>
      <c r="BO176" s="60" t="n">
        <v>176</v>
      </c>
      <c r="BP176" s="55" t="str">
        <f aca="false">IF(S176&lt;&gt;"",UPPER(TRIM(S176)),IF(O176="","LOSE",O176))</f>
        <v>S52</v>
      </c>
      <c r="BQ176" s="57" t="n">
        <f aca="false">IF(BP176="LOSE",1,IF(N(T176)&gt;0,T176,IF(N(P176)&gt;0,P176,MAX(1,G176))))</f>
        <v>67</v>
      </c>
      <c r="BR176" s="60" t="n">
        <f aca="false">IF(BP176="LOSE",1,0)</f>
        <v>0</v>
      </c>
      <c r="BS176" s="59" t="n">
        <f aca="false">IF(BR176=0,0,IF(N(R176)&gt;0,R176,IFERROR(VLOOKUP(D176,Parameter!$A$35:$C$64,3,0)+0,0)))</f>
        <v>0</v>
      </c>
      <c r="BT176" s="55" t="n">
        <f aca="false">IF(Y176&lt;&gt;"",Y176,X176)</f>
        <v>3</v>
      </c>
      <c r="BU176" s="55" t="str">
        <f aca="false">IF(BT176=1,"L1",IF(OR(BT176=2,BT176=3),"L23",IF(BT176="Aussen","Aussen","-")))</f>
        <v>L23</v>
      </c>
      <c r="BV176" s="66" t="n">
        <f aca="false">IF(N(Z176)&gt;0,Z176,0)</f>
        <v>0</v>
      </c>
      <c r="BW176" s="60" t="n">
        <f aca="false">IF(ISNUMBER(AC176),1,0)</f>
        <v>0</v>
      </c>
      <c r="BX176" s="57" t="n">
        <f aca="false">N(AC176)</f>
        <v>0</v>
      </c>
      <c r="BY176" s="57" t="n">
        <f aca="false">N(L176)+N(M176)</f>
        <v>172</v>
      </c>
      <c r="BZ176" s="57" t="n">
        <f aca="false">ROUNDUP(G176/BQ176,0)</f>
        <v>2</v>
      </c>
      <c r="CA176" s="57" t="n">
        <f aca="false">ROUNDUP(BX176/BQ176,0)</f>
        <v>0</v>
      </c>
      <c r="CB176" s="60" t="n">
        <f aca="false">IF(BR176=1,0,IFERROR(VLOOKUP(BP176,'Gebinde-Kategorie'!$A$5:$M$45,5,0)+0,0))</f>
        <v>21</v>
      </c>
      <c r="CC176" s="60" t="n">
        <f aca="false">IFERROR(IF(OR(BT176=1,BT176=2,BT176=3),N(INDEX(Parameter!$I$5:$I$7,BT176)),0),0)</f>
        <v>0</v>
      </c>
      <c r="CD176" s="59" t="n">
        <f aca="false">IF(AND(Parameter!$B$21="Ja",ISNUMBER(U176),N(V176)&gt;0),IFERROR(N(INDEX(Parameter!$L$5:$L$7,U176))*INDEX(Parameter!$E$5:$E$7,U176)*V176/SUMIFS($V$7:$V$1576,$U$7:$U$1576,U176),0),0)</f>
        <v>0</v>
      </c>
    </row>
    <row r="177" customFormat="false" ht="15" hidden="false" customHeight="false" outlineLevel="0" collapsed="false">
      <c r="A177" s="55" t="s">
        <v>549</v>
      </c>
      <c r="B177" s="55" t="s">
        <v>478</v>
      </c>
      <c r="C177" s="55" t="s">
        <v>160</v>
      </c>
      <c r="D177" s="55" t="s">
        <v>178</v>
      </c>
      <c r="E177" s="55" t="s">
        <v>210</v>
      </c>
      <c r="F177" s="56" t="n">
        <v>1.51</v>
      </c>
      <c r="G177" s="57" t="n">
        <f aca="false">MAX(0,IF(AND(Parameter!$B$21="Ja",ISNUMBER(W177)),W177,IF(Parameter!$B$20="Jahresanfang 2025 + Export",BJ177+BI177,BI177)))</f>
        <v>744</v>
      </c>
      <c r="H177" s="57" t="n">
        <f aca="false">G177*F177</f>
        <v>1123.44</v>
      </c>
      <c r="I177" s="57" t="n">
        <f aca="false">BL177*Parameter!$B$18</f>
        <v>2212</v>
      </c>
      <c r="J177" s="58" t="n">
        <v>594.5</v>
      </c>
      <c r="K177" s="59" t="n">
        <v>3.72077375946173</v>
      </c>
      <c r="L177" s="57" t="n">
        <v>45</v>
      </c>
      <c r="M177" s="57" t="n">
        <v>1870</v>
      </c>
      <c r="N177" s="60" t="n">
        <v>7</v>
      </c>
      <c r="O177" s="55" t="s">
        <v>293</v>
      </c>
      <c r="P177" s="57" t="n">
        <v>1322</v>
      </c>
      <c r="Q177" s="60" t="n">
        <f aca="false">IF(BR177=1,0,IFERROR(VLOOKUP(BP177,'Gebinde-Kategorie'!$A$5:$M$45,13,0)+0,0))</f>
        <v>26</v>
      </c>
      <c r="R177" s="61"/>
      <c r="S177" s="62"/>
      <c r="T177" s="62"/>
      <c r="U177" s="55"/>
      <c r="V177" s="57"/>
      <c r="W177" s="57"/>
      <c r="X177" s="55" t="n">
        <f aca="false">IF(A177="","",IF(AND(Parameter!$B$21="Ja",ISNUMBER(U177)),U177,IF(IFERROR(VLOOKUP(D177,Parameter!$A$35:$C$64,2,0),"Nein")="2+3",IF(ISNUMBER(SEARCH("grosser Artikel",BM177)),2,IFERROR(VLOOKUP(BP177,Parameter!$F$35:$G$64,2,0),2)),IF(OR(IFERROR(VLOOKUP(D177,Parameter!$A$35:$C$64,2,0),"Nein")="Nein",IFERROR(VLOOKUP(D177,Parameter!$A$35:$C$64,2,0),"Nein")=""),"-",VLOOKUP(D177,Parameter!$A$35:$C$64,2,0)))))</f>
        <v>3</v>
      </c>
      <c r="Y177" s="62"/>
      <c r="Z177" s="63"/>
      <c r="AA177" s="57" t="n">
        <f aca="false">AP177</f>
        <v>2644</v>
      </c>
      <c r="AB177" s="57" t="n">
        <f aca="false">MAX(AP177,G177)</f>
        <v>2644</v>
      </c>
      <c r="AC177" s="64"/>
      <c r="AD177" s="57" t="n">
        <f aca="false">IF(LEFT(Cockpit!$C$5,1)="A",G177,IF(BW177=1,BX177,IF(LEFT(Cockpit!$C$5,1)="B",AH177,MAX(AH177,G177))))</f>
        <v>744</v>
      </c>
      <c r="AE177" s="57" t="n">
        <f aca="false">IF(BR177=1,0,ROUNDUP(AD177/BQ177,0))</f>
        <v>1</v>
      </c>
      <c r="AF177" s="59" t="n">
        <f aca="false">IF(CD177&gt;0,CD177*MAX(1,AD177/V177),IF(BR177=1,IF(AD177&lt;=0,0,BS177*MAX(1,IF(G177&gt;0,AD177/G177,1))),IF(Q177&gt;0,AE177/Q177,0))/MAX(0.1,N(Parameter!$M$21)))</f>
        <v>0.0384615384615385</v>
      </c>
      <c r="AG177" s="57" t="n">
        <f aca="false">AD177*F177</f>
        <v>1123.44</v>
      </c>
      <c r="AH177" s="57" t="n">
        <f aca="false">ROUNDUP(MAX(I177/IF(BV177&gt;0,BV177,MAX(0.1,N(Cockpit!$C$6))),BY177)/BQ177,0)*BQ177</f>
        <v>2644</v>
      </c>
      <c r="AI177" s="58" t="n">
        <f aca="false">IF(AF177&gt;0,I177/AF177,-1)</f>
        <v>57512</v>
      </c>
      <c r="AJ177" s="58" t="n">
        <f aca="false">IF(AND(OR(BU177="L1",BU177="L23"),AF177&gt;0),SUMIFS($AF$7:$AF$1576,$BU$7:$BU$1576,BU177,$AI$7:$AI$1576,"&gt;"&amp;AI177)+SUMIFS($AF$7:$AF$1576,$BU$7:$BU$1576,BU177,$AI$7:$AI$1576,AI177,$BO$7:$BO$1576,"&lt;="&amp;BO177),"")</f>
        <v>0.675889328063241</v>
      </c>
      <c r="AK177" s="65" t="n">
        <f aca="false">IF(AJ177="",0,MAX(0,MIN(1,(IF(BU177="L1",Parameter!$E$5,Parameter!$E$6+Parameter!$E$7)-(AJ177-AF177))/AF177)))</f>
        <v>1</v>
      </c>
      <c r="AL177" s="57" t="n">
        <f aca="false">IF(LEFT(Cockpit!$I$5,1)="A",G177,IF(BW177=1,BX177,IF(LEFT(Cockpit!$I$5,1)="B",AP177,MAX(AP177,G177))))</f>
        <v>2644</v>
      </c>
      <c r="AM177" s="57" t="n">
        <f aca="false">IF(BR177=1,0,ROUNDUP(AL177/BQ177,0))</f>
        <v>2</v>
      </c>
      <c r="AN177" s="59" t="n">
        <f aca="false">IF(CD177&gt;0,CD177*MAX(1,AL177/V177),IF(BR177=1,IF(AL177&lt;=0,0,BS177*MAX(1,IF(G177&gt;0,AL177/G177,1))),IF(Q177&gt;0,AM177/Q177,0))/MAX(0.1,N(Parameter!$M$21)))</f>
        <v>0.0769230769230769</v>
      </c>
      <c r="AO177" s="57" t="n">
        <f aca="false">AL177*F177</f>
        <v>3992.44</v>
      </c>
      <c r="AP177" s="57" t="n">
        <f aca="false">ROUNDUP(MAX(I177/IF(BV177&gt;0,BV177,MAX(0.1,N(Cockpit!$I$6))),BY177)/BQ177,0)*BQ177</f>
        <v>2644</v>
      </c>
      <c r="AQ177" s="58" t="n">
        <f aca="false">IF(AN177&gt;0,I177/AN177,-1)</f>
        <v>28756</v>
      </c>
      <c r="AR177" s="58" t="n">
        <f aca="false">IF(AND(OR(BU177="L1",BU177="L23"),AN177&gt;0),SUMIFS($AN$7:$AN$1576,$BU$7:$BU$1576,BU177,$AQ$7:$AQ$1576,"&gt;"&amp;AQ177)+SUMIFS($AN$7:$AN$1576,$BU$7:$BU$1576,BU177,$AQ$7:$AQ$1576,AQ177,$BO$7:$BO$1576,"&lt;="&amp;BO177),"")</f>
        <v>3.13364784973481</v>
      </c>
      <c r="AS177" s="65" t="n">
        <f aca="false">IF(AR177="",0,MAX(0,MIN(1,(IF(BU177="L1",Parameter!$E$5,Parameter!$E$6+Parameter!$E$7)-(AR177-AN177))/AN177)))</f>
        <v>1</v>
      </c>
      <c r="AT177" s="57" t="n">
        <f aca="false">IF(LEFT(Cockpit!$O$5,1)="A",G177,IF(BW177=1,BX177,IF(LEFT(Cockpit!$O$5,1)="B",AX177,MAX(AX177,G177))))</f>
        <v>2644</v>
      </c>
      <c r="AU177" s="57" t="n">
        <f aca="false">IF(BR177=1,0,ROUNDUP(AT177/BQ177,0))</f>
        <v>2</v>
      </c>
      <c r="AV177" s="59" t="n">
        <f aca="false">IF(CD177&gt;0,CD177*MAX(1,AT177/V177),IF(BR177=1,IF(AT177&lt;=0,0,BS177*MAX(1,IF(G177&gt;0,AT177/G177,1))),IF(Q177&gt;0,AU177/Q177,0))/MAX(0.1,N(Parameter!$M$21)))</f>
        <v>0.0769230769230769</v>
      </c>
      <c r="AW177" s="57" t="n">
        <f aca="false">AT177*F177</f>
        <v>3992.44</v>
      </c>
      <c r="AX177" s="57" t="n">
        <f aca="false">ROUNDUP(MAX(I177/IF(BV177&gt;0,BV177,MAX(0.1,N(Cockpit!$O$6))),BY177)/BQ177,0)*BQ177</f>
        <v>2644</v>
      </c>
      <c r="AY177" s="58" t="n">
        <f aca="false">IF(AV177&gt;0,I177/AV177,-1)</f>
        <v>28756</v>
      </c>
      <c r="AZ177" s="58" t="n">
        <f aca="false">IF(AND(OR(BU177="L1",BU177="L23"),AV177&gt;0),SUMIFS($AV$7:$AV$1576,$BU$7:$BU$1576,BU177,$AY$7:$AY$1576,"&gt;"&amp;AY177)+SUMIFS($AV$7:$AV$1576,$BU$7:$BU$1576,BU177,$AY$7:$AY$1576,AY177,$BO$7:$BO$1576,"&lt;="&amp;BO177),"")</f>
        <v>2.90171311780007</v>
      </c>
      <c r="BA177" s="65" t="n">
        <f aca="false">IF(AZ177="",0,MAX(0,MIN(1,(IF(BU177="L1",Parameter!$E$5,Parameter!$E$6+Parameter!$E$7)-(AZ177-AV177))/AV177)))</f>
        <v>1</v>
      </c>
      <c r="BB177" s="55" t="str">
        <f aca="false">IF(AF177&lt;=0,"",IF(BU177="Aussen","Aussenlager",IF(BU177="-","Nicht im Lift",IF(AK177&gt;=1,"Lift",IF(AK177&lt;=0,"Aussenlager","teilweise")))))</f>
        <v>Lift</v>
      </c>
      <c r="BC177" s="55" t="str">
        <f aca="false">IF(AN177&lt;=0,"",IF(BU177="Aussen","Aussenlager",IF(BU177="-","Nicht im Lift",IF(AS177&gt;=1,"Lift",IF(AS177&lt;=0,"Aussenlager","teilweise")))))</f>
        <v>Lift</v>
      </c>
      <c r="BD177" s="55" t="str">
        <f aca="false">IF(AV177&lt;=0,"",IF(BU177="Aussen","Aussenlager",IF(BU177="-","Nicht im Lift",IF(BA177&gt;=1,"Lift",IF(BA177&lt;=0,"Aussenlager","teilweise")))))</f>
        <v>Lift</v>
      </c>
      <c r="BE177" s="55" t="str">
        <f aca="false">IF(A177="","",IF(BN177=1,"Neu; ","")&amp;IF(AND(BN177=0,BI177&lt;0),"negativer Bestand (Export "&amp;BI177&amp;"); ","")&amp;IF(I177&lt;=0,"Kein Verbrauch; ","")&amp;IF(CD177&gt;0,"Lift "&amp;U177&amp;" lt. Liftbericht (Fach "&amp;V177&amp;" Stk); ",IF(BR177=1,"Lose – Fläche geschätzt; ",""))&amp;IF(G177&gt;AP177,"Überbestand "&amp;ROUND(G177-AP177,0)&amp;" Stk / CHF "&amp;ROUND((G177-AP177)*F177,0)&amp;"; ","")&amp;IF(AND(BW177=1,BX177&lt;BY177),"MAX &lt; MB+LG; ","")&amp;IF(AND(CC177&gt;0,CB177*10&gt;CC177),"zu hoch für Tablar; ","")&amp;IF(AND(BN177=0,OR(BW177=1,Y177&lt;&gt;"",S177&lt;&gt;"",T177&lt;&gt;"",Z177&lt;&gt;"")),"manuell übersteuert; ","")&amp;IF(AND(BR177=0,Q177=0),"Gebinde unbekannt / Stellmass fehlt; ","")&amp;IF(AND(BR177=0,N(T177)&lt;=0,N(P177)&lt;=0),"Menge pro Gebinde fehlt (Ist = 1 Gebinde); ","")&amp;BM177)</f>
        <v/>
      </c>
      <c r="BF177" s="55"/>
      <c r="BG177" s="55"/>
      <c r="BH177" s="62"/>
      <c r="BI177" s="57" t="n">
        <v>744</v>
      </c>
      <c r="BJ177" s="57" t="n">
        <v>411</v>
      </c>
      <c r="BK177" s="56" t="n">
        <v>1039.86</v>
      </c>
      <c r="BL177" s="57" t="n">
        <v>2212</v>
      </c>
      <c r="BM177" s="55"/>
      <c r="BN177" s="60" t="n">
        <v>0</v>
      </c>
      <c r="BO177" s="60" t="n">
        <v>177</v>
      </c>
      <c r="BP177" s="55" t="str">
        <f aca="false">IF(S177&lt;&gt;"",UPPER(TRIM(S177)),IF(O177="","LOSE",O177))</f>
        <v>S51</v>
      </c>
      <c r="BQ177" s="57" t="n">
        <f aca="false">IF(BP177="LOSE",1,IF(N(T177)&gt;0,T177,IF(N(P177)&gt;0,P177,MAX(1,G177))))</f>
        <v>1322</v>
      </c>
      <c r="BR177" s="60" t="n">
        <f aca="false">IF(BP177="LOSE",1,0)</f>
        <v>0</v>
      </c>
      <c r="BS177" s="59" t="n">
        <f aca="false">IF(BR177=0,0,IF(N(R177)&gt;0,R177,IFERROR(VLOOKUP(D177,Parameter!$A$35:$C$64,3,0)+0,0)))</f>
        <v>0</v>
      </c>
      <c r="BT177" s="55" t="n">
        <f aca="false">IF(Y177&lt;&gt;"",Y177,X177)</f>
        <v>3</v>
      </c>
      <c r="BU177" s="55" t="str">
        <f aca="false">IF(BT177=1,"L1",IF(OR(BT177=2,BT177=3),"L23",IF(BT177="Aussen","Aussen","-")))</f>
        <v>L23</v>
      </c>
      <c r="BV177" s="66" t="n">
        <f aca="false">IF(N(Z177)&gt;0,Z177,0)</f>
        <v>0</v>
      </c>
      <c r="BW177" s="60" t="n">
        <f aca="false">IF(ISNUMBER(AC177),1,0)</f>
        <v>0</v>
      </c>
      <c r="BX177" s="57" t="n">
        <f aca="false">N(AC177)</f>
        <v>0</v>
      </c>
      <c r="BY177" s="57" t="n">
        <f aca="false">N(L177)+N(M177)</f>
        <v>1915</v>
      </c>
      <c r="BZ177" s="57" t="n">
        <f aca="false">ROUNDUP(G177/BQ177,0)</f>
        <v>1</v>
      </c>
      <c r="CA177" s="57" t="n">
        <f aca="false">ROUNDUP(BX177/BQ177,0)</f>
        <v>0</v>
      </c>
      <c r="CB177" s="60" t="n">
        <f aca="false">IF(BR177=1,0,IFERROR(VLOOKUP(BP177,'Gebinde-Kategorie'!$A$5:$M$45,5,0)+0,0))</f>
        <v>11</v>
      </c>
      <c r="CC177" s="60" t="n">
        <f aca="false">IFERROR(IF(OR(BT177=1,BT177=2,BT177=3),N(INDEX(Parameter!$I$5:$I$7,BT177)),0),0)</f>
        <v>0</v>
      </c>
      <c r="CD177" s="59" t="n">
        <f aca="false">IF(AND(Parameter!$B$21="Ja",ISNUMBER(U177),N(V177)&gt;0),IFERROR(N(INDEX(Parameter!$L$5:$L$7,U177))*INDEX(Parameter!$E$5:$E$7,U177)*V177/SUMIFS($V$7:$V$1576,$U$7:$U$1576,U177),0),0)</f>
        <v>0</v>
      </c>
    </row>
    <row r="178" customFormat="false" ht="15" hidden="false" customHeight="false" outlineLevel="0" collapsed="false">
      <c r="A178" s="55" t="s">
        <v>550</v>
      </c>
      <c r="B178" s="55" t="s">
        <v>551</v>
      </c>
      <c r="C178" s="55" t="s">
        <v>160</v>
      </c>
      <c r="D178" s="55" t="s">
        <v>178</v>
      </c>
      <c r="E178" s="55" t="s">
        <v>210</v>
      </c>
      <c r="F178" s="56" t="n">
        <v>62.49</v>
      </c>
      <c r="G178" s="57" t="n">
        <f aca="false">MAX(0,IF(AND(Parameter!$B$21="Ja",ISNUMBER(W178)),W178,IF(Parameter!$B$20="Jahresanfang 2025 + Export",BJ178+BI178,BI178)))</f>
        <v>23</v>
      </c>
      <c r="H178" s="57" t="n">
        <f aca="false">G178*F178</f>
        <v>1437.27</v>
      </c>
      <c r="I178" s="57" t="n">
        <f aca="false">BL178*Parameter!$B$18</f>
        <v>69</v>
      </c>
      <c r="J178" s="58" t="n">
        <v>46</v>
      </c>
      <c r="K178" s="59" t="n">
        <v>1.5</v>
      </c>
      <c r="L178" s="57" t="n">
        <v>15</v>
      </c>
      <c r="M178" s="57" t="n">
        <v>50</v>
      </c>
      <c r="N178" s="60" t="n">
        <v>56</v>
      </c>
      <c r="O178" s="55" t="s">
        <v>293</v>
      </c>
      <c r="P178" s="57" t="n">
        <v>43</v>
      </c>
      <c r="Q178" s="60" t="n">
        <f aca="false">IF(BR178=1,0,IFERROR(VLOOKUP(BP178,'Gebinde-Kategorie'!$A$5:$M$45,13,0)+0,0))</f>
        <v>26</v>
      </c>
      <c r="R178" s="61"/>
      <c r="S178" s="62"/>
      <c r="T178" s="62"/>
      <c r="U178" s="55"/>
      <c r="V178" s="57"/>
      <c r="W178" s="57"/>
      <c r="X178" s="55" t="n">
        <f aca="false">IF(A178="","",IF(AND(Parameter!$B$21="Ja",ISNUMBER(U178)),U178,IF(IFERROR(VLOOKUP(D178,Parameter!$A$35:$C$64,2,0),"Nein")="2+3",IF(ISNUMBER(SEARCH("grosser Artikel",BM178)),2,IFERROR(VLOOKUP(BP178,Parameter!$F$35:$G$64,2,0),2)),IF(OR(IFERROR(VLOOKUP(D178,Parameter!$A$35:$C$64,2,0),"Nein")="Nein",IFERROR(VLOOKUP(D178,Parameter!$A$35:$C$64,2,0),"Nein")=""),"-",VLOOKUP(D178,Parameter!$A$35:$C$64,2,0)))))</f>
        <v>3</v>
      </c>
      <c r="Y178" s="62"/>
      <c r="Z178" s="63"/>
      <c r="AA178" s="57" t="n">
        <f aca="false">AP178</f>
        <v>86</v>
      </c>
      <c r="AB178" s="57" t="n">
        <f aca="false">MAX(AP178,G178)</f>
        <v>86</v>
      </c>
      <c r="AC178" s="64"/>
      <c r="AD178" s="57" t="n">
        <f aca="false">IF(LEFT(Cockpit!$C$5,1)="A",G178,IF(BW178=1,BX178,IF(LEFT(Cockpit!$C$5,1)="B",AH178,MAX(AH178,G178))))</f>
        <v>23</v>
      </c>
      <c r="AE178" s="57" t="n">
        <f aca="false">IF(BR178=1,0,ROUNDUP(AD178/BQ178,0))</f>
        <v>1</v>
      </c>
      <c r="AF178" s="59" t="n">
        <f aca="false">IF(CD178&gt;0,CD178*MAX(1,AD178/V178),IF(BR178=1,IF(AD178&lt;=0,0,BS178*MAX(1,IF(G178&gt;0,AD178/G178,1))),IF(Q178&gt;0,AE178/Q178,0))/MAX(0.1,N(Parameter!$M$21)))</f>
        <v>0.0384615384615385</v>
      </c>
      <c r="AG178" s="57" t="n">
        <f aca="false">AD178*F178</f>
        <v>1437.27</v>
      </c>
      <c r="AH178" s="57" t="n">
        <f aca="false">ROUNDUP(MAX(I178/IF(BV178&gt;0,BV178,MAX(0.1,N(Cockpit!$C$6))),BY178)/BQ178,0)*BQ178</f>
        <v>86</v>
      </c>
      <c r="AI178" s="58" t="n">
        <f aca="false">IF(AF178&gt;0,I178/AF178,-1)</f>
        <v>1794</v>
      </c>
      <c r="AJ178" s="58" t="n">
        <f aca="false">IF(AND(OR(BU178="L1",BU178="L23"),AF178&gt;0),SUMIFS($AF$7:$AF$1576,$BU$7:$BU$1576,BU178,$AI$7:$AI$1576,"&gt;"&amp;AI178)+SUMIFS($AF$7:$AF$1576,$BU$7:$BU$1576,BU178,$AI$7:$AI$1576,AI178,$BO$7:$BO$1576,"&lt;="&amp;BO178),"")</f>
        <v>7.27554778554779</v>
      </c>
      <c r="AK178" s="65" t="n">
        <f aca="false">IF(AJ178="",0,MAX(0,MIN(1,(IF(BU178="L1",Parameter!$E$5,Parameter!$E$6+Parameter!$E$7)-(AJ178-AF178))/AF178)))</f>
        <v>1</v>
      </c>
      <c r="AL178" s="57" t="n">
        <f aca="false">IF(LEFT(Cockpit!$I$5,1)="A",G178,IF(BW178=1,BX178,IF(LEFT(Cockpit!$I$5,1)="B",AP178,MAX(AP178,G178))))</f>
        <v>86</v>
      </c>
      <c r="AM178" s="57" t="n">
        <f aca="false">IF(BR178=1,0,ROUNDUP(AL178/BQ178,0))</f>
        <v>2</v>
      </c>
      <c r="AN178" s="59" t="n">
        <f aca="false">IF(CD178&gt;0,CD178*MAX(1,AL178/V178),IF(BR178=1,IF(AL178&lt;=0,0,BS178*MAX(1,IF(G178&gt;0,AL178/G178,1))),IF(Q178&gt;0,AM178/Q178,0))/MAX(0.1,N(Parameter!$M$21)))</f>
        <v>0.0769230769230769</v>
      </c>
      <c r="AO178" s="57" t="n">
        <f aca="false">AL178*F178</f>
        <v>5374.14</v>
      </c>
      <c r="AP178" s="57" t="n">
        <f aca="false">ROUNDUP(MAX(I178/IF(BV178&gt;0,BV178,MAX(0.1,N(Cockpit!$I$6))),BY178)/BQ178,0)*BQ178</f>
        <v>86</v>
      </c>
      <c r="AQ178" s="58" t="n">
        <f aca="false">IF(AN178&gt;0,I178/AN178,-1)</f>
        <v>897</v>
      </c>
      <c r="AR178" s="58" t="n">
        <f aca="false">IF(AND(OR(BU178="L1",BU178="L23"),AN178&gt;0),SUMIFS($AN$7:$AN$1576,$BU$7:$BU$1576,BU178,$AQ$7:$AQ$1576,"&gt;"&amp;AQ178)+SUMIFS($AN$7:$AN$1576,$BU$7:$BU$1576,BU178,$AQ$7:$AQ$1576,AQ178,$BO$7:$BO$1576,"&lt;="&amp;BO178),"")</f>
        <v>24.4649325677698</v>
      </c>
      <c r="AS178" s="65" t="n">
        <f aca="false">IF(AR178="",0,MAX(0,MIN(1,(IF(BU178="L1",Parameter!$E$5,Parameter!$E$6+Parameter!$E$7)-(AR178-AN178))/AN178)))</f>
        <v>1</v>
      </c>
      <c r="AT178" s="57" t="n">
        <f aca="false">IF(LEFT(Cockpit!$O$5,1)="A",G178,IF(BW178=1,BX178,IF(LEFT(Cockpit!$O$5,1)="B",AX178,MAX(AX178,G178))))</f>
        <v>86</v>
      </c>
      <c r="AU178" s="57" t="n">
        <f aca="false">IF(BR178=1,0,ROUNDUP(AT178/BQ178,0))</f>
        <v>2</v>
      </c>
      <c r="AV178" s="59" t="n">
        <f aca="false">IF(CD178&gt;0,CD178*MAX(1,AT178/V178),IF(BR178=1,IF(AT178&lt;=0,0,BS178*MAX(1,IF(G178&gt;0,AT178/G178,1))),IF(Q178&gt;0,AU178/Q178,0))/MAX(0.1,N(Parameter!$M$21)))</f>
        <v>0.0769230769230769</v>
      </c>
      <c r="AW178" s="57" t="n">
        <f aca="false">AT178*F178</f>
        <v>5374.14</v>
      </c>
      <c r="AX178" s="57" t="n">
        <f aca="false">ROUNDUP(MAX(I178/IF(BV178&gt;0,BV178,MAX(0.1,N(Cockpit!$O$6))),BY178)/BQ178,0)*BQ178</f>
        <v>86</v>
      </c>
      <c r="AY178" s="58" t="n">
        <f aca="false">IF(AV178&gt;0,I178/AV178,-1)</f>
        <v>897</v>
      </c>
      <c r="AZ178" s="58" t="n">
        <f aca="false">IF(AND(OR(BU178="L1",BU178="L23"),AV178&gt;0),SUMIFS($AV$7:$AV$1576,$BU$7:$BU$1576,BU178,$AY$7:$AY$1576,"&gt;"&amp;AY178)+SUMIFS($AV$7:$AV$1576,$BU$7:$BU$1576,BU178,$AY$7:$AY$1576,AY178,$BO$7:$BO$1576,"&lt;="&amp;BO178),"")</f>
        <v>24.1986155514528</v>
      </c>
      <c r="BA178" s="65" t="n">
        <f aca="false">IF(AZ178="",0,MAX(0,MIN(1,(IF(BU178="L1",Parameter!$E$5,Parameter!$E$6+Parameter!$E$7)-(AZ178-AV178))/AV178)))</f>
        <v>1</v>
      </c>
      <c r="BB178" s="55" t="str">
        <f aca="false">IF(AF178&lt;=0,"",IF(BU178="Aussen","Aussenlager",IF(BU178="-","Nicht im Lift",IF(AK178&gt;=1,"Lift",IF(AK178&lt;=0,"Aussenlager","teilweise")))))</f>
        <v>Lift</v>
      </c>
      <c r="BC178" s="55" t="str">
        <f aca="false">IF(AN178&lt;=0,"",IF(BU178="Aussen","Aussenlager",IF(BU178="-","Nicht im Lift",IF(AS178&gt;=1,"Lift",IF(AS178&lt;=0,"Aussenlager","teilweise")))))</f>
        <v>Lift</v>
      </c>
      <c r="BD178" s="55" t="str">
        <f aca="false">IF(AV178&lt;=0,"",IF(BU178="Aussen","Aussenlager",IF(BU178="-","Nicht im Lift",IF(BA178&gt;=1,"Lift",IF(BA178&lt;=0,"Aussenlager","teilweise")))))</f>
        <v>Lift</v>
      </c>
      <c r="BE178" s="55" t="str">
        <f aca="false">IF(A178="","",IF(BN178=1,"Neu; ","")&amp;IF(AND(BN178=0,BI178&lt;0),"negativer Bestand (Export "&amp;BI178&amp;"); ","")&amp;IF(I178&lt;=0,"Kein Verbrauch; ","")&amp;IF(CD178&gt;0,"Lift "&amp;U178&amp;" lt. Liftbericht (Fach "&amp;V178&amp;" Stk); ",IF(BR178=1,"Lose – Fläche geschätzt; ",""))&amp;IF(G178&gt;AP178,"Überbestand "&amp;ROUND(G178-AP178,0)&amp;" Stk / CHF "&amp;ROUND((G178-AP178)*F178,0)&amp;"; ","")&amp;IF(AND(BW178=1,BX178&lt;BY178),"MAX &lt; MB+LG; ","")&amp;IF(AND(CC178&gt;0,CB178*10&gt;CC178),"zu hoch für Tablar; ","")&amp;IF(AND(BN178=0,OR(BW178=1,Y178&lt;&gt;"",S178&lt;&gt;"",T178&lt;&gt;"",Z178&lt;&gt;"")),"manuell übersteuert; ","")&amp;IF(AND(BR178=0,Q178=0),"Gebinde unbekannt / Stellmass fehlt; ","")&amp;IF(AND(BR178=0,N(T178)&lt;=0,N(P178)&lt;=0),"Menge pro Gebinde fehlt (Ist = 1 Gebinde); ","")&amp;BM178)</f>
        <v/>
      </c>
      <c r="BF178" s="55"/>
      <c r="BG178" s="55"/>
      <c r="BH178" s="62"/>
      <c r="BI178" s="57" t="n">
        <v>23</v>
      </c>
      <c r="BJ178" s="57" t="n">
        <v>16</v>
      </c>
      <c r="BK178" s="56" t="n">
        <v>1027.83</v>
      </c>
      <c r="BL178" s="57" t="n">
        <v>69</v>
      </c>
      <c r="BM178" s="55"/>
      <c r="BN178" s="60" t="n">
        <v>0</v>
      </c>
      <c r="BO178" s="60" t="n">
        <v>178</v>
      </c>
      <c r="BP178" s="55" t="str">
        <f aca="false">IF(S178&lt;&gt;"",UPPER(TRIM(S178)),IF(O178="","LOSE",O178))</f>
        <v>S51</v>
      </c>
      <c r="BQ178" s="57" t="n">
        <f aca="false">IF(BP178="LOSE",1,IF(N(T178)&gt;0,T178,IF(N(P178)&gt;0,P178,MAX(1,G178))))</f>
        <v>43</v>
      </c>
      <c r="BR178" s="60" t="n">
        <f aca="false">IF(BP178="LOSE",1,0)</f>
        <v>0</v>
      </c>
      <c r="BS178" s="59" t="n">
        <f aca="false">IF(BR178=0,0,IF(N(R178)&gt;0,R178,IFERROR(VLOOKUP(D178,Parameter!$A$35:$C$64,3,0)+0,0)))</f>
        <v>0</v>
      </c>
      <c r="BT178" s="55" t="n">
        <f aca="false">IF(Y178&lt;&gt;"",Y178,X178)</f>
        <v>3</v>
      </c>
      <c r="BU178" s="55" t="str">
        <f aca="false">IF(BT178=1,"L1",IF(OR(BT178=2,BT178=3),"L23",IF(BT178="Aussen","Aussen","-")))</f>
        <v>L23</v>
      </c>
      <c r="BV178" s="66" t="n">
        <f aca="false">IF(N(Z178)&gt;0,Z178,0)</f>
        <v>0</v>
      </c>
      <c r="BW178" s="60" t="n">
        <f aca="false">IF(ISNUMBER(AC178),1,0)</f>
        <v>0</v>
      </c>
      <c r="BX178" s="57" t="n">
        <f aca="false">N(AC178)</f>
        <v>0</v>
      </c>
      <c r="BY178" s="57" t="n">
        <f aca="false">N(L178)+N(M178)</f>
        <v>65</v>
      </c>
      <c r="BZ178" s="57" t="n">
        <f aca="false">ROUNDUP(G178/BQ178,0)</f>
        <v>1</v>
      </c>
      <c r="CA178" s="57" t="n">
        <f aca="false">ROUNDUP(BX178/BQ178,0)</f>
        <v>0</v>
      </c>
      <c r="CB178" s="60" t="n">
        <f aca="false">IF(BR178=1,0,IFERROR(VLOOKUP(BP178,'Gebinde-Kategorie'!$A$5:$M$45,5,0)+0,0))</f>
        <v>11</v>
      </c>
      <c r="CC178" s="60" t="n">
        <f aca="false">IFERROR(IF(OR(BT178=1,BT178=2,BT178=3),N(INDEX(Parameter!$I$5:$I$7,BT178)),0),0)</f>
        <v>0</v>
      </c>
      <c r="CD178" s="59" t="n">
        <f aca="false">IF(AND(Parameter!$B$21="Ja",ISNUMBER(U178),N(V178)&gt;0),IFERROR(N(INDEX(Parameter!$L$5:$L$7,U178))*INDEX(Parameter!$E$5:$E$7,U178)*V178/SUMIFS($V$7:$V$1576,$U$7:$U$1576,U178),0),0)</f>
        <v>0</v>
      </c>
    </row>
    <row r="179" customFormat="false" ht="15" hidden="false" customHeight="false" outlineLevel="0" collapsed="false">
      <c r="A179" s="55" t="s">
        <v>552</v>
      </c>
      <c r="B179" s="55" t="s">
        <v>553</v>
      </c>
      <c r="C179" s="55" t="s">
        <v>160</v>
      </c>
      <c r="D179" s="55" t="s">
        <v>178</v>
      </c>
      <c r="E179" s="55" t="s">
        <v>210</v>
      </c>
      <c r="F179" s="56" t="n">
        <v>17.82</v>
      </c>
      <c r="G179" s="57" t="n">
        <f aca="false">MAX(0,IF(AND(Parameter!$B$21="Ja",ISNUMBER(W179)),W179,IF(Parameter!$B$20="Jahresanfang 2025 + Export",BJ179+BI179,BI179)))</f>
        <v>66</v>
      </c>
      <c r="H179" s="57" t="n">
        <f aca="false">G179*F179</f>
        <v>1176.12</v>
      </c>
      <c r="I179" s="57" t="n">
        <f aca="false">BL179*Parameter!$B$18</f>
        <v>10</v>
      </c>
      <c r="J179" s="58" t="n">
        <v>9.5</v>
      </c>
      <c r="K179" s="59" t="n">
        <v>1.05263157894737</v>
      </c>
      <c r="L179" s="57" t="n">
        <v>0</v>
      </c>
      <c r="M179" s="57" t="n">
        <v>10</v>
      </c>
      <c r="N179" s="60" t="n">
        <v>28</v>
      </c>
      <c r="O179" s="55" t="s">
        <v>465</v>
      </c>
      <c r="P179" s="57" t="n">
        <v>27</v>
      </c>
      <c r="Q179" s="60" t="n">
        <f aca="false">IF(BR179=1,0,IFERROR(VLOOKUP(BP179,'Gebinde-Kategorie'!$A$5:$M$45,13,0)+0,0))</f>
        <v>66</v>
      </c>
      <c r="R179" s="61"/>
      <c r="S179" s="62"/>
      <c r="T179" s="62"/>
      <c r="U179" s="55"/>
      <c r="V179" s="57"/>
      <c r="W179" s="57"/>
      <c r="X179" s="55" t="n">
        <f aca="false">IF(A179="","",IF(AND(Parameter!$B$21="Ja",ISNUMBER(U179)),U179,IF(IFERROR(VLOOKUP(D179,Parameter!$A$35:$C$64,2,0),"Nein")="2+3",IF(ISNUMBER(SEARCH("grosser Artikel",BM179)),2,IFERROR(VLOOKUP(BP179,Parameter!$F$35:$G$64,2,0),2)),IF(OR(IFERROR(VLOOKUP(D179,Parameter!$A$35:$C$64,2,0),"Nein")="Nein",IFERROR(VLOOKUP(D179,Parameter!$A$35:$C$64,2,0),"Nein")=""),"-",VLOOKUP(D179,Parameter!$A$35:$C$64,2,0)))))</f>
        <v>3</v>
      </c>
      <c r="Y179" s="62"/>
      <c r="Z179" s="63"/>
      <c r="AA179" s="57" t="n">
        <f aca="false">AP179</f>
        <v>27</v>
      </c>
      <c r="AB179" s="57" t="n">
        <f aca="false">MAX(AP179,G179)</f>
        <v>66</v>
      </c>
      <c r="AC179" s="64"/>
      <c r="AD179" s="57" t="n">
        <f aca="false">IF(LEFT(Cockpit!$C$5,1)="A",G179,IF(BW179=1,BX179,IF(LEFT(Cockpit!$C$5,1)="B",AH179,MAX(AH179,G179))))</f>
        <v>66</v>
      </c>
      <c r="AE179" s="57" t="n">
        <f aca="false">IF(BR179=1,0,ROUNDUP(AD179/BQ179,0))</f>
        <v>3</v>
      </c>
      <c r="AF179" s="59" t="n">
        <f aca="false">IF(CD179&gt;0,CD179*MAX(1,AD179/V179),IF(BR179=1,IF(AD179&lt;=0,0,BS179*MAX(1,IF(G179&gt;0,AD179/G179,1))),IF(Q179&gt;0,AE179/Q179,0))/MAX(0.1,N(Parameter!$M$21)))</f>
        <v>0.0454545454545455</v>
      </c>
      <c r="AG179" s="57" t="n">
        <f aca="false">AD179*F179</f>
        <v>1176.12</v>
      </c>
      <c r="AH179" s="57" t="n">
        <f aca="false">ROUNDUP(MAX(I179/IF(BV179&gt;0,BV179,MAX(0.1,N(Cockpit!$C$6))),BY179)/BQ179,0)*BQ179</f>
        <v>27</v>
      </c>
      <c r="AI179" s="58" t="n">
        <f aca="false">IF(AF179&gt;0,I179/AF179,-1)</f>
        <v>220</v>
      </c>
      <c r="AJ179" s="58" t="n">
        <f aca="false">IF(AND(OR(BU179="L1",BU179="L23"),AF179&gt;0),SUMIFS($AF$7:$AF$1576,$BU$7:$BU$1576,BU179,$AI$7:$AI$1576,"&gt;"&amp;AI179)+SUMIFS($AF$7:$AF$1576,$BU$7:$BU$1576,BU179,$AI$7:$AI$1576,AI179,$BO$7:$BO$1576,"&lt;="&amp;BO179),"")</f>
        <v>16.7478112225938</v>
      </c>
      <c r="AK179" s="65" t="n">
        <f aca="false">IF(AJ179="",0,MAX(0,MIN(1,(IF(BU179="L1",Parameter!$E$5,Parameter!$E$6+Parameter!$E$7)-(AJ179-AF179))/AF179)))</f>
        <v>1</v>
      </c>
      <c r="AL179" s="57" t="n">
        <f aca="false">IF(LEFT(Cockpit!$I$5,1)="A",G179,IF(BW179=1,BX179,IF(LEFT(Cockpit!$I$5,1)="B",AP179,MAX(AP179,G179))))</f>
        <v>66</v>
      </c>
      <c r="AM179" s="57" t="n">
        <f aca="false">IF(BR179=1,0,ROUNDUP(AL179/BQ179,0))</f>
        <v>3</v>
      </c>
      <c r="AN179" s="59" t="n">
        <f aca="false">IF(CD179&gt;0,CD179*MAX(1,AL179/V179),IF(BR179=1,IF(AL179&lt;=0,0,BS179*MAX(1,IF(G179&gt;0,AL179/G179,1))),IF(Q179&gt;0,AM179/Q179,0))/MAX(0.1,N(Parameter!$M$21)))</f>
        <v>0.0454545454545455</v>
      </c>
      <c r="AO179" s="57" t="n">
        <f aca="false">AL179*F179</f>
        <v>1176.12</v>
      </c>
      <c r="AP179" s="57" t="n">
        <f aca="false">ROUNDUP(MAX(I179/IF(BV179&gt;0,BV179,MAX(0.1,N(Cockpit!$I$6))),BY179)/BQ179,0)*BQ179</f>
        <v>27</v>
      </c>
      <c r="AQ179" s="58" t="n">
        <f aca="false">IF(AN179&gt;0,I179/AN179,-1)</f>
        <v>220</v>
      </c>
      <c r="AR179" s="58" t="n">
        <f aca="false">IF(AND(OR(BU179="L1",BU179="L23"),AN179&gt;0),SUMIFS($AN$7:$AN$1576,$BU$7:$BU$1576,BU179,$AQ$7:$AQ$1576,"&gt;"&amp;AQ179)+SUMIFS($AN$7:$AN$1576,$BU$7:$BU$1576,BU179,$AQ$7:$AQ$1576,AQ179,$BO$7:$BO$1576,"&lt;="&amp;BO179),"")</f>
        <v>47.8420643249016</v>
      </c>
      <c r="AS179" s="65" t="n">
        <f aca="false">IF(AR179="",0,MAX(0,MIN(1,(IF(BU179="L1",Parameter!$E$5,Parameter!$E$6+Parameter!$E$7)-(AR179-AN179))/AN179)))</f>
        <v>1</v>
      </c>
      <c r="AT179" s="57" t="n">
        <f aca="false">IF(LEFT(Cockpit!$O$5,1)="A",G179,IF(BW179=1,BX179,IF(LEFT(Cockpit!$O$5,1)="B",AX179,MAX(AX179,G179))))</f>
        <v>66</v>
      </c>
      <c r="AU179" s="57" t="n">
        <f aca="false">IF(BR179=1,0,ROUNDUP(AT179/BQ179,0))</f>
        <v>3</v>
      </c>
      <c r="AV179" s="59" t="n">
        <f aca="false">IF(CD179&gt;0,CD179*MAX(1,AT179/V179),IF(BR179=1,IF(AT179&lt;=0,0,BS179*MAX(1,IF(G179&gt;0,AT179/G179,1))),IF(Q179&gt;0,AU179/Q179,0))/MAX(0.1,N(Parameter!$M$21)))</f>
        <v>0.0454545454545455</v>
      </c>
      <c r="AW179" s="57" t="n">
        <f aca="false">AT179*F179</f>
        <v>1176.12</v>
      </c>
      <c r="AX179" s="57" t="n">
        <f aca="false">ROUNDUP(MAX(I179/IF(BV179&gt;0,BV179,MAX(0.1,N(Cockpit!$O$6))),BY179)/BQ179,0)*BQ179</f>
        <v>27</v>
      </c>
      <c r="AY179" s="58" t="n">
        <f aca="false">IF(AV179&gt;0,I179/AV179,-1)</f>
        <v>220</v>
      </c>
      <c r="AZ179" s="58" t="n">
        <f aca="false">IF(AND(OR(BU179="L1",BU179="L23"),AV179&gt;0),SUMIFS($AV$7:$AV$1576,$BU$7:$BU$1576,BU179,$AY$7:$AY$1576,"&gt;"&amp;AY179)+SUMIFS($AV$7:$AV$1576,$BU$7:$BU$1576,BU179,$AY$7:$AY$1576,AY179,$BO$7:$BO$1576,"&lt;="&amp;BO179),"")</f>
        <v>45.1216580644953</v>
      </c>
      <c r="BA179" s="65" t="n">
        <f aca="false">IF(AZ179="",0,MAX(0,MIN(1,(IF(BU179="L1",Parameter!$E$5,Parameter!$E$6+Parameter!$E$7)-(AZ179-AV179))/AV179)))</f>
        <v>1</v>
      </c>
      <c r="BB179" s="55" t="str">
        <f aca="false">IF(AF179&lt;=0,"",IF(BU179="Aussen","Aussenlager",IF(BU179="-","Nicht im Lift",IF(AK179&gt;=1,"Lift",IF(AK179&lt;=0,"Aussenlager","teilweise")))))</f>
        <v>Lift</v>
      </c>
      <c r="BC179" s="55" t="str">
        <f aca="false">IF(AN179&lt;=0,"",IF(BU179="Aussen","Aussenlager",IF(BU179="-","Nicht im Lift",IF(AS179&gt;=1,"Lift",IF(AS179&lt;=0,"Aussenlager","teilweise")))))</f>
        <v>Lift</v>
      </c>
      <c r="BD179" s="55" t="str">
        <f aca="false">IF(AV179&lt;=0,"",IF(BU179="Aussen","Aussenlager",IF(BU179="-","Nicht im Lift",IF(BA179&gt;=1,"Lift",IF(BA179&lt;=0,"Aussenlager","teilweise")))))</f>
        <v>Lift</v>
      </c>
      <c r="BE179" s="55" t="str">
        <f aca="false">IF(A179="","",IF(BN179=1,"Neu; ","")&amp;IF(AND(BN179=0,BI179&lt;0),"negativer Bestand (Export "&amp;BI179&amp;"); ","")&amp;IF(I179&lt;=0,"Kein Verbrauch; ","")&amp;IF(CD179&gt;0,"Lift "&amp;U179&amp;" lt. Liftbericht (Fach "&amp;V179&amp;" Stk); ",IF(BR179=1,"Lose – Fläche geschätzt; ",""))&amp;IF(G179&gt;AP179,"Überbestand "&amp;ROUND(G179-AP179,0)&amp;" Stk / CHF "&amp;ROUND((G179-AP179)*F179,0)&amp;"; ","")&amp;IF(AND(BW179=1,BX179&lt;BY179),"MAX &lt; MB+LG; ","")&amp;IF(AND(CC179&gt;0,CB179*10&gt;CC179),"zu hoch für Tablar; ","")&amp;IF(AND(BN179=0,OR(BW179=1,Y179&lt;&gt;"",S179&lt;&gt;"",T179&lt;&gt;"",Z179&lt;&gt;"")),"manuell übersteuert; ","")&amp;IF(AND(BR179=0,Q179=0),"Gebinde unbekannt / Stellmass fehlt; ","")&amp;IF(AND(BR179=0,N(T179)&lt;=0,N(P179)&lt;=0),"Menge pro Gebinde fehlt (Ist = 1 Gebinde); ","")&amp;BM179)</f>
        <v>Überbestand 39 Stk / CHF 695; </v>
      </c>
      <c r="BF179" s="55"/>
      <c r="BG179" s="55"/>
      <c r="BH179" s="62"/>
      <c r="BI179" s="57" t="n">
        <v>66</v>
      </c>
      <c r="BJ179" s="57" t="n">
        <v>5</v>
      </c>
      <c r="BK179" s="56" t="n">
        <v>1025.77</v>
      </c>
      <c r="BL179" s="57" t="n">
        <v>10</v>
      </c>
      <c r="BM179" s="55"/>
      <c r="BN179" s="60" t="n">
        <v>0</v>
      </c>
      <c r="BO179" s="60" t="n">
        <v>179</v>
      </c>
      <c r="BP179" s="55" t="str">
        <f aca="false">IF(S179&lt;&gt;"",UPPER(TRIM(S179)),IF(O179="","LOSE",O179))</f>
        <v>S33</v>
      </c>
      <c r="BQ179" s="57" t="n">
        <f aca="false">IF(BP179="LOSE",1,IF(N(T179)&gt;0,T179,IF(N(P179)&gt;0,P179,MAX(1,G179))))</f>
        <v>27</v>
      </c>
      <c r="BR179" s="60" t="n">
        <f aca="false">IF(BP179="LOSE",1,0)</f>
        <v>0</v>
      </c>
      <c r="BS179" s="59" t="n">
        <f aca="false">IF(BR179=0,0,IF(N(R179)&gt;0,R179,IFERROR(VLOOKUP(D179,Parameter!$A$35:$C$64,3,0)+0,0)))</f>
        <v>0</v>
      </c>
      <c r="BT179" s="55" t="n">
        <f aca="false">IF(Y179&lt;&gt;"",Y179,X179)</f>
        <v>3</v>
      </c>
      <c r="BU179" s="55" t="str">
        <f aca="false">IF(BT179=1,"L1",IF(OR(BT179=2,BT179=3),"L23",IF(BT179="Aussen","Aussen","-")))</f>
        <v>L23</v>
      </c>
      <c r="BV179" s="66" t="n">
        <f aca="false">IF(N(Z179)&gt;0,Z179,0)</f>
        <v>0</v>
      </c>
      <c r="BW179" s="60" t="n">
        <f aca="false">IF(ISNUMBER(AC179),1,0)</f>
        <v>0</v>
      </c>
      <c r="BX179" s="57" t="n">
        <f aca="false">N(AC179)</f>
        <v>0</v>
      </c>
      <c r="BY179" s="57" t="n">
        <f aca="false">N(L179)+N(M179)</f>
        <v>10</v>
      </c>
      <c r="BZ179" s="57" t="n">
        <f aca="false">ROUNDUP(G179/BQ179,0)</f>
        <v>3</v>
      </c>
      <c r="CA179" s="57" t="n">
        <f aca="false">ROUNDUP(BX179/BQ179,0)</f>
        <v>0</v>
      </c>
      <c r="CB179" s="60" t="n">
        <f aca="false">IF(BR179=1,0,IFERROR(VLOOKUP(BP179,'Gebinde-Kategorie'!$A$5:$M$45,5,0)+0,0))</f>
        <v>8</v>
      </c>
      <c r="CC179" s="60" t="n">
        <f aca="false">IFERROR(IF(OR(BT179=1,BT179=2,BT179=3),N(INDEX(Parameter!$I$5:$I$7,BT179)),0),0)</f>
        <v>0</v>
      </c>
      <c r="CD179" s="59" t="n">
        <f aca="false">IF(AND(Parameter!$B$21="Ja",ISNUMBER(U179),N(V179)&gt;0),IFERROR(N(INDEX(Parameter!$L$5:$L$7,U179))*INDEX(Parameter!$E$5:$E$7,U179)*V179/SUMIFS($V$7:$V$1576,$U$7:$U$1576,U179),0),0)</f>
        <v>0</v>
      </c>
    </row>
    <row r="180" customFormat="false" ht="15" hidden="false" customHeight="false" outlineLevel="0" collapsed="false">
      <c r="A180" s="55" t="s">
        <v>554</v>
      </c>
      <c r="B180" s="55" t="s">
        <v>555</v>
      </c>
      <c r="C180" s="55" t="s">
        <v>160</v>
      </c>
      <c r="D180" s="55" t="s">
        <v>178</v>
      </c>
      <c r="E180" s="55" t="s">
        <v>210</v>
      </c>
      <c r="F180" s="56" t="n">
        <v>134.64</v>
      </c>
      <c r="G180" s="57" t="n">
        <f aca="false">MAX(0,IF(AND(Parameter!$B$21="Ja",ISNUMBER(W180)),W180,IF(Parameter!$B$20="Jahresanfang 2025 + Export",BJ180+BI180,BI180)))</f>
        <v>5</v>
      </c>
      <c r="H180" s="57" t="n">
        <f aca="false">G180*F180</f>
        <v>673.2</v>
      </c>
      <c r="I180" s="57" t="n">
        <f aca="false">BL180*Parameter!$B$18</f>
        <v>13</v>
      </c>
      <c r="J180" s="58" t="n">
        <v>6</v>
      </c>
      <c r="K180" s="59" t="n">
        <v>2.16666666666667</v>
      </c>
      <c r="L180" s="57" t="n">
        <v>0</v>
      </c>
      <c r="M180" s="57" t="n">
        <v>15</v>
      </c>
      <c r="N180" s="60" t="n">
        <v>14</v>
      </c>
      <c r="O180" s="55" t="s">
        <v>465</v>
      </c>
      <c r="P180" s="57" t="n">
        <v>29</v>
      </c>
      <c r="Q180" s="60" t="n">
        <f aca="false">IF(BR180=1,0,IFERROR(VLOOKUP(BP180,'Gebinde-Kategorie'!$A$5:$M$45,13,0)+0,0))</f>
        <v>66</v>
      </c>
      <c r="R180" s="61"/>
      <c r="S180" s="62"/>
      <c r="T180" s="62"/>
      <c r="U180" s="55"/>
      <c r="V180" s="57"/>
      <c r="W180" s="57"/>
      <c r="X180" s="55" t="n">
        <f aca="false">IF(A180="","",IF(AND(Parameter!$B$21="Ja",ISNUMBER(U180)),U180,IF(IFERROR(VLOOKUP(D180,Parameter!$A$35:$C$64,2,0),"Nein")="2+3",IF(ISNUMBER(SEARCH("grosser Artikel",BM180)),2,IFERROR(VLOOKUP(BP180,Parameter!$F$35:$G$64,2,0),2)),IF(OR(IFERROR(VLOOKUP(D180,Parameter!$A$35:$C$64,2,0),"Nein")="Nein",IFERROR(VLOOKUP(D180,Parameter!$A$35:$C$64,2,0),"Nein")=""),"-",VLOOKUP(D180,Parameter!$A$35:$C$64,2,0)))))</f>
        <v>3</v>
      </c>
      <c r="Y180" s="62"/>
      <c r="Z180" s="63"/>
      <c r="AA180" s="57" t="n">
        <f aca="false">AP180</f>
        <v>29</v>
      </c>
      <c r="AB180" s="57" t="n">
        <f aca="false">MAX(AP180,G180)</f>
        <v>29</v>
      </c>
      <c r="AC180" s="64"/>
      <c r="AD180" s="57" t="n">
        <f aca="false">IF(LEFT(Cockpit!$C$5,1)="A",G180,IF(BW180=1,BX180,IF(LEFT(Cockpit!$C$5,1)="B",AH180,MAX(AH180,G180))))</f>
        <v>5</v>
      </c>
      <c r="AE180" s="57" t="n">
        <f aca="false">IF(BR180=1,0,ROUNDUP(AD180/BQ180,0))</f>
        <v>1</v>
      </c>
      <c r="AF180" s="59" t="n">
        <f aca="false">IF(CD180&gt;0,CD180*MAX(1,AD180/V180),IF(BR180=1,IF(AD180&lt;=0,0,BS180*MAX(1,IF(G180&gt;0,AD180/G180,1))),IF(Q180&gt;0,AE180/Q180,0))/MAX(0.1,N(Parameter!$M$21)))</f>
        <v>0.0151515151515152</v>
      </c>
      <c r="AG180" s="57" t="n">
        <f aca="false">AD180*F180</f>
        <v>673.2</v>
      </c>
      <c r="AH180" s="57" t="n">
        <f aca="false">ROUNDUP(MAX(I180/IF(BV180&gt;0,BV180,MAX(0.1,N(Cockpit!$C$6))),BY180)/BQ180,0)*BQ180</f>
        <v>29</v>
      </c>
      <c r="AI180" s="58" t="n">
        <f aca="false">IF(AF180&gt;0,I180/AF180,-1)</f>
        <v>858</v>
      </c>
      <c r="AJ180" s="58" t="n">
        <f aca="false">IF(AND(OR(BU180="L1",BU180="L23"),AF180&gt;0),SUMIFS($AF$7:$AF$1576,$BU$7:$BU$1576,BU180,$AI$7:$AI$1576,"&gt;"&amp;AI180)+SUMIFS($AF$7:$AF$1576,$BU$7:$BU$1576,BU180,$AI$7:$AI$1576,AI180,$BO$7:$BO$1576,"&lt;="&amp;BO180),"")</f>
        <v>10.3713148204453</v>
      </c>
      <c r="AK180" s="65" t="n">
        <f aca="false">IF(AJ180="",0,MAX(0,MIN(1,(IF(BU180="L1",Parameter!$E$5,Parameter!$E$6+Parameter!$E$7)-(AJ180-AF180))/AF180)))</f>
        <v>1</v>
      </c>
      <c r="AL180" s="57" t="n">
        <f aca="false">IF(LEFT(Cockpit!$I$5,1)="A",G180,IF(BW180=1,BX180,IF(LEFT(Cockpit!$I$5,1)="B",AP180,MAX(AP180,G180))))</f>
        <v>29</v>
      </c>
      <c r="AM180" s="57" t="n">
        <f aca="false">IF(BR180=1,0,ROUNDUP(AL180/BQ180,0))</f>
        <v>1</v>
      </c>
      <c r="AN180" s="59" t="n">
        <f aca="false">IF(CD180&gt;0,CD180*MAX(1,AL180/V180),IF(BR180=1,IF(AL180&lt;=0,0,BS180*MAX(1,IF(G180&gt;0,AL180/G180,1))),IF(Q180&gt;0,AM180/Q180,0))/MAX(0.1,N(Parameter!$M$21)))</f>
        <v>0.0151515151515152</v>
      </c>
      <c r="AO180" s="57" t="n">
        <f aca="false">AL180*F180</f>
        <v>3904.56</v>
      </c>
      <c r="AP180" s="57" t="n">
        <f aca="false">ROUNDUP(MAX(I180/IF(BV180&gt;0,BV180,MAX(0.1,N(Cockpit!$I$6))),BY180)/BQ180,0)*BQ180</f>
        <v>29</v>
      </c>
      <c r="AQ180" s="58" t="n">
        <f aca="false">IF(AN180&gt;0,I180/AN180,-1)</f>
        <v>858</v>
      </c>
      <c r="AR180" s="58" t="n">
        <f aca="false">IF(AND(OR(BU180="L1",BU180="L23"),AN180&gt;0),SUMIFS($AN$7:$AN$1576,$BU$7:$BU$1576,BU180,$AQ$7:$AQ$1576,"&gt;"&amp;AQ180)+SUMIFS($AN$7:$AN$1576,$BU$7:$BU$1576,BU180,$AQ$7:$AQ$1576,AQ180,$BO$7:$BO$1576,"&lt;="&amp;BO180),"")</f>
        <v>25.495701798539</v>
      </c>
      <c r="AS180" s="65" t="n">
        <f aca="false">IF(AR180="",0,MAX(0,MIN(1,(IF(BU180="L1",Parameter!$E$5,Parameter!$E$6+Parameter!$E$7)-(AR180-AN180))/AN180)))</f>
        <v>1</v>
      </c>
      <c r="AT180" s="57" t="n">
        <f aca="false">IF(LEFT(Cockpit!$O$5,1)="A",G180,IF(BW180=1,BX180,IF(LEFT(Cockpit!$O$5,1)="B",AX180,MAX(AX180,G180))))</f>
        <v>29</v>
      </c>
      <c r="AU180" s="57" t="n">
        <f aca="false">IF(BR180=1,0,ROUNDUP(AT180/BQ180,0))</f>
        <v>1</v>
      </c>
      <c r="AV180" s="59" t="n">
        <f aca="false">IF(CD180&gt;0,CD180*MAX(1,AT180/V180),IF(BR180=1,IF(AT180&lt;=0,0,BS180*MAX(1,IF(G180&gt;0,AT180/G180,1))),IF(Q180&gt;0,AU180/Q180,0))/MAX(0.1,N(Parameter!$M$21)))</f>
        <v>0.0151515151515152</v>
      </c>
      <c r="AW180" s="57" t="n">
        <f aca="false">AT180*F180</f>
        <v>3904.56</v>
      </c>
      <c r="AX180" s="57" t="n">
        <f aca="false">ROUNDUP(MAX(I180/IF(BV180&gt;0,BV180,MAX(0.1,N(Cockpit!$O$6))),BY180)/BQ180,0)*BQ180</f>
        <v>29</v>
      </c>
      <c r="AY180" s="58" t="n">
        <f aca="false">IF(AV180&gt;0,I180/AV180,-1)</f>
        <v>858</v>
      </c>
      <c r="AZ180" s="58" t="n">
        <f aca="false">IF(AND(OR(BU180="L1",BU180="L23"),AV180&gt;0),SUMIFS($AV$7:$AV$1576,$BU$7:$BU$1576,BU180,$AY$7:$AY$1576,"&gt;"&amp;AY180)+SUMIFS($AV$7:$AV$1576,$BU$7:$BU$1576,BU180,$AY$7:$AY$1576,AY180,$BO$7:$BO$1576,"&lt;="&amp;BO180),"")</f>
        <v>25.729384782222</v>
      </c>
      <c r="BA180" s="65" t="n">
        <f aca="false">IF(AZ180="",0,MAX(0,MIN(1,(IF(BU180="L1",Parameter!$E$5,Parameter!$E$6+Parameter!$E$7)-(AZ180-AV180))/AV180)))</f>
        <v>1</v>
      </c>
      <c r="BB180" s="55" t="str">
        <f aca="false">IF(AF180&lt;=0,"",IF(BU180="Aussen","Aussenlager",IF(BU180="-","Nicht im Lift",IF(AK180&gt;=1,"Lift",IF(AK180&lt;=0,"Aussenlager","teilweise")))))</f>
        <v>Lift</v>
      </c>
      <c r="BC180" s="55" t="str">
        <f aca="false">IF(AN180&lt;=0,"",IF(BU180="Aussen","Aussenlager",IF(BU180="-","Nicht im Lift",IF(AS180&gt;=1,"Lift",IF(AS180&lt;=0,"Aussenlager","teilweise")))))</f>
        <v>Lift</v>
      </c>
      <c r="BD180" s="55" t="str">
        <f aca="false">IF(AV180&lt;=0,"",IF(BU180="Aussen","Aussenlager",IF(BU180="-","Nicht im Lift",IF(BA180&gt;=1,"Lift",IF(BA180&lt;=0,"Aussenlager","teilweise")))))</f>
        <v>Lift</v>
      </c>
      <c r="BE180" s="55" t="str">
        <f aca="false">IF(A180="","",IF(BN180=1,"Neu; ","")&amp;IF(AND(BN180=0,BI180&lt;0),"negativer Bestand (Export "&amp;BI180&amp;"); ","")&amp;IF(I180&lt;=0,"Kein Verbrauch; ","")&amp;IF(CD180&gt;0,"Lift "&amp;U180&amp;" lt. Liftbericht (Fach "&amp;V180&amp;" Stk); ",IF(BR180=1,"Lose – Fläche geschätzt; ",""))&amp;IF(G180&gt;AP180,"Überbestand "&amp;ROUND(G180-AP180,0)&amp;" Stk / CHF "&amp;ROUND((G180-AP180)*F180,0)&amp;"; ","")&amp;IF(AND(BW180=1,BX180&lt;BY180),"MAX &lt; MB+LG; ","")&amp;IF(AND(CC180&gt;0,CB180*10&gt;CC180),"zu hoch für Tablar; ","")&amp;IF(AND(BN180=0,OR(BW180=1,Y180&lt;&gt;"",S180&lt;&gt;"",T180&lt;&gt;"",Z180&lt;&gt;"")),"manuell übersteuert; ","")&amp;IF(AND(BR180=0,Q180=0),"Gebinde unbekannt / Stellmass fehlt; ","")&amp;IF(AND(BR180=0,N(T180)&lt;=0,N(P180)&lt;=0),"Menge pro Gebinde fehlt (Ist = 1 Gebinde); ","")&amp;BM180)</f>
        <v/>
      </c>
      <c r="BF180" s="55"/>
      <c r="BG180" s="55"/>
      <c r="BH180" s="62"/>
      <c r="BI180" s="57" t="n">
        <v>5</v>
      </c>
      <c r="BJ180" s="57" t="n">
        <v>8</v>
      </c>
      <c r="BK180" s="56" t="n">
        <v>1016.24</v>
      </c>
      <c r="BL180" s="57" t="n">
        <v>13</v>
      </c>
      <c r="BM180" s="55"/>
      <c r="BN180" s="60" t="n">
        <v>0</v>
      </c>
      <c r="BO180" s="60" t="n">
        <v>180</v>
      </c>
      <c r="BP180" s="55" t="str">
        <f aca="false">IF(S180&lt;&gt;"",UPPER(TRIM(S180)),IF(O180="","LOSE",O180))</f>
        <v>S33</v>
      </c>
      <c r="BQ180" s="57" t="n">
        <f aca="false">IF(BP180="LOSE",1,IF(N(T180)&gt;0,T180,IF(N(P180)&gt;0,P180,MAX(1,G180))))</f>
        <v>29</v>
      </c>
      <c r="BR180" s="60" t="n">
        <f aca="false">IF(BP180="LOSE",1,0)</f>
        <v>0</v>
      </c>
      <c r="BS180" s="59" t="n">
        <f aca="false">IF(BR180=0,0,IF(N(R180)&gt;0,R180,IFERROR(VLOOKUP(D180,Parameter!$A$35:$C$64,3,0)+0,0)))</f>
        <v>0</v>
      </c>
      <c r="BT180" s="55" t="n">
        <f aca="false">IF(Y180&lt;&gt;"",Y180,X180)</f>
        <v>3</v>
      </c>
      <c r="BU180" s="55" t="str">
        <f aca="false">IF(BT180=1,"L1",IF(OR(BT180=2,BT180=3),"L23",IF(BT180="Aussen","Aussen","-")))</f>
        <v>L23</v>
      </c>
      <c r="BV180" s="66" t="n">
        <f aca="false">IF(N(Z180)&gt;0,Z180,0)</f>
        <v>0</v>
      </c>
      <c r="BW180" s="60" t="n">
        <f aca="false">IF(ISNUMBER(AC180),1,0)</f>
        <v>0</v>
      </c>
      <c r="BX180" s="57" t="n">
        <f aca="false">N(AC180)</f>
        <v>0</v>
      </c>
      <c r="BY180" s="57" t="n">
        <f aca="false">N(L180)+N(M180)</f>
        <v>15</v>
      </c>
      <c r="BZ180" s="57" t="n">
        <f aca="false">ROUNDUP(G180/BQ180,0)</f>
        <v>1</v>
      </c>
      <c r="CA180" s="57" t="n">
        <f aca="false">ROUNDUP(BX180/BQ180,0)</f>
        <v>0</v>
      </c>
      <c r="CB180" s="60" t="n">
        <f aca="false">IF(BR180=1,0,IFERROR(VLOOKUP(BP180,'Gebinde-Kategorie'!$A$5:$M$45,5,0)+0,0))</f>
        <v>8</v>
      </c>
      <c r="CC180" s="60" t="n">
        <f aca="false">IFERROR(IF(OR(BT180=1,BT180=2,BT180=3),N(INDEX(Parameter!$I$5:$I$7,BT180)),0),0)</f>
        <v>0</v>
      </c>
      <c r="CD180" s="59" t="n">
        <f aca="false">IF(AND(Parameter!$B$21="Ja",ISNUMBER(U180),N(V180)&gt;0),IFERROR(N(INDEX(Parameter!$L$5:$L$7,U180))*INDEX(Parameter!$E$5:$E$7,U180)*V180/SUMIFS($V$7:$V$1576,$U$7:$U$1576,U180),0),0)</f>
        <v>0</v>
      </c>
    </row>
    <row r="181" customFormat="false" ht="15" hidden="false" customHeight="false" outlineLevel="0" collapsed="false">
      <c r="A181" s="55" t="s">
        <v>556</v>
      </c>
      <c r="B181" s="55" t="s">
        <v>533</v>
      </c>
      <c r="C181" s="55" t="s">
        <v>160</v>
      </c>
      <c r="D181" s="55" t="s">
        <v>178</v>
      </c>
      <c r="E181" s="55" t="s">
        <v>210</v>
      </c>
      <c r="F181" s="56" t="n">
        <v>14.91</v>
      </c>
      <c r="G181" s="57" t="n">
        <f aca="false">MAX(0,IF(AND(Parameter!$B$21="Ja",ISNUMBER(W181)),W181,IF(Parameter!$B$20="Jahresanfang 2025 + Export",BJ181+BI181,BI181)))</f>
        <v>71</v>
      </c>
      <c r="H181" s="57" t="n">
        <f aca="false">G181*F181</f>
        <v>1058.61</v>
      </c>
      <c r="I181" s="57" t="n">
        <f aca="false">BL181*Parameter!$B$18</f>
        <v>83</v>
      </c>
      <c r="J181" s="58" t="n">
        <v>13.5</v>
      </c>
      <c r="K181" s="59" t="n">
        <v>6.14814814814815</v>
      </c>
      <c r="L181" s="57" t="n">
        <v>4</v>
      </c>
      <c r="M181" s="57" t="n">
        <v>85</v>
      </c>
      <c r="N181" s="60" t="n">
        <v>21</v>
      </c>
      <c r="O181" s="55" t="s">
        <v>416</v>
      </c>
      <c r="P181" s="57" t="n">
        <v>36</v>
      </c>
      <c r="Q181" s="60" t="n">
        <f aca="false">IF(BR181=1,0,IFERROR(VLOOKUP(BP181,'Gebinde-Kategorie'!$A$5:$M$45,13,0)+0,0))</f>
        <v>198</v>
      </c>
      <c r="R181" s="61"/>
      <c r="S181" s="62"/>
      <c r="T181" s="62"/>
      <c r="U181" s="55"/>
      <c r="V181" s="57"/>
      <c r="W181" s="57"/>
      <c r="X181" s="55" t="n">
        <f aca="false">IF(A181="","",IF(AND(Parameter!$B$21="Ja",ISNUMBER(U181)),U181,IF(IFERROR(VLOOKUP(D181,Parameter!$A$35:$C$64,2,0),"Nein")="2+3",IF(ISNUMBER(SEARCH("grosser Artikel",BM181)),2,IFERROR(VLOOKUP(BP181,Parameter!$F$35:$G$64,2,0),2)),IF(OR(IFERROR(VLOOKUP(D181,Parameter!$A$35:$C$64,2,0),"Nein")="Nein",IFERROR(VLOOKUP(D181,Parameter!$A$35:$C$64,2,0),"Nein")=""),"-",VLOOKUP(D181,Parameter!$A$35:$C$64,2,0)))))</f>
        <v>3</v>
      </c>
      <c r="Y181" s="62"/>
      <c r="Z181" s="63"/>
      <c r="AA181" s="57" t="n">
        <f aca="false">AP181</f>
        <v>108</v>
      </c>
      <c r="AB181" s="57" t="n">
        <f aca="false">MAX(AP181,G181)</f>
        <v>108</v>
      </c>
      <c r="AC181" s="64"/>
      <c r="AD181" s="57" t="n">
        <f aca="false">IF(LEFT(Cockpit!$C$5,1)="A",G181,IF(BW181=1,BX181,IF(LEFT(Cockpit!$C$5,1)="B",AH181,MAX(AH181,G181))))</f>
        <v>71</v>
      </c>
      <c r="AE181" s="57" t="n">
        <f aca="false">IF(BR181=1,0,ROUNDUP(AD181/BQ181,0))</f>
        <v>2</v>
      </c>
      <c r="AF181" s="59" t="n">
        <f aca="false">IF(CD181&gt;0,CD181*MAX(1,AD181/V181),IF(BR181=1,IF(AD181&lt;=0,0,BS181*MAX(1,IF(G181&gt;0,AD181/G181,1))),IF(Q181&gt;0,AE181/Q181,0))/MAX(0.1,N(Parameter!$M$21)))</f>
        <v>0.0101010101010101</v>
      </c>
      <c r="AG181" s="57" t="n">
        <f aca="false">AD181*F181</f>
        <v>1058.61</v>
      </c>
      <c r="AH181" s="57" t="n">
        <f aca="false">ROUNDUP(MAX(I181/IF(BV181&gt;0,BV181,MAX(0.1,N(Cockpit!$C$6))),BY181)/BQ181,0)*BQ181</f>
        <v>108</v>
      </c>
      <c r="AI181" s="58" t="n">
        <f aca="false">IF(AF181&gt;0,I181/AF181,-1)</f>
        <v>8217</v>
      </c>
      <c r="AJ181" s="58" t="n">
        <f aca="false">IF(AND(OR(BU181="L1",BU181="L23"),AF181&gt;0),SUMIFS($AF$7:$AF$1576,$BU$7:$BU$1576,BU181,$AI$7:$AI$1576,"&gt;"&amp;AI181)+SUMIFS($AF$7:$AF$1576,$BU$7:$BU$1576,BU181,$AI$7:$AI$1576,AI181,$BO$7:$BO$1576,"&lt;="&amp;BO181),"")</f>
        <v>3.01908719300024</v>
      </c>
      <c r="AK181" s="65" t="n">
        <f aca="false">IF(AJ181="",0,MAX(0,MIN(1,(IF(BU181="L1",Parameter!$E$5,Parameter!$E$6+Parameter!$E$7)-(AJ181-AF181))/AF181)))</f>
        <v>1</v>
      </c>
      <c r="AL181" s="57" t="n">
        <f aca="false">IF(LEFT(Cockpit!$I$5,1)="A",G181,IF(BW181=1,BX181,IF(LEFT(Cockpit!$I$5,1)="B",AP181,MAX(AP181,G181))))</f>
        <v>108</v>
      </c>
      <c r="AM181" s="57" t="n">
        <f aca="false">IF(BR181=1,0,ROUNDUP(AL181/BQ181,0))</f>
        <v>3</v>
      </c>
      <c r="AN181" s="59" t="n">
        <f aca="false">IF(CD181&gt;0,CD181*MAX(1,AL181/V181),IF(BR181=1,IF(AL181&lt;=0,0,BS181*MAX(1,IF(G181&gt;0,AL181/G181,1))),IF(Q181&gt;0,AM181/Q181,0))/MAX(0.1,N(Parameter!$M$21)))</f>
        <v>0.0151515151515152</v>
      </c>
      <c r="AO181" s="57" t="n">
        <f aca="false">AL181*F181</f>
        <v>1610.28</v>
      </c>
      <c r="AP181" s="57" t="n">
        <f aca="false">ROUNDUP(MAX(I181/IF(BV181&gt;0,BV181,MAX(0.1,N(Cockpit!$I$6))),BY181)/BQ181,0)*BQ181</f>
        <v>108</v>
      </c>
      <c r="AQ181" s="58" t="n">
        <f aca="false">IF(AN181&gt;0,I181/AN181,-1)</f>
        <v>5478</v>
      </c>
      <c r="AR181" s="58" t="n">
        <f aca="false">IF(AND(OR(BU181="L1",BU181="L23"),AN181&gt;0),SUMIFS($AN$7:$AN$1576,$BU$7:$BU$1576,BU181,$AQ$7:$AQ$1576,"&gt;"&amp;AQ181)+SUMIFS($AN$7:$AN$1576,$BU$7:$BU$1576,BU181,$AQ$7:$AQ$1576,AQ181,$BO$7:$BO$1576,"&lt;="&amp;BO181),"")</f>
        <v>11.0345298908821</v>
      </c>
      <c r="AS181" s="65" t="n">
        <f aca="false">IF(AR181="",0,MAX(0,MIN(1,(IF(BU181="L1",Parameter!$E$5,Parameter!$E$6+Parameter!$E$7)-(AR181-AN181))/AN181)))</f>
        <v>1</v>
      </c>
      <c r="AT181" s="57" t="n">
        <f aca="false">IF(LEFT(Cockpit!$O$5,1)="A",G181,IF(BW181=1,BX181,IF(LEFT(Cockpit!$O$5,1)="B",AX181,MAX(AX181,G181))))</f>
        <v>108</v>
      </c>
      <c r="AU181" s="57" t="n">
        <f aca="false">IF(BR181=1,0,ROUNDUP(AT181/BQ181,0))</f>
        <v>3</v>
      </c>
      <c r="AV181" s="59" t="n">
        <f aca="false">IF(CD181&gt;0,CD181*MAX(1,AT181/V181),IF(BR181=1,IF(AT181&lt;=0,0,BS181*MAX(1,IF(G181&gt;0,AT181/G181,1))),IF(Q181&gt;0,AU181/Q181,0))/MAX(0.1,N(Parameter!$M$21)))</f>
        <v>0.0151515151515152</v>
      </c>
      <c r="AW181" s="57" t="n">
        <f aca="false">AT181*F181</f>
        <v>1610.28</v>
      </c>
      <c r="AX181" s="57" t="n">
        <f aca="false">ROUNDUP(MAX(I181/IF(BV181&gt;0,BV181,MAX(0.1,N(Cockpit!$O$6))),BY181)/BQ181,0)*BQ181</f>
        <v>108</v>
      </c>
      <c r="AY181" s="58" t="n">
        <f aca="false">IF(AV181&gt;0,I181/AV181,-1)</f>
        <v>5478</v>
      </c>
      <c r="AZ181" s="58" t="n">
        <f aca="false">IF(AND(OR(BU181="L1",BU181="L23"),AV181&gt;0),SUMIFS($AV$7:$AV$1576,$BU$7:$BU$1576,BU181,$AY$7:$AY$1576,"&gt;"&amp;AY181)+SUMIFS($AV$7:$AV$1576,$BU$7:$BU$1576,BU181,$AY$7:$AY$1576,AY181,$BO$7:$BO$1576,"&lt;="&amp;BO181),"")</f>
        <v>10.2553923617445</v>
      </c>
      <c r="BA181" s="65" t="n">
        <f aca="false">IF(AZ181="",0,MAX(0,MIN(1,(IF(BU181="L1",Parameter!$E$5,Parameter!$E$6+Parameter!$E$7)-(AZ181-AV181))/AV181)))</f>
        <v>1</v>
      </c>
      <c r="BB181" s="55" t="str">
        <f aca="false">IF(AF181&lt;=0,"",IF(BU181="Aussen","Aussenlager",IF(BU181="-","Nicht im Lift",IF(AK181&gt;=1,"Lift",IF(AK181&lt;=0,"Aussenlager","teilweise")))))</f>
        <v>Lift</v>
      </c>
      <c r="BC181" s="55" t="str">
        <f aca="false">IF(AN181&lt;=0,"",IF(BU181="Aussen","Aussenlager",IF(BU181="-","Nicht im Lift",IF(AS181&gt;=1,"Lift",IF(AS181&lt;=0,"Aussenlager","teilweise")))))</f>
        <v>Lift</v>
      </c>
      <c r="BD181" s="55" t="str">
        <f aca="false">IF(AV181&lt;=0,"",IF(BU181="Aussen","Aussenlager",IF(BU181="-","Nicht im Lift",IF(BA181&gt;=1,"Lift",IF(BA181&lt;=0,"Aussenlager","teilweise")))))</f>
        <v>Lift</v>
      </c>
      <c r="BE181" s="55" t="str">
        <f aca="false">IF(A181="","",IF(BN181=1,"Neu; ","")&amp;IF(AND(BN181=0,BI181&lt;0),"negativer Bestand (Export "&amp;BI181&amp;"); ","")&amp;IF(I181&lt;=0,"Kein Verbrauch; ","")&amp;IF(CD181&gt;0,"Lift "&amp;U181&amp;" lt. Liftbericht (Fach "&amp;V181&amp;" Stk); ",IF(BR181=1,"Lose – Fläche geschätzt; ",""))&amp;IF(G181&gt;AP181,"Überbestand "&amp;ROUND(G181-AP181,0)&amp;" Stk / CHF "&amp;ROUND((G181-AP181)*F181,0)&amp;"; ","")&amp;IF(AND(BW181=1,BX181&lt;BY181),"MAX &lt; MB+LG; ","")&amp;IF(AND(CC181&gt;0,CB181*10&gt;CC181),"zu hoch für Tablar; ","")&amp;IF(AND(BN181=0,OR(BW181=1,Y181&lt;&gt;"",S181&lt;&gt;"",T181&lt;&gt;"",Z181&lt;&gt;"")),"manuell übersteuert; ","")&amp;IF(AND(BR181=0,Q181=0),"Gebinde unbekannt / Stellmass fehlt; ","")&amp;IF(AND(BR181=0,N(T181)&lt;=0,N(P181)&lt;=0),"Menge pro Gebinde fehlt (Ist = 1 Gebinde); ","")&amp;BM181)</f>
        <v/>
      </c>
      <c r="BF181" s="55"/>
      <c r="BG181" s="55"/>
      <c r="BH181" s="62"/>
      <c r="BI181" s="57" t="n">
        <v>71</v>
      </c>
      <c r="BJ181" s="57" t="n">
        <v>12</v>
      </c>
      <c r="BK181" s="56" t="n">
        <v>1001.61</v>
      </c>
      <c r="BL181" s="57" t="n">
        <v>83</v>
      </c>
      <c r="BM181" s="55"/>
      <c r="BN181" s="60" t="n">
        <v>0</v>
      </c>
      <c r="BO181" s="60" t="n">
        <v>181</v>
      </c>
      <c r="BP181" s="55" t="str">
        <f aca="false">IF(S181&lt;&gt;"",UPPER(TRIM(S181)),IF(O181="","LOSE",O181))</f>
        <v>S22</v>
      </c>
      <c r="BQ181" s="57" t="n">
        <f aca="false">IF(BP181="LOSE",1,IF(N(T181)&gt;0,T181,IF(N(P181)&gt;0,P181,MAX(1,G181))))</f>
        <v>36</v>
      </c>
      <c r="BR181" s="60" t="n">
        <f aca="false">IF(BP181="LOSE",1,0)</f>
        <v>0</v>
      </c>
      <c r="BS181" s="59" t="n">
        <f aca="false">IF(BR181=0,0,IF(N(R181)&gt;0,R181,IFERROR(VLOOKUP(D181,Parameter!$A$35:$C$64,3,0)+0,0)))</f>
        <v>0</v>
      </c>
      <c r="BT181" s="55" t="n">
        <f aca="false">IF(Y181&lt;&gt;"",Y181,X181)</f>
        <v>3</v>
      </c>
      <c r="BU181" s="55" t="str">
        <f aca="false">IF(BT181=1,"L1",IF(OR(BT181=2,BT181=3),"L23",IF(BT181="Aussen","Aussen","-")))</f>
        <v>L23</v>
      </c>
      <c r="BV181" s="66" t="n">
        <f aca="false">IF(N(Z181)&gt;0,Z181,0)</f>
        <v>0</v>
      </c>
      <c r="BW181" s="60" t="n">
        <f aca="false">IF(ISNUMBER(AC181),1,0)</f>
        <v>0</v>
      </c>
      <c r="BX181" s="57" t="n">
        <f aca="false">N(AC181)</f>
        <v>0</v>
      </c>
      <c r="BY181" s="57" t="n">
        <f aca="false">N(L181)+N(M181)</f>
        <v>89</v>
      </c>
      <c r="BZ181" s="57" t="n">
        <f aca="false">ROUNDUP(G181/BQ181,0)</f>
        <v>2</v>
      </c>
      <c r="CA181" s="57" t="n">
        <f aca="false">ROUNDUP(BX181/BQ181,0)</f>
        <v>0</v>
      </c>
      <c r="CB181" s="60" t="n">
        <f aca="false">IF(BR181=1,0,IFERROR(VLOOKUP(BP181,'Gebinde-Kategorie'!$A$5:$M$45,5,0)+0,0))</f>
        <v>8</v>
      </c>
      <c r="CC181" s="60" t="n">
        <f aca="false">IFERROR(IF(OR(BT181=1,BT181=2,BT181=3),N(INDEX(Parameter!$I$5:$I$7,BT181)),0),0)</f>
        <v>0</v>
      </c>
      <c r="CD181" s="59" t="n">
        <f aca="false">IF(AND(Parameter!$B$21="Ja",ISNUMBER(U181),N(V181)&gt;0),IFERROR(N(INDEX(Parameter!$L$5:$L$7,U181))*INDEX(Parameter!$E$5:$E$7,U181)*V181/SUMIFS($V$7:$V$1576,$U$7:$U$1576,U181),0),0)</f>
        <v>0</v>
      </c>
    </row>
    <row r="182" customFormat="false" ht="15" hidden="false" customHeight="false" outlineLevel="0" collapsed="false">
      <c r="A182" s="55" t="s">
        <v>557</v>
      </c>
      <c r="B182" s="55" t="s">
        <v>558</v>
      </c>
      <c r="C182" s="55" t="s">
        <v>160</v>
      </c>
      <c r="D182" s="55" t="s">
        <v>178</v>
      </c>
      <c r="E182" s="55" t="s">
        <v>210</v>
      </c>
      <c r="F182" s="56" t="n">
        <v>66.53</v>
      </c>
      <c r="G182" s="57" t="n">
        <f aca="false">MAX(0,IF(AND(Parameter!$B$21="Ja",ISNUMBER(W182)),W182,IF(Parameter!$B$20="Jahresanfang 2025 + Export",BJ182+BI182,BI182)))</f>
        <v>15</v>
      </c>
      <c r="H182" s="57" t="n">
        <f aca="false">G182*F182</f>
        <v>997.95</v>
      </c>
      <c r="I182" s="57" t="n">
        <f aca="false">BL182*Parameter!$B$18</f>
        <v>0</v>
      </c>
      <c r="J182" s="58" t="n">
        <v>0</v>
      </c>
      <c r="K182" s="59" t="n">
        <v>0</v>
      </c>
      <c r="L182" s="57" t="n">
        <v>0</v>
      </c>
      <c r="M182" s="57" t="n">
        <v>1</v>
      </c>
      <c r="N182" s="60" t="n">
        <v>9999</v>
      </c>
      <c r="O182" s="55" t="s">
        <v>163</v>
      </c>
      <c r="P182" s="57"/>
      <c r="Q182" s="60" t="n">
        <f aca="false">IF(BR182=1,0,IFERROR(VLOOKUP(BP182,'Gebinde-Kategorie'!$A$5:$M$45,13,0)+0,0))</f>
        <v>0</v>
      </c>
      <c r="R182" s="61"/>
      <c r="S182" s="62"/>
      <c r="T182" s="62"/>
      <c r="U182" s="55"/>
      <c r="V182" s="57"/>
      <c r="W182" s="57"/>
      <c r="X182" s="55" t="n">
        <f aca="false">IF(A182="","",IF(AND(Parameter!$B$21="Ja",ISNUMBER(U182)),U182,IF(IFERROR(VLOOKUP(D182,Parameter!$A$35:$C$64,2,0),"Nein")="2+3",IF(ISNUMBER(SEARCH("grosser Artikel",BM182)),2,IFERROR(VLOOKUP(BP182,Parameter!$F$35:$G$64,2,0),2)),IF(OR(IFERROR(VLOOKUP(D182,Parameter!$A$35:$C$64,2,0),"Nein")="Nein",IFERROR(VLOOKUP(D182,Parameter!$A$35:$C$64,2,0),"Nein")=""),"-",VLOOKUP(D182,Parameter!$A$35:$C$64,2,0)))))</f>
        <v>2</v>
      </c>
      <c r="Y182" s="62"/>
      <c r="Z182" s="63"/>
      <c r="AA182" s="57" t="n">
        <f aca="false">AP182</f>
        <v>1</v>
      </c>
      <c r="AB182" s="57" t="n">
        <f aca="false">MAX(AP182,G182)</f>
        <v>15</v>
      </c>
      <c r="AC182" s="64"/>
      <c r="AD182" s="57" t="n">
        <f aca="false">IF(LEFT(Cockpit!$C$5,1)="A",G182,IF(BW182=1,BX182,IF(LEFT(Cockpit!$C$5,1)="B",AH182,MAX(AH182,G182))))</f>
        <v>15</v>
      </c>
      <c r="AE182" s="57" t="n">
        <f aca="false">IF(BR182=1,0,ROUNDUP(AD182/BQ182,0))</f>
        <v>0</v>
      </c>
      <c r="AF182" s="59" t="n">
        <f aca="false">IF(CD182&gt;0,CD182*MAX(1,AD182/V182),IF(BR182=1,IF(AD182&lt;=0,0,BS182*MAX(1,IF(G182&gt;0,AD182/G182,1))),IF(Q182&gt;0,AE182/Q182,0))/MAX(0.1,N(Parameter!$M$21)))</f>
        <v>0.03</v>
      </c>
      <c r="AG182" s="57" t="n">
        <f aca="false">AD182*F182</f>
        <v>997.95</v>
      </c>
      <c r="AH182" s="57" t="n">
        <f aca="false">ROUNDUP(MAX(I182/IF(BV182&gt;0,BV182,MAX(0.1,N(Cockpit!$C$6))),BY182)/BQ182,0)*BQ182</f>
        <v>1</v>
      </c>
      <c r="AI182" s="58" t="n">
        <f aca="false">IF(AF182&gt;0,I182/AF182,-1)</f>
        <v>0</v>
      </c>
      <c r="AJ182" s="58" t="n">
        <f aca="false">IF(AND(OR(BU182="L1",BU182="L23"),AF182&gt;0),SUMIFS($AF$7:$AF$1576,$BU$7:$BU$1576,BU182,$AI$7:$AI$1576,"&gt;"&amp;AI182)+SUMIFS($AF$7:$AF$1576,$BU$7:$BU$1576,BU182,$AI$7:$AI$1576,AI182,$BO$7:$BO$1576,"&lt;="&amp;BO182),"")</f>
        <v>39.2436073105638</v>
      </c>
      <c r="AK182" s="65" t="n">
        <f aca="false">IF(AJ182="",0,MAX(0,MIN(1,(IF(BU182="L1",Parameter!$E$5,Parameter!$E$6+Parameter!$E$7)-(AJ182-AF182))/AF182)))</f>
        <v>1</v>
      </c>
      <c r="AL182" s="57" t="n">
        <f aca="false">IF(LEFT(Cockpit!$I$5,1)="A",G182,IF(BW182=1,BX182,IF(LEFT(Cockpit!$I$5,1)="B",AP182,MAX(AP182,G182))))</f>
        <v>15</v>
      </c>
      <c r="AM182" s="57" t="n">
        <f aca="false">IF(BR182=1,0,ROUNDUP(AL182/BQ182,0))</f>
        <v>0</v>
      </c>
      <c r="AN182" s="59" t="n">
        <f aca="false">IF(CD182&gt;0,CD182*MAX(1,AL182/V182),IF(BR182=1,IF(AL182&lt;=0,0,BS182*MAX(1,IF(G182&gt;0,AL182/G182,1))),IF(Q182&gt;0,AM182/Q182,0))/MAX(0.1,N(Parameter!$M$21)))</f>
        <v>0.03</v>
      </c>
      <c r="AO182" s="57" t="n">
        <f aca="false">AL182*F182</f>
        <v>997.95</v>
      </c>
      <c r="AP182" s="57" t="n">
        <f aca="false">ROUNDUP(MAX(I182/IF(BV182&gt;0,BV182,MAX(0.1,N(Cockpit!$I$6))),BY182)/BQ182,0)*BQ182</f>
        <v>1</v>
      </c>
      <c r="AQ182" s="58" t="n">
        <f aca="false">IF(AN182&gt;0,I182/AN182,-1)</f>
        <v>0</v>
      </c>
      <c r="AR182" s="58" t="n">
        <f aca="false">IF(AND(OR(BU182="L1",BU182="L23"),AN182&gt;0),SUMIFS($AN$7:$AN$1576,$BU$7:$BU$1576,BU182,$AQ$7:$AQ$1576,"&gt;"&amp;AQ182)+SUMIFS($AN$7:$AN$1576,$BU$7:$BU$1576,BU182,$AQ$7:$AQ$1576,AQ182,$BO$7:$BO$1576,"&lt;="&amp;BO182),"")</f>
        <v>122.117813060353</v>
      </c>
      <c r="AS182" s="65" t="n">
        <f aca="false">IF(AR182="",0,MAX(0,MIN(1,(IF(BU182="L1",Parameter!$E$5,Parameter!$E$6+Parameter!$E$7)-(AR182-AN182))/AN182)))</f>
        <v>0</v>
      </c>
      <c r="AT182" s="57" t="n">
        <f aca="false">IF(LEFT(Cockpit!$O$5,1)="A",G182,IF(BW182=1,BX182,IF(LEFT(Cockpit!$O$5,1)="B",AX182,MAX(AX182,G182))))</f>
        <v>15</v>
      </c>
      <c r="AU182" s="57" t="n">
        <f aca="false">IF(BR182=1,0,ROUNDUP(AT182/BQ182,0))</f>
        <v>0</v>
      </c>
      <c r="AV182" s="59" t="n">
        <f aca="false">IF(CD182&gt;0,CD182*MAX(1,AT182/V182),IF(BR182=1,IF(AT182&lt;=0,0,BS182*MAX(1,IF(G182&gt;0,AT182/G182,1))),IF(Q182&gt;0,AU182/Q182,0))/MAX(0.1,N(Parameter!$M$21)))</f>
        <v>0.03</v>
      </c>
      <c r="AW182" s="57" t="n">
        <f aca="false">AT182*F182</f>
        <v>997.95</v>
      </c>
      <c r="AX182" s="57" t="n">
        <f aca="false">ROUNDUP(MAX(I182/IF(BV182&gt;0,BV182,MAX(0.1,N(Cockpit!$O$6))),BY182)/BQ182,0)*BQ182</f>
        <v>1</v>
      </c>
      <c r="AY182" s="58" t="n">
        <f aca="false">IF(AV182&gt;0,I182/AV182,-1)</f>
        <v>0</v>
      </c>
      <c r="AZ182" s="58" t="n">
        <f aca="false">IF(AND(OR(BU182="L1",BU182="L23"),AV182&gt;0),SUMIFS($AV$7:$AV$1576,$BU$7:$BU$1576,BU182,$AY$7:$AY$1576,"&gt;"&amp;AY182)+SUMIFS($AV$7:$AV$1576,$BU$7:$BU$1576,BU182,$AY$7:$AY$1576,AY182,$BO$7:$BO$1576,"&lt;="&amp;BO182),"")</f>
        <v>112.177363509904</v>
      </c>
      <c r="BA182" s="65" t="n">
        <f aca="false">IF(AZ182="",0,MAX(0,MIN(1,(IF(BU182="L1",Parameter!$E$5,Parameter!$E$6+Parameter!$E$7)-(AZ182-AV182))/AV182)))</f>
        <v>0</v>
      </c>
      <c r="BB182" s="55" t="str">
        <f aca="false">IF(AF182&lt;=0,"",IF(BU182="Aussen","Aussenlager",IF(BU182="-","Nicht im Lift",IF(AK182&gt;=1,"Lift",IF(AK182&lt;=0,"Aussenlager","teilweise")))))</f>
        <v>Lift</v>
      </c>
      <c r="BC182" s="55" t="str">
        <f aca="false">IF(AN182&lt;=0,"",IF(BU182="Aussen","Aussenlager",IF(BU182="-","Nicht im Lift",IF(AS182&gt;=1,"Lift",IF(AS182&lt;=0,"Aussenlager","teilweise")))))</f>
        <v>Aussenlager</v>
      </c>
      <c r="BD182" s="55" t="str">
        <f aca="false">IF(AV182&lt;=0,"",IF(BU182="Aussen","Aussenlager",IF(BU182="-","Nicht im Lift",IF(BA182&gt;=1,"Lift",IF(BA182&lt;=0,"Aussenlager","teilweise")))))</f>
        <v>Aussenlager</v>
      </c>
      <c r="BE182" s="55" t="str">
        <f aca="false">IF(A182="","",IF(BN182=1,"Neu; ","")&amp;IF(AND(BN182=0,BI182&lt;0),"negativer Bestand (Export "&amp;BI182&amp;"); ","")&amp;IF(I182&lt;=0,"Kein Verbrauch; ","")&amp;IF(CD182&gt;0,"Lift "&amp;U182&amp;" lt. Liftbericht (Fach "&amp;V182&amp;" Stk); ",IF(BR182=1,"Lose – Fläche geschätzt; ",""))&amp;IF(G182&gt;AP182,"Überbestand "&amp;ROUND(G182-AP182,0)&amp;" Stk / CHF "&amp;ROUND((G182-AP182)*F182,0)&amp;"; ","")&amp;IF(AND(BW182=1,BX182&lt;BY182),"MAX &lt; MB+LG; ","")&amp;IF(AND(CC182&gt;0,CB182*10&gt;CC182),"zu hoch für Tablar; ","")&amp;IF(AND(BN182=0,OR(BW182=1,Y182&lt;&gt;"",S182&lt;&gt;"",T182&lt;&gt;"",Z182&lt;&gt;"")),"manuell übersteuert; ","")&amp;IF(AND(BR182=0,Q182=0),"Gebinde unbekannt / Stellmass fehlt; ","")&amp;IF(AND(BR182=0,N(T182)&lt;=0,N(P182)&lt;=0),"Menge pro Gebinde fehlt (Ist = 1 Gebinde); ","")&amp;BM182)</f>
        <v>Kein Verbrauch; Lose – Fläche geschätzt; Überbestand 14 Stk / CHF 931; </v>
      </c>
      <c r="BF182" s="55"/>
      <c r="BG182" s="55"/>
      <c r="BH182" s="62"/>
      <c r="BI182" s="57" t="n">
        <v>15</v>
      </c>
      <c r="BJ182" s="57" t="n">
        <v>0</v>
      </c>
      <c r="BK182" s="56" t="n">
        <v>997.95</v>
      </c>
      <c r="BL182" s="57" t="n">
        <v>0</v>
      </c>
      <c r="BM182" s="55"/>
      <c r="BN182" s="60" t="n">
        <v>0</v>
      </c>
      <c r="BO182" s="60" t="n">
        <v>182</v>
      </c>
      <c r="BP182" s="55" t="str">
        <f aca="false">IF(S182&lt;&gt;"",UPPER(TRIM(S182)),IF(O182="","LOSE",O182))</f>
        <v>LOSE</v>
      </c>
      <c r="BQ182" s="57" t="n">
        <f aca="false">IF(BP182="LOSE",1,IF(N(T182)&gt;0,T182,IF(N(P182)&gt;0,P182,MAX(1,G182))))</f>
        <v>1</v>
      </c>
      <c r="BR182" s="60" t="n">
        <f aca="false">IF(BP182="LOSE",1,0)</f>
        <v>1</v>
      </c>
      <c r="BS182" s="59" t="n">
        <f aca="false">IF(BR182=0,0,IF(N(R182)&gt;0,R182,IFERROR(VLOOKUP(D182,Parameter!$A$35:$C$64,3,0)+0,0)))</f>
        <v>0.03</v>
      </c>
      <c r="BT182" s="55" t="n">
        <f aca="false">IF(Y182&lt;&gt;"",Y182,X182)</f>
        <v>2</v>
      </c>
      <c r="BU182" s="55" t="str">
        <f aca="false">IF(BT182=1,"L1",IF(OR(BT182=2,BT182=3),"L23",IF(BT182="Aussen","Aussen","-")))</f>
        <v>L23</v>
      </c>
      <c r="BV182" s="66" t="n">
        <f aca="false">IF(N(Z182)&gt;0,Z182,0)</f>
        <v>0</v>
      </c>
      <c r="BW182" s="60" t="n">
        <f aca="false">IF(ISNUMBER(AC182),1,0)</f>
        <v>0</v>
      </c>
      <c r="BX182" s="57" t="n">
        <f aca="false">N(AC182)</f>
        <v>0</v>
      </c>
      <c r="BY182" s="57" t="n">
        <f aca="false">N(L182)+N(M182)</f>
        <v>1</v>
      </c>
      <c r="BZ182" s="57" t="n">
        <f aca="false">ROUNDUP(G182/BQ182,0)</f>
        <v>15</v>
      </c>
      <c r="CA182" s="57" t="n">
        <f aca="false">ROUNDUP(BX182/BQ182,0)</f>
        <v>0</v>
      </c>
      <c r="CB182" s="60" t="n">
        <f aca="false">IF(BR182=1,0,IFERROR(VLOOKUP(BP182,'Gebinde-Kategorie'!$A$5:$M$45,5,0)+0,0))</f>
        <v>0</v>
      </c>
      <c r="CC182" s="60" t="n">
        <f aca="false">IFERROR(IF(OR(BT182=1,BT182=2,BT182=3),N(INDEX(Parameter!$I$5:$I$7,BT182)),0),0)</f>
        <v>0</v>
      </c>
      <c r="CD182" s="59" t="n">
        <f aca="false">IF(AND(Parameter!$B$21="Ja",ISNUMBER(U182),N(V182)&gt;0),IFERROR(N(INDEX(Parameter!$L$5:$L$7,U182))*INDEX(Parameter!$E$5:$E$7,U182)*V182/SUMIFS($V$7:$V$1576,$U$7:$U$1576,U182),0),0)</f>
        <v>0</v>
      </c>
    </row>
    <row r="183" customFormat="false" ht="15" hidden="false" customHeight="false" outlineLevel="0" collapsed="false">
      <c r="A183" s="55" t="s">
        <v>559</v>
      </c>
      <c r="B183" s="55" t="s">
        <v>560</v>
      </c>
      <c r="C183" s="55" t="s">
        <v>160</v>
      </c>
      <c r="D183" s="55" t="s">
        <v>178</v>
      </c>
      <c r="E183" s="55" t="s">
        <v>210</v>
      </c>
      <c r="F183" s="56" t="n">
        <v>16.3</v>
      </c>
      <c r="G183" s="57" t="n">
        <f aca="false">MAX(0,IF(AND(Parameter!$B$21="Ja",ISNUMBER(W183)),W183,IF(Parameter!$B$20="Jahresanfang 2025 + Export",BJ183+BI183,BI183)))</f>
        <v>77</v>
      </c>
      <c r="H183" s="57" t="n">
        <f aca="false">G183*F183</f>
        <v>1255.1</v>
      </c>
      <c r="I183" s="57" t="n">
        <f aca="false">BL183*Parameter!$B$18</f>
        <v>280</v>
      </c>
      <c r="J183" s="58" t="n">
        <v>55.5</v>
      </c>
      <c r="K183" s="59" t="n">
        <v>5.04504504504505</v>
      </c>
      <c r="L183" s="57" t="n">
        <v>16</v>
      </c>
      <c r="M183" s="57" t="n">
        <v>100</v>
      </c>
      <c r="N183" s="60" t="n">
        <v>21</v>
      </c>
      <c r="O183" s="55" t="s">
        <v>293</v>
      </c>
      <c r="P183" s="57" t="n">
        <v>112</v>
      </c>
      <c r="Q183" s="60" t="n">
        <f aca="false">IF(BR183=1,0,IFERROR(VLOOKUP(BP183,'Gebinde-Kategorie'!$A$5:$M$45,13,0)+0,0))</f>
        <v>26</v>
      </c>
      <c r="R183" s="61"/>
      <c r="S183" s="62"/>
      <c r="T183" s="62"/>
      <c r="U183" s="55"/>
      <c r="V183" s="57"/>
      <c r="W183" s="57"/>
      <c r="X183" s="55" t="n">
        <f aca="false">IF(A183="","",IF(AND(Parameter!$B$21="Ja",ISNUMBER(U183)),U183,IF(IFERROR(VLOOKUP(D183,Parameter!$A$35:$C$64,2,0),"Nein")="2+3",IF(ISNUMBER(SEARCH("grosser Artikel",BM183)),2,IFERROR(VLOOKUP(BP183,Parameter!$F$35:$G$64,2,0),2)),IF(OR(IFERROR(VLOOKUP(D183,Parameter!$A$35:$C$64,2,0),"Nein")="Nein",IFERROR(VLOOKUP(D183,Parameter!$A$35:$C$64,2,0),"Nein")=""),"-",VLOOKUP(D183,Parameter!$A$35:$C$64,2,0)))))</f>
        <v>3</v>
      </c>
      <c r="Y183" s="62"/>
      <c r="Z183" s="63"/>
      <c r="AA183" s="57" t="n">
        <f aca="false">AP183</f>
        <v>224</v>
      </c>
      <c r="AB183" s="57" t="n">
        <f aca="false">MAX(AP183,G183)</f>
        <v>224</v>
      </c>
      <c r="AC183" s="64"/>
      <c r="AD183" s="57" t="n">
        <f aca="false">IF(LEFT(Cockpit!$C$5,1)="A",G183,IF(BW183=1,BX183,IF(LEFT(Cockpit!$C$5,1)="B",AH183,MAX(AH183,G183))))</f>
        <v>77</v>
      </c>
      <c r="AE183" s="57" t="n">
        <f aca="false">IF(BR183=1,0,ROUNDUP(AD183/BQ183,0))</f>
        <v>1</v>
      </c>
      <c r="AF183" s="59" t="n">
        <f aca="false">IF(CD183&gt;0,CD183*MAX(1,AD183/V183),IF(BR183=1,IF(AD183&lt;=0,0,BS183*MAX(1,IF(G183&gt;0,AD183/G183,1))),IF(Q183&gt;0,AE183/Q183,0))/MAX(0.1,N(Parameter!$M$21)))</f>
        <v>0.0384615384615385</v>
      </c>
      <c r="AG183" s="57" t="n">
        <f aca="false">AD183*F183</f>
        <v>1255.1</v>
      </c>
      <c r="AH183" s="57" t="n">
        <f aca="false">ROUNDUP(MAX(I183/IF(BV183&gt;0,BV183,MAX(0.1,N(Cockpit!$C$6))),BY183)/BQ183,0)*BQ183</f>
        <v>224</v>
      </c>
      <c r="AI183" s="58" t="n">
        <f aca="false">IF(AF183&gt;0,I183/AF183,-1)</f>
        <v>7280</v>
      </c>
      <c r="AJ183" s="58" t="n">
        <f aca="false">IF(AND(OR(BU183="L1",BU183="L23"),AF183&gt;0),SUMIFS($AF$7:$AF$1576,$BU$7:$BU$1576,BU183,$AI$7:$AI$1576,"&gt;"&amp;AI183)+SUMIFS($AF$7:$AF$1576,$BU$7:$BU$1576,BU183,$AI$7:$AI$1576,AI183,$BO$7:$BO$1576,"&lt;="&amp;BO183),"")</f>
        <v>3.13688726732205</v>
      </c>
      <c r="AK183" s="65" t="n">
        <f aca="false">IF(AJ183="",0,MAX(0,MIN(1,(IF(BU183="L1",Parameter!$E$5,Parameter!$E$6+Parameter!$E$7)-(AJ183-AF183))/AF183)))</f>
        <v>1</v>
      </c>
      <c r="AL183" s="57" t="n">
        <f aca="false">IF(LEFT(Cockpit!$I$5,1)="A",G183,IF(BW183=1,BX183,IF(LEFT(Cockpit!$I$5,1)="B",AP183,MAX(AP183,G183))))</f>
        <v>224</v>
      </c>
      <c r="AM183" s="57" t="n">
        <f aca="false">IF(BR183=1,0,ROUNDUP(AL183/BQ183,0))</f>
        <v>2</v>
      </c>
      <c r="AN183" s="59" t="n">
        <f aca="false">IF(CD183&gt;0,CD183*MAX(1,AL183/V183),IF(BR183=1,IF(AL183&lt;=0,0,BS183*MAX(1,IF(G183&gt;0,AL183/G183,1))),IF(Q183&gt;0,AM183/Q183,0))/MAX(0.1,N(Parameter!$M$21)))</f>
        <v>0.0769230769230769</v>
      </c>
      <c r="AO183" s="57" t="n">
        <f aca="false">AL183*F183</f>
        <v>3651.2</v>
      </c>
      <c r="AP183" s="57" t="n">
        <f aca="false">ROUNDUP(MAX(I183/IF(BV183&gt;0,BV183,MAX(0.1,N(Cockpit!$I$6))),BY183)/BQ183,0)*BQ183</f>
        <v>224</v>
      </c>
      <c r="AQ183" s="58" t="n">
        <f aca="false">IF(AN183&gt;0,I183/AN183,-1)</f>
        <v>3640</v>
      </c>
      <c r="AR183" s="58" t="n">
        <f aca="false">IF(AND(OR(BU183="L1",BU183="L23"),AN183&gt;0),SUMIFS($AN$7:$AN$1576,$BU$7:$BU$1576,BU183,$AQ$7:$AQ$1576,"&gt;"&amp;AQ183)+SUMIFS($AN$7:$AN$1576,$BU$7:$BU$1576,BU183,$AQ$7:$AQ$1576,AQ183,$BO$7:$BO$1576,"&lt;="&amp;BO183),"")</f>
        <v>13.5406107665282</v>
      </c>
      <c r="AS183" s="65" t="n">
        <f aca="false">IF(AR183="",0,MAX(0,MIN(1,(IF(BU183="L1",Parameter!$E$5,Parameter!$E$6+Parameter!$E$7)-(AR183-AN183))/AN183)))</f>
        <v>1</v>
      </c>
      <c r="AT183" s="57" t="n">
        <f aca="false">IF(LEFT(Cockpit!$O$5,1)="A",G183,IF(BW183=1,BX183,IF(LEFT(Cockpit!$O$5,1)="B",AX183,MAX(AX183,G183))))</f>
        <v>224</v>
      </c>
      <c r="AU183" s="57" t="n">
        <f aca="false">IF(BR183=1,0,ROUNDUP(AT183/BQ183,0))</f>
        <v>2</v>
      </c>
      <c r="AV183" s="59" t="n">
        <f aca="false">IF(CD183&gt;0,CD183*MAX(1,AT183/V183),IF(BR183=1,IF(AT183&lt;=0,0,BS183*MAX(1,IF(G183&gt;0,AT183/G183,1))),IF(Q183&gt;0,AU183/Q183,0))/MAX(0.1,N(Parameter!$M$21)))</f>
        <v>0.0769230769230769</v>
      </c>
      <c r="AW183" s="57" t="n">
        <f aca="false">AT183*F183</f>
        <v>3651.2</v>
      </c>
      <c r="AX183" s="57" t="n">
        <f aca="false">ROUNDUP(MAX(I183/IF(BV183&gt;0,BV183,MAX(0.1,N(Cockpit!$O$6))),BY183)/BQ183,0)*BQ183</f>
        <v>224</v>
      </c>
      <c r="AY183" s="58" t="n">
        <f aca="false">IF(AV183&gt;0,I183/AV183,-1)</f>
        <v>3640</v>
      </c>
      <c r="AZ183" s="58" t="n">
        <f aca="false">IF(AND(OR(BU183="L1",BU183="L23"),AV183&gt;0),SUMIFS($AV$7:$AV$1576,$BU$7:$BU$1576,BU183,$AY$7:$AY$1576,"&gt;"&amp;AY183)+SUMIFS($AV$7:$AV$1576,$BU$7:$BU$1576,BU183,$AY$7:$AY$1576,AY183,$BO$7:$BO$1576,"&lt;="&amp;BO183),"")</f>
        <v>12.2614732373906</v>
      </c>
      <c r="BA183" s="65" t="n">
        <f aca="false">IF(AZ183="",0,MAX(0,MIN(1,(IF(BU183="L1",Parameter!$E$5,Parameter!$E$6+Parameter!$E$7)-(AZ183-AV183))/AV183)))</f>
        <v>1</v>
      </c>
      <c r="BB183" s="55" t="str">
        <f aca="false">IF(AF183&lt;=0,"",IF(BU183="Aussen","Aussenlager",IF(BU183="-","Nicht im Lift",IF(AK183&gt;=1,"Lift",IF(AK183&lt;=0,"Aussenlager","teilweise")))))</f>
        <v>Lift</v>
      </c>
      <c r="BC183" s="55" t="str">
        <f aca="false">IF(AN183&lt;=0,"",IF(BU183="Aussen","Aussenlager",IF(BU183="-","Nicht im Lift",IF(AS183&gt;=1,"Lift",IF(AS183&lt;=0,"Aussenlager","teilweise")))))</f>
        <v>Lift</v>
      </c>
      <c r="BD183" s="55" t="str">
        <f aca="false">IF(AV183&lt;=0,"",IF(BU183="Aussen","Aussenlager",IF(BU183="-","Nicht im Lift",IF(BA183&gt;=1,"Lift",IF(BA183&lt;=0,"Aussenlager","teilweise")))))</f>
        <v>Lift</v>
      </c>
      <c r="BE183" s="55" t="str">
        <f aca="false">IF(A183="","",IF(BN183=1,"Neu; ","")&amp;IF(AND(BN183=0,BI183&lt;0),"negativer Bestand (Export "&amp;BI183&amp;"); ","")&amp;IF(I183&lt;=0,"Kein Verbrauch; ","")&amp;IF(CD183&gt;0,"Lift "&amp;U183&amp;" lt. Liftbericht (Fach "&amp;V183&amp;" Stk); ",IF(BR183=1,"Lose – Fläche geschätzt; ",""))&amp;IF(G183&gt;AP183,"Überbestand "&amp;ROUND(G183-AP183,0)&amp;" Stk / CHF "&amp;ROUND((G183-AP183)*F183,0)&amp;"; ","")&amp;IF(AND(BW183=1,BX183&lt;BY183),"MAX &lt; MB+LG; ","")&amp;IF(AND(CC183&gt;0,CB183*10&gt;CC183),"zu hoch für Tablar; ","")&amp;IF(AND(BN183=0,OR(BW183=1,Y183&lt;&gt;"",S183&lt;&gt;"",T183&lt;&gt;"",Z183&lt;&gt;"")),"manuell übersteuert; ","")&amp;IF(AND(BR183=0,Q183=0),"Gebinde unbekannt / Stellmass fehlt; ","")&amp;IF(AND(BR183=0,N(T183)&lt;=0,N(P183)&lt;=0),"Menge pro Gebinde fehlt (Ist = 1 Gebinde); ","")&amp;BM183)</f>
        <v/>
      </c>
      <c r="BF183" s="55"/>
      <c r="BG183" s="55"/>
      <c r="BH183" s="62"/>
      <c r="BI183" s="57" t="n">
        <v>77</v>
      </c>
      <c r="BJ183" s="57" t="n">
        <v>45</v>
      </c>
      <c r="BK183" s="56" t="n">
        <v>995.94</v>
      </c>
      <c r="BL183" s="57" t="n">
        <v>280</v>
      </c>
      <c r="BM183" s="55"/>
      <c r="BN183" s="60" t="n">
        <v>0</v>
      </c>
      <c r="BO183" s="60" t="n">
        <v>183</v>
      </c>
      <c r="BP183" s="55" t="str">
        <f aca="false">IF(S183&lt;&gt;"",UPPER(TRIM(S183)),IF(O183="","LOSE",O183))</f>
        <v>S51</v>
      </c>
      <c r="BQ183" s="57" t="n">
        <f aca="false">IF(BP183="LOSE",1,IF(N(T183)&gt;0,T183,IF(N(P183)&gt;0,P183,MAX(1,G183))))</f>
        <v>112</v>
      </c>
      <c r="BR183" s="60" t="n">
        <f aca="false">IF(BP183="LOSE",1,0)</f>
        <v>0</v>
      </c>
      <c r="BS183" s="59" t="n">
        <f aca="false">IF(BR183=0,0,IF(N(R183)&gt;0,R183,IFERROR(VLOOKUP(D183,Parameter!$A$35:$C$64,3,0)+0,0)))</f>
        <v>0</v>
      </c>
      <c r="BT183" s="55" t="n">
        <f aca="false">IF(Y183&lt;&gt;"",Y183,X183)</f>
        <v>3</v>
      </c>
      <c r="BU183" s="55" t="str">
        <f aca="false">IF(BT183=1,"L1",IF(OR(BT183=2,BT183=3),"L23",IF(BT183="Aussen","Aussen","-")))</f>
        <v>L23</v>
      </c>
      <c r="BV183" s="66" t="n">
        <f aca="false">IF(N(Z183)&gt;0,Z183,0)</f>
        <v>0</v>
      </c>
      <c r="BW183" s="60" t="n">
        <f aca="false">IF(ISNUMBER(AC183),1,0)</f>
        <v>0</v>
      </c>
      <c r="BX183" s="57" t="n">
        <f aca="false">N(AC183)</f>
        <v>0</v>
      </c>
      <c r="BY183" s="57" t="n">
        <f aca="false">N(L183)+N(M183)</f>
        <v>116</v>
      </c>
      <c r="BZ183" s="57" t="n">
        <f aca="false">ROUNDUP(G183/BQ183,0)</f>
        <v>1</v>
      </c>
      <c r="CA183" s="57" t="n">
        <f aca="false">ROUNDUP(BX183/BQ183,0)</f>
        <v>0</v>
      </c>
      <c r="CB183" s="60" t="n">
        <f aca="false">IF(BR183=1,0,IFERROR(VLOOKUP(BP183,'Gebinde-Kategorie'!$A$5:$M$45,5,0)+0,0))</f>
        <v>11</v>
      </c>
      <c r="CC183" s="60" t="n">
        <f aca="false">IFERROR(IF(OR(BT183=1,BT183=2,BT183=3),N(INDEX(Parameter!$I$5:$I$7,BT183)),0),0)</f>
        <v>0</v>
      </c>
      <c r="CD183" s="59" t="n">
        <f aca="false">IF(AND(Parameter!$B$21="Ja",ISNUMBER(U183),N(V183)&gt;0),IFERROR(N(INDEX(Parameter!$L$5:$L$7,U183))*INDEX(Parameter!$E$5:$E$7,U183)*V183/SUMIFS($V$7:$V$1576,$U$7:$U$1576,U183),0),0)</f>
        <v>0</v>
      </c>
    </row>
    <row r="184" customFormat="false" ht="15" hidden="false" customHeight="false" outlineLevel="0" collapsed="false">
      <c r="A184" s="55" t="s">
        <v>561</v>
      </c>
      <c r="B184" s="55" t="s">
        <v>562</v>
      </c>
      <c r="C184" s="55" t="s">
        <v>160</v>
      </c>
      <c r="D184" s="55" t="s">
        <v>168</v>
      </c>
      <c r="E184" s="55" t="s">
        <v>210</v>
      </c>
      <c r="F184" s="56" t="n">
        <v>159.24</v>
      </c>
      <c r="G184" s="57" t="n">
        <f aca="false">MAX(0,IF(AND(Parameter!$B$21="Ja",ISNUMBER(W184)),W184,IF(Parameter!$B$20="Jahresanfang 2025 + Export",BJ184+BI184,BI184)))</f>
        <v>6</v>
      </c>
      <c r="H184" s="57" t="n">
        <f aca="false">G184*F184</f>
        <v>955.44</v>
      </c>
      <c r="I184" s="57" t="n">
        <f aca="false">BL184*Parameter!$B$18</f>
        <v>0</v>
      </c>
      <c r="J184" s="58" t="n">
        <v>6.5</v>
      </c>
      <c r="K184" s="59" t="n">
        <v>0</v>
      </c>
      <c r="L184" s="57" t="n">
        <v>0</v>
      </c>
      <c r="M184" s="57" t="n">
        <v>1</v>
      </c>
      <c r="N184" s="60" t="n">
        <v>70</v>
      </c>
      <c r="O184" s="55" t="s">
        <v>284</v>
      </c>
      <c r="P184" s="57" t="n">
        <v>12</v>
      </c>
      <c r="Q184" s="60" t="n">
        <f aca="false">IF(BR184=1,0,IFERROR(VLOOKUP(BP184,'Gebinde-Kategorie'!$A$5:$M$45,13,0)+0,0))</f>
        <v>12</v>
      </c>
      <c r="R184" s="61"/>
      <c r="S184" s="62"/>
      <c r="T184" s="62"/>
      <c r="U184" s="55"/>
      <c r="V184" s="57"/>
      <c r="W184" s="57"/>
      <c r="X184" s="55" t="n">
        <f aca="false">IF(A184="","",IF(AND(Parameter!$B$21="Ja",ISNUMBER(U184)),U184,IF(IFERROR(VLOOKUP(D184,Parameter!$A$35:$C$64,2,0),"Nein")="2+3",IF(ISNUMBER(SEARCH("grosser Artikel",BM184)),2,IFERROR(VLOOKUP(BP184,Parameter!$F$35:$G$64,2,0),2)),IF(OR(IFERROR(VLOOKUP(D184,Parameter!$A$35:$C$64,2,0),"Nein")="Nein",IFERROR(VLOOKUP(D184,Parameter!$A$35:$C$64,2,0),"Nein")=""),"-",VLOOKUP(D184,Parameter!$A$35:$C$64,2,0)))))</f>
        <v>2</v>
      </c>
      <c r="Y184" s="62"/>
      <c r="Z184" s="63"/>
      <c r="AA184" s="57" t="n">
        <f aca="false">AP184</f>
        <v>12</v>
      </c>
      <c r="AB184" s="57" t="n">
        <f aca="false">MAX(AP184,G184)</f>
        <v>12</v>
      </c>
      <c r="AC184" s="64"/>
      <c r="AD184" s="57" t="n">
        <f aca="false">IF(LEFT(Cockpit!$C$5,1)="A",G184,IF(BW184=1,BX184,IF(LEFT(Cockpit!$C$5,1)="B",AH184,MAX(AH184,G184))))</f>
        <v>6</v>
      </c>
      <c r="AE184" s="57" t="n">
        <f aca="false">IF(BR184=1,0,ROUNDUP(AD184/BQ184,0))</f>
        <v>1</v>
      </c>
      <c r="AF184" s="59" t="n">
        <f aca="false">IF(CD184&gt;0,CD184*MAX(1,AD184/V184),IF(BR184=1,IF(AD184&lt;=0,0,BS184*MAX(1,IF(G184&gt;0,AD184/G184,1))),IF(Q184&gt;0,AE184/Q184,0))/MAX(0.1,N(Parameter!$M$21)))</f>
        <v>0.0833333333333333</v>
      </c>
      <c r="AG184" s="57" t="n">
        <f aca="false">AD184*F184</f>
        <v>955.44</v>
      </c>
      <c r="AH184" s="57" t="n">
        <f aca="false">ROUNDUP(MAX(I184/IF(BV184&gt;0,BV184,MAX(0.1,N(Cockpit!$C$6))),BY184)/BQ184,0)*BQ184</f>
        <v>12</v>
      </c>
      <c r="AI184" s="58" t="n">
        <f aca="false">IF(AF184&gt;0,I184/AF184,-1)</f>
        <v>0</v>
      </c>
      <c r="AJ184" s="58" t="n">
        <f aca="false">IF(AND(OR(BU184="L1",BU184="L23"),AF184&gt;0),SUMIFS($AF$7:$AF$1576,$BU$7:$BU$1576,BU184,$AI$7:$AI$1576,"&gt;"&amp;AI184)+SUMIFS($AF$7:$AF$1576,$BU$7:$BU$1576,BU184,$AI$7:$AI$1576,AI184,$BO$7:$BO$1576,"&lt;="&amp;BO184),"")</f>
        <v>39.3269406438972</v>
      </c>
      <c r="AK184" s="65" t="n">
        <f aca="false">IF(AJ184="",0,MAX(0,MIN(1,(IF(BU184="L1",Parameter!$E$5,Parameter!$E$6+Parameter!$E$7)-(AJ184-AF184))/AF184)))</f>
        <v>1</v>
      </c>
      <c r="AL184" s="57" t="n">
        <f aca="false">IF(LEFT(Cockpit!$I$5,1)="A",G184,IF(BW184=1,BX184,IF(LEFT(Cockpit!$I$5,1)="B",AP184,MAX(AP184,G184))))</f>
        <v>12</v>
      </c>
      <c r="AM184" s="57" t="n">
        <f aca="false">IF(BR184=1,0,ROUNDUP(AL184/BQ184,0))</f>
        <v>1</v>
      </c>
      <c r="AN184" s="59" t="n">
        <f aca="false">IF(CD184&gt;0,CD184*MAX(1,AL184/V184),IF(BR184=1,IF(AL184&lt;=0,0,BS184*MAX(1,IF(G184&gt;0,AL184/G184,1))),IF(Q184&gt;0,AM184/Q184,0))/MAX(0.1,N(Parameter!$M$21)))</f>
        <v>0.0833333333333333</v>
      </c>
      <c r="AO184" s="57" t="n">
        <f aca="false">AL184*F184</f>
        <v>1910.88</v>
      </c>
      <c r="AP184" s="57" t="n">
        <f aca="false">ROUNDUP(MAX(I184/IF(BV184&gt;0,BV184,MAX(0.1,N(Cockpit!$I$6))),BY184)/BQ184,0)*BQ184</f>
        <v>12</v>
      </c>
      <c r="AQ184" s="58" t="n">
        <f aca="false">IF(AN184&gt;0,I184/AN184,-1)</f>
        <v>0</v>
      </c>
      <c r="AR184" s="58" t="n">
        <f aca="false">IF(AND(OR(BU184="L1",BU184="L23"),AN184&gt;0),SUMIFS($AN$7:$AN$1576,$BU$7:$BU$1576,BU184,$AQ$7:$AQ$1576,"&gt;"&amp;AQ184)+SUMIFS($AN$7:$AN$1576,$BU$7:$BU$1576,BU184,$AQ$7:$AQ$1576,AQ184,$BO$7:$BO$1576,"&lt;="&amp;BO184),"")</f>
        <v>122.201146393687</v>
      </c>
      <c r="AS184" s="65" t="n">
        <f aca="false">IF(AR184="",0,MAX(0,MIN(1,(IF(BU184="L1",Parameter!$E$5,Parameter!$E$6+Parameter!$E$7)-(AR184-AN184))/AN184)))</f>
        <v>0</v>
      </c>
      <c r="AT184" s="57" t="n">
        <f aca="false">IF(LEFT(Cockpit!$O$5,1)="A",G184,IF(BW184=1,BX184,IF(LEFT(Cockpit!$O$5,1)="B",AX184,MAX(AX184,G184))))</f>
        <v>12</v>
      </c>
      <c r="AU184" s="57" t="n">
        <f aca="false">IF(BR184=1,0,ROUNDUP(AT184/BQ184,0))</f>
        <v>1</v>
      </c>
      <c r="AV184" s="59" t="n">
        <f aca="false">IF(CD184&gt;0,CD184*MAX(1,AT184/V184),IF(BR184=1,IF(AT184&lt;=0,0,BS184*MAX(1,IF(G184&gt;0,AT184/G184,1))),IF(Q184&gt;0,AU184/Q184,0))/MAX(0.1,N(Parameter!$M$21)))</f>
        <v>0.0833333333333333</v>
      </c>
      <c r="AW184" s="57" t="n">
        <f aca="false">AT184*F184</f>
        <v>1910.88</v>
      </c>
      <c r="AX184" s="57" t="n">
        <f aca="false">ROUNDUP(MAX(I184/IF(BV184&gt;0,BV184,MAX(0.1,N(Cockpit!$O$6))),BY184)/BQ184,0)*BQ184</f>
        <v>12</v>
      </c>
      <c r="AY184" s="58" t="n">
        <f aca="false">IF(AV184&gt;0,I184/AV184,-1)</f>
        <v>0</v>
      </c>
      <c r="AZ184" s="58" t="n">
        <f aca="false">IF(AND(OR(BU184="L1",BU184="L23"),AV184&gt;0),SUMIFS($AV$7:$AV$1576,$BU$7:$BU$1576,BU184,$AY$7:$AY$1576,"&gt;"&amp;AY184)+SUMIFS($AV$7:$AV$1576,$BU$7:$BU$1576,BU184,$AY$7:$AY$1576,AY184,$BO$7:$BO$1576,"&lt;="&amp;BO184),"")</f>
        <v>112.260696843237</v>
      </c>
      <c r="BA184" s="65" t="n">
        <f aca="false">IF(AZ184="",0,MAX(0,MIN(1,(IF(BU184="L1",Parameter!$E$5,Parameter!$E$6+Parameter!$E$7)-(AZ184-AV184))/AV184)))</f>
        <v>0</v>
      </c>
      <c r="BB184" s="55" t="str">
        <f aca="false">IF(AF184&lt;=0,"",IF(BU184="Aussen","Aussenlager",IF(BU184="-","Nicht im Lift",IF(AK184&gt;=1,"Lift",IF(AK184&lt;=0,"Aussenlager","teilweise")))))</f>
        <v>Lift</v>
      </c>
      <c r="BC184" s="55" t="str">
        <f aca="false">IF(AN184&lt;=0,"",IF(BU184="Aussen","Aussenlager",IF(BU184="-","Nicht im Lift",IF(AS184&gt;=1,"Lift",IF(AS184&lt;=0,"Aussenlager","teilweise")))))</f>
        <v>Aussenlager</v>
      </c>
      <c r="BD184" s="55" t="str">
        <f aca="false">IF(AV184&lt;=0,"",IF(BU184="Aussen","Aussenlager",IF(BU184="-","Nicht im Lift",IF(BA184&gt;=1,"Lift",IF(BA184&lt;=0,"Aussenlager","teilweise")))))</f>
        <v>Aussenlager</v>
      </c>
      <c r="BE184" s="55" t="str">
        <f aca="false">IF(A184="","",IF(BN184=1,"Neu; ","")&amp;IF(AND(BN184=0,BI184&lt;0),"negativer Bestand (Export "&amp;BI184&amp;"); ","")&amp;IF(I184&lt;=0,"Kein Verbrauch; ","")&amp;IF(CD184&gt;0,"Lift "&amp;U184&amp;" lt. Liftbericht (Fach "&amp;V184&amp;" Stk); ",IF(BR184=1,"Lose – Fläche geschätzt; ",""))&amp;IF(G184&gt;AP184,"Überbestand "&amp;ROUND(G184-AP184,0)&amp;" Stk / CHF "&amp;ROUND((G184-AP184)*F184,0)&amp;"; ","")&amp;IF(AND(BW184=1,BX184&lt;BY184),"MAX &lt; MB+LG; ","")&amp;IF(AND(CC184&gt;0,CB184*10&gt;CC184),"zu hoch für Tablar; ","")&amp;IF(AND(BN184=0,OR(BW184=1,Y184&lt;&gt;"",S184&lt;&gt;"",T184&lt;&gt;"",Z184&lt;&gt;"")),"manuell übersteuert; ","")&amp;IF(AND(BR184=0,Q184=0),"Gebinde unbekannt / Stellmass fehlt; ","")&amp;IF(AND(BR184=0,N(T184)&lt;=0,N(P184)&lt;=0),"Menge pro Gebinde fehlt (Ist = 1 Gebinde); ","")&amp;BM184)</f>
        <v>Kein Verbrauch; Überbestand</v>
      </c>
      <c r="BF184" s="55"/>
      <c r="BG184" s="55"/>
      <c r="BH184" s="62"/>
      <c r="BI184" s="57" t="n">
        <v>6</v>
      </c>
      <c r="BJ184" s="57" t="n">
        <v>2</v>
      </c>
      <c r="BK184" s="56" t="n">
        <v>964.86</v>
      </c>
      <c r="BL184" s="57" t="n">
        <v>0</v>
      </c>
      <c r="BM184" s="55" t="s">
        <v>382</v>
      </c>
      <c r="BN184" s="60" t="n">
        <v>0</v>
      </c>
      <c r="BO184" s="60" t="n">
        <v>184</v>
      </c>
      <c r="BP184" s="55" t="str">
        <f aca="false">IF(S184&lt;&gt;"",UPPER(TRIM(S184)),IF(O184="","LOSE",O184))</f>
        <v>S62</v>
      </c>
      <c r="BQ184" s="57" t="n">
        <f aca="false">IF(BP184="LOSE",1,IF(N(T184)&gt;0,T184,IF(N(P184)&gt;0,P184,MAX(1,G184))))</f>
        <v>12</v>
      </c>
      <c r="BR184" s="60" t="n">
        <f aca="false">IF(BP184="LOSE",1,0)</f>
        <v>0</v>
      </c>
      <c r="BS184" s="59" t="n">
        <f aca="false">IF(BR184=0,0,IF(N(R184)&gt;0,R184,IFERROR(VLOOKUP(D184,Parameter!$A$35:$C$64,3,0)+0,0)))</f>
        <v>0</v>
      </c>
      <c r="BT184" s="55" t="n">
        <f aca="false">IF(Y184&lt;&gt;"",Y184,X184)</f>
        <v>2</v>
      </c>
      <c r="BU184" s="55" t="str">
        <f aca="false">IF(BT184=1,"L1",IF(OR(BT184=2,BT184=3),"L23",IF(BT184="Aussen","Aussen","-")))</f>
        <v>L23</v>
      </c>
      <c r="BV184" s="66" t="n">
        <f aca="false">IF(N(Z184)&gt;0,Z184,0)</f>
        <v>0</v>
      </c>
      <c r="BW184" s="60" t="n">
        <f aca="false">IF(ISNUMBER(AC184),1,0)</f>
        <v>0</v>
      </c>
      <c r="BX184" s="57" t="n">
        <f aca="false">N(AC184)</f>
        <v>0</v>
      </c>
      <c r="BY184" s="57" t="n">
        <f aca="false">N(L184)+N(M184)</f>
        <v>1</v>
      </c>
      <c r="BZ184" s="57" t="n">
        <f aca="false">ROUNDUP(G184/BQ184,0)</f>
        <v>1</v>
      </c>
      <c r="CA184" s="57" t="n">
        <f aca="false">ROUNDUP(BX184/BQ184,0)</f>
        <v>0</v>
      </c>
      <c r="CB184" s="60" t="n">
        <f aca="false">IF(BR184=1,0,IFERROR(VLOOKUP(BP184,'Gebinde-Kategorie'!$A$5:$M$45,5,0)+0,0))</f>
        <v>21</v>
      </c>
      <c r="CC184" s="60" t="n">
        <f aca="false">IFERROR(IF(OR(BT184=1,BT184=2,BT184=3),N(INDEX(Parameter!$I$5:$I$7,BT184)),0),0)</f>
        <v>0</v>
      </c>
      <c r="CD184" s="59" t="n">
        <f aca="false">IF(AND(Parameter!$B$21="Ja",ISNUMBER(U184),N(V184)&gt;0),IFERROR(N(INDEX(Parameter!$L$5:$L$7,U184))*INDEX(Parameter!$E$5:$E$7,U184)*V184/SUMIFS($V$7:$V$1576,$U$7:$U$1576,U184),0),0)</f>
        <v>0</v>
      </c>
    </row>
    <row r="185" customFormat="false" ht="15" hidden="false" customHeight="false" outlineLevel="0" collapsed="false">
      <c r="A185" s="55" t="s">
        <v>563</v>
      </c>
      <c r="B185" s="55" t="s">
        <v>330</v>
      </c>
      <c r="C185" s="55" t="s">
        <v>160</v>
      </c>
      <c r="D185" s="55" t="s">
        <v>168</v>
      </c>
      <c r="E185" s="55" t="s">
        <v>210</v>
      </c>
      <c r="F185" s="56" t="n">
        <v>388.14</v>
      </c>
      <c r="G185" s="57" t="n">
        <f aca="false">MAX(0,IF(AND(Parameter!$B$21="Ja",ISNUMBER(W185)),W185,IF(Parameter!$B$20="Jahresanfang 2025 + Export",BJ185+BI185,BI185)))</f>
        <v>3</v>
      </c>
      <c r="H185" s="57" t="n">
        <f aca="false">G185*F185</f>
        <v>1164.42</v>
      </c>
      <c r="I185" s="57" t="n">
        <f aca="false">BL185*Parameter!$B$18</f>
        <v>2</v>
      </c>
      <c r="J185" s="58" t="n">
        <v>3.5</v>
      </c>
      <c r="K185" s="59" t="n">
        <v>0.571428571428571</v>
      </c>
      <c r="L185" s="57" t="n">
        <v>0</v>
      </c>
      <c r="M185" s="57" t="n">
        <v>1</v>
      </c>
      <c r="N185" s="60" t="n">
        <v>28</v>
      </c>
      <c r="O185" s="55" t="s">
        <v>169</v>
      </c>
      <c r="P185" s="57" t="n">
        <v>5</v>
      </c>
      <c r="Q185" s="60" t="n">
        <f aca="false">IF(BR185=1,0,IFERROR(VLOOKUP(BP185,'Gebinde-Kategorie'!$A$5:$M$45,13,0)+0,0))</f>
        <v>6</v>
      </c>
      <c r="R185" s="61"/>
      <c r="S185" s="62"/>
      <c r="T185" s="62"/>
      <c r="U185" s="55"/>
      <c r="V185" s="57"/>
      <c r="W185" s="57"/>
      <c r="X185" s="55" t="n">
        <f aca="false">IF(A185="","",IF(AND(Parameter!$B$21="Ja",ISNUMBER(U185)),U185,IF(IFERROR(VLOOKUP(D185,Parameter!$A$35:$C$64,2,0),"Nein")="2+3",IF(ISNUMBER(SEARCH("grosser Artikel",BM185)),2,IFERROR(VLOOKUP(BP185,Parameter!$F$35:$G$64,2,0),2)),IF(OR(IFERROR(VLOOKUP(D185,Parameter!$A$35:$C$64,2,0),"Nein")="Nein",IFERROR(VLOOKUP(D185,Parameter!$A$35:$C$64,2,0),"Nein")=""),"-",VLOOKUP(D185,Parameter!$A$35:$C$64,2,0)))))</f>
        <v>2</v>
      </c>
      <c r="Y185" s="62"/>
      <c r="Z185" s="63"/>
      <c r="AA185" s="57" t="n">
        <f aca="false">AP185</f>
        <v>5</v>
      </c>
      <c r="AB185" s="57" t="n">
        <f aca="false">MAX(AP185,G185)</f>
        <v>5</v>
      </c>
      <c r="AC185" s="64"/>
      <c r="AD185" s="57" t="n">
        <f aca="false">IF(LEFT(Cockpit!$C$5,1)="A",G185,IF(BW185=1,BX185,IF(LEFT(Cockpit!$C$5,1)="B",AH185,MAX(AH185,G185))))</f>
        <v>3</v>
      </c>
      <c r="AE185" s="57" t="n">
        <f aca="false">IF(BR185=1,0,ROUNDUP(AD185/BQ185,0))</f>
        <v>1</v>
      </c>
      <c r="AF185" s="59" t="n">
        <f aca="false">IF(CD185&gt;0,CD185*MAX(1,AD185/V185),IF(BR185=1,IF(AD185&lt;=0,0,BS185*MAX(1,IF(G185&gt;0,AD185/G185,1))),IF(Q185&gt;0,AE185/Q185,0))/MAX(0.1,N(Parameter!$M$21)))</f>
        <v>0.166666666666667</v>
      </c>
      <c r="AG185" s="57" t="n">
        <f aca="false">AD185*F185</f>
        <v>1164.42</v>
      </c>
      <c r="AH185" s="57" t="n">
        <f aca="false">ROUNDUP(MAX(I185/IF(BV185&gt;0,BV185,MAX(0.1,N(Cockpit!$C$6))),BY185)/BQ185,0)*BQ185</f>
        <v>5</v>
      </c>
      <c r="AI185" s="58" t="n">
        <f aca="false">IF(AF185&gt;0,I185/AF185,-1)</f>
        <v>12</v>
      </c>
      <c r="AJ185" s="58" t="n">
        <f aca="false">IF(AND(OR(BU185="L1",BU185="L23"),AF185&gt;0),SUMIFS($AF$7:$AF$1576,$BU$7:$BU$1576,BU185,$AI$7:$AI$1576,"&gt;"&amp;AI185)+SUMIFS($AF$7:$AF$1576,$BU$7:$BU$1576,BU185,$AI$7:$AI$1576,AI185,$BO$7:$BO$1576,"&lt;="&amp;BO185),"")</f>
        <v>31.1825816695382</v>
      </c>
      <c r="AK185" s="65" t="n">
        <f aca="false">IF(AJ185="",0,MAX(0,MIN(1,(IF(BU185="L1",Parameter!$E$5,Parameter!$E$6+Parameter!$E$7)-(AJ185-AF185))/AF185)))</f>
        <v>1</v>
      </c>
      <c r="AL185" s="57" t="n">
        <f aca="false">IF(LEFT(Cockpit!$I$5,1)="A",G185,IF(BW185=1,BX185,IF(LEFT(Cockpit!$I$5,1)="B",AP185,MAX(AP185,G185))))</f>
        <v>5</v>
      </c>
      <c r="AM185" s="57" t="n">
        <f aca="false">IF(BR185=1,0,ROUNDUP(AL185/BQ185,0))</f>
        <v>1</v>
      </c>
      <c r="AN185" s="59" t="n">
        <f aca="false">IF(CD185&gt;0,CD185*MAX(1,AL185/V185),IF(BR185=1,IF(AL185&lt;=0,0,BS185*MAX(1,IF(G185&gt;0,AL185/G185,1))),IF(Q185&gt;0,AM185/Q185,0))/MAX(0.1,N(Parameter!$M$21)))</f>
        <v>0.166666666666667</v>
      </c>
      <c r="AO185" s="57" t="n">
        <f aca="false">AL185*F185</f>
        <v>1940.7</v>
      </c>
      <c r="AP185" s="57" t="n">
        <f aca="false">ROUNDUP(MAX(I185/IF(BV185&gt;0,BV185,MAX(0.1,N(Cockpit!$I$6))),BY185)/BQ185,0)*BQ185</f>
        <v>5</v>
      </c>
      <c r="AQ185" s="58" t="n">
        <f aca="false">IF(AN185&gt;0,I185/AN185,-1)</f>
        <v>12</v>
      </c>
      <c r="AR185" s="58" t="n">
        <f aca="false">IF(AND(OR(BU185="L1",BU185="L23"),AN185&gt;0),SUMIFS($AN$7:$AN$1576,$BU$7:$BU$1576,BU185,$AQ$7:$AQ$1576,"&gt;"&amp;AQ185)+SUMIFS($AN$7:$AN$1576,$BU$7:$BU$1576,BU185,$AQ$7:$AQ$1576,AQ185,$BO$7:$BO$1576,"&lt;="&amp;BO185),"")</f>
        <v>107.437306383568</v>
      </c>
      <c r="AS185" s="65" t="n">
        <f aca="false">IF(AR185="",0,MAX(0,MIN(1,(IF(BU185="L1",Parameter!$E$5,Parameter!$E$6+Parameter!$E$7)-(AR185-AN185))/AN185)))</f>
        <v>0</v>
      </c>
      <c r="AT185" s="57" t="n">
        <f aca="false">IF(LEFT(Cockpit!$O$5,1)="A",G185,IF(BW185=1,BX185,IF(LEFT(Cockpit!$O$5,1)="B",AX185,MAX(AX185,G185))))</f>
        <v>5</v>
      </c>
      <c r="AU185" s="57" t="n">
        <f aca="false">IF(BR185=1,0,ROUNDUP(AT185/BQ185,0))</f>
        <v>1</v>
      </c>
      <c r="AV185" s="59" t="n">
        <f aca="false">IF(CD185&gt;0,CD185*MAX(1,AT185/V185),IF(BR185=1,IF(AT185&lt;=0,0,BS185*MAX(1,IF(G185&gt;0,AT185/G185,1))),IF(Q185&gt;0,AU185/Q185,0))/MAX(0.1,N(Parameter!$M$21)))</f>
        <v>0.166666666666667</v>
      </c>
      <c r="AW185" s="57" t="n">
        <f aca="false">AT185*F185</f>
        <v>1940.7</v>
      </c>
      <c r="AX185" s="57" t="n">
        <f aca="false">ROUNDUP(MAX(I185/IF(BV185&gt;0,BV185,MAX(0.1,N(Cockpit!$O$6))),BY185)/BQ185,0)*BQ185</f>
        <v>5</v>
      </c>
      <c r="AY185" s="58" t="n">
        <f aca="false">IF(AV185&gt;0,I185/AV185,-1)</f>
        <v>12</v>
      </c>
      <c r="AZ185" s="58" t="n">
        <f aca="false">IF(AND(OR(BU185="L1",BU185="L23"),AV185&gt;0),SUMIFS($AV$7:$AV$1576,$BU$7:$BU$1576,BU185,$AY$7:$AY$1576,"&gt;"&amp;AY185)+SUMIFS($AV$7:$AV$1576,$BU$7:$BU$1576,BU185,$AY$7:$AY$1576,AY185,$BO$7:$BO$1576,"&lt;="&amp;BO185),"")</f>
        <v>97.496856833118</v>
      </c>
      <c r="BA185" s="65" t="n">
        <f aca="false">IF(AZ185="",0,MAX(0,MIN(1,(IF(BU185="L1",Parameter!$E$5,Parameter!$E$6+Parameter!$E$7)-(AZ185-AV185))/AV185)))</f>
        <v>1</v>
      </c>
      <c r="BB185" s="55" t="str">
        <f aca="false">IF(AF185&lt;=0,"",IF(BU185="Aussen","Aussenlager",IF(BU185="-","Nicht im Lift",IF(AK185&gt;=1,"Lift",IF(AK185&lt;=0,"Aussenlager","teilweise")))))</f>
        <v>Lift</v>
      </c>
      <c r="BC185" s="55" t="str">
        <f aca="false">IF(AN185&lt;=0,"",IF(BU185="Aussen","Aussenlager",IF(BU185="-","Nicht im Lift",IF(AS185&gt;=1,"Lift",IF(AS185&lt;=0,"Aussenlager","teilweise")))))</f>
        <v>Aussenlager</v>
      </c>
      <c r="BD185" s="55" t="str">
        <f aca="false">IF(AV185&lt;=0,"",IF(BU185="Aussen","Aussenlager",IF(BU185="-","Nicht im Lift",IF(BA185&gt;=1,"Lift",IF(BA185&lt;=0,"Aussenlager","teilweise")))))</f>
        <v>Lift</v>
      </c>
      <c r="BE185" s="55" t="str">
        <f aca="false">IF(A185="","",IF(BN185=1,"Neu; ","")&amp;IF(AND(BN185=0,BI185&lt;0),"negativer Bestand (Export "&amp;BI185&amp;"); ","")&amp;IF(I185&lt;=0,"Kein Verbrauch; ","")&amp;IF(CD185&gt;0,"Lift "&amp;U185&amp;" lt. Liftbericht (Fach "&amp;V185&amp;" Stk); ",IF(BR185=1,"Lose – Fläche geschätzt; ",""))&amp;IF(G185&gt;AP185,"Überbestand "&amp;ROUND(G185-AP185,0)&amp;" Stk / CHF "&amp;ROUND((G185-AP185)*F185,0)&amp;"; ","")&amp;IF(AND(BW185=1,BX185&lt;BY185),"MAX &lt; MB+LG; ","")&amp;IF(AND(CC185&gt;0,CB185*10&gt;CC185),"zu hoch für Tablar; ","")&amp;IF(AND(BN185=0,OR(BW185=1,Y185&lt;&gt;"",S185&lt;&gt;"",T185&lt;&gt;"",Z185&lt;&gt;"")),"manuell übersteuert; ","")&amp;IF(AND(BR185=0,Q185=0),"Gebinde unbekannt / Stellmass fehlt; ","")&amp;IF(AND(BR185=0,N(T185)&lt;=0,N(P185)&lt;=0),"Menge pro Gebinde fehlt (Ist = 1 Gebinde); ","")&amp;BM185)</f>
        <v/>
      </c>
      <c r="BF185" s="55"/>
      <c r="BG185" s="55"/>
      <c r="BH185" s="62"/>
      <c r="BI185" s="57" t="n">
        <v>3</v>
      </c>
      <c r="BJ185" s="57" t="n">
        <v>2</v>
      </c>
      <c r="BK185" s="56" t="n">
        <v>958.700000000001</v>
      </c>
      <c r="BL185" s="57" t="n">
        <v>2</v>
      </c>
      <c r="BM185" s="55"/>
      <c r="BN185" s="60" t="n">
        <v>0</v>
      </c>
      <c r="BO185" s="60" t="n">
        <v>185</v>
      </c>
      <c r="BP185" s="55" t="str">
        <f aca="false">IF(S185&lt;&gt;"",UPPER(TRIM(S185)),IF(O185="","LOSE",O185))</f>
        <v>S71</v>
      </c>
      <c r="BQ185" s="57" t="n">
        <f aca="false">IF(BP185="LOSE",1,IF(N(T185)&gt;0,T185,IF(N(P185)&gt;0,P185,MAX(1,G185))))</f>
        <v>5</v>
      </c>
      <c r="BR185" s="60" t="n">
        <f aca="false">IF(BP185="LOSE",1,0)</f>
        <v>0</v>
      </c>
      <c r="BS185" s="59" t="n">
        <f aca="false">IF(BR185=0,0,IF(N(R185)&gt;0,R185,IFERROR(VLOOKUP(D185,Parameter!$A$35:$C$64,3,0)+0,0)))</f>
        <v>0</v>
      </c>
      <c r="BT185" s="55" t="n">
        <f aca="false">IF(Y185&lt;&gt;"",Y185,X185)</f>
        <v>2</v>
      </c>
      <c r="BU185" s="55" t="str">
        <f aca="false">IF(BT185=1,"L1",IF(OR(BT185=2,BT185=3),"L23",IF(BT185="Aussen","Aussen","-")))</f>
        <v>L23</v>
      </c>
      <c r="BV185" s="66" t="n">
        <f aca="false">IF(N(Z185)&gt;0,Z185,0)</f>
        <v>0</v>
      </c>
      <c r="BW185" s="60" t="n">
        <f aca="false">IF(ISNUMBER(AC185),1,0)</f>
        <v>0</v>
      </c>
      <c r="BX185" s="57" t="n">
        <f aca="false">N(AC185)</f>
        <v>0</v>
      </c>
      <c r="BY185" s="57" t="n">
        <f aca="false">N(L185)+N(M185)</f>
        <v>1</v>
      </c>
      <c r="BZ185" s="57" t="n">
        <f aca="false">ROUNDUP(G185/BQ185,0)</f>
        <v>1</v>
      </c>
      <c r="CA185" s="57" t="n">
        <f aca="false">ROUNDUP(BX185/BQ185,0)</f>
        <v>0</v>
      </c>
      <c r="CB185" s="60" t="n">
        <f aca="false">IF(BR185=1,0,IFERROR(VLOOKUP(BP185,'Gebinde-Kategorie'!$A$5:$M$45,5,0)+0,0))</f>
        <v>20</v>
      </c>
      <c r="CC185" s="60" t="n">
        <f aca="false">IFERROR(IF(OR(BT185=1,BT185=2,BT185=3),N(INDEX(Parameter!$I$5:$I$7,BT185)),0),0)</f>
        <v>0</v>
      </c>
      <c r="CD185" s="59" t="n">
        <f aca="false">IF(AND(Parameter!$B$21="Ja",ISNUMBER(U185),N(V185)&gt;0),IFERROR(N(INDEX(Parameter!$L$5:$L$7,U185))*INDEX(Parameter!$E$5:$E$7,U185)*V185/SUMIFS($V$7:$V$1576,$U$7:$U$1576,U185),0),0)</f>
        <v>0</v>
      </c>
    </row>
    <row r="186" customFormat="false" ht="15" hidden="false" customHeight="false" outlineLevel="0" collapsed="false">
      <c r="A186" s="55" t="s">
        <v>564</v>
      </c>
      <c r="B186" s="55" t="s">
        <v>565</v>
      </c>
      <c r="C186" s="55" t="s">
        <v>160</v>
      </c>
      <c r="D186" s="55" t="s">
        <v>178</v>
      </c>
      <c r="E186" s="55" t="s">
        <v>210</v>
      </c>
      <c r="F186" s="56" t="n">
        <v>428.28</v>
      </c>
      <c r="G186" s="57" t="n">
        <f aca="false">MAX(0,IF(AND(Parameter!$B$21="Ja",ISNUMBER(W186)),W186,IF(Parameter!$B$20="Jahresanfang 2025 + Export",BJ186+BI186,BI186)))</f>
        <v>2</v>
      </c>
      <c r="H186" s="57" t="n">
        <f aca="false">G186*F186</f>
        <v>856.56</v>
      </c>
      <c r="I186" s="57" t="n">
        <f aca="false">BL186*Parameter!$B$18</f>
        <v>8</v>
      </c>
      <c r="J186" s="58" t="n">
        <v>5</v>
      </c>
      <c r="K186" s="59" t="n">
        <v>1.6</v>
      </c>
      <c r="L186" s="57" t="n">
        <v>10</v>
      </c>
      <c r="M186" s="57" t="n">
        <v>5</v>
      </c>
      <c r="N186" s="60" t="n">
        <v>35</v>
      </c>
      <c r="O186" s="55" t="s">
        <v>163</v>
      </c>
      <c r="P186" s="57"/>
      <c r="Q186" s="60" t="n">
        <f aca="false">IF(BR186=1,0,IFERROR(VLOOKUP(BP186,'Gebinde-Kategorie'!$A$5:$M$45,13,0)+0,0))</f>
        <v>0</v>
      </c>
      <c r="R186" s="61"/>
      <c r="S186" s="62"/>
      <c r="T186" s="62"/>
      <c r="U186" s="55"/>
      <c r="V186" s="57"/>
      <c r="W186" s="57"/>
      <c r="X186" s="55" t="n">
        <f aca="false">IF(A186="","",IF(AND(Parameter!$B$21="Ja",ISNUMBER(U186)),U186,IF(IFERROR(VLOOKUP(D186,Parameter!$A$35:$C$64,2,0),"Nein")="2+3",IF(ISNUMBER(SEARCH("grosser Artikel",BM186)),2,IFERROR(VLOOKUP(BP186,Parameter!$F$35:$G$64,2,0),2)),IF(OR(IFERROR(VLOOKUP(D186,Parameter!$A$35:$C$64,2,0),"Nein")="Nein",IFERROR(VLOOKUP(D186,Parameter!$A$35:$C$64,2,0),"Nein")=""),"-",VLOOKUP(D186,Parameter!$A$35:$C$64,2,0)))))</f>
        <v>2</v>
      </c>
      <c r="Y186" s="62"/>
      <c r="Z186" s="63"/>
      <c r="AA186" s="57" t="n">
        <f aca="false">AP186</f>
        <v>15</v>
      </c>
      <c r="AB186" s="57" t="n">
        <f aca="false">MAX(AP186,G186)</f>
        <v>15</v>
      </c>
      <c r="AC186" s="64"/>
      <c r="AD186" s="57" t="n">
        <f aca="false">IF(LEFT(Cockpit!$C$5,1)="A",G186,IF(BW186=1,BX186,IF(LEFT(Cockpit!$C$5,1)="B",AH186,MAX(AH186,G186))))</f>
        <v>2</v>
      </c>
      <c r="AE186" s="57" t="n">
        <f aca="false">IF(BR186=1,0,ROUNDUP(AD186/BQ186,0))</f>
        <v>0</v>
      </c>
      <c r="AF186" s="59" t="n">
        <f aca="false">IF(CD186&gt;0,CD186*MAX(1,AD186/V186),IF(BR186=1,IF(AD186&lt;=0,0,BS186*MAX(1,IF(G186&gt;0,AD186/G186,1))),IF(Q186&gt;0,AE186/Q186,0))/MAX(0.1,N(Parameter!$M$21)))</f>
        <v>0.03</v>
      </c>
      <c r="AG186" s="57" t="n">
        <f aca="false">AD186*F186</f>
        <v>856.56</v>
      </c>
      <c r="AH186" s="57" t="n">
        <f aca="false">ROUNDUP(MAX(I186/IF(BV186&gt;0,BV186,MAX(0.1,N(Cockpit!$C$6))),BY186)/BQ186,0)*BQ186</f>
        <v>15</v>
      </c>
      <c r="AI186" s="58" t="n">
        <f aca="false">IF(AF186&gt;0,I186/AF186,-1)</f>
        <v>266.666666666667</v>
      </c>
      <c r="AJ186" s="58" t="n">
        <f aca="false">IF(AND(OR(BU186="L1",BU186="L23"),AF186&gt;0),SUMIFS($AF$7:$AF$1576,$BU$7:$BU$1576,BU186,$AI$7:$AI$1576,"&gt;"&amp;AI186)+SUMIFS($AF$7:$AF$1576,$BU$7:$BU$1576,BU186,$AI$7:$AI$1576,AI186,$BO$7:$BO$1576,"&lt;="&amp;BO186),"")</f>
        <v>15.5013077260903</v>
      </c>
      <c r="AK186" s="65" t="n">
        <f aca="false">IF(AJ186="",0,MAX(0,MIN(1,(IF(BU186="L1",Parameter!$E$5,Parameter!$E$6+Parameter!$E$7)-(AJ186-AF186))/AF186)))</f>
        <v>1</v>
      </c>
      <c r="AL186" s="57" t="n">
        <f aca="false">IF(LEFT(Cockpit!$I$5,1)="A",G186,IF(BW186=1,BX186,IF(LEFT(Cockpit!$I$5,1)="B",AP186,MAX(AP186,G186))))</f>
        <v>15</v>
      </c>
      <c r="AM186" s="57" t="n">
        <f aca="false">IF(BR186=1,0,ROUNDUP(AL186/BQ186,0))</f>
        <v>0</v>
      </c>
      <c r="AN186" s="59" t="n">
        <f aca="false">IF(CD186&gt;0,CD186*MAX(1,AL186/V186),IF(BR186=1,IF(AL186&lt;=0,0,BS186*MAX(1,IF(G186&gt;0,AL186/G186,1))),IF(Q186&gt;0,AM186/Q186,0))/MAX(0.1,N(Parameter!$M$21)))</f>
        <v>0.225</v>
      </c>
      <c r="AO186" s="57" t="n">
        <f aca="false">AL186*F186</f>
        <v>6424.2</v>
      </c>
      <c r="AP186" s="57" t="n">
        <f aca="false">ROUNDUP(MAX(I186/IF(BV186&gt;0,BV186,MAX(0.1,N(Cockpit!$I$6))),BY186)/BQ186,0)*BQ186</f>
        <v>15</v>
      </c>
      <c r="AQ186" s="58" t="n">
        <f aca="false">IF(AN186&gt;0,I186/AN186,-1)</f>
        <v>35.5555555555556</v>
      </c>
      <c r="AR186" s="58" t="n">
        <f aca="false">IF(AND(OR(BU186="L1",BU186="L23"),AN186&gt;0),SUMIFS($AN$7:$AN$1576,$BU$7:$BU$1576,BU186,$AQ$7:$AQ$1576,"&gt;"&amp;AQ186)+SUMIFS($AN$7:$AN$1576,$BU$7:$BU$1576,BU186,$AQ$7:$AQ$1576,AQ186,$BO$7:$BO$1576,"&lt;="&amp;BO186),"")</f>
        <v>93.8574345886957</v>
      </c>
      <c r="AS186" s="65" t="n">
        <f aca="false">IF(AR186="",0,MAX(0,MIN(1,(IF(BU186="L1",Parameter!$E$5,Parameter!$E$6+Parameter!$E$7)-(AR186-AN186))/AN186)))</f>
        <v>1</v>
      </c>
      <c r="AT186" s="57" t="n">
        <f aca="false">IF(LEFT(Cockpit!$O$5,1)="A",G186,IF(BW186=1,BX186,IF(LEFT(Cockpit!$O$5,1)="B",AX186,MAX(AX186,G186))))</f>
        <v>15</v>
      </c>
      <c r="AU186" s="57" t="n">
        <f aca="false">IF(BR186=1,0,ROUNDUP(AT186/BQ186,0))</f>
        <v>0</v>
      </c>
      <c r="AV186" s="59" t="n">
        <f aca="false">IF(CD186&gt;0,CD186*MAX(1,AT186/V186),IF(BR186=1,IF(AT186&lt;=0,0,BS186*MAX(1,IF(G186&gt;0,AT186/G186,1))),IF(Q186&gt;0,AU186/Q186,0))/MAX(0.1,N(Parameter!$M$21)))</f>
        <v>0.225</v>
      </c>
      <c r="AW186" s="57" t="n">
        <f aca="false">AT186*F186</f>
        <v>6424.2</v>
      </c>
      <c r="AX186" s="57" t="n">
        <f aca="false">ROUNDUP(MAX(I186/IF(BV186&gt;0,BV186,MAX(0.1,N(Cockpit!$O$6))),BY186)/BQ186,0)*BQ186</f>
        <v>15</v>
      </c>
      <c r="AY186" s="58" t="n">
        <f aca="false">IF(AV186&gt;0,I186/AV186,-1)</f>
        <v>35.5555555555556</v>
      </c>
      <c r="AZ186" s="58" t="n">
        <f aca="false">IF(AND(OR(BU186="L1",BU186="L23"),AV186&gt;0),SUMIFS($AV$7:$AV$1576,$BU$7:$BU$1576,BU186,$AY$7:$AY$1576,"&gt;"&amp;AY186)+SUMIFS($AV$7:$AV$1576,$BU$7:$BU$1576,BU186,$AY$7:$AY$1576,AY186,$BO$7:$BO$1576,"&lt;="&amp;BO186),"")</f>
        <v>85.6419850382462</v>
      </c>
      <c r="BA186" s="65" t="n">
        <f aca="false">IF(AZ186="",0,MAX(0,MIN(1,(IF(BU186="L1",Parameter!$E$5,Parameter!$E$6+Parameter!$E$7)-(AZ186-AV186))/AV186)))</f>
        <v>1</v>
      </c>
      <c r="BB186" s="55" t="str">
        <f aca="false">IF(AF186&lt;=0,"",IF(BU186="Aussen","Aussenlager",IF(BU186="-","Nicht im Lift",IF(AK186&gt;=1,"Lift",IF(AK186&lt;=0,"Aussenlager","teilweise")))))</f>
        <v>Lift</v>
      </c>
      <c r="BC186" s="55" t="str">
        <f aca="false">IF(AN186&lt;=0,"",IF(BU186="Aussen","Aussenlager",IF(BU186="-","Nicht im Lift",IF(AS186&gt;=1,"Lift",IF(AS186&lt;=0,"Aussenlager","teilweise")))))</f>
        <v>Lift</v>
      </c>
      <c r="BD186" s="55" t="str">
        <f aca="false">IF(AV186&lt;=0,"",IF(BU186="Aussen","Aussenlager",IF(BU186="-","Nicht im Lift",IF(BA186&gt;=1,"Lift",IF(BA186&lt;=0,"Aussenlager","teilweise")))))</f>
        <v>Lift</v>
      </c>
      <c r="BE186" s="55" t="str">
        <f aca="false">IF(A186="","",IF(BN186=1,"Neu; ","")&amp;IF(AND(BN186=0,BI186&lt;0),"negativer Bestand (Export "&amp;BI186&amp;"); ","")&amp;IF(I186&lt;=0,"Kein Verbrauch; ","")&amp;IF(CD186&gt;0,"Lift "&amp;U186&amp;" lt. Liftbericht (Fach "&amp;V186&amp;" Stk); ",IF(BR186=1,"Lose – Fläche geschätzt; ",""))&amp;IF(G186&gt;AP186,"Überbestand "&amp;ROUND(G186-AP186,0)&amp;" Stk / CHF "&amp;ROUND((G186-AP186)*F186,0)&amp;"; ","")&amp;IF(AND(BW186=1,BX186&lt;BY186),"MAX &lt; MB+LG; ","")&amp;IF(AND(CC186&gt;0,CB186*10&gt;CC186),"zu hoch für Tablar; ","")&amp;IF(AND(BN186=0,OR(BW186=1,Y186&lt;&gt;"",S186&lt;&gt;"",T186&lt;&gt;"",Z186&lt;&gt;"")),"manuell übersteuert; ","")&amp;IF(AND(BR186=0,Q186=0),"Gebinde unbekannt / Stellmass fehlt; ","")&amp;IF(AND(BR186=0,N(T186)&lt;=0,N(P186)&lt;=0),"Menge pro Gebinde fehlt (Ist = 1 Gebinde); ","")&amp;BM186)</f>
        <v>Lose – Fläche geschätzt; </v>
      </c>
      <c r="BF186" s="55"/>
      <c r="BG186" s="55"/>
      <c r="BH186" s="62"/>
      <c r="BI186" s="57" t="n">
        <v>2</v>
      </c>
      <c r="BJ186" s="57" t="n">
        <v>7</v>
      </c>
      <c r="BK186" s="56" t="n">
        <v>957.990000000001</v>
      </c>
      <c r="BL186" s="57" t="n">
        <v>8</v>
      </c>
      <c r="BM186" s="55"/>
      <c r="BN186" s="60" t="n">
        <v>0</v>
      </c>
      <c r="BO186" s="60" t="n">
        <v>186</v>
      </c>
      <c r="BP186" s="55" t="str">
        <f aca="false">IF(S186&lt;&gt;"",UPPER(TRIM(S186)),IF(O186="","LOSE",O186))</f>
        <v>LOSE</v>
      </c>
      <c r="BQ186" s="57" t="n">
        <f aca="false">IF(BP186="LOSE",1,IF(N(T186)&gt;0,T186,IF(N(P186)&gt;0,P186,MAX(1,G186))))</f>
        <v>1</v>
      </c>
      <c r="BR186" s="60" t="n">
        <f aca="false">IF(BP186="LOSE",1,0)</f>
        <v>1</v>
      </c>
      <c r="BS186" s="59" t="n">
        <f aca="false">IF(BR186=0,0,IF(N(R186)&gt;0,R186,IFERROR(VLOOKUP(D186,Parameter!$A$35:$C$64,3,0)+0,0)))</f>
        <v>0.03</v>
      </c>
      <c r="BT186" s="55" t="n">
        <f aca="false">IF(Y186&lt;&gt;"",Y186,X186)</f>
        <v>2</v>
      </c>
      <c r="BU186" s="55" t="str">
        <f aca="false">IF(BT186=1,"L1",IF(OR(BT186=2,BT186=3),"L23",IF(BT186="Aussen","Aussen","-")))</f>
        <v>L23</v>
      </c>
      <c r="BV186" s="66" t="n">
        <f aca="false">IF(N(Z186)&gt;0,Z186,0)</f>
        <v>0</v>
      </c>
      <c r="BW186" s="60" t="n">
        <f aca="false">IF(ISNUMBER(AC186),1,0)</f>
        <v>0</v>
      </c>
      <c r="BX186" s="57" t="n">
        <f aca="false">N(AC186)</f>
        <v>0</v>
      </c>
      <c r="BY186" s="57" t="n">
        <f aca="false">N(L186)+N(M186)</f>
        <v>15</v>
      </c>
      <c r="BZ186" s="57" t="n">
        <f aca="false">ROUNDUP(G186/BQ186,0)</f>
        <v>2</v>
      </c>
      <c r="CA186" s="57" t="n">
        <f aca="false">ROUNDUP(BX186/BQ186,0)</f>
        <v>0</v>
      </c>
      <c r="CB186" s="60" t="n">
        <f aca="false">IF(BR186=1,0,IFERROR(VLOOKUP(BP186,'Gebinde-Kategorie'!$A$5:$M$45,5,0)+0,0))</f>
        <v>0</v>
      </c>
      <c r="CC186" s="60" t="n">
        <f aca="false">IFERROR(IF(OR(BT186=1,BT186=2,BT186=3),N(INDEX(Parameter!$I$5:$I$7,BT186)),0),0)</f>
        <v>0</v>
      </c>
      <c r="CD186" s="59" t="n">
        <f aca="false">IF(AND(Parameter!$B$21="Ja",ISNUMBER(U186),N(V186)&gt;0),IFERROR(N(INDEX(Parameter!$L$5:$L$7,U186))*INDEX(Parameter!$E$5:$E$7,U186)*V186/SUMIFS($V$7:$V$1576,$U$7:$U$1576,U186),0),0)</f>
        <v>0</v>
      </c>
    </row>
    <row r="187" customFormat="false" ht="15" hidden="false" customHeight="false" outlineLevel="0" collapsed="false">
      <c r="A187" s="55" t="s">
        <v>566</v>
      </c>
      <c r="B187" s="55" t="s">
        <v>567</v>
      </c>
      <c r="C187" s="55" t="s">
        <v>160</v>
      </c>
      <c r="D187" s="55" t="s">
        <v>168</v>
      </c>
      <c r="E187" s="55" t="s">
        <v>210</v>
      </c>
      <c r="F187" s="56" t="n">
        <v>227.72</v>
      </c>
      <c r="G187" s="57" t="n">
        <f aca="false">MAX(0,IF(AND(Parameter!$B$21="Ja",ISNUMBER(W187)),W187,IF(Parameter!$B$20="Jahresanfang 2025 + Export",BJ187+BI187,BI187)))</f>
        <v>2</v>
      </c>
      <c r="H187" s="57" t="n">
        <f aca="false">G187*F187</f>
        <v>455.44</v>
      </c>
      <c r="I187" s="57" t="n">
        <f aca="false">BL187*Parameter!$B$18</f>
        <v>29</v>
      </c>
      <c r="J187" s="58" t="n">
        <v>19</v>
      </c>
      <c r="K187" s="59" t="n">
        <v>1.52631578947368</v>
      </c>
      <c r="L187" s="57" t="n">
        <v>3</v>
      </c>
      <c r="M187" s="57" t="n">
        <v>20</v>
      </c>
      <c r="N187" s="60" t="n">
        <v>35</v>
      </c>
      <c r="O187" s="55" t="s">
        <v>293</v>
      </c>
      <c r="P187" s="57" t="n">
        <v>15</v>
      </c>
      <c r="Q187" s="60" t="n">
        <f aca="false">IF(BR187=1,0,IFERROR(VLOOKUP(BP187,'Gebinde-Kategorie'!$A$5:$M$45,13,0)+0,0))</f>
        <v>26</v>
      </c>
      <c r="R187" s="61"/>
      <c r="S187" s="62"/>
      <c r="T187" s="62"/>
      <c r="U187" s="55"/>
      <c r="V187" s="57"/>
      <c r="W187" s="57"/>
      <c r="X187" s="55" t="n">
        <f aca="false">IF(A187="","",IF(AND(Parameter!$B$21="Ja",ISNUMBER(U187)),U187,IF(IFERROR(VLOOKUP(D187,Parameter!$A$35:$C$64,2,0),"Nein")="2+3",IF(ISNUMBER(SEARCH("grosser Artikel",BM187)),2,IFERROR(VLOOKUP(BP187,Parameter!$F$35:$G$64,2,0),2)),IF(OR(IFERROR(VLOOKUP(D187,Parameter!$A$35:$C$64,2,0),"Nein")="Nein",IFERROR(VLOOKUP(D187,Parameter!$A$35:$C$64,2,0),"Nein")=""),"-",VLOOKUP(D187,Parameter!$A$35:$C$64,2,0)))))</f>
        <v>3</v>
      </c>
      <c r="Y187" s="62"/>
      <c r="Z187" s="63"/>
      <c r="AA187" s="57" t="n">
        <f aca="false">AP187</f>
        <v>30</v>
      </c>
      <c r="AB187" s="57" t="n">
        <f aca="false">MAX(AP187,G187)</f>
        <v>30</v>
      </c>
      <c r="AC187" s="64"/>
      <c r="AD187" s="57" t="n">
        <f aca="false">IF(LEFT(Cockpit!$C$5,1)="A",G187,IF(BW187=1,BX187,IF(LEFT(Cockpit!$C$5,1)="B",AH187,MAX(AH187,G187))))</f>
        <v>2</v>
      </c>
      <c r="AE187" s="57" t="n">
        <f aca="false">IF(BR187=1,0,ROUNDUP(AD187/BQ187,0))</f>
        <v>1</v>
      </c>
      <c r="AF187" s="59" t="n">
        <f aca="false">IF(CD187&gt;0,CD187*MAX(1,AD187/V187),IF(BR187=1,IF(AD187&lt;=0,0,BS187*MAX(1,IF(G187&gt;0,AD187/G187,1))),IF(Q187&gt;0,AE187/Q187,0))/MAX(0.1,N(Parameter!$M$21)))</f>
        <v>0.0384615384615385</v>
      </c>
      <c r="AG187" s="57" t="n">
        <f aca="false">AD187*F187</f>
        <v>455.44</v>
      </c>
      <c r="AH187" s="57" t="n">
        <f aca="false">ROUNDUP(MAX(I187/IF(BV187&gt;0,BV187,MAX(0.1,N(Cockpit!$C$6))),BY187)/BQ187,0)*BQ187</f>
        <v>30</v>
      </c>
      <c r="AI187" s="58" t="n">
        <f aca="false">IF(AF187&gt;0,I187/AF187,-1)</f>
        <v>754</v>
      </c>
      <c r="AJ187" s="58" t="n">
        <f aca="false">IF(AND(OR(BU187="L1",BU187="L23"),AF187&gt;0),SUMIFS($AF$7:$AF$1576,$BU$7:$BU$1576,BU187,$AI$7:$AI$1576,"&gt;"&amp;AI187)+SUMIFS($AF$7:$AF$1576,$BU$7:$BU$1576,BU187,$AI$7:$AI$1576,AI187,$BO$7:$BO$1576,"&lt;="&amp;BO187),"")</f>
        <v>10.940586128847</v>
      </c>
      <c r="AK187" s="65" t="n">
        <f aca="false">IF(AJ187="",0,MAX(0,MIN(1,(IF(BU187="L1",Parameter!$E$5,Parameter!$E$6+Parameter!$E$7)-(AJ187-AF187))/AF187)))</f>
        <v>1</v>
      </c>
      <c r="AL187" s="57" t="n">
        <f aca="false">IF(LEFT(Cockpit!$I$5,1)="A",G187,IF(BW187=1,BX187,IF(LEFT(Cockpit!$I$5,1)="B",AP187,MAX(AP187,G187))))</f>
        <v>30</v>
      </c>
      <c r="AM187" s="57" t="n">
        <f aca="false">IF(BR187=1,0,ROUNDUP(AL187/BQ187,0))</f>
        <v>2</v>
      </c>
      <c r="AN187" s="59" t="n">
        <f aca="false">IF(CD187&gt;0,CD187*MAX(1,AL187/V187),IF(BR187=1,IF(AL187&lt;=0,0,BS187*MAX(1,IF(G187&gt;0,AL187/G187,1))),IF(Q187&gt;0,AM187/Q187,0))/MAX(0.1,N(Parameter!$M$21)))</f>
        <v>0.0769230769230769</v>
      </c>
      <c r="AO187" s="57" t="n">
        <f aca="false">AL187*F187</f>
        <v>6831.6</v>
      </c>
      <c r="AP187" s="57" t="n">
        <f aca="false">ROUNDUP(MAX(I187/IF(BV187&gt;0,BV187,MAX(0.1,N(Cockpit!$I$6))),BY187)/BQ187,0)*BQ187</f>
        <v>30</v>
      </c>
      <c r="AQ187" s="58" t="n">
        <f aca="false">IF(AN187&gt;0,I187/AN187,-1)</f>
        <v>377</v>
      </c>
      <c r="AR187" s="58" t="n">
        <f aca="false">IF(AND(OR(BU187="L1",BU187="L23"),AN187&gt;0),SUMIFS($AN$7:$AN$1576,$BU$7:$BU$1576,BU187,$AQ$7:$AQ$1576,"&gt;"&amp;AQ187)+SUMIFS($AN$7:$AN$1576,$BU$7:$BU$1576,BU187,$AQ$7:$AQ$1576,AQ187,$BO$7:$BO$1576,"&lt;="&amp;BO187),"")</f>
        <v>37.4346983575356</v>
      </c>
      <c r="AS187" s="65" t="n">
        <f aca="false">IF(AR187="",0,MAX(0,MIN(1,(IF(BU187="L1",Parameter!$E$5,Parameter!$E$6+Parameter!$E$7)-(AR187-AN187))/AN187)))</f>
        <v>1</v>
      </c>
      <c r="AT187" s="57" t="n">
        <f aca="false">IF(LEFT(Cockpit!$O$5,1)="A",G187,IF(BW187=1,BX187,IF(LEFT(Cockpit!$O$5,1)="B",AX187,MAX(AX187,G187))))</f>
        <v>30</v>
      </c>
      <c r="AU187" s="57" t="n">
        <f aca="false">IF(BR187=1,0,ROUNDUP(AT187/BQ187,0))</f>
        <v>2</v>
      </c>
      <c r="AV187" s="59" t="n">
        <f aca="false">IF(CD187&gt;0,CD187*MAX(1,AT187/V187),IF(BR187=1,IF(AT187&lt;=0,0,BS187*MAX(1,IF(G187&gt;0,AT187/G187,1))),IF(Q187&gt;0,AU187/Q187,0))/MAX(0.1,N(Parameter!$M$21)))</f>
        <v>0.0769230769230769</v>
      </c>
      <c r="AW187" s="57" t="n">
        <f aca="false">AT187*F187</f>
        <v>6831.6</v>
      </c>
      <c r="AX187" s="57" t="n">
        <f aca="false">ROUNDUP(MAX(I187/IF(BV187&gt;0,BV187,MAX(0.1,N(Cockpit!$O$6))),BY187)/BQ187,0)*BQ187</f>
        <v>30</v>
      </c>
      <c r="AY187" s="58" t="n">
        <f aca="false">IF(AV187&gt;0,I187/AV187,-1)</f>
        <v>377</v>
      </c>
      <c r="AZ187" s="58" t="n">
        <f aca="false">IF(AND(OR(BU187="L1",BU187="L23"),AV187&gt;0),SUMIFS($AV$7:$AV$1576,$BU$7:$BU$1576,BU187,$AY$7:$AY$1576,"&gt;"&amp;AY187)+SUMIFS($AV$7:$AV$1576,$BU$7:$BU$1576,BU187,$AY$7:$AY$1576,AY187,$BO$7:$BO$1576,"&lt;="&amp;BO187),"")</f>
        <v>36.2661102789475</v>
      </c>
      <c r="BA187" s="65" t="n">
        <f aca="false">IF(AZ187="",0,MAX(0,MIN(1,(IF(BU187="L1",Parameter!$E$5,Parameter!$E$6+Parameter!$E$7)-(AZ187-AV187))/AV187)))</f>
        <v>1</v>
      </c>
      <c r="BB187" s="55" t="str">
        <f aca="false">IF(AF187&lt;=0,"",IF(BU187="Aussen","Aussenlager",IF(BU187="-","Nicht im Lift",IF(AK187&gt;=1,"Lift",IF(AK187&lt;=0,"Aussenlager","teilweise")))))</f>
        <v>Lift</v>
      </c>
      <c r="BC187" s="55" t="str">
        <f aca="false">IF(AN187&lt;=0,"",IF(BU187="Aussen","Aussenlager",IF(BU187="-","Nicht im Lift",IF(AS187&gt;=1,"Lift",IF(AS187&lt;=0,"Aussenlager","teilweise")))))</f>
        <v>Lift</v>
      </c>
      <c r="BD187" s="55" t="str">
        <f aca="false">IF(AV187&lt;=0,"",IF(BU187="Aussen","Aussenlager",IF(BU187="-","Nicht im Lift",IF(BA187&gt;=1,"Lift",IF(BA187&lt;=0,"Aussenlager","teilweise")))))</f>
        <v>Lift</v>
      </c>
      <c r="BE187" s="55" t="str">
        <f aca="false">IF(A187="","",IF(BN187=1,"Neu; ","")&amp;IF(AND(BN187=0,BI187&lt;0),"negativer Bestand (Export "&amp;BI187&amp;"); ","")&amp;IF(I187&lt;=0,"Kein Verbrauch; ","")&amp;IF(CD187&gt;0,"Lift "&amp;U187&amp;" lt. Liftbericht (Fach "&amp;V187&amp;" Stk); ",IF(BR187=1,"Lose – Fläche geschätzt; ",""))&amp;IF(G187&gt;AP187,"Überbestand "&amp;ROUND(G187-AP187,0)&amp;" Stk / CHF "&amp;ROUND((G187-AP187)*F187,0)&amp;"; ","")&amp;IF(AND(BW187=1,BX187&lt;BY187),"MAX &lt; MB+LG; ","")&amp;IF(AND(CC187&gt;0,CB187*10&gt;CC187),"zu hoch für Tablar; ","")&amp;IF(AND(BN187=0,OR(BW187=1,Y187&lt;&gt;"",S187&lt;&gt;"",T187&lt;&gt;"",Z187&lt;&gt;"")),"manuell übersteuert; ","")&amp;IF(AND(BR187=0,Q187=0),"Gebinde unbekannt / Stellmass fehlt; ","")&amp;IF(AND(BR187=0,N(T187)&lt;=0,N(P187)&lt;=0),"Menge pro Gebinde fehlt (Ist = 1 Gebinde); ","")&amp;BM187)</f>
        <v/>
      </c>
      <c r="BF187" s="55"/>
      <c r="BG187" s="55"/>
      <c r="BH187" s="62"/>
      <c r="BI187" s="57" t="n">
        <v>2</v>
      </c>
      <c r="BJ187" s="57" t="n">
        <v>13</v>
      </c>
      <c r="BK187" s="56" t="n">
        <v>952.169999999999</v>
      </c>
      <c r="BL187" s="57" t="n">
        <v>29</v>
      </c>
      <c r="BM187" s="55"/>
      <c r="BN187" s="60" t="n">
        <v>0</v>
      </c>
      <c r="BO187" s="60" t="n">
        <v>187</v>
      </c>
      <c r="BP187" s="55" t="str">
        <f aca="false">IF(S187&lt;&gt;"",UPPER(TRIM(S187)),IF(O187="","LOSE",O187))</f>
        <v>S51</v>
      </c>
      <c r="BQ187" s="57" t="n">
        <f aca="false">IF(BP187="LOSE",1,IF(N(T187)&gt;0,T187,IF(N(P187)&gt;0,P187,MAX(1,G187))))</f>
        <v>15</v>
      </c>
      <c r="BR187" s="60" t="n">
        <f aca="false">IF(BP187="LOSE",1,0)</f>
        <v>0</v>
      </c>
      <c r="BS187" s="59" t="n">
        <f aca="false">IF(BR187=0,0,IF(N(R187)&gt;0,R187,IFERROR(VLOOKUP(D187,Parameter!$A$35:$C$64,3,0)+0,0)))</f>
        <v>0</v>
      </c>
      <c r="BT187" s="55" t="n">
        <f aca="false">IF(Y187&lt;&gt;"",Y187,X187)</f>
        <v>3</v>
      </c>
      <c r="BU187" s="55" t="str">
        <f aca="false">IF(BT187=1,"L1",IF(OR(BT187=2,BT187=3),"L23",IF(BT187="Aussen","Aussen","-")))</f>
        <v>L23</v>
      </c>
      <c r="BV187" s="66" t="n">
        <f aca="false">IF(N(Z187)&gt;0,Z187,0)</f>
        <v>0</v>
      </c>
      <c r="BW187" s="60" t="n">
        <f aca="false">IF(ISNUMBER(AC187),1,0)</f>
        <v>0</v>
      </c>
      <c r="BX187" s="57" t="n">
        <f aca="false">N(AC187)</f>
        <v>0</v>
      </c>
      <c r="BY187" s="57" t="n">
        <f aca="false">N(L187)+N(M187)</f>
        <v>23</v>
      </c>
      <c r="BZ187" s="57" t="n">
        <f aca="false">ROUNDUP(G187/BQ187,0)</f>
        <v>1</v>
      </c>
      <c r="CA187" s="57" t="n">
        <f aca="false">ROUNDUP(BX187/BQ187,0)</f>
        <v>0</v>
      </c>
      <c r="CB187" s="60" t="n">
        <f aca="false">IF(BR187=1,0,IFERROR(VLOOKUP(BP187,'Gebinde-Kategorie'!$A$5:$M$45,5,0)+0,0))</f>
        <v>11</v>
      </c>
      <c r="CC187" s="60" t="n">
        <f aca="false">IFERROR(IF(OR(BT187=1,BT187=2,BT187=3),N(INDEX(Parameter!$I$5:$I$7,BT187)),0),0)</f>
        <v>0</v>
      </c>
      <c r="CD187" s="59" t="n">
        <f aca="false">IF(AND(Parameter!$B$21="Ja",ISNUMBER(U187),N(V187)&gt;0),IFERROR(N(INDEX(Parameter!$L$5:$L$7,U187))*INDEX(Parameter!$E$5:$E$7,U187)*V187/SUMIFS($V$7:$V$1576,$U$7:$U$1576,U187),0),0)</f>
        <v>0</v>
      </c>
    </row>
    <row r="188" customFormat="false" ht="15" hidden="false" customHeight="false" outlineLevel="0" collapsed="false">
      <c r="A188" s="55" t="s">
        <v>568</v>
      </c>
      <c r="B188" s="55" t="s">
        <v>569</v>
      </c>
      <c r="C188" s="55" t="s">
        <v>160</v>
      </c>
      <c r="D188" s="55" t="s">
        <v>168</v>
      </c>
      <c r="E188" s="55" t="s">
        <v>210</v>
      </c>
      <c r="F188" s="56" t="n">
        <v>150.01</v>
      </c>
      <c r="G188" s="57" t="n">
        <f aca="false">MAX(0,IF(AND(Parameter!$B$21="Ja",ISNUMBER(W188)),W188,IF(Parameter!$B$20="Jahresanfang 2025 + Export",BJ188+BI188,BI188)))</f>
        <v>6</v>
      </c>
      <c r="H188" s="57" t="n">
        <f aca="false">G188*F188</f>
        <v>900.06</v>
      </c>
      <c r="I188" s="57" t="n">
        <f aca="false">BL188*Parameter!$B$18</f>
        <v>30</v>
      </c>
      <c r="J188" s="58" t="n">
        <v>10</v>
      </c>
      <c r="K188" s="59" t="n">
        <v>3</v>
      </c>
      <c r="L188" s="57" t="n">
        <v>1</v>
      </c>
      <c r="M188" s="57" t="n">
        <v>15</v>
      </c>
      <c r="N188" s="60" t="n">
        <v>21</v>
      </c>
      <c r="O188" s="55" t="s">
        <v>169</v>
      </c>
      <c r="P188" s="57" t="n">
        <v>15</v>
      </c>
      <c r="Q188" s="60" t="n">
        <f aca="false">IF(BR188=1,0,IFERROR(VLOOKUP(BP188,'Gebinde-Kategorie'!$A$5:$M$45,13,0)+0,0))</f>
        <v>6</v>
      </c>
      <c r="R188" s="61"/>
      <c r="S188" s="62"/>
      <c r="T188" s="62"/>
      <c r="U188" s="55"/>
      <c r="V188" s="57"/>
      <c r="W188" s="57"/>
      <c r="X188" s="55" t="n">
        <f aca="false">IF(A188="","",IF(AND(Parameter!$B$21="Ja",ISNUMBER(U188)),U188,IF(IFERROR(VLOOKUP(D188,Parameter!$A$35:$C$64,2,0),"Nein")="2+3",IF(ISNUMBER(SEARCH("grosser Artikel",BM188)),2,IFERROR(VLOOKUP(BP188,Parameter!$F$35:$G$64,2,0),2)),IF(OR(IFERROR(VLOOKUP(D188,Parameter!$A$35:$C$64,2,0),"Nein")="Nein",IFERROR(VLOOKUP(D188,Parameter!$A$35:$C$64,2,0),"Nein")=""),"-",VLOOKUP(D188,Parameter!$A$35:$C$64,2,0)))))</f>
        <v>2</v>
      </c>
      <c r="Y188" s="62"/>
      <c r="Z188" s="63"/>
      <c r="AA188" s="57" t="n">
        <f aca="false">AP188</f>
        <v>30</v>
      </c>
      <c r="AB188" s="57" t="n">
        <f aca="false">MAX(AP188,G188)</f>
        <v>30</v>
      </c>
      <c r="AC188" s="64"/>
      <c r="AD188" s="57" t="n">
        <f aca="false">IF(LEFT(Cockpit!$C$5,1)="A",G188,IF(BW188=1,BX188,IF(LEFT(Cockpit!$C$5,1)="B",AH188,MAX(AH188,G188))))</f>
        <v>6</v>
      </c>
      <c r="AE188" s="57" t="n">
        <f aca="false">IF(BR188=1,0,ROUNDUP(AD188/BQ188,0))</f>
        <v>1</v>
      </c>
      <c r="AF188" s="59" t="n">
        <f aca="false">IF(CD188&gt;0,CD188*MAX(1,AD188/V188),IF(BR188=1,IF(AD188&lt;=0,0,BS188*MAX(1,IF(G188&gt;0,AD188/G188,1))),IF(Q188&gt;0,AE188/Q188,0))/MAX(0.1,N(Parameter!$M$21)))</f>
        <v>0.166666666666667</v>
      </c>
      <c r="AG188" s="57" t="n">
        <f aca="false">AD188*F188</f>
        <v>900.06</v>
      </c>
      <c r="AH188" s="57" t="n">
        <f aca="false">ROUNDUP(MAX(I188/IF(BV188&gt;0,BV188,MAX(0.1,N(Cockpit!$C$6))),BY188)/BQ188,0)*BQ188</f>
        <v>30</v>
      </c>
      <c r="AI188" s="58" t="n">
        <f aca="false">IF(AF188&gt;0,I188/AF188,-1)</f>
        <v>180</v>
      </c>
      <c r="AJ188" s="58" t="n">
        <f aca="false">IF(AND(OR(BU188="L1",BU188="L23"),AF188&gt;0),SUMIFS($AF$7:$AF$1576,$BU$7:$BU$1576,BU188,$AI$7:$AI$1576,"&gt;"&amp;AI188)+SUMIFS($AF$7:$AF$1576,$BU$7:$BU$1576,BU188,$AI$7:$AI$1576,AI188,$BO$7:$BO$1576,"&lt;="&amp;BO188),"")</f>
        <v>18.0493493463059</v>
      </c>
      <c r="AK188" s="65" t="n">
        <f aca="false">IF(AJ188="",0,MAX(0,MIN(1,(IF(BU188="L1",Parameter!$E$5,Parameter!$E$6+Parameter!$E$7)-(AJ188-AF188))/AF188)))</f>
        <v>1</v>
      </c>
      <c r="AL188" s="57" t="n">
        <f aca="false">IF(LEFT(Cockpit!$I$5,1)="A",G188,IF(BW188=1,BX188,IF(LEFT(Cockpit!$I$5,1)="B",AP188,MAX(AP188,G188))))</f>
        <v>30</v>
      </c>
      <c r="AM188" s="57" t="n">
        <f aca="false">IF(BR188=1,0,ROUNDUP(AL188/BQ188,0))</f>
        <v>2</v>
      </c>
      <c r="AN188" s="59" t="n">
        <f aca="false">IF(CD188&gt;0,CD188*MAX(1,AL188/V188),IF(BR188=1,IF(AL188&lt;=0,0,BS188*MAX(1,IF(G188&gt;0,AL188/G188,1))),IF(Q188&gt;0,AM188/Q188,0))/MAX(0.1,N(Parameter!$M$21)))</f>
        <v>0.333333333333333</v>
      </c>
      <c r="AO188" s="57" t="n">
        <f aca="false">AL188*F188</f>
        <v>4500.3</v>
      </c>
      <c r="AP188" s="57" t="n">
        <f aca="false">ROUNDUP(MAX(I188/IF(BV188&gt;0,BV188,MAX(0.1,N(Cockpit!$I$6))),BY188)/BQ188,0)*BQ188</f>
        <v>30</v>
      </c>
      <c r="AQ188" s="58" t="n">
        <f aca="false">IF(AN188&gt;0,I188/AN188,-1)</f>
        <v>90</v>
      </c>
      <c r="AR188" s="58" t="n">
        <f aca="false">IF(AND(OR(BU188="L1",BU188="L23"),AN188&gt;0),SUMIFS($AN$7:$AN$1576,$BU$7:$BU$1576,BU188,$AQ$7:$AQ$1576,"&gt;"&amp;AQ188)+SUMIFS($AN$7:$AN$1576,$BU$7:$BU$1576,BU188,$AQ$7:$AQ$1576,AQ188,$BO$7:$BO$1576,"&lt;="&amp;BO188),"")</f>
        <v>71.1936467099079</v>
      </c>
      <c r="AS188" s="65" t="n">
        <f aca="false">IF(AR188="",0,MAX(0,MIN(1,(IF(BU188="L1",Parameter!$E$5,Parameter!$E$6+Parameter!$E$7)-(AR188-AN188))/AN188)))</f>
        <v>1</v>
      </c>
      <c r="AT188" s="57" t="n">
        <f aca="false">IF(LEFT(Cockpit!$O$5,1)="A",G188,IF(BW188=1,BX188,IF(LEFT(Cockpit!$O$5,1)="B",AX188,MAX(AX188,G188))))</f>
        <v>30</v>
      </c>
      <c r="AU188" s="57" t="n">
        <f aca="false">IF(BR188=1,0,ROUNDUP(AT188/BQ188,0))</f>
        <v>2</v>
      </c>
      <c r="AV188" s="59" t="n">
        <f aca="false">IF(CD188&gt;0,CD188*MAX(1,AT188/V188),IF(BR188=1,IF(AT188&lt;=0,0,BS188*MAX(1,IF(G188&gt;0,AT188/G188,1))),IF(Q188&gt;0,AU188/Q188,0))/MAX(0.1,N(Parameter!$M$21)))</f>
        <v>0.333333333333333</v>
      </c>
      <c r="AW188" s="57" t="n">
        <f aca="false">AT188*F188</f>
        <v>4500.3</v>
      </c>
      <c r="AX188" s="57" t="n">
        <f aca="false">ROUNDUP(MAX(I188/IF(BV188&gt;0,BV188,MAX(0.1,N(Cockpit!$O$6))),BY188)/BQ188,0)*BQ188</f>
        <v>30</v>
      </c>
      <c r="AY188" s="58" t="n">
        <f aca="false">IF(AV188&gt;0,I188/AV188,-1)</f>
        <v>90</v>
      </c>
      <c r="AZ188" s="58" t="n">
        <f aca="false">IF(AND(OR(BU188="L1",BU188="L23"),AV188&gt;0),SUMIFS($AV$7:$AV$1576,$BU$7:$BU$1576,BU188,$AY$7:$AY$1576,"&gt;"&amp;AY188)+SUMIFS($AV$7:$AV$1576,$BU$7:$BU$1576,BU188,$AY$7:$AY$1576,AY188,$BO$7:$BO$1576,"&lt;="&amp;BO188),"")</f>
        <v>65.7540304927917</v>
      </c>
      <c r="BA188" s="65" t="n">
        <f aca="false">IF(AZ188="",0,MAX(0,MIN(1,(IF(BU188="L1",Parameter!$E$5,Parameter!$E$6+Parameter!$E$7)-(AZ188-AV188))/AV188)))</f>
        <v>1</v>
      </c>
      <c r="BB188" s="55" t="str">
        <f aca="false">IF(AF188&lt;=0,"",IF(BU188="Aussen","Aussenlager",IF(BU188="-","Nicht im Lift",IF(AK188&gt;=1,"Lift",IF(AK188&lt;=0,"Aussenlager","teilweise")))))</f>
        <v>Lift</v>
      </c>
      <c r="BC188" s="55" t="str">
        <f aca="false">IF(AN188&lt;=0,"",IF(BU188="Aussen","Aussenlager",IF(BU188="-","Nicht im Lift",IF(AS188&gt;=1,"Lift",IF(AS188&lt;=0,"Aussenlager","teilweise")))))</f>
        <v>Lift</v>
      </c>
      <c r="BD188" s="55" t="str">
        <f aca="false">IF(AV188&lt;=0,"",IF(BU188="Aussen","Aussenlager",IF(BU188="-","Nicht im Lift",IF(BA188&gt;=1,"Lift",IF(BA188&lt;=0,"Aussenlager","teilweise")))))</f>
        <v>Lift</v>
      </c>
      <c r="BE188" s="55" t="str">
        <f aca="false">IF(A188="","",IF(BN188=1,"Neu; ","")&amp;IF(AND(BN188=0,BI188&lt;0),"negativer Bestand (Export "&amp;BI188&amp;"); ","")&amp;IF(I188&lt;=0,"Kein Verbrauch; ","")&amp;IF(CD188&gt;0,"Lift "&amp;U188&amp;" lt. Liftbericht (Fach "&amp;V188&amp;" Stk); ",IF(BR188=1,"Lose – Fläche geschätzt; ",""))&amp;IF(G188&gt;AP188,"Überbestand "&amp;ROUND(G188-AP188,0)&amp;" Stk / CHF "&amp;ROUND((G188-AP188)*F188,0)&amp;"; ","")&amp;IF(AND(BW188=1,BX188&lt;BY188),"MAX &lt; MB+LG; ","")&amp;IF(AND(CC188&gt;0,CB188*10&gt;CC188),"zu hoch für Tablar; ","")&amp;IF(AND(BN188=0,OR(BW188=1,Y188&lt;&gt;"",S188&lt;&gt;"",T188&lt;&gt;"",Z188&lt;&gt;"")),"manuell übersteuert; ","")&amp;IF(AND(BR188=0,Q188=0),"Gebinde unbekannt / Stellmass fehlt; ","")&amp;IF(AND(BR188=0,N(T188)&lt;=0,N(P188)&lt;=0),"Menge pro Gebinde fehlt (Ist = 1 Gebinde); ","")&amp;BM188)</f>
        <v/>
      </c>
      <c r="BF188" s="55"/>
      <c r="BG188" s="55"/>
      <c r="BH188" s="62"/>
      <c r="BI188" s="57" t="n">
        <v>6</v>
      </c>
      <c r="BJ188" s="57" t="n">
        <v>5</v>
      </c>
      <c r="BK188" s="56" t="n">
        <v>951.909999999999</v>
      </c>
      <c r="BL188" s="57" t="n">
        <v>30</v>
      </c>
      <c r="BM188" s="55"/>
      <c r="BN188" s="60" t="n">
        <v>0</v>
      </c>
      <c r="BO188" s="60" t="n">
        <v>188</v>
      </c>
      <c r="BP188" s="55" t="str">
        <f aca="false">IF(S188&lt;&gt;"",UPPER(TRIM(S188)),IF(O188="","LOSE",O188))</f>
        <v>S71</v>
      </c>
      <c r="BQ188" s="57" t="n">
        <f aca="false">IF(BP188="LOSE",1,IF(N(T188)&gt;0,T188,IF(N(P188)&gt;0,P188,MAX(1,G188))))</f>
        <v>15</v>
      </c>
      <c r="BR188" s="60" t="n">
        <f aca="false">IF(BP188="LOSE",1,0)</f>
        <v>0</v>
      </c>
      <c r="BS188" s="59" t="n">
        <f aca="false">IF(BR188=0,0,IF(N(R188)&gt;0,R188,IFERROR(VLOOKUP(D188,Parameter!$A$35:$C$64,3,0)+0,0)))</f>
        <v>0</v>
      </c>
      <c r="BT188" s="55" t="n">
        <f aca="false">IF(Y188&lt;&gt;"",Y188,X188)</f>
        <v>2</v>
      </c>
      <c r="BU188" s="55" t="str">
        <f aca="false">IF(BT188=1,"L1",IF(OR(BT188=2,BT188=3),"L23",IF(BT188="Aussen","Aussen","-")))</f>
        <v>L23</v>
      </c>
      <c r="BV188" s="66" t="n">
        <f aca="false">IF(N(Z188)&gt;0,Z188,0)</f>
        <v>0</v>
      </c>
      <c r="BW188" s="60" t="n">
        <f aca="false">IF(ISNUMBER(AC188),1,0)</f>
        <v>0</v>
      </c>
      <c r="BX188" s="57" t="n">
        <f aca="false">N(AC188)</f>
        <v>0</v>
      </c>
      <c r="BY188" s="57" t="n">
        <f aca="false">N(L188)+N(M188)</f>
        <v>16</v>
      </c>
      <c r="BZ188" s="57" t="n">
        <f aca="false">ROUNDUP(G188/BQ188,0)</f>
        <v>1</v>
      </c>
      <c r="CA188" s="57" t="n">
        <f aca="false">ROUNDUP(BX188/BQ188,0)</f>
        <v>0</v>
      </c>
      <c r="CB188" s="60" t="n">
        <f aca="false">IF(BR188=1,0,IFERROR(VLOOKUP(BP188,'Gebinde-Kategorie'!$A$5:$M$45,5,0)+0,0))</f>
        <v>20</v>
      </c>
      <c r="CC188" s="60" t="n">
        <f aca="false">IFERROR(IF(OR(BT188=1,BT188=2,BT188=3),N(INDEX(Parameter!$I$5:$I$7,BT188)),0),0)</f>
        <v>0</v>
      </c>
      <c r="CD188" s="59" t="n">
        <f aca="false">IF(AND(Parameter!$B$21="Ja",ISNUMBER(U188),N(V188)&gt;0),IFERROR(N(INDEX(Parameter!$L$5:$L$7,U188))*INDEX(Parameter!$E$5:$E$7,U188)*V188/SUMIFS($V$7:$V$1576,$U$7:$U$1576,U188),0),0)</f>
        <v>0</v>
      </c>
    </row>
    <row r="189" customFormat="false" ht="15" hidden="false" customHeight="false" outlineLevel="0" collapsed="false">
      <c r="A189" s="55" t="s">
        <v>570</v>
      </c>
      <c r="B189" s="55" t="s">
        <v>571</v>
      </c>
      <c r="C189" s="55" t="s">
        <v>160</v>
      </c>
      <c r="D189" s="55" t="s">
        <v>178</v>
      </c>
      <c r="E189" s="55" t="s">
        <v>210</v>
      </c>
      <c r="F189" s="56" t="n">
        <v>33.18</v>
      </c>
      <c r="G189" s="57" t="n">
        <f aca="false">MAX(0,IF(AND(Parameter!$B$21="Ja",ISNUMBER(W189)),W189,IF(Parameter!$B$20="Jahresanfang 2025 + Export",BJ189+BI189,BI189)))</f>
        <v>33</v>
      </c>
      <c r="H189" s="57" t="n">
        <f aca="false">G189*F189</f>
        <v>1094.94</v>
      </c>
      <c r="I189" s="57" t="n">
        <f aca="false">BL189*Parameter!$B$18</f>
        <v>35</v>
      </c>
      <c r="J189" s="58" t="n">
        <v>77</v>
      </c>
      <c r="K189" s="59" t="n">
        <v>0.454545454545455</v>
      </c>
      <c r="L189" s="57" t="n">
        <v>8</v>
      </c>
      <c r="M189" s="57" t="n">
        <v>35</v>
      </c>
      <c r="N189" s="60" t="n">
        <v>84</v>
      </c>
      <c r="O189" s="55" t="s">
        <v>293</v>
      </c>
      <c r="P189" s="57" t="n">
        <v>99</v>
      </c>
      <c r="Q189" s="60" t="n">
        <f aca="false">IF(BR189=1,0,IFERROR(VLOOKUP(BP189,'Gebinde-Kategorie'!$A$5:$M$45,13,0)+0,0))</f>
        <v>26</v>
      </c>
      <c r="R189" s="61"/>
      <c r="S189" s="62"/>
      <c r="T189" s="62"/>
      <c r="U189" s="55"/>
      <c r="V189" s="57"/>
      <c r="W189" s="57"/>
      <c r="X189" s="55" t="n">
        <f aca="false">IF(A189="","",IF(AND(Parameter!$B$21="Ja",ISNUMBER(U189)),U189,IF(IFERROR(VLOOKUP(D189,Parameter!$A$35:$C$64,2,0),"Nein")="2+3",IF(ISNUMBER(SEARCH("grosser Artikel",BM189)),2,IFERROR(VLOOKUP(BP189,Parameter!$F$35:$G$64,2,0),2)),IF(OR(IFERROR(VLOOKUP(D189,Parameter!$A$35:$C$64,2,0),"Nein")="Nein",IFERROR(VLOOKUP(D189,Parameter!$A$35:$C$64,2,0),"Nein")=""),"-",VLOOKUP(D189,Parameter!$A$35:$C$64,2,0)))))</f>
        <v>3</v>
      </c>
      <c r="Y189" s="62"/>
      <c r="Z189" s="63"/>
      <c r="AA189" s="57" t="n">
        <f aca="false">AP189</f>
        <v>99</v>
      </c>
      <c r="AB189" s="57" t="n">
        <f aca="false">MAX(AP189,G189)</f>
        <v>99</v>
      </c>
      <c r="AC189" s="64"/>
      <c r="AD189" s="57" t="n">
        <f aca="false">IF(LEFT(Cockpit!$C$5,1)="A",G189,IF(BW189=1,BX189,IF(LEFT(Cockpit!$C$5,1)="B",AH189,MAX(AH189,G189))))</f>
        <v>33</v>
      </c>
      <c r="AE189" s="57" t="n">
        <f aca="false">IF(BR189=1,0,ROUNDUP(AD189/BQ189,0))</f>
        <v>1</v>
      </c>
      <c r="AF189" s="59" t="n">
        <f aca="false">IF(CD189&gt;0,CD189*MAX(1,AD189/V189),IF(BR189=1,IF(AD189&lt;=0,0,BS189*MAX(1,IF(G189&gt;0,AD189/G189,1))),IF(Q189&gt;0,AE189/Q189,0))/MAX(0.1,N(Parameter!$M$21)))</f>
        <v>0.0384615384615385</v>
      </c>
      <c r="AG189" s="57" t="n">
        <f aca="false">AD189*F189</f>
        <v>1094.94</v>
      </c>
      <c r="AH189" s="57" t="n">
        <f aca="false">ROUNDUP(MAX(I189/IF(BV189&gt;0,BV189,MAX(0.1,N(Cockpit!$C$6))),BY189)/BQ189,0)*BQ189</f>
        <v>99</v>
      </c>
      <c r="AI189" s="58" t="n">
        <f aca="false">IF(AF189&gt;0,I189/AF189,-1)</f>
        <v>910</v>
      </c>
      <c r="AJ189" s="58" t="n">
        <f aca="false">IF(AND(OR(BU189="L1",BU189="L23"),AF189&gt;0),SUMIFS($AF$7:$AF$1576,$BU$7:$BU$1576,BU189,$AI$7:$AI$1576,"&gt;"&amp;AI189)+SUMIFS($AF$7:$AF$1576,$BU$7:$BU$1576,BU189,$AI$7:$AI$1576,AI189,$BO$7:$BO$1576,"&lt;="&amp;BO189),"")</f>
        <v>9.83926353839397</v>
      </c>
      <c r="AK189" s="65" t="n">
        <f aca="false">IF(AJ189="",0,MAX(0,MIN(1,(IF(BU189="L1",Parameter!$E$5,Parameter!$E$6+Parameter!$E$7)-(AJ189-AF189))/AF189)))</f>
        <v>1</v>
      </c>
      <c r="AL189" s="57" t="n">
        <f aca="false">IF(LEFT(Cockpit!$I$5,1)="A",G189,IF(BW189=1,BX189,IF(LEFT(Cockpit!$I$5,1)="B",AP189,MAX(AP189,G189))))</f>
        <v>99</v>
      </c>
      <c r="AM189" s="57" t="n">
        <f aca="false">IF(BR189=1,0,ROUNDUP(AL189/BQ189,0))</f>
        <v>1</v>
      </c>
      <c r="AN189" s="59" t="n">
        <f aca="false">IF(CD189&gt;0,CD189*MAX(1,AL189/V189),IF(BR189=1,IF(AL189&lt;=0,0,BS189*MAX(1,IF(G189&gt;0,AL189/G189,1))),IF(Q189&gt;0,AM189/Q189,0))/MAX(0.1,N(Parameter!$M$21)))</f>
        <v>0.0384615384615385</v>
      </c>
      <c r="AO189" s="57" t="n">
        <f aca="false">AL189*F189</f>
        <v>3284.82</v>
      </c>
      <c r="AP189" s="57" t="n">
        <f aca="false">ROUNDUP(MAX(I189/IF(BV189&gt;0,BV189,MAX(0.1,N(Cockpit!$I$6))),BY189)/BQ189,0)*BQ189</f>
        <v>99</v>
      </c>
      <c r="AQ189" s="58" t="n">
        <f aca="false">IF(AN189&gt;0,I189/AN189,-1)</f>
        <v>910</v>
      </c>
      <c r="AR189" s="58" t="n">
        <f aca="false">IF(AND(OR(BU189="L1",BU189="L23"),AN189&gt;0),SUMIFS($AN$7:$AN$1576,$BU$7:$BU$1576,BU189,$AQ$7:$AQ$1576,"&gt;"&amp;AQ189)+SUMIFS($AN$7:$AN$1576,$BU$7:$BU$1576,BU189,$AQ$7:$AQ$1576,AQ189,$BO$7:$BO$1576,"&lt;="&amp;BO189),"")</f>
        <v>24.1695479523852</v>
      </c>
      <c r="AS189" s="65" t="n">
        <f aca="false">IF(AR189="",0,MAX(0,MIN(1,(IF(BU189="L1",Parameter!$E$5,Parameter!$E$6+Parameter!$E$7)-(AR189-AN189))/AN189)))</f>
        <v>1</v>
      </c>
      <c r="AT189" s="57" t="n">
        <f aca="false">IF(LEFT(Cockpit!$O$5,1)="A",G189,IF(BW189=1,BX189,IF(LEFT(Cockpit!$O$5,1)="B",AX189,MAX(AX189,G189))))</f>
        <v>99</v>
      </c>
      <c r="AU189" s="57" t="n">
        <f aca="false">IF(BR189=1,0,ROUNDUP(AT189/BQ189,0))</f>
        <v>1</v>
      </c>
      <c r="AV189" s="59" t="n">
        <f aca="false">IF(CD189&gt;0,CD189*MAX(1,AT189/V189),IF(BR189=1,IF(AT189&lt;=0,0,BS189*MAX(1,IF(G189&gt;0,AT189/G189,1))),IF(Q189&gt;0,AU189/Q189,0))/MAX(0.1,N(Parameter!$M$21)))</f>
        <v>0.0384615384615385</v>
      </c>
      <c r="AW189" s="57" t="n">
        <f aca="false">AT189*F189</f>
        <v>3284.82</v>
      </c>
      <c r="AX189" s="57" t="n">
        <f aca="false">ROUNDUP(MAX(I189/IF(BV189&gt;0,BV189,MAX(0.1,N(Cockpit!$O$6))),BY189)/BQ189,0)*BQ189</f>
        <v>99</v>
      </c>
      <c r="AY189" s="58" t="n">
        <f aca="false">IF(AV189&gt;0,I189/AV189,-1)</f>
        <v>910</v>
      </c>
      <c r="AZ189" s="58" t="n">
        <f aca="false">IF(AND(OR(BU189="L1",BU189="L23"),AV189&gt;0),SUMIFS($AV$7:$AV$1576,$BU$7:$BU$1576,BU189,$AY$7:$AY$1576,"&gt;"&amp;AY189)+SUMIFS($AV$7:$AV$1576,$BU$7:$BU$1576,BU189,$AY$7:$AY$1576,AY189,$BO$7:$BO$1576,"&lt;="&amp;BO189),"")</f>
        <v>23.9032309360682</v>
      </c>
      <c r="BA189" s="65" t="n">
        <f aca="false">IF(AZ189="",0,MAX(0,MIN(1,(IF(BU189="L1",Parameter!$E$5,Parameter!$E$6+Parameter!$E$7)-(AZ189-AV189))/AV189)))</f>
        <v>1</v>
      </c>
      <c r="BB189" s="55" t="str">
        <f aca="false">IF(AF189&lt;=0,"",IF(BU189="Aussen","Aussenlager",IF(BU189="-","Nicht im Lift",IF(AK189&gt;=1,"Lift",IF(AK189&lt;=0,"Aussenlager","teilweise")))))</f>
        <v>Lift</v>
      </c>
      <c r="BC189" s="55" t="str">
        <f aca="false">IF(AN189&lt;=0,"",IF(BU189="Aussen","Aussenlager",IF(BU189="-","Nicht im Lift",IF(AS189&gt;=1,"Lift",IF(AS189&lt;=0,"Aussenlager","teilweise")))))</f>
        <v>Lift</v>
      </c>
      <c r="BD189" s="55" t="str">
        <f aca="false">IF(AV189&lt;=0,"",IF(BU189="Aussen","Aussenlager",IF(BU189="-","Nicht im Lift",IF(BA189&gt;=1,"Lift",IF(BA189&lt;=0,"Aussenlager","teilweise")))))</f>
        <v>Lift</v>
      </c>
      <c r="BE189" s="55" t="str">
        <f aca="false">IF(A189="","",IF(BN189=1,"Neu; ","")&amp;IF(AND(BN189=0,BI189&lt;0),"negativer Bestand (Export "&amp;BI189&amp;"); ","")&amp;IF(I189&lt;=0,"Kein Verbrauch; ","")&amp;IF(CD189&gt;0,"Lift "&amp;U189&amp;" lt. Liftbericht (Fach "&amp;V189&amp;" Stk); ",IF(BR189=1,"Lose – Fläche geschätzt; ",""))&amp;IF(G189&gt;AP189,"Überbestand "&amp;ROUND(G189-AP189,0)&amp;" Stk / CHF "&amp;ROUND((G189-AP189)*F189,0)&amp;"; ","")&amp;IF(AND(BW189=1,BX189&lt;BY189),"MAX &lt; MB+LG; ","")&amp;IF(AND(CC189&gt;0,CB189*10&gt;CC189),"zu hoch für Tablar; ","")&amp;IF(AND(BN189=0,OR(BW189=1,Y189&lt;&gt;"",S189&lt;&gt;"",T189&lt;&gt;"",Z189&lt;&gt;"")),"manuell übersteuert; ","")&amp;IF(AND(BR189=0,Q189=0),"Gebinde unbekannt / Stellmass fehlt; ","")&amp;IF(AND(BR189=0,N(T189)&lt;=0,N(P189)&lt;=0),"Menge pro Gebinde fehlt (Ist = 1 Gebinde); ","")&amp;BM189)</f>
        <v/>
      </c>
      <c r="BF189" s="55"/>
      <c r="BG189" s="55"/>
      <c r="BH189" s="62"/>
      <c r="BI189" s="57" t="n">
        <v>33</v>
      </c>
      <c r="BJ189" s="57" t="n">
        <v>48</v>
      </c>
      <c r="BK189" s="56" t="n">
        <v>948.66</v>
      </c>
      <c r="BL189" s="57" t="n">
        <v>35</v>
      </c>
      <c r="BM189" s="55"/>
      <c r="BN189" s="60" t="n">
        <v>0</v>
      </c>
      <c r="BO189" s="60" t="n">
        <v>189</v>
      </c>
      <c r="BP189" s="55" t="str">
        <f aca="false">IF(S189&lt;&gt;"",UPPER(TRIM(S189)),IF(O189="","LOSE",O189))</f>
        <v>S51</v>
      </c>
      <c r="BQ189" s="57" t="n">
        <f aca="false">IF(BP189="LOSE",1,IF(N(T189)&gt;0,T189,IF(N(P189)&gt;0,P189,MAX(1,G189))))</f>
        <v>99</v>
      </c>
      <c r="BR189" s="60" t="n">
        <f aca="false">IF(BP189="LOSE",1,0)</f>
        <v>0</v>
      </c>
      <c r="BS189" s="59" t="n">
        <f aca="false">IF(BR189=0,0,IF(N(R189)&gt;0,R189,IFERROR(VLOOKUP(D189,Parameter!$A$35:$C$64,3,0)+0,0)))</f>
        <v>0</v>
      </c>
      <c r="BT189" s="55" t="n">
        <f aca="false">IF(Y189&lt;&gt;"",Y189,X189)</f>
        <v>3</v>
      </c>
      <c r="BU189" s="55" t="str">
        <f aca="false">IF(BT189=1,"L1",IF(OR(BT189=2,BT189=3),"L23",IF(BT189="Aussen","Aussen","-")))</f>
        <v>L23</v>
      </c>
      <c r="BV189" s="66" t="n">
        <f aca="false">IF(N(Z189)&gt;0,Z189,0)</f>
        <v>0</v>
      </c>
      <c r="BW189" s="60" t="n">
        <f aca="false">IF(ISNUMBER(AC189),1,0)</f>
        <v>0</v>
      </c>
      <c r="BX189" s="57" t="n">
        <f aca="false">N(AC189)</f>
        <v>0</v>
      </c>
      <c r="BY189" s="57" t="n">
        <f aca="false">N(L189)+N(M189)</f>
        <v>43</v>
      </c>
      <c r="BZ189" s="57" t="n">
        <f aca="false">ROUNDUP(G189/BQ189,0)</f>
        <v>1</v>
      </c>
      <c r="CA189" s="57" t="n">
        <f aca="false">ROUNDUP(BX189/BQ189,0)</f>
        <v>0</v>
      </c>
      <c r="CB189" s="60" t="n">
        <f aca="false">IF(BR189=1,0,IFERROR(VLOOKUP(BP189,'Gebinde-Kategorie'!$A$5:$M$45,5,0)+0,0))</f>
        <v>11</v>
      </c>
      <c r="CC189" s="60" t="n">
        <f aca="false">IFERROR(IF(OR(BT189=1,BT189=2,BT189=3),N(INDEX(Parameter!$I$5:$I$7,BT189)),0),0)</f>
        <v>0</v>
      </c>
      <c r="CD189" s="59" t="n">
        <f aca="false">IF(AND(Parameter!$B$21="Ja",ISNUMBER(U189),N(V189)&gt;0),IFERROR(N(INDEX(Parameter!$L$5:$L$7,U189))*INDEX(Parameter!$E$5:$E$7,U189)*V189/SUMIFS($V$7:$V$1576,$U$7:$U$1576,U189),0),0)</f>
        <v>0</v>
      </c>
    </row>
    <row r="190" customFormat="false" ht="15" hidden="false" customHeight="false" outlineLevel="0" collapsed="false">
      <c r="A190" s="55" t="s">
        <v>572</v>
      </c>
      <c r="B190" s="55" t="s">
        <v>415</v>
      </c>
      <c r="C190" s="55" t="s">
        <v>160</v>
      </c>
      <c r="D190" s="55" t="s">
        <v>178</v>
      </c>
      <c r="E190" s="55" t="s">
        <v>210</v>
      </c>
      <c r="F190" s="56" t="n">
        <v>10.96</v>
      </c>
      <c r="G190" s="57" t="n">
        <f aca="false">MAX(0,IF(AND(Parameter!$B$21="Ja",ISNUMBER(W190)),W190,IF(Parameter!$B$20="Jahresanfang 2025 + Export",BJ190+BI190,BI190)))</f>
        <v>98</v>
      </c>
      <c r="H190" s="57" t="n">
        <f aca="false">G190*F190</f>
        <v>1074.08</v>
      </c>
      <c r="I190" s="57" t="n">
        <f aca="false">BL190*Parameter!$B$18</f>
        <v>156</v>
      </c>
      <c r="J190" s="58" t="n">
        <v>33</v>
      </c>
      <c r="K190" s="59" t="n">
        <v>4.72727272727273</v>
      </c>
      <c r="L190" s="57" t="n">
        <v>10</v>
      </c>
      <c r="M190" s="57" t="n">
        <v>50</v>
      </c>
      <c r="N190" s="60" t="n">
        <v>21</v>
      </c>
      <c r="O190" s="55" t="s">
        <v>293</v>
      </c>
      <c r="P190" s="57" t="n">
        <v>61</v>
      </c>
      <c r="Q190" s="60" t="n">
        <f aca="false">IF(BR190=1,0,IFERROR(VLOOKUP(BP190,'Gebinde-Kategorie'!$A$5:$M$45,13,0)+0,0))</f>
        <v>26</v>
      </c>
      <c r="R190" s="61"/>
      <c r="S190" s="62"/>
      <c r="T190" s="62"/>
      <c r="U190" s="55"/>
      <c r="V190" s="57"/>
      <c r="W190" s="57"/>
      <c r="X190" s="55" t="n">
        <f aca="false">IF(A190="","",IF(AND(Parameter!$B$21="Ja",ISNUMBER(U190)),U190,IF(IFERROR(VLOOKUP(D190,Parameter!$A$35:$C$64,2,0),"Nein")="2+3",IF(ISNUMBER(SEARCH("grosser Artikel",BM190)),2,IFERROR(VLOOKUP(BP190,Parameter!$F$35:$G$64,2,0),2)),IF(OR(IFERROR(VLOOKUP(D190,Parameter!$A$35:$C$64,2,0),"Nein")="Nein",IFERROR(VLOOKUP(D190,Parameter!$A$35:$C$64,2,0),"Nein")=""),"-",VLOOKUP(D190,Parameter!$A$35:$C$64,2,0)))))</f>
        <v>3</v>
      </c>
      <c r="Y190" s="62"/>
      <c r="Z190" s="63"/>
      <c r="AA190" s="57" t="n">
        <f aca="false">AP190</f>
        <v>122</v>
      </c>
      <c r="AB190" s="57" t="n">
        <f aca="false">MAX(AP190,G190)</f>
        <v>122</v>
      </c>
      <c r="AC190" s="64"/>
      <c r="AD190" s="57" t="n">
        <f aca="false">IF(LEFT(Cockpit!$C$5,1)="A",G190,IF(BW190=1,BX190,IF(LEFT(Cockpit!$C$5,1)="B",AH190,MAX(AH190,G190))))</f>
        <v>98</v>
      </c>
      <c r="AE190" s="57" t="n">
        <f aca="false">IF(BR190=1,0,ROUNDUP(AD190/BQ190,0))</f>
        <v>2</v>
      </c>
      <c r="AF190" s="59" t="n">
        <f aca="false">IF(CD190&gt;0,CD190*MAX(1,AD190/V190),IF(BR190=1,IF(AD190&lt;=0,0,BS190*MAX(1,IF(G190&gt;0,AD190/G190,1))),IF(Q190&gt;0,AE190/Q190,0))/MAX(0.1,N(Parameter!$M$21)))</f>
        <v>0.0769230769230769</v>
      </c>
      <c r="AG190" s="57" t="n">
        <f aca="false">AD190*F190</f>
        <v>1074.08</v>
      </c>
      <c r="AH190" s="57" t="n">
        <f aca="false">ROUNDUP(MAX(I190/IF(BV190&gt;0,BV190,MAX(0.1,N(Cockpit!$C$6))),BY190)/BQ190,0)*BQ190</f>
        <v>122</v>
      </c>
      <c r="AI190" s="58" t="n">
        <f aca="false">IF(AF190&gt;0,I190/AF190,-1)</f>
        <v>2028</v>
      </c>
      <c r="AJ190" s="58" t="n">
        <f aca="false">IF(AND(OR(BU190="L1",BU190="L23"),AF190&gt;0),SUMIFS($AF$7:$AF$1576,$BU$7:$BU$1576,BU190,$AI$7:$AI$1576,"&gt;"&amp;AI190)+SUMIFS($AF$7:$AF$1576,$BU$7:$BU$1576,BU190,$AI$7:$AI$1576,AI190,$BO$7:$BO$1576,"&lt;="&amp;BO190),"")</f>
        <v>6.4398445998446</v>
      </c>
      <c r="AK190" s="65" t="n">
        <f aca="false">IF(AJ190="",0,MAX(0,MIN(1,(IF(BU190="L1",Parameter!$E$5,Parameter!$E$6+Parameter!$E$7)-(AJ190-AF190))/AF190)))</f>
        <v>1</v>
      </c>
      <c r="AL190" s="57" t="n">
        <f aca="false">IF(LEFT(Cockpit!$I$5,1)="A",G190,IF(BW190=1,BX190,IF(LEFT(Cockpit!$I$5,1)="B",AP190,MAX(AP190,G190))))</f>
        <v>122</v>
      </c>
      <c r="AM190" s="57" t="n">
        <f aca="false">IF(BR190=1,0,ROUNDUP(AL190/BQ190,0))</f>
        <v>2</v>
      </c>
      <c r="AN190" s="59" t="n">
        <f aca="false">IF(CD190&gt;0,CD190*MAX(1,AL190/V190),IF(BR190=1,IF(AL190&lt;=0,0,BS190*MAX(1,IF(G190&gt;0,AL190/G190,1))),IF(Q190&gt;0,AM190/Q190,0))/MAX(0.1,N(Parameter!$M$21)))</f>
        <v>0.0769230769230769</v>
      </c>
      <c r="AO190" s="57" t="n">
        <f aca="false">AL190*F190</f>
        <v>1337.12</v>
      </c>
      <c r="AP190" s="57" t="n">
        <f aca="false">ROUNDUP(MAX(I190/IF(BV190&gt;0,BV190,MAX(0.1,N(Cockpit!$I$6))),BY190)/BQ190,0)*BQ190</f>
        <v>122</v>
      </c>
      <c r="AQ190" s="58" t="n">
        <f aca="false">IF(AN190&gt;0,I190/AN190,-1)</f>
        <v>2028</v>
      </c>
      <c r="AR190" s="58" t="n">
        <f aca="false">IF(AND(OR(BU190="L1",BU190="L23"),AN190&gt;0),SUMIFS($AN$7:$AN$1576,$BU$7:$BU$1576,BU190,$AQ$7:$AQ$1576,"&gt;"&amp;AQ190)+SUMIFS($AN$7:$AN$1576,$BU$7:$BU$1576,BU190,$AQ$7:$AQ$1576,AQ190,$BO$7:$BO$1576,"&lt;="&amp;BO190),"")</f>
        <v>17.2269841876475</v>
      </c>
      <c r="AS190" s="65" t="n">
        <f aca="false">IF(AR190="",0,MAX(0,MIN(1,(IF(BU190="L1",Parameter!$E$5,Parameter!$E$6+Parameter!$E$7)-(AR190-AN190))/AN190)))</f>
        <v>1</v>
      </c>
      <c r="AT190" s="57" t="n">
        <f aca="false">IF(LEFT(Cockpit!$O$5,1)="A",G190,IF(BW190=1,BX190,IF(LEFT(Cockpit!$O$5,1)="B",AX190,MAX(AX190,G190))))</f>
        <v>98</v>
      </c>
      <c r="AU190" s="57" t="n">
        <f aca="false">IF(BR190=1,0,ROUNDUP(AT190/BQ190,0))</f>
        <v>2</v>
      </c>
      <c r="AV190" s="59" t="n">
        <f aca="false">IF(CD190&gt;0,CD190*MAX(1,AT190/V190),IF(BR190=1,IF(AT190&lt;=0,0,BS190*MAX(1,IF(G190&gt;0,AT190/G190,1))),IF(Q190&gt;0,AU190/Q190,0))/MAX(0.1,N(Parameter!$M$21)))</f>
        <v>0.0769230769230769</v>
      </c>
      <c r="AW190" s="57" t="n">
        <f aca="false">AT190*F190</f>
        <v>1074.08</v>
      </c>
      <c r="AX190" s="57" t="n">
        <f aca="false">ROUNDUP(MAX(I190/IF(BV190&gt;0,BV190,MAX(0.1,N(Cockpit!$O$6))),BY190)/BQ190,0)*BQ190</f>
        <v>61</v>
      </c>
      <c r="AY190" s="58" t="n">
        <f aca="false">IF(AV190&gt;0,I190/AV190,-1)</f>
        <v>2028</v>
      </c>
      <c r="AZ190" s="58" t="n">
        <f aca="false">IF(AND(OR(BU190="L1",BU190="L23"),AV190&gt;0),SUMIFS($AV$7:$AV$1576,$BU$7:$BU$1576,BU190,$AY$7:$AY$1576,"&gt;"&amp;AY190)+SUMIFS($AV$7:$AV$1576,$BU$7:$BU$1576,BU190,$AY$7:$AY$1576,AY190,$BO$7:$BO$1576,"&lt;="&amp;BO190),"")</f>
        <v>15.9157953764587</v>
      </c>
      <c r="BA190" s="65" t="n">
        <f aca="false">IF(AZ190="",0,MAX(0,MIN(1,(IF(BU190="L1",Parameter!$E$5,Parameter!$E$6+Parameter!$E$7)-(AZ190-AV190))/AV190)))</f>
        <v>1</v>
      </c>
      <c r="BB190" s="55" t="str">
        <f aca="false">IF(AF190&lt;=0,"",IF(BU190="Aussen","Aussenlager",IF(BU190="-","Nicht im Lift",IF(AK190&gt;=1,"Lift",IF(AK190&lt;=0,"Aussenlager","teilweise")))))</f>
        <v>Lift</v>
      </c>
      <c r="BC190" s="55" t="str">
        <f aca="false">IF(AN190&lt;=0,"",IF(BU190="Aussen","Aussenlager",IF(BU190="-","Nicht im Lift",IF(AS190&gt;=1,"Lift",IF(AS190&lt;=0,"Aussenlager","teilweise")))))</f>
        <v>Lift</v>
      </c>
      <c r="BD190" s="55" t="str">
        <f aca="false">IF(AV190&lt;=0,"",IF(BU190="Aussen","Aussenlager",IF(BU190="-","Nicht im Lift",IF(BA190&gt;=1,"Lift",IF(BA190&lt;=0,"Aussenlager","teilweise")))))</f>
        <v>Lift</v>
      </c>
      <c r="BE190" s="55" t="str">
        <f aca="false">IF(A190="","",IF(BN190=1,"Neu; ","")&amp;IF(AND(BN190=0,BI190&lt;0),"negativer Bestand (Export "&amp;BI190&amp;"); ","")&amp;IF(I190&lt;=0,"Kein Verbrauch; ","")&amp;IF(CD190&gt;0,"Lift "&amp;U190&amp;" lt. Liftbericht (Fach "&amp;V190&amp;" Stk); ",IF(BR190=1,"Lose – Fläche geschätzt; ",""))&amp;IF(G190&gt;AP190,"Überbestand "&amp;ROUND(G190-AP190,0)&amp;" Stk / CHF "&amp;ROUND((G190-AP190)*F190,0)&amp;"; ","")&amp;IF(AND(BW190=1,BX190&lt;BY190),"MAX &lt; MB+LG; ","")&amp;IF(AND(CC190&gt;0,CB190*10&gt;CC190),"zu hoch für Tablar; ","")&amp;IF(AND(BN190=0,OR(BW190=1,Y190&lt;&gt;"",S190&lt;&gt;"",T190&lt;&gt;"",Z190&lt;&gt;"")),"manuell übersteuert; ","")&amp;IF(AND(BR190=0,Q190=0),"Gebinde unbekannt / Stellmass fehlt; ","")&amp;IF(AND(BR190=0,N(T190)&lt;=0,N(P190)&lt;=0),"Menge pro Gebinde fehlt (Ist = 1 Gebinde); ","")&amp;BM190)</f>
        <v/>
      </c>
      <c r="BF190" s="55"/>
      <c r="BG190" s="55"/>
      <c r="BH190" s="62"/>
      <c r="BI190" s="57" t="n">
        <v>98</v>
      </c>
      <c r="BJ190" s="57" t="n">
        <v>36</v>
      </c>
      <c r="BK190" s="56" t="n">
        <v>926.84</v>
      </c>
      <c r="BL190" s="57" t="n">
        <v>156</v>
      </c>
      <c r="BM190" s="55"/>
      <c r="BN190" s="60" t="n">
        <v>0</v>
      </c>
      <c r="BO190" s="60" t="n">
        <v>190</v>
      </c>
      <c r="BP190" s="55" t="str">
        <f aca="false">IF(S190&lt;&gt;"",UPPER(TRIM(S190)),IF(O190="","LOSE",O190))</f>
        <v>S51</v>
      </c>
      <c r="BQ190" s="57" t="n">
        <f aca="false">IF(BP190="LOSE",1,IF(N(T190)&gt;0,T190,IF(N(P190)&gt;0,P190,MAX(1,G190))))</f>
        <v>61</v>
      </c>
      <c r="BR190" s="60" t="n">
        <f aca="false">IF(BP190="LOSE",1,0)</f>
        <v>0</v>
      </c>
      <c r="BS190" s="59" t="n">
        <f aca="false">IF(BR190=0,0,IF(N(R190)&gt;0,R190,IFERROR(VLOOKUP(D190,Parameter!$A$35:$C$64,3,0)+0,0)))</f>
        <v>0</v>
      </c>
      <c r="BT190" s="55" t="n">
        <f aca="false">IF(Y190&lt;&gt;"",Y190,X190)</f>
        <v>3</v>
      </c>
      <c r="BU190" s="55" t="str">
        <f aca="false">IF(BT190=1,"L1",IF(OR(BT190=2,BT190=3),"L23",IF(BT190="Aussen","Aussen","-")))</f>
        <v>L23</v>
      </c>
      <c r="BV190" s="66" t="n">
        <f aca="false">IF(N(Z190)&gt;0,Z190,0)</f>
        <v>0</v>
      </c>
      <c r="BW190" s="60" t="n">
        <f aca="false">IF(ISNUMBER(AC190),1,0)</f>
        <v>0</v>
      </c>
      <c r="BX190" s="57" t="n">
        <f aca="false">N(AC190)</f>
        <v>0</v>
      </c>
      <c r="BY190" s="57" t="n">
        <f aca="false">N(L190)+N(M190)</f>
        <v>60</v>
      </c>
      <c r="BZ190" s="57" t="n">
        <f aca="false">ROUNDUP(G190/BQ190,0)</f>
        <v>2</v>
      </c>
      <c r="CA190" s="57" t="n">
        <f aca="false">ROUNDUP(BX190/BQ190,0)</f>
        <v>0</v>
      </c>
      <c r="CB190" s="60" t="n">
        <f aca="false">IF(BR190=1,0,IFERROR(VLOOKUP(BP190,'Gebinde-Kategorie'!$A$5:$M$45,5,0)+0,0))</f>
        <v>11</v>
      </c>
      <c r="CC190" s="60" t="n">
        <f aca="false">IFERROR(IF(OR(BT190=1,BT190=2,BT190=3),N(INDEX(Parameter!$I$5:$I$7,BT190)),0),0)</f>
        <v>0</v>
      </c>
      <c r="CD190" s="59" t="n">
        <f aca="false">IF(AND(Parameter!$B$21="Ja",ISNUMBER(U190),N(V190)&gt;0),IFERROR(N(INDEX(Parameter!$L$5:$L$7,U190))*INDEX(Parameter!$E$5:$E$7,U190)*V190/SUMIFS($V$7:$V$1576,$U$7:$U$1576,U190),0),0)</f>
        <v>0</v>
      </c>
    </row>
    <row r="191" customFormat="false" ht="15" hidden="false" customHeight="false" outlineLevel="0" collapsed="false">
      <c r="A191" s="55" t="s">
        <v>573</v>
      </c>
      <c r="B191" s="55" t="s">
        <v>574</v>
      </c>
      <c r="C191" s="55" t="s">
        <v>160</v>
      </c>
      <c r="D191" s="55" t="s">
        <v>168</v>
      </c>
      <c r="E191" s="55" t="s">
        <v>210</v>
      </c>
      <c r="F191" s="56" t="n">
        <v>185.13</v>
      </c>
      <c r="G191" s="57" t="n">
        <f aca="false">MAX(0,IF(AND(Parameter!$B$21="Ja",ISNUMBER(W191)),W191,IF(Parameter!$B$20="Jahresanfang 2025 + Export",BJ191+BI191,BI191)))</f>
        <v>5</v>
      </c>
      <c r="H191" s="57" t="n">
        <f aca="false">G191*F191</f>
        <v>925.65</v>
      </c>
      <c r="I191" s="57" t="n">
        <f aca="false">BL191*Parameter!$B$18</f>
        <v>2</v>
      </c>
      <c r="J191" s="58" t="n">
        <v>1.5</v>
      </c>
      <c r="K191" s="59" t="n">
        <v>1.33333333333333</v>
      </c>
      <c r="L191" s="57" t="n">
        <v>0</v>
      </c>
      <c r="M191" s="57" t="n">
        <v>1</v>
      </c>
      <c r="N191" s="60" t="n">
        <v>31</v>
      </c>
      <c r="O191" s="55" t="s">
        <v>163</v>
      </c>
      <c r="P191" s="57"/>
      <c r="Q191" s="60" t="n">
        <f aca="false">IF(BR191=1,0,IFERROR(VLOOKUP(BP191,'Gebinde-Kategorie'!$A$5:$M$45,13,0)+0,0))</f>
        <v>0</v>
      </c>
      <c r="R191" s="61"/>
      <c r="S191" s="62"/>
      <c r="T191" s="62"/>
      <c r="U191" s="55"/>
      <c r="V191" s="57"/>
      <c r="W191" s="57"/>
      <c r="X191" s="55" t="n">
        <f aca="false">IF(A191="","",IF(AND(Parameter!$B$21="Ja",ISNUMBER(U191)),U191,IF(IFERROR(VLOOKUP(D191,Parameter!$A$35:$C$64,2,0),"Nein")="2+3",IF(ISNUMBER(SEARCH("grosser Artikel",BM191)),2,IFERROR(VLOOKUP(BP191,Parameter!$F$35:$G$64,2,0),2)),IF(OR(IFERROR(VLOOKUP(D191,Parameter!$A$35:$C$64,2,0),"Nein")="Nein",IFERROR(VLOOKUP(D191,Parameter!$A$35:$C$64,2,0),"Nein")=""),"-",VLOOKUP(D191,Parameter!$A$35:$C$64,2,0)))))</f>
        <v>2</v>
      </c>
      <c r="Y191" s="62"/>
      <c r="Z191" s="63"/>
      <c r="AA191" s="57" t="n">
        <f aca="false">AP191</f>
        <v>1</v>
      </c>
      <c r="AB191" s="57" t="n">
        <f aca="false">MAX(AP191,G191)</f>
        <v>5</v>
      </c>
      <c r="AC191" s="64"/>
      <c r="AD191" s="57" t="n">
        <f aca="false">IF(LEFT(Cockpit!$C$5,1)="A",G191,IF(BW191=1,BX191,IF(LEFT(Cockpit!$C$5,1)="B",AH191,MAX(AH191,G191))))</f>
        <v>5</v>
      </c>
      <c r="AE191" s="57" t="n">
        <f aca="false">IF(BR191=1,0,ROUNDUP(AD191/BQ191,0))</f>
        <v>0</v>
      </c>
      <c r="AF191" s="59" t="n">
        <f aca="false">IF(CD191&gt;0,CD191*MAX(1,AD191/V191),IF(BR191=1,IF(AD191&lt;=0,0,BS191*MAX(1,IF(G191&gt;0,AD191/G191,1))),IF(Q191&gt;0,AE191/Q191,0))/MAX(0.1,N(Parameter!$M$21)))</f>
        <v>0.15</v>
      </c>
      <c r="AG191" s="57" t="n">
        <f aca="false">AD191*F191</f>
        <v>925.65</v>
      </c>
      <c r="AH191" s="57" t="n">
        <f aca="false">ROUNDUP(MAX(I191/IF(BV191&gt;0,BV191,MAX(0.1,N(Cockpit!$C$6))),BY191)/BQ191,0)*BQ191</f>
        <v>1</v>
      </c>
      <c r="AI191" s="58" t="n">
        <f aca="false">IF(AF191&gt;0,I191/AF191,-1)</f>
        <v>13.3333333333333</v>
      </c>
      <c r="AJ191" s="58" t="n">
        <f aca="false">IF(AND(OR(BU191="L1",BU191="L23"),AF191&gt;0),SUMIFS($AF$7:$AF$1576,$BU$7:$BU$1576,BU191,$AI$7:$AI$1576,"&gt;"&amp;AI191)+SUMIFS($AF$7:$AF$1576,$BU$7:$BU$1576,BU191,$AI$7:$AI$1576,AI191,$BO$7:$BO$1576,"&lt;="&amp;BO191),"")</f>
        <v>30.6325816695382</v>
      </c>
      <c r="AK191" s="65" t="n">
        <f aca="false">IF(AJ191="",0,MAX(0,MIN(1,(IF(BU191="L1",Parameter!$E$5,Parameter!$E$6+Parameter!$E$7)-(AJ191-AF191))/AF191)))</f>
        <v>1</v>
      </c>
      <c r="AL191" s="57" t="n">
        <f aca="false">IF(LEFT(Cockpit!$I$5,1)="A",G191,IF(BW191=1,BX191,IF(LEFT(Cockpit!$I$5,1)="B",AP191,MAX(AP191,G191))))</f>
        <v>5</v>
      </c>
      <c r="AM191" s="57" t="n">
        <f aca="false">IF(BR191=1,0,ROUNDUP(AL191/BQ191,0))</f>
        <v>0</v>
      </c>
      <c r="AN191" s="59" t="n">
        <f aca="false">IF(CD191&gt;0,CD191*MAX(1,AL191/V191),IF(BR191=1,IF(AL191&lt;=0,0,BS191*MAX(1,IF(G191&gt;0,AL191/G191,1))),IF(Q191&gt;0,AM191/Q191,0))/MAX(0.1,N(Parameter!$M$21)))</f>
        <v>0.15</v>
      </c>
      <c r="AO191" s="57" t="n">
        <f aca="false">AL191*F191</f>
        <v>925.65</v>
      </c>
      <c r="AP191" s="57" t="n">
        <f aca="false">ROUNDUP(MAX(I191/IF(BV191&gt;0,BV191,MAX(0.1,N(Cockpit!$I$6))),BY191)/BQ191,0)*BQ191</f>
        <v>1</v>
      </c>
      <c r="AQ191" s="58" t="n">
        <f aca="false">IF(AN191&gt;0,I191/AN191,-1)</f>
        <v>13.3333333333333</v>
      </c>
      <c r="AR191" s="58" t="n">
        <f aca="false">IF(AND(OR(BU191="L1",BU191="L23"),AN191&gt;0),SUMIFS($AN$7:$AN$1576,$BU$7:$BU$1576,BU191,$AQ$7:$AQ$1576,"&gt;"&amp;AQ191)+SUMIFS($AN$7:$AN$1576,$BU$7:$BU$1576,BU191,$AQ$7:$AQ$1576,AQ191,$BO$7:$BO$1576,"&lt;="&amp;BO191),"")</f>
        <v>102.118075614337</v>
      </c>
      <c r="AS191" s="65" t="n">
        <f aca="false">IF(AR191="",0,MAX(0,MIN(1,(IF(BU191="L1",Parameter!$E$5,Parameter!$E$6+Parameter!$E$7)-(AR191-AN191))/AN191)))</f>
        <v>0</v>
      </c>
      <c r="AT191" s="57" t="n">
        <f aca="false">IF(LEFT(Cockpit!$O$5,1)="A",G191,IF(BW191=1,BX191,IF(LEFT(Cockpit!$O$5,1)="B",AX191,MAX(AX191,G191))))</f>
        <v>5</v>
      </c>
      <c r="AU191" s="57" t="n">
        <f aca="false">IF(BR191=1,0,ROUNDUP(AT191/BQ191,0))</f>
        <v>0</v>
      </c>
      <c r="AV191" s="59" t="n">
        <f aca="false">IF(CD191&gt;0,CD191*MAX(1,AT191/V191),IF(BR191=1,IF(AT191&lt;=0,0,BS191*MAX(1,IF(G191&gt;0,AT191/G191,1))),IF(Q191&gt;0,AU191/Q191,0))/MAX(0.1,N(Parameter!$M$21)))</f>
        <v>0.15</v>
      </c>
      <c r="AW191" s="57" t="n">
        <f aca="false">AT191*F191</f>
        <v>925.65</v>
      </c>
      <c r="AX191" s="57" t="n">
        <f aca="false">ROUNDUP(MAX(I191/IF(BV191&gt;0,BV191,MAX(0.1,N(Cockpit!$O$6))),BY191)/BQ191,0)*BQ191</f>
        <v>1</v>
      </c>
      <c r="AY191" s="58" t="n">
        <f aca="false">IF(AV191&gt;0,I191/AV191,-1)</f>
        <v>13.3333333333333</v>
      </c>
      <c r="AZ191" s="58" t="n">
        <f aca="false">IF(AND(OR(BU191="L1",BU191="L23"),AV191&gt;0),SUMIFS($AV$7:$AV$1576,$BU$7:$BU$1576,BU191,$AY$7:$AY$1576,"&gt;"&amp;AY191)+SUMIFS($AV$7:$AV$1576,$BU$7:$BU$1576,BU191,$AY$7:$AY$1576,AY191,$BO$7:$BO$1576,"&lt;="&amp;BO191),"")</f>
        <v>95.0276260638872</v>
      </c>
      <c r="BA191" s="65" t="n">
        <f aca="false">IF(AZ191="",0,MAX(0,MIN(1,(IF(BU191="L1",Parameter!$E$5,Parameter!$E$6+Parameter!$E$7)-(AZ191-AV191))/AV191)))</f>
        <v>1</v>
      </c>
      <c r="BB191" s="55" t="str">
        <f aca="false">IF(AF191&lt;=0,"",IF(BU191="Aussen","Aussenlager",IF(BU191="-","Nicht im Lift",IF(AK191&gt;=1,"Lift",IF(AK191&lt;=0,"Aussenlager","teilweise")))))</f>
        <v>Lift</v>
      </c>
      <c r="BC191" s="55" t="str">
        <f aca="false">IF(AN191&lt;=0,"",IF(BU191="Aussen","Aussenlager",IF(BU191="-","Nicht im Lift",IF(AS191&gt;=1,"Lift",IF(AS191&lt;=0,"Aussenlager","teilweise")))))</f>
        <v>Aussenlager</v>
      </c>
      <c r="BD191" s="55" t="str">
        <f aca="false">IF(AV191&lt;=0,"",IF(BU191="Aussen","Aussenlager",IF(BU191="-","Nicht im Lift",IF(BA191&gt;=1,"Lift",IF(BA191&lt;=0,"Aussenlager","teilweise")))))</f>
        <v>Lift</v>
      </c>
      <c r="BE191" s="55" t="str">
        <f aca="false">IF(A191="","",IF(BN191=1,"Neu; ","")&amp;IF(AND(BN191=0,BI191&lt;0),"negativer Bestand (Export "&amp;BI191&amp;"); ","")&amp;IF(I191&lt;=0,"Kein Verbrauch; ","")&amp;IF(CD191&gt;0,"Lift "&amp;U191&amp;" lt. Liftbericht (Fach "&amp;V191&amp;" Stk); ",IF(BR191=1,"Lose – Fläche geschätzt; ",""))&amp;IF(G191&gt;AP191,"Überbestand "&amp;ROUND(G191-AP191,0)&amp;" Stk / CHF "&amp;ROUND((G191-AP191)*F191,0)&amp;"; ","")&amp;IF(AND(BW191=1,BX191&lt;BY191),"MAX &lt; MB+LG; ","")&amp;IF(AND(CC191&gt;0,CB191*10&gt;CC191),"zu hoch für Tablar; ","")&amp;IF(AND(BN191=0,OR(BW191=1,Y191&lt;&gt;"",S191&lt;&gt;"",T191&lt;&gt;"",Z191&lt;&gt;"")),"manuell übersteuert; ","")&amp;IF(AND(BR191=0,Q191=0),"Gebinde unbekannt / Stellmass fehlt; ","")&amp;IF(AND(BR191=0,N(T191)&lt;=0,N(P191)&lt;=0),"Menge pro Gebinde fehlt (Ist = 1 Gebinde); ","")&amp;BM191)</f>
        <v>Lose – Fläche geschätzt; Überbestand 4 Stk / CHF 741; </v>
      </c>
      <c r="BF191" s="55"/>
      <c r="BG191" s="55"/>
      <c r="BH191" s="62"/>
      <c r="BI191" s="57" t="n">
        <v>5</v>
      </c>
      <c r="BJ191" s="57" t="n">
        <v>0</v>
      </c>
      <c r="BK191" s="56" t="n">
        <v>925.65</v>
      </c>
      <c r="BL191" s="57" t="n">
        <v>2</v>
      </c>
      <c r="BM191" s="55"/>
      <c r="BN191" s="60" t="n">
        <v>0</v>
      </c>
      <c r="BO191" s="60" t="n">
        <v>191</v>
      </c>
      <c r="BP191" s="55" t="str">
        <f aca="false">IF(S191&lt;&gt;"",UPPER(TRIM(S191)),IF(O191="","LOSE",O191))</f>
        <v>LOSE</v>
      </c>
      <c r="BQ191" s="57" t="n">
        <f aca="false">IF(BP191="LOSE",1,IF(N(T191)&gt;0,T191,IF(N(P191)&gt;0,P191,MAX(1,G191))))</f>
        <v>1</v>
      </c>
      <c r="BR191" s="60" t="n">
        <f aca="false">IF(BP191="LOSE",1,0)</f>
        <v>1</v>
      </c>
      <c r="BS191" s="59" t="n">
        <f aca="false">IF(BR191=0,0,IF(N(R191)&gt;0,R191,IFERROR(VLOOKUP(D191,Parameter!$A$35:$C$64,3,0)+0,0)))</f>
        <v>0.15</v>
      </c>
      <c r="BT191" s="55" t="n">
        <f aca="false">IF(Y191&lt;&gt;"",Y191,X191)</f>
        <v>2</v>
      </c>
      <c r="BU191" s="55" t="str">
        <f aca="false">IF(BT191=1,"L1",IF(OR(BT191=2,BT191=3),"L23",IF(BT191="Aussen","Aussen","-")))</f>
        <v>L23</v>
      </c>
      <c r="BV191" s="66" t="n">
        <f aca="false">IF(N(Z191)&gt;0,Z191,0)</f>
        <v>0</v>
      </c>
      <c r="BW191" s="60" t="n">
        <f aca="false">IF(ISNUMBER(AC191),1,0)</f>
        <v>0</v>
      </c>
      <c r="BX191" s="57" t="n">
        <f aca="false">N(AC191)</f>
        <v>0</v>
      </c>
      <c r="BY191" s="57" t="n">
        <f aca="false">N(L191)+N(M191)</f>
        <v>1</v>
      </c>
      <c r="BZ191" s="57" t="n">
        <f aca="false">ROUNDUP(G191/BQ191,0)</f>
        <v>5</v>
      </c>
      <c r="CA191" s="57" t="n">
        <f aca="false">ROUNDUP(BX191/BQ191,0)</f>
        <v>0</v>
      </c>
      <c r="CB191" s="60" t="n">
        <f aca="false">IF(BR191=1,0,IFERROR(VLOOKUP(BP191,'Gebinde-Kategorie'!$A$5:$M$45,5,0)+0,0))</f>
        <v>0</v>
      </c>
      <c r="CC191" s="60" t="n">
        <f aca="false">IFERROR(IF(OR(BT191=1,BT191=2,BT191=3),N(INDEX(Parameter!$I$5:$I$7,BT191)),0),0)</f>
        <v>0</v>
      </c>
      <c r="CD191" s="59" t="n">
        <f aca="false">IF(AND(Parameter!$B$21="Ja",ISNUMBER(U191),N(V191)&gt;0),IFERROR(N(INDEX(Parameter!$L$5:$L$7,U191))*INDEX(Parameter!$E$5:$E$7,U191)*V191/SUMIFS($V$7:$V$1576,$U$7:$U$1576,U191),0),0)</f>
        <v>0</v>
      </c>
    </row>
    <row r="192" customFormat="false" ht="15" hidden="false" customHeight="false" outlineLevel="0" collapsed="false">
      <c r="A192" s="55" t="s">
        <v>575</v>
      </c>
      <c r="B192" s="55" t="s">
        <v>576</v>
      </c>
      <c r="C192" s="55" t="s">
        <v>160</v>
      </c>
      <c r="D192" s="55" t="s">
        <v>178</v>
      </c>
      <c r="E192" s="55" t="s">
        <v>210</v>
      </c>
      <c r="F192" s="56" t="n">
        <v>4.88</v>
      </c>
      <c r="G192" s="57" t="n">
        <f aca="false">MAX(0,IF(AND(Parameter!$B$21="Ja",ISNUMBER(W192)),W192,IF(Parameter!$B$20="Jahresanfang 2025 + Export",BJ192+BI192,BI192)))</f>
        <v>216</v>
      </c>
      <c r="H192" s="57" t="n">
        <f aca="false">G192*F192</f>
        <v>1054.08</v>
      </c>
      <c r="I192" s="57" t="n">
        <f aca="false">BL192*Parameter!$B$18</f>
        <v>354</v>
      </c>
      <c r="J192" s="58" t="n">
        <v>175</v>
      </c>
      <c r="K192" s="59" t="n">
        <v>2.02285714285714</v>
      </c>
      <c r="L192" s="57" t="n">
        <v>20</v>
      </c>
      <c r="M192" s="57" t="n">
        <v>355</v>
      </c>
      <c r="N192" s="60" t="n">
        <v>21</v>
      </c>
      <c r="O192" s="55" t="s">
        <v>411</v>
      </c>
      <c r="P192" s="57" t="n">
        <v>241</v>
      </c>
      <c r="Q192" s="60" t="n">
        <f aca="false">IF(BR192=1,0,IFERROR(VLOOKUP(BP192,'Gebinde-Kategorie'!$A$5:$M$45,13,0)+0,0))</f>
        <v>132</v>
      </c>
      <c r="R192" s="61"/>
      <c r="S192" s="62"/>
      <c r="T192" s="62"/>
      <c r="U192" s="55"/>
      <c r="V192" s="57"/>
      <c r="W192" s="57"/>
      <c r="X192" s="55" t="n">
        <f aca="false">IF(A192="","",IF(AND(Parameter!$B$21="Ja",ISNUMBER(U192)),U192,IF(IFERROR(VLOOKUP(D192,Parameter!$A$35:$C$64,2,0),"Nein")="2+3",IF(ISNUMBER(SEARCH("grosser Artikel",BM192)),2,IFERROR(VLOOKUP(BP192,Parameter!$F$35:$G$64,2,0),2)),IF(OR(IFERROR(VLOOKUP(D192,Parameter!$A$35:$C$64,2,0),"Nein")="Nein",IFERROR(VLOOKUP(D192,Parameter!$A$35:$C$64,2,0),"Nein")=""),"-",VLOOKUP(D192,Parameter!$A$35:$C$64,2,0)))))</f>
        <v>3</v>
      </c>
      <c r="Y192" s="62"/>
      <c r="Z192" s="63"/>
      <c r="AA192" s="57" t="n">
        <f aca="false">AP192</f>
        <v>482</v>
      </c>
      <c r="AB192" s="57" t="n">
        <f aca="false">MAX(AP192,G192)</f>
        <v>482</v>
      </c>
      <c r="AC192" s="64"/>
      <c r="AD192" s="57" t="n">
        <f aca="false">IF(LEFT(Cockpit!$C$5,1)="A",G192,IF(BW192=1,BX192,IF(LEFT(Cockpit!$C$5,1)="B",AH192,MAX(AH192,G192))))</f>
        <v>216</v>
      </c>
      <c r="AE192" s="57" t="n">
        <f aca="false">IF(BR192=1,0,ROUNDUP(AD192/BQ192,0))</f>
        <v>1</v>
      </c>
      <c r="AF192" s="59" t="n">
        <f aca="false">IF(CD192&gt;0,CD192*MAX(1,AD192/V192),IF(BR192=1,IF(AD192&lt;=0,0,BS192*MAX(1,IF(G192&gt;0,AD192/G192,1))),IF(Q192&gt;0,AE192/Q192,0))/MAX(0.1,N(Parameter!$M$21)))</f>
        <v>0.00757575757575758</v>
      </c>
      <c r="AG192" s="57" t="n">
        <f aca="false">AD192*F192</f>
        <v>1054.08</v>
      </c>
      <c r="AH192" s="57" t="n">
        <f aca="false">ROUNDUP(MAX(I192/IF(BV192&gt;0,BV192,MAX(0.1,N(Cockpit!$C$6))),BY192)/BQ192,0)*BQ192</f>
        <v>482</v>
      </c>
      <c r="AI192" s="58" t="n">
        <f aca="false">IF(AF192&gt;0,I192/AF192,-1)</f>
        <v>46728</v>
      </c>
      <c r="AJ192" s="58" t="n">
        <f aca="false">IF(AND(OR(BU192="L1",BU192="L23"),AF192&gt;0),SUMIFS($AF$7:$AF$1576,$BU$7:$BU$1576,BU192,$AI$7:$AI$1576,"&gt;"&amp;AI192)+SUMIFS($AF$7:$AF$1576,$BU$7:$BU$1576,BU192,$AI$7:$AI$1576,AI192,$BO$7:$BO$1576,"&lt;="&amp;BO192),"")</f>
        <v>0.874024526198439</v>
      </c>
      <c r="AK192" s="65" t="n">
        <f aca="false">IF(AJ192="",0,MAX(0,MIN(1,(IF(BU192="L1",Parameter!$E$5,Parameter!$E$6+Parameter!$E$7)-(AJ192-AF192))/AF192)))</f>
        <v>1</v>
      </c>
      <c r="AL192" s="57" t="n">
        <f aca="false">IF(LEFT(Cockpit!$I$5,1)="A",G192,IF(BW192=1,BX192,IF(LEFT(Cockpit!$I$5,1)="B",AP192,MAX(AP192,G192))))</f>
        <v>482</v>
      </c>
      <c r="AM192" s="57" t="n">
        <f aca="false">IF(BR192=1,0,ROUNDUP(AL192/BQ192,0))</f>
        <v>2</v>
      </c>
      <c r="AN192" s="59" t="n">
        <f aca="false">IF(CD192&gt;0,CD192*MAX(1,AL192/V192),IF(BR192=1,IF(AL192&lt;=0,0,BS192*MAX(1,IF(G192&gt;0,AL192/G192,1))),IF(Q192&gt;0,AM192/Q192,0))/MAX(0.1,N(Parameter!$M$21)))</f>
        <v>0.0151515151515152</v>
      </c>
      <c r="AO192" s="57" t="n">
        <f aca="false">AL192*F192</f>
        <v>2352.16</v>
      </c>
      <c r="AP192" s="57" t="n">
        <f aca="false">ROUNDUP(MAX(I192/IF(BV192&gt;0,BV192,MAX(0.1,N(Cockpit!$I$6))),BY192)/BQ192,0)*BQ192</f>
        <v>482</v>
      </c>
      <c r="AQ192" s="58" t="n">
        <f aca="false">IF(AN192&gt;0,I192/AN192,-1)</f>
        <v>23364</v>
      </c>
      <c r="AR192" s="58" t="n">
        <f aca="false">IF(AND(OR(BU192="L1",BU192="L23"),AN192&gt;0),SUMIFS($AN$7:$AN$1576,$BU$7:$BU$1576,BU192,$AQ$7:$AQ$1576,"&gt;"&amp;AQ192)+SUMIFS($AN$7:$AN$1576,$BU$7:$BU$1576,BU192,$AQ$7:$AQ$1576,AQ192,$BO$7:$BO$1576,"&lt;="&amp;BO192),"")</f>
        <v>3.36723049896963</v>
      </c>
      <c r="AS192" s="65" t="n">
        <f aca="false">IF(AR192="",0,MAX(0,MIN(1,(IF(BU192="L1",Parameter!$E$5,Parameter!$E$6+Parameter!$E$7)-(AR192-AN192))/AN192)))</f>
        <v>1</v>
      </c>
      <c r="AT192" s="57" t="n">
        <f aca="false">IF(LEFT(Cockpit!$O$5,1)="A",G192,IF(BW192=1,BX192,IF(LEFT(Cockpit!$O$5,1)="B",AX192,MAX(AX192,G192))))</f>
        <v>482</v>
      </c>
      <c r="AU192" s="57" t="n">
        <f aca="false">IF(BR192=1,0,ROUNDUP(AT192/BQ192,0))</f>
        <v>2</v>
      </c>
      <c r="AV192" s="59" t="n">
        <f aca="false">IF(CD192&gt;0,CD192*MAX(1,AT192/V192),IF(BR192=1,IF(AT192&lt;=0,0,BS192*MAX(1,IF(G192&gt;0,AT192/G192,1))),IF(Q192&gt;0,AU192/Q192,0))/MAX(0.1,N(Parameter!$M$21)))</f>
        <v>0.0151515151515152</v>
      </c>
      <c r="AW192" s="57" t="n">
        <f aca="false">AT192*F192</f>
        <v>2352.16</v>
      </c>
      <c r="AX192" s="57" t="n">
        <f aca="false">ROUNDUP(MAX(I192/IF(BV192&gt;0,BV192,MAX(0.1,N(Cockpit!$O$6))),BY192)/BQ192,0)*BQ192</f>
        <v>482</v>
      </c>
      <c r="AY192" s="58" t="n">
        <f aca="false">IF(AV192&gt;0,I192/AV192,-1)</f>
        <v>23364</v>
      </c>
      <c r="AZ192" s="58" t="n">
        <f aca="false">IF(AND(OR(BU192="L1",BU192="L23"),AV192&gt;0),SUMIFS($AV$7:$AV$1576,$BU$7:$BU$1576,BU192,$AY$7:$AY$1576,"&gt;"&amp;AY192)+SUMIFS($AV$7:$AV$1576,$BU$7:$BU$1576,BU192,$AY$7:$AY$1576,AY192,$BO$7:$BO$1576,"&lt;="&amp;BO192),"")</f>
        <v>3.72503935677849</v>
      </c>
      <c r="BA192" s="65" t="n">
        <f aca="false">IF(AZ192="",0,MAX(0,MIN(1,(IF(BU192="L1",Parameter!$E$5,Parameter!$E$6+Parameter!$E$7)-(AZ192-AV192))/AV192)))</f>
        <v>1</v>
      </c>
      <c r="BB192" s="55" t="str">
        <f aca="false">IF(AF192&lt;=0,"",IF(BU192="Aussen","Aussenlager",IF(BU192="-","Nicht im Lift",IF(AK192&gt;=1,"Lift",IF(AK192&lt;=0,"Aussenlager","teilweise")))))</f>
        <v>Lift</v>
      </c>
      <c r="BC192" s="55" t="str">
        <f aca="false">IF(AN192&lt;=0,"",IF(BU192="Aussen","Aussenlager",IF(BU192="-","Nicht im Lift",IF(AS192&gt;=1,"Lift",IF(AS192&lt;=0,"Aussenlager","teilweise")))))</f>
        <v>Lift</v>
      </c>
      <c r="BD192" s="55" t="str">
        <f aca="false">IF(AV192&lt;=0,"",IF(BU192="Aussen","Aussenlager",IF(BU192="-","Nicht im Lift",IF(BA192&gt;=1,"Lift",IF(BA192&lt;=0,"Aussenlager","teilweise")))))</f>
        <v>Lift</v>
      </c>
      <c r="BE192" s="55" t="str">
        <f aca="false">IF(A192="","",IF(BN192=1,"Neu; ","")&amp;IF(AND(BN192=0,BI192&lt;0),"negativer Bestand (Export "&amp;BI192&amp;"); ","")&amp;IF(I192&lt;=0,"Kein Verbrauch; ","")&amp;IF(CD192&gt;0,"Lift "&amp;U192&amp;" lt. Liftbericht (Fach "&amp;V192&amp;" Stk); ",IF(BR192=1,"Lose – Fläche geschätzt; ",""))&amp;IF(G192&gt;AP192,"Überbestand "&amp;ROUND(G192-AP192,0)&amp;" Stk / CHF "&amp;ROUND((G192-AP192)*F192,0)&amp;"; ","")&amp;IF(AND(BW192=1,BX192&lt;BY192),"MAX &lt; MB+LG; ","")&amp;IF(AND(CC192&gt;0,CB192*10&gt;CC192),"zu hoch für Tablar; ","")&amp;IF(AND(BN192=0,OR(BW192=1,Y192&lt;&gt;"",S192&lt;&gt;"",T192&lt;&gt;"",Z192&lt;&gt;"")),"manuell übersteuert; ","")&amp;IF(AND(BR192=0,Q192=0),"Gebinde unbekannt / Stellmass fehlt; ","")&amp;IF(AND(BR192=0,N(T192)&lt;=0,N(P192)&lt;=0),"Menge pro Gebinde fehlt (Ist = 1 Gebinde); ","")&amp;BM192)</f>
        <v/>
      </c>
      <c r="BF192" s="55"/>
      <c r="BG192" s="55"/>
      <c r="BH192" s="62"/>
      <c r="BI192" s="57" t="n">
        <v>216</v>
      </c>
      <c r="BJ192" s="57" t="n">
        <v>119</v>
      </c>
      <c r="BK192" s="56" t="n">
        <v>900.630000000002</v>
      </c>
      <c r="BL192" s="57" t="n">
        <v>354</v>
      </c>
      <c r="BM192" s="55"/>
      <c r="BN192" s="60" t="n">
        <v>0</v>
      </c>
      <c r="BO192" s="60" t="n">
        <v>192</v>
      </c>
      <c r="BP192" s="55" t="str">
        <f aca="false">IF(S192&lt;&gt;"",UPPER(TRIM(S192)),IF(O192="","LOSE",O192))</f>
        <v>S32</v>
      </c>
      <c r="BQ192" s="57" t="n">
        <f aca="false">IF(BP192="LOSE",1,IF(N(T192)&gt;0,T192,IF(N(P192)&gt;0,P192,MAX(1,G192))))</f>
        <v>241</v>
      </c>
      <c r="BR192" s="60" t="n">
        <f aca="false">IF(BP192="LOSE",1,0)</f>
        <v>0</v>
      </c>
      <c r="BS192" s="59" t="n">
        <f aca="false">IF(BR192=0,0,IF(N(R192)&gt;0,R192,IFERROR(VLOOKUP(D192,Parameter!$A$35:$C$64,3,0)+0,0)))</f>
        <v>0</v>
      </c>
      <c r="BT192" s="55" t="n">
        <f aca="false">IF(Y192&lt;&gt;"",Y192,X192)</f>
        <v>3</v>
      </c>
      <c r="BU192" s="55" t="str">
        <f aca="false">IF(BT192=1,"L1",IF(OR(BT192=2,BT192=3),"L23",IF(BT192="Aussen","Aussen","-")))</f>
        <v>L23</v>
      </c>
      <c r="BV192" s="66" t="n">
        <f aca="false">IF(N(Z192)&gt;0,Z192,0)</f>
        <v>0</v>
      </c>
      <c r="BW192" s="60" t="n">
        <f aca="false">IF(ISNUMBER(AC192),1,0)</f>
        <v>0</v>
      </c>
      <c r="BX192" s="57" t="n">
        <f aca="false">N(AC192)</f>
        <v>0</v>
      </c>
      <c r="BY192" s="57" t="n">
        <f aca="false">N(L192)+N(M192)</f>
        <v>375</v>
      </c>
      <c r="BZ192" s="57" t="n">
        <f aca="false">ROUNDUP(G192/BQ192,0)</f>
        <v>1</v>
      </c>
      <c r="CA192" s="57" t="n">
        <f aca="false">ROUNDUP(BX192/BQ192,0)</f>
        <v>0</v>
      </c>
      <c r="CB192" s="60" t="n">
        <f aca="false">IF(BR192=1,0,IFERROR(VLOOKUP(BP192,'Gebinde-Kategorie'!$A$5:$M$45,5,0)+0,0))</f>
        <v>8</v>
      </c>
      <c r="CC192" s="60" t="n">
        <f aca="false">IFERROR(IF(OR(BT192=1,BT192=2,BT192=3),N(INDEX(Parameter!$I$5:$I$7,BT192)),0),0)</f>
        <v>0</v>
      </c>
      <c r="CD192" s="59" t="n">
        <f aca="false">IF(AND(Parameter!$B$21="Ja",ISNUMBER(U192),N(V192)&gt;0),IFERROR(N(INDEX(Parameter!$L$5:$L$7,U192))*INDEX(Parameter!$E$5:$E$7,U192)*V192/SUMIFS($V$7:$V$1576,$U$7:$U$1576,U192),0),0)</f>
        <v>0</v>
      </c>
    </row>
    <row r="193" customFormat="false" ht="15" hidden="false" customHeight="false" outlineLevel="0" collapsed="false">
      <c r="A193" s="55" t="s">
        <v>577</v>
      </c>
      <c r="B193" s="55" t="s">
        <v>578</v>
      </c>
      <c r="C193" s="55" t="s">
        <v>160</v>
      </c>
      <c r="D193" s="55" t="s">
        <v>178</v>
      </c>
      <c r="E193" s="55" t="s">
        <v>210</v>
      </c>
      <c r="F193" s="56" t="n">
        <v>54.41</v>
      </c>
      <c r="G193" s="57" t="n">
        <f aca="false">MAX(0,IF(AND(Parameter!$B$21="Ja",ISNUMBER(W193)),W193,IF(Parameter!$B$20="Jahresanfang 2025 + Export",BJ193+BI193,BI193)))</f>
        <v>16</v>
      </c>
      <c r="H193" s="57" t="n">
        <f aca="false">G193*F193</f>
        <v>870.56</v>
      </c>
      <c r="I193" s="57" t="n">
        <f aca="false">BL193*Parameter!$B$18</f>
        <v>40</v>
      </c>
      <c r="J193" s="58" t="n">
        <v>8</v>
      </c>
      <c r="K193" s="59" t="n">
        <v>5</v>
      </c>
      <c r="L193" s="57" t="n">
        <v>3</v>
      </c>
      <c r="M193" s="57" t="n">
        <v>40</v>
      </c>
      <c r="N193" s="60" t="n">
        <v>35</v>
      </c>
      <c r="O193" s="55" t="s">
        <v>411</v>
      </c>
      <c r="P193" s="57" t="n">
        <v>40</v>
      </c>
      <c r="Q193" s="60" t="n">
        <f aca="false">IF(BR193=1,0,IFERROR(VLOOKUP(BP193,'Gebinde-Kategorie'!$A$5:$M$45,13,0)+0,0))</f>
        <v>132</v>
      </c>
      <c r="R193" s="61"/>
      <c r="S193" s="62"/>
      <c r="T193" s="62"/>
      <c r="U193" s="55"/>
      <c r="V193" s="57"/>
      <c r="W193" s="57"/>
      <c r="X193" s="55" t="n">
        <f aca="false">IF(A193="","",IF(AND(Parameter!$B$21="Ja",ISNUMBER(U193)),U193,IF(IFERROR(VLOOKUP(D193,Parameter!$A$35:$C$64,2,0),"Nein")="2+3",IF(ISNUMBER(SEARCH("grosser Artikel",BM193)),2,IFERROR(VLOOKUP(BP193,Parameter!$F$35:$G$64,2,0),2)),IF(OR(IFERROR(VLOOKUP(D193,Parameter!$A$35:$C$64,2,0),"Nein")="Nein",IFERROR(VLOOKUP(D193,Parameter!$A$35:$C$64,2,0),"Nein")=""),"-",VLOOKUP(D193,Parameter!$A$35:$C$64,2,0)))))</f>
        <v>3</v>
      </c>
      <c r="Y193" s="62"/>
      <c r="Z193" s="63"/>
      <c r="AA193" s="57" t="n">
        <f aca="false">AP193</f>
        <v>80</v>
      </c>
      <c r="AB193" s="57" t="n">
        <f aca="false">MAX(AP193,G193)</f>
        <v>80</v>
      </c>
      <c r="AC193" s="64"/>
      <c r="AD193" s="57" t="n">
        <f aca="false">IF(LEFT(Cockpit!$C$5,1)="A",G193,IF(BW193=1,BX193,IF(LEFT(Cockpit!$C$5,1)="B",AH193,MAX(AH193,G193))))</f>
        <v>16</v>
      </c>
      <c r="AE193" s="57" t="n">
        <f aca="false">IF(BR193=1,0,ROUNDUP(AD193/BQ193,0))</f>
        <v>1</v>
      </c>
      <c r="AF193" s="59" t="n">
        <f aca="false">IF(CD193&gt;0,CD193*MAX(1,AD193/V193),IF(BR193=1,IF(AD193&lt;=0,0,BS193*MAX(1,IF(G193&gt;0,AD193/G193,1))),IF(Q193&gt;0,AE193/Q193,0))/MAX(0.1,N(Parameter!$M$21)))</f>
        <v>0.00757575757575758</v>
      </c>
      <c r="AG193" s="57" t="n">
        <f aca="false">AD193*F193</f>
        <v>870.56</v>
      </c>
      <c r="AH193" s="57" t="n">
        <f aca="false">ROUNDUP(MAX(I193/IF(BV193&gt;0,BV193,MAX(0.1,N(Cockpit!$C$6))),BY193)/BQ193,0)*BQ193</f>
        <v>80</v>
      </c>
      <c r="AI193" s="58" t="n">
        <f aca="false">IF(AF193&gt;0,I193/AF193,-1)</f>
        <v>5280</v>
      </c>
      <c r="AJ193" s="58" t="n">
        <f aca="false">IF(AND(OR(BU193="L1",BU193="L23"),AF193&gt;0),SUMIFS($AF$7:$AF$1576,$BU$7:$BU$1576,BU193,$AI$7:$AI$1576,"&gt;"&amp;AI193)+SUMIFS($AF$7:$AF$1576,$BU$7:$BU$1576,BU193,$AI$7:$AI$1576,AI193,$BO$7:$BO$1576,"&lt;="&amp;BO193),"")</f>
        <v>3.69161818857471</v>
      </c>
      <c r="AK193" s="65" t="n">
        <f aca="false">IF(AJ193="",0,MAX(0,MIN(1,(IF(BU193="L1",Parameter!$E$5,Parameter!$E$6+Parameter!$E$7)-(AJ193-AF193))/AF193)))</f>
        <v>1</v>
      </c>
      <c r="AL193" s="57" t="n">
        <f aca="false">IF(LEFT(Cockpit!$I$5,1)="A",G193,IF(BW193=1,BX193,IF(LEFT(Cockpit!$I$5,1)="B",AP193,MAX(AP193,G193))))</f>
        <v>80</v>
      </c>
      <c r="AM193" s="57" t="n">
        <f aca="false">IF(BR193=1,0,ROUNDUP(AL193/BQ193,0))</f>
        <v>2</v>
      </c>
      <c r="AN193" s="59" t="n">
        <f aca="false">IF(CD193&gt;0,CD193*MAX(1,AL193/V193),IF(BR193=1,IF(AL193&lt;=0,0,BS193*MAX(1,IF(G193&gt;0,AL193/G193,1))),IF(Q193&gt;0,AM193/Q193,0))/MAX(0.1,N(Parameter!$M$21)))</f>
        <v>0.0151515151515152</v>
      </c>
      <c r="AO193" s="57" t="n">
        <f aca="false">AL193*F193</f>
        <v>4352.8</v>
      </c>
      <c r="AP193" s="57" t="n">
        <f aca="false">ROUNDUP(MAX(I193/IF(BV193&gt;0,BV193,MAX(0.1,N(Cockpit!$I$6))),BY193)/BQ193,0)*BQ193</f>
        <v>80</v>
      </c>
      <c r="AQ193" s="58" t="n">
        <f aca="false">IF(AN193&gt;0,I193/AN193,-1)</f>
        <v>2640</v>
      </c>
      <c r="AR193" s="58" t="n">
        <f aca="false">IF(AND(OR(BU193="L1",BU193="L23"),AN193&gt;0),SUMIFS($AN$7:$AN$1576,$BU$7:$BU$1576,BU193,$AQ$7:$AQ$1576,"&gt;"&amp;AQ193)+SUMIFS($AN$7:$AN$1576,$BU$7:$BU$1576,BU193,$AQ$7:$AQ$1576,AQ193,$BO$7:$BO$1576,"&lt;="&amp;BO193),"")</f>
        <v>14.917056144676</v>
      </c>
      <c r="AS193" s="65" t="n">
        <f aca="false">IF(AR193="",0,MAX(0,MIN(1,(IF(BU193="L1",Parameter!$E$5,Parameter!$E$6+Parameter!$E$7)-(AR193-AN193))/AN193)))</f>
        <v>1</v>
      </c>
      <c r="AT193" s="57" t="n">
        <f aca="false">IF(LEFT(Cockpit!$O$5,1)="A",G193,IF(BW193=1,BX193,IF(LEFT(Cockpit!$O$5,1)="B",AX193,MAX(AX193,G193))))</f>
        <v>80</v>
      </c>
      <c r="AU193" s="57" t="n">
        <f aca="false">IF(BR193=1,0,ROUNDUP(AT193/BQ193,0))</f>
        <v>2</v>
      </c>
      <c r="AV193" s="59" t="n">
        <f aca="false">IF(CD193&gt;0,CD193*MAX(1,AT193/V193),IF(BR193=1,IF(AT193&lt;=0,0,BS193*MAX(1,IF(G193&gt;0,AT193/G193,1))),IF(Q193&gt;0,AU193/Q193,0))/MAX(0.1,N(Parameter!$M$21)))</f>
        <v>0.0151515151515152</v>
      </c>
      <c r="AW193" s="57" t="n">
        <f aca="false">AT193*F193</f>
        <v>4352.8</v>
      </c>
      <c r="AX193" s="57" t="n">
        <f aca="false">ROUNDUP(MAX(I193/IF(BV193&gt;0,BV193,MAX(0.1,N(Cockpit!$O$6))),BY193)/BQ193,0)*BQ193</f>
        <v>80</v>
      </c>
      <c r="AY193" s="58" t="n">
        <f aca="false">IF(AV193&gt;0,I193/AV193,-1)</f>
        <v>2640</v>
      </c>
      <c r="AZ193" s="58" t="n">
        <f aca="false">IF(AND(OR(BU193="L1",BU193="L23"),AV193&gt;0),SUMIFS($AV$7:$AV$1576,$BU$7:$BU$1576,BU193,$AY$7:$AY$1576,"&gt;"&amp;AY193)+SUMIFS($AV$7:$AV$1576,$BU$7:$BU$1576,BU193,$AY$7:$AY$1576,AY193,$BO$7:$BO$1576,"&lt;="&amp;BO193),"")</f>
        <v>13.7212519488718</v>
      </c>
      <c r="BA193" s="65" t="n">
        <f aca="false">IF(AZ193="",0,MAX(0,MIN(1,(IF(BU193="L1",Parameter!$E$5,Parameter!$E$6+Parameter!$E$7)-(AZ193-AV193))/AV193)))</f>
        <v>1</v>
      </c>
      <c r="BB193" s="55" t="str">
        <f aca="false">IF(AF193&lt;=0,"",IF(BU193="Aussen","Aussenlager",IF(BU193="-","Nicht im Lift",IF(AK193&gt;=1,"Lift",IF(AK193&lt;=0,"Aussenlager","teilweise")))))</f>
        <v>Lift</v>
      </c>
      <c r="BC193" s="55" t="str">
        <f aca="false">IF(AN193&lt;=0,"",IF(BU193="Aussen","Aussenlager",IF(BU193="-","Nicht im Lift",IF(AS193&gt;=1,"Lift",IF(AS193&lt;=0,"Aussenlager","teilweise")))))</f>
        <v>Lift</v>
      </c>
      <c r="BD193" s="55" t="str">
        <f aca="false">IF(AV193&lt;=0,"",IF(BU193="Aussen","Aussenlager",IF(BU193="-","Nicht im Lift",IF(BA193&gt;=1,"Lift",IF(BA193&lt;=0,"Aussenlager","teilweise")))))</f>
        <v>Lift</v>
      </c>
      <c r="BE193" s="55" t="str">
        <f aca="false">IF(A193="","",IF(BN193=1,"Neu; ","")&amp;IF(AND(BN193=0,BI193&lt;0),"negativer Bestand (Export "&amp;BI193&amp;"); ","")&amp;IF(I193&lt;=0,"Kein Verbrauch; ","")&amp;IF(CD193&gt;0,"Lift "&amp;U193&amp;" lt. Liftbericht (Fach "&amp;V193&amp;" Stk); ",IF(BR193=1,"Lose – Fläche geschätzt; ",""))&amp;IF(G193&gt;AP193,"Überbestand "&amp;ROUND(G193-AP193,0)&amp;" Stk / CHF "&amp;ROUND((G193-AP193)*F193,0)&amp;"; ","")&amp;IF(AND(BW193=1,BX193&lt;BY193),"MAX &lt; MB+LG; ","")&amp;IF(AND(CC193&gt;0,CB193*10&gt;CC193),"zu hoch für Tablar; ","")&amp;IF(AND(BN193=0,OR(BW193=1,Y193&lt;&gt;"",S193&lt;&gt;"",T193&lt;&gt;"",Z193&lt;&gt;"")),"manuell übersteuert; ","")&amp;IF(AND(BR193=0,Q193=0),"Gebinde unbekannt / Stellmass fehlt; ","")&amp;IF(AND(BR193=0,N(T193)&lt;=0,N(P193)&lt;=0),"Menge pro Gebinde fehlt (Ist = 1 Gebinde); ","")&amp;BM193)</f>
        <v/>
      </c>
      <c r="BF193" s="55"/>
      <c r="BG193" s="55"/>
      <c r="BH193" s="62"/>
      <c r="BI193" s="57" t="n">
        <v>16</v>
      </c>
      <c r="BJ193" s="57" t="n">
        <v>0</v>
      </c>
      <c r="BK193" s="56" t="n">
        <v>870.56</v>
      </c>
      <c r="BL193" s="57" t="n">
        <v>40</v>
      </c>
      <c r="BM193" s="55"/>
      <c r="BN193" s="60" t="n">
        <v>0</v>
      </c>
      <c r="BO193" s="60" t="n">
        <v>193</v>
      </c>
      <c r="BP193" s="55" t="str">
        <f aca="false">IF(S193&lt;&gt;"",UPPER(TRIM(S193)),IF(O193="","LOSE",O193))</f>
        <v>S32</v>
      </c>
      <c r="BQ193" s="57" t="n">
        <f aca="false">IF(BP193="LOSE",1,IF(N(T193)&gt;0,T193,IF(N(P193)&gt;0,P193,MAX(1,G193))))</f>
        <v>40</v>
      </c>
      <c r="BR193" s="60" t="n">
        <f aca="false">IF(BP193="LOSE",1,0)</f>
        <v>0</v>
      </c>
      <c r="BS193" s="59" t="n">
        <f aca="false">IF(BR193=0,0,IF(N(R193)&gt;0,R193,IFERROR(VLOOKUP(D193,Parameter!$A$35:$C$64,3,0)+0,0)))</f>
        <v>0</v>
      </c>
      <c r="BT193" s="55" t="n">
        <f aca="false">IF(Y193&lt;&gt;"",Y193,X193)</f>
        <v>3</v>
      </c>
      <c r="BU193" s="55" t="str">
        <f aca="false">IF(BT193=1,"L1",IF(OR(BT193=2,BT193=3),"L23",IF(BT193="Aussen","Aussen","-")))</f>
        <v>L23</v>
      </c>
      <c r="BV193" s="66" t="n">
        <f aca="false">IF(N(Z193)&gt;0,Z193,0)</f>
        <v>0</v>
      </c>
      <c r="BW193" s="60" t="n">
        <f aca="false">IF(ISNUMBER(AC193),1,0)</f>
        <v>0</v>
      </c>
      <c r="BX193" s="57" t="n">
        <f aca="false">N(AC193)</f>
        <v>0</v>
      </c>
      <c r="BY193" s="57" t="n">
        <f aca="false">N(L193)+N(M193)</f>
        <v>43</v>
      </c>
      <c r="BZ193" s="57" t="n">
        <f aca="false">ROUNDUP(G193/BQ193,0)</f>
        <v>1</v>
      </c>
      <c r="CA193" s="57" t="n">
        <f aca="false">ROUNDUP(BX193/BQ193,0)</f>
        <v>0</v>
      </c>
      <c r="CB193" s="60" t="n">
        <f aca="false">IF(BR193=1,0,IFERROR(VLOOKUP(BP193,'Gebinde-Kategorie'!$A$5:$M$45,5,0)+0,0))</f>
        <v>8</v>
      </c>
      <c r="CC193" s="60" t="n">
        <f aca="false">IFERROR(IF(OR(BT193=1,BT193=2,BT193=3),N(INDEX(Parameter!$I$5:$I$7,BT193)),0),0)</f>
        <v>0</v>
      </c>
      <c r="CD193" s="59" t="n">
        <f aca="false">IF(AND(Parameter!$B$21="Ja",ISNUMBER(U193),N(V193)&gt;0),IFERROR(N(INDEX(Parameter!$L$5:$L$7,U193))*INDEX(Parameter!$E$5:$E$7,U193)*V193/SUMIFS($V$7:$V$1576,$U$7:$U$1576,U193),0),0)</f>
        <v>0</v>
      </c>
    </row>
    <row r="194" customFormat="false" ht="15" hidden="false" customHeight="false" outlineLevel="0" collapsed="false">
      <c r="A194" s="55" t="s">
        <v>579</v>
      </c>
      <c r="B194" s="55" t="s">
        <v>580</v>
      </c>
      <c r="C194" s="55" t="s">
        <v>160</v>
      </c>
      <c r="D194" s="55" t="s">
        <v>178</v>
      </c>
      <c r="E194" s="55" t="s">
        <v>210</v>
      </c>
      <c r="F194" s="56" t="n">
        <v>10.46</v>
      </c>
      <c r="G194" s="57" t="n">
        <f aca="false">MAX(0,IF(AND(Parameter!$B$21="Ja",ISNUMBER(W194)),W194,IF(Parameter!$B$20="Jahresanfang 2025 + Export",BJ194+BI194,BI194)))</f>
        <v>86</v>
      </c>
      <c r="H194" s="57" t="n">
        <f aca="false">G194*F194</f>
        <v>899.56</v>
      </c>
      <c r="I194" s="57" t="n">
        <f aca="false">BL194*Parameter!$B$18</f>
        <v>153</v>
      </c>
      <c r="J194" s="58" t="n">
        <v>41</v>
      </c>
      <c r="K194" s="59" t="n">
        <v>3.73170731707317</v>
      </c>
      <c r="L194" s="57" t="n">
        <v>8</v>
      </c>
      <c r="M194" s="57" t="n">
        <v>150</v>
      </c>
      <c r="N194" s="60" t="n">
        <v>21</v>
      </c>
      <c r="O194" s="55" t="s">
        <v>411</v>
      </c>
      <c r="P194" s="57" t="n">
        <v>75</v>
      </c>
      <c r="Q194" s="60" t="n">
        <f aca="false">IF(BR194=1,0,IFERROR(VLOOKUP(BP194,'Gebinde-Kategorie'!$A$5:$M$45,13,0)+0,0))</f>
        <v>132</v>
      </c>
      <c r="R194" s="61"/>
      <c r="S194" s="62"/>
      <c r="T194" s="62"/>
      <c r="U194" s="55"/>
      <c r="V194" s="57"/>
      <c r="W194" s="57"/>
      <c r="X194" s="55" t="n">
        <f aca="false">IF(A194="","",IF(AND(Parameter!$B$21="Ja",ISNUMBER(U194)),U194,IF(IFERROR(VLOOKUP(D194,Parameter!$A$35:$C$64,2,0),"Nein")="2+3",IF(ISNUMBER(SEARCH("grosser Artikel",BM194)),2,IFERROR(VLOOKUP(BP194,Parameter!$F$35:$G$64,2,0),2)),IF(OR(IFERROR(VLOOKUP(D194,Parameter!$A$35:$C$64,2,0),"Nein")="Nein",IFERROR(VLOOKUP(D194,Parameter!$A$35:$C$64,2,0),"Nein")=""),"-",VLOOKUP(D194,Parameter!$A$35:$C$64,2,0)))))</f>
        <v>3</v>
      </c>
      <c r="Y194" s="62"/>
      <c r="Z194" s="63"/>
      <c r="AA194" s="57" t="n">
        <f aca="false">AP194</f>
        <v>225</v>
      </c>
      <c r="AB194" s="57" t="n">
        <f aca="false">MAX(AP194,G194)</f>
        <v>225</v>
      </c>
      <c r="AC194" s="64"/>
      <c r="AD194" s="57" t="n">
        <f aca="false">IF(LEFT(Cockpit!$C$5,1)="A",G194,IF(BW194=1,BX194,IF(LEFT(Cockpit!$C$5,1)="B",AH194,MAX(AH194,G194))))</f>
        <v>86</v>
      </c>
      <c r="AE194" s="57" t="n">
        <f aca="false">IF(BR194=1,0,ROUNDUP(AD194/BQ194,0))</f>
        <v>2</v>
      </c>
      <c r="AF194" s="59" t="n">
        <f aca="false">IF(CD194&gt;0,CD194*MAX(1,AD194/V194),IF(BR194=1,IF(AD194&lt;=0,0,BS194*MAX(1,IF(G194&gt;0,AD194/G194,1))),IF(Q194&gt;0,AE194/Q194,0))/MAX(0.1,N(Parameter!$M$21)))</f>
        <v>0.0151515151515152</v>
      </c>
      <c r="AG194" s="57" t="n">
        <f aca="false">AD194*F194</f>
        <v>899.56</v>
      </c>
      <c r="AH194" s="57" t="n">
        <f aca="false">ROUNDUP(MAX(I194/IF(BV194&gt;0,BV194,MAX(0.1,N(Cockpit!$C$6))),BY194)/BQ194,0)*BQ194</f>
        <v>225</v>
      </c>
      <c r="AI194" s="58" t="n">
        <f aca="false">IF(AF194&gt;0,I194/AF194,-1)</f>
        <v>10098</v>
      </c>
      <c r="AJ194" s="58" t="n">
        <f aca="false">IF(AND(OR(BU194="L1",BU194="L23"),AF194&gt;0),SUMIFS($AF$7:$AF$1576,$BU$7:$BU$1576,BU194,$AI$7:$AI$1576,"&gt;"&amp;AI194)+SUMIFS($AF$7:$AF$1576,$BU$7:$BU$1576,BU194,$AI$7:$AI$1576,AI194,$BO$7:$BO$1576,"&lt;="&amp;BO194),"")</f>
        <v>2.54300530387487</v>
      </c>
      <c r="AK194" s="65" t="n">
        <f aca="false">IF(AJ194="",0,MAX(0,MIN(1,(IF(BU194="L1",Parameter!$E$5,Parameter!$E$6+Parameter!$E$7)-(AJ194-AF194))/AF194)))</f>
        <v>1</v>
      </c>
      <c r="AL194" s="57" t="n">
        <f aca="false">IF(LEFT(Cockpit!$I$5,1)="A",G194,IF(BW194=1,BX194,IF(LEFT(Cockpit!$I$5,1)="B",AP194,MAX(AP194,G194))))</f>
        <v>225</v>
      </c>
      <c r="AM194" s="57" t="n">
        <f aca="false">IF(BR194=1,0,ROUNDUP(AL194/BQ194,0))</f>
        <v>3</v>
      </c>
      <c r="AN194" s="59" t="n">
        <f aca="false">IF(CD194&gt;0,CD194*MAX(1,AL194/V194),IF(BR194=1,IF(AL194&lt;=0,0,BS194*MAX(1,IF(G194&gt;0,AL194/G194,1))),IF(Q194&gt;0,AM194/Q194,0))/MAX(0.1,N(Parameter!$M$21)))</f>
        <v>0.0227272727272727</v>
      </c>
      <c r="AO194" s="57" t="n">
        <f aca="false">AL194*F194</f>
        <v>2353.5</v>
      </c>
      <c r="AP194" s="57" t="n">
        <f aca="false">ROUNDUP(MAX(I194/IF(BV194&gt;0,BV194,MAX(0.1,N(Cockpit!$I$6))),BY194)/BQ194,0)*BQ194</f>
        <v>225</v>
      </c>
      <c r="AQ194" s="58" t="n">
        <f aca="false">IF(AN194&gt;0,I194/AN194,-1)</f>
        <v>6732</v>
      </c>
      <c r="AR194" s="58" t="n">
        <f aca="false">IF(AND(OR(BU194="L1",BU194="L23"),AN194&gt;0),SUMIFS($AN$7:$AN$1576,$BU$7:$BU$1576,BU194,$AQ$7:$AQ$1576,"&gt;"&amp;AQ194)+SUMIFS($AN$7:$AN$1576,$BU$7:$BU$1576,BU194,$AQ$7:$AQ$1576,AQ194,$BO$7:$BO$1576,"&lt;="&amp;BO194),"")</f>
        <v>9.0290226681531</v>
      </c>
      <c r="AS194" s="65" t="n">
        <f aca="false">IF(AR194="",0,MAX(0,MIN(1,(IF(BU194="L1",Parameter!$E$5,Parameter!$E$6+Parameter!$E$7)-(AR194-AN194))/AN194)))</f>
        <v>1</v>
      </c>
      <c r="AT194" s="57" t="n">
        <f aca="false">IF(LEFT(Cockpit!$O$5,1)="A",G194,IF(BW194=1,BX194,IF(LEFT(Cockpit!$O$5,1)="B",AX194,MAX(AX194,G194))))</f>
        <v>225</v>
      </c>
      <c r="AU194" s="57" t="n">
        <f aca="false">IF(BR194=1,0,ROUNDUP(AT194/BQ194,0))</f>
        <v>3</v>
      </c>
      <c r="AV194" s="59" t="n">
        <f aca="false">IF(CD194&gt;0,CD194*MAX(1,AT194/V194),IF(BR194=1,IF(AT194&lt;=0,0,BS194*MAX(1,IF(G194&gt;0,AT194/G194,1))),IF(Q194&gt;0,AU194/Q194,0))/MAX(0.1,N(Parameter!$M$21)))</f>
        <v>0.0227272727272727</v>
      </c>
      <c r="AW194" s="57" t="n">
        <f aca="false">AT194*F194</f>
        <v>2353.5</v>
      </c>
      <c r="AX194" s="57" t="n">
        <f aca="false">ROUNDUP(MAX(I194/IF(BV194&gt;0,BV194,MAX(0.1,N(Cockpit!$O$6))),BY194)/BQ194,0)*BQ194</f>
        <v>225</v>
      </c>
      <c r="AY194" s="58" t="n">
        <f aca="false">IF(AV194&gt;0,I194/AV194,-1)</f>
        <v>6732</v>
      </c>
      <c r="AZ194" s="58" t="n">
        <f aca="false">IF(AND(OR(BU194="L1",BU194="L23"),AV194&gt;0),SUMIFS($AV$7:$AV$1576,$BU$7:$BU$1576,BU194,$AY$7:$AY$1576,"&gt;"&amp;AY194)+SUMIFS($AV$7:$AV$1576,$BU$7:$BU$1576,BU194,$AY$7:$AY$1576,AY194,$BO$7:$BO$1576,"&lt;="&amp;BO194),"")</f>
        <v>9.04475693388737</v>
      </c>
      <c r="BA194" s="65" t="n">
        <f aca="false">IF(AZ194="",0,MAX(0,MIN(1,(IF(BU194="L1",Parameter!$E$5,Parameter!$E$6+Parameter!$E$7)-(AZ194-AV194))/AV194)))</f>
        <v>1</v>
      </c>
      <c r="BB194" s="55" t="str">
        <f aca="false">IF(AF194&lt;=0,"",IF(BU194="Aussen","Aussenlager",IF(BU194="-","Nicht im Lift",IF(AK194&gt;=1,"Lift",IF(AK194&lt;=0,"Aussenlager","teilweise")))))</f>
        <v>Lift</v>
      </c>
      <c r="BC194" s="55" t="str">
        <f aca="false">IF(AN194&lt;=0,"",IF(BU194="Aussen","Aussenlager",IF(BU194="-","Nicht im Lift",IF(AS194&gt;=1,"Lift",IF(AS194&lt;=0,"Aussenlager","teilweise")))))</f>
        <v>Lift</v>
      </c>
      <c r="BD194" s="55" t="str">
        <f aca="false">IF(AV194&lt;=0,"",IF(BU194="Aussen","Aussenlager",IF(BU194="-","Nicht im Lift",IF(BA194&gt;=1,"Lift",IF(BA194&lt;=0,"Aussenlager","teilweise")))))</f>
        <v>Lift</v>
      </c>
      <c r="BE194" s="55" t="str">
        <f aca="false">IF(A194="","",IF(BN194=1,"Neu; ","")&amp;IF(AND(BN194=0,BI194&lt;0),"negativer Bestand (Export "&amp;BI194&amp;"); ","")&amp;IF(I194&lt;=0,"Kein Verbrauch; ","")&amp;IF(CD194&gt;0,"Lift "&amp;U194&amp;" lt. Liftbericht (Fach "&amp;V194&amp;" Stk); ",IF(BR194=1,"Lose – Fläche geschätzt; ",""))&amp;IF(G194&gt;AP194,"Überbestand "&amp;ROUND(G194-AP194,0)&amp;" Stk / CHF "&amp;ROUND((G194-AP194)*F194,0)&amp;"; ","")&amp;IF(AND(BW194=1,BX194&lt;BY194),"MAX &lt; MB+LG; ","")&amp;IF(AND(CC194&gt;0,CB194*10&gt;CC194),"zu hoch für Tablar; ","")&amp;IF(AND(BN194=0,OR(BW194=1,Y194&lt;&gt;"",S194&lt;&gt;"",T194&lt;&gt;"",Z194&lt;&gt;"")),"manuell übersteuert; ","")&amp;IF(AND(BR194=0,Q194=0),"Gebinde unbekannt / Stellmass fehlt; ","")&amp;IF(AND(BR194=0,N(T194)&lt;=0,N(P194)&lt;=0),"Menge pro Gebinde fehlt (Ist = 1 Gebinde); ","")&amp;BM194)</f>
        <v/>
      </c>
      <c r="BF194" s="55"/>
      <c r="BG194" s="55"/>
      <c r="BH194" s="62"/>
      <c r="BI194" s="57" t="n">
        <v>86</v>
      </c>
      <c r="BJ194" s="57" t="n">
        <v>44</v>
      </c>
      <c r="BK194" s="56" t="n">
        <v>842.36</v>
      </c>
      <c r="BL194" s="57" t="n">
        <v>153</v>
      </c>
      <c r="BM194" s="55"/>
      <c r="BN194" s="60" t="n">
        <v>0</v>
      </c>
      <c r="BO194" s="60" t="n">
        <v>194</v>
      </c>
      <c r="BP194" s="55" t="str">
        <f aca="false">IF(S194&lt;&gt;"",UPPER(TRIM(S194)),IF(O194="","LOSE",O194))</f>
        <v>S32</v>
      </c>
      <c r="BQ194" s="57" t="n">
        <f aca="false">IF(BP194="LOSE",1,IF(N(T194)&gt;0,T194,IF(N(P194)&gt;0,P194,MAX(1,G194))))</f>
        <v>75</v>
      </c>
      <c r="BR194" s="60" t="n">
        <f aca="false">IF(BP194="LOSE",1,0)</f>
        <v>0</v>
      </c>
      <c r="BS194" s="59" t="n">
        <f aca="false">IF(BR194=0,0,IF(N(R194)&gt;0,R194,IFERROR(VLOOKUP(D194,Parameter!$A$35:$C$64,3,0)+0,0)))</f>
        <v>0</v>
      </c>
      <c r="BT194" s="55" t="n">
        <f aca="false">IF(Y194&lt;&gt;"",Y194,X194)</f>
        <v>3</v>
      </c>
      <c r="BU194" s="55" t="str">
        <f aca="false">IF(BT194=1,"L1",IF(OR(BT194=2,BT194=3),"L23",IF(BT194="Aussen","Aussen","-")))</f>
        <v>L23</v>
      </c>
      <c r="BV194" s="66" t="n">
        <f aca="false">IF(N(Z194)&gt;0,Z194,0)</f>
        <v>0</v>
      </c>
      <c r="BW194" s="60" t="n">
        <f aca="false">IF(ISNUMBER(AC194),1,0)</f>
        <v>0</v>
      </c>
      <c r="BX194" s="57" t="n">
        <f aca="false">N(AC194)</f>
        <v>0</v>
      </c>
      <c r="BY194" s="57" t="n">
        <f aca="false">N(L194)+N(M194)</f>
        <v>158</v>
      </c>
      <c r="BZ194" s="57" t="n">
        <f aca="false">ROUNDUP(G194/BQ194,0)</f>
        <v>2</v>
      </c>
      <c r="CA194" s="57" t="n">
        <f aca="false">ROUNDUP(BX194/BQ194,0)</f>
        <v>0</v>
      </c>
      <c r="CB194" s="60" t="n">
        <f aca="false">IF(BR194=1,0,IFERROR(VLOOKUP(BP194,'Gebinde-Kategorie'!$A$5:$M$45,5,0)+0,0))</f>
        <v>8</v>
      </c>
      <c r="CC194" s="60" t="n">
        <f aca="false">IFERROR(IF(OR(BT194=1,BT194=2,BT194=3),N(INDEX(Parameter!$I$5:$I$7,BT194)),0),0)</f>
        <v>0</v>
      </c>
      <c r="CD194" s="59" t="n">
        <f aca="false">IF(AND(Parameter!$B$21="Ja",ISNUMBER(U194),N(V194)&gt;0),IFERROR(N(INDEX(Parameter!$L$5:$L$7,U194))*INDEX(Parameter!$E$5:$E$7,U194)*V194/SUMIFS($V$7:$V$1576,$U$7:$U$1576,U194),0),0)</f>
        <v>0</v>
      </c>
    </row>
    <row r="195" customFormat="false" ht="15" hidden="false" customHeight="false" outlineLevel="0" collapsed="false">
      <c r="A195" s="55" t="s">
        <v>581</v>
      </c>
      <c r="B195" s="55" t="s">
        <v>478</v>
      </c>
      <c r="C195" s="55" t="s">
        <v>160</v>
      </c>
      <c r="D195" s="55" t="s">
        <v>178</v>
      </c>
      <c r="E195" s="55" t="s">
        <v>210</v>
      </c>
      <c r="F195" s="56" t="n">
        <v>1.2</v>
      </c>
      <c r="G195" s="57" t="n">
        <f aca="false">MAX(0,IF(AND(Parameter!$B$21="Ja",ISNUMBER(W195)),W195,IF(Parameter!$B$20="Jahresanfang 2025 + Export",BJ195+BI195,BI195)))</f>
        <v>746</v>
      </c>
      <c r="H195" s="57" t="n">
        <f aca="false">G195*F195</f>
        <v>895.2</v>
      </c>
      <c r="I195" s="57" t="n">
        <f aca="false">BL195*Parameter!$B$18</f>
        <v>1270</v>
      </c>
      <c r="J195" s="58" t="n">
        <v>400</v>
      </c>
      <c r="K195" s="59" t="n">
        <v>3.175</v>
      </c>
      <c r="L195" s="57" t="n">
        <v>49</v>
      </c>
      <c r="M195" s="57" t="n">
        <v>1270</v>
      </c>
      <c r="N195" s="60" t="n">
        <v>14</v>
      </c>
      <c r="O195" s="55" t="s">
        <v>465</v>
      </c>
      <c r="P195" s="57" t="n">
        <v>666</v>
      </c>
      <c r="Q195" s="60" t="n">
        <f aca="false">IF(BR195=1,0,IFERROR(VLOOKUP(BP195,'Gebinde-Kategorie'!$A$5:$M$45,13,0)+0,0))</f>
        <v>66</v>
      </c>
      <c r="R195" s="61"/>
      <c r="S195" s="62"/>
      <c r="T195" s="62"/>
      <c r="U195" s="55"/>
      <c r="V195" s="57"/>
      <c r="W195" s="57"/>
      <c r="X195" s="55" t="n">
        <f aca="false">IF(A195="","",IF(AND(Parameter!$B$21="Ja",ISNUMBER(U195)),U195,IF(IFERROR(VLOOKUP(D195,Parameter!$A$35:$C$64,2,0),"Nein")="2+3",IF(ISNUMBER(SEARCH("grosser Artikel",BM195)),2,IFERROR(VLOOKUP(BP195,Parameter!$F$35:$G$64,2,0),2)),IF(OR(IFERROR(VLOOKUP(D195,Parameter!$A$35:$C$64,2,0),"Nein")="Nein",IFERROR(VLOOKUP(D195,Parameter!$A$35:$C$64,2,0),"Nein")=""),"-",VLOOKUP(D195,Parameter!$A$35:$C$64,2,0)))))</f>
        <v>3</v>
      </c>
      <c r="Y195" s="62"/>
      <c r="Z195" s="63"/>
      <c r="AA195" s="57" t="n">
        <f aca="false">AP195</f>
        <v>1332</v>
      </c>
      <c r="AB195" s="57" t="n">
        <f aca="false">MAX(AP195,G195)</f>
        <v>1332</v>
      </c>
      <c r="AC195" s="64"/>
      <c r="AD195" s="57" t="n">
        <f aca="false">IF(LEFT(Cockpit!$C$5,1)="A",G195,IF(BW195=1,BX195,IF(LEFT(Cockpit!$C$5,1)="B",AH195,MAX(AH195,G195))))</f>
        <v>746</v>
      </c>
      <c r="AE195" s="57" t="n">
        <f aca="false">IF(BR195=1,0,ROUNDUP(AD195/BQ195,0))</f>
        <v>2</v>
      </c>
      <c r="AF195" s="59" t="n">
        <f aca="false">IF(CD195&gt;0,CD195*MAX(1,AD195/V195),IF(BR195=1,IF(AD195&lt;=0,0,BS195*MAX(1,IF(G195&gt;0,AD195/G195,1))),IF(Q195&gt;0,AE195/Q195,0))/MAX(0.1,N(Parameter!$M$21)))</f>
        <v>0.0303030303030303</v>
      </c>
      <c r="AG195" s="57" t="n">
        <f aca="false">AD195*F195</f>
        <v>895.2</v>
      </c>
      <c r="AH195" s="57" t="n">
        <f aca="false">ROUNDUP(MAX(I195/IF(BV195&gt;0,BV195,MAX(0.1,N(Cockpit!$C$6))),BY195)/BQ195,0)*BQ195</f>
        <v>1332</v>
      </c>
      <c r="AI195" s="58" t="n">
        <f aca="false">IF(AF195&gt;0,I195/AF195,-1)</f>
        <v>41910</v>
      </c>
      <c r="AJ195" s="58" t="n">
        <f aca="false">IF(AND(OR(BU195="L1",BU195="L23"),AF195&gt;0),SUMIFS($AF$7:$AF$1576,$BU$7:$BU$1576,BU195,$AI$7:$AI$1576,"&gt;"&amp;AI195)+SUMIFS($AF$7:$AF$1576,$BU$7:$BU$1576,BU195,$AI$7:$AI$1576,AI195,$BO$7:$BO$1576,"&lt;="&amp;BO195),"")</f>
        <v>1.16306881524273</v>
      </c>
      <c r="AK195" s="65" t="n">
        <f aca="false">IF(AJ195="",0,MAX(0,MIN(1,(IF(BU195="L1",Parameter!$E$5,Parameter!$E$6+Parameter!$E$7)-(AJ195-AF195))/AF195)))</f>
        <v>1</v>
      </c>
      <c r="AL195" s="57" t="n">
        <f aca="false">IF(LEFT(Cockpit!$I$5,1)="A",G195,IF(BW195=1,BX195,IF(LEFT(Cockpit!$I$5,1)="B",AP195,MAX(AP195,G195))))</f>
        <v>1332</v>
      </c>
      <c r="AM195" s="57" t="n">
        <f aca="false">IF(BR195=1,0,ROUNDUP(AL195/BQ195,0))</f>
        <v>2</v>
      </c>
      <c r="AN195" s="59" t="n">
        <f aca="false">IF(CD195&gt;0,CD195*MAX(1,AL195/V195),IF(BR195=1,IF(AL195&lt;=0,0,BS195*MAX(1,IF(G195&gt;0,AL195/G195,1))),IF(Q195&gt;0,AM195/Q195,0))/MAX(0.1,N(Parameter!$M$21)))</f>
        <v>0.0303030303030303</v>
      </c>
      <c r="AO195" s="57" t="n">
        <f aca="false">AL195*F195</f>
        <v>1598.4</v>
      </c>
      <c r="AP195" s="57" t="n">
        <f aca="false">ROUNDUP(MAX(I195/IF(BV195&gt;0,BV195,MAX(0.1,N(Cockpit!$I$6))),BY195)/BQ195,0)*BQ195</f>
        <v>1332</v>
      </c>
      <c r="AQ195" s="58" t="n">
        <f aca="false">IF(AN195&gt;0,I195/AN195,-1)</f>
        <v>41910</v>
      </c>
      <c r="AR195" s="58" t="n">
        <f aca="false">IF(AND(OR(BU195="L1",BU195="L23"),AN195&gt;0),SUMIFS($AN$7:$AN$1576,$BU$7:$BU$1576,BU195,$AQ$7:$AQ$1576,"&gt;"&amp;AQ195)+SUMIFS($AN$7:$AN$1576,$BU$7:$BU$1576,BU195,$AQ$7:$AQ$1576,AQ195,$BO$7:$BO$1576,"&lt;="&amp;BO195),"")</f>
        <v>1.79218033174555</v>
      </c>
      <c r="AS195" s="65" t="n">
        <f aca="false">IF(AR195="",0,MAX(0,MIN(1,(IF(BU195="L1",Parameter!$E$5,Parameter!$E$6+Parameter!$E$7)-(AR195-AN195))/AN195)))</f>
        <v>1</v>
      </c>
      <c r="AT195" s="57" t="n">
        <f aca="false">IF(LEFT(Cockpit!$O$5,1)="A",G195,IF(BW195=1,BX195,IF(LEFT(Cockpit!$O$5,1)="B",AX195,MAX(AX195,G195))))</f>
        <v>1332</v>
      </c>
      <c r="AU195" s="57" t="n">
        <f aca="false">IF(BR195=1,0,ROUNDUP(AT195/BQ195,0))</f>
        <v>2</v>
      </c>
      <c r="AV195" s="59" t="n">
        <f aca="false">IF(CD195&gt;0,CD195*MAX(1,AT195/V195),IF(BR195=1,IF(AT195&lt;=0,0,BS195*MAX(1,IF(G195&gt;0,AT195/G195,1))),IF(Q195&gt;0,AU195/Q195,0))/MAX(0.1,N(Parameter!$M$21)))</f>
        <v>0.0303030303030303</v>
      </c>
      <c r="AW195" s="57" t="n">
        <f aca="false">AT195*F195</f>
        <v>1598.4</v>
      </c>
      <c r="AX195" s="57" t="n">
        <f aca="false">ROUNDUP(MAX(I195/IF(BV195&gt;0,BV195,MAX(0.1,N(Cockpit!$O$6))),BY195)/BQ195,0)*BQ195</f>
        <v>1332</v>
      </c>
      <c r="AY195" s="58" t="n">
        <f aca="false">IF(AV195&gt;0,I195/AV195,-1)</f>
        <v>41910</v>
      </c>
      <c r="AZ195" s="58" t="n">
        <f aca="false">IF(AND(OR(BU195="L1",BU195="L23"),AV195&gt;0),SUMIFS($AV$7:$AV$1576,$BU$7:$BU$1576,BU195,$AY$7:$AY$1576,"&gt;"&amp;AY195)+SUMIFS($AV$7:$AV$1576,$BU$7:$BU$1576,BU195,$AY$7:$AY$1576,AY195,$BO$7:$BO$1576,"&lt;="&amp;BO195),"")</f>
        <v>2.12901016857539</v>
      </c>
      <c r="BA195" s="65" t="n">
        <f aca="false">IF(AZ195="",0,MAX(0,MIN(1,(IF(BU195="L1",Parameter!$E$5,Parameter!$E$6+Parameter!$E$7)-(AZ195-AV195))/AV195)))</f>
        <v>1</v>
      </c>
      <c r="BB195" s="55" t="str">
        <f aca="false">IF(AF195&lt;=0,"",IF(BU195="Aussen","Aussenlager",IF(BU195="-","Nicht im Lift",IF(AK195&gt;=1,"Lift",IF(AK195&lt;=0,"Aussenlager","teilweise")))))</f>
        <v>Lift</v>
      </c>
      <c r="BC195" s="55" t="str">
        <f aca="false">IF(AN195&lt;=0,"",IF(BU195="Aussen","Aussenlager",IF(BU195="-","Nicht im Lift",IF(AS195&gt;=1,"Lift",IF(AS195&lt;=0,"Aussenlager","teilweise")))))</f>
        <v>Lift</v>
      </c>
      <c r="BD195" s="55" t="str">
        <f aca="false">IF(AV195&lt;=0,"",IF(BU195="Aussen","Aussenlager",IF(BU195="-","Nicht im Lift",IF(BA195&gt;=1,"Lift",IF(BA195&lt;=0,"Aussenlager","teilweise")))))</f>
        <v>Lift</v>
      </c>
      <c r="BE195" s="55" t="str">
        <f aca="false">IF(A195="","",IF(BN195=1,"Neu; ","")&amp;IF(AND(BN195=0,BI195&lt;0),"negativer Bestand (Export "&amp;BI195&amp;"); ","")&amp;IF(I195&lt;=0,"Kein Verbrauch; ","")&amp;IF(CD195&gt;0,"Lift "&amp;U195&amp;" lt. Liftbericht (Fach "&amp;V195&amp;" Stk); ",IF(BR195=1,"Lose – Fläche geschätzt; ",""))&amp;IF(G195&gt;AP195,"Überbestand "&amp;ROUND(G195-AP195,0)&amp;" Stk / CHF "&amp;ROUND((G195-AP195)*F195,0)&amp;"; ","")&amp;IF(AND(BW195=1,BX195&lt;BY195),"MAX &lt; MB+LG; ","")&amp;IF(AND(CC195&gt;0,CB195*10&gt;CC195),"zu hoch für Tablar; ","")&amp;IF(AND(BN195=0,OR(BW195=1,Y195&lt;&gt;"",S195&lt;&gt;"",T195&lt;&gt;"",Z195&lt;&gt;"")),"manuell übersteuert; ","")&amp;IF(AND(BR195=0,Q195=0),"Gebinde unbekannt / Stellmass fehlt; ","")&amp;IF(AND(BR195=0,N(T195)&lt;=0,N(P195)&lt;=0),"Menge pro Gebinde fehlt (Ist = 1 Gebinde); ","")&amp;BM195)</f>
        <v/>
      </c>
      <c r="BF195" s="55"/>
      <c r="BG195" s="55"/>
      <c r="BH195" s="62"/>
      <c r="BI195" s="57" t="n">
        <v>746</v>
      </c>
      <c r="BJ195" s="57" t="n">
        <v>260</v>
      </c>
      <c r="BK195" s="56" t="n">
        <v>830.199999999999</v>
      </c>
      <c r="BL195" s="57" t="n">
        <v>1270</v>
      </c>
      <c r="BM195" s="55"/>
      <c r="BN195" s="60" t="n">
        <v>0</v>
      </c>
      <c r="BO195" s="60" t="n">
        <v>195</v>
      </c>
      <c r="BP195" s="55" t="str">
        <f aca="false">IF(S195&lt;&gt;"",UPPER(TRIM(S195)),IF(O195="","LOSE",O195))</f>
        <v>S33</v>
      </c>
      <c r="BQ195" s="57" t="n">
        <f aca="false">IF(BP195="LOSE",1,IF(N(T195)&gt;0,T195,IF(N(P195)&gt;0,P195,MAX(1,G195))))</f>
        <v>666</v>
      </c>
      <c r="BR195" s="60" t="n">
        <f aca="false">IF(BP195="LOSE",1,0)</f>
        <v>0</v>
      </c>
      <c r="BS195" s="59" t="n">
        <f aca="false">IF(BR195=0,0,IF(N(R195)&gt;0,R195,IFERROR(VLOOKUP(D195,Parameter!$A$35:$C$64,3,0)+0,0)))</f>
        <v>0</v>
      </c>
      <c r="BT195" s="55" t="n">
        <f aca="false">IF(Y195&lt;&gt;"",Y195,X195)</f>
        <v>3</v>
      </c>
      <c r="BU195" s="55" t="str">
        <f aca="false">IF(BT195=1,"L1",IF(OR(BT195=2,BT195=3),"L23",IF(BT195="Aussen","Aussen","-")))</f>
        <v>L23</v>
      </c>
      <c r="BV195" s="66" t="n">
        <f aca="false">IF(N(Z195)&gt;0,Z195,0)</f>
        <v>0</v>
      </c>
      <c r="BW195" s="60" t="n">
        <f aca="false">IF(ISNUMBER(AC195),1,0)</f>
        <v>0</v>
      </c>
      <c r="BX195" s="57" t="n">
        <f aca="false">N(AC195)</f>
        <v>0</v>
      </c>
      <c r="BY195" s="57" t="n">
        <f aca="false">N(L195)+N(M195)</f>
        <v>1319</v>
      </c>
      <c r="BZ195" s="57" t="n">
        <f aca="false">ROUNDUP(G195/BQ195,0)</f>
        <v>2</v>
      </c>
      <c r="CA195" s="57" t="n">
        <f aca="false">ROUNDUP(BX195/BQ195,0)</f>
        <v>0</v>
      </c>
      <c r="CB195" s="60" t="n">
        <f aca="false">IF(BR195=1,0,IFERROR(VLOOKUP(BP195,'Gebinde-Kategorie'!$A$5:$M$45,5,0)+0,0))</f>
        <v>8</v>
      </c>
      <c r="CC195" s="60" t="n">
        <f aca="false">IFERROR(IF(OR(BT195=1,BT195=2,BT195=3),N(INDEX(Parameter!$I$5:$I$7,BT195)),0),0)</f>
        <v>0</v>
      </c>
      <c r="CD195" s="59" t="n">
        <f aca="false">IF(AND(Parameter!$B$21="Ja",ISNUMBER(U195),N(V195)&gt;0),IFERROR(N(INDEX(Parameter!$L$5:$L$7,U195))*INDEX(Parameter!$E$5:$E$7,U195)*V195/SUMIFS($V$7:$V$1576,$U$7:$U$1576,U195),0),0)</f>
        <v>0</v>
      </c>
    </row>
    <row r="196" customFormat="false" ht="15" hidden="false" customHeight="false" outlineLevel="0" collapsed="false">
      <c r="A196" s="55" t="s">
        <v>582</v>
      </c>
      <c r="B196" s="55" t="s">
        <v>583</v>
      </c>
      <c r="C196" s="55" t="s">
        <v>160</v>
      </c>
      <c r="D196" s="55" t="s">
        <v>178</v>
      </c>
      <c r="E196" s="55" t="s">
        <v>210</v>
      </c>
      <c r="F196" s="56" t="n">
        <v>34.52</v>
      </c>
      <c r="G196" s="57" t="n">
        <f aca="false">MAX(0,IF(AND(Parameter!$B$21="Ja",ISNUMBER(W196)),W196,IF(Parameter!$B$20="Jahresanfang 2025 + Export",BJ196+BI196,BI196)))</f>
        <v>24</v>
      </c>
      <c r="H196" s="57" t="n">
        <f aca="false">G196*F196</f>
        <v>828.48</v>
      </c>
      <c r="I196" s="57" t="n">
        <f aca="false">BL196*Parameter!$B$18</f>
        <v>0</v>
      </c>
      <c r="J196" s="58" t="n">
        <v>0</v>
      </c>
      <c r="K196" s="59" t="n">
        <v>0</v>
      </c>
      <c r="L196" s="57" t="n">
        <v>0</v>
      </c>
      <c r="M196" s="57" t="n">
        <v>1</v>
      </c>
      <c r="N196" s="60" t="n">
        <v>9999</v>
      </c>
      <c r="O196" s="55" t="s">
        <v>163</v>
      </c>
      <c r="P196" s="57"/>
      <c r="Q196" s="60" t="n">
        <f aca="false">IF(BR196=1,0,IFERROR(VLOOKUP(BP196,'Gebinde-Kategorie'!$A$5:$M$45,13,0)+0,0))</f>
        <v>0</v>
      </c>
      <c r="R196" s="61"/>
      <c r="S196" s="62"/>
      <c r="T196" s="62"/>
      <c r="U196" s="55"/>
      <c r="V196" s="57"/>
      <c r="W196" s="57"/>
      <c r="X196" s="55" t="n">
        <f aca="false">IF(A196="","",IF(AND(Parameter!$B$21="Ja",ISNUMBER(U196)),U196,IF(IFERROR(VLOOKUP(D196,Parameter!$A$35:$C$64,2,0),"Nein")="2+3",IF(ISNUMBER(SEARCH("grosser Artikel",BM196)),2,IFERROR(VLOOKUP(BP196,Parameter!$F$35:$G$64,2,0),2)),IF(OR(IFERROR(VLOOKUP(D196,Parameter!$A$35:$C$64,2,0),"Nein")="Nein",IFERROR(VLOOKUP(D196,Parameter!$A$35:$C$64,2,0),"Nein")=""),"-",VLOOKUP(D196,Parameter!$A$35:$C$64,2,0)))))</f>
        <v>2</v>
      </c>
      <c r="Y196" s="62"/>
      <c r="Z196" s="63"/>
      <c r="AA196" s="57" t="n">
        <f aca="false">AP196</f>
        <v>1</v>
      </c>
      <c r="AB196" s="57" t="n">
        <f aca="false">MAX(AP196,G196)</f>
        <v>24</v>
      </c>
      <c r="AC196" s="64"/>
      <c r="AD196" s="57" t="n">
        <f aca="false">IF(LEFT(Cockpit!$C$5,1)="A",G196,IF(BW196=1,BX196,IF(LEFT(Cockpit!$C$5,1)="B",AH196,MAX(AH196,G196))))</f>
        <v>24</v>
      </c>
      <c r="AE196" s="57" t="n">
        <f aca="false">IF(BR196=1,0,ROUNDUP(AD196/BQ196,0))</f>
        <v>0</v>
      </c>
      <c r="AF196" s="59" t="n">
        <f aca="false">IF(CD196&gt;0,CD196*MAX(1,AD196/V196),IF(BR196=1,IF(AD196&lt;=0,0,BS196*MAX(1,IF(G196&gt;0,AD196/G196,1))),IF(Q196&gt;0,AE196/Q196,0))/MAX(0.1,N(Parameter!$M$21)))</f>
        <v>0.03</v>
      </c>
      <c r="AG196" s="57" t="n">
        <f aca="false">AD196*F196</f>
        <v>828.48</v>
      </c>
      <c r="AH196" s="57" t="n">
        <f aca="false">ROUNDUP(MAX(I196/IF(BV196&gt;0,BV196,MAX(0.1,N(Cockpit!$C$6))),BY196)/BQ196,0)*BQ196</f>
        <v>1</v>
      </c>
      <c r="AI196" s="58" t="n">
        <f aca="false">IF(AF196&gt;0,I196/AF196,-1)</f>
        <v>0</v>
      </c>
      <c r="AJ196" s="58" t="n">
        <f aca="false">IF(AND(OR(BU196="L1",BU196="L23"),AF196&gt;0),SUMIFS($AF$7:$AF$1576,$BU$7:$BU$1576,BU196,$AI$7:$AI$1576,"&gt;"&amp;AI196)+SUMIFS($AF$7:$AF$1576,$BU$7:$BU$1576,BU196,$AI$7:$AI$1576,AI196,$BO$7:$BO$1576,"&lt;="&amp;BO196),"")</f>
        <v>39.3569406438972</v>
      </c>
      <c r="AK196" s="65" t="n">
        <f aca="false">IF(AJ196="",0,MAX(0,MIN(1,(IF(BU196="L1",Parameter!$E$5,Parameter!$E$6+Parameter!$E$7)-(AJ196-AF196))/AF196)))</f>
        <v>1</v>
      </c>
      <c r="AL196" s="57" t="n">
        <f aca="false">IF(LEFT(Cockpit!$I$5,1)="A",G196,IF(BW196=1,BX196,IF(LEFT(Cockpit!$I$5,1)="B",AP196,MAX(AP196,G196))))</f>
        <v>24</v>
      </c>
      <c r="AM196" s="57" t="n">
        <f aca="false">IF(BR196=1,0,ROUNDUP(AL196/BQ196,0))</f>
        <v>0</v>
      </c>
      <c r="AN196" s="59" t="n">
        <f aca="false">IF(CD196&gt;0,CD196*MAX(1,AL196/V196),IF(BR196=1,IF(AL196&lt;=0,0,BS196*MAX(1,IF(G196&gt;0,AL196/G196,1))),IF(Q196&gt;0,AM196/Q196,0))/MAX(0.1,N(Parameter!$M$21)))</f>
        <v>0.03</v>
      </c>
      <c r="AO196" s="57" t="n">
        <f aca="false">AL196*F196</f>
        <v>828.48</v>
      </c>
      <c r="AP196" s="57" t="n">
        <f aca="false">ROUNDUP(MAX(I196/IF(BV196&gt;0,BV196,MAX(0.1,N(Cockpit!$I$6))),BY196)/BQ196,0)*BQ196</f>
        <v>1</v>
      </c>
      <c r="AQ196" s="58" t="n">
        <f aca="false">IF(AN196&gt;0,I196/AN196,-1)</f>
        <v>0</v>
      </c>
      <c r="AR196" s="58" t="n">
        <f aca="false">IF(AND(OR(BU196="L1",BU196="L23"),AN196&gt;0),SUMIFS($AN$7:$AN$1576,$BU$7:$BU$1576,BU196,$AQ$7:$AQ$1576,"&gt;"&amp;AQ196)+SUMIFS($AN$7:$AN$1576,$BU$7:$BU$1576,BU196,$AQ$7:$AQ$1576,AQ196,$BO$7:$BO$1576,"&lt;="&amp;BO196),"")</f>
        <v>122.231146393687</v>
      </c>
      <c r="AS196" s="65" t="n">
        <f aca="false">IF(AR196="",0,MAX(0,MIN(1,(IF(BU196="L1",Parameter!$E$5,Parameter!$E$6+Parameter!$E$7)-(AR196-AN196))/AN196)))</f>
        <v>0</v>
      </c>
      <c r="AT196" s="57" t="n">
        <f aca="false">IF(LEFT(Cockpit!$O$5,1)="A",G196,IF(BW196=1,BX196,IF(LEFT(Cockpit!$O$5,1)="B",AX196,MAX(AX196,G196))))</f>
        <v>24</v>
      </c>
      <c r="AU196" s="57" t="n">
        <f aca="false">IF(BR196=1,0,ROUNDUP(AT196/BQ196,0))</f>
        <v>0</v>
      </c>
      <c r="AV196" s="59" t="n">
        <f aca="false">IF(CD196&gt;0,CD196*MAX(1,AT196/V196),IF(BR196=1,IF(AT196&lt;=0,0,BS196*MAX(1,IF(G196&gt;0,AT196/G196,1))),IF(Q196&gt;0,AU196/Q196,0))/MAX(0.1,N(Parameter!$M$21)))</f>
        <v>0.03</v>
      </c>
      <c r="AW196" s="57" t="n">
        <f aca="false">AT196*F196</f>
        <v>828.48</v>
      </c>
      <c r="AX196" s="57" t="n">
        <f aca="false">ROUNDUP(MAX(I196/IF(BV196&gt;0,BV196,MAX(0.1,N(Cockpit!$O$6))),BY196)/BQ196,0)*BQ196</f>
        <v>1</v>
      </c>
      <c r="AY196" s="58" t="n">
        <f aca="false">IF(AV196&gt;0,I196/AV196,-1)</f>
        <v>0</v>
      </c>
      <c r="AZ196" s="58" t="n">
        <f aca="false">IF(AND(OR(BU196="L1",BU196="L23"),AV196&gt;0),SUMIFS($AV$7:$AV$1576,$BU$7:$BU$1576,BU196,$AY$7:$AY$1576,"&gt;"&amp;AY196)+SUMIFS($AV$7:$AV$1576,$BU$7:$BU$1576,BU196,$AY$7:$AY$1576,AY196,$BO$7:$BO$1576,"&lt;="&amp;BO196),"")</f>
        <v>112.290696843237</v>
      </c>
      <c r="BA196" s="65" t="n">
        <f aca="false">IF(AZ196="",0,MAX(0,MIN(1,(IF(BU196="L1",Parameter!$E$5,Parameter!$E$6+Parameter!$E$7)-(AZ196-AV196))/AV196)))</f>
        <v>0</v>
      </c>
      <c r="BB196" s="55" t="str">
        <f aca="false">IF(AF196&lt;=0,"",IF(BU196="Aussen","Aussenlager",IF(BU196="-","Nicht im Lift",IF(AK196&gt;=1,"Lift",IF(AK196&lt;=0,"Aussenlager","teilweise")))))</f>
        <v>Lift</v>
      </c>
      <c r="BC196" s="55" t="str">
        <f aca="false">IF(AN196&lt;=0,"",IF(BU196="Aussen","Aussenlager",IF(BU196="-","Nicht im Lift",IF(AS196&gt;=1,"Lift",IF(AS196&lt;=0,"Aussenlager","teilweise")))))</f>
        <v>Aussenlager</v>
      </c>
      <c r="BD196" s="55" t="str">
        <f aca="false">IF(AV196&lt;=0,"",IF(BU196="Aussen","Aussenlager",IF(BU196="-","Nicht im Lift",IF(BA196&gt;=1,"Lift",IF(BA196&lt;=0,"Aussenlager","teilweise")))))</f>
        <v>Aussenlager</v>
      </c>
      <c r="BE196" s="55" t="str">
        <f aca="false">IF(A196="","",IF(BN196=1,"Neu; ","")&amp;IF(AND(BN196=0,BI196&lt;0),"negativer Bestand (Export "&amp;BI196&amp;"); ","")&amp;IF(I196&lt;=0,"Kein Verbrauch; ","")&amp;IF(CD196&gt;0,"Lift "&amp;U196&amp;" lt. Liftbericht (Fach "&amp;V196&amp;" Stk); ",IF(BR196=1,"Lose – Fläche geschätzt; ",""))&amp;IF(G196&gt;AP196,"Überbestand "&amp;ROUND(G196-AP196,0)&amp;" Stk / CHF "&amp;ROUND((G196-AP196)*F196,0)&amp;"; ","")&amp;IF(AND(BW196=1,BX196&lt;BY196),"MAX &lt; MB+LG; ","")&amp;IF(AND(CC196&gt;0,CB196*10&gt;CC196),"zu hoch für Tablar; ","")&amp;IF(AND(BN196=0,OR(BW196=1,Y196&lt;&gt;"",S196&lt;&gt;"",T196&lt;&gt;"",Z196&lt;&gt;"")),"manuell übersteuert; ","")&amp;IF(AND(BR196=0,Q196=0),"Gebinde unbekannt / Stellmass fehlt; ","")&amp;IF(AND(BR196=0,N(T196)&lt;=0,N(P196)&lt;=0),"Menge pro Gebinde fehlt (Ist = 1 Gebinde); ","")&amp;BM196)</f>
        <v>Kein Verbrauch; Lose – Fläche geschätzt; Überbestand 23 Stk / CHF 794; </v>
      </c>
      <c r="BF196" s="55"/>
      <c r="BG196" s="55"/>
      <c r="BH196" s="62"/>
      <c r="BI196" s="57" t="n">
        <v>24</v>
      </c>
      <c r="BJ196" s="57" t="n">
        <v>0</v>
      </c>
      <c r="BK196" s="56" t="n">
        <v>828.48</v>
      </c>
      <c r="BL196" s="57" t="n">
        <v>0</v>
      </c>
      <c r="BM196" s="55"/>
      <c r="BN196" s="60" t="n">
        <v>0</v>
      </c>
      <c r="BO196" s="60" t="n">
        <v>196</v>
      </c>
      <c r="BP196" s="55" t="str">
        <f aca="false">IF(S196&lt;&gt;"",UPPER(TRIM(S196)),IF(O196="","LOSE",O196))</f>
        <v>LOSE</v>
      </c>
      <c r="BQ196" s="57" t="n">
        <f aca="false">IF(BP196="LOSE",1,IF(N(T196)&gt;0,T196,IF(N(P196)&gt;0,P196,MAX(1,G196))))</f>
        <v>1</v>
      </c>
      <c r="BR196" s="60" t="n">
        <f aca="false">IF(BP196="LOSE",1,0)</f>
        <v>1</v>
      </c>
      <c r="BS196" s="59" t="n">
        <f aca="false">IF(BR196=0,0,IF(N(R196)&gt;0,R196,IFERROR(VLOOKUP(D196,Parameter!$A$35:$C$64,3,0)+0,0)))</f>
        <v>0.03</v>
      </c>
      <c r="BT196" s="55" t="n">
        <f aca="false">IF(Y196&lt;&gt;"",Y196,X196)</f>
        <v>2</v>
      </c>
      <c r="BU196" s="55" t="str">
        <f aca="false">IF(BT196=1,"L1",IF(OR(BT196=2,BT196=3),"L23",IF(BT196="Aussen","Aussen","-")))</f>
        <v>L23</v>
      </c>
      <c r="BV196" s="66" t="n">
        <f aca="false">IF(N(Z196)&gt;0,Z196,0)</f>
        <v>0</v>
      </c>
      <c r="BW196" s="60" t="n">
        <f aca="false">IF(ISNUMBER(AC196),1,0)</f>
        <v>0</v>
      </c>
      <c r="BX196" s="57" t="n">
        <f aca="false">N(AC196)</f>
        <v>0</v>
      </c>
      <c r="BY196" s="57" t="n">
        <f aca="false">N(L196)+N(M196)</f>
        <v>1</v>
      </c>
      <c r="BZ196" s="57" t="n">
        <f aca="false">ROUNDUP(G196/BQ196,0)</f>
        <v>24</v>
      </c>
      <c r="CA196" s="57" t="n">
        <f aca="false">ROUNDUP(BX196/BQ196,0)</f>
        <v>0</v>
      </c>
      <c r="CB196" s="60" t="n">
        <f aca="false">IF(BR196=1,0,IFERROR(VLOOKUP(BP196,'Gebinde-Kategorie'!$A$5:$M$45,5,0)+0,0))</f>
        <v>0</v>
      </c>
      <c r="CC196" s="60" t="n">
        <f aca="false">IFERROR(IF(OR(BT196=1,BT196=2,BT196=3),N(INDEX(Parameter!$I$5:$I$7,BT196)),0),0)</f>
        <v>0</v>
      </c>
      <c r="CD196" s="59" t="n">
        <f aca="false">IF(AND(Parameter!$B$21="Ja",ISNUMBER(U196),N(V196)&gt;0),IFERROR(N(INDEX(Parameter!$L$5:$L$7,U196))*INDEX(Parameter!$E$5:$E$7,U196)*V196/SUMIFS($V$7:$V$1576,$U$7:$U$1576,U196),0),0)</f>
        <v>0</v>
      </c>
    </row>
    <row r="197" customFormat="false" ht="15" hidden="false" customHeight="false" outlineLevel="0" collapsed="false">
      <c r="A197" s="55" t="s">
        <v>584</v>
      </c>
      <c r="B197" s="55" t="s">
        <v>585</v>
      </c>
      <c r="C197" s="55" t="s">
        <v>160</v>
      </c>
      <c r="D197" s="55" t="s">
        <v>178</v>
      </c>
      <c r="E197" s="55" t="s">
        <v>210</v>
      </c>
      <c r="F197" s="56" t="n">
        <v>25.14</v>
      </c>
      <c r="G197" s="57" t="n">
        <f aca="false">MAX(0,IF(AND(Parameter!$B$21="Ja",ISNUMBER(W197)),W197,IF(Parameter!$B$20="Jahresanfang 2025 + Export",BJ197+BI197,BI197)))</f>
        <v>52</v>
      </c>
      <c r="H197" s="57" t="n">
        <f aca="false">G197*F197</f>
        <v>1307.28</v>
      </c>
      <c r="I197" s="57" t="n">
        <f aca="false">BL197*Parameter!$B$18</f>
        <v>112</v>
      </c>
      <c r="J197" s="58" t="n">
        <v>123</v>
      </c>
      <c r="K197" s="59" t="n">
        <v>0.910569105691057</v>
      </c>
      <c r="L197" s="57" t="n">
        <v>26</v>
      </c>
      <c r="M197" s="57" t="n">
        <v>110</v>
      </c>
      <c r="N197" s="60" t="n">
        <v>84</v>
      </c>
      <c r="O197" s="55" t="s">
        <v>319</v>
      </c>
      <c r="P197" s="57" t="n">
        <v>19</v>
      </c>
      <c r="Q197" s="60" t="n">
        <f aca="false">IF(BR197=1,0,IFERROR(VLOOKUP(BP197,'Gebinde-Kategorie'!$A$5:$M$45,13,0)+0,0))</f>
        <v>52</v>
      </c>
      <c r="R197" s="61"/>
      <c r="S197" s="62"/>
      <c r="T197" s="62"/>
      <c r="U197" s="55"/>
      <c r="V197" s="57"/>
      <c r="W197" s="57"/>
      <c r="X197" s="55" t="n">
        <f aca="false">IF(A197="","",IF(AND(Parameter!$B$21="Ja",ISNUMBER(U197)),U197,IF(IFERROR(VLOOKUP(D197,Parameter!$A$35:$C$64,2,0),"Nein")="2+3",IF(ISNUMBER(SEARCH("grosser Artikel",BM197)),2,IFERROR(VLOOKUP(BP197,Parameter!$F$35:$G$64,2,0),2)),IF(OR(IFERROR(VLOOKUP(D197,Parameter!$A$35:$C$64,2,0),"Nein")="Nein",IFERROR(VLOOKUP(D197,Parameter!$A$35:$C$64,2,0),"Nein")=""),"-",VLOOKUP(D197,Parameter!$A$35:$C$64,2,0)))))</f>
        <v>3</v>
      </c>
      <c r="Y197" s="62"/>
      <c r="Z197" s="63"/>
      <c r="AA197" s="57" t="n">
        <f aca="false">AP197</f>
        <v>152</v>
      </c>
      <c r="AB197" s="57" t="n">
        <f aca="false">MAX(AP197,G197)</f>
        <v>152</v>
      </c>
      <c r="AC197" s="64"/>
      <c r="AD197" s="57" t="n">
        <f aca="false">IF(LEFT(Cockpit!$C$5,1)="A",G197,IF(BW197=1,BX197,IF(LEFT(Cockpit!$C$5,1)="B",AH197,MAX(AH197,G197))))</f>
        <v>52</v>
      </c>
      <c r="AE197" s="57" t="n">
        <f aca="false">IF(BR197=1,0,ROUNDUP(AD197/BQ197,0))</f>
        <v>3</v>
      </c>
      <c r="AF197" s="59" t="n">
        <f aca="false">IF(CD197&gt;0,CD197*MAX(1,AD197/V197),IF(BR197=1,IF(AD197&lt;=0,0,BS197*MAX(1,IF(G197&gt;0,AD197/G197,1))),IF(Q197&gt;0,AE197/Q197,0))/MAX(0.1,N(Parameter!$M$21)))</f>
        <v>0.0576923076923077</v>
      </c>
      <c r="AG197" s="57" t="n">
        <f aca="false">AD197*F197</f>
        <v>1307.28</v>
      </c>
      <c r="AH197" s="57" t="n">
        <f aca="false">ROUNDUP(MAX(I197/IF(BV197&gt;0,BV197,MAX(0.1,N(Cockpit!$C$6))),BY197)/BQ197,0)*BQ197</f>
        <v>152</v>
      </c>
      <c r="AI197" s="58" t="n">
        <f aca="false">IF(AF197&gt;0,I197/AF197,-1)</f>
        <v>1941.33333333333</v>
      </c>
      <c r="AJ197" s="58" t="n">
        <f aca="false">IF(AND(OR(BU197="L1",BU197="L23"),AF197&gt;0),SUMIFS($AF$7:$AF$1576,$BU$7:$BU$1576,BU197,$AI$7:$AI$1576,"&gt;"&amp;AI197)+SUMIFS($AF$7:$AF$1576,$BU$7:$BU$1576,BU197,$AI$7:$AI$1576,AI197,$BO$7:$BO$1576,"&lt;="&amp;BO197),"")</f>
        <v>6.70247086247086</v>
      </c>
      <c r="AK197" s="65" t="n">
        <f aca="false">IF(AJ197="",0,MAX(0,MIN(1,(IF(BU197="L1",Parameter!$E$5,Parameter!$E$6+Parameter!$E$7)-(AJ197-AF197))/AF197)))</f>
        <v>1</v>
      </c>
      <c r="AL197" s="57" t="n">
        <f aca="false">IF(LEFT(Cockpit!$I$5,1)="A",G197,IF(BW197=1,BX197,IF(LEFT(Cockpit!$I$5,1)="B",AP197,MAX(AP197,G197))))</f>
        <v>152</v>
      </c>
      <c r="AM197" s="57" t="n">
        <f aca="false">IF(BR197=1,0,ROUNDUP(AL197/BQ197,0))</f>
        <v>8</v>
      </c>
      <c r="AN197" s="59" t="n">
        <f aca="false">IF(CD197&gt;0,CD197*MAX(1,AL197/V197),IF(BR197=1,IF(AL197&lt;=0,0,BS197*MAX(1,IF(G197&gt;0,AL197/G197,1))),IF(Q197&gt;0,AM197/Q197,0))/MAX(0.1,N(Parameter!$M$21)))</f>
        <v>0.153846153846154</v>
      </c>
      <c r="AO197" s="57" t="n">
        <f aca="false">AL197*F197</f>
        <v>3821.28</v>
      </c>
      <c r="AP197" s="57" t="n">
        <f aca="false">ROUNDUP(MAX(I197/IF(BV197&gt;0,BV197,MAX(0.1,N(Cockpit!$I$6))),BY197)/BQ197,0)*BQ197</f>
        <v>152</v>
      </c>
      <c r="AQ197" s="58" t="n">
        <f aca="false">IF(AN197&gt;0,I197/AN197,-1)</f>
        <v>728</v>
      </c>
      <c r="AR197" s="58" t="n">
        <f aca="false">IF(AND(OR(BU197="L1",BU197="L23"),AN197&gt;0),SUMIFS($AN$7:$AN$1576,$BU$7:$BU$1576,BU197,$AQ$7:$AQ$1576,"&gt;"&amp;AQ197)+SUMIFS($AN$7:$AN$1576,$BU$7:$BU$1576,BU197,$AQ$7:$AQ$1576,AQ197,$BO$7:$BO$1576,"&lt;="&amp;BO197),"")</f>
        <v>27.350199957385</v>
      </c>
      <c r="AS197" s="65" t="n">
        <f aca="false">IF(AR197="",0,MAX(0,MIN(1,(IF(BU197="L1",Parameter!$E$5,Parameter!$E$6+Parameter!$E$7)-(AR197-AN197))/AN197)))</f>
        <v>1</v>
      </c>
      <c r="AT197" s="57" t="n">
        <f aca="false">IF(LEFT(Cockpit!$O$5,1)="A",G197,IF(BW197=1,BX197,IF(LEFT(Cockpit!$O$5,1)="B",AX197,MAX(AX197,G197))))</f>
        <v>152</v>
      </c>
      <c r="AU197" s="57" t="n">
        <f aca="false">IF(BR197=1,0,ROUNDUP(AT197/BQ197,0))</f>
        <v>8</v>
      </c>
      <c r="AV197" s="59" t="n">
        <f aca="false">IF(CD197&gt;0,CD197*MAX(1,AT197/V197),IF(BR197=1,IF(AT197&lt;=0,0,BS197*MAX(1,IF(G197&gt;0,AT197/G197,1))),IF(Q197&gt;0,AU197/Q197,0))/MAX(0.1,N(Parameter!$M$21)))</f>
        <v>0.153846153846154</v>
      </c>
      <c r="AW197" s="57" t="n">
        <f aca="false">AT197*F197</f>
        <v>3821.28</v>
      </c>
      <c r="AX197" s="57" t="n">
        <f aca="false">ROUNDUP(MAX(I197/IF(BV197&gt;0,BV197,MAX(0.1,N(Cockpit!$O$6))),BY197)/BQ197,0)*BQ197</f>
        <v>152</v>
      </c>
      <c r="AY197" s="58" t="n">
        <f aca="false">IF(AV197&gt;0,I197/AV197,-1)</f>
        <v>728</v>
      </c>
      <c r="AZ197" s="58" t="n">
        <f aca="false">IF(AND(OR(BU197="L1",BU197="L23"),AV197&gt;0),SUMIFS($AV$7:$AV$1576,$BU$7:$BU$1576,BU197,$AY$7:$AY$1576,"&gt;"&amp;AY197)+SUMIFS($AV$7:$AV$1576,$BU$7:$BU$1576,BU197,$AY$7:$AY$1576,AY197,$BO$7:$BO$1576,"&lt;="&amp;BO197),"")</f>
        <v>27.7505496077347</v>
      </c>
      <c r="BA197" s="65" t="n">
        <f aca="false">IF(AZ197="",0,MAX(0,MIN(1,(IF(BU197="L1",Parameter!$E$5,Parameter!$E$6+Parameter!$E$7)-(AZ197-AV197))/AV197)))</f>
        <v>1</v>
      </c>
      <c r="BB197" s="55" t="str">
        <f aca="false">IF(AF197&lt;=0,"",IF(BU197="Aussen","Aussenlager",IF(BU197="-","Nicht im Lift",IF(AK197&gt;=1,"Lift",IF(AK197&lt;=0,"Aussenlager","teilweise")))))</f>
        <v>Lift</v>
      </c>
      <c r="BC197" s="55" t="str">
        <f aca="false">IF(AN197&lt;=0,"",IF(BU197="Aussen","Aussenlager",IF(BU197="-","Nicht im Lift",IF(AS197&gt;=1,"Lift",IF(AS197&lt;=0,"Aussenlager","teilweise")))))</f>
        <v>Lift</v>
      </c>
      <c r="BD197" s="55" t="str">
        <f aca="false">IF(AV197&lt;=0,"",IF(BU197="Aussen","Aussenlager",IF(BU197="-","Nicht im Lift",IF(BA197&gt;=1,"Lift",IF(BA197&lt;=0,"Aussenlager","teilweise")))))</f>
        <v>Lift</v>
      </c>
      <c r="BE197" s="55" t="str">
        <f aca="false">IF(A197="","",IF(BN197=1,"Neu; ","")&amp;IF(AND(BN197=0,BI197&lt;0),"negativer Bestand (Export "&amp;BI197&amp;"); ","")&amp;IF(I197&lt;=0,"Kein Verbrauch; ","")&amp;IF(CD197&gt;0,"Lift "&amp;U197&amp;" lt. Liftbericht (Fach "&amp;V197&amp;" Stk); ",IF(BR197=1,"Lose – Fläche geschätzt; ",""))&amp;IF(G197&gt;AP197,"Überbestand "&amp;ROUND(G197-AP197,0)&amp;" Stk / CHF "&amp;ROUND((G197-AP197)*F197,0)&amp;"; ","")&amp;IF(AND(BW197=1,BX197&lt;BY197),"MAX &lt; MB+LG; ","")&amp;IF(AND(CC197&gt;0,CB197*10&gt;CC197),"zu hoch für Tablar; ","")&amp;IF(AND(BN197=0,OR(BW197=1,Y197&lt;&gt;"",S197&lt;&gt;"",T197&lt;&gt;"",Z197&lt;&gt;"")),"manuell übersteuert; ","")&amp;IF(AND(BR197=0,Q197=0),"Gebinde unbekannt / Stellmass fehlt; ","")&amp;IF(AND(BR197=0,N(T197)&lt;=0,N(P197)&lt;=0),"Menge pro Gebinde fehlt (Ist = 1 Gebinde); ","")&amp;BM197)</f>
        <v/>
      </c>
      <c r="BF197" s="55"/>
      <c r="BG197" s="55"/>
      <c r="BH197" s="62"/>
      <c r="BI197" s="57" t="n">
        <v>52</v>
      </c>
      <c r="BJ197" s="57" t="n">
        <v>60</v>
      </c>
      <c r="BK197" s="56" t="n">
        <v>819.519999999994</v>
      </c>
      <c r="BL197" s="57" t="n">
        <v>112</v>
      </c>
      <c r="BM197" s="55"/>
      <c r="BN197" s="60" t="n">
        <v>0</v>
      </c>
      <c r="BO197" s="60" t="n">
        <v>197</v>
      </c>
      <c r="BP197" s="55" t="str">
        <f aca="false">IF(S197&lt;&gt;"",UPPER(TRIM(S197)),IF(O197="","LOSE",O197))</f>
        <v>S41</v>
      </c>
      <c r="BQ197" s="57" t="n">
        <f aca="false">IF(BP197="LOSE",1,IF(N(T197)&gt;0,T197,IF(N(P197)&gt;0,P197,MAX(1,G197))))</f>
        <v>19</v>
      </c>
      <c r="BR197" s="60" t="n">
        <f aca="false">IF(BP197="LOSE",1,0)</f>
        <v>0</v>
      </c>
      <c r="BS197" s="59" t="n">
        <f aca="false">IF(BR197=0,0,IF(N(R197)&gt;0,R197,IFERROR(VLOOKUP(D197,Parameter!$A$35:$C$64,3,0)+0,0)))</f>
        <v>0</v>
      </c>
      <c r="BT197" s="55" t="n">
        <f aca="false">IF(Y197&lt;&gt;"",Y197,X197)</f>
        <v>3</v>
      </c>
      <c r="BU197" s="55" t="str">
        <f aca="false">IF(BT197=1,"L1",IF(OR(BT197=2,BT197=3),"L23",IF(BT197="Aussen","Aussen","-")))</f>
        <v>L23</v>
      </c>
      <c r="BV197" s="66" t="n">
        <f aca="false">IF(N(Z197)&gt;0,Z197,0)</f>
        <v>0</v>
      </c>
      <c r="BW197" s="60" t="n">
        <f aca="false">IF(ISNUMBER(AC197),1,0)</f>
        <v>0</v>
      </c>
      <c r="BX197" s="57" t="n">
        <f aca="false">N(AC197)</f>
        <v>0</v>
      </c>
      <c r="BY197" s="57" t="n">
        <f aca="false">N(L197)+N(M197)</f>
        <v>136</v>
      </c>
      <c r="BZ197" s="57" t="n">
        <f aca="false">ROUNDUP(G197/BQ197,0)</f>
        <v>3</v>
      </c>
      <c r="CA197" s="57" t="n">
        <f aca="false">ROUNDUP(BX197/BQ197,0)</f>
        <v>0</v>
      </c>
      <c r="CB197" s="60" t="n">
        <f aca="false">IF(BR197=1,0,IFERROR(VLOOKUP(BP197,'Gebinde-Kategorie'!$A$5:$M$45,5,0)+0,0))</f>
        <v>11</v>
      </c>
      <c r="CC197" s="60" t="n">
        <f aca="false">IFERROR(IF(OR(BT197=1,BT197=2,BT197=3),N(INDEX(Parameter!$I$5:$I$7,BT197)),0),0)</f>
        <v>0</v>
      </c>
      <c r="CD197" s="59" t="n">
        <f aca="false">IF(AND(Parameter!$B$21="Ja",ISNUMBER(U197),N(V197)&gt;0),IFERROR(N(INDEX(Parameter!$L$5:$L$7,U197))*INDEX(Parameter!$E$5:$E$7,U197)*V197/SUMIFS($V$7:$V$1576,$U$7:$U$1576,U197),0),0)</f>
        <v>0</v>
      </c>
    </row>
    <row r="198" customFormat="false" ht="15" hidden="false" customHeight="false" outlineLevel="0" collapsed="false">
      <c r="A198" s="55" t="s">
        <v>586</v>
      </c>
      <c r="B198" s="55" t="s">
        <v>587</v>
      </c>
      <c r="C198" s="55" t="s">
        <v>160</v>
      </c>
      <c r="D198" s="55" t="s">
        <v>178</v>
      </c>
      <c r="E198" s="55" t="s">
        <v>210</v>
      </c>
      <c r="F198" s="56" t="n">
        <v>6.37</v>
      </c>
      <c r="G198" s="57" t="n">
        <f aca="false">MAX(0,IF(AND(Parameter!$B$21="Ja",ISNUMBER(W198)),W198,IF(Parameter!$B$20="Jahresanfang 2025 + Export",BJ198+BI198,BI198)))</f>
        <v>131</v>
      </c>
      <c r="H198" s="57" t="n">
        <f aca="false">G198*F198</f>
        <v>834.47</v>
      </c>
      <c r="I198" s="57" t="n">
        <f aca="false">BL198*Parameter!$B$18</f>
        <v>869</v>
      </c>
      <c r="J198" s="58" t="n">
        <v>225.5</v>
      </c>
      <c r="K198" s="59" t="n">
        <v>3.85365853658537</v>
      </c>
      <c r="L198" s="57" t="n">
        <v>25</v>
      </c>
      <c r="M198" s="57" t="n">
        <v>585</v>
      </c>
      <c r="N198" s="60" t="n">
        <v>10</v>
      </c>
      <c r="O198" s="55" t="s">
        <v>293</v>
      </c>
      <c r="P198" s="57" t="n">
        <v>895</v>
      </c>
      <c r="Q198" s="60" t="n">
        <f aca="false">IF(BR198=1,0,IFERROR(VLOOKUP(BP198,'Gebinde-Kategorie'!$A$5:$M$45,13,0)+0,0))</f>
        <v>26</v>
      </c>
      <c r="R198" s="61"/>
      <c r="S198" s="62"/>
      <c r="T198" s="62"/>
      <c r="U198" s="55"/>
      <c r="V198" s="57"/>
      <c r="W198" s="57"/>
      <c r="X198" s="55" t="n">
        <f aca="false">IF(A198="","",IF(AND(Parameter!$B$21="Ja",ISNUMBER(U198)),U198,IF(IFERROR(VLOOKUP(D198,Parameter!$A$35:$C$64,2,0),"Nein")="2+3",IF(ISNUMBER(SEARCH("grosser Artikel",BM198)),2,IFERROR(VLOOKUP(BP198,Parameter!$F$35:$G$64,2,0),2)),IF(OR(IFERROR(VLOOKUP(D198,Parameter!$A$35:$C$64,2,0),"Nein")="Nein",IFERROR(VLOOKUP(D198,Parameter!$A$35:$C$64,2,0),"Nein")=""),"-",VLOOKUP(D198,Parameter!$A$35:$C$64,2,0)))))</f>
        <v>3</v>
      </c>
      <c r="Y198" s="62"/>
      <c r="Z198" s="63"/>
      <c r="AA198" s="57" t="n">
        <f aca="false">AP198</f>
        <v>895</v>
      </c>
      <c r="AB198" s="57" t="n">
        <f aca="false">MAX(AP198,G198)</f>
        <v>895</v>
      </c>
      <c r="AC198" s="64"/>
      <c r="AD198" s="57" t="n">
        <f aca="false">IF(LEFT(Cockpit!$C$5,1)="A",G198,IF(BW198=1,BX198,IF(LEFT(Cockpit!$C$5,1)="B",AH198,MAX(AH198,G198))))</f>
        <v>131</v>
      </c>
      <c r="AE198" s="57" t="n">
        <f aca="false">IF(BR198=1,0,ROUNDUP(AD198/BQ198,0))</f>
        <v>1</v>
      </c>
      <c r="AF198" s="59" t="n">
        <f aca="false">IF(CD198&gt;0,CD198*MAX(1,AD198/V198),IF(BR198=1,IF(AD198&lt;=0,0,BS198*MAX(1,IF(G198&gt;0,AD198/G198,1))),IF(Q198&gt;0,AE198/Q198,0))/MAX(0.1,N(Parameter!$M$21)))</f>
        <v>0.0384615384615385</v>
      </c>
      <c r="AG198" s="57" t="n">
        <f aca="false">AD198*F198</f>
        <v>834.47</v>
      </c>
      <c r="AH198" s="57" t="n">
        <f aca="false">ROUNDUP(MAX(I198/IF(BV198&gt;0,BV198,MAX(0.1,N(Cockpit!$C$6))),BY198)/BQ198,0)*BQ198</f>
        <v>895</v>
      </c>
      <c r="AI198" s="58" t="n">
        <f aca="false">IF(AF198&gt;0,I198/AF198,-1)</f>
        <v>22594</v>
      </c>
      <c r="AJ198" s="58" t="n">
        <f aca="false">IF(AND(OR(BU198="L1",BU198="L23"),AF198&gt;0),SUMIFS($AF$7:$AF$1576,$BU$7:$BU$1576,BU198,$AI$7:$AI$1576,"&gt;"&amp;AI198)+SUMIFS($AF$7:$AF$1576,$BU$7:$BU$1576,BU198,$AI$7:$AI$1576,AI198,$BO$7:$BO$1576,"&lt;="&amp;BO198),"")</f>
        <v>1.71663119489206</v>
      </c>
      <c r="AK198" s="65" t="n">
        <f aca="false">IF(AJ198="",0,MAX(0,MIN(1,(IF(BU198="L1",Parameter!$E$5,Parameter!$E$6+Parameter!$E$7)-(AJ198-AF198))/AF198)))</f>
        <v>1</v>
      </c>
      <c r="AL198" s="57" t="n">
        <f aca="false">IF(LEFT(Cockpit!$I$5,1)="A",G198,IF(BW198=1,BX198,IF(LEFT(Cockpit!$I$5,1)="B",AP198,MAX(AP198,G198))))</f>
        <v>895</v>
      </c>
      <c r="AM198" s="57" t="n">
        <f aca="false">IF(BR198=1,0,ROUNDUP(AL198/BQ198,0))</f>
        <v>1</v>
      </c>
      <c r="AN198" s="59" t="n">
        <f aca="false">IF(CD198&gt;0,CD198*MAX(1,AL198/V198),IF(BR198=1,IF(AL198&lt;=0,0,BS198*MAX(1,IF(G198&gt;0,AL198/G198,1))),IF(Q198&gt;0,AM198/Q198,0))/MAX(0.1,N(Parameter!$M$21)))</f>
        <v>0.0384615384615385</v>
      </c>
      <c r="AO198" s="57" t="n">
        <f aca="false">AL198*F198</f>
        <v>5701.15</v>
      </c>
      <c r="AP198" s="57" t="n">
        <f aca="false">ROUNDUP(MAX(I198/IF(BV198&gt;0,BV198,MAX(0.1,N(Cockpit!$I$6))),BY198)/BQ198,0)*BQ198</f>
        <v>895</v>
      </c>
      <c r="AQ198" s="58" t="n">
        <f aca="false">IF(AN198&gt;0,I198/AN198,-1)</f>
        <v>22594</v>
      </c>
      <c r="AR198" s="58" t="n">
        <f aca="false">IF(AND(OR(BU198="L1",BU198="L23"),AN198&gt;0),SUMIFS($AN$7:$AN$1576,$BU$7:$BU$1576,BU198,$AQ$7:$AQ$1576,"&gt;"&amp;AQ198)+SUMIFS($AN$7:$AN$1576,$BU$7:$BU$1576,BU198,$AQ$7:$AQ$1576,AQ198,$BO$7:$BO$1576,"&lt;="&amp;BO198),"")</f>
        <v>3.55569203743117</v>
      </c>
      <c r="AS198" s="65" t="n">
        <f aca="false">IF(AR198="",0,MAX(0,MIN(1,(IF(BU198="L1",Parameter!$E$5,Parameter!$E$6+Parameter!$E$7)-(AR198-AN198))/AN198)))</f>
        <v>1</v>
      </c>
      <c r="AT198" s="57" t="n">
        <f aca="false">IF(LEFT(Cockpit!$O$5,1)="A",G198,IF(BW198=1,BX198,IF(LEFT(Cockpit!$O$5,1)="B",AX198,MAX(AX198,G198))))</f>
        <v>895</v>
      </c>
      <c r="AU198" s="57" t="n">
        <f aca="false">IF(BR198=1,0,ROUNDUP(AT198/BQ198,0))</f>
        <v>1</v>
      </c>
      <c r="AV198" s="59" t="n">
        <f aca="false">IF(CD198&gt;0,CD198*MAX(1,AT198/V198),IF(BR198=1,IF(AT198&lt;=0,0,BS198*MAX(1,IF(G198&gt;0,AT198/G198,1))),IF(Q198&gt;0,AU198/Q198,0))/MAX(0.1,N(Parameter!$M$21)))</f>
        <v>0.0384615384615385</v>
      </c>
      <c r="AW198" s="57" t="n">
        <f aca="false">AT198*F198</f>
        <v>5701.15</v>
      </c>
      <c r="AX198" s="57" t="n">
        <f aca="false">ROUNDUP(MAX(I198/IF(BV198&gt;0,BV198,MAX(0.1,N(Cockpit!$O$6))),BY198)/BQ198,0)*BQ198</f>
        <v>895</v>
      </c>
      <c r="AY198" s="58" t="n">
        <f aca="false">IF(AV198&gt;0,I198/AV198,-1)</f>
        <v>22594</v>
      </c>
      <c r="AZ198" s="58" t="n">
        <f aca="false">IF(AND(OR(BU198="L1",BU198="L23"),AV198&gt;0),SUMIFS($AV$7:$AV$1576,$BU$7:$BU$1576,BU198,$AY$7:$AY$1576,"&gt;"&amp;AY198)+SUMIFS($AV$7:$AV$1576,$BU$7:$BU$1576,BU198,$AY$7:$AY$1576,AY198,$BO$7:$BO$1576,"&lt;="&amp;BO198),"")</f>
        <v>3.91350089524003</v>
      </c>
      <c r="BA198" s="65" t="n">
        <f aca="false">IF(AZ198="",0,MAX(0,MIN(1,(IF(BU198="L1",Parameter!$E$5,Parameter!$E$6+Parameter!$E$7)-(AZ198-AV198))/AV198)))</f>
        <v>1</v>
      </c>
      <c r="BB198" s="55" t="str">
        <f aca="false">IF(AF198&lt;=0,"",IF(BU198="Aussen","Aussenlager",IF(BU198="-","Nicht im Lift",IF(AK198&gt;=1,"Lift",IF(AK198&lt;=0,"Aussenlager","teilweise")))))</f>
        <v>Lift</v>
      </c>
      <c r="BC198" s="55" t="str">
        <f aca="false">IF(AN198&lt;=0,"",IF(BU198="Aussen","Aussenlager",IF(BU198="-","Nicht im Lift",IF(AS198&gt;=1,"Lift",IF(AS198&lt;=0,"Aussenlager","teilweise")))))</f>
        <v>Lift</v>
      </c>
      <c r="BD198" s="55" t="str">
        <f aca="false">IF(AV198&lt;=0,"",IF(BU198="Aussen","Aussenlager",IF(BU198="-","Nicht im Lift",IF(BA198&gt;=1,"Lift",IF(BA198&lt;=0,"Aussenlager","teilweise")))))</f>
        <v>Lift</v>
      </c>
      <c r="BE198" s="55" t="str">
        <f aca="false">IF(A198="","",IF(BN198=1,"Neu; ","")&amp;IF(AND(BN198=0,BI198&lt;0),"negativer Bestand (Export "&amp;BI198&amp;"); ","")&amp;IF(I198&lt;=0,"Kein Verbrauch; ","")&amp;IF(CD198&gt;0,"Lift "&amp;U198&amp;" lt. Liftbericht (Fach "&amp;V198&amp;" Stk); ",IF(BR198=1,"Lose – Fläche geschätzt; ",""))&amp;IF(G198&gt;AP198,"Überbestand "&amp;ROUND(G198-AP198,0)&amp;" Stk / CHF "&amp;ROUND((G198-AP198)*F198,0)&amp;"; ","")&amp;IF(AND(BW198=1,BX198&lt;BY198),"MAX &lt; MB+LG; ","")&amp;IF(AND(CC198&gt;0,CB198*10&gt;CC198),"zu hoch für Tablar; ","")&amp;IF(AND(BN198=0,OR(BW198=1,Y198&lt;&gt;"",S198&lt;&gt;"",T198&lt;&gt;"",Z198&lt;&gt;"")),"manuell übersteuert; ","")&amp;IF(AND(BR198=0,Q198=0),"Gebinde unbekannt / Stellmass fehlt; ","")&amp;IF(AND(BR198=0,N(T198)&lt;=0,N(P198)&lt;=0),"Menge pro Gebinde fehlt (Ist = 1 Gebinde); ","")&amp;BM198)</f>
        <v/>
      </c>
      <c r="BF198" s="55"/>
      <c r="BG198" s="55"/>
      <c r="BH198" s="62"/>
      <c r="BI198" s="57" t="n">
        <v>131</v>
      </c>
      <c r="BJ198" s="57" t="n">
        <v>210</v>
      </c>
      <c r="BK198" s="56" t="n">
        <v>818.950000000001</v>
      </c>
      <c r="BL198" s="57" t="n">
        <v>869</v>
      </c>
      <c r="BM198" s="55"/>
      <c r="BN198" s="60" t="n">
        <v>0</v>
      </c>
      <c r="BO198" s="60" t="n">
        <v>198</v>
      </c>
      <c r="BP198" s="55" t="str">
        <f aca="false">IF(S198&lt;&gt;"",UPPER(TRIM(S198)),IF(O198="","LOSE",O198))</f>
        <v>S51</v>
      </c>
      <c r="BQ198" s="57" t="n">
        <f aca="false">IF(BP198="LOSE",1,IF(N(T198)&gt;0,T198,IF(N(P198)&gt;0,P198,MAX(1,G198))))</f>
        <v>895</v>
      </c>
      <c r="BR198" s="60" t="n">
        <f aca="false">IF(BP198="LOSE",1,0)</f>
        <v>0</v>
      </c>
      <c r="BS198" s="59" t="n">
        <f aca="false">IF(BR198=0,0,IF(N(R198)&gt;0,R198,IFERROR(VLOOKUP(D198,Parameter!$A$35:$C$64,3,0)+0,0)))</f>
        <v>0</v>
      </c>
      <c r="BT198" s="55" t="n">
        <f aca="false">IF(Y198&lt;&gt;"",Y198,X198)</f>
        <v>3</v>
      </c>
      <c r="BU198" s="55" t="str">
        <f aca="false">IF(BT198=1,"L1",IF(OR(BT198=2,BT198=3),"L23",IF(BT198="Aussen","Aussen","-")))</f>
        <v>L23</v>
      </c>
      <c r="BV198" s="66" t="n">
        <f aca="false">IF(N(Z198)&gt;0,Z198,0)</f>
        <v>0</v>
      </c>
      <c r="BW198" s="60" t="n">
        <f aca="false">IF(ISNUMBER(AC198),1,0)</f>
        <v>0</v>
      </c>
      <c r="BX198" s="57" t="n">
        <f aca="false">N(AC198)</f>
        <v>0</v>
      </c>
      <c r="BY198" s="57" t="n">
        <f aca="false">N(L198)+N(M198)</f>
        <v>610</v>
      </c>
      <c r="BZ198" s="57" t="n">
        <f aca="false">ROUNDUP(G198/BQ198,0)</f>
        <v>1</v>
      </c>
      <c r="CA198" s="57" t="n">
        <f aca="false">ROUNDUP(BX198/BQ198,0)</f>
        <v>0</v>
      </c>
      <c r="CB198" s="60" t="n">
        <f aca="false">IF(BR198=1,0,IFERROR(VLOOKUP(BP198,'Gebinde-Kategorie'!$A$5:$M$45,5,0)+0,0))</f>
        <v>11</v>
      </c>
      <c r="CC198" s="60" t="n">
        <f aca="false">IFERROR(IF(OR(BT198=1,BT198=2,BT198=3),N(INDEX(Parameter!$I$5:$I$7,BT198)),0),0)</f>
        <v>0</v>
      </c>
      <c r="CD198" s="59" t="n">
        <f aca="false">IF(AND(Parameter!$B$21="Ja",ISNUMBER(U198),N(V198)&gt;0),IFERROR(N(INDEX(Parameter!$L$5:$L$7,U198))*INDEX(Parameter!$E$5:$E$7,U198)*V198/SUMIFS($V$7:$V$1576,$U$7:$U$1576,U198),0),0)</f>
        <v>0</v>
      </c>
    </row>
    <row r="199" customFormat="false" ht="15" hidden="false" customHeight="false" outlineLevel="0" collapsed="false">
      <c r="A199" s="55" t="s">
        <v>588</v>
      </c>
      <c r="B199" s="55" t="s">
        <v>589</v>
      </c>
      <c r="C199" s="55" t="s">
        <v>160</v>
      </c>
      <c r="D199" s="55" t="s">
        <v>178</v>
      </c>
      <c r="E199" s="55" t="s">
        <v>210</v>
      </c>
      <c r="F199" s="56" t="n">
        <v>15.65</v>
      </c>
      <c r="G199" s="57" t="n">
        <f aca="false">MAX(0,IF(AND(Parameter!$B$21="Ja",ISNUMBER(W199)),W199,IF(Parameter!$B$20="Jahresanfang 2025 + Export",BJ199+BI199,BI199)))</f>
        <v>52</v>
      </c>
      <c r="H199" s="57" t="n">
        <f aca="false">G199*F199</f>
        <v>813.8</v>
      </c>
      <c r="I199" s="57" t="n">
        <f aca="false">BL199*Parameter!$B$18</f>
        <v>54</v>
      </c>
      <c r="J199" s="58" t="n">
        <v>24</v>
      </c>
      <c r="K199" s="59" t="n">
        <v>2.25</v>
      </c>
      <c r="L199" s="57" t="n">
        <v>6</v>
      </c>
      <c r="M199" s="57" t="n">
        <v>55</v>
      </c>
      <c r="N199" s="60" t="n">
        <v>42</v>
      </c>
      <c r="O199" s="55" t="s">
        <v>293</v>
      </c>
      <c r="P199" s="57" t="n">
        <v>62</v>
      </c>
      <c r="Q199" s="60" t="n">
        <f aca="false">IF(BR199=1,0,IFERROR(VLOOKUP(BP199,'Gebinde-Kategorie'!$A$5:$M$45,13,0)+0,0))</f>
        <v>26</v>
      </c>
      <c r="R199" s="61"/>
      <c r="S199" s="62"/>
      <c r="T199" s="62"/>
      <c r="U199" s="55"/>
      <c r="V199" s="57"/>
      <c r="W199" s="57"/>
      <c r="X199" s="55" t="n">
        <f aca="false">IF(A199="","",IF(AND(Parameter!$B$21="Ja",ISNUMBER(U199)),U199,IF(IFERROR(VLOOKUP(D199,Parameter!$A$35:$C$64,2,0),"Nein")="2+3",IF(ISNUMBER(SEARCH("grosser Artikel",BM199)),2,IFERROR(VLOOKUP(BP199,Parameter!$F$35:$G$64,2,0),2)),IF(OR(IFERROR(VLOOKUP(D199,Parameter!$A$35:$C$64,2,0),"Nein")="Nein",IFERROR(VLOOKUP(D199,Parameter!$A$35:$C$64,2,0),"Nein")=""),"-",VLOOKUP(D199,Parameter!$A$35:$C$64,2,0)))))</f>
        <v>3</v>
      </c>
      <c r="Y199" s="62"/>
      <c r="Z199" s="63"/>
      <c r="AA199" s="57" t="n">
        <f aca="false">AP199</f>
        <v>62</v>
      </c>
      <c r="AB199" s="57" t="n">
        <f aca="false">MAX(AP199,G199)</f>
        <v>62</v>
      </c>
      <c r="AC199" s="64"/>
      <c r="AD199" s="57" t="n">
        <f aca="false">IF(LEFT(Cockpit!$C$5,1)="A",G199,IF(BW199=1,BX199,IF(LEFT(Cockpit!$C$5,1)="B",AH199,MAX(AH199,G199))))</f>
        <v>52</v>
      </c>
      <c r="AE199" s="57" t="n">
        <f aca="false">IF(BR199=1,0,ROUNDUP(AD199/BQ199,0))</f>
        <v>1</v>
      </c>
      <c r="AF199" s="59" t="n">
        <f aca="false">IF(CD199&gt;0,CD199*MAX(1,AD199/V199),IF(BR199=1,IF(AD199&lt;=0,0,BS199*MAX(1,IF(G199&gt;0,AD199/G199,1))),IF(Q199&gt;0,AE199/Q199,0))/MAX(0.1,N(Parameter!$M$21)))</f>
        <v>0.0384615384615385</v>
      </c>
      <c r="AG199" s="57" t="n">
        <f aca="false">AD199*F199</f>
        <v>813.8</v>
      </c>
      <c r="AH199" s="57" t="n">
        <f aca="false">ROUNDUP(MAX(I199/IF(BV199&gt;0,BV199,MAX(0.1,N(Cockpit!$C$6))),BY199)/BQ199,0)*BQ199</f>
        <v>62</v>
      </c>
      <c r="AI199" s="58" t="n">
        <f aca="false">IF(AF199&gt;0,I199/AF199,-1)</f>
        <v>1404</v>
      </c>
      <c r="AJ199" s="58" t="n">
        <f aca="false">IF(AND(OR(BU199="L1",BU199="L23"),AF199&gt;0),SUMIFS($AF$7:$AF$1576,$BU$7:$BU$1576,BU199,$AI$7:$AI$1576,"&gt;"&amp;AI199)+SUMIFS($AF$7:$AF$1576,$BU$7:$BU$1576,BU199,$AI$7:$AI$1576,AI199,$BO$7:$BO$1576,"&lt;="&amp;BO199),"")</f>
        <v>7.95107395020439</v>
      </c>
      <c r="AK199" s="65" t="n">
        <f aca="false">IF(AJ199="",0,MAX(0,MIN(1,(IF(BU199="L1",Parameter!$E$5,Parameter!$E$6+Parameter!$E$7)-(AJ199-AF199))/AF199)))</f>
        <v>1</v>
      </c>
      <c r="AL199" s="57" t="n">
        <f aca="false">IF(LEFT(Cockpit!$I$5,1)="A",G199,IF(BW199=1,BX199,IF(LEFT(Cockpit!$I$5,1)="B",AP199,MAX(AP199,G199))))</f>
        <v>62</v>
      </c>
      <c r="AM199" s="57" t="n">
        <f aca="false">IF(BR199=1,0,ROUNDUP(AL199/BQ199,0))</f>
        <v>1</v>
      </c>
      <c r="AN199" s="59" t="n">
        <f aca="false">IF(CD199&gt;0,CD199*MAX(1,AL199/V199),IF(BR199=1,IF(AL199&lt;=0,0,BS199*MAX(1,IF(G199&gt;0,AL199/G199,1))),IF(Q199&gt;0,AM199/Q199,0))/MAX(0.1,N(Parameter!$M$21)))</f>
        <v>0.0384615384615385</v>
      </c>
      <c r="AO199" s="57" t="n">
        <f aca="false">AL199*F199</f>
        <v>970.3</v>
      </c>
      <c r="AP199" s="57" t="n">
        <f aca="false">ROUNDUP(MAX(I199/IF(BV199&gt;0,BV199,MAX(0.1,N(Cockpit!$I$6))),BY199)/BQ199,0)*BQ199</f>
        <v>62</v>
      </c>
      <c r="AQ199" s="58" t="n">
        <f aca="false">IF(AN199&gt;0,I199/AN199,-1)</f>
        <v>1404</v>
      </c>
      <c r="AR199" s="58" t="n">
        <f aca="false">IF(AND(OR(BU199="L1",BU199="L23"),AN199&gt;0),SUMIFS($AN$7:$AN$1576,$BU$7:$BU$1576,BU199,$AQ$7:$AQ$1576,"&gt;"&amp;AQ199)+SUMIFS($AN$7:$AN$1576,$BU$7:$BU$1576,BU199,$AQ$7:$AQ$1576,AQ199,$BO$7:$BO$1576,"&lt;="&amp;BO199),"")</f>
        <v>19.4574240376526</v>
      </c>
      <c r="AS199" s="65" t="n">
        <f aca="false">IF(AR199="",0,MAX(0,MIN(1,(IF(BU199="L1",Parameter!$E$5,Parameter!$E$6+Parameter!$E$7)-(AR199-AN199))/AN199)))</f>
        <v>1</v>
      </c>
      <c r="AT199" s="57" t="n">
        <f aca="false">IF(LEFT(Cockpit!$O$5,1)="A",G199,IF(BW199=1,BX199,IF(LEFT(Cockpit!$O$5,1)="B",AX199,MAX(AX199,G199))))</f>
        <v>62</v>
      </c>
      <c r="AU199" s="57" t="n">
        <f aca="false">IF(BR199=1,0,ROUNDUP(AT199/BQ199,0))</f>
        <v>1</v>
      </c>
      <c r="AV199" s="59" t="n">
        <f aca="false">IF(CD199&gt;0,CD199*MAX(1,AT199/V199),IF(BR199=1,IF(AT199&lt;=0,0,BS199*MAX(1,IF(G199&gt;0,AT199/G199,1))),IF(Q199&gt;0,AU199/Q199,0))/MAX(0.1,N(Parameter!$M$21)))</f>
        <v>0.0384615384615385</v>
      </c>
      <c r="AW199" s="57" t="n">
        <f aca="false">AT199*F199</f>
        <v>970.3</v>
      </c>
      <c r="AX199" s="57" t="n">
        <f aca="false">ROUNDUP(MAX(I199/IF(BV199&gt;0,BV199,MAX(0.1,N(Cockpit!$O$6))),BY199)/BQ199,0)*BQ199</f>
        <v>62</v>
      </c>
      <c r="AY199" s="58" t="n">
        <f aca="false">IF(AV199&gt;0,I199/AV199,-1)</f>
        <v>1404</v>
      </c>
      <c r="AZ199" s="58" t="n">
        <f aca="false">IF(AND(OR(BU199="L1",BU199="L23"),AV199&gt;0),SUMIFS($AV$7:$AV$1576,$BU$7:$BU$1576,BU199,$AY$7:$AY$1576,"&gt;"&amp;AY199)+SUMIFS($AV$7:$AV$1576,$BU$7:$BU$1576,BU199,$AY$7:$AY$1576,AY199,$BO$7:$BO$1576,"&lt;="&amp;BO199),"")</f>
        <v>18.4346967649253</v>
      </c>
      <c r="BA199" s="65" t="n">
        <f aca="false">IF(AZ199="",0,MAX(0,MIN(1,(IF(BU199="L1",Parameter!$E$5,Parameter!$E$6+Parameter!$E$7)-(AZ199-AV199))/AV199)))</f>
        <v>1</v>
      </c>
      <c r="BB199" s="55" t="str">
        <f aca="false">IF(AF199&lt;=0,"",IF(BU199="Aussen","Aussenlager",IF(BU199="-","Nicht im Lift",IF(AK199&gt;=1,"Lift",IF(AK199&lt;=0,"Aussenlager","teilweise")))))</f>
        <v>Lift</v>
      </c>
      <c r="BC199" s="55" t="str">
        <f aca="false">IF(AN199&lt;=0,"",IF(BU199="Aussen","Aussenlager",IF(BU199="-","Nicht im Lift",IF(AS199&gt;=1,"Lift",IF(AS199&lt;=0,"Aussenlager","teilweise")))))</f>
        <v>Lift</v>
      </c>
      <c r="BD199" s="55" t="str">
        <f aca="false">IF(AV199&lt;=0,"",IF(BU199="Aussen","Aussenlager",IF(BU199="-","Nicht im Lift",IF(BA199&gt;=1,"Lift",IF(BA199&lt;=0,"Aussenlager","teilweise")))))</f>
        <v>Lift</v>
      </c>
      <c r="BE199" s="55" t="str">
        <f aca="false">IF(A199="","",IF(BN199=1,"Neu; ","")&amp;IF(AND(BN199=0,BI199&lt;0),"negativer Bestand (Export "&amp;BI199&amp;"); ","")&amp;IF(I199&lt;=0,"Kein Verbrauch; ","")&amp;IF(CD199&gt;0,"Lift "&amp;U199&amp;" lt. Liftbericht (Fach "&amp;V199&amp;" Stk); ",IF(BR199=1,"Lose – Fläche geschätzt; ",""))&amp;IF(G199&gt;AP199,"Überbestand "&amp;ROUND(G199-AP199,0)&amp;" Stk / CHF "&amp;ROUND((G199-AP199)*F199,0)&amp;"; ","")&amp;IF(AND(BW199=1,BX199&lt;BY199),"MAX &lt; MB+LG; ","")&amp;IF(AND(CC199&gt;0,CB199*10&gt;CC199),"zu hoch für Tablar; ","")&amp;IF(AND(BN199=0,OR(BW199=1,Y199&lt;&gt;"",S199&lt;&gt;"",T199&lt;&gt;"",Z199&lt;&gt;"")),"manuell übersteuert; ","")&amp;IF(AND(BR199=0,Q199=0),"Gebinde unbekannt / Stellmass fehlt; ","")&amp;IF(AND(BR199=0,N(T199)&lt;=0,N(P199)&lt;=0),"Menge pro Gebinde fehlt (Ist = 1 Gebinde); ","")&amp;BM199)</f>
        <v/>
      </c>
      <c r="BF199" s="55"/>
      <c r="BG199" s="55"/>
      <c r="BH199" s="62"/>
      <c r="BI199" s="57" t="n">
        <v>52</v>
      </c>
      <c r="BJ199" s="57" t="n">
        <v>26</v>
      </c>
      <c r="BK199" s="56" t="n">
        <v>815.88</v>
      </c>
      <c r="BL199" s="57" t="n">
        <v>54</v>
      </c>
      <c r="BM199" s="55"/>
      <c r="BN199" s="60" t="n">
        <v>0</v>
      </c>
      <c r="BO199" s="60" t="n">
        <v>199</v>
      </c>
      <c r="BP199" s="55" t="str">
        <f aca="false">IF(S199&lt;&gt;"",UPPER(TRIM(S199)),IF(O199="","LOSE",O199))</f>
        <v>S51</v>
      </c>
      <c r="BQ199" s="57" t="n">
        <f aca="false">IF(BP199="LOSE",1,IF(N(T199)&gt;0,T199,IF(N(P199)&gt;0,P199,MAX(1,G199))))</f>
        <v>62</v>
      </c>
      <c r="BR199" s="60" t="n">
        <f aca="false">IF(BP199="LOSE",1,0)</f>
        <v>0</v>
      </c>
      <c r="BS199" s="59" t="n">
        <f aca="false">IF(BR199=0,0,IF(N(R199)&gt;0,R199,IFERROR(VLOOKUP(D199,Parameter!$A$35:$C$64,3,0)+0,0)))</f>
        <v>0</v>
      </c>
      <c r="BT199" s="55" t="n">
        <f aca="false">IF(Y199&lt;&gt;"",Y199,X199)</f>
        <v>3</v>
      </c>
      <c r="BU199" s="55" t="str">
        <f aca="false">IF(BT199=1,"L1",IF(OR(BT199=2,BT199=3),"L23",IF(BT199="Aussen","Aussen","-")))</f>
        <v>L23</v>
      </c>
      <c r="BV199" s="66" t="n">
        <f aca="false">IF(N(Z199)&gt;0,Z199,0)</f>
        <v>0</v>
      </c>
      <c r="BW199" s="60" t="n">
        <f aca="false">IF(ISNUMBER(AC199),1,0)</f>
        <v>0</v>
      </c>
      <c r="BX199" s="57" t="n">
        <f aca="false">N(AC199)</f>
        <v>0</v>
      </c>
      <c r="BY199" s="57" t="n">
        <f aca="false">N(L199)+N(M199)</f>
        <v>61</v>
      </c>
      <c r="BZ199" s="57" t="n">
        <f aca="false">ROUNDUP(G199/BQ199,0)</f>
        <v>1</v>
      </c>
      <c r="CA199" s="57" t="n">
        <f aca="false">ROUNDUP(BX199/BQ199,0)</f>
        <v>0</v>
      </c>
      <c r="CB199" s="60" t="n">
        <f aca="false">IF(BR199=1,0,IFERROR(VLOOKUP(BP199,'Gebinde-Kategorie'!$A$5:$M$45,5,0)+0,0))</f>
        <v>11</v>
      </c>
      <c r="CC199" s="60" t="n">
        <f aca="false">IFERROR(IF(OR(BT199=1,BT199=2,BT199=3),N(INDEX(Parameter!$I$5:$I$7,BT199)),0),0)</f>
        <v>0</v>
      </c>
      <c r="CD199" s="59" t="n">
        <f aca="false">IF(AND(Parameter!$B$21="Ja",ISNUMBER(U199),N(V199)&gt;0),IFERROR(N(INDEX(Parameter!$L$5:$L$7,U199))*INDEX(Parameter!$E$5:$E$7,U199)*V199/SUMIFS($V$7:$V$1576,$U$7:$U$1576,U199),0),0)</f>
        <v>0</v>
      </c>
    </row>
    <row r="200" customFormat="false" ht="15" hidden="false" customHeight="false" outlineLevel="0" collapsed="false">
      <c r="A200" s="55" t="s">
        <v>590</v>
      </c>
      <c r="B200" s="55" t="s">
        <v>591</v>
      </c>
      <c r="C200" s="55" t="s">
        <v>160</v>
      </c>
      <c r="D200" s="55" t="s">
        <v>168</v>
      </c>
      <c r="E200" s="55" t="s">
        <v>210</v>
      </c>
      <c r="F200" s="56" t="n">
        <v>39.92</v>
      </c>
      <c r="G200" s="57" t="n">
        <f aca="false">MAX(0,IF(AND(Parameter!$B$21="Ja",ISNUMBER(W200)),W200,IF(Parameter!$B$20="Jahresanfang 2025 + Export",BJ200+BI200,BI200)))</f>
        <v>21</v>
      </c>
      <c r="H200" s="57" t="n">
        <f aca="false">G200*F200</f>
        <v>838.32</v>
      </c>
      <c r="I200" s="57" t="n">
        <f aca="false">BL200*Parameter!$B$18</f>
        <v>281</v>
      </c>
      <c r="J200" s="58" t="n">
        <v>49</v>
      </c>
      <c r="K200" s="59" t="n">
        <v>5.73469387755102</v>
      </c>
      <c r="L200" s="57" t="n">
        <v>5</v>
      </c>
      <c r="M200" s="57" t="n">
        <v>135</v>
      </c>
      <c r="N200" s="60" t="n">
        <v>7</v>
      </c>
      <c r="O200" s="55" t="s">
        <v>218</v>
      </c>
      <c r="P200" s="57" t="n">
        <v>50</v>
      </c>
      <c r="Q200" s="60" t="n">
        <f aca="false">IF(BR200=1,0,IFERROR(VLOOKUP(BP200,'Gebinde-Kategorie'!$A$5:$M$45,13,0)+0,0))</f>
        <v>12</v>
      </c>
      <c r="R200" s="61"/>
      <c r="S200" s="62"/>
      <c r="T200" s="62"/>
      <c r="U200" s="55"/>
      <c r="V200" s="57"/>
      <c r="W200" s="57"/>
      <c r="X200" s="55" t="n">
        <f aca="false">IF(A200="","",IF(AND(Parameter!$B$21="Ja",ISNUMBER(U200)),U200,IF(IFERROR(VLOOKUP(D200,Parameter!$A$35:$C$64,2,0),"Nein")="2+3",IF(ISNUMBER(SEARCH("grosser Artikel",BM200)),2,IFERROR(VLOOKUP(BP200,Parameter!$F$35:$G$64,2,0),2)),IF(OR(IFERROR(VLOOKUP(D200,Parameter!$A$35:$C$64,2,0),"Nein")="Nein",IFERROR(VLOOKUP(D200,Parameter!$A$35:$C$64,2,0),"Nein")=""),"-",VLOOKUP(D200,Parameter!$A$35:$C$64,2,0)))))</f>
        <v>2</v>
      </c>
      <c r="Y200" s="62"/>
      <c r="Z200" s="63"/>
      <c r="AA200" s="57" t="n">
        <f aca="false">AP200</f>
        <v>150</v>
      </c>
      <c r="AB200" s="57" t="n">
        <f aca="false">MAX(AP200,G200)</f>
        <v>150</v>
      </c>
      <c r="AC200" s="64"/>
      <c r="AD200" s="57" t="n">
        <f aca="false">IF(LEFT(Cockpit!$C$5,1)="A",G200,IF(BW200=1,BX200,IF(LEFT(Cockpit!$C$5,1)="B",AH200,MAX(AH200,G200))))</f>
        <v>21</v>
      </c>
      <c r="AE200" s="57" t="n">
        <f aca="false">IF(BR200=1,0,ROUNDUP(AD200/BQ200,0))</f>
        <v>1</v>
      </c>
      <c r="AF200" s="59" t="n">
        <f aca="false">IF(CD200&gt;0,CD200*MAX(1,AD200/V200),IF(BR200=1,IF(AD200&lt;=0,0,BS200*MAX(1,IF(G200&gt;0,AD200/G200,1))),IF(Q200&gt;0,AE200/Q200,0))/MAX(0.1,N(Parameter!$M$21)))</f>
        <v>0.0833333333333333</v>
      </c>
      <c r="AG200" s="57" t="n">
        <f aca="false">AD200*F200</f>
        <v>838.32</v>
      </c>
      <c r="AH200" s="57" t="n">
        <f aca="false">ROUNDUP(MAX(I200/IF(BV200&gt;0,BV200,MAX(0.1,N(Cockpit!$C$6))),BY200)/BQ200,0)*BQ200</f>
        <v>150</v>
      </c>
      <c r="AI200" s="58" t="n">
        <f aca="false">IF(AF200&gt;0,I200/AF200,-1)</f>
        <v>3372</v>
      </c>
      <c r="AJ200" s="58" t="n">
        <f aca="false">IF(AND(OR(BU200="L1",BU200="L23"),AF200&gt;0),SUMIFS($AF$7:$AF$1576,$BU$7:$BU$1576,BU200,$AI$7:$AI$1576,"&gt;"&amp;AI200)+SUMIFS($AF$7:$AF$1576,$BU$7:$BU$1576,BU200,$AI$7:$AI$1576,AI200,$BO$7:$BO$1576,"&lt;="&amp;BO200),"")</f>
        <v>4.52600722948549</v>
      </c>
      <c r="AK200" s="65" t="n">
        <f aca="false">IF(AJ200="",0,MAX(0,MIN(1,(IF(BU200="L1",Parameter!$E$5,Parameter!$E$6+Parameter!$E$7)-(AJ200-AF200))/AF200)))</f>
        <v>1</v>
      </c>
      <c r="AL200" s="57" t="n">
        <f aca="false">IF(LEFT(Cockpit!$I$5,1)="A",G200,IF(BW200=1,BX200,IF(LEFT(Cockpit!$I$5,1)="B",AP200,MAX(AP200,G200))))</f>
        <v>150</v>
      </c>
      <c r="AM200" s="57" t="n">
        <f aca="false">IF(BR200=1,0,ROUNDUP(AL200/BQ200,0))</f>
        <v>3</v>
      </c>
      <c r="AN200" s="59" t="n">
        <f aca="false">IF(CD200&gt;0,CD200*MAX(1,AL200/V200),IF(BR200=1,IF(AL200&lt;=0,0,BS200*MAX(1,IF(G200&gt;0,AL200/G200,1))),IF(Q200&gt;0,AM200/Q200,0))/MAX(0.1,N(Parameter!$M$21)))</f>
        <v>0.25</v>
      </c>
      <c r="AO200" s="57" t="n">
        <f aca="false">AL200*F200</f>
        <v>5988</v>
      </c>
      <c r="AP200" s="57" t="n">
        <f aca="false">ROUNDUP(MAX(I200/IF(BV200&gt;0,BV200,MAX(0.1,N(Cockpit!$I$6))),BY200)/BQ200,0)*BQ200</f>
        <v>150</v>
      </c>
      <c r="AQ200" s="58" t="n">
        <f aca="false">IF(AN200&gt;0,I200/AN200,-1)</f>
        <v>1124</v>
      </c>
      <c r="AR200" s="58" t="n">
        <f aca="false">IF(AND(OR(BU200="L1",BU200="L23"),AN200&gt;0),SUMIFS($AN$7:$AN$1576,$BU$7:$BU$1576,BU200,$AQ$7:$AQ$1576,"&gt;"&amp;AQ200)+SUMIFS($AN$7:$AN$1576,$BU$7:$BU$1576,BU200,$AQ$7:$AQ$1576,AQ200,$BO$7:$BO$1576,"&lt;="&amp;BO200),"")</f>
        <v>22.1122228620166</v>
      </c>
      <c r="AS200" s="65" t="n">
        <f aca="false">IF(AR200="",0,MAX(0,MIN(1,(IF(BU200="L1",Parameter!$E$5,Parameter!$E$6+Parameter!$E$7)-(AR200-AN200))/AN200)))</f>
        <v>1</v>
      </c>
      <c r="AT200" s="57" t="n">
        <f aca="false">IF(LEFT(Cockpit!$O$5,1)="A",G200,IF(BW200=1,BX200,IF(LEFT(Cockpit!$O$5,1)="B",AX200,MAX(AX200,G200))))</f>
        <v>150</v>
      </c>
      <c r="AU200" s="57" t="n">
        <f aca="false">IF(BR200=1,0,ROUNDUP(AT200/BQ200,0))</f>
        <v>3</v>
      </c>
      <c r="AV200" s="59" t="n">
        <f aca="false">IF(CD200&gt;0,CD200*MAX(1,AT200/V200),IF(BR200=1,IF(AT200&lt;=0,0,BS200*MAX(1,IF(G200&gt;0,AT200/G200,1))),IF(Q200&gt;0,AU200/Q200,0))/MAX(0.1,N(Parameter!$M$21)))</f>
        <v>0.25</v>
      </c>
      <c r="AW200" s="57" t="n">
        <f aca="false">AT200*F200</f>
        <v>5988</v>
      </c>
      <c r="AX200" s="57" t="n">
        <f aca="false">ROUNDUP(MAX(I200/IF(BV200&gt;0,BV200,MAX(0.1,N(Cockpit!$O$6))),BY200)/BQ200,0)*BQ200</f>
        <v>150</v>
      </c>
      <c r="AY200" s="58" t="n">
        <f aca="false">IF(AV200&gt;0,I200/AV200,-1)</f>
        <v>1124</v>
      </c>
      <c r="AZ200" s="58" t="n">
        <f aca="false">IF(AND(OR(BU200="L1",BU200="L23"),AV200&gt;0),SUMIFS($AV$7:$AV$1576,$BU$7:$BU$1576,BU200,$AY$7:$AY$1576,"&gt;"&amp;AY200)+SUMIFS($AV$7:$AV$1576,$BU$7:$BU$1576,BU200,$AY$7:$AY$1576,AY200,$BO$7:$BO$1576,"&lt;="&amp;BO200),"")</f>
        <v>21.4228289226227</v>
      </c>
      <c r="BA200" s="65" t="n">
        <f aca="false">IF(AZ200="",0,MAX(0,MIN(1,(IF(BU200="L1",Parameter!$E$5,Parameter!$E$6+Parameter!$E$7)-(AZ200-AV200))/AV200)))</f>
        <v>1</v>
      </c>
      <c r="BB200" s="55" t="str">
        <f aca="false">IF(AF200&lt;=0,"",IF(BU200="Aussen","Aussenlager",IF(BU200="-","Nicht im Lift",IF(AK200&gt;=1,"Lift",IF(AK200&lt;=0,"Aussenlager","teilweise")))))</f>
        <v>Lift</v>
      </c>
      <c r="BC200" s="55" t="str">
        <f aca="false">IF(AN200&lt;=0,"",IF(BU200="Aussen","Aussenlager",IF(BU200="-","Nicht im Lift",IF(AS200&gt;=1,"Lift",IF(AS200&lt;=0,"Aussenlager","teilweise")))))</f>
        <v>Lift</v>
      </c>
      <c r="BD200" s="55" t="str">
        <f aca="false">IF(AV200&lt;=0,"",IF(BU200="Aussen","Aussenlager",IF(BU200="-","Nicht im Lift",IF(BA200&gt;=1,"Lift",IF(BA200&lt;=0,"Aussenlager","teilweise")))))</f>
        <v>Lift</v>
      </c>
      <c r="BE200" s="55" t="str">
        <f aca="false">IF(A200="","",IF(BN200=1,"Neu; ","")&amp;IF(AND(BN200=0,BI200&lt;0),"negativer Bestand (Export "&amp;BI200&amp;"); ","")&amp;IF(I200&lt;=0,"Kein Verbrauch; ","")&amp;IF(CD200&gt;0,"Lift "&amp;U200&amp;" lt. Liftbericht (Fach "&amp;V200&amp;" Stk); ",IF(BR200=1,"Lose – Fläche geschätzt; ",""))&amp;IF(G200&gt;AP200,"Überbestand "&amp;ROUND(G200-AP200,0)&amp;" Stk / CHF "&amp;ROUND((G200-AP200)*F200,0)&amp;"; ","")&amp;IF(AND(BW200=1,BX200&lt;BY200),"MAX &lt; MB+LG; ","")&amp;IF(AND(CC200&gt;0,CB200*10&gt;CC200),"zu hoch für Tablar; ","")&amp;IF(AND(BN200=0,OR(BW200=1,Y200&lt;&gt;"",S200&lt;&gt;"",T200&lt;&gt;"",Z200&lt;&gt;"")),"manuell übersteuert; ","")&amp;IF(AND(BR200=0,Q200=0),"Gebinde unbekannt / Stellmass fehlt; ","")&amp;IF(AND(BR200=0,N(T200)&lt;=0,N(P200)&lt;=0),"Menge pro Gebinde fehlt (Ist = 1 Gebinde); ","")&amp;BM200)</f>
        <v/>
      </c>
      <c r="BF200" s="55"/>
      <c r="BG200" s="55"/>
      <c r="BH200" s="62"/>
      <c r="BI200" s="57" t="n">
        <v>21</v>
      </c>
      <c r="BJ200" s="57" t="n">
        <v>57</v>
      </c>
      <c r="BK200" s="56" t="n">
        <v>810.96</v>
      </c>
      <c r="BL200" s="57" t="n">
        <v>281</v>
      </c>
      <c r="BM200" s="55"/>
      <c r="BN200" s="60" t="n">
        <v>0</v>
      </c>
      <c r="BO200" s="60" t="n">
        <v>200</v>
      </c>
      <c r="BP200" s="55" t="str">
        <f aca="false">IF(S200&lt;&gt;"",UPPER(TRIM(S200)),IF(O200="","LOSE",O200))</f>
        <v>S63</v>
      </c>
      <c r="BQ200" s="57" t="n">
        <f aca="false">IF(BP200="LOSE",1,IF(N(T200)&gt;0,T200,IF(N(P200)&gt;0,P200,MAX(1,G200))))</f>
        <v>50</v>
      </c>
      <c r="BR200" s="60" t="n">
        <f aca="false">IF(BP200="LOSE",1,0)</f>
        <v>0</v>
      </c>
      <c r="BS200" s="59" t="n">
        <f aca="false">IF(BR200=0,0,IF(N(R200)&gt;0,R200,IFERROR(VLOOKUP(D200,Parameter!$A$35:$C$64,3,0)+0,0)))</f>
        <v>0</v>
      </c>
      <c r="BT200" s="55" t="n">
        <f aca="false">IF(Y200&lt;&gt;"",Y200,X200)</f>
        <v>2</v>
      </c>
      <c r="BU200" s="55" t="str">
        <f aca="false">IF(BT200=1,"L1",IF(OR(BT200=2,BT200=3),"L23",IF(BT200="Aussen","Aussen","-")))</f>
        <v>L23</v>
      </c>
      <c r="BV200" s="66" t="n">
        <f aca="false">IF(N(Z200)&gt;0,Z200,0)</f>
        <v>0</v>
      </c>
      <c r="BW200" s="60" t="n">
        <f aca="false">IF(ISNUMBER(AC200),1,0)</f>
        <v>0</v>
      </c>
      <c r="BX200" s="57" t="n">
        <f aca="false">N(AC200)</f>
        <v>0</v>
      </c>
      <c r="BY200" s="57" t="n">
        <f aca="false">N(L200)+N(M200)</f>
        <v>140</v>
      </c>
      <c r="BZ200" s="57" t="n">
        <f aca="false">ROUNDUP(G200/BQ200,0)</f>
        <v>1</v>
      </c>
      <c r="CA200" s="57" t="n">
        <f aca="false">ROUNDUP(BX200/BQ200,0)</f>
        <v>0</v>
      </c>
      <c r="CB200" s="60" t="n">
        <f aca="false">IF(BR200=1,0,IFERROR(VLOOKUP(BP200,'Gebinde-Kategorie'!$A$5:$M$45,5,0)+0,0))</f>
        <v>31</v>
      </c>
      <c r="CC200" s="60" t="n">
        <f aca="false">IFERROR(IF(OR(BT200=1,BT200=2,BT200=3),N(INDEX(Parameter!$I$5:$I$7,BT200)),0),0)</f>
        <v>0</v>
      </c>
      <c r="CD200" s="59" t="n">
        <f aca="false">IF(AND(Parameter!$B$21="Ja",ISNUMBER(U200),N(V200)&gt;0),IFERROR(N(INDEX(Parameter!$L$5:$L$7,U200))*INDEX(Parameter!$E$5:$E$7,U200)*V200/SUMIFS($V$7:$V$1576,$U$7:$U$1576,U200),0),0)</f>
        <v>0</v>
      </c>
    </row>
    <row r="201" customFormat="false" ht="15" hidden="false" customHeight="false" outlineLevel="0" collapsed="false">
      <c r="A201" s="55" t="s">
        <v>592</v>
      </c>
      <c r="B201" s="55" t="s">
        <v>593</v>
      </c>
      <c r="C201" s="55" t="s">
        <v>160</v>
      </c>
      <c r="D201" s="55" t="s">
        <v>168</v>
      </c>
      <c r="E201" s="55" t="s">
        <v>210</v>
      </c>
      <c r="F201" s="56" t="n">
        <v>98.69</v>
      </c>
      <c r="G201" s="57" t="n">
        <f aca="false">MAX(0,IF(AND(Parameter!$B$21="Ja",ISNUMBER(W201)),W201,IF(Parameter!$B$20="Jahresanfang 2025 + Export",BJ201+BI201,BI201)))</f>
        <v>8</v>
      </c>
      <c r="H201" s="57" t="n">
        <f aca="false">G201*F201</f>
        <v>789.52</v>
      </c>
      <c r="I201" s="57" t="n">
        <f aca="false">BL201*Parameter!$B$18</f>
        <v>77</v>
      </c>
      <c r="J201" s="58" t="n">
        <v>30</v>
      </c>
      <c r="K201" s="59" t="n">
        <v>2.56666666666667</v>
      </c>
      <c r="L201" s="57" t="n">
        <v>10</v>
      </c>
      <c r="M201" s="57" t="n">
        <v>45</v>
      </c>
      <c r="N201" s="60" t="n">
        <v>49</v>
      </c>
      <c r="O201" s="55" t="s">
        <v>169</v>
      </c>
      <c r="P201" s="57" t="n">
        <v>18</v>
      </c>
      <c r="Q201" s="60" t="n">
        <f aca="false">IF(BR201=1,0,IFERROR(VLOOKUP(BP201,'Gebinde-Kategorie'!$A$5:$M$45,13,0)+0,0))</f>
        <v>6</v>
      </c>
      <c r="R201" s="61"/>
      <c r="S201" s="62"/>
      <c r="T201" s="62"/>
      <c r="U201" s="55"/>
      <c r="V201" s="57"/>
      <c r="W201" s="57"/>
      <c r="X201" s="55" t="n">
        <f aca="false">IF(A201="","",IF(AND(Parameter!$B$21="Ja",ISNUMBER(U201)),U201,IF(IFERROR(VLOOKUP(D201,Parameter!$A$35:$C$64,2,0),"Nein")="2+3",IF(ISNUMBER(SEARCH("grosser Artikel",BM201)),2,IFERROR(VLOOKUP(BP201,Parameter!$F$35:$G$64,2,0),2)),IF(OR(IFERROR(VLOOKUP(D201,Parameter!$A$35:$C$64,2,0),"Nein")="Nein",IFERROR(VLOOKUP(D201,Parameter!$A$35:$C$64,2,0),"Nein")=""),"-",VLOOKUP(D201,Parameter!$A$35:$C$64,2,0)))))</f>
        <v>2</v>
      </c>
      <c r="Y201" s="62"/>
      <c r="Z201" s="63"/>
      <c r="AA201" s="57" t="n">
        <f aca="false">AP201</f>
        <v>72</v>
      </c>
      <c r="AB201" s="57" t="n">
        <f aca="false">MAX(AP201,G201)</f>
        <v>72</v>
      </c>
      <c r="AC201" s="64"/>
      <c r="AD201" s="57" t="n">
        <f aca="false">IF(LEFT(Cockpit!$C$5,1)="A",G201,IF(BW201=1,BX201,IF(LEFT(Cockpit!$C$5,1)="B",AH201,MAX(AH201,G201))))</f>
        <v>8</v>
      </c>
      <c r="AE201" s="57" t="n">
        <f aca="false">IF(BR201=1,0,ROUNDUP(AD201/BQ201,0))</f>
        <v>1</v>
      </c>
      <c r="AF201" s="59" t="n">
        <f aca="false">IF(CD201&gt;0,CD201*MAX(1,AD201/V201),IF(BR201=1,IF(AD201&lt;=0,0,BS201*MAX(1,IF(G201&gt;0,AD201/G201,1))),IF(Q201&gt;0,AE201/Q201,0))/MAX(0.1,N(Parameter!$M$21)))</f>
        <v>0.166666666666667</v>
      </c>
      <c r="AG201" s="57" t="n">
        <f aca="false">AD201*F201</f>
        <v>789.52</v>
      </c>
      <c r="AH201" s="57" t="n">
        <f aca="false">ROUNDUP(MAX(I201/IF(BV201&gt;0,BV201,MAX(0.1,N(Cockpit!$C$6))),BY201)/BQ201,0)*BQ201</f>
        <v>72</v>
      </c>
      <c r="AI201" s="58" t="n">
        <f aca="false">IF(AF201&gt;0,I201/AF201,-1)</f>
        <v>462</v>
      </c>
      <c r="AJ201" s="58" t="n">
        <f aca="false">IF(AND(OR(BU201="L1",BU201="L23"),AF201&gt;0),SUMIFS($AF$7:$AF$1576,$BU$7:$BU$1576,BU201,$AI$7:$AI$1576,"&gt;"&amp;AI201)+SUMIFS($AF$7:$AF$1576,$BU$7:$BU$1576,BU201,$AI$7:$AI$1576,AI201,$BO$7:$BO$1576,"&lt;="&amp;BO201),"")</f>
        <v>12.82426911253</v>
      </c>
      <c r="AK201" s="65" t="n">
        <f aca="false">IF(AJ201="",0,MAX(0,MIN(1,(IF(BU201="L1",Parameter!$E$5,Parameter!$E$6+Parameter!$E$7)-(AJ201-AF201))/AF201)))</f>
        <v>1</v>
      </c>
      <c r="AL201" s="57" t="n">
        <f aca="false">IF(LEFT(Cockpit!$I$5,1)="A",G201,IF(BW201=1,BX201,IF(LEFT(Cockpit!$I$5,1)="B",AP201,MAX(AP201,G201))))</f>
        <v>72</v>
      </c>
      <c r="AM201" s="57" t="n">
        <f aca="false">IF(BR201=1,0,ROUNDUP(AL201/BQ201,0))</f>
        <v>4</v>
      </c>
      <c r="AN201" s="59" t="n">
        <f aca="false">IF(CD201&gt;0,CD201*MAX(1,AL201/V201),IF(BR201=1,IF(AL201&lt;=0,0,BS201*MAX(1,IF(G201&gt;0,AL201/G201,1))),IF(Q201&gt;0,AM201/Q201,0))/MAX(0.1,N(Parameter!$M$21)))</f>
        <v>0.666666666666667</v>
      </c>
      <c r="AO201" s="57" t="n">
        <f aca="false">AL201*F201</f>
        <v>7105.68</v>
      </c>
      <c r="AP201" s="57" t="n">
        <f aca="false">ROUNDUP(MAX(I201/IF(BV201&gt;0,BV201,MAX(0.1,N(Cockpit!$I$6))),BY201)/BQ201,0)*BQ201</f>
        <v>72</v>
      </c>
      <c r="AQ201" s="58" t="n">
        <f aca="false">IF(AN201&gt;0,I201/AN201,-1)</f>
        <v>115.5</v>
      </c>
      <c r="AR201" s="58" t="n">
        <f aca="false">IF(AND(OR(BU201="L1",BU201="L23"),AN201&gt;0),SUMIFS($AN$7:$AN$1576,$BU$7:$BU$1576,BU201,$AQ$7:$AQ$1576,"&gt;"&amp;AQ201)+SUMIFS($AN$7:$AN$1576,$BU$7:$BU$1576,BU201,$AQ$7:$AQ$1576,AQ201,$BO$7:$BO$1576,"&lt;="&amp;BO201),"")</f>
        <v>66.2770023820136</v>
      </c>
      <c r="AS201" s="65" t="n">
        <f aca="false">IF(AR201="",0,MAX(0,MIN(1,(IF(BU201="L1",Parameter!$E$5,Parameter!$E$6+Parameter!$E$7)-(AR201-AN201))/AN201)))</f>
        <v>1</v>
      </c>
      <c r="AT201" s="57" t="n">
        <f aca="false">IF(LEFT(Cockpit!$O$5,1)="A",G201,IF(BW201=1,BX201,IF(LEFT(Cockpit!$O$5,1)="B",AX201,MAX(AX201,G201))))</f>
        <v>72</v>
      </c>
      <c r="AU201" s="57" t="n">
        <f aca="false">IF(BR201=1,0,ROUNDUP(AT201/BQ201,0))</f>
        <v>4</v>
      </c>
      <c r="AV201" s="59" t="n">
        <f aca="false">IF(CD201&gt;0,CD201*MAX(1,AT201/V201),IF(BR201=1,IF(AT201&lt;=0,0,BS201*MAX(1,IF(G201&gt;0,AT201/G201,1))),IF(Q201&gt;0,AU201/Q201,0))/MAX(0.1,N(Parameter!$M$21)))</f>
        <v>0.666666666666667</v>
      </c>
      <c r="AW201" s="57" t="n">
        <f aca="false">AT201*F201</f>
        <v>7105.68</v>
      </c>
      <c r="AX201" s="57" t="n">
        <f aca="false">ROUNDUP(MAX(I201/IF(BV201&gt;0,BV201,MAX(0.1,N(Cockpit!$O$6))),BY201)/BQ201,0)*BQ201</f>
        <v>72</v>
      </c>
      <c r="AY201" s="58" t="n">
        <f aca="false">IF(AV201&gt;0,I201/AV201,-1)</f>
        <v>115.5</v>
      </c>
      <c r="AZ201" s="58" t="n">
        <f aca="false">IF(AND(OR(BU201="L1",BU201="L23"),AV201&gt;0),SUMIFS($AV$7:$AV$1576,$BU$7:$BU$1576,BU201,$AY$7:$AY$1576,"&gt;"&amp;AY201)+SUMIFS($AV$7:$AV$1576,$BU$7:$BU$1576,BU201,$AY$7:$AY$1576,AY201,$BO$7:$BO$1576,"&lt;="&amp;BO201),"")</f>
        <v>61.6061361648973</v>
      </c>
      <c r="BA201" s="65" t="n">
        <f aca="false">IF(AZ201="",0,MAX(0,MIN(1,(IF(BU201="L1",Parameter!$E$5,Parameter!$E$6+Parameter!$E$7)-(AZ201-AV201))/AV201)))</f>
        <v>1</v>
      </c>
      <c r="BB201" s="55" t="str">
        <f aca="false">IF(AF201&lt;=0,"",IF(BU201="Aussen","Aussenlager",IF(BU201="-","Nicht im Lift",IF(AK201&gt;=1,"Lift",IF(AK201&lt;=0,"Aussenlager","teilweise")))))</f>
        <v>Lift</v>
      </c>
      <c r="BC201" s="55" t="str">
        <f aca="false">IF(AN201&lt;=0,"",IF(BU201="Aussen","Aussenlager",IF(BU201="-","Nicht im Lift",IF(AS201&gt;=1,"Lift",IF(AS201&lt;=0,"Aussenlager","teilweise")))))</f>
        <v>Lift</v>
      </c>
      <c r="BD201" s="55" t="str">
        <f aca="false">IF(AV201&lt;=0,"",IF(BU201="Aussen","Aussenlager",IF(BU201="-","Nicht im Lift",IF(BA201&gt;=1,"Lift",IF(BA201&lt;=0,"Aussenlager","teilweise")))))</f>
        <v>Lift</v>
      </c>
      <c r="BE201" s="55" t="str">
        <f aca="false">IF(A201="","",IF(BN201=1,"Neu; ","")&amp;IF(AND(BN201=0,BI201&lt;0),"negativer Bestand (Export "&amp;BI201&amp;"); ","")&amp;IF(I201&lt;=0,"Kein Verbrauch; ","")&amp;IF(CD201&gt;0,"Lift "&amp;U201&amp;" lt. Liftbericht (Fach "&amp;V201&amp;" Stk); ",IF(BR201=1,"Lose – Fläche geschätzt; ",""))&amp;IF(G201&gt;AP201,"Überbestand "&amp;ROUND(G201-AP201,0)&amp;" Stk / CHF "&amp;ROUND((G201-AP201)*F201,0)&amp;"; ","")&amp;IF(AND(BW201=1,BX201&lt;BY201),"MAX &lt; MB+LG; ","")&amp;IF(AND(CC201&gt;0,CB201*10&gt;CC201),"zu hoch für Tablar; ","")&amp;IF(AND(BN201=0,OR(BW201=1,Y201&lt;&gt;"",S201&lt;&gt;"",T201&lt;&gt;"",Z201&lt;&gt;"")),"manuell übersteuert; ","")&amp;IF(AND(BR201=0,Q201=0),"Gebinde unbekannt / Stellmass fehlt; ","")&amp;IF(AND(BR201=0,N(T201)&lt;=0,N(P201)&lt;=0),"Menge pro Gebinde fehlt (Ist = 1 Gebinde); ","")&amp;BM201)</f>
        <v>grosser Artikel &amp; nicht im KTL</v>
      </c>
      <c r="BF201" s="55"/>
      <c r="BG201" s="55"/>
      <c r="BH201" s="62"/>
      <c r="BI201" s="57" t="n">
        <v>8</v>
      </c>
      <c r="BJ201" s="57" t="n">
        <v>25</v>
      </c>
      <c r="BK201" s="56" t="n">
        <v>801.770000000001</v>
      </c>
      <c r="BL201" s="57" t="n">
        <v>77</v>
      </c>
      <c r="BM201" s="55" t="s">
        <v>253</v>
      </c>
      <c r="BN201" s="60" t="n">
        <v>0</v>
      </c>
      <c r="BO201" s="60" t="n">
        <v>201</v>
      </c>
      <c r="BP201" s="55" t="str">
        <f aca="false">IF(S201&lt;&gt;"",UPPER(TRIM(S201)),IF(O201="","LOSE",O201))</f>
        <v>S71</v>
      </c>
      <c r="BQ201" s="57" t="n">
        <f aca="false">IF(BP201="LOSE",1,IF(N(T201)&gt;0,T201,IF(N(P201)&gt;0,P201,MAX(1,G201))))</f>
        <v>18</v>
      </c>
      <c r="BR201" s="60" t="n">
        <f aca="false">IF(BP201="LOSE",1,0)</f>
        <v>0</v>
      </c>
      <c r="BS201" s="59" t="n">
        <f aca="false">IF(BR201=0,0,IF(N(R201)&gt;0,R201,IFERROR(VLOOKUP(D201,Parameter!$A$35:$C$64,3,0)+0,0)))</f>
        <v>0</v>
      </c>
      <c r="BT201" s="55" t="n">
        <f aca="false">IF(Y201&lt;&gt;"",Y201,X201)</f>
        <v>2</v>
      </c>
      <c r="BU201" s="55" t="str">
        <f aca="false">IF(BT201=1,"L1",IF(OR(BT201=2,BT201=3),"L23",IF(BT201="Aussen","Aussen","-")))</f>
        <v>L23</v>
      </c>
      <c r="BV201" s="66" t="n">
        <f aca="false">IF(N(Z201)&gt;0,Z201,0)</f>
        <v>0</v>
      </c>
      <c r="BW201" s="60" t="n">
        <f aca="false">IF(ISNUMBER(AC201),1,0)</f>
        <v>0</v>
      </c>
      <c r="BX201" s="57" t="n">
        <f aca="false">N(AC201)</f>
        <v>0</v>
      </c>
      <c r="BY201" s="57" t="n">
        <f aca="false">N(L201)+N(M201)</f>
        <v>55</v>
      </c>
      <c r="BZ201" s="57" t="n">
        <f aca="false">ROUNDUP(G201/BQ201,0)</f>
        <v>1</v>
      </c>
      <c r="CA201" s="57" t="n">
        <f aca="false">ROUNDUP(BX201/BQ201,0)</f>
        <v>0</v>
      </c>
      <c r="CB201" s="60" t="n">
        <f aca="false">IF(BR201=1,0,IFERROR(VLOOKUP(BP201,'Gebinde-Kategorie'!$A$5:$M$45,5,0)+0,0))</f>
        <v>20</v>
      </c>
      <c r="CC201" s="60" t="n">
        <f aca="false">IFERROR(IF(OR(BT201=1,BT201=2,BT201=3),N(INDEX(Parameter!$I$5:$I$7,BT201)),0),0)</f>
        <v>0</v>
      </c>
      <c r="CD201" s="59" t="n">
        <f aca="false">IF(AND(Parameter!$B$21="Ja",ISNUMBER(U201),N(V201)&gt;0),IFERROR(N(INDEX(Parameter!$L$5:$L$7,U201))*INDEX(Parameter!$E$5:$E$7,U201)*V201/SUMIFS($V$7:$V$1576,$U$7:$U$1576,U201),0),0)</f>
        <v>0</v>
      </c>
    </row>
    <row r="202" customFormat="false" ht="15" hidden="false" customHeight="false" outlineLevel="0" collapsed="false">
      <c r="A202" s="55" t="s">
        <v>594</v>
      </c>
      <c r="B202" s="55" t="s">
        <v>421</v>
      </c>
      <c r="C202" s="55" t="s">
        <v>160</v>
      </c>
      <c r="D202" s="55" t="s">
        <v>178</v>
      </c>
      <c r="E202" s="55" t="s">
        <v>210</v>
      </c>
      <c r="F202" s="56" t="n">
        <v>66.73</v>
      </c>
      <c r="G202" s="57" t="n">
        <f aca="false">MAX(0,IF(AND(Parameter!$B$21="Ja",ISNUMBER(W202)),W202,IF(Parameter!$B$20="Jahresanfang 2025 + Export",BJ202+BI202,BI202)))</f>
        <v>12</v>
      </c>
      <c r="H202" s="57" t="n">
        <f aca="false">G202*F202</f>
        <v>800.76</v>
      </c>
      <c r="I202" s="57" t="n">
        <f aca="false">BL202*Parameter!$B$18</f>
        <v>7</v>
      </c>
      <c r="J202" s="58" t="n">
        <v>35</v>
      </c>
      <c r="K202" s="59" t="n">
        <v>0.2</v>
      </c>
      <c r="L202" s="57" t="n">
        <v>1</v>
      </c>
      <c r="M202" s="57" t="n">
        <v>5</v>
      </c>
      <c r="N202" s="60" t="n">
        <v>70</v>
      </c>
      <c r="O202" s="55" t="s">
        <v>225</v>
      </c>
      <c r="P202" s="57" t="n">
        <v>45</v>
      </c>
      <c r="Q202" s="60" t="n">
        <f aca="false">IF(BR202=1,0,IFERROR(VLOOKUP(BP202,'Gebinde-Kategorie'!$A$5:$M$45,13,0)+0,0))</f>
        <v>26</v>
      </c>
      <c r="R202" s="61"/>
      <c r="S202" s="62"/>
      <c r="T202" s="62"/>
      <c r="U202" s="55"/>
      <c r="V202" s="57"/>
      <c r="W202" s="57"/>
      <c r="X202" s="55" t="n">
        <f aca="false">IF(A202="","",IF(AND(Parameter!$B$21="Ja",ISNUMBER(U202)),U202,IF(IFERROR(VLOOKUP(D202,Parameter!$A$35:$C$64,2,0),"Nein")="2+3",IF(ISNUMBER(SEARCH("grosser Artikel",BM202)),2,IFERROR(VLOOKUP(BP202,Parameter!$F$35:$G$64,2,0),2)),IF(OR(IFERROR(VLOOKUP(D202,Parameter!$A$35:$C$64,2,0),"Nein")="Nein",IFERROR(VLOOKUP(D202,Parameter!$A$35:$C$64,2,0),"Nein")=""),"-",VLOOKUP(D202,Parameter!$A$35:$C$64,2,0)))))</f>
        <v>3</v>
      </c>
      <c r="Y202" s="62"/>
      <c r="Z202" s="63"/>
      <c r="AA202" s="57" t="n">
        <f aca="false">AP202</f>
        <v>45</v>
      </c>
      <c r="AB202" s="57" t="n">
        <f aca="false">MAX(AP202,G202)</f>
        <v>45</v>
      </c>
      <c r="AC202" s="64"/>
      <c r="AD202" s="57" t="n">
        <f aca="false">IF(LEFT(Cockpit!$C$5,1)="A",G202,IF(BW202=1,BX202,IF(LEFT(Cockpit!$C$5,1)="B",AH202,MAX(AH202,G202))))</f>
        <v>12</v>
      </c>
      <c r="AE202" s="57" t="n">
        <f aca="false">IF(BR202=1,0,ROUNDUP(AD202/BQ202,0))</f>
        <v>1</v>
      </c>
      <c r="AF202" s="59" t="n">
        <f aca="false">IF(CD202&gt;0,CD202*MAX(1,AD202/V202),IF(BR202=1,IF(AD202&lt;=0,0,BS202*MAX(1,IF(G202&gt;0,AD202/G202,1))),IF(Q202&gt;0,AE202/Q202,0))/MAX(0.1,N(Parameter!$M$21)))</f>
        <v>0.0384615384615385</v>
      </c>
      <c r="AG202" s="57" t="n">
        <f aca="false">AD202*F202</f>
        <v>800.76</v>
      </c>
      <c r="AH202" s="57" t="n">
        <f aca="false">ROUNDUP(MAX(I202/IF(BV202&gt;0,BV202,MAX(0.1,N(Cockpit!$C$6))),BY202)/BQ202,0)*BQ202</f>
        <v>45</v>
      </c>
      <c r="AI202" s="58" t="n">
        <f aca="false">IF(AF202&gt;0,I202/AF202,-1)</f>
        <v>182</v>
      </c>
      <c r="AJ202" s="58" t="n">
        <f aca="false">IF(AND(OR(BU202="L1",BU202="L23"),AF202&gt;0),SUMIFS($AF$7:$AF$1576,$BU$7:$BU$1576,BU202,$AI$7:$AI$1576,"&gt;"&amp;AI202)+SUMIFS($AF$7:$AF$1576,$BU$7:$BU$1576,BU202,$AI$7:$AI$1576,AI202,$BO$7:$BO$1576,"&lt;="&amp;BO202),"")</f>
        <v>17.3993493463059</v>
      </c>
      <c r="AK202" s="65" t="n">
        <f aca="false">IF(AJ202="",0,MAX(0,MIN(1,(IF(BU202="L1",Parameter!$E$5,Parameter!$E$6+Parameter!$E$7)-(AJ202-AF202))/AF202)))</f>
        <v>1</v>
      </c>
      <c r="AL202" s="57" t="n">
        <f aca="false">IF(LEFT(Cockpit!$I$5,1)="A",G202,IF(BW202=1,BX202,IF(LEFT(Cockpit!$I$5,1)="B",AP202,MAX(AP202,G202))))</f>
        <v>45</v>
      </c>
      <c r="AM202" s="57" t="n">
        <f aca="false">IF(BR202=1,0,ROUNDUP(AL202/BQ202,0))</f>
        <v>1</v>
      </c>
      <c r="AN202" s="59" t="n">
        <f aca="false">IF(CD202&gt;0,CD202*MAX(1,AL202/V202),IF(BR202=1,IF(AL202&lt;=0,0,BS202*MAX(1,IF(G202&gt;0,AL202/G202,1))),IF(Q202&gt;0,AM202/Q202,0))/MAX(0.1,N(Parameter!$M$21)))</f>
        <v>0.0384615384615385</v>
      </c>
      <c r="AO202" s="57" t="n">
        <f aca="false">AL202*F202</f>
        <v>3002.85</v>
      </c>
      <c r="AP202" s="57" t="n">
        <f aca="false">ROUNDUP(MAX(I202/IF(BV202&gt;0,BV202,MAX(0.1,N(Cockpit!$I$6))),BY202)/BQ202,0)*BQ202</f>
        <v>45</v>
      </c>
      <c r="AQ202" s="58" t="n">
        <f aca="false">IF(AN202&gt;0,I202/AN202,-1)</f>
        <v>182</v>
      </c>
      <c r="AR202" s="58" t="n">
        <f aca="false">IF(AND(OR(BU202="L1",BU202="L23"),AN202&gt;0),SUMIFS($AN$7:$AN$1576,$BU$7:$BU$1576,BU202,$AQ$7:$AQ$1576,"&gt;"&amp;AQ202)+SUMIFS($AN$7:$AN$1576,$BU$7:$BU$1576,BU202,$AQ$7:$AQ$1576,AQ202,$BO$7:$BO$1576,"&lt;="&amp;BO202),"")</f>
        <v>52.3264662514774</v>
      </c>
      <c r="AS202" s="65" t="n">
        <f aca="false">IF(AR202="",0,MAX(0,MIN(1,(IF(BU202="L1",Parameter!$E$5,Parameter!$E$6+Parameter!$E$7)-(AR202-AN202))/AN202)))</f>
        <v>1</v>
      </c>
      <c r="AT202" s="57" t="n">
        <f aca="false">IF(LEFT(Cockpit!$O$5,1)="A",G202,IF(BW202=1,BX202,IF(LEFT(Cockpit!$O$5,1)="B",AX202,MAX(AX202,G202))))</f>
        <v>45</v>
      </c>
      <c r="AU202" s="57" t="n">
        <f aca="false">IF(BR202=1,0,ROUNDUP(AT202/BQ202,0))</f>
        <v>1</v>
      </c>
      <c r="AV202" s="59" t="n">
        <f aca="false">IF(CD202&gt;0,CD202*MAX(1,AT202/V202),IF(BR202=1,IF(AT202&lt;=0,0,BS202*MAX(1,IF(G202&gt;0,AT202/G202,1))),IF(Q202&gt;0,AU202/Q202,0))/MAX(0.1,N(Parameter!$M$21)))</f>
        <v>0.0384615384615385</v>
      </c>
      <c r="AW202" s="57" t="n">
        <f aca="false">AT202*F202</f>
        <v>3002.85</v>
      </c>
      <c r="AX202" s="57" t="n">
        <f aca="false">ROUNDUP(MAX(I202/IF(BV202&gt;0,BV202,MAX(0.1,N(Cockpit!$O$6))),BY202)/BQ202,0)*BQ202</f>
        <v>45</v>
      </c>
      <c r="AY202" s="58" t="n">
        <f aca="false">IF(AV202&gt;0,I202/AV202,-1)</f>
        <v>182</v>
      </c>
      <c r="AZ202" s="58" t="n">
        <f aca="false">IF(AND(OR(BU202="L1",BU202="L23"),AV202&gt;0),SUMIFS($AV$7:$AV$1576,$BU$7:$BU$1576,BU202,$AY$7:$AY$1576,"&gt;"&amp;AY202)+SUMIFS($AV$7:$AV$1576,$BU$7:$BU$1576,BU202,$AY$7:$AY$1576,AY202,$BO$7:$BO$1576,"&lt;="&amp;BO202),"")</f>
        <v>48.2084409434521</v>
      </c>
      <c r="BA202" s="65" t="n">
        <f aca="false">IF(AZ202="",0,MAX(0,MIN(1,(IF(BU202="L1",Parameter!$E$5,Parameter!$E$6+Parameter!$E$7)-(AZ202-AV202))/AV202)))</f>
        <v>1</v>
      </c>
      <c r="BB202" s="55" t="str">
        <f aca="false">IF(AF202&lt;=0,"",IF(BU202="Aussen","Aussenlager",IF(BU202="-","Nicht im Lift",IF(AK202&gt;=1,"Lift",IF(AK202&lt;=0,"Aussenlager","teilweise")))))</f>
        <v>Lift</v>
      </c>
      <c r="BC202" s="55" t="str">
        <f aca="false">IF(AN202&lt;=0,"",IF(BU202="Aussen","Aussenlager",IF(BU202="-","Nicht im Lift",IF(AS202&gt;=1,"Lift",IF(AS202&lt;=0,"Aussenlager","teilweise")))))</f>
        <v>Lift</v>
      </c>
      <c r="BD202" s="55" t="str">
        <f aca="false">IF(AV202&lt;=0,"",IF(BU202="Aussen","Aussenlager",IF(BU202="-","Nicht im Lift",IF(BA202&gt;=1,"Lift",IF(BA202&lt;=0,"Aussenlager","teilweise")))))</f>
        <v>Lift</v>
      </c>
      <c r="BE202" s="55" t="str">
        <f aca="false">IF(A202="","",IF(BN202=1,"Neu; ","")&amp;IF(AND(BN202=0,BI202&lt;0),"negativer Bestand (Export "&amp;BI202&amp;"); ","")&amp;IF(I202&lt;=0,"Kein Verbrauch; ","")&amp;IF(CD202&gt;0,"Lift "&amp;U202&amp;" lt. Liftbericht (Fach "&amp;V202&amp;" Stk); ",IF(BR202=1,"Lose – Fläche geschätzt; ",""))&amp;IF(G202&gt;AP202,"Überbestand "&amp;ROUND(G202-AP202,0)&amp;" Stk / CHF "&amp;ROUND((G202-AP202)*F202,0)&amp;"; ","")&amp;IF(AND(BW202=1,BX202&lt;BY202),"MAX &lt; MB+LG; ","")&amp;IF(AND(CC202&gt;0,CB202*10&gt;CC202),"zu hoch für Tablar; ","")&amp;IF(AND(BN202=0,OR(BW202=1,Y202&lt;&gt;"",S202&lt;&gt;"",T202&lt;&gt;"",Z202&lt;&gt;"")),"manuell übersteuert; ","")&amp;IF(AND(BR202=0,Q202=0),"Gebinde unbekannt / Stellmass fehlt; ","")&amp;IF(AND(BR202=0,N(T202)&lt;=0,N(P202)&lt;=0),"Menge pro Gebinde fehlt (Ist = 1 Gebinde); ","")&amp;BM202)</f>
        <v/>
      </c>
      <c r="BF202" s="55"/>
      <c r="BG202" s="55"/>
      <c r="BH202" s="62"/>
      <c r="BI202" s="57" t="n">
        <v>12</v>
      </c>
      <c r="BJ202" s="57" t="n">
        <v>27</v>
      </c>
      <c r="BK202" s="56" t="n">
        <v>800.76</v>
      </c>
      <c r="BL202" s="57" t="n">
        <v>7</v>
      </c>
      <c r="BM202" s="55"/>
      <c r="BN202" s="60" t="n">
        <v>0</v>
      </c>
      <c r="BO202" s="60" t="n">
        <v>202</v>
      </c>
      <c r="BP202" s="55" t="str">
        <f aca="false">IF(S202&lt;&gt;"",UPPER(TRIM(S202)),IF(O202="","LOSE",O202))</f>
        <v>S52</v>
      </c>
      <c r="BQ202" s="57" t="n">
        <f aca="false">IF(BP202="LOSE",1,IF(N(T202)&gt;0,T202,IF(N(P202)&gt;0,P202,MAX(1,G202))))</f>
        <v>45</v>
      </c>
      <c r="BR202" s="60" t="n">
        <f aca="false">IF(BP202="LOSE",1,0)</f>
        <v>0</v>
      </c>
      <c r="BS202" s="59" t="n">
        <f aca="false">IF(BR202=0,0,IF(N(R202)&gt;0,R202,IFERROR(VLOOKUP(D202,Parameter!$A$35:$C$64,3,0)+0,0)))</f>
        <v>0</v>
      </c>
      <c r="BT202" s="55" t="n">
        <f aca="false">IF(Y202&lt;&gt;"",Y202,X202)</f>
        <v>3</v>
      </c>
      <c r="BU202" s="55" t="str">
        <f aca="false">IF(BT202=1,"L1",IF(OR(BT202=2,BT202=3),"L23",IF(BT202="Aussen","Aussen","-")))</f>
        <v>L23</v>
      </c>
      <c r="BV202" s="66" t="n">
        <f aca="false">IF(N(Z202)&gt;0,Z202,0)</f>
        <v>0</v>
      </c>
      <c r="BW202" s="60" t="n">
        <f aca="false">IF(ISNUMBER(AC202),1,0)</f>
        <v>0</v>
      </c>
      <c r="BX202" s="57" t="n">
        <f aca="false">N(AC202)</f>
        <v>0</v>
      </c>
      <c r="BY202" s="57" t="n">
        <f aca="false">N(L202)+N(M202)</f>
        <v>6</v>
      </c>
      <c r="BZ202" s="57" t="n">
        <f aca="false">ROUNDUP(G202/BQ202,0)</f>
        <v>1</v>
      </c>
      <c r="CA202" s="57" t="n">
        <f aca="false">ROUNDUP(BX202/BQ202,0)</f>
        <v>0</v>
      </c>
      <c r="CB202" s="60" t="n">
        <f aca="false">IF(BR202=1,0,IFERROR(VLOOKUP(BP202,'Gebinde-Kategorie'!$A$5:$M$45,5,0)+0,0))</f>
        <v>21</v>
      </c>
      <c r="CC202" s="60" t="n">
        <f aca="false">IFERROR(IF(OR(BT202=1,BT202=2,BT202=3),N(INDEX(Parameter!$I$5:$I$7,BT202)),0),0)</f>
        <v>0</v>
      </c>
      <c r="CD202" s="59" t="n">
        <f aca="false">IF(AND(Parameter!$B$21="Ja",ISNUMBER(U202),N(V202)&gt;0),IFERROR(N(INDEX(Parameter!$L$5:$L$7,U202))*INDEX(Parameter!$E$5:$E$7,U202)*V202/SUMIFS($V$7:$V$1576,$U$7:$U$1576,U202),0),0)</f>
        <v>0</v>
      </c>
    </row>
    <row r="203" customFormat="false" ht="15" hidden="false" customHeight="false" outlineLevel="0" collapsed="false">
      <c r="A203" s="55" t="s">
        <v>595</v>
      </c>
      <c r="B203" s="55" t="s">
        <v>596</v>
      </c>
      <c r="C203" s="55" t="s">
        <v>160</v>
      </c>
      <c r="D203" s="55" t="s">
        <v>178</v>
      </c>
      <c r="E203" s="55" t="s">
        <v>210</v>
      </c>
      <c r="F203" s="56" t="n">
        <v>44.47</v>
      </c>
      <c r="G203" s="57" t="n">
        <f aca="false">MAX(0,IF(AND(Parameter!$B$21="Ja",ISNUMBER(W203)),W203,IF(Parameter!$B$20="Jahresanfang 2025 + Export",BJ203+BI203,BI203)))</f>
        <v>18</v>
      </c>
      <c r="H203" s="57" t="n">
        <f aca="false">G203*F203</f>
        <v>800.46</v>
      </c>
      <c r="I203" s="57" t="n">
        <f aca="false">BL203*Parameter!$B$18</f>
        <v>25</v>
      </c>
      <c r="J203" s="58" t="n">
        <v>2.5</v>
      </c>
      <c r="K203" s="59" t="n">
        <v>10</v>
      </c>
      <c r="L203" s="57" t="n">
        <v>1</v>
      </c>
      <c r="M203" s="57" t="n">
        <v>25</v>
      </c>
      <c r="N203" s="60" t="n">
        <v>28</v>
      </c>
      <c r="O203" s="55" t="s">
        <v>411</v>
      </c>
      <c r="P203" s="57" t="n">
        <v>25</v>
      </c>
      <c r="Q203" s="60" t="n">
        <f aca="false">IF(BR203=1,0,IFERROR(VLOOKUP(BP203,'Gebinde-Kategorie'!$A$5:$M$45,13,0)+0,0))</f>
        <v>132</v>
      </c>
      <c r="R203" s="61"/>
      <c r="S203" s="62"/>
      <c r="T203" s="62"/>
      <c r="U203" s="55"/>
      <c r="V203" s="57"/>
      <c r="W203" s="57"/>
      <c r="X203" s="55" t="n">
        <f aca="false">IF(A203="","",IF(AND(Parameter!$B$21="Ja",ISNUMBER(U203)),U203,IF(IFERROR(VLOOKUP(D203,Parameter!$A$35:$C$64,2,0),"Nein")="2+3",IF(ISNUMBER(SEARCH("grosser Artikel",BM203)),2,IFERROR(VLOOKUP(BP203,Parameter!$F$35:$G$64,2,0),2)),IF(OR(IFERROR(VLOOKUP(D203,Parameter!$A$35:$C$64,2,0),"Nein")="Nein",IFERROR(VLOOKUP(D203,Parameter!$A$35:$C$64,2,0),"Nein")=""),"-",VLOOKUP(D203,Parameter!$A$35:$C$64,2,0)))))</f>
        <v>3</v>
      </c>
      <c r="Y203" s="62"/>
      <c r="Z203" s="63"/>
      <c r="AA203" s="57" t="n">
        <f aca="false">AP203</f>
        <v>50</v>
      </c>
      <c r="AB203" s="57" t="n">
        <f aca="false">MAX(AP203,G203)</f>
        <v>50</v>
      </c>
      <c r="AC203" s="64"/>
      <c r="AD203" s="57" t="n">
        <f aca="false">IF(LEFT(Cockpit!$C$5,1)="A",G203,IF(BW203=1,BX203,IF(LEFT(Cockpit!$C$5,1)="B",AH203,MAX(AH203,G203))))</f>
        <v>18</v>
      </c>
      <c r="AE203" s="57" t="n">
        <f aca="false">IF(BR203=1,0,ROUNDUP(AD203/BQ203,0))</f>
        <v>1</v>
      </c>
      <c r="AF203" s="59" t="n">
        <f aca="false">IF(CD203&gt;0,CD203*MAX(1,AD203/V203),IF(BR203=1,IF(AD203&lt;=0,0,BS203*MAX(1,IF(G203&gt;0,AD203/G203,1))),IF(Q203&gt;0,AE203/Q203,0))/MAX(0.1,N(Parameter!$M$21)))</f>
        <v>0.00757575757575758</v>
      </c>
      <c r="AG203" s="57" t="n">
        <f aca="false">AD203*F203</f>
        <v>800.46</v>
      </c>
      <c r="AH203" s="57" t="n">
        <f aca="false">ROUNDUP(MAX(I203/IF(BV203&gt;0,BV203,MAX(0.1,N(Cockpit!$C$6))),BY203)/BQ203,0)*BQ203</f>
        <v>50</v>
      </c>
      <c r="AI203" s="58" t="n">
        <f aca="false">IF(AF203&gt;0,I203/AF203,-1)</f>
        <v>3300</v>
      </c>
      <c r="AJ203" s="58" t="n">
        <f aca="false">IF(AND(OR(BU203="L1",BU203="L23"),AF203&gt;0),SUMIFS($AF$7:$AF$1576,$BU$7:$BU$1576,BU203,$AI$7:$AI$1576,"&gt;"&amp;AI203)+SUMIFS($AF$7:$AF$1576,$BU$7:$BU$1576,BU203,$AI$7:$AI$1576,AI203,$BO$7:$BO$1576,"&lt;="&amp;BO203),"")</f>
        <v>4.57204452552279</v>
      </c>
      <c r="AK203" s="65" t="n">
        <f aca="false">IF(AJ203="",0,MAX(0,MIN(1,(IF(BU203="L1",Parameter!$E$5,Parameter!$E$6+Parameter!$E$7)-(AJ203-AF203))/AF203)))</f>
        <v>1</v>
      </c>
      <c r="AL203" s="57" t="n">
        <f aca="false">IF(LEFT(Cockpit!$I$5,1)="A",G203,IF(BW203=1,BX203,IF(LEFT(Cockpit!$I$5,1)="B",AP203,MAX(AP203,G203))))</f>
        <v>50</v>
      </c>
      <c r="AM203" s="57" t="n">
        <f aca="false">IF(BR203=1,0,ROUNDUP(AL203/BQ203,0))</f>
        <v>2</v>
      </c>
      <c r="AN203" s="59" t="n">
        <f aca="false">IF(CD203&gt;0,CD203*MAX(1,AL203/V203),IF(BR203=1,IF(AL203&lt;=0,0,BS203*MAX(1,IF(G203&gt;0,AL203/G203,1))),IF(Q203&gt;0,AM203/Q203,0))/MAX(0.1,N(Parameter!$M$21)))</f>
        <v>0.0151515151515152</v>
      </c>
      <c r="AO203" s="57" t="n">
        <f aca="false">AL203*F203</f>
        <v>2223.5</v>
      </c>
      <c r="AP203" s="57" t="n">
        <f aca="false">ROUNDUP(MAX(I203/IF(BV203&gt;0,BV203,MAX(0.1,N(Cockpit!$I$6))),BY203)/BQ203,0)*BQ203</f>
        <v>50</v>
      </c>
      <c r="AQ203" s="58" t="n">
        <f aca="false">IF(AN203&gt;0,I203/AN203,-1)</f>
        <v>1650</v>
      </c>
      <c r="AR203" s="58" t="n">
        <f aca="false">IF(AND(OR(BU203="L1",BU203="L23"),AN203&gt;0),SUMIFS($AN$7:$AN$1576,$BU$7:$BU$1576,BU203,$AQ$7:$AQ$1576,"&gt;"&amp;AQ203)+SUMIFS($AN$7:$AN$1576,$BU$7:$BU$1576,BU203,$AQ$7:$AQ$1576,AQ203,$BO$7:$BO$1576,"&lt;="&amp;BO203),"")</f>
        <v>18.5096773399059</v>
      </c>
      <c r="AS203" s="65" t="n">
        <f aca="false">IF(AR203="",0,MAX(0,MIN(1,(IF(BU203="L1",Parameter!$E$5,Parameter!$E$6+Parameter!$E$7)-(AR203-AN203))/AN203)))</f>
        <v>1</v>
      </c>
      <c r="AT203" s="57" t="n">
        <f aca="false">IF(LEFT(Cockpit!$O$5,1)="A",G203,IF(BW203=1,BX203,IF(LEFT(Cockpit!$O$5,1)="B",AX203,MAX(AX203,G203))))</f>
        <v>50</v>
      </c>
      <c r="AU203" s="57" t="n">
        <f aca="false">IF(BR203=1,0,ROUNDUP(AT203/BQ203,0))</f>
        <v>2</v>
      </c>
      <c r="AV203" s="59" t="n">
        <f aca="false">IF(CD203&gt;0,CD203*MAX(1,AT203/V203),IF(BR203=1,IF(AT203&lt;=0,0,BS203*MAX(1,IF(G203&gt;0,AT203/G203,1))),IF(Q203&gt;0,AU203/Q203,0))/MAX(0.1,N(Parameter!$M$21)))</f>
        <v>0.0151515151515152</v>
      </c>
      <c r="AW203" s="57" t="n">
        <f aca="false">AT203*F203</f>
        <v>2223.5</v>
      </c>
      <c r="AX203" s="57" t="n">
        <f aca="false">ROUNDUP(MAX(I203/IF(BV203&gt;0,BV203,MAX(0.1,N(Cockpit!$O$6))),BY203)/BQ203,0)*BQ203</f>
        <v>50</v>
      </c>
      <c r="AY203" s="58" t="n">
        <f aca="false">IF(AV203&gt;0,I203/AV203,-1)</f>
        <v>1650</v>
      </c>
      <c r="AZ203" s="58" t="n">
        <f aca="false">IF(AND(OR(BU203="L1",BU203="L23"),AV203&gt;0),SUMIFS($AV$7:$AV$1576,$BU$7:$BU$1576,BU203,$AY$7:$AY$1576,"&gt;"&amp;AY203)+SUMIFS($AV$7:$AV$1576,$BU$7:$BU$1576,BU203,$AY$7:$AY$1576,AY203,$BO$7:$BO$1576,"&lt;="&amp;BO203),"")</f>
        <v>17.4869500671786</v>
      </c>
      <c r="BA203" s="65" t="n">
        <f aca="false">IF(AZ203="",0,MAX(0,MIN(1,(IF(BU203="L1",Parameter!$E$5,Parameter!$E$6+Parameter!$E$7)-(AZ203-AV203))/AV203)))</f>
        <v>1</v>
      </c>
      <c r="BB203" s="55" t="str">
        <f aca="false">IF(AF203&lt;=0,"",IF(BU203="Aussen","Aussenlager",IF(BU203="-","Nicht im Lift",IF(AK203&gt;=1,"Lift",IF(AK203&lt;=0,"Aussenlager","teilweise")))))</f>
        <v>Lift</v>
      </c>
      <c r="BC203" s="55" t="str">
        <f aca="false">IF(AN203&lt;=0,"",IF(BU203="Aussen","Aussenlager",IF(BU203="-","Nicht im Lift",IF(AS203&gt;=1,"Lift",IF(AS203&lt;=0,"Aussenlager","teilweise")))))</f>
        <v>Lift</v>
      </c>
      <c r="BD203" s="55" t="str">
        <f aca="false">IF(AV203&lt;=0,"",IF(BU203="Aussen","Aussenlager",IF(BU203="-","Nicht im Lift",IF(BA203&gt;=1,"Lift",IF(BA203&lt;=0,"Aussenlager","teilweise")))))</f>
        <v>Lift</v>
      </c>
      <c r="BE203" s="55" t="str">
        <f aca="false">IF(A203="","",IF(BN203=1,"Neu; ","")&amp;IF(AND(BN203=0,BI203&lt;0),"negativer Bestand (Export "&amp;BI203&amp;"); ","")&amp;IF(I203&lt;=0,"Kein Verbrauch; ","")&amp;IF(CD203&gt;0,"Lift "&amp;U203&amp;" lt. Liftbericht (Fach "&amp;V203&amp;" Stk); ",IF(BR203=1,"Lose – Fläche geschätzt; ",""))&amp;IF(G203&gt;AP203,"Überbestand "&amp;ROUND(G203-AP203,0)&amp;" Stk / CHF "&amp;ROUND((G203-AP203)*F203,0)&amp;"; ","")&amp;IF(AND(BW203=1,BX203&lt;BY203),"MAX &lt; MB+LG; ","")&amp;IF(AND(CC203&gt;0,CB203*10&gt;CC203),"zu hoch für Tablar; ","")&amp;IF(AND(BN203=0,OR(BW203=1,Y203&lt;&gt;"",S203&lt;&gt;"",T203&lt;&gt;"",Z203&lt;&gt;"")),"manuell übersteuert; ","")&amp;IF(AND(BR203=0,Q203=0),"Gebinde unbekannt / Stellmass fehlt; ","")&amp;IF(AND(BR203=0,N(T203)&lt;=0,N(P203)&lt;=0),"Menge pro Gebinde fehlt (Ist = 1 Gebinde); ","")&amp;BM203)</f>
        <v/>
      </c>
      <c r="BF203" s="55"/>
      <c r="BG203" s="55"/>
      <c r="BH203" s="62"/>
      <c r="BI203" s="57" t="n">
        <v>18</v>
      </c>
      <c r="BJ203" s="57" t="n">
        <v>0</v>
      </c>
      <c r="BK203" s="56" t="n">
        <v>800.46</v>
      </c>
      <c r="BL203" s="57" t="n">
        <v>25</v>
      </c>
      <c r="BM203" s="55"/>
      <c r="BN203" s="60" t="n">
        <v>0</v>
      </c>
      <c r="BO203" s="60" t="n">
        <v>203</v>
      </c>
      <c r="BP203" s="55" t="str">
        <f aca="false">IF(S203&lt;&gt;"",UPPER(TRIM(S203)),IF(O203="","LOSE",O203))</f>
        <v>S32</v>
      </c>
      <c r="BQ203" s="57" t="n">
        <f aca="false">IF(BP203="LOSE",1,IF(N(T203)&gt;0,T203,IF(N(P203)&gt;0,P203,MAX(1,G203))))</f>
        <v>25</v>
      </c>
      <c r="BR203" s="60" t="n">
        <f aca="false">IF(BP203="LOSE",1,0)</f>
        <v>0</v>
      </c>
      <c r="BS203" s="59" t="n">
        <f aca="false">IF(BR203=0,0,IF(N(R203)&gt;0,R203,IFERROR(VLOOKUP(D203,Parameter!$A$35:$C$64,3,0)+0,0)))</f>
        <v>0</v>
      </c>
      <c r="BT203" s="55" t="n">
        <f aca="false">IF(Y203&lt;&gt;"",Y203,X203)</f>
        <v>3</v>
      </c>
      <c r="BU203" s="55" t="str">
        <f aca="false">IF(BT203=1,"L1",IF(OR(BT203=2,BT203=3),"L23",IF(BT203="Aussen","Aussen","-")))</f>
        <v>L23</v>
      </c>
      <c r="BV203" s="66" t="n">
        <f aca="false">IF(N(Z203)&gt;0,Z203,0)</f>
        <v>0</v>
      </c>
      <c r="BW203" s="60" t="n">
        <f aca="false">IF(ISNUMBER(AC203),1,0)</f>
        <v>0</v>
      </c>
      <c r="BX203" s="57" t="n">
        <f aca="false">N(AC203)</f>
        <v>0</v>
      </c>
      <c r="BY203" s="57" t="n">
        <f aca="false">N(L203)+N(M203)</f>
        <v>26</v>
      </c>
      <c r="BZ203" s="57" t="n">
        <f aca="false">ROUNDUP(G203/BQ203,0)</f>
        <v>1</v>
      </c>
      <c r="CA203" s="57" t="n">
        <f aca="false">ROUNDUP(BX203/BQ203,0)</f>
        <v>0</v>
      </c>
      <c r="CB203" s="60" t="n">
        <f aca="false">IF(BR203=1,0,IFERROR(VLOOKUP(BP203,'Gebinde-Kategorie'!$A$5:$M$45,5,0)+0,0))</f>
        <v>8</v>
      </c>
      <c r="CC203" s="60" t="n">
        <f aca="false">IFERROR(IF(OR(BT203=1,BT203=2,BT203=3),N(INDEX(Parameter!$I$5:$I$7,BT203)),0),0)</f>
        <v>0</v>
      </c>
      <c r="CD203" s="59" t="n">
        <f aca="false">IF(AND(Parameter!$B$21="Ja",ISNUMBER(U203),N(V203)&gt;0),IFERROR(N(INDEX(Parameter!$L$5:$L$7,U203))*INDEX(Parameter!$E$5:$E$7,U203)*V203/SUMIFS($V$7:$V$1576,$U$7:$U$1576,U203),0),0)</f>
        <v>0</v>
      </c>
    </row>
    <row r="204" customFormat="false" ht="15" hidden="false" customHeight="false" outlineLevel="0" collapsed="false">
      <c r="A204" s="55" t="s">
        <v>597</v>
      </c>
      <c r="B204" s="55" t="s">
        <v>598</v>
      </c>
      <c r="C204" s="55" t="s">
        <v>160</v>
      </c>
      <c r="D204" s="55" t="s">
        <v>178</v>
      </c>
      <c r="E204" s="55" t="s">
        <v>210</v>
      </c>
      <c r="F204" s="56" t="n">
        <v>31.77</v>
      </c>
      <c r="G204" s="57" t="n">
        <f aca="false">MAX(0,IF(AND(Parameter!$B$21="Ja",ISNUMBER(W204)),W204,IF(Parameter!$B$20="Jahresanfang 2025 + Export",BJ204+BI204,BI204)))</f>
        <v>25</v>
      </c>
      <c r="H204" s="57" t="n">
        <f aca="false">G204*F204</f>
        <v>794.25</v>
      </c>
      <c r="I204" s="57" t="n">
        <f aca="false">BL204*Parameter!$B$18</f>
        <v>0</v>
      </c>
      <c r="J204" s="58" t="n">
        <v>0</v>
      </c>
      <c r="K204" s="59" t="n">
        <v>0</v>
      </c>
      <c r="L204" s="57" t="n">
        <v>0</v>
      </c>
      <c r="M204" s="57" t="n">
        <v>1</v>
      </c>
      <c r="N204" s="60" t="n">
        <v>9999</v>
      </c>
      <c r="O204" s="55" t="s">
        <v>163</v>
      </c>
      <c r="P204" s="57"/>
      <c r="Q204" s="60" t="n">
        <f aca="false">IF(BR204=1,0,IFERROR(VLOOKUP(BP204,'Gebinde-Kategorie'!$A$5:$M$45,13,0)+0,0))</f>
        <v>0</v>
      </c>
      <c r="R204" s="61"/>
      <c r="S204" s="62"/>
      <c r="T204" s="62"/>
      <c r="U204" s="55"/>
      <c r="V204" s="57"/>
      <c r="W204" s="57"/>
      <c r="X204" s="55" t="n">
        <f aca="false">IF(A204="","",IF(AND(Parameter!$B$21="Ja",ISNUMBER(U204)),U204,IF(IFERROR(VLOOKUP(D204,Parameter!$A$35:$C$64,2,0),"Nein")="2+3",IF(ISNUMBER(SEARCH("grosser Artikel",BM204)),2,IFERROR(VLOOKUP(BP204,Parameter!$F$35:$G$64,2,0),2)),IF(OR(IFERROR(VLOOKUP(D204,Parameter!$A$35:$C$64,2,0),"Nein")="Nein",IFERROR(VLOOKUP(D204,Parameter!$A$35:$C$64,2,0),"Nein")=""),"-",VLOOKUP(D204,Parameter!$A$35:$C$64,2,0)))))</f>
        <v>2</v>
      </c>
      <c r="Y204" s="62"/>
      <c r="Z204" s="63"/>
      <c r="AA204" s="57" t="n">
        <f aca="false">AP204</f>
        <v>1</v>
      </c>
      <c r="AB204" s="57" t="n">
        <f aca="false">MAX(AP204,G204)</f>
        <v>25</v>
      </c>
      <c r="AC204" s="64"/>
      <c r="AD204" s="57" t="n">
        <f aca="false">IF(LEFT(Cockpit!$C$5,1)="A",G204,IF(BW204=1,BX204,IF(LEFT(Cockpit!$C$5,1)="B",AH204,MAX(AH204,G204))))</f>
        <v>25</v>
      </c>
      <c r="AE204" s="57" t="n">
        <f aca="false">IF(BR204=1,0,ROUNDUP(AD204/BQ204,0))</f>
        <v>0</v>
      </c>
      <c r="AF204" s="59" t="n">
        <f aca="false">IF(CD204&gt;0,CD204*MAX(1,AD204/V204),IF(BR204=1,IF(AD204&lt;=0,0,BS204*MAX(1,IF(G204&gt;0,AD204/G204,1))),IF(Q204&gt;0,AE204/Q204,0))/MAX(0.1,N(Parameter!$M$21)))</f>
        <v>0.03</v>
      </c>
      <c r="AG204" s="57" t="n">
        <f aca="false">AD204*F204</f>
        <v>794.25</v>
      </c>
      <c r="AH204" s="57" t="n">
        <f aca="false">ROUNDUP(MAX(I204/IF(BV204&gt;0,BV204,MAX(0.1,N(Cockpit!$C$6))),BY204)/BQ204,0)*BQ204</f>
        <v>1</v>
      </c>
      <c r="AI204" s="58" t="n">
        <f aca="false">IF(AF204&gt;0,I204/AF204,-1)</f>
        <v>0</v>
      </c>
      <c r="AJ204" s="58" t="n">
        <f aca="false">IF(AND(OR(BU204="L1",BU204="L23"),AF204&gt;0),SUMIFS($AF$7:$AF$1576,$BU$7:$BU$1576,BU204,$AI$7:$AI$1576,"&gt;"&amp;AI204)+SUMIFS($AF$7:$AF$1576,$BU$7:$BU$1576,BU204,$AI$7:$AI$1576,AI204,$BO$7:$BO$1576,"&lt;="&amp;BO204),"")</f>
        <v>39.3869406438972</v>
      </c>
      <c r="AK204" s="65" t="n">
        <f aca="false">IF(AJ204="",0,MAX(0,MIN(1,(IF(BU204="L1",Parameter!$E$5,Parameter!$E$6+Parameter!$E$7)-(AJ204-AF204))/AF204)))</f>
        <v>1</v>
      </c>
      <c r="AL204" s="57" t="n">
        <f aca="false">IF(LEFT(Cockpit!$I$5,1)="A",G204,IF(BW204=1,BX204,IF(LEFT(Cockpit!$I$5,1)="B",AP204,MAX(AP204,G204))))</f>
        <v>25</v>
      </c>
      <c r="AM204" s="57" t="n">
        <f aca="false">IF(BR204=1,0,ROUNDUP(AL204/BQ204,0))</f>
        <v>0</v>
      </c>
      <c r="AN204" s="59" t="n">
        <f aca="false">IF(CD204&gt;0,CD204*MAX(1,AL204/V204),IF(BR204=1,IF(AL204&lt;=0,0,BS204*MAX(1,IF(G204&gt;0,AL204/G204,1))),IF(Q204&gt;0,AM204/Q204,0))/MAX(0.1,N(Parameter!$M$21)))</f>
        <v>0.03</v>
      </c>
      <c r="AO204" s="57" t="n">
        <f aca="false">AL204*F204</f>
        <v>794.25</v>
      </c>
      <c r="AP204" s="57" t="n">
        <f aca="false">ROUNDUP(MAX(I204/IF(BV204&gt;0,BV204,MAX(0.1,N(Cockpit!$I$6))),BY204)/BQ204,0)*BQ204</f>
        <v>1</v>
      </c>
      <c r="AQ204" s="58" t="n">
        <f aca="false">IF(AN204&gt;0,I204/AN204,-1)</f>
        <v>0</v>
      </c>
      <c r="AR204" s="58" t="n">
        <f aca="false">IF(AND(OR(BU204="L1",BU204="L23"),AN204&gt;0),SUMIFS($AN$7:$AN$1576,$BU$7:$BU$1576,BU204,$AQ$7:$AQ$1576,"&gt;"&amp;AQ204)+SUMIFS($AN$7:$AN$1576,$BU$7:$BU$1576,BU204,$AQ$7:$AQ$1576,AQ204,$BO$7:$BO$1576,"&lt;="&amp;BO204),"")</f>
        <v>122.261146393687</v>
      </c>
      <c r="AS204" s="65" t="n">
        <f aca="false">IF(AR204="",0,MAX(0,MIN(1,(IF(BU204="L1",Parameter!$E$5,Parameter!$E$6+Parameter!$E$7)-(AR204-AN204))/AN204)))</f>
        <v>0</v>
      </c>
      <c r="AT204" s="57" t="n">
        <f aca="false">IF(LEFT(Cockpit!$O$5,1)="A",G204,IF(BW204=1,BX204,IF(LEFT(Cockpit!$O$5,1)="B",AX204,MAX(AX204,G204))))</f>
        <v>25</v>
      </c>
      <c r="AU204" s="57" t="n">
        <f aca="false">IF(BR204=1,0,ROUNDUP(AT204/BQ204,0))</f>
        <v>0</v>
      </c>
      <c r="AV204" s="59" t="n">
        <f aca="false">IF(CD204&gt;0,CD204*MAX(1,AT204/V204),IF(BR204=1,IF(AT204&lt;=0,0,BS204*MAX(1,IF(G204&gt;0,AT204/G204,1))),IF(Q204&gt;0,AU204/Q204,0))/MAX(0.1,N(Parameter!$M$21)))</f>
        <v>0.03</v>
      </c>
      <c r="AW204" s="57" t="n">
        <f aca="false">AT204*F204</f>
        <v>794.25</v>
      </c>
      <c r="AX204" s="57" t="n">
        <f aca="false">ROUNDUP(MAX(I204/IF(BV204&gt;0,BV204,MAX(0.1,N(Cockpit!$O$6))),BY204)/BQ204,0)*BQ204</f>
        <v>1</v>
      </c>
      <c r="AY204" s="58" t="n">
        <f aca="false">IF(AV204&gt;0,I204/AV204,-1)</f>
        <v>0</v>
      </c>
      <c r="AZ204" s="58" t="n">
        <f aca="false">IF(AND(OR(BU204="L1",BU204="L23"),AV204&gt;0),SUMIFS($AV$7:$AV$1576,$BU$7:$BU$1576,BU204,$AY$7:$AY$1576,"&gt;"&amp;AY204)+SUMIFS($AV$7:$AV$1576,$BU$7:$BU$1576,BU204,$AY$7:$AY$1576,AY204,$BO$7:$BO$1576,"&lt;="&amp;BO204),"")</f>
        <v>112.320696843237</v>
      </c>
      <c r="BA204" s="65" t="n">
        <f aca="false">IF(AZ204="",0,MAX(0,MIN(1,(IF(BU204="L1",Parameter!$E$5,Parameter!$E$6+Parameter!$E$7)-(AZ204-AV204))/AV204)))</f>
        <v>0</v>
      </c>
      <c r="BB204" s="55" t="str">
        <f aca="false">IF(AF204&lt;=0,"",IF(BU204="Aussen","Aussenlager",IF(BU204="-","Nicht im Lift",IF(AK204&gt;=1,"Lift",IF(AK204&lt;=0,"Aussenlager","teilweise")))))</f>
        <v>Lift</v>
      </c>
      <c r="BC204" s="55" t="str">
        <f aca="false">IF(AN204&lt;=0,"",IF(BU204="Aussen","Aussenlager",IF(BU204="-","Nicht im Lift",IF(AS204&gt;=1,"Lift",IF(AS204&lt;=0,"Aussenlager","teilweise")))))</f>
        <v>Aussenlager</v>
      </c>
      <c r="BD204" s="55" t="str">
        <f aca="false">IF(AV204&lt;=0,"",IF(BU204="Aussen","Aussenlager",IF(BU204="-","Nicht im Lift",IF(BA204&gt;=1,"Lift",IF(BA204&lt;=0,"Aussenlager","teilweise")))))</f>
        <v>Aussenlager</v>
      </c>
      <c r="BE204" s="55" t="str">
        <f aca="false">IF(A204="","",IF(BN204=1,"Neu; ","")&amp;IF(AND(BN204=0,BI204&lt;0),"negativer Bestand (Export "&amp;BI204&amp;"); ","")&amp;IF(I204&lt;=0,"Kein Verbrauch; ","")&amp;IF(CD204&gt;0,"Lift "&amp;U204&amp;" lt. Liftbericht (Fach "&amp;V204&amp;" Stk); ",IF(BR204=1,"Lose – Fläche geschätzt; ",""))&amp;IF(G204&gt;AP204,"Überbestand "&amp;ROUND(G204-AP204,0)&amp;" Stk / CHF "&amp;ROUND((G204-AP204)*F204,0)&amp;"; ","")&amp;IF(AND(BW204=1,BX204&lt;BY204),"MAX &lt; MB+LG; ","")&amp;IF(AND(CC204&gt;0,CB204*10&gt;CC204),"zu hoch für Tablar; ","")&amp;IF(AND(BN204=0,OR(BW204=1,Y204&lt;&gt;"",S204&lt;&gt;"",T204&lt;&gt;"",Z204&lt;&gt;"")),"manuell übersteuert; ","")&amp;IF(AND(BR204=0,Q204=0),"Gebinde unbekannt / Stellmass fehlt; ","")&amp;IF(AND(BR204=0,N(T204)&lt;=0,N(P204)&lt;=0),"Menge pro Gebinde fehlt (Ist = 1 Gebinde); ","")&amp;BM204)</f>
        <v>Kein Verbrauch; Lose – Fläche geschätzt; Überbestand 24 Stk / CHF 762; </v>
      </c>
      <c r="BF204" s="55"/>
      <c r="BG204" s="55"/>
      <c r="BH204" s="62"/>
      <c r="BI204" s="57" t="n">
        <v>25</v>
      </c>
      <c r="BJ204" s="57" t="n">
        <v>0</v>
      </c>
      <c r="BK204" s="56" t="n">
        <v>794.25</v>
      </c>
      <c r="BL204" s="57" t="n">
        <v>0</v>
      </c>
      <c r="BM204" s="55"/>
      <c r="BN204" s="60" t="n">
        <v>0</v>
      </c>
      <c r="BO204" s="60" t="n">
        <v>204</v>
      </c>
      <c r="BP204" s="55" t="str">
        <f aca="false">IF(S204&lt;&gt;"",UPPER(TRIM(S204)),IF(O204="","LOSE",O204))</f>
        <v>LOSE</v>
      </c>
      <c r="BQ204" s="57" t="n">
        <f aca="false">IF(BP204="LOSE",1,IF(N(T204)&gt;0,T204,IF(N(P204)&gt;0,P204,MAX(1,G204))))</f>
        <v>1</v>
      </c>
      <c r="BR204" s="60" t="n">
        <f aca="false">IF(BP204="LOSE",1,0)</f>
        <v>1</v>
      </c>
      <c r="BS204" s="59" t="n">
        <f aca="false">IF(BR204=0,0,IF(N(R204)&gt;0,R204,IFERROR(VLOOKUP(D204,Parameter!$A$35:$C$64,3,0)+0,0)))</f>
        <v>0.03</v>
      </c>
      <c r="BT204" s="55" t="n">
        <f aca="false">IF(Y204&lt;&gt;"",Y204,X204)</f>
        <v>2</v>
      </c>
      <c r="BU204" s="55" t="str">
        <f aca="false">IF(BT204=1,"L1",IF(OR(BT204=2,BT204=3),"L23",IF(BT204="Aussen","Aussen","-")))</f>
        <v>L23</v>
      </c>
      <c r="BV204" s="66" t="n">
        <f aca="false">IF(N(Z204)&gt;0,Z204,0)</f>
        <v>0</v>
      </c>
      <c r="BW204" s="60" t="n">
        <f aca="false">IF(ISNUMBER(AC204),1,0)</f>
        <v>0</v>
      </c>
      <c r="BX204" s="57" t="n">
        <f aca="false">N(AC204)</f>
        <v>0</v>
      </c>
      <c r="BY204" s="57" t="n">
        <f aca="false">N(L204)+N(M204)</f>
        <v>1</v>
      </c>
      <c r="BZ204" s="57" t="n">
        <f aca="false">ROUNDUP(G204/BQ204,0)</f>
        <v>25</v>
      </c>
      <c r="CA204" s="57" t="n">
        <f aca="false">ROUNDUP(BX204/BQ204,0)</f>
        <v>0</v>
      </c>
      <c r="CB204" s="60" t="n">
        <f aca="false">IF(BR204=1,0,IFERROR(VLOOKUP(BP204,'Gebinde-Kategorie'!$A$5:$M$45,5,0)+0,0))</f>
        <v>0</v>
      </c>
      <c r="CC204" s="60" t="n">
        <f aca="false">IFERROR(IF(OR(BT204=1,BT204=2,BT204=3),N(INDEX(Parameter!$I$5:$I$7,BT204)),0),0)</f>
        <v>0</v>
      </c>
      <c r="CD204" s="59" t="n">
        <f aca="false">IF(AND(Parameter!$B$21="Ja",ISNUMBER(U204),N(V204)&gt;0),IFERROR(N(INDEX(Parameter!$L$5:$L$7,U204))*INDEX(Parameter!$E$5:$E$7,U204)*V204/SUMIFS($V$7:$V$1576,$U$7:$U$1576,U204),0),0)</f>
        <v>0</v>
      </c>
    </row>
    <row r="205" customFormat="false" ht="15" hidden="false" customHeight="false" outlineLevel="0" collapsed="false">
      <c r="A205" s="55" t="s">
        <v>599</v>
      </c>
      <c r="B205" s="55" t="s">
        <v>292</v>
      </c>
      <c r="C205" s="55" t="s">
        <v>160</v>
      </c>
      <c r="D205" s="55" t="s">
        <v>178</v>
      </c>
      <c r="E205" s="55" t="s">
        <v>210</v>
      </c>
      <c r="F205" s="56" t="n">
        <v>539</v>
      </c>
      <c r="G205" s="57" t="n">
        <f aca="false">MAX(0,IF(AND(Parameter!$B$21="Ja",ISNUMBER(W205)),W205,IF(Parameter!$B$20="Jahresanfang 2025 + Export",BJ205+BI205,BI205)))</f>
        <v>1</v>
      </c>
      <c r="H205" s="57" t="n">
        <f aca="false">G205*F205</f>
        <v>539</v>
      </c>
      <c r="I205" s="57" t="n">
        <f aca="false">BL205*Parameter!$B$18</f>
        <v>4</v>
      </c>
      <c r="J205" s="58" t="n">
        <v>4.5</v>
      </c>
      <c r="K205" s="59" t="n">
        <v>0.888888888888889</v>
      </c>
      <c r="L205" s="57" t="n">
        <v>0</v>
      </c>
      <c r="M205" s="57" t="n">
        <v>5</v>
      </c>
      <c r="N205" s="60" t="n">
        <v>35</v>
      </c>
      <c r="O205" s="55" t="s">
        <v>319</v>
      </c>
      <c r="P205" s="57" t="n">
        <v>4</v>
      </c>
      <c r="Q205" s="60" t="n">
        <f aca="false">IF(BR205=1,0,IFERROR(VLOOKUP(BP205,'Gebinde-Kategorie'!$A$5:$M$45,13,0)+0,0))</f>
        <v>52</v>
      </c>
      <c r="R205" s="61"/>
      <c r="S205" s="62"/>
      <c r="T205" s="62"/>
      <c r="U205" s="55"/>
      <c r="V205" s="57"/>
      <c r="W205" s="57"/>
      <c r="X205" s="55" t="n">
        <f aca="false">IF(A205="","",IF(AND(Parameter!$B$21="Ja",ISNUMBER(U205)),U205,IF(IFERROR(VLOOKUP(D205,Parameter!$A$35:$C$64,2,0),"Nein")="2+3",IF(ISNUMBER(SEARCH("grosser Artikel",BM205)),2,IFERROR(VLOOKUP(BP205,Parameter!$F$35:$G$64,2,0),2)),IF(OR(IFERROR(VLOOKUP(D205,Parameter!$A$35:$C$64,2,0),"Nein")="Nein",IFERROR(VLOOKUP(D205,Parameter!$A$35:$C$64,2,0),"Nein")=""),"-",VLOOKUP(D205,Parameter!$A$35:$C$64,2,0)))))</f>
        <v>3</v>
      </c>
      <c r="Y205" s="62"/>
      <c r="Z205" s="63"/>
      <c r="AA205" s="57" t="n">
        <f aca="false">AP205</f>
        <v>8</v>
      </c>
      <c r="AB205" s="57" t="n">
        <f aca="false">MAX(AP205,G205)</f>
        <v>8</v>
      </c>
      <c r="AC205" s="64"/>
      <c r="AD205" s="57" t="n">
        <f aca="false">IF(LEFT(Cockpit!$C$5,1)="A",G205,IF(BW205=1,BX205,IF(LEFT(Cockpit!$C$5,1)="B",AH205,MAX(AH205,G205))))</f>
        <v>1</v>
      </c>
      <c r="AE205" s="57" t="n">
        <f aca="false">IF(BR205=1,0,ROUNDUP(AD205/BQ205,0))</f>
        <v>1</v>
      </c>
      <c r="AF205" s="59" t="n">
        <f aca="false">IF(CD205&gt;0,CD205*MAX(1,AD205/V205),IF(BR205=1,IF(AD205&lt;=0,0,BS205*MAX(1,IF(G205&gt;0,AD205/G205,1))),IF(Q205&gt;0,AE205/Q205,0))/MAX(0.1,N(Parameter!$M$21)))</f>
        <v>0.0192307692307692</v>
      </c>
      <c r="AG205" s="57" t="n">
        <f aca="false">AD205*F205</f>
        <v>539</v>
      </c>
      <c r="AH205" s="57" t="n">
        <f aca="false">ROUNDUP(MAX(I205/IF(BV205&gt;0,BV205,MAX(0.1,N(Cockpit!$C$6))),BY205)/BQ205,0)*BQ205</f>
        <v>8</v>
      </c>
      <c r="AI205" s="58" t="n">
        <f aca="false">IF(AF205&gt;0,I205/AF205,-1)</f>
        <v>208</v>
      </c>
      <c r="AJ205" s="58" t="n">
        <f aca="false">IF(AND(OR(BU205="L1",BU205="L23"),AF205&gt;0),SUMIFS($AF$7:$AF$1576,$BU$7:$BU$1576,BU205,$AI$7:$AI$1576,"&gt;"&amp;AI205)+SUMIFS($AF$7:$AF$1576,$BU$7:$BU$1576,BU205,$AI$7:$AI$1576,AI205,$BO$7:$BO$1576,"&lt;="&amp;BO205),"")</f>
        <v>16.9397692645519</v>
      </c>
      <c r="AK205" s="65" t="n">
        <f aca="false">IF(AJ205="",0,MAX(0,MIN(1,(IF(BU205="L1",Parameter!$E$5,Parameter!$E$6+Parameter!$E$7)-(AJ205-AF205))/AF205)))</f>
        <v>1</v>
      </c>
      <c r="AL205" s="57" t="n">
        <f aca="false">IF(LEFT(Cockpit!$I$5,1)="A",G205,IF(BW205=1,BX205,IF(LEFT(Cockpit!$I$5,1)="B",AP205,MAX(AP205,G205))))</f>
        <v>8</v>
      </c>
      <c r="AM205" s="57" t="n">
        <f aca="false">IF(BR205=1,0,ROUNDUP(AL205/BQ205,0))</f>
        <v>2</v>
      </c>
      <c r="AN205" s="59" t="n">
        <f aca="false">IF(CD205&gt;0,CD205*MAX(1,AL205/V205),IF(BR205=1,IF(AL205&lt;=0,0,BS205*MAX(1,IF(G205&gt;0,AL205/G205,1))),IF(Q205&gt;0,AM205/Q205,0))/MAX(0.1,N(Parameter!$M$21)))</f>
        <v>0.0384615384615385</v>
      </c>
      <c r="AO205" s="57" t="n">
        <f aca="false">AL205*F205</f>
        <v>4312</v>
      </c>
      <c r="AP205" s="57" t="n">
        <f aca="false">ROUNDUP(MAX(I205/IF(BV205&gt;0,BV205,MAX(0.1,N(Cockpit!$I$6))),BY205)/BQ205,0)*BQ205</f>
        <v>8</v>
      </c>
      <c r="AQ205" s="58" t="n">
        <f aca="false">IF(AN205&gt;0,I205/AN205,-1)</f>
        <v>104</v>
      </c>
      <c r="AR205" s="58" t="n">
        <f aca="false">IF(AND(OR(BU205="L1",BU205="L23"),AN205&gt;0),SUMIFS($AN$7:$AN$1576,$BU$7:$BU$1576,BU205,$AQ$7:$AQ$1576,"&gt;"&amp;AQ205)+SUMIFS($AN$7:$AN$1576,$BU$7:$BU$1576,BU205,$AQ$7:$AQ$1576,AQ205,$BO$7:$BO$1576,"&lt;="&amp;BO205),"")</f>
        <v>68.5034446897058</v>
      </c>
      <c r="AS205" s="65" t="n">
        <f aca="false">IF(AR205="",0,MAX(0,MIN(1,(IF(BU205="L1",Parameter!$E$5,Parameter!$E$6+Parameter!$E$7)-(AR205-AN205))/AN205)))</f>
        <v>1</v>
      </c>
      <c r="AT205" s="57" t="n">
        <f aca="false">IF(LEFT(Cockpit!$O$5,1)="A",G205,IF(BW205=1,BX205,IF(LEFT(Cockpit!$O$5,1)="B",AX205,MAX(AX205,G205))))</f>
        <v>8</v>
      </c>
      <c r="AU205" s="57" t="n">
        <f aca="false">IF(BR205=1,0,ROUNDUP(AT205/BQ205,0))</f>
        <v>2</v>
      </c>
      <c r="AV205" s="59" t="n">
        <f aca="false">IF(CD205&gt;0,CD205*MAX(1,AT205/V205),IF(BR205=1,IF(AT205&lt;=0,0,BS205*MAX(1,IF(G205&gt;0,AT205/G205,1))),IF(Q205&gt;0,AU205/Q205,0))/MAX(0.1,N(Parameter!$M$21)))</f>
        <v>0.0384615384615385</v>
      </c>
      <c r="AW205" s="57" t="n">
        <f aca="false">AT205*F205</f>
        <v>4312</v>
      </c>
      <c r="AX205" s="57" t="n">
        <f aca="false">ROUNDUP(MAX(I205/IF(BV205&gt;0,BV205,MAX(0.1,N(Cockpit!$O$6))),BY205)/BQ205,0)*BQ205</f>
        <v>8</v>
      </c>
      <c r="AY205" s="58" t="n">
        <f aca="false">IF(AV205&gt;0,I205/AV205,-1)</f>
        <v>104</v>
      </c>
      <c r="AZ205" s="58" t="n">
        <f aca="false">IF(AND(OR(BU205="L1",BU205="L23"),AV205&gt;0),SUMIFS($AV$7:$AV$1576,$BU$7:$BU$1576,BU205,$AY$7:$AY$1576,"&gt;"&amp;AY205)+SUMIFS($AV$7:$AV$1576,$BU$7:$BU$1576,BU205,$AY$7:$AY$1576,AY205,$BO$7:$BO$1576,"&lt;="&amp;BO205),"")</f>
        <v>63.0638284725896</v>
      </c>
      <c r="BA205" s="65" t="n">
        <f aca="false">IF(AZ205="",0,MAX(0,MIN(1,(IF(BU205="L1",Parameter!$E$5,Parameter!$E$6+Parameter!$E$7)-(AZ205-AV205))/AV205)))</f>
        <v>1</v>
      </c>
      <c r="BB205" s="55" t="str">
        <f aca="false">IF(AF205&lt;=0,"",IF(BU205="Aussen","Aussenlager",IF(BU205="-","Nicht im Lift",IF(AK205&gt;=1,"Lift",IF(AK205&lt;=0,"Aussenlager","teilweise")))))</f>
        <v>Lift</v>
      </c>
      <c r="BC205" s="55" t="str">
        <f aca="false">IF(AN205&lt;=0,"",IF(BU205="Aussen","Aussenlager",IF(BU205="-","Nicht im Lift",IF(AS205&gt;=1,"Lift",IF(AS205&lt;=0,"Aussenlager","teilweise")))))</f>
        <v>Lift</v>
      </c>
      <c r="BD205" s="55" t="str">
        <f aca="false">IF(AV205&lt;=0,"",IF(BU205="Aussen","Aussenlager",IF(BU205="-","Nicht im Lift",IF(BA205&gt;=1,"Lift",IF(BA205&lt;=0,"Aussenlager","teilweise")))))</f>
        <v>Lift</v>
      </c>
      <c r="BE205" s="55" t="str">
        <f aca="false">IF(A205="","",IF(BN205=1,"Neu; ","")&amp;IF(AND(BN205=0,BI205&lt;0),"negativer Bestand (Export "&amp;BI205&amp;"); ","")&amp;IF(I205&lt;=0,"Kein Verbrauch; ","")&amp;IF(CD205&gt;0,"Lift "&amp;U205&amp;" lt. Liftbericht (Fach "&amp;V205&amp;" Stk); ",IF(BR205=1,"Lose – Fläche geschätzt; ",""))&amp;IF(G205&gt;AP205,"Überbestand "&amp;ROUND(G205-AP205,0)&amp;" Stk / CHF "&amp;ROUND((G205-AP205)*F205,0)&amp;"; ","")&amp;IF(AND(BW205=1,BX205&lt;BY205),"MAX &lt; MB+LG; ","")&amp;IF(AND(CC205&gt;0,CB205*10&gt;CC205),"zu hoch für Tablar; ","")&amp;IF(AND(BN205=0,OR(BW205=1,Y205&lt;&gt;"",S205&lt;&gt;"",T205&lt;&gt;"",Z205&lt;&gt;"")),"manuell übersteuert; ","")&amp;IF(AND(BR205=0,Q205=0),"Gebinde unbekannt / Stellmass fehlt; ","")&amp;IF(AND(BR205=0,N(T205)&lt;=0,N(P205)&lt;=0),"Menge pro Gebinde fehlt (Ist = 1 Gebinde); ","")&amp;BM205)</f>
        <v/>
      </c>
      <c r="BF205" s="55"/>
      <c r="BG205" s="55"/>
      <c r="BH205" s="62"/>
      <c r="BI205" s="57" t="n">
        <v>1</v>
      </c>
      <c r="BJ205" s="57" t="n">
        <v>4</v>
      </c>
      <c r="BK205" s="56" t="n">
        <v>780.479999999999</v>
      </c>
      <c r="BL205" s="57" t="n">
        <v>4</v>
      </c>
      <c r="BM205" s="55"/>
      <c r="BN205" s="60" t="n">
        <v>0</v>
      </c>
      <c r="BO205" s="60" t="n">
        <v>205</v>
      </c>
      <c r="BP205" s="55" t="str">
        <f aca="false">IF(S205&lt;&gt;"",UPPER(TRIM(S205)),IF(O205="","LOSE",O205))</f>
        <v>S41</v>
      </c>
      <c r="BQ205" s="57" t="n">
        <f aca="false">IF(BP205="LOSE",1,IF(N(T205)&gt;0,T205,IF(N(P205)&gt;0,P205,MAX(1,G205))))</f>
        <v>4</v>
      </c>
      <c r="BR205" s="60" t="n">
        <f aca="false">IF(BP205="LOSE",1,0)</f>
        <v>0</v>
      </c>
      <c r="BS205" s="59" t="n">
        <f aca="false">IF(BR205=0,0,IF(N(R205)&gt;0,R205,IFERROR(VLOOKUP(D205,Parameter!$A$35:$C$64,3,0)+0,0)))</f>
        <v>0</v>
      </c>
      <c r="BT205" s="55" t="n">
        <f aca="false">IF(Y205&lt;&gt;"",Y205,X205)</f>
        <v>3</v>
      </c>
      <c r="BU205" s="55" t="str">
        <f aca="false">IF(BT205=1,"L1",IF(OR(BT205=2,BT205=3),"L23",IF(BT205="Aussen","Aussen","-")))</f>
        <v>L23</v>
      </c>
      <c r="BV205" s="66" t="n">
        <f aca="false">IF(N(Z205)&gt;0,Z205,0)</f>
        <v>0</v>
      </c>
      <c r="BW205" s="60" t="n">
        <f aca="false">IF(ISNUMBER(AC205),1,0)</f>
        <v>0</v>
      </c>
      <c r="BX205" s="57" t="n">
        <f aca="false">N(AC205)</f>
        <v>0</v>
      </c>
      <c r="BY205" s="57" t="n">
        <f aca="false">N(L205)+N(M205)</f>
        <v>5</v>
      </c>
      <c r="BZ205" s="57" t="n">
        <f aca="false">ROUNDUP(G205/BQ205,0)</f>
        <v>1</v>
      </c>
      <c r="CA205" s="57" t="n">
        <f aca="false">ROUNDUP(BX205/BQ205,0)</f>
        <v>0</v>
      </c>
      <c r="CB205" s="60" t="n">
        <f aca="false">IF(BR205=1,0,IFERROR(VLOOKUP(BP205,'Gebinde-Kategorie'!$A$5:$M$45,5,0)+0,0))</f>
        <v>11</v>
      </c>
      <c r="CC205" s="60" t="n">
        <f aca="false">IFERROR(IF(OR(BT205=1,BT205=2,BT205=3),N(INDEX(Parameter!$I$5:$I$7,BT205)),0),0)</f>
        <v>0</v>
      </c>
      <c r="CD205" s="59" t="n">
        <f aca="false">IF(AND(Parameter!$B$21="Ja",ISNUMBER(U205),N(V205)&gt;0),IFERROR(N(INDEX(Parameter!$L$5:$L$7,U205))*INDEX(Parameter!$E$5:$E$7,U205)*V205/SUMIFS($V$7:$V$1576,$U$7:$U$1576,U205),0),0)</f>
        <v>0</v>
      </c>
    </row>
    <row r="206" customFormat="false" ht="15" hidden="false" customHeight="false" outlineLevel="0" collapsed="false">
      <c r="A206" s="55" t="s">
        <v>600</v>
      </c>
      <c r="B206" s="55" t="s">
        <v>601</v>
      </c>
      <c r="C206" s="55" t="s">
        <v>160</v>
      </c>
      <c r="D206" s="55" t="s">
        <v>178</v>
      </c>
      <c r="E206" s="55" t="s">
        <v>210</v>
      </c>
      <c r="F206" s="56" t="n">
        <v>8.16</v>
      </c>
      <c r="G206" s="57" t="n">
        <f aca="false">MAX(0,IF(AND(Parameter!$B$21="Ja",ISNUMBER(W206)),W206,IF(Parameter!$B$20="Jahresanfang 2025 + Export",BJ206+BI206,BI206)))</f>
        <v>90</v>
      </c>
      <c r="H206" s="57" t="n">
        <f aca="false">G206*F206</f>
        <v>734.4</v>
      </c>
      <c r="I206" s="57" t="n">
        <f aca="false">BL206*Parameter!$B$18</f>
        <v>151</v>
      </c>
      <c r="J206" s="58" t="n">
        <v>72</v>
      </c>
      <c r="K206" s="59" t="n">
        <v>2.09722222222222</v>
      </c>
      <c r="L206" s="57" t="n">
        <v>5</v>
      </c>
      <c r="M206" s="57" t="n">
        <v>150</v>
      </c>
      <c r="N206" s="60" t="n">
        <v>14</v>
      </c>
      <c r="O206" s="55" t="s">
        <v>465</v>
      </c>
      <c r="P206" s="57" t="n">
        <v>71</v>
      </c>
      <c r="Q206" s="60" t="n">
        <f aca="false">IF(BR206=1,0,IFERROR(VLOOKUP(BP206,'Gebinde-Kategorie'!$A$5:$M$45,13,0)+0,0))</f>
        <v>66</v>
      </c>
      <c r="R206" s="61"/>
      <c r="S206" s="62"/>
      <c r="T206" s="62"/>
      <c r="U206" s="55"/>
      <c r="V206" s="57"/>
      <c r="W206" s="57"/>
      <c r="X206" s="55" t="n">
        <f aca="false">IF(A206="","",IF(AND(Parameter!$B$21="Ja",ISNUMBER(U206)),U206,IF(IFERROR(VLOOKUP(D206,Parameter!$A$35:$C$64,2,0),"Nein")="2+3",IF(ISNUMBER(SEARCH("grosser Artikel",BM206)),2,IFERROR(VLOOKUP(BP206,Parameter!$F$35:$G$64,2,0),2)),IF(OR(IFERROR(VLOOKUP(D206,Parameter!$A$35:$C$64,2,0),"Nein")="Nein",IFERROR(VLOOKUP(D206,Parameter!$A$35:$C$64,2,0),"Nein")=""),"-",VLOOKUP(D206,Parameter!$A$35:$C$64,2,0)))))</f>
        <v>3</v>
      </c>
      <c r="Y206" s="62"/>
      <c r="Z206" s="63"/>
      <c r="AA206" s="57" t="n">
        <f aca="false">AP206</f>
        <v>213</v>
      </c>
      <c r="AB206" s="57" t="n">
        <f aca="false">MAX(AP206,G206)</f>
        <v>213</v>
      </c>
      <c r="AC206" s="64"/>
      <c r="AD206" s="57" t="n">
        <f aca="false">IF(LEFT(Cockpit!$C$5,1)="A",G206,IF(BW206=1,BX206,IF(LEFT(Cockpit!$C$5,1)="B",AH206,MAX(AH206,G206))))</f>
        <v>90</v>
      </c>
      <c r="AE206" s="57" t="n">
        <f aca="false">IF(BR206=1,0,ROUNDUP(AD206/BQ206,0))</f>
        <v>2</v>
      </c>
      <c r="AF206" s="59" t="n">
        <f aca="false">IF(CD206&gt;0,CD206*MAX(1,AD206/V206),IF(BR206=1,IF(AD206&lt;=0,0,BS206*MAX(1,IF(G206&gt;0,AD206/G206,1))),IF(Q206&gt;0,AE206/Q206,0))/MAX(0.1,N(Parameter!$M$21)))</f>
        <v>0.0303030303030303</v>
      </c>
      <c r="AG206" s="57" t="n">
        <f aca="false">AD206*F206</f>
        <v>734.4</v>
      </c>
      <c r="AH206" s="57" t="n">
        <f aca="false">ROUNDUP(MAX(I206/IF(BV206&gt;0,BV206,MAX(0.1,N(Cockpit!$C$6))),BY206)/BQ206,0)*BQ206</f>
        <v>213</v>
      </c>
      <c r="AI206" s="58" t="n">
        <f aca="false">IF(AF206&gt;0,I206/AF206,-1)</f>
        <v>4983</v>
      </c>
      <c r="AJ206" s="58" t="n">
        <f aca="false">IF(AND(OR(BU206="L1",BU206="L23"),AF206&gt;0),SUMIFS($AF$7:$AF$1576,$BU$7:$BU$1576,BU206,$AI$7:$AI$1576,"&gt;"&amp;AI206)+SUMIFS($AF$7:$AF$1576,$BU$7:$BU$1576,BU206,$AI$7:$AI$1576,AI206,$BO$7:$BO$1576,"&lt;="&amp;BO206),"")</f>
        <v>3.83730583426236</v>
      </c>
      <c r="AK206" s="65" t="n">
        <f aca="false">IF(AJ206="",0,MAX(0,MIN(1,(IF(BU206="L1",Parameter!$E$5,Parameter!$E$6+Parameter!$E$7)-(AJ206-AF206))/AF206)))</f>
        <v>1</v>
      </c>
      <c r="AL206" s="57" t="n">
        <f aca="false">IF(LEFT(Cockpit!$I$5,1)="A",G206,IF(BW206=1,BX206,IF(LEFT(Cockpit!$I$5,1)="B",AP206,MAX(AP206,G206))))</f>
        <v>213</v>
      </c>
      <c r="AM206" s="57" t="n">
        <f aca="false">IF(BR206=1,0,ROUNDUP(AL206/BQ206,0))</f>
        <v>3</v>
      </c>
      <c r="AN206" s="59" t="n">
        <f aca="false">IF(CD206&gt;0,CD206*MAX(1,AL206/V206),IF(BR206=1,IF(AL206&lt;=0,0,BS206*MAX(1,IF(G206&gt;0,AL206/G206,1))),IF(Q206&gt;0,AM206/Q206,0))/MAX(0.1,N(Parameter!$M$21)))</f>
        <v>0.0454545454545455</v>
      </c>
      <c r="AO206" s="57" t="n">
        <f aca="false">AL206*F206</f>
        <v>1738.08</v>
      </c>
      <c r="AP206" s="57" t="n">
        <f aca="false">ROUNDUP(MAX(I206/IF(BV206&gt;0,BV206,MAX(0.1,N(Cockpit!$I$6))),BY206)/BQ206,0)*BQ206</f>
        <v>213</v>
      </c>
      <c r="AQ206" s="58" t="n">
        <f aca="false">IF(AN206&gt;0,I206/AN206,-1)</f>
        <v>3322</v>
      </c>
      <c r="AR206" s="58" t="n">
        <f aca="false">IF(AND(OR(BU206="L1",BU206="L23"),AN206&gt;0),SUMIFS($AN$7:$AN$1576,$BU$7:$BU$1576,BU206,$AQ$7:$AQ$1576,"&gt;"&amp;AQ206)+SUMIFS($AN$7:$AN$1576,$BU$7:$BU$1576,BU206,$AQ$7:$AQ$1576,AQ206,$BO$7:$BO$1576,"&lt;="&amp;BO206),"")</f>
        <v>13.9660186919361</v>
      </c>
      <c r="AS206" s="65" t="n">
        <f aca="false">IF(AR206="",0,MAX(0,MIN(1,(IF(BU206="L1",Parameter!$E$5,Parameter!$E$6+Parameter!$E$7)-(AR206-AN206))/AN206)))</f>
        <v>1</v>
      </c>
      <c r="AT206" s="57" t="n">
        <f aca="false">IF(LEFT(Cockpit!$O$5,1)="A",G206,IF(BW206=1,BX206,IF(LEFT(Cockpit!$O$5,1)="B",AX206,MAX(AX206,G206))))</f>
        <v>213</v>
      </c>
      <c r="AU206" s="57" t="n">
        <f aca="false">IF(BR206=1,0,ROUNDUP(AT206/BQ206,0))</f>
        <v>3</v>
      </c>
      <c r="AV206" s="59" t="n">
        <f aca="false">IF(CD206&gt;0,CD206*MAX(1,AT206/V206),IF(BR206=1,IF(AT206&lt;=0,0,BS206*MAX(1,IF(G206&gt;0,AT206/G206,1))),IF(Q206&gt;0,AU206/Q206,0))/MAX(0.1,N(Parameter!$M$21)))</f>
        <v>0.0454545454545455</v>
      </c>
      <c r="AW206" s="57" t="n">
        <f aca="false">AT206*F206</f>
        <v>1738.08</v>
      </c>
      <c r="AX206" s="57" t="n">
        <f aca="false">ROUNDUP(MAX(I206/IF(BV206&gt;0,BV206,MAX(0.1,N(Cockpit!$O$6))),BY206)/BQ206,0)*BQ206</f>
        <v>213</v>
      </c>
      <c r="AY206" s="58" t="n">
        <f aca="false">IF(AV206&gt;0,I206/AV206,-1)</f>
        <v>3322</v>
      </c>
      <c r="AZ206" s="58" t="n">
        <f aca="false">IF(AND(OR(BU206="L1",BU206="L23"),AV206&gt;0),SUMIFS($AV$7:$AV$1576,$BU$7:$BU$1576,BU206,$AY$7:$AY$1576,"&gt;"&amp;AY206)+SUMIFS($AV$7:$AV$1576,$BU$7:$BU$1576,BU206,$AY$7:$AY$1576,AY206,$BO$7:$BO$1576,"&lt;="&amp;BO206),"")</f>
        <v>12.6868811627986</v>
      </c>
      <c r="BA206" s="65" t="n">
        <f aca="false">IF(AZ206="",0,MAX(0,MIN(1,(IF(BU206="L1",Parameter!$E$5,Parameter!$E$6+Parameter!$E$7)-(AZ206-AV206))/AV206)))</f>
        <v>1</v>
      </c>
      <c r="BB206" s="55" t="str">
        <f aca="false">IF(AF206&lt;=0,"",IF(BU206="Aussen","Aussenlager",IF(BU206="-","Nicht im Lift",IF(AK206&gt;=1,"Lift",IF(AK206&lt;=0,"Aussenlager","teilweise")))))</f>
        <v>Lift</v>
      </c>
      <c r="BC206" s="55" t="str">
        <f aca="false">IF(AN206&lt;=0,"",IF(BU206="Aussen","Aussenlager",IF(BU206="-","Nicht im Lift",IF(AS206&gt;=1,"Lift",IF(AS206&lt;=0,"Aussenlager","teilweise")))))</f>
        <v>Lift</v>
      </c>
      <c r="BD206" s="55" t="str">
        <f aca="false">IF(AV206&lt;=0,"",IF(BU206="Aussen","Aussenlager",IF(BU206="-","Nicht im Lift",IF(BA206&gt;=1,"Lift",IF(BA206&lt;=0,"Aussenlager","teilweise")))))</f>
        <v>Lift</v>
      </c>
      <c r="BE206" s="55" t="str">
        <f aca="false">IF(A206="","",IF(BN206=1,"Neu; ","")&amp;IF(AND(BN206=0,BI206&lt;0),"negativer Bestand (Export "&amp;BI206&amp;"); ","")&amp;IF(I206&lt;=0,"Kein Verbrauch; ","")&amp;IF(CD206&gt;0,"Lift "&amp;U206&amp;" lt. Liftbericht (Fach "&amp;V206&amp;" Stk); ",IF(BR206=1,"Lose – Fläche geschätzt; ",""))&amp;IF(G206&gt;AP206,"Überbestand "&amp;ROUND(G206-AP206,0)&amp;" Stk / CHF "&amp;ROUND((G206-AP206)*F206,0)&amp;"; ","")&amp;IF(AND(BW206=1,BX206&lt;BY206),"MAX &lt; MB+LG; ","")&amp;IF(AND(CC206&gt;0,CB206*10&gt;CC206),"zu hoch für Tablar; ","")&amp;IF(AND(BN206=0,OR(BW206=1,Y206&lt;&gt;"",S206&lt;&gt;"",T206&lt;&gt;"",Z206&lt;&gt;"")),"manuell übersteuert; ","")&amp;IF(AND(BR206=0,Q206=0),"Gebinde unbekannt / Stellmass fehlt; ","")&amp;IF(AND(BR206=0,N(T206)&lt;=0,N(P206)&lt;=0),"Menge pro Gebinde fehlt (Ist = 1 Gebinde); ","")&amp;BM206)</f>
        <v/>
      </c>
      <c r="BF206" s="55"/>
      <c r="BG206" s="55"/>
      <c r="BH206" s="62"/>
      <c r="BI206" s="57" t="n">
        <v>90</v>
      </c>
      <c r="BJ206" s="57" t="n">
        <v>47</v>
      </c>
      <c r="BK206" s="56" t="n">
        <v>744.27</v>
      </c>
      <c r="BL206" s="57" t="n">
        <v>151</v>
      </c>
      <c r="BM206" s="55"/>
      <c r="BN206" s="60" t="n">
        <v>0</v>
      </c>
      <c r="BO206" s="60" t="n">
        <v>206</v>
      </c>
      <c r="BP206" s="55" t="str">
        <f aca="false">IF(S206&lt;&gt;"",UPPER(TRIM(S206)),IF(O206="","LOSE",O206))</f>
        <v>S33</v>
      </c>
      <c r="BQ206" s="57" t="n">
        <f aca="false">IF(BP206="LOSE",1,IF(N(T206)&gt;0,T206,IF(N(P206)&gt;0,P206,MAX(1,G206))))</f>
        <v>71</v>
      </c>
      <c r="BR206" s="60" t="n">
        <f aca="false">IF(BP206="LOSE",1,0)</f>
        <v>0</v>
      </c>
      <c r="BS206" s="59" t="n">
        <f aca="false">IF(BR206=0,0,IF(N(R206)&gt;0,R206,IFERROR(VLOOKUP(D206,Parameter!$A$35:$C$64,3,0)+0,0)))</f>
        <v>0</v>
      </c>
      <c r="BT206" s="55" t="n">
        <f aca="false">IF(Y206&lt;&gt;"",Y206,X206)</f>
        <v>3</v>
      </c>
      <c r="BU206" s="55" t="str">
        <f aca="false">IF(BT206=1,"L1",IF(OR(BT206=2,BT206=3),"L23",IF(BT206="Aussen","Aussen","-")))</f>
        <v>L23</v>
      </c>
      <c r="BV206" s="66" t="n">
        <f aca="false">IF(N(Z206)&gt;0,Z206,0)</f>
        <v>0</v>
      </c>
      <c r="BW206" s="60" t="n">
        <f aca="false">IF(ISNUMBER(AC206),1,0)</f>
        <v>0</v>
      </c>
      <c r="BX206" s="57" t="n">
        <f aca="false">N(AC206)</f>
        <v>0</v>
      </c>
      <c r="BY206" s="57" t="n">
        <f aca="false">N(L206)+N(M206)</f>
        <v>155</v>
      </c>
      <c r="BZ206" s="57" t="n">
        <f aca="false">ROUNDUP(G206/BQ206,0)</f>
        <v>2</v>
      </c>
      <c r="CA206" s="57" t="n">
        <f aca="false">ROUNDUP(BX206/BQ206,0)</f>
        <v>0</v>
      </c>
      <c r="CB206" s="60" t="n">
        <f aca="false">IF(BR206=1,0,IFERROR(VLOOKUP(BP206,'Gebinde-Kategorie'!$A$5:$M$45,5,0)+0,0))</f>
        <v>8</v>
      </c>
      <c r="CC206" s="60" t="n">
        <f aca="false">IFERROR(IF(OR(BT206=1,BT206=2,BT206=3),N(INDEX(Parameter!$I$5:$I$7,BT206)),0),0)</f>
        <v>0</v>
      </c>
      <c r="CD206" s="59" t="n">
        <f aca="false">IF(AND(Parameter!$B$21="Ja",ISNUMBER(U206),N(V206)&gt;0),IFERROR(N(INDEX(Parameter!$L$5:$L$7,U206))*INDEX(Parameter!$E$5:$E$7,U206)*V206/SUMIFS($V$7:$V$1576,$U$7:$U$1576,U206),0),0)</f>
        <v>0</v>
      </c>
    </row>
    <row r="207" customFormat="false" ht="15" hidden="false" customHeight="false" outlineLevel="0" collapsed="false">
      <c r="A207" s="55" t="s">
        <v>602</v>
      </c>
      <c r="B207" s="55" t="s">
        <v>603</v>
      </c>
      <c r="C207" s="55" t="s">
        <v>160</v>
      </c>
      <c r="D207" s="55" t="s">
        <v>178</v>
      </c>
      <c r="E207" s="55" t="s">
        <v>210</v>
      </c>
      <c r="F207" s="56" t="n">
        <v>11.13</v>
      </c>
      <c r="G207" s="57" t="n">
        <f aca="false">MAX(0,IF(AND(Parameter!$B$21="Ja",ISNUMBER(W207)),W207,IF(Parameter!$B$20="Jahresanfang 2025 + Export",BJ207+BI207,BI207)))</f>
        <v>106</v>
      </c>
      <c r="H207" s="57" t="n">
        <f aca="false">G207*F207</f>
        <v>1179.78</v>
      </c>
      <c r="I207" s="57" t="n">
        <f aca="false">BL207*Parameter!$B$18</f>
        <v>1125</v>
      </c>
      <c r="J207" s="58" t="n">
        <v>471.5</v>
      </c>
      <c r="K207" s="59" t="n">
        <v>2.38600212089077</v>
      </c>
      <c r="L207" s="57" t="n">
        <v>65</v>
      </c>
      <c r="M207" s="57" t="n">
        <v>500</v>
      </c>
      <c r="N207" s="60" t="n">
        <v>21</v>
      </c>
      <c r="O207" s="55" t="s">
        <v>225</v>
      </c>
      <c r="P207" s="57" t="n">
        <v>951</v>
      </c>
      <c r="Q207" s="60" t="n">
        <f aca="false">IF(BR207=1,0,IFERROR(VLOOKUP(BP207,'Gebinde-Kategorie'!$A$5:$M$45,13,0)+0,0))</f>
        <v>26</v>
      </c>
      <c r="R207" s="61"/>
      <c r="S207" s="62"/>
      <c r="T207" s="62"/>
      <c r="U207" s="55"/>
      <c r="V207" s="57"/>
      <c r="W207" s="57"/>
      <c r="X207" s="55" t="n">
        <f aca="false">IF(A207="","",IF(AND(Parameter!$B$21="Ja",ISNUMBER(U207)),U207,IF(IFERROR(VLOOKUP(D207,Parameter!$A$35:$C$64,2,0),"Nein")="2+3",IF(ISNUMBER(SEARCH("grosser Artikel",BM207)),2,IFERROR(VLOOKUP(BP207,Parameter!$F$35:$G$64,2,0),2)),IF(OR(IFERROR(VLOOKUP(D207,Parameter!$A$35:$C$64,2,0),"Nein")="Nein",IFERROR(VLOOKUP(D207,Parameter!$A$35:$C$64,2,0),"Nein")=""),"-",VLOOKUP(D207,Parameter!$A$35:$C$64,2,0)))))</f>
        <v>3</v>
      </c>
      <c r="Y207" s="62"/>
      <c r="Z207" s="63"/>
      <c r="AA207" s="57" t="n">
        <f aca="false">AP207</f>
        <v>951</v>
      </c>
      <c r="AB207" s="57" t="n">
        <f aca="false">MAX(AP207,G207)</f>
        <v>951</v>
      </c>
      <c r="AC207" s="64"/>
      <c r="AD207" s="57" t="n">
        <f aca="false">IF(LEFT(Cockpit!$C$5,1)="A",G207,IF(BW207=1,BX207,IF(LEFT(Cockpit!$C$5,1)="B",AH207,MAX(AH207,G207))))</f>
        <v>106</v>
      </c>
      <c r="AE207" s="57" t="n">
        <f aca="false">IF(BR207=1,0,ROUNDUP(AD207/BQ207,0))</f>
        <v>1</v>
      </c>
      <c r="AF207" s="59" t="n">
        <f aca="false">IF(CD207&gt;0,CD207*MAX(1,AD207/V207),IF(BR207=1,IF(AD207&lt;=0,0,BS207*MAX(1,IF(G207&gt;0,AD207/G207,1))),IF(Q207&gt;0,AE207/Q207,0))/MAX(0.1,N(Parameter!$M$21)))</f>
        <v>0.0384615384615385</v>
      </c>
      <c r="AG207" s="57" t="n">
        <f aca="false">AD207*F207</f>
        <v>1179.78</v>
      </c>
      <c r="AH207" s="57" t="n">
        <f aca="false">ROUNDUP(MAX(I207/IF(BV207&gt;0,BV207,MAX(0.1,N(Cockpit!$C$6))),BY207)/BQ207,0)*BQ207</f>
        <v>951</v>
      </c>
      <c r="AI207" s="58" t="n">
        <f aca="false">IF(AF207&gt;0,I207/AF207,-1)</f>
        <v>29250</v>
      </c>
      <c r="AJ207" s="58" t="n">
        <f aca="false">IF(AND(OR(BU207="L1",BU207="L23"),AF207&gt;0),SUMIFS($AF$7:$AF$1576,$BU$7:$BU$1576,BU207,$AI$7:$AI$1576,"&gt;"&amp;AI207)+SUMIFS($AF$7:$AF$1576,$BU$7:$BU$1576,BU207,$AI$7:$AI$1576,AI207,$BO$7:$BO$1576,"&lt;="&amp;BO207),"")</f>
        <v>1.50917198743286</v>
      </c>
      <c r="AK207" s="65" t="n">
        <f aca="false">IF(AJ207="",0,MAX(0,MIN(1,(IF(BU207="L1",Parameter!$E$5,Parameter!$E$6+Parameter!$E$7)-(AJ207-AF207))/AF207)))</f>
        <v>1</v>
      </c>
      <c r="AL207" s="57" t="n">
        <f aca="false">IF(LEFT(Cockpit!$I$5,1)="A",G207,IF(BW207=1,BX207,IF(LEFT(Cockpit!$I$5,1)="B",AP207,MAX(AP207,G207))))</f>
        <v>951</v>
      </c>
      <c r="AM207" s="57" t="n">
        <f aca="false">IF(BR207=1,0,ROUNDUP(AL207/BQ207,0))</f>
        <v>1</v>
      </c>
      <c r="AN207" s="59" t="n">
        <f aca="false">IF(CD207&gt;0,CD207*MAX(1,AL207/V207),IF(BR207=1,IF(AL207&lt;=0,0,BS207*MAX(1,IF(G207&gt;0,AL207/G207,1))),IF(Q207&gt;0,AM207/Q207,0))/MAX(0.1,N(Parameter!$M$21)))</f>
        <v>0.0384615384615385</v>
      </c>
      <c r="AO207" s="57" t="n">
        <f aca="false">AL207*F207</f>
        <v>10584.63</v>
      </c>
      <c r="AP207" s="57" t="n">
        <f aca="false">ROUNDUP(MAX(I207/IF(BV207&gt;0,BV207,MAX(0.1,N(Cockpit!$I$6))),BY207)/BQ207,0)*BQ207</f>
        <v>951</v>
      </c>
      <c r="AQ207" s="58" t="n">
        <f aca="false">IF(AN207&gt;0,I207/AN207,-1)</f>
        <v>29250</v>
      </c>
      <c r="AR207" s="58" t="n">
        <f aca="false">IF(AND(OR(BU207="L1",BU207="L23"),AN207&gt;0),SUMIFS($AN$7:$AN$1576,$BU$7:$BU$1576,BU207,$AQ$7:$AQ$1576,"&gt;"&amp;AQ207)+SUMIFS($AN$7:$AN$1576,$BU$7:$BU$1576,BU207,$AQ$7:$AQ$1576,AQ207,$BO$7:$BO$1576,"&lt;="&amp;BO207),"")</f>
        <v>2.9722259383129</v>
      </c>
      <c r="AS207" s="65" t="n">
        <f aca="false">IF(AR207="",0,MAX(0,MIN(1,(IF(BU207="L1",Parameter!$E$5,Parameter!$E$6+Parameter!$E$7)-(AR207-AN207))/AN207)))</f>
        <v>1</v>
      </c>
      <c r="AT207" s="57" t="n">
        <f aca="false">IF(LEFT(Cockpit!$O$5,1)="A",G207,IF(BW207=1,BX207,IF(LEFT(Cockpit!$O$5,1)="B",AX207,MAX(AX207,G207))))</f>
        <v>951</v>
      </c>
      <c r="AU207" s="57" t="n">
        <f aca="false">IF(BR207=1,0,ROUNDUP(AT207/BQ207,0))</f>
        <v>1</v>
      </c>
      <c r="AV207" s="59" t="n">
        <f aca="false">IF(CD207&gt;0,CD207*MAX(1,AT207/V207),IF(BR207=1,IF(AT207&lt;=0,0,BS207*MAX(1,IF(G207&gt;0,AT207/G207,1))),IF(Q207&gt;0,AU207/Q207,0))/MAX(0.1,N(Parameter!$M$21)))</f>
        <v>0.0384615384615385</v>
      </c>
      <c r="AW207" s="57" t="n">
        <f aca="false">AT207*F207</f>
        <v>10584.63</v>
      </c>
      <c r="AX207" s="57" t="n">
        <f aca="false">ROUNDUP(MAX(I207/IF(BV207&gt;0,BV207,MAX(0.1,N(Cockpit!$O$6))),BY207)/BQ207,0)*BQ207</f>
        <v>951</v>
      </c>
      <c r="AY207" s="58" t="n">
        <f aca="false">IF(AV207&gt;0,I207/AV207,-1)</f>
        <v>29250</v>
      </c>
      <c r="AZ207" s="58" t="n">
        <f aca="false">IF(AND(OR(BU207="L1",BU207="L23"),AV207&gt;0),SUMIFS($AV$7:$AV$1576,$BU$7:$BU$1576,BU207,$AY$7:$AY$1576,"&gt;"&amp;AY207)+SUMIFS($AV$7:$AV$1576,$BU$7:$BU$1576,BU207,$AY$7:$AY$1576,AY207,$BO$7:$BO$1576,"&lt;="&amp;BO207),"")</f>
        <v>2.74029120637816</v>
      </c>
      <c r="BA207" s="65" t="n">
        <f aca="false">IF(AZ207="",0,MAX(0,MIN(1,(IF(BU207="L1",Parameter!$E$5,Parameter!$E$6+Parameter!$E$7)-(AZ207-AV207))/AV207)))</f>
        <v>1</v>
      </c>
      <c r="BB207" s="55" t="str">
        <f aca="false">IF(AF207&lt;=0,"",IF(BU207="Aussen","Aussenlager",IF(BU207="-","Nicht im Lift",IF(AK207&gt;=1,"Lift",IF(AK207&lt;=0,"Aussenlager","teilweise")))))</f>
        <v>Lift</v>
      </c>
      <c r="BC207" s="55" t="str">
        <f aca="false">IF(AN207&lt;=0,"",IF(BU207="Aussen","Aussenlager",IF(BU207="-","Nicht im Lift",IF(AS207&gt;=1,"Lift",IF(AS207&lt;=0,"Aussenlager","teilweise")))))</f>
        <v>Lift</v>
      </c>
      <c r="BD207" s="55" t="str">
        <f aca="false">IF(AV207&lt;=0,"",IF(BU207="Aussen","Aussenlager",IF(BU207="-","Nicht im Lift",IF(BA207&gt;=1,"Lift",IF(BA207&lt;=0,"Aussenlager","teilweise")))))</f>
        <v>Lift</v>
      </c>
      <c r="BE207" s="55" t="str">
        <f aca="false">IF(A207="","",IF(BN207=1,"Neu; ","")&amp;IF(AND(BN207=0,BI207&lt;0),"negativer Bestand (Export "&amp;BI207&amp;"); ","")&amp;IF(I207&lt;=0,"Kein Verbrauch; ","")&amp;IF(CD207&gt;0,"Lift "&amp;U207&amp;" lt. Liftbericht (Fach "&amp;V207&amp;" Stk); ",IF(BR207=1,"Lose – Fläche geschätzt; ",""))&amp;IF(G207&gt;AP207,"Überbestand "&amp;ROUND(G207-AP207,0)&amp;" Stk / CHF "&amp;ROUND((G207-AP207)*F207,0)&amp;"; ","")&amp;IF(AND(BW207=1,BX207&lt;BY207),"MAX &lt; MB+LG; ","")&amp;IF(AND(CC207&gt;0,CB207*10&gt;CC207),"zu hoch für Tablar; ","")&amp;IF(AND(BN207=0,OR(BW207=1,Y207&lt;&gt;"",S207&lt;&gt;"",T207&lt;&gt;"",Z207&lt;&gt;"")),"manuell übersteuert; ","")&amp;IF(AND(BR207=0,Q207=0),"Gebinde unbekannt / Stellmass fehlt; ","")&amp;IF(AND(BR207=0,N(T207)&lt;=0,N(P207)&lt;=0),"Menge pro Gebinde fehlt (Ist = 1 Gebinde); ","")&amp;BM207)</f>
        <v/>
      </c>
      <c r="BF207" s="55"/>
      <c r="BG207" s="55"/>
      <c r="BH207" s="62"/>
      <c r="BI207" s="57" t="n">
        <v>106</v>
      </c>
      <c r="BJ207" s="57" t="n">
        <v>289</v>
      </c>
      <c r="BK207" s="56" t="n">
        <v>741.420000000001</v>
      </c>
      <c r="BL207" s="57" t="n">
        <v>1125</v>
      </c>
      <c r="BM207" s="55"/>
      <c r="BN207" s="60" t="n">
        <v>0</v>
      </c>
      <c r="BO207" s="60" t="n">
        <v>207</v>
      </c>
      <c r="BP207" s="55" t="str">
        <f aca="false">IF(S207&lt;&gt;"",UPPER(TRIM(S207)),IF(O207="","LOSE",O207))</f>
        <v>S52</v>
      </c>
      <c r="BQ207" s="57" t="n">
        <f aca="false">IF(BP207="LOSE",1,IF(N(T207)&gt;0,T207,IF(N(P207)&gt;0,P207,MAX(1,G207))))</f>
        <v>951</v>
      </c>
      <c r="BR207" s="60" t="n">
        <f aca="false">IF(BP207="LOSE",1,0)</f>
        <v>0</v>
      </c>
      <c r="BS207" s="59" t="n">
        <f aca="false">IF(BR207=0,0,IF(N(R207)&gt;0,R207,IFERROR(VLOOKUP(D207,Parameter!$A$35:$C$64,3,0)+0,0)))</f>
        <v>0</v>
      </c>
      <c r="BT207" s="55" t="n">
        <f aca="false">IF(Y207&lt;&gt;"",Y207,X207)</f>
        <v>3</v>
      </c>
      <c r="BU207" s="55" t="str">
        <f aca="false">IF(BT207=1,"L1",IF(OR(BT207=2,BT207=3),"L23",IF(BT207="Aussen","Aussen","-")))</f>
        <v>L23</v>
      </c>
      <c r="BV207" s="66" t="n">
        <f aca="false">IF(N(Z207)&gt;0,Z207,0)</f>
        <v>0</v>
      </c>
      <c r="BW207" s="60" t="n">
        <f aca="false">IF(ISNUMBER(AC207),1,0)</f>
        <v>0</v>
      </c>
      <c r="BX207" s="57" t="n">
        <f aca="false">N(AC207)</f>
        <v>0</v>
      </c>
      <c r="BY207" s="57" t="n">
        <f aca="false">N(L207)+N(M207)</f>
        <v>565</v>
      </c>
      <c r="BZ207" s="57" t="n">
        <f aca="false">ROUNDUP(G207/BQ207,0)</f>
        <v>1</v>
      </c>
      <c r="CA207" s="57" t="n">
        <f aca="false">ROUNDUP(BX207/BQ207,0)</f>
        <v>0</v>
      </c>
      <c r="CB207" s="60" t="n">
        <f aca="false">IF(BR207=1,0,IFERROR(VLOOKUP(BP207,'Gebinde-Kategorie'!$A$5:$M$45,5,0)+0,0))</f>
        <v>21</v>
      </c>
      <c r="CC207" s="60" t="n">
        <f aca="false">IFERROR(IF(OR(BT207=1,BT207=2,BT207=3),N(INDEX(Parameter!$I$5:$I$7,BT207)),0),0)</f>
        <v>0</v>
      </c>
      <c r="CD207" s="59" t="n">
        <f aca="false">IF(AND(Parameter!$B$21="Ja",ISNUMBER(U207),N(V207)&gt;0),IFERROR(N(INDEX(Parameter!$L$5:$L$7,U207))*INDEX(Parameter!$E$5:$E$7,U207)*V207/SUMIFS($V$7:$V$1576,$U$7:$U$1576,U207),0),0)</f>
        <v>0</v>
      </c>
    </row>
    <row r="208" customFormat="false" ht="15" hidden="false" customHeight="false" outlineLevel="0" collapsed="false">
      <c r="A208" s="55" t="s">
        <v>604</v>
      </c>
      <c r="B208" s="55" t="s">
        <v>421</v>
      </c>
      <c r="C208" s="55" t="s">
        <v>160</v>
      </c>
      <c r="D208" s="55" t="s">
        <v>178</v>
      </c>
      <c r="E208" s="55" t="s">
        <v>210</v>
      </c>
      <c r="F208" s="56" t="n">
        <v>67.09</v>
      </c>
      <c r="G208" s="57" t="n">
        <f aca="false">MAX(0,IF(AND(Parameter!$B$21="Ja",ISNUMBER(W208)),W208,IF(Parameter!$B$20="Jahresanfang 2025 + Export",BJ208+BI208,BI208)))</f>
        <v>11</v>
      </c>
      <c r="H208" s="57" t="n">
        <f aca="false">G208*F208</f>
        <v>737.99</v>
      </c>
      <c r="I208" s="57" t="n">
        <f aca="false">BL208*Parameter!$B$18</f>
        <v>4</v>
      </c>
      <c r="J208" s="58" t="n">
        <v>21</v>
      </c>
      <c r="K208" s="59" t="n">
        <v>0.190476190476191</v>
      </c>
      <c r="L208" s="57" t="n">
        <v>0</v>
      </c>
      <c r="M208" s="57" t="n">
        <v>5</v>
      </c>
      <c r="N208" s="60" t="n">
        <v>70</v>
      </c>
      <c r="O208" s="55" t="s">
        <v>225</v>
      </c>
      <c r="P208" s="57" t="n">
        <v>15</v>
      </c>
      <c r="Q208" s="60" t="n">
        <f aca="false">IF(BR208=1,0,IFERROR(VLOOKUP(BP208,'Gebinde-Kategorie'!$A$5:$M$45,13,0)+0,0))</f>
        <v>26</v>
      </c>
      <c r="R208" s="61"/>
      <c r="S208" s="62"/>
      <c r="T208" s="62"/>
      <c r="U208" s="55"/>
      <c r="V208" s="57"/>
      <c r="W208" s="57"/>
      <c r="X208" s="55" t="n">
        <f aca="false">IF(A208="","",IF(AND(Parameter!$B$21="Ja",ISNUMBER(U208)),U208,IF(IFERROR(VLOOKUP(D208,Parameter!$A$35:$C$64,2,0),"Nein")="2+3",IF(ISNUMBER(SEARCH("grosser Artikel",BM208)),2,IFERROR(VLOOKUP(BP208,Parameter!$F$35:$G$64,2,0),2)),IF(OR(IFERROR(VLOOKUP(D208,Parameter!$A$35:$C$64,2,0),"Nein")="Nein",IFERROR(VLOOKUP(D208,Parameter!$A$35:$C$64,2,0),"Nein")=""),"-",VLOOKUP(D208,Parameter!$A$35:$C$64,2,0)))))</f>
        <v>3</v>
      </c>
      <c r="Y208" s="62"/>
      <c r="Z208" s="63"/>
      <c r="AA208" s="57" t="n">
        <f aca="false">AP208</f>
        <v>15</v>
      </c>
      <c r="AB208" s="57" t="n">
        <f aca="false">MAX(AP208,G208)</f>
        <v>15</v>
      </c>
      <c r="AC208" s="64"/>
      <c r="AD208" s="57" t="n">
        <f aca="false">IF(LEFT(Cockpit!$C$5,1)="A",G208,IF(BW208=1,BX208,IF(LEFT(Cockpit!$C$5,1)="B",AH208,MAX(AH208,G208))))</f>
        <v>11</v>
      </c>
      <c r="AE208" s="57" t="n">
        <f aca="false">IF(BR208=1,0,ROUNDUP(AD208/BQ208,0))</f>
        <v>1</v>
      </c>
      <c r="AF208" s="59" t="n">
        <f aca="false">IF(CD208&gt;0,CD208*MAX(1,AD208/V208),IF(BR208=1,IF(AD208&lt;=0,0,BS208*MAX(1,IF(G208&gt;0,AD208/G208,1))),IF(Q208&gt;0,AE208/Q208,0))/MAX(0.1,N(Parameter!$M$21)))</f>
        <v>0.0384615384615385</v>
      </c>
      <c r="AG208" s="57" t="n">
        <f aca="false">AD208*F208</f>
        <v>737.99</v>
      </c>
      <c r="AH208" s="57" t="n">
        <f aca="false">ROUNDUP(MAX(I208/IF(BV208&gt;0,BV208,MAX(0.1,N(Cockpit!$C$6))),BY208)/BQ208,0)*BQ208</f>
        <v>15</v>
      </c>
      <c r="AI208" s="58" t="n">
        <f aca="false">IF(AF208&gt;0,I208/AF208,-1)</f>
        <v>104</v>
      </c>
      <c r="AJ208" s="58" t="n">
        <f aca="false">IF(AND(OR(BU208="L1",BU208="L23"),AF208&gt;0),SUMIFS($AF$7:$AF$1576,$BU$7:$BU$1576,BU208,$AI$7:$AI$1576,"&gt;"&amp;AI208)+SUMIFS($AF$7:$AF$1576,$BU$7:$BU$1576,BU208,$AI$7:$AI$1576,AI208,$BO$7:$BO$1576,"&lt;="&amp;BO208),"")</f>
        <v>22.3848971318537</v>
      </c>
      <c r="AK208" s="65" t="n">
        <f aca="false">IF(AJ208="",0,MAX(0,MIN(1,(IF(BU208="L1",Parameter!$E$5,Parameter!$E$6+Parameter!$E$7)-(AJ208-AF208))/AF208)))</f>
        <v>1</v>
      </c>
      <c r="AL208" s="57" t="n">
        <f aca="false">IF(LEFT(Cockpit!$I$5,1)="A",G208,IF(BW208=1,BX208,IF(LEFT(Cockpit!$I$5,1)="B",AP208,MAX(AP208,G208))))</f>
        <v>15</v>
      </c>
      <c r="AM208" s="57" t="n">
        <f aca="false">IF(BR208=1,0,ROUNDUP(AL208/BQ208,0))</f>
        <v>1</v>
      </c>
      <c r="AN208" s="59" t="n">
        <f aca="false">IF(CD208&gt;0,CD208*MAX(1,AL208/V208),IF(BR208=1,IF(AL208&lt;=0,0,BS208*MAX(1,IF(G208&gt;0,AL208/G208,1))),IF(Q208&gt;0,AM208/Q208,0))/MAX(0.1,N(Parameter!$M$21)))</f>
        <v>0.0384615384615385</v>
      </c>
      <c r="AO208" s="57" t="n">
        <f aca="false">AL208*F208</f>
        <v>1006.35</v>
      </c>
      <c r="AP208" s="57" t="n">
        <f aca="false">ROUNDUP(MAX(I208/IF(BV208&gt;0,BV208,MAX(0.1,N(Cockpit!$I$6))),BY208)/BQ208,0)*BQ208</f>
        <v>15</v>
      </c>
      <c r="AQ208" s="58" t="n">
        <f aca="false">IF(AN208&gt;0,I208/AN208,-1)</f>
        <v>104</v>
      </c>
      <c r="AR208" s="58" t="n">
        <f aca="false">IF(AND(OR(BU208="L1",BU208="L23"),AN208&gt;0),SUMIFS($AN$7:$AN$1576,$BU$7:$BU$1576,BU208,$AQ$7:$AQ$1576,"&gt;"&amp;AQ208)+SUMIFS($AN$7:$AN$1576,$BU$7:$BU$1576,BU208,$AQ$7:$AQ$1576,AQ208,$BO$7:$BO$1576,"&lt;="&amp;BO208),"")</f>
        <v>68.5419062281674</v>
      </c>
      <c r="AS208" s="65" t="n">
        <f aca="false">IF(AR208="",0,MAX(0,MIN(1,(IF(BU208="L1",Parameter!$E$5,Parameter!$E$6+Parameter!$E$7)-(AR208-AN208))/AN208)))</f>
        <v>1</v>
      </c>
      <c r="AT208" s="57" t="n">
        <f aca="false">IF(LEFT(Cockpit!$O$5,1)="A",G208,IF(BW208=1,BX208,IF(LEFT(Cockpit!$O$5,1)="B",AX208,MAX(AX208,G208))))</f>
        <v>15</v>
      </c>
      <c r="AU208" s="57" t="n">
        <f aca="false">IF(BR208=1,0,ROUNDUP(AT208/BQ208,0))</f>
        <v>1</v>
      </c>
      <c r="AV208" s="59" t="n">
        <f aca="false">IF(CD208&gt;0,CD208*MAX(1,AT208/V208),IF(BR208=1,IF(AT208&lt;=0,0,BS208*MAX(1,IF(G208&gt;0,AT208/G208,1))),IF(Q208&gt;0,AU208/Q208,0))/MAX(0.1,N(Parameter!$M$21)))</f>
        <v>0.0384615384615385</v>
      </c>
      <c r="AW208" s="57" t="n">
        <f aca="false">AT208*F208</f>
        <v>1006.35</v>
      </c>
      <c r="AX208" s="57" t="n">
        <f aca="false">ROUNDUP(MAX(I208/IF(BV208&gt;0,BV208,MAX(0.1,N(Cockpit!$O$6))),BY208)/BQ208,0)*BQ208</f>
        <v>15</v>
      </c>
      <c r="AY208" s="58" t="n">
        <f aca="false">IF(AV208&gt;0,I208/AV208,-1)</f>
        <v>104</v>
      </c>
      <c r="AZ208" s="58" t="n">
        <f aca="false">IF(AND(OR(BU208="L1",BU208="L23"),AV208&gt;0),SUMIFS($AV$7:$AV$1576,$BU$7:$BU$1576,BU208,$AY$7:$AY$1576,"&gt;"&amp;AY208)+SUMIFS($AV$7:$AV$1576,$BU$7:$BU$1576,BU208,$AY$7:$AY$1576,AY208,$BO$7:$BO$1576,"&lt;="&amp;BO208),"")</f>
        <v>63.1022900110512</v>
      </c>
      <c r="BA208" s="65" t="n">
        <f aca="false">IF(AZ208="",0,MAX(0,MIN(1,(IF(BU208="L1",Parameter!$E$5,Parameter!$E$6+Parameter!$E$7)-(AZ208-AV208))/AV208)))</f>
        <v>1</v>
      </c>
      <c r="BB208" s="55" t="str">
        <f aca="false">IF(AF208&lt;=0,"",IF(BU208="Aussen","Aussenlager",IF(BU208="-","Nicht im Lift",IF(AK208&gt;=1,"Lift",IF(AK208&lt;=0,"Aussenlager","teilweise")))))</f>
        <v>Lift</v>
      </c>
      <c r="BC208" s="55" t="str">
        <f aca="false">IF(AN208&lt;=0,"",IF(BU208="Aussen","Aussenlager",IF(BU208="-","Nicht im Lift",IF(AS208&gt;=1,"Lift",IF(AS208&lt;=0,"Aussenlager","teilweise")))))</f>
        <v>Lift</v>
      </c>
      <c r="BD208" s="55" t="str">
        <f aca="false">IF(AV208&lt;=0,"",IF(BU208="Aussen","Aussenlager",IF(BU208="-","Nicht im Lift",IF(BA208&gt;=1,"Lift",IF(BA208&lt;=0,"Aussenlager","teilweise")))))</f>
        <v>Lift</v>
      </c>
      <c r="BE208" s="55" t="str">
        <f aca="false">IF(A208="","",IF(BN208=1,"Neu; ","")&amp;IF(AND(BN208=0,BI208&lt;0),"negativer Bestand (Export "&amp;BI208&amp;"); ","")&amp;IF(I208&lt;=0,"Kein Verbrauch; ","")&amp;IF(CD208&gt;0,"Lift "&amp;U208&amp;" lt. Liftbericht (Fach "&amp;V208&amp;" Stk); ",IF(BR208=1,"Lose – Fläche geschätzt; ",""))&amp;IF(G208&gt;AP208,"Überbestand "&amp;ROUND(G208-AP208,0)&amp;" Stk / CHF "&amp;ROUND((G208-AP208)*F208,0)&amp;"; ","")&amp;IF(AND(BW208=1,BX208&lt;BY208),"MAX &lt; MB+LG; ","")&amp;IF(AND(CC208&gt;0,CB208*10&gt;CC208),"zu hoch für Tablar; ","")&amp;IF(AND(BN208=0,OR(BW208=1,Y208&lt;&gt;"",S208&lt;&gt;"",T208&lt;&gt;"",Z208&lt;&gt;"")),"manuell übersteuert; ","")&amp;IF(AND(BR208=0,Q208=0),"Gebinde unbekannt / Stellmass fehlt; ","")&amp;IF(AND(BR208=0,N(T208)&lt;=0,N(P208)&lt;=0),"Menge pro Gebinde fehlt (Ist = 1 Gebinde); ","")&amp;BM208)</f>
        <v/>
      </c>
      <c r="BF208" s="55"/>
      <c r="BG208" s="55"/>
      <c r="BH208" s="62"/>
      <c r="BI208" s="57" t="n">
        <v>11</v>
      </c>
      <c r="BJ208" s="57" t="n">
        <v>23</v>
      </c>
      <c r="BK208" s="56" t="n">
        <v>740.99</v>
      </c>
      <c r="BL208" s="57" t="n">
        <v>4</v>
      </c>
      <c r="BM208" s="55"/>
      <c r="BN208" s="60" t="n">
        <v>0</v>
      </c>
      <c r="BO208" s="60" t="n">
        <v>208</v>
      </c>
      <c r="BP208" s="55" t="str">
        <f aca="false">IF(S208&lt;&gt;"",UPPER(TRIM(S208)),IF(O208="","LOSE",O208))</f>
        <v>S52</v>
      </c>
      <c r="BQ208" s="57" t="n">
        <f aca="false">IF(BP208="LOSE",1,IF(N(T208)&gt;0,T208,IF(N(P208)&gt;0,P208,MAX(1,G208))))</f>
        <v>15</v>
      </c>
      <c r="BR208" s="60" t="n">
        <f aca="false">IF(BP208="LOSE",1,0)</f>
        <v>0</v>
      </c>
      <c r="BS208" s="59" t="n">
        <f aca="false">IF(BR208=0,0,IF(N(R208)&gt;0,R208,IFERROR(VLOOKUP(D208,Parameter!$A$35:$C$64,3,0)+0,0)))</f>
        <v>0</v>
      </c>
      <c r="BT208" s="55" t="n">
        <f aca="false">IF(Y208&lt;&gt;"",Y208,X208)</f>
        <v>3</v>
      </c>
      <c r="BU208" s="55" t="str">
        <f aca="false">IF(BT208=1,"L1",IF(OR(BT208=2,BT208=3),"L23",IF(BT208="Aussen","Aussen","-")))</f>
        <v>L23</v>
      </c>
      <c r="BV208" s="66" t="n">
        <f aca="false">IF(N(Z208)&gt;0,Z208,0)</f>
        <v>0</v>
      </c>
      <c r="BW208" s="60" t="n">
        <f aca="false">IF(ISNUMBER(AC208),1,0)</f>
        <v>0</v>
      </c>
      <c r="BX208" s="57" t="n">
        <f aca="false">N(AC208)</f>
        <v>0</v>
      </c>
      <c r="BY208" s="57" t="n">
        <f aca="false">N(L208)+N(M208)</f>
        <v>5</v>
      </c>
      <c r="BZ208" s="57" t="n">
        <f aca="false">ROUNDUP(G208/BQ208,0)</f>
        <v>1</v>
      </c>
      <c r="CA208" s="57" t="n">
        <f aca="false">ROUNDUP(BX208/BQ208,0)</f>
        <v>0</v>
      </c>
      <c r="CB208" s="60" t="n">
        <f aca="false">IF(BR208=1,0,IFERROR(VLOOKUP(BP208,'Gebinde-Kategorie'!$A$5:$M$45,5,0)+0,0))</f>
        <v>21</v>
      </c>
      <c r="CC208" s="60" t="n">
        <f aca="false">IFERROR(IF(OR(BT208=1,BT208=2,BT208=3),N(INDEX(Parameter!$I$5:$I$7,BT208)),0),0)</f>
        <v>0</v>
      </c>
      <c r="CD208" s="59" t="n">
        <f aca="false">IF(AND(Parameter!$B$21="Ja",ISNUMBER(U208),N(V208)&gt;0),IFERROR(N(INDEX(Parameter!$L$5:$L$7,U208))*INDEX(Parameter!$E$5:$E$7,U208)*V208/SUMIFS($V$7:$V$1576,$U$7:$U$1576,U208),0),0)</f>
        <v>0</v>
      </c>
    </row>
    <row r="209" customFormat="false" ht="15" hidden="false" customHeight="false" outlineLevel="0" collapsed="false">
      <c r="A209" s="55" t="s">
        <v>605</v>
      </c>
      <c r="B209" s="55" t="s">
        <v>478</v>
      </c>
      <c r="C209" s="55" t="s">
        <v>160</v>
      </c>
      <c r="D209" s="55" t="s">
        <v>178</v>
      </c>
      <c r="E209" s="55" t="s">
        <v>210</v>
      </c>
      <c r="F209" s="56" t="n">
        <v>14.7</v>
      </c>
      <c r="G209" s="57" t="n">
        <f aca="false">MAX(0,IF(AND(Parameter!$B$21="Ja",ISNUMBER(W209)),W209,IF(Parameter!$B$20="Jahresanfang 2025 + Export",BJ209+BI209,BI209)))</f>
        <v>52</v>
      </c>
      <c r="H209" s="57" t="n">
        <f aca="false">G209*F209</f>
        <v>764.4</v>
      </c>
      <c r="I209" s="57" t="n">
        <f aca="false">BL209*Parameter!$B$18</f>
        <v>318</v>
      </c>
      <c r="J209" s="58" t="n">
        <v>76</v>
      </c>
      <c r="K209" s="59" t="n">
        <v>4.18421052631579</v>
      </c>
      <c r="L209" s="57" t="n">
        <v>10</v>
      </c>
      <c r="M209" s="57" t="n">
        <v>225</v>
      </c>
      <c r="N209" s="60" t="n">
        <v>7</v>
      </c>
      <c r="O209" s="55" t="s">
        <v>293</v>
      </c>
      <c r="P209" s="57" t="n">
        <v>60</v>
      </c>
      <c r="Q209" s="60" t="n">
        <f aca="false">IF(BR209=1,0,IFERROR(VLOOKUP(BP209,'Gebinde-Kategorie'!$A$5:$M$45,13,0)+0,0))</f>
        <v>26</v>
      </c>
      <c r="R209" s="61"/>
      <c r="S209" s="62"/>
      <c r="T209" s="62"/>
      <c r="U209" s="55"/>
      <c r="V209" s="57"/>
      <c r="W209" s="57"/>
      <c r="X209" s="55" t="n">
        <f aca="false">IF(A209="","",IF(AND(Parameter!$B$21="Ja",ISNUMBER(U209)),U209,IF(IFERROR(VLOOKUP(D209,Parameter!$A$35:$C$64,2,0),"Nein")="2+3",IF(ISNUMBER(SEARCH("grosser Artikel",BM209)),2,IFERROR(VLOOKUP(BP209,Parameter!$F$35:$G$64,2,0),2)),IF(OR(IFERROR(VLOOKUP(D209,Parameter!$A$35:$C$64,2,0),"Nein")="Nein",IFERROR(VLOOKUP(D209,Parameter!$A$35:$C$64,2,0),"Nein")=""),"-",VLOOKUP(D209,Parameter!$A$35:$C$64,2,0)))))</f>
        <v>3</v>
      </c>
      <c r="Y209" s="62"/>
      <c r="Z209" s="63"/>
      <c r="AA209" s="57" t="n">
        <f aca="false">AP209</f>
        <v>240</v>
      </c>
      <c r="AB209" s="57" t="n">
        <f aca="false">MAX(AP209,G209)</f>
        <v>240</v>
      </c>
      <c r="AC209" s="64"/>
      <c r="AD209" s="57" t="n">
        <f aca="false">IF(LEFT(Cockpit!$C$5,1)="A",G209,IF(BW209=1,BX209,IF(LEFT(Cockpit!$C$5,1)="B",AH209,MAX(AH209,G209))))</f>
        <v>52</v>
      </c>
      <c r="AE209" s="57" t="n">
        <f aca="false">IF(BR209=1,0,ROUNDUP(AD209/BQ209,0))</f>
        <v>1</v>
      </c>
      <c r="AF209" s="59" t="n">
        <f aca="false">IF(CD209&gt;0,CD209*MAX(1,AD209/V209),IF(BR209=1,IF(AD209&lt;=0,0,BS209*MAX(1,IF(G209&gt;0,AD209/G209,1))),IF(Q209&gt;0,AE209/Q209,0))/MAX(0.1,N(Parameter!$M$21)))</f>
        <v>0.0384615384615385</v>
      </c>
      <c r="AG209" s="57" t="n">
        <f aca="false">AD209*F209</f>
        <v>764.4</v>
      </c>
      <c r="AH209" s="57" t="n">
        <f aca="false">ROUNDUP(MAX(I209/IF(BV209&gt;0,BV209,MAX(0.1,N(Cockpit!$C$6))),BY209)/BQ209,0)*BQ209</f>
        <v>240</v>
      </c>
      <c r="AI209" s="58" t="n">
        <f aca="false">IF(AF209&gt;0,I209/AF209,-1)</f>
        <v>8268</v>
      </c>
      <c r="AJ209" s="58" t="n">
        <f aca="false">IF(AND(OR(BU209="L1",BU209="L23"),AF209&gt;0),SUMIFS($AF$7:$AF$1576,$BU$7:$BU$1576,BU209,$AI$7:$AI$1576,"&gt;"&amp;AI209)+SUMIFS($AF$7:$AF$1576,$BU$7:$BU$1576,BU209,$AI$7:$AI$1576,AI209,$BO$7:$BO$1576,"&lt;="&amp;BO209),"")</f>
        <v>2.92565284956589</v>
      </c>
      <c r="AK209" s="65" t="n">
        <f aca="false">IF(AJ209="",0,MAX(0,MIN(1,(IF(BU209="L1",Parameter!$E$5,Parameter!$E$6+Parameter!$E$7)-(AJ209-AF209))/AF209)))</f>
        <v>1</v>
      </c>
      <c r="AL209" s="57" t="n">
        <f aca="false">IF(LEFT(Cockpit!$I$5,1)="A",G209,IF(BW209=1,BX209,IF(LEFT(Cockpit!$I$5,1)="B",AP209,MAX(AP209,G209))))</f>
        <v>240</v>
      </c>
      <c r="AM209" s="57" t="n">
        <f aca="false">IF(BR209=1,0,ROUNDUP(AL209/BQ209,0))</f>
        <v>4</v>
      </c>
      <c r="AN209" s="59" t="n">
        <f aca="false">IF(CD209&gt;0,CD209*MAX(1,AL209/V209),IF(BR209=1,IF(AL209&lt;=0,0,BS209*MAX(1,IF(G209&gt;0,AL209/G209,1))),IF(Q209&gt;0,AM209/Q209,0))/MAX(0.1,N(Parameter!$M$21)))</f>
        <v>0.153846153846154</v>
      </c>
      <c r="AO209" s="57" t="n">
        <f aca="false">AL209*F209</f>
        <v>3528</v>
      </c>
      <c r="AP209" s="57" t="n">
        <f aca="false">ROUNDUP(MAX(I209/IF(BV209&gt;0,BV209,MAX(0.1,N(Cockpit!$I$6))),BY209)/BQ209,0)*BQ209</f>
        <v>240</v>
      </c>
      <c r="AQ209" s="58" t="n">
        <f aca="false">IF(AN209&gt;0,I209/AN209,-1)</f>
        <v>2067</v>
      </c>
      <c r="AR209" s="58" t="n">
        <f aca="false">IF(AND(OR(BU209="L1",BU209="L23"),AN209&gt;0),SUMIFS($AN$7:$AN$1576,$BU$7:$BU$1576,BU209,$AQ$7:$AQ$1576,"&gt;"&amp;AQ209)+SUMIFS($AN$7:$AN$1576,$BU$7:$BU$1576,BU209,$AQ$7:$AQ$1576,AQ209,$BO$7:$BO$1576,"&lt;="&amp;BO209),"")</f>
        <v>17.1500611107244</v>
      </c>
      <c r="AS209" s="65" t="n">
        <f aca="false">IF(AR209="",0,MAX(0,MIN(1,(IF(BU209="L1",Parameter!$E$5,Parameter!$E$6+Parameter!$E$7)-(AR209-AN209))/AN209)))</f>
        <v>1</v>
      </c>
      <c r="AT209" s="57" t="n">
        <f aca="false">IF(LEFT(Cockpit!$O$5,1)="A",G209,IF(BW209=1,BX209,IF(LEFT(Cockpit!$O$5,1)="B",AX209,MAX(AX209,G209))))</f>
        <v>240</v>
      </c>
      <c r="AU209" s="57" t="n">
        <f aca="false">IF(BR209=1,0,ROUNDUP(AT209/BQ209,0))</f>
        <v>4</v>
      </c>
      <c r="AV209" s="59" t="n">
        <f aca="false">IF(CD209&gt;0,CD209*MAX(1,AT209/V209),IF(BR209=1,IF(AT209&lt;=0,0,BS209*MAX(1,IF(G209&gt;0,AT209/G209,1))),IF(Q209&gt;0,AU209/Q209,0))/MAX(0.1,N(Parameter!$M$21)))</f>
        <v>0.153846153846154</v>
      </c>
      <c r="AW209" s="57" t="n">
        <f aca="false">AT209*F209</f>
        <v>3528</v>
      </c>
      <c r="AX209" s="57" t="n">
        <f aca="false">ROUNDUP(MAX(I209/IF(BV209&gt;0,BV209,MAX(0.1,N(Cockpit!$O$6))),BY209)/BQ209,0)*BQ209</f>
        <v>240</v>
      </c>
      <c r="AY209" s="58" t="n">
        <f aca="false">IF(AV209&gt;0,I209/AV209,-1)</f>
        <v>2067</v>
      </c>
      <c r="AZ209" s="58" t="n">
        <f aca="false">IF(AND(OR(BU209="L1",BU209="L23"),AV209&gt;0),SUMIFS($AV$7:$AV$1576,$BU$7:$BU$1576,BU209,$AY$7:$AY$1576,"&gt;"&amp;AY209)+SUMIFS($AV$7:$AV$1576,$BU$7:$BU$1576,BU209,$AY$7:$AY$1576,AY209,$BO$7:$BO$1576,"&lt;="&amp;BO209),"")</f>
        <v>15.8388722995356</v>
      </c>
      <c r="BA209" s="65" t="n">
        <f aca="false">IF(AZ209="",0,MAX(0,MIN(1,(IF(BU209="L1",Parameter!$E$5,Parameter!$E$6+Parameter!$E$7)-(AZ209-AV209))/AV209)))</f>
        <v>1</v>
      </c>
      <c r="BB209" s="55" t="str">
        <f aca="false">IF(AF209&lt;=0,"",IF(BU209="Aussen","Aussenlager",IF(BU209="-","Nicht im Lift",IF(AK209&gt;=1,"Lift",IF(AK209&lt;=0,"Aussenlager","teilweise")))))</f>
        <v>Lift</v>
      </c>
      <c r="BC209" s="55" t="str">
        <f aca="false">IF(AN209&lt;=0,"",IF(BU209="Aussen","Aussenlager",IF(BU209="-","Nicht im Lift",IF(AS209&gt;=1,"Lift",IF(AS209&lt;=0,"Aussenlager","teilweise")))))</f>
        <v>Lift</v>
      </c>
      <c r="BD209" s="55" t="str">
        <f aca="false">IF(AV209&lt;=0,"",IF(BU209="Aussen","Aussenlager",IF(BU209="-","Nicht im Lift",IF(BA209&gt;=1,"Lift",IF(BA209&lt;=0,"Aussenlager","teilweise")))))</f>
        <v>Lift</v>
      </c>
      <c r="BE209" s="55" t="str">
        <f aca="false">IF(A209="","",IF(BN209=1,"Neu; ","")&amp;IF(AND(BN209=0,BI209&lt;0),"negativer Bestand (Export "&amp;BI209&amp;"); ","")&amp;IF(I209&lt;=0,"Kein Verbrauch; ","")&amp;IF(CD209&gt;0,"Lift "&amp;U209&amp;" lt. Liftbericht (Fach "&amp;V209&amp;" Stk); ",IF(BR209=1,"Lose – Fläche geschätzt; ",""))&amp;IF(G209&gt;AP209,"Überbestand "&amp;ROUND(G209-AP209,0)&amp;" Stk / CHF "&amp;ROUND((G209-AP209)*F209,0)&amp;"; ","")&amp;IF(AND(BW209=1,BX209&lt;BY209),"MAX &lt; MB+LG; ","")&amp;IF(AND(CC209&gt;0,CB209*10&gt;CC209),"zu hoch für Tablar; ","")&amp;IF(AND(BN209=0,OR(BW209=1,Y209&lt;&gt;"",S209&lt;&gt;"",T209&lt;&gt;"",Z209&lt;&gt;"")),"manuell übersteuert; ","")&amp;IF(AND(BR209=0,Q209=0),"Gebinde unbekannt / Stellmass fehlt; ","")&amp;IF(AND(BR209=0,N(T209)&lt;=0,N(P209)&lt;=0),"Menge pro Gebinde fehlt (Ist = 1 Gebinde); ","")&amp;BM209)</f>
        <v/>
      </c>
      <c r="BF209" s="55"/>
      <c r="BG209" s="55"/>
      <c r="BH209" s="62"/>
      <c r="BI209" s="57" t="n">
        <v>52</v>
      </c>
      <c r="BJ209" s="57" t="n">
        <v>84</v>
      </c>
      <c r="BK209" s="56" t="n">
        <v>740.079999999999</v>
      </c>
      <c r="BL209" s="57" t="n">
        <v>318</v>
      </c>
      <c r="BM209" s="55"/>
      <c r="BN209" s="60" t="n">
        <v>0</v>
      </c>
      <c r="BO209" s="60" t="n">
        <v>209</v>
      </c>
      <c r="BP209" s="55" t="str">
        <f aca="false">IF(S209&lt;&gt;"",UPPER(TRIM(S209)),IF(O209="","LOSE",O209))</f>
        <v>S51</v>
      </c>
      <c r="BQ209" s="57" t="n">
        <f aca="false">IF(BP209="LOSE",1,IF(N(T209)&gt;0,T209,IF(N(P209)&gt;0,P209,MAX(1,G209))))</f>
        <v>60</v>
      </c>
      <c r="BR209" s="60" t="n">
        <f aca="false">IF(BP209="LOSE",1,0)</f>
        <v>0</v>
      </c>
      <c r="BS209" s="59" t="n">
        <f aca="false">IF(BR209=0,0,IF(N(R209)&gt;0,R209,IFERROR(VLOOKUP(D209,Parameter!$A$35:$C$64,3,0)+0,0)))</f>
        <v>0</v>
      </c>
      <c r="BT209" s="55" t="n">
        <f aca="false">IF(Y209&lt;&gt;"",Y209,X209)</f>
        <v>3</v>
      </c>
      <c r="BU209" s="55" t="str">
        <f aca="false">IF(BT209=1,"L1",IF(OR(BT209=2,BT209=3),"L23",IF(BT209="Aussen","Aussen","-")))</f>
        <v>L23</v>
      </c>
      <c r="BV209" s="66" t="n">
        <f aca="false">IF(N(Z209)&gt;0,Z209,0)</f>
        <v>0</v>
      </c>
      <c r="BW209" s="60" t="n">
        <f aca="false">IF(ISNUMBER(AC209),1,0)</f>
        <v>0</v>
      </c>
      <c r="BX209" s="57" t="n">
        <f aca="false">N(AC209)</f>
        <v>0</v>
      </c>
      <c r="BY209" s="57" t="n">
        <f aca="false">N(L209)+N(M209)</f>
        <v>235</v>
      </c>
      <c r="BZ209" s="57" t="n">
        <f aca="false">ROUNDUP(G209/BQ209,0)</f>
        <v>1</v>
      </c>
      <c r="CA209" s="57" t="n">
        <f aca="false">ROUNDUP(BX209/BQ209,0)</f>
        <v>0</v>
      </c>
      <c r="CB209" s="60" t="n">
        <f aca="false">IF(BR209=1,0,IFERROR(VLOOKUP(BP209,'Gebinde-Kategorie'!$A$5:$M$45,5,0)+0,0))</f>
        <v>11</v>
      </c>
      <c r="CC209" s="60" t="n">
        <f aca="false">IFERROR(IF(OR(BT209=1,BT209=2,BT209=3),N(INDEX(Parameter!$I$5:$I$7,BT209)),0),0)</f>
        <v>0</v>
      </c>
      <c r="CD209" s="59" t="n">
        <f aca="false">IF(AND(Parameter!$B$21="Ja",ISNUMBER(U209),N(V209)&gt;0),IFERROR(N(INDEX(Parameter!$L$5:$L$7,U209))*INDEX(Parameter!$E$5:$E$7,U209)*V209/SUMIFS($V$7:$V$1576,$U$7:$U$1576,U209),0),0)</f>
        <v>0</v>
      </c>
    </row>
    <row r="210" customFormat="false" ht="15" hidden="false" customHeight="false" outlineLevel="0" collapsed="false">
      <c r="A210" s="55" t="s">
        <v>606</v>
      </c>
      <c r="B210" s="55" t="s">
        <v>421</v>
      </c>
      <c r="C210" s="55" t="s">
        <v>160</v>
      </c>
      <c r="D210" s="55" t="s">
        <v>178</v>
      </c>
      <c r="E210" s="55" t="s">
        <v>210</v>
      </c>
      <c r="F210" s="56" t="n">
        <v>244.93</v>
      </c>
      <c r="G210" s="57" t="n">
        <f aca="false">MAX(0,IF(AND(Parameter!$B$21="Ja",ISNUMBER(W210)),W210,IF(Parameter!$B$20="Jahresanfang 2025 + Export",BJ210+BI210,BI210)))</f>
        <v>3</v>
      </c>
      <c r="H210" s="57" t="n">
        <f aca="false">G210*F210</f>
        <v>734.79</v>
      </c>
      <c r="I210" s="57" t="n">
        <f aca="false">BL210*Parameter!$B$18</f>
        <v>248</v>
      </c>
      <c r="J210" s="58" t="n">
        <v>1.5</v>
      </c>
      <c r="K210" s="59" t="n">
        <v>165.333333333333</v>
      </c>
      <c r="L210" s="57" t="n">
        <v>0</v>
      </c>
      <c r="M210" s="57" t="n">
        <v>0</v>
      </c>
      <c r="N210" s="60" t="n">
        <v>42</v>
      </c>
      <c r="O210" s="55" t="s">
        <v>218</v>
      </c>
      <c r="P210" s="57" t="n">
        <v>80</v>
      </c>
      <c r="Q210" s="60" t="n">
        <f aca="false">IF(BR210=1,0,IFERROR(VLOOKUP(BP210,'Gebinde-Kategorie'!$A$5:$M$45,13,0)+0,0))</f>
        <v>12</v>
      </c>
      <c r="R210" s="61"/>
      <c r="S210" s="62"/>
      <c r="T210" s="62"/>
      <c r="U210" s="55"/>
      <c r="V210" s="57"/>
      <c r="W210" s="57"/>
      <c r="X210" s="55" t="n">
        <f aca="false">IF(A210="","",IF(AND(Parameter!$B$21="Ja",ISNUMBER(U210)),U210,IF(IFERROR(VLOOKUP(D210,Parameter!$A$35:$C$64,2,0),"Nein")="2+3",IF(ISNUMBER(SEARCH("grosser Artikel",BM210)),2,IFERROR(VLOOKUP(BP210,Parameter!$F$35:$G$64,2,0),2)),IF(OR(IFERROR(VLOOKUP(D210,Parameter!$A$35:$C$64,2,0),"Nein")="Nein",IFERROR(VLOOKUP(D210,Parameter!$A$35:$C$64,2,0),"Nein")=""),"-",VLOOKUP(D210,Parameter!$A$35:$C$64,2,0)))))</f>
        <v>2</v>
      </c>
      <c r="Y210" s="62"/>
      <c r="Z210" s="63"/>
      <c r="AA210" s="57" t="n">
        <f aca="false">AP210</f>
        <v>160</v>
      </c>
      <c r="AB210" s="57" t="n">
        <f aca="false">MAX(AP210,G210)</f>
        <v>160</v>
      </c>
      <c r="AC210" s="64"/>
      <c r="AD210" s="57" t="n">
        <f aca="false">IF(LEFT(Cockpit!$C$5,1)="A",G210,IF(BW210=1,BX210,IF(LEFT(Cockpit!$C$5,1)="B",AH210,MAX(AH210,G210))))</f>
        <v>3</v>
      </c>
      <c r="AE210" s="57" t="n">
        <f aca="false">IF(BR210=1,0,ROUNDUP(AD210/BQ210,0))</f>
        <v>1</v>
      </c>
      <c r="AF210" s="59" t="n">
        <f aca="false">IF(CD210&gt;0,CD210*MAX(1,AD210/V210),IF(BR210=1,IF(AD210&lt;=0,0,BS210*MAX(1,IF(G210&gt;0,AD210/G210,1))),IF(Q210&gt;0,AE210/Q210,0))/MAX(0.1,N(Parameter!$M$21)))</f>
        <v>0.0833333333333333</v>
      </c>
      <c r="AG210" s="57" t="n">
        <f aca="false">AD210*F210</f>
        <v>734.79</v>
      </c>
      <c r="AH210" s="57" t="n">
        <f aca="false">ROUNDUP(MAX(I210/IF(BV210&gt;0,BV210,MAX(0.1,N(Cockpit!$C$6))),BY210)/BQ210,0)*BQ210</f>
        <v>160</v>
      </c>
      <c r="AI210" s="58" t="n">
        <f aca="false">IF(AF210&gt;0,I210/AF210,-1)</f>
        <v>2976</v>
      </c>
      <c r="AJ210" s="58" t="n">
        <f aca="false">IF(AND(OR(BU210="L1",BU210="L23"),AF210&gt;0),SUMIFS($AF$7:$AF$1576,$BU$7:$BU$1576,BU210,$AI$7:$AI$1576,"&gt;"&amp;AI210)+SUMIFS($AF$7:$AF$1576,$BU$7:$BU$1576,BU210,$AI$7:$AI$1576,AI210,$BO$7:$BO$1576,"&lt;="&amp;BO210),"")</f>
        <v>4.94383939731766</v>
      </c>
      <c r="AK210" s="65" t="n">
        <f aca="false">IF(AJ210="",0,MAX(0,MIN(1,(IF(BU210="L1",Parameter!$E$5,Parameter!$E$6+Parameter!$E$7)-(AJ210-AF210))/AF210)))</f>
        <v>1</v>
      </c>
      <c r="AL210" s="57" t="n">
        <f aca="false">IF(LEFT(Cockpit!$I$5,1)="A",G210,IF(BW210=1,BX210,IF(LEFT(Cockpit!$I$5,1)="B",AP210,MAX(AP210,G210))))</f>
        <v>160</v>
      </c>
      <c r="AM210" s="57" t="n">
        <f aca="false">IF(BR210=1,0,ROUNDUP(AL210/BQ210,0))</f>
        <v>2</v>
      </c>
      <c r="AN210" s="59" t="n">
        <f aca="false">IF(CD210&gt;0,CD210*MAX(1,AL210/V210),IF(BR210=1,IF(AL210&lt;=0,0,BS210*MAX(1,IF(G210&gt;0,AL210/G210,1))),IF(Q210&gt;0,AM210/Q210,0))/MAX(0.1,N(Parameter!$M$21)))</f>
        <v>0.166666666666667</v>
      </c>
      <c r="AO210" s="57" t="n">
        <f aca="false">AL210*F210</f>
        <v>39188.8</v>
      </c>
      <c r="AP210" s="57" t="n">
        <f aca="false">ROUNDUP(MAX(I210/IF(BV210&gt;0,BV210,MAX(0.1,N(Cockpit!$I$6))),BY210)/BQ210,0)*BQ210</f>
        <v>160</v>
      </c>
      <c r="AQ210" s="58" t="n">
        <f aca="false">IF(AN210&gt;0,I210/AN210,-1)</f>
        <v>1488</v>
      </c>
      <c r="AR210" s="58" t="n">
        <f aca="false">IF(AND(OR(BU210="L1",BU210="L23"),AN210&gt;0),SUMIFS($AN$7:$AN$1576,$BU$7:$BU$1576,BU210,$AQ$7:$AQ$1576,"&gt;"&amp;AQ210)+SUMIFS($AN$7:$AN$1576,$BU$7:$BU$1576,BU210,$AQ$7:$AQ$1576,AQ210,$BO$7:$BO$1576,"&lt;="&amp;BO210),"")</f>
        <v>19.2089780392066</v>
      </c>
      <c r="AS210" s="65" t="n">
        <f aca="false">IF(AR210="",0,MAX(0,MIN(1,(IF(BU210="L1",Parameter!$E$5,Parameter!$E$6+Parameter!$E$7)-(AR210-AN210))/AN210)))</f>
        <v>1</v>
      </c>
      <c r="AT210" s="57" t="n">
        <f aca="false">IF(LEFT(Cockpit!$O$5,1)="A",G210,IF(BW210=1,BX210,IF(LEFT(Cockpit!$O$5,1)="B",AX210,MAX(AX210,G210))))</f>
        <v>160</v>
      </c>
      <c r="AU210" s="57" t="n">
        <f aca="false">IF(BR210=1,0,ROUNDUP(AT210/BQ210,0))</f>
        <v>2</v>
      </c>
      <c r="AV210" s="59" t="n">
        <f aca="false">IF(CD210&gt;0,CD210*MAX(1,AT210/V210),IF(BR210=1,IF(AT210&lt;=0,0,BS210*MAX(1,IF(G210&gt;0,AT210/G210,1))),IF(Q210&gt;0,AU210/Q210,0))/MAX(0.1,N(Parameter!$M$21)))</f>
        <v>0.166666666666667</v>
      </c>
      <c r="AW210" s="57" t="n">
        <f aca="false">AT210*F210</f>
        <v>39188.8</v>
      </c>
      <c r="AX210" s="57" t="n">
        <f aca="false">ROUNDUP(MAX(I210/IF(BV210&gt;0,BV210,MAX(0.1,N(Cockpit!$O$6))),BY210)/BQ210,0)*BQ210</f>
        <v>160</v>
      </c>
      <c r="AY210" s="58" t="n">
        <f aca="false">IF(AV210&gt;0,I210/AV210,-1)</f>
        <v>1488</v>
      </c>
      <c r="AZ210" s="58" t="n">
        <f aca="false">IF(AND(OR(BU210="L1",BU210="L23"),AV210&gt;0),SUMIFS($AV$7:$AV$1576,$BU$7:$BU$1576,BU210,$AY$7:$AY$1576,"&gt;"&amp;AY210)+SUMIFS($AV$7:$AV$1576,$BU$7:$BU$1576,BU210,$AY$7:$AY$1576,AY210,$BO$7:$BO$1576,"&lt;="&amp;BO210),"")</f>
        <v>18.1862507664793</v>
      </c>
      <c r="BA210" s="65" t="n">
        <f aca="false">IF(AZ210="",0,MAX(0,MIN(1,(IF(BU210="L1",Parameter!$E$5,Parameter!$E$6+Parameter!$E$7)-(AZ210-AV210))/AV210)))</f>
        <v>1</v>
      </c>
      <c r="BB210" s="55" t="str">
        <f aca="false">IF(AF210&lt;=0,"",IF(BU210="Aussen","Aussenlager",IF(BU210="-","Nicht im Lift",IF(AK210&gt;=1,"Lift",IF(AK210&lt;=0,"Aussenlager","teilweise")))))</f>
        <v>Lift</v>
      </c>
      <c r="BC210" s="55" t="str">
        <f aca="false">IF(AN210&lt;=0,"",IF(BU210="Aussen","Aussenlager",IF(BU210="-","Nicht im Lift",IF(AS210&gt;=1,"Lift",IF(AS210&lt;=0,"Aussenlager","teilweise")))))</f>
        <v>Lift</v>
      </c>
      <c r="BD210" s="55" t="str">
        <f aca="false">IF(AV210&lt;=0,"",IF(BU210="Aussen","Aussenlager",IF(BU210="-","Nicht im Lift",IF(BA210&gt;=1,"Lift",IF(BA210&lt;=0,"Aussenlager","teilweise")))))</f>
        <v>Lift</v>
      </c>
      <c r="BE210" s="55" t="str">
        <f aca="false">IF(A210="","",IF(BN210=1,"Neu; ","")&amp;IF(AND(BN210=0,BI210&lt;0),"negativer Bestand (Export "&amp;BI210&amp;"); ","")&amp;IF(I210&lt;=0,"Kein Verbrauch; ","")&amp;IF(CD210&gt;0,"Lift "&amp;U210&amp;" lt. Liftbericht (Fach "&amp;V210&amp;" Stk); ",IF(BR210=1,"Lose – Fläche geschätzt; ",""))&amp;IF(G210&gt;AP210,"Überbestand "&amp;ROUND(G210-AP210,0)&amp;" Stk / CHF "&amp;ROUND((G210-AP210)*F210,0)&amp;"; ","")&amp;IF(AND(BW210=1,BX210&lt;BY210),"MAX &lt; MB+LG; ","")&amp;IF(AND(CC210&gt;0,CB210*10&gt;CC210),"zu hoch für Tablar; ","")&amp;IF(AND(BN210=0,OR(BW210=1,Y210&lt;&gt;"",S210&lt;&gt;"",T210&lt;&gt;"",Z210&lt;&gt;"")),"manuell übersteuert; ","")&amp;IF(AND(BR210=0,Q210=0),"Gebinde unbekannt / Stellmass fehlt; ","")&amp;IF(AND(BR210=0,N(T210)&lt;=0,N(P210)&lt;=0),"Menge pro Gebinde fehlt (Ist = 1 Gebinde); ","")&amp;BM210)</f>
        <v/>
      </c>
      <c r="BF210" s="55"/>
      <c r="BG210" s="55"/>
      <c r="BH210" s="62"/>
      <c r="BI210" s="57" t="n">
        <v>3</v>
      </c>
      <c r="BJ210" s="57" t="n">
        <v>0</v>
      </c>
      <c r="BK210" s="56" t="n">
        <v>734.79</v>
      </c>
      <c r="BL210" s="57" t="n">
        <v>248</v>
      </c>
      <c r="BM210" s="55"/>
      <c r="BN210" s="60" t="n">
        <v>0</v>
      </c>
      <c r="BO210" s="60" t="n">
        <v>210</v>
      </c>
      <c r="BP210" s="55" t="str">
        <f aca="false">IF(S210&lt;&gt;"",UPPER(TRIM(S210)),IF(O210="","LOSE",O210))</f>
        <v>S63</v>
      </c>
      <c r="BQ210" s="57" t="n">
        <f aca="false">IF(BP210="LOSE",1,IF(N(T210)&gt;0,T210,IF(N(P210)&gt;0,P210,MAX(1,G210))))</f>
        <v>80</v>
      </c>
      <c r="BR210" s="60" t="n">
        <f aca="false">IF(BP210="LOSE",1,0)</f>
        <v>0</v>
      </c>
      <c r="BS210" s="59" t="n">
        <f aca="false">IF(BR210=0,0,IF(N(R210)&gt;0,R210,IFERROR(VLOOKUP(D210,Parameter!$A$35:$C$64,3,0)+0,0)))</f>
        <v>0</v>
      </c>
      <c r="BT210" s="55" t="n">
        <f aca="false">IF(Y210&lt;&gt;"",Y210,X210)</f>
        <v>2</v>
      </c>
      <c r="BU210" s="55" t="str">
        <f aca="false">IF(BT210=1,"L1",IF(OR(BT210=2,BT210=3),"L23",IF(BT210="Aussen","Aussen","-")))</f>
        <v>L23</v>
      </c>
      <c r="BV210" s="66" t="n">
        <f aca="false">IF(N(Z210)&gt;0,Z210,0)</f>
        <v>0</v>
      </c>
      <c r="BW210" s="60" t="n">
        <f aca="false">IF(ISNUMBER(AC210),1,0)</f>
        <v>0</v>
      </c>
      <c r="BX210" s="57" t="n">
        <f aca="false">N(AC210)</f>
        <v>0</v>
      </c>
      <c r="BY210" s="57" t="n">
        <f aca="false">N(L210)+N(M210)</f>
        <v>0</v>
      </c>
      <c r="BZ210" s="57" t="n">
        <f aca="false">ROUNDUP(G210/BQ210,0)</f>
        <v>1</v>
      </c>
      <c r="CA210" s="57" t="n">
        <f aca="false">ROUNDUP(BX210/BQ210,0)</f>
        <v>0</v>
      </c>
      <c r="CB210" s="60" t="n">
        <f aca="false">IF(BR210=1,0,IFERROR(VLOOKUP(BP210,'Gebinde-Kategorie'!$A$5:$M$45,5,0)+0,0))</f>
        <v>31</v>
      </c>
      <c r="CC210" s="60" t="n">
        <f aca="false">IFERROR(IF(OR(BT210=1,BT210=2,BT210=3),N(INDEX(Parameter!$I$5:$I$7,BT210)),0),0)</f>
        <v>0</v>
      </c>
      <c r="CD210" s="59" t="n">
        <f aca="false">IF(AND(Parameter!$B$21="Ja",ISNUMBER(U210),N(V210)&gt;0),IFERROR(N(INDEX(Parameter!$L$5:$L$7,U210))*INDEX(Parameter!$E$5:$E$7,U210)*V210/SUMIFS($V$7:$V$1576,$U$7:$U$1576,U210),0),0)</f>
        <v>0</v>
      </c>
    </row>
    <row r="211" customFormat="false" ht="15" hidden="false" customHeight="false" outlineLevel="0" collapsed="false">
      <c r="A211" s="55" t="s">
        <v>607</v>
      </c>
      <c r="B211" s="55" t="s">
        <v>608</v>
      </c>
      <c r="C211" s="55" t="s">
        <v>160</v>
      </c>
      <c r="D211" s="55" t="s">
        <v>178</v>
      </c>
      <c r="E211" s="55" t="s">
        <v>210</v>
      </c>
      <c r="F211" s="56" t="n">
        <v>26.21</v>
      </c>
      <c r="G211" s="57" t="n">
        <f aca="false">MAX(0,IF(AND(Parameter!$B$21="Ja",ISNUMBER(W211)),W211,IF(Parameter!$B$20="Jahresanfang 2025 + Export",BJ211+BI211,BI211)))</f>
        <v>77</v>
      </c>
      <c r="H211" s="57" t="n">
        <f aca="false">G211*F211</f>
        <v>2018.17</v>
      </c>
      <c r="I211" s="57" t="n">
        <f aca="false">BL211*Parameter!$B$18</f>
        <v>685</v>
      </c>
      <c r="J211" s="58" t="n">
        <v>242.5</v>
      </c>
      <c r="K211" s="59" t="n">
        <v>2.82474226804124</v>
      </c>
      <c r="L211" s="57" t="n">
        <v>39</v>
      </c>
      <c r="M211" s="57" t="n">
        <v>200</v>
      </c>
      <c r="N211" s="60" t="n">
        <v>21</v>
      </c>
      <c r="O211" s="55" t="s">
        <v>284</v>
      </c>
      <c r="P211" s="57" t="n">
        <v>178</v>
      </c>
      <c r="Q211" s="60" t="n">
        <f aca="false">IF(BR211=1,0,IFERROR(VLOOKUP(BP211,'Gebinde-Kategorie'!$A$5:$M$45,13,0)+0,0))</f>
        <v>12</v>
      </c>
      <c r="R211" s="61"/>
      <c r="S211" s="62"/>
      <c r="T211" s="62"/>
      <c r="U211" s="55"/>
      <c r="V211" s="57"/>
      <c r="W211" s="57"/>
      <c r="X211" s="55" t="n">
        <f aca="false">IF(A211="","",IF(AND(Parameter!$B$21="Ja",ISNUMBER(U211)),U211,IF(IFERROR(VLOOKUP(D211,Parameter!$A$35:$C$64,2,0),"Nein")="2+3",IF(ISNUMBER(SEARCH("grosser Artikel",BM211)),2,IFERROR(VLOOKUP(BP211,Parameter!$F$35:$G$64,2,0),2)),IF(OR(IFERROR(VLOOKUP(D211,Parameter!$A$35:$C$64,2,0),"Nein")="Nein",IFERROR(VLOOKUP(D211,Parameter!$A$35:$C$64,2,0),"Nein")=""),"-",VLOOKUP(D211,Parameter!$A$35:$C$64,2,0)))))</f>
        <v>2</v>
      </c>
      <c r="Y211" s="62"/>
      <c r="Z211" s="63"/>
      <c r="AA211" s="57" t="n">
        <f aca="false">AP211</f>
        <v>356</v>
      </c>
      <c r="AB211" s="57" t="n">
        <f aca="false">MAX(AP211,G211)</f>
        <v>356</v>
      </c>
      <c r="AC211" s="64"/>
      <c r="AD211" s="57" t="n">
        <f aca="false">IF(LEFT(Cockpit!$C$5,1)="A",G211,IF(BW211=1,BX211,IF(LEFT(Cockpit!$C$5,1)="B",AH211,MAX(AH211,G211))))</f>
        <v>77</v>
      </c>
      <c r="AE211" s="57" t="n">
        <f aca="false">IF(BR211=1,0,ROUNDUP(AD211/BQ211,0))</f>
        <v>1</v>
      </c>
      <c r="AF211" s="59" t="n">
        <f aca="false">IF(CD211&gt;0,CD211*MAX(1,AD211/V211),IF(BR211=1,IF(AD211&lt;=0,0,BS211*MAX(1,IF(G211&gt;0,AD211/G211,1))),IF(Q211&gt;0,AE211/Q211,0))/MAX(0.1,N(Parameter!$M$21)))</f>
        <v>0.0833333333333333</v>
      </c>
      <c r="AG211" s="57" t="n">
        <f aca="false">AD211*F211</f>
        <v>2018.17</v>
      </c>
      <c r="AH211" s="57" t="n">
        <f aca="false">ROUNDUP(MAX(I211/IF(BV211&gt;0,BV211,MAX(0.1,N(Cockpit!$C$6))),BY211)/BQ211,0)*BQ211</f>
        <v>356</v>
      </c>
      <c r="AI211" s="58" t="n">
        <f aca="false">IF(AF211&gt;0,I211/AF211,-1)</f>
        <v>8220</v>
      </c>
      <c r="AJ211" s="58" t="n">
        <f aca="false">IF(AND(OR(BU211="L1",BU211="L23"),AF211&gt;0),SUMIFS($AF$7:$AF$1576,$BU$7:$BU$1576,BU211,$AI$7:$AI$1576,"&gt;"&amp;AI211)+SUMIFS($AF$7:$AF$1576,$BU$7:$BU$1576,BU211,$AI$7:$AI$1576,AI211,$BO$7:$BO$1576,"&lt;="&amp;BO211),"")</f>
        <v>3.00898618289923</v>
      </c>
      <c r="AK211" s="65" t="n">
        <f aca="false">IF(AJ211="",0,MAX(0,MIN(1,(IF(BU211="L1",Parameter!$E$5,Parameter!$E$6+Parameter!$E$7)-(AJ211-AF211))/AF211)))</f>
        <v>1</v>
      </c>
      <c r="AL211" s="57" t="n">
        <f aca="false">IF(LEFT(Cockpit!$I$5,1)="A",G211,IF(BW211=1,BX211,IF(LEFT(Cockpit!$I$5,1)="B",AP211,MAX(AP211,G211))))</f>
        <v>356</v>
      </c>
      <c r="AM211" s="57" t="n">
        <f aca="false">IF(BR211=1,0,ROUNDUP(AL211/BQ211,0))</f>
        <v>2</v>
      </c>
      <c r="AN211" s="59" t="n">
        <f aca="false">IF(CD211&gt;0,CD211*MAX(1,AL211/V211),IF(BR211=1,IF(AL211&lt;=0,0,BS211*MAX(1,IF(G211&gt;0,AL211/G211,1))),IF(Q211&gt;0,AM211/Q211,0))/MAX(0.1,N(Parameter!$M$21)))</f>
        <v>0.166666666666667</v>
      </c>
      <c r="AO211" s="57" t="n">
        <f aca="false">AL211*F211</f>
        <v>9330.76</v>
      </c>
      <c r="AP211" s="57" t="n">
        <f aca="false">ROUNDUP(MAX(I211/IF(BV211&gt;0,BV211,MAX(0.1,N(Cockpit!$I$6))),BY211)/BQ211,0)*BQ211</f>
        <v>356</v>
      </c>
      <c r="AQ211" s="58" t="n">
        <f aca="false">IF(AN211&gt;0,I211/AN211,-1)</f>
        <v>4110</v>
      </c>
      <c r="AR211" s="58" t="n">
        <f aca="false">IF(AND(OR(BU211="L1",BU211="L23"),AN211&gt;0),SUMIFS($AN$7:$AN$1576,$BU$7:$BU$1576,BU211,$AQ$7:$AQ$1576,"&gt;"&amp;AQ211)+SUMIFS($AN$7:$AN$1576,$BU$7:$BU$1576,BU211,$AQ$7:$AQ$1576,AQ211,$BO$7:$BO$1576,"&lt;="&amp;BO211),"")</f>
        <v>12.9346599540556</v>
      </c>
      <c r="AS211" s="65" t="n">
        <f aca="false">IF(AR211="",0,MAX(0,MIN(1,(IF(BU211="L1",Parameter!$E$5,Parameter!$E$6+Parameter!$E$7)-(AR211-AN211))/AN211)))</f>
        <v>1</v>
      </c>
      <c r="AT211" s="57" t="n">
        <f aca="false">IF(LEFT(Cockpit!$O$5,1)="A",G211,IF(BW211=1,BX211,IF(LEFT(Cockpit!$O$5,1)="B",AX211,MAX(AX211,G211))))</f>
        <v>356</v>
      </c>
      <c r="AU211" s="57" t="n">
        <f aca="false">IF(BR211=1,0,ROUNDUP(AT211/BQ211,0))</f>
        <v>2</v>
      </c>
      <c r="AV211" s="59" t="n">
        <f aca="false">IF(CD211&gt;0,CD211*MAX(1,AT211/V211),IF(BR211=1,IF(AT211&lt;=0,0,BS211*MAX(1,IF(G211&gt;0,AT211/G211,1))),IF(Q211&gt;0,AU211/Q211,0))/MAX(0.1,N(Parameter!$M$21)))</f>
        <v>0.166666666666667</v>
      </c>
      <c r="AW211" s="57" t="n">
        <f aca="false">AT211*F211</f>
        <v>9330.76</v>
      </c>
      <c r="AX211" s="57" t="n">
        <f aca="false">ROUNDUP(MAX(I211/IF(BV211&gt;0,BV211,MAX(0.1,N(Cockpit!$O$6))),BY211)/BQ211,0)*BQ211</f>
        <v>356</v>
      </c>
      <c r="AY211" s="58" t="n">
        <f aca="false">IF(AV211&gt;0,I211/AV211,-1)</f>
        <v>4110</v>
      </c>
      <c r="AZ211" s="58" t="n">
        <f aca="false">IF(AND(OR(BU211="L1",BU211="L23"),AV211&gt;0),SUMIFS($AV$7:$AV$1576,$BU$7:$BU$1576,BU211,$AY$7:$AY$1576,"&gt;"&amp;AY211)+SUMIFS($AV$7:$AV$1576,$BU$7:$BU$1576,BU211,$AY$7:$AY$1576,AY211,$BO$7:$BO$1576,"&lt;="&amp;BO211),"")</f>
        <v>11.6555224249181</v>
      </c>
      <c r="BA211" s="65" t="n">
        <f aca="false">IF(AZ211="",0,MAX(0,MIN(1,(IF(BU211="L1",Parameter!$E$5,Parameter!$E$6+Parameter!$E$7)-(AZ211-AV211))/AV211)))</f>
        <v>1</v>
      </c>
      <c r="BB211" s="55" t="str">
        <f aca="false">IF(AF211&lt;=0,"",IF(BU211="Aussen","Aussenlager",IF(BU211="-","Nicht im Lift",IF(AK211&gt;=1,"Lift",IF(AK211&lt;=0,"Aussenlager","teilweise")))))</f>
        <v>Lift</v>
      </c>
      <c r="BC211" s="55" t="str">
        <f aca="false">IF(AN211&lt;=0,"",IF(BU211="Aussen","Aussenlager",IF(BU211="-","Nicht im Lift",IF(AS211&gt;=1,"Lift",IF(AS211&lt;=0,"Aussenlager","teilweise")))))</f>
        <v>Lift</v>
      </c>
      <c r="BD211" s="55" t="str">
        <f aca="false">IF(AV211&lt;=0,"",IF(BU211="Aussen","Aussenlager",IF(BU211="-","Nicht im Lift",IF(BA211&gt;=1,"Lift",IF(BA211&lt;=0,"Aussenlager","teilweise")))))</f>
        <v>Lift</v>
      </c>
      <c r="BE211" s="55" t="str">
        <f aca="false">IF(A211="","",IF(BN211=1,"Neu; ","")&amp;IF(AND(BN211=0,BI211&lt;0),"negativer Bestand (Export "&amp;BI211&amp;"); ","")&amp;IF(I211&lt;=0,"Kein Verbrauch; ","")&amp;IF(CD211&gt;0,"Lift "&amp;U211&amp;" lt. Liftbericht (Fach "&amp;V211&amp;" Stk); ",IF(BR211=1,"Lose – Fläche geschätzt; ",""))&amp;IF(G211&gt;AP211,"Überbestand "&amp;ROUND(G211-AP211,0)&amp;" Stk / CHF "&amp;ROUND((G211-AP211)*F211,0)&amp;"; ","")&amp;IF(AND(BW211=1,BX211&lt;BY211),"MAX &lt; MB+LG; ","")&amp;IF(AND(CC211&gt;0,CB211*10&gt;CC211),"zu hoch für Tablar; ","")&amp;IF(AND(BN211=0,OR(BW211=1,Y211&lt;&gt;"",S211&lt;&gt;"",T211&lt;&gt;"",Z211&lt;&gt;"")),"manuell übersteuert; ","")&amp;IF(AND(BR211=0,Q211=0),"Gebinde unbekannt / Stellmass fehlt; ","")&amp;IF(AND(BR211=0,N(T211)&lt;=0,N(P211)&lt;=0),"Menge pro Gebinde fehlt (Ist = 1 Gebinde); ","")&amp;BM211)</f>
        <v/>
      </c>
      <c r="BF211" s="55"/>
      <c r="BG211" s="55"/>
      <c r="BH211" s="62"/>
      <c r="BI211" s="57" t="n">
        <v>77</v>
      </c>
      <c r="BJ211" s="57" t="n">
        <v>180</v>
      </c>
      <c r="BK211" s="56" t="n">
        <v>729.890000000004</v>
      </c>
      <c r="BL211" s="57" t="n">
        <v>685</v>
      </c>
      <c r="BM211" s="55"/>
      <c r="BN211" s="60" t="n">
        <v>0</v>
      </c>
      <c r="BO211" s="60" t="n">
        <v>211</v>
      </c>
      <c r="BP211" s="55" t="str">
        <f aca="false">IF(S211&lt;&gt;"",UPPER(TRIM(S211)),IF(O211="","LOSE",O211))</f>
        <v>S62</v>
      </c>
      <c r="BQ211" s="57" t="n">
        <f aca="false">IF(BP211="LOSE",1,IF(N(T211)&gt;0,T211,IF(N(P211)&gt;0,P211,MAX(1,G211))))</f>
        <v>178</v>
      </c>
      <c r="BR211" s="60" t="n">
        <f aca="false">IF(BP211="LOSE",1,0)</f>
        <v>0</v>
      </c>
      <c r="BS211" s="59" t="n">
        <f aca="false">IF(BR211=0,0,IF(N(R211)&gt;0,R211,IFERROR(VLOOKUP(D211,Parameter!$A$35:$C$64,3,0)+0,0)))</f>
        <v>0</v>
      </c>
      <c r="BT211" s="55" t="n">
        <f aca="false">IF(Y211&lt;&gt;"",Y211,X211)</f>
        <v>2</v>
      </c>
      <c r="BU211" s="55" t="str">
        <f aca="false">IF(BT211=1,"L1",IF(OR(BT211=2,BT211=3),"L23",IF(BT211="Aussen","Aussen","-")))</f>
        <v>L23</v>
      </c>
      <c r="BV211" s="66" t="n">
        <f aca="false">IF(N(Z211)&gt;0,Z211,0)</f>
        <v>0</v>
      </c>
      <c r="BW211" s="60" t="n">
        <f aca="false">IF(ISNUMBER(AC211),1,0)</f>
        <v>0</v>
      </c>
      <c r="BX211" s="57" t="n">
        <f aca="false">N(AC211)</f>
        <v>0</v>
      </c>
      <c r="BY211" s="57" t="n">
        <f aca="false">N(L211)+N(M211)</f>
        <v>239</v>
      </c>
      <c r="BZ211" s="57" t="n">
        <f aca="false">ROUNDUP(G211/BQ211,0)</f>
        <v>1</v>
      </c>
      <c r="CA211" s="57" t="n">
        <f aca="false">ROUNDUP(BX211/BQ211,0)</f>
        <v>0</v>
      </c>
      <c r="CB211" s="60" t="n">
        <f aca="false">IF(BR211=1,0,IFERROR(VLOOKUP(BP211,'Gebinde-Kategorie'!$A$5:$M$45,5,0)+0,0))</f>
        <v>21</v>
      </c>
      <c r="CC211" s="60" t="n">
        <f aca="false">IFERROR(IF(OR(BT211=1,BT211=2,BT211=3),N(INDEX(Parameter!$I$5:$I$7,BT211)),0),0)</f>
        <v>0</v>
      </c>
      <c r="CD211" s="59" t="n">
        <f aca="false">IF(AND(Parameter!$B$21="Ja",ISNUMBER(U211),N(V211)&gt;0),IFERROR(N(INDEX(Parameter!$L$5:$L$7,U211))*INDEX(Parameter!$E$5:$E$7,U211)*V211/SUMIFS($V$7:$V$1576,$U$7:$U$1576,U211),0),0)</f>
        <v>0</v>
      </c>
    </row>
    <row r="212" customFormat="false" ht="15" hidden="false" customHeight="false" outlineLevel="0" collapsed="false">
      <c r="A212" s="55" t="s">
        <v>609</v>
      </c>
      <c r="B212" s="55" t="s">
        <v>610</v>
      </c>
      <c r="C212" s="55" t="s">
        <v>160</v>
      </c>
      <c r="D212" s="55" t="s">
        <v>178</v>
      </c>
      <c r="E212" s="55" t="s">
        <v>210</v>
      </c>
      <c r="F212" s="56" t="n">
        <v>19.3</v>
      </c>
      <c r="G212" s="57" t="n">
        <f aca="false">MAX(0,IF(AND(Parameter!$B$21="Ja",ISNUMBER(W212)),W212,IF(Parameter!$B$20="Jahresanfang 2025 + Export",BJ212+BI212,BI212)))</f>
        <v>37</v>
      </c>
      <c r="H212" s="57" t="n">
        <f aca="false">G212*F212</f>
        <v>714.1</v>
      </c>
      <c r="I212" s="57" t="n">
        <f aca="false">BL212*Parameter!$B$18</f>
        <v>56</v>
      </c>
      <c r="J212" s="58" t="n">
        <v>80</v>
      </c>
      <c r="K212" s="59" t="n">
        <v>0.7</v>
      </c>
      <c r="L212" s="57" t="n">
        <v>9</v>
      </c>
      <c r="M212" s="57" t="n">
        <v>55</v>
      </c>
      <c r="N212" s="60" t="n">
        <v>63</v>
      </c>
      <c r="O212" s="55" t="s">
        <v>319</v>
      </c>
      <c r="P212" s="57" t="n">
        <v>66</v>
      </c>
      <c r="Q212" s="60" t="n">
        <f aca="false">IF(BR212=1,0,IFERROR(VLOOKUP(BP212,'Gebinde-Kategorie'!$A$5:$M$45,13,0)+0,0))</f>
        <v>52</v>
      </c>
      <c r="R212" s="61"/>
      <c r="S212" s="62"/>
      <c r="T212" s="62"/>
      <c r="U212" s="55"/>
      <c r="V212" s="57"/>
      <c r="W212" s="57"/>
      <c r="X212" s="55" t="n">
        <f aca="false">IF(A212="","",IF(AND(Parameter!$B$21="Ja",ISNUMBER(U212)),U212,IF(IFERROR(VLOOKUP(D212,Parameter!$A$35:$C$64,2,0),"Nein")="2+3",IF(ISNUMBER(SEARCH("grosser Artikel",BM212)),2,IFERROR(VLOOKUP(BP212,Parameter!$F$35:$G$64,2,0),2)),IF(OR(IFERROR(VLOOKUP(D212,Parameter!$A$35:$C$64,2,0),"Nein")="Nein",IFERROR(VLOOKUP(D212,Parameter!$A$35:$C$64,2,0),"Nein")=""),"-",VLOOKUP(D212,Parameter!$A$35:$C$64,2,0)))))</f>
        <v>3</v>
      </c>
      <c r="Y212" s="62"/>
      <c r="Z212" s="63"/>
      <c r="AA212" s="57" t="n">
        <f aca="false">AP212</f>
        <v>66</v>
      </c>
      <c r="AB212" s="57" t="n">
        <f aca="false">MAX(AP212,G212)</f>
        <v>66</v>
      </c>
      <c r="AC212" s="64"/>
      <c r="AD212" s="57" t="n">
        <f aca="false">IF(LEFT(Cockpit!$C$5,1)="A",G212,IF(BW212=1,BX212,IF(LEFT(Cockpit!$C$5,1)="B",AH212,MAX(AH212,G212))))</f>
        <v>37</v>
      </c>
      <c r="AE212" s="57" t="n">
        <f aca="false">IF(BR212=1,0,ROUNDUP(AD212/BQ212,0))</f>
        <v>1</v>
      </c>
      <c r="AF212" s="59" t="n">
        <f aca="false">IF(CD212&gt;0,CD212*MAX(1,AD212/V212),IF(BR212=1,IF(AD212&lt;=0,0,BS212*MAX(1,IF(G212&gt;0,AD212/G212,1))),IF(Q212&gt;0,AE212/Q212,0))/MAX(0.1,N(Parameter!$M$21)))</f>
        <v>0.0192307692307692</v>
      </c>
      <c r="AG212" s="57" t="n">
        <f aca="false">AD212*F212</f>
        <v>714.1</v>
      </c>
      <c r="AH212" s="57" t="n">
        <f aca="false">ROUNDUP(MAX(I212/IF(BV212&gt;0,BV212,MAX(0.1,N(Cockpit!$C$6))),BY212)/BQ212,0)*BQ212</f>
        <v>66</v>
      </c>
      <c r="AI212" s="58" t="n">
        <f aca="false">IF(AF212&gt;0,I212/AF212,-1)</f>
        <v>2912</v>
      </c>
      <c r="AJ212" s="58" t="n">
        <f aca="false">IF(AND(OR(BU212="L1",BU212="L23"),AF212&gt;0),SUMIFS($AF$7:$AF$1576,$BU$7:$BU$1576,BU212,$AI$7:$AI$1576,"&gt;"&amp;AI212)+SUMIFS($AF$7:$AF$1576,$BU$7:$BU$1576,BU212,$AI$7:$AI$1576,AI212,$BO$7:$BO$1576,"&lt;="&amp;BO212),"")</f>
        <v>5.04640349988176</v>
      </c>
      <c r="AK212" s="65" t="n">
        <f aca="false">IF(AJ212="",0,MAX(0,MIN(1,(IF(BU212="L1",Parameter!$E$5,Parameter!$E$6+Parameter!$E$7)-(AJ212-AF212))/AF212)))</f>
        <v>1</v>
      </c>
      <c r="AL212" s="57" t="n">
        <f aca="false">IF(LEFT(Cockpit!$I$5,1)="A",G212,IF(BW212=1,BX212,IF(LEFT(Cockpit!$I$5,1)="B",AP212,MAX(AP212,G212))))</f>
        <v>66</v>
      </c>
      <c r="AM212" s="57" t="n">
        <f aca="false">IF(BR212=1,0,ROUNDUP(AL212/BQ212,0))</f>
        <v>1</v>
      </c>
      <c r="AN212" s="59" t="n">
        <f aca="false">IF(CD212&gt;0,CD212*MAX(1,AL212/V212),IF(BR212=1,IF(AL212&lt;=0,0,BS212*MAX(1,IF(G212&gt;0,AL212/G212,1))),IF(Q212&gt;0,AM212/Q212,0))/MAX(0.1,N(Parameter!$M$21)))</f>
        <v>0.0192307692307692</v>
      </c>
      <c r="AO212" s="57" t="n">
        <f aca="false">AL212*F212</f>
        <v>1273.8</v>
      </c>
      <c r="AP212" s="57" t="n">
        <f aca="false">ROUNDUP(MAX(I212/IF(BV212&gt;0,BV212,MAX(0.1,N(Cockpit!$I$6))),BY212)/BQ212,0)*BQ212</f>
        <v>66</v>
      </c>
      <c r="AQ212" s="58" t="n">
        <f aca="false">IF(AN212&gt;0,I212/AN212,-1)</f>
        <v>2912</v>
      </c>
      <c r="AR212" s="58" t="n">
        <f aca="false">IF(AND(OR(BU212="L1",BU212="L23"),AN212&gt;0),SUMIFS($AN$7:$AN$1576,$BU$7:$BU$1576,BU212,$AQ$7:$AQ$1576,"&gt;"&amp;AQ212)+SUMIFS($AN$7:$AN$1576,$BU$7:$BU$1576,BU212,$AQ$7:$AQ$1576,AQ212,$BO$7:$BO$1576,"&lt;="&amp;BO212),"")</f>
        <v>14.5066315090706</v>
      </c>
      <c r="AS212" s="65" t="n">
        <f aca="false">IF(AR212="",0,MAX(0,MIN(1,(IF(BU212="L1",Parameter!$E$5,Parameter!$E$6+Parameter!$E$7)-(AR212-AN212))/AN212)))</f>
        <v>1</v>
      </c>
      <c r="AT212" s="57" t="n">
        <f aca="false">IF(LEFT(Cockpit!$O$5,1)="A",G212,IF(BW212=1,BX212,IF(LEFT(Cockpit!$O$5,1)="B",AX212,MAX(AX212,G212))))</f>
        <v>66</v>
      </c>
      <c r="AU212" s="57" t="n">
        <f aca="false">IF(BR212=1,0,ROUNDUP(AT212/BQ212,0))</f>
        <v>1</v>
      </c>
      <c r="AV212" s="59" t="n">
        <f aca="false">IF(CD212&gt;0,CD212*MAX(1,AT212/V212),IF(BR212=1,IF(AT212&lt;=0,0,BS212*MAX(1,IF(G212&gt;0,AT212/G212,1))),IF(Q212&gt;0,AU212/Q212,0))/MAX(0.1,N(Parameter!$M$21)))</f>
        <v>0.0192307692307692</v>
      </c>
      <c r="AW212" s="57" t="n">
        <f aca="false">AT212*F212</f>
        <v>1273.8</v>
      </c>
      <c r="AX212" s="57" t="n">
        <f aca="false">ROUNDUP(MAX(I212/IF(BV212&gt;0,BV212,MAX(0.1,N(Cockpit!$O$6))),BY212)/BQ212,0)*BQ212</f>
        <v>66</v>
      </c>
      <c r="AY212" s="58" t="n">
        <f aca="false">IF(AV212&gt;0,I212/AV212,-1)</f>
        <v>2912</v>
      </c>
      <c r="AZ212" s="58" t="n">
        <f aca="false">IF(AND(OR(BU212="L1",BU212="L23"),AV212&gt;0),SUMIFS($AV$7:$AV$1576,$BU$7:$BU$1576,BU212,$AY$7:$AY$1576,"&gt;"&amp;AY212)+SUMIFS($AV$7:$AV$1576,$BU$7:$BU$1576,BU212,$AY$7:$AY$1576,AY212,$BO$7:$BO$1576,"&lt;="&amp;BO212),"")</f>
        <v>13.2274939799331</v>
      </c>
      <c r="BA212" s="65" t="n">
        <f aca="false">IF(AZ212="",0,MAX(0,MIN(1,(IF(BU212="L1",Parameter!$E$5,Parameter!$E$6+Parameter!$E$7)-(AZ212-AV212))/AV212)))</f>
        <v>1</v>
      </c>
      <c r="BB212" s="55" t="str">
        <f aca="false">IF(AF212&lt;=0,"",IF(BU212="Aussen","Aussenlager",IF(BU212="-","Nicht im Lift",IF(AK212&gt;=1,"Lift",IF(AK212&lt;=0,"Aussenlager","teilweise")))))</f>
        <v>Lift</v>
      </c>
      <c r="BC212" s="55" t="str">
        <f aca="false">IF(AN212&lt;=0,"",IF(BU212="Aussen","Aussenlager",IF(BU212="-","Nicht im Lift",IF(AS212&gt;=1,"Lift",IF(AS212&lt;=0,"Aussenlager","teilweise")))))</f>
        <v>Lift</v>
      </c>
      <c r="BD212" s="55" t="str">
        <f aca="false">IF(AV212&lt;=0,"",IF(BU212="Aussen","Aussenlager",IF(BU212="-","Nicht im Lift",IF(BA212&gt;=1,"Lift",IF(BA212&lt;=0,"Aussenlager","teilweise")))))</f>
        <v>Lift</v>
      </c>
      <c r="BE212" s="55" t="str">
        <f aca="false">IF(A212="","",IF(BN212=1,"Neu; ","")&amp;IF(AND(BN212=0,BI212&lt;0),"negativer Bestand (Export "&amp;BI212&amp;"); ","")&amp;IF(I212&lt;=0,"Kein Verbrauch; ","")&amp;IF(CD212&gt;0,"Lift "&amp;U212&amp;" lt. Liftbericht (Fach "&amp;V212&amp;" Stk); ",IF(BR212=1,"Lose – Fläche geschätzt; ",""))&amp;IF(G212&gt;AP212,"Überbestand "&amp;ROUND(G212-AP212,0)&amp;" Stk / CHF "&amp;ROUND((G212-AP212)*F212,0)&amp;"; ","")&amp;IF(AND(BW212=1,BX212&lt;BY212),"MAX &lt; MB+LG; ","")&amp;IF(AND(CC212&gt;0,CB212*10&gt;CC212),"zu hoch für Tablar; ","")&amp;IF(AND(BN212=0,OR(BW212=1,Y212&lt;&gt;"",S212&lt;&gt;"",T212&lt;&gt;"",Z212&lt;&gt;"")),"manuell übersteuert; ","")&amp;IF(AND(BR212=0,Q212=0),"Gebinde unbekannt / Stellmass fehlt; ","")&amp;IF(AND(BR212=0,N(T212)&lt;=0,N(P212)&lt;=0),"Menge pro Gebinde fehlt (Ist = 1 Gebinde); ","")&amp;BM212)</f>
        <v/>
      </c>
      <c r="BF212" s="55"/>
      <c r="BG212" s="55"/>
      <c r="BH212" s="62"/>
      <c r="BI212" s="57" t="n">
        <v>37</v>
      </c>
      <c r="BJ212" s="57" t="n">
        <v>28</v>
      </c>
      <c r="BK212" s="56" t="n">
        <v>720.26</v>
      </c>
      <c r="BL212" s="57" t="n">
        <v>56</v>
      </c>
      <c r="BM212" s="55"/>
      <c r="BN212" s="60" t="n">
        <v>0</v>
      </c>
      <c r="BO212" s="60" t="n">
        <v>212</v>
      </c>
      <c r="BP212" s="55" t="str">
        <f aca="false">IF(S212&lt;&gt;"",UPPER(TRIM(S212)),IF(O212="","LOSE",O212))</f>
        <v>S41</v>
      </c>
      <c r="BQ212" s="57" t="n">
        <f aca="false">IF(BP212="LOSE",1,IF(N(T212)&gt;0,T212,IF(N(P212)&gt;0,P212,MAX(1,G212))))</f>
        <v>66</v>
      </c>
      <c r="BR212" s="60" t="n">
        <f aca="false">IF(BP212="LOSE",1,0)</f>
        <v>0</v>
      </c>
      <c r="BS212" s="59" t="n">
        <f aca="false">IF(BR212=0,0,IF(N(R212)&gt;0,R212,IFERROR(VLOOKUP(D212,Parameter!$A$35:$C$64,3,0)+0,0)))</f>
        <v>0</v>
      </c>
      <c r="BT212" s="55" t="n">
        <f aca="false">IF(Y212&lt;&gt;"",Y212,X212)</f>
        <v>3</v>
      </c>
      <c r="BU212" s="55" t="str">
        <f aca="false">IF(BT212=1,"L1",IF(OR(BT212=2,BT212=3),"L23",IF(BT212="Aussen","Aussen","-")))</f>
        <v>L23</v>
      </c>
      <c r="BV212" s="66" t="n">
        <f aca="false">IF(N(Z212)&gt;0,Z212,0)</f>
        <v>0</v>
      </c>
      <c r="BW212" s="60" t="n">
        <f aca="false">IF(ISNUMBER(AC212),1,0)</f>
        <v>0</v>
      </c>
      <c r="BX212" s="57" t="n">
        <f aca="false">N(AC212)</f>
        <v>0</v>
      </c>
      <c r="BY212" s="57" t="n">
        <f aca="false">N(L212)+N(M212)</f>
        <v>64</v>
      </c>
      <c r="BZ212" s="57" t="n">
        <f aca="false">ROUNDUP(G212/BQ212,0)</f>
        <v>1</v>
      </c>
      <c r="CA212" s="57" t="n">
        <f aca="false">ROUNDUP(BX212/BQ212,0)</f>
        <v>0</v>
      </c>
      <c r="CB212" s="60" t="n">
        <f aca="false">IF(BR212=1,0,IFERROR(VLOOKUP(BP212,'Gebinde-Kategorie'!$A$5:$M$45,5,0)+0,0))</f>
        <v>11</v>
      </c>
      <c r="CC212" s="60" t="n">
        <f aca="false">IFERROR(IF(OR(BT212=1,BT212=2,BT212=3),N(INDEX(Parameter!$I$5:$I$7,BT212)),0),0)</f>
        <v>0</v>
      </c>
      <c r="CD212" s="59" t="n">
        <f aca="false">IF(AND(Parameter!$B$21="Ja",ISNUMBER(U212),N(V212)&gt;0),IFERROR(N(INDEX(Parameter!$L$5:$L$7,U212))*INDEX(Parameter!$E$5:$E$7,U212)*V212/SUMIFS($V$7:$V$1576,$U$7:$U$1576,U212),0),0)</f>
        <v>0</v>
      </c>
    </row>
    <row r="213" customFormat="false" ht="15" hidden="false" customHeight="false" outlineLevel="0" collapsed="false">
      <c r="A213" s="55" t="s">
        <v>611</v>
      </c>
      <c r="B213" s="55" t="s">
        <v>214</v>
      </c>
      <c r="C213" s="55" t="s">
        <v>160</v>
      </c>
      <c r="D213" s="55" t="s">
        <v>168</v>
      </c>
      <c r="E213" s="55" t="s">
        <v>210</v>
      </c>
      <c r="F213" s="56" t="n">
        <v>165.25</v>
      </c>
      <c r="G213" s="57" t="n">
        <f aca="false">MAX(0,IF(AND(Parameter!$B$21="Ja",ISNUMBER(W213)),W213,IF(Parameter!$B$20="Jahresanfang 2025 + Export",BJ213+BI213,BI213)))</f>
        <v>8</v>
      </c>
      <c r="H213" s="57" t="n">
        <f aca="false">G213*F213</f>
        <v>1322</v>
      </c>
      <c r="I213" s="57" t="n">
        <f aca="false">BL213*Parameter!$B$18</f>
        <v>122</v>
      </c>
      <c r="J213" s="58" t="n">
        <v>35</v>
      </c>
      <c r="K213" s="59" t="n">
        <v>3.48571428571429</v>
      </c>
      <c r="L213" s="57" t="n">
        <v>10</v>
      </c>
      <c r="M213" s="57" t="n">
        <v>40</v>
      </c>
      <c r="N213" s="60" t="n">
        <v>21</v>
      </c>
      <c r="O213" s="55" t="s">
        <v>251</v>
      </c>
      <c r="P213" s="57" t="n">
        <v>22</v>
      </c>
      <c r="Q213" s="60" t="n">
        <f aca="false">IF(BR213=1,0,IFERROR(VLOOKUP(BP213,'Gebinde-Kategorie'!$A$5:$M$45,13,0)+0,0))</f>
        <v>6</v>
      </c>
      <c r="R213" s="61"/>
      <c r="S213" s="62"/>
      <c r="T213" s="62"/>
      <c r="U213" s="55"/>
      <c r="V213" s="57"/>
      <c r="W213" s="57"/>
      <c r="X213" s="55" t="n">
        <f aca="false">IF(A213="","",IF(AND(Parameter!$B$21="Ja",ISNUMBER(U213)),U213,IF(IFERROR(VLOOKUP(D213,Parameter!$A$35:$C$64,2,0),"Nein")="2+3",IF(ISNUMBER(SEARCH("grosser Artikel",BM213)),2,IFERROR(VLOOKUP(BP213,Parameter!$F$35:$G$64,2,0),2)),IF(OR(IFERROR(VLOOKUP(D213,Parameter!$A$35:$C$64,2,0),"Nein")="Nein",IFERROR(VLOOKUP(D213,Parameter!$A$35:$C$64,2,0),"Nein")=""),"-",VLOOKUP(D213,Parameter!$A$35:$C$64,2,0)))))</f>
        <v>2</v>
      </c>
      <c r="Y213" s="62"/>
      <c r="Z213" s="63"/>
      <c r="AA213" s="57" t="n">
        <f aca="false">AP213</f>
        <v>66</v>
      </c>
      <c r="AB213" s="57" t="n">
        <f aca="false">MAX(AP213,G213)</f>
        <v>66</v>
      </c>
      <c r="AC213" s="64"/>
      <c r="AD213" s="57" t="n">
        <f aca="false">IF(LEFT(Cockpit!$C$5,1)="A",G213,IF(BW213=1,BX213,IF(LEFT(Cockpit!$C$5,1)="B",AH213,MAX(AH213,G213))))</f>
        <v>8</v>
      </c>
      <c r="AE213" s="57" t="n">
        <f aca="false">IF(BR213=1,0,ROUNDUP(AD213/BQ213,0))</f>
        <v>1</v>
      </c>
      <c r="AF213" s="59" t="n">
        <f aca="false">IF(CD213&gt;0,CD213*MAX(1,AD213/V213),IF(BR213=1,IF(AD213&lt;=0,0,BS213*MAX(1,IF(G213&gt;0,AD213/G213,1))),IF(Q213&gt;0,AE213/Q213,0))/MAX(0.1,N(Parameter!$M$21)))</f>
        <v>0.166666666666667</v>
      </c>
      <c r="AG213" s="57" t="n">
        <f aca="false">AD213*F213</f>
        <v>1322</v>
      </c>
      <c r="AH213" s="57" t="n">
        <f aca="false">ROUNDUP(MAX(I213/IF(BV213&gt;0,BV213,MAX(0.1,N(Cockpit!$C$6))),BY213)/BQ213,0)*BQ213</f>
        <v>66</v>
      </c>
      <c r="AI213" s="58" t="n">
        <f aca="false">IF(AF213&gt;0,I213/AF213,-1)</f>
        <v>732</v>
      </c>
      <c r="AJ213" s="58" t="n">
        <f aca="false">IF(AND(OR(BU213="L1",BU213="L23"),AF213&gt;0),SUMIFS($AF$7:$AF$1576,$BU$7:$BU$1576,BU213,$AI$7:$AI$1576,"&gt;"&amp;AI213)+SUMIFS($AF$7:$AF$1576,$BU$7:$BU$1576,BU213,$AI$7:$AI$1576,AI213,$BO$7:$BO$1576,"&lt;="&amp;BO213),"")</f>
        <v>11.1841758724367</v>
      </c>
      <c r="AK213" s="65" t="n">
        <f aca="false">IF(AJ213="",0,MAX(0,MIN(1,(IF(BU213="L1",Parameter!$E$5,Parameter!$E$6+Parameter!$E$7)-(AJ213-AF213))/AF213)))</f>
        <v>1</v>
      </c>
      <c r="AL213" s="57" t="n">
        <f aca="false">IF(LEFT(Cockpit!$I$5,1)="A",G213,IF(BW213=1,BX213,IF(LEFT(Cockpit!$I$5,1)="B",AP213,MAX(AP213,G213))))</f>
        <v>66</v>
      </c>
      <c r="AM213" s="57" t="n">
        <f aca="false">IF(BR213=1,0,ROUNDUP(AL213/BQ213,0))</f>
        <v>3</v>
      </c>
      <c r="AN213" s="59" t="n">
        <f aca="false">IF(CD213&gt;0,CD213*MAX(1,AL213/V213),IF(BR213=1,IF(AL213&lt;=0,0,BS213*MAX(1,IF(G213&gt;0,AL213/G213,1))),IF(Q213&gt;0,AM213/Q213,0))/MAX(0.1,N(Parameter!$M$21)))</f>
        <v>0.5</v>
      </c>
      <c r="AO213" s="57" t="n">
        <f aca="false">AL213*F213</f>
        <v>10906.5</v>
      </c>
      <c r="AP213" s="57" t="n">
        <f aca="false">ROUNDUP(MAX(I213/IF(BV213&gt;0,BV213,MAX(0.1,N(Cockpit!$I$6))),BY213)/BQ213,0)*BQ213</f>
        <v>66</v>
      </c>
      <c r="AQ213" s="58" t="n">
        <f aca="false">IF(AN213&gt;0,I213/AN213,-1)</f>
        <v>244</v>
      </c>
      <c r="AR213" s="58" t="n">
        <f aca="false">IF(AND(OR(BU213="L1",BU213="L23"),AN213&gt;0),SUMIFS($AN$7:$AN$1576,$BU$7:$BU$1576,BU213,$AQ$7:$AQ$1576,"&gt;"&amp;AQ213)+SUMIFS($AN$7:$AN$1576,$BU$7:$BU$1576,BU213,$AQ$7:$AQ$1576,AQ213,$BO$7:$BO$1576,"&lt;="&amp;BO213),"")</f>
        <v>46.0875421803794</v>
      </c>
      <c r="AS213" s="65" t="n">
        <f aca="false">IF(AR213="",0,MAX(0,MIN(1,(IF(BU213="L1",Parameter!$E$5,Parameter!$E$6+Parameter!$E$7)-(AR213-AN213))/AN213)))</f>
        <v>1</v>
      </c>
      <c r="AT213" s="57" t="n">
        <f aca="false">IF(LEFT(Cockpit!$O$5,1)="A",G213,IF(BW213=1,BX213,IF(LEFT(Cockpit!$O$5,1)="B",AX213,MAX(AX213,G213))))</f>
        <v>66</v>
      </c>
      <c r="AU213" s="57" t="n">
        <f aca="false">IF(BR213=1,0,ROUNDUP(AT213/BQ213,0))</f>
        <v>3</v>
      </c>
      <c r="AV213" s="59" t="n">
        <f aca="false">IF(CD213&gt;0,CD213*MAX(1,AT213/V213),IF(BR213=1,IF(AT213&lt;=0,0,BS213*MAX(1,IF(G213&gt;0,AT213/G213,1))),IF(Q213&gt;0,AU213/Q213,0))/MAX(0.1,N(Parameter!$M$21)))</f>
        <v>0.5</v>
      </c>
      <c r="AW213" s="57" t="n">
        <f aca="false">AT213*F213</f>
        <v>10906.5</v>
      </c>
      <c r="AX213" s="57" t="n">
        <f aca="false">ROUNDUP(MAX(I213/IF(BV213&gt;0,BV213,MAX(0.1,N(Cockpit!$O$6))),BY213)/BQ213,0)*BQ213</f>
        <v>66</v>
      </c>
      <c r="AY213" s="58" t="n">
        <f aca="false">IF(AV213&gt;0,I213/AV213,-1)</f>
        <v>244</v>
      </c>
      <c r="AZ213" s="58" t="n">
        <f aca="false">IF(AND(OR(BU213="L1",BU213="L23"),AV213&gt;0),SUMIFS($AV$7:$AV$1576,$BU$7:$BU$1576,BU213,$AY$7:$AY$1576,"&gt;"&amp;AY213)+SUMIFS($AV$7:$AV$1576,$BU$7:$BU$1576,BU213,$AY$7:$AY$1576,AY213,$BO$7:$BO$1576,"&lt;="&amp;BO213),"")</f>
        <v>43.1989541017913</v>
      </c>
      <c r="BA213" s="65" t="n">
        <f aca="false">IF(AZ213="",0,MAX(0,MIN(1,(IF(BU213="L1",Parameter!$E$5,Parameter!$E$6+Parameter!$E$7)-(AZ213-AV213))/AV213)))</f>
        <v>1</v>
      </c>
      <c r="BB213" s="55" t="str">
        <f aca="false">IF(AF213&lt;=0,"",IF(BU213="Aussen","Aussenlager",IF(BU213="-","Nicht im Lift",IF(AK213&gt;=1,"Lift",IF(AK213&lt;=0,"Aussenlager","teilweise")))))</f>
        <v>Lift</v>
      </c>
      <c r="BC213" s="55" t="str">
        <f aca="false">IF(AN213&lt;=0,"",IF(BU213="Aussen","Aussenlager",IF(BU213="-","Nicht im Lift",IF(AS213&gt;=1,"Lift",IF(AS213&lt;=0,"Aussenlager","teilweise")))))</f>
        <v>Lift</v>
      </c>
      <c r="BD213" s="55" t="str">
        <f aca="false">IF(AV213&lt;=0,"",IF(BU213="Aussen","Aussenlager",IF(BU213="-","Nicht im Lift",IF(BA213&gt;=1,"Lift",IF(BA213&lt;=0,"Aussenlager","teilweise")))))</f>
        <v>Lift</v>
      </c>
      <c r="BE213" s="55" t="str">
        <f aca="false">IF(A213="","",IF(BN213=1,"Neu; ","")&amp;IF(AND(BN213=0,BI213&lt;0),"negativer Bestand (Export "&amp;BI213&amp;"); ","")&amp;IF(I213&lt;=0,"Kein Verbrauch; ","")&amp;IF(CD213&gt;0,"Lift "&amp;U213&amp;" lt. Liftbericht (Fach "&amp;V213&amp;" Stk); ",IF(BR213=1,"Lose – Fläche geschätzt; ",""))&amp;IF(G213&gt;AP213,"Überbestand "&amp;ROUND(G213-AP213,0)&amp;" Stk / CHF "&amp;ROUND((G213-AP213)*F213,0)&amp;"; ","")&amp;IF(AND(BW213=1,BX213&lt;BY213),"MAX &lt; MB+LG; ","")&amp;IF(AND(CC213&gt;0,CB213*10&gt;CC213),"zu hoch für Tablar; ","")&amp;IF(AND(BN213=0,OR(BW213=1,Y213&lt;&gt;"",S213&lt;&gt;"",T213&lt;&gt;"",Z213&lt;&gt;"")),"manuell übersteuert; ","")&amp;IF(AND(BR213=0,Q213=0),"Gebinde unbekannt / Stellmass fehlt; ","")&amp;IF(AND(BR213=0,N(T213)&lt;=0,N(P213)&lt;=0),"Menge pro Gebinde fehlt (Ist = 1 Gebinde); ","")&amp;BM213)</f>
        <v/>
      </c>
      <c r="BF213" s="55"/>
      <c r="BG213" s="55"/>
      <c r="BH213" s="62"/>
      <c r="BI213" s="57" t="n">
        <v>8</v>
      </c>
      <c r="BJ213" s="57" t="n">
        <v>31</v>
      </c>
      <c r="BK213" s="56" t="n">
        <v>719.980000000002</v>
      </c>
      <c r="BL213" s="57" t="n">
        <v>122</v>
      </c>
      <c r="BM213" s="55"/>
      <c r="BN213" s="60" t="n">
        <v>0</v>
      </c>
      <c r="BO213" s="60" t="n">
        <v>213</v>
      </c>
      <c r="BP213" s="55" t="str">
        <f aca="false">IF(S213&lt;&gt;"",UPPER(TRIM(S213)),IF(O213="","LOSE",O213))</f>
        <v>S72</v>
      </c>
      <c r="BQ213" s="57" t="n">
        <f aca="false">IF(BP213="LOSE",1,IF(N(T213)&gt;0,T213,IF(N(P213)&gt;0,P213,MAX(1,G213))))</f>
        <v>22</v>
      </c>
      <c r="BR213" s="60" t="n">
        <f aca="false">IF(BP213="LOSE",1,0)</f>
        <v>0</v>
      </c>
      <c r="BS213" s="59" t="n">
        <f aca="false">IF(BR213=0,0,IF(N(R213)&gt;0,R213,IFERROR(VLOOKUP(D213,Parameter!$A$35:$C$64,3,0)+0,0)))</f>
        <v>0</v>
      </c>
      <c r="BT213" s="55" t="n">
        <f aca="false">IF(Y213&lt;&gt;"",Y213,X213)</f>
        <v>2</v>
      </c>
      <c r="BU213" s="55" t="str">
        <f aca="false">IF(BT213=1,"L1",IF(OR(BT213=2,BT213=3),"L23",IF(BT213="Aussen","Aussen","-")))</f>
        <v>L23</v>
      </c>
      <c r="BV213" s="66" t="n">
        <f aca="false">IF(N(Z213)&gt;0,Z213,0)</f>
        <v>0</v>
      </c>
      <c r="BW213" s="60" t="n">
        <f aca="false">IF(ISNUMBER(AC213),1,0)</f>
        <v>0</v>
      </c>
      <c r="BX213" s="57" t="n">
        <f aca="false">N(AC213)</f>
        <v>0</v>
      </c>
      <c r="BY213" s="57" t="n">
        <f aca="false">N(L213)+N(M213)</f>
        <v>50</v>
      </c>
      <c r="BZ213" s="57" t="n">
        <f aca="false">ROUNDUP(G213/BQ213,0)</f>
        <v>1</v>
      </c>
      <c r="CA213" s="57" t="n">
        <f aca="false">ROUNDUP(BX213/BQ213,0)</f>
        <v>0</v>
      </c>
      <c r="CB213" s="60" t="n">
        <f aca="false">IF(BR213=1,0,IFERROR(VLOOKUP(BP213,'Gebinde-Kategorie'!$A$5:$M$45,5,0)+0,0))</f>
        <v>40</v>
      </c>
      <c r="CC213" s="60" t="n">
        <f aca="false">IFERROR(IF(OR(BT213=1,BT213=2,BT213=3),N(INDEX(Parameter!$I$5:$I$7,BT213)),0),0)</f>
        <v>0</v>
      </c>
      <c r="CD213" s="59" t="n">
        <f aca="false">IF(AND(Parameter!$B$21="Ja",ISNUMBER(U213),N(V213)&gt;0),IFERROR(N(INDEX(Parameter!$L$5:$L$7,U213))*INDEX(Parameter!$E$5:$E$7,U213)*V213/SUMIFS($V$7:$V$1576,$U$7:$U$1576,U213),0),0)</f>
        <v>0</v>
      </c>
    </row>
    <row r="214" customFormat="false" ht="15" hidden="false" customHeight="false" outlineLevel="0" collapsed="false">
      <c r="A214" s="55" t="s">
        <v>612</v>
      </c>
      <c r="B214" s="55" t="s">
        <v>535</v>
      </c>
      <c r="C214" s="55" t="s">
        <v>160</v>
      </c>
      <c r="D214" s="55" t="s">
        <v>178</v>
      </c>
      <c r="E214" s="55" t="s">
        <v>210</v>
      </c>
      <c r="F214" s="56" t="n">
        <v>14.2</v>
      </c>
      <c r="G214" s="57" t="n">
        <f aca="false">MAX(0,IF(AND(Parameter!$B$21="Ja",ISNUMBER(W214)),W214,IF(Parameter!$B$20="Jahresanfang 2025 + Export",BJ214+BI214,BI214)))</f>
        <v>50</v>
      </c>
      <c r="H214" s="57" t="n">
        <f aca="false">G214*F214</f>
        <v>710</v>
      </c>
      <c r="I214" s="57" t="n">
        <f aca="false">BL214*Parameter!$B$18</f>
        <v>0</v>
      </c>
      <c r="J214" s="58" t="n">
        <v>0</v>
      </c>
      <c r="K214" s="59" t="n">
        <v>0</v>
      </c>
      <c r="L214" s="57" t="n">
        <v>0</v>
      </c>
      <c r="M214" s="57" t="n">
        <v>1</v>
      </c>
      <c r="N214" s="60" t="n">
        <v>9999</v>
      </c>
      <c r="O214" s="55" t="s">
        <v>163</v>
      </c>
      <c r="P214" s="57"/>
      <c r="Q214" s="60" t="n">
        <f aca="false">IF(BR214=1,0,IFERROR(VLOOKUP(BP214,'Gebinde-Kategorie'!$A$5:$M$45,13,0)+0,0))</f>
        <v>0</v>
      </c>
      <c r="R214" s="61"/>
      <c r="S214" s="62"/>
      <c r="T214" s="62"/>
      <c r="U214" s="55"/>
      <c r="V214" s="57"/>
      <c r="W214" s="57"/>
      <c r="X214" s="55" t="n">
        <f aca="false">IF(A214="","",IF(AND(Parameter!$B$21="Ja",ISNUMBER(U214)),U214,IF(IFERROR(VLOOKUP(D214,Parameter!$A$35:$C$64,2,0),"Nein")="2+3",IF(ISNUMBER(SEARCH("grosser Artikel",BM214)),2,IFERROR(VLOOKUP(BP214,Parameter!$F$35:$G$64,2,0),2)),IF(OR(IFERROR(VLOOKUP(D214,Parameter!$A$35:$C$64,2,0),"Nein")="Nein",IFERROR(VLOOKUP(D214,Parameter!$A$35:$C$64,2,0),"Nein")=""),"-",VLOOKUP(D214,Parameter!$A$35:$C$64,2,0)))))</f>
        <v>2</v>
      </c>
      <c r="Y214" s="62"/>
      <c r="Z214" s="63"/>
      <c r="AA214" s="57" t="n">
        <f aca="false">AP214</f>
        <v>1</v>
      </c>
      <c r="AB214" s="57" t="n">
        <f aca="false">MAX(AP214,G214)</f>
        <v>50</v>
      </c>
      <c r="AC214" s="64"/>
      <c r="AD214" s="57" t="n">
        <f aca="false">IF(LEFT(Cockpit!$C$5,1)="A",G214,IF(BW214=1,BX214,IF(LEFT(Cockpit!$C$5,1)="B",AH214,MAX(AH214,G214))))</f>
        <v>50</v>
      </c>
      <c r="AE214" s="57" t="n">
        <f aca="false">IF(BR214=1,0,ROUNDUP(AD214/BQ214,0))</f>
        <v>0</v>
      </c>
      <c r="AF214" s="59" t="n">
        <f aca="false">IF(CD214&gt;0,CD214*MAX(1,AD214/V214),IF(BR214=1,IF(AD214&lt;=0,0,BS214*MAX(1,IF(G214&gt;0,AD214/G214,1))),IF(Q214&gt;0,AE214/Q214,0))/MAX(0.1,N(Parameter!$M$21)))</f>
        <v>0.03</v>
      </c>
      <c r="AG214" s="57" t="n">
        <f aca="false">AD214*F214</f>
        <v>710</v>
      </c>
      <c r="AH214" s="57" t="n">
        <f aca="false">ROUNDUP(MAX(I214/IF(BV214&gt;0,BV214,MAX(0.1,N(Cockpit!$C$6))),BY214)/BQ214,0)*BQ214</f>
        <v>1</v>
      </c>
      <c r="AI214" s="58" t="n">
        <f aca="false">IF(AF214&gt;0,I214/AF214,-1)</f>
        <v>0</v>
      </c>
      <c r="AJ214" s="58" t="n">
        <f aca="false">IF(AND(OR(BU214="L1",BU214="L23"),AF214&gt;0),SUMIFS($AF$7:$AF$1576,$BU$7:$BU$1576,BU214,$AI$7:$AI$1576,"&gt;"&amp;AI214)+SUMIFS($AF$7:$AF$1576,$BU$7:$BU$1576,BU214,$AI$7:$AI$1576,AI214,$BO$7:$BO$1576,"&lt;="&amp;BO214),"")</f>
        <v>39.4169406438972</v>
      </c>
      <c r="AK214" s="65" t="n">
        <f aca="false">IF(AJ214="",0,MAX(0,MIN(1,(IF(BU214="L1",Parameter!$E$5,Parameter!$E$6+Parameter!$E$7)-(AJ214-AF214))/AF214)))</f>
        <v>1</v>
      </c>
      <c r="AL214" s="57" t="n">
        <f aca="false">IF(LEFT(Cockpit!$I$5,1)="A",G214,IF(BW214=1,BX214,IF(LEFT(Cockpit!$I$5,1)="B",AP214,MAX(AP214,G214))))</f>
        <v>50</v>
      </c>
      <c r="AM214" s="57" t="n">
        <f aca="false">IF(BR214=1,0,ROUNDUP(AL214/BQ214,0))</f>
        <v>0</v>
      </c>
      <c r="AN214" s="59" t="n">
        <f aca="false">IF(CD214&gt;0,CD214*MAX(1,AL214/V214),IF(BR214=1,IF(AL214&lt;=0,0,BS214*MAX(1,IF(G214&gt;0,AL214/G214,1))),IF(Q214&gt;0,AM214/Q214,0))/MAX(0.1,N(Parameter!$M$21)))</f>
        <v>0.03</v>
      </c>
      <c r="AO214" s="57" t="n">
        <f aca="false">AL214*F214</f>
        <v>710</v>
      </c>
      <c r="AP214" s="57" t="n">
        <f aca="false">ROUNDUP(MAX(I214/IF(BV214&gt;0,BV214,MAX(0.1,N(Cockpit!$I$6))),BY214)/BQ214,0)*BQ214</f>
        <v>1</v>
      </c>
      <c r="AQ214" s="58" t="n">
        <f aca="false">IF(AN214&gt;0,I214/AN214,-1)</f>
        <v>0</v>
      </c>
      <c r="AR214" s="58" t="n">
        <f aca="false">IF(AND(OR(BU214="L1",BU214="L23"),AN214&gt;0),SUMIFS($AN$7:$AN$1576,$BU$7:$BU$1576,BU214,$AQ$7:$AQ$1576,"&gt;"&amp;AQ214)+SUMIFS($AN$7:$AN$1576,$BU$7:$BU$1576,BU214,$AQ$7:$AQ$1576,AQ214,$BO$7:$BO$1576,"&lt;="&amp;BO214),"")</f>
        <v>122.291146393687</v>
      </c>
      <c r="AS214" s="65" t="n">
        <f aca="false">IF(AR214="",0,MAX(0,MIN(1,(IF(BU214="L1",Parameter!$E$5,Parameter!$E$6+Parameter!$E$7)-(AR214-AN214))/AN214)))</f>
        <v>0</v>
      </c>
      <c r="AT214" s="57" t="n">
        <f aca="false">IF(LEFT(Cockpit!$O$5,1)="A",G214,IF(BW214=1,BX214,IF(LEFT(Cockpit!$O$5,1)="B",AX214,MAX(AX214,G214))))</f>
        <v>50</v>
      </c>
      <c r="AU214" s="57" t="n">
        <f aca="false">IF(BR214=1,0,ROUNDUP(AT214/BQ214,0))</f>
        <v>0</v>
      </c>
      <c r="AV214" s="59" t="n">
        <f aca="false">IF(CD214&gt;0,CD214*MAX(1,AT214/V214),IF(BR214=1,IF(AT214&lt;=0,0,BS214*MAX(1,IF(G214&gt;0,AT214/G214,1))),IF(Q214&gt;0,AU214/Q214,0))/MAX(0.1,N(Parameter!$M$21)))</f>
        <v>0.03</v>
      </c>
      <c r="AW214" s="57" t="n">
        <f aca="false">AT214*F214</f>
        <v>710</v>
      </c>
      <c r="AX214" s="57" t="n">
        <f aca="false">ROUNDUP(MAX(I214/IF(BV214&gt;0,BV214,MAX(0.1,N(Cockpit!$O$6))),BY214)/BQ214,0)*BQ214</f>
        <v>1</v>
      </c>
      <c r="AY214" s="58" t="n">
        <f aca="false">IF(AV214&gt;0,I214/AV214,-1)</f>
        <v>0</v>
      </c>
      <c r="AZ214" s="58" t="n">
        <f aca="false">IF(AND(OR(BU214="L1",BU214="L23"),AV214&gt;0),SUMIFS($AV$7:$AV$1576,$BU$7:$BU$1576,BU214,$AY$7:$AY$1576,"&gt;"&amp;AY214)+SUMIFS($AV$7:$AV$1576,$BU$7:$BU$1576,BU214,$AY$7:$AY$1576,AY214,$BO$7:$BO$1576,"&lt;="&amp;BO214),"")</f>
        <v>112.350696843237</v>
      </c>
      <c r="BA214" s="65" t="n">
        <f aca="false">IF(AZ214="",0,MAX(0,MIN(1,(IF(BU214="L1",Parameter!$E$5,Parameter!$E$6+Parameter!$E$7)-(AZ214-AV214))/AV214)))</f>
        <v>0</v>
      </c>
      <c r="BB214" s="55" t="str">
        <f aca="false">IF(AF214&lt;=0,"",IF(BU214="Aussen","Aussenlager",IF(BU214="-","Nicht im Lift",IF(AK214&gt;=1,"Lift",IF(AK214&lt;=0,"Aussenlager","teilweise")))))</f>
        <v>Lift</v>
      </c>
      <c r="BC214" s="55" t="str">
        <f aca="false">IF(AN214&lt;=0,"",IF(BU214="Aussen","Aussenlager",IF(BU214="-","Nicht im Lift",IF(AS214&gt;=1,"Lift",IF(AS214&lt;=0,"Aussenlager","teilweise")))))</f>
        <v>Aussenlager</v>
      </c>
      <c r="BD214" s="55" t="str">
        <f aca="false">IF(AV214&lt;=0,"",IF(BU214="Aussen","Aussenlager",IF(BU214="-","Nicht im Lift",IF(BA214&gt;=1,"Lift",IF(BA214&lt;=0,"Aussenlager","teilweise")))))</f>
        <v>Aussenlager</v>
      </c>
      <c r="BE214" s="55" t="str">
        <f aca="false">IF(A214="","",IF(BN214=1,"Neu; ","")&amp;IF(AND(BN214=0,BI214&lt;0),"negativer Bestand (Export "&amp;BI214&amp;"); ","")&amp;IF(I214&lt;=0,"Kein Verbrauch; ","")&amp;IF(CD214&gt;0,"Lift "&amp;U214&amp;" lt. Liftbericht (Fach "&amp;V214&amp;" Stk); ",IF(BR214=1,"Lose – Fläche geschätzt; ",""))&amp;IF(G214&gt;AP214,"Überbestand "&amp;ROUND(G214-AP214,0)&amp;" Stk / CHF "&amp;ROUND((G214-AP214)*F214,0)&amp;"; ","")&amp;IF(AND(BW214=1,BX214&lt;BY214),"MAX &lt; MB+LG; ","")&amp;IF(AND(CC214&gt;0,CB214*10&gt;CC214),"zu hoch für Tablar; ","")&amp;IF(AND(BN214=0,OR(BW214=1,Y214&lt;&gt;"",S214&lt;&gt;"",T214&lt;&gt;"",Z214&lt;&gt;"")),"manuell übersteuert; ","")&amp;IF(AND(BR214=0,Q214=0),"Gebinde unbekannt / Stellmass fehlt; ","")&amp;IF(AND(BR214=0,N(T214)&lt;=0,N(P214)&lt;=0),"Menge pro Gebinde fehlt (Ist = 1 Gebinde); ","")&amp;BM214)</f>
        <v>Kein Verbrauch; Lose – Fläche geschätzt; Überbestand 49 Stk / CHF 696; </v>
      </c>
      <c r="BF214" s="55"/>
      <c r="BG214" s="55"/>
      <c r="BH214" s="62"/>
      <c r="BI214" s="57" t="n">
        <v>50</v>
      </c>
      <c r="BJ214" s="57" t="n">
        <v>0</v>
      </c>
      <c r="BK214" s="56" t="n">
        <v>710</v>
      </c>
      <c r="BL214" s="57" t="n">
        <v>0</v>
      </c>
      <c r="BM214" s="55"/>
      <c r="BN214" s="60" t="n">
        <v>0</v>
      </c>
      <c r="BO214" s="60" t="n">
        <v>214</v>
      </c>
      <c r="BP214" s="55" t="str">
        <f aca="false">IF(S214&lt;&gt;"",UPPER(TRIM(S214)),IF(O214="","LOSE",O214))</f>
        <v>LOSE</v>
      </c>
      <c r="BQ214" s="57" t="n">
        <f aca="false">IF(BP214="LOSE",1,IF(N(T214)&gt;0,T214,IF(N(P214)&gt;0,P214,MAX(1,G214))))</f>
        <v>1</v>
      </c>
      <c r="BR214" s="60" t="n">
        <f aca="false">IF(BP214="LOSE",1,0)</f>
        <v>1</v>
      </c>
      <c r="BS214" s="59" t="n">
        <f aca="false">IF(BR214=0,0,IF(N(R214)&gt;0,R214,IFERROR(VLOOKUP(D214,Parameter!$A$35:$C$64,3,0)+0,0)))</f>
        <v>0.03</v>
      </c>
      <c r="BT214" s="55" t="n">
        <f aca="false">IF(Y214&lt;&gt;"",Y214,X214)</f>
        <v>2</v>
      </c>
      <c r="BU214" s="55" t="str">
        <f aca="false">IF(BT214=1,"L1",IF(OR(BT214=2,BT214=3),"L23",IF(BT214="Aussen","Aussen","-")))</f>
        <v>L23</v>
      </c>
      <c r="BV214" s="66" t="n">
        <f aca="false">IF(N(Z214)&gt;0,Z214,0)</f>
        <v>0</v>
      </c>
      <c r="BW214" s="60" t="n">
        <f aca="false">IF(ISNUMBER(AC214),1,0)</f>
        <v>0</v>
      </c>
      <c r="BX214" s="57" t="n">
        <f aca="false">N(AC214)</f>
        <v>0</v>
      </c>
      <c r="BY214" s="57" t="n">
        <f aca="false">N(L214)+N(M214)</f>
        <v>1</v>
      </c>
      <c r="BZ214" s="57" t="n">
        <f aca="false">ROUNDUP(G214/BQ214,0)</f>
        <v>50</v>
      </c>
      <c r="CA214" s="57" t="n">
        <f aca="false">ROUNDUP(BX214/BQ214,0)</f>
        <v>0</v>
      </c>
      <c r="CB214" s="60" t="n">
        <f aca="false">IF(BR214=1,0,IFERROR(VLOOKUP(BP214,'Gebinde-Kategorie'!$A$5:$M$45,5,0)+0,0))</f>
        <v>0</v>
      </c>
      <c r="CC214" s="60" t="n">
        <f aca="false">IFERROR(IF(OR(BT214=1,BT214=2,BT214=3),N(INDEX(Parameter!$I$5:$I$7,BT214)),0),0)</f>
        <v>0</v>
      </c>
      <c r="CD214" s="59" t="n">
        <f aca="false">IF(AND(Parameter!$B$21="Ja",ISNUMBER(U214),N(V214)&gt;0),IFERROR(N(INDEX(Parameter!$L$5:$L$7,U214))*INDEX(Parameter!$E$5:$E$7,U214)*V214/SUMIFS($V$7:$V$1576,$U$7:$U$1576,U214),0),0)</f>
        <v>0</v>
      </c>
    </row>
    <row r="215" customFormat="false" ht="15" hidden="false" customHeight="false" outlineLevel="0" collapsed="false">
      <c r="A215" s="55" t="s">
        <v>613</v>
      </c>
      <c r="B215" s="55" t="s">
        <v>373</v>
      </c>
      <c r="C215" s="55" t="s">
        <v>160</v>
      </c>
      <c r="D215" s="55" t="s">
        <v>178</v>
      </c>
      <c r="E215" s="55" t="s">
        <v>210</v>
      </c>
      <c r="F215" s="56" t="n">
        <v>223.2</v>
      </c>
      <c r="G215" s="57" t="n">
        <f aca="false">MAX(0,IF(AND(Parameter!$B$21="Ja",ISNUMBER(W215)),W215,IF(Parameter!$B$20="Jahresanfang 2025 + Export",BJ215+BI215,BI215)))</f>
        <v>3</v>
      </c>
      <c r="H215" s="57" t="n">
        <f aca="false">G215*F215</f>
        <v>669.6</v>
      </c>
      <c r="I215" s="57" t="n">
        <f aca="false">BL215*Parameter!$B$18</f>
        <v>22</v>
      </c>
      <c r="J215" s="58" t="n">
        <v>6.5</v>
      </c>
      <c r="K215" s="59" t="n">
        <v>3.38461538461539</v>
      </c>
      <c r="L215" s="57" t="n">
        <v>1</v>
      </c>
      <c r="M215" s="57" t="n">
        <v>5</v>
      </c>
      <c r="N215" s="60" t="n">
        <v>21</v>
      </c>
      <c r="O215" s="55" t="s">
        <v>284</v>
      </c>
      <c r="P215" s="57" t="n">
        <v>18</v>
      </c>
      <c r="Q215" s="60" t="n">
        <f aca="false">IF(BR215=1,0,IFERROR(VLOOKUP(BP215,'Gebinde-Kategorie'!$A$5:$M$45,13,0)+0,0))</f>
        <v>12</v>
      </c>
      <c r="R215" s="61"/>
      <c r="S215" s="62"/>
      <c r="T215" s="62"/>
      <c r="U215" s="55"/>
      <c r="V215" s="57"/>
      <c r="W215" s="57"/>
      <c r="X215" s="55" t="n">
        <f aca="false">IF(A215="","",IF(AND(Parameter!$B$21="Ja",ISNUMBER(U215)),U215,IF(IFERROR(VLOOKUP(D215,Parameter!$A$35:$C$64,2,0),"Nein")="2+3",IF(ISNUMBER(SEARCH("grosser Artikel",BM215)),2,IFERROR(VLOOKUP(BP215,Parameter!$F$35:$G$64,2,0),2)),IF(OR(IFERROR(VLOOKUP(D215,Parameter!$A$35:$C$64,2,0),"Nein")="Nein",IFERROR(VLOOKUP(D215,Parameter!$A$35:$C$64,2,0),"Nein")=""),"-",VLOOKUP(D215,Parameter!$A$35:$C$64,2,0)))))</f>
        <v>2</v>
      </c>
      <c r="Y215" s="62"/>
      <c r="Z215" s="63"/>
      <c r="AA215" s="57" t="n">
        <f aca="false">AP215</f>
        <v>18</v>
      </c>
      <c r="AB215" s="57" t="n">
        <f aca="false">MAX(AP215,G215)</f>
        <v>18</v>
      </c>
      <c r="AC215" s="64"/>
      <c r="AD215" s="57" t="n">
        <f aca="false">IF(LEFT(Cockpit!$C$5,1)="A",G215,IF(BW215=1,BX215,IF(LEFT(Cockpit!$C$5,1)="B",AH215,MAX(AH215,G215))))</f>
        <v>3</v>
      </c>
      <c r="AE215" s="57" t="n">
        <f aca="false">IF(BR215=1,0,ROUNDUP(AD215/BQ215,0))</f>
        <v>1</v>
      </c>
      <c r="AF215" s="59" t="n">
        <f aca="false">IF(CD215&gt;0,CD215*MAX(1,AD215/V215),IF(BR215=1,IF(AD215&lt;=0,0,BS215*MAX(1,IF(G215&gt;0,AD215/G215,1))),IF(Q215&gt;0,AE215/Q215,0))/MAX(0.1,N(Parameter!$M$21)))</f>
        <v>0.0833333333333333</v>
      </c>
      <c r="AG215" s="57" t="n">
        <f aca="false">AD215*F215</f>
        <v>669.6</v>
      </c>
      <c r="AH215" s="57" t="n">
        <f aca="false">ROUNDUP(MAX(I215/IF(BV215&gt;0,BV215,MAX(0.1,N(Cockpit!$C$6))),BY215)/BQ215,0)*BQ215</f>
        <v>18</v>
      </c>
      <c r="AI215" s="58" t="n">
        <f aca="false">IF(AF215&gt;0,I215/AF215,-1)</f>
        <v>264</v>
      </c>
      <c r="AJ215" s="58" t="n">
        <f aca="false">IF(AND(OR(BU215="L1",BU215="L23"),AF215&gt;0),SUMIFS($AF$7:$AF$1576,$BU$7:$BU$1576,BU215,$AI$7:$AI$1576,"&gt;"&amp;AI215)+SUMIFS($AF$7:$AF$1576,$BU$7:$BU$1576,BU215,$AI$7:$AI$1576,AI215,$BO$7:$BO$1576,"&lt;="&amp;BO215),"")</f>
        <v>15.5846410594237</v>
      </c>
      <c r="AK215" s="65" t="n">
        <f aca="false">IF(AJ215="",0,MAX(0,MIN(1,(IF(BU215="L1",Parameter!$E$5,Parameter!$E$6+Parameter!$E$7)-(AJ215-AF215))/AF215)))</f>
        <v>1</v>
      </c>
      <c r="AL215" s="57" t="n">
        <f aca="false">IF(LEFT(Cockpit!$I$5,1)="A",G215,IF(BW215=1,BX215,IF(LEFT(Cockpit!$I$5,1)="B",AP215,MAX(AP215,G215))))</f>
        <v>18</v>
      </c>
      <c r="AM215" s="57" t="n">
        <f aca="false">IF(BR215=1,0,ROUNDUP(AL215/BQ215,0))</f>
        <v>1</v>
      </c>
      <c r="AN215" s="59" t="n">
        <f aca="false">IF(CD215&gt;0,CD215*MAX(1,AL215/V215),IF(BR215=1,IF(AL215&lt;=0,0,BS215*MAX(1,IF(G215&gt;0,AL215/G215,1))),IF(Q215&gt;0,AM215/Q215,0))/MAX(0.1,N(Parameter!$M$21)))</f>
        <v>0.0833333333333333</v>
      </c>
      <c r="AO215" s="57" t="n">
        <f aca="false">AL215*F215</f>
        <v>4017.6</v>
      </c>
      <c r="AP215" s="57" t="n">
        <f aca="false">ROUNDUP(MAX(I215/IF(BV215&gt;0,BV215,MAX(0.1,N(Cockpit!$I$6))),BY215)/BQ215,0)*BQ215</f>
        <v>18</v>
      </c>
      <c r="AQ215" s="58" t="n">
        <f aca="false">IF(AN215&gt;0,I215/AN215,-1)</f>
        <v>264</v>
      </c>
      <c r="AR215" s="58" t="n">
        <f aca="false">IF(AND(OR(BU215="L1",BU215="L23"),AN215&gt;0),SUMIFS($AN$7:$AN$1576,$BU$7:$BU$1576,BU215,$AQ$7:$AQ$1576,"&gt;"&amp;AQ215)+SUMIFS($AN$7:$AN$1576,$BU$7:$BU$1576,BU215,$AQ$7:$AQ$1576,AQ215,$BO$7:$BO$1576,"&lt;="&amp;BO215),"")</f>
        <v>45.2973323901696</v>
      </c>
      <c r="AS215" s="65" t="n">
        <f aca="false">IF(AR215="",0,MAX(0,MIN(1,(IF(BU215="L1",Parameter!$E$5,Parameter!$E$6+Parameter!$E$7)-(AR215-AN215))/AN215)))</f>
        <v>1</v>
      </c>
      <c r="AT215" s="57" t="n">
        <f aca="false">IF(LEFT(Cockpit!$O$5,1)="A",G215,IF(BW215=1,BX215,IF(LEFT(Cockpit!$O$5,1)="B",AX215,MAX(AX215,G215))))</f>
        <v>18</v>
      </c>
      <c r="AU215" s="57" t="n">
        <f aca="false">IF(BR215=1,0,ROUNDUP(AT215/BQ215,0))</f>
        <v>1</v>
      </c>
      <c r="AV215" s="59" t="n">
        <f aca="false">IF(CD215&gt;0,CD215*MAX(1,AT215/V215),IF(BR215=1,IF(AT215&lt;=0,0,BS215*MAX(1,IF(G215&gt;0,AT215/G215,1))),IF(Q215&gt;0,AU215/Q215,0))/MAX(0.1,N(Parameter!$M$21)))</f>
        <v>0.0833333333333333</v>
      </c>
      <c r="AW215" s="57" t="n">
        <f aca="false">AT215*F215</f>
        <v>4017.6</v>
      </c>
      <c r="AX215" s="57" t="n">
        <f aca="false">ROUNDUP(MAX(I215/IF(BV215&gt;0,BV215,MAX(0.1,N(Cockpit!$O$6))),BY215)/BQ215,0)*BQ215</f>
        <v>18</v>
      </c>
      <c r="AY215" s="58" t="n">
        <f aca="false">IF(AV215&gt;0,I215/AV215,-1)</f>
        <v>264</v>
      </c>
      <c r="AZ215" s="58" t="n">
        <f aca="false">IF(AND(OR(BU215="L1",BU215="L23"),AV215&gt;0),SUMIFS($AV$7:$AV$1576,$BU$7:$BU$1576,BU215,$AY$7:$AY$1576,"&gt;"&amp;AY215)+SUMIFS($AV$7:$AV$1576,$BU$7:$BU$1576,BU215,$AY$7:$AY$1576,AY215,$BO$7:$BO$1576,"&lt;="&amp;BO215),"")</f>
        <v>41.5754109782482</v>
      </c>
      <c r="BA215" s="65" t="n">
        <f aca="false">IF(AZ215="",0,MAX(0,MIN(1,(IF(BU215="L1",Parameter!$E$5,Parameter!$E$6+Parameter!$E$7)-(AZ215-AV215))/AV215)))</f>
        <v>1</v>
      </c>
      <c r="BB215" s="55" t="str">
        <f aca="false">IF(AF215&lt;=0,"",IF(BU215="Aussen","Aussenlager",IF(BU215="-","Nicht im Lift",IF(AK215&gt;=1,"Lift",IF(AK215&lt;=0,"Aussenlager","teilweise")))))</f>
        <v>Lift</v>
      </c>
      <c r="BC215" s="55" t="str">
        <f aca="false">IF(AN215&lt;=0,"",IF(BU215="Aussen","Aussenlager",IF(BU215="-","Nicht im Lift",IF(AS215&gt;=1,"Lift",IF(AS215&lt;=0,"Aussenlager","teilweise")))))</f>
        <v>Lift</v>
      </c>
      <c r="BD215" s="55" t="str">
        <f aca="false">IF(AV215&lt;=0,"",IF(BU215="Aussen","Aussenlager",IF(BU215="-","Nicht im Lift",IF(BA215&gt;=1,"Lift",IF(BA215&lt;=0,"Aussenlager","teilweise")))))</f>
        <v>Lift</v>
      </c>
      <c r="BE215" s="55" t="str">
        <f aca="false">IF(A215="","",IF(BN215=1,"Neu; ","")&amp;IF(AND(BN215=0,BI215&lt;0),"negativer Bestand (Export "&amp;BI215&amp;"); ","")&amp;IF(I215&lt;=0,"Kein Verbrauch; ","")&amp;IF(CD215&gt;0,"Lift "&amp;U215&amp;" lt. Liftbericht (Fach "&amp;V215&amp;" Stk); ",IF(BR215=1,"Lose – Fläche geschätzt; ",""))&amp;IF(G215&gt;AP215,"Überbestand "&amp;ROUND(G215-AP215,0)&amp;" Stk / CHF "&amp;ROUND((G215-AP215)*F215,0)&amp;"; ","")&amp;IF(AND(BW215=1,BX215&lt;BY215),"MAX &lt; MB+LG; ","")&amp;IF(AND(CC215&gt;0,CB215*10&gt;CC215),"zu hoch für Tablar; ","")&amp;IF(AND(BN215=0,OR(BW215=1,Y215&lt;&gt;"",S215&lt;&gt;"",T215&lt;&gt;"",Z215&lt;&gt;"")),"manuell übersteuert; ","")&amp;IF(AND(BR215=0,Q215=0),"Gebinde unbekannt / Stellmass fehlt; ","")&amp;IF(AND(BR215=0,N(T215)&lt;=0,N(P215)&lt;=0),"Menge pro Gebinde fehlt (Ist = 1 Gebinde); ","")&amp;BM215)</f>
        <v/>
      </c>
      <c r="BF215" s="55"/>
      <c r="BG215" s="55"/>
      <c r="BH215" s="62"/>
      <c r="BI215" s="57" t="n">
        <v>3</v>
      </c>
      <c r="BJ215" s="57" t="n">
        <v>7</v>
      </c>
      <c r="BK215" s="56" t="n">
        <v>705.600000000001</v>
      </c>
      <c r="BL215" s="57" t="n">
        <v>22</v>
      </c>
      <c r="BM215" s="55"/>
      <c r="BN215" s="60" t="n">
        <v>0</v>
      </c>
      <c r="BO215" s="60" t="n">
        <v>215</v>
      </c>
      <c r="BP215" s="55" t="str">
        <f aca="false">IF(S215&lt;&gt;"",UPPER(TRIM(S215)),IF(O215="","LOSE",O215))</f>
        <v>S62</v>
      </c>
      <c r="BQ215" s="57" t="n">
        <f aca="false">IF(BP215="LOSE",1,IF(N(T215)&gt;0,T215,IF(N(P215)&gt;0,P215,MAX(1,G215))))</f>
        <v>18</v>
      </c>
      <c r="BR215" s="60" t="n">
        <f aca="false">IF(BP215="LOSE",1,0)</f>
        <v>0</v>
      </c>
      <c r="BS215" s="59" t="n">
        <f aca="false">IF(BR215=0,0,IF(N(R215)&gt;0,R215,IFERROR(VLOOKUP(D215,Parameter!$A$35:$C$64,3,0)+0,0)))</f>
        <v>0</v>
      </c>
      <c r="BT215" s="55" t="n">
        <f aca="false">IF(Y215&lt;&gt;"",Y215,X215)</f>
        <v>2</v>
      </c>
      <c r="BU215" s="55" t="str">
        <f aca="false">IF(BT215=1,"L1",IF(OR(BT215=2,BT215=3),"L23",IF(BT215="Aussen","Aussen","-")))</f>
        <v>L23</v>
      </c>
      <c r="BV215" s="66" t="n">
        <f aca="false">IF(N(Z215)&gt;0,Z215,0)</f>
        <v>0</v>
      </c>
      <c r="BW215" s="60" t="n">
        <f aca="false">IF(ISNUMBER(AC215),1,0)</f>
        <v>0</v>
      </c>
      <c r="BX215" s="57" t="n">
        <f aca="false">N(AC215)</f>
        <v>0</v>
      </c>
      <c r="BY215" s="57" t="n">
        <f aca="false">N(L215)+N(M215)</f>
        <v>6</v>
      </c>
      <c r="BZ215" s="57" t="n">
        <f aca="false">ROUNDUP(G215/BQ215,0)</f>
        <v>1</v>
      </c>
      <c r="CA215" s="57" t="n">
        <f aca="false">ROUNDUP(BX215/BQ215,0)</f>
        <v>0</v>
      </c>
      <c r="CB215" s="60" t="n">
        <f aca="false">IF(BR215=1,0,IFERROR(VLOOKUP(BP215,'Gebinde-Kategorie'!$A$5:$M$45,5,0)+0,0))</f>
        <v>21</v>
      </c>
      <c r="CC215" s="60" t="n">
        <f aca="false">IFERROR(IF(OR(BT215=1,BT215=2,BT215=3),N(INDEX(Parameter!$I$5:$I$7,BT215)),0),0)</f>
        <v>0</v>
      </c>
      <c r="CD215" s="59" t="n">
        <f aca="false">IF(AND(Parameter!$B$21="Ja",ISNUMBER(U215),N(V215)&gt;0),IFERROR(N(INDEX(Parameter!$L$5:$L$7,U215))*INDEX(Parameter!$E$5:$E$7,U215)*V215/SUMIFS($V$7:$V$1576,$U$7:$U$1576,U215),0),0)</f>
        <v>0</v>
      </c>
    </row>
    <row r="216" customFormat="false" ht="15" hidden="false" customHeight="false" outlineLevel="0" collapsed="false">
      <c r="A216" s="55" t="s">
        <v>614</v>
      </c>
      <c r="B216" s="55" t="s">
        <v>496</v>
      </c>
      <c r="C216" s="55" t="s">
        <v>160</v>
      </c>
      <c r="D216" s="55" t="s">
        <v>178</v>
      </c>
      <c r="E216" s="55" t="s">
        <v>210</v>
      </c>
      <c r="F216" s="56" t="n">
        <v>29.19</v>
      </c>
      <c r="G216" s="57" t="n">
        <f aca="false">MAX(0,IF(AND(Parameter!$B$21="Ja",ISNUMBER(W216)),W216,IF(Parameter!$B$20="Jahresanfang 2025 + Export",BJ216+BI216,BI216)))</f>
        <v>24</v>
      </c>
      <c r="H216" s="57" t="n">
        <f aca="false">G216*F216</f>
        <v>700.56</v>
      </c>
      <c r="I216" s="57" t="n">
        <f aca="false">BL216*Parameter!$B$18</f>
        <v>0</v>
      </c>
      <c r="J216" s="58" t="n">
        <v>27</v>
      </c>
      <c r="K216" s="59" t="n">
        <v>0</v>
      </c>
      <c r="L216" s="57" t="n">
        <v>0</v>
      </c>
      <c r="M216" s="57" t="n">
        <v>1</v>
      </c>
      <c r="N216" s="60" t="n">
        <v>21</v>
      </c>
      <c r="O216" s="55" t="s">
        <v>225</v>
      </c>
      <c r="P216" s="57" t="n">
        <v>24</v>
      </c>
      <c r="Q216" s="60" t="n">
        <f aca="false">IF(BR216=1,0,IFERROR(VLOOKUP(BP216,'Gebinde-Kategorie'!$A$5:$M$45,13,0)+0,0))</f>
        <v>26</v>
      </c>
      <c r="R216" s="61"/>
      <c r="S216" s="62"/>
      <c r="T216" s="62"/>
      <c r="U216" s="55"/>
      <c r="V216" s="57"/>
      <c r="W216" s="57"/>
      <c r="X216" s="55" t="n">
        <f aca="false">IF(A216="","",IF(AND(Parameter!$B$21="Ja",ISNUMBER(U216)),U216,IF(IFERROR(VLOOKUP(D216,Parameter!$A$35:$C$64,2,0),"Nein")="2+3",IF(ISNUMBER(SEARCH("grosser Artikel",BM216)),2,IFERROR(VLOOKUP(BP216,Parameter!$F$35:$G$64,2,0),2)),IF(OR(IFERROR(VLOOKUP(D216,Parameter!$A$35:$C$64,2,0),"Nein")="Nein",IFERROR(VLOOKUP(D216,Parameter!$A$35:$C$64,2,0),"Nein")=""),"-",VLOOKUP(D216,Parameter!$A$35:$C$64,2,0)))))</f>
        <v>3</v>
      </c>
      <c r="Y216" s="62"/>
      <c r="Z216" s="63"/>
      <c r="AA216" s="57" t="n">
        <f aca="false">AP216</f>
        <v>24</v>
      </c>
      <c r="AB216" s="57" t="n">
        <f aca="false">MAX(AP216,G216)</f>
        <v>24</v>
      </c>
      <c r="AC216" s="64"/>
      <c r="AD216" s="57" t="n">
        <f aca="false">IF(LEFT(Cockpit!$C$5,1)="A",G216,IF(BW216=1,BX216,IF(LEFT(Cockpit!$C$5,1)="B",AH216,MAX(AH216,G216))))</f>
        <v>24</v>
      </c>
      <c r="AE216" s="57" t="n">
        <f aca="false">IF(BR216=1,0,ROUNDUP(AD216/BQ216,0))</f>
        <v>1</v>
      </c>
      <c r="AF216" s="59" t="n">
        <f aca="false">IF(CD216&gt;0,CD216*MAX(1,AD216/V216),IF(BR216=1,IF(AD216&lt;=0,0,BS216*MAX(1,IF(G216&gt;0,AD216/G216,1))),IF(Q216&gt;0,AE216/Q216,0))/MAX(0.1,N(Parameter!$M$21)))</f>
        <v>0.0384615384615385</v>
      </c>
      <c r="AG216" s="57" t="n">
        <f aca="false">AD216*F216</f>
        <v>700.56</v>
      </c>
      <c r="AH216" s="57" t="n">
        <f aca="false">ROUNDUP(MAX(I216/IF(BV216&gt;0,BV216,MAX(0.1,N(Cockpit!$C$6))),BY216)/BQ216,0)*BQ216</f>
        <v>24</v>
      </c>
      <c r="AI216" s="58" t="n">
        <f aca="false">IF(AF216&gt;0,I216/AF216,-1)</f>
        <v>0</v>
      </c>
      <c r="AJ216" s="58" t="n">
        <f aca="false">IF(AND(OR(BU216="L1",BU216="L23"),AF216&gt;0),SUMIFS($AF$7:$AF$1576,$BU$7:$BU$1576,BU216,$AI$7:$AI$1576,"&gt;"&amp;AI216)+SUMIFS($AF$7:$AF$1576,$BU$7:$BU$1576,BU216,$AI$7:$AI$1576,AI216,$BO$7:$BO$1576,"&lt;="&amp;BO216),"")</f>
        <v>39.4554021823587</v>
      </c>
      <c r="AK216" s="65" t="n">
        <f aca="false">IF(AJ216="",0,MAX(0,MIN(1,(IF(BU216="L1",Parameter!$E$5,Parameter!$E$6+Parameter!$E$7)-(AJ216-AF216))/AF216)))</f>
        <v>1</v>
      </c>
      <c r="AL216" s="57" t="n">
        <f aca="false">IF(LEFT(Cockpit!$I$5,1)="A",G216,IF(BW216=1,BX216,IF(LEFT(Cockpit!$I$5,1)="B",AP216,MAX(AP216,G216))))</f>
        <v>24</v>
      </c>
      <c r="AM216" s="57" t="n">
        <f aca="false">IF(BR216=1,0,ROUNDUP(AL216/BQ216,0))</f>
        <v>1</v>
      </c>
      <c r="AN216" s="59" t="n">
        <f aca="false">IF(CD216&gt;0,CD216*MAX(1,AL216/V216),IF(BR216=1,IF(AL216&lt;=0,0,BS216*MAX(1,IF(G216&gt;0,AL216/G216,1))),IF(Q216&gt;0,AM216/Q216,0))/MAX(0.1,N(Parameter!$M$21)))</f>
        <v>0.0384615384615385</v>
      </c>
      <c r="AO216" s="57" t="n">
        <f aca="false">AL216*F216</f>
        <v>700.56</v>
      </c>
      <c r="AP216" s="57" t="n">
        <f aca="false">ROUNDUP(MAX(I216/IF(BV216&gt;0,BV216,MAX(0.1,N(Cockpit!$I$6))),BY216)/BQ216,0)*BQ216</f>
        <v>24</v>
      </c>
      <c r="AQ216" s="58" t="n">
        <f aca="false">IF(AN216&gt;0,I216/AN216,-1)</f>
        <v>0</v>
      </c>
      <c r="AR216" s="58" t="n">
        <f aca="false">IF(AND(OR(BU216="L1",BU216="L23"),AN216&gt;0),SUMIFS($AN$7:$AN$1576,$BU$7:$BU$1576,BU216,$AQ$7:$AQ$1576,"&gt;"&amp;AQ216)+SUMIFS($AN$7:$AN$1576,$BU$7:$BU$1576,BU216,$AQ$7:$AQ$1576,AQ216,$BO$7:$BO$1576,"&lt;="&amp;BO216),"")</f>
        <v>122.329607932148</v>
      </c>
      <c r="AS216" s="65" t="n">
        <f aca="false">IF(AR216="",0,MAX(0,MIN(1,(IF(BU216="L1",Parameter!$E$5,Parameter!$E$6+Parameter!$E$7)-(AR216-AN216))/AN216)))</f>
        <v>0</v>
      </c>
      <c r="AT216" s="57" t="n">
        <f aca="false">IF(LEFT(Cockpit!$O$5,1)="A",G216,IF(BW216=1,BX216,IF(LEFT(Cockpit!$O$5,1)="B",AX216,MAX(AX216,G216))))</f>
        <v>24</v>
      </c>
      <c r="AU216" s="57" t="n">
        <f aca="false">IF(BR216=1,0,ROUNDUP(AT216/BQ216,0))</f>
        <v>1</v>
      </c>
      <c r="AV216" s="59" t="n">
        <f aca="false">IF(CD216&gt;0,CD216*MAX(1,AT216/V216),IF(BR216=1,IF(AT216&lt;=0,0,BS216*MAX(1,IF(G216&gt;0,AT216/G216,1))),IF(Q216&gt;0,AU216/Q216,0))/MAX(0.1,N(Parameter!$M$21)))</f>
        <v>0.0384615384615385</v>
      </c>
      <c r="AW216" s="57" t="n">
        <f aca="false">AT216*F216</f>
        <v>700.56</v>
      </c>
      <c r="AX216" s="57" t="n">
        <f aca="false">ROUNDUP(MAX(I216/IF(BV216&gt;0,BV216,MAX(0.1,N(Cockpit!$O$6))),BY216)/BQ216,0)*BQ216</f>
        <v>24</v>
      </c>
      <c r="AY216" s="58" t="n">
        <f aca="false">IF(AV216&gt;0,I216/AV216,-1)</f>
        <v>0</v>
      </c>
      <c r="AZ216" s="58" t="n">
        <f aca="false">IF(AND(OR(BU216="L1",BU216="L23"),AV216&gt;0),SUMIFS($AV$7:$AV$1576,$BU$7:$BU$1576,BU216,$AY$7:$AY$1576,"&gt;"&amp;AY216)+SUMIFS($AV$7:$AV$1576,$BU$7:$BU$1576,BU216,$AY$7:$AY$1576,AY216,$BO$7:$BO$1576,"&lt;="&amp;BO216),"")</f>
        <v>112.389158381699</v>
      </c>
      <c r="BA216" s="65" t="n">
        <f aca="false">IF(AZ216="",0,MAX(0,MIN(1,(IF(BU216="L1",Parameter!$E$5,Parameter!$E$6+Parameter!$E$7)-(AZ216-AV216))/AV216)))</f>
        <v>0</v>
      </c>
      <c r="BB216" s="55" t="str">
        <f aca="false">IF(AF216&lt;=0,"",IF(BU216="Aussen","Aussenlager",IF(BU216="-","Nicht im Lift",IF(AK216&gt;=1,"Lift",IF(AK216&lt;=0,"Aussenlager","teilweise")))))</f>
        <v>Lift</v>
      </c>
      <c r="BC216" s="55" t="str">
        <f aca="false">IF(AN216&lt;=0,"",IF(BU216="Aussen","Aussenlager",IF(BU216="-","Nicht im Lift",IF(AS216&gt;=1,"Lift",IF(AS216&lt;=0,"Aussenlager","teilweise")))))</f>
        <v>Aussenlager</v>
      </c>
      <c r="BD216" s="55" t="str">
        <f aca="false">IF(AV216&lt;=0,"",IF(BU216="Aussen","Aussenlager",IF(BU216="-","Nicht im Lift",IF(BA216&gt;=1,"Lift",IF(BA216&lt;=0,"Aussenlager","teilweise")))))</f>
        <v>Aussenlager</v>
      </c>
      <c r="BE216" s="55" t="str">
        <f aca="false">IF(A216="","",IF(BN216=1,"Neu; ","")&amp;IF(AND(BN216=0,BI216&lt;0),"negativer Bestand (Export "&amp;BI216&amp;"); ","")&amp;IF(I216&lt;=0,"Kein Verbrauch; ","")&amp;IF(CD216&gt;0,"Lift "&amp;U216&amp;" lt. Liftbericht (Fach "&amp;V216&amp;" Stk); ",IF(BR216=1,"Lose – Fläche geschätzt; ",""))&amp;IF(G216&gt;AP216,"Überbestand "&amp;ROUND(G216-AP216,0)&amp;" Stk / CHF "&amp;ROUND((G216-AP216)*F216,0)&amp;"; ","")&amp;IF(AND(BW216=1,BX216&lt;BY216),"MAX &lt; MB+LG; ","")&amp;IF(AND(CC216&gt;0,CB216*10&gt;CC216),"zu hoch für Tablar; ","")&amp;IF(AND(BN216=0,OR(BW216=1,Y216&lt;&gt;"",S216&lt;&gt;"",T216&lt;&gt;"",Z216&lt;&gt;"")),"manuell übersteuert; ","")&amp;IF(AND(BR216=0,Q216=0),"Gebinde unbekannt / Stellmass fehlt; ","")&amp;IF(AND(BR216=0,N(T216)&lt;=0,N(P216)&lt;=0),"Menge pro Gebinde fehlt (Ist = 1 Gebinde); ","")&amp;BM216)</f>
        <v>Kein Verbrauch; Neu</v>
      </c>
      <c r="BF216" s="55"/>
      <c r="BG216" s="55"/>
      <c r="BH216" s="62"/>
      <c r="BI216" s="57" t="n">
        <v>24</v>
      </c>
      <c r="BJ216" s="57" t="n">
        <v>15</v>
      </c>
      <c r="BK216" s="56" t="n">
        <v>700.56</v>
      </c>
      <c r="BL216" s="57" t="n">
        <v>0</v>
      </c>
      <c r="BM216" s="55" t="s">
        <v>615</v>
      </c>
      <c r="BN216" s="60" t="n">
        <v>0</v>
      </c>
      <c r="BO216" s="60" t="n">
        <v>216</v>
      </c>
      <c r="BP216" s="55" t="str">
        <f aca="false">IF(S216&lt;&gt;"",UPPER(TRIM(S216)),IF(O216="","LOSE",O216))</f>
        <v>S52</v>
      </c>
      <c r="BQ216" s="57" t="n">
        <f aca="false">IF(BP216="LOSE",1,IF(N(T216)&gt;0,T216,IF(N(P216)&gt;0,P216,MAX(1,G216))))</f>
        <v>24</v>
      </c>
      <c r="BR216" s="60" t="n">
        <f aca="false">IF(BP216="LOSE",1,0)</f>
        <v>0</v>
      </c>
      <c r="BS216" s="59" t="n">
        <f aca="false">IF(BR216=0,0,IF(N(R216)&gt;0,R216,IFERROR(VLOOKUP(D216,Parameter!$A$35:$C$64,3,0)+0,0)))</f>
        <v>0</v>
      </c>
      <c r="BT216" s="55" t="n">
        <f aca="false">IF(Y216&lt;&gt;"",Y216,X216)</f>
        <v>3</v>
      </c>
      <c r="BU216" s="55" t="str">
        <f aca="false">IF(BT216=1,"L1",IF(OR(BT216=2,BT216=3),"L23",IF(BT216="Aussen","Aussen","-")))</f>
        <v>L23</v>
      </c>
      <c r="BV216" s="66" t="n">
        <f aca="false">IF(N(Z216)&gt;0,Z216,0)</f>
        <v>0</v>
      </c>
      <c r="BW216" s="60" t="n">
        <f aca="false">IF(ISNUMBER(AC216),1,0)</f>
        <v>0</v>
      </c>
      <c r="BX216" s="57" t="n">
        <f aca="false">N(AC216)</f>
        <v>0</v>
      </c>
      <c r="BY216" s="57" t="n">
        <f aca="false">N(L216)+N(M216)</f>
        <v>1</v>
      </c>
      <c r="BZ216" s="57" t="n">
        <f aca="false">ROUNDUP(G216/BQ216,0)</f>
        <v>1</v>
      </c>
      <c r="CA216" s="57" t="n">
        <f aca="false">ROUNDUP(BX216/BQ216,0)</f>
        <v>0</v>
      </c>
      <c r="CB216" s="60" t="n">
        <f aca="false">IF(BR216=1,0,IFERROR(VLOOKUP(BP216,'Gebinde-Kategorie'!$A$5:$M$45,5,0)+0,0))</f>
        <v>21</v>
      </c>
      <c r="CC216" s="60" t="n">
        <f aca="false">IFERROR(IF(OR(BT216=1,BT216=2,BT216=3),N(INDEX(Parameter!$I$5:$I$7,BT216)),0),0)</f>
        <v>0</v>
      </c>
      <c r="CD216" s="59" t="n">
        <f aca="false">IF(AND(Parameter!$B$21="Ja",ISNUMBER(U216),N(V216)&gt;0),IFERROR(N(INDEX(Parameter!$L$5:$L$7,U216))*INDEX(Parameter!$E$5:$E$7,U216)*V216/SUMIFS($V$7:$V$1576,$U$7:$U$1576,U216),0),0)</f>
        <v>0</v>
      </c>
    </row>
    <row r="217" customFormat="false" ht="15" hidden="false" customHeight="false" outlineLevel="0" collapsed="false">
      <c r="A217" s="55" t="s">
        <v>616</v>
      </c>
      <c r="B217" s="55" t="s">
        <v>617</v>
      </c>
      <c r="C217" s="55" t="s">
        <v>160</v>
      </c>
      <c r="D217" s="55" t="s">
        <v>178</v>
      </c>
      <c r="E217" s="55" t="s">
        <v>210</v>
      </c>
      <c r="F217" s="56" t="n">
        <v>23.17</v>
      </c>
      <c r="G217" s="57" t="n">
        <f aca="false">MAX(0,IF(AND(Parameter!$B$21="Ja",ISNUMBER(W217)),W217,IF(Parameter!$B$20="Jahresanfang 2025 + Export",BJ217+BI217,BI217)))</f>
        <v>31</v>
      </c>
      <c r="H217" s="57" t="n">
        <f aca="false">G217*F217</f>
        <v>718.27</v>
      </c>
      <c r="I217" s="57" t="n">
        <f aca="false">BL217*Parameter!$B$18</f>
        <v>9</v>
      </c>
      <c r="J217" s="58" t="n">
        <v>2</v>
      </c>
      <c r="K217" s="59" t="n">
        <v>4.5</v>
      </c>
      <c r="L217" s="57" t="n">
        <v>0</v>
      </c>
      <c r="M217" s="57" t="n">
        <v>10</v>
      </c>
      <c r="N217" s="60" t="n">
        <v>19</v>
      </c>
      <c r="O217" s="55" t="s">
        <v>411</v>
      </c>
      <c r="P217" s="57" t="n">
        <v>16</v>
      </c>
      <c r="Q217" s="60" t="n">
        <f aca="false">IF(BR217=1,0,IFERROR(VLOOKUP(BP217,'Gebinde-Kategorie'!$A$5:$M$45,13,0)+0,0))</f>
        <v>132</v>
      </c>
      <c r="R217" s="61"/>
      <c r="S217" s="62"/>
      <c r="T217" s="62"/>
      <c r="U217" s="55"/>
      <c r="V217" s="57"/>
      <c r="W217" s="57"/>
      <c r="X217" s="55" t="n">
        <f aca="false">IF(A217="","",IF(AND(Parameter!$B$21="Ja",ISNUMBER(U217)),U217,IF(IFERROR(VLOOKUP(D217,Parameter!$A$35:$C$64,2,0),"Nein")="2+3",IF(ISNUMBER(SEARCH("grosser Artikel",BM217)),2,IFERROR(VLOOKUP(BP217,Parameter!$F$35:$G$64,2,0),2)),IF(OR(IFERROR(VLOOKUP(D217,Parameter!$A$35:$C$64,2,0),"Nein")="Nein",IFERROR(VLOOKUP(D217,Parameter!$A$35:$C$64,2,0),"Nein")=""),"-",VLOOKUP(D217,Parameter!$A$35:$C$64,2,0)))))</f>
        <v>3</v>
      </c>
      <c r="Y217" s="62"/>
      <c r="Z217" s="63"/>
      <c r="AA217" s="57" t="n">
        <f aca="false">AP217</f>
        <v>16</v>
      </c>
      <c r="AB217" s="57" t="n">
        <f aca="false">MAX(AP217,G217)</f>
        <v>31</v>
      </c>
      <c r="AC217" s="64"/>
      <c r="AD217" s="57" t="n">
        <f aca="false">IF(LEFT(Cockpit!$C$5,1)="A",G217,IF(BW217=1,BX217,IF(LEFT(Cockpit!$C$5,1)="B",AH217,MAX(AH217,G217))))</f>
        <v>31</v>
      </c>
      <c r="AE217" s="57" t="n">
        <f aca="false">IF(BR217=1,0,ROUNDUP(AD217/BQ217,0))</f>
        <v>2</v>
      </c>
      <c r="AF217" s="59" t="n">
        <f aca="false">IF(CD217&gt;0,CD217*MAX(1,AD217/V217),IF(BR217=1,IF(AD217&lt;=0,0,BS217*MAX(1,IF(G217&gt;0,AD217/G217,1))),IF(Q217&gt;0,AE217/Q217,0))/MAX(0.1,N(Parameter!$M$21)))</f>
        <v>0.0151515151515152</v>
      </c>
      <c r="AG217" s="57" t="n">
        <f aca="false">AD217*F217</f>
        <v>718.27</v>
      </c>
      <c r="AH217" s="57" t="n">
        <f aca="false">ROUNDUP(MAX(I217/IF(BV217&gt;0,BV217,MAX(0.1,N(Cockpit!$C$6))),BY217)/BQ217,0)*BQ217</f>
        <v>16</v>
      </c>
      <c r="AI217" s="58" t="n">
        <f aca="false">IF(AF217&gt;0,I217/AF217,-1)</f>
        <v>594</v>
      </c>
      <c r="AJ217" s="58" t="n">
        <f aca="false">IF(AND(OR(BU217="L1",BU217="L23"),AF217&gt;0),SUMIFS($AF$7:$AF$1576,$BU$7:$BU$1576,BU217,$AI$7:$AI$1576,"&gt;"&amp;AI217)+SUMIFS($AF$7:$AF$1576,$BU$7:$BU$1576,BU217,$AI$7:$AI$1576,AI217,$BO$7:$BO$1576,"&lt;="&amp;BO217),"")</f>
        <v>11.8706560589169</v>
      </c>
      <c r="AK217" s="65" t="n">
        <f aca="false">IF(AJ217="",0,MAX(0,MIN(1,(IF(BU217="L1",Parameter!$E$5,Parameter!$E$6+Parameter!$E$7)-(AJ217-AF217))/AF217)))</f>
        <v>1</v>
      </c>
      <c r="AL217" s="57" t="n">
        <f aca="false">IF(LEFT(Cockpit!$I$5,1)="A",G217,IF(BW217=1,BX217,IF(LEFT(Cockpit!$I$5,1)="B",AP217,MAX(AP217,G217))))</f>
        <v>31</v>
      </c>
      <c r="AM217" s="57" t="n">
        <f aca="false">IF(BR217=1,0,ROUNDUP(AL217/BQ217,0))</f>
        <v>2</v>
      </c>
      <c r="AN217" s="59" t="n">
        <f aca="false">IF(CD217&gt;0,CD217*MAX(1,AL217/V217),IF(BR217=1,IF(AL217&lt;=0,0,BS217*MAX(1,IF(G217&gt;0,AL217/G217,1))),IF(Q217&gt;0,AM217/Q217,0))/MAX(0.1,N(Parameter!$M$21)))</f>
        <v>0.0151515151515152</v>
      </c>
      <c r="AO217" s="57" t="n">
        <f aca="false">AL217*F217</f>
        <v>718.27</v>
      </c>
      <c r="AP217" s="57" t="n">
        <f aca="false">ROUNDUP(MAX(I217/IF(BV217&gt;0,BV217,MAX(0.1,N(Cockpit!$I$6))),BY217)/BQ217,0)*BQ217</f>
        <v>16</v>
      </c>
      <c r="AQ217" s="58" t="n">
        <f aca="false">IF(AN217&gt;0,I217/AN217,-1)</f>
        <v>594</v>
      </c>
      <c r="AR217" s="58" t="n">
        <f aca="false">IF(AND(OR(BU217="L1",BU217="L23"),AN217&gt;0),SUMIFS($AN$7:$AN$1576,$BU$7:$BU$1576,BU217,$AQ$7:$AQ$1576,"&gt;"&amp;AQ217)+SUMIFS($AN$7:$AN$1576,$BU$7:$BU$1576,BU217,$AQ$7:$AQ$1576,AQ217,$BO$7:$BO$1576,"&lt;="&amp;BO217),"")</f>
        <v>31.5342792114643</v>
      </c>
      <c r="AS217" s="65" t="n">
        <f aca="false">IF(AR217="",0,MAX(0,MIN(1,(IF(BU217="L1",Parameter!$E$5,Parameter!$E$6+Parameter!$E$7)-(AR217-AN217))/AN217)))</f>
        <v>1</v>
      </c>
      <c r="AT217" s="57" t="n">
        <f aca="false">IF(LEFT(Cockpit!$O$5,1)="A",G217,IF(BW217=1,BX217,IF(LEFT(Cockpit!$O$5,1)="B",AX217,MAX(AX217,G217))))</f>
        <v>31</v>
      </c>
      <c r="AU217" s="57" t="n">
        <f aca="false">IF(BR217=1,0,ROUNDUP(AT217/BQ217,0))</f>
        <v>2</v>
      </c>
      <c r="AV217" s="59" t="n">
        <f aca="false">IF(CD217&gt;0,CD217*MAX(1,AT217/V217),IF(BR217=1,IF(AT217&lt;=0,0,BS217*MAX(1,IF(G217&gt;0,AT217/G217,1))),IF(Q217&gt;0,AU217/Q217,0))/MAX(0.1,N(Parameter!$M$21)))</f>
        <v>0.0151515151515152</v>
      </c>
      <c r="AW217" s="57" t="n">
        <f aca="false">AT217*F217</f>
        <v>718.27</v>
      </c>
      <c r="AX217" s="57" t="n">
        <f aca="false">ROUNDUP(MAX(I217/IF(BV217&gt;0,BV217,MAX(0.1,N(Cockpit!$O$6))),BY217)/BQ217,0)*BQ217</f>
        <v>16</v>
      </c>
      <c r="AY217" s="58" t="n">
        <f aca="false">IF(AV217&gt;0,I217/AV217,-1)</f>
        <v>594</v>
      </c>
      <c r="AZ217" s="58" t="n">
        <f aca="false">IF(AND(OR(BU217="L1",BU217="L23"),AV217&gt;0),SUMIFS($AV$7:$AV$1576,$BU$7:$BU$1576,BU217,$AY$7:$AY$1576,"&gt;"&amp;AY217)+SUMIFS($AV$7:$AV$1576,$BU$7:$BU$1576,BU217,$AY$7:$AY$1576,AY217,$BO$7:$BO$1576,"&lt;="&amp;BO217),"")</f>
        <v>30.4442991914843</v>
      </c>
      <c r="BA217" s="65" t="n">
        <f aca="false">IF(AZ217="",0,MAX(0,MIN(1,(IF(BU217="L1",Parameter!$E$5,Parameter!$E$6+Parameter!$E$7)-(AZ217-AV217))/AV217)))</f>
        <v>1</v>
      </c>
      <c r="BB217" s="55" t="str">
        <f aca="false">IF(AF217&lt;=0,"",IF(BU217="Aussen","Aussenlager",IF(BU217="-","Nicht im Lift",IF(AK217&gt;=1,"Lift",IF(AK217&lt;=0,"Aussenlager","teilweise")))))</f>
        <v>Lift</v>
      </c>
      <c r="BC217" s="55" t="str">
        <f aca="false">IF(AN217&lt;=0,"",IF(BU217="Aussen","Aussenlager",IF(BU217="-","Nicht im Lift",IF(AS217&gt;=1,"Lift",IF(AS217&lt;=0,"Aussenlager","teilweise")))))</f>
        <v>Lift</v>
      </c>
      <c r="BD217" s="55" t="str">
        <f aca="false">IF(AV217&lt;=0,"",IF(BU217="Aussen","Aussenlager",IF(BU217="-","Nicht im Lift",IF(BA217&gt;=1,"Lift",IF(BA217&lt;=0,"Aussenlager","teilweise")))))</f>
        <v>Lift</v>
      </c>
      <c r="BE217" s="55" t="str">
        <f aca="false">IF(A217="","",IF(BN217=1,"Neu; ","")&amp;IF(AND(BN217=0,BI217&lt;0),"negativer Bestand (Export "&amp;BI217&amp;"); ","")&amp;IF(I217&lt;=0,"Kein Verbrauch; ","")&amp;IF(CD217&gt;0,"Lift "&amp;U217&amp;" lt. Liftbericht (Fach "&amp;V217&amp;" Stk); ",IF(BR217=1,"Lose – Fläche geschätzt; ",""))&amp;IF(G217&gt;AP217,"Überbestand "&amp;ROUND(G217-AP217,0)&amp;" Stk / CHF "&amp;ROUND((G217-AP217)*F217,0)&amp;"; ","")&amp;IF(AND(BW217=1,BX217&lt;BY217),"MAX &lt; MB+LG; ","")&amp;IF(AND(CC217&gt;0,CB217*10&gt;CC217),"zu hoch für Tablar; ","")&amp;IF(AND(BN217=0,OR(BW217=1,Y217&lt;&gt;"",S217&lt;&gt;"",T217&lt;&gt;"",Z217&lt;&gt;"")),"manuell übersteuert; ","")&amp;IF(AND(BR217=0,Q217=0),"Gebinde unbekannt / Stellmass fehlt; ","")&amp;IF(AND(BR217=0,N(T217)&lt;=0,N(P217)&lt;=0),"Menge pro Gebinde fehlt (Ist = 1 Gebinde); ","")&amp;BM217)</f>
        <v>Überbestand 15 Stk / CHF 348; Neu</v>
      </c>
      <c r="BF217" s="55"/>
      <c r="BG217" s="55"/>
      <c r="BH217" s="62"/>
      <c r="BI217" s="57" t="n">
        <v>31</v>
      </c>
      <c r="BJ217" s="57" t="n">
        <v>2</v>
      </c>
      <c r="BK217" s="56" t="n">
        <v>698.21</v>
      </c>
      <c r="BL217" s="57" t="n">
        <v>9</v>
      </c>
      <c r="BM217" s="55" t="s">
        <v>615</v>
      </c>
      <c r="BN217" s="60" t="n">
        <v>0</v>
      </c>
      <c r="BO217" s="60" t="n">
        <v>217</v>
      </c>
      <c r="BP217" s="55" t="str">
        <f aca="false">IF(S217&lt;&gt;"",UPPER(TRIM(S217)),IF(O217="","LOSE",O217))</f>
        <v>S32</v>
      </c>
      <c r="BQ217" s="57" t="n">
        <f aca="false">IF(BP217="LOSE",1,IF(N(T217)&gt;0,T217,IF(N(P217)&gt;0,P217,MAX(1,G217))))</f>
        <v>16</v>
      </c>
      <c r="BR217" s="60" t="n">
        <f aca="false">IF(BP217="LOSE",1,0)</f>
        <v>0</v>
      </c>
      <c r="BS217" s="59" t="n">
        <f aca="false">IF(BR217=0,0,IF(N(R217)&gt;0,R217,IFERROR(VLOOKUP(D217,Parameter!$A$35:$C$64,3,0)+0,0)))</f>
        <v>0</v>
      </c>
      <c r="BT217" s="55" t="n">
        <f aca="false">IF(Y217&lt;&gt;"",Y217,X217)</f>
        <v>3</v>
      </c>
      <c r="BU217" s="55" t="str">
        <f aca="false">IF(BT217=1,"L1",IF(OR(BT217=2,BT217=3),"L23",IF(BT217="Aussen","Aussen","-")))</f>
        <v>L23</v>
      </c>
      <c r="BV217" s="66" t="n">
        <f aca="false">IF(N(Z217)&gt;0,Z217,0)</f>
        <v>0</v>
      </c>
      <c r="BW217" s="60" t="n">
        <f aca="false">IF(ISNUMBER(AC217),1,0)</f>
        <v>0</v>
      </c>
      <c r="BX217" s="57" t="n">
        <f aca="false">N(AC217)</f>
        <v>0</v>
      </c>
      <c r="BY217" s="57" t="n">
        <f aca="false">N(L217)+N(M217)</f>
        <v>10</v>
      </c>
      <c r="BZ217" s="57" t="n">
        <f aca="false">ROUNDUP(G217/BQ217,0)</f>
        <v>2</v>
      </c>
      <c r="CA217" s="57" t="n">
        <f aca="false">ROUNDUP(BX217/BQ217,0)</f>
        <v>0</v>
      </c>
      <c r="CB217" s="60" t="n">
        <f aca="false">IF(BR217=1,0,IFERROR(VLOOKUP(BP217,'Gebinde-Kategorie'!$A$5:$M$45,5,0)+0,0))</f>
        <v>8</v>
      </c>
      <c r="CC217" s="60" t="n">
        <f aca="false">IFERROR(IF(OR(BT217=1,BT217=2,BT217=3),N(INDEX(Parameter!$I$5:$I$7,BT217)),0),0)</f>
        <v>0</v>
      </c>
      <c r="CD217" s="59" t="n">
        <f aca="false">IF(AND(Parameter!$B$21="Ja",ISNUMBER(U217),N(V217)&gt;0),IFERROR(N(INDEX(Parameter!$L$5:$L$7,U217))*INDEX(Parameter!$E$5:$E$7,U217)*V217/SUMIFS($V$7:$V$1576,$U$7:$U$1576,U217),0),0)</f>
        <v>0</v>
      </c>
    </row>
    <row r="218" customFormat="false" ht="15" hidden="false" customHeight="false" outlineLevel="0" collapsed="false">
      <c r="A218" s="55" t="s">
        <v>618</v>
      </c>
      <c r="B218" s="55" t="s">
        <v>330</v>
      </c>
      <c r="C218" s="55" t="s">
        <v>160</v>
      </c>
      <c r="D218" s="55" t="s">
        <v>168</v>
      </c>
      <c r="E218" s="55" t="s">
        <v>210</v>
      </c>
      <c r="F218" s="56" t="n">
        <v>301.38</v>
      </c>
      <c r="G218" s="57" t="n">
        <f aca="false">MAX(0,IF(AND(Parameter!$B$21="Ja",ISNUMBER(W218)),W218,IF(Parameter!$B$20="Jahresanfang 2025 + Export",BJ218+BI218,BI218)))</f>
        <v>3</v>
      </c>
      <c r="H218" s="57" t="n">
        <f aca="false">G218*F218</f>
        <v>904.14</v>
      </c>
      <c r="I218" s="57" t="n">
        <f aca="false">BL218*Parameter!$B$18</f>
        <v>24</v>
      </c>
      <c r="J218" s="58" t="n">
        <v>9</v>
      </c>
      <c r="K218" s="59" t="n">
        <v>2.66666666666667</v>
      </c>
      <c r="L218" s="57" t="n">
        <v>3</v>
      </c>
      <c r="M218" s="57" t="n">
        <v>15</v>
      </c>
      <c r="N218" s="60" t="n">
        <v>35</v>
      </c>
      <c r="O218" s="55" t="s">
        <v>169</v>
      </c>
      <c r="P218" s="57" t="n">
        <v>22</v>
      </c>
      <c r="Q218" s="60" t="n">
        <f aca="false">IF(BR218=1,0,IFERROR(VLOOKUP(BP218,'Gebinde-Kategorie'!$A$5:$M$45,13,0)+0,0))</f>
        <v>6</v>
      </c>
      <c r="R218" s="61"/>
      <c r="S218" s="62"/>
      <c r="T218" s="62"/>
      <c r="U218" s="55"/>
      <c r="V218" s="57"/>
      <c r="W218" s="57"/>
      <c r="X218" s="55" t="n">
        <f aca="false">IF(A218="","",IF(AND(Parameter!$B$21="Ja",ISNUMBER(U218)),U218,IF(IFERROR(VLOOKUP(D218,Parameter!$A$35:$C$64,2,0),"Nein")="2+3",IF(ISNUMBER(SEARCH("grosser Artikel",BM218)),2,IFERROR(VLOOKUP(BP218,Parameter!$F$35:$G$64,2,0),2)),IF(OR(IFERROR(VLOOKUP(D218,Parameter!$A$35:$C$64,2,0),"Nein")="Nein",IFERROR(VLOOKUP(D218,Parameter!$A$35:$C$64,2,0),"Nein")=""),"-",VLOOKUP(D218,Parameter!$A$35:$C$64,2,0)))))</f>
        <v>2</v>
      </c>
      <c r="Y218" s="62"/>
      <c r="Z218" s="63"/>
      <c r="AA218" s="57" t="n">
        <f aca="false">AP218</f>
        <v>22</v>
      </c>
      <c r="AB218" s="57" t="n">
        <f aca="false">MAX(AP218,G218)</f>
        <v>22</v>
      </c>
      <c r="AC218" s="64"/>
      <c r="AD218" s="57" t="n">
        <f aca="false">IF(LEFT(Cockpit!$C$5,1)="A",G218,IF(BW218=1,BX218,IF(LEFT(Cockpit!$C$5,1)="B",AH218,MAX(AH218,G218))))</f>
        <v>3</v>
      </c>
      <c r="AE218" s="57" t="n">
        <f aca="false">IF(BR218=1,0,ROUNDUP(AD218/BQ218,0))</f>
        <v>1</v>
      </c>
      <c r="AF218" s="59" t="n">
        <f aca="false">IF(CD218&gt;0,CD218*MAX(1,AD218/V218),IF(BR218=1,IF(AD218&lt;=0,0,BS218*MAX(1,IF(G218&gt;0,AD218/G218,1))),IF(Q218&gt;0,AE218/Q218,0))/MAX(0.1,N(Parameter!$M$21)))</f>
        <v>0.166666666666667</v>
      </c>
      <c r="AG218" s="57" t="n">
        <f aca="false">AD218*F218</f>
        <v>904.14</v>
      </c>
      <c r="AH218" s="57" t="n">
        <f aca="false">ROUNDUP(MAX(I218/IF(BV218&gt;0,BV218,MAX(0.1,N(Cockpit!$C$6))),BY218)/BQ218,0)*BQ218</f>
        <v>22</v>
      </c>
      <c r="AI218" s="58" t="n">
        <f aca="false">IF(AF218&gt;0,I218/AF218,-1)</f>
        <v>144</v>
      </c>
      <c r="AJ218" s="58" t="n">
        <f aca="false">IF(AND(OR(BU218="L1",BU218="L23"),AF218&gt;0),SUMIFS($AF$7:$AF$1576,$BU$7:$BU$1576,BU218,$AI$7:$AI$1576,"&gt;"&amp;AI218)+SUMIFS($AF$7:$AF$1576,$BU$7:$BU$1576,BU218,$AI$7:$AI$1576,AI218,$BO$7:$BO$1576,"&lt;="&amp;BO218),"")</f>
        <v>19.3711442181007</v>
      </c>
      <c r="AK218" s="65" t="n">
        <f aca="false">IF(AJ218="",0,MAX(0,MIN(1,(IF(BU218="L1",Parameter!$E$5,Parameter!$E$6+Parameter!$E$7)-(AJ218-AF218))/AF218)))</f>
        <v>1</v>
      </c>
      <c r="AL218" s="57" t="n">
        <f aca="false">IF(LEFT(Cockpit!$I$5,1)="A",G218,IF(BW218=1,BX218,IF(LEFT(Cockpit!$I$5,1)="B",AP218,MAX(AP218,G218))))</f>
        <v>22</v>
      </c>
      <c r="AM218" s="57" t="n">
        <f aca="false">IF(BR218=1,0,ROUNDUP(AL218/BQ218,0))</f>
        <v>1</v>
      </c>
      <c r="AN218" s="59" t="n">
        <f aca="false">IF(CD218&gt;0,CD218*MAX(1,AL218/V218),IF(BR218=1,IF(AL218&lt;=0,0,BS218*MAX(1,IF(G218&gt;0,AL218/G218,1))),IF(Q218&gt;0,AM218/Q218,0))/MAX(0.1,N(Parameter!$M$21)))</f>
        <v>0.166666666666667</v>
      </c>
      <c r="AO218" s="57" t="n">
        <f aca="false">AL218*F218</f>
        <v>6630.36</v>
      </c>
      <c r="AP218" s="57" t="n">
        <f aca="false">ROUNDUP(MAX(I218/IF(BV218&gt;0,BV218,MAX(0.1,N(Cockpit!$I$6))),BY218)/BQ218,0)*BQ218</f>
        <v>22</v>
      </c>
      <c r="AQ218" s="58" t="n">
        <f aca="false">IF(AN218&gt;0,I218/AN218,-1)</f>
        <v>144</v>
      </c>
      <c r="AR218" s="58" t="n">
        <f aca="false">IF(AND(OR(BU218="L1",BU218="L23"),AN218&gt;0),SUMIFS($AN$7:$AN$1576,$BU$7:$BU$1576,BU218,$AQ$7:$AQ$1576,"&gt;"&amp;AQ218)+SUMIFS($AN$7:$AN$1576,$BU$7:$BU$1576,BU218,$AQ$7:$AQ$1576,AQ218,$BO$7:$BO$1576,"&lt;="&amp;BO218),"")</f>
        <v>56.5963263913376</v>
      </c>
      <c r="AS218" s="65" t="n">
        <f aca="false">IF(AR218="",0,MAX(0,MIN(1,(IF(BU218="L1",Parameter!$E$5,Parameter!$E$6+Parameter!$E$7)-(AR218-AN218))/AN218)))</f>
        <v>1</v>
      </c>
      <c r="AT218" s="57" t="n">
        <f aca="false">IF(LEFT(Cockpit!$O$5,1)="A",G218,IF(BW218=1,BX218,IF(LEFT(Cockpit!$O$5,1)="B",AX218,MAX(AX218,G218))))</f>
        <v>22</v>
      </c>
      <c r="AU218" s="57" t="n">
        <f aca="false">IF(BR218=1,0,ROUNDUP(AT218/BQ218,0))</f>
        <v>1</v>
      </c>
      <c r="AV218" s="59" t="n">
        <f aca="false">IF(CD218&gt;0,CD218*MAX(1,AT218/V218),IF(BR218=1,IF(AT218&lt;=0,0,BS218*MAX(1,IF(G218&gt;0,AT218/G218,1))),IF(Q218&gt;0,AU218/Q218,0))/MAX(0.1,N(Parameter!$M$21)))</f>
        <v>0.166666666666667</v>
      </c>
      <c r="AW218" s="57" t="n">
        <f aca="false">AT218*F218</f>
        <v>6630.36</v>
      </c>
      <c r="AX218" s="57" t="n">
        <f aca="false">ROUNDUP(MAX(I218/IF(BV218&gt;0,BV218,MAX(0.1,N(Cockpit!$O$6))),BY218)/BQ218,0)*BQ218</f>
        <v>22</v>
      </c>
      <c r="AY218" s="58" t="n">
        <f aca="false">IF(AV218&gt;0,I218/AV218,-1)</f>
        <v>144</v>
      </c>
      <c r="AZ218" s="58" t="n">
        <f aca="false">IF(AND(OR(BU218="L1",BU218="L23"),AV218&gt;0),SUMIFS($AV$7:$AV$1576,$BU$7:$BU$1576,BU218,$AY$7:$AY$1576,"&gt;"&amp;AY218)+SUMIFS($AV$7:$AV$1576,$BU$7:$BU$1576,BU218,$AY$7:$AY$1576,AY218,$BO$7:$BO$1576,"&lt;="&amp;BO218),"")</f>
        <v>51.9254601742213</v>
      </c>
      <c r="BA218" s="65" t="n">
        <f aca="false">IF(AZ218="",0,MAX(0,MIN(1,(IF(BU218="L1",Parameter!$E$5,Parameter!$E$6+Parameter!$E$7)-(AZ218-AV218))/AV218)))</f>
        <v>1</v>
      </c>
      <c r="BB218" s="55" t="str">
        <f aca="false">IF(AF218&lt;=0,"",IF(BU218="Aussen","Aussenlager",IF(BU218="-","Nicht im Lift",IF(AK218&gt;=1,"Lift",IF(AK218&lt;=0,"Aussenlager","teilweise")))))</f>
        <v>Lift</v>
      </c>
      <c r="BC218" s="55" t="str">
        <f aca="false">IF(AN218&lt;=0,"",IF(BU218="Aussen","Aussenlager",IF(BU218="-","Nicht im Lift",IF(AS218&gt;=1,"Lift",IF(AS218&lt;=0,"Aussenlager","teilweise")))))</f>
        <v>Lift</v>
      </c>
      <c r="BD218" s="55" t="str">
        <f aca="false">IF(AV218&lt;=0,"",IF(BU218="Aussen","Aussenlager",IF(BU218="-","Nicht im Lift",IF(BA218&gt;=1,"Lift",IF(BA218&lt;=0,"Aussenlager","teilweise")))))</f>
        <v>Lift</v>
      </c>
      <c r="BE218" s="55" t="str">
        <f aca="false">IF(A218="","",IF(BN218=1,"Neu; ","")&amp;IF(AND(BN218=0,BI218&lt;0),"negativer Bestand (Export "&amp;BI218&amp;"); ","")&amp;IF(I218&lt;=0,"Kein Verbrauch; ","")&amp;IF(CD218&gt;0,"Lift "&amp;U218&amp;" lt. Liftbericht (Fach "&amp;V218&amp;" Stk); ",IF(BR218=1,"Lose – Fläche geschätzt; ",""))&amp;IF(G218&gt;AP218,"Überbestand "&amp;ROUND(G218-AP218,0)&amp;" Stk / CHF "&amp;ROUND((G218-AP218)*F218,0)&amp;"; ","")&amp;IF(AND(BW218=1,BX218&lt;BY218),"MAX &lt; MB+LG; ","")&amp;IF(AND(CC218&gt;0,CB218*10&gt;CC218),"zu hoch für Tablar; ","")&amp;IF(AND(BN218=0,OR(BW218=1,Y218&lt;&gt;"",S218&lt;&gt;"",T218&lt;&gt;"",Z218&lt;&gt;"")),"manuell übersteuert; ","")&amp;IF(AND(BR218=0,Q218=0),"Gebinde unbekannt / Stellmass fehlt; ","")&amp;IF(AND(BR218=0,N(T218)&lt;=0,N(P218)&lt;=0),"Menge pro Gebinde fehlt (Ist = 1 Gebinde); ","")&amp;BM218)</f>
        <v/>
      </c>
      <c r="BF218" s="55"/>
      <c r="BG218" s="55"/>
      <c r="BH218" s="62"/>
      <c r="BI218" s="57" t="n">
        <v>3</v>
      </c>
      <c r="BJ218" s="57" t="n">
        <v>7</v>
      </c>
      <c r="BK218" s="56" t="n">
        <v>696.450000000001</v>
      </c>
      <c r="BL218" s="57" t="n">
        <v>24</v>
      </c>
      <c r="BM218" s="55"/>
      <c r="BN218" s="60" t="n">
        <v>0</v>
      </c>
      <c r="BO218" s="60" t="n">
        <v>218</v>
      </c>
      <c r="BP218" s="55" t="str">
        <f aca="false">IF(S218&lt;&gt;"",UPPER(TRIM(S218)),IF(O218="","LOSE",O218))</f>
        <v>S71</v>
      </c>
      <c r="BQ218" s="57" t="n">
        <f aca="false">IF(BP218="LOSE",1,IF(N(T218)&gt;0,T218,IF(N(P218)&gt;0,P218,MAX(1,G218))))</f>
        <v>22</v>
      </c>
      <c r="BR218" s="60" t="n">
        <f aca="false">IF(BP218="LOSE",1,0)</f>
        <v>0</v>
      </c>
      <c r="BS218" s="59" t="n">
        <f aca="false">IF(BR218=0,0,IF(N(R218)&gt;0,R218,IFERROR(VLOOKUP(D218,Parameter!$A$35:$C$64,3,0)+0,0)))</f>
        <v>0</v>
      </c>
      <c r="BT218" s="55" t="n">
        <f aca="false">IF(Y218&lt;&gt;"",Y218,X218)</f>
        <v>2</v>
      </c>
      <c r="BU218" s="55" t="str">
        <f aca="false">IF(BT218=1,"L1",IF(OR(BT218=2,BT218=3),"L23",IF(BT218="Aussen","Aussen","-")))</f>
        <v>L23</v>
      </c>
      <c r="BV218" s="66" t="n">
        <f aca="false">IF(N(Z218)&gt;0,Z218,0)</f>
        <v>0</v>
      </c>
      <c r="BW218" s="60" t="n">
        <f aca="false">IF(ISNUMBER(AC218),1,0)</f>
        <v>0</v>
      </c>
      <c r="BX218" s="57" t="n">
        <f aca="false">N(AC218)</f>
        <v>0</v>
      </c>
      <c r="BY218" s="57" t="n">
        <f aca="false">N(L218)+N(M218)</f>
        <v>18</v>
      </c>
      <c r="BZ218" s="57" t="n">
        <f aca="false">ROUNDUP(G218/BQ218,0)</f>
        <v>1</v>
      </c>
      <c r="CA218" s="57" t="n">
        <f aca="false">ROUNDUP(BX218/BQ218,0)</f>
        <v>0</v>
      </c>
      <c r="CB218" s="60" t="n">
        <f aca="false">IF(BR218=1,0,IFERROR(VLOOKUP(BP218,'Gebinde-Kategorie'!$A$5:$M$45,5,0)+0,0))</f>
        <v>20</v>
      </c>
      <c r="CC218" s="60" t="n">
        <f aca="false">IFERROR(IF(OR(BT218=1,BT218=2,BT218=3),N(INDEX(Parameter!$I$5:$I$7,BT218)),0),0)</f>
        <v>0</v>
      </c>
      <c r="CD218" s="59" t="n">
        <f aca="false">IF(AND(Parameter!$B$21="Ja",ISNUMBER(U218),N(V218)&gt;0),IFERROR(N(INDEX(Parameter!$L$5:$L$7,U218))*INDEX(Parameter!$E$5:$E$7,U218)*V218/SUMIFS($V$7:$V$1576,$U$7:$U$1576,U218),0),0)</f>
        <v>0</v>
      </c>
    </row>
    <row r="219" customFormat="false" ht="15" hidden="false" customHeight="false" outlineLevel="0" collapsed="false">
      <c r="A219" s="55" t="s">
        <v>619</v>
      </c>
      <c r="B219" s="55" t="s">
        <v>620</v>
      </c>
      <c r="C219" s="55" t="s">
        <v>160</v>
      </c>
      <c r="D219" s="55" t="s">
        <v>178</v>
      </c>
      <c r="E219" s="55" t="s">
        <v>210</v>
      </c>
      <c r="F219" s="56" t="n">
        <v>14</v>
      </c>
      <c r="G219" s="57" t="n">
        <f aca="false">MAX(0,IF(AND(Parameter!$B$21="Ja",ISNUMBER(W219)),W219,IF(Parameter!$B$20="Jahresanfang 2025 + Export",BJ219+BI219,BI219)))</f>
        <v>49</v>
      </c>
      <c r="H219" s="57" t="n">
        <f aca="false">G219*F219</f>
        <v>686</v>
      </c>
      <c r="I219" s="57" t="n">
        <f aca="false">BL219*Parameter!$B$18</f>
        <v>0</v>
      </c>
      <c r="J219" s="58" t="n">
        <v>4</v>
      </c>
      <c r="K219" s="59" t="n">
        <v>0</v>
      </c>
      <c r="L219" s="57" t="n">
        <v>0</v>
      </c>
      <c r="M219" s="57" t="n">
        <v>1</v>
      </c>
      <c r="N219" s="60" t="n">
        <v>28</v>
      </c>
      <c r="O219" s="55" t="s">
        <v>411</v>
      </c>
      <c r="P219" s="57" t="n">
        <v>55</v>
      </c>
      <c r="Q219" s="60" t="n">
        <f aca="false">IF(BR219=1,0,IFERROR(VLOOKUP(BP219,'Gebinde-Kategorie'!$A$5:$M$45,13,0)+0,0))</f>
        <v>132</v>
      </c>
      <c r="R219" s="61"/>
      <c r="S219" s="62"/>
      <c r="T219" s="62"/>
      <c r="U219" s="55"/>
      <c r="V219" s="57"/>
      <c r="W219" s="57"/>
      <c r="X219" s="55" t="n">
        <f aca="false">IF(A219="","",IF(AND(Parameter!$B$21="Ja",ISNUMBER(U219)),U219,IF(IFERROR(VLOOKUP(D219,Parameter!$A$35:$C$64,2,0),"Nein")="2+3",IF(ISNUMBER(SEARCH("grosser Artikel",BM219)),2,IFERROR(VLOOKUP(BP219,Parameter!$F$35:$G$64,2,0),2)),IF(OR(IFERROR(VLOOKUP(D219,Parameter!$A$35:$C$64,2,0),"Nein")="Nein",IFERROR(VLOOKUP(D219,Parameter!$A$35:$C$64,2,0),"Nein")=""),"-",VLOOKUP(D219,Parameter!$A$35:$C$64,2,0)))))</f>
        <v>3</v>
      </c>
      <c r="Y219" s="62"/>
      <c r="Z219" s="63"/>
      <c r="AA219" s="57" t="n">
        <f aca="false">AP219</f>
        <v>55</v>
      </c>
      <c r="AB219" s="57" t="n">
        <f aca="false">MAX(AP219,G219)</f>
        <v>55</v>
      </c>
      <c r="AC219" s="64"/>
      <c r="AD219" s="57" t="n">
        <f aca="false">IF(LEFT(Cockpit!$C$5,1)="A",G219,IF(BW219=1,BX219,IF(LEFT(Cockpit!$C$5,1)="B",AH219,MAX(AH219,G219))))</f>
        <v>49</v>
      </c>
      <c r="AE219" s="57" t="n">
        <f aca="false">IF(BR219=1,0,ROUNDUP(AD219/BQ219,0))</f>
        <v>1</v>
      </c>
      <c r="AF219" s="59" t="n">
        <f aca="false">IF(CD219&gt;0,CD219*MAX(1,AD219/V219),IF(BR219=1,IF(AD219&lt;=0,0,BS219*MAX(1,IF(G219&gt;0,AD219/G219,1))),IF(Q219&gt;0,AE219/Q219,0))/MAX(0.1,N(Parameter!$M$21)))</f>
        <v>0.00757575757575758</v>
      </c>
      <c r="AG219" s="57" t="n">
        <f aca="false">AD219*F219</f>
        <v>686</v>
      </c>
      <c r="AH219" s="57" t="n">
        <f aca="false">ROUNDUP(MAX(I219/IF(BV219&gt;0,BV219,MAX(0.1,N(Cockpit!$C$6))),BY219)/BQ219,0)*BQ219</f>
        <v>55</v>
      </c>
      <c r="AI219" s="58" t="n">
        <f aca="false">IF(AF219&gt;0,I219/AF219,-1)</f>
        <v>0</v>
      </c>
      <c r="AJ219" s="58" t="n">
        <f aca="false">IF(AND(OR(BU219="L1",BU219="L23"),AF219&gt;0),SUMIFS($AF$7:$AF$1576,$BU$7:$BU$1576,BU219,$AI$7:$AI$1576,"&gt;"&amp;AI219)+SUMIFS($AF$7:$AF$1576,$BU$7:$BU$1576,BU219,$AI$7:$AI$1576,AI219,$BO$7:$BO$1576,"&lt;="&amp;BO219),"")</f>
        <v>39.4629779399345</v>
      </c>
      <c r="AK219" s="65" t="n">
        <f aca="false">IF(AJ219="",0,MAX(0,MIN(1,(IF(BU219="L1",Parameter!$E$5,Parameter!$E$6+Parameter!$E$7)-(AJ219-AF219))/AF219)))</f>
        <v>1</v>
      </c>
      <c r="AL219" s="57" t="n">
        <f aca="false">IF(LEFT(Cockpit!$I$5,1)="A",G219,IF(BW219=1,BX219,IF(LEFT(Cockpit!$I$5,1)="B",AP219,MAX(AP219,G219))))</f>
        <v>55</v>
      </c>
      <c r="AM219" s="57" t="n">
        <f aca="false">IF(BR219=1,0,ROUNDUP(AL219/BQ219,0))</f>
        <v>1</v>
      </c>
      <c r="AN219" s="59" t="n">
        <f aca="false">IF(CD219&gt;0,CD219*MAX(1,AL219/V219),IF(BR219=1,IF(AL219&lt;=0,0,BS219*MAX(1,IF(G219&gt;0,AL219/G219,1))),IF(Q219&gt;0,AM219/Q219,0))/MAX(0.1,N(Parameter!$M$21)))</f>
        <v>0.00757575757575758</v>
      </c>
      <c r="AO219" s="57" t="n">
        <f aca="false">AL219*F219</f>
        <v>770</v>
      </c>
      <c r="AP219" s="57" t="n">
        <f aca="false">ROUNDUP(MAX(I219/IF(BV219&gt;0,BV219,MAX(0.1,N(Cockpit!$I$6))),BY219)/BQ219,0)*BQ219</f>
        <v>55</v>
      </c>
      <c r="AQ219" s="58" t="n">
        <f aca="false">IF(AN219&gt;0,I219/AN219,-1)</f>
        <v>0</v>
      </c>
      <c r="AR219" s="58" t="n">
        <f aca="false">IF(AND(OR(BU219="L1",BU219="L23"),AN219&gt;0),SUMIFS($AN$7:$AN$1576,$BU$7:$BU$1576,BU219,$AQ$7:$AQ$1576,"&gt;"&amp;AQ219)+SUMIFS($AN$7:$AN$1576,$BU$7:$BU$1576,BU219,$AQ$7:$AQ$1576,AQ219,$BO$7:$BO$1576,"&lt;="&amp;BO219),"")</f>
        <v>122.337183689724</v>
      </c>
      <c r="AS219" s="65" t="n">
        <f aca="false">IF(AR219="",0,MAX(0,MIN(1,(IF(BU219="L1",Parameter!$E$5,Parameter!$E$6+Parameter!$E$7)-(AR219-AN219))/AN219)))</f>
        <v>0</v>
      </c>
      <c r="AT219" s="57" t="n">
        <f aca="false">IF(LEFT(Cockpit!$O$5,1)="A",G219,IF(BW219=1,BX219,IF(LEFT(Cockpit!$O$5,1)="B",AX219,MAX(AX219,G219))))</f>
        <v>55</v>
      </c>
      <c r="AU219" s="57" t="n">
        <f aca="false">IF(BR219=1,0,ROUNDUP(AT219/BQ219,0))</f>
        <v>1</v>
      </c>
      <c r="AV219" s="59" t="n">
        <f aca="false">IF(CD219&gt;0,CD219*MAX(1,AT219/V219),IF(BR219=1,IF(AT219&lt;=0,0,BS219*MAX(1,IF(G219&gt;0,AT219/G219,1))),IF(Q219&gt;0,AU219/Q219,0))/MAX(0.1,N(Parameter!$M$21)))</f>
        <v>0.00757575757575758</v>
      </c>
      <c r="AW219" s="57" t="n">
        <f aca="false">AT219*F219</f>
        <v>770</v>
      </c>
      <c r="AX219" s="57" t="n">
        <f aca="false">ROUNDUP(MAX(I219/IF(BV219&gt;0,BV219,MAX(0.1,N(Cockpit!$O$6))),BY219)/BQ219,0)*BQ219</f>
        <v>55</v>
      </c>
      <c r="AY219" s="58" t="n">
        <f aca="false">IF(AV219&gt;0,I219/AV219,-1)</f>
        <v>0</v>
      </c>
      <c r="AZ219" s="58" t="n">
        <f aca="false">IF(AND(OR(BU219="L1",BU219="L23"),AV219&gt;0),SUMIFS($AV$7:$AV$1576,$BU$7:$BU$1576,BU219,$AY$7:$AY$1576,"&gt;"&amp;AY219)+SUMIFS($AV$7:$AV$1576,$BU$7:$BU$1576,BU219,$AY$7:$AY$1576,AY219,$BO$7:$BO$1576,"&lt;="&amp;BO219),"")</f>
        <v>112.396734139274</v>
      </c>
      <c r="BA219" s="65" t="n">
        <f aca="false">IF(AZ219="",0,MAX(0,MIN(1,(IF(BU219="L1",Parameter!$E$5,Parameter!$E$6+Parameter!$E$7)-(AZ219-AV219))/AV219)))</f>
        <v>0</v>
      </c>
      <c r="BB219" s="55" t="str">
        <f aca="false">IF(AF219&lt;=0,"",IF(BU219="Aussen","Aussenlager",IF(BU219="-","Nicht im Lift",IF(AK219&gt;=1,"Lift",IF(AK219&lt;=0,"Aussenlager","teilweise")))))</f>
        <v>Lift</v>
      </c>
      <c r="BC219" s="55" t="str">
        <f aca="false">IF(AN219&lt;=0,"",IF(BU219="Aussen","Aussenlager",IF(BU219="-","Nicht im Lift",IF(AS219&gt;=1,"Lift",IF(AS219&lt;=0,"Aussenlager","teilweise")))))</f>
        <v>Aussenlager</v>
      </c>
      <c r="BD219" s="55" t="str">
        <f aca="false">IF(AV219&lt;=0,"",IF(BU219="Aussen","Aussenlager",IF(BU219="-","Nicht im Lift",IF(BA219&gt;=1,"Lift",IF(BA219&lt;=0,"Aussenlager","teilweise")))))</f>
        <v>Aussenlager</v>
      </c>
      <c r="BE219" s="55" t="str">
        <f aca="false">IF(A219="","",IF(BN219=1,"Neu; ","")&amp;IF(AND(BN219=0,BI219&lt;0),"negativer Bestand (Export "&amp;BI219&amp;"); ","")&amp;IF(I219&lt;=0,"Kein Verbrauch; ","")&amp;IF(CD219&gt;0,"Lift "&amp;U219&amp;" lt. Liftbericht (Fach "&amp;V219&amp;" Stk); ",IF(BR219=1,"Lose – Fläche geschätzt; ",""))&amp;IF(G219&gt;AP219,"Überbestand "&amp;ROUND(G219-AP219,0)&amp;" Stk / CHF "&amp;ROUND((G219-AP219)*F219,0)&amp;"; ","")&amp;IF(AND(BW219=1,BX219&lt;BY219),"MAX &lt; MB+LG; ","")&amp;IF(AND(CC219&gt;0,CB219*10&gt;CC219),"zu hoch für Tablar; ","")&amp;IF(AND(BN219=0,OR(BW219=1,Y219&lt;&gt;"",S219&lt;&gt;"",T219&lt;&gt;"",Z219&lt;&gt;"")),"manuell übersteuert; ","")&amp;IF(AND(BR219=0,Q219=0),"Gebinde unbekannt / Stellmass fehlt; ","")&amp;IF(AND(BR219=0,N(T219)&lt;=0,N(P219)&lt;=0),"Menge pro Gebinde fehlt (Ist = 1 Gebinde); ","")&amp;BM219)</f>
        <v>Kein Verbrauch; </v>
      </c>
      <c r="BF219" s="55"/>
      <c r="BG219" s="55"/>
      <c r="BH219" s="62"/>
      <c r="BI219" s="57" t="n">
        <v>49</v>
      </c>
      <c r="BJ219" s="57" t="n">
        <v>4</v>
      </c>
      <c r="BK219" s="56" t="n">
        <v>688.92</v>
      </c>
      <c r="BL219" s="57" t="n">
        <v>0</v>
      </c>
      <c r="BM219" s="55"/>
      <c r="BN219" s="60" t="n">
        <v>0</v>
      </c>
      <c r="BO219" s="60" t="n">
        <v>219</v>
      </c>
      <c r="BP219" s="55" t="str">
        <f aca="false">IF(S219&lt;&gt;"",UPPER(TRIM(S219)),IF(O219="","LOSE",O219))</f>
        <v>S32</v>
      </c>
      <c r="BQ219" s="57" t="n">
        <f aca="false">IF(BP219="LOSE",1,IF(N(T219)&gt;0,T219,IF(N(P219)&gt;0,P219,MAX(1,G219))))</f>
        <v>55</v>
      </c>
      <c r="BR219" s="60" t="n">
        <f aca="false">IF(BP219="LOSE",1,0)</f>
        <v>0</v>
      </c>
      <c r="BS219" s="59" t="n">
        <f aca="false">IF(BR219=0,0,IF(N(R219)&gt;0,R219,IFERROR(VLOOKUP(D219,Parameter!$A$35:$C$64,3,0)+0,0)))</f>
        <v>0</v>
      </c>
      <c r="BT219" s="55" t="n">
        <f aca="false">IF(Y219&lt;&gt;"",Y219,X219)</f>
        <v>3</v>
      </c>
      <c r="BU219" s="55" t="str">
        <f aca="false">IF(BT219=1,"L1",IF(OR(BT219=2,BT219=3),"L23",IF(BT219="Aussen","Aussen","-")))</f>
        <v>L23</v>
      </c>
      <c r="BV219" s="66" t="n">
        <f aca="false">IF(N(Z219)&gt;0,Z219,0)</f>
        <v>0</v>
      </c>
      <c r="BW219" s="60" t="n">
        <f aca="false">IF(ISNUMBER(AC219),1,0)</f>
        <v>0</v>
      </c>
      <c r="BX219" s="57" t="n">
        <f aca="false">N(AC219)</f>
        <v>0</v>
      </c>
      <c r="BY219" s="57" t="n">
        <f aca="false">N(L219)+N(M219)</f>
        <v>1</v>
      </c>
      <c r="BZ219" s="57" t="n">
        <f aca="false">ROUNDUP(G219/BQ219,0)</f>
        <v>1</v>
      </c>
      <c r="CA219" s="57" t="n">
        <f aca="false">ROUNDUP(BX219/BQ219,0)</f>
        <v>0</v>
      </c>
      <c r="CB219" s="60" t="n">
        <f aca="false">IF(BR219=1,0,IFERROR(VLOOKUP(BP219,'Gebinde-Kategorie'!$A$5:$M$45,5,0)+0,0))</f>
        <v>8</v>
      </c>
      <c r="CC219" s="60" t="n">
        <f aca="false">IFERROR(IF(OR(BT219=1,BT219=2,BT219=3),N(INDEX(Parameter!$I$5:$I$7,BT219)),0),0)</f>
        <v>0</v>
      </c>
      <c r="CD219" s="59" t="n">
        <f aca="false">IF(AND(Parameter!$B$21="Ja",ISNUMBER(U219),N(V219)&gt;0),IFERROR(N(INDEX(Parameter!$L$5:$L$7,U219))*INDEX(Parameter!$E$5:$E$7,U219)*V219/SUMIFS($V$7:$V$1576,$U$7:$U$1576,U219),0),0)</f>
        <v>0</v>
      </c>
    </row>
    <row r="220" customFormat="false" ht="15" hidden="false" customHeight="false" outlineLevel="0" collapsed="false">
      <c r="A220" s="55" t="s">
        <v>621</v>
      </c>
      <c r="B220" s="55" t="s">
        <v>622</v>
      </c>
      <c r="C220" s="55" t="s">
        <v>160</v>
      </c>
      <c r="D220" s="55" t="s">
        <v>168</v>
      </c>
      <c r="E220" s="55" t="s">
        <v>210</v>
      </c>
      <c r="F220" s="56" t="n">
        <v>678.65</v>
      </c>
      <c r="G220" s="57" t="n">
        <f aca="false">MAX(0,IF(AND(Parameter!$B$21="Ja",ISNUMBER(W220)),W220,IF(Parameter!$B$20="Jahresanfang 2025 + Export",BJ220+BI220,BI220)))</f>
        <v>1</v>
      </c>
      <c r="H220" s="57" t="n">
        <f aca="false">G220*F220</f>
        <v>678.65</v>
      </c>
      <c r="I220" s="57" t="n">
        <f aca="false">BL220*Parameter!$B$18</f>
        <v>0</v>
      </c>
      <c r="J220" s="58" t="n">
        <v>0.5</v>
      </c>
      <c r="K220" s="59" t="n">
        <v>0</v>
      </c>
      <c r="L220" s="57" t="n">
        <v>0</v>
      </c>
      <c r="M220" s="57" t="n">
        <v>1</v>
      </c>
      <c r="N220" s="60" t="n">
        <v>14</v>
      </c>
      <c r="O220" s="55" t="s">
        <v>163</v>
      </c>
      <c r="P220" s="57"/>
      <c r="Q220" s="60" t="n">
        <f aca="false">IF(BR220=1,0,IFERROR(VLOOKUP(BP220,'Gebinde-Kategorie'!$A$5:$M$45,13,0)+0,0))</f>
        <v>0</v>
      </c>
      <c r="R220" s="61"/>
      <c r="S220" s="62"/>
      <c r="T220" s="62"/>
      <c r="U220" s="55"/>
      <c r="V220" s="57"/>
      <c r="W220" s="57"/>
      <c r="X220" s="55" t="n">
        <f aca="false">IF(A220="","",IF(AND(Parameter!$B$21="Ja",ISNUMBER(U220)),U220,IF(IFERROR(VLOOKUP(D220,Parameter!$A$35:$C$64,2,0),"Nein")="2+3",IF(ISNUMBER(SEARCH("grosser Artikel",BM220)),2,IFERROR(VLOOKUP(BP220,Parameter!$F$35:$G$64,2,0),2)),IF(OR(IFERROR(VLOOKUP(D220,Parameter!$A$35:$C$64,2,0),"Nein")="Nein",IFERROR(VLOOKUP(D220,Parameter!$A$35:$C$64,2,0),"Nein")=""),"-",VLOOKUP(D220,Parameter!$A$35:$C$64,2,0)))))</f>
        <v>2</v>
      </c>
      <c r="Y220" s="62"/>
      <c r="Z220" s="63"/>
      <c r="AA220" s="57" t="n">
        <f aca="false">AP220</f>
        <v>1</v>
      </c>
      <c r="AB220" s="57" t="n">
        <f aca="false">MAX(AP220,G220)</f>
        <v>1</v>
      </c>
      <c r="AC220" s="64"/>
      <c r="AD220" s="57" t="n">
        <f aca="false">IF(LEFT(Cockpit!$C$5,1)="A",G220,IF(BW220=1,BX220,IF(LEFT(Cockpit!$C$5,1)="B",AH220,MAX(AH220,G220))))</f>
        <v>1</v>
      </c>
      <c r="AE220" s="57" t="n">
        <f aca="false">IF(BR220=1,0,ROUNDUP(AD220/BQ220,0))</f>
        <v>0</v>
      </c>
      <c r="AF220" s="59" t="n">
        <f aca="false">IF(CD220&gt;0,CD220*MAX(1,AD220/V220),IF(BR220=1,IF(AD220&lt;=0,0,BS220*MAX(1,IF(G220&gt;0,AD220/G220,1))),IF(Q220&gt;0,AE220/Q220,0))/MAX(0.1,N(Parameter!$M$21)))</f>
        <v>0.15</v>
      </c>
      <c r="AG220" s="57" t="n">
        <f aca="false">AD220*F220</f>
        <v>678.65</v>
      </c>
      <c r="AH220" s="57" t="n">
        <f aca="false">ROUNDUP(MAX(I220/IF(BV220&gt;0,BV220,MAX(0.1,N(Cockpit!$C$6))),BY220)/BQ220,0)*BQ220</f>
        <v>1</v>
      </c>
      <c r="AI220" s="58" t="n">
        <f aca="false">IF(AF220&gt;0,I220/AF220,-1)</f>
        <v>0</v>
      </c>
      <c r="AJ220" s="58" t="n">
        <f aca="false">IF(AND(OR(BU220="L1",BU220="L23"),AF220&gt;0),SUMIFS($AF$7:$AF$1576,$BU$7:$BU$1576,BU220,$AI$7:$AI$1576,"&gt;"&amp;AI220)+SUMIFS($AF$7:$AF$1576,$BU$7:$BU$1576,BU220,$AI$7:$AI$1576,AI220,$BO$7:$BO$1576,"&lt;="&amp;BO220),"")</f>
        <v>39.6129779399345</v>
      </c>
      <c r="AK220" s="65" t="n">
        <f aca="false">IF(AJ220="",0,MAX(0,MIN(1,(IF(BU220="L1",Parameter!$E$5,Parameter!$E$6+Parameter!$E$7)-(AJ220-AF220))/AF220)))</f>
        <v>1</v>
      </c>
      <c r="AL220" s="57" t="n">
        <f aca="false">IF(LEFT(Cockpit!$I$5,1)="A",G220,IF(BW220=1,BX220,IF(LEFT(Cockpit!$I$5,1)="B",AP220,MAX(AP220,G220))))</f>
        <v>1</v>
      </c>
      <c r="AM220" s="57" t="n">
        <f aca="false">IF(BR220=1,0,ROUNDUP(AL220/BQ220,0))</f>
        <v>0</v>
      </c>
      <c r="AN220" s="59" t="n">
        <f aca="false">IF(CD220&gt;0,CD220*MAX(1,AL220/V220),IF(BR220=1,IF(AL220&lt;=0,0,BS220*MAX(1,IF(G220&gt;0,AL220/G220,1))),IF(Q220&gt;0,AM220/Q220,0))/MAX(0.1,N(Parameter!$M$21)))</f>
        <v>0.15</v>
      </c>
      <c r="AO220" s="57" t="n">
        <f aca="false">AL220*F220</f>
        <v>678.65</v>
      </c>
      <c r="AP220" s="57" t="n">
        <f aca="false">ROUNDUP(MAX(I220/IF(BV220&gt;0,BV220,MAX(0.1,N(Cockpit!$I$6))),BY220)/BQ220,0)*BQ220</f>
        <v>1</v>
      </c>
      <c r="AQ220" s="58" t="n">
        <f aca="false">IF(AN220&gt;0,I220/AN220,-1)</f>
        <v>0</v>
      </c>
      <c r="AR220" s="58" t="n">
        <f aca="false">IF(AND(OR(BU220="L1",BU220="L23"),AN220&gt;0),SUMIFS($AN$7:$AN$1576,$BU$7:$BU$1576,BU220,$AQ$7:$AQ$1576,"&gt;"&amp;AQ220)+SUMIFS($AN$7:$AN$1576,$BU$7:$BU$1576,BU220,$AQ$7:$AQ$1576,AQ220,$BO$7:$BO$1576,"&lt;="&amp;BO220),"")</f>
        <v>122.487183689724</v>
      </c>
      <c r="AS220" s="65" t="n">
        <f aca="false">IF(AR220="",0,MAX(0,MIN(1,(IF(BU220="L1",Parameter!$E$5,Parameter!$E$6+Parameter!$E$7)-(AR220-AN220))/AN220)))</f>
        <v>0</v>
      </c>
      <c r="AT220" s="57" t="n">
        <f aca="false">IF(LEFT(Cockpit!$O$5,1)="A",G220,IF(BW220=1,BX220,IF(LEFT(Cockpit!$O$5,1)="B",AX220,MAX(AX220,G220))))</f>
        <v>1</v>
      </c>
      <c r="AU220" s="57" t="n">
        <f aca="false">IF(BR220=1,0,ROUNDUP(AT220/BQ220,0))</f>
        <v>0</v>
      </c>
      <c r="AV220" s="59" t="n">
        <f aca="false">IF(CD220&gt;0,CD220*MAX(1,AT220/V220),IF(BR220=1,IF(AT220&lt;=0,0,BS220*MAX(1,IF(G220&gt;0,AT220/G220,1))),IF(Q220&gt;0,AU220/Q220,0))/MAX(0.1,N(Parameter!$M$21)))</f>
        <v>0.15</v>
      </c>
      <c r="AW220" s="57" t="n">
        <f aca="false">AT220*F220</f>
        <v>678.65</v>
      </c>
      <c r="AX220" s="57" t="n">
        <f aca="false">ROUNDUP(MAX(I220/IF(BV220&gt;0,BV220,MAX(0.1,N(Cockpit!$O$6))),BY220)/BQ220,0)*BQ220</f>
        <v>1</v>
      </c>
      <c r="AY220" s="58" t="n">
        <f aca="false">IF(AV220&gt;0,I220/AV220,-1)</f>
        <v>0</v>
      </c>
      <c r="AZ220" s="58" t="n">
        <f aca="false">IF(AND(OR(BU220="L1",BU220="L23"),AV220&gt;0),SUMIFS($AV$7:$AV$1576,$BU$7:$BU$1576,BU220,$AY$7:$AY$1576,"&gt;"&amp;AY220)+SUMIFS($AV$7:$AV$1576,$BU$7:$BU$1576,BU220,$AY$7:$AY$1576,AY220,$BO$7:$BO$1576,"&lt;="&amp;BO220),"")</f>
        <v>112.546734139274</v>
      </c>
      <c r="BA220" s="65" t="n">
        <f aca="false">IF(AZ220="",0,MAX(0,MIN(1,(IF(BU220="L1",Parameter!$E$5,Parameter!$E$6+Parameter!$E$7)-(AZ220-AV220))/AV220)))</f>
        <v>0</v>
      </c>
      <c r="BB220" s="55" t="str">
        <f aca="false">IF(AF220&lt;=0,"",IF(BU220="Aussen","Aussenlager",IF(BU220="-","Nicht im Lift",IF(AK220&gt;=1,"Lift",IF(AK220&lt;=0,"Aussenlager","teilweise")))))</f>
        <v>Lift</v>
      </c>
      <c r="BC220" s="55" t="str">
        <f aca="false">IF(AN220&lt;=0,"",IF(BU220="Aussen","Aussenlager",IF(BU220="-","Nicht im Lift",IF(AS220&gt;=1,"Lift",IF(AS220&lt;=0,"Aussenlager","teilweise")))))</f>
        <v>Aussenlager</v>
      </c>
      <c r="BD220" s="55" t="str">
        <f aca="false">IF(AV220&lt;=0,"",IF(BU220="Aussen","Aussenlager",IF(BU220="-","Nicht im Lift",IF(BA220&gt;=1,"Lift",IF(BA220&lt;=0,"Aussenlager","teilweise")))))</f>
        <v>Aussenlager</v>
      </c>
      <c r="BE220" s="55" t="str">
        <f aca="false">IF(A220="","",IF(BN220=1,"Neu; ","")&amp;IF(AND(BN220=0,BI220&lt;0),"negativer Bestand (Export "&amp;BI220&amp;"); ","")&amp;IF(I220&lt;=0,"Kein Verbrauch; ","")&amp;IF(CD220&gt;0,"Lift "&amp;U220&amp;" lt. Liftbericht (Fach "&amp;V220&amp;" Stk); ",IF(BR220=1,"Lose – Fläche geschätzt; ",""))&amp;IF(G220&gt;AP220,"Überbestand "&amp;ROUND(G220-AP220,0)&amp;" Stk / CHF "&amp;ROUND((G220-AP220)*F220,0)&amp;"; ","")&amp;IF(AND(BW220=1,BX220&lt;BY220),"MAX &lt; MB+LG; ","")&amp;IF(AND(CC220&gt;0,CB220*10&gt;CC220),"zu hoch für Tablar; ","")&amp;IF(AND(BN220=0,OR(BW220=1,Y220&lt;&gt;"",S220&lt;&gt;"",T220&lt;&gt;"",Z220&lt;&gt;"")),"manuell übersteuert; ","")&amp;IF(AND(BR220=0,Q220=0),"Gebinde unbekannt / Stellmass fehlt; ","")&amp;IF(AND(BR220=0,N(T220)&lt;=0,N(P220)&lt;=0),"Menge pro Gebinde fehlt (Ist = 1 Gebinde); ","")&amp;BM220)</f>
        <v>Kein Verbrauch; Lose – Fläche geschätzt; </v>
      </c>
      <c r="BF220" s="55"/>
      <c r="BG220" s="55"/>
      <c r="BH220" s="62"/>
      <c r="BI220" s="57" t="n">
        <v>1</v>
      </c>
      <c r="BJ220" s="57" t="n">
        <v>0</v>
      </c>
      <c r="BK220" s="56" t="n">
        <v>678.65</v>
      </c>
      <c r="BL220" s="57" t="n">
        <v>0</v>
      </c>
      <c r="BM220" s="55"/>
      <c r="BN220" s="60" t="n">
        <v>0</v>
      </c>
      <c r="BO220" s="60" t="n">
        <v>220</v>
      </c>
      <c r="BP220" s="55" t="str">
        <f aca="false">IF(S220&lt;&gt;"",UPPER(TRIM(S220)),IF(O220="","LOSE",O220))</f>
        <v>LOSE</v>
      </c>
      <c r="BQ220" s="57" t="n">
        <f aca="false">IF(BP220="LOSE",1,IF(N(T220)&gt;0,T220,IF(N(P220)&gt;0,P220,MAX(1,G220))))</f>
        <v>1</v>
      </c>
      <c r="BR220" s="60" t="n">
        <f aca="false">IF(BP220="LOSE",1,0)</f>
        <v>1</v>
      </c>
      <c r="BS220" s="59" t="n">
        <f aca="false">IF(BR220=0,0,IF(N(R220)&gt;0,R220,IFERROR(VLOOKUP(D220,Parameter!$A$35:$C$64,3,0)+0,0)))</f>
        <v>0.15</v>
      </c>
      <c r="BT220" s="55" t="n">
        <f aca="false">IF(Y220&lt;&gt;"",Y220,X220)</f>
        <v>2</v>
      </c>
      <c r="BU220" s="55" t="str">
        <f aca="false">IF(BT220=1,"L1",IF(OR(BT220=2,BT220=3),"L23",IF(BT220="Aussen","Aussen","-")))</f>
        <v>L23</v>
      </c>
      <c r="BV220" s="66" t="n">
        <f aca="false">IF(N(Z220)&gt;0,Z220,0)</f>
        <v>0</v>
      </c>
      <c r="BW220" s="60" t="n">
        <f aca="false">IF(ISNUMBER(AC220),1,0)</f>
        <v>0</v>
      </c>
      <c r="BX220" s="57" t="n">
        <f aca="false">N(AC220)</f>
        <v>0</v>
      </c>
      <c r="BY220" s="57" t="n">
        <f aca="false">N(L220)+N(M220)</f>
        <v>1</v>
      </c>
      <c r="BZ220" s="57" t="n">
        <f aca="false">ROUNDUP(G220/BQ220,0)</f>
        <v>1</v>
      </c>
      <c r="CA220" s="57" t="n">
        <f aca="false">ROUNDUP(BX220/BQ220,0)</f>
        <v>0</v>
      </c>
      <c r="CB220" s="60" t="n">
        <f aca="false">IF(BR220=1,0,IFERROR(VLOOKUP(BP220,'Gebinde-Kategorie'!$A$5:$M$45,5,0)+0,0))</f>
        <v>0</v>
      </c>
      <c r="CC220" s="60" t="n">
        <f aca="false">IFERROR(IF(OR(BT220=1,BT220=2,BT220=3),N(INDEX(Parameter!$I$5:$I$7,BT220)),0),0)</f>
        <v>0</v>
      </c>
      <c r="CD220" s="59" t="n">
        <f aca="false">IF(AND(Parameter!$B$21="Ja",ISNUMBER(U220),N(V220)&gt;0),IFERROR(N(INDEX(Parameter!$L$5:$L$7,U220))*INDEX(Parameter!$E$5:$E$7,U220)*V220/SUMIFS($V$7:$V$1576,$U$7:$U$1576,U220),0),0)</f>
        <v>0</v>
      </c>
    </row>
    <row r="221" customFormat="false" ht="15" hidden="false" customHeight="false" outlineLevel="0" collapsed="false">
      <c r="A221" s="55" t="s">
        <v>623</v>
      </c>
      <c r="B221" s="55" t="s">
        <v>624</v>
      </c>
      <c r="C221" s="55" t="s">
        <v>160</v>
      </c>
      <c r="D221" s="55" t="s">
        <v>178</v>
      </c>
      <c r="E221" s="55" t="s">
        <v>210</v>
      </c>
      <c r="F221" s="56" t="n">
        <v>36.84</v>
      </c>
      <c r="G221" s="57" t="n">
        <f aca="false">MAX(0,IF(AND(Parameter!$B$21="Ja",ISNUMBER(W221)),W221,IF(Parameter!$B$20="Jahresanfang 2025 + Export",BJ221+BI221,BI221)))</f>
        <v>18</v>
      </c>
      <c r="H221" s="57" t="n">
        <f aca="false">G221*F221</f>
        <v>663.12</v>
      </c>
      <c r="I221" s="57" t="n">
        <f aca="false">BL221*Parameter!$B$18</f>
        <v>49</v>
      </c>
      <c r="J221" s="58" t="n">
        <v>23</v>
      </c>
      <c r="K221" s="59" t="n">
        <v>2.1304347826087</v>
      </c>
      <c r="L221" s="57" t="n">
        <v>3</v>
      </c>
      <c r="M221" s="57" t="n">
        <v>50</v>
      </c>
      <c r="N221" s="60" t="n">
        <v>28</v>
      </c>
      <c r="O221" s="55" t="s">
        <v>179</v>
      </c>
      <c r="P221" s="57" t="n">
        <v>40</v>
      </c>
      <c r="Q221" s="60" t="n">
        <f aca="false">IF(BR221=1,0,IFERROR(VLOOKUP(BP221,'Gebinde-Kategorie'!$A$5:$M$45,13,0)+0,0))</f>
        <v>12</v>
      </c>
      <c r="R221" s="61"/>
      <c r="S221" s="62"/>
      <c r="T221" s="62"/>
      <c r="U221" s="55"/>
      <c r="V221" s="57"/>
      <c r="W221" s="57"/>
      <c r="X221" s="55" t="n">
        <f aca="false">IF(A221="","",IF(AND(Parameter!$B$21="Ja",ISNUMBER(U221)),U221,IF(IFERROR(VLOOKUP(D221,Parameter!$A$35:$C$64,2,0),"Nein")="2+3",IF(ISNUMBER(SEARCH("grosser Artikel",BM221)),2,IFERROR(VLOOKUP(BP221,Parameter!$F$35:$G$64,2,0),2)),IF(OR(IFERROR(VLOOKUP(D221,Parameter!$A$35:$C$64,2,0),"Nein")="Nein",IFERROR(VLOOKUP(D221,Parameter!$A$35:$C$64,2,0),"Nein")=""),"-",VLOOKUP(D221,Parameter!$A$35:$C$64,2,0)))))</f>
        <v>2</v>
      </c>
      <c r="Y221" s="62"/>
      <c r="Z221" s="63"/>
      <c r="AA221" s="57" t="n">
        <f aca="false">AP221</f>
        <v>80</v>
      </c>
      <c r="AB221" s="57" t="n">
        <f aca="false">MAX(AP221,G221)</f>
        <v>80</v>
      </c>
      <c r="AC221" s="64"/>
      <c r="AD221" s="57" t="n">
        <f aca="false">IF(LEFT(Cockpit!$C$5,1)="A",G221,IF(BW221=1,BX221,IF(LEFT(Cockpit!$C$5,1)="B",AH221,MAX(AH221,G221))))</f>
        <v>18</v>
      </c>
      <c r="AE221" s="57" t="n">
        <f aca="false">IF(BR221=1,0,ROUNDUP(AD221/BQ221,0))</f>
        <v>1</v>
      </c>
      <c r="AF221" s="59" t="n">
        <f aca="false">IF(CD221&gt;0,CD221*MAX(1,AD221/V221),IF(BR221=1,IF(AD221&lt;=0,0,BS221*MAX(1,IF(G221&gt;0,AD221/G221,1))),IF(Q221&gt;0,AE221/Q221,0))/MAX(0.1,N(Parameter!$M$21)))</f>
        <v>0.0833333333333333</v>
      </c>
      <c r="AG221" s="57" t="n">
        <f aca="false">AD221*F221</f>
        <v>663.12</v>
      </c>
      <c r="AH221" s="57" t="n">
        <f aca="false">ROUNDUP(MAX(I221/IF(BV221&gt;0,BV221,MAX(0.1,N(Cockpit!$C$6))),BY221)/BQ221,0)*BQ221</f>
        <v>80</v>
      </c>
      <c r="AI221" s="58" t="n">
        <f aca="false">IF(AF221&gt;0,I221/AF221,-1)</f>
        <v>588</v>
      </c>
      <c r="AJ221" s="58" t="n">
        <f aca="false">IF(AND(OR(BU221="L1",BU221="L23"),AF221&gt;0),SUMIFS($AF$7:$AF$1576,$BU$7:$BU$1576,BU221,$AI$7:$AI$1576,"&gt;"&amp;AI221)+SUMIFS($AF$7:$AF$1576,$BU$7:$BU$1576,BU221,$AI$7:$AI$1576,AI221,$BO$7:$BO$1576,"&lt;="&amp;BO221),"")</f>
        <v>11.9539893922503</v>
      </c>
      <c r="AK221" s="65" t="n">
        <f aca="false">IF(AJ221="",0,MAX(0,MIN(1,(IF(BU221="L1",Parameter!$E$5,Parameter!$E$6+Parameter!$E$7)-(AJ221-AF221))/AF221)))</f>
        <v>1</v>
      </c>
      <c r="AL221" s="57" t="n">
        <f aca="false">IF(LEFT(Cockpit!$I$5,1)="A",G221,IF(BW221=1,BX221,IF(LEFT(Cockpit!$I$5,1)="B",AP221,MAX(AP221,G221))))</f>
        <v>80</v>
      </c>
      <c r="AM221" s="57" t="n">
        <f aca="false">IF(BR221=1,0,ROUNDUP(AL221/BQ221,0))</f>
        <v>2</v>
      </c>
      <c r="AN221" s="59" t="n">
        <f aca="false">IF(CD221&gt;0,CD221*MAX(1,AL221/V221),IF(BR221=1,IF(AL221&lt;=0,0,BS221*MAX(1,IF(G221&gt;0,AL221/G221,1))),IF(Q221&gt;0,AM221/Q221,0))/MAX(0.1,N(Parameter!$M$21)))</f>
        <v>0.166666666666667</v>
      </c>
      <c r="AO221" s="57" t="n">
        <f aca="false">AL221*F221</f>
        <v>2947.2</v>
      </c>
      <c r="AP221" s="57" t="n">
        <f aca="false">ROUNDUP(MAX(I221/IF(BV221&gt;0,BV221,MAX(0.1,N(Cockpit!$I$6))),BY221)/BQ221,0)*BQ221</f>
        <v>80</v>
      </c>
      <c r="AQ221" s="58" t="n">
        <f aca="false">IF(AN221&gt;0,I221/AN221,-1)</f>
        <v>294</v>
      </c>
      <c r="AR221" s="58" t="n">
        <f aca="false">IF(AND(OR(BU221="L1",BU221="L23"),AN221&gt;0),SUMIFS($AN$7:$AN$1576,$BU$7:$BU$1576,BU221,$AQ$7:$AQ$1576,"&gt;"&amp;AQ221)+SUMIFS($AN$7:$AN$1576,$BU$7:$BU$1576,BU221,$AQ$7:$AQ$1576,AQ221,$BO$7:$BO$1576,"&lt;="&amp;BO221),"")</f>
        <v>44.010665723503</v>
      </c>
      <c r="AS221" s="65" t="n">
        <f aca="false">IF(AR221="",0,MAX(0,MIN(1,(IF(BU221="L1",Parameter!$E$5,Parameter!$E$6+Parameter!$E$7)-(AR221-AN221))/AN221)))</f>
        <v>1</v>
      </c>
      <c r="AT221" s="57" t="n">
        <f aca="false">IF(LEFT(Cockpit!$O$5,1)="A",G221,IF(BW221=1,BX221,IF(LEFT(Cockpit!$O$5,1)="B",AX221,MAX(AX221,G221))))</f>
        <v>80</v>
      </c>
      <c r="AU221" s="57" t="n">
        <f aca="false">IF(BR221=1,0,ROUNDUP(AT221/BQ221,0))</f>
        <v>2</v>
      </c>
      <c r="AV221" s="59" t="n">
        <f aca="false">IF(CD221&gt;0,CD221*MAX(1,AT221/V221),IF(BR221=1,IF(AT221&lt;=0,0,BS221*MAX(1,IF(G221&gt;0,AT221/G221,1))),IF(Q221&gt;0,AU221/Q221,0))/MAX(0.1,N(Parameter!$M$21)))</f>
        <v>0.166666666666667</v>
      </c>
      <c r="AW221" s="57" t="n">
        <f aca="false">AT221*F221</f>
        <v>2947.2</v>
      </c>
      <c r="AX221" s="57" t="n">
        <f aca="false">ROUNDUP(MAX(I221/IF(BV221&gt;0,BV221,MAX(0.1,N(Cockpit!$O$6))),BY221)/BQ221,0)*BQ221</f>
        <v>80</v>
      </c>
      <c r="AY221" s="58" t="n">
        <f aca="false">IF(AV221&gt;0,I221/AV221,-1)</f>
        <v>294</v>
      </c>
      <c r="AZ221" s="58" t="n">
        <f aca="false">IF(AND(OR(BU221="L1",BU221="L23"),AV221&gt;0),SUMIFS($AV$7:$AV$1576,$BU$7:$BU$1576,BU221,$AY$7:$AY$1576,"&gt;"&amp;AY221)+SUMIFS($AV$7:$AV$1576,$BU$7:$BU$1576,BU221,$AY$7:$AY$1576,AY221,$BO$7:$BO$1576,"&lt;="&amp;BO221),"")</f>
        <v>40.2887443115816</v>
      </c>
      <c r="BA221" s="65" t="n">
        <f aca="false">IF(AZ221="",0,MAX(0,MIN(1,(IF(BU221="L1",Parameter!$E$5,Parameter!$E$6+Parameter!$E$7)-(AZ221-AV221))/AV221)))</f>
        <v>1</v>
      </c>
      <c r="BB221" s="55" t="str">
        <f aca="false">IF(AF221&lt;=0,"",IF(BU221="Aussen","Aussenlager",IF(BU221="-","Nicht im Lift",IF(AK221&gt;=1,"Lift",IF(AK221&lt;=0,"Aussenlager","teilweise")))))</f>
        <v>Lift</v>
      </c>
      <c r="BC221" s="55" t="str">
        <f aca="false">IF(AN221&lt;=0,"",IF(BU221="Aussen","Aussenlager",IF(BU221="-","Nicht im Lift",IF(AS221&gt;=1,"Lift",IF(AS221&lt;=0,"Aussenlager","teilweise")))))</f>
        <v>Lift</v>
      </c>
      <c r="BD221" s="55" t="str">
        <f aca="false">IF(AV221&lt;=0,"",IF(BU221="Aussen","Aussenlager",IF(BU221="-","Nicht im Lift",IF(BA221&gt;=1,"Lift",IF(BA221&lt;=0,"Aussenlager","teilweise")))))</f>
        <v>Lift</v>
      </c>
      <c r="BE221" s="55" t="str">
        <f aca="false">IF(A221="","",IF(BN221=1,"Neu; ","")&amp;IF(AND(BN221=0,BI221&lt;0),"negativer Bestand (Export "&amp;BI221&amp;"); ","")&amp;IF(I221&lt;=0,"Kein Verbrauch; ","")&amp;IF(CD221&gt;0,"Lift "&amp;U221&amp;" lt. Liftbericht (Fach "&amp;V221&amp;" Stk); ",IF(BR221=1,"Lose – Fläche geschätzt; ",""))&amp;IF(G221&gt;AP221,"Überbestand "&amp;ROUND(G221-AP221,0)&amp;" Stk / CHF "&amp;ROUND((G221-AP221)*F221,0)&amp;"; ","")&amp;IF(AND(BW221=1,BX221&lt;BY221),"MAX &lt; MB+LG; ","")&amp;IF(AND(CC221&gt;0,CB221*10&gt;CC221),"zu hoch für Tablar; ","")&amp;IF(AND(BN221=0,OR(BW221=1,Y221&lt;&gt;"",S221&lt;&gt;"",T221&lt;&gt;"",Z221&lt;&gt;"")),"manuell übersteuert; ","")&amp;IF(AND(BR221=0,Q221=0),"Gebinde unbekannt / Stellmass fehlt; ","")&amp;IF(AND(BR221=0,N(T221)&lt;=0,N(P221)&lt;=0),"Menge pro Gebinde fehlt (Ist = 1 Gebinde); ","")&amp;BM221)</f>
        <v/>
      </c>
      <c r="BF221" s="55"/>
      <c r="BG221" s="55"/>
      <c r="BH221" s="62"/>
      <c r="BI221" s="57" t="n">
        <v>18</v>
      </c>
      <c r="BJ221" s="57" t="n">
        <v>18</v>
      </c>
      <c r="BK221" s="56" t="n">
        <v>675.72</v>
      </c>
      <c r="BL221" s="57" t="n">
        <v>49</v>
      </c>
      <c r="BM221" s="55"/>
      <c r="BN221" s="60" t="n">
        <v>0</v>
      </c>
      <c r="BO221" s="60" t="n">
        <v>221</v>
      </c>
      <c r="BP221" s="55" t="str">
        <f aca="false">IF(S221&lt;&gt;"",UPPER(TRIM(S221)),IF(O221="","LOSE",O221))</f>
        <v>S61</v>
      </c>
      <c r="BQ221" s="57" t="n">
        <f aca="false">IF(BP221="LOSE",1,IF(N(T221)&gt;0,T221,IF(N(P221)&gt;0,P221,MAX(1,G221))))</f>
        <v>40</v>
      </c>
      <c r="BR221" s="60" t="n">
        <f aca="false">IF(BP221="LOSE",1,0)</f>
        <v>0</v>
      </c>
      <c r="BS221" s="59" t="n">
        <f aca="false">IF(BR221=0,0,IF(N(R221)&gt;0,R221,IFERROR(VLOOKUP(D221,Parameter!$A$35:$C$64,3,0)+0,0)))</f>
        <v>0</v>
      </c>
      <c r="BT221" s="55" t="n">
        <f aca="false">IF(Y221&lt;&gt;"",Y221,X221)</f>
        <v>2</v>
      </c>
      <c r="BU221" s="55" t="str">
        <f aca="false">IF(BT221=1,"L1",IF(OR(BT221=2,BT221=3),"L23",IF(BT221="Aussen","Aussen","-")))</f>
        <v>L23</v>
      </c>
      <c r="BV221" s="66" t="n">
        <f aca="false">IF(N(Z221)&gt;0,Z221,0)</f>
        <v>0</v>
      </c>
      <c r="BW221" s="60" t="n">
        <f aca="false">IF(ISNUMBER(AC221),1,0)</f>
        <v>0</v>
      </c>
      <c r="BX221" s="57" t="n">
        <f aca="false">N(AC221)</f>
        <v>0</v>
      </c>
      <c r="BY221" s="57" t="n">
        <f aca="false">N(L221)+N(M221)</f>
        <v>53</v>
      </c>
      <c r="BZ221" s="57" t="n">
        <f aca="false">ROUNDUP(G221/BQ221,0)</f>
        <v>1</v>
      </c>
      <c r="CA221" s="57" t="n">
        <f aca="false">ROUNDUP(BX221/BQ221,0)</f>
        <v>0</v>
      </c>
      <c r="CB221" s="60" t="n">
        <f aca="false">IF(BR221=1,0,IFERROR(VLOOKUP(BP221,'Gebinde-Kategorie'!$A$5:$M$45,5,0)+0,0))</f>
        <v>11</v>
      </c>
      <c r="CC221" s="60" t="n">
        <f aca="false">IFERROR(IF(OR(BT221=1,BT221=2,BT221=3),N(INDEX(Parameter!$I$5:$I$7,BT221)),0),0)</f>
        <v>0</v>
      </c>
      <c r="CD221" s="59" t="n">
        <f aca="false">IF(AND(Parameter!$B$21="Ja",ISNUMBER(U221),N(V221)&gt;0),IFERROR(N(INDEX(Parameter!$L$5:$L$7,U221))*INDEX(Parameter!$E$5:$E$7,U221)*V221/SUMIFS($V$7:$V$1576,$U$7:$U$1576,U221),0),0)</f>
        <v>0</v>
      </c>
    </row>
    <row r="222" customFormat="false" ht="15" hidden="false" customHeight="false" outlineLevel="0" collapsed="false">
      <c r="A222" s="55" t="s">
        <v>625</v>
      </c>
      <c r="B222" s="55" t="s">
        <v>626</v>
      </c>
      <c r="C222" s="55" t="s">
        <v>160</v>
      </c>
      <c r="D222" s="55" t="s">
        <v>178</v>
      </c>
      <c r="E222" s="55" t="s">
        <v>210</v>
      </c>
      <c r="F222" s="56" t="n">
        <v>5.56</v>
      </c>
      <c r="G222" s="57" t="n">
        <f aca="false">MAX(0,IF(AND(Parameter!$B$21="Ja",ISNUMBER(W222)),W222,IF(Parameter!$B$20="Jahresanfang 2025 + Export",BJ222+BI222,BI222)))</f>
        <v>119</v>
      </c>
      <c r="H222" s="57" t="n">
        <f aca="false">G222*F222</f>
        <v>661.64</v>
      </c>
      <c r="I222" s="57" t="n">
        <f aca="false">BL222*Parameter!$B$18</f>
        <v>150</v>
      </c>
      <c r="J222" s="58" t="n">
        <v>47.5</v>
      </c>
      <c r="K222" s="59" t="n">
        <v>3.15789473684211</v>
      </c>
      <c r="L222" s="57" t="n">
        <v>11</v>
      </c>
      <c r="M222" s="57" t="n">
        <v>150</v>
      </c>
      <c r="N222" s="60" t="n">
        <v>28</v>
      </c>
      <c r="O222" s="55" t="s">
        <v>293</v>
      </c>
      <c r="P222" s="57" t="n">
        <v>89</v>
      </c>
      <c r="Q222" s="60" t="n">
        <f aca="false">IF(BR222=1,0,IFERROR(VLOOKUP(BP222,'Gebinde-Kategorie'!$A$5:$M$45,13,0)+0,0))</f>
        <v>26</v>
      </c>
      <c r="R222" s="61"/>
      <c r="S222" s="62"/>
      <c r="T222" s="62"/>
      <c r="U222" s="55"/>
      <c r="V222" s="57"/>
      <c r="W222" s="57"/>
      <c r="X222" s="55" t="n">
        <f aca="false">IF(A222="","",IF(AND(Parameter!$B$21="Ja",ISNUMBER(U222)),U222,IF(IFERROR(VLOOKUP(D222,Parameter!$A$35:$C$64,2,0),"Nein")="2+3",IF(ISNUMBER(SEARCH("grosser Artikel",BM222)),2,IFERROR(VLOOKUP(BP222,Parameter!$F$35:$G$64,2,0),2)),IF(OR(IFERROR(VLOOKUP(D222,Parameter!$A$35:$C$64,2,0),"Nein")="Nein",IFERROR(VLOOKUP(D222,Parameter!$A$35:$C$64,2,0),"Nein")=""),"-",VLOOKUP(D222,Parameter!$A$35:$C$64,2,0)))))</f>
        <v>3</v>
      </c>
      <c r="Y222" s="62"/>
      <c r="Z222" s="63"/>
      <c r="AA222" s="57" t="n">
        <f aca="false">AP222</f>
        <v>178</v>
      </c>
      <c r="AB222" s="57" t="n">
        <f aca="false">MAX(AP222,G222)</f>
        <v>178</v>
      </c>
      <c r="AC222" s="64"/>
      <c r="AD222" s="57" t="n">
        <f aca="false">IF(LEFT(Cockpit!$C$5,1)="A",G222,IF(BW222=1,BX222,IF(LEFT(Cockpit!$C$5,1)="B",AH222,MAX(AH222,G222))))</f>
        <v>119</v>
      </c>
      <c r="AE222" s="57" t="n">
        <f aca="false">IF(BR222=1,0,ROUNDUP(AD222/BQ222,0))</f>
        <v>2</v>
      </c>
      <c r="AF222" s="59" t="n">
        <f aca="false">IF(CD222&gt;0,CD222*MAX(1,AD222/V222),IF(BR222=1,IF(AD222&lt;=0,0,BS222*MAX(1,IF(G222&gt;0,AD222/G222,1))),IF(Q222&gt;0,AE222/Q222,0))/MAX(0.1,N(Parameter!$M$21)))</f>
        <v>0.0769230769230769</v>
      </c>
      <c r="AG222" s="57" t="n">
        <f aca="false">AD222*F222</f>
        <v>661.64</v>
      </c>
      <c r="AH222" s="57" t="n">
        <f aca="false">ROUNDUP(MAX(I222/IF(BV222&gt;0,BV222,MAX(0.1,N(Cockpit!$C$6))),BY222)/BQ222,0)*BQ222</f>
        <v>178</v>
      </c>
      <c r="AI222" s="58" t="n">
        <f aca="false">IF(AF222&gt;0,I222/AF222,-1)</f>
        <v>1950</v>
      </c>
      <c r="AJ222" s="58" t="n">
        <f aca="false">IF(AND(OR(BU222="L1",BU222="L23"),AF222&gt;0),SUMIFS($AF$7:$AF$1576,$BU$7:$BU$1576,BU222,$AI$7:$AI$1576,"&gt;"&amp;AI222)+SUMIFS($AF$7:$AF$1576,$BU$7:$BU$1576,BU222,$AI$7:$AI$1576,AI222,$BO$7:$BO$1576,"&lt;="&amp;BO222),"")</f>
        <v>6.64477855477855</v>
      </c>
      <c r="AK222" s="65" t="n">
        <f aca="false">IF(AJ222="",0,MAX(0,MIN(1,(IF(BU222="L1",Parameter!$E$5,Parameter!$E$6+Parameter!$E$7)-(AJ222-AF222))/AF222)))</f>
        <v>1</v>
      </c>
      <c r="AL222" s="57" t="n">
        <f aca="false">IF(LEFT(Cockpit!$I$5,1)="A",G222,IF(BW222=1,BX222,IF(LEFT(Cockpit!$I$5,1)="B",AP222,MAX(AP222,G222))))</f>
        <v>178</v>
      </c>
      <c r="AM222" s="57" t="n">
        <f aca="false">IF(BR222=1,0,ROUNDUP(AL222/BQ222,0))</f>
        <v>2</v>
      </c>
      <c r="AN222" s="59" t="n">
        <f aca="false">IF(CD222&gt;0,CD222*MAX(1,AL222/V222),IF(BR222=1,IF(AL222&lt;=0,0,BS222*MAX(1,IF(G222&gt;0,AL222/G222,1))),IF(Q222&gt;0,AM222/Q222,0))/MAX(0.1,N(Parameter!$M$21)))</f>
        <v>0.0769230769230769</v>
      </c>
      <c r="AO222" s="57" t="n">
        <f aca="false">AL222*F222</f>
        <v>989.68</v>
      </c>
      <c r="AP222" s="57" t="n">
        <f aca="false">ROUNDUP(MAX(I222/IF(BV222&gt;0,BV222,MAX(0.1,N(Cockpit!$I$6))),BY222)/BQ222,0)*BQ222</f>
        <v>178</v>
      </c>
      <c r="AQ222" s="58" t="n">
        <f aca="false">IF(AN222&gt;0,I222/AN222,-1)</f>
        <v>1950</v>
      </c>
      <c r="AR222" s="58" t="n">
        <f aca="false">IF(AND(OR(BU222="L1",BU222="L23"),AN222&gt;0),SUMIFS($AN$7:$AN$1576,$BU$7:$BU$1576,BU222,$AQ$7:$AQ$1576,"&gt;"&amp;AQ222)+SUMIFS($AN$7:$AN$1576,$BU$7:$BU$1576,BU222,$AQ$7:$AQ$1576,AQ222,$BO$7:$BO$1576,"&lt;="&amp;BO222),"")</f>
        <v>17.436968647632</v>
      </c>
      <c r="AS222" s="65" t="n">
        <f aca="false">IF(AR222="",0,MAX(0,MIN(1,(IF(BU222="L1",Parameter!$E$5,Parameter!$E$6+Parameter!$E$7)-(AR222-AN222))/AN222)))</f>
        <v>1</v>
      </c>
      <c r="AT222" s="57" t="n">
        <f aca="false">IF(LEFT(Cockpit!$O$5,1)="A",G222,IF(BW222=1,BX222,IF(LEFT(Cockpit!$O$5,1)="B",AX222,MAX(AX222,G222))))</f>
        <v>178</v>
      </c>
      <c r="AU222" s="57" t="n">
        <f aca="false">IF(BR222=1,0,ROUNDUP(AT222/BQ222,0))</f>
        <v>2</v>
      </c>
      <c r="AV222" s="59" t="n">
        <f aca="false">IF(CD222&gt;0,CD222*MAX(1,AT222/V222),IF(BR222=1,IF(AT222&lt;=0,0,BS222*MAX(1,IF(G222&gt;0,AT222/G222,1))),IF(Q222&gt;0,AU222/Q222,0))/MAX(0.1,N(Parameter!$M$21)))</f>
        <v>0.0769230769230769</v>
      </c>
      <c r="AW222" s="57" t="n">
        <f aca="false">AT222*F222</f>
        <v>989.68</v>
      </c>
      <c r="AX222" s="57" t="n">
        <f aca="false">ROUNDUP(MAX(I222/IF(BV222&gt;0,BV222,MAX(0.1,N(Cockpit!$O$6))),BY222)/BQ222,0)*BQ222</f>
        <v>178</v>
      </c>
      <c r="AY222" s="58" t="n">
        <f aca="false">IF(AV222&gt;0,I222/AV222,-1)</f>
        <v>1950</v>
      </c>
      <c r="AZ222" s="58" t="n">
        <f aca="false">IF(AND(OR(BU222="L1",BU222="L23"),AV222&gt;0),SUMIFS($AV$7:$AV$1576,$BU$7:$BU$1576,BU222,$AY$7:$AY$1576,"&gt;"&amp;AY222)+SUMIFS($AV$7:$AV$1576,$BU$7:$BU$1576,BU222,$AY$7:$AY$1576,AY222,$BO$7:$BO$1576,"&lt;="&amp;BO222),"")</f>
        <v>16.247574708238</v>
      </c>
      <c r="BA222" s="65" t="n">
        <f aca="false">IF(AZ222="",0,MAX(0,MIN(1,(IF(BU222="L1",Parameter!$E$5,Parameter!$E$6+Parameter!$E$7)-(AZ222-AV222))/AV222)))</f>
        <v>1</v>
      </c>
      <c r="BB222" s="55" t="str">
        <f aca="false">IF(AF222&lt;=0,"",IF(BU222="Aussen","Aussenlager",IF(BU222="-","Nicht im Lift",IF(AK222&gt;=1,"Lift",IF(AK222&lt;=0,"Aussenlager","teilweise")))))</f>
        <v>Lift</v>
      </c>
      <c r="BC222" s="55" t="str">
        <f aca="false">IF(AN222&lt;=0,"",IF(BU222="Aussen","Aussenlager",IF(BU222="-","Nicht im Lift",IF(AS222&gt;=1,"Lift",IF(AS222&lt;=0,"Aussenlager","teilweise")))))</f>
        <v>Lift</v>
      </c>
      <c r="BD222" s="55" t="str">
        <f aca="false">IF(AV222&lt;=0,"",IF(BU222="Aussen","Aussenlager",IF(BU222="-","Nicht im Lift",IF(BA222&gt;=1,"Lift",IF(BA222&lt;=0,"Aussenlager","teilweise")))))</f>
        <v>Lift</v>
      </c>
      <c r="BE222" s="55" t="str">
        <f aca="false">IF(A222="","",IF(BN222=1,"Neu; ","")&amp;IF(AND(BN222=0,BI222&lt;0),"negativer Bestand (Export "&amp;BI222&amp;"); ","")&amp;IF(I222&lt;=0,"Kein Verbrauch; ","")&amp;IF(CD222&gt;0,"Lift "&amp;U222&amp;" lt. Liftbericht (Fach "&amp;V222&amp;" Stk); ",IF(BR222=1,"Lose – Fläche geschätzt; ",""))&amp;IF(G222&gt;AP222,"Überbestand "&amp;ROUND(G222-AP222,0)&amp;" Stk / CHF "&amp;ROUND((G222-AP222)*F222,0)&amp;"; ","")&amp;IF(AND(BW222=1,BX222&lt;BY222),"MAX &lt; MB+LG; ","")&amp;IF(AND(CC222&gt;0,CB222*10&gt;CC222),"zu hoch für Tablar; ","")&amp;IF(AND(BN222=0,OR(BW222=1,Y222&lt;&gt;"",S222&lt;&gt;"",T222&lt;&gt;"",Z222&lt;&gt;"")),"manuell übersteuert; ","")&amp;IF(AND(BR222=0,Q222=0),"Gebinde unbekannt / Stellmass fehlt; ","")&amp;IF(AND(BR222=0,N(T222)&lt;=0,N(P222)&lt;=0),"Menge pro Gebinde fehlt (Ist = 1 Gebinde); ","")&amp;BM222)</f>
        <v/>
      </c>
      <c r="BF222" s="55"/>
      <c r="BG222" s="55"/>
      <c r="BH222" s="62"/>
      <c r="BI222" s="57" t="n">
        <v>119</v>
      </c>
      <c r="BJ222" s="57" t="n">
        <v>43</v>
      </c>
      <c r="BK222" s="56" t="n">
        <v>671.96</v>
      </c>
      <c r="BL222" s="57" t="n">
        <v>150</v>
      </c>
      <c r="BM222" s="55"/>
      <c r="BN222" s="60" t="n">
        <v>0</v>
      </c>
      <c r="BO222" s="60" t="n">
        <v>222</v>
      </c>
      <c r="BP222" s="55" t="str">
        <f aca="false">IF(S222&lt;&gt;"",UPPER(TRIM(S222)),IF(O222="","LOSE",O222))</f>
        <v>S51</v>
      </c>
      <c r="BQ222" s="57" t="n">
        <f aca="false">IF(BP222="LOSE",1,IF(N(T222)&gt;0,T222,IF(N(P222)&gt;0,P222,MAX(1,G222))))</f>
        <v>89</v>
      </c>
      <c r="BR222" s="60" t="n">
        <f aca="false">IF(BP222="LOSE",1,0)</f>
        <v>0</v>
      </c>
      <c r="BS222" s="59" t="n">
        <f aca="false">IF(BR222=0,0,IF(N(R222)&gt;0,R222,IFERROR(VLOOKUP(D222,Parameter!$A$35:$C$64,3,0)+0,0)))</f>
        <v>0</v>
      </c>
      <c r="BT222" s="55" t="n">
        <f aca="false">IF(Y222&lt;&gt;"",Y222,X222)</f>
        <v>3</v>
      </c>
      <c r="BU222" s="55" t="str">
        <f aca="false">IF(BT222=1,"L1",IF(OR(BT222=2,BT222=3),"L23",IF(BT222="Aussen","Aussen","-")))</f>
        <v>L23</v>
      </c>
      <c r="BV222" s="66" t="n">
        <f aca="false">IF(N(Z222)&gt;0,Z222,0)</f>
        <v>0</v>
      </c>
      <c r="BW222" s="60" t="n">
        <f aca="false">IF(ISNUMBER(AC222),1,0)</f>
        <v>0</v>
      </c>
      <c r="BX222" s="57" t="n">
        <f aca="false">N(AC222)</f>
        <v>0</v>
      </c>
      <c r="BY222" s="57" t="n">
        <f aca="false">N(L222)+N(M222)</f>
        <v>161</v>
      </c>
      <c r="BZ222" s="57" t="n">
        <f aca="false">ROUNDUP(G222/BQ222,0)</f>
        <v>2</v>
      </c>
      <c r="CA222" s="57" t="n">
        <f aca="false">ROUNDUP(BX222/BQ222,0)</f>
        <v>0</v>
      </c>
      <c r="CB222" s="60" t="n">
        <f aca="false">IF(BR222=1,0,IFERROR(VLOOKUP(BP222,'Gebinde-Kategorie'!$A$5:$M$45,5,0)+0,0))</f>
        <v>11</v>
      </c>
      <c r="CC222" s="60" t="n">
        <f aca="false">IFERROR(IF(OR(BT222=1,BT222=2,BT222=3),N(INDEX(Parameter!$I$5:$I$7,BT222)),0),0)</f>
        <v>0</v>
      </c>
      <c r="CD222" s="59" t="n">
        <f aca="false">IF(AND(Parameter!$B$21="Ja",ISNUMBER(U222),N(V222)&gt;0),IFERROR(N(INDEX(Parameter!$L$5:$L$7,U222))*INDEX(Parameter!$E$5:$E$7,U222)*V222/SUMIFS($V$7:$V$1576,$U$7:$U$1576,U222),0),0)</f>
        <v>0</v>
      </c>
    </row>
    <row r="223" customFormat="false" ht="15" hidden="false" customHeight="false" outlineLevel="0" collapsed="false">
      <c r="A223" s="55" t="s">
        <v>627</v>
      </c>
      <c r="B223" s="55" t="s">
        <v>628</v>
      </c>
      <c r="C223" s="55" t="s">
        <v>160</v>
      </c>
      <c r="D223" s="55" t="s">
        <v>178</v>
      </c>
      <c r="E223" s="55" t="s">
        <v>210</v>
      </c>
      <c r="F223" s="56" t="n">
        <v>13.8</v>
      </c>
      <c r="G223" s="57" t="n">
        <f aca="false">MAX(0,IF(AND(Parameter!$B$21="Ja",ISNUMBER(W223)),W223,IF(Parameter!$B$20="Jahresanfang 2025 + Export",BJ223+BI223,BI223)))</f>
        <v>48</v>
      </c>
      <c r="H223" s="57" t="n">
        <f aca="false">G223*F223</f>
        <v>662.4</v>
      </c>
      <c r="I223" s="57" t="n">
        <f aca="false">BL223*Parameter!$B$18</f>
        <v>6</v>
      </c>
      <c r="J223" s="58" t="n">
        <v>8.5</v>
      </c>
      <c r="K223" s="59" t="n">
        <v>0.705882352941177</v>
      </c>
      <c r="L223" s="57" t="n">
        <v>0</v>
      </c>
      <c r="M223" s="57" t="n">
        <v>5</v>
      </c>
      <c r="N223" s="60" t="n">
        <v>14</v>
      </c>
      <c r="O223" s="55" t="s">
        <v>319</v>
      </c>
      <c r="P223" s="57" t="n">
        <v>11</v>
      </c>
      <c r="Q223" s="60" t="n">
        <f aca="false">IF(BR223=1,0,IFERROR(VLOOKUP(BP223,'Gebinde-Kategorie'!$A$5:$M$45,13,0)+0,0))</f>
        <v>52</v>
      </c>
      <c r="R223" s="61"/>
      <c r="S223" s="62"/>
      <c r="T223" s="62"/>
      <c r="U223" s="55"/>
      <c r="V223" s="57"/>
      <c r="W223" s="57"/>
      <c r="X223" s="55" t="n">
        <f aca="false">IF(A223="","",IF(AND(Parameter!$B$21="Ja",ISNUMBER(U223)),U223,IF(IFERROR(VLOOKUP(D223,Parameter!$A$35:$C$64,2,0),"Nein")="2+3",IF(ISNUMBER(SEARCH("grosser Artikel",BM223)),2,IFERROR(VLOOKUP(BP223,Parameter!$F$35:$G$64,2,0),2)),IF(OR(IFERROR(VLOOKUP(D223,Parameter!$A$35:$C$64,2,0),"Nein")="Nein",IFERROR(VLOOKUP(D223,Parameter!$A$35:$C$64,2,0),"Nein")=""),"-",VLOOKUP(D223,Parameter!$A$35:$C$64,2,0)))))</f>
        <v>3</v>
      </c>
      <c r="Y223" s="62"/>
      <c r="Z223" s="63"/>
      <c r="AA223" s="57" t="n">
        <f aca="false">AP223</f>
        <v>11</v>
      </c>
      <c r="AB223" s="57" t="n">
        <f aca="false">MAX(AP223,G223)</f>
        <v>48</v>
      </c>
      <c r="AC223" s="64"/>
      <c r="AD223" s="57" t="n">
        <f aca="false">IF(LEFT(Cockpit!$C$5,1)="A",G223,IF(BW223=1,BX223,IF(LEFT(Cockpit!$C$5,1)="B",AH223,MAX(AH223,G223))))</f>
        <v>48</v>
      </c>
      <c r="AE223" s="57" t="n">
        <f aca="false">IF(BR223=1,0,ROUNDUP(AD223/BQ223,0))</f>
        <v>5</v>
      </c>
      <c r="AF223" s="59" t="n">
        <f aca="false">IF(CD223&gt;0,CD223*MAX(1,AD223/V223),IF(BR223=1,IF(AD223&lt;=0,0,BS223*MAX(1,IF(G223&gt;0,AD223/G223,1))),IF(Q223&gt;0,AE223/Q223,0))/MAX(0.1,N(Parameter!$M$21)))</f>
        <v>0.0961538461538462</v>
      </c>
      <c r="AG223" s="57" t="n">
        <f aca="false">AD223*F223</f>
        <v>662.4</v>
      </c>
      <c r="AH223" s="57" t="n">
        <f aca="false">ROUNDUP(MAX(I223/IF(BV223&gt;0,BV223,MAX(0.1,N(Cockpit!$C$6))),BY223)/BQ223,0)*BQ223</f>
        <v>11</v>
      </c>
      <c r="AI223" s="58" t="n">
        <f aca="false">IF(AF223&gt;0,I223/AF223,-1)</f>
        <v>62.4</v>
      </c>
      <c r="AJ223" s="58" t="n">
        <f aca="false">IF(AND(OR(BU223="L1",BU223="L23"),AF223&gt;0),SUMIFS($AF$7:$AF$1576,$BU$7:$BU$1576,BU223,$AI$7:$AI$1576,"&gt;"&amp;AI223)+SUMIFS($AF$7:$AF$1576,$BU$7:$BU$1576,BU223,$AI$7:$AI$1576,AI223,$BO$7:$BO$1576,"&lt;="&amp;BO223),"")</f>
        <v>25.1277098746664</v>
      </c>
      <c r="AK223" s="65" t="n">
        <f aca="false">IF(AJ223="",0,MAX(0,MIN(1,(IF(BU223="L1",Parameter!$E$5,Parameter!$E$6+Parameter!$E$7)-(AJ223-AF223))/AF223)))</f>
        <v>1</v>
      </c>
      <c r="AL223" s="57" t="n">
        <f aca="false">IF(LEFT(Cockpit!$I$5,1)="A",G223,IF(BW223=1,BX223,IF(LEFT(Cockpit!$I$5,1)="B",AP223,MAX(AP223,G223))))</f>
        <v>48</v>
      </c>
      <c r="AM223" s="57" t="n">
        <f aca="false">IF(BR223=1,0,ROUNDUP(AL223/BQ223,0))</f>
        <v>5</v>
      </c>
      <c r="AN223" s="59" t="n">
        <f aca="false">IF(CD223&gt;0,CD223*MAX(1,AL223/V223),IF(BR223=1,IF(AL223&lt;=0,0,BS223*MAX(1,IF(G223&gt;0,AL223/G223,1))),IF(Q223&gt;0,AM223/Q223,0))/MAX(0.1,N(Parameter!$M$21)))</f>
        <v>0.0961538461538462</v>
      </c>
      <c r="AO223" s="57" t="n">
        <f aca="false">AL223*F223</f>
        <v>662.4</v>
      </c>
      <c r="AP223" s="57" t="n">
        <f aca="false">ROUNDUP(MAX(I223/IF(BV223&gt;0,BV223,MAX(0.1,N(Cockpit!$I$6))),BY223)/BQ223,0)*BQ223</f>
        <v>11</v>
      </c>
      <c r="AQ223" s="58" t="n">
        <f aca="false">IF(AN223&gt;0,I223/AN223,-1)</f>
        <v>62.4</v>
      </c>
      <c r="AR223" s="58" t="n">
        <f aca="false">IF(AND(OR(BU223="L1",BU223="L23"),AN223&gt;0),SUMIFS($AN$7:$AN$1576,$BU$7:$BU$1576,BU223,$AQ$7:$AQ$1576,"&gt;"&amp;AQ223)+SUMIFS($AN$7:$AN$1576,$BU$7:$BU$1576,BU223,$AQ$7:$AQ$1576,AQ223,$BO$7:$BO$1576,"&lt;="&amp;BO223),"")</f>
        <v>77.2426909989522</v>
      </c>
      <c r="AS223" s="65" t="n">
        <f aca="false">IF(AR223="",0,MAX(0,MIN(1,(IF(BU223="L1",Parameter!$E$5,Parameter!$E$6+Parameter!$E$7)-(AR223-AN223))/AN223)))</f>
        <v>1</v>
      </c>
      <c r="AT223" s="57" t="n">
        <f aca="false">IF(LEFT(Cockpit!$O$5,1)="A",G223,IF(BW223=1,BX223,IF(LEFT(Cockpit!$O$5,1)="B",AX223,MAX(AX223,G223))))</f>
        <v>48</v>
      </c>
      <c r="AU223" s="57" t="n">
        <f aca="false">IF(BR223=1,0,ROUNDUP(AT223/BQ223,0))</f>
        <v>5</v>
      </c>
      <c r="AV223" s="59" t="n">
        <f aca="false">IF(CD223&gt;0,CD223*MAX(1,AT223/V223),IF(BR223=1,IF(AT223&lt;=0,0,BS223*MAX(1,IF(G223&gt;0,AT223/G223,1))),IF(Q223&gt;0,AU223/Q223,0))/MAX(0.1,N(Parameter!$M$21)))</f>
        <v>0.0961538461538462</v>
      </c>
      <c r="AW223" s="57" t="n">
        <f aca="false">AT223*F223</f>
        <v>662.4</v>
      </c>
      <c r="AX223" s="57" t="n">
        <f aca="false">ROUNDUP(MAX(I223/IF(BV223&gt;0,BV223,MAX(0.1,N(Cockpit!$O$6))),BY223)/BQ223,0)*BQ223</f>
        <v>11</v>
      </c>
      <c r="AY223" s="58" t="n">
        <f aca="false">IF(AV223&gt;0,I223/AV223,-1)</f>
        <v>62.4</v>
      </c>
      <c r="AZ223" s="58" t="n">
        <f aca="false">IF(AND(OR(BU223="L1",BU223="L23"),AV223&gt;0),SUMIFS($AV$7:$AV$1576,$BU$7:$BU$1576,BU223,$AY$7:$AY$1576,"&gt;"&amp;AY223)+SUMIFS($AV$7:$AV$1576,$BU$7:$BU$1576,BU223,$AY$7:$AY$1576,AY223,$BO$7:$BO$1576,"&lt;="&amp;BO223),"")</f>
        <v>75.4439081151693</v>
      </c>
      <c r="BA223" s="65" t="n">
        <f aca="false">IF(AZ223="",0,MAX(0,MIN(1,(IF(BU223="L1",Parameter!$E$5,Parameter!$E$6+Parameter!$E$7)-(AZ223-AV223))/AV223)))</f>
        <v>1</v>
      </c>
      <c r="BB223" s="55" t="str">
        <f aca="false">IF(AF223&lt;=0,"",IF(BU223="Aussen","Aussenlager",IF(BU223="-","Nicht im Lift",IF(AK223&gt;=1,"Lift",IF(AK223&lt;=0,"Aussenlager","teilweise")))))</f>
        <v>Lift</v>
      </c>
      <c r="BC223" s="55" t="str">
        <f aca="false">IF(AN223&lt;=0,"",IF(BU223="Aussen","Aussenlager",IF(BU223="-","Nicht im Lift",IF(AS223&gt;=1,"Lift",IF(AS223&lt;=0,"Aussenlager","teilweise")))))</f>
        <v>Lift</v>
      </c>
      <c r="BD223" s="55" t="str">
        <f aca="false">IF(AV223&lt;=0,"",IF(BU223="Aussen","Aussenlager",IF(BU223="-","Nicht im Lift",IF(BA223&gt;=1,"Lift",IF(BA223&lt;=0,"Aussenlager","teilweise")))))</f>
        <v>Lift</v>
      </c>
      <c r="BE223" s="55" t="str">
        <f aca="false">IF(A223="","",IF(BN223=1,"Neu; ","")&amp;IF(AND(BN223=0,BI223&lt;0),"negativer Bestand (Export "&amp;BI223&amp;"); ","")&amp;IF(I223&lt;=0,"Kein Verbrauch; ","")&amp;IF(CD223&gt;0,"Lift "&amp;U223&amp;" lt. Liftbericht (Fach "&amp;V223&amp;" Stk); ",IF(BR223=1,"Lose – Fläche geschätzt; ",""))&amp;IF(G223&gt;AP223,"Überbestand "&amp;ROUND(G223-AP223,0)&amp;" Stk / CHF "&amp;ROUND((G223-AP223)*F223,0)&amp;"; ","")&amp;IF(AND(BW223=1,BX223&lt;BY223),"MAX &lt; MB+LG; ","")&amp;IF(AND(CC223&gt;0,CB223*10&gt;CC223),"zu hoch für Tablar; ","")&amp;IF(AND(BN223=0,OR(BW223=1,Y223&lt;&gt;"",S223&lt;&gt;"",T223&lt;&gt;"",Z223&lt;&gt;"")),"manuell übersteuert; ","")&amp;IF(AND(BR223=0,Q223=0),"Gebinde unbekannt / Stellmass fehlt; ","")&amp;IF(AND(BR223=0,N(T223)&lt;=0,N(P223)&lt;=0),"Menge pro Gebinde fehlt (Ist = 1 Gebinde); ","")&amp;BM223)</f>
        <v>Überbestand 37 Stk / CHF 511; </v>
      </c>
      <c r="BF223" s="55"/>
      <c r="BG223" s="55"/>
      <c r="BH223" s="62"/>
      <c r="BI223" s="57" t="n">
        <v>48</v>
      </c>
      <c r="BJ223" s="57" t="n">
        <v>7</v>
      </c>
      <c r="BK223" s="56" t="n">
        <v>656.1</v>
      </c>
      <c r="BL223" s="57" t="n">
        <v>6</v>
      </c>
      <c r="BM223" s="55"/>
      <c r="BN223" s="60" t="n">
        <v>0</v>
      </c>
      <c r="BO223" s="60" t="n">
        <v>223</v>
      </c>
      <c r="BP223" s="55" t="str">
        <f aca="false">IF(S223&lt;&gt;"",UPPER(TRIM(S223)),IF(O223="","LOSE",O223))</f>
        <v>S41</v>
      </c>
      <c r="BQ223" s="57" t="n">
        <f aca="false">IF(BP223="LOSE",1,IF(N(T223)&gt;0,T223,IF(N(P223)&gt;0,P223,MAX(1,G223))))</f>
        <v>11</v>
      </c>
      <c r="BR223" s="60" t="n">
        <f aca="false">IF(BP223="LOSE",1,0)</f>
        <v>0</v>
      </c>
      <c r="BS223" s="59" t="n">
        <f aca="false">IF(BR223=0,0,IF(N(R223)&gt;0,R223,IFERROR(VLOOKUP(D223,Parameter!$A$35:$C$64,3,0)+0,0)))</f>
        <v>0</v>
      </c>
      <c r="BT223" s="55" t="n">
        <f aca="false">IF(Y223&lt;&gt;"",Y223,X223)</f>
        <v>3</v>
      </c>
      <c r="BU223" s="55" t="str">
        <f aca="false">IF(BT223=1,"L1",IF(OR(BT223=2,BT223=3),"L23",IF(BT223="Aussen","Aussen","-")))</f>
        <v>L23</v>
      </c>
      <c r="BV223" s="66" t="n">
        <f aca="false">IF(N(Z223)&gt;0,Z223,0)</f>
        <v>0</v>
      </c>
      <c r="BW223" s="60" t="n">
        <f aca="false">IF(ISNUMBER(AC223),1,0)</f>
        <v>0</v>
      </c>
      <c r="BX223" s="57" t="n">
        <f aca="false">N(AC223)</f>
        <v>0</v>
      </c>
      <c r="BY223" s="57" t="n">
        <f aca="false">N(L223)+N(M223)</f>
        <v>5</v>
      </c>
      <c r="BZ223" s="57" t="n">
        <f aca="false">ROUNDUP(G223/BQ223,0)</f>
        <v>5</v>
      </c>
      <c r="CA223" s="57" t="n">
        <f aca="false">ROUNDUP(BX223/BQ223,0)</f>
        <v>0</v>
      </c>
      <c r="CB223" s="60" t="n">
        <f aca="false">IF(BR223=1,0,IFERROR(VLOOKUP(BP223,'Gebinde-Kategorie'!$A$5:$M$45,5,0)+0,0))</f>
        <v>11</v>
      </c>
      <c r="CC223" s="60" t="n">
        <f aca="false">IFERROR(IF(OR(BT223=1,BT223=2,BT223=3),N(INDEX(Parameter!$I$5:$I$7,BT223)),0),0)</f>
        <v>0</v>
      </c>
      <c r="CD223" s="59" t="n">
        <f aca="false">IF(AND(Parameter!$B$21="Ja",ISNUMBER(U223),N(V223)&gt;0),IFERROR(N(INDEX(Parameter!$L$5:$L$7,U223))*INDEX(Parameter!$E$5:$E$7,U223)*V223/SUMIFS($V$7:$V$1576,$U$7:$U$1576,U223),0),0)</f>
        <v>0</v>
      </c>
    </row>
    <row r="224" customFormat="false" ht="15" hidden="false" customHeight="false" outlineLevel="0" collapsed="false">
      <c r="A224" s="55" t="s">
        <v>629</v>
      </c>
      <c r="B224" s="55" t="s">
        <v>560</v>
      </c>
      <c r="C224" s="55" t="s">
        <v>160</v>
      </c>
      <c r="D224" s="55" t="s">
        <v>178</v>
      </c>
      <c r="E224" s="55" t="s">
        <v>210</v>
      </c>
      <c r="F224" s="56" t="n">
        <v>6.91</v>
      </c>
      <c r="G224" s="57" t="n">
        <f aca="false">MAX(0,IF(AND(Parameter!$B$21="Ja",ISNUMBER(W224)),W224,IF(Parameter!$B$20="Jahresanfang 2025 + Export",BJ224+BI224,BI224)))</f>
        <v>81</v>
      </c>
      <c r="H224" s="57" t="n">
        <f aca="false">G224*F224</f>
        <v>559.71</v>
      </c>
      <c r="I224" s="57" t="n">
        <f aca="false">BL224*Parameter!$B$18</f>
        <v>428</v>
      </c>
      <c r="J224" s="58" t="n">
        <v>137</v>
      </c>
      <c r="K224" s="59" t="n">
        <v>3.12408759124088</v>
      </c>
      <c r="L224" s="57" t="n">
        <v>32</v>
      </c>
      <c r="M224" s="57" t="n">
        <v>200</v>
      </c>
      <c r="N224" s="60" t="n">
        <v>70</v>
      </c>
      <c r="O224" s="55" t="s">
        <v>293</v>
      </c>
      <c r="P224" s="57" t="n">
        <v>179</v>
      </c>
      <c r="Q224" s="60" t="n">
        <f aca="false">IF(BR224=1,0,IFERROR(VLOOKUP(BP224,'Gebinde-Kategorie'!$A$5:$M$45,13,0)+0,0))</f>
        <v>26</v>
      </c>
      <c r="R224" s="61"/>
      <c r="S224" s="62"/>
      <c r="T224" s="62"/>
      <c r="U224" s="55"/>
      <c r="V224" s="57"/>
      <c r="W224" s="57"/>
      <c r="X224" s="55" t="n">
        <f aca="false">IF(A224="","",IF(AND(Parameter!$B$21="Ja",ISNUMBER(U224)),U224,IF(IFERROR(VLOOKUP(D224,Parameter!$A$35:$C$64,2,0),"Nein")="2+3",IF(ISNUMBER(SEARCH("grosser Artikel",BM224)),2,IFERROR(VLOOKUP(BP224,Parameter!$F$35:$G$64,2,0),2)),IF(OR(IFERROR(VLOOKUP(D224,Parameter!$A$35:$C$64,2,0),"Nein")="Nein",IFERROR(VLOOKUP(D224,Parameter!$A$35:$C$64,2,0),"Nein")=""),"-",VLOOKUP(D224,Parameter!$A$35:$C$64,2,0)))))</f>
        <v>3</v>
      </c>
      <c r="Y224" s="62"/>
      <c r="Z224" s="63"/>
      <c r="AA224" s="57" t="n">
        <f aca="false">AP224</f>
        <v>358</v>
      </c>
      <c r="AB224" s="57" t="n">
        <f aca="false">MAX(AP224,G224)</f>
        <v>358</v>
      </c>
      <c r="AC224" s="64"/>
      <c r="AD224" s="57" t="n">
        <f aca="false">IF(LEFT(Cockpit!$C$5,1)="A",G224,IF(BW224=1,BX224,IF(LEFT(Cockpit!$C$5,1)="B",AH224,MAX(AH224,G224))))</f>
        <v>81</v>
      </c>
      <c r="AE224" s="57" t="n">
        <f aca="false">IF(BR224=1,0,ROUNDUP(AD224/BQ224,0))</f>
        <v>1</v>
      </c>
      <c r="AF224" s="59" t="n">
        <f aca="false">IF(CD224&gt;0,CD224*MAX(1,AD224/V224),IF(BR224=1,IF(AD224&lt;=0,0,BS224*MAX(1,IF(G224&gt;0,AD224/G224,1))),IF(Q224&gt;0,AE224/Q224,0))/MAX(0.1,N(Parameter!$M$21)))</f>
        <v>0.0384615384615385</v>
      </c>
      <c r="AG224" s="57" t="n">
        <f aca="false">AD224*F224</f>
        <v>559.71</v>
      </c>
      <c r="AH224" s="57" t="n">
        <f aca="false">ROUNDUP(MAX(I224/IF(BV224&gt;0,BV224,MAX(0.1,N(Cockpit!$C$6))),BY224)/BQ224,0)*BQ224</f>
        <v>358</v>
      </c>
      <c r="AI224" s="58" t="n">
        <f aca="false">IF(AF224&gt;0,I224/AF224,-1)</f>
        <v>11128</v>
      </c>
      <c r="AJ224" s="58" t="n">
        <f aca="false">IF(AND(OR(BU224="L1",BU224="L23"),AF224&gt;0),SUMIFS($AF$7:$AF$1576,$BU$7:$BU$1576,BU224,$AI$7:$AI$1576,"&gt;"&amp;AI224)+SUMIFS($AF$7:$AF$1576,$BU$7:$BU$1576,BU224,$AI$7:$AI$1576,AI224,$BO$7:$BO$1576,"&lt;="&amp;BO224),"")</f>
        <v>2.4242339785818</v>
      </c>
      <c r="AK224" s="65" t="n">
        <f aca="false">IF(AJ224="",0,MAX(0,MIN(1,(IF(BU224="L1",Parameter!$E$5,Parameter!$E$6+Parameter!$E$7)-(AJ224-AF224))/AF224)))</f>
        <v>1</v>
      </c>
      <c r="AL224" s="57" t="n">
        <f aca="false">IF(LEFT(Cockpit!$I$5,1)="A",G224,IF(BW224=1,BX224,IF(LEFT(Cockpit!$I$5,1)="B",AP224,MAX(AP224,G224))))</f>
        <v>358</v>
      </c>
      <c r="AM224" s="57" t="n">
        <f aca="false">IF(BR224=1,0,ROUNDUP(AL224/BQ224,0))</f>
        <v>2</v>
      </c>
      <c r="AN224" s="59" t="n">
        <f aca="false">IF(CD224&gt;0,CD224*MAX(1,AL224/V224),IF(BR224=1,IF(AL224&lt;=0,0,BS224*MAX(1,IF(G224&gt;0,AL224/G224,1))),IF(Q224&gt;0,AM224/Q224,0))/MAX(0.1,N(Parameter!$M$21)))</f>
        <v>0.0769230769230769</v>
      </c>
      <c r="AO224" s="57" t="n">
        <f aca="false">AL224*F224</f>
        <v>2473.78</v>
      </c>
      <c r="AP224" s="57" t="n">
        <f aca="false">ROUNDUP(MAX(I224/IF(BV224&gt;0,BV224,MAX(0.1,N(Cockpit!$I$6))),BY224)/BQ224,0)*BQ224</f>
        <v>358</v>
      </c>
      <c r="AQ224" s="58" t="n">
        <f aca="false">IF(AN224&gt;0,I224/AN224,-1)</f>
        <v>5564</v>
      </c>
      <c r="AR224" s="58" t="n">
        <f aca="false">IF(AND(OR(BU224="L1",BU224="L23"),AN224&gt;0),SUMIFS($AN$7:$AN$1576,$BU$7:$BU$1576,BU224,$AQ$7:$AQ$1576,"&gt;"&amp;AQ224)+SUMIFS($AN$7:$AN$1576,$BU$7:$BU$1576,BU224,$AQ$7:$AQ$1576,AQ224,$BO$7:$BO$1576,"&lt;="&amp;BO224),"")</f>
        <v>11.0193783757306</v>
      </c>
      <c r="AS224" s="65" t="n">
        <f aca="false">IF(AR224="",0,MAX(0,MIN(1,(IF(BU224="L1",Parameter!$E$5,Parameter!$E$6+Parameter!$E$7)-(AR224-AN224))/AN224)))</f>
        <v>1</v>
      </c>
      <c r="AT224" s="57" t="n">
        <f aca="false">IF(LEFT(Cockpit!$O$5,1)="A",G224,IF(BW224=1,BX224,IF(LEFT(Cockpit!$O$5,1)="B",AX224,MAX(AX224,G224))))</f>
        <v>358</v>
      </c>
      <c r="AU224" s="57" t="n">
        <f aca="false">IF(BR224=1,0,ROUNDUP(AT224/BQ224,0))</f>
        <v>2</v>
      </c>
      <c r="AV224" s="59" t="n">
        <f aca="false">IF(CD224&gt;0,CD224*MAX(1,AT224/V224),IF(BR224=1,IF(AT224&lt;=0,0,BS224*MAX(1,IF(G224&gt;0,AT224/G224,1))),IF(Q224&gt;0,AU224/Q224,0))/MAX(0.1,N(Parameter!$M$21)))</f>
        <v>0.0769230769230769</v>
      </c>
      <c r="AW224" s="57" t="n">
        <f aca="false">AT224*F224</f>
        <v>2473.78</v>
      </c>
      <c r="AX224" s="57" t="n">
        <f aca="false">ROUNDUP(MAX(I224/IF(BV224&gt;0,BV224,MAX(0.1,N(Cockpit!$O$6))),BY224)/BQ224,0)*BQ224</f>
        <v>358</v>
      </c>
      <c r="AY224" s="58" t="n">
        <f aca="false">IF(AV224&gt;0,I224/AV224,-1)</f>
        <v>5564</v>
      </c>
      <c r="AZ224" s="58" t="n">
        <f aca="false">IF(AND(OR(BU224="L1",BU224="L23"),AV224&gt;0),SUMIFS($AV$7:$AV$1576,$BU$7:$BU$1576,BU224,$AY$7:$AY$1576,"&gt;"&amp;AY224)+SUMIFS($AV$7:$AV$1576,$BU$7:$BU$1576,BU224,$AY$7:$AY$1576,AY224,$BO$7:$BO$1576,"&lt;="&amp;BO224),"")</f>
        <v>10.240240846593</v>
      </c>
      <c r="BA224" s="65" t="n">
        <f aca="false">IF(AZ224="",0,MAX(0,MIN(1,(IF(BU224="L1",Parameter!$E$5,Parameter!$E$6+Parameter!$E$7)-(AZ224-AV224))/AV224)))</f>
        <v>1</v>
      </c>
      <c r="BB224" s="55" t="str">
        <f aca="false">IF(AF224&lt;=0,"",IF(BU224="Aussen","Aussenlager",IF(BU224="-","Nicht im Lift",IF(AK224&gt;=1,"Lift",IF(AK224&lt;=0,"Aussenlager","teilweise")))))</f>
        <v>Lift</v>
      </c>
      <c r="BC224" s="55" t="str">
        <f aca="false">IF(AN224&lt;=0,"",IF(BU224="Aussen","Aussenlager",IF(BU224="-","Nicht im Lift",IF(AS224&gt;=1,"Lift",IF(AS224&lt;=0,"Aussenlager","teilweise")))))</f>
        <v>Lift</v>
      </c>
      <c r="BD224" s="55" t="str">
        <f aca="false">IF(AV224&lt;=0,"",IF(BU224="Aussen","Aussenlager",IF(BU224="-","Nicht im Lift",IF(BA224&gt;=1,"Lift",IF(BA224&lt;=0,"Aussenlager","teilweise")))))</f>
        <v>Lift</v>
      </c>
      <c r="BE224" s="55" t="str">
        <f aca="false">IF(A224="","",IF(BN224=1,"Neu; ","")&amp;IF(AND(BN224=0,BI224&lt;0),"negativer Bestand (Export "&amp;BI224&amp;"); ","")&amp;IF(I224&lt;=0,"Kein Verbrauch; ","")&amp;IF(CD224&gt;0,"Lift "&amp;U224&amp;" lt. Liftbericht (Fach "&amp;V224&amp;" Stk); ",IF(BR224=1,"Lose – Fläche geschätzt; ",""))&amp;IF(G224&gt;AP224,"Überbestand "&amp;ROUND(G224-AP224,0)&amp;" Stk / CHF "&amp;ROUND((G224-AP224)*F224,0)&amp;"; ","")&amp;IF(AND(BW224=1,BX224&lt;BY224),"MAX &lt; MB+LG; ","")&amp;IF(AND(CC224&gt;0,CB224*10&gt;CC224),"zu hoch für Tablar; ","")&amp;IF(AND(BN224=0,OR(BW224=1,Y224&lt;&gt;"",S224&lt;&gt;"",T224&lt;&gt;"",Z224&lt;&gt;"")),"manuell übersteuert; ","")&amp;IF(AND(BR224=0,Q224=0),"Gebinde unbekannt / Stellmass fehlt; ","")&amp;IF(AND(BR224=0,N(T224)&lt;=0,N(P224)&lt;=0),"Menge pro Gebinde fehlt (Ist = 1 Gebinde); ","")&amp;BM224)</f>
        <v/>
      </c>
      <c r="BF224" s="55"/>
      <c r="BG224" s="55"/>
      <c r="BH224" s="62"/>
      <c r="BI224" s="57" t="n">
        <v>81</v>
      </c>
      <c r="BJ224" s="57" t="n">
        <v>71</v>
      </c>
      <c r="BK224" s="56" t="n">
        <v>642.240000000004</v>
      </c>
      <c r="BL224" s="57" t="n">
        <v>428</v>
      </c>
      <c r="BM224" s="55"/>
      <c r="BN224" s="60" t="n">
        <v>0</v>
      </c>
      <c r="BO224" s="60" t="n">
        <v>224</v>
      </c>
      <c r="BP224" s="55" t="str">
        <f aca="false">IF(S224&lt;&gt;"",UPPER(TRIM(S224)),IF(O224="","LOSE",O224))</f>
        <v>S51</v>
      </c>
      <c r="BQ224" s="57" t="n">
        <f aca="false">IF(BP224="LOSE",1,IF(N(T224)&gt;0,T224,IF(N(P224)&gt;0,P224,MAX(1,G224))))</f>
        <v>179</v>
      </c>
      <c r="BR224" s="60" t="n">
        <f aca="false">IF(BP224="LOSE",1,0)</f>
        <v>0</v>
      </c>
      <c r="BS224" s="59" t="n">
        <f aca="false">IF(BR224=0,0,IF(N(R224)&gt;0,R224,IFERROR(VLOOKUP(D224,Parameter!$A$35:$C$64,3,0)+0,0)))</f>
        <v>0</v>
      </c>
      <c r="BT224" s="55" t="n">
        <f aca="false">IF(Y224&lt;&gt;"",Y224,X224)</f>
        <v>3</v>
      </c>
      <c r="BU224" s="55" t="str">
        <f aca="false">IF(BT224=1,"L1",IF(OR(BT224=2,BT224=3),"L23",IF(BT224="Aussen","Aussen","-")))</f>
        <v>L23</v>
      </c>
      <c r="BV224" s="66" t="n">
        <f aca="false">IF(N(Z224)&gt;0,Z224,0)</f>
        <v>0</v>
      </c>
      <c r="BW224" s="60" t="n">
        <f aca="false">IF(ISNUMBER(AC224),1,0)</f>
        <v>0</v>
      </c>
      <c r="BX224" s="57" t="n">
        <f aca="false">N(AC224)</f>
        <v>0</v>
      </c>
      <c r="BY224" s="57" t="n">
        <f aca="false">N(L224)+N(M224)</f>
        <v>232</v>
      </c>
      <c r="BZ224" s="57" t="n">
        <f aca="false">ROUNDUP(G224/BQ224,0)</f>
        <v>1</v>
      </c>
      <c r="CA224" s="57" t="n">
        <f aca="false">ROUNDUP(BX224/BQ224,0)</f>
        <v>0</v>
      </c>
      <c r="CB224" s="60" t="n">
        <f aca="false">IF(BR224=1,0,IFERROR(VLOOKUP(BP224,'Gebinde-Kategorie'!$A$5:$M$45,5,0)+0,0))</f>
        <v>11</v>
      </c>
      <c r="CC224" s="60" t="n">
        <f aca="false">IFERROR(IF(OR(BT224=1,BT224=2,BT224=3),N(INDEX(Parameter!$I$5:$I$7,BT224)),0),0)</f>
        <v>0</v>
      </c>
      <c r="CD224" s="59" t="n">
        <f aca="false">IF(AND(Parameter!$B$21="Ja",ISNUMBER(U224),N(V224)&gt;0),IFERROR(N(INDEX(Parameter!$L$5:$L$7,U224))*INDEX(Parameter!$E$5:$E$7,U224)*V224/SUMIFS($V$7:$V$1576,$U$7:$U$1576,U224),0),0)</f>
        <v>0</v>
      </c>
    </row>
    <row r="225" customFormat="false" ht="15" hidden="false" customHeight="false" outlineLevel="0" collapsed="false">
      <c r="A225" s="55" t="s">
        <v>630</v>
      </c>
      <c r="B225" s="55" t="s">
        <v>631</v>
      </c>
      <c r="C225" s="55" t="s">
        <v>160</v>
      </c>
      <c r="D225" s="55" t="s">
        <v>168</v>
      </c>
      <c r="E225" s="55" t="s">
        <v>210</v>
      </c>
      <c r="F225" s="56" t="n">
        <v>640</v>
      </c>
      <c r="G225" s="57" t="n">
        <f aca="false">MAX(0,IF(AND(Parameter!$B$21="Ja",ISNUMBER(W225)),W225,IF(Parameter!$B$20="Jahresanfang 2025 + Export",BJ225+BI225,BI225)))</f>
        <v>1</v>
      </c>
      <c r="H225" s="57" t="n">
        <f aca="false">G225*F225</f>
        <v>640</v>
      </c>
      <c r="I225" s="57" t="n">
        <f aca="false">BL225*Parameter!$B$18</f>
        <v>11</v>
      </c>
      <c r="J225" s="58" t="n">
        <v>0.5</v>
      </c>
      <c r="K225" s="59" t="n">
        <v>22</v>
      </c>
      <c r="L225" s="57" t="n">
        <v>1</v>
      </c>
      <c r="M225" s="57" t="n">
        <v>5</v>
      </c>
      <c r="N225" s="60" t="n">
        <v>35</v>
      </c>
      <c r="O225" s="55" t="s">
        <v>179</v>
      </c>
      <c r="P225" s="57" t="n">
        <v>6</v>
      </c>
      <c r="Q225" s="60" t="n">
        <f aca="false">IF(BR225=1,0,IFERROR(VLOOKUP(BP225,'Gebinde-Kategorie'!$A$5:$M$45,13,0)+0,0))</f>
        <v>12</v>
      </c>
      <c r="R225" s="61"/>
      <c r="S225" s="62"/>
      <c r="T225" s="62"/>
      <c r="U225" s="55"/>
      <c r="V225" s="57"/>
      <c r="W225" s="57"/>
      <c r="X225" s="55" t="n">
        <f aca="false">IF(A225="","",IF(AND(Parameter!$B$21="Ja",ISNUMBER(U225)),U225,IF(IFERROR(VLOOKUP(D225,Parameter!$A$35:$C$64,2,0),"Nein")="2+3",IF(ISNUMBER(SEARCH("grosser Artikel",BM225)),2,IFERROR(VLOOKUP(BP225,Parameter!$F$35:$G$64,2,0),2)),IF(OR(IFERROR(VLOOKUP(D225,Parameter!$A$35:$C$64,2,0),"Nein")="Nein",IFERROR(VLOOKUP(D225,Parameter!$A$35:$C$64,2,0),"Nein")=""),"-",VLOOKUP(D225,Parameter!$A$35:$C$64,2,0)))))</f>
        <v>2</v>
      </c>
      <c r="Y225" s="62"/>
      <c r="Z225" s="63"/>
      <c r="AA225" s="57" t="n">
        <f aca="false">AP225</f>
        <v>6</v>
      </c>
      <c r="AB225" s="57" t="n">
        <f aca="false">MAX(AP225,G225)</f>
        <v>6</v>
      </c>
      <c r="AC225" s="64"/>
      <c r="AD225" s="57" t="n">
        <f aca="false">IF(LEFT(Cockpit!$C$5,1)="A",G225,IF(BW225=1,BX225,IF(LEFT(Cockpit!$C$5,1)="B",AH225,MAX(AH225,G225))))</f>
        <v>1</v>
      </c>
      <c r="AE225" s="57" t="n">
        <f aca="false">IF(BR225=1,0,ROUNDUP(AD225/BQ225,0))</f>
        <v>1</v>
      </c>
      <c r="AF225" s="59" t="n">
        <f aca="false">IF(CD225&gt;0,CD225*MAX(1,AD225/V225),IF(BR225=1,IF(AD225&lt;=0,0,BS225*MAX(1,IF(G225&gt;0,AD225/G225,1))),IF(Q225&gt;0,AE225/Q225,0))/MAX(0.1,N(Parameter!$M$21)))</f>
        <v>0.0833333333333333</v>
      </c>
      <c r="AG225" s="57" t="n">
        <f aca="false">AD225*F225</f>
        <v>640</v>
      </c>
      <c r="AH225" s="57" t="n">
        <f aca="false">ROUNDUP(MAX(I225/IF(BV225&gt;0,BV225,MAX(0.1,N(Cockpit!$C$6))),BY225)/BQ225,0)*BQ225</f>
        <v>6</v>
      </c>
      <c r="AI225" s="58" t="n">
        <f aca="false">IF(AF225&gt;0,I225/AF225,-1)</f>
        <v>132</v>
      </c>
      <c r="AJ225" s="58" t="n">
        <f aca="false">IF(AND(OR(BU225="L1",BU225="L23"),AF225&gt;0),SUMIFS($AF$7:$AF$1576,$BU$7:$BU$1576,BU225,$AI$7:$AI$1576,"&gt;"&amp;AI225)+SUMIFS($AF$7:$AF$1576,$BU$7:$BU$1576,BU225,$AI$7:$AI$1576,AI225,$BO$7:$BO$1576,"&lt;="&amp;BO225),"")</f>
        <v>20.4237083206648</v>
      </c>
      <c r="AK225" s="65" t="n">
        <f aca="false">IF(AJ225="",0,MAX(0,MIN(1,(IF(BU225="L1",Parameter!$E$5,Parameter!$E$6+Parameter!$E$7)-(AJ225-AF225))/AF225)))</f>
        <v>1</v>
      </c>
      <c r="AL225" s="57" t="n">
        <f aca="false">IF(LEFT(Cockpit!$I$5,1)="A",G225,IF(BW225=1,BX225,IF(LEFT(Cockpit!$I$5,1)="B",AP225,MAX(AP225,G225))))</f>
        <v>6</v>
      </c>
      <c r="AM225" s="57" t="n">
        <f aca="false">IF(BR225=1,0,ROUNDUP(AL225/BQ225,0))</f>
        <v>1</v>
      </c>
      <c r="AN225" s="59" t="n">
        <f aca="false">IF(CD225&gt;0,CD225*MAX(1,AL225/V225),IF(BR225=1,IF(AL225&lt;=0,0,BS225*MAX(1,IF(G225&gt;0,AL225/G225,1))),IF(Q225&gt;0,AM225/Q225,0))/MAX(0.1,N(Parameter!$M$21)))</f>
        <v>0.0833333333333333</v>
      </c>
      <c r="AO225" s="57" t="n">
        <f aca="false">AL225*F225</f>
        <v>3840</v>
      </c>
      <c r="AP225" s="57" t="n">
        <f aca="false">ROUNDUP(MAX(I225/IF(BV225&gt;0,BV225,MAX(0.1,N(Cockpit!$I$6))),BY225)/BQ225,0)*BQ225</f>
        <v>6</v>
      </c>
      <c r="AQ225" s="58" t="n">
        <f aca="false">IF(AN225&gt;0,I225/AN225,-1)</f>
        <v>132</v>
      </c>
      <c r="AR225" s="58" t="n">
        <f aca="false">IF(AND(OR(BU225="L1",BU225="L23"),AN225&gt;0),SUMIFS($AN$7:$AN$1576,$BU$7:$BU$1576,BU225,$AQ$7:$AQ$1576,"&gt;"&amp;AQ225)+SUMIFS($AN$7:$AN$1576,$BU$7:$BU$1576,BU225,$AQ$7:$AQ$1576,AQ225,$BO$7:$BO$1576,"&lt;="&amp;BO225),"")</f>
        <v>60.0555571605683</v>
      </c>
      <c r="AS225" s="65" t="n">
        <f aca="false">IF(AR225="",0,MAX(0,MIN(1,(IF(BU225="L1",Parameter!$E$5,Parameter!$E$6+Parameter!$E$7)-(AR225-AN225))/AN225)))</f>
        <v>1</v>
      </c>
      <c r="AT225" s="57" t="n">
        <f aca="false">IF(LEFT(Cockpit!$O$5,1)="A",G225,IF(BW225=1,BX225,IF(LEFT(Cockpit!$O$5,1)="B",AX225,MAX(AX225,G225))))</f>
        <v>6</v>
      </c>
      <c r="AU225" s="57" t="n">
        <f aca="false">IF(BR225=1,0,ROUNDUP(AT225/BQ225,0))</f>
        <v>1</v>
      </c>
      <c r="AV225" s="59" t="n">
        <f aca="false">IF(CD225&gt;0,CD225*MAX(1,AT225/V225),IF(BR225=1,IF(AT225&lt;=0,0,BS225*MAX(1,IF(G225&gt;0,AT225/G225,1))),IF(Q225&gt;0,AU225/Q225,0))/MAX(0.1,N(Parameter!$M$21)))</f>
        <v>0.0833333333333333</v>
      </c>
      <c r="AW225" s="57" t="n">
        <f aca="false">AT225*F225</f>
        <v>3840</v>
      </c>
      <c r="AX225" s="57" t="n">
        <f aca="false">ROUNDUP(MAX(I225/IF(BV225&gt;0,BV225,MAX(0.1,N(Cockpit!$O$6))),BY225)/BQ225,0)*BQ225</f>
        <v>6</v>
      </c>
      <c r="AY225" s="58" t="n">
        <f aca="false">IF(AV225&gt;0,I225/AV225,-1)</f>
        <v>132</v>
      </c>
      <c r="AZ225" s="58" t="n">
        <f aca="false">IF(AND(OR(BU225="L1",BU225="L23"),AV225&gt;0),SUMIFS($AV$7:$AV$1576,$BU$7:$BU$1576,BU225,$AY$7:$AY$1576,"&gt;"&amp;AY225)+SUMIFS($AV$7:$AV$1576,$BU$7:$BU$1576,BU225,$AY$7:$AY$1576,AY225,$BO$7:$BO$1576,"&lt;="&amp;BO225),"")</f>
        <v>54.7180242767854</v>
      </c>
      <c r="BA225" s="65" t="n">
        <f aca="false">IF(AZ225="",0,MAX(0,MIN(1,(IF(BU225="L1",Parameter!$E$5,Parameter!$E$6+Parameter!$E$7)-(AZ225-AV225))/AV225)))</f>
        <v>1</v>
      </c>
      <c r="BB225" s="55" t="str">
        <f aca="false">IF(AF225&lt;=0,"",IF(BU225="Aussen","Aussenlager",IF(BU225="-","Nicht im Lift",IF(AK225&gt;=1,"Lift",IF(AK225&lt;=0,"Aussenlager","teilweise")))))</f>
        <v>Lift</v>
      </c>
      <c r="BC225" s="55" t="str">
        <f aca="false">IF(AN225&lt;=0,"",IF(BU225="Aussen","Aussenlager",IF(BU225="-","Nicht im Lift",IF(AS225&gt;=1,"Lift",IF(AS225&lt;=0,"Aussenlager","teilweise")))))</f>
        <v>Lift</v>
      </c>
      <c r="BD225" s="55" t="str">
        <f aca="false">IF(AV225&lt;=0,"",IF(BU225="Aussen","Aussenlager",IF(BU225="-","Nicht im Lift",IF(BA225&gt;=1,"Lift",IF(BA225&lt;=0,"Aussenlager","teilweise")))))</f>
        <v>Lift</v>
      </c>
      <c r="BE225" s="55" t="str">
        <f aca="false">IF(A225="","",IF(BN225=1,"Neu; ","")&amp;IF(AND(BN225=0,BI225&lt;0),"negativer Bestand (Export "&amp;BI225&amp;"); ","")&amp;IF(I225&lt;=0,"Kein Verbrauch; ","")&amp;IF(CD225&gt;0,"Lift "&amp;U225&amp;" lt. Liftbericht (Fach "&amp;V225&amp;" Stk); ",IF(BR225=1,"Lose – Fläche geschätzt; ",""))&amp;IF(G225&gt;AP225,"Überbestand "&amp;ROUND(G225-AP225,0)&amp;" Stk / CHF "&amp;ROUND((G225-AP225)*F225,0)&amp;"; ","")&amp;IF(AND(BW225=1,BX225&lt;BY225),"MAX &lt; MB+LG; ","")&amp;IF(AND(CC225&gt;0,CB225*10&gt;CC225),"zu hoch für Tablar; ","")&amp;IF(AND(BN225=0,OR(BW225=1,Y225&lt;&gt;"",S225&lt;&gt;"",T225&lt;&gt;"",Z225&lt;&gt;"")),"manuell übersteuert; ","")&amp;IF(AND(BR225=0,Q225=0),"Gebinde unbekannt / Stellmass fehlt; ","")&amp;IF(AND(BR225=0,N(T225)&lt;=0,N(P225)&lt;=0),"Menge pro Gebinde fehlt (Ist = 1 Gebinde); ","")&amp;BM225)</f>
        <v/>
      </c>
      <c r="BF225" s="55"/>
      <c r="BG225" s="55"/>
      <c r="BH225" s="62"/>
      <c r="BI225" s="57" t="n">
        <v>1</v>
      </c>
      <c r="BJ225" s="57" t="n">
        <v>0</v>
      </c>
      <c r="BK225" s="56" t="n">
        <v>640</v>
      </c>
      <c r="BL225" s="57" t="n">
        <v>11</v>
      </c>
      <c r="BM225" s="55"/>
      <c r="BN225" s="60" t="n">
        <v>0</v>
      </c>
      <c r="BO225" s="60" t="n">
        <v>225</v>
      </c>
      <c r="BP225" s="55" t="str">
        <f aca="false">IF(S225&lt;&gt;"",UPPER(TRIM(S225)),IF(O225="","LOSE",O225))</f>
        <v>S61</v>
      </c>
      <c r="BQ225" s="57" t="n">
        <f aca="false">IF(BP225="LOSE",1,IF(N(T225)&gt;0,T225,IF(N(P225)&gt;0,P225,MAX(1,G225))))</f>
        <v>6</v>
      </c>
      <c r="BR225" s="60" t="n">
        <f aca="false">IF(BP225="LOSE",1,0)</f>
        <v>0</v>
      </c>
      <c r="BS225" s="59" t="n">
        <f aca="false">IF(BR225=0,0,IF(N(R225)&gt;0,R225,IFERROR(VLOOKUP(D225,Parameter!$A$35:$C$64,3,0)+0,0)))</f>
        <v>0</v>
      </c>
      <c r="BT225" s="55" t="n">
        <f aca="false">IF(Y225&lt;&gt;"",Y225,X225)</f>
        <v>2</v>
      </c>
      <c r="BU225" s="55" t="str">
        <f aca="false">IF(BT225=1,"L1",IF(OR(BT225=2,BT225=3),"L23",IF(BT225="Aussen","Aussen","-")))</f>
        <v>L23</v>
      </c>
      <c r="BV225" s="66" t="n">
        <f aca="false">IF(N(Z225)&gt;0,Z225,0)</f>
        <v>0</v>
      </c>
      <c r="BW225" s="60" t="n">
        <f aca="false">IF(ISNUMBER(AC225),1,0)</f>
        <v>0</v>
      </c>
      <c r="BX225" s="57" t="n">
        <f aca="false">N(AC225)</f>
        <v>0</v>
      </c>
      <c r="BY225" s="57" t="n">
        <f aca="false">N(L225)+N(M225)</f>
        <v>6</v>
      </c>
      <c r="BZ225" s="57" t="n">
        <f aca="false">ROUNDUP(G225/BQ225,0)</f>
        <v>1</v>
      </c>
      <c r="CA225" s="57" t="n">
        <f aca="false">ROUNDUP(BX225/BQ225,0)</f>
        <v>0</v>
      </c>
      <c r="CB225" s="60" t="n">
        <f aca="false">IF(BR225=1,0,IFERROR(VLOOKUP(BP225,'Gebinde-Kategorie'!$A$5:$M$45,5,0)+0,0))</f>
        <v>11</v>
      </c>
      <c r="CC225" s="60" t="n">
        <f aca="false">IFERROR(IF(OR(BT225=1,BT225=2,BT225=3),N(INDEX(Parameter!$I$5:$I$7,BT225)),0),0)</f>
        <v>0</v>
      </c>
      <c r="CD225" s="59" t="n">
        <f aca="false">IF(AND(Parameter!$B$21="Ja",ISNUMBER(U225),N(V225)&gt;0),IFERROR(N(INDEX(Parameter!$L$5:$L$7,U225))*INDEX(Parameter!$E$5:$E$7,U225)*V225/SUMIFS($V$7:$V$1576,$U$7:$U$1576,U225),0),0)</f>
        <v>0</v>
      </c>
    </row>
    <row r="226" customFormat="false" ht="15" hidden="false" customHeight="false" outlineLevel="0" collapsed="false">
      <c r="A226" s="55" t="s">
        <v>632</v>
      </c>
      <c r="B226" s="55" t="s">
        <v>633</v>
      </c>
      <c r="C226" s="55" t="s">
        <v>160</v>
      </c>
      <c r="D226" s="55" t="s">
        <v>178</v>
      </c>
      <c r="E226" s="55" t="s">
        <v>210</v>
      </c>
      <c r="F226" s="56" t="n">
        <v>7.7</v>
      </c>
      <c r="G226" s="57" t="n">
        <f aca="false">MAX(0,IF(AND(Parameter!$B$21="Ja",ISNUMBER(W226)),W226,IF(Parameter!$B$20="Jahresanfang 2025 + Export",BJ226+BI226,BI226)))</f>
        <v>83</v>
      </c>
      <c r="H226" s="57" t="n">
        <f aca="false">G226*F226</f>
        <v>639.1</v>
      </c>
      <c r="I226" s="57" t="n">
        <f aca="false">BL226*Parameter!$B$18</f>
        <v>129</v>
      </c>
      <c r="J226" s="58" t="n">
        <v>37</v>
      </c>
      <c r="K226" s="59" t="n">
        <v>3.48648648648649</v>
      </c>
      <c r="L226" s="57" t="n">
        <v>7</v>
      </c>
      <c r="M226" s="57" t="n">
        <v>130</v>
      </c>
      <c r="N226" s="60" t="n">
        <v>21</v>
      </c>
      <c r="O226" s="55" t="s">
        <v>293</v>
      </c>
      <c r="P226" s="57" t="n">
        <v>131</v>
      </c>
      <c r="Q226" s="60" t="n">
        <f aca="false">IF(BR226=1,0,IFERROR(VLOOKUP(BP226,'Gebinde-Kategorie'!$A$5:$M$45,13,0)+0,0))</f>
        <v>26</v>
      </c>
      <c r="R226" s="61"/>
      <c r="S226" s="62"/>
      <c r="T226" s="62"/>
      <c r="U226" s="55"/>
      <c r="V226" s="57"/>
      <c r="W226" s="57"/>
      <c r="X226" s="55" t="n">
        <f aca="false">IF(A226="","",IF(AND(Parameter!$B$21="Ja",ISNUMBER(U226)),U226,IF(IFERROR(VLOOKUP(D226,Parameter!$A$35:$C$64,2,0),"Nein")="2+3",IF(ISNUMBER(SEARCH("grosser Artikel",BM226)),2,IFERROR(VLOOKUP(BP226,Parameter!$F$35:$G$64,2,0),2)),IF(OR(IFERROR(VLOOKUP(D226,Parameter!$A$35:$C$64,2,0),"Nein")="Nein",IFERROR(VLOOKUP(D226,Parameter!$A$35:$C$64,2,0),"Nein")=""),"-",VLOOKUP(D226,Parameter!$A$35:$C$64,2,0)))))</f>
        <v>3</v>
      </c>
      <c r="Y226" s="62"/>
      <c r="Z226" s="63"/>
      <c r="AA226" s="57" t="n">
        <f aca="false">AP226</f>
        <v>262</v>
      </c>
      <c r="AB226" s="57" t="n">
        <f aca="false">MAX(AP226,G226)</f>
        <v>262</v>
      </c>
      <c r="AC226" s="64"/>
      <c r="AD226" s="57" t="n">
        <f aca="false">IF(LEFT(Cockpit!$C$5,1)="A",G226,IF(BW226=1,BX226,IF(LEFT(Cockpit!$C$5,1)="B",AH226,MAX(AH226,G226))))</f>
        <v>83</v>
      </c>
      <c r="AE226" s="57" t="n">
        <f aca="false">IF(BR226=1,0,ROUNDUP(AD226/BQ226,0))</f>
        <v>1</v>
      </c>
      <c r="AF226" s="59" t="n">
        <f aca="false">IF(CD226&gt;0,CD226*MAX(1,AD226/V226),IF(BR226=1,IF(AD226&lt;=0,0,BS226*MAX(1,IF(G226&gt;0,AD226/G226,1))),IF(Q226&gt;0,AE226/Q226,0))/MAX(0.1,N(Parameter!$M$21)))</f>
        <v>0.0384615384615385</v>
      </c>
      <c r="AG226" s="57" t="n">
        <f aca="false">AD226*F226</f>
        <v>639.1</v>
      </c>
      <c r="AH226" s="57" t="n">
        <f aca="false">ROUNDUP(MAX(I226/IF(BV226&gt;0,BV226,MAX(0.1,N(Cockpit!$C$6))),BY226)/BQ226,0)*BQ226</f>
        <v>262</v>
      </c>
      <c r="AI226" s="58" t="n">
        <f aca="false">IF(AF226&gt;0,I226/AF226,-1)</f>
        <v>3354</v>
      </c>
      <c r="AJ226" s="58" t="n">
        <f aca="false">IF(AND(OR(BU226="L1",BU226="L23"),AF226&gt;0),SUMIFS($AF$7:$AF$1576,$BU$7:$BU$1576,BU226,$AI$7:$AI$1576,"&gt;"&amp;AI226)+SUMIFS($AF$7:$AF$1576,$BU$7:$BU$1576,BU226,$AI$7:$AI$1576,AI226,$BO$7:$BO$1576,"&lt;="&amp;BO226),"")</f>
        <v>4.56446876794703</v>
      </c>
      <c r="AK226" s="65" t="n">
        <f aca="false">IF(AJ226="",0,MAX(0,MIN(1,(IF(BU226="L1",Parameter!$E$5,Parameter!$E$6+Parameter!$E$7)-(AJ226-AF226))/AF226)))</f>
        <v>1</v>
      </c>
      <c r="AL226" s="57" t="n">
        <f aca="false">IF(LEFT(Cockpit!$I$5,1)="A",G226,IF(BW226=1,BX226,IF(LEFT(Cockpit!$I$5,1)="B",AP226,MAX(AP226,G226))))</f>
        <v>262</v>
      </c>
      <c r="AM226" s="57" t="n">
        <f aca="false">IF(BR226=1,0,ROUNDUP(AL226/BQ226,0))</f>
        <v>2</v>
      </c>
      <c r="AN226" s="59" t="n">
        <f aca="false">IF(CD226&gt;0,CD226*MAX(1,AL226/V226),IF(BR226=1,IF(AL226&lt;=0,0,BS226*MAX(1,IF(G226&gt;0,AL226/G226,1))),IF(Q226&gt;0,AM226/Q226,0))/MAX(0.1,N(Parameter!$M$21)))</f>
        <v>0.0769230769230769</v>
      </c>
      <c r="AO226" s="57" t="n">
        <f aca="false">AL226*F226</f>
        <v>2017.4</v>
      </c>
      <c r="AP226" s="57" t="n">
        <f aca="false">ROUNDUP(MAX(I226/IF(BV226&gt;0,BV226,MAX(0.1,N(Cockpit!$I$6))),BY226)/BQ226,0)*BQ226</f>
        <v>262</v>
      </c>
      <c r="AQ226" s="58" t="n">
        <f aca="false">IF(AN226&gt;0,I226/AN226,-1)</f>
        <v>1677</v>
      </c>
      <c r="AR226" s="58" t="n">
        <f aca="false">IF(AND(OR(BU226="L1",BU226="L23"),AN226&gt;0),SUMIFS($AN$7:$AN$1576,$BU$7:$BU$1576,BU226,$AQ$7:$AQ$1576,"&gt;"&amp;AQ226)+SUMIFS($AN$7:$AN$1576,$BU$7:$BU$1576,BU226,$AQ$7:$AQ$1576,AQ226,$BO$7:$BO$1576,"&lt;="&amp;BO226),"")</f>
        <v>18.4872794479428</v>
      </c>
      <c r="AS226" s="65" t="n">
        <f aca="false">IF(AR226="",0,MAX(0,MIN(1,(IF(BU226="L1",Parameter!$E$5,Parameter!$E$6+Parameter!$E$7)-(AR226-AN226))/AN226)))</f>
        <v>1</v>
      </c>
      <c r="AT226" s="57" t="n">
        <f aca="false">IF(LEFT(Cockpit!$O$5,1)="A",G226,IF(BW226=1,BX226,IF(LEFT(Cockpit!$O$5,1)="B",AX226,MAX(AX226,G226))))</f>
        <v>262</v>
      </c>
      <c r="AU226" s="57" t="n">
        <f aca="false">IF(BR226=1,0,ROUNDUP(AT226/BQ226,0))</f>
        <v>2</v>
      </c>
      <c r="AV226" s="59" t="n">
        <f aca="false">IF(CD226&gt;0,CD226*MAX(1,AT226/V226),IF(BR226=1,IF(AT226&lt;=0,0,BS226*MAX(1,IF(G226&gt;0,AT226/G226,1))),IF(Q226&gt;0,AU226/Q226,0))/MAX(0.1,N(Parameter!$M$21)))</f>
        <v>0.0769230769230769</v>
      </c>
      <c r="AW226" s="57" t="n">
        <f aca="false">AT226*F226</f>
        <v>2017.4</v>
      </c>
      <c r="AX226" s="57" t="n">
        <f aca="false">ROUNDUP(MAX(I226/IF(BV226&gt;0,BV226,MAX(0.1,N(Cockpit!$O$6))),BY226)/BQ226,0)*BQ226</f>
        <v>262</v>
      </c>
      <c r="AY226" s="58" t="n">
        <f aca="false">IF(AV226&gt;0,I226/AV226,-1)</f>
        <v>1677</v>
      </c>
      <c r="AZ226" s="58" t="n">
        <f aca="false">IF(AND(OR(BU226="L1",BU226="L23"),AV226&gt;0),SUMIFS($AV$7:$AV$1576,$BU$7:$BU$1576,BU226,$AY$7:$AY$1576,"&gt;"&amp;AY226)+SUMIFS($AV$7:$AV$1576,$BU$7:$BU$1576,BU226,$AY$7:$AY$1576,AY226,$BO$7:$BO$1576,"&lt;="&amp;BO226),"")</f>
        <v>17.4645521752155</v>
      </c>
      <c r="BA226" s="65" t="n">
        <f aca="false">IF(AZ226="",0,MAX(0,MIN(1,(IF(BU226="L1",Parameter!$E$5,Parameter!$E$6+Parameter!$E$7)-(AZ226-AV226))/AV226)))</f>
        <v>1</v>
      </c>
      <c r="BB226" s="55" t="str">
        <f aca="false">IF(AF226&lt;=0,"",IF(BU226="Aussen","Aussenlager",IF(BU226="-","Nicht im Lift",IF(AK226&gt;=1,"Lift",IF(AK226&lt;=0,"Aussenlager","teilweise")))))</f>
        <v>Lift</v>
      </c>
      <c r="BC226" s="55" t="str">
        <f aca="false">IF(AN226&lt;=0,"",IF(BU226="Aussen","Aussenlager",IF(BU226="-","Nicht im Lift",IF(AS226&gt;=1,"Lift",IF(AS226&lt;=0,"Aussenlager","teilweise")))))</f>
        <v>Lift</v>
      </c>
      <c r="BD226" s="55" t="str">
        <f aca="false">IF(AV226&lt;=0,"",IF(BU226="Aussen","Aussenlager",IF(BU226="-","Nicht im Lift",IF(BA226&gt;=1,"Lift",IF(BA226&lt;=0,"Aussenlager","teilweise")))))</f>
        <v>Lift</v>
      </c>
      <c r="BE226" s="55" t="str">
        <f aca="false">IF(A226="","",IF(BN226=1,"Neu; ","")&amp;IF(AND(BN226=0,BI226&lt;0),"negativer Bestand (Export "&amp;BI226&amp;"); ","")&amp;IF(I226&lt;=0,"Kein Verbrauch; ","")&amp;IF(CD226&gt;0,"Lift "&amp;U226&amp;" lt. Liftbericht (Fach "&amp;V226&amp;" Stk); ",IF(BR226=1,"Lose – Fläche geschätzt; ",""))&amp;IF(G226&gt;AP226,"Überbestand "&amp;ROUND(G226-AP226,0)&amp;" Stk / CHF "&amp;ROUND((G226-AP226)*F226,0)&amp;"; ","")&amp;IF(AND(BW226=1,BX226&lt;BY226),"MAX &lt; MB+LG; ","")&amp;IF(AND(CC226&gt;0,CB226*10&gt;CC226),"zu hoch für Tablar; ","")&amp;IF(AND(BN226=0,OR(BW226=1,Y226&lt;&gt;"",S226&lt;&gt;"",T226&lt;&gt;"",Z226&lt;&gt;"")),"manuell übersteuert; ","")&amp;IF(AND(BR226=0,Q226=0),"Gebinde unbekannt / Stellmass fehlt; ","")&amp;IF(AND(BR226=0,N(T226)&lt;=0,N(P226)&lt;=0),"Menge pro Gebinde fehlt (Ist = 1 Gebinde); ","")&amp;BM226)</f>
        <v/>
      </c>
      <c r="BF226" s="55"/>
      <c r="BG226" s="55"/>
      <c r="BH226" s="62"/>
      <c r="BI226" s="57" t="n">
        <v>83</v>
      </c>
      <c r="BJ226" s="57" t="n">
        <v>36</v>
      </c>
      <c r="BK226" s="56" t="n">
        <v>638.739999999999</v>
      </c>
      <c r="BL226" s="57" t="n">
        <v>129</v>
      </c>
      <c r="BM226" s="55"/>
      <c r="BN226" s="60" t="n">
        <v>0</v>
      </c>
      <c r="BO226" s="60" t="n">
        <v>226</v>
      </c>
      <c r="BP226" s="55" t="str">
        <f aca="false">IF(S226&lt;&gt;"",UPPER(TRIM(S226)),IF(O226="","LOSE",O226))</f>
        <v>S51</v>
      </c>
      <c r="BQ226" s="57" t="n">
        <f aca="false">IF(BP226="LOSE",1,IF(N(T226)&gt;0,T226,IF(N(P226)&gt;0,P226,MAX(1,G226))))</f>
        <v>131</v>
      </c>
      <c r="BR226" s="60" t="n">
        <f aca="false">IF(BP226="LOSE",1,0)</f>
        <v>0</v>
      </c>
      <c r="BS226" s="59" t="n">
        <f aca="false">IF(BR226=0,0,IF(N(R226)&gt;0,R226,IFERROR(VLOOKUP(D226,Parameter!$A$35:$C$64,3,0)+0,0)))</f>
        <v>0</v>
      </c>
      <c r="BT226" s="55" t="n">
        <f aca="false">IF(Y226&lt;&gt;"",Y226,X226)</f>
        <v>3</v>
      </c>
      <c r="BU226" s="55" t="str">
        <f aca="false">IF(BT226=1,"L1",IF(OR(BT226=2,BT226=3),"L23",IF(BT226="Aussen","Aussen","-")))</f>
        <v>L23</v>
      </c>
      <c r="BV226" s="66" t="n">
        <f aca="false">IF(N(Z226)&gt;0,Z226,0)</f>
        <v>0</v>
      </c>
      <c r="BW226" s="60" t="n">
        <f aca="false">IF(ISNUMBER(AC226),1,0)</f>
        <v>0</v>
      </c>
      <c r="BX226" s="57" t="n">
        <f aca="false">N(AC226)</f>
        <v>0</v>
      </c>
      <c r="BY226" s="57" t="n">
        <f aca="false">N(L226)+N(M226)</f>
        <v>137</v>
      </c>
      <c r="BZ226" s="57" t="n">
        <f aca="false">ROUNDUP(G226/BQ226,0)</f>
        <v>1</v>
      </c>
      <c r="CA226" s="57" t="n">
        <f aca="false">ROUNDUP(BX226/BQ226,0)</f>
        <v>0</v>
      </c>
      <c r="CB226" s="60" t="n">
        <f aca="false">IF(BR226=1,0,IFERROR(VLOOKUP(BP226,'Gebinde-Kategorie'!$A$5:$M$45,5,0)+0,0))</f>
        <v>11</v>
      </c>
      <c r="CC226" s="60" t="n">
        <f aca="false">IFERROR(IF(OR(BT226=1,BT226=2,BT226=3),N(INDEX(Parameter!$I$5:$I$7,BT226)),0),0)</f>
        <v>0</v>
      </c>
      <c r="CD226" s="59" t="n">
        <f aca="false">IF(AND(Parameter!$B$21="Ja",ISNUMBER(U226),N(V226)&gt;0),IFERROR(N(INDEX(Parameter!$L$5:$L$7,U226))*INDEX(Parameter!$E$5:$E$7,U226)*V226/SUMIFS($V$7:$V$1576,$U$7:$U$1576,U226),0),0)</f>
        <v>0</v>
      </c>
    </row>
    <row r="227" customFormat="false" ht="15" hidden="false" customHeight="false" outlineLevel="0" collapsed="false">
      <c r="A227" s="55" t="s">
        <v>634</v>
      </c>
      <c r="B227" s="55" t="s">
        <v>635</v>
      </c>
      <c r="C227" s="55" t="s">
        <v>160</v>
      </c>
      <c r="D227" s="55" t="s">
        <v>168</v>
      </c>
      <c r="E227" s="55" t="s">
        <v>210</v>
      </c>
      <c r="F227" s="56" t="n">
        <v>245.45</v>
      </c>
      <c r="G227" s="57" t="n">
        <f aca="false">MAX(0,IF(AND(Parameter!$B$21="Ja",ISNUMBER(W227)),W227,IF(Parameter!$B$20="Jahresanfang 2025 + Export",BJ227+BI227,BI227)))</f>
        <v>2</v>
      </c>
      <c r="H227" s="57" t="n">
        <f aca="false">G227*F227</f>
        <v>490.9</v>
      </c>
      <c r="I227" s="57" t="n">
        <f aca="false">BL227*Parameter!$B$18</f>
        <v>20</v>
      </c>
      <c r="J227" s="58" t="n">
        <v>1</v>
      </c>
      <c r="K227" s="59" t="n">
        <v>20</v>
      </c>
      <c r="L227" s="57" t="n">
        <v>1</v>
      </c>
      <c r="M227" s="57" t="n">
        <v>2</v>
      </c>
      <c r="N227" s="60" t="n">
        <v>14</v>
      </c>
      <c r="O227" s="55" t="s">
        <v>163</v>
      </c>
      <c r="P227" s="57"/>
      <c r="Q227" s="60" t="n">
        <f aca="false">IF(BR227=1,0,IFERROR(VLOOKUP(BP227,'Gebinde-Kategorie'!$A$5:$M$45,13,0)+0,0))</f>
        <v>0</v>
      </c>
      <c r="R227" s="61"/>
      <c r="S227" s="62"/>
      <c r="T227" s="62"/>
      <c r="U227" s="55"/>
      <c r="V227" s="57"/>
      <c r="W227" s="57"/>
      <c r="X227" s="55" t="n">
        <f aca="false">IF(A227="","",IF(AND(Parameter!$B$21="Ja",ISNUMBER(U227)),U227,IF(IFERROR(VLOOKUP(D227,Parameter!$A$35:$C$64,2,0),"Nein")="2+3",IF(ISNUMBER(SEARCH("grosser Artikel",BM227)),2,IFERROR(VLOOKUP(BP227,Parameter!$F$35:$G$64,2,0),2)),IF(OR(IFERROR(VLOOKUP(D227,Parameter!$A$35:$C$64,2,0),"Nein")="Nein",IFERROR(VLOOKUP(D227,Parameter!$A$35:$C$64,2,0),"Nein")=""),"-",VLOOKUP(D227,Parameter!$A$35:$C$64,2,0)))))</f>
        <v>2</v>
      </c>
      <c r="Y227" s="62"/>
      <c r="Z227" s="63"/>
      <c r="AA227" s="57" t="n">
        <f aca="false">AP227</f>
        <v>10</v>
      </c>
      <c r="AB227" s="57" t="n">
        <f aca="false">MAX(AP227,G227)</f>
        <v>10</v>
      </c>
      <c r="AC227" s="64"/>
      <c r="AD227" s="57" t="n">
        <f aca="false">IF(LEFT(Cockpit!$C$5,1)="A",G227,IF(BW227=1,BX227,IF(LEFT(Cockpit!$C$5,1)="B",AH227,MAX(AH227,G227))))</f>
        <v>2</v>
      </c>
      <c r="AE227" s="57" t="n">
        <f aca="false">IF(BR227=1,0,ROUNDUP(AD227/BQ227,0))</f>
        <v>0</v>
      </c>
      <c r="AF227" s="59" t="n">
        <f aca="false">IF(CD227&gt;0,CD227*MAX(1,AD227/V227),IF(BR227=1,IF(AD227&lt;=0,0,BS227*MAX(1,IF(G227&gt;0,AD227/G227,1))),IF(Q227&gt;0,AE227/Q227,0))/MAX(0.1,N(Parameter!$M$21)))</f>
        <v>0.15</v>
      </c>
      <c r="AG227" s="57" t="n">
        <f aca="false">AD227*F227</f>
        <v>490.9</v>
      </c>
      <c r="AH227" s="57" t="n">
        <f aca="false">ROUNDUP(MAX(I227/IF(BV227&gt;0,BV227,MAX(0.1,N(Cockpit!$C$6))),BY227)/BQ227,0)*BQ227</f>
        <v>10</v>
      </c>
      <c r="AI227" s="58" t="n">
        <f aca="false">IF(AF227&gt;0,I227/AF227,-1)</f>
        <v>133.333333333333</v>
      </c>
      <c r="AJ227" s="58" t="n">
        <f aca="false">IF(AND(OR(BU227="L1",BU227="L23"),AF227&gt;0),SUMIFS($AF$7:$AF$1576,$BU$7:$BU$1576,BU227,$AI$7:$AI$1576,"&gt;"&amp;AI227)+SUMIFS($AF$7:$AF$1576,$BU$7:$BU$1576,BU227,$AI$7:$AI$1576,AI227,$BO$7:$BO$1576,"&lt;="&amp;BO227),"")</f>
        <v>20.1903749873315</v>
      </c>
      <c r="AK227" s="65" t="n">
        <f aca="false">IF(AJ227="",0,MAX(0,MIN(1,(IF(BU227="L1",Parameter!$E$5,Parameter!$E$6+Parameter!$E$7)-(AJ227-AF227))/AF227)))</f>
        <v>1</v>
      </c>
      <c r="AL227" s="57" t="n">
        <f aca="false">IF(LEFT(Cockpit!$I$5,1)="A",G227,IF(BW227=1,BX227,IF(LEFT(Cockpit!$I$5,1)="B",AP227,MAX(AP227,G227))))</f>
        <v>10</v>
      </c>
      <c r="AM227" s="57" t="n">
        <f aca="false">IF(BR227=1,0,ROUNDUP(AL227/BQ227,0))</f>
        <v>0</v>
      </c>
      <c r="AN227" s="59" t="n">
        <f aca="false">IF(CD227&gt;0,CD227*MAX(1,AL227/V227),IF(BR227=1,IF(AL227&lt;=0,0,BS227*MAX(1,IF(G227&gt;0,AL227/G227,1))),IF(Q227&gt;0,AM227/Q227,0))/MAX(0.1,N(Parameter!$M$21)))</f>
        <v>0.75</v>
      </c>
      <c r="AO227" s="57" t="n">
        <f aca="false">AL227*F227</f>
        <v>2454.5</v>
      </c>
      <c r="AP227" s="57" t="n">
        <f aca="false">ROUNDUP(MAX(I227/IF(BV227&gt;0,BV227,MAX(0.1,N(Cockpit!$I$6))),BY227)/BQ227,0)*BQ227</f>
        <v>10</v>
      </c>
      <c r="AQ227" s="58" t="n">
        <f aca="false">IF(AN227&gt;0,I227/AN227,-1)</f>
        <v>26.6666666666667</v>
      </c>
      <c r="AR227" s="58" t="n">
        <f aca="false">IF(AND(OR(BU227="L1",BU227="L23"),AN227&gt;0),SUMIFS($AN$7:$AN$1576,$BU$7:$BU$1576,BU227,$AQ$7:$AQ$1576,"&gt;"&amp;AQ227)+SUMIFS($AN$7:$AN$1576,$BU$7:$BU$1576,BU227,$AQ$7:$AQ$1576,AQ227,$BO$7:$BO$1576,"&lt;="&amp;BO227),"")</f>
        <v>96.4424345886957</v>
      </c>
      <c r="AS227" s="65" t="n">
        <f aca="false">IF(AR227="",0,MAX(0,MIN(1,(IF(BU227="L1",Parameter!$E$5,Parameter!$E$6+Parameter!$E$7)-(AR227-AN227))/AN227)))</f>
        <v>1</v>
      </c>
      <c r="AT227" s="57" t="n">
        <f aca="false">IF(LEFT(Cockpit!$O$5,1)="A",G227,IF(BW227=1,BX227,IF(LEFT(Cockpit!$O$5,1)="B",AX227,MAX(AX227,G227))))</f>
        <v>7</v>
      </c>
      <c r="AU227" s="57" t="n">
        <f aca="false">IF(BR227=1,0,ROUNDUP(AT227/BQ227,0))</f>
        <v>0</v>
      </c>
      <c r="AV227" s="59" t="n">
        <f aca="false">IF(CD227&gt;0,CD227*MAX(1,AT227/V227),IF(BR227=1,IF(AT227&lt;=0,0,BS227*MAX(1,IF(G227&gt;0,AT227/G227,1))),IF(Q227&gt;0,AU227/Q227,0))/MAX(0.1,N(Parameter!$M$21)))</f>
        <v>0.525</v>
      </c>
      <c r="AW227" s="57" t="n">
        <f aca="false">AT227*F227</f>
        <v>1718.15</v>
      </c>
      <c r="AX227" s="57" t="n">
        <f aca="false">ROUNDUP(MAX(I227/IF(BV227&gt;0,BV227,MAX(0.1,N(Cockpit!$O$6))),BY227)/BQ227,0)*BQ227</f>
        <v>7</v>
      </c>
      <c r="AY227" s="58" t="n">
        <f aca="false">IF(AV227&gt;0,I227/AV227,-1)</f>
        <v>38.0952380952381</v>
      </c>
      <c r="AZ227" s="58" t="n">
        <f aca="false">IF(AND(OR(BU227="L1",BU227="L23"),AV227&gt;0),SUMIFS($AV$7:$AV$1576,$BU$7:$BU$1576,BU227,$AY$7:$AY$1576,"&gt;"&amp;AY227)+SUMIFS($AV$7:$AV$1576,$BU$7:$BU$1576,BU227,$AY$7:$AY$1576,AY227,$BO$7:$BO$1576,"&lt;="&amp;BO227),"")</f>
        <v>82.4169850382462</v>
      </c>
      <c r="BA227" s="65" t="n">
        <f aca="false">IF(AZ227="",0,MAX(0,MIN(1,(IF(BU227="L1",Parameter!$E$5,Parameter!$E$6+Parameter!$E$7)-(AZ227-AV227))/AV227)))</f>
        <v>1</v>
      </c>
      <c r="BB227" s="55" t="str">
        <f aca="false">IF(AF227&lt;=0,"",IF(BU227="Aussen","Aussenlager",IF(BU227="-","Nicht im Lift",IF(AK227&gt;=1,"Lift",IF(AK227&lt;=0,"Aussenlager","teilweise")))))</f>
        <v>Lift</v>
      </c>
      <c r="BC227" s="55" t="str">
        <f aca="false">IF(AN227&lt;=0,"",IF(BU227="Aussen","Aussenlager",IF(BU227="-","Nicht im Lift",IF(AS227&gt;=1,"Lift",IF(AS227&lt;=0,"Aussenlager","teilweise")))))</f>
        <v>Lift</v>
      </c>
      <c r="BD227" s="55" t="str">
        <f aca="false">IF(AV227&lt;=0,"",IF(BU227="Aussen","Aussenlager",IF(BU227="-","Nicht im Lift",IF(BA227&gt;=1,"Lift",IF(BA227&lt;=0,"Aussenlager","teilweise")))))</f>
        <v>Lift</v>
      </c>
      <c r="BE227" s="55" t="str">
        <f aca="false">IF(A227="","",IF(BN227=1,"Neu; ","")&amp;IF(AND(BN227=0,BI227&lt;0),"negativer Bestand (Export "&amp;BI227&amp;"); ","")&amp;IF(I227&lt;=0,"Kein Verbrauch; ","")&amp;IF(CD227&gt;0,"Lift "&amp;U227&amp;" lt. Liftbericht (Fach "&amp;V227&amp;" Stk); ",IF(BR227=1,"Lose – Fläche geschätzt; ",""))&amp;IF(G227&gt;AP227,"Überbestand "&amp;ROUND(G227-AP227,0)&amp;" Stk / CHF "&amp;ROUND((G227-AP227)*F227,0)&amp;"; ","")&amp;IF(AND(BW227=1,BX227&lt;BY227),"MAX &lt; MB+LG; ","")&amp;IF(AND(CC227&gt;0,CB227*10&gt;CC227),"zu hoch für Tablar; ","")&amp;IF(AND(BN227=0,OR(BW227=1,Y227&lt;&gt;"",S227&lt;&gt;"",T227&lt;&gt;"",Z227&lt;&gt;"")),"manuell übersteuert; ","")&amp;IF(AND(BR227=0,Q227=0),"Gebinde unbekannt / Stellmass fehlt; ","")&amp;IF(AND(BR227=0,N(T227)&lt;=0,N(P227)&lt;=0),"Menge pro Gebinde fehlt (Ist = 1 Gebinde); ","")&amp;BM227)</f>
        <v>Lose – Fläche geschätzt; </v>
      </c>
      <c r="BF227" s="55"/>
      <c r="BG227" s="55"/>
      <c r="BH227" s="62"/>
      <c r="BI227" s="57" t="n">
        <v>2</v>
      </c>
      <c r="BJ227" s="57" t="n">
        <v>2</v>
      </c>
      <c r="BK227" s="56" t="n">
        <v>636.5</v>
      </c>
      <c r="BL227" s="57" t="n">
        <v>20</v>
      </c>
      <c r="BM227" s="55"/>
      <c r="BN227" s="60" t="n">
        <v>0</v>
      </c>
      <c r="BO227" s="60" t="n">
        <v>227</v>
      </c>
      <c r="BP227" s="55" t="str">
        <f aca="false">IF(S227&lt;&gt;"",UPPER(TRIM(S227)),IF(O227="","LOSE",O227))</f>
        <v>LOSE</v>
      </c>
      <c r="BQ227" s="57" t="n">
        <f aca="false">IF(BP227="LOSE",1,IF(N(T227)&gt;0,T227,IF(N(P227)&gt;0,P227,MAX(1,G227))))</f>
        <v>1</v>
      </c>
      <c r="BR227" s="60" t="n">
        <f aca="false">IF(BP227="LOSE",1,0)</f>
        <v>1</v>
      </c>
      <c r="BS227" s="59" t="n">
        <f aca="false">IF(BR227=0,0,IF(N(R227)&gt;0,R227,IFERROR(VLOOKUP(D227,Parameter!$A$35:$C$64,3,0)+0,0)))</f>
        <v>0.15</v>
      </c>
      <c r="BT227" s="55" t="n">
        <f aca="false">IF(Y227&lt;&gt;"",Y227,X227)</f>
        <v>2</v>
      </c>
      <c r="BU227" s="55" t="str">
        <f aca="false">IF(BT227=1,"L1",IF(OR(BT227=2,BT227=3),"L23",IF(BT227="Aussen","Aussen","-")))</f>
        <v>L23</v>
      </c>
      <c r="BV227" s="66" t="n">
        <f aca="false">IF(N(Z227)&gt;0,Z227,0)</f>
        <v>0</v>
      </c>
      <c r="BW227" s="60" t="n">
        <f aca="false">IF(ISNUMBER(AC227),1,0)</f>
        <v>0</v>
      </c>
      <c r="BX227" s="57" t="n">
        <f aca="false">N(AC227)</f>
        <v>0</v>
      </c>
      <c r="BY227" s="57" t="n">
        <f aca="false">N(L227)+N(M227)</f>
        <v>3</v>
      </c>
      <c r="BZ227" s="57" t="n">
        <f aca="false">ROUNDUP(G227/BQ227,0)</f>
        <v>2</v>
      </c>
      <c r="CA227" s="57" t="n">
        <f aca="false">ROUNDUP(BX227/BQ227,0)</f>
        <v>0</v>
      </c>
      <c r="CB227" s="60" t="n">
        <f aca="false">IF(BR227=1,0,IFERROR(VLOOKUP(BP227,'Gebinde-Kategorie'!$A$5:$M$45,5,0)+0,0))</f>
        <v>0</v>
      </c>
      <c r="CC227" s="60" t="n">
        <f aca="false">IFERROR(IF(OR(BT227=1,BT227=2,BT227=3),N(INDEX(Parameter!$I$5:$I$7,BT227)),0),0)</f>
        <v>0</v>
      </c>
      <c r="CD227" s="59" t="n">
        <f aca="false">IF(AND(Parameter!$B$21="Ja",ISNUMBER(U227),N(V227)&gt;0),IFERROR(N(INDEX(Parameter!$L$5:$L$7,U227))*INDEX(Parameter!$E$5:$E$7,U227)*V227/SUMIFS($V$7:$V$1576,$U$7:$U$1576,U227),0),0)</f>
        <v>0</v>
      </c>
    </row>
    <row r="228" customFormat="false" ht="15" hidden="false" customHeight="false" outlineLevel="0" collapsed="false">
      <c r="A228" s="55" t="s">
        <v>636</v>
      </c>
      <c r="B228" s="55" t="s">
        <v>535</v>
      </c>
      <c r="C228" s="55" t="s">
        <v>160</v>
      </c>
      <c r="D228" s="55" t="s">
        <v>178</v>
      </c>
      <c r="E228" s="55" t="s">
        <v>210</v>
      </c>
      <c r="F228" s="56" t="n">
        <v>15.33</v>
      </c>
      <c r="G228" s="57" t="n">
        <f aca="false">MAX(0,IF(AND(Parameter!$B$21="Ja",ISNUMBER(W228)),W228,IF(Parameter!$B$20="Jahresanfang 2025 + Export",BJ228+BI228,BI228)))</f>
        <v>40</v>
      </c>
      <c r="H228" s="57" t="n">
        <f aca="false">G228*F228</f>
        <v>613.2</v>
      </c>
      <c r="I228" s="57" t="n">
        <f aca="false">BL228*Parameter!$B$18</f>
        <v>0</v>
      </c>
      <c r="J228" s="58" t="n">
        <v>0</v>
      </c>
      <c r="K228" s="59" t="n">
        <v>0</v>
      </c>
      <c r="L228" s="57" t="n">
        <v>0</v>
      </c>
      <c r="M228" s="57" t="n">
        <v>1</v>
      </c>
      <c r="N228" s="60" t="n">
        <v>9999</v>
      </c>
      <c r="O228" s="55" t="s">
        <v>163</v>
      </c>
      <c r="P228" s="57"/>
      <c r="Q228" s="60" t="n">
        <f aca="false">IF(BR228=1,0,IFERROR(VLOOKUP(BP228,'Gebinde-Kategorie'!$A$5:$M$45,13,0)+0,0))</f>
        <v>0</v>
      </c>
      <c r="R228" s="61"/>
      <c r="S228" s="62"/>
      <c r="T228" s="62"/>
      <c r="U228" s="55"/>
      <c r="V228" s="57"/>
      <c r="W228" s="57"/>
      <c r="X228" s="55" t="n">
        <f aca="false">IF(A228="","",IF(AND(Parameter!$B$21="Ja",ISNUMBER(U228)),U228,IF(IFERROR(VLOOKUP(D228,Parameter!$A$35:$C$64,2,0),"Nein")="2+3",IF(ISNUMBER(SEARCH("grosser Artikel",BM228)),2,IFERROR(VLOOKUP(BP228,Parameter!$F$35:$G$64,2,0),2)),IF(OR(IFERROR(VLOOKUP(D228,Parameter!$A$35:$C$64,2,0),"Nein")="Nein",IFERROR(VLOOKUP(D228,Parameter!$A$35:$C$64,2,0),"Nein")=""),"-",VLOOKUP(D228,Parameter!$A$35:$C$64,2,0)))))</f>
        <v>2</v>
      </c>
      <c r="Y228" s="62"/>
      <c r="Z228" s="63"/>
      <c r="AA228" s="57" t="n">
        <f aca="false">AP228</f>
        <v>1</v>
      </c>
      <c r="AB228" s="57" t="n">
        <f aca="false">MAX(AP228,G228)</f>
        <v>40</v>
      </c>
      <c r="AC228" s="64"/>
      <c r="AD228" s="57" t="n">
        <f aca="false">IF(LEFT(Cockpit!$C$5,1)="A",G228,IF(BW228=1,BX228,IF(LEFT(Cockpit!$C$5,1)="B",AH228,MAX(AH228,G228))))</f>
        <v>40</v>
      </c>
      <c r="AE228" s="57" t="n">
        <f aca="false">IF(BR228=1,0,ROUNDUP(AD228/BQ228,0))</f>
        <v>0</v>
      </c>
      <c r="AF228" s="59" t="n">
        <f aca="false">IF(CD228&gt;0,CD228*MAX(1,AD228/V228),IF(BR228=1,IF(AD228&lt;=0,0,BS228*MAX(1,IF(G228&gt;0,AD228/G228,1))),IF(Q228&gt;0,AE228/Q228,0))/MAX(0.1,N(Parameter!$M$21)))</f>
        <v>0.03</v>
      </c>
      <c r="AG228" s="57" t="n">
        <f aca="false">AD228*F228</f>
        <v>613.2</v>
      </c>
      <c r="AH228" s="57" t="n">
        <f aca="false">ROUNDUP(MAX(I228/IF(BV228&gt;0,BV228,MAX(0.1,N(Cockpit!$C$6))),BY228)/BQ228,0)*BQ228</f>
        <v>1</v>
      </c>
      <c r="AI228" s="58" t="n">
        <f aca="false">IF(AF228&gt;0,I228/AF228,-1)</f>
        <v>0</v>
      </c>
      <c r="AJ228" s="58" t="n">
        <f aca="false">IF(AND(OR(BU228="L1",BU228="L23"),AF228&gt;0),SUMIFS($AF$7:$AF$1576,$BU$7:$BU$1576,BU228,$AI$7:$AI$1576,"&gt;"&amp;AI228)+SUMIFS($AF$7:$AF$1576,$BU$7:$BU$1576,BU228,$AI$7:$AI$1576,AI228,$BO$7:$BO$1576,"&lt;="&amp;BO228),"")</f>
        <v>39.6429779399345</v>
      </c>
      <c r="AK228" s="65" t="n">
        <f aca="false">IF(AJ228="",0,MAX(0,MIN(1,(IF(BU228="L1",Parameter!$E$5,Parameter!$E$6+Parameter!$E$7)-(AJ228-AF228))/AF228)))</f>
        <v>1</v>
      </c>
      <c r="AL228" s="57" t="n">
        <f aca="false">IF(LEFT(Cockpit!$I$5,1)="A",G228,IF(BW228=1,BX228,IF(LEFT(Cockpit!$I$5,1)="B",AP228,MAX(AP228,G228))))</f>
        <v>40</v>
      </c>
      <c r="AM228" s="57" t="n">
        <f aca="false">IF(BR228=1,0,ROUNDUP(AL228/BQ228,0))</f>
        <v>0</v>
      </c>
      <c r="AN228" s="59" t="n">
        <f aca="false">IF(CD228&gt;0,CD228*MAX(1,AL228/V228),IF(BR228=1,IF(AL228&lt;=0,0,BS228*MAX(1,IF(G228&gt;0,AL228/G228,1))),IF(Q228&gt;0,AM228/Q228,0))/MAX(0.1,N(Parameter!$M$21)))</f>
        <v>0.03</v>
      </c>
      <c r="AO228" s="57" t="n">
        <f aca="false">AL228*F228</f>
        <v>613.2</v>
      </c>
      <c r="AP228" s="57" t="n">
        <f aca="false">ROUNDUP(MAX(I228/IF(BV228&gt;0,BV228,MAX(0.1,N(Cockpit!$I$6))),BY228)/BQ228,0)*BQ228</f>
        <v>1</v>
      </c>
      <c r="AQ228" s="58" t="n">
        <f aca="false">IF(AN228&gt;0,I228/AN228,-1)</f>
        <v>0</v>
      </c>
      <c r="AR228" s="58" t="n">
        <f aca="false">IF(AND(OR(BU228="L1",BU228="L23"),AN228&gt;0),SUMIFS($AN$7:$AN$1576,$BU$7:$BU$1576,BU228,$AQ$7:$AQ$1576,"&gt;"&amp;AQ228)+SUMIFS($AN$7:$AN$1576,$BU$7:$BU$1576,BU228,$AQ$7:$AQ$1576,AQ228,$BO$7:$BO$1576,"&lt;="&amp;BO228),"")</f>
        <v>122.517183689724</v>
      </c>
      <c r="AS228" s="65" t="n">
        <f aca="false">IF(AR228="",0,MAX(0,MIN(1,(IF(BU228="L1",Parameter!$E$5,Parameter!$E$6+Parameter!$E$7)-(AR228-AN228))/AN228)))</f>
        <v>0</v>
      </c>
      <c r="AT228" s="57" t="n">
        <f aca="false">IF(LEFT(Cockpit!$O$5,1)="A",G228,IF(BW228=1,BX228,IF(LEFT(Cockpit!$O$5,1)="B",AX228,MAX(AX228,G228))))</f>
        <v>40</v>
      </c>
      <c r="AU228" s="57" t="n">
        <f aca="false">IF(BR228=1,0,ROUNDUP(AT228/BQ228,0))</f>
        <v>0</v>
      </c>
      <c r="AV228" s="59" t="n">
        <f aca="false">IF(CD228&gt;0,CD228*MAX(1,AT228/V228),IF(BR228=1,IF(AT228&lt;=0,0,BS228*MAX(1,IF(G228&gt;0,AT228/G228,1))),IF(Q228&gt;0,AU228/Q228,0))/MAX(0.1,N(Parameter!$M$21)))</f>
        <v>0.03</v>
      </c>
      <c r="AW228" s="57" t="n">
        <f aca="false">AT228*F228</f>
        <v>613.2</v>
      </c>
      <c r="AX228" s="57" t="n">
        <f aca="false">ROUNDUP(MAX(I228/IF(BV228&gt;0,BV228,MAX(0.1,N(Cockpit!$O$6))),BY228)/BQ228,0)*BQ228</f>
        <v>1</v>
      </c>
      <c r="AY228" s="58" t="n">
        <f aca="false">IF(AV228&gt;0,I228/AV228,-1)</f>
        <v>0</v>
      </c>
      <c r="AZ228" s="58" t="n">
        <f aca="false">IF(AND(OR(BU228="L1",BU228="L23"),AV228&gt;0),SUMIFS($AV$7:$AV$1576,$BU$7:$BU$1576,BU228,$AY$7:$AY$1576,"&gt;"&amp;AY228)+SUMIFS($AV$7:$AV$1576,$BU$7:$BU$1576,BU228,$AY$7:$AY$1576,AY228,$BO$7:$BO$1576,"&lt;="&amp;BO228),"")</f>
        <v>112.576734139274</v>
      </c>
      <c r="BA228" s="65" t="n">
        <f aca="false">IF(AZ228="",0,MAX(0,MIN(1,(IF(BU228="L1",Parameter!$E$5,Parameter!$E$6+Parameter!$E$7)-(AZ228-AV228))/AV228)))</f>
        <v>0</v>
      </c>
      <c r="BB228" s="55" t="str">
        <f aca="false">IF(AF228&lt;=0,"",IF(BU228="Aussen","Aussenlager",IF(BU228="-","Nicht im Lift",IF(AK228&gt;=1,"Lift",IF(AK228&lt;=0,"Aussenlager","teilweise")))))</f>
        <v>Lift</v>
      </c>
      <c r="BC228" s="55" t="str">
        <f aca="false">IF(AN228&lt;=0,"",IF(BU228="Aussen","Aussenlager",IF(BU228="-","Nicht im Lift",IF(AS228&gt;=1,"Lift",IF(AS228&lt;=0,"Aussenlager","teilweise")))))</f>
        <v>Aussenlager</v>
      </c>
      <c r="BD228" s="55" t="str">
        <f aca="false">IF(AV228&lt;=0,"",IF(BU228="Aussen","Aussenlager",IF(BU228="-","Nicht im Lift",IF(BA228&gt;=1,"Lift",IF(BA228&lt;=0,"Aussenlager","teilweise")))))</f>
        <v>Aussenlager</v>
      </c>
      <c r="BE228" s="55" t="str">
        <f aca="false">IF(A228="","",IF(BN228=1,"Neu; ","")&amp;IF(AND(BN228=0,BI228&lt;0),"negativer Bestand (Export "&amp;BI228&amp;"); ","")&amp;IF(I228&lt;=0,"Kein Verbrauch; ","")&amp;IF(CD228&gt;0,"Lift "&amp;U228&amp;" lt. Liftbericht (Fach "&amp;V228&amp;" Stk); ",IF(BR228=1,"Lose – Fläche geschätzt; ",""))&amp;IF(G228&gt;AP228,"Überbestand "&amp;ROUND(G228-AP228,0)&amp;" Stk / CHF "&amp;ROUND((G228-AP228)*F228,0)&amp;"; ","")&amp;IF(AND(BW228=1,BX228&lt;BY228),"MAX &lt; MB+LG; ","")&amp;IF(AND(CC228&gt;0,CB228*10&gt;CC228),"zu hoch für Tablar; ","")&amp;IF(AND(BN228=0,OR(BW228=1,Y228&lt;&gt;"",S228&lt;&gt;"",T228&lt;&gt;"",Z228&lt;&gt;"")),"manuell übersteuert; ","")&amp;IF(AND(BR228=0,Q228=0),"Gebinde unbekannt / Stellmass fehlt; ","")&amp;IF(AND(BR228=0,N(T228)&lt;=0,N(P228)&lt;=0),"Menge pro Gebinde fehlt (Ist = 1 Gebinde); ","")&amp;BM228)</f>
        <v>Kein Verbrauch; Lose – Fläche geschätzt; Überbestand 39 Stk / CHF 598; </v>
      </c>
      <c r="BF228" s="55"/>
      <c r="BG228" s="55"/>
      <c r="BH228" s="62"/>
      <c r="BI228" s="57" t="n">
        <v>40</v>
      </c>
      <c r="BJ228" s="57" t="n">
        <v>0</v>
      </c>
      <c r="BK228" s="56" t="n">
        <v>613.2</v>
      </c>
      <c r="BL228" s="57" t="n">
        <v>0</v>
      </c>
      <c r="BM228" s="55"/>
      <c r="BN228" s="60" t="n">
        <v>0</v>
      </c>
      <c r="BO228" s="60" t="n">
        <v>228</v>
      </c>
      <c r="BP228" s="55" t="str">
        <f aca="false">IF(S228&lt;&gt;"",UPPER(TRIM(S228)),IF(O228="","LOSE",O228))</f>
        <v>LOSE</v>
      </c>
      <c r="BQ228" s="57" t="n">
        <f aca="false">IF(BP228="LOSE",1,IF(N(T228)&gt;0,T228,IF(N(P228)&gt;0,P228,MAX(1,G228))))</f>
        <v>1</v>
      </c>
      <c r="BR228" s="60" t="n">
        <f aca="false">IF(BP228="LOSE",1,0)</f>
        <v>1</v>
      </c>
      <c r="BS228" s="59" t="n">
        <f aca="false">IF(BR228=0,0,IF(N(R228)&gt;0,R228,IFERROR(VLOOKUP(D228,Parameter!$A$35:$C$64,3,0)+0,0)))</f>
        <v>0.03</v>
      </c>
      <c r="BT228" s="55" t="n">
        <f aca="false">IF(Y228&lt;&gt;"",Y228,X228)</f>
        <v>2</v>
      </c>
      <c r="BU228" s="55" t="str">
        <f aca="false">IF(BT228=1,"L1",IF(OR(BT228=2,BT228=3),"L23",IF(BT228="Aussen","Aussen","-")))</f>
        <v>L23</v>
      </c>
      <c r="BV228" s="66" t="n">
        <f aca="false">IF(N(Z228)&gt;0,Z228,0)</f>
        <v>0</v>
      </c>
      <c r="BW228" s="60" t="n">
        <f aca="false">IF(ISNUMBER(AC228),1,0)</f>
        <v>0</v>
      </c>
      <c r="BX228" s="57" t="n">
        <f aca="false">N(AC228)</f>
        <v>0</v>
      </c>
      <c r="BY228" s="57" t="n">
        <f aca="false">N(L228)+N(M228)</f>
        <v>1</v>
      </c>
      <c r="BZ228" s="57" t="n">
        <f aca="false">ROUNDUP(G228/BQ228,0)</f>
        <v>40</v>
      </c>
      <c r="CA228" s="57" t="n">
        <f aca="false">ROUNDUP(BX228/BQ228,0)</f>
        <v>0</v>
      </c>
      <c r="CB228" s="60" t="n">
        <f aca="false">IF(BR228=1,0,IFERROR(VLOOKUP(BP228,'Gebinde-Kategorie'!$A$5:$M$45,5,0)+0,0))</f>
        <v>0</v>
      </c>
      <c r="CC228" s="60" t="n">
        <f aca="false">IFERROR(IF(OR(BT228=1,BT228=2,BT228=3),N(INDEX(Parameter!$I$5:$I$7,BT228)),0),0)</f>
        <v>0</v>
      </c>
      <c r="CD228" s="59" t="n">
        <f aca="false">IF(AND(Parameter!$B$21="Ja",ISNUMBER(U228),N(V228)&gt;0),IFERROR(N(INDEX(Parameter!$L$5:$L$7,U228))*INDEX(Parameter!$E$5:$E$7,U228)*V228/SUMIFS($V$7:$V$1576,$U$7:$U$1576,U228),0),0)</f>
        <v>0</v>
      </c>
    </row>
    <row r="229" customFormat="false" ht="15" hidden="false" customHeight="false" outlineLevel="0" collapsed="false">
      <c r="A229" s="55" t="s">
        <v>637</v>
      </c>
      <c r="B229" s="55" t="s">
        <v>288</v>
      </c>
      <c r="C229" s="55" t="s">
        <v>160</v>
      </c>
      <c r="D229" s="55" t="s">
        <v>161</v>
      </c>
      <c r="E229" s="55" t="s">
        <v>210</v>
      </c>
      <c r="F229" s="56" t="n">
        <v>229.54</v>
      </c>
      <c r="G229" s="57" t="n">
        <f aca="false">MAX(0,IF(AND(Parameter!$B$21="Ja",ISNUMBER(W229)),W229,IF(Parameter!$B$20="Jahresanfang 2025 + Export",BJ229+BI229,BI229)))</f>
        <v>9</v>
      </c>
      <c r="H229" s="57" t="n">
        <f aca="false">G229*F229</f>
        <v>2065.86</v>
      </c>
      <c r="I229" s="57" t="n">
        <f aca="false">BL229*Parameter!$B$18</f>
        <v>14</v>
      </c>
      <c r="J229" s="58" t="n">
        <v>10.5</v>
      </c>
      <c r="K229" s="59" t="n">
        <v>1.33333333333333</v>
      </c>
      <c r="L229" s="57" t="n">
        <v>3</v>
      </c>
      <c r="M229" s="57" t="n">
        <v>10</v>
      </c>
      <c r="N229" s="60" t="n">
        <v>70</v>
      </c>
      <c r="O229" s="55" t="s">
        <v>163</v>
      </c>
      <c r="P229" s="57"/>
      <c r="Q229" s="60" t="n">
        <f aca="false">IF(BR229=1,0,IFERROR(VLOOKUP(BP229,'Gebinde-Kategorie'!$A$5:$M$45,13,0)+0,0))</f>
        <v>0</v>
      </c>
      <c r="R229" s="61"/>
      <c r="S229" s="62"/>
      <c r="T229" s="62"/>
      <c r="U229" s="55" t="n">
        <v>1</v>
      </c>
      <c r="V229" s="57" t="n">
        <v>16</v>
      </c>
      <c r="W229" s="57" t="n">
        <v>9</v>
      </c>
      <c r="X229" s="55" t="n">
        <f aca="false">IF(A229="","",IF(AND(Parameter!$B$21="Ja",ISNUMBER(U229)),U229,IF(IFERROR(VLOOKUP(D229,Parameter!$A$35:$C$64,2,0),"Nein")="2+3",IF(ISNUMBER(SEARCH("grosser Artikel",BM229)),2,IFERROR(VLOOKUP(BP229,Parameter!$F$35:$G$64,2,0),2)),IF(OR(IFERROR(VLOOKUP(D229,Parameter!$A$35:$C$64,2,0),"Nein")="Nein",IFERROR(VLOOKUP(D229,Parameter!$A$35:$C$64,2,0),"Nein")=""),"-",VLOOKUP(D229,Parameter!$A$35:$C$64,2,0)))))</f>
        <v>1</v>
      </c>
      <c r="Y229" s="62"/>
      <c r="Z229" s="63"/>
      <c r="AA229" s="57" t="n">
        <f aca="false">AP229</f>
        <v>13</v>
      </c>
      <c r="AB229" s="57" t="n">
        <f aca="false">MAX(AP229,G229)</f>
        <v>13</v>
      </c>
      <c r="AC229" s="64"/>
      <c r="AD229" s="57" t="n">
        <f aca="false">IF(LEFT(Cockpit!$C$5,1)="A",G229,IF(BW229=1,BX229,IF(LEFT(Cockpit!$C$5,1)="B",AH229,MAX(AH229,G229))))</f>
        <v>9</v>
      </c>
      <c r="AE229" s="57" t="n">
        <f aca="false">IF(BR229=1,0,ROUNDUP(AD229/BQ229,0))</f>
        <v>0</v>
      </c>
      <c r="AF229" s="59" t="n">
        <f aca="false">IF(CD229&gt;0,CD229*MAX(1,AD229/V229),IF(BR229=1,IF(AD229&lt;=0,0,BS229*MAX(1,IF(G229&gt;0,AD229/G229,1))),IF(Q229&gt;0,AE229/Q229,0))/MAX(0.1,N(Parameter!$M$21)))</f>
        <v>1.28060263653484</v>
      </c>
      <c r="AG229" s="57" t="n">
        <f aca="false">AD229*F229</f>
        <v>2065.86</v>
      </c>
      <c r="AH229" s="57" t="n">
        <f aca="false">ROUNDUP(MAX(I229/IF(BV229&gt;0,BV229,MAX(0.1,N(Cockpit!$C$6))),BY229)/BQ229,0)*BQ229</f>
        <v>13</v>
      </c>
      <c r="AI229" s="58" t="n">
        <f aca="false">IF(AF229&gt;0,I229/AF229,-1)</f>
        <v>10.9323529411765</v>
      </c>
      <c r="AJ229" s="58" t="n">
        <f aca="false">IF(AND(OR(BU229="L1",BU229="L23"),AF229&gt;0),SUMIFS($AF$7:$AF$1576,$BU$7:$BU$1576,BU229,$AI$7:$AI$1576,"&gt;"&amp;AI229)+SUMIFS($AF$7:$AF$1576,$BU$7:$BU$1576,BU229,$AI$7:$AI$1576,AI229,$BO$7:$BO$1576,"&lt;="&amp;BO229),"")</f>
        <v>21.3700564971751</v>
      </c>
      <c r="AK229" s="65" t="n">
        <f aca="false">IF(AJ229="",0,MAX(0,MIN(1,(IF(BU229="L1",Parameter!$E$5,Parameter!$E$6+Parameter!$E$7)-(AJ229-AF229))/AF229)))</f>
        <v>1</v>
      </c>
      <c r="AL229" s="57" t="n">
        <f aca="false">IF(LEFT(Cockpit!$I$5,1)="A",G229,IF(BW229=1,BX229,IF(LEFT(Cockpit!$I$5,1)="B",AP229,MAX(AP229,G229))))</f>
        <v>13</v>
      </c>
      <c r="AM229" s="57" t="n">
        <f aca="false">IF(BR229=1,0,ROUNDUP(AL229/BQ229,0))</f>
        <v>0</v>
      </c>
      <c r="AN229" s="59" t="n">
        <f aca="false">IF(CD229&gt;0,CD229*MAX(1,AL229/V229),IF(BR229=1,IF(AL229&lt;=0,0,BS229*MAX(1,IF(G229&gt;0,AL229/G229,1))),IF(Q229&gt;0,AM229/Q229,0))/MAX(0.1,N(Parameter!$M$21)))</f>
        <v>1.28060263653484</v>
      </c>
      <c r="AO229" s="57" t="n">
        <f aca="false">AL229*F229</f>
        <v>2984.02</v>
      </c>
      <c r="AP229" s="57" t="n">
        <f aca="false">ROUNDUP(MAX(I229/IF(BV229&gt;0,BV229,MAX(0.1,N(Cockpit!$I$6))),BY229)/BQ229,0)*BQ229</f>
        <v>13</v>
      </c>
      <c r="AQ229" s="58" t="n">
        <f aca="false">IF(AN229&gt;0,I229/AN229,-1)</f>
        <v>10.9323529411765</v>
      </c>
      <c r="AR229" s="58" t="n">
        <f aca="false">IF(AND(OR(BU229="L1",BU229="L23"),AN229&gt;0),SUMIFS($AN$7:$AN$1576,$BU$7:$BU$1576,BU229,$AQ$7:$AQ$1576,"&gt;"&amp;AQ229)+SUMIFS($AN$7:$AN$1576,$BU$7:$BU$1576,BU229,$AQ$7:$AQ$1576,AQ229,$BO$7:$BO$1576,"&lt;="&amp;BO229),"")</f>
        <v>26.8126177024482</v>
      </c>
      <c r="AS229" s="65" t="n">
        <f aca="false">IF(AR229="",0,MAX(0,MIN(1,(IF(BU229="L1",Parameter!$E$5,Parameter!$E$6+Parameter!$E$7)-(AR229-AN229))/AN229)))</f>
        <v>1</v>
      </c>
      <c r="AT229" s="57" t="n">
        <f aca="false">IF(LEFT(Cockpit!$O$5,1)="A",G229,IF(BW229=1,BX229,IF(LEFT(Cockpit!$O$5,1)="B",AX229,MAX(AX229,G229))))</f>
        <v>13</v>
      </c>
      <c r="AU229" s="57" t="n">
        <f aca="false">IF(BR229=1,0,ROUNDUP(AT229/BQ229,0))</f>
        <v>0</v>
      </c>
      <c r="AV229" s="59" t="n">
        <f aca="false">IF(CD229&gt;0,CD229*MAX(1,AT229/V229),IF(BR229=1,IF(AT229&lt;=0,0,BS229*MAX(1,IF(G229&gt;0,AT229/G229,1))),IF(Q229&gt;0,AU229/Q229,0))/MAX(0.1,N(Parameter!$M$21)))</f>
        <v>1.28060263653484</v>
      </c>
      <c r="AW229" s="57" t="n">
        <f aca="false">AT229*F229</f>
        <v>2984.02</v>
      </c>
      <c r="AX229" s="57" t="n">
        <f aca="false">ROUNDUP(MAX(I229/IF(BV229&gt;0,BV229,MAX(0.1,N(Cockpit!$O$6))),BY229)/BQ229,0)*BQ229</f>
        <v>13</v>
      </c>
      <c r="AY229" s="58" t="n">
        <f aca="false">IF(AV229&gt;0,I229/AV229,-1)</f>
        <v>10.9323529411765</v>
      </c>
      <c r="AZ229" s="58" t="n">
        <f aca="false">IF(AND(OR(BU229="L1",BU229="L23"),AV229&gt;0),SUMIFS($AV$7:$AV$1576,$BU$7:$BU$1576,BU229,$AY$7:$AY$1576,"&gt;"&amp;AY229)+SUMIFS($AV$7:$AV$1576,$BU$7:$BU$1576,BU229,$AY$7:$AY$1576,AY229,$BO$7:$BO$1576,"&lt;="&amp;BO229),"")</f>
        <v>23.8512241054614</v>
      </c>
      <c r="BA229" s="65" t="n">
        <f aca="false">IF(AZ229="",0,MAX(0,MIN(1,(IF(BU229="L1",Parameter!$E$5,Parameter!$E$6+Parameter!$E$7)-(AZ229-AV229))/AV229)))</f>
        <v>1</v>
      </c>
      <c r="BB229" s="55" t="str">
        <f aca="false">IF(AF229&lt;=0,"",IF(BU229="Aussen","Aussenlager",IF(BU229="-","Nicht im Lift",IF(AK229&gt;=1,"Lift",IF(AK229&lt;=0,"Aussenlager","teilweise")))))</f>
        <v>Lift</v>
      </c>
      <c r="BC229" s="55" t="str">
        <f aca="false">IF(AN229&lt;=0,"",IF(BU229="Aussen","Aussenlager",IF(BU229="-","Nicht im Lift",IF(AS229&gt;=1,"Lift",IF(AS229&lt;=0,"Aussenlager","teilweise")))))</f>
        <v>Lift</v>
      </c>
      <c r="BD229" s="55" t="str">
        <f aca="false">IF(AV229&lt;=0,"",IF(BU229="Aussen","Aussenlager",IF(BU229="-","Nicht im Lift",IF(BA229&gt;=1,"Lift",IF(BA229&lt;=0,"Aussenlager","teilweise")))))</f>
        <v>Lift</v>
      </c>
      <c r="BE229" s="55" t="str">
        <f aca="false">IF(A229="","",IF(BN229=1,"Neu; ","")&amp;IF(AND(BN229=0,BI229&lt;0),"negativer Bestand (Export "&amp;BI229&amp;"); ","")&amp;IF(I229&lt;=0,"Kein Verbrauch; ","")&amp;IF(CD229&gt;0,"Lift "&amp;U229&amp;" lt. Liftbericht (Fach "&amp;V229&amp;" Stk); ",IF(BR229=1,"Lose – Fläche geschätzt; ",""))&amp;IF(G229&gt;AP229,"Überbestand "&amp;ROUND(G229-AP229,0)&amp;" Stk / CHF "&amp;ROUND((G229-AP229)*F229,0)&amp;"; ","")&amp;IF(AND(BW229=1,BX229&lt;BY229),"MAX &lt; MB+LG; ","")&amp;IF(AND(CC229&gt;0,CB229*10&gt;CC229),"zu hoch für Tablar; ","")&amp;IF(AND(BN229=0,OR(BW229=1,Y229&lt;&gt;"",S229&lt;&gt;"",T229&lt;&gt;"",Z229&lt;&gt;"")),"manuell übersteuert; ","")&amp;IF(AND(BR229=0,Q229=0),"Gebinde unbekannt / Stellmass fehlt; ","")&amp;IF(AND(BR229=0,N(T229)&lt;=0,N(P229)&lt;=0),"Menge pro Gebinde fehlt (Ist = 1 Gebinde); ","")&amp;BM229)</f>
        <v>Lift 1 lt. Liftbericht (Fach 16 Stk); </v>
      </c>
      <c r="BF229" s="55"/>
      <c r="BG229" s="55"/>
      <c r="BH229" s="62"/>
      <c r="BI229" s="57" t="n">
        <v>3</v>
      </c>
      <c r="BJ229" s="57" t="n">
        <v>6</v>
      </c>
      <c r="BK229" s="56" t="n">
        <v>598.979999999999</v>
      </c>
      <c r="BL229" s="57" t="n">
        <v>14</v>
      </c>
      <c r="BM229" s="55"/>
      <c r="BN229" s="60" t="n">
        <v>0</v>
      </c>
      <c r="BO229" s="60" t="n">
        <v>229</v>
      </c>
      <c r="BP229" s="55" t="str">
        <f aca="false">IF(S229&lt;&gt;"",UPPER(TRIM(S229)),IF(O229="","LOSE",O229))</f>
        <v>LOSE</v>
      </c>
      <c r="BQ229" s="57" t="n">
        <f aca="false">IF(BP229="LOSE",1,IF(N(T229)&gt;0,T229,IF(N(P229)&gt;0,P229,MAX(1,G229))))</f>
        <v>1</v>
      </c>
      <c r="BR229" s="60" t="n">
        <f aca="false">IF(BP229="LOSE",1,0)</f>
        <v>1</v>
      </c>
      <c r="BS229" s="59" t="n">
        <f aca="false">IF(BR229=0,0,IF(N(R229)&gt;0,R229,IFERROR(VLOOKUP(D229,Parameter!$A$35:$C$64,3,0)+0,0)))</f>
        <v>1</v>
      </c>
      <c r="BT229" s="55" t="n">
        <f aca="false">IF(Y229&lt;&gt;"",Y229,X229)</f>
        <v>1</v>
      </c>
      <c r="BU229" s="55" t="str">
        <f aca="false">IF(BT229=1,"L1",IF(OR(BT229=2,BT229=3),"L23",IF(BT229="Aussen","Aussen","-")))</f>
        <v>L1</v>
      </c>
      <c r="BV229" s="66" t="n">
        <f aca="false">IF(N(Z229)&gt;0,Z229,0)</f>
        <v>0</v>
      </c>
      <c r="BW229" s="60" t="n">
        <f aca="false">IF(ISNUMBER(AC229),1,0)</f>
        <v>0</v>
      </c>
      <c r="BX229" s="57" t="n">
        <f aca="false">N(AC229)</f>
        <v>0</v>
      </c>
      <c r="BY229" s="57" t="n">
        <f aca="false">N(L229)+N(M229)</f>
        <v>13</v>
      </c>
      <c r="BZ229" s="57" t="n">
        <f aca="false">ROUNDUP(G229/BQ229,0)</f>
        <v>9</v>
      </c>
      <c r="CA229" s="57" t="n">
        <f aca="false">ROUNDUP(BX229/BQ229,0)</f>
        <v>0</v>
      </c>
      <c r="CB229" s="60" t="n">
        <f aca="false">IF(BR229=1,0,IFERROR(VLOOKUP(BP229,'Gebinde-Kategorie'!$A$5:$M$45,5,0)+0,0))</f>
        <v>0</v>
      </c>
      <c r="CC229" s="60" t="n">
        <f aca="false">IFERROR(IF(OR(BT229=1,BT229=2,BT229=3),N(INDEX(Parameter!$I$5:$I$7,BT229)),0),0)</f>
        <v>0</v>
      </c>
      <c r="CD229" s="59" t="n">
        <f aca="false">IF(AND(Parameter!$B$21="Ja",ISNUMBER(U229),N(V229)&gt;0),IFERROR(N(INDEX(Parameter!$L$5:$L$7,U229))*INDEX(Parameter!$E$5:$E$7,U229)*V229/SUMIFS($V$7:$V$1576,$U$7:$U$1576,U229),0),0)</f>
        <v>1.28060263653484</v>
      </c>
    </row>
    <row r="230" customFormat="false" ht="15" hidden="false" customHeight="false" outlineLevel="0" collapsed="false">
      <c r="A230" s="55" t="s">
        <v>638</v>
      </c>
      <c r="B230" s="55" t="s">
        <v>639</v>
      </c>
      <c r="C230" s="55" t="s">
        <v>160</v>
      </c>
      <c r="D230" s="55" t="s">
        <v>178</v>
      </c>
      <c r="E230" s="55" t="s">
        <v>210</v>
      </c>
      <c r="F230" s="56" t="n">
        <v>9.98</v>
      </c>
      <c r="G230" s="57" t="n">
        <f aca="false">MAX(0,IF(AND(Parameter!$B$21="Ja",ISNUMBER(W230)),W230,IF(Parameter!$B$20="Jahresanfang 2025 + Export",BJ230+BI230,BI230)))</f>
        <v>59</v>
      </c>
      <c r="H230" s="57" t="n">
        <f aca="false">G230*F230</f>
        <v>588.82</v>
      </c>
      <c r="I230" s="57" t="n">
        <f aca="false">BL230*Parameter!$B$18</f>
        <v>168</v>
      </c>
      <c r="J230" s="58" t="n">
        <v>82.5</v>
      </c>
      <c r="K230" s="59" t="n">
        <v>2.03636363636364</v>
      </c>
      <c r="L230" s="57" t="n">
        <v>10</v>
      </c>
      <c r="M230" s="57" t="n">
        <v>170</v>
      </c>
      <c r="N230" s="60" t="n">
        <v>28</v>
      </c>
      <c r="O230" s="55" t="s">
        <v>225</v>
      </c>
      <c r="P230" s="57" t="n">
        <v>150</v>
      </c>
      <c r="Q230" s="60" t="n">
        <f aca="false">IF(BR230=1,0,IFERROR(VLOOKUP(BP230,'Gebinde-Kategorie'!$A$5:$M$45,13,0)+0,0))</f>
        <v>26</v>
      </c>
      <c r="R230" s="61"/>
      <c r="S230" s="62"/>
      <c r="T230" s="62"/>
      <c r="U230" s="55"/>
      <c r="V230" s="57"/>
      <c r="W230" s="57"/>
      <c r="X230" s="55" t="n">
        <f aca="false">IF(A230="","",IF(AND(Parameter!$B$21="Ja",ISNUMBER(U230)),U230,IF(IFERROR(VLOOKUP(D230,Parameter!$A$35:$C$64,2,0),"Nein")="2+3",IF(ISNUMBER(SEARCH("grosser Artikel",BM230)),2,IFERROR(VLOOKUP(BP230,Parameter!$F$35:$G$64,2,0),2)),IF(OR(IFERROR(VLOOKUP(D230,Parameter!$A$35:$C$64,2,0),"Nein")="Nein",IFERROR(VLOOKUP(D230,Parameter!$A$35:$C$64,2,0),"Nein")=""),"-",VLOOKUP(D230,Parameter!$A$35:$C$64,2,0)))))</f>
        <v>3</v>
      </c>
      <c r="Y230" s="62"/>
      <c r="Z230" s="63"/>
      <c r="AA230" s="57" t="n">
        <f aca="false">AP230</f>
        <v>300</v>
      </c>
      <c r="AB230" s="57" t="n">
        <f aca="false">MAX(AP230,G230)</f>
        <v>300</v>
      </c>
      <c r="AC230" s="64"/>
      <c r="AD230" s="57" t="n">
        <f aca="false">IF(LEFT(Cockpit!$C$5,1)="A",G230,IF(BW230=1,BX230,IF(LEFT(Cockpit!$C$5,1)="B",AH230,MAX(AH230,G230))))</f>
        <v>59</v>
      </c>
      <c r="AE230" s="57" t="n">
        <f aca="false">IF(BR230=1,0,ROUNDUP(AD230/BQ230,0))</f>
        <v>1</v>
      </c>
      <c r="AF230" s="59" t="n">
        <f aca="false">IF(CD230&gt;0,CD230*MAX(1,AD230/V230),IF(BR230=1,IF(AD230&lt;=0,0,BS230*MAX(1,IF(G230&gt;0,AD230/G230,1))),IF(Q230&gt;0,AE230/Q230,0))/MAX(0.1,N(Parameter!$M$21)))</f>
        <v>0.0384615384615385</v>
      </c>
      <c r="AG230" s="57" t="n">
        <f aca="false">AD230*F230</f>
        <v>588.82</v>
      </c>
      <c r="AH230" s="57" t="n">
        <f aca="false">ROUNDUP(MAX(I230/IF(BV230&gt;0,BV230,MAX(0.1,N(Cockpit!$C$6))),BY230)/BQ230,0)*BQ230</f>
        <v>300</v>
      </c>
      <c r="AI230" s="58" t="n">
        <f aca="false">IF(AF230&gt;0,I230/AF230,-1)</f>
        <v>4368</v>
      </c>
      <c r="AJ230" s="58" t="n">
        <f aca="false">IF(AND(OR(BU230="L1",BU230="L23"),AF230&gt;0),SUMIFS($AF$7:$AF$1576,$BU$7:$BU$1576,BU230,$AI$7:$AI$1576,"&gt;"&amp;AI230)+SUMIFS($AF$7:$AF$1576,$BU$7:$BU$1576,BU230,$AI$7:$AI$1576,AI230,$BO$7:$BO$1576,"&lt;="&amp;BO230),"")</f>
        <v>4.1305138339921</v>
      </c>
      <c r="AK230" s="65" t="n">
        <f aca="false">IF(AJ230="",0,MAX(0,MIN(1,(IF(BU230="L1",Parameter!$E$5,Parameter!$E$6+Parameter!$E$7)-(AJ230-AF230))/AF230)))</f>
        <v>1</v>
      </c>
      <c r="AL230" s="57" t="n">
        <f aca="false">IF(LEFT(Cockpit!$I$5,1)="A",G230,IF(BW230=1,BX230,IF(LEFT(Cockpit!$I$5,1)="B",AP230,MAX(AP230,G230))))</f>
        <v>300</v>
      </c>
      <c r="AM230" s="57" t="n">
        <f aca="false">IF(BR230=1,0,ROUNDUP(AL230/BQ230,0))</f>
        <v>2</v>
      </c>
      <c r="AN230" s="59" t="n">
        <f aca="false">IF(CD230&gt;0,CD230*MAX(1,AL230/V230),IF(BR230=1,IF(AL230&lt;=0,0,BS230*MAX(1,IF(G230&gt;0,AL230/G230,1))),IF(Q230&gt;0,AM230/Q230,0))/MAX(0.1,N(Parameter!$M$21)))</f>
        <v>0.0769230769230769</v>
      </c>
      <c r="AO230" s="57" t="n">
        <f aca="false">AL230*F230</f>
        <v>2994</v>
      </c>
      <c r="AP230" s="57" t="n">
        <f aca="false">ROUNDUP(MAX(I230/IF(BV230&gt;0,BV230,MAX(0.1,N(Cockpit!$I$6))),BY230)/BQ230,0)*BQ230</f>
        <v>300</v>
      </c>
      <c r="AQ230" s="58" t="n">
        <f aca="false">IF(AN230&gt;0,I230/AN230,-1)</f>
        <v>2184</v>
      </c>
      <c r="AR230" s="58" t="n">
        <f aca="false">IF(AND(OR(BU230="L1",BU230="L23"),AN230&gt;0),SUMIFS($AN$7:$AN$1576,$BU$7:$BU$1576,BU230,$AQ$7:$AQ$1576,"&gt;"&amp;AQ230)+SUMIFS($AN$7:$AN$1576,$BU$7:$BU$1576,BU230,$AQ$7:$AQ$1576,AQ230,$BO$7:$BO$1576,"&lt;="&amp;BO230),"")</f>
        <v>16.856380154</v>
      </c>
      <c r="AS230" s="65" t="n">
        <f aca="false">IF(AR230="",0,MAX(0,MIN(1,(IF(BU230="L1",Parameter!$E$5,Parameter!$E$6+Parameter!$E$7)-(AR230-AN230))/AN230)))</f>
        <v>1</v>
      </c>
      <c r="AT230" s="57" t="n">
        <f aca="false">IF(LEFT(Cockpit!$O$5,1)="A",G230,IF(BW230=1,BX230,IF(LEFT(Cockpit!$O$5,1)="B",AX230,MAX(AX230,G230))))</f>
        <v>300</v>
      </c>
      <c r="AU230" s="57" t="n">
        <f aca="false">IF(BR230=1,0,ROUNDUP(AT230/BQ230,0))</f>
        <v>2</v>
      </c>
      <c r="AV230" s="59" t="n">
        <f aca="false">IF(CD230&gt;0,CD230*MAX(1,AT230/V230),IF(BR230=1,IF(AT230&lt;=0,0,BS230*MAX(1,IF(G230&gt;0,AT230/G230,1))),IF(Q230&gt;0,AU230/Q230,0))/MAX(0.1,N(Parameter!$M$21)))</f>
        <v>0.0769230769230769</v>
      </c>
      <c r="AW230" s="57" t="n">
        <f aca="false">AT230*F230</f>
        <v>2994</v>
      </c>
      <c r="AX230" s="57" t="n">
        <f aca="false">ROUNDUP(MAX(I230/IF(BV230&gt;0,BV230,MAX(0.1,N(Cockpit!$O$6))),BY230)/BQ230,0)*BQ230</f>
        <v>300</v>
      </c>
      <c r="AY230" s="58" t="n">
        <f aca="false">IF(AV230&gt;0,I230/AV230,-1)</f>
        <v>2184</v>
      </c>
      <c r="AZ230" s="58" t="n">
        <f aca="false">IF(AND(OR(BU230="L1",BU230="L23"),AV230&gt;0),SUMIFS($AV$7:$AV$1576,$BU$7:$BU$1576,BU230,$AY$7:$AY$1576,"&gt;"&amp;AY230)+SUMIFS($AV$7:$AV$1576,$BU$7:$BU$1576,BU230,$AY$7:$AY$1576,AY230,$BO$7:$BO$1576,"&lt;="&amp;BO230),"")</f>
        <v>15.5451913428112</v>
      </c>
      <c r="BA230" s="65" t="n">
        <f aca="false">IF(AZ230="",0,MAX(0,MIN(1,(IF(BU230="L1",Parameter!$E$5,Parameter!$E$6+Parameter!$E$7)-(AZ230-AV230))/AV230)))</f>
        <v>1</v>
      </c>
      <c r="BB230" s="55" t="str">
        <f aca="false">IF(AF230&lt;=0,"",IF(BU230="Aussen","Aussenlager",IF(BU230="-","Nicht im Lift",IF(AK230&gt;=1,"Lift",IF(AK230&lt;=0,"Aussenlager","teilweise")))))</f>
        <v>Lift</v>
      </c>
      <c r="BC230" s="55" t="str">
        <f aca="false">IF(AN230&lt;=0,"",IF(BU230="Aussen","Aussenlager",IF(BU230="-","Nicht im Lift",IF(AS230&gt;=1,"Lift",IF(AS230&lt;=0,"Aussenlager","teilweise")))))</f>
        <v>Lift</v>
      </c>
      <c r="BD230" s="55" t="str">
        <f aca="false">IF(AV230&lt;=0,"",IF(BU230="Aussen","Aussenlager",IF(BU230="-","Nicht im Lift",IF(BA230&gt;=1,"Lift",IF(BA230&lt;=0,"Aussenlager","teilweise")))))</f>
        <v>Lift</v>
      </c>
      <c r="BE230" s="55" t="str">
        <f aca="false">IF(A230="","",IF(BN230=1,"Neu; ","")&amp;IF(AND(BN230=0,BI230&lt;0),"negativer Bestand (Export "&amp;BI230&amp;"); ","")&amp;IF(I230&lt;=0,"Kein Verbrauch; ","")&amp;IF(CD230&gt;0,"Lift "&amp;U230&amp;" lt. Liftbericht (Fach "&amp;V230&amp;" Stk); ",IF(BR230=1,"Lose – Fläche geschätzt; ",""))&amp;IF(G230&gt;AP230,"Überbestand "&amp;ROUND(G230-AP230,0)&amp;" Stk / CHF "&amp;ROUND((G230-AP230)*F230,0)&amp;"; ","")&amp;IF(AND(BW230=1,BX230&lt;BY230),"MAX &lt; MB+LG; ","")&amp;IF(AND(CC230&gt;0,CB230*10&gt;CC230),"zu hoch für Tablar; ","")&amp;IF(AND(BN230=0,OR(BW230=1,Y230&lt;&gt;"",S230&lt;&gt;"",T230&lt;&gt;"",Z230&lt;&gt;"")),"manuell übersteuert; ","")&amp;IF(AND(BR230=0,Q230=0),"Gebinde unbekannt / Stellmass fehlt; ","")&amp;IF(AND(BR230=0,N(T230)&lt;=0,N(P230)&lt;=0),"Menge pro Gebinde fehlt (Ist = 1 Gebinde); ","")&amp;BM230)</f>
        <v/>
      </c>
      <c r="BF230" s="55"/>
      <c r="BG230" s="55"/>
      <c r="BH230" s="62"/>
      <c r="BI230" s="57" t="n">
        <v>59</v>
      </c>
      <c r="BJ230" s="57" t="n">
        <v>89</v>
      </c>
      <c r="BK230" s="56" t="n">
        <v>591.49</v>
      </c>
      <c r="BL230" s="57" t="n">
        <v>168</v>
      </c>
      <c r="BM230" s="55"/>
      <c r="BN230" s="60" t="n">
        <v>0</v>
      </c>
      <c r="BO230" s="60" t="n">
        <v>230</v>
      </c>
      <c r="BP230" s="55" t="str">
        <f aca="false">IF(S230&lt;&gt;"",UPPER(TRIM(S230)),IF(O230="","LOSE",O230))</f>
        <v>S52</v>
      </c>
      <c r="BQ230" s="57" t="n">
        <f aca="false">IF(BP230="LOSE",1,IF(N(T230)&gt;0,T230,IF(N(P230)&gt;0,P230,MAX(1,G230))))</f>
        <v>150</v>
      </c>
      <c r="BR230" s="60" t="n">
        <f aca="false">IF(BP230="LOSE",1,0)</f>
        <v>0</v>
      </c>
      <c r="BS230" s="59" t="n">
        <f aca="false">IF(BR230=0,0,IF(N(R230)&gt;0,R230,IFERROR(VLOOKUP(D230,Parameter!$A$35:$C$64,3,0)+0,0)))</f>
        <v>0</v>
      </c>
      <c r="BT230" s="55" t="n">
        <f aca="false">IF(Y230&lt;&gt;"",Y230,X230)</f>
        <v>3</v>
      </c>
      <c r="BU230" s="55" t="str">
        <f aca="false">IF(BT230=1,"L1",IF(OR(BT230=2,BT230=3),"L23",IF(BT230="Aussen","Aussen","-")))</f>
        <v>L23</v>
      </c>
      <c r="BV230" s="66" t="n">
        <f aca="false">IF(N(Z230)&gt;0,Z230,0)</f>
        <v>0</v>
      </c>
      <c r="BW230" s="60" t="n">
        <f aca="false">IF(ISNUMBER(AC230),1,0)</f>
        <v>0</v>
      </c>
      <c r="BX230" s="57" t="n">
        <f aca="false">N(AC230)</f>
        <v>0</v>
      </c>
      <c r="BY230" s="57" t="n">
        <f aca="false">N(L230)+N(M230)</f>
        <v>180</v>
      </c>
      <c r="BZ230" s="57" t="n">
        <f aca="false">ROUNDUP(G230/BQ230,0)</f>
        <v>1</v>
      </c>
      <c r="CA230" s="57" t="n">
        <f aca="false">ROUNDUP(BX230/BQ230,0)</f>
        <v>0</v>
      </c>
      <c r="CB230" s="60" t="n">
        <f aca="false">IF(BR230=1,0,IFERROR(VLOOKUP(BP230,'Gebinde-Kategorie'!$A$5:$M$45,5,0)+0,0))</f>
        <v>21</v>
      </c>
      <c r="CC230" s="60" t="n">
        <f aca="false">IFERROR(IF(OR(BT230=1,BT230=2,BT230=3),N(INDEX(Parameter!$I$5:$I$7,BT230)),0),0)</f>
        <v>0</v>
      </c>
      <c r="CD230" s="59" t="n">
        <f aca="false">IF(AND(Parameter!$B$21="Ja",ISNUMBER(U230),N(V230)&gt;0),IFERROR(N(INDEX(Parameter!$L$5:$L$7,U230))*INDEX(Parameter!$E$5:$E$7,U230)*V230/SUMIFS($V$7:$V$1576,$U$7:$U$1576,U230),0),0)</f>
        <v>0</v>
      </c>
    </row>
    <row r="231" customFormat="false" ht="15" hidden="false" customHeight="false" outlineLevel="0" collapsed="false">
      <c r="A231" s="55" t="s">
        <v>640</v>
      </c>
      <c r="B231" s="55" t="s">
        <v>641</v>
      </c>
      <c r="C231" s="55" t="s">
        <v>160</v>
      </c>
      <c r="D231" s="55" t="s">
        <v>168</v>
      </c>
      <c r="E231" s="55" t="s">
        <v>210</v>
      </c>
      <c r="F231" s="56" t="n">
        <v>579</v>
      </c>
      <c r="G231" s="57" t="n">
        <f aca="false">MAX(0,IF(AND(Parameter!$B$21="Ja",ISNUMBER(W231)),W231,IF(Parameter!$B$20="Jahresanfang 2025 + Export",BJ231+BI231,BI231)))</f>
        <v>1</v>
      </c>
      <c r="H231" s="57" t="n">
        <f aca="false">G231*F231</f>
        <v>579</v>
      </c>
      <c r="I231" s="57" t="n">
        <f aca="false">BL231*Parameter!$B$18</f>
        <v>1</v>
      </c>
      <c r="J231" s="58" t="n">
        <v>0.5</v>
      </c>
      <c r="K231" s="59" t="n">
        <v>2</v>
      </c>
      <c r="L231" s="57" t="n">
        <v>0</v>
      </c>
      <c r="M231" s="57" t="n">
        <v>1</v>
      </c>
      <c r="N231" s="60" t="n">
        <v>14</v>
      </c>
      <c r="O231" s="55" t="s">
        <v>163</v>
      </c>
      <c r="P231" s="57"/>
      <c r="Q231" s="60" t="n">
        <f aca="false">IF(BR231=1,0,IFERROR(VLOOKUP(BP231,'Gebinde-Kategorie'!$A$5:$M$45,13,0)+0,0))</f>
        <v>0</v>
      </c>
      <c r="R231" s="61"/>
      <c r="S231" s="62"/>
      <c r="T231" s="62"/>
      <c r="U231" s="55" t="n">
        <v>1</v>
      </c>
      <c r="V231" s="57" t="n">
        <v>1</v>
      </c>
      <c r="W231" s="57" t="n">
        <v>1</v>
      </c>
      <c r="X231" s="55" t="n">
        <f aca="false">IF(A231="","",IF(AND(Parameter!$B$21="Ja",ISNUMBER(U231)),U231,IF(IFERROR(VLOOKUP(D231,Parameter!$A$35:$C$64,2,0),"Nein")="2+3",IF(ISNUMBER(SEARCH("grosser Artikel",BM231)),2,IFERROR(VLOOKUP(BP231,Parameter!$F$35:$G$64,2,0),2)),IF(OR(IFERROR(VLOOKUP(D231,Parameter!$A$35:$C$64,2,0),"Nein")="Nein",IFERROR(VLOOKUP(D231,Parameter!$A$35:$C$64,2,0),"Nein")=""),"-",VLOOKUP(D231,Parameter!$A$35:$C$64,2,0)))))</f>
        <v>1</v>
      </c>
      <c r="Y231" s="62"/>
      <c r="Z231" s="63"/>
      <c r="AA231" s="57" t="n">
        <f aca="false">AP231</f>
        <v>1</v>
      </c>
      <c r="AB231" s="57" t="n">
        <f aca="false">MAX(AP231,G231)</f>
        <v>1</v>
      </c>
      <c r="AC231" s="64"/>
      <c r="AD231" s="57" t="n">
        <f aca="false">IF(LEFT(Cockpit!$C$5,1)="A",G231,IF(BW231=1,BX231,IF(LEFT(Cockpit!$C$5,1)="B",AH231,MAX(AH231,G231))))</f>
        <v>1</v>
      </c>
      <c r="AE231" s="57" t="n">
        <f aca="false">IF(BR231=1,0,ROUNDUP(AD231/BQ231,0))</f>
        <v>0</v>
      </c>
      <c r="AF231" s="59" t="n">
        <f aca="false">IF(CD231&gt;0,CD231*MAX(1,AD231/V231),IF(BR231=1,IF(AD231&lt;=0,0,BS231*MAX(1,IF(G231&gt;0,AD231/G231,1))),IF(Q231&gt;0,AE231/Q231,0))/MAX(0.1,N(Parameter!$M$21)))</f>
        <v>0.0800376647834275</v>
      </c>
      <c r="AG231" s="57" t="n">
        <f aca="false">AD231*F231</f>
        <v>579</v>
      </c>
      <c r="AH231" s="57" t="n">
        <f aca="false">ROUNDUP(MAX(I231/IF(BV231&gt;0,BV231,MAX(0.1,N(Cockpit!$C$6))),BY231)/BQ231,0)*BQ231</f>
        <v>1</v>
      </c>
      <c r="AI231" s="58" t="n">
        <f aca="false">IF(AF231&gt;0,I231/AF231,-1)</f>
        <v>12.4941176470588</v>
      </c>
      <c r="AJ231" s="58" t="n">
        <f aca="false">IF(AND(OR(BU231="L1",BU231="L23"),AF231&gt;0),SUMIFS($AF$7:$AF$1576,$BU$7:$BU$1576,BU231,$AI$7:$AI$1576,"&gt;"&amp;AI231)+SUMIFS($AF$7:$AF$1576,$BU$7:$BU$1576,BU231,$AI$7:$AI$1576,AI231,$BO$7:$BO$1576,"&lt;="&amp;BO231),"")</f>
        <v>19.9293785310734</v>
      </c>
      <c r="AK231" s="65" t="n">
        <f aca="false">IF(AJ231="",0,MAX(0,MIN(1,(IF(BU231="L1",Parameter!$E$5,Parameter!$E$6+Parameter!$E$7)-(AJ231-AF231))/AF231)))</f>
        <v>1</v>
      </c>
      <c r="AL231" s="57" t="n">
        <f aca="false">IF(LEFT(Cockpit!$I$5,1)="A",G231,IF(BW231=1,BX231,IF(LEFT(Cockpit!$I$5,1)="B",AP231,MAX(AP231,G231))))</f>
        <v>1</v>
      </c>
      <c r="AM231" s="57" t="n">
        <f aca="false">IF(BR231=1,0,ROUNDUP(AL231/BQ231,0))</f>
        <v>0</v>
      </c>
      <c r="AN231" s="59" t="n">
        <f aca="false">IF(CD231&gt;0,CD231*MAX(1,AL231/V231),IF(BR231=1,IF(AL231&lt;=0,0,BS231*MAX(1,IF(G231&gt;0,AL231/G231,1))),IF(Q231&gt;0,AM231/Q231,0))/MAX(0.1,N(Parameter!$M$21)))</f>
        <v>0.0800376647834275</v>
      </c>
      <c r="AO231" s="57" t="n">
        <f aca="false">AL231*F231</f>
        <v>579</v>
      </c>
      <c r="AP231" s="57" t="n">
        <f aca="false">ROUNDUP(MAX(I231/IF(BV231&gt;0,BV231,MAX(0.1,N(Cockpit!$I$6))),BY231)/BQ231,0)*BQ231</f>
        <v>1</v>
      </c>
      <c r="AQ231" s="58" t="n">
        <f aca="false">IF(AN231&gt;0,I231/AN231,-1)</f>
        <v>12.4941176470588</v>
      </c>
      <c r="AR231" s="58" t="n">
        <f aca="false">IF(AND(OR(BU231="L1",BU231="L23"),AN231&gt;0),SUMIFS($AN$7:$AN$1576,$BU$7:$BU$1576,BU231,$AQ$7:$AQ$1576,"&gt;"&amp;AQ231)+SUMIFS($AN$7:$AN$1576,$BU$7:$BU$1576,BU231,$AQ$7:$AQ$1576,AQ231,$BO$7:$BO$1576,"&lt;="&amp;BO231),"")</f>
        <v>25.3719397363465</v>
      </c>
      <c r="AS231" s="65" t="n">
        <f aca="false">IF(AR231="",0,MAX(0,MIN(1,(IF(BU231="L1",Parameter!$E$5,Parameter!$E$6+Parameter!$E$7)-(AR231-AN231))/AN231)))</f>
        <v>1</v>
      </c>
      <c r="AT231" s="57" t="n">
        <f aca="false">IF(LEFT(Cockpit!$O$5,1)="A",G231,IF(BW231=1,BX231,IF(LEFT(Cockpit!$O$5,1)="B",AX231,MAX(AX231,G231))))</f>
        <v>1</v>
      </c>
      <c r="AU231" s="57" t="n">
        <f aca="false">IF(BR231=1,0,ROUNDUP(AT231/BQ231,0))</f>
        <v>0</v>
      </c>
      <c r="AV231" s="59" t="n">
        <f aca="false">IF(CD231&gt;0,CD231*MAX(1,AT231/V231),IF(BR231=1,IF(AT231&lt;=0,0,BS231*MAX(1,IF(G231&gt;0,AT231/G231,1))),IF(Q231&gt;0,AU231/Q231,0))/MAX(0.1,N(Parameter!$M$21)))</f>
        <v>0.0800376647834275</v>
      </c>
      <c r="AW231" s="57" t="n">
        <f aca="false">AT231*F231</f>
        <v>579</v>
      </c>
      <c r="AX231" s="57" t="n">
        <f aca="false">ROUNDUP(MAX(I231/IF(BV231&gt;0,BV231,MAX(0.1,N(Cockpit!$O$6))),BY231)/BQ231,0)*BQ231</f>
        <v>1</v>
      </c>
      <c r="AY231" s="58" t="n">
        <f aca="false">IF(AV231&gt;0,I231/AV231,-1)</f>
        <v>12.4941176470588</v>
      </c>
      <c r="AZ231" s="58" t="n">
        <f aca="false">IF(AND(OR(BU231="L1",BU231="L23"),AV231&gt;0),SUMIFS($AV$7:$AV$1576,$BU$7:$BU$1576,BU231,$AY$7:$AY$1576,"&gt;"&amp;AY231)+SUMIFS($AV$7:$AV$1576,$BU$7:$BU$1576,BU231,$AY$7:$AY$1576,AY231,$BO$7:$BO$1576,"&lt;="&amp;BO231),"")</f>
        <v>22.4105461393597</v>
      </c>
      <c r="BA231" s="65" t="n">
        <f aca="false">IF(AZ231="",0,MAX(0,MIN(1,(IF(BU231="L1",Parameter!$E$5,Parameter!$E$6+Parameter!$E$7)-(AZ231-AV231))/AV231)))</f>
        <v>1</v>
      </c>
      <c r="BB231" s="55" t="str">
        <f aca="false">IF(AF231&lt;=0,"",IF(BU231="Aussen","Aussenlager",IF(BU231="-","Nicht im Lift",IF(AK231&gt;=1,"Lift",IF(AK231&lt;=0,"Aussenlager","teilweise")))))</f>
        <v>Lift</v>
      </c>
      <c r="BC231" s="55" t="str">
        <f aca="false">IF(AN231&lt;=0,"",IF(BU231="Aussen","Aussenlager",IF(BU231="-","Nicht im Lift",IF(AS231&gt;=1,"Lift",IF(AS231&lt;=0,"Aussenlager","teilweise")))))</f>
        <v>Lift</v>
      </c>
      <c r="BD231" s="55" t="str">
        <f aca="false">IF(AV231&lt;=0,"",IF(BU231="Aussen","Aussenlager",IF(BU231="-","Nicht im Lift",IF(BA231&gt;=1,"Lift",IF(BA231&lt;=0,"Aussenlager","teilweise")))))</f>
        <v>Lift</v>
      </c>
      <c r="BE231" s="55" t="str">
        <f aca="false">IF(A231="","",IF(BN231=1,"Neu; ","")&amp;IF(AND(BN231=0,BI231&lt;0),"negativer Bestand (Export "&amp;BI231&amp;"); ","")&amp;IF(I231&lt;=0,"Kein Verbrauch; ","")&amp;IF(CD231&gt;0,"Lift "&amp;U231&amp;" lt. Liftbericht (Fach "&amp;V231&amp;" Stk); ",IF(BR231=1,"Lose – Fläche geschätzt; ",""))&amp;IF(G231&gt;AP231,"Überbestand "&amp;ROUND(G231-AP231,0)&amp;" Stk / CHF "&amp;ROUND((G231-AP231)*F231,0)&amp;"; ","")&amp;IF(AND(BW231=1,BX231&lt;BY231),"MAX &lt; MB+LG; ","")&amp;IF(AND(CC231&gt;0,CB231*10&gt;CC231),"zu hoch für Tablar; ","")&amp;IF(AND(BN231=0,OR(BW231=1,Y231&lt;&gt;"",S231&lt;&gt;"",T231&lt;&gt;"",Z231&lt;&gt;"")),"manuell übersteuert; ","")&amp;IF(AND(BR231=0,Q231=0),"Gebinde unbekannt / Stellmass fehlt; ","")&amp;IF(AND(BR231=0,N(T231)&lt;=0,N(P231)&lt;=0),"Menge pro Gebinde fehlt (Ist = 1 Gebinde); ","")&amp;BM231)</f>
        <v>Lift 1 lt. Liftbericht (Fach 1 Stk); </v>
      </c>
      <c r="BF231" s="55"/>
      <c r="BG231" s="55"/>
      <c r="BH231" s="62"/>
      <c r="BI231" s="57" t="n">
        <v>1</v>
      </c>
      <c r="BJ231" s="57" t="n">
        <v>0</v>
      </c>
      <c r="BK231" s="56" t="n">
        <v>579</v>
      </c>
      <c r="BL231" s="57" t="n">
        <v>1</v>
      </c>
      <c r="BM231" s="55"/>
      <c r="BN231" s="60" t="n">
        <v>0</v>
      </c>
      <c r="BO231" s="60" t="n">
        <v>231</v>
      </c>
      <c r="BP231" s="55" t="str">
        <f aca="false">IF(S231&lt;&gt;"",UPPER(TRIM(S231)),IF(O231="","LOSE",O231))</f>
        <v>LOSE</v>
      </c>
      <c r="BQ231" s="57" t="n">
        <f aca="false">IF(BP231="LOSE",1,IF(N(T231)&gt;0,T231,IF(N(P231)&gt;0,P231,MAX(1,G231))))</f>
        <v>1</v>
      </c>
      <c r="BR231" s="60" t="n">
        <f aca="false">IF(BP231="LOSE",1,0)</f>
        <v>1</v>
      </c>
      <c r="BS231" s="59" t="n">
        <f aca="false">IF(BR231=0,0,IF(N(R231)&gt;0,R231,IFERROR(VLOOKUP(D231,Parameter!$A$35:$C$64,3,0)+0,0)))</f>
        <v>0.15</v>
      </c>
      <c r="BT231" s="55" t="n">
        <f aca="false">IF(Y231&lt;&gt;"",Y231,X231)</f>
        <v>1</v>
      </c>
      <c r="BU231" s="55" t="str">
        <f aca="false">IF(BT231=1,"L1",IF(OR(BT231=2,BT231=3),"L23",IF(BT231="Aussen","Aussen","-")))</f>
        <v>L1</v>
      </c>
      <c r="BV231" s="66" t="n">
        <f aca="false">IF(N(Z231)&gt;0,Z231,0)</f>
        <v>0</v>
      </c>
      <c r="BW231" s="60" t="n">
        <f aca="false">IF(ISNUMBER(AC231),1,0)</f>
        <v>0</v>
      </c>
      <c r="BX231" s="57" t="n">
        <f aca="false">N(AC231)</f>
        <v>0</v>
      </c>
      <c r="BY231" s="57" t="n">
        <f aca="false">N(L231)+N(M231)</f>
        <v>1</v>
      </c>
      <c r="BZ231" s="57" t="n">
        <f aca="false">ROUNDUP(G231/BQ231,0)</f>
        <v>1</v>
      </c>
      <c r="CA231" s="57" t="n">
        <f aca="false">ROUNDUP(BX231/BQ231,0)</f>
        <v>0</v>
      </c>
      <c r="CB231" s="60" t="n">
        <f aca="false">IF(BR231=1,0,IFERROR(VLOOKUP(BP231,'Gebinde-Kategorie'!$A$5:$M$45,5,0)+0,0))</f>
        <v>0</v>
      </c>
      <c r="CC231" s="60" t="n">
        <f aca="false">IFERROR(IF(OR(BT231=1,BT231=2,BT231=3),N(INDEX(Parameter!$I$5:$I$7,BT231)),0),0)</f>
        <v>0</v>
      </c>
      <c r="CD231" s="59" t="n">
        <f aca="false">IF(AND(Parameter!$B$21="Ja",ISNUMBER(U231),N(V231)&gt;0),IFERROR(N(INDEX(Parameter!$L$5:$L$7,U231))*INDEX(Parameter!$E$5:$E$7,U231)*V231/SUMIFS($V$7:$V$1576,$U$7:$U$1576,U231),0),0)</f>
        <v>0.0800376647834275</v>
      </c>
    </row>
    <row r="232" customFormat="false" ht="15" hidden="false" customHeight="false" outlineLevel="0" collapsed="false">
      <c r="A232" s="55" t="s">
        <v>642</v>
      </c>
      <c r="B232" s="55" t="s">
        <v>643</v>
      </c>
      <c r="C232" s="55" t="s">
        <v>160</v>
      </c>
      <c r="D232" s="55" t="s">
        <v>178</v>
      </c>
      <c r="E232" s="55" t="s">
        <v>210</v>
      </c>
      <c r="F232" s="56" t="n">
        <v>41.32</v>
      </c>
      <c r="G232" s="57" t="n">
        <f aca="false">MAX(0,IF(AND(Parameter!$B$21="Ja",ISNUMBER(W232)),W232,IF(Parameter!$B$20="Jahresanfang 2025 + Export",BJ232+BI232,BI232)))</f>
        <v>17</v>
      </c>
      <c r="H232" s="57" t="n">
        <f aca="false">G232*F232</f>
        <v>702.44</v>
      </c>
      <c r="I232" s="57" t="n">
        <f aca="false">BL232*Parameter!$B$18</f>
        <v>10</v>
      </c>
      <c r="J232" s="58" t="n">
        <v>4</v>
      </c>
      <c r="K232" s="59" t="n">
        <v>2.5</v>
      </c>
      <c r="L232" s="57" t="n">
        <v>0</v>
      </c>
      <c r="M232" s="57" t="n">
        <v>10</v>
      </c>
      <c r="N232" s="60" t="n">
        <v>35</v>
      </c>
      <c r="O232" s="55" t="s">
        <v>411</v>
      </c>
      <c r="P232" s="57" t="n">
        <v>13</v>
      </c>
      <c r="Q232" s="60" t="n">
        <f aca="false">IF(BR232=1,0,IFERROR(VLOOKUP(BP232,'Gebinde-Kategorie'!$A$5:$M$45,13,0)+0,0))</f>
        <v>132</v>
      </c>
      <c r="R232" s="61"/>
      <c r="S232" s="62"/>
      <c r="T232" s="62"/>
      <c r="U232" s="55"/>
      <c r="V232" s="57"/>
      <c r="W232" s="57"/>
      <c r="X232" s="55" t="n">
        <f aca="false">IF(A232="","",IF(AND(Parameter!$B$21="Ja",ISNUMBER(U232)),U232,IF(IFERROR(VLOOKUP(D232,Parameter!$A$35:$C$64,2,0),"Nein")="2+3",IF(ISNUMBER(SEARCH("grosser Artikel",BM232)),2,IFERROR(VLOOKUP(BP232,Parameter!$F$35:$G$64,2,0),2)),IF(OR(IFERROR(VLOOKUP(D232,Parameter!$A$35:$C$64,2,0),"Nein")="Nein",IFERROR(VLOOKUP(D232,Parameter!$A$35:$C$64,2,0),"Nein")=""),"-",VLOOKUP(D232,Parameter!$A$35:$C$64,2,0)))))</f>
        <v>3</v>
      </c>
      <c r="Y232" s="62"/>
      <c r="Z232" s="63"/>
      <c r="AA232" s="57" t="n">
        <f aca="false">AP232</f>
        <v>13</v>
      </c>
      <c r="AB232" s="57" t="n">
        <f aca="false">MAX(AP232,G232)</f>
        <v>17</v>
      </c>
      <c r="AC232" s="64"/>
      <c r="AD232" s="57" t="n">
        <f aca="false">IF(LEFT(Cockpit!$C$5,1)="A",G232,IF(BW232=1,BX232,IF(LEFT(Cockpit!$C$5,1)="B",AH232,MAX(AH232,G232))))</f>
        <v>17</v>
      </c>
      <c r="AE232" s="57" t="n">
        <f aca="false">IF(BR232=1,0,ROUNDUP(AD232/BQ232,0))</f>
        <v>2</v>
      </c>
      <c r="AF232" s="59" t="n">
        <f aca="false">IF(CD232&gt;0,CD232*MAX(1,AD232/V232),IF(BR232=1,IF(AD232&lt;=0,0,BS232*MAX(1,IF(G232&gt;0,AD232/G232,1))),IF(Q232&gt;0,AE232/Q232,0))/MAX(0.1,N(Parameter!$M$21)))</f>
        <v>0.0151515151515152</v>
      </c>
      <c r="AG232" s="57" t="n">
        <f aca="false">AD232*F232</f>
        <v>702.44</v>
      </c>
      <c r="AH232" s="57" t="n">
        <f aca="false">ROUNDUP(MAX(I232/IF(BV232&gt;0,BV232,MAX(0.1,N(Cockpit!$C$6))),BY232)/BQ232,0)*BQ232</f>
        <v>13</v>
      </c>
      <c r="AI232" s="58" t="n">
        <f aca="false">IF(AF232&gt;0,I232/AF232,-1)</f>
        <v>660</v>
      </c>
      <c r="AJ232" s="58" t="n">
        <f aca="false">IF(AND(OR(BU232="L1",BU232="L23"),AF232&gt;0),SUMIFS($AF$7:$AF$1576,$BU$7:$BU$1576,BU232,$AI$7:$AI$1576,"&gt;"&amp;AI232)+SUMIFS($AF$7:$AF$1576,$BU$7:$BU$1576,BU232,$AI$7:$AI$1576,AI232,$BO$7:$BO$1576,"&lt;="&amp;BO232),"")</f>
        <v>11.5711222593831</v>
      </c>
      <c r="AK232" s="65" t="n">
        <f aca="false">IF(AJ232="",0,MAX(0,MIN(1,(IF(BU232="L1",Parameter!$E$5,Parameter!$E$6+Parameter!$E$7)-(AJ232-AF232))/AF232)))</f>
        <v>1</v>
      </c>
      <c r="AL232" s="57" t="n">
        <f aca="false">IF(LEFT(Cockpit!$I$5,1)="A",G232,IF(BW232=1,BX232,IF(LEFT(Cockpit!$I$5,1)="B",AP232,MAX(AP232,G232))))</f>
        <v>17</v>
      </c>
      <c r="AM232" s="57" t="n">
        <f aca="false">IF(BR232=1,0,ROUNDUP(AL232/BQ232,0))</f>
        <v>2</v>
      </c>
      <c r="AN232" s="59" t="n">
        <f aca="false">IF(CD232&gt;0,CD232*MAX(1,AL232/V232),IF(BR232=1,IF(AL232&lt;=0,0,BS232*MAX(1,IF(G232&gt;0,AL232/G232,1))),IF(Q232&gt;0,AM232/Q232,0))/MAX(0.1,N(Parameter!$M$21)))</f>
        <v>0.0151515151515152</v>
      </c>
      <c r="AO232" s="57" t="n">
        <f aca="false">AL232*F232</f>
        <v>702.44</v>
      </c>
      <c r="AP232" s="57" t="n">
        <f aca="false">ROUNDUP(MAX(I232/IF(BV232&gt;0,BV232,MAX(0.1,N(Cockpit!$I$6))),BY232)/BQ232,0)*BQ232</f>
        <v>13</v>
      </c>
      <c r="AQ232" s="58" t="n">
        <f aca="false">IF(AN232&gt;0,I232/AN232,-1)</f>
        <v>660</v>
      </c>
      <c r="AR232" s="58" t="n">
        <f aca="false">IF(AND(OR(BU232="L1",BU232="L23"),AN232&gt;0),SUMIFS($AN$7:$AN$1576,$BU$7:$BU$1576,BU232,$AQ$7:$AQ$1576,"&gt;"&amp;AQ232)+SUMIFS($AN$7:$AN$1576,$BU$7:$BU$1576,BU232,$AQ$7:$AQ$1576,AQ232,$BO$7:$BO$1576,"&lt;="&amp;BO232),"")</f>
        <v>29.7243258315109</v>
      </c>
      <c r="AS232" s="65" t="n">
        <f aca="false">IF(AR232="",0,MAX(0,MIN(1,(IF(BU232="L1",Parameter!$E$5,Parameter!$E$6+Parameter!$E$7)-(AR232-AN232))/AN232)))</f>
        <v>1</v>
      </c>
      <c r="AT232" s="57" t="n">
        <f aca="false">IF(LEFT(Cockpit!$O$5,1)="A",G232,IF(BW232=1,BX232,IF(LEFT(Cockpit!$O$5,1)="B",AX232,MAX(AX232,G232))))</f>
        <v>17</v>
      </c>
      <c r="AU232" s="57" t="n">
        <f aca="false">IF(BR232=1,0,ROUNDUP(AT232/BQ232,0))</f>
        <v>2</v>
      </c>
      <c r="AV232" s="59" t="n">
        <f aca="false">IF(CD232&gt;0,CD232*MAX(1,AT232/V232),IF(BR232=1,IF(AT232&lt;=0,0,BS232*MAX(1,IF(G232&gt;0,AT232/G232,1))),IF(Q232&gt;0,AU232/Q232,0))/MAX(0.1,N(Parameter!$M$21)))</f>
        <v>0.0151515151515152</v>
      </c>
      <c r="AW232" s="57" t="n">
        <f aca="false">AT232*F232</f>
        <v>702.44</v>
      </c>
      <c r="AX232" s="57" t="n">
        <f aca="false">ROUNDUP(MAX(I232/IF(BV232&gt;0,BV232,MAX(0.1,N(Cockpit!$O$6))),BY232)/BQ232,0)*BQ232</f>
        <v>13</v>
      </c>
      <c r="AY232" s="58" t="n">
        <f aca="false">IF(AV232&gt;0,I232/AV232,-1)</f>
        <v>660</v>
      </c>
      <c r="AZ232" s="58" t="n">
        <f aca="false">IF(AND(OR(BU232="L1",BU232="L23"),AV232&gt;0),SUMIFS($AV$7:$AV$1576,$BU$7:$BU$1576,BU232,$AY$7:$AY$1576,"&gt;"&amp;AY232)+SUMIFS($AV$7:$AV$1576,$BU$7:$BU$1576,BU232,$AY$7:$AY$1576,AY232,$BO$7:$BO$1576,"&lt;="&amp;BO232),"")</f>
        <v>29.4356278628129</v>
      </c>
      <c r="BA232" s="65" t="n">
        <f aca="false">IF(AZ232="",0,MAX(0,MIN(1,(IF(BU232="L1",Parameter!$E$5,Parameter!$E$6+Parameter!$E$7)-(AZ232-AV232))/AV232)))</f>
        <v>1</v>
      </c>
      <c r="BB232" s="55" t="str">
        <f aca="false">IF(AF232&lt;=0,"",IF(BU232="Aussen","Aussenlager",IF(BU232="-","Nicht im Lift",IF(AK232&gt;=1,"Lift",IF(AK232&lt;=0,"Aussenlager","teilweise")))))</f>
        <v>Lift</v>
      </c>
      <c r="BC232" s="55" t="str">
        <f aca="false">IF(AN232&lt;=0,"",IF(BU232="Aussen","Aussenlager",IF(BU232="-","Nicht im Lift",IF(AS232&gt;=1,"Lift",IF(AS232&lt;=0,"Aussenlager","teilweise")))))</f>
        <v>Lift</v>
      </c>
      <c r="BD232" s="55" t="str">
        <f aca="false">IF(AV232&lt;=0,"",IF(BU232="Aussen","Aussenlager",IF(BU232="-","Nicht im Lift",IF(BA232&gt;=1,"Lift",IF(BA232&lt;=0,"Aussenlager","teilweise")))))</f>
        <v>Lift</v>
      </c>
      <c r="BE232" s="55" t="str">
        <f aca="false">IF(A232="","",IF(BN232=1,"Neu; ","")&amp;IF(AND(BN232=0,BI232&lt;0),"negativer Bestand (Export "&amp;BI232&amp;"); ","")&amp;IF(I232&lt;=0,"Kein Verbrauch; ","")&amp;IF(CD232&gt;0,"Lift "&amp;U232&amp;" lt. Liftbericht (Fach "&amp;V232&amp;" Stk); ",IF(BR232=1,"Lose – Fläche geschätzt; ",""))&amp;IF(G232&gt;AP232,"Überbestand "&amp;ROUND(G232-AP232,0)&amp;" Stk / CHF "&amp;ROUND((G232-AP232)*F232,0)&amp;"; ","")&amp;IF(AND(BW232=1,BX232&lt;BY232),"MAX &lt; MB+LG; ","")&amp;IF(AND(CC232&gt;0,CB232*10&gt;CC232),"zu hoch für Tablar; ","")&amp;IF(AND(BN232=0,OR(BW232=1,Y232&lt;&gt;"",S232&lt;&gt;"",T232&lt;&gt;"",Z232&lt;&gt;"")),"manuell übersteuert; ","")&amp;IF(AND(BR232=0,Q232=0),"Gebinde unbekannt / Stellmass fehlt; ","")&amp;IF(AND(BR232=0,N(T232)&lt;=0,N(P232)&lt;=0),"Menge pro Gebinde fehlt (Ist = 1 Gebinde); ","")&amp;BM232)</f>
        <v>Überbestand 4 Stk / CHF 165; </v>
      </c>
      <c r="BF232" s="55"/>
      <c r="BG232" s="55"/>
      <c r="BH232" s="62"/>
      <c r="BI232" s="57" t="n">
        <v>17</v>
      </c>
      <c r="BJ232" s="57" t="n">
        <v>4</v>
      </c>
      <c r="BK232" s="56" t="n">
        <v>578.4</v>
      </c>
      <c r="BL232" s="57" t="n">
        <v>10</v>
      </c>
      <c r="BM232" s="55"/>
      <c r="BN232" s="60" t="n">
        <v>0</v>
      </c>
      <c r="BO232" s="60" t="n">
        <v>232</v>
      </c>
      <c r="BP232" s="55" t="str">
        <f aca="false">IF(S232&lt;&gt;"",UPPER(TRIM(S232)),IF(O232="","LOSE",O232))</f>
        <v>S32</v>
      </c>
      <c r="BQ232" s="57" t="n">
        <f aca="false">IF(BP232="LOSE",1,IF(N(T232)&gt;0,T232,IF(N(P232)&gt;0,P232,MAX(1,G232))))</f>
        <v>13</v>
      </c>
      <c r="BR232" s="60" t="n">
        <f aca="false">IF(BP232="LOSE",1,0)</f>
        <v>0</v>
      </c>
      <c r="BS232" s="59" t="n">
        <f aca="false">IF(BR232=0,0,IF(N(R232)&gt;0,R232,IFERROR(VLOOKUP(D232,Parameter!$A$35:$C$64,3,0)+0,0)))</f>
        <v>0</v>
      </c>
      <c r="BT232" s="55" t="n">
        <f aca="false">IF(Y232&lt;&gt;"",Y232,X232)</f>
        <v>3</v>
      </c>
      <c r="BU232" s="55" t="str">
        <f aca="false">IF(BT232=1,"L1",IF(OR(BT232=2,BT232=3),"L23",IF(BT232="Aussen","Aussen","-")))</f>
        <v>L23</v>
      </c>
      <c r="BV232" s="66" t="n">
        <f aca="false">IF(N(Z232)&gt;0,Z232,0)</f>
        <v>0</v>
      </c>
      <c r="BW232" s="60" t="n">
        <f aca="false">IF(ISNUMBER(AC232),1,0)</f>
        <v>0</v>
      </c>
      <c r="BX232" s="57" t="n">
        <f aca="false">N(AC232)</f>
        <v>0</v>
      </c>
      <c r="BY232" s="57" t="n">
        <f aca="false">N(L232)+N(M232)</f>
        <v>10</v>
      </c>
      <c r="BZ232" s="57" t="n">
        <f aca="false">ROUNDUP(G232/BQ232,0)</f>
        <v>2</v>
      </c>
      <c r="CA232" s="57" t="n">
        <f aca="false">ROUNDUP(BX232/BQ232,0)</f>
        <v>0</v>
      </c>
      <c r="CB232" s="60" t="n">
        <f aca="false">IF(BR232=1,0,IFERROR(VLOOKUP(BP232,'Gebinde-Kategorie'!$A$5:$M$45,5,0)+0,0))</f>
        <v>8</v>
      </c>
      <c r="CC232" s="60" t="n">
        <f aca="false">IFERROR(IF(OR(BT232=1,BT232=2,BT232=3),N(INDEX(Parameter!$I$5:$I$7,BT232)),0),0)</f>
        <v>0</v>
      </c>
      <c r="CD232" s="59" t="n">
        <f aca="false">IF(AND(Parameter!$B$21="Ja",ISNUMBER(U232),N(V232)&gt;0),IFERROR(N(INDEX(Parameter!$L$5:$L$7,U232))*INDEX(Parameter!$E$5:$E$7,U232)*V232/SUMIFS($V$7:$V$1576,$U$7:$U$1576,U232),0),0)</f>
        <v>0</v>
      </c>
    </row>
    <row r="233" customFormat="false" ht="15" hidden="false" customHeight="false" outlineLevel="0" collapsed="false">
      <c r="A233" s="55" t="s">
        <v>644</v>
      </c>
      <c r="B233" s="55" t="s">
        <v>645</v>
      </c>
      <c r="C233" s="55" t="s">
        <v>160</v>
      </c>
      <c r="D233" s="55" t="s">
        <v>168</v>
      </c>
      <c r="E233" s="55" t="s">
        <v>210</v>
      </c>
      <c r="F233" s="56" t="n">
        <v>533.7</v>
      </c>
      <c r="G233" s="57" t="n">
        <f aca="false">MAX(0,IF(AND(Parameter!$B$21="Ja",ISNUMBER(W233)),W233,IF(Parameter!$B$20="Jahresanfang 2025 + Export",BJ233+BI233,BI233)))</f>
        <v>1</v>
      </c>
      <c r="H233" s="57" t="n">
        <f aca="false">G233*F233</f>
        <v>533.7</v>
      </c>
      <c r="I233" s="57" t="n">
        <f aca="false">BL233*Parameter!$B$18</f>
        <v>0</v>
      </c>
      <c r="J233" s="58" t="n">
        <v>1</v>
      </c>
      <c r="K233" s="59" t="n">
        <v>0</v>
      </c>
      <c r="L233" s="57" t="n">
        <v>0</v>
      </c>
      <c r="M233" s="57" t="n">
        <v>1</v>
      </c>
      <c r="N233" s="60" t="n">
        <v>28</v>
      </c>
      <c r="O233" s="55" t="s">
        <v>163</v>
      </c>
      <c r="P233" s="57"/>
      <c r="Q233" s="60" t="n">
        <f aca="false">IF(BR233=1,0,IFERROR(VLOOKUP(BP233,'Gebinde-Kategorie'!$A$5:$M$45,13,0)+0,0))</f>
        <v>0</v>
      </c>
      <c r="R233" s="61"/>
      <c r="S233" s="62"/>
      <c r="T233" s="62"/>
      <c r="U233" s="55"/>
      <c r="V233" s="57"/>
      <c r="W233" s="57"/>
      <c r="X233" s="55" t="n">
        <f aca="false">IF(A233="","",IF(AND(Parameter!$B$21="Ja",ISNUMBER(U233)),U233,IF(IFERROR(VLOOKUP(D233,Parameter!$A$35:$C$64,2,0),"Nein")="2+3",IF(ISNUMBER(SEARCH("grosser Artikel",BM233)),2,IFERROR(VLOOKUP(BP233,Parameter!$F$35:$G$64,2,0),2)),IF(OR(IFERROR(VLOOKUP(D233,Parameter!$A$35:$C$64,2,0),"Nein")="Nein",IFERROR(VLOOKUP(D233,Parameter!$A$35:$C$64,2,0),"Nein")=""),"-",VLOOKUP(D233,Parameter!$A$35:$C$64,2,0)))))</f>
        <v>2</v>
      </c>
      <c r="Y233" s="62"/>
      <c r="Z233" s="63"/>
      <c r="AA233" s="57" t="n">
        <f aca="false">AP233</f>
        <v>1</v>
      </c>
      <c r="AB233" s="57" t="n">
        <f aca="false">MAX(AP233,G233)</f>
        <v>1</v>
      </c>
      <c r="AC233" s="64"/>
      <c r="AD233" s="57" t="n">
        <f aca="false">IF(LEFT(Cockpit!$C$5,1)="A",G233,IF(BW233=1,BX233,IF(LEFT(Cockpit!$C$5,1)="B",AH233,MAX(AH233,G233))))</f>
        <v>1</v>
      </c>
      <c r="AE233" s="57" t="n">
        <f aca="false">IF(BR233=1,0,ROUNDUP(AD233/BQ233,0))</f>
        <v>0</v>
      </c>
      <c r="AF233" s="59" t="n">
        <f aca="false">IF(CD233&gt;0,CD233*MAX(1,AD233/V233),IF(BR233=1,IF(AD233&lt;=0,0,BS233*MAX(1,IF(G233&gt;0,AD233/G233,1))),IF(Q233&gt;0,AE233/Q233,0))/MAX(0.1,N(Parameter!$M$21)))</f>
        <v>0.15</v>
      </c>
      <c r="AG233" s="57" t="n">
        <f aca="false">AD233*F233</f>
        <v>533.7</v>
      </c>
      <c r="AH233" s="57" t="n">
        <f aca="false">ROUNDUP(MAX(I233/IF(BV233&gt;0,BV233,MAX(0.1,N(Cockpit!$C$6))),BY233)/BQ233,0)*BQ233</f>
        <v>1</v>
      </c>
      <c r="AI233" s="58" t="n">
        <f aca="false">IF(AF233&gt;0,I233/AF233,-1)</f>
        <v>0</v>
      </c>
      <c r="AJ233" s="58" t="n">
        <f aca="false">IF(AND(OR(BU233="L1",BU233="L23"),AF233&gt;0),SUMIFS($AF$7:$AF$1576,$BU$7:$BU$1576,BU233,$AI$7:$AI$1576,"&gt;"&amp;AI233)+SUMIFS($AF$7:$AF$1576,$BU$7:$BU$1576,BU233,$AI$7:$AI$1576,AI233,$BO$7:$BO$1576,"&lt;="&amp;BO233),"")</f>
        <v>39.7929779399345</v>
      </c>
      <c r="AK233" s="65" t="n">
        <f aca="false">IF(AJ233="",0,MAX(0,MIN(1,(IF(BU233="L1",Parameter!$E$5,Parameter!$E$6+Parameter!$E$7)-(AJ233-AF233))/AF233)))</f>
        <v>1</v>
      </c>
      <c r="AL233" s="57" t="n">
        <f aca="false">IF(LEFT(Cockpit!$I$5,1)="A",G233,IF(BW233=1,BX233,IF(LEFT(Cockpit!$I$5,1)="B",AP233,MAX(AP233,G233))))</f>
        <v>1</v>
      </c>
      <c r="AM233" s="57" t="n">
        <f aca="false">IF(BR233=1,0,ROUNDUP(AL233/BQ233,0))</f>
        <v>0</v>
      </c>
      <c r="AN233" s="59" t="n">
        <f aca="false">IF(CD233&gt;0,CD233*MAX(1,AL233/V233),IF(BR233=1,IF(AL233&lt;=0,0,BS233*MAX(1,IF(G233&gt;0,AL233/G233,1))),IF(Q233&gt;0,AM233/Q233,0))/MAX(0.1,N(Parameter!$M$21)))</f>
        <v>0.15</v>
      </c>
      <c r="AO233" s="57" t="n">
        <f aca="false">AL233*F233</f>
        <v>533.7</v>
      </c>
      <c r="AP233" s="57" t="n">
        <f aca="false">ROUNDUP(MAX(I233/IF(BV233&gt;0,BV233,MAX(0.1,N(Cockpit!$I$6))),BY233)/BQ233,0)*BQ233</f>
        <v>1</v>
      </c>
      <c r="AQ233" s="58" t="n">
        <f aca="false">IF(AN233&gt;0,I233/AN233,-1)</f>
        <v>0</v>
      </c>
      <c r="AR233" s="58" t="n">
        <f aca="false">IF(AND(OR(BU233="L1",BU233="L23"),AN233&gt;0),SUMIFS($AN$7:$AN$1576,$BU$7:$BU$1576,BU233,$AQ$7:$AQ$1576,"&gt;"&amp;AQ233)+SUMIFS($AN$7:$AN$1576,$BU$7:$BU$1576,BU233,$AQ$7:$AQ$1576,AQ233,$BO$7:$BO$1576,"&lt;="&amp;BO233),"")</f>
        <v>122.667183689724</v>
      </c>
      <c r="AS233" s="65" t="n">
        <f aca="false">IF(AR233="",0,MAX(0,MIN(1,(IF(BU233="L1",Parameter!$E$5,Parameter!$E$6+Parameter!$E$7)-(AR233-AN233))/AN233)))</f>
        <v>0</v>
      </c>
      <c r="AT233" s="57" t="n">
        <f aca="false">IF(LEFT(Cockpit!$O$5,1)="A",G233,IF(BW233=1,BX233,IF(LEFT(Cockpit!$O$5,1)="B",AX233,MAX(AX233,G233))))</f>
        <v>1</v>
      </c>
      <c r="AU233" s="57" t="n">
        <f aca="false">IF(BR233=1,0,ROUNDUP(AT233/BQ233,0))</f>
        <v>0</v>
      </c>
      <c r="AV233" s="59" t="n">
        <f aca="false">IF(CD233&gt;0,CD233*MAX(1,AT233/V233),IF(BR233=1,IF(AT233&lt;=0,0,BS233*MAX(1,IF(G233&gt;0,AT233/G233,1))),IF(Q233&gt;0,AU233/Q233,0))/MAX(0.1,N(Parameter!$M$21)))</f>
        <v>0.15</v>
      </c>
      <c r="AW233" s="57" t="n">
        <f aca="false">AT233*F233</f>
        <v>533.7</v>
      </c>
      <c r="AX233" s="57" t="n">
        <f aca="false">ROUNDUP(MAX(I233/IF(BV233&gt;0,BV233,MAX(0.1,N(Cockpit!$O$6))),BY233)/BQ233,0)*BQ233</f>
        <v>1</v>
      </c>
      <c r="AY233" s="58" t="n">
        <f aca="false">IF(AV233&gt;0,I233/AV233,-1)</f>
        <v>0</v>
      </c>
      <c r="AZ233" s="58" t="n">
        <f aca="false">IF(AND(OR(BU233="L1",BU233="L23"),AV233&gt;0),SUMIFS($AV$7:$AV$1576,$BU$7:$BU$1576,BU233,$AY$7:$AY$1576,"&gt;"&amp;AY233)+SUMIFS($AV$7:$AV$1576,$BU$7:$BU$1576,BU233,$AY$7:$AY$1576,AY233,$BO$7:$BO$1576,"&lt;="&amp;BO233),"")</f>
        <v>112.726734139274</v>
      </c>
      <c r="BA233" s="65" t="n">
        <f aca="false">IF(AZ233="",0,MAX(0,MIN(1,(IF(BU233="L1",Parameter!$E$5,Parameter!$E$6+Parameter!$E$7)-(AZ233-AV233))/AV233)))</f>
        <v>0</v>
      </c>
      <c r="BB233" s="55" t="str">
        <f aca="false">IF(AF233&lt;=0,"",IF(BU233="Aussen","Aussenlager",IF(BU233="-","Nicht im Lift",IF(AK233&gt;=1,"Lift",IF(AK233&lt;=0,"Aussenlager","teilweise")))))</f>
        <v>Lift</v>
      </c>
      <c r="BC233" s="55" t="str">
        <f aca="false">IF(AN233&lt;=0,"",IF(BU233="Aussen","Aussenlager",IF(BU233="-","Nicht im Lift",IF(AS233&gt;=1,"Lift",IF(AS233&lt;=0,"Aussenlager","teilweise")))))</f>
        <v>Aussenlager</v>
      </c>
      <c r="BD233" s="55" t="str">
        <f aca="false">IF(AV233&lt;=0,"",IF(BU233="Aussen","Aussenlager",IF(BU233="-","Nicht im Lift",IF(BA233&gt;=1,"Lift",IF(BA233&lt;=0,"Aussenlager","teilweise")))))</f>
        <v>Aussenlager</v>
      </c>
      <c r="BE233" s="55" t="str">
        <f aca="false">IF(A233="","",IF(BN233=1,"Neu; ","")&amp;IF(AND(BN233=0,BI233&lt;0),"negativer Bestand (Export "&amp;BI233&amp;"); ","")&amp;IF(I233&lt;=0,"Kein Verbrauch; ","")&amp;IF(CD233&gt;0,"Lift "&amp;U233&amp;" lt. Liftbericht (Fach "&amp;V233&amp;" Stk); ",IF(BR233=1,"Lose – Fläche geschätzt; ",""))&amp;IF(G233&gt;AP233,"Überbestand "&amp;ROUND(G233-AP233,0)&amp;" Stk / CHF "&amp;ROUND((G233-AP233)*F233,0)&amp;"; ","")&amp;IF(AND(BW233=1,BX233&lt;BY233),"MAX &lt; MB+LG; ","")&amp;IF(AND(CC233&gt;0,CB233*10&gt;CC233),"zu hoch für Tablar; ","")&amp;IF(AND(BN233=0,OR(BW233=1,Y233&lt;&gt;"",S233&lt;&gt;"",T233&lt;&gt;"",Z233&lt;&gt;"")),"manuell übersteuert; ","")&amp;IF(AND(BR233=0,Q233=0),"Gebinde unbekannt / Stellmass fehlt; ","")&amp;IF(AND(BR233=0,N(T233)&lt;=0,N(P233)&lt;=0),"Menge pro Gebinde fehlt (Ist = 1 Gebinde); ","")&amp;BM233)</f>
        <v>Kein Verbrauch; Lose – Fläche geschätzt; </v>
      </c>
      <c r="BF233" s="55"/>
      <c r="BG233" s="55"/>
      <c r="BH233" s="62"/>
      <c r="BI233" s="57" t="n">
        <v>1</v>
      </c>
      <c r="BJ233" s="57" t="n">
        <v>1</v>
      </c>
      <c r="BK233" s="56" t="n">
        <v>576.9</v>
      </c>
      <c r="BL233" s="57" t="n">
        <v>0</v>
      </c>
      <c r="BM233" s="55"/>
      <c r="BN233" s="60" t="n">
        <v>0</v>
      </c>
      <c r="BO233" s="60" t="n">
        <v>233</v>
      </c>
      <c r="BP233" s="55" t="str">
        <f aca="false">IF(S233&lt;&gt;"",UPPER(TRIM(S233)),IF(O233="","LOSE",O233))</f>
        <v>LOSE</v>
      </c>
      <c r="BQ233" s="57" t="n">
        <f aca="false">IF(BP233="LOSE",1,IF(N(T233)&gt;0,T233,IF(N(P233)&gt;0,P233,MAX(1,G233))))</f>
        <v>1</v>
      </c>
      <c r="BR233" s="60" t="n">
        <f aca="false">IF(BP233="LOSE",1,0)</f>
        <v>1</v>
      </c>
      <c r="BS233" s="59" t="n">
        <f aca="false">IF(BR233=0,0,IF(N(R233)&gt;0,R233,IFERROR(VLOOKUP(D233,Parameter!$A$35:$C$64,3,0)+0,0)))</f>
        <v>0.15</v>
      </c>
      <c r="BT233" s="55" t="n">
        <f aca="false">IF(Y233&lt;&gt;"",Y233,X233)</f>
        <v>2</v>
      </c>
      <c r="BU233" s="55" t="str">
        <f aca="false">IF(BT233=1,"L1",IF(OR(BT233=2,BT233=3),"L23",IF(BT233="Aussen","Aussen","-")))</f>
        <v>L23</v>
      </c>
      <c r="BV233" s="66" t="n">
        <f aca="false">IF(N(Z233)&gt;0,Z233,0)</f>
        <v>0</v>
      </c>
      <c r="BW233" s="60" t="n">
        <f aca="false">IF(ISNUMBER(AC233),1,0)</f>
        <v>0</v>
      </c>
      <c r="BX233" s="57" t="n">
        <f aca="false">N(AC233)</f>
        <v>0</v>
      </c>
      <c r="BY233" s="57" t="n">
        <f aca="false">N(L233)+N(M233)</f>
        <v>1</v>
      </c>
      <c r="BZ233" s="57" t="n">
        <f aca="false">ROUNDUP(G233/BQ233,0)</f>
        <v>1</v>
      </c>
      <c r="CA233" s="57" t="n">
        <f aca="false">ROUNDUP(BX233/BQ233,0)</f>
        <v>0</v>
      </c>
      <c r="CB233" s="60" t="n">
        <f aca="false">IF(BR233=1,0,IFERROR(VLOOKUP(BP233,'Gebinde-Kategorie'!$A$5:$M$45,5,0)+0,0))</f>
        <v>0</v>
      </c>
      <c r="CC233" s="60" t="n">
        <f aca="false">IFERROR(IF(OR(BT233=1,BT233=2,BT233=3),N(INDEX(Parameter!$I$5:$I$7,BT233)),0),0)</f>
        <v>0</v>
      </c>
      <c r="CD233" s="59" t="n">
        <f aca="false">IF(AND(Parameter!$B$21="Ja",ISNUMBER(U233),N(V233)&gt;0),IFERROR(N(INDEX(Parameter!$L$5:$L$7,U233))*INDEX(Parameter!$E$5:$E$7,U233)*V233/SUMIFS($V$7:$V$1576,$U$7:$U$1576,U233),0),0)</f>
        <v>0</v>
      </c>
    </row>
    <row r="234" customFormat="false" ht="15" hidden="false" customHeight="false" outlineLevel="0" collapsed="false">
      <c r="A234" s="55" t="s">
        <v>646</v>
      </c>
      <c r="B234" s="55" t="s">
        <v>647</v>
      </c>
      <c r="C234" s="55" t="s">
        <v>160</v>
      </c>
      <c r="D234" s="55" t="s">
        <v>168</v>
      </c>
      <c r="E234" s="55" t="s">
        <v>210</v>
      </c>
      <c r="F234" s="56" t="n">
        <v>533.7</v>
      </c>
      <c r="G234" s="57" t="n">
        <f aca="false">MAX(0,IF(AND(Parameter!$B$21="Ja",ISNUMBER(W234)),W234,IF(Parameter!$B$20="Jahresanfang 2025 + Export",BJ234+BI234,BI234)))</f>
        <v>1</v>
      </c>
      <c r="H234" s="57" t="n">
        <f aca="false">G234*F234</f>
        <v>533.7</v>
      </c>
      <c r="I234" s="57" t="n">
        <f aca="false">BL234*Parameter!$B$18</f>
        <v>0</v>
      </c>
      <c r="J234" s="58" t="n">
        <v>1</v>
      </c>
      <c r="K234" s="59" t="n">
        <v>0</v>
      </c>
      <c r="L234" s="57" t="n">
        <v>0</v>
      </c>
      <c r="M234" s="57" t="n">
        <v>1</v>
      </c>
      <c r="N234" s="60" t="n">
        <v>28</v>
      </c>
      <c r="O234" s="55" t="s">
        <v>163</v>
      </c>
      <c r="P234" s="57"/>
      <c r="Q234" s="60" t="n">
        <f aca="false">IF(BR234=1,0,IFERROR(VLOOKUP(BP234,'Gebinde-Kategorie'!$A$5:$M$45,13,0)+0,0))</f>
        <v>0</v>
      </c>
      <c r="R234" s="61"/>
      <c r="S234" s="62"/>
      <c r="T234" s="62"/>
      <c r="U234" s="55"/>
      <c r="V234" s="57"/>
      <c r="W234" s="57"/>
      <c r="X234" s="55" t="n">
        <f aca="false">IF(A234="","",IF(AND(Parameter!$B$21="Ja",ISNUMBER(U234)),U234,IF(IFERROR(VLOOKUP(D234,Parameter!$A$35:$C$64,2,0),"Nein")="2+3",IF(ISNUMBER(SEARCH("grosser Artikel",BM234)),2,IFERROR(VLOOKUP(BP234,Parameter!$F$35:$G$64,2,0),2)),IF(OR(IFERROR(VLOOKUP(D234,Parameter!$A$35:$C$64,2,0),"Nein")="Nein",IFERROR(VLOOKUP(D234,Parameter!$A$35:$C$64,2,0),"Nein")=""),"-",VLOOKUP(D234,Parameter!$A$35:$C$64,2,0)))))</f>
        <v>2</v>
      </c>
      <c r="Y234" s="62"/>
      <c r="Z234" s="63"/>
      <c r="AA234" s="57" t="n">
        <f aca="false">AP234</f>
        <v>1</v>
      </c>
      <c r="AB234" s="57" t="n">
        <f aca="false">MAX(AP234,G234)</f>
        <v>1</v>
      </c>
      <c r="AC234" s="64"/>
      <c r="AD234" s="57" t="n">
        <f aca="false">IF(LEFT(Cockpit!$C$5,1)="A",G234,IF(BW234=1,BX234,IF(LEFT(Cockpit!$C$5,1)="B",AH234,MAX(AH234,G234))))</f>
        <v>1</v>
      </c>
      <c r="AE234" s="57" t="n">
        <f aca="false">IF(BR234=1,0,ROUNDUP(AD234/BQ234,0))</f>
        <v>0</v>
      </c>
      <c r="AF234" s="59" t="n">
        <f aca="false">IF(CD234&gt;0,CD234*MAX(1,AD234/V234),IF(BR234=1,IF(AD234&lt;=0,0,BS234*MAX(1,IF(G234&gt;0,AD234/G234,1))),IF(Q234&gt;0,AE234/Q234,0))/MAX(0.1,N(Parameter!$M$21)))</f>
        <v>0.15</v>
      </c>
      <c r="AG234" s="57" t="n">
        <f aca="false">AD234*F234</f>
        <v>533.7</v>
      </c>
      <c r="AH234" s="57" t="n">
        <f aca="false">ROUNDUP(MAX(I234/IF(BV234&gt;0,BV234,MAX(0.1,N(Cockpit!$C$6))),BY234)/BQ234,0)*BQ234</f>
        <v>1</v>
      </c>
      <c r="AI234" s="58" t="n">
        <f aca="false">IF(AF234&gt;0,I234/AF234,-1)</f>
        <v>0</v>
      </c>
      <c r="AJ234" s="58" t="n">
        <f aca="false">IF(AND(OR(BU234="L1",BU234="L23"),AF234&gt;0),SUMIFS($AF$7:$AF$1576,$BU$7:$BU$1576,BU234,$AI$7:$AI$1576,"&gt;"&amp;AI234)+SUMIFS($AF$7:$AF$1576,$BU$7:$BU$1576,BU234,$AI$7:$AI$1576,AI234,$BO$7:$BO$1576,"&lt;="&amp;BO234),"")</f>
        <v>39.9429779399345</v>
      </c>
      <c r="AK234" s="65" t="n">
        <f aca="false">IF(AJ234="",0,MAX(0,MIN(1,(IF(BU234="L1",Parameter!$E$5,Parameter!$E$6+Parameter!$E$7)-(AJ234-AF234))/AF234)))</f>
        <v>1</v>
      </c>
      <c r="AL234" s="57" t="n">
        <f aca="false">IF(LEFT(Cockpit!$I$5,1)="A",G234,IF(BW234=1,BX234,IF(LEFT(Cockpit!$I$5,1)="B",AP234,MAX(AP234,G234))))</f>
        <v>1</v>
      </c>
      <c r="AM234" s="57" t="n">
        <f aca="false">IF(BR234=1,0,ROUNDUP(AL234/BQ234,0))</f>
        <v>0</v>
      </c>
      <c r="AN234" s="59" t="n">
        <f aca="false">IF(CD234&gt;0,CD234*MAX(1,AL234/V234),IF(BR234=1,IF(AL234&lt;=0,0,BS234*MAX(1,IF(G234&gt;0,AL234/G234,1))),IF(Q234&gt;0,AM234/Q234,0))/MAX(0.1,N(Parameter!$M$21)))</f>
        <v>0.15</v>
      </c>
      <c r="AO234" s="57" t="n">
        <f aca="false">AL234*F234</f>
        <v>533.7</v>
      </c>
      <c r="AP234" s="57" t="n">
        <f aca="false">ROUNDUP(MAX(I234/IF(BV234&gt;0,BV234,MAX(0.1,N(Cockpit!$I$6))),BY234)/BQ234,0)*BQ234</f>
        <v>1</v>
      </c>
      <c r="AQ234" s="58" t="n">
        <f aca="false">IF(AN234&gt;0,I234/AN234,-1)</f>
        <v>0</v>
      </c>
      <c r="AR234" s="58" t="n">
        <f aca="false">IF(AND(OR(BU234="L1",BU234="L23"),AN234&gt;0),SUMIFS($AN$7:$AN$1576,$BU$7:$BU$1576,BU234,$AQ$7:$AQ$1576,"&gt;"&amp;AQ234)+SUMIFS($AN$7:$AN$1576,$BU$7:$BU$1576,BU234,$AQ$7:$AQ$1576,AQ234,$BO$7:$BO$1576,"&lt;="&amp;BO234),"")</f>
        <v>122.817183689724</v>
      </c>
      <c r="AS234" s="65" t="n">
        <f aca="false">IF(AR234="",0,MAX(0,MIN(1,(IF(BU234="L1",Parameter!$E$5,Parameter!$E$6+Parameter!$E$7)-(AR234-AN234))/AN234)))</f>
        <v>0</v>
      </c>
      <c r="AT234" s="57" t="n">
        <f aca="false">IF(LEFT(Cockpit!$O$5,1)="A",G234,IF(BW234=1,BX234,IF(LEFT(Cockpit!$O$5,1)="B",AX234,MAX(AX234,G234))))</f>
        <v>1</v>
      </c>
      <c r="AU234" s="57" t="n">
        <f aca="false">IF(BR234=1,0,ROUNDUP(AT234/BQ234,0))</f>
        <v>0</v>
      </c>
      <c r="AV234" s="59" t="n">
        <f aca="false">IF(CD234&gt;0,CD234*MAX(1,AT234/V234),IF(BR234=1,IF(AT234&lt;=0,0,BS234*MAX(1,IF(G234&gt;0,AT234/G234,1))),IF(Q234&gt;0,AU234/Q234,0))/MAX(0.1,N(Parameter!$M$21)))</f>
        <v>0.15</v>
      </c>
      <c r="AW234" s="57" t="n">
        <f aca="false">AT234*F234</f>
        <v>533.7</v>
      </c>
      <c r="AX234" s="57" t="n">
        <f aca="false">ROUNDUP(MAX(I234/IF(BV234&gt;0,BV234,MAX(0.1,N(Cockpit!$O$6))),BY234)/BQ234,0)*BQ234</f>
        <v>1</v>
      </c>
      <c r="AY234" s="58" t="n">
        <f aca="false">IF(AV234&gt;0,I234/AV234,-1)</f>
        <v>0</v>
      </c>
      <c r="AZ234" s="58" t="n">
        <f aca="false">IF(AND(OR(BU234="L1",BU234="L23"),AV234&gt;0),SUMIFS($AV$7:$AV$1576,$BU$7:$BU$1576,BU234,$AY$7:$AY$1576,"&gt;"&amp;AY234)+SUMIFS($AV$7:$AV$1576,$BU$7:$BU$1576,BU234,$AY$7:$AY$1576,AY234,$BO$7:$BO$1576,"&lt;="&amp;BO234),"")</f>
        <v>112.876734139274</v>
      </c>
      <c r="BA234" s="65" t="n">
        <f aca="false">IF(AZ234="",0,MAX(0,MIN(1,(IF(BU234="L1",Parameter!$E$5,Parameter!$E$6+Parameter!$E$7)-(AZ234-AV234))/AV234)))</f>
        <v>0</v>
      </c>
      <c r="BB234" s="55" t="str">
        <f aca="false">IF(AF234&lt;=0,"",IF(BU234="Aussen","Aussenlager",IF(BU234="-","Nicht im Lift",IF(AK234&gt;=1,"Lift",IF(AK234&lt;=0,"Aussenlager","teilweise")))))</f>
        <v>Lift</v>
      </c>
      <c r="BC234" s="55" t="str">
        <f aca="false">IF(AN234&lt;=0,"",IF(BU234="Aussen","Aussenlager",IF(BU234="-","Nicht im Lift",IF(AS234&gt;=1,"Lift",IF(AS234&lt;=0,"Aussenlager","teilweise")))))</f>
        <v>Aussenlager</v>
      </c>
      <c r="BD234" s="55" t="str">
        <f aca="false">IF(AV234&lt;=0,"",IF(BU234="Aussen","Aussenlager",IF(BU234="-","Nicht im Lift",IF(BA234&gt;=1,"Lift",IF(BA234&lt;=0,"Aussenlager","teilweise")))))</f>
        <v>Aussenlager</v>
      </c>
      <c r="BE234" s="55" t="str">
        <f aca="false">IF(A234="","",IF(BN234=1,"Neu; ","")&amp;IF(AND(BN234=0,BI234&lt;0),"negativer Bestand (Export "&amp;BI234&amp;"); ","")&amp;IF(I234&lt;=0,"Kein Verbrauch; ","")&amp;IF(CD234&gt;0,"Lift "&amp;U234&amp;" lt. Liftbericht (Fach "&amp;V234&amp;" Stk); ",IF(BR234=1,"Lose – Fläche geschätzt; ",""))&amp;IF(G234&gt;AP234,"Überbestand "&amp;ROUND(G234-AP234,0)&amp;" Stk / CHF "&amp;ROUND((G234-AP234)*F234,0)&amp;"; ","")&amp;IF(AND(BW234=1,BX234&lt;BY234),"MAX &lt; MB+LG; ","")&amp;IF(AND(CC234&gt;0,CB234*10&gt;CC234),"zu hoch für Tablar; ","")&amp;IF(AND(BN234=0,OR(BW234=1,Y234&lt;&gt;"",S234&lt;&gt;"",T234&lt;&gt;"",Z234&lt;&gt;"")),"manuell übersteuert; ","")&amp;IF(AND(BR234=0,Q234=0),"Gebinde unbekannt / Stellmass fehlt; ","")&amp;IF(AND(BR234=0,N(T234)&lt;=0,N(P234)&lt;=0),"Menge pro Gebinde fehlt (Ist = 1 Gebinde); ","")&amp;BM234)</f>
        <v>Kein Verbrauch; Lose – Fläche geschätzt; </v>
      </c>
      <c r="BF234" s="55"/>
      <c r="BG234" s="55"/>
      <c r="BH234" s="62"/>
      <c r="BI234" s="57" t="n">
        <v>1</v>
      </c>
      <c r="BJ234" s="57" t="n">
        <v>1</v>
      </c>
      <c r="BK234" s="56" t="n">
        <v>576.9</v>
      </c>
      <c r="BL234" s="57" t="n">
        <v>0</v>
      </c>
      <c r="BM234" s="55"/>
      <c r="BN234" s="60" t="n">
        <v>0</v>
      </c>
      <c r="BO234" s="60" t="n">
        <v>234</v>
      </c>
      <c r="BP234" s="55" t="str">
        <f aca="false">IF(S234&lt;&gt;"",UPPER(TRIM(S234)),IF(O234="","LOSE",O234))</f>
        <v>LOSE</v>
      </c>
      <c r="BQ234" s="57" t="n">
        <f aca="false">IF(BP234="LOSE",1,IF(N(T234)&gt;0,T234,IF(N(P234)&gt;0,P234,MAX(1,G234))))</f>
        <v>1</v>
      </c>
      <c r="BR234" s="60" t="n">
        <f aca="false">IF(BP234="LOSE",1,0)</f>
        <v>1</v>
      </c>
      <c r="BS234" s="59" t="n">
        <f aca="false">IF(BR234=0,0,IF(N(R234)&gt;0,R234,IFERROR(VLOOKUP(D234,Parameter!$A$35:$C$64,3,0)+0,0)))</f>
        <v>0.15</v>
      </c>
      <c r="BT234" s="55" t="n">
        <f aca="false">IF(Y234&lt;&gt;"",Y234,X234)</f>
        <v>2</v>
      </c>
      <c r="BU234" s="55" t="str">
        <f aca="false">IF(BT234=1,"L1",IF(OR(BT234=2,BT234=3),"L23",IF(BT234="Aussen","Aussen","-")))</f>
        <v>L23</v>
      </c>
      <c r="BV234" s="66" t="n">
        <f aca="false">IF(N(Z234)&gt;0,Z234,0)</f>
        <v>0</v>
      </c>
      <c r="BW234" s="60" t="n">
        <f aca="false">IF(ISNUMBER(AC234),1,0)</f>
        <v>0</v>
      </c>
      <c r="BX234" s="57" t="n">
        <f aca="false">N(AC234)</f>
        <v>0</v>
      </c>
      <c r="BY234" s="57" t="n">
        <f aca="false">N(L234)+N(M234)</f>
        <v>1</v>
      </c>
      <c r="BZ234" s="57" t="n">
        <f aca="false">ROUNDUP(G234/BQ234,0)</f>
        <v>1</v>
      </c>
      <c r="CA234" s="57" t="n">
        <f aca="false">ROUNDUP(BX234/BQ234,0)</f>
        <v>0</v>
      </c>
      <c r="CB234" s="60" t="n">
        <f aca="false">IF(BR234=1,0,IFERROR(VLOOKUP(BP234,'Gebinde-Kategorie'!$A$5:$M$45,5,0)+0,0))</f>
        <v>0</v>
      </c>
      <c r="CC234" s="60" t="n">
        <f aca="false">IFERROR(IF(OR(BT234=1,BT234=2,BT234=3),N(INDEX(Parameter!$I$5:$I$7,BT234)),0),0)</f>
        <v>0</v>
      </c>
      <c r="CD234" s="59" t="n">
        <f aca="false">IF(AND(Parameter!$B$21="Ja",ISNUMBER(U234),N(V234)&gt;0),IFERROR(N(INDEX(Parameter!$L$5:$L$7,U234))*INDEX(Parameter!$E$5:$E$7,U234)*V234/SUMIFS($V$7:$V$1576,$U$7:$U$1576,U234),0),0)</f>
        <v>0</v>
      </c>
    </row>
    <row r="235" customFormat="false" ht="15" hidden="false" customHeight="false" outlineLevel="0" collapsed="false">
      <c r="A235" s="55" t="s">
        <v>648</v>
      </c>
      <c r="B235" s="55" t="s">
        <v>535</v>
      </c>
      <c r="C235" s="55" t="s">
        <v>160</v>
      </c>
      <c r="D235" s="55" t="s">
        <v>178</v>
      </c>
      <c r="E235" s="55" t="s">
        <v>210</v>
      </c>
      <c r="F235" s="56" t="n">
        <v>11.5</v>
      </c>
      <c r="G235" s="57" t="n">
        <f aca="false">MAX(0,IF(AND(Parameter!$B$21="Ja",ISNUMBER(W235)),W235,IF(Parameter!$B$20="Jahresanfang 2025 + Export",BJ235+BI235,BI235)))</f>
        <v>50</v>
      </c>
      <c r="H235" s="57" t="n">
        <f aca="false">G235*F235</f>
        <v>575</v>
      </c>
      <c r="I235" s="57" t="n">
        <f aca="false">BL235*Parameter!$B$18</f>
        <v>0</v>
      </c>
      <c r="J235" s="58" t="n">
        <v>0</v>
      </c>
      <c r="K235" s="59" t="n">
        <v>0</v>
      </c>
      <c r="L235" s="57" t="n">
        <v>0</v>
      </c>
      <c r="M235" s="57" t="n">
        <v>1</v>
      </c>
      <c r="N235" s="60" t="n">
        <v>9999</v>
      </c>
      <c r="O235" s="55" t="s">
        <v>163</v>
      </c>
      <c r="P235" s="57"/>
      <c r="Q235" s="60" t="n">
        <f aca="false">IF(BR235=1,0,IFERROR(VLOOKUP(BP235,'Gebinde-Kategorie'!$A$5:$M$45,13,0)+0,0))</f>
        <v>0</v>
      </c>
      <c r="R235" s="61"/>
      <c r="S235" s="62"/>
      <c r="T235" s="62"/>
      <c r="U235" s="55"/>
      <c r="V235" s="57"/>
      <c r="W235" s="57"/>
      <c r="X235" s="55" t="n">
        <f aca="false">IF(A235="","",IF(AND(Parameter!$B$21="Ja",ISNUMBER(U235)),U235,IF(IFERROR(VLOOKUP(D235,Parameter!$A$35:$C$64,2,0),"Nein")="2+3",IF(ISNUMBER(SEARCH("grosser Artikel",BM235)),2,IFERROR(VLOOKUP(BP235,Parameter!$F$35:$G$64,2,0),2)),IF(OR(IFERROR(VLOOKUP(D235,Parameter!$A$35:$C$64,2,0),"Nein")="Nein",IFERROR(VLOOKUP(D235,Parameter!$A$35:$C$64,2,0),"Nein")=""),"-",VLOOKUP(D235,Parameter!$A$35:$C$64,2,0)))))</f>
        <v>2</v>
      </c>
      <c r="Y235" s="62"/>
      <c r="Z235" s="63"/>
      <c r="AA235" s="57" t="n">
        <f aca="false">AP235</f>
        <v>1</v>
      </c>
      <c r="AB235" s="57" t="n">
        <f aca="false">MAX(AP235,G235)</f>
        <v>50</v>
      </c>
      <c r="AC235" s="64"/>
      <c r="AD235" s="57" t="n">
        <f aca="false">IF(LEFT(Cockpit!$C$5,1)="A",G235,IF(BW235=1,BX235,IF(LEFT(Cockpit!$C$5,1)="B",AH235,MAX(AH235,G235))))</f>
        <v>50</v>
      </c>
      <c r="AE235" s="57" t="n">
        <f aca="false">IF(BR235=1,0,ROUNDUP(AD235/BQ235,0))</f>
        <v>0</v>
      </c>
      <c r="AF235" s="59" t="n">
        <f aca="false">IF(CD235&gt;0,CD235*MAX(1,AD235/V235),IF(BR235=1,IF(AD235&lt;=0,0,BS235*MAX(1,IF(G235&gt;0,AD235/G235,1))),IF(Q235&gt;0,AE235/Q235,0))/MAX(0.1,N(Parameter!$M$21)))</f>
        <v>0.03</v>
      </c>
      <c r="AG235" s="57" t="n">
        <f aca="false">AD235*F235</f>
        <v>575</v>
      </c>
      <c r="AH235" s="57" t="n">
        <f aca="false">ROUNDUP(MAX(I235/IF(BV235&gt;0,BV235,MAX(0.1,N(Cockpit!$C$6))),BY235)/BQ235,0)*BQ235</f>
        <v>1</v>
      </c>
      <c r="AI235" s="58" t="n">
        <f aca="false">IF(AF235&gt;0,I235/AF235,-1)</f>
        <v>0</v>
      </c>
      <c r="AJ235" s="58" t="n">
        <f aca="false">IF(AND(OR(BU235="L1",BU235="L23"),AF235&gt;0),SUMIFS($AF$7:$AF$1576,$BU$7:$BU$1576,BU235,$AI$7:$AI$1576,"&gt;"&amp;AI235)+SUMIFS($AF$7:$AF$1576,$BU$7:$BU$1576,BU235,$AI$7:$AI$1576,AI235,$BO$7:$BO$1576,"&lt;="&amp;BO235),"")</f>
        <v>39.9729779399345</v>
      </c>
      <c r="AK235" s="65" t="n">
        <f aca="false">IF(AJ235="",0,MAX(0,MIN(1,(IF(BU235="L1",Parameter!$E$5,Parameter!$E$6+Parameter!$E$7)-(AJ235-AF235))/AF235)))</f>
        <v>1</v>
      </c>
      <c r="AL235" s="57" t="n">
        <f aca="false">IF(LEFT(Cockpit!$I$5,1)="A",G235,IF(BW235=1,BX235,IF(LEFT(Cockpit!$I$5,1)="B",AP235,MAX(AP235,G235))))</f>
        <v>50</v>
      </c>
      <c r="AM235" s="57" t="n">
        <f aca="false">IF(BR235=1,0,ROUNDUP(AL235/BQ235,0))</f>
        <v>0</v>
      </c>
      <c r="AN235" s="59" t="n">
        <f aca="false">IF(CD235&gt;0,CD235*MAX(1,AL235/V235),IF(BR235=1,IF(AL235&lt;=0,0,BS235*MAX(1,IF(G235&gt;0,AL235/G235,1))),IF(Q235&gt;0,AM235/Q235,0))/MAX(0.1,N(Parameter!$M$21)))</f>
        <v>0.03</v>
      </c>
      <c r="AO235" s="57" t="n">
        <f aca="false">AL235*F235</f>
        <v>575</v>
      </c>
      <c r="AP235" s="57" t="n">
        <f aca="false">ROUNDUP(MAX(I235/IF(BV235&gt;0,BV235,MAX(0.1,N(Cockpit!$I$6))),BY235)/BQ235,0)*BQ235</f>
        <v>1</v>
      </c>
      <c r="AQ235" s="58" t="n">
        <f aca="false">IF(AN235&gt;0,I235/AN235,-1)</f>
        <v>0</v>
      </c>
      <c r="AR235" s="58" t="n">
        <f aca="false">IF(AND(OR(BU235="L1",BU235="L23"),AN235&gt;0),SUMIFS($AN$7:$AN$1576,$BU$7:$BU$1576,BU235,$AQ$7:$AQ$1576,"&gt;"&amp;AQ235)+SUMIFS($AN$7:$AN$1576,$BU$7:$BU$1576,BU235,$AQ$7:$AQ$1576,AQ235,$BO$7:$BO$1576,"&lt;="&amp;BO235),"")</f>
        <v>122.847183689724</v>
      </c>
      <c r="AS235" s="65" t="n">
        <f aca="false">IF(AR235="",0,MAX(0,MIN(1,(IF(BU235="L1",Parameter!$E$5,Parameter!$E$6+Parameter!$E$7)-(AR235-AN235))/AN235)))</f>
        <v>0</v>
      </c>
      <c r="AT235" s="57" t="n">
        <f aca="false">IF(LEFT(Cockpit!$O$5,1)="A",G235,IF(BW235=1,BX235,IF(LEFT(Cockpit!$O$5,1)="B",AX235,MAX(AX235,G235))))</f>
        <v>50</v>
      </c>
      <c r="AU235" s="57" t="n">
        <f aca="false">IF(BR235=1,0,ROUNDUP(AT235/BQ235,0))</f>
        <v>0</v>
      </c>
      <c r="AV235" s="59" t="n">
        <f aca="false">IF(CD235&gt;0,CD235*MAX(1,AT235/V235),IF(BR235=1,IF(AT235&lt;=0,0,BS235*MAX(1,IF(G235&gt;0,AT235/G235,1))),IF(Q235&gt;0,AU235/Q235,0))/MAX(0.1,N(Parameter!$M$21)))</f>
        <v>0.03</v>
      </c>
      <c r="AW235" s="57" t="n">
        <f aca="false">AT235*F235</f>
        <v>575</v>
      </c>
      <c r="AX235" s="57" t="n">
        <f aca="false">ROUNDUP(MAX(I235/IF(BV235&gt;0,BV235,MAX(0.1,N(Cockpit!$O$6))),BY235)/BQ235,0)*BQ235</f>
        <v>1</v>
      </c>
      <c r="AY235" s="58" t="n">
        <f aca="false">IF(AV235&gt;0,I235/AV235,-1)</f>
        <v>0</v>
      </c>
      <c r="AZ235" s="58" t="n">
        <f aca="false">IF(AND(OR(BU235="L1",BU235="L23"),AV235&gt;0),SUMIFS($AV$7:$AV$1576,$BU$7:$BU$1576,BU235,$AY$7:$AY$1576,"&gt;"&amp;AY235)+SUMIFS($AV$7:$AV$1576,$BU$7:$BU$1576,BU235,$AY$7:$AY$1576,AY235,$BO$7:$BO$1576,"&lt;="&amp;BO235),"")</f>
        <v>112.906734139274</v>
      </c>
      <c r="BA235" s="65" t="n">
        <f aca="false">IF(AZ235="",0,MAX(0,MIN(1,(IF(BU235="L1",Parameter!$E$5,Parameter!$E$6+Parameter!$E$7)-(AZ235-AV235))/AV235)))</f>
        <v>0</v>
      </c>
      <c r="BB235" s="55" t="str">
        <f aca="false">IF(AF235&lt;=0,"",IF(BU235="Aussen","Aussenlager",IF(BU235="-","Nicht im Lift",IF(AK235&gt;=1,"Lift",IF(AK235&lt;=0,"Aussenlager","teilweise")))))</f>
        <v>Lift</v>
      </c>
      <c r="BC235" s="55" t="str">
        <f aca="false">IF(AN235&lt;=0,"",IF(BU235="Aussen","Aussenlager",IF(BU235="-","Nicht im Lift",IF(AS235&gt;=1,"Lift",IF(AS235&lt;=0,"Aussenlager","teilweise")))))</f>
        <v>Aussenlager</v>
      </c>
      <c r="BD235" s="55" t="str">
        <f aca="false">IF(AV235&lt;=0,"",IF(BU235="Aussen","Aussenlager",IF(BU235="-","Nicht im Lift",IF(BA235&gt;=1,"Lift",IF(BA235&lt;=0,"Aussenlager","teilweise")))))</f>
        <v>Aussenlager</v>
      </c>
      <c r="BE235" s="55" t="str">
        <f aca="false">IF(A235="","",IF(BN235=1,"Neu; ","")&amp;IF(AND(BN235=0,BI235&lt;0),"negativer Bestand (Export "&amp;BI235&amp;"); ","")&amp;IF(I235&lt;=0,"Kein Verbrauch; ","")&amp;IF(CD235&gt;0,"Lift "&amp;U235&amp;" lt. Liftbericht (Fach "&amp;V235&amp;" Stk); ",IF(BR235=1,"Lose – Fläche geschätzt; ",""))&amp;IF(G235&gt;AP235,"Überbestand "&amp;ROUND(G235-AP235,0)&amp;" Stk / CHF "&amp;ROUND((G235-AP235)*F235,0)&amp;"; ","")&amp;IF(AND(BW235=1,BX235&lt;BY235),"MAX &lt; MB+LG; ","")&amp;IF(AND(CC235&gt;0,CB235*10&gt;CC235),"zu hoch für Tablar; ","")&amp;IF(AND(BN235=0,OR(BW235=1,Y235&lt;&gt;"",S235&lt;&gt;"",T235&lt;&gt;"",Z235&lt;&gt;"")),"manuell übersteuert; ","")&amp;IF(AND(BR235=0,Q235=0),"Gebinde unbekannt / Stellmass fehlt; ","")&amp;IF(AND(BR235=0,N(T235)&lt;=0,N(P235)&lt;=0),"Menge pro Gebinde fehlt (Ist = 1 Gebinde); ","")&amp;BM235)</f>
        <v>Kein Verbrauch; Lose – Fläche geschätzt; Überbestand 49 Stk / CHF 564; </v>
      </c>
      <c r="BF235" s="55"/>
      <c r="BG235" s="55"/>
      <c r="BH235" s="62"/>
      <c r="BI235" s="57" t="n">
        <v>50</v>
      </c>
      <c r="BJ235" s="57" t="n">
        <v>0</v>
      </c>
      <c r="BK235" s="56" t="n">
        <v>575</v>
      </c>
      <c r="BL235" s="57" t="n">
        <v>0</v>
      </c>
      <c r="BM235" s="55"/>
      <c r="BN235" s="60" t="n">
        <v>0</v>
      </c>
      <c r="BO235" s="60" t="n">
        <v>235</v>
      </c>
      <c r="BP235" s="55" t="str">
        <f aca="false">IF(S235&lt;&gt;"",UPPER(TRIM(S235)),IF(O235="","LOSE",O235))</f>
        <v>LOSE</v>
      </c>
      <c r="BQ235" s="57" t="n">
        <f aca="false">IF(BP235="LOSE",1,IF(N(T235)&gt;0,T235,IF(N(P235)&gt;0,P235,MAX(1,G235))))</f>
        <v>1</v>
      </c>
      <c r="BR235" s="60" t="n">
        <f aca="false">IF(BP235="LOSE",1,0)</f>
        <v>1</v>
      </c>
      <c r="BS235" s="59" t="n">
        <f aca="false">IF(BR235=0,0,IF(N(R235)&gt;0,R235,IFERROR(VLOOKUP(D235,Parameter!$A$35:$C$64,3,0)+0,0)))</f>
        <v>0.03</v>
      </c>
      <c r="BT235" s="55" t="n">
        <f aca="false">IF(Y235&lt;&gt;"",Y235,X235)</f>
        <v>2</v>
      </c>
      <c r="BU235" s="55" t="str">
        <f aca="false">IF(BT235=1,"L1",IF(OR(BT235=2,BT235=3),"L23",IF(BT235="Aussen","Aussen","-")))</f>
        <v>L23</v>
      </c>
      <c r="BV235" s="66" t="n">
        <f aca="false">IF(N(Z235)&gt;0,Z235,0)</f>
        <v>0</v>
      </c>
      <c r="BW235" s="60" t="n">
        <f aca="false">IF(ISNUMBER(AC235),1,0)</f>
        <v>0</v>
      </c>
      <c r="BX235" s="57" t="n">
        <f aca="false">N(AC235)</f>
        <v>0</v>
      </c>
      <c r="BY235" s="57" t="n">
        <f aca="false">N(L235)+N(M235)</f>
        <v>1</v>
      </c>
      <c r="BZ235" s="57" t="n">
        <f aca="false">ROUNDUP(G235/BQ235,0)</f>
        <v>50</v>
      </c>
      <c r="CA235" s="57" t="n">
        <f aca="false">ROUNDUP(BX235/BQ235,0)</f>
        <v>0</v>
      </c>
      <c r="CB235" s="60" t="n">
        <f aca="false">IF(BR235=1,0,IFERROR(VLOOKUP(BP235,'Gebinde-Kategorie'!$A$5:$M$45,5,0)+0,0))</f>
        <v>0</v>
      </c>
      <c r="CC235" s="60" t="n">
        <f aca="false">IFERROR(IF(OR(BT235=1,BT235=2,BT235=3),N(INDEX(Parameter!$I$5:$I$7,BT235)),0),0)</f>
        <v>0</v>
      </c>
      <c r="CD235" s="59" t="n">
        <f aca="false">IF(AND(Parameter!$B$21="Ja",ISNUMBER(U235),N(V235)&gt;0),IFERROR(N(INDEX(Parameter!$L$5:$L$7,U235))*INDEX(Parameter!$E$5:$E$7,U235)*V235/SUMIFS($V$7:$V$1576,$U$7:$U$1576,U235),0),0)</f>
        <v>0</v>
      </c>
    </row>
    <row r="236" customFormat="false" ht="15" hidden="false" customHeight="false" outlineLevel="0" collapsed="false">
      <c r="A236" s="55" t="s">
        <v>649</v>
      </c>
      <c r="B236" s="55" t="s">
        <v>650</v>
      </c>
      <c r="C236" s="55" t="s">
        <v>160</v>
      </c>
      <c r="D236" s="55" t="s">
        <v>178</v>
      </c>
      <c r="E236" s="55" t="s">
        <v>210</v>
      </c>
      <c r="F236" s="56" t="n">
        <v>114.02</v>
      </c>
      <c r="G236" s="57" t="n">
        <f aca="false">MAX(0,IF(AND(Parameter!$B$21="Ja",ISNUMBER(W236)),W236,IF(Parameter!$B$20="Jahresanfang 2025 + Export",BJ236+BI236,BI236)))</f>
        <v>5</v>
      </c>
      <c r="H236" s="57" t="n">
        <f aca="false">G236*F236</f>
        <v>570.1</v>
      </c>
      <c r="I236" s="57" t="n">
        <f aca="false">BL236*Parameter!$B$18</f>
        <v>2</v>
      </c>
      <c r="J236" s="58" t="n">
        <v>60.5</v>
      </c>
      <c r="K236" s="59" t="n">
        <v>0.0330578512396694</v>
      </c>
      <c r="L236" s="57" t="n">
        <v>0</v>
      </c>
      <c r="M236" s="57" t="n">
        <v>5</v>
      </c>
      <c r="N236" s="60" t="n">
        <v>42</v>
      </c>
      <c r="O236" s="55" t="s">
        <v>225</v>
      </c>
      <c r="P236" s="57" t="n">
        <v>146</v>
      </c>
      <c r="Q236" s="60" t="n">
        <f aca="false">IF(BR236=1,0,IFERROR(VLOOKUP(BP236,'Gebinde-Kategorie'!$A$5:$M$45,13,0)+0,0))</f>
        <v>26</v>
      </c>
      <c r="R236" s="61"/>
      <c r="S236" s="62"/>
      <c r="T236" s="62"/>
      <c r="U236" s="55"/>
      <c r="V236" s="57"/>
      <c r="W236" s="57"/>
      <c r="X236" s="55" t="n">
        <f aca="false">IF(A236="","",IF(AND(Parameter!$B$21="Ja",ISNUMBER(U236)),U236,IF(IFERROR(VLOOKUP(D236,Parameter!$A$35:$C$64,2,0),"Nein")="2+3",IF(ISNUMBER(SEARCH("grosser Artikel",BM236)),2,IFERROR(VLOOKUP(BP236,Parameter!$F$35:$G$64,2,0),2)),IF(OR(IFERROR(VLOOKUP(D236,Parameter!$A$35:$C$64,2,0),"Nein")="Nein",IFERROR(VLOOKUP(D236,Parameter!$A$35:$C$64,2,0),"Nein")=""),"-",VLOOKUP(D236,Parameter!$A$35:$C$64,2,0)))))</f>
        <v>3</v>
      </c>
      <c r="Y236" s="62"/>
      <c r="Z236" s="63"/>
      <c r="AA236" s="57" t="n">
        <f aca="false">AP236</f>
        <v>146</v>
      </c>
      <c r="AB236" s="57" t="n">
        <f aca="false">MAX(AP236,G236)</f>
        <v>146</v>
      </c>
      <c r="AC236" s="64"/>
      <c r="AD236" s="57" t="n">
        <f aca="false">IF(LEFT(Cockpit!$C$5,1)="A",G236,IF(BW236=1,BX236,IF(LEFT(Cockpit!$C$5,1)="B",AH236,MAX(AH236,G236))))</f>
        <v>5</v>
      </c>
      <c r="AE236" s="57" t="n">
        <f aca="false">IF(BR236=1,0,ROUNDUP(AD236/BQ236,0))</f>
        <v>1</v>
      </c>
      <c r="AF236" s="59" t="n">
        <f aca="false">IF(CD236&gt;0,CD236*MAX(1,AD236/V236),IF(BR236=1,IF(AD236&lt;=0,0,BS236*MAX(1,IF(G236&gt;0,AD236/G236,1))),IF(Q236&gt;0,AE236/Q236,0))/MAX(0.1,N(Parameter!$M$21)))</f>
        <v>0.0384615384615385</v>
      </c>
      <c r="AG236" s="57" t="n">
        <f aca="false">AD236*F236</f>
        <v>570.1</v>
      </c>
      <c r="AH236" s="57" t="n">
        <f aca="false">ROUNDUP(MAX(I236/IF(BV236&gt;0,BV236,MAX(0.1,N(Cockpit!$C$6))),BY236)/BQ236,0)*BQ236</f>
        <v>146</v>
      </c>
      <c r="AI236" s="58" t="n">
        <f aca="false">IF(AF236&gt;0,I236/AF236,-1)</f>
        <v>52</v>
      </c>
      <c r="AJ236" s="58" t="n">
        <f aca="false">IF(AND(OR(BU236="L1",BU236="L23"),AF236&gt;0),SUMIFS($AF$7:$AF$1576,$BU$7:$BU$1576,BU236,$AI$7:$AI$1576,"&gt;"&amp;AI236)+SUMIFS($AF$7:$AF$1576,$BU$7:$BU$1576,BU236,$AI$7:$AI$1576,AI236,$BO$7:$BO$1576,"&lt;="&amp;BO236),"")</f>
        <v>25.3584791054356</v>
      </c>
      <c r="AK236" s="65" t="n">
        <f aca="false">IF(AJ236="",0,MAX(0,MIN(1,(IF(BU236="L1",Parameter!$E$5,Parameter!$E$6+Parameter!$E$7)-(AJ236-AF236))/AF236)))</f>
        <v>1</v>
      </c>
      <c r="AL236" s="57" t="n">
        <f aca="false">IF(LEFT(Cockpit!$I$5,1)="A",G236,IF(BW236=1,BX236,IF(LEFT(Cockpit!$I$5,1)="B",AP236,MAX(AP236,G236))))</f>
        <v>146</v>
      </c>
      <c r="AM236" s="57" t="n">
        <f aca="false">IF(BR236=1,0,ROUNDUP(AL236/BQ236,0))</f>
        <v>1</v>
      </c>
      <c r="AN236" s="59" t="n">
        <f aca="false">IF(CD236&gt;0,CD236*MAX(1,AL236/V236),IF(BR236=1,IF(AL236&lt;=0,0,BS236*MAX(1,IF(G236&gt;0,AL236/G236,1))),IF(Q236&gt;0,AM236/Q236,0))/MAX(0.1,N(Parameter!$M$21)))</f>
        <v>0.0384615384615385</v>
      </c>
      <c r="AO236" s="57" t="n">
        <f aca="false">AL236*F236</f>
        <v>16646.92</v>
      </c>
      <c r="AP236" s="57" t="n">
        <f aca="false">ROUNDUP(MAX(I236/IF(BV236&gt;0,BV236,MAX(0.1,N(Cockpit!$I$6))),BY236)/BQ236,0)*BQ236</f>
        <v>146</v>
      </c>
      <c r="AQ236" s="58" t="n">
        <f aca="false">IF(AN236&gt;0,I236/AN236,-1)</f>
        <v>52</v>
      </c>
      <c r="AR236" s="58" t="n">
        <f aca="false">IF(AND(OR(BU236="L1",BU236="L23"),AN236&gt;0),SUMIFS($AN$7:$AN$1576,$BU$7:$BU$1576,BU236,$AQ$7:$AQ$1576,"&gt;"&amp;AQ236)+SUMIFS($AN$7:$AN$1576,$BU$7:$BU$1576,BU236,$AQ$7:$AQ$1576,AQ236,$BO$7:$BO$1576,"&lt;="&amp;BO236),"")</f>
        <v>81.9067935630547</v>
      </c>
      <c r="AS236" s="65" t="n">
        <f aca="false">IF(AR236="",0,MAX(0,MIN(1,(IF(BU236="L1",Parameter!$E$5,Parameter!$E$6+Parameter!$E$7)-(AR236-AN236))/AN236)))</f>
        <v>1</v>
      </c>
      <c r="AT236" s="57" t="n">
        <f aca="false">IF(LEFT(Cockpit!$O$5,1)="A",G236,IF(BW236=1,BX236,IF(LEFT(Cockpit!$O$5,1)="B",AX236,MAX(AX236,G236))))</f>
        <v>146</v>
      </c>
      <c r="AU236" s="57" t="n">
        <f aca="false">IF(BR236=1,0,ROUNDUP(AT236/BQ236,0))</f>
        <v>1</v>
      </c>
      <c r="AV236" s="59" t="n">
        <f aca="false">IF(CD236&gt;0,CD236*MAX(1,AT236/V236),IF(BR236=1,IF(AT236&lt;=0,0,BS236*MAX(1,IF(G236&gt;0,AT236/G236,1))),IF(Q236&gt;0,AU236/Q236,0))/MAX(0.1,N(Parameter!$M$21)))</f>
        <v>0.0384615384615385</v>
      </c>
      <c r="AW236" s="57" t="n">
        <f aca="false">AT236*F236</f>
        <v>16646.92</v>
      </c>
      <c r="AX236" s="57" t="n">
        <f aca="false">ROUNDUP(MAX(I236/IF(BV236&gt;0,BV236,MAX(0.1,N(Cockpit!$O$6))),BY236)/BQ236,0)*BQ236</f>
        <v>146</v>
      </c>
      <c r="AY236" s="58" t="n">
        <f aca="false">IF(AV236&gt;0,I236/AV236,-1)</f>
        <v>52</v>
      </c>
      <c r="AZ236" s="58" t="n">
        <f aca="false">IF(AND(OR(BU236="L1",BU236="L23"),AV236&gt;0),SUMIFS($AV$7:$AV$1576,$BU$7:$BU$1576,BU236,$AY$7:$AY$1576,"&gt;"&amp;AY236)+SUMIFS($AV$7:$AV$1576,$BU$7:$BU$1576,BU236,$AY$7:$AY$1576,AY236,$BO$7:$BO$1576,"&lt;="&amp;BO236),"")</f>
        <v>78.3246773459385</v>
      </c>
      <c r="BA236" s="65" t="n">
        <f aca="false">IF(AZ236="",0,MAX(0,MIN(1,(IF(BU236="L1",Parameter!$E$5,Parameter!$E$6+Parameter!$E$7)-(AZ236-AV236))/AV236)))</f>
        <v>1</v>
      </c>
      <c r="BB236" s="55" t="str">
        <f aca="false">IF(AF236&lt;=0,"",IF(BU236="Aussen","Aussenlager",IF(BU236="-","Nicht im Lift",IF(AK236&gt;=1,"Lift",IF(AK236&lt;=0,"Aussenlager","teilweise")))))</f>
        <v>Lift</v>
      </c>
      <c r="BC236" s="55" t="str">
        <f aca="false">IF(AN236&lt;=0,"",IF(BU236="Aussen","Aussenlager",IF(BU236="-","Nicht im Lift",IF(AS236&gt;=1,"Lift",IF(AS236&lt;=0,"Aussenlager","teilweise")))))</f>
        <v>Lift</v>
      </c>
      <c r="BD236" s="55" t="str">
        <f aca="false">IF(AV236&lt;=0,"",IF(BU236="Aussen","Aussenlager",IF(BU236="-","Nicht im Lift",IF(BA236&gt;=1,"Lift",IF(BA236&lt;=0,"Aussenlager","teilweise")))))</f>
        <v>Lift</v>
      </c>
      <c r="BE236" s="55" t="str">
        <f aca="false">IF(A236="","",IF(BN236=1,"Neu; ","")&amp;IF(AND(BN236=0,BI236&lt;0),"negativer Bestand (Export "&amp;BI236&amp;"); ","")&amp;IF(I236&lt;=0,"Kein Verbrauch; ","")&amp;IF(CD236&gt;0,"Lift "&amp;U236&amp;" lt. Liftbericht (Fach "&amp;V236&amp;" Stk); ",IF(BR236=1,"Lose – Fläche geschätzt; ",""))&amp;IF(G236&gt;AP236,"Überbestand "&amp;ROUND(G236-AP236,0)&amp;" Stk / CHF "&amp;ROUND((G236-AP236)*F236,0)&amp;"; ","")&amp;IF(AND(BW236=1,BX236&lt;BY236),"MAX &lt; MB+LG; ","")&amp;IF(AND(CC236&gt;0,CB236*10&gt;CC236),"zu hoch für Tablar; ","")&amp;IF(AND(BN236=0,OR(BW236=1,Y236&lt;&gt;"",S236&lt;&gt;"",T236&lt;&gt;"",Z236&lt;&gt;"")),"manuell übersteuert; ","")&amp;IF(AND(BR236=0,Q236=0),"Gebinde unbekannt / Stellmass fehlt; ","")&amp;IF(AND(BR236=0,N(T236)&lt;=0,N(P236)&lt;=0),"Menge pro Gebinde fehlt (Ist = 1 Gebinde); ","")&amp;BM236)</f>
        <v>Überbestand</v>
      </c>
      <c r="BF236" s="55"/>
      <c r="BG236" s="55"/>
      <c r="BH236" s="62"/>
      <c r="BI236" s="57" t="n">
        <v>5</v>
      </c>
      <c r="BJ236" s="57" t="n">
        <v>56</v>
      </c>
      <c r="BK236" s="56" t="n">
        <v>570.1</v>
      </c>
      <c r="BL236" s="57" t="n">
        <v>2</v>
      </c>
      <c r="BM236" s="55" t="s">
        <v>382</v>
      </c>
      <c r="BN236" s="60" t="n">
        <v>0</v>
      </c>
      <c r="BO236" s="60" t="n">
        <v>236</v>
      </c>
      <c r="BP236" s="55" t="str">
        <f aca="false">IF(S236&lt;&gt;"",UPPER(TRIM(S236)),IF(O236="","LOSE",O236))</f>
        <v>S52</v>
      </c>
      <c r="BQ236" s="57" t="n">
        <f aca="false">IF(BP236="LOSE",1,IF(N(T236)&gt;0,T236,IF(N(P236)&gt;0,P236,MAX(1,G236))))</f>
        <v>146</v>
      </c>
      <c r="BR236" s="60" t="n">
        <f aca="false">IF(BP236="LOSE",1,0)</f>
        <v>0</v>
      </c>
      <c r="BS236" s="59" t="n">
        <f aca="false">IF(BR236=0,0,IF(N(R236)&gt;0,R236,IFERROR(VLOOKUP(D236,Parameter!$A$35:$C$64,3,0)+0,0)))</f>
        <v>0</v>
      </c>
      <c r="BT236" s="55" t="n">
        <f aca="false">IF(Y236&lt;&gt;"",Y236,X236)</f>
        <v>3</v>
      </c>
      <c r="BU236" s="55" t="str">
        <f aca="false">IF(BT236=1,"L1",IF(OR(BT236=2,BT236=3),"L23",IF(BT236="Aussen","Aussen","-")))</f>
        <v>L23</v>
      </c>
      <c r="BV236" s="66" t="n">
        <f aca="false">IF(N(Z236)&gt;0,Z236,0)</f>
        <v>0</v>
      </c>
      <c r="BW236" s="60" t="n">
        <f aca="false">IF(ISNUMBER(AC236),1,0)</f>
        <v>0</v>
      </c>
      <c r="BX236" s="57" t="n">
        <f aca="false">N(AC236)</f>
        <v>0</v>
      </c>
      <c r="BY236" s="57" t="n">
        <f aca="false">N(L236)+N(M236)</f>
        <v>5</v>
      </c>
      <c r="BZ236" s="57" t="n">
        <f aca="false">ROUNDUP(G236/BQ236,0)</f>
        <v>1</v>
      </c>
      <c r="CA236" s="57" t="n">
        <f aca="false">ROUNDUP(BX236/BQ236,0)</f>
        <v>0</v>
      </c>
      <c r="CB236" s="60" t="n">
        <f aca="false">IF(BR236=1,0,IFERROR(VLOOKUP(BP236,'Gebinde-Kategorie'!$A$5:$M$45,5,0)+0,0))</f>
        <v>21</v>
      </c>
      <c r="CC236" s="60" t="n">
        <f aca="false">IFERROR(IF(OR(BT236=1,BT236=2,BT236=3),N(INDEX(Parameter!$I$5:$I$7,BT236)),0),0)</f>
        <v>0</v>
      </c>
      <c r="CD236" s="59" t="n">
        <f aca="false">IF(AND(Parameter!$B$21="Ja",ISNUMBER(U236),N(V236)&gt;0),IFERROR(N(INDEX(Parameter!$L$5:$L$7,U236))*INDEX(Parameter!$E$5:$E$7,U236)*V236/SUMIFS($V$7:$V$1576,$U$7:$U$1576,U236),0),0)</f>
        <v>0</v>
      </c>
    </row>
    <row r="237" customFormat="false" ht="15" hidden="false" customHeight="false" outlineLevel="0" collapsed="false">
      <c r="A237" s="55" t="s">
        <v>651</v>
      </c>
      <c r="B237" s="55" t="s">
        <v>457</v>
      </c>
      <c r="C237" s="55" t="s">
        <v>160</v>
      </c>
      <c r="D237" s="55" t="s">
        <v>178</v>
      </c>
      <c r="E237" s="55" t="s">
        <v>210</v>
      </c>
      <c r="F237" s="56" t="n">
        <v>4.28</v>
      </c>
      <c r="G237" s="57" t="n">
        <f aca="false">MAX(0,IF(AND(Parameter!$B$21="Ja",ISNUMBER(W237)),W237,IF(Parameter!$B$20="Jahresanfang 2025 + Export",BJ237+BI237,BI237)))</f>
        <v>135</v>
      </c>
      <c r="H237" s="57" t="n">
        <f aca="false">G237*F237</f>
        <v>577.8</v>
      </c>
      <c r="I237" s="57" t="n">
        <f aca="false">BL237*Parameter!$B$18</f>
        <v>30</v>
      </c>
      <c r="J237" s="58" t="n">
        <v>144.5</v>
      </c>
      <c r="K237" s="59" t="n">
        <v>0.207612456747405</v>
      </c>
      <c r="L237" s="57" t="n">
        <v>1</v>
      </c>
      <c r="M237" s="57" t="n">
        <v>30</v>
      </c>
      <c r="N237" s="60" t="n">
        <v>14</v>
      </c>
      <c r="O237" s="55" t="s">
        <v>225</v>
      </c>
      <c r="P237" s="57" t="n">
        <v>139</v>
      </c>
      <c r="Q237" s="60" t="n">
        <f aca="false">IF(BR237=1,0,IFERROR(VLOOKUP(BP237,'Gebinde-Kategorie'!$A$5:$M$45,13,0)+0,0))</f>
        <v>26</v>
      </c>
      <c r="R237" s="61"/>
      <c r="S237" s="62"/>
      <c r="T237" s="62"/>
      <c r="U237" s="55"/>
      <c r="V237" s="57"/>
      <c r="W237" s="57"/>
      <c r="X237" s="55" t="n">
        <f aca="false">IF(A237="","",IF(AND(Parameter!$B$21="Ja",ISNUMBER(U237)),U237,IF(IFERROR(VLOOKUP(D237,Parameter!$A$35:$C$64,2,0),"Nein")="2+3",IF(ISNUMBER(SEARCH("grosser Artikel",BM237)),2,IFERROR(VLOOKUP(BP237,Parameter!$F$35:$G$64,2,0),2)),IF(OR(IFERROR(VLOOKUP(D237,Parameter!$A$35:$C$64,2,0),"Nein")="Nein",IFERROR(VLOOKUP(D237,Parameter!$A$35:$C$64,2,0),"Nein")=""),"-",VLOOKUP(D237,Parameter!$A$35:$C$64,2,0)))))</f>
        <v>3</v>
      </c>
      <c r="Y237" s="62"/>
      <c r="Z237" s="63"/>
      <c r="AA237" s="57" t="n">
        <f aca="false">AP237</f>
        <v>139</v>
      </c>
      <c r="AB237" s="57" t="n">
        <f aca="false">MAX(AP237,G237)</f>
        <v>139</v>
      </c>
      <c r="AC237" s="64"/>
      <c r="AD237" s="57" t="n">
        <f aca="false">IF(LEFT(Cockpit!$C$5,1)="A",G237,IF(BW237=1,BX237,IF(LEFT(Cockpit!$C$5,1)="B",AH237,MAX(AH237,G237))))</f>
        <v>135</v>
      </c>
      <c r="AE237" s="57" t="n">
        <f aca="false">IF(BR237=1,0,ROUNDUP(AD237/BQ237,0))</f>
        <v>1</v>
      </c>
      <c r="AF237" s="59" t="n">
        <f aca="false">IF(CD237&gt;0,CD237*MAX(1,AD237/V237),IF(BR237=1,IF(AD237&lt;=0,0,BS237*MAX(1,IF(G237&gt;0,AD237/G237,1))),IF(Q237&gt;0,AE237/Q237,0))/MAX(0.1,N(Parameter!$M$21)))</f>
        <v>0.0384615384615385</v>
      </c>
      <c r="AG237" s="57" t="n">
        <f aca="false">AD237*F237</f>
        <v>577.8</v>
      </c>
      <c r="AH237" s="57" t="n">
        <f aca="false">ROUNDUP(MAX(I237/IF(BV237&gt;0,BV237,MAX(0.1,N(Cockpit!$C$6))),BY237)/BQ237,0)*BQ237</f>
        <v>139</v>
      </c>
      <c r="AI237" s="58" t="n">
        <f aca="false">IF(AF237&gt;0,I237/AF237,-1)</f>
        <v>780</v>
      </c>
      <c r="AJ237" s="58" t="n">
        <f aca="false">IF(AND(OR(BU237="L1",BU237="L23"),AF237&gt;0),SUMIFS($AF$7:$AF$1576,$BU$7:$BU$1576,BU237,$AI$7:$AI$1576,"&gt;"&amp;AI237)+SUMIFS($AF$7:$AF$1576,$BU$7:$BU$1576,BU237,$AI$7:$AI$1576,AI237,$BO$7:$BO$1576,"&lt;="&amp;BO237),"")</f>
        <v>10.7995604878214</v>
      </c>
      <c r="AK237" s="65" t="n">
        <f aca="false">IF(AJ237="",0,MAX(0,MIN(1,(IF(BU237="L1",Parameter!$E$5,Parameter!$E$6+Parameter!$E$7)-(AJ237-AF237))/AF237)))</f>
        <v>1</v>
      </c>
      <c r="AL237" s="57" t="n">
        <f aca="false">IF(LEFT(Cockpit!$I$5,1)="A",G237,IF(BW237=1,BX237,IF(LEFT(Cockpit!$I$5,1)="B",AP237,MAX(AP237,G237))))</f>
        <v>139</v>
      </c>
      <c r="AM237" s="57" t="n">
        <f aca="false">IF(BR237=1,0,ROUNDUP(AL237/BQ237,0))</f>
        <v>1</v>
      </c>
      <c r="AN237" s="59" t="n">
        <f aca="false">IF(CD237&gt;0,CD237*MAX(1,AL237/V237),IF(BR237=1,IF(AL237&lt;=0,0,BS237*MAX(1,IF(G237&gt;0,AL237/G237,1))),IF(Q237&gt;0,AM237/Q237,0))/MAX(0.1,N(Parameter!$M$21)))</f>
        <v>0.0384615384615385</v>
      </c>
      <c r="AO237" s="57" t="n">
        <f aca="false">AL237*F237</f>
        <v>594.92</v>
      </c>
      <c r="AP237" s="57" t="n">
        <f aca="false">ROUNDUP(MAX(I237/IF(BV237&gt;0,BV237,MAX(0.1,N(Cockpit!$I$6))),BY237)/BQ237,0)*BQ237</f>
        <v>139</v>
      </c>
      <c r="AQ237" s="58" t="n">
        <f aca="false">IF(AN237&gt;0,I237/AN237,-1)</f>
        <v>780</v>
      </c>
      <c r="AR237" s="58" t="n">
        <f aca="false">IF(AND(OR(BU237="L1",BU237="L23"),AN237&gt;0),SUMIFS($AN$7:$AN$1576,$BU$7:$BU$1576,BU237,$AQ$7:$AQ$1576,"&gt;"&amp;AQ237)+SUMIFS($AN$7:$AN$1576,$BU$7:$BU$1576,BU237,$AQ$7:$AQ$1576,AQ237,$BO$7:$BO$1576,"&lt;="&amp;BO237),"")</f>
        <v>26.298917906103</v>
      </c>
      <c r="AS237" s="65" t="n">
        <f aca="false">IF(AR237="",0,MAX(0,MIN(1,(IF(BU237="L1",Parameter!$E$5,Parameter!$E$6+Parameter!$E$7)-(AR237-AN237))/AN237)))</f>
        <v>1</v>
      </c>
      <c r="AT237" s="57" t="n">
        <f aca="false">IF(LEFT(Cockpit!$O$5,1)="A",G237,IF(BW237=1,BX237,IF(LEFT(Cockpit!$O$5,1)="B",AX237,MAX(AX237,G237))))</f>
        <v>139</v>
      </c>
      <c r="AU237" s="57" t="n">
        <f aca="false">IF(BR237=1,0,ROUNDUP(AT237/BQ237,0))</f>
        <v>1</v>
      </c>
      <c r="AV237" s="59" t="n">
        <f aca="false">IF(CD237&gt;0,CD237*MAX(1,AT237/V237),IF(BR237=1,IF(AT237&lt;=0,0,BS237*MAX(1,IF(G237&gt;0,AT237/G237,1))),IF(Q237&gt;0,AU237/Q237,0))/MAX(0.1,N(Parameter!$M$21)))</f>
        <v>0.0384615384615385</v>
      </c>
      <c r="AW237" s="57" t="n">
        <f aca="false">AT237*F237</f>
        <v>594.92</v>
      </c>
      <c r="AX237" s="57" t="n">
        <f aca="false">ROUNDUP(MAX(I237/IF(BV237&gt;0,BV237,MAX(0.1,N(Cockpit!$O$6))),BY237)/BQ237,0)*BQ237</f>
        <v>139</v>
      </c>
      <c r="AY237" s="58" t="n">
        <f aca="false">IF(AV237&gt;0,I237/AV237,-1)</f>
        <v>780</v>
      </c>
      <c r="AZ237" s="58" t="n">
        <f aca="false">IF(AND(OR(BU237="L1",BU237="L23"),AV237&gt;0),SUMIFS($AV$7:$AV$1576,$BU$7:$BU$1576,BU237,$AY$7:$AY$1576,"&gt;"&amp;AY237)+SUMIFS($AV$7:$AV$1576,$BU$7:$BU$1576,BU237,$AY$7:$AY$1576,AY237,$BO$7:$BO$1576,"&lt;="&amp;BO237),"")</f>
        <v>26.3659342231193</v>
      </c>
      <c r="BA237" s="65" t="n">
        <f aca="false">IF(AZ237="",0,MAX(0,MIN(1,(IF(BU237="L1",Parameter!$E$5,Parameter!$E$6+Parameter!$E$7)-(AZ237-AV237))/AV237)))</f>
        <v>1</v>
      </c>
      <c r="BB237" s="55" t="str">
        <f aca="false">IF(AF237&lt;=0,"",IF(BU237="Aussen","Aussenlager",IF(BU237="-","Nicht im Lift",IF(AK237&gt;=1,"Lift",IF(AK237&lt;=0,"Aussenlager","teilweise")))))</f>
        <v>Lift</v>
      </c>
      <c r="BC237" s="55" t="str">
        <f aca="false">IF(AN237&lt;=0,"",IF(BU237="Aussen","Aussenlager",IF(BU237="-","Nicht im Lift",IF(AS237&gt;=1,"Lift",IF(AS237&lt;=0,"Aussenlager","teilweise")))))</f>
        <v>Lift</v>
      </c>
      <c r="BD237" s="55" t="str">
        <f aca="false">IF(AV237&lt;=0,"",IF(BU237="Aussen","Aussenlager",IF(BU237="-","Nicht im Lift",IF(BA237&gt;=1,"Lift",IF(BA237&lt;=0,"Aussenlager","teilweise")))))</f>
        <v>Lift</v>
      </c>
      <c r="BE237" s="55" t="str">
        <f aca="false">IF(A237="","",IF(BN237=1,"Neu; ","")&amp;IF(AND(BN237=0,BI237&lt;0),"negativer Bestand (Export "&amp;BI237&amp;"); ","")&amp;IF(I237&lt;=0,"Kein Verbrauch; ","")&amp;IF(CD237&gt;0,"Lift "&amp;U237&amp;" lt. Liftbericht (Fach "&amp;V237&amp;" Stk); ",IF(BR237=1,"Lose – Fläche geschätzt; ",""))&amp;IF(G237&gt;AP237,"Überbestand "&amp;ROUND(G237-AP237,0)&amp;" Stk / CHF "&amp;ROUND((G237-AP237)*F237,0)&amp;"; ","")&amp;IF(AND(BW237=1,BX237&lt;BY237),"MAX &lt; MB+LG; ","")&amp;IF(AND(CC237&gt;0,CB237*10&gt;CC237),"zu hoch für Tablar; ","")&amp;IF(AND(BN237=0,OR(BW237=1,Y237&lt;&gt;"",S237&lt;&gt;"",T237&lt;&gt;"",Z237&lt;&gt;"")),"manuell übersteuert; ","")&amp;IF(AND(BR237=0,Q237=0),"Gebinde unbekannt / Stellmass fehlt; ","")&amp;IF(AND(BR237=0,N(T237)&lt;=0,N(P237)&lt;=0),"Menge pro Gebinde fehlt (Ist = 1 Gebinde); ","")&amp;BM237)</f>
        <v/>
      </c>
      <c r="BF237" s="55"/>
      <c r="BG237" s="55"/>
      <c r="BH237" s="62"/>
      <c r="BI237" s="57" t="n">
        <v>135</v>
      </c>
      <c r="BJ237" s="57" t="n">
        <v>52</v>
      </c>
      <c r="BK237" s="56" t="n">
        <v>570.000000000001</v>
      </c>
      <c r="BL237" s="57" t="n">
        <v>30</v>
      </c>
      <c r="BM237" s="55"/>
      <c r="BN237" s="60" t="n">
        <v>0</v>
      </c>
      <c r="BO237" s="60" t="n">
        <v>237</v>
      </c>
      <c r="BP237" s="55" t="str">
        <f aca="false">IF(S237&lt;&gt;"",UPPER(TRIM(S237)),IF(O237="","LOSE",O237))</f>
        <v>S52</v>
      </c>
      <c r="BQ237" s="57" t="n">
        <f aca="false">IF(BP237="LOSE",1,IF(N(T237)&gt;0,T237,IF(N(P237)&gt;0,P237,MAX(1,G237))))</f>
        <v>139</v>
      </c>
      <c r="BR237" s="60" t="n">
        <f aca="false">IF(BP237="LOSE",1,0)</f>
        <v>0</v>
      </c>
      <c r="BS237" s="59" t="n">
        <f aca="false">IF(BR237=0,0,IF(N(R237)&gt;0,R237,IFERROR(VLOOKUP(D237,Parameter!$A$35:$C$64,3,0)+0,0)))</f>
        <v>0</v>
      </c>
      <c r="BT237" s="55" t="n">
        <f aca="false">IF(Y237&lt;&gt;"",Y237,X237)</f>
        <v>3</v>
      </c>
      <c r="BU237" s="55" t="str">
        <f aca="false">IF(BT237=1,"L1",IF(OR(BT237=2,BT237=3),"L23",IF(BT237="Aussen","Aussen","-")))</f>
        <v>L23</v>
      </c>
      <c r="BV237" s="66" t="n">
        <f aca="false">IF(N(Z237)&gt;0,Z237,0)</f>
        <v>0</v>
      </c>
      <c r="BW237" s="60" t="n">
        <f aca="false">IF(ISNUMBER(AC237),1,0)</f>
        <v>0</v>
      </c>
      <c r="BX237" s="57" t="n">
        <f aca="false">N(AC237)</f>
        <v>0</v>
      </c>
      <c r="BY237" s="57" t="n">
        <f aca="false">N(L237)+N(M237)</f>
        <v>31</v>
      </c>
      <c r="BZ237" s="57" t="n">
        <f aca="false">ROUNDUP(G237/BQ237,0)</f>
        <v>1</v>
      </c>
      <c r="CA237" s="57" t="n">
        <f aca="false">ROUNDUP(BX237/BQ237,0)</f>
        <v>0</v>
      </c>
      <c r="CB237" s="60" t="n">
        <f aca="false">IF(BR237=1,0,IFERROR(VLOOKUP(BP237,'Gebinde-Kategorie'!$A$5:$M$45,5,0)+0,0))</f>
        <v>21</v>
      </c>
      <c r="CC237" s="60" t="n">
        <f aca="false">IFERROR(IF(OR(BT237=1,BT237=2,BT237=3),N(INDEX(Parameter!$I$5:$I$7,BT237)),0),0)</f>
        <v>0</v>
      </c>
      <c r="CD237" s="59" t="n">
        <f aca="false">IF(AND(Parameter!$B$21="Ja",ISNUMBER(U237),N(V237)&gt;0),IFERROR(N(INDEX(Parameter!$L$5:$L$7,U237))*INDEX(Parameter!$E$5:$E$7,U237)*V237/SUMIFS($V$7:$V$1576,$U$7:$U$1576,U237),0),0)</f>
        <v>0</v>
      </c>
    </row>
    <row r="238" customFormat="false" ht="15" hidden="false" customHeight="false" outlineLevel="0" collapsed="false">
      <c r="A238" s="55" t="s">
        <v>652</v>
      </c>
      <c r="B238" s="55" t="s">
        <v>653</v>
      </c>
      <c r="C238" s="55" t="s">
        <v>160</v>
      </c>
      <c r="D238" s="55" t="s">
        <v>168</v>
      </c>
      <c r="E238" s="55" t="s">
        <v>210</v>
      </c>
      <c r="F238" s="56" t="n">
        <v>142</v>
      </c>
      <c r="G238" s="57" t="n">
        <f aca="false">MAX(0,IF(AND(Parameter!$B$21="Ja",ISNUMBER(W238)),W238,IF(Parameter!$B$20="Jahresanfang 2025 + Export",BJ238+BI238,BI238)))</f>
        <v>4</v>
      </c>
      <c r="H238" s="57" t="n">
        <f aca="false">G238*F238</f>
        <v>568</v>
      </c>
      <c r="I238" s="57" t="n">
        <f aca="false">BL238*Parameter!$B$18</f>
        <v>12</v>
      </c>
      <c r="J238" s="58" t="n">
        <v>4.5</v>
      </c>
      <c r="K238" s="59" t="n">
        <v>2.66666666666667</v>
      </c>
      <c r="L238" s="57" t="n">
        <v>1</v>
      </c>
      <c r="M238" s="57" t="n">
        <v>10</v>
      </c>
      <c r="N238" s="60" t="n">
        <v>35</v>
      </c>
      <c r="O238" s="55" t="s">
        <v>169</v>
      </c>
      <c r="P238" s="57" t="n">
        <v>10</v>
      </c>
      <c r="Q238" s="60" t="n">
        <f aca="false">IF(BR238=1,0,IFERROR(VLOOKUP(BP238,'Gebinde-Kategorie'!$A$5:$M$45,13,0)+0,0))</f>
        <v>6</v>
      </c>
      <c r="R238" s="61"/>
      <c r="S238" s="62"/>
      <c r="T238" s="62"/>
      <c r="U238" s="55"/>
      <c r="V238" s="57"/>
      <c r="W238" s="57"/>
      <c r="X238" s="55" t="n">
        <f aca="false">IF(A238="","",IF(AND(Parameter!$B$21="Ja",ISNUMBER(U238)),U238,IF(IFERROR(VLOOKUP(D238,Parameter!$A$35:$C$64,2,0),"Nein")="2+3",IF(ISNUMBER(SEARCH("grosser Artikel",BM238)),2,IFERROR(VLOOKUP(BP238,Parameter!$F$35:$G$64,2,0),2)),IF(OR(IFERROR(VLOOKUP(D238,Parameter!$A$35:$C$64,2,0),"Nein")="Nein",IFERROR(VLOOKUP(D238,Parameter!$A$35:$C$64,2,0),"Nein")=""),"-",VLOOKUP(D238,Parameter!$A$35:$C$64,2,0)))))</f>
        <v>2</v>
      </c>
      <c r="Y238" s="62"/>
      <c r="Z238" s="63"/>
      <c r="AA238" s="57" t="n">
        <f aca="false">AP238</f>
        <v>20</v>
      </c>
      <c r="AB238" s="57" t="n">
        <f aca="false">MAX(AP238,G238)</f>
        <v>20</v>
      </c>
      <c r="AC238" s="64"/>
      <c r="AD238" s="57" t="n">
        <f aca="false">IF(LEFT(Cockpit!$C$5,1)="A",G238,IF(BW238=1,BX238,IF(LEFT(Cockpit!$C$5,1)="B",AH238,MAX(AH238,G238))))</f>
        <v>4</v>
      </c>
      <c r="AE238" s="57" t="n">
        <f aca="false">IF(BR238=1,0,ROUNDUP(AD238/BQ238,0))</f>
        <v>1</v>
      </c>
      <c r="AF238" s="59" t="n">
        <f aca="false">IF(CD238&gt;0,CD238*MAX(1,AD238/V238),IF(BR238=1,IF(AD238&lt;=0,0,BS238*MAX(1,IF(G238&gt;0,AD238/G238,1))),IF(Q238&gt;0,AE238/Q238,0))/MAX(0.1,N(Parameter!$M$21)))</f>
        <v>0.166666666666667</v>
      </c>
      <c r="AG238" s="57" t="n">
        <f aca="false">AD238*F238</f>
        <v>568</v>
      </c>
      <c r="AH238" s="57" t="n">
        <f aca="false">ROUNDUP(MAX(I238/IF(BV238&gt;0,BV238,MAX(0.1,N(Cockpit!$C$6))),BY238)/BQ238,0)*BQ238</f>
        <v>20</v>
      </c>
      <c r="AI238" s="58" t="n">
        <f aca="false">IF(AF238&gt;0,I238/AF238,-1)</f>
        <v>72</v>
      </c>
      <c r="AJ238" s="58" t="n">
        <f aca="false">IF(AND(OR(BU238="L1",BU238="L23"),AF238&gt;0),SUMIFS($AF$7:$AF$1576,$BU$7:$BU$1576,BU238,$AI$7:$AI$1576,"&gt;"&amp;AI238)+SUMIFS($AF$7:$AF$1576,$BU$7:$BU$1576,BU238,$AI$7:$AI$1576,AI238,$BO$7:$BO$1576,"&lt;="&amp;BO238),"")</f>
        <v>24.3512529982095</v>
      </c>
      <c r="AK238" s="65" t="n">
        <f aca="false">IF(AJ238="",0,MAX(0,MIN(1,(IF(BU238="L1",Parameter!$E$5,Parameter!$E$6+Parameter!$E$7)-(AJ238-AF238))/AF238)))</f>
        <v>1</v>
      </c>
      <c r="AL238" s="57" t="n">
        <f aca="false">IF(LEFT(Cockpit!$I$5,1)="A",G238,IF(BW238=1,BX238,IF(LEFT(Cockpit!$I$5,1)="B",AP238,MAX(AP238,G238))))</f>
        <v>20</v>
      </c>
      <c r="AM238" s="57" t="n">
        <f aca="false">IF(BR238=1,0,ROUNDUP(AL238/BQ238,0))</f>
        <v>2</v>
      </c>
      <c r="AN238" s="59" t="n">
        <f aca="false">IF(CD238&gt;0,CD238*MAX(1,AL238/V238),IF(BR238=1,IF(AL238&lt;=0,0,BS238*MAX(1,IF(G238&gt;0,AL238/G238,1))),IF(Q238&gt;0,AM238/Q238,0))/MAX(0.1,N(Parameter!$M$21)))</f>
        <v>0.333333333333333</v>
      </c>
      <c r="AO238" s="57" t="n">
        <f aca="false">AL238*F238</f>
        <v>2840</v>
      </c>
      <c r="AP238" s="57" t="n">
        <f aca="false">ROUNDUP(MAX(I238/IF(BV238&gt;0,BV238,MAX(0.1,N(Cockpit!$I$6))),BY238)/BQ238,0)*BQ238</f>
        <v>20</v>
      </c>
      <c r="AQ238" s="58" t="n">
        <f aca="false">IF(AN238&gt;0,I238/AN238,-1)</f>
        <v>36</v>
      </c>
      <c r="AR238" s="58" t="n">
        <f aca="false">IF(AND(OR(BU238="L1",BU238="L23"),AN238&gt;0),SUMIFS($AN$7:$AN$1576,$BU$7:$BU$1576,BU238,$AQ$7:$AQ$1576,"&gt;"&amp;AQ238)+SUMIFS($AN$7:$AN$1576,$BU$7:$BU$1576,BU238,$AQ$7:$AQ$1576,AQ238,$BO$7:$BO$1576,"&lt;="&amp;BO238),"")</f>
        <v>93.1324345886957</v>
      </c>
      <c r="AS238" s="65" t="n">
        <f aca="false">IF(AR238="",0,MAX(0,MIN(1,(IF(BU238="L1",Parameter!$E$5,Parameter!$E$6+Parameter!$E$7)-(AR238-AN238))/AN238)))</f>
        <v>1</v>
      </c>
      <c r="AT238" s="57" t="n">
        <f aca="false">IF(LEFT(Cockpit!$O$5,1)="A",G238,IF(BW238=1,BX238,IF(LEFT(Cockpit!$O$5,1)="B",AX238,MAX(AX238,G238))))</f>
        <v>20</v>
      </c>
      <c r="AU238" s="57" t="n">
        <f aca="false">IF(BR238=1,0,ROUNDUP(AT238/BQ238,0))</f>
        <v>2</v>
      </c>
      <c r="AV238" s="59" t="n">
        <f aca="false">IF(CD238&gt;0,CD238*MAX(1,AT238/V238),IF(BR238=1,IF(AT238&lt;=0,0,BS238*MAX(1,IF(G238&gt;0,AT238/G238,1))),IF(Q238&gt;0,AU238/Q238,0))/MAX(0.1,N(Parameter!$M$21)))</f>
        <v>0.333333333333333</v>
      </c>
      <c r="AW238" s="57" t="n">
        <f aca="false">AT238*F238</f>
        <v>2840</v>
      </c>
      <c r="AX238" s="57" t="n">
        <f aca="false">ROUNDUP(MAX(I238/IF(BV238&gt;0,BV238,MAX(0.1,N(Cockpit!$O$6))),BY238)/BQ238,0)*BQ238</f>
        <v>20</v>
      </c>
      <c r="AY238" s="58" t="n">
        <f aca="false">IF(AV238&gt;0,I238/AV238,-1)</f>
        <v>36</v>
      </c>
      <c r="AZ238" s="58" t="n">
        <f aca="false">IF(AND(OR(BU238="L1",BU238="L23"),AV238&gt;0),SUMIFS($AV$7:$AV$1576,$BU$7:$BU$1576,BU238,$AY$7:$AY$1576,"&gt;"&amp;AY238)+SUMIFS($AV$7:$AV$1576,$BU$7:$BU$1576,BU238,$AY$7:$AY$1576,AY238,$BO$7:$BO$1576,"&lt;="&amp;BO238),"")</f>
        <v>84.9169850382462</v>
      </c>
      <c r="BA238" s="65" t="n">
        <f aca="false">IF(AZ238="",0,MAX(0,MIN(1,(IF(BU238="L1",Parameter!$E$5,Parameter!$E$6+Parameter!$E$7)-(AZ238-AV238))/AV238)))</f>
        <v>1</v>
      </c>
      <c r="BB238" s="55" t="str">
        <f aca="false">IF(AF238&lt;=0,"",IF(BU238="Aussen","Aussenlager",IF(BU238="-","Nicht im Lift",IF(AK238&gt;=1,"Lift",IF(AK238&lt;=0,"Aussenlager","teilweise")))))</f>
        <v>Lift</v>
      </c>
      <c r="BC238" s="55" t="str">
        <f aca="false">IF(AN238&lt;=0,"",IF(BU238="Aussen","Aussenlager",IF(BU238="-","Nicht im Lift",IF(AS238&gt;=1,"Lift",IF(AS238&lt;=0,"Aussenlager","teilweise")))))</f>
        <v>Lift</v>
      </c>
      <c r="BD238" s="55" t="str">
        <f aca="false">IF(AV238&lt;=0,"",IF(BU238="Aussen","Aussenlager",IF(BU238="-","Nicht im Lift",IF(BA238&gt;=1,"Lift",IF(BA238&lt;=0,"Aussenlager","teilweise")))))</f>
        <v>Lift</v>
      </c>
      <c r="BE238" s="55" t="str">
        <f aca="false">IF(A238="","",IF(BN238=1,"Neu; ","")&amp;IF(AND(BN238=0,BI238&lt;0),"negativer Bestand (Export "&amp;BI238&amp;"); ","")&amp;IF(I238&lt;=0,"Kein Verbrauch; ","")&amp;IF(CD238&gt;0,"Lift "&amp;U238&amp;" lt. Liftbericht (Fach "&amp;V238&amp;" Stk); ",IF(BR238=1,"Lose – Fläche geschätzt; ",""))&amp;IF(G238&gt;AP238,"Überbestand "&amp;ROUND(G238-AP238,0)&amp;" Stk / CHF "&amp;ROUND((G238-AP238)*F238,0)&amp;"; ","")&amp;IF(AND(BW238=1,BX238&lt;BY238),"MAX &lt; MB+LG; ","")&amp;IF(AND(CC238&gt;0,CB238*10&gt;CC238),"zu hoch für Tablar; ","")&amp;IF(AND(BN238=0,OR(BW238=1,Y238&lt;&gt;"",S238&lt;&gt;"",T238&lt;&gt;"",Z238&lt;&gt;"")),"manuell übersteuert; ","")&amp;IF(AND(BR238=0,Q238=0),"Gebinde unbekannt / Stellmass fehlt; ","")&amp;IF(AND(BR238=0,N(T238)&lt;=0,N(P238)&lt;=0),"Menge pro Gebinde fehlt (Ist = 1 Gebinde); ","")&amp;BM238)</f>
        <v>grosser Artikel &amp; nicht im KTL</v>
      </c>
      <c r="BF238" s="55"/>
      <c r="BG238" s="55"/>
      <c r="BH238" s="62"/>
      <c r="BI238" s="57" t="n">
        <v>4</v>
      </c>
      <c r="BJ238" s="57" t="n">
        <v>1</v>
      </c>
      <c r="BK238" s="56" t="n">
        <v>567.95</v>
      </c>
      <c r="BL238" s="57" t="n">
        <v>12</v>
      </c>
      <c r="BM238" s="55" t="s">
        <v>253</v>
      </c>
      <c r="BN238" s="60" t="n">
        <v>0</v>
      </c>
      <c r="BO238" s="60" t="n">
        <v>238</v>
      </c>
      <c r="BP238" s="55" t="str">
        <f aca="false">IF(S238&lt;&gt;"",UPPER(TRIM(S238)),IF(O238="","LOSE",O238))</f>
        <v>S71</v>
      </c>
      <c r="BQ238" s="57" t="n">
        <f aca="false">IF(BP238="LOSE",1,IF(N(T238)&gt;0,T238,IF(N(P238)&gt;0,P238,MAX(1,G238))))</f>
        <v>10</v>
      </c>
      <c r="BR238" s="60" t="n">
        <f aca="false">IF(BP238="LOSE",1,0)</f>
        <v>0</v>
      </c>
      <c r="BS238" s="59" t="n">
        <f aca="false">IF(BR238=0,0,IF(N(R238)&gt;0,R238,IFERROR(VLOOKUP(D238,Parameter!$A$35:$C$64,3,0)+0,0)))</f>
        <v>0</v>
      </c>
      <c r="BT238" s="55" t="n">
        <f aca="false">IF(Y238&lt;&gt;"",Y238,X238)</f>
        <v>2</v>
      </c>
      <c r="BU238" s="55" t="str">
        <f aca="false">IF(BT238=1,"L1",IF(OR(BT238=2,BT238=3),"L23",IF(BT238="Aussen","Aussen","-")))</f>
        <v>L23</v>
      </c>
      <c r="BV238" s="66" t="n">
        <f aca="false">IF(N(Z238)&gt;0,Z238,0)</f>
        <v>0</v>
      </c>
      <c r="BW238" s="60" t="n">
        <f aca="false">IF(ISNUMBER(AC238),1,0)</f>
        <v>0</v>
      </c>
      <c r="BX238" s="57" t="n">
        <f aca="false">N(AC238)</f>
        <v>0</v>
      </c>
      <c r="BY238" s="57" t="n">
        <f aca="false">N(L238)+N(M238)</f>
        <v>11</v>
      </c>
      <c r="BZ238" s="57" t="n">
        <f aca="false">ROUNDUP(G238/BQ238,0)</f>
        <v>1</v>
      </c>
      <c r="CA238" s="57" t="n">
        <f aca="false">ROUNDUP(BX238/BQ238,0)</f>
        <v>0</v>
      </c>
      <c r="CB238" s="60" t="n">
        <f aca="false">IF(BR238=1,0,IFERROR(VLOOKUP(BP238,'Gebinde-Kategorie'!$A$5:$M$45,5,0)+0,0))</f>
        <v>20</v>
      </c>
      <c r="CC238" s="60" t="n">
        <f aca="false">IFERROR(IF(OR(BT238=1,BT238=2,BT238=3),N(INDEX(Parameter!$I$5:$I$7,BT238)),0),0)</f>
        <v>0</v>
      </c>
      <c r="CD238" s="59" t="n">
        <f aca="false">IF(AND(Parameter!$B$21="Ja",ISNUMBER(U238),N(V238)&gt;0),IFERROR(N(INDEX(Parameter!$L$5:$L$7,U238))*INDEX(Parameter!$E$5:$E$7,U238)*V238/SUMIFS($V$7:$V$1576,$U$7:$U$1576,U238),0),0)</f>
        <v>0</v>
      </c>
    </row>
    <row r="239" customFormat="false" ht="15" hidden="false" customHeight="false" outlineLevel="0" collapsed="false">
      <c r="A239" s="55" t="s">
        <v>654</v>
      </c>
      <c r="B239" s="55" t="s">
        <v>655</v>
      </c>
      <c r="C239" s="55" t="s">
        <v>160</v>
      </c>
      <c r="D239" s="55" t="s">
        <v>178</v>
      </c>
      <c r="E239" s="55" t="s">
        <v>210</v>
      </c>
      <c r="F239" s="56" t="n">
        <v>10.59</v>
      </c>
      <c r="G239" s="57" t="n">
        <f aca="false">MAX(0,IF(AND(Parameter!$B$21="Ja",ISNUMBER(W239)),W239,IF(Parameter!$B$20="Jahresanfang 2025 + Export",BJ239+BI239,BI239)))</f>
        <v>46</v>
      </c>
      <c r="H239" s="57" t="n">
        <f aca="false">G239*F239</f>
        <v>487.14</v>
      </c>
      <c r="I239" s="57" t="n">
        <f aca="false">BL239*Parameter!$B$18</f>
        <v>108</v>
      </c>
      <c r="J239" s="58" t="n">
        <v>80</v>
      </c>
      <c r="K239" s="59" t="n">
        <v>1.35</v>
      </c>
      <c r="L239" s="57" t="n">
        <v>12</v>
      </c>
      <c r="M239" s="57" t="n">
        <v>110</v>
      </c>
      <c r="N239" s="60" t="n">
        <v>42</v>
      </c>
      <c r="O239" s="55" t="s">
        <v>411</v>
      </c>
      <c r="P239" s="57" t="n">
        <v>311</v>
      </c>
      <c r="Q239" s="60" t="n">
        <f aca="false">IF(BR239=1,0,IFERROR(VLOOKUP(BP239,'Gebinde-Kategorie'!$A$5:$M$45,13,0)+0,0))</f>
        <v>132</v>
      </c>
      <c r="R239" s="61"/>
      <c r="S239" s="62"/>
      <c r="T239" s="62"/>
      <c r="U239" s="55"/>
      <c r="V239" s="57"/>
      <c r="W239" s="57"/>
      <c r="X239" s="55" t="n">
        <f aca="false">IF(A239="","",IF(AND(Parameter!$B$21="Ja",ISNUMBER(U239)),U239,IF(IFERROR(VLOOKUP(D239,Parameter!$A$35:$C$64,2,0),"Nein")="2+3",IF(ISNUMBER(SEARCH("grosser Artikel",BM239)),2,IFERROR(VLOOKUP(BP239,Parameter!$F$35:$G$64,2,0),2)),IF(OR(IFERROR(VLOOKUP(D239,Parameter!$A$35:$C$64,2,0),"Nein")="Nein",IFERROR(VLOOKUP(D239,Parameter!$A$35:$C$64,2,0),"Nein")=""),"-",VLOOKUP(D239,Parameter!$A$35:$C$64,2,0)))))</f>
        <v>3</v>
      </c>
      <c r="Y239" s="62"/>
      <c r="Z239" s="63"/>
      <c r="AA239" s="57" t="n">
        <f aca="false">AP239</f>
        <v>311</v>
      </c>
      <c r="AB239" s="57" t="n">
        <f aca="false">MAX(AP239,G239)</f>
        <v>311</v>
      </c>
      <c r="AC239" s="64"/>
      <c r="AD239" s="57" t="n">
        <f aca="false">IF(LEFT(Cockpit!$C$5,1)="A",G239,IF(BW239=1,BX239,IF(LEFT(Cockpit!$C$5,1)="B",AH239,MAX(AH239,G239))))</f>
        <v>46</v>
      </c>
      <c r="AE239" s="57" t="n">
        <f aca="false">IF(BR239=1,0,ROUNDUP(AD239/BQ239,0))</f>
        <v>1</v>
      </c>
      <c r="AF239" s="59" t="n">
        <f aca="false">IF(CD239&gt;0,CD239*MAX(1,AD239/V239),IF(BR239=1,IF(AD239&lt;=0,0,BS239*MAX(1,IF(G239&gt;0,AD239/G239,1))),IF(Q239&gt;0,AE239/Q239,0))/MAX(0.1,N(Parameter!$M$21)))</f>
        <v>0.00757575757575758</v>
      </c>
      <c r="AG239" s="57" t="n">
        <f aca="false">AD239*F239</f>
        <v>487.14</v>
      </c>
      <c r="AH239" s="57" t="n">
        <f aca="false">ROUNDUP(MAX(I239/IF(BV239&gt;0,BV239,MAX(0.1,N(Cockpit!$C$6))),BY239)/BQ239,0)*BQ239</f>
        <v>311</v>
      </c>
      <c r="AI239" s="58" t="n">
        <f aca="false">IF(AF239&gt;0,I239/AF239,-1)</f>
        <v>14256</v>
      </c>
      <c r="AJ239" s="58" t="n">
        <f aca="false">IF(AND(OR(BU239="L1",BU239="L23"),AF239&gt;0),SUMIFS($AF$7:$AF$1576,$BU$7:$BU$1576,BU239,$AI$7:$AI$1576,"&gt;"&amp;AI239)+SUMIFS($AF$7:$AF$1576,$BU$7:$BU$1576,BU239,$AI$7:$AI$1576,AI239,$BO$7:$BO$1576,"&lt;="&amp;BO239),"")</f>
        <v>2.30535285970069</v>
      </c>
      <c r="AK239" s="65" t="n">
        <f aca="false">IF(AJ239="",0,MAX(0,MIN(1,(IF(BU239="L1",Parameter!$E$5,Parameter!$E$6+Parameter!$E$7)-(AJ239-AF239))/AF239)))</f>
        <v>1</v>
      </c>
      <c r="AL239" s="57" t="n">
        <f aca="false">IF(LEFT(Cockpit!$I$5,1)="A",G239,IF(BW239=1,BX239,IF(LEFT(Cockpit!$I$5,1)="B",AP239,MAX(AP239,G239))))</f>
        <v>311</v>
      </c>
      <c r="AM239" s="57" t="n">
        <f aca="false">IF(BR239=1,0,ROUNDUP(AL239/BQ239,0))</f>
        <v>1</v>
      </c>
      <c r="AN239" s="59" t="n">
        <f aca="false">IF(CD239&gt;0,CD239*MAX(1,AL239/V239),IF(BR239=1,IF(AL239&lt;=0,0,BS239*MAX(1,IF(G239&gt;0,AL239/G239,1))),IF(Q239&gt;0,AM239/Q239,0))/MAX(0.1,N(Parameter!$M$21)))</f>
        <v>0.00757575757575758</v>
      </c>
      <c r="AO239" s="57" t="n">
        <f aca="false">AL239*F239</f>
        <v>3293.49</v>
      </c>
      <c r="AP239" s="57" t="n">
        <f aca="false">ROUNDUP(MAX(I239/IF(BV239&gt;0,BV239,MAX(0.1,N(Cockpit!$I$6))),BY239)/BQ239,0)*BQ239</f>
        <v>311</v>
      </c>
      <c r="AQ239" s="58" t="n">
        <f aca="false">IF(AN239&gt;0,I239/AN239,-1)</f>
        <v>14256</v>
      </c>
      <c r="AR239" s="58" t="n">
        <f aca="false">IF(AND(OR(BU239="L1",BU239="L23"),AN239&gt;0),SUMIFS($AN$7:$AN$1576,$BU$7:$BU$1576,BU239,$AQ$7:$AQ$1576,"&gt;"&amp;AQ239)+SUMIFS($AN$7:$AN$1576,$BU$7:$BU$1576,BU239,$AQ$7:$AQ$1576,AQ239,$BO$7:$BO$1576,"&lt;="&amp;BO239),"")</f>
        <v>5.65480186480187</v>
      </c>
      <c r="AS239" s="65" t="n">
        <f aca="false">IF(AR239="",0,MAX(0,MIN(1,(IF(BU239="L1",Parameter!$E$5,Parameter!$E$6+Parameter!$E$7)-(AR239-AN239))/AN239)))</f>
        <v>1</v>
      </c>
      <c r="AT239" s="57" t="n">
        <f aca="false">IF(LEFT(Cockpit!$O$5,1)="A",G239,IF(BW239=1,BX239,IF(LEFT(Cockpit!$O$5,1)="B",AX239,MAX(AX239,G239))))</f>
        <v>311</v>
      </c>
      <c r="AU239" s="57" t="n">
        <f aca="false">IF(BR239=1,0,ROUNDUP(AT239/BQ239,0))</f>
        <v>1</v>
      </c>
      <c r="AV239" s="59" t="n">
        <f aca="false">IF(CD239&gt;0,CD239*MAX(1,AT239/V239),IF(BR239=1,IF(AT239&lt;=0,0,BS239*MAX(1,IF(G239&gt;0,AT239/G239,1))),IF(Q239&gt;0,AU239/Q239,0))/MAX(0.1,N(Parameter!$M$21)))</f>
        <v>0.00757575757575758</v>
      </c>
      <c r="AW239" s="57" t="n">
        <f aca="false">AT239*F239</f>
        <v>3293.49</v>
      </c>
      <c r="AX239" s="57" t="n">
        <f aca="false">ROUNDUP(MAX(I239/IF(BV239&gt;0,BV239,MAX(0.1,N(Cockpit!$O$6))),BY239)/BQ239,0)*BQ239</f>
        <v>311</v>
      </c>
      <c r="AY239" s="58" t="n">
        <f aca="false">IF(AV239&gt;0,I239/AV239,-1)</f>
        <v>14256</v>
      </c>
      <c r="AZ239" s="58" t="n">
        <f aca="false">IF(AND(OR(BU239="L1",BU239="L23"),AV239&gt;0),SUMIFS($AV$7:$AV$1576,$BU$7:$BU$1576,BU239,$AY$7:$AY$1576,"&gt;"&amp;AY239)+SUMIFS($AV$7:$AV$1576,$BU$7:$BU$1576,BU239,$AY$7:$AY$1576,AY239,$BO$7:$BO$1576,"&lt;="&amp;BO239),"")</f>
        <v>5.20258741258741</v>
      </c>
      <c r="BA239" s="65" t="n">
        <f aca="false">IF(AZ239="",0,MAX(0,MIN(1,(IF(BU239="L1",Parameter!$E$5,Parameter!$E$6+Parameter!$E$7)-(AZ239-AV239))/AV239)))</f>
        <v>1</v>
      </c>
      <c r="BB239" s="55" t="str">
        <f aca="false">IF(AF239&lt;=0,"",IF(BU239="Aussen","Aussenlager",IF(BU239="-","Nicht im Lift",IF(AK239&gt;=1,"Lift",IF(AK239&lt;=0,"Aussenlager","teilweise")))))</f>
        <v>Lift</v>
      </c>
      <c r="BC239" s="55" t="str">
        <f aca="false">IF(AN239&lt;=0,"",IF(BU239="Aussen","Aussenlager",IF(BU239="-","Nicht im Lift",IF(AS239&gt;=1,"Lift",IF(AS239&lt;=0,"Aussenlager","teilweise")))))</f>
        <v>Lift</v>
      </c>
      <c r="BD239" s="55" t="str">
        <f aca="false">IF(AV239&lt;=0,"",IF(BU239="Aussen","Aussenlager",IF(BU239="-","Nicht im Lift",IF(BA239&gt;=1,"Lift",IF(BA239&lt;=0,"Aussenlager","teilweise")))))</f>
        <v>Lift</v>
      </c>
      <c r="BE239" s="55" t="str">
        <f aca="false">IF(A239="","",IF(BN239=1,"Neu; ","")&amp;IF(AND(BN239=0,BI239&lt;0),"negativer Bestand (Export "&amp;BI239&amp;"); ","")&amp;IF(I239&lt;=0,"Kein Verbrauch; ","")&amp;IF(CD239&gt;0,"Lift "&amp;U239&amp;" lt. Liftbericht (Fach "&amp;V239&amp;" Stk); ",IF(BR239=1,"Lose – Fläche geschätzt; ",""))&amp;IF(G239&gt;AP239,"Überbestand "&amp;ROUND(G239-AP239,0)&amp;" Stk / CHF "&amp;ROUND((G239-AP239)*F239,0)&amp;"; ","")&amp;IF(AND(BW239=1,BX239&lt;BY239),"MAX &lt; MB+LG; ","")&amp;IF(AND(CC239&gt;0,CB239*10&gt;CC239),"zu hoch für Tablar; ","")&amp;IF(AND(BN239=0,OR(BW239=1,Y239&lt;&gt;"",S239&lt;&gt;"",T239&lt;&gt;"",Z239&lt;&gt;"")),"manuell übersteuert; ","")&amp;IF(AND(BR239=0,Q239=0),"Gebinde unbekannt / Stellmass fehlt; ","")&amp;IF(AND(BR239=0,N(T239)&lt;=0,N(P239)&lt;=0),"Menge pro Gebinde fehlt (Ist = 1 Gebinde); ","")&amp;BM239)</f>
        <v/>
      </c>
      <c r="BF239" s="55"/>
      <c r="BG239" s="55"/>
      <c r="BH239" s="62"/>
      <c r="BI239" s="57" t="n">
        <v>46</v>
      </c>
      <c r="BJ239" s="57" t="n">
        <v>56</v>
      </c>
      <c r="BK239" s="56" t="n">
        <v>564.67</v>
      </c>
      <c r="BL239" s="57" t="n">
        <v>108</v>
      </c>
      <c r="BM239" s="55"/>
      <c r="BN239" s="60" t="n">
        <v>0</v>
      </c>
      <c r="BO239" s="60" t="n">
        <v>239</v>
      </c>
      <c r="BP239" s="55" t="str">
        <f aca="false">IF(S239&lt;&gt;"",UPPER(TRIM(S239)),IF(O239="","LOSE",O239))</f>
        <v>S32</v>
      </c>
      <c r="BQ239" s="57" t="n">
        <f aca="false">IF(BP239="LOSE",1,IF(N(T239)&gt;0,T239,IF(N(P239)&gt;0,P239,MAX(1,G239))))</f>
        <v>311</v>
      </c>
      <c r="BR239" s="60" t="n">
        <f aca="false">IF(BP239="LOSE",1,0)</f>
        <v>0</v>
      </c>
      <c r="BS239" s="59" t="n">
        <f aca="false">IF(BR239=0,0,IF(N(R239)&gt;0,R239,IFERROR(VLOOKUP(D239,Parameter!$A$35:$C$64,3,0)+0,0)))</f>
        <v>0</v>
      </c>
      <c r="BT239" s="55" t="n">
        <f aca="false">IF(Y239&lt;&gt;"",Y239,X239)</f>
        <v>3</v>
      </c>
      <c r="BU239" s="55" t="str">
        <f aca="false">IF(BT239=1,"L1",IF(OR(BT239=2,BT239=3),"L23",IF(BT239="Aussen","Aussen","-")))</f>
        <v>L23</v>
      </c>
      <c r="BV239" s="66" t="n">
        <f aca="false">IF(N(Z239)&gt;0,Z239,0)</f>
        <v>0</v>
      </c>
      <c r="BW239" s="60" t="n">
        <f aca="false">IF(ISNUMBER(AC239),1,0)</f>
        <v>0</v>
      </c>
      <c r="BX239" s="57" t="n">
        <f aca="false">N(AC239)</f>
        <v>0</v>
      </c>
      <c r="BY239" s="57" t="n">
        <f aca="false">N(L239)+N(M239)</f>
        <v>122</v>
      </c>
      <c r="BZ239" s="57" t="n">
        <f aca="false">ROUNDUP(G239/BQ239,0)</f>
        <v>1</v>
      </c>
      <c r="CA239" s="57" t="n">
        <f aca="false">ROUNDUP(BX239/BQ239,0)</f>
        <v>0</v>
      </c>
      <c r="CB239" s="60" t="n">
        <f aca="false">IF(BR239=1,0,IFERROR(VLOOKUP(BP239,'Gebinde-Kategorie'!$A$5:$M$45,5,0)+0,0))</f>
        <v>8</v>
      </c>
      <c r="CC239" s="60" t="n">
        <f aca="false">IFERROR(IF(OR(BT239=1,BT239=2,BT239=3),N(INDEX(Parameter!$I$5:$I$7,BT239)),0),0)</f>
        <v>0</v>
      </c>
      <c r="CD239" s="59" t="n">
        <f aca="false">IF(AND(Parameter!$B$21="Ja",ISNUMBER(U239),N(V239)&gt;0),IFERROR(N(INDEX(Parameter!$L$5:$L$7,U239))*INDEX(Parameter!$E$5:$E$7,U239)*V239/SUMIFS($V$7:$V$1576,$U$7:$U$1576,U239),0),0)</f>
        <v>0</v>
      </c>
    </row>
    <row r="240" customFormat="false" ht="15" hidden="false" customHeight="false" outlineLevel="0" collapsed="false">
      <c r="A240" s="55" t="s">
        <v>656</v>
      </c>
      <c r="B240" s="55" t="s">
        <v>657</v>
      </c>
      <c r="C240" s="55" t="s">
        <v>160</v>
      </c>
      <c r="D240" s="55" t="s">
        <v>161</v>
      </c>
      <c r="E240" s="55" t="s">
        <v>210</v>
      </c>
      <c r="F240" s="56" t="n">
        <v>284.49</v>
      </c>
      <c r="G240" s="57" t="n">
        <f aca="false">MAX(0,IF(AND(Parameter!$B$21="Ja",ISNUMBER(W240)),W240,IF(Parameter!$B$20="Jahresanfang 2025 + Export",BJ240+BI240,BI240)))</f>
        <v>13</v>
      </c>
      <c r="H240" s="57" t="n">
        <f aca="false">G240*F240</f>
        <v>3698.37</v>
      </c>
      <c r="I240" s="57" t="n">
        <f aca="false">BL240*Parameter!$B$18</f>
        <v>14</v>
      </c>
      <c r="J240" s="58" t="n">
        <v>9</v>
      </c>
      <c r="K240" s="59" t="n">
        <v>1.55555555555556</v>
      </c>
      <c r="L240" s="57" t="n">
        <v>1</v>
      </c>
      <c r="M240" s="57" t="n">
        <v>10</v>
      </c>
      <c r="N240" s="60" t="n">
        <v>28</v>
      </c>
      <c r="O240" s="55" t="s">
        <v>163</v>
      </c>
      <c r="P240" s="57"/>
      <c r="Q240" s="60" t="n">
        <f aca="false">IF(BR240=1,0,IFERROR(VLOOKUP(BP240,'Gebinde-Kategorie'!$A$5:$M$45,13,0)+0,0))</f>
        <v>0</v>
      </c>
      <c r="R240" s="61"/>
      <c r="S240" s="62"/>
      <c r="T240" s="62"/>
      <c r="U240" s="55" t="n">
        <v>1</v>
      </c>
      <c r="V240" s="57" t="n">
        <v>22</v>
      </c>
      <c r="W240" s="57" t="n">
        <v>13</v>
      </c>
      <c r="X240" s="55" t="n">
        <f aca="false">IF(A240="","",IF(AND(Parameter!$B$21="Ja",ISNUMBER(U240)),U240,IF(IFERROR(VLOOKUP(D240,Parameter!$A$35:$C$64,2,0),"Nein")="2+3",IF(ISNUMBER(SEARCH("grosser Artikel",BM240)),2,IFERROR(VLOOKUP(BP240,Parameter!$F$35:$G$64,2,0),2)),IF(OR(IFERROR(VLOOKUP(D240,Parameter!$A$35:$C$64,2,0),"Nein")="Nein",IFERROR(VLOOKUP(D240,Parameter!$A$35:$C$64,2,0),"Nein")=""),"-",VLOOKUP(D240,Parameter!$A$35:$C$64,2,0)))))</f>
        <v>1</v>
      </c>
      <c r="Y240" s="62"/>
      <c r="Z240" s="63"/>
      <c r="AA240" s="57" t="n">
        <f aca="false">AP240</f>
        <v>11</v>
      </c>
      <c r="AB240" s="57" t="n">
        <f aca="false">MAX(AP240,G240)</f>
        <v>13</v>
      </c>
      <c r="AC240" s="64"/>
      <c r="AD240" s="57" t="n">
        <f aca="false">IF(LEFT(Cockpit!$C$5,1)="A",G240,IF(BW240=1,BX240,IF(LEFT(Cockpit!$C$5,1)="B",AH240,MAX(AH240,G240))))</f>
        <v>13</v>
      </c>
      <c r="AE240" s="57" t="n">
        <f aca="false">IF(BR240=1,0,ROUNDUP(AD240/BQ240,0))</f>
        <v>0</v>
      </c>
      <c r="AF240" s="59" t="n">
        <f aca="false">IF(CD240&gt;0,CD240*MAX(1,AD240/V240),IF(BR240=1,IF(AD240&lt;=0,0,BS240*MAX(1,IF(G240&gt;0,AD240/G240,1))),IF(Q240&gt;0,AE240/Q240,0))/MAX(0.1,N(Parameter!$M$21)))</f>
        <v>1.7608286252354</v>
      </c>
      <c r="AG240" s="57" t="n">
        <f aca="false">AD240*F240</f>
        <v>3698.37</v>
      </c>
      <c r="AH240" s="57" t="n">
        <f aca="false">ROUNDUP(MAX(I240/IF(BV240&gt;0,BV240,MAX(0.1,N(Cockpit!$C$6))),BY240)/BQ240,0)*BQ240</f>
        <v>11</v>
      </c>
      <c r="AI240" s="58" t="n">
        <f aca="false">IF(AF240&gt;0,I240/AF240,-1)</f>
        <v>7.95080213903743</v>
      </c>
      <c r="AJ240" s="58" t="n">
        <f aca="false">IF(AND(OR(BU240="L1",BU240="L23"),AF240&gt;0),SUMIFS($AF$7:$AF$1576,$BU$7:$BU$1576,BU240,$AI$7:$AI$1576,"&gt;"&amp;AI240)+SUMIFS($AF$7:$AF$1576,$BU$7:$BU$1576,BU240,$AI$7:$AI$1576,AI240,$BO$7:$BO$1576,"&lt;="&amp;BO240),"")</f>
        <v>24.9717514124294</v>
      </c>
      <c r="AK240" s="65" t="n">
        <f aca="false">IF(AJ240="",0,MAX(0,MIN(1,(IF(BU240="L1",Parameter!$E$5,Parameter!$E$6+Parameter!$E$7)-(AJ240-AF240))/AF240)))</f>
        <v>1</v>
      </c>
      <c r="AL240" s="57" t="n">
        <f aca="false">IF(LEFT(Cockpit!$I$5,1)="A",G240,IF(BW240=1,BX240,IF(LEFT(Cockpit!$I$5,1)="B",AP240,MAX(AP240,G240))))</f>
        <v>13</v>
      </c>
      <c r="AM240" s="57" t="n">
        <f aca="false">IF(BR240=1,0,ROUNDUP(AL240/BQ240,0))</f>
        <v>0</v>
      </c>
      <c r="AN240" s="59" t="n">
        <f aca="false">IF(CD240&gt;0,CD240*MAX(1,AL240/V240),IF(BR240=1,IF(AL240&lt;=0,0,BS240*MAX(1,IF(G240&gt;0,AL240/G240,1))),IF(Q240&gt;0,AM240/Q240,0))/MAX(0.1,N(Parameter!$M$21)))</f>
        <v>1.7608286252354</v>
      </c>
      <c r="AO240" s="57" t="n">
        <f aca="false">AL240*F240</f>
        <v>3698.37</v>
      </c>
      <c r="AP240" s="57" t="n">
        <f aca="false">ROUNDUP(MAX(I240/IF(BV240&gt;0,BV240,MAX(0.1,N(Cockpit!$I$6))),BY240)/BQ240,0)*BQ240</f>
        <v>11</v>
      </c>
      <c r="AQ240" s="58" t="n">
        <f aca="false">IF(AN240&gt;0,I240/AN240,-1)</f>
        <v>7.95080213903743</v>
      </c>
      <c r="AR240" s="58" t="n">
        <f aca="false">IF(AND(OR(BU240="L1",BU240="L23"),AN240&gt;0),SUMIFS($AN$7:$AN$1576,$BU$7:$BU$1576,BU240,$AQ$7:$AQ$1576,"&gt;"&amp;AQ240)+SUMIFS($AN$7:$AN$1576,$BU$7:$BU$1576,BU240,$AQ$7:$AQ$1576,AQ240,$BO$7:$BO$1576,"&lt;="&amp;BO240),"")</f>
        <v>30.4143126177025</v>
      </c>
      <c r="AS240" s="65" t="n">
        <f aca="false">IF(AR240="",0,MAX(0,MIN(1,(IF(BU240="L1",Parameter!$E$5,Parameter!$E$6+Parameter!$E$7)-(AR240-AN240))/AN240)))</f>
        <v>1</v>
      </c>
      <c r="AT240" s="57" t="n">
        <f aca="false">IF(LEFT(Cockpit!$O$5,1)="A",G240,IF(BW240=1,BX240,IF(LEFT(Cockpit!$O$5,1)="B",AX240,MAX(AX240,G240))))</f>
        <v>13</v>
      </c>
      <c r="AU240" s="57" t="n">
        <f aca="false">IF(BR240=1,0,ROUNDUP(AT240/BQ240,0))</f>
        <v>0</v>
      </c>
      <c r="AV240" s="59" t="n">
        <f aca="false">IF(CD240&gt;0,CD240*MAX(1,AT240/V240),IF(BR240=1,IF(AT240&lt;=0,0,BS240*MAX(1,IF(G240&gt;0,AT240/G240,1))),IF(Q240&gt;0,AU240/Q240,0))/MAX(0.1,N(Parameter!$M$21)))</f>
        <v>1.7608286252354</v>
      </c>
      <c r="AW240" s="57" t="n">
        <f aca="false">AT240*F240</f>
        <v>3698.37</v>
      </c>
      <c r="AX240" s="57" t="n">
        <f aca="false">ROUNDUP(MAX(I240/IF(BV240&gt;0,BV240,MAX(0.1,N(Cockpit!$O$6))),BY240)/BQ240,0)*BQ240</f>
        <v>11</v>
      </c>
      <c r="AY240" s="58" t="n">
        <f aca="false">IF(AV240&gt;0,I240/AV240,-1)</f>
        <v>7.95080213903743</v>
      </c>
      <c r="AZ240" s="58" t="n">
        <f aca="false">IF(AND(OR(BU240="L1",BU240="L23"),AV240&gt;0),SUMIFS($AV$7:$AV$1576,$BU$7:$BU$1576,BU240,$AY$7:$AY$1576,"&gt;"&amp;AY240)+SUMIFS($AV$7:$AV$1576,$BU$7:$BU$1576,BU240,$AY$7:$AY$1576,AY240,$BO$7:$BO$1576,"&lt;="&amp;BO240),"")</f>
        <v>27.4529190207156</v>
      </c>
      <c r="BA240" s="65" t="n">
        <f aca="false">IF(AZ240="",0,MAX(0,MIN(1,(IF(BU240="L1",Parameter!$E$5,Parameter!$E$6+Parameter!$E$7)-(AZ240-AV240))/AV240)))</f>
        <v>1</v>
      </c>
      <c r="BB240" s="55" t="str">
        <f aca="false">IF(AF240&lt;=0,"",IF(BU240="Aussen","Aussenlager",IF(BU240="-","Nicht im Lift",IF(AK240&gt;=1,"Lift",IF(AK240&lt;=0,"Aussenlager","teilweise")))))</f>
        <v>Lift</v>
      </c>
      <c r="BC240" s="55" t="str">
        <f aca="false">IF(AN240&lt;=0,"",IF(BU240="Aussen","Aussenlager",IF(BU240="-","Nicht im Lift",IF(AS240&gt;=1,"Lift",IF(AS240&lt;=0,"Aussenlager","teilweise")))))</f>
        <v>Lift</v>
      </c>
      <c r="BD240" s="55" t="str">
        <f aca="false">IF(AV240&lt;=0,"",IF(BU240="Aussen","Aussenlager",IF(BU240="-","Nicht im Lift",IF(BA240&gt;=1,"Lift",IF(BA240&lt;=0,"Aussenlager","teilweise")))))</f>
        <v>Lift</v>
      </c>
      <c r="BE240" s="55" t="str">
        <f aca="false">IF(A240="","",IF(BN240=1,"Neu; ","")&amp;IF(AND(BN240=0,BI240&lt;0),"negativer Bestand (Export "&amp;BI240&amp;"); ","")&amp;IF(I240&lt;=0,"Kein Verbrauch; ","")&amp;IF(CD240&gt;0,"Lift "&amp;U240&amp;" lt. Liftbericht (Fach "&amp;V240&amp;" Stk); ",IF(BR240=1,"Lose – Fläche geschätzt; ",""))&amp;IF(G240&gt;AP240,"Überbestand "&amp;ROUND(G240-AP240,0)&amp;" Stk / CHF "&amp;ROUND((G240-AP240)*F240,0)&amp;"; ","")&amp;IF(AND(BW240=1,BX240&lt;BY240),"MAX &lt; MB+LG; ","")&amp;IF(AND(CC240&gt;0,CB240*10&gt;CC240),"zu hoch für Tablar; ","")&amp;IF(AND(BN240=0,OR(BW240=1,Y240&lt;&gt;"",S240&lt;&gt;"",T240&lt;&gt;"",Z240&lt;&gt;"")),"manuell übersteuert; ","")&amp;IF(AND(BR240=0,Q240=0),"Gebinde unbekannt / Stellmass fehlt; ","")&amp;IF(AND(BR240=0,N(T240)&lt;=0,N(P240)&lt;=0),"Menge pro Gebinde fehlt (Ist = 1 Gebinde); ","")&amp;BM240)</f>
        <v>Lift 1 lt. Liftbericht (Fach 22 Stk); Überbestand 2 Stk / CHF 569; </v>
      </c>
      <c r="BF240" s="55"/>
      <c r="BG240" s="55"/>
      <c r="BH240" s="62"/>
      <c r="BI240" s="57" t="n">
        <v>2</v>
      </c>
      <c r="BJ240" s="57" t="n">
        <v>11</v>
      </c>
      <c r="BK240" s="56" t="n">
        <v>558.200000000001</v>
      </c>
      <c r="BL240" s="57" t="n">
        <v>14</v>
      </c>
      <c r="BM240" s="55"/>
      <c r="BN240" s="60" t="n">
        <v>0</v>
      </c>
      <c r="BO240" s="60" t="n">
        <v>240</v>
      </c>
      <c r="BP240" s="55" t="str">
        <f aca="false">IF(S240&lt;&gt;"",UPPER(TRIM(S240)),IF(O240="","LOSE",O240))</f>
        <v>LOSE</v>
      </c>
      <c r="BQ240" s="57" t="n">
        <f aca="false">IF(BP240="LOSE",1,IF(N(T240)&gt;0,T240,IF(N(P240)&gt;0,P240,MAX(1,G240))))</f>
        <v>1</v>
      </c>
      <c r="BR240" s="60" t="n">
        <f aca="false">IF(BP240="LOSE",1,0)</f>
        <v>1</v>
      </c>
      <c r="BS240" s="59" t="n">
        <f aca="false">IF(BR240=0,0,IF(N(R240)&gt;0,R240,IFERROR(VLOOKUP(D240,Parameter!$A$35:$C$64,3,0)+0,0)))</f>
        <v>1</v>
      </c>
      <c r="BT240" s="55" t="n">
        <f aca="false">IF(Y240&lt;&gt;"",Y240,X240)</f>
        <v>1</v>
      </c>
      <c r="BU240" s="55" t="str">
        <f aca="false">IF(BT240=1,"L1",IF(OR(BT240=2,BT240=3),"L23",IF(BT240="Aussen","Aussen","-")))</f>
        <v>L1</v>
      </c>
      <c r="BV240" s="66" t="n">
        <f aca="false">IF(N(Z240)&gt;0,Z240,0)</f>
        <v>0</v>
      </c>
      <c r="BW240" s="60" t="n">
        <f aca="false">IF(ISNUMBER(AC240),1,0)</f>
        <v>0</v>
      </c>
      <c r="BX240" s="57" t="n">
        <f aca="false">N(AC240)</f>
        <v>0</v>
      </c>
      <c r="BY240" s="57" t="n">
        <f aca="false">N(L240)+N(M240)</f>
        <v>11</v>
      </c>
      <c r="BZ240" s="57" t="n">
        <f aca="false">ROUNDUP(G240/BQ240,0)</f>
        <v>13</v>
      </c>
      <c r="CA240" s="57" t="n">
        <f aca="false">ROUNDUP(BX240/BQ240,0)</f>
        <v>0</v>
      </c>
      <c r="CB240" s="60" t="n">
        <f aca="false">IF(BR240=1,0,IFERROR(VLOOKUP(BP240,'Gebinde-Kategorie'!$A$5:$M$45,5,0)+0,0))</f>
        <v>0</v>
      </c>
      <c r="CC240" s="60" t="n">
        <f aca="false">IFERROR(IF(OR(BT240=1,BT240=2,BT240=3),N(INDEX(Parameter!$I$5:$I$7,BT240)),0),0)</f>
        <v>0</v>
      </c>
      <c r="CD240" s="59" t="n">
        <f aca="false">IF(AND(Parameter!$B$21="Ja",ISNUMBER(U240),N(V240)&gt;0),IFERROR(N(INDEX(Parameter!$L$5:$L$7,U240))*INDEX(Parameter!$E$5:$E$7,U240)*V240/SUMIFS($V$7:$V$1576,$U$7:$U$1576,U240),0),0)</f>
        <v>1.7608286252354</v>
      </c>
    </row>
    <row r="241" customFormat="false" ht="15" hidden="false" customHeight="false" outlineLevel="0" collapsed="false">
      <c r="A241" s="55" t="s">
        <v>658</v>
      </c>
      <c r="B241" s="55" t="s">
        <v>659</v>
      </c>
      <c r="C241" s="55" t="s">
        <v>160</v>
      </c>
      <c r="D241" s="55" t="s">
        <v>168</v>
      </c>
      <c r="E241" s="55" t="s">
        <v>210</v>
      </c>
      <c r="F241" s="56" t="n">
        <v>35.2</v>
      </c>
      <c r="G241" s="57" t="n">
        <f aca="false">MAX(0,IF(AND(Parameter!$B$21="Ja",ISNUMBER(W241)),W241,IF(Parameter!$B$20="Jahresanfang 2025 + Export",BJ241+BI241,BI241)))</f>
        <v>17</v>
      </c>
      <c r="H241" s="57" t="n">
        <f aca="false">G241*F241</f>
        <v>598.4</v>
      </c>
      <c r="I241" s="57" t="n">
        <f aca="false">BL241*Parameter!$B$18</f>
        <v>52</v>
      </c>
      <c r="J241" s="58" t="n">
        <v>34</v>
      </c>
      <c r="K241" s="59" t="n">
        <v>1.52941176470588</v>
      </c>
      <c r="L241" s="57" t="n">
        <v>5</v>
      </c>
      <c r="M241" s="57" t="n">
        <v>50</v>
      </c>
      <c r="N241" s="60" t="n">
        <v>35</v>
      </c>
      <c r="O241" s="55" t="s">
        <v>169</v>
      </c>
      <c r="P241" s="57" t="n">
        <v>35</v>
      </c>
      <c r="Q241" s="60" t="n">
        <f aca="false">IF(BR241=1,0,IFERROR(VLOOKUP(BP241,'Gebinde-Kategorie'!$A$5:$M$45,13,0)+0,0))</f>
        <v>6</v>
      </c>
      <c r="R241" s="61"/>
      <c r="S241" s="62"/>
      <c r="T241" s="62"/>
      <c r="U241" s="55"/>
      <c r="V241" s="57"/>
      <c r="W241" s="57"/>
      <c r="X241" s="55" t="n">
        <f aca="false">IF(A241="","",IF(AND(Parameter!$B$21="Ja",ISNUMBER(U241)),U241,IF(IFERROR(VLOOKUP(D241,Parameter!$A$35:$C$64,2,0),"Nein")="2+3",IF(ISNUMBER(SEARCH("grosser Artikel",BM241)),2,IFERROR(VLOOKUP(BP241,Parameter!$F$35:$G$64,2,0),2)),IF(OR(IFERROR(VLOOKUP(D241,Parameter!$A$35:$C$64,2,0),"Nein")="Nein",IFERROR(VLOOKUP(D241,Parameter!$A$35:$C$64,2,0),"Nein")=""),"-",VLOOKUP(D241,Parameter!$A$35:$C$64,2,0)))))</f>
        <v>2</v>
      </c>
      <c r="Y241" s="62"/>
      <c r="Z241" s="63"/>
      <c r="AA241" s="57" t="n">
        <f aca="false">AP241</f>
        <v>70</v>
      </c>
      <c r="AB241" s="57" t="n">
        <f aca="false">MAX(AP241,G241)</f>
        <v>70</v>
      </c>
      <c r="AC241" s="64"/>
      <c r="AD241" s="57" t="n">
        <f aca="false">IF(LEFT(Cockpit!$C$5,1)="A",G241,IF(BW241=1,BX241,IF(LEFT(Cockpit!$C$5,1)="B",AH241,MAX(AH241,G241))))</f>
        <v>17</v>
      </c>
      <c r="AE241" s="57" t="n">
        <f aca="false">IF(BR241=1,0,ROUNDUP(AD241/BQ241,0))</f>
        <v>1</v>
      </c>
      <c r="AF241" s="59" t="n">
        <f aca="false">IF(CD241&gt;0,CD241*MAX(1,AD241/V241),IF(BR241=1,IF(AD241&lt;=0,0,BS241*MAX(1,IF(G241&gt;0,AD241/G241,1))),IF(Q241&gt;0,AE241/Q241,0))/MAX(0.1,N(Parameter!$M$21)))</f>
        <v>0.166666666666667</v>
      </c>
      <c r="AG241" s="57" t="n">
        <f aca="false">AD241*F241</f>
        <v>598.4</v>
      </c>
      <c r="AH241" s="57" t="n">
        <f aca="false">ROUNDUP(MAX(I241/IF(BV241&gt;0,BV241,MAX(0.1,N(Cockpit!$C$6))),BY241)/BQ241,0)*BQ241</f>
        <v>70</v>
      </c>
      <c r="AI241" s="58" t="n">
        <f aca="false">IF(AF241&gt;0,I241/AF241,-1)</f>
        <v>312</v>
      </c>
      <c r="AJ241" s="58" t="n">
        <f aca="false">IF(AND(OR(BU241="L1",BU241="L23"),AF241&gt;0),SUMIFS($AF$7:$AF$1576,$BU$7:$BU$1576,BU241,$AI$7:$AI$1576,"&gt;"&amp;AI241)+SUMIFS($AF$7:$AF$1576,$BU$7:$BU$1576,BU241,$AI$7:$AI$1576,AI241,$BO$7:$BO$1576,"&lt;="&amp;BO241),"")</f>
        <v>14.6310513158339</v>
      </c>
      <c r="AK241" s="65" t="n">
        <f aca="false">IF(AJ241="",0,MAX(0,MIN(1,(IF(BU241="L1",Parameter!$E$5,Parameter!$E$6+Parameter!$E$7)-(AJ241-AF241))/AF241)))</f>
        <v>1</v>
      </c>
      <c r="AL241" s="57" t="n">
        <f aca="false">IF(LEFT(Cockpit!$I$5,1)="A",G241,IF(BW241=1,BX241,IF(LEFT(Cockpit!$I$5,1)="B",AP241,MAX(AP241,G241))))</f>
        <v>70</v>
      </c>
      <c r="AM241" s="57" t="n">
        <f aca="false">IF(BR241=1,0,ROUNDUP(AL241/BQ241,0))</f>
        <v>2</v>
      </c>
      <c r="AN241" s="59" t="n">
        <f aca="false">IF(CD241&gt;0,CD241*MAX(1,AL241/V241),IF(BR241=1,IF(AL241&lt;=0,0,BS241*MAX(1,IF(G241&gt;0,AL241/G241,1))),IF(Q241&gt;0,AM241/Q241,0))/MAX(0.1,N(Parameter!$M$21)))</f>
        <v>0.333333333333333</v>
      </c>
      <c r="AO241" s="57" t="n">
        <f aca="false">AL241*F241</f>
        <v>2464</v>
      </c>
      <c r="AP241" s="57" t="n">
        <f aca="false">ROUNDUP(MAX(I241/IF(BV241&gt;0,BV241,MAX(0.1,N(Cockpit!$I$6))),BY241)/BQ241,0)*BQ241</f>
        <v>70</v>
      </c>
      <c r="AQ241" s="58" t="n">
        <f aca="false">IF(AN241&gt;0,I241/AN241,-1)</f>
        <v>156</v>
      </c>
      <c r="AR241" s="58" t="n">
        <f aca="false">IF(AND(OR(BU241="L1",BU241="L23"),AN241&gt;0),SUMIFS($AN$7:$AN$1576,$BU$7:$BU$1576,BU241,$AQ$7:$AQ$1576,"&gt;"&amp;AQ241)+SUMIFS($AN$7:$AN$1576,$BU$7:$BU$1576,BU241,$AQ$7:$AQ$1576,AQ241,$BO$7:$BO$1576,"&lt;="&amp;BO241),"")</f>
        <v>54.0333893284005</v>
      </c>
      <c r="AS241" s="65" t="n">
        <f aca="false">IF(AR241="",0,MAX(0,MIN(1,(IF(BU241="L1",Parameter!$E$5,Parameter!$E$6+Parameter!$E$7)-(AR241-AN241))/AN241)))</f>
        <v>1</v>
      </c>
      <c r="AT241" s="57" t="n">
        <f aca="false">IF(LEFT(Cockpit!$O$5,1)="A",G241,IF(BW241=1,BX241,IF(LEFT(Cockpit!$O$5,1)="B",AX241,MAX(AX241,G241))))</f>
        <v>70</v>
      </c>
      <c r="AU241" s="57" t="n">
        <f aca="false">IF(BR241=1,0,ROUNDUP(AT241/BQ241,0))</f>
        <v>2</v>
      </c>
      <c r="AV241" s="59" t="n">
        <f aca="false">IF(CD241&gt;0,CD241*MAX(1,AT241/V241),IF(BR241=1,IF(AT241&lt;=0,0,BS241*MAX(1,IF(G241&gt;0,AT241/G241,1))),IF(Q241&gt;0,AU241/Q241,0))/MAX(0.1,N(Parameter!$M$21)))</f>
        <v>0.333333333333333</v>
      </c>
      <c r="AW241" s="57" t="n">
        <f aca="false">AT241*F241</f>
        <v>2464</v>
      </c>
      <c r="AX241" s="57" t="n">
        <f aca="false">ROUNDUP(MAX(I241/IF(BV241&gt;0,BV241,MAX(0.1,N(Cockpit!$O$6))),BY241)/BQ241,0)*BQ241</f>
        <v>70</v>
      </c>
      <c r="AY241" s="58" t="n">
        <f aca="false">IF(AV241&gt;0,I241/AV241,-1)</f>
        <v>156</v>
      </c>
      <c r="AZ241" s="58" t="n">
        <f aca="false">IF(AND(OR(BU241="L1",BU241="L23"),AV241&gt;0),SUMIFS($AV$7:$AV$1576,$BU$7:$BU$1576,BU241,$AY$7:$AY$1576,"&gt;"&amp;AY241)+SUMIFS($AV$7:$AV$1576,$BU$7:$BU$1576,BU241,$AY$7:$AY$1576,AY241,$BO$7:$BO$1576,"&lt;="&amp;BO241),"")</f>
        <v>50.3716140203752</v>
      </c>
      <c r="BA241" s="65" t="n">
        <f aca="false">IF(AZ241="",0,MAX(0,MIN(1,(IF(BU241="L1",Parameter!$E$5,Parameter!$E$6+Parameter!$E$7)-(AZ241-AV241))/AV241)))</f>
        <v>1</v>
      </c>
      <c r="BB241" s="55" t="str">
        <f aca="false">IF(AF241&lt;=0,"",IF(BU241="Aussen","Aussenlager",IF(BU241="-","Nicht im Lift",IF(AK241&gt;=1,"Lift",IF(AK241&lt;=0,"Aussenlager","teilweise")))))</f>
        <v>Lift</v>
      </c>
      <c r="BC241" s="55" t="str">
        <f aca="false">IF(AN241&lt;=0,"",IF(BU241="Aussen","Aussenlager",IF(BU241="-","Nicht im Lift",IF(AS241&gt;=1,"Lift",IF(AS241&lt;=0,"Aussenlager","teilweise")))))</f>
        <v>Lift</v>
      </c>
      <c r="BD241" s="55" t="str">
        <f aca="false">IF(AV241&lt;=0,"",IF(BU241="Aussen","Aussenlager",IF(BU241="-","Nicht im Lift",IF(BA241&gt;=1,"Lift",IF(BA241&lt;=0,"Aussenlager","teilweise")))))</f>
        <v>Lift</v>
      </c>
      <c r="BE241" s="55" t="str">
        <f aca="false">IF(A241="","",IF(BN241=1,"Neu; ","")&amp;IF(AND(BN241=0,BI241&lt;0),"negativer Bestand (Export "&amp;BI241&amp;"); ","")&amp;IF(I241&lt;=0,"Kein Verbrauch; ","")&amp;IF(CD241&gt;0,"Lift "&amp;U241&amp;" lt. Liftbericht (Fach "&amp;V241&amp;" Stk); ",IF(BR241=1,"Lose – Fläche geschätzt; ",""))&amp;IF(G241&gt;AP241,"Überbestand "&amp;ROUND(G241-AP241,0)&amp;" Stk / CHF "&amp;ROUND((G241-AP241)*F241,0)&amp;"; ","")&amp;IF(AND(BW241=1,BX241&lt;BY241),"MAX &lt; MB+LG; ","")&amp;IF(AND(CC241&gt;0,CB241*10&gt;CC241),"zu hoch für Tablar; ","")&amp;IF(AND(BN241=0,OR(BW241=1,Y241&lt;&gt;"",S241&lt;&gt;"",T241&lt;&gt;"",Z241&lt;&gt;"")),"manuell übersteuert; ","")&amp;IF(AND(BR241=0,Q241=0),"Gebinde unbekannt / Stellmass fehlt; ","")&amp;IF(AND(BR241=0,N(T241)&lt;=0,N(P241)&lt;=0),"Menge pro Gebinde fehlt (Ist = 1 Gebinde); ","")&amp;BM241)</f>
        <v/>
      </c>
      <c r="BF241" s="55"/>
      <c r="BG241" s="55"/>
      <c r="BH241" s="62"/>
      <c r="BI241" s="57" t="n">
        <v>17</v>
      </c>
      <c r="BJ241" s="57" t="n">
        <v>9</v>
      </c>
      <c r="BK241" s="56" t="n">
        <v>553.130000000005</v>
      </c>
      <c r="BL241" s="57" t="n">
        <v>52</v>
      </c>
      <c r="BM241" s="55"/>
      <c r="BN241" s="60" t="n">
        <v>0</v>
      </c>
      <c r="BO241" s="60" t="n">
        <v>241</v>
      </c>
      <c r="BP241" s="55" t="str">
        <f aca="false">IF(S241&lt;&gt;"",UPPER(TRIM(S241)),IF(O241="","LOSE",O241))</f>
        <v>S71</v>
      </c>
      <c r="BQ241" s="57" t="n">
        <f aca="false">IF(BP241="LOSE",1,IF(N(T241)&gt;0,T241,IF(N(P241)&gt;0,P241,MAX(1,G241))))</f>
        <v>35</v>
      </c>
      <c r="BR241" s="60" t="n">
        <f aca="false">IF(BP241="LOSE",1,0)</f>
        <v>0</v>
      </c>
      <c r="BS241" s="59" t="n">
        <f aca="false">IF(BR241=0,0,IF(N(R241)&gt;0,R241,IFERROR(VLOOKUP(D241,Parameter!$A$35:$C$64,3,0)+0,0)))</f>
        <v>0</v>
      </c>
      <c r="BT241" s="55" t="n">
        <f aca="false">IF(Y241&lt;&gt;"",Y241,X241)</f>
        <v>2</v>
      </c>
      <c r="BU241" s="55" t="str">
        <f aca="false">IF(BT241=1,"L1",IF(OR(BT241=2,BT241=3),"L23",IF(BT241="Aussen","Aussen","-")))</f>
        <v>L23</v>
      </c>
      <c r="BV241" s="66" t="n">
        <f aca="false">IF(N(Z241)&gt;0,Z241,0)</f>
        <v>0</v>
      </c>
      <c r="BW241" s="60" t="n">
        <f aca="false">IF(ISNUMBER(AC241),1,0)</f>
        <v>0</v>
      </c>
      <c r="BX241" s="57" t="n">
        <f aca="false">N(AC241)</f>
        <v>0</v>
      </c>
      <c r="BY241" s="57" t="n">
        <f aca="false">N(L241)+N(M241)</f>
        <v>55</v>
      </c>
      <c r="BZ241" s="57" t="n">
        <f aca="false">ROUNDUP(G241/BQ241,0)</f>
        <v>1</v>
      </c>
      <c r="CA241" s="57" t="n">
        <f aca="false">ROUNDUP(BX241/BQ241,0)</f>
        <v>0</v>
      </c>
      <c r="CB241" s="60" t="n">
        <f aca="false">IF(BR241=1,0,IFERROR(VLOOKUP(BP241,'Gebinde-Kategorie'!$A$5:$M$45,5,0)+0,0))</f>
        <v>20</v>
      </c>
      <c r="CC241" s="60" t="n">
        <f aca="false">IFERROR(IF(OR(BT241=1,BT241=2,BT241=3),N(INDEX(Parameter!$I$5:$I$7,BT241)),0),0)</f>
        <v>0</v>
      </c>
      <c r="CD241" s="59" t="n">
        <f aca="false">IF(AND(Parameter!$B$21="Ja",ISNUMBER(U241),N(V241)&gt;0),IFERROR(N(INDEX(Parameter!$L$5:$L$7,U241))*INDEX(Parameter!$E$5:$E$7,U241)*V241/SUMIFS($V$7:$V$1576,$U$7:$U$1576,U241),0),0)</f>
        <v>0</v>
      </c>
    </row>
    <row r="242" customFormat="false" ht="15" hidden="false" customHeight="false" outlineLevel="0" collapsed="false">
      <c r="A242" s="55" t="s">
        <v>660</v>
      </c>
      <c r="B242" s="55" t="s">
        <v>384</v>
      </c>
      <c r="C242" s="55" t="s">
        <v>160</v>
      </c>
      <c r="D242" s="55" t="s">
        <v>168</v>
      </c>
      <c r="E242" s="55" t="s">
        <v>210</v>
      </c>
      <c r="F242" s="56" t="n">
        <v>423.49</v>
      </c>
      <c r="G242" s="57" t="n">
        <f aca="false">MAX(0,IF(AND(Parameter!$B$21="Ja",ISNUMBER(W242)),W242,IF(Parameter!$B$20="Jahresanfang 2025 + Export",BJ242+BI242,BI242)))</f>
        <v>1</v>
      </c>
      <c r="H242" s="57" t="n">
        <f aca="false">G242*F242</f>
        <v>423.49</v>
      </c>
      <c r="I242" s="57" t="n">
        <f aca="false">BL242*Parameter!$B$18</f>
        <v>26</v>
      </c>
      <c r="J242" s="58" t="n">
        <v>11</v>
      </c>
      <c r="K242" s="59" t="n">
        <v>2.36363636363636</v>
      </c>
      <c r="L242" s="57" t="n">
        <v>1</v>
      </c>
      <c r="M242" s="57" t="n">
        <v>10</v>
      </c>
      <c r="N242" s="60" t="n">
        <v>21</v>
      </c>
      <c r="O242" s="55" t="s">
        <v>169</v>
      </c>
      <c r="P242" s="57" t="n">
        <v>13</v>
      </c>
      <c r="Q242" s="60" t="n">
        <f aca="false">IF(BR242=1,0,IFERROR(VLOOKUP(BP242,'Gebinde-Kategorie'!$A$5:$M$45,13,0)+0,0))</f>
        <v>6</v>
      </c>
      <c r="R242" s="61"/>
      <c r="S242" s="62"/>
      <c r="T242" s="62"/>
      <c r="U242" s="55"/>
      <c r="V242" s="57"/>
      <c r="W242" s="57"/>
      <c r="X242" s="55" t="n">
        <f aca="false">IF(A242="","",IF(AND(Parameter!$B$21="Ja",ISNUMBER(U242)),U242,IF(IFERROR(VLOOKUP(D242,Parameter!$A$35:$C$64,2,0),"Nein")="2+3",IF(ISNUMBER(SEARCH("grosser Artikel",BM242)),2,IFERROR(VLOOKUP(BP242,Parameter!$F$35:$G$64,2,0),2)),IF(OR(IFERROR(VLOOKUP(D242,Parameter!$A$35:$C$64,2,0),"Nein")="Nein",IFERROR(VLOOKUP(D242,Parameter!$A$35:$C$64,2,0),"Nein")=""),"-",VLOOKUP(D242,Parameter!$A$35:$C$64,2,0)))))</f>
        <v>2</v>
      </c>
      <c r="Y242" s="62"/>
      <c r="Z242" s="63"/>
      <c r="AA242" s="57" t="n">
        <f aca="false">AP242</f>
        <v>13</v>
      </c>
      <c r="AB242" s="57" t="n">
        <f aca="false">MAX(AP242,G242)</f>
        <v>13</v>
      </c>
      <c r="AC242" s="64"/>
      <c r="AD242" s="57" t="n">
        <f aca="false">IF(LEFT(Cockpit!$C$5,1)="A",G242,IF(BW242=1,BX242,IF(LEFT(Cockpit!$C$5,1)="B",AH242,MAX(AH242,G242))))</f>
        <v>1</v>
      </c>
      <c r="AE242" s="57" t="n">
        <f aca="false">IF(BR242=1,0,ROUNDUP(AD242/BQ242,0))</f>
        <v>1</v>
      </c>
      <c r="AF242" s="59" t="n">
        <f aca="false">IF(CD242&gt;0,CD242*MAX(1,AD242/V242),IF(BR242=1,IF(AD242&lt;=0,0,BS242*MAX(1,IF(G242&gt;0,AD242/G242,1))),IF(Q242&gt;0,AE242/Q242,0))/MAX(0.1,N(Parameter!$M$21)))</f>
        <v>0.166666666666667</v>
      </c>
      <c r="AG242" s="57" t="n">
        <f aca="false">AD242*F242</f>
        <v>423.49</v>
      </c>
      <c r="AH242" s="57" t="n">
        <f aca="false">ROUNDUP(MAX(I242/IF(BV242&gt;0,BV242,MAX(0.1,N(Cockpit!$C$6))),BY242)/BQ242,0)*BQ242</f>
        <v>13</v>
      </c>
      <c r="AI242" s="58" t="n">
        <f aca="false">IF(AF242&gt;0,I242/AF242,-1)</f>
        <v>156</v>
      </c>
      <c r="AJ242" s="58" t="n">
        <f aca="false">IF(AND(OR(BU242="L1",BU242="L23"),AF242&gt;0),SUMIFS($AF$7:$AF$1576,$BU$7:$BU$1576,BU242,$AI$7:$AI$1576,"&gt;"&amp;AI242)+SUMIFS($AF$7:$AF$1576,$BU$7:$BU$1576,BU242,$AI$7:$AI$1576,AI242,$BO$7:$BO$1576,"&lt;="&amp;BO242),"")</f>
        <v>18.6826826796392</v>
      </c>
      <c r="AK242" s="65" t="n">
        <f aca="false">IF(AJ242="",0,MAX(0,MIN(1,(IF(BU242="L1",Parameter!$E$5,Parameter!$E$6+Parameter!$E$7)-(AJ242-AF242))/AF242)))</f>
        <v>1</v>
      </c>
      <c r="AL242" s="57" t="n">
        <f aca="false">IF(LEFT(Cockpit!$I$5,1)="A",G242,IF(BW242=1,BX242,IF(LEFT(Cockpit!$I$5,1)="B",AP242,MAX(AP242,G242))))</f>
        <v>13</v>
      </c>
      <c r="AM242" s="57" t="n">
        <f aca="false">IF(BR242=1,0,ROUNDUP(AL242/BQ242,0))</f>
        <v>1</v>
      </c>
      <c r="AN242" s="59" t="n">
        <f aca="false">IF(CD242&gt;0,CD242*MAX(1,AL242/V242),IF(BR242=1,IF(AL242&lt;=0,0,BS242*MAX(1,IF(G242&gt;0,AL242/G242,1))),IF(Q242&gt;0,AM242/Q242,0))/MAX(0.1,N(Parameter!$M$21)))</f>
        <v>0.166666666666667</v>
      </c>
      <c r="AO242" s="57" t="n">
        <f aca="false">AL242*F242</f>
        <v>5505.37</v>
      </c>
      <c r="AP242" s="57" t="n">
        <f aca="false">ROUNDUP(MAX(I242/IF(BV242&gt;0,BV242,MAX(0.1,N(Cockpit!$I$6))),BY242)/BQ242,0)*BQ242</f>
        <v>13</v>
      </c>
      <c r="AQ242" s="58" t="n">
        <f aca="false">IF(AN242&gt;0,I242/AN242,-1)</f>
        <v>156</v>
      </c>
      <c r="AR242" s="58" t="n">
        <f aca="false">IF(AND(OR(BU242="L1",BU242="L23"),AN242&gt;0),SUMIFS($AN$7:$AN$1576,$BU$7:$BU$1576,BU242,$AQ$7:$AQ$1576,"&gt;"&amp;AQ242)+SUMIFS($AN$7:$AN$1576,$BU$7:$BU$1576,BU242,$AQ$7:$AQ$1576,AQ242,$BO$7:$BO$1576,"&lt;="&amp;BO242),"")</f>
        <v>54.2000559950672</v>
      </c>
      <c r="AS242" s="65" t="n">
        <f aca="false">IF(AR242="",0,MAX(0,MIN(1,(IF(BU242="L1",Parameter!$E$5,Parameter!$E$6+Parameter!$E$7)-(AR242-AN242))/AN242)))</f>
        <v>1</v>
      </c>
      <c r="AT242" s="57" t="n">
        <f aca="false">IF(LEFT(Cockpit!$O$5,1)="A",G242,IF(BW242=1,BX242,IF(LEFT(Cockpit!$O$5,1)="B",AX242,MAX(AX242,G242))))</f>
        <v>13</v>
      </c>
      <c r="AU242" s="57" t="n">
        <f aca="false">IF(BR242=1,0,ROUNDUP(AT242/BQ242,0))</f>
        <v>1</v>
      </c>
      <c r="AV242" s="59" t="n">
        <f aca="false">IF(CD242&gt;0,CD242*MAX(1,AT242/V242),IF(BR242=1,IF(AT242&lt;=0,0,BS242*MAX(1,IF(G242&gt;0,AT242/G242,1))),IF(Q242&gt;0,AU242/Q242,0))/MAX(0.1,N(Parameter!$M$21)))</f>
        <v>0.166666666666667</v>
      </c>
      <c r="AW242" s="57" t="n">
        <f aca="false">AT242*F242</f>
        <v>5505.37</v>
      </c>
      <c r="AX242" s="57" t="n">
        <f aca="false">ROUNDUP(MAX(I242/IF(BV242&gt;0,BV242,MAX(0.1,N(Cockpit!$O$6))),BY242)/BQ242,0)*BQ242</f>
        <v>13</v>
      </c>
      <c r="AY242" s="58" t="n">
        <f aca="false">IF(AV242&gt;0,I242/AV242,-1)</f>
        <v>156</v>
      </c>
      <c r="AZ242" s="58" t="n">
        <f aca="false">IF(AND(OR(BU242="L1",BU242="L23"),AV242&gt;0),SUMIFS($AV$7:$AV$1576,$BU$7:$BU$1576,BU242,$AY$7:$AY$1576,"&gt;"&amp;AY242)+SUMIFS($AV$7:$AV$1576,$BU$7:$BU$1576,BU242,$AY$7:$AY$1576,AY242,$BO$7:$BO$1576,"&lt;="&amp;BO242),"")</f>
        <v>50.5382806870419</v>
      </c>
      <c r="BA242" s="65" t="n">
        <f aca="false">IF(AZ242="",0,MAX(0,MIN(1,(IF(BU242="L1",Parameter!$E$5,Parameter!$E$6+Parameter!$E$7)-(AZ242-AV242))/AV242)))</f>
        <v>1</v>
      </c>
      <c r="BB242" s="55" t="str">
        <f aca="false">IF(AF242&lt;=0,"",IF(BU242="Aussen","Aussenlager",IF(BU242="-","Nicht im Lift",IF(AK242&gt;=1,"Lift",IF(AK242&lt;=0,"Aussenlager","teilweise")))))</f>
        <v>Lift</v>
      </c>
      <c r="BC242" s="55" t="str">
        <f aca="false">IF(AN242&lt;=0,"",IF(BU242="Aussen","Aussenlager",IF(BU242="-","Nicht im Lift",IF(AS242&gt;=1,"Lift",IF(AS242&lt;=0,"Aussenlager","teilweise")))))</f>
        <v>Lift</v>
      </c>
      <c r="BD242" s="55" t="str">
        <f aca="false">IF(AV242&lt;=0,"",IF(BU242="Aussen","Aussenlager",IF(BU242="-","Nicht im Lift",IF(BA242&gt;=1,"Lift",IF(BA242&lt;=0,"Aussenlager","teilweise")))))</f>
        <v>Lift</v>
      </c>
      <c r="BE242" s="55" t="str">
        <f aca="false">IF(A242="","",IF(BN242=1,"Neu; ","")&amp;IF(AND(BN242=0,BI242&lt;0),"negativer Bestand (Export "&amp;BI242&amp;"); ","")&amp;IF(I242&lt;=0,"Kein Verbrauch; ","")&amp;IF(CD242&gt;0,"Lift "&amp;U242&amp;" lt. Liftbericht (Fach "&amp;V242&amp;" Stk); ",IF(BR242=1,"Lose – Fläche geschätzt; ",""))&amp;IF(G242&gt;AP242,"Überbestand "&amp;ROUND(G242-AP242,0)&amp;" Stk / CHF "&amp;ROUND((G242-AP242)*F242,0)&amp;"; ","")&amp;IF(AND(BW242=1,BX242&lt;BY242),"MAX &lt; MB+LG; ","")&amp;IF(AND(CC242&gt;0,CB242*10&gt;CC242),"zu hoch für Tablar; ","")&amp;IF(AND(BN242=0,OR(BW242=1,Y242&lt;&gt;"",S242&lt;&gt;"",T242&lt;&gt;"",Z242&lt;&gt;"")),"manuell übersteuert; ","")&amp;IF(AND(BR242=0,Q242=0),"Gebinde unbekannt / Stellmass fehlt; ","")&amp;IF(AND(BR242=0,N(T242)&lt;=0,N(P242)&lt;=0),"Menge pro Gebinde fehlt (Ist = 1 Gebinde); ","")&amp;BM242)</f>
        <v>grosser Artikel &amp; nicht im KTL</v>
      </c>
      <c r="BF242" s="55"/>
      <c r="BG242" s="55"/>
      <c r="BH242" s="62"/>
      <c r="BI242" s="57" t="n">
        <v>1</v>
      </c>
      <c r="BJ242" s="57" t="n">
        <v>10</v>
      </c>
      <c r="BK242" s="56" t="n">
        <v>545.890000000001</v>
      </c>
      <c r="BL242" s="57" t="n">
        <v>26</v>
      </c>
      <c r="BM242" s="55" t="s">
        <v>253</v>
      </c>
      <c r="BN242" s="60" t="n">
        <v>0</v>
      </c>
      <c r="BO242" s="60" t="n">
        <v>242</v>
      </c>
      <c r="BP242" s="55" t="str">
        <f aca="false">IF(S242&lt;&gt;"",UPPER(TRIM(S242)),IF(O242="","LOSE",O242))</f>
        <v>S71</v>
      </c>
      <c r="BQ242" s="57" t="n">
        <f aca="false">IF(BP242="LOSE",1,IF(N(T242)&gt;0,T242,IF(N(P242)&gt;0,P242,MAX(1,G242))))</f>
        <v>13</v>
      </c>
      <c r="BR242" s="60" t="n">
        <f aca="false">IF(BP242="LOSE",1,0)</f>
        <v>0</v>
      </c>
      <c r="BS242" s="59" t="n">
        <f aca="false">IF(BR242=0,0,IF(N(R242)&gt;0,R242,IFERROR(VLOOKUP(D242,Parameter!$A$35:$C$64,3,0)+0,0)))</f>
        <v>0</v>
      </c>
      <c r="BT242" s="55" t="n">
        <f aca="false">IF(Y242&lt;&gt;"",Y242,X242)</f>
        <v>2</v>
      </c>
      <c r="BU242" s="55" t="str">
        <f aca="false">IF(BT242=1,"L1",IF(OR(BT242=2,BT242=3),"L23",IF(BT242="Aussen","Aussen","-")))</f>
        <v>L23</v>
      </c>
      <c r="BV242" s="66" t="n">
        <f aca="false">IF(N(Z242)&gt;0,Z242,0)</f>
        <v>0</v>
      </c>
      <c r="BW242" s="60" t="n">
        <f aca="false">IF(ISNUMBER(AC242),1,0)</f>
        <v>0</v>
      </c>
      <c r="BX242" s="57" t="n">
        <f aca="false">N(AC242)</f>
        <v>0</v>
      </c>
      <c r="BY242" s="57" t="n">
        <f aca="false">N(L242)+N(M242)</f>
        <v>11</v>
      </c>
      <c r="BZ242" s="57" t="n">
        <f aca="false">ROUNDUP(G242/BQ242,0)</f>
        <v>1</v>
      </c>
      <c r="CA242" s="57" t="n">
        <f aca="false">ROUNDUP(BX242/BQ242,0)</f>
        <v>0</v>
      </c>
      <c r="CB242" s="60" t="n">
        <f aca="false">IF(BR242=1,0,IFERROR(VLOOKUP(BP242,'Gebinde-Kategorie'!$A$5:$M$45,5,0)+0,0))</f>
        <v>20</v>
      </c>
      <c r="CC242" s="60" t="n">
        <f aca="false">IFERROR(IF(OR(BT242=1,BT242=2,BT242=3),N(INDEX(Parameter!$I$5:$I$7,BT242)),0),0)</f>
        <v>0</v>
      </c>
      <c r="CD242" s="59" t="n">
        <f aca="false">IF(AND(Parameter!$B$21="Ja",ISNUMBER(U242),N(V242)&gt;0),IFERROR(N(INDEX(Parameter!$L$5:$L$7,U242))*INDEX(Parameter!$E$5:$E$7,U242)*V242/SUMIFS($V$7:$V$1576,$U$7:$U$1576,U242),0),0)</f>
        <v>0</v>
      </c>
    </row>
    <row r="243" customFormat="false" ht="15" hidden="false" customHeight="false" outlineLevel="0" collapsed="false">
      <c r="A243" s="55" t="s">
        <v>661</v>
      </c>
      <c r="B243" s="55" t="s">
        <v>662</v>
      </c>
      <c r="C243" s="55" t="s">
        <v>160</v>
      </c>
      <c r="D243" s="55" t="s">
        <v>178</v>
      </c>
      <c r="E243" s="55" t="s">
        <v>210</v>
      </c>
      <c r="F243" s="56" t="n">
        <v>108.25</v>
      </c>
      <c r="G243" s="57" t="n">
        <f aca="false">MAX(0,IF(AND(Parameter!$B$21="Ja",ISNUMBER(W243)),W243,IF(Parameter!$B$20="Jahresanfang 2025 + Export",BJ243+BI243,BI243)))</f>
        <v>5</v>
      </c>
      <c r="H243" s="57" t="n">
        <f aca="false">G243*F243</f>
        <v>541.25</v>
      </c>
      <c r="I243" s="57" t="n">
        <f aca="false">BL243*Parameter!$B$18</f>
        <v>0</v>
      </c>
      <c r="J243" s="58" t="n">
        <v>25.5</v>
      </c>
      <c r="K243" s="59" t="n">
        <v>0</v>
      </c>
      <c r="L243" s="57" t="n">
        <v>0</v>
      </c>
      <c r="M243" s="57" t="n">
        <v>1</v>
      </c>
      <c r="N243" s="60" t="n">
        <v>49</v>
      </c>
      <c r="O243" s="55" t="s">
        <v>218</v>
      </c>
      <c r="P243" s="57" t="n">
        <v>30</v>
      </c>
      <c r="Q243" s="60" t="n">
        <f aca="false">IF(BR243=1,0,IFERROR(VLOOKUP(BP243,'Gebinde-Kategorie'!$A$5:$M$45,13,0)+0,0))</f>
        <v>12</v>
      </c>
      <c r="R243" s="61"/>
      <c r="S243" s="62"/>
      <c r="T243" s="62"/>
      <c r="U243" s="55"/>
      <c r="V243" s="57"/>
      <c r="W243" s="57"/>
      <c r="X243" s="55" t="n">
        <f aca="false">IF(A243="","",IF(AND(Parameter!$B$21="Ja",ISNUMBER(U243)),U243,IF(IFERROR(VLOOKUP(D243,Parameter!$A$35:$C$64,2,0),"Nein")="2+3",IF(ISNUMBER(SEARCH("grosser Artikel",BM243)),2,IFERROR(VLOOKUP(BP243,Parameter!$F$35:$G$64,2,0),2)),IF(OR(IFERROR(VLOOKUP(D243,Parameter!$A$35:$C$64,2,0),"Nein")="Nein",IFERROR(VLOOKUP(D243,Parameter!$A$35:$C$64,2,0),"Nein")=""),"-",VLOOKUP(D243,Parameter!$A$35:$C$64,2,0)))))</f>
        <v>2</v>
      </c>
      <c r="Y243" s="62"/>
      <c r="Z243" s="63"/>
      <c r="AA243" s="57" t="n">
        <f aca="false">AP243</f>
        <v>30</v>
      </c>
      <c r="AB243" s="57" t="n">
        <f aca="false">MAX(AP243,G243)</f>
        <v>30</v>
      </c>
      <c r="AC243" s="64"/>
      <c r="AD243" s="57" t="n">
        <f aca="false">IF(LEFT(Cockpit!$C$5,1)="A",G243,IF(BW243=1,BX243,IF(LEFT(Cockpit!$C$5,1)="B",AH243,MAX(AH243,G243))))</f>
        <v>5</v>
      </c>
      <c r="AE243" s="57" t="n">
        <f aca="false">IF(BR243=1,0,ROUNDUP(AD243/BQ243,0))</f>
        <v>1</v>
      </c>
      <c r="AF243" s="59" t="n">
        <f aca="false">IF(CD243&gt;0,CD243*MAX(1,AD243/V243),IF(BR243=1,IF(AD243&lt;=0,0,BS243*MAX(1,IF(G243&gt;0,AD243/G243,1))),IF(Q243&gt;0,AE243/Q243,0))/MAX(0.1,N(Parameter!$M$21)))</f>
        <v>0.0833333333333333</v>
      </c>
      <c r="AG243" s="57" t="n">
        <f aca="false">AD243*F243</f>
        <v>541.25</v>
      </c>
      <c r="AH243" s="57" t="n">
        <f aca="false">ROUNDUP(MAX(I243/IF(BV243&gt;0,BV243,MAX(0.1,N(Cockpit!$C$6))),BY243)/BQ243,0)*BQ243</f>
        <v>30</v>
      </c>
      <c r="AI243" s="58" t="n">
        <f aca="false">IF(AF243&gt;0,I243/AF243,-1)</f>
        <v>0</v>
      </c>
      <c r="AJ243" s="58" t="n">
        <f aca="false">IF(AND(OR(BU243="L1",BU243="L23"),AF243&gt;0),SUMIFS($AF$7:$AF$1576,$BU$7:$BU$1576,BU243,$AI$7:$AI$1576,"&gt;"&amp;AI243)+SUMIFS($AF$7:$AF$1576,$BU$7:$BU$1576,BU243,$AI$7:$AI$1576,AI243,$BO$7:$BO$1576,"&lt;="&amp;BO243),"")</f>
        <v>40.0563112732678</v>
      </c>
      <c r="AK243" s="65" t="n">
        <f aca="false">IF(AJ243="",0,MAX(0,MIN(1,(IF(BU243="L1",Parameter!$E$5,Parameter!$E$6+Parameter!$E$7)-(AJ243-AF243))/AF243)))</f>
        <v>1</v>
      </c>
      <c r="AL243" s="57" t="n">
        <f aca="false">IF(LEFT(Cockpit!$I$5,1)="A",G243,IF(BW243=1,BX243,IF(LEFT(Cockpit!$I$5,1)="B",AP243,MAX(AP243,G243))))</f>
        <v>30</v>
      </c>
      <c r="AM243" s="57" t="n">
        <f aca="false">IF(BR243=1,0,ROUNDUP(AL243/BQ243,0))</f>
        <v>1</v>
      </c>
      <c r="AN243" s="59" t="n">
        <f aca="false">IF(CD243&gt;0,CD243*MAX(1,AL243/V243),IF(BR243=1,IF(AL243&lt;=0,0,BS243*MAX(1,IF(G243&gt;0,AL243/G243,1))),IF(Q243&gt;0,AM243/Q243,0))/MAX(0.1,N(Parameter!$M$21)))</f>
        <v>0.0833333333333333</v>
      </c>
      <c r="AO243" s="57" t="n">
        <f aca="false">AL243*F243</f>
        <v>3247.5</v>
      </c>
      <c r="AP243" s="57" t="n">
        <f aca="false">ROUNDUP(MAX(I243/IF(BV243&gt;0,BV243,MAX(0.1,N(Cockpit!$I$6))),BY243)/BQ243,0)*BQ243</f>
        <v>30</v>
      </c>
      <c r="AQ243" s="58" t="n">
        <f aca="false">IF(AN243&gt;0,I243/AN243,-1)</f>
        <v>0</v>
      </c>
      <c r="AR243" s="58" t="n">
        <f aca="false">IF(AND(OR(BU243="L1",BU243="L23"),AN243&gt;0),SUMIFS($AN$7:$AN$1576,$BU$7:$BU$1576,BU243,$AQ$7:$AQ$1576,"&gt;"&amp;AQ243)+SUMIFS($AN$7:$AN$1576,$BU$7:$BU$1576,BU243,$AQ$7:$AQ$1576,AQ243,$BO$7:$BO$1576,"&lt;="&amp;BO243),"")</f>
        <v>122.930517023057</v>
      </c>
      <c r="AS243" s="65" t="n">
        <f aca="false">IF(AR243="",0,MAX(0,MIN(1,(IF(BU243="L1",Parameter!$E$5,Parameter!$E$6+Parameter!$E$7)-(AR243-AN243))/AN243)))</f>
        <v>0</v>
      </c>
      <c r="AT243" s="57" t="n">
        <f aca="false">IF(LEFT(Cockpit!$O$5,1)="A",G243,IF(BW243=1,BX243,IF(LEFT(Cockpit!$O$5,1)="B",AX243,MAX(AX243,G243))))</f>
        <v>30</v>
      </c>
      <c r="AU243" s="57" t="n">
        <f aca="false">IF(BR243=1,0,ROUNDUP(AT243/BQ243,0))</f>
        <v>1</v>
      </c>
      <c r="AV243" s="59" t="n">
        <f aca="false">IF(CD243&gt;0,CD243*MAX(1,AT243/V243),IF(BR243=1,IF(AT243&lt;=0,0,BS243*MAX(1,IF(G243&gt;0,AT243/G243,1))),IF(Q243&gt;0,AU243/Q243,0))/MAX(0.1,N(Parameter!$M$21)))</f>
        <v>0.0833333333333333</v>
      </c>
      <c r="AW243" s="57" t="n">
        <f aca="false">AT243*F243</f>
        <v>3247.5</v>
      </c>
      <c r="AX243" s="57" t="n">
        <f aca="false">ROUNDUP(MAX(I243/IF(BV243&gt;0,BV243,MAX(0.1,N(Cockpit!$O$6))),BY243)/BQ243,0)*BQ243</f>
        <v>30</v>
      </c>
      <c r="AY243" s="58" t="n">
        <f aca="false">IF(AV243&gt;0,I243/AV243,-1)</f>
        <v>0</v>
      </c>
      <c r="AZ243" s="58" t="n">
        <f aca="false">IF(AND(OR(BU243="L1",BU243="L23"),AV243&gt;0),SUMIFS($AV$7:$AV$1576,$BU$7:$BU$1576,BU243,$AY$7:$AY$1576,"&gt;"&amp;AY243)+SUMIFS($AV$7:$AV$1576,$BU$7:$BU$1576,BU243,$AY$7:$AY$1576,AY243,$BO$7:$BO$1576,"&lt;="&amp;BO243),"")</f>
        <v>112.990067472608</v>
      </c>
      <c r="BA243" s="65" t="n">
        <f aca="false">IF(AZ243="",0,MAX(0,MIN(1,(IF(BU243="L1",Parameter!$E$5,Parameter!$E$6+Parameter!$E$7)-(AZ243-AV243))/AV243)))</f>
        <v>0</v>
      </c>
      <c r="BB243" s="55" t="str">
        <f aca="false">IF(AF243&lt;=0,"",IF(BU243="Aussen","Aussenlager",IF(BU243="-","Nicht im Lift",IF(AK243&gt;=1,"Lift",IF(AK243&lt;=0,"Aussenlager","teilweise")))))</f>
        <v>Lift</v>
      </c>
      <c r="BC243" s="55" t="str">
        <f aca="false">IF(AN243&lt;=0,"",IF(BU243="Aussen","Aussenlager",IF(BU243="-","Nicht im Lift",IF(AS243&gt;=1,"Lift",IF(AS243&lt;=0,"Aussenlager","teilweise")))))</f>
        <v>Aussenlager</v>
      </c>
      <c r="BD243" s="55" t="str">
        <f aca="false">IF(AV243&lt;=0,"",IF(BU243="Aussen","Aussenlager",IF(BU243="-","Nicht im Lift",IF(BA243&gt;=1,"Lift",IF(BA243&lt;=0,"Aussenlager","teilweise")))))</f>
        <v>Aussenlager</v>
      </c>
      <c r="BE243" s="55" t="str">
        <f aca="false">IF(A243="","",IF(BN243=1,"Neu; ","")&amp;IF(AND(BN243=0,BI243&lt;0),"negativer Bestand (Export "&amp;BI243&amp;"); ","")&amp;IF(I243&lt;=0,"Kein Verbrauch; ","")&amp;IF(CD243&gt;0,"Lift "&amp;U243&amp;" lt. Liftbericht (Fach "&amp;V243&amp;" Stk); ",IF(BR243=1,"Lose – Fläche geschätzt; ",""))&amp;IF(G243&gt;AP243,"Überbestand "&amp;ROUND(G243-AP243,0)&amp;" Stk / CHF "&amp;ROUND((G243-AP243)*F243,0)&amp;"; ","")&amp;IF(AND(BW243=1,BX243&lt;BY243),"MAX &lt; MB+LG; ","")&amp;IF(AND(CC243&gt;0,CB243*10&gt;CC243),"zu hoch für Tablar; ","")&amp;IF(AND(BN243=0,OR(BW243=1,Y243&lt;&gt;"",S243&lt;&gt;"",T243&lt;&gt;"",Z243&lt;&gt;"")),"manuell übersteuert; ","")&amp;IF(AND(BR243=0,Q243=0),"Gebinde unbekannt / Stellmass fehlt; ","")&amp;IF(AND(BR243=0,N(T243)&lt;=0,N(P243)&lt;=0),"Menge pro Gebinde fehlt (Ist = 1 Gebinde); ","")&amp;BM243)</f>
        <v>Kein Verbrauch; </v>
      </c>
      <c r="BF243" s="55"/>
      <c r="BG243" s="55"/>
      <c r="BH243" s="62"/>
      <c r="BI243" s="57" t="n">
        <v>5</v>
      </c>
      <c r="BJ243" s="57" t="n">
        <v>23</v>
      </c>
      <c r="BK243" s="56" t="n">
        <v>541.25</v>
      </c>
      <c r="BL243" s="57" t="n">
        <v>0</v>
      </c>
      <c r="BM243" s="55"/>
      <c r="BN243" s="60" t="n">
        <v>0</v>
      </c>
      <c r="BO243" s="60" t="n">
        <v>243</v>
      </c>
      <c r="BP243" s="55" t="str">
        <f aca="false">IF(S243&lt;&gt;"",UPPER(TRIM(S243)),IF(O243="","LOSE",O243))</f>
        <v>S63</v>
      </c>
      <c r="BQ243" s="57" t="n">
        <f aca="false">IF(BP243="LOSE",1,IF(N(T243)&gt;0,T243,IF(N(P243)&gt;0,P243,MAX(1,G243))))</f>
        <v>30</v>
      </c>
      <c r="BR243" s="60" t="n">
        <f aca="false">IF(BP243="LOSE",1,0)</f>
        <v>0</v>
      </c>
      <c r="BS243" s="59" t="n">
        <f aca="false">IF(BR243=0,0,IF(N(R243)&gt;0,R243,IFERROR(VLOOKUP(D243,Parameter!$A$35:$C$64,3,0)+0,0)))</f>
        <v>0</v>
      </c>
      <c r="BT243" s="55" t="n">
        <f aca="false">IF(Y243&lt;&gt;"",Y243,X243)</f>
        <v>2</v>
      </c>
      <c r="BU243" s="55" t="str">
        <f aca="false">IF(BT243=1,"L1",IF(OR(BT243=2,BT243=3),"L23",IF(BT243="Aussen","Aussen","-")))</f>
        <v>L23</v>
      </c>
      <c r="BV243" s="66" t="n">
        <f aca="false">IF(N(Z243)&gt;0,Z243,0)</f>
        <v>0</v>
      </c>
      <c r="BW243" s="60" t="n">
        <f aca="false">IF(ISNUMBER(AC243),1,0)</f>
        <v>0</v>
      </c>
      <c r="BX243" s="57" t="n">
        <f aca="false">N(AC243)</f>
        <v>0</v>
      </c>
      <c r="BY243" s="57" t="n">
        <f aca="false">N(L243)+N(M243)</f>
        <v>1</v>
      </c>
      <c r="BZ243" s="57" t="n">
        <f aca="false">ROUNDUP(G243/BQ243,0)</f>
        <v>1</v>
      </c>
      <c r="CA243" s="57" t="n">
        <f aca="false">ROUNDUP(BX243/BQ243,0)</f>
        <v>0</v>
      </c>
      <c r="CB243" s="60" t="n">
        <f aca="false">IF(BR243=1,0,IFERROR(VLOOKUP(BP243,'Gebinde-Kategorie'!$A$5:$M$45,5,0)+0,0))</f>
        <v>31</v>
      </c>
      <c r="CC243" s="60" t="n">
        <f aca="false">IFERROR(IF(OR(BT243=1,BT243=2,BT243=3),N(INDEX(Parameter!$I$5:$I$7,BT243)),0),0)</f>
        <v>0</v>
      </c>
      <c r="CD243" s="59" t="n">
        <f aca="false">IF(AND(Parameter!$B$21="Ja",ISNUMBER(U243),N(V243)&gt;0),IFERROR(N(INDEX(Parameter!$L$5:$L$7,U243))*INDEX(Parameter!$E$5:$E$7,U243)*V243/SUMIFS($V$7:$V$1576,$U$7:$U$1576,U243),0),0)</f>
        <v>0</v>
      </c>
    </row>
    <row r="244" customFormat="false" ht="15" hidden="false" customHeight="false" outlineLevel="0" collapsed="false">
      <c r="A244" s="55" t="s">
        <v>663</v>
      </c>
      <c r="B244" s="55" t="s">
        <v>457</v>
      </c>
      <c r="C244" s="55" t="s">
        <v>160</v>
      </c>
      <c r="D244" s="55" t="s">
        <v>178</v>
      </c>
      <c r="E244" s="55" t="s">
        <v>210</v>
      </c>
      <c r="F244" s="56" t="n">
        <v>0.81</v>
      </c>
      <c r="G244" s="57" t="n">
        <f aca="false">MAX(0,IF(AND(Parameter!$B$21="Ja",ISNUMBER(W244)),W244,IF(Parameter!$B$20="Jahresanfang 2025 + Export",BJ244+BI244,BI244)))</f>
        <v>663</v>
      </c>
      <c r="H244" s="57" t="n">
        <f aca="false">G244*F244</f>
        <v>537.03</v>
      </c>
      <c r="I244" s="57" t="n">
        <f aca="false">BL244*Parameter!$B$18</f>
        <v>1638</v>
      </c>
      <c r="J244" s="58" t="n">
        <v>432.5</v>
      </c>
      <c r="K244" s="59" t="n">
        <v>3.78728323699422</v>
      </c>
      <c r="L244" s="57" t="n">
        <v>63</v>
      </c>
      <c r="M244" s="57" t="n">
        <v>1640</v>
      </c>
      <c r="N244" s="60" t="n">
        <v>14</v>
      </c>
      <c r="O244" s="55" t="s">
        <v>293</v>
      </c>
      <c r="P244" s="57" t="n">
        <v>961</v>
      </c>
      <c r="Q244" s="60" t="n">
        <f aca="false">IF(BR244=1,0,IFERROR(VLOOKUP(BP244,'Gebinde-Kategorie'!$A$5:$M$45,13,0)+0,0))</f>
        <v>26</v>
      </c>
      <c r="R244" s="61"/>
      <c r="S244" s="62"/>
      <c r="T244" s="62"/>
      <c r="U244" s="55"/>
      <c r="V244" s="57"/>
      <c r="W244" s="57"/>
      <c r="X244" s="55" t="n">
        <f aca="false">IF(A244="","",IF(AND(Parameter!$B$21="Ja",ISNUMBER(U244)),U244,IF(IFERROR(VLOOKUP(D244,Parameter!$A$35:$C$64,2,0),"Nein")="2+3",IF(ISNUMBER(SEARCH("grosser Artikel",BM244)),2,IFERROR(VLOOKUP(BP244,Parameter!$F$35:$G$64,2,0),2)),IF(OR(IFERROR(VLOOKUP(D244,Parameter!$A$35:$C$64,2,0),"Nein")="Nein",IFERROR(VLOOKUP(D244,Parameter!$A$35:$C$64,2,0),"Nein")=""),"-",VLOOKUP(D244,Parameter!$A$35:$C$64,2,0)))))</f>
        <v>3</v>
      </c>
      <c r="Y244" s="62"/>
      <c r="Z244" s="63"/>
      <c r="AA244" s="57" t="n">
        <f aca="false">AP244</f>
        <v>1922</v>
      </c>
      <c r="AB244" s="57" t="n">
        <f aca="false">MAX(AP244,G244)</f>
        <v>1922</v>
      </c>
      <c r="AC244" s="64"/>
      <c r="AD244" s="57" t="n">
        <f aca="false">IF(LEFT(Cockpit!$C$5,1)="A",G244,IF(BW244=1,BX244,IF(LEFT(Cockpit!$C$5,1)="B",AH244,MAX(AH244,G244))))</f>
        <v>663</v>
      </c>
      <c r="AE244" s="57" t="n">
        <f aca="false">IF(BR244=1,0,ROUNDUP(AD244/BQ244,0))</f>
        <v>1</v>
      </c>
      <c r="AF244" s="59" t="n">
        <f aca="false">IF(CD244&gt;0,CD244*MAX(1,AD244/V244),IF(BR244=1,IF(AD244&lt;=0,0,BS244*MAX(1,IF(G244&gt;0,AD244/G244,1))),IF(Q244&gt;0,AE244/Q244,0))/MAX(0.1,N(Parameter!$M$21)))</f>
        <v>0.0384615384615385</v>
      </c>
      <c r="AG244" s="57" t="n">
        <f aca="false">AD244*F244</f>
        <v>537.03</v>
      </c>
      <c r="AH244" s="57" t="n">
        <f aca="false">ROUNDUP(MAX(I244/IF(BV244&gt;0,BV244,MAX(0.1,N(Cockpit!$C$6))),BY244)/BQ244,0)*BQ244</f>
        <v>1922</v>
      </c>
      <c r="AI244" s="58" t="n">
        <f aca="false">IF(AF244&gt;0,I244/AF244,-1)</f>
        <v>42588</v>
      </c>
      <c r="AJ244" s="58" t="n">
        <f aca="false">IF(AND(OR(BU244="L1",BU244="L23"),AF244&gt;0),SUMIFS($AF$7:$AF$1576,$BU$7:$BU$1576,BU244,$AI$7:$AI$1576,"&gt;"&amp;AI244)+SUMIFS($AF$7:$AF$1576,$BU$7:$BU$1576,BU244,$AI$7:$AI$1576,AI244,$BO$7:$BO$1576,"&lt;="&amp;BO244),"")</f>
        <v>1.11761426978818</v>
      </c>
      <c r="AK244" s="65" t="n">
        <f aca="false">IF(AJ244="",0,MAX(0,MIN(1,(IF(BU244="L1",Parameter!$E$5,Parameter!$E$6+Parameter!$E$7)-(AJ244-AF244))/AF244)))</f>
        <v>1</v>
      </c>
      <c r="AL244" s="57" t="n">
        <f aca="false">IF(LEFT(Cockpit!$I$5,1)="A",G244,IF(BW244=1,BX244,IF(LEFT(Cockpit!$I$5,1)="B",AP244,MAX(AP244,G244))))</f>
        <v>1922</v>
      </c>
      <c r="AM244" s="57" t="n">
        <f aca="false">IF(BR244=1,0,ROUNDUP(AL244/BQ244,0))</f>
        <v>2</v>
      </c>
      <c r="AN244" s="59" t="n">
        <f aca="false">IF(CD244&gt;0,CD244*MAX(1,AL244/V244),IF(BR244=1,IF(AL244&lt;=0,0,BS244*MAX(1,IF(G244&gt;0,AL244/G244,1))),IF(Q244&gt;0,AM244/Q244,0))/MAX(0.1,N(Parameter!$M$21)))</f>
        <v>0.0769230769230769</v>
      </c>
      <c r="AO244" s="57" t="n">
        <f aca="false">AL244*F244</f>
        <v>1556.82</v>
      </c>
      <c r="AP244" s="57" t="n">
        <f aca="false">ROUNDUP(MAX(I244/IF(BV244&gt;0,BV244,MAX(0.1,N(Cockpit!$I$6))),BY244)/BQ244,0)*BQ244</f>
        <v>1922</v>
      </c>
      <c r="AQ244" s="58" t="n">
        <f aca="false">IF(AN244&gt;0,I244/AN244,-1)</f>
        <v>21294</v>
      </c>
      <c r="AR244" s="58" t="n">
        <f aca="false">IF(AND(OR(BU244="L1",BU244="L23"),AN244&gt;0),SUMIFS($AN$7:$AN$1576,$BU$7:$BU$1576,BU244,$AQ$7:$AQ$1576,"&gt;"&amp;AQ244)+SUMIFS($AN$7:$AN$1576,$BU$7:$BU$1576,BU244,$AQ$7:$AQ$1576,AQ244,$BO$7:$BO$1576,"&lt;="&amp;BO244),"")</f>
        <v>3.92197189284146</v>
      </c>
      <c r="AS244" s="65" t="n">
        <f aca="false">IF(AR244="",0,MAX(0,MIN(1,(IF(BU244="L1",Parameter!$E$5,Parameter!$E$6+Parameter!$E$7)-(AR244-AN244))/AN244)))</f>
        <v>1</v>
      </c>
      <c r="AT244" s="57" t="n">
        <f aca="false">IF(LEFT(Cockpit!$O$5,1)="A",G244,IF(BW244=1,BX244,IF(LEFT(Cockpit!$O$5,1)="B",AX244,MAX(AX244,G244))))</f>
        <v>1922</v>
      </c>
      <c r="AU244" s="57" t="n">
        <f aca="false">IF(BR244=1,0,ROUNDUP(AT244/BQ244,0))</f>
        <v>2</v>
      </c>
      <c r="AV244" s="59" t="n">
        <f aca="false">IF(CD244&gt;0,CD244*MAX(1,AT244/V244),IF(BR244=1,IF(AT244&lt;=0,0,BS244*MAX(1,IF(G244&gt;0,AT244/G244,1))),IF(Q244&gt;0,AU244/Q244,0))/MAX(0.1,N(Parameter!$M$21)))</f>
        <v>0.0769230769230769</v>
      </c>
      <c r="AW244" s="57" t="n">
        <f aca="false">AT244*F244</f>
        <v>1556.82</v>
      </c>
      <c r="AX244" s="57" t="n">
        <f aca="false">ROUNDUP(MAX(I244/IF(BV244&gt;0,BV244,MAX(0.1,N(Cockpit!$O$6))),BY244)/BQ244,0)*BQ244</f>
        <v>1922</v>
      </c>
      <c r="AY244" s="58" t="n">
        <f aca="false">IF(AV244&gt;0,I244/AV244,-1)</f>
        <v>21294</v>
      </c>
      <c r="AZ244" s="58" t="n">
        <f aca="false">IF(AND(OR(BU244="L1",BU244="L23"),AV244&gt;0),SUMIFS($AV$7:$AV$1576,$BU$7:$BU$1576,BU244,$AY$7:$AY$1576,"&gt;"&amp;AY244)+SUMIFS($AV$7:$AV$1576,$BU$7:$BU$1576,BU244,$AY$7:$AY$1576,AY244,$BO$7:$BO$1576,"&lt;="&amp;BO244),"")</f>
        <v>4.2646292354988</v>
      </c>
      <c r="BA244" s="65" t="n">
        <f aca="false">IF(AZ244="",0,MAX(0,MIN(1,(IF(BU244="L1",Parameter!$E$5,Parameter!$E$6+Parameter!$E$7)-(AZ244-AV244))/AV244)))</f>
        <v>1</v>
      </c>
      <c r="BB244" s="55" t="str">
        <f aca="false">IF(AF244&lt;=0,"",IF(BU244="Aussen","Aussenlager",IF(BU244="-","Nicht im Lift",IF(AK244&gt;=1,"Lift",IF(AK244&lt;=0,"Aussenlager","teilweise")))))</f>
        <v>Lift</v>
      </c>
      <c r="BC244" s="55" t="str">
        <f aca="false">IF(AN244&lt;=0,"",IF(BU244="Aussen","Aussenlager",IF(BU244="-","Nicht im Lift",IF(AS244&gt;=1,"Lift",IF(AS244&lt;=0,"Aussenlager","teilweise")))))</f>
        <v>Lift</v>
      </c>
      <c r="BD244" s="55" t="str">
        <f aca="false">IF(AV244&lt;=0,"",IF(BU244="Aussen","Aussenlager",IF(BU244="-","Nicht im Lift",IF(BA244&gt;=1,"Lift",IF(BA244&lt;=0,"Aussenlager","teilweise")))))</f>
        <v>Lift</v>
      </c>
      <c r="BE244" s="55" t="str">
        <f aca="false">IF(A244="","",IF(BN244=1,"Neu; ","")&amp;IF(AND(BN244=0,BI244&lt;0),"negativer Bestand (Export "&amp;BI244&amp;"); ","")&amp;IF(I244&lt;=0,"Kein Verbrauch; ","")&amp;IF(CD244&gt;0,"Lift "&amp;U244&amp;" lt. Liftbericht (Fach "&amp;V244&amp;" Stk); ",IF(BR244=1,"Lose – Fläche geschätzt; ",""))&amp;IF(G244&gt;AP244,"Überbestand "&amp;ROUND(G244-AP244,0)&amp;" Stk / CHF "&amp;ROUND((G244-AP244)*F244,0)&amp;"; ","")&amp;IF(AND(BW244=1,BX244&lt;BY244),"MAX &lt; MB+LG; ","")&amp;IF(AND(CC244&gt;0,CB244*10&gt;CC244),"zu hoch für Tablar; ","")&amp;IF(AND(BN244=0,OR(BW244=1,Y244&lt;&gt;"",S244&lt;&gt;"",T244&lt;&gt;"",Z244&lt;&gt;"")),"manuell übersteuert; ","")&amp;IF(AND(BR244=0,Q244=0),"Gebinde unbekannt / Stellmass fehlt; ","")&amp;IF(AND(BR244=0,N(T244)&lt;=0,N(P244)&lt;=0),"Menge pro Gebinde fehlt (Ist = 1 Gebinde); ","")&amp;BM244)</f>
        <v/>
      </c>
      <c r="BF244" s="55"/>
      <c r="BG244" s="55"/>
      <c r="BH244" s="62"/>
      <c r="BI244" s="57" t="n">
        <v>663</v>
      </c>
      <c r="BJ244" s="57" t="n">
        <v>371</v>
      </c>
      <c r="BK244" s="56" t="n">
        <v>540.659999999999</v>
      </c>
      <c r="BL244" s="57" t="n">
        <v>1638</v>
      </c>
      <c r="BM244" s="55"/>
      <c r="BN244" s="60" t="n">
        <v>0</v>
      </c>
      <c r="BO244" s="60" t="n">
        <v>244</v>
      </c>
      <c r="BP244" s="55" t="str">
        <f aca="false">IF(S244&lt;&gt;"",UPPER(TRIM(S244)),IF(O244="","LOSE",O244))</f>
        <v>S51</v>
      </c>
      <c r="BQ244" s="57" t="n">
        <f aca="false">IF(BP244="LOSE",1,IF(N(T244)&gt;0,T244,IF(N(P244)&gt;0,P244,MAX(1,G244))))</f>
        <v>961</v>
      </c>
      <c r="BR244" s="60" t="n">
        <f aca="false">IF(BP244="LOSE",1,0)</f>
        <v>0</v>
      </c>
      <c r="BS244" s="59" t="n">
        <f aca="false">IF(BR244=0,0,IF(N(R244)&gt;0,R244,IFERROR(VLOOKUP(D244,Parameter!$A$35:$C$64,3,0)+0,0)))</f>
        <v>0</v>
      </c>
      <c r="BT244" s="55" t="n">
        <f aca="false">IF(Y244&lt;&gt;"",Y244,X244)</f>
        <v>3</v>
      </c>
      <c r="BU244" s="55" t="str">
        <f aca="false">IF(BT244=1,"L1",IF(OR(BT244=2,BT244=3),"L23",IF(BT244="Aussen","Aussen","-")))</f>
        <v>L23</v>
      </c>
      <c r="BV244" s="66" t="n">
        <f aca="false">IF(N(Z244)&gt;0,Z244,0)</f>
        <v>0</v>
      </c>
      <c r="BW244" s="60" t="n">
        <f aca="false">IF(ISNUMBER(AC244),1,0)</f>
        <v>0</v>
      </c>
      <c r="BX244" s="57" t="n">
        <f aca="false">N(AC244)</f>
        <v>0</v>
      </c>
      <c r="BY244" s="57" t="n">
        <f aca="false">N(L244)+N(M244)</f>
        <v>1703</v>
      </c>
      <c r="BZ244" s="57" t="n">
        <f aca="false">ROUNDUP(G244/BQ244,0)</f>
        <v>1</v>
      </c>
      <c r="CA244" s="57" t="n">
        <f aca="false">ROUNDUP(BX244/BQ244,0)</f>
        <v>0</v>
      </c>
      <c r="CB244" s="60" t="n">
        <f aca="false">IF(BR244=1,0,IFERROR(VLOOKUP(BP244,'Gebinde-Kategorie'!$A$5:$M$45,5,0)+0,0))</f>
        <v>11</v>
      </c>
      <c r="CC244" s="60" t="n">
        <f aca="false">IFERROR(IF(OR(BT244=1,BT244=2,BT244=3),N(INDEX(Parameter!$I$5:$I$7,BT244)),0),0)</f>
        <v>0</v>
      </c>
      <c r="CD244" s="59" t="n">
        <f aca="false">IF(AND(Parameter!$B$21="Ja",ISNUMBER(U244),N(V244)&gt;0),IFERROR(N(INDEX(Parameter!$L$5:$L$7,U244))*INDEX(Parameter!$E$5:$E$7,U244)*V244/SUMIFS($V$7:$V$1576,$U$7:$U$1576,U244),0),0)</f>
        <v>0</v>
      </c>
    </row>
    <row r="245" customFormat="false" ht="15" hidden="false" customHeight="false" outlineLevel="0" collapsed="false">
      <c r="A245" s="55" t="s">
        <v>664</v>
      </c>
      <c r="B245" s="55" t="s">
        <v>665</v>
      </c>
      <c r="C245" s="55" t="s">
        <v>160</v>
      </c>
      <c r="D245" s="55" t="s">
        <v>178</v>
      </c>
      <c r="E245" s="55" t="s">
        <v>210</v>
      </c>
      <c r="F245" s="56" t="n">
        <v>44.7</v>
      </c>
      <c r="G245" s="57" t="n">
        <f aca="false">MAX(0,IF(AND(Parameter!$B$21="Ja",ISNUMBER(W245)),W245,IF(Parameter!$B$20="Jahresanfang 2025 + Export",BJ245+BI245,BI245)))</f>
        <v>16</v>
      </c>
      <c r="H245" s="57" t="n">
        <f aca="false">G245*F245</f>
        <v>715.2</v>
      </c>
      <c r="I245" s="57" t="n">
        <f aca="false">BL245*Parameter!$B$18</f>
        <v>1</v>
      </c>
      <c r="J245" s="58" t="n">
        <v>49</v>
      </c>
      <c r="K245" s="59" t="n">
        <v>0.0204081632653061</v>
      </c>
      <c r="L245" s="57" t="n">
        <v>0</v>
      </c>
      <c r="M245" s="57" t="n">
        <v>1</v>
      </c>
      <c r="N245" s="60" t="n">
        <v>63</v>
      </c>
      <c r="O245" s="55" t="s">
        <v>284</v>
      </c>
      <c r="P245" s="57" t="n">
        <v>50</v>
      </c>
      <c r="Q245" s="60" t="n">
        <f aca="false">IF(BR245=1,0,IFERROR(VLOOKUP(BP245,'Gebinde-Kategorie'!$A$5:$M$45,13,0)+0,0))</f>
        <v>12</v>
      </c>
      <c r="R245" s="61"/>
      <c r="S245" s="62"/>
      <c r="T245" s="62"/>
      <c r="U245" s="55"/>
      <c r="V245" s="57"/>
      <c r="W245" s="57"/>
      <c r="X245" s="55" t="n">
        <f aca="false">IF(A245="","",IF(AND(Parameter!$B$21="Ja",ISNUMBER(U245)),U245,IF(IFERROR(VLOOKUP(D245,Parameter!$A$35:$C$64,2,0),"Nein")="2+3",IF(ISNUMBER(SEARCH("grosser Artikel",BM245)),2,IFERROR(VLOOKUP(BP245,Parameter!$F$35:$G$64,2,0),2)),IF(OR(IFERROR(VLOOKUP(D245,Parameter!$A$35:$C$64,2,0),"Nein")="Nein",IFERROR(VLOOKUP(D245,Parameter!$A$35:$C$64,2,0),"Nein")=""),"-",VLOOKUP(D245,Parameter!$A$35:$C$64,2,0)))))</f>
        <v>2</v>
      </c>
      <c r="Y245" s="62"/>
      <c r="Z245" s="63"/>
      <c r="AA245" s="57" t="n">
        <f aca="false">AP245</f>
        <v>50</v>
      </c>
      <c r="AB245" s="57" t="n">
        <f aca="false">MAX(AP245,G245)</f>
        <v>50</v>
      </c>
      <c r="AC245" s="64"/>
      <c r="AD245" s="57" t="n">
        <f aca="false">IF(LEFT(Cockpit!$C$5,1)="A",G245,IF(BW245=1,BX245,IF(LEFT(Cockpit!$C$5,1)="B",AH245,MAX(AH245,G245))))</f>
        <v>16</v>
      </c>
      <c r="AE245" s="57" t="n">
        <f aca="false">IF(BR245=1,0,ROUNDUP(AD245/BQ245,0))</f>
        <v>1</v>
      </c>
      <c r="AF245" s="59" t="n">
        <f aca="false">IF(CD245&gt;0,CD245*MAX(1,AD245/V245),IF(BR245=1,IF(AD245&lt;=0,0,BS245*MAX(1,IF(G245&gt;0,AD245/G245,1))),IF(Q245&gt;0,AE245/Q245,0))/MAX(0.1,N(Parameter!$M$21)))</f>
        <v>0.0833333333333333</v>
      </c>
      <c r="AG245" s="57" t="n">
        <f aca="false">AD245*F245</f>
        <v>715.2</v>
      </c>
      <c r="AH245" s="57" t="n">
        <f aca="false">ROUNDUP(MAX(I245/IF(BV245&gt;0,BV245,MAX(0.1,N(Cockpit!$C$6))),BY245)/BQ245,0)*BQ245</f>
        <v>50</v>
      </c>
      <c r="AI245" s="58" t="n">
        <f aca="false">IF(AF245&gt;0,I245/AF245,-1)</f>
        <v>12</v>
      </c>
      <c r="AJ245" s="58" t="n">
        <f aca="false">IF(AND(OR(BU245="L1",BU245="L23"),AF245&gt;0),SUMIFS($AF$7:$AF$1576,$BU$7:$BU$1576,BU245,$AI$7:$AI$1576,"&gt;"&amp;AI245)+SUMIFS($AF$7:$AF$1576,$BU$7:$BU$1576,BU245,$AI$7:$AI$1576,AI245,$BO$7:$BO$1576,"&lt;="&amp;BO245),"")</f>
        <v>31.2659150028715</v>
      </c>
      <c r="AK245" s="65" t="n">
        <f aca="false">IF(AJ245="",0,MAX(0,MIN(1,(IF(BU245="L1",Parameter!$E$5,Parameter!$E$6+Parameter!$E$7)-(AJ245-AF245))/AF245)))</f>
        <v>1</v>
      </c>
      <c r="AL245" s="57" t="n">
        <f aca="false">IF(LEFT(Cockpit!$I$5,1)="A",G245,IF(BW245=1,BX245,IF(LEFT(Cockpit!$I$5,1)="B",AP245,MAX(AP245,G245))))</f>
        <v>50</v>
      </c>
      <c r="AM245" s="57" t="n">
        <f aca="false">IF(BR245=1,0,ROUNDUP(AL245/BQ245,0))</f>
        <v>1</v>
      </c>
      <c r="AN245" s="59" t="n">
        <f aca="false">IF(CD245&gt;0,CD245*MAX(1,AL245/V245),IF(BR245=1,IF(AL245&lt;=0,0,BS245*MAX(1,IF(G245&gt;0,AL245/G245,1))),IF(Q245&gt;0,AM245/Q245,0))/MAX(0.1,N(Parameter!$M$21)))</f>
        <v>0.0833333333333333</v>
      </c>
      <c r="AO245" s="57" t="n">
        <f aca="false">AL245*F245</f>
        <v>2235</v>
      </c>
      <c r="AP245" s="57" t="n">
        <f aca="false">ROUNDUP(MAX(I245/IF(BV245&gt;0,BV245,MAX(0.1,N(Cockpit!$I$6))),BY245)/BQ245,0)*BQ245</f>
        <v>50</v>
      </c>
      <c r="AQ245" s="58" t="n">
        <f aca="false">IF(AN245&gt;0,I245/AN245,-1)</f>
        <v>12</v>
      </c>
      <c r="AR245" s="58" t="n">
        <f aca="false">IF(AND(OR(BU245="L1",BU245="L23"),AN245&gt;0),SUMIFS($AN$7:$AN$1576,$BU$7:$BU$1576,BU245,$AQ$7:$AQ$1576,"&gt;"&amp;AQ245)+SUMIFS($AN$7:$AN$1576,$BU$7:$BU$1576,BU245,$AQ$7:$AQ$1576,AQ245,$BO$7:$BO$1576,"&lt;="&amp;BO245),"")</f>
        <v>107.520639716901</v>
      </c>
      <c r="AS245" s="65" t="n">
        <f aca="false">IF(AR245="",0,MAX(0,MIN(1,(IF(BU245="L1",Parameter!$E$5,Parameter!$E$6+Parameter!$E$7)-(AR245-AN245))/AN245)))</f>
        <v>0</v>
      </c>
      <c r="AT245" s="57" t="n">
        <f aca="false">IF(LEFT(Cockpit!$O$5,1)="A",G245,IF(BW245=1,BX245,IF(LEFT(Cockpit!$O$5,1)="B",AX245,MAX(AX245,G245))))</f>
        <v>50</v>
      </c>
      <c r="AU245" s="57" t="n">
        <f aca="false">IF(BR245=1,0,ROUNDUP(AT245/BQ245,0))</f>
        <v>1</v>
      </c>
      <c r="AV245" s="59" t="n">
        <f aca="false">IF(CD245&gt;0,CD245*MAX(1,AT245/V245),IF(BR245=1,IF(AT245&lt;=0,0,BS245*MAX(1,IF(G245&gt;0,AT245/G245,1))),IF(Q245&gt;0,AU245/Q245,0))/MAX(0.1,N(Parameter!$M$21)))</f>
        <v>0.0833333333333333</v>
      </c>
      <c r="AW245" s="57" t="n">
        <f aca="false">AT245*F245</f>
        <v>2235</v>
      </c>
      <c r="AX245" s="57" t="n">
        <f aca="false">ROUNDUP(MAX(I245/IF(BV245&gt;0,BV245,MAX(0.1,N(Cockpit!$O$6))),BY245)/BQ245,0)*BQ245</f>
        <v>50</v>
      </c>
      <c r="AY245" s="58" t="n">
        <f aca="false">IF(AV245&gt;0,I245/AV245,-1)</f>
        <v>12</v>
      </c>
      <c r="AZ245" s="58" t="n">
        <f aca="false">IF(AND(OR(BU245="L1",BU245="L23"),AV245&gt;0),SUMIFS($AV$7:$AV$1576,$BU$7:$BU$1576,BU245,$AY$7:$AY$1576,"&gt;"&amp;AY245)+SUMIFS($AV$7:$AV$1576,$BU$7:$BU$1576,BU245,$AY$7:$AY$1576,AY245,$BO$7:$BO$1576,"&lt;="&amp;BO245),"")</f>
        <v>97.5801901664513</v>
      </c>
      <c r="BA245" s="65" t="n">
        <f aca="false">IF(AZ245="",0,MAX(0,MIN(1,(IF(BU245="L1",Parameter!$E$5,Parameter!$E$6+Parameter!$E$7)-(AZ245-AV245))/AV245)))</f>
        <v>1</v>
      </c>
      <c r="BB245" s="55" t="str">
        <f aca="false">IF(AF245&lt;=0,"",IF(BU245="Aussen","Aussenlager",IF(BU245="-","Nicht im Lift",IF(AK245&gt;=1,"Lift",IF(AK245&lt;=0,"Aussenlager","teilweise")))))</f>
        <v>Lift</v>
      </c>
      <c r="BC245" s="55" t="str">
        <f aca="false">IF(AN245&lt;=0,"",IF(BU245="Aussen","Aussenlager",IF(BU245="-","Nicht im Lift",IF(AS245&gt;=1,"Lift",IF(AS245&lt;=0,"Aussenlager","teilweise")))))</f>
        <v>Aussenlager</v>
      </c>
      <c r="BD245" s="55" t="str">
        <f aca="false">IF(AV245&lt;=0,"",IF(BU245="Aussen","Aussenlager",IF(BU245="-","Nicht im Lift",IF(BA245&gt;=1,"Lift",IF(BA245&lt;=0,"Aussenlager","teilweise")))))</f>
        <v>Lift</v>
      </c>
      <c r="BE245" s="55" t="str">
        <f aca="false">IF(A245="","",IF(BN245=1,"Neu; ","")&amp;IF(AND(BN245=0,BI245&lt;0),"negativer Bestand (Export "&amp;BI245&amp;"); ","")&amp;IF(I245&lt;=0,"Kein Verbrauch; ","")&amp;IF(CD245&gt;0,"Lift "&amp;U245&amp;" lt. Liftbericht (Fach "&amp;V245&amp;" Stk); ",IF(BR245=1,"Lose – Fläche geschätzt; ",""))&amp;IF(G245&gt;AP245,"Überbestand "&amp;ROUND(G245-AP245,0)&amp;" Stk / CHF "&amp;ROUND((G245-AP245)*F245,0)&amp;"; ","")&amp;IF(AND(BW245=1,BX245&lt;BY245),"MAX &lt; MB+LG; ","")&amp;IF(AND(CC245&gt;0,CB245*10&gt;CC245),"zu hoch für Tablar; ","")&amp;IF(AND(BN245=0,OR(BW245=1,Y245&lt;&gt;"",S245&lt;&gt;"",T245&lt;&gt;"",Z245&lt;&gt;"")),"manuell übersteuert; ","")&amp;IF(AND(BR245=0,Q245=0),"Gebinde unbekannt / Stellmass fehlt; ","")&amp;IF(AND(BR245=0,N(T245)&lt;=0,N(P245)&lt;=0),"Menge pro Gebinde fehlt (Ist = 1 Gebinde); ","")&amp;BM245)</f>
        <v/>
      </c>
      <c r="BF245" s="55"/>
      <c r="BG245" s="55"/>
      <c r="BH245" s="62"/>
      <c r="BI245" s="57" t="n">
        <v>16</v>
      </c>
      <c r="BJ245" s="57" t="n">
        <v>49</v>
      </c>
      <c r="BK245" s="56" t="n">
        <v>529.74</v>
      </c>
      <c r="BL245" s="57" t="n">
        <v>1</v>
      </c>
      <c r="BM245" s="55"/>
      <c r="BN245" s="60" t="n">
        <v>0</v>
      </c>
      <c r="BO245" s="60" t="n">
        <v>245</v>
      </c>
      <c r="BP245" s="55" t="str">
        <f aca="false">IF(S245&lt;&gt;"",UPPER(TRIM(S245)),IF(O245="","LOSE",O245))</f>
        <v>S62</v>
      </c>
      <c r="BQ245" s="57" t="n">
        <f aca="false">IF(BP245="LOSE",1,IF(N(T245)&gt;0,T245,IF(N(P245)&gt;0,P245,MAX(1,G245))))</f>
        <v>50</v>
      </c>
      <c r="BR245" s="60" t="n">
        <f aca="false">IF(BP245="LOSE",1,0)</f>
        <v>0</v>
      </c>
      <c r="BS245" s="59" t="n">
        <f aca="false">IF(BR245=0,0,IF(N(R245)&gt;0,R245,IFERROR(VLOOKUP(D245,Parameter!$A$35:$C$64,3,0)+0,0)))</f>
        <v>0</v>
      </c>
      <c r="BT245" s="55" t="n">
        <f aca="false">IF(Y245&lt;&gt;"",Y245,X245)</f>
        <v>2</v>
      </c>
      <c r="BU245" s="55" t="str">
        <f aca="false">IF(BT245=1,"L1",IF(OR(BT245=2,BT245=3),"L23",IF(BT245="Aussen","Aussen","-")))</f>
        <v>L23</v>
      </c>
      <c r="BV245" s="66" t="n">
        <f aca="false">IF(N(Z245)&gt;0,Z245,0)</f>
        <v>0</v>
      </c>
      <c r="BW245" s="60" t="n">
        <f aca="false">IF(ISNUMBER(AC245),1,0)</f>
        <v>0</v>
      </c>
      <c r="BX245" s="57" t="n">
        <f aca="false">N(AC245)</f>
        <v>0</v>
      </c>
      <c r="BY245" s="57" t="n">
        <f aca="false">N(L245)+N(M245)</f>
        <v>1</v>
      </c>
      <c r="BZ245" s="57" t="n">
        <f aca="false">ROUNDUP(G245/BQ245,0)</f>
        <v>1</v>
      </c>
      <c r="CA245" s="57" t="n">
        <f aca="false">ROUNDUP(BX245/BQ245,0)</f>
        <v>0</v>
      </c>
      <c r="CB245" s="60" t="n">
        <f aca="false">IF(BR245=1,0,IFERROR(VLOOKUP(BP245,'Gebinde-Kategorie'!$A$5:$M$45,5,0)+0,0))</f>
        <v>21</v>
      </c>
      <c r="CC245" s="60" t="n">
        <f aca="false">IFERROR(IF(OR(BT245=1,BT245=2,BT245=3),N(INDEX(Parameter!$I$5:$I$7,BT245)),0),0)</f>
        <v>0</v>
      </c>
      <c r="CD245" s="59" t="n">
        <f aca="false">IF(AND(Parameter!$B$21="Ja",ISNUMBER(U245),N(V245)&gt;0),IFERROR(N(INDEX(Parameter!$L$5:$L$7,U245))*INDEX(Parameter!$E$5:$E$7,U245)*V245/SUMIFS($V$7:$V$1576,$U$7:$U$1576,U245),0),0)</f>
        <v>0</v>
      </c>
    </row>
    <row r="246" customFormat="false" ht="15" hidden="false" customHeight="false" outlineLevel="0" collapsed="false">
      <c r="A246" s="55" t="s">
        <v>666</v>
      </c>
      <c r="B246" s="55" t="s">
        <v>358</v>
      </c>
      <c r="C246" s="55" t="s">
        <v>160</v>
      </c>
      <c r="D246" s="55" t="s">
        <v>168</v>
      </c>
      <c r="E246" s="55" t="s">
        <v>210</v>
      </c>
      <c r="F246" s="56" t="n">
        <v>520</v>
      </c>
      <c r="G246" s="57" t="n">
        <f aca="false">MAX(0,IF(AND(Parameter!$B$21="Ja",ISNUMBER(W246)),W246,IF(Parameter!$B$20="Jahresanfang 2025 + Export",BJ246+BI246,BI246)))</f>
        <v>1</v>
      </c>
      <c r="H246" s="57" t="n">
        <f aca="false">G246*F246</f>
        <v>520</v>
      </c>
      <c r="I246" s="57" t="n">
        <f aca="false">BL246*Parameter!$B$18</f>
        <v>1</v>
      </c>
      <c r="J246" s="58" t="n">
        <v>0.5</v>
      </c>
      <c r="K246" s="59" t="n">
        <v>2</v>
      </c>
      <c r="L246" s="57" t="n">
        <v>0</v>
      </c>
      <c r="M246" s="57" t="n">
        <v>1</v>
      </c>
      <c r="N246" s="60" t="n">
        <v>28</v>
      </c>
      <c r="O246" s="55" t="s">
        <v>163</v>
      </c>
      <c r="P246" s="57"/>
      <c r="Q246" s="60" t="n">
        <f aca="false">IF(BR246=1,0,IFERROR(VLOOKUP(BP246,'Gebinde-Kategorie'!$A$5:$M$45,13,0)+0,0))</f>
        <v>0</v>
      </c>
      <c r="R246" s="61"/>
      <c r="S246" s="62"/>
      <c r="T246" s="62"/>
      <c r="U246" s="55" t="n">
        <v>1</v>
      </c>
      <c r="V246" s="57" t="n">
        <v>1</v>
      </c>
      <c r="W246" s="57" t="n">
        <v>1</v>
      </c>
      <c r="X246" s="55" t="n">
        <f aca="false">IF(A246="","",IF(AND(Parameter!$B$21="Ja",ISNUMBER(U246)),U246,IF(IFERROR(VLOOKUP(D246,Parameter!$A$35:$C$64,2,0),"Nein")="2+3",IF(ISNUMBER(SEARCH("grosser Artikel",BM246)),2,IFERROR(VLOOKUP(BP246,Parameter!$F$35:$G$64,2,0),2)),IF(OR(IFERROR(VLOOKUP(D246,Parameter!$A$35:$C$64,2,0),"Nein")="Nein",IFERROR(VLOOKUP(D246,Parameter!$A$35:$C$64,2,0),"Nein")=""),"-",VLOOKUP(D246,Parameter!$A$35:$C$64,2,0)))))</f>
        <v>1</v>
      </c>
      <c r="Y246" s="62"/>
      <c r="Z246" s="63"/>
      <c r="AA246" s="57" t="n">
        <f aca="false">AP246</f>
        <v>1</v>
      </c>
      <c r="AB246" s="57" t="n">
        <f aca="false">MAX(AP246,G246)</f>
        <v>1</v>
      </c>
      <c r="AC246" s="64"/>
      <c r="AD246" s="57" t="n">
        <f aca="false">IF(LEFT(Cockpit!$C$5,1)="A",G246,IF(BW246=1,BX246,IF(LEFT(Cockpit!$C$5,1)="B",AH246,MAX(AH246,G246))))</f>
        <v>1</v>
      </c>
      <c r="AE246" s="57" t="n">
        <f aca="false">IF(BR246=1,0,ROUNDUP(AD246/BQ246,0))</f>
        <v>0</v>
      </c>
      <c r="AF246" s="59" t="n">
        <f aca="false">IF(CD246&gt;0,CD246*MAX(1,AD246/V246),IF(BR246=1,IF(AD246&lt;=0,0,BS246*MAX(1,IF(G246&gt;0,AD246/G246,1))),IF(Q246&gt;0,AE246/Q246,0))/MAX(0.1,N(Parameter!$M$21)))</f>
        <v>0.0800376647834275</v>
      </c>
      <c r="AG246" s="57" t="n">
        <f aca="false">AD246*F246</f>
        <v>520</v>
      </c>
      <c r="AH246" s="57" t="n">
        <f aca="false">ROUNDUP(MAX(I246/IF(BV246&gt;0,BV246,MAX(0.1,N(Cockpit!$C$6))),BY246)/BQ246,0)*BQ246</f>
        <v>1</v>
      </c>
      <c r="AI246" s="58" t="n">
        <f aca="false">IF(AF246&gt;0,I246/AF246,-1)</f>
        <v>12.4941176470588</v>
      </c>
      <c r="AJ246" s="58" t="n">
        <f aca="false">IF(AND(OR(BU246="L1",BU246="L23"),AF246&gt;0),SUMIFS($AF$7:$AF$1576,$BU$7:$BU$1576,BU246,$AI$7:$AI$1576,"&gt;"&amp;AI246)+SUMIFS($AF$7:$AF$1576,$BU$7:$BU$1576,BU246,$AI$7:$AI$1576,AI246,$BO$7:$BO$1576,"&lt;="&amp;BO246),"")</f>
        <v>20.0094161958569</v>
      </c>
      <c r="AK246" s="65" t="n">
        <f aca="false">IF(AJ246="",0,MAX(0,MIN(1,(IF(BU246="L1",Parameter!$E$5,Parameter!$E$6+Parameter!$E$7)-(AJ246-AF246))/AF246)))</f>
        <v>1</v>
      </c>
      <c r="AL246" s="57" t="n">
        <f aca="false">IF(LEFT(Cockpit!$I$5,1)="A",G246,IF(BW246=1,BX246,IF(LEFT(Cockpit!$I$5,1)="B",AP246,MAX(AP246,G246))))</f>
        <v>1</v>
      </c>
      <c r="AM246" s="57" t="n">
        <f aca="false">IF(BR246=1,0,ROUNDUP(AL246/BQ246,0))</f>
        <v>0</v>
      </c>
      <c r="AN246" s="59" t="n">
        <f aca="false">IF(CD246&gt;0,CD246*MAX(1,AL246/V246),IF(BR246=1,IF(AL246&lt;=0,0,BS246*MAX(1,IF(G246&gt;0,AL246/G246,1))),IF(Q246&gt;0,AM246/Q246,0))/MAX(0.1,N(Parameter!$M$21)))</f>
        <v>0.0800376647834275</v>
      </c>
      <c r="AO246" s="57" t="n">
        <f aca="false">AL246*F246</f>
        <v>520</v>
      </c>
      <c r="AP246" s="57" t="n">
        <f aca="false">ROUNDUP(MAX(I246/IF(BV246&gt;0,BV246,MAX(0.1,N(Cockpit!$I$6))),BY246)/BQ246,0)*BQ246</f>
        <v>1</v>
      </c>
      <c r="AQ246" s="58" t="n">
        <f aca="false">IF(AN246&gt;0,I246/AN246,-1)</f>
        <v>12.4941176470588</v>
      </c>
      <c r="AR246" s="58" t="n">
        <f aca="false">IF(AND(OR(BU246="L1",BU246="L23"),AN246&gt;0),SUMIFS($AN$7:$AN$1576,$BU$7:$BU$1576,BU246,$AQ$7:$AQ$1576,"&gt;"&amp;AQ246)+SUMIFS($AN$7:$AN$1576,$BU$7:$BU$1576,BU246,$AQ$7:$AQ$1576,AQ246,$BO$7:$BO$1576,"&lt;="&amp;BO246),"")</f>
        <v>25.4519774011299</v>
      </c>
      <c r="AS246" s="65" t="n">
        <f aca="false">IF(AR246="",0,MAX(0,MIN(1,(IF(BU246="L1",Parameter!$E$5,Parameter!$E$6+Parameter!$E$7)-(AR246-AN246))/AN246)))</f>
        <v>1</v>
      </c>
      <c r="AT246" s="57" t="n">
        <f aca="false">IF(LEFT(Cockpit!$O$5,1)="A",G246,IF(BW246=1,BX246,IF(LEFT(Cockpit!$O$5,1)="B",AX246,MAX(AX246,G246))))</f>
        <v>1</v>
      </c>
      <c r="AU246" s="57" t="n">
        <f aca="false">IF(BR246=1,0,ROUNDUP(AT246/BQ246,0))</f>
        <v>0</v>
      </c>
      <c r="AV246" s="59" t="n">
        <f aca="false">IF(CD246&gt;0,CD246*MAX(1,AT246/V246),IF(BR246=1,IF(AT246&lt;=0,0,BS246*MAX(1,IF(G246&gt;0,AT246/G246,1))),IF(Q246&gt;0,AU246/Q246,0))/MAX(0.1,N(Parameter!$M$21)))</f>
        <v>0.0800376647834275</v>
      </c>
      <c r="AW246" s="57" t="n">
        <f aca="false">AT246*F246</f>
        <v>520</v>
      </c>
      <c r="AX246" s="57" t="n">
        <f aca="false">ROUNDUP(MAX(I246/IF(BV246&gt;0,BV246,MAX(0.1,N(Cockpit!$O$6))),BY246)/BQ246,0)*BQ246</f>
        <v>1</v>
      </c>
      <c r="AY246" s="58" t="n">
        <f aca="false">IF(AV246&gt;0,I246/AV246,-1)</f>
        <v>12.4941176470588</v>
      </c>
      <c r="AZ246" s="58" t="n">
        <f aca="false">IF(AND(OR(BU246="L1",BU246="L23"),AV246&gt;0),SUMIFS($AV$7:$AV$1576,$BU$7:$BU$1576,BU246,$AY$7:$AY$1576,"&gt;"&amp;AY246)+SUMIFS($AV$7:$AV$1576,$BU$7:$BU$1576,BU246,$AY$7:$AY$1576,AY246,$BO$7:$BO$1576,"&lt;="&amp;BO246),"")</f>
        <v>22.4905838041431</v>
      </c>
      <c r="BA246" s="65" t="n">
        <f aca="false">IF(AZ246="",0,MAX(0,MIN(1,(IF(BU246="L1",Parameter!$E$5,Parameter!$E$6+Parameter!$E$7)-(AZ246-AV246))/AV246)))</f>
        <v>1</v>
      </c>
      <c r="BB246" s="55" t="str">
        <f aca="false">IF(AF246&lt;=0,"",IF(BU246="Aussen","Aussenlager",IF(BU246="-","Nicht im Lift",IF(AK246&gt;=1,"Lift",IF(AK246&lt;=0,"Aussenlager","teilweise")))))</f>
        <v>Lift</v>
      </c>
      <c r="BC246" s="55" t="str">
        <f aca="false">IF(AN246&lt;=0,"",IF(BU246="Aussen","Aussenlager",IF(BU246="-","Nicht im Lift",IF(AS246&gt;=1,"Lift",IF(AS246&lt;=0,"Aussenlager","teilweise")))))</f>
        <v>Lift</v>
      </c>
      <c r="BD246" s="55" t="str">
        <f aca="false">IF(AV246&lt;=0,"",IF(BU246="Aussen","Aussenlager",IF(BU246="-","Nicht im Lift",IF(BA246&gt;=1,"Lift",IF(BA246&lt;=0,"Aussenlager","teilweise")))))</f>
        <v>Lift</v>
      </c>
      <c r="BE246" s="55" t="str">
        <f aca="false">IF(A246="","",IF(BN246=1,"Neu; ","")&amp;IF(AND(BN246=0,BI246&lt;0),"negativer Bestand (Export "&amp;BI246&amp;"); ","")&amp;IF(I246&lt;=0,"Kein Verbrauch; ","")&amp;IF(CD246&gt;0,"Lift "&amp;U246&amp;" lt. Liftbericht (Fach "&amp;V246&amp;" Stk); ",IF(BR246=1,"Lose – Fläche geschätzt; ",""))&amp;IF(G246&gt;AP246,"Überbestand "&amp;ROUND(G246-AP246,0)&amp;" Stk / CHF "&amp;ROUND((G246-AP246)*F246,0)&amp;"; ","")&amp;IF(AND(BW246=1,BX246&lt;BY246),"MAX &lt; MB+LG; ","")&amp;IF(AND(CC246&gt;0,CB246*10&gt;CC246),"zu hoch für Tablar; ","")&amp;IF(AND(BN246=0,OR(BW246=1,Y246&lt;&gt;"",S246&lt;&gt;"",T246&lt;&gt;"",Z246&lt;&gt;"")),"manuell übersteuert; ","")&amp;IF(AND(BR246=0,Q246=0),"Gebinde unbekannt / Stellmass fehlt; ","")&amp;IF(AND(BR246=0,N(T246)&lt;=0,N(P246)&lt;=0),"Menge pro Gebinde fehlt (Ist = 1 Gebinde); ","")&amp;BM246)</f>
        <v>Lift 1 lt. Liftbericht (Fach 1 Stk); </v>
      </c>
      <c r="BF246" s="55"/>
      <c r="BG246" s="55"/>
      <c r="BH246" s="62"/>
      <c r="BI246" s="57" t="n">
        <v>1</v>
      </c>
      <c r="BJ246" s="57" t="n">
        <v>0</v>
      </c>
      <c r="BK246" s="56" t="n">
        <v>520</v>
      </c>
      <c r="BL246" s="57" t="n">
        <v>1</v>
      </c>
      <c r="BM246" s="55"/>
      <c r="BN246" s="60" t="n">
        <v>0</v>
      </c>
      <c r="BO246" s="60" t="n">
        <v>246</v>
      </c>
      <c r="BP246" s="55" t="str">
        <f aca="false">IF(S246&lt;&gt;"",UPPER(TRIM(S246)),IF(O246="","LOSE",O246))</f>
        <v>LOSE</v>
      </c>
      <c r="BQ246" s="57" t="n">
        <f aca="false">IF(BP246="LOSE",1,IF(N(T246)&gt;0,T246,IF(N(P246)&gt;0,P246,MAX(1,G246))))</f>
        <v>1</v>
      </c>
      <c r="BR246" s="60" t="n">
        <f aca="false">IF(BP246="LOSE",1,0)</f>
        <v>1</v>
      </c>
      <c r="BS246" s="59" t="n">
        <f aca="false">IF(BR246=0,0,IF(N(R246)&gt;0,R246,IFERROR(VLOOKUP(D246,Parameter!$A$35:$C$64,3,0)+0,0)))</f>
        <v>0.15</v>
      </c>
      <c r="BT246" s="55" t="n">
        <f aca="false">IF(Y246&lt;&gt;"",Y246,X246)</f>
        <v>1</v>
      </c>
      <c r="BU246" s="55" t="str">
        <f aca="false">IF(BT246=1,"L1",IF(OR(BT246=2,BT246=3),"L23",IF(BT246="Aussen","Aussen","-")))</f>
        <v>L1</v>
      </c>
      <c r="BV246" s="66" t="n">
        <f aca="false">IF(N(Z246)&gt;0,Z246,0)</f>
        <v>0</v>
      </c>
      <c r="BW246" s="60" t="n">
        <f aca="false">IF(ISNUMBER(AC246),1,0)</f>
        <v>0</v>
      </c>
      <c r="BX246" s="57" t="n">
        <f aca="false">N(AC246)</f>
        <v>0</v>
      </c>
      <c r="BY246" s="57" t="n">
        <f aca="false">N(L246)+N(M246)</f>
        <v>1</v>
      </c>
      <c r="BZ246" s="57" t="n">
        <f aca="false">ROUNDUP(G246/BQ246,0)</f>
        <v>1</v>
      </c>
      <c r="CA246" s="57" t="n">
        <f aca="false">ROUNDUP(BX246/BQ246,0)</f>
        <v>0</v>
      </c>
      <c r="CB246" s="60" t="n">
        <f aca="false">IF(BR246=1,0,IFERROR(VLOOKUP(BP246,'Gebinde-Kategorie'!$A$5:$M$45,5,0)+0,0))</f>
        <v>0</v>
      </c>
      <c r="CC246" s="60" t="n">
        <f aca="false">IFERROR(IF(OR(BT246=1,BT246=2,BT246=3),N(INDEX(Parameter!$I$5:$I$7,BT246)),0),0)</f>
        <v>0</v>
      </c>
      <c r="CD246" s="59" t="n">
        <f aca="false">IF(AND(Parameter!$B$21="Ja",ISNUMBER(U246),N(V246)&gt;0),IFERROR(N(INDEX(Parameter!$L$5:$L$7,U246))*INDEX(Parameter!$E$5:$E$7,U246)*V246/SUMIFS($V$7:$V$1576,$U$7:$U$1576,U246),0),0)</f>
        <v>0.0800376647834275</v>
      </c>
    </row>
    <row r="247" customFormat="false" ht="15" hidden="false" customHeight="false" outlineLevel="0" collapsed="false">
      <c r="A247" s="55" t="s">
        <v>667</v>
      </c>
      <c r="B247" s="55" t="s">
        <v>668</v>
      </c>
      <c r="C247" s="55" t="s">
        <v>160</v>
      </c>
      <c r="D247" s="55" t="s">
        <v>178</v>
      </c>
      <c r="E247" s="55" t="s">
        <v>210</v>
      </c>
      <c r="F247" s="56" t="n">
        <v>37</v>
      </c>
      <c r="G247" s="57" t="n">
        <f aca="false">MAX(0,IF(AND(Parameter!$B$21="Ja",ISNUMBER(W247)),W247,IF(Parameter!$B$20="Jahresanfang 2025 + Export",BJ247+BI247,BI247)))</f>
        <v>14</v>
      </c>
      <c r="H247" s="57" t="n">
        <f aca="false">G247*F247</f>
        <v>518</v>
      </c>
      <c r="I247" s="57" t="n">
        <f aca="false">BL247*Parameter!$B$18</f>
        <v>1</v>
      </c>
      <c r="J247" s="58" t="n">
        <v>7</v>
      </c>
      <c r="K247" s="59" t="n">
        <v>0.142857142857143</v>
      </c>
      <c r="L247" s="57" t="n">
        <v>0</v>
      </c>
      <c r="M247" s="57" t="n">
        <v>1</v>
      </c>
      <c r="N247" s="60" t="n">
        <v>35</v>
      </c>
      <c r="O247" s="55" t="s">
        <v>416</v>
      </c>
      <c r="P247" s="57" t="n">
        <v>8</v>
      </c>
      <c r="Q247" s="60" t="n">
        <f aca="false">IF(BR247=1,0,IFERROR(VLOOKUP(BP247,'Gebinde-Kategorie'!$A$5:$M$45,13,0)+0,0))</f>
        <v>198</v>
      </c>
      <c r="R247" s="61"/>
      <c r="S247" s="62"/>
      <c r="T247" s="62"/>
      <c r="U247" s="55"/>
      <c r="V247" s="57"/>
      <c r="W247" s="57"/>
      <c r="X247" s="55" t="n">
        <f aca="false">IF(A247="","",IF(AND(Parameter!$B$21="Ja",ISNUMBER(U247)),U247,IF(IFERROR(VLOOKUP(D247,Parameter!$A$35:$C$64,2,0),"Nein")="2+3",IF(ISNUMBER(SEARCH("grosser Artikel",BM247)),2,IFERROR(VLOOKUP(BP247,Parameter!$F$35:$G$64,2,0),2)),IF(OR(IFERROR(VLOOKUP(D247,Parameter!$A$35:$C$64,2,0),"Nein")="Nein",IFERROR(VLOOKUP(D247,Parameter!$A$35:$C$64,2,0),"Nein")=""),"-",VLOOKUP(D247,Parameter!$A$35:$C$64,2,0)))))</f>
        <v>3</v>
      </c>
      <c r="Y247" s="62"/>
      <c r="Z247" s="63"/>
      <c r="AA247" s="57" t="n">
        <f aca="false">AP247</f>
        <v>8</v>
      </c>
      <c r="AB247" s="57" t="n">
        <f aca="false">MAX(AP247,G247)</f>
        <v>14</v>
      </c>
      <c r="AC247" s="64"/>
      <c r="AD247" s="57" t="n">
        <f aca="false">IF(LEFT(Cockpit!$C$5,1)="A",G247,IF(BW247=1,BX247,IF(LEFT(Cockpit!$C$5,1)="B",AH247,MAX(AH247,G247))))</f>
        <v>14</v>
      </c>
      <c r="AE247" s="57" t="n">
        <f aca="false">IF(BR247=1,0,ROUNDUP(AD247/BQ247,0))</f>
        <v>2</v>
      </c>
      <c r="AF247" s="59" t="n">
        <f aca="false">IF(CD247&gt;0,CD247*MAX(1,AD247/V247),IF(BR247=1,IF(AD247&lt;=0,0,BS247*MAX(1,IF(G247&gt;0,AD247/G247,1))),IF(Q247&gt;0,AE247/Q247,0))/MAX(0.1,N(Parameter!$M$21)))</f>
        <v>0.0101010101010101</v>
      </c>
      <c r="AG247" s="57" t="n">
        <f aca="false">AD247*F247</f>
        <v>518</v>
      </c>
      <c r="AH247" s="57" t="n">
        <f aca="false">ROUNDUP(MAX(I247/IF(BV247&gt;0,BV247,MAX(0.1,N(Cockpit!$C$6))),BY247)/BQ247,0)*BQ247</f>
        <v>8</v>
      </c>
      <c r="AI247" s="58" t="n">
        <f aca="false">IF(AF247&gt;0,I247/AF247,-1)</f>
        <v>99</v>
      </c>
      <c r="AJ247" s="58" t="n">
        <f aca="false">IF(AND(OR(BU247="L1",BU247="L23"),AF247&gt;0),SUMIFS($AF$7:$AF$1576,$BU$7:$BU$1576,BU247,$AI$7:$AI$1576,"&gt;"&amp;AI247)+SUMIFS($AF$7:$AF$1576,$BU$7:$BU$1576,BU247,$AI$7:$AI$1576,AI247,$BO$7:$BO$1576,"&lt;="&amp;BO247),"")</f>
        <v>22.4911519881085</v>
      </c>
      <c r="AK247" s="65" t="n">
        <f aca="false">IF(AJ247="",0,MAX(0,MIN(1,(IF(BU247="L1",Parameter!$E$5,Parameter!$E$6+Parameter!$E$7)-(AJ247-AF247))/AF247)))</f>
        <v>1</v>
      </c>
      <c r="AL247" s="57" t="n">
        <f aca="false">IF(LEFT(Cockpit!$I$5,1)="A",G247,IF(BW247=1,BX247,IF(LEFT(Cockpit!$I$5,1)="B",AP247,MAX(AP247,G247))))</f>
        <v>14</v>
      </c>
      <c r="AM247" s="57" t="n">
        <f aca="false">IF(BR247=1,0,ROUNDUP(AL247/BQ247,0))</f>
        <v>2</v>
      </c>
      <c r="AN247" s="59" t="n">
        <f aca="false">IF(CD247&gt;0,CD247*MAX(1,AL247/V247),IF(BR247=1,IF(AL247&lt;=0,0,BS247*MAX(1,IF(G247&gt;0,AL247/G247,1))),IF(Q247&gt;0,AM247/Q247,0))/MAX(0.1,N(Parameter!$M$21)))</f>
        <v>0.0101010101010101</v>
      </c>
      <c r="AO247" s="57" t="n">
        <f aca="false">AL247*F247</f>
        <v>518</v>
      </c>
      <c r="AP247" s="57" t="n">
        <f aca="false">ROUNDUP(MAX(I247/IF(BV247&gt;0,BV247,MAX(0.1,N(Cockpit!$I$6))),BY247)/BQ247,0)*BQ247</f>
        <v>8</v>
      </c>
      <c r="AQ247" s="58" t="n">
        <f aca="false">IF(AN247&gt;0,I247/AN247,-1)</f>
        <v>99</v>
      </c>
      <c r="AR247" s="58" t="n">
        <f aca="false">IF(AND(OR(BU247="L1",BU247="L23"),AN247&gt;0),SUMIFS($AN$7:$AN$1576,$BU$7:$BU$1576,BU247,$AQ$7:$AQ$1576,"&gt;"&amp;AQ247)+SUMIFS($AN$7:$AN$1576,$BU$7:$BU$1576,BU247,$AQ$7:$AQ$1576,AQ247,$BO$7:$BO$1576,"&lt;="&amp;BO247),"")</f>
        <v>69.6168790331402</v>
      </c>
      <c r="AS247" s="65" t="n">
        <f aca="false">IF(AR247="",0,MAX(0,MIN(1,(IF(BU247="L1",Parameter!$E$5,Parameter!$E$6+Parameter!$E$7)-(AR247-AN247))/AN247)))</f>
        <v>1</v>
      </c>
      <c r="AT247" s="57" t="n">
        <f aca="false">IF(LEFT(Cockpit!$O$5,1)="A",G247,IF(BW247=1,BX247,IF(LEFT(Cockpit!$O$5,1)="B",AX247,MAX(AX247,G247))))</f>
        <v>14</v>
      </c>
      <c r="AU247" s="57" t="n">
        <f aca="false">IF(BR247=1,0,ROUNDUP(AT247/BQ247,0))</f>
        <v>2</v>
      </c>
      <c r="AV247" s="59" t="n">
        <f aca="false">IF(CD247&gt;0,CD247*MAX(1,AT247/V247),IF(BR247=1,IF(AT247&lt;=0,0,BS247*MAX(1,IF(G247&gt;0,AT247/G247,1))),IF(Q247&gt;0,AU247/Q247,0))/MAX(0.1,N(Parameter!$M$21)))</f>
        <v>0.0101010101010101</v>
      </c>
      <c r="AW247" s="57" t="n">
        <f aca="false">AT247*F247</f>
        <v>518</v>
      </c>
      <c r="AX247" s="57" t="n">
        <f aca="false">ROUNDUP(MAX(I247/IF(BV247&gt;0,BV247,MAX(0.1,N(Cockpit!$O$6))),BY247)/BQ247,0)*BQ247</f>
        <v>8</v>
      </c>
      <c r="AY247" s="58" t="n">
        <f aca="false">IF(AV247&gt;0,I247/AV247,-1)</f>
        <v>99</v>
      </c>
      <c r="AZ247" s="58" t="n">
        <f aca="false">IF(AND(OR(BU247="L1",BU247="L23"),AV247&gt;0),SUMIFS($AV$7:$AV$1576,$BU$7:$BU$1576,BU247,$AY$7:$AY$1576,"&gt;"&amp;AY247)+SUMIFS($AV$7:$AV$1576,$BU$7:$BU$1576,BU247,$AY$7:$AY$1576,AY247,$BO$7:$BO$1576,"&lt;="&amp;BO247),"")</f>
        <v>64.177262816024</v>
      </c>
      <c r="BA247" s="65" t="n">
        <f aca="false">IF(AZ247="",0,MAX(0,MIN(1,(IF(BU247="L1",Parameter!$E$5,Parameter!$E$6+Parameter!$E$7)-(AZ247-AV247))/AV247)))</f>
        <v>1</v>
      </c>
      <c r="BB247" s="55" t="str">
        <f aca="false">IF(AF247&lt;=0,"",IF(BU247="Aussen","Aussenlager",IF(BU247="-","Nicht im Lift",IF(AK247&gt;=1,"Lift",IF(AK247&lt;=0,"Aussenlager","teilweise")))))</f>
        <v>Lift</v>
      </c>
      <c r="BC247" s="55" t="str">
        <f aca="false">IF(AN247&lt;=0,"",IF(BU247="Aussen","Aussenlager",IF(BU247="-","Nicht im Lift",IF(AS247&gt;=1,"Lift",IF(AS247&lt;=0,"Aussenlager","teilweise")))))</f>
        <v>Lift</v>
      </c>
      <c r="BD247" s="55" t="str">
        <f aca="false">IF(AV247&lt;=0,"",IF(BU247="Aussen","Aussenlager",IF(BU247="-","Nicht im Lift",IF(BA247&gt;=1,"Lift",IF(BA247&lt;=0,"Aussenlager","teilweise")))))</f>
        <v>Lift</v>
      </c>
      <c r="BE247" s="55" t="str">
        <f aca="false">IF(A247="","",IF(BN247=1,"Neu; ","")&amp;IF(AND(BN247=0,BI247&lt;0),"negativer Bestand (Export "&amp;BI247&amp;"); ","")&amp;IF(I247&lt;=0,"Kein Verbrauch; ","")&amp;IF(CD247&gt;0,"Lift "&amp;U247&amp;" lt. Liftbericht (Fach "&amp;V247&amp;" Stk); ",IF(BR247=1,"Lose – Fläche geschätzt; ",""))&amp;IF(G247&gt;AP247,"Überbestand "&amp;ROUND(G247-AP247,0)&amp;" Stk / CHF "&amp;ROUND((G247-AP247)*F247,0)&amp;"; ","")&amp;IF(AND(BW247=1,BX247&lt;BY247),"MAX &lt; MB+LG; ","")&amp;IF(AND(CC247&gt;0,CB247*10&gt;CC247),"zu hoch für Tablar; ","")&amp;IF(AND(BN247=0,OR(BW247=1,Y247&lt;&gt;"",S247&lt;&gt;"",T247&lt;&gt;"",Z247&lt;&gt;"")),"manuell übersteuert; ","")&amp;IF(AND(BR247=0,Q247=0),"Gebinde unbekannt / Stellmass fehlt; ","")&amp;IF(AND(BR247=0,N(T247)&lt;=0,N(P247)&lt;=0),"Menge pro Gebinde fehlt (Ist = 1 Gebinde); ","")&amp;BM247)</f>
        <v>Überbestand 6 Stk / CHF 222; </v>
      </c>
      <c r="BF247" s="55"/>
      <c r="BG247" s="55"/>
      <c r="BH247" s="62"/>
      <c r="BI247" s="57" t="n">
        <v>14</v>
      </c>
      <c r="BJ247" s="57" t="n">
        <v>0</v>
      </c>
      <c r="BK247" s="56" t="n">
        <v>518</v>
      </c>
      <c r="BL247" s="57" t="n">
        <v>1</v>
      </c>
      <c r="BM247" s="55"/>
      <c r="BN247" s="60" t="n">
        <v>0</v>
      </c>
      <c r="BO247" s="60" t="n">
        <v>247</v>
      </c>
      <c r="BP247" s="55" t="str">
        <f aca="false">IF(S247&lt;&gt;"",UPPER(TRIM(S247)),IF(O247="","LOSE",O247))</f>
        <v>S22</v>
      </c>
      <c r="BQ247" s="57" t="n">
        <f aca="false">IF(BP247="LOSE",1,IF(N(T247)&gt;0,T247,IF(N(P247)&gt;0,P247,MAX(1,G247))))</f>
        <v>8</v>
      </c>
      <c r="BR247" s="60" t="n">
        <f aca="false">IF(BP247="LOSE",1,0)</f>
        <v>0</v>
      </c>
      <c r="BS247" s="59" t="n">
        <f aca="false">IF(BR247=0,0,IF(N(R247)&gt;0,R247,IFERROR(VLOOKUP(D247,Parameter!$A$35:$C$64,3,0)+0,0)))</f>
        <v>0</v>
      </c>
      <c r="BT247" s="55" t="n">
        <f aca="false">IF(Y247&lt;&gt;"",Y247,X247)</f>
        <v>3</v>
      </c>
      <c r="BU247" s="55" t="str">
        <f aca="false">IF(BT247=1,"L1",IF(OR(BT247=2,BT247=3),"L23",IF(BT247="Aussen","Aussen","-")))</f>
        <v>L23</v>
      </c>
      <c r="BV247" s="66" t="n">
        <f aca="false">IF(N(Z247)&gt;0,Z247,0)</f>
        <v>0</v>
      </c>
      <c r="BW247" s="60" t="n">
        <f aca="false">IF(ISNUMBER(AC247),1,0)</f>
        <v>0</v>
      </c>
      <c r="BX247" s="57" t="n">
        <f aca="false">N(AC247)</f>
        <v>0</v>
      </c>
      <c r="BY247" s="57" t="n">
        <f aca="false">N(L247)+N(M247)</f>
        <v>1</v>
      </c>
      <c r="BZ247" s="57" t="n">
        <f aca="false">ROUNDUP(G247/BQ247,0)</f>
        <v>2</v>
      </c>
      <c r="CA247" s="57" t="n">
        <f aca="false">ROUNDUP(BX247/BQ247,0)</f>
        <v>0</v>
      </c>
      <c r="CB247" s="60" t="n">
        <f aca="false">IF(BR247=1,0,IFERROR(VLOOKUP(BP247,'Gebinde-Kategorie'!$A$5:$M$45,5,0)+0,0))</f>
        <v>8</v>
      </c>
      <c r="CC247" s="60" t="n">
        <f aca="false">IFERROR(IF(OR(BT247=1,BT247=2,BT247=3),N(INDEX(Parameter!$I$5:$I$7,BT247)),0),0)</f>
        <v>0</v>
      </c>
      <c r="CD247" s="59" t="n">
        <f aca="false">IF(AND(Parameter!$B$21="Ja",ISNUMBER(U247),N(V247)&gt;0),IFERROR(N(INDEX(Parameter!$L$5:$L$7,U247))*INDEX(Parameter!$E$5:$E$7,U247)*V247/SUMIFS($V$7:$V$1576,$U$7:$U$1576,U247),0),0)</f>
        <v>0</v>
      </c>
    </row>
    <row r="248" customFormat="false" ht="15" hidden="false" customHeight="false" outlineLevel="0" collapsed="false">
      <c r="A248" s="55" t="s">
        <v>669</v>
      </c>
      <c r="B248" s="55" t="s">
        <v>670</v>
      </c>
      <c r="C248" s="55" t="s">
        <v>160</v>
      </c>
      <c r="D248" s="55" t="s">
        <v>178</v>
      </c>
      <c r="E248" s="55" t="s">
        <v>210</v>
      </c>
      <c r="F248" s="56" t="n">
        <v>2.83</v>
      </c>
      <c r="G248" s="57" t="n">
        <f aca="false">MAX(0,IF(AND(Parameter!$B$21="Ja",ISNUMBER(W248)),W248,IF(Parameter!$B$20="Jahresanfang 2025 + Export",BJ248+BI248,BI248)))</f>
        <v>184</v>
      </c>
      <c r="H248" s="57" t="n">
        <f aca="false">G248*F248</f>
        <v>520.72</v>
      </c>
      <c r="I248" s="57" t="n">
        <f aca="false">BL248*Parameter!$B$18</f>
        <v>300</v>
      </c>
      <c r="J248" s="58" t="n">
        <v>155</v>
      </c>
      <c r="K248" s="59" t="n">
        <v>1.93548387096774</v>
      </c>
      <c r="L248" s="57" t="n">
        <v>35</v>
      </c>
      <c r="M248" s="57" t="n">
        <v>300</v>
      </c>
      <c r="N248" s="60" t="n">
        <v>42</v>
      </c>
      <c r="O248" s="55" t="s">
        <v>465</v>
      </c>
      <c r="P248" s="57" t="n">
        <v>150</v>
      </c>
      <c r="Q248" s="60" t="n">
        <f aca="false">IF(BR248=1,0,IFERROR(VLOOKUP(BP248,'Gebinde-Kategorie'!$A$5:$M$45,13,0)+0,0))</f>
        <v>66</v>
      </c>
      <c r="R248" s="61"/>
      <c r="S248" s="62"/>
      <c r="T248" s="62"/>
      <c r="U248" s="55"/>
      <c r="V248" s="57"/>
      <c r="W248" s="57"/>
      <c r="X248" s="55" t="n">
        <f aca="false">IF(A248="","",IF(AND(Parameter!$B$21="Ja",ISNUMBER(U248)),U248,IF(IFERROR(VLOOKUP(D248,Parameter!$A$35:$C$64,2,0),"Nein")="2+3",IF(ISNUMBER(SEARCH("grosser Artikel",BM248)),2,IFERROR(VLOOKUP(BP248,Parameter!$F$35:$G$64,2,0),2)),IF(OR(IFERROR(VLOOKUP(D248,Parameter!$A$35:$C$64,2,0),"Nein")="Nein",IFERROR(VLOOKUP(D248,Parameter!$A$35:$C$64,2,0),"Nein")=""),"-",VLOOKUP(D248,Parameter!$A$35:$C$64,2,0)))))</f>
        <v>3</v>
      </c>
      <c r="Y248" s="62"/>
      <c r="Z248" s="63"/>
      <c r="AA248" s="57" t="n">
        <f aca="false">AP248</f>
        <v>450</v>
      </c>
      <c r="AB248" s="57" t="n">
        <f aca="false">MAX(AP248,G248)</f>
        <v>450</v>
      </c>
      <c r="AC248" s="64"/>
      <c r="AD248" s="57" t="n">
        <f aca="false">IF(LEFT(Cockpit!$C$5,1)="A",G248,IF(BW248=1,BX248,IF(LEFT(Cockpit!$C$5,1)="B",AH248,MAX(AH248,G248))))</f>
        <v>184</v>
      </c>
      <c r="AE248" s="57" t="n">
        <f aca="false">IF(BR248=1,0,ROUNDUP(AD248/BQ248,0))</f>
        <v>2</v>
      </c>
      <c r="AF248" s="59" t="n">
        <f aca="false">IF(CD248&gt;0,CD248*MAX(1,AD248/V248),IF(BR248=1,IF(AD248&lt;=0,0,BS248*MAX(1,IF(G248&gt;0,AD248/G248,1))),IF(Q248&gt;0,AE248/Q248,0))/MAX(0.1,N(Parameter!$M$21)))</f>
        <v>0.0303030303030303</v>
      </c>
      <c r="AG248" s="57" t="n">
        <f aca="false">AD248*F248</f>
        <v>520.72</v>
      </c>
      <c r="AH248" s="57" t="n">
        <f aca="false">ROUNDUP(MAX(I248/IF(BV248&gt;0,BV248,MAX(0.1,N(Cockpit!$C$6))),BY248)/BQ248,0)*BQ248</f>
        <v>450</v>
      </c>
      <c r="AI248" s="58" t="n">
        <f aca="false">IF(AF248&gt;0,I248/AF248,-1)</f>
        <v>9900</v>
      </c>
      <c r="AJ248" s="58" t="n">
        <f aca="false">IF(AND(OR(BU248="L1",BU248="L23"),AF248&gt;0),SUMIFS($AF$7:$AF$1576,$BU$7:$BU$1576,BU248,$AI$7:$AI$1576,"&gt;"&amp;AI248)+SUMIFS($AF$7:$AF$1576,$BU$7:$BU$1576,BU248,$AI$7:$AI$1576,AI248,$BO$7:$BO$1576,"&lt;="&amp;BO248),"")</f>
        <v>2.62692138779095</v>
      </c>
      <c r="AK248" s="65" t="n">
        <f aca="false">IF(AJ248="",0,MAX(0,MIN(1,(IF(BU248="L1",Parameter!$E$5,Parameter!$E$6+Parameter!$E$7)-(AJ248-AF248))/AF248)))</f>
        <v>1</v>
      </c>
      <c r="AL248" s="57" t="n">
        <f aca="false">IF(LEFT(Cockpit!$I$5,1)="A",G248,IF(BW248=1,BX248,IF(LEFT(Cockpit!$I$5,1)="B",AP248,MAX(AP248,G248))))</f>
        <v>450</v>
      </c>
      <c r="AM248" s="57" t="n">
        <f aca="false">IF(BR248=1,0,ROUNDUP(AL248/BQ248,0))</f>
        <v>3</v>
      </c>
      <c r="AN248" s="59" t="n">
        <f aca="false">IF(CD248&gt;0,CD248*MAX(1,AL248/V248),IF(BR248=1,IF(AL248&lt;=0,0,BS248*MAX(1,IF(G248&gt;0,AL248/G248,1))),IF(Q248&gt;0,AM248/Q248,0))/MAX(0.1,N(Parameter!$M$21)))</f>
        <v>0.0454545454545455</v>
      </c>
      <c r="AO248" s="57" t="n">
        <f aca="false">AL248*F248</f>
        <v>1273.5</v>
      </c>
      <c r="AP248" s="57" t="n">
        <f aca="false">ROUNDUP(MAX(I248/IF(BV248&gt;0,BV248,MAX(0.1,N(Cockpit!$I$6))),BY248)/BQ248,0)*BQ248</f>
        <v>450</v>
      </c>
      <c r="AQ248" s="58" t="n">
        <f aca="false">IF(AN248&gt;0,I248/AN248,-1)</f>
        <v>6600</v>
      </c>
      <c r="AR248" s="58" t="n">
        <f aca="false">IF(AND(OR(BU248="L1",BU248="L23"),AN248&gt;0),SUMIFS($AN$7:$AN$1576,$BU$7:$BU$1576,BU248,$AQ$7:$AQ$1576,"&gt;"&amp;AQ248)+SUMIFS($AN$7:$AN$1576,$BU$7:$BU$1576,BU248,$AQ$7:$AQ$1576,AQ248,$BO$7:$BO$1576,"&lt;="&amp;BO248),"")</f>
        <v>9.93053781966825</v>
      </c>
      <c r="AS248" s="65" t="n">
        <f aca="false">IF(AR248="",0,MAX(0,MIN(1,(IF(BU248="L1",Parameter!$E$5,Parameter!$E$6+Parameter!$E$7)-(AR248-AN248))/AN248)))</f>
        <v>1</v>
      </c>
      <c r="AT248" s="57" t="n">
        <f aca="false">IF(LEFT(Cockpit!$O$5,1)="A",G248,IF(BW248=1,BX248,IF(LEFT(Cockpit!$O$5,1)="B",AX248,MAX(AX248,G248))))</f>
        <v>450</v>
      </c>
      <c r="AU248" s="57" t="n">
        <f aca="false">IF(BR248=1,0,ROUNDUP(AT248/BQ248,0))</f>
        <v>3</v>
      </c>
      <c r="AV248" s="59" t="n">
        <f aca="false">IF(CD248&gt;0,CD248*MAX(1,AT248/V248),IF(BR248=1,IF(AT248&lt;=0,0,BS248*MAX(1,IF(G248&gt;0,AT248/G248,1))),IF(Q248&gt;0,AU248/Q248,0))/MAX(0.1,N(Parameter!$M$21)))</f>
        <v>0.0454545454545455</v>
      </c>
      <c r="AW248" s="57" t="n">
        <f aca="false">AT248*F248</f>
        <v>1273.5</v>
      </c>
      <c r="AX248" s="57" t="n">
        <f aca="false">ROUNDUP(MAX(I248/IF(BV248&gt;0,BV248,MAX(0.1,N(Cockpit!$O$6))),BY248)/BQ248,0)*BQ248</f>
        <v>450</v>
      </c>
      <c r="AY248" s="58" t="n">
        <f aca="false">IF(AV248&gt;0,I248/AV248,-1)</f>
        <v>6600</v>
      </c>
      <c r="AZ248" s="58" t="n">
        <f aca="false">IF(AND(OR(BU248="L1",BU248="L23"),AV248&gt;0),SUMIFS($AV$7:$AV$1576,$BU$7:$BU$1576,BU248,$AY$7:$AY$1576,"&gt;"&amp;AY248)+SUMIFS($AV$7:$AV$1576,$BU$7:$BU$1576,BU248,$AY$7:$AY$1576,AY248,$BO$7:$BO$1576,"&lt;="&amp;BO248),"")</f>
        <v>9.11293875206919</v>
      </c>
      <c r="BA248" s="65" t="n">
        <f aca="false">IF(AZ248="",0,MAX(0,MIN(1,(IF(BU248="L1",Parameter!$E$5,Parameter!$E$6+Parameter!$E$7)-(AZ248-AV248))/AV248)))</f>
        <v>1</v>
      </c>
      <c r="BB248" s="55" t="str">
        <f aca="false">IF(AF248&lt;=0,"",IF(BU248="Aussen","Aussenlager",IF(BU248="-","Nicht im Lift",IF(AK248&gt;=1,"Lift",IF(AK248&lt;=0,"Aussenlager","teilweise")))))</f>
        <v>Lift</v>
      </c>
      <c r="BC248" s="55" t="str">
        <f aca="false">IF(AN248&lt;=0,"",IF(BU248="Aussen","Aussenlager",IF(BU248="-","Nicht im Lift",IF(AS248&gt;=1,"Lift",IF(AS248&lt;=0,"Aussenlager","teilweise")))))</f>
        <v>Lift</v>
      </c>
      <c r="BD248" s="55" t="str">
        <f aca="false">IF(AV248&lt;=0,"",IF(BU248="Aussen","Aussenlager",IF(BU248="-","Nicht im Lift",IF(BA248&gt;=1,"Lift",IF(BA248&lt;=0,"Aussenlager","teilweise")))))</f>
        <v>Lift</v>
      </c>
      <c r="BE248" s="55" t="str">
        <f aca="false">IF(A248="","",IF(BN248=1,"Neu; ","")&amp;IF(AND(BN248=0,BI248&lt;0),"negativer Bestand (Export "&amp;BI248&amp;"); ","")&amp;IF(I248&lt;=0,"Kein Verbrauch; ","")&amp;IF(CD248&gt;0,"Lift "&amp;U248&amp;" lt. Liftbericht (Fach "&amp;V248&amp;" Stk); ",IF(BR248=1,"Lose – Fläche geschätzt; ",""))&amp;IF(G248&gt;AP248,"Überbestand "&amp;ROUND(G248-AP248,0)&amp;" Stk / CHF "&amp;ROUND((G248-AP248)*F248,0)&amp;"; ","")&amp;IF(AND(BW248=1,BX248&lt;BY248),"MAX &lt; MB+LG; ","")&amp;IF(AND(CC248&gt;0,CB248*10&gt;CC248),"zu hoch für Tablar; ","")&amp;IF(AND(BN248=0,OR(BW248=1,Y248&lt;&gt;"",S248&lt;&gt;"",T248&lt;&gt;"",Z248&lt;&gt;"")),"manuell übersteuert; ","")&amp;IF(AND(BR248=0,Q248=0),"Gebinde unbekannt / Stellmass fehlt; ","")&amp;IF(AND(BR248=0,N(T248)&lt;=0,N(P248)&lt;=0),"Menge pro Gebinde fehlt (Ist = 1 Gebinde); ","")&amp;BM248)</f>
        <v>nicht im KTL vorhanden</v>
      </c>
      <c r="BF248" s="55"/>
      <c r="BG248" s="55"/>
      <c r="BH248" s="62"/>
      <c r="BI248" s="57" t="n">
        <v>184</v>
      </c>
      <c r="BJ248" s="57" t="n">
        <v>153</v>
      </c>
      <c r="BK248" s="56" t="n">
        <v>517.66</v>
      </c>
      <c r="BL248" s="57" t="n">
        <v>300</v>
      </c>
      <c r="BM248" s="55" t="s">
        <v>222</v>
      </c>
      <c r="BN248" s="60" t="n">
        <v>0</v>
      </c>
      <c r="BO248" s="60" t="n">
        <v>248</v>
      </c>
      <c r="BP248" s="55" t="str">
        <f aca="false">IF(S248&lt;&gt;"",UPPER(TRIM(S248)),IF(O248="","LOSE",O248))</f>
        <v>S33</v>
      </c>
      <c r="BQ248" s="57" t="n">
        <f aca="false">IF(BP248="LOSE",1,IF(N(T248)&gt;0,T248,IF(N(P248)&gt;0,P248,MAX(1,G248))))</f>
        <v>150</v>
      </c>
      <c r="BR248" s="60" t="n">
        <f aca="false">IF(BP248="LOSE",1,0)</f>
        <v>0</v>
      </c>
      <c r="BS248" s="59" t="n">
        <f aca="false">IF(BR248=0,0,IF(N(R248)&gt;0,R248,IFERROR(VLOOKUP(D248,Parameter!$A$35:$C$64,3,0)+0,0)))</f>
        <v>0</v>
      </c>
      <c r="BT248" s="55" t="n">
        <f aca="false">IF(Y248&lt;&gt;"",Y248,X248)</f>
        <v>3</v>
      </c>
      <c r="BU248" s="55" t="str">
        <f aca="false">IF(BT248=1,"L1",IF(OR(BT248=2,BT248=3),"L23",IF(BT248="Aussen","Aussen","-")))</f>
        <v>L23</v>
      </c>
      <c r="BV248" s="66" t="n">
        <f aca="false">IF(N(Z248)&gt;0,Z248,0)</f>
        <v>0</v>
      </c>
      <c r="BW248" s="60" t="n">
        <f aca="false">IF(ISNUMBER(AC248),1,0)</f>
        <v>0</v>
      </c>
      <c r="BX248" s="57" t="n">
        <f aca="false">N(AC248)</f>
        <v>0</v>
      </c>
      <c r="BY248" s="57" t="n">
        <f aca="false">N(L248)+N(M248)</f>
        <v>335</v>
      </c>
      <c r="BZ248" s="57" t="n">
        <f aca="false">ROUNDUP(G248/BQ248,0)</f>
        <v>2</v>
      </c>
      <c r="CA248" s="57" t="n">
        <f aca="false">ROUNDUP(BX248/BQ248,0)</f>
        <v>0</v>
      </c>
      <c r="CB248" s="60" t="n">
        <f aca="false">IF(BR248=1,0,IFERROR(VLOOKUP(BP248,'Gebinde-Kategorie'!$A$5:$M$45,5,0)+0,0))</f>
        <v>8</v>
      </c>
      <c r="CC248" s="60" t="n">
        <f aca="false">IFERROR(IF(OR(BT248=1,BT248=2,BT248=3),N(INDEX(Parameter!$I$5:$I$7,BT248)),0),0)</f>
        <v>0</v>
      </c>
      <c r="CD248" s="59" t="n">
        <f aca="false">IF(AND(Parameter!$B$21="Ja",ISNUMBER(U248),N(V248)&gt;0),IFERROR(N(INDEX(Parameter!$L$5:$L$7,U248))*INDEX(Parameter!$E$5:$E$7,U248)*V248/SUMIFS($V$7:$V$1576,$U$7:$U$1576,U248),0),0)</f>
        <v>0</v>
      </c>
    </row>
    <row r="249" customFormat="false" ht="15" hidden="false" customHeight="false" outlineLevel="0" collapsed="false">
      <c r="A249" s="55" t="s">
        <v>671</v>
      </c>
      <c r="B249" s="55" t="s">
        <v>413</v>
      </c>
      <c r="C249" s="55" t="s">
        <v>160</v>
      </c>
      <c r="D249" s="55" t="s">
        <v>168</v>
      </c>
      <c r="E249" s="55" t="s">
        <v>210</v>
      </c>
      <c r="F249" s="56" t="n">
        <v>126.31</v>
      </c>
      <c r="G249" s="57" t="n">
        <f aca="false">MAX(0,IF(AND(Parameter!$B$21="Ja",ISNUMBER(W249)),W249,IF(Parameter!$B$20="Jahresanfang 2025 + Export",BJ249+BI249,BI249)))</f>
        <v>3</v>
      </c>
      <c r="H249" s="57" t="n">
        <f aca="false">G249*F249</f>
        <v>378.93</v>
      </c>
      <c r="I249" s="57" t="n">
        <f aca="false">BL249*Parameter!$B$18</f>
        <v>43</v>
      </c>
      <c r="J249" s="58" t="n">
        <v>12.5</v>
      </c>
      <c r="K249" s="59" t="n">
        <v>3.44</v>
      </c>
      <c r="L249" s="57" t="n">
        <v>2</v>
      </c>
      <c r="M249" s="57" t="n">
        <v>6</v>
      </c>
      <c r="N249" s="60" t="n">
        <v>21</v>
      </c>
      <c r="O249" s="55" t="s">
        <v>251</v>
      </c>
      <c r="P249" s="57" t="n">
        <v>12</v>
      </c>
      <c r="Q249" s="60" t="n">
        <f aca="false">IF(BR249=1,0,IFERROR(VLOOKUP(BP249,'Gebinde-Kategorie'!$A$5:$M$45,13,0)+0,0))</f>
        <v>6</v>
      </c>
      <c r="R249" s="61"/>
      <c r="S249" s="62"/>
      <c r="T249" s="62"/>
      <c r="U249" s="55"/>
      <c r="V249" s="57"/>
      <c r="W249" s="57"/>
      <c r="X249" s="55" t="n">
        <f aca="false">IF(A249="","",IF(AND(Parameter!$B$21="Ja",ISNUMBER(U249)),U249,IF(IFERROR(VLOOKUP(D249,Parameter!$A$35:$C$64,2,0),"Nein")="2+3",IF(ISNUMBER(SEARCH("grosser Artikel",BM249)),2,IFERROR(VLOOKUP(BP249,Parameter!$F$35:$G$64,2,0),2)),IF(OR(IFERROR(VLOOKUP(D249,Parameter!$A$35:$C$64,2,0),"Nein")="Nein",IFERROR(VLOOKUP(D249,Parameter!$A$35:$C$64,2,0),"Nein")=""),"-",VLOOKUP(D249,Parameter!$A$35:$C$64,2,0)))))</f>
        <v>2</v>
      </c>
      <c r="Y249" s="62"/>
      <c r="Z249" s="63"/>
      <c r="AA249" s="57" t="n">
        <f aca="false">AP249</f>
        <v>24</v>
      </c>
      <c r="AB249" s="57" t="n">
        <f aca="false">MAX(AP249,G249)</f>
        <v>24</v>
      </c>
      <c r="AC249" s="64"/>
      <c r="AD249" s="57" t="n">
        <f aca="false">IF(LEFT(Cockpit!$C$5,1)="A",G249,IF(BW249=1,BX249,IF(LEFT(Cockpit!$C$5,1)="B",AH249,MAX(AH249,G249))))</f>
        <v>3</v>
      </c>
      <c r="AE249" s="57" t="n">
        <f aca="false">IF(BR249=1,0,ROUNDUP(AD249/BQ249,0))</f>
        <v>1</v>
      </c>
      <c r="AF249" s="59" t="n">
        <f aca="false">IF(CD249&gt;0,CD249*MAX(1,AD249/V249),IF(BR249=1,IF(AD249&lt;=0,0,BS249*MAX(1,IF(G249&gt;0,AD249/G249,1))),IF(Q249&gt;0,AE249/Q249,0))/MAX(0.1,N(Parameter!$M$21)))</f>
        <v>0.166666666666667</v>
      </c>
      <c r="AG249" s="57" t="n">
        <f aca="false">AD249*F249</f>
        <v>378.93</v>
      </c>
      <c r="AH249" s="57" t="n">
        <f aca="false">ROUNDUP(MAX(I249/IF(BV249&gt;0,BV249,MAX(0.1,N(Cockpit!$C$6))),BY249)/BQ249,0)*BQ249</f>
        <v>24</v>
      </c>
      <c r="AI249" s="58" t="n">
        <f aca="false">IF(AF249&gt;0,I249/AF249,-1)</f>
        <v>258</v>
      </c>
      <c r="AJ249" s="58" t="n">
        <f aca="false">IF(AND(OR(BU249="L1",BU249="L23"),AF249&gt;0),SUMIFS($AF$7:$AF$1576,$BU$7:$BU$1576,BU249,$AI$7:$AI$1576,"&gt;"&amp;AI249)+SUMIFS($AF$7:$AF$1576,$BU$7:$BU$1576,BU249,$AI$7:$AI$1576,AI249,$BO$7:$BO$1576,"&lt;="&amp;BO249),"")</f>
        <v>15.8917506165332</v>
      </c>
      <c r="AK249" s="65" t="n">
        <f aca="false">IF(AJ249="",0,MAX(0,MIN(1,(IF(BU249="L1",Parameter!$E$5,Parameter!$E$6+Parameter!$E$7)-(AJ249-AF249))/AF249)))</f>
        <v>1</v>
      </c>
      <c r="AL249" s="57" t="n">
        <f aca="false">IF(LEFT(Cockpit!$I$5,1)="A",G249,IF(BW249=1,BX249,IF(LEFT(Cockpit!$I$5,1)="B",AP249,MAX(AP249,G249))))</f>
        <v>24</v>
      </c>
      <c r="AM249" s="57" t="n">
        <f aca="false">IF(BR249=1,0,ROUNDUP(AL249/BQ249,0))</f>
        <v>2</v>
      </c>
      <c r="AN249" s="59" t="n">
        <f aca="false">IF(CD249&gt;0,CD249*MAX(1,AL249/V249),IF(BR249=1,IF(AL249&lt;=0,0,BS249*MAX(1,IF(G249&gt;0,AL249/G249,1))),IF(Q249&gt;0,AM249/Q249,0))/MAX(0.1,N(Parameter!$M$21)))</f>
        <v>0.333333333333333</v>
      </c>
      <c r="AO249" s="57" t="n">
        <f aca="false">AL249*F249</f>
        <v>3031.44</v>
      </c>
      <c r="AP249" s="57" t="n">
        <f aca="false">ROUNDUP(MAX(I249/IF(BV249&gt;0,BV249,MAX(0.1,N(Cockpit!$I$6))),BY249)/BQ249,0)*BQ249</f>
        <v>24</v>
      </c>
      <c r="AQ249" s="58" t="n">
        <f aca="false">IF(AN249&gt;0,I249/AN249,-1)</f>
        <v>129</v>
      </c>
      <c r="AR249" s="58" t="n">
        <f aca="false">IF(AND(OR(BU249="L1",BU249="L23"),AN249&gt;0),SUMIFS($AN$7:$AN$1576,$BU$7:$BU$1576,BU249,$AQ$7:$AQ$1576,"&gt;"&amp;AQ249)+SUMIFS($AN$7:$AN$1576,$BU$7:$BU$1576,BU249,$AQ$7:$AQ$1576,AQ249,$BO$7:$BO$1576,"&lt;="&amp;BO249),"")</f>
        <v>62.7770023820135</v>
      </c>
      <c r="AS249" s="65" t="n">
        <f aca="false">IF(AR249="",0,MAX(0,MIN(1,(IF(BU249="L1",Parameter!$E$5,Parameter!$E$6+Parameter!$E$7)-(AR249-AN249))/AN249)))</f>
        <v>1</v>
      </c>
      <c r="AT249" s="57" t="n">
        <f aca="false">IF(LEFT(Cockpit!$O$5,1)="A",G249,IF(BW249=1,BX249,IF(LEFT(Cockpit!$O$5,1)="B",AX249,MAX(AX249,G249))))</f>
        <v>24</v>
      </c>
      <c r="AU249" s="57" t="n">
        <f aca="false">IF(BR249=1,0,ROUNDUP(AT249/BQ249,0))</f>
        <v>2</v>
      </c>
      <c r="AV249" s="59" t="n">
        <f aca="false">IF(CD249&gt;0,CD249*MAX(1,AT249/V249),IF(BR249=1,IF(AT249&lt;=0,0,BS249*MAX(1,IF(G249&gt;0,AT249/G249,1))),IF(Q249&gt;0,AU249/Q249,0))/MAX(0.1,N(Parameter!$M$21)))</f>
        <v>0.333333333333333</v>
      </c>
      <c r="AW249" s="57" t="n">
        <f aca="false">AT249*F249</f>
        <v>3031.44</v>
      </c>
      <c r="AX249" s="57" t="n">
        <f aca="false">ROUNDUP(MAX(I249/IF(BV249&gt;0,BV249,MAX(0.1,N(Cockpit!$O$6))),BY249)/BQ249,0)*BQ249</f>
        <v>24</v>
      </c>
      <c r="AY249" s="58" t="n">
        <f aca="false">IF(AV249&gt;0,I249/AV249,-1)</f>
        <v>129</v>
      </c>
      <c r="AZ249" s="58" t="n">
        <f aca="false">IF(AND(OR(BU249="L1",BU249="L23"),AV249&gt;0),SUMIFS($AV$7:$AV$1576,$BU$7:$BU$1576,BU249,$AY$7:$AY$1576,"&gt;"&amp;AY249)+SUMIFS($AV$7:$AV$1576,$BU$7:$BU$1576,BU249,$AY$7:$AY$1576,AY249,$BO$7:$BO$1576,"&lt;="&amp;BO249),"")</f>
        <v>58.1061361648973</v>
      </c>
      <c r="BA249" s="65" t="n">
        <f aca="false">IF(AZ249="",0,MAX(0,MIN(1,(IF(BU249="L1",Parameter!$E$5,Parameter!$E$6+Parameter!$E$7)-(AZ249-AV249))/AV249)))</f>
        <v>1</v>
      </c>
      <c r="BB249" s="55" t="str">
        <f aca="false">IF(AF249&lt;=0,"",IF(BU249="Aussen","Aussenlager",IF(BU249="-","Nicht im Lift",IF(AK249&gt;=1,"Lift",IF(AK249&lt;=0,"Aussenlager","teilweise")))))</f>
        <v>Lift</v>
      </c>
      <c r="BC249" s="55" t="str">
        <f aca="false">IF(AN249&lt;=0,"",IF(BU249="Aussen","Aussenlager",IF(BU249="-","Nicht im Lift",IF(AS249&gt;=1,"Lift",IF(AS249&lt;=0,"Aussenlager","teilweise")))))</f>
        <v>Lift</v>
      </c>
      <c r="BD249" s="55" t="str">
        <f aca="false">IF(AV249&lt;=0,"",IF(BU249="Aussen","Aussenlager",IF(BU249="-","Nicht im Lift",IF(BA249&gt;=1,"Lift",IF(BA249&lt;=0,"Aussenlager","teilweise")))))</f>
        <v>Lift</v>
      </c>
      <c r="BE249" s="55" t="str">
        <f aca="false">IF(A249="","",IF(BN249=1,"Neu; ","")&amp;IF(AND(BN249=0,BI249&lt;0),"negativer Bestand (Export "&amp;BI249&amp;"); ","")&amp;IF(I249&lt;=0,"Kein Verbrauch; ","")&amp;IF(CD249&gt;0,"Lift "&amp;U249&amp;" lt. Liftbericht (Fach "&amp;V249&amp;" Stk); ",IF(BR249=1,"Lose – Fläche geschätzt; ",""))&amp;IF(G249&gt;AP249,"Überbestand "&amp;ROUND(G249-AP249,0)&amp;" Stk / CHF "&amp;ROUND((G249-AP249)*F249,0)&amp;"; ","")&amp;IF(AND(BW249=1,BX249&lt;BY249),"MAX &lt; MB+LG; ","")&amp;IF(AND(CC249&gt;0,CB249*10&gt;CC249),"zu hoch für Tablar; ","")&amp;IF(AND(BN249=0,OR(BW249=1,Y249&lt;&gt;"",S249&lt;&gt;"",T249&lt;&gt;"",Z249&lt;&gt;"")),"manuell übersteuert; ","")&amp;IF(AND(BR249=0,Q249=0),"Gebinde unbekannt / Stellmass fehlt; ","")&amp;IF(AND(BR249=0,N(T249)&lt;=0,N(P249)&lt;=0),"Menge pro Gebinde fehlt (Ist = 1 Gebinde); ","")&amp;BM249)</f>
        <v/>
      </c>
      <c r="BF249" s="55"/>
      <c r="BG249" s="55"/>
      <c r="BH249" s="62"/>
      <c r="BI249" s="57" t="n">
        <v>3</v>
      </c>
      <c r="BJ249" s="57" t="n">
        <v>10</v>
      </c>
      <c r="BK249" s="56" t="n">
        <v>515.759999999998</v>
      </c>
      <c r="BL249" s="57" t="n">
        <v>43</v>
      </c>
      <c r="BM249" s="55"/>
      <c r="BN249" s="60" t="n">
        <v>0</v>
      </c>
      <c r="BO249" s="60" t="n">
        <v>249</v>
      </c>
      <c r="BP249" s="55" t="str">
        <f aca="false">IF(S249&lt;&gt;"",UPPER(TRIM(S249)),IF(O249="","LOSE",O249))</f>
        <v>S72</v>
      </c>
      <c r="BQ249" s="57" t="n">
        <f aca="false">IF(BP249="LOSE",1,IF(N(T249)&gt;0,T249,IF(N(P249)&gt;0,P249,MAX(1,G249))))</f>
        <v>12</v>
      </c>
      <c r="BR249" s="60" t="n">
        <f aca="false">IF(BP249="LOSE",1,0)</f>
        <v>0</v>
      </c>
      <c r="BS249" s="59" t="n">
        <f aca="false">IF(BR249=0,0,IF(N(R249)&gt;0,R249,IFERROR(VLOOKUP(D249,Parameter!$A$35:$C$64,3,0)+0,0)))</f>
        <v>0</v>
      </c>
      <c r="BT249" s="55" t="n">
        <f aca="false">IF(Y249&lt;&gt;"",Y249,X249)</f>
        <v>2</v>
      </c>
      <c r="BU249" s="55" t="str">
        <f aca="false">IF(BT249=1,"L1",IF(OR(BT249=2,BT249=3),"L23",IF(BT249="Aussen","Aussen","-")))</f>
        <v>L23</v>
      </c>
      <c r="BV249" s="66" t="n">
        <f aca="false">IF(N(Z249)&gt;0,Z249,0)</f>
        <v>0</v>
      </c>
      <c r="BW249" s="60" t="n">
        <f aca="false">IF(ISNUMBER(AC249),1,0)</f>
        <v>0</v>
      </c>
      <c r="BX249" s="57" t="n">
        <f aca="false">N(AC249)</f>
        <v>0</v>
      </c>
      <c r="BY249" s="57" t="n">
        <f aca="false">N(L249)+N(M249)</f>
        <v>8</v>
      </c>
      <c r="BZ249" s="57" t="n">
        <f aca="false">ROUNDUP(G249/BQ249,0)</f>
        <v>1</v>
      </c>
      <c r="CA249" s="57" t="n">
        <f aca="false">ROUNDUP(BX249/BQ249,0)</f>
        <v>0</v>
      </c>
      <c r="CB249" s="60" t="n">
        <f aca="false">IF(BR249=1,0,IFERROR(VLOOKUP(BP249,'Gebinde-Kategorie'!$A$5:$M$45,5,0)+0,0))</f>
        <v>40</v>
      </c>
      <c r="CC249" s="60" t="n">
        <f aca="false">IFERROR(IF(OR(BT249=1,BT249=2,BT249=3),N(INDEX(Parameter!$I$5:$I$7,BT249)),0),0)</f>
        <v>0</v>
      </c>
      <c r="CD249" s="59" t="n">
        <f aca="false">IF(AND(Parameter!$B$21="Ja",ISNUMBER(U249),N(V249)&gt;0),IFERROR(N(INDEX(Parameter!$L$5:$L$7,U249))*INDEX(Parameter!$E$5:$E$7,U249)*V249/SUMIFS($V$7:$V$1576,$U$7:$U$1576,U249),0),0)</f>
        <v>0</v>
      </c>
    </row>
    <row r="250" customFormat="false" ht="15" hidden="false" customHeight="false" outlineLevel="0" collapsed="false">
      <c r="A250" s="55" t="s">
        <v>672</v>
      </c>
      <c r="B250" s="55" t="s">
        <v>673</v>
      </c>
      <c r="C250" s="55" t="s">
        <v>160</v>
      </c>
      <c r="D250" s="55" t="s">
        <v>178</v>
      </c>
      <c r="E250" s="55" t="s">
        <v>210</v>
      </c>
      <c r="F250" s="56" t="n">
        <v>1.23</v>
      </c>
      <c r="G250" s="57" t="n">
        <f aca="false">MAX(0,IF(AND(Parameter!$B$21="Ja",ISNUMBER(W250)),W250,IF(Parameter!$B$20="Jahresanfang 2025 + Export",BJ250+BI250,BI250)))</f>
        <v>380</v>
      </c>
      <c r="H250" s="57" t="n">
        <f aca="false">G250*F250</f>
        <v>467.4</v>
      </c>
      <c r="I250" s="57" t="n">
        <f aca="false">BL250*Parameter!$B$18</f>
        <v>602</v>
      </c>
      <c r="J250" s="58" t="n">
        <v>211.5</v>
      </c>
      <c r="K250" s="59" t="n">
        <v>2.84633569739953</v>
      </c>
      <c r="L250" s="57" t="n">
        <v>35</v>
      </c>
      <c r="M250" s="57" t="n">
        <v>250</v>
      </c>
      <c r="N250" s="60" t="n">
        <v>21</v>
      </c>
      <c r="O250" s="55" t="s">
        <v>293</v>
      </c>
      <c r="P250" s="57" t="n">
        <v>559</v>
      </c>
      <c r="Q250" s="60" t="n">
        <f aca="false">IF(BR250=1,0,IFERROR(VLOOKUP(BP250,'Gebinde-Kategorie'!$A$5:$M$45,13,0)+0,0))</f>
        <v>26</v>
      </c>
      <c r="R250" s="61"/>
      <c r="S250" s="62"/>
      <c r="T250" s="62"/>
      <c r="U250" s="55"/>
      <c r="V250" s="57"/>
      <c r="W250" s="57"/>
      <c r="X250" s="55" t="n">
        <f aca="false">IF(A250="","",IF(AND(Parameter!$B$21="Ja",ISNUMBER(U250)),U250,IF(IFERROR(VLOOKUP(D250,Parameter!$A$35:$C$64,2,0),"Nein")="2+3",IF(ISNUMBER(SEARCH("grosser Artikel",BM250)),2,IFERROR(VLOOKUP(BP250,Parameter!$F$35:$G$64,2,0),2)),IF(OR(IFERROR(VLOOKUP(D250,Parameter!$A$35:$C$64,2,0),"Nein")="Nein",IFERROR(VLOOKUP(D250,Parameter!$A$35:$C$64,2,0),"Nein")=""),"-",VLOOKUP(D250,Parameter!$A$35:$C$64,2,0)))))</f>
        <v>3</v>
      </c>
      <c r="Y250" s="62"/>
      <c r="Z250" s="63"/>
      <c r="AA250" s="57" t="n">
        <f aca="false">AP250</f>
        <v>559</v>
      </c>
      <c r="AB250" s="57" t="n">
        <f aca="false">MAX(AP250,G250)</f>
        <v>559</v>
      </c>
      <c r="AC250" s="64"/>
      <c r="AD250" s="57" t="n">
        <f aca="false">IF(LEFT(Cockpit!$C$5,1)="A",G250,IF(BW250=1,BX250,IF(LEFT(Cockpit!$C$5,1)="B",AH250,MAX(AH250,G250))))</f>
        <v>380</v>
      </c>
      <c r="AE250" s="57" t="n">
        <f aca="false">IF(BR250=1,0,ROUNDUP(AD250/BQ250,0))</f>
        <v>1</v>
      </c>
      <c r="AF250" s="59" t="n">
        <f aca="false">IF(CD250&gt;0,CD250*MAX(1,AD250/V250),IF(BR250=1,IF(AD250&lt;=0,0,BS250*MAX(1,IF(G250&gt;0,AD250/G250,1))),IF(Q250&gt;0,AE250/Q250,0))/MAX(0.1,N(Parameter!$M$21)))</f>
        <v>0.0384615384615385</v>
      </c>
      <c r="AG250" s="57" t="n">
        <f aca="false">AD250*F250</f>
        <v>467.4</v>
      </c>
      <c r="AH250" s="57" t="n">
        <f aca="false">ROUNDUP(MAX(I250/IF(BV250&gt;0,BV250,MAX(0.1,N(Cockpit!$C$6))),BY250)/BQ250,0)*BQ250</f>
        <v>559</v>
      </c>
      <c r="AI250" s="58" t="n">
        <f aca="false">IF(AF250&gt;0,I250/AF250,-1)</f>
        <v>15652</v>
      </c>
      <c r="AJ250" s="58" t="n">
        <f aca="false">IF(AND(OR(BU250="L1",BU250="L23"),AF250&gt;0),SUMIFS($AF$7:$AF$1576,$BU$7:$BU$1576,BU250,$AI$7:$AI$1576,"&gt;"&amp;AI250)+SUMIFS($AF$7:$AF$1576,$BU$7:$BU$1576,BU250,$AI$7:$AI$1576,AI250,$BO$7:$BO$1576,"&lt;="&amp;BO250),"")</f>
        <v>2.29777710212493</v>
      </c>
      <c r="AK250" s="65" t="n">
        <f aca="false">IF(AJ250="",0,MAX(0,MIN(1,(IF(BU250="L1",Parameter!$E$5,Parameter!$E$6+Parameter!$E$7)-(AJ250-AF250))/AF250)))</f>
        <v>1</v>
      </c>
      <c r="AL250" s="57" t="n">
        <f aca="false">IF(LEFT(Cockpit!$I$5,1)="A",G250,IF(BW250=1,BX250,IF(LEFT(Cockpit!$I$5,1)="B",AP250,MAX(AP250,G250))))</f>
        <v>559</v>
      </c>
      <c r="AM250" s="57" t="n">
        <f aca="false">IF(BR250=1,0,ROUNDUP(AL250/BQ250,0))</f>
        <v>1</v>
      </c>
      <c r="AN250" s="59" t="n">
        <f aca="false">IF(CD250&gt;0,CD250*MAX(1,AL250/V250),IF(BR250=1,IF(AL250&lt;=0,0,BS250*MAX(1,IF(G250&gt;0,AL250/G250,1))),IF(Q250&gt;0,AM250/Q250,0))/MAX(0.1,N(Parameter!$M$21)))</f>
        <v>0.0384615384615385</v>
      </c>
      <c r="AO250" s="57" t="n">
        <f aca="false">AL250*F250</f>
        <v>687.57</v>
      </c>
      <c r="AP250" s="57" t="n">
        <f aca="false">ROUNDUP(MAX(I250/IF(BV250&gt;0,BV250,MAX(0.1,N(Cockpit!$I$6))),BY250)/BQ250,0)*BQ250</f>
        <v>559</v>
      </c>
      <c r="AQ250" s="58" t="n">
        <f aca="false">IF(AN250&gt;0,I250/AN250,-1)</f>
        <v>15652</v>
      </c>
      <c r="AR250" s="58" t="n">
        <f aca="false">IF(AND(OR(BU250="L1",BU250="L23"),AN250&gt;0),SUMIFS($AN$7:$AN$1576,$BU$7:$BU$1576,BU250,$AQ$7:$AQ$1576,"&gt;"&amp;AQ250)+SUMIFS($AN$7:$AN$1576,$BU$7:$BU$1576,BU250,$AQ$7:$AQ$1576,AQ250,$BO$7:$BO$1576,"&lt;="&amp;BO250),"")</f>
        <v>5.60779331779332</v>
      </c>
      <c r="AS250" s="65" t="n">
        <f aca="false">IF(AR250="",0,MAX(0,MIN(1,(IF(BU250="L1",Parameter!$E$5,Parameter!$E$6+Parameter!$E$7)-(AR250-AN250))/AN250)))</f>
        <v>1</v>
      </c>
      <c r="AT250" s="57" t="n">
        <f aca="false">IF(LEFT(Cockpit!$O$5,1)="A",G250,IF(BW250=1,BX250,IF(LEFT(Cockpit!$O$5,1)="B",AX250,MAX(AX250,G250))))</f>
        <v>559</v>
      </c>
      <c r="AU250" s="57" t="n">
        <f aca="false">IF(BR250=1,0,ROUNDUP(AT250/BQ250,0))</f>
        <v>1</v>
      </c>
      <c r="AV250" s="59" t="n">
        <f aca="false">IF(CD250&gt;0,CD250*MAX(1,AT250/V250),IF(BR250=1,IF(AT250&lt;=0,0,BS250*MAX(1,IF(G250&gt;0,AT250/G250,1))),IF(Q250&gt;0,AU250/Q250,0))/MAX(0.1,N(Parameter!$M$21)))</f>
        <v>0.0384615384615385</v>
      </c>
      <c r="AW250" s="57" t="n">
        <f aca="false">AT250*F250</f>
        <v>687.57</v>
      </c>
      <c r="AX250" s="57" t="n">
        <f aca="false">ROUNDUP(MAX(I250/IF(BV250&gt;0,BV250,MAX(0.1,N(Cockpit!$O$6))),BY250)/BQ250,0)*BQ250</f>
        <v>559</v>
      </c>
      <c r="AY250" s="58" t="n">
        <f aca="false">IF(AV250&gt;0,I250/AV250,-1)</f>
        <v>15652</v>
      </c>
      <c r="AZ250" s="58" t="n">
        <f aca="false">IF(AND(OR(BU250="L1",BU250="L23"),AV250&gt;0),SUMIFS($AV$7:$AV$1576,$BU$7:$BU$1576,BU250,$AY$7:$AY$1576,"&gt;"&amp;AY250)+SUMIFS($AV$7:$AV$1576,$BU$7:$BU$1576,BU250,$AY$7:$AY$1576,AY250,$BO$7:$BO$1576,"&lt;="&amp;BO250),"")</f>
        <v>4.9889121989122</v>
      </c>
      <c r="BA250" s="65" t="n">
        <f aca="false">IF(AZ250="",0,MAX(0,MIN(1,(IF(BU250="L1",Parameter!$E$5,Parameter!$E$6+Parameter!$E$7)-(AZ250-AV250))/AV250)))</f>
        <v>1</v>
      </c>
      <c r="BB250" s="55" t="str">
        <f aca="false">IF(AF250&lt;=0,"",IF(BU250="Aussen","Aussenlager",IF(BU250="-","Nicht im Lift",IF(AK250&gt;=1,"Lift",IF(AK250&lt;=0,"Aussenlager","teilweise")))))</f>
        <v>Lift</v>
      </c>
      <c r="BC250" s="55" t="str">
        <f aca="false">IF(AN250&lt;=0,"",IF(BU250="Aussen","Aussenlager",IF(BU250="-","Nicht im Lift",IF(AS250&gt;=1,"Lift",IF(AS250&lt;=0,"Aussenlager","teilweise")))))</f>
        <v>Lift</v>
      </c>
      <c r="BD250" s="55" t="str">
        <f aca="false">IF(AV250&lt;=0,"",IF(BU250="Aussen","Aussenlager",IF(BU250="-","Nicht im Lift",IF(BA250&gt;=1,"Lift",IF(BA250&lt;=0,"Aussenlager","teilweise")))))</f>
        <v>Lift</v>
      </c>
      <c r="BE250" s="55" t="str">
        <f aca="false">IF(A250="","",IF(BN250=1,"Neu; ","")&amp;IF(AND(BN250=0,BI250&lt;0),"negativer Bestand (Export "&amp;BI250&amp;"); ","")&amp;IF(I250&lt;=0,"Kein Verbrauch; ","")&amp;IF(CD250&gt;0,"Lift "&amp;U250&amp;" lt. Liftbericht (Fach "&amp;V250&amp;" Stk); ",IF(BR250=1,"Lose – Fläche geschätzt; ",""))&amp;IF(G250&gt;AP250,"Überbestand "&amp;ROUND(G250-AP250,0)&amp;" Stk / CHF "&amp;ROUND((G250-AP250)*F250,0)&amp;"; ","")&amp;IF(AND(BW250=1,BX250&lt;BY250),"MAX &lt; MB+LG; ","")&amp;IF(AND(CC250&gt;0,CB250*10&gt;CC250),"zu hoch für Tablar; ","")&amp;IF(AND(BN250=0,OR(BW250=1,Y250&lt;&gt;"",S250&lt;&gt;"",T250&lt;&gt;"",Z250&lt;&gt;"")),"manuell übersteuert; ","")&amp;IF(AND(BR250=0,Q250=0),"Gebinde unbekannt / Stellmass fehlt; ","")&amp;IF(AND(BR250=0,N(T250)&lt;=0,N(P250)&lt;=0),"Menge pro Gebinde fehlt (Ist = 1 Gebinde); ","")&amp;BM250)</f>
        <v/>
      </c>
      <c r="BF250" s="55"/>
      <c r="BG250" s="55"/>
      <c r="BH250" s="62"/>
      <c r="BI250" s="57" t="n">
        <v>380</v>
      </c>
      <c r="BJ250" s="57" t="n">
        <v>169</v>
      </c>
      <c r="BK250" s="56" t="n">
        <v>495.66</v>
      </c>
      <c r="BL250" s="57" t="n">
        <v>602</v>
      </c>
      <c r="BM250" s="55"/>
      <c r="BN250" s="60" t="n">
        <v>0</v>
      </c>
      <c r="BO250" s="60" t="n">
        <v>250</v>
      </c>
      <c r="BP250" s="55" t="str">
        <f aca="false">IF(S250&lt;&gt;"",UPPER(TRIM(S250)),IF(O250="","LOSE",O250))</f>
        <v>S51</v>
      </c>
      <c r="BQ250" s="57" t="n">
        <f aca="false">IF(BP250="LOSE",1,IF(N(T250)&gt;0,T250,IF(N(P250)&gt;0,P250,MAX(1,G250))))</f>
        <v>559</v>
      </c>
      <c r="BR250" s="60" t="n">
        <f aca="false">IF(BP250="LOSE",1,0)</f>
        <v>0</v>
      </c>
      <c r="BS250" s="59" t="n">
        <f aca="false">IF(BR250=0,0,IF(N(R250)&gt;0,R250,IFERROR(VLOOKUP(D250,Parameter!$A$35:$C$64,3,0)+0,0)))</f>
        <v>0</v>
      </c>
      <c r="BT250" s="55" t="n">
        <f aca="false">IF(Y250&lt;&gt;"",Y250,X250)</f>
        <v>3</v>
      </c>
      <c r="BU250" s="55" t="str">
        <f aca="false">IF(BT250=1,"L1",IF(OR(BT250=2,BT250=3),"L23",IF(BT250="Aussen","Aussen","-")))</f>
        <v>L23</v>
      </c>
      <c r="BV250" s="66" t="n">
        <f aca="false">IF(N(Z250)&gt;0,Z250,0)</f>
        <v>0</v>
      </c>
      <c r="BW250" s="60" t="n">
        <f aca="false">IF(ISNUMBER(AC250),1,0)</f>
        <v>0</v>
      </c>
      <c r="BX250" s="57" t="n">
        <f aca="false">N(AC250)</f>
        <v>0</v>
      </c>
      <c r="BY250" s="57" t="n">
        <f aca="false">N(L250)+N(M250)</f>
        <v>285</v>
      </c>
      <c r="BZ250" s="57" t="n">
        <f aca="false">ROUNDUP(G250/BQ250,0)</f>
        <v>1</v>
      </c>
      <c r="CA250" s="57" t="n">
        <f aca="false">ROUNDUP(BX250/BQ250,0)</f>
        <v>0</v>
      </c>
      <c r="CB250" s="60" t="n">
        <f aca="false">IF(BR250=1,0,IFERROR(VLOOKUP(BP250,'Gebinde-Kategorie'!$A$5:$M$45,5,0)+0,0))</f>
        <v>11</v>
      </c>
      <c r="CC250" s="60" t="n">
        <f aca="false">IFERROR(IF(OR(BT250=1,BT250=2,BT250=3),N(INDEX(Parameter!$I$5:$I$7,BT250)),0),0)</f>
        <v>0</v>
      </c>
      <c r="CD250" s="59" t="n">
        <f aca="false">IF(AND(Parameter!$B$21="Ja",ISNUMBER(U250),N(V250)&gt;0),IFERROR(N(INDEX(Parameter!$L$5:$L$7,U250))*INDEX(Parameter!$E$5:$E$7,U250)*V250/SUMIFS($V$7:$V$1576,$U$7:$U$1576,U250),0),0)</f>
        <v>0</v>
      </c>
    </row>
    <row r="251" customFormat="false" ht="15" hidden="false" customHeight="false" outlineLevel="0" collapsed="false">
      <c r="A251" s="55" t="s">
        <v>674</v>
      </c>
      <c r="B251" s="55" t="s">
        <v>675</v>
      </c>
      <c r="C251" s="55" t="s">
        <v>160</v>
      </c>
      <c r="D251" s="55" t="s">
        <v>178</v>
      </c>
      <c r="E251" s="55" t="s">
        <v>210</v>
      </c>
      <c r="F251" s="56" t="n">
        <v>32.98</v>
      </c>
      <c r="G251" s="57" t="n">
        <f aca="false">MAX(0,IF(AND(Parameter!$B$21="Ja",ISNUMBER(W251)),W251,IF(Parameter!$B$20="Jahresanfang 2025 + Export",BJ251+BI251,BI251)))</f>
        <v>15</v>
      </c>
      <c r="H251" s="57" t="n">
        <f aca="false">G251*F251</f>
        <v>494.7</v>
      </c>
      <c r="I251" s="57" t="n">
        <f aca="false">BL251*Parameter!$B$18</f>
        <v>0</v>
      </c>
      <c r="J251" s="58" t="n">
        <v>0</v>
      </c>
      <c r="K251" s="59" t="n">
        <v>0</v>
      </c>
      <c r="L251" s="57" t="n">
        <v>0</v>
      </c>
      <c r="M251" s="57" t="n">
        <v>1</v>
      </c>
      <c r="N251" s="60" t="n">
        <v>9999</v>
      </c>
      <c r="O251" s="55" t="s">
        <v>163</v>
      </c>
      <c r="P251" s="57"/>
      <c r="Q251" s="60" t="n">
        <f aca="false">IF(BR251=1,0,IFERROR(VLOOKUP(BP251,'Gebinde-Kategorie'!$A$5:$M$45,13,0)+0,0))</f>
        <v>0</v>
      </c>
      <c r="R251" s="61"/>
      <c r="S251" s="62"/>
      <c r="T251" s="62"/>
      <c r="U251" s="55"/>
      <c r="V251" s="57"/>
      <c r="W251" s="57"/>
      <c r="X251" s="55" t="n">
        <f aca="false">IF(A251="","",IF(AND(Parameter!$B$21="Ja",ISNUMBER(U251)),U251,IF(IFERROR(VLOOKUP(D251,Parameter!$A$35:$C$64,2,0),"Nein")="2+3",IF(ISNUMBER(SEARCH("grosser Artikel",BM251)),2,IFERROR(VLOOKUP(BP251,Parameter!$F$35:$G$64,2,0),2)),IF(OR(IFERROR(VLOOKUP(D251,Parameter!$A$35:$C$64,2,0),"Nein")="Nein",IFERROR(VLOOKUP(D251,Parameter!$A$35:$C$64,2,0),"Nein")=""),"-",VLOOKUP(D251,Parameter!$A$35:$C$64,2,0)))))</f>
        <v>2</v>
      </c>
      <c r="Y251" s="62"/>
      <c r="Z251" s="63"/>
      <c r="AA251" s="57" t="n">
        <f aca="false">AP251</f>
        <v>1</v>
      </c>
      <c r="AB251" s="57" t="n">
        <f aca="false">MAX(AP251,G251)</f>
        <v>15</v>
      </c>
      <c r="AC251" s="64"/>
      <c r="AD251" s="57" t="n">
        <f aca="false">IF(LEFT(Cockpit!$C$5,1)="A",G251,IF(BW251=1,BX251,IF(LEFT(Cockpit!$C$5,1)="B",AH251,MAX(AH251,G251))))</f>
        <v>15</v>
      </c>
      <c r="AE251" s="57" t="n">
        <f aca="false">IF(BR251=1,0,ROUNDUP(AD251/BQ251,0))</f>
        <v>0</v>
      </c>
      <c r="AF251" s="59" t="n">
        <f aca="false">IF(CD251&gt;0,CD251*MAX(1,AD251/V251),IF(BR251=1,IF(AD251&lt;=0,0,BS251*MAX(1,IF(G251&gt;0,AD251/G251,1))),IF(Q251&gt;0,AE251/Q251,0))/MAX(0.1,N(Parameter!$M$21)))</f>
        <v>0.03</v>
      </c>
      <c r="AG251" s="57" t="n">
        <f aca="false">AD251*F251</f>
        <v>494.7</v>
      </c>
      <c r="AH251" s="57" t="n">
        <f aca="false">ROUNDUP(MAX(I251/IF(BV251&gt;0,BV251,MAX(0.1,N(Cockpit!$C$6))),BY251)/BQ251,0)*BQ251</f>
        <v>1</v>
      </c>
      <c r="AI251" s="58" t="n">
        <f aca="false">IF(AF251&gt;0,I251/AF251,-1)</f>
        <v>0</v>
      </c>
      <c r="AJ251" s="58" t="n">
        <f aca="false">IF(AND(OR(BU251="L1",BU251="L23"),AF251&gt;0),SUMIFS($AF$7:$AF$1576,$BU$7:$BU$1576,BU251,$AI$7:$AI$1576,"&gt;"&amp;AI251)+SUMIFS($AF$7:$AF$1576,$BU$7:$BU$1576,BU251,$AI$7:$AI$1576,AI251,$BO$7:$BO$1576,"&lt;="&amp;BO251),"")</f>
        <v>40.0863112732678</v>
      </c>
      <c r="AK251" s="65" t="n">
        <f aca="false">IF(AJ251="",0,MAX(0,MIN(1,(IF(BU251="L1",Parameter!$E$5,Parameter!$E$6+Parameter!$E$7)-(AJ251-AF251))/AF251)))</f>
        <v>1</v>
      </c>
      <c r="AL251" s="57" t="n">
        <f aca="false">IF(LEFT(Cockpit!$I$5,1)="A",G251,IF(BW251=1,BX251,IF(LEFT(Cockpit!$I$5,1)="B",AP251,MAX(AP251,G251))))</f>
        <v>15</v>
      </c>
      <c r="AM251" s="57" t="n">
        <f aca="false">IF(BR251=1,0,ROUNDUP(AL251/BQ251,0))</f>
        <v>0</v>
      </c>
      <c r="AN251" s="59" t="n">
        <f aca="false">IF(CD251&gt;0,CD251*MAX(1,AL251/V251),IF(BR251=1,IF(AL251&lt;=0,0,BS251*MAX(1,IF(G251&gt;0,AL251/G251,1))),IF(Q251&gt;0,AM251/Q251,0))/MAX(0.1,N(Parameter!$M$21)))</f>
        <v>0.03</v>
      </c>
      <c r="AO251" s="57" t="n">
        <f aca="false">AL251*F251</f>
        <v>494.7</v>
      </c>
      <c r="AP251" s="57" t="n">
        <f aca="false">ROUNDUP(MAX(I251/IF(BV251&gt;0,BV251,MAX(0.1,N(Cockpit!$I$6))),BY251)/BQ251,0)*BQ251</f>
        <v>1</v>
      </c>
      <c r="AQ251" s="58" t="n">
        <f aca="false">IF(AN251&gt;0,I251/AN251,-1)</f>
        <v>0</v>
      </c>
      <c r="AR251" s="58" t="n">
        <f aca="false">IF(AND(OR(BU251="L1",BU251="L23"),AN251&gt;0),SUMIFS($AN$7:$AN$1576,$BU$7:$BU$1576,BU251,$AQ$7:$AQ$1576,"&gt;"&amp;AQ251)+SUMIFS($AN$7:$AN$1576,$BU$7:$BU$1576,BU251,$AQ$7:$AQ$1576,AQ251,$BO$7:$BO$1576,"&lt;="&amp;BO251),"")</f>
        <v>122.960517023057</v>
      </c>
      <c r="AS251" s="65" t="n">
        <f aca="false">IF(AR251="",0,MAX(0,MIN(1,(IF(BU251="L1",Parameter!$E$5,Parameter!$E$6+Parameter!$E$7)-(AR251-AN251))/AN251)))</f>
        <v>0</v>
      </c>
      <c r="AT251" s="57" t="n">
        <f aca="false">IF(LEFT(Cockpit!$O$5,1)="A",G251,IF(BW251=1,BX251,IF(LEFT(Cockpit!$O$5,1)="B",AX251,MAX(AX251,G251))))</f>
        <v>15</v>
      </c>
      <c r="AU251" s="57" t="n">
        <f aca="false">IF(BR251=1,0,ROUNDUP(AT251/BQ251,0))</f>
        <v>0</v>
      </c>
      <c r="AV251" s="59" t="n">
        <f aca="false">IF(CD251&gt;0,CD251*MAX(1,AT251/V251),IF(BR251=1,IF(AT251&lt;=0,0,BS251*MAX(1,IF(G251&gt;0,AT251/G251,1))),IF(Q251&gt;0,AU251/Q251,0))/MAX(0.1,N(Parameter!$M$21)))</f>
        <v>0.03</v>
      </c>
      <c r="AW251" s="57" t="n">
        <f aca="false">AT251*F251</f>
        <v>494.7</v>
      </c>
      <c r="AX251" s="57" t="n">
        <f aca="false">ROUNDUP(MAX(I251/IF(BV251&gt;0,BV251,MAX(0.1,N(Cockpit!$O$6))),BY251)/BQ251,0)*BQ251</f>
        <v>1</v>
      </c>
      <c r="AY251" s="58" t="n">
        <f aca="false">IF(AV251&gt;0,I251/AV251,-1)</f>
        <v>0</v>
      </c>
      <c r="AZ251" s="58" t="n">
        <f aca="false">IF(AND(OR(BU251="L1",BU251="L23"),AV251&gt;0),SUMIFS($AV$7:$AV$1576,$BU$7:$BU$1576,BU251,$AY$7:$AY$1576,"&gt;"&amp;AY251)+SUMIFS($AV$7:$AV$1576,$BU$7:$BU$1576,BU251,$AY$7:$AY$1576,AY251,$BO$7:$BO$1576,"&lt;="&amp;BO251),"")</f>
        <v>113.020067472608</v>
      </c>
      <c r="BA251" s="65" t="n">
        <f aca="false">IF(AZ251="",0,MAX(0,MIN(1,(IF(BU251="L1",Parameter!$E$5,Parameter!$E$6+Parameter!$E$7)-(AZ251-AV251))/AV251)))</f>
        <v>0</v>
      </c>
      <c r="BB251" s="55" t="str">
        <f aca="false">IF(AF251&lt;=0,"",IF(BU251="Aussen","Aussenlager",IF(BU251="-","Nicht im Lift",IF(AK251&gt;=1,"Lift",IF(AK251&lt;=0,"Aussenlager","teilweise")))))</f>
        <v>Lift</v>
      </c>
      <c r="BC251" s="55" t="str">
        <f aca="false">IF(AN251&lt;=0,"",IF(BU251="Aussen","Aussenlager",IF(BU251="-","Nicht im Lift",IF(AS251&gt;=1,"Lift",IF(AS251&lt;=0,"Aussenlager","teilweise")))))</f>
        <v>Aussenlager</v>
      </c>
      <c r="BD251" s="55" t="str">
        <f aca="false">IF(AV251&lt;=0,"",IF(BU251="Aussen","Aussenlager",IF(BU251="-","Nicht im Lift",IF(BA251&gt;=1,"Lift",IF(BA251&lt;=0,"Aussenlager","teilweise")))))</f>
        <v>Aussenlager</v>
      </c>
      <c r="BE251" s="55" t="str">
        <f aca="false">IF(A251="","",IF(BN251=1,"Neu; ","")&amp;IF(AND(BN251=0,BI251&lt;0),"negativer Bestand (Export "&amp;BI251&amp;"); ","")&amp;IF(I251&lt;=0,"Kein Verbrauch; ","")&amp;IF(CD251&gt;0,"Lift "&amp;U251&amp;" lt. Liftbericht (Fach "&amp;V251&amp;" Stk); ",IF(BR251=1,"Lose – Fläche geschätzt; ",""))&amp;IF(G251&gt;AP251,"Überbestand "&amp;ROUND(G251-AP251,0)&amp;" Stk / CHF "&amp;ROUND((G251-AP251)*F251,0)&amp;"; ","")&amp;IF(AND(BW251=1,BX251&lt;BY251),"MAX &lt; MB+LG; ","")&amp;IF(AND(CC251&gt;0,CB251*10&gt;CC251),"zu hoch für Tablar; ","")&amp;IF(AND(BN251=0,OR(BW251=1,Y251&lt;&gt;"",S251&lt;&gt;"",T251&lt;&gt;"",Z251&lt;&gt;"")),"manuell übersteuert; ","")&amp;IF(AND(BR251=0,Q251=0),"Gebinde unbekannt / Stellmass fehlt; ","")&amp;IF(AND(BR251=0,N(T251)&lt;=0,N(P251)&lt;=0),"Menge pro Gebinde fehlt (Ist = 1 Gebinde); ","")&amp;BM251)</f>
        <v>Kein Verbrauch; Lose – Fläche geschätzt; Überbestand 14 Stk / CHF 462; </v>
      </c>
      <c r="BF251" s="55"/>
      <c r="BG251" s="55"/>
      <c r="BH251" s="62"/>
      <c r="BI251" s="57" t="n">
        <v>15</v>
      </c>
      <c r="BJ251" s="57" t="n">
        <v>0</v>
      </c>
      <c r="BK251" s="56" t="n">
        <v>494.7</v>
      </c>
      <c r="BL251" s="57" t="n">
        <v>0</v>
      </c>
      <c r="BM251" s="55"/>
      <c r="BN251" s="60" t="n">
        <v>0</v>
      </c>
      <c r="BO251" s="60" t="n">
        <v>251</v>
      </c>
      <c r="BP251" s="55" t="str">
        <f aca="false">IF(S251&lt;&gt;"",UPPER(TRIM(S251)),IF(O251="","LOSE",O251))</f>
        <v>LOSE</v>
      </c>
      <c r="BQ251" s="57" t="n">
        <f aca="false">IF(BP251="LOSE",1,IF(N(T251)&gt;0,T251,IF(N(P251)&gt;0,P251,MAX(1,G251))))</f>
        <v>1</v>
      </c>
      <c r="BR251" s="60" t="n">
        <f aca="false">IF(BP251="LOSE",1,0)</f>
        <v>1</v>
      </c>
      <c r="BS251" s="59" t="n">
        <f aca="false">IF(BR251=0,0,IF(N(R251)&gt;0,R251,IFERROR(VLOOKUP(D251,Parameter!$A$35:$C$64,3,0)+0,0)))</f>
        <v>0.03</v>
      </c>
      <c r="BT251" s="55" t="n">
        <f aca="false">IF(Y251&lt;&gt;"",Y251,X251)</f>
        <v>2</v>
      </c>
      <c r="BU251" s="55" t="str">
        <f aca="false">IF(BT251=1,"L1",IF(OR(BT251=2,BT251=3),"L23",IF(BT251="Aussen","Aussen","-")))</f>
        <v>L23</v>
      </c>
      <c r="BV251" s="66" t="n">
        <f aca="false">IF(N(Z251)&gt;0,Z251,0)</f>
        <v>0</v>
      </c>
      <c r="BW251" s="60" t="n">
        <f aca="false">IF(ISNUMBER(AC251),1,0)</f>
        <v>0</v>
      </c>
      <c r="BX251" s="57" t="n">
        <f aca="false">N(AC251)</f>
        <v>0</v>
      </c>
      <c r="BY251" s="57" t="n">
        <f aca="false">N(L251)+N(M251)</f>
        <v>1</v>
      </c>
      <c r="BZ251" s="57" t="n">
        <f aca="false">ROUNDUP(G251/BQ251,0)</f>
        <v>15</v>
      </c>
      <c r="CA251" s="57" t="n">
        <f aca="false">ROUNDUP(BX251/BQ251,0)</f>
        <v>0</v>
      </c>
      <c r="CB251" s="60" t="n">
        <f aca="false">IF(BR251=1,0,IFERROR(VLOOKUP(BP251,'Gebinde-Kategorie'!$A$5:$M$45,5,0)+0,0))</f>
        <v>0</v>
      </c>
      <c r="CC251" s="60" t="n">
        <f aca="false">IFERROR(IF(OR(BT251=1,BT251=2,BT251=3),N(INDEX(Parameter!$I$5:$I$7,BT251)),0),0)</f>
        <v>0</v>
      </c>
      <c r="CD251" s="59" t="n">
        <f aca="false">IF(AND(Parameter!$B$21="Ja",ISNUMBER(U251),N(V251)&gt;0),IFERROR(N(INDEX(Parameter!$L$5:$L$7,U251))*INDEX(Parameter!$E$5:$E$7,U251)*V251/SUMIFS($V$7:$V$1576,$U$7:$U$1576,U251),0),0)</f>
        <v>0</v>
      </c>
    </row>
    <row r="252" customFormat="false" ht="15" hidden="false" customHeight="false" outlineLevel="0" collapsed="false">
      <c r="A252" s="55" t="s">
        <v>676</v>
      </c>
      <c r="B252" s="55" t="s">
        <v>677</v>
      </c>
      <c r="C252" s="55" t="s">
        <v>160</v>
      </c>
      <c r="D252" s="55" t="s">
        <v>178</v>
      </c>
      <c r="E252" s="55" t="s">
        <v>210</v>
      </c>
      <c r="F252" s="56" t="n">
        <v>11.85</v>
      </c>
      <c r="G252" s="57" t="n">
        <f aca="false">MAX(0,IF(AND(Parameter!$B$21="Ja",ISNUMBER(W252)),W252,IF(Parameter!$B$20="Jahresanfang 2025 + Export",BJ252+BI252,BI252)))</f>
        <v>45</v>
      </c>
      <c r="H252" s="57" t="n">
        <f aca="false">G252*F252</f>
        <v>533.25</v>
      </c>
      <c r="I252" s="57" t="n">
        <f aca="false">BL252*Parameter!$B$18</f>
        <v>72</v>
      </c>
      <c r="J252" s="58" t="n">
        <v>28</v>
      </c>
      <c r="K252" s="59" t="n">
        <v>2.57142857142857</v>
      </c>
      <c r="L252" s="57" t="n">
        <v>5</v>
      </c>
      <c r="M252" s="57" t="n">
        <v>70</v>
      </c>
      <c r="N252" s="60" t="n">
        <v>28</v>
      </c>
      <c r="O252" s="55" t="s">
        <v>293</v>
      </c>
      <c r="P252" s="57" t="n">
        <v>25</v>
      </c>
      <c r="Q252" s="60" t="n">
        <f aca="false">IF(BR252=1,0,IFERROR(VLOOKUP(BP252,'Gebinde-Kategorie'!$A$5:$M$45,13,0)+0,0))</f>
        <v>26</v>
      </c>
      <c r="R252" s="61"/>
      <c r="S252" s="62"/>
      <c r="T252" s="62"/>
      <c r="U252" s="55"/>
      <c r="V252" s="57"/>
      <c r="W252" s="57"/>
      <c r="X252" s="55" t="n">
        <f aca="false">IF(A252="","",IF(AND(Parameter!$B$21="Ja",ISNUMBER(U252)),U252,IF(IFERROR(VLOOKUP(D252,Parameter!$A$35:$C$64,2,0),"Nein")="2+3",IF(ISNUMBER(SEARCH("grosser Artikel",BM252)),2,IFERROR(VLOOKUP(BP252,Parameter!$F$35:$G$64,2,0),2)),IF(OR(IFERROR(VLOOKUP(D252,Parameter!$A$35:$C$64,2,0),"Nein")="Nein",IFERROR(VLOOKUP(D252,Parameter!$A$35:$C$64,2,0),"Nein")=""),"-",VLOOKUP(D252,Parameter!$A$35:$C$64,2,0)))))</f>
        <v>3</v>
      </c>
      <c r="Y252" s="62"/>
      <c r="Z252" s="63"/>
      <c r="AA252" s="57" t="n">
        <f aca="false">AP252</f>
        <v>75</v>
      </c>
      <c r="AB252" s="57" t="n">
        <f aca="false">MAX(AP252,G252)</f>
        <v>75</v>
      </c>
      <c r="AC252" s="64"/>
      <c r="AD252" s="57" t="n">
        <f aca="false">IF(LEFT(Cockpit!$C$5,1)="A",G252,IF(BW252=1,BX252,IF(LEFT(Cockpit!$C$5,1)="B",AH252,MAX(AH252,G252))))</f>
        <v>45</v>
      </c>
      <c r="AE252" s="57" t="n">
        <f aca="false">IF(BR252=1,0,ROUNDUP(AD252/BQ252,0))</f>
        <v>2</v>
      </c>
      <c r="AF252" s="59" t="n">
        <f aca="false">IF(CD252&gt;0,CD252*MAX(1,AD252/V252),IF(BR252=1,IF(AD252&lt;=0,0,BS252*MAX(1,IF(G252&gt;0,AD252/G252,1))),IF(Q252&gt;0,AE252/Q252,0))/MAX(0.1,N(Parameter!$M$21)))</f>
        <v>0.0769230769230769</v>
      </c>
      <c r="AG252" s="57" t="n">
        <f aca="false">AD252*F252</f>
        <v>533.25</v>
      </c>
      <c r="AH252" s="57" t="n">
        <f aca="false">ROUNDUP(MAX(I252/IF(BV252&gt;0,BV252,MAX(0.1,N(Cockpit!$C$6))),BY252)/BQ252,0)*BQ252</f>
        <v>75</v>
      </c>
      <c r="AI252" s="58" t="n">
        <f aca="false">IF(AF252&gt;0,I252/AF252,-1)</f>
        <v>936</v>
      </c>
      <c r="AJ252" s="58" t="n">
        <f aca="false">IF(AND(OR(BU252="L1",BU252="L23"),AF252&gt;0),SUMIFS($AF$7:$AF$1576,$BU$7:$BU$1576,BU252,$AI$7:$AI$1576,"&gt;"&amp;AI252)+SUMIFS($AF$7:$AF$1576,$BU$7:$BU$1576,BU252,$AI$7:$AI$1576,AI252,$BO$7:$BO$1576,"&lt;="&amp;BO252),"")</f>
        <v>9.80080199993244</v>
      </c>
      <c r="AK252" s="65" t="n">
        <f aca="false">IF(AJ252="",0,MAX(0,MIN(1,(IF(BU252="L1",Parameter!$E$5,Parameter!$E$6+Parameter!$E$7)-(AJ252-AF252))/AF252)))</f>
        <v>1</v>
      </c>
      <c r="AL252" s="57" t="n">
        <f aca="false">IF(LEFT(Cockpit!$I$5,1)="A",G252,IF(BW252=1,BX252,IF(LEFT(Cockpit!$I$5,1)="B",AP252,MAX(AP252,G252))))</f>
        <v>75</v>
      </c>
      <c r="AM252" s="57" t="n">
        <f aca="false">IF(BR252=1,0,ROUNDUP(AL252/BQ252,0))</f>
        <v>3</v>
      </c>
      <c r="AN252" s="59" t="n">
        <f aca="false">IF(CD252&gt;0,CD252*MAX(1,AL252/V252),IF(BR252=1,IF(AL252&lt;=0,0,BS252*MAX(1,IF(G252&gt;0,AL252/G252,1))),IF(Q252&gt;0,AM252/Q252,0))/MAX(0.1,N(Parameter!$M$21)))</f>
        <v>0.115384615384615</v>
      </c>
      <c r="AO252" s="57" t="n">
        <f aca="false">AL252*F252</f>
        <v>888.75</v>
      </c>
      <c r="AP252" s="57" t="n">
        <f aca="false">ROUNDUP(MAX(I252/IF(BV252&gt;0,BV252,MAX(0.1,N(Cockpit!$I$6))),BY252)/BQ252,0)*BQ252</f>
        <v>75</v>
      </c>
      <c r="AQ252" s="58" t="n">
        <f aca="false">IF(AN252&gt;0,I252/AN252,-1)</f>
        <v>624</v>
      </c>
      <c r="AR252" s="58" t="n">
        <f aca="false">IF(AND(OR(BU252="L1",BU252="L23"),AN252&gt;0),SUMIFS($AN$7:$AN$1576,$BU$7:$BU$1576,BU252,$AQ$7:$AQ$1576,"&gt;"&amp;AQ252)+SUMIFS($AN$7:$AN$1576,$BU$7:$BU$1576,BU252,$AQ$7:$AQ$1576,AQ252,$BO$7:$BO$1576,"&lt;="&amp;BO252),"")</f>
        <v>30.7647687219538</v>
      </c>
      <c r="AS252" s="65" t="n">
        <f aca="false">IF(AR252="",0,MAX(0,MIN(1,(IF(BU252="L1",Parameter!$E$5,Parameter!$E$6+Parameter!$E$7)-(AR252-AN252))/AN252)))</f>
        <v>1</v>
      </c>
      <c r="AT252" s="57" t="n">
        <f aca="false">IF(LEFT(Cockpit!$O$5,1)="A",G252,IF(BW252=1,BX252,IF(LEFT(Cockpit!$O$5,1)="B",AX252,MAX(AX252,G252))))</f>
        <v>75</v>
      </c>
      <c r="AU252" s="57" t="n">
        <f aca="false">IF(BR252=1,0,ROUNDUP(AT252/BQ252,0))</f>
        <v>3</v>
      </c>
      <c r="AV252" s="59" t="n">
        <f aca="false">IF(CD252&gt;0,CD252*MAX(1,AT252/V252),IF(BR252=1,IF(AT252&lt;=0,0,BS252*MAX(1,IF(G252&gt;0,AT252/G252,1))),IF(Q252&gt;0,AU252/Q252,0))/MAX(0.1,N(Parameter!$M$21)))</f>
        <v>0.115384615384615</v>
      </c>
      <c r="AW252" s="57" t="n">
        <f aca="false">AT252*F252</f>
        <v>888.75</v>
      </c>
      <c r="AX252" s="57" t="n">
        <f aca="false">ROUNDUP(MAX(I252/IF(BV252&gt;0,BV252,MAX(0.1,N(Cockpit!$O$6))),BY252)/BQ252,0)*BQ252</f>
        <v>75</v>
      </c>
      <c r="AY252" s="58" t="n">
        <f aca="false">IF(AV252&gt;0,I252/AV252,-1)</f>
        <v>624</v>
      </c>
      <c r="AZ252" s="58" t="n">
        <f aca="false">IF(AND(OR(BU252="L1",BU252="L23"),AV252&gt;0),SUMIFS($AV$7:$AV$1576,$BU$7:$BU$1576,BU252,$AY$7:$AY$1576,"&gt;"&amp;AY252)+SUMIFS($AV$7:$AV$1576,$BU$7:$BU$1576,BU252,$AY$7:$AY$1576,AY252,$BO$7:$BO$1576,"&lt;="&amp;BO252),"")</f>
        <v>29.9760707532558</v>
      </c>
      <c r="BA252" s="65" t="n">
        <f aca="false">IF(AZ252="",0,MAX(0,MIN(1,(IF(BU252="L1",Parameter!$E$5,Parameter!$E$6+Parameter!$E$7)-(AZ252-AV252))/AV252)))</f>
        <v>1</v>
      </c>
      <c r="BB252" s="55" t="str">
        <f aca="false">IF(AF252&lt;=0,"",IF(BU252="Aussen","Aussenlager",IF(BU252="-","Nicht im Lift",IF(AK252&gt;=1,"Lift",IF(AK252&lt;=0,"Aussenlager","teilweise")))))</f>
        <v>Lift</v>
      </c>
      <c r="BC252" s="55" t="str">
        <f aca="false">IF(AN252&lt;=0,"",IF(BU252="Aussen","Aussenlager",IF(BU252="-","Nicht im Lift",IF(AS252&gt;=1,"Lift",IF(AS252&lt;=0,"Aussenlager","teilweise")))))</f>
        <v>Lift</v>
      </c>
      <c r="BD252" s="55" t="str">
        <f aca="false">IF(AV252&lt;=0,"",IF(BU252="Aussen","Aussenlager",IF(BU252="-","Nicht im Lift",IF(BA252&gt;=1,"Lift",IF(BA252&lt;=0,"Aussenlager","teilweise")))))</f>
        <v>Lift</v>
      </c>
      <c r="BE252" s="55" t="str">
        <f aca="false">IF(A252="","",IF(BN252=1,"Neu; ","")&amp;IF(AND(BN252=0,BI252&lt;0),"negativer Bestand (Export "&amp;BI252&amp;"); ","")&amp;IF(I252&lt;=0,"Kein Verbrauch; ","")&amp;IF(CD252&gt;0,"Lift "&amp;U252&amp;" lt. Liftbericht (Fach "&amp;V252&amp;" Stk); ",IF(BR252=1,"Lose – Fläche geschätzt; ",""))&amp;IF(G252&gt;AP252,"Überbestand "&amp;ROUND(G252-AP252,0)&amp;" Stk / CHF "&amp;ROUND((G252-AP252)*F252,0)&amp;"; ","")&amp;IF(AND(BW252=1,BX252&lt;BY252),"MAX &lt; MB+LG; ","")&amp;IF(AND(CC252&gt;0,CB252*10&gt;CC252),"zu hoch für Tablar; ","")&amp;IF(AND(BN252=0,OR(BW252=1,Y252&lt;&gt;"",S252&lt;&gt;"",T252&lt;&gt;"",Z252&lt;&gt;"")),"manuell übersteuert; ","")&amp;IF(AND(BR252=0,Q252=0),"Gebinde unbekannt / Stellmass fehlt; ","")&amp;IF(AND(BR252=0,N(T252)&lt;=0,N(P252)&lt;=0),"Menge pro Gebinde fehlt (Ist = 1 Gebinde); ","")&amp;BM252)</f>
        <v/>
      </c>
      <c r="BF252" s="55"/>
      <c r="BG252" s="55"/>
      <c r="BH252" s="62"/>
      <c r="BI252" s="57" t="n">
        <v>45</v>
      </c>
      <c r="BJ252" s="57" t="n">
        <v>24</v>
      </c>
      <c r="BK252" s="56" t="n">
        <v>492.929999999998</v>
      </c>
      <c r="BL252" s="57" t="n">
        <v>72</v>
      </c>
      <c r="BM252" s="55"/>
      <c r="BN252" s="60" t="n">
        <v>0</v>
      </c>
      <c r="BO252" s="60" t="n">
        <v>252</v>
      </c>
      <c r="BP252" s="55" t="str">
        <f aca="false">IF(S252&lt;&gt;"",UPPER(TRIM(S252)),IF(O252="","LOSE",O252))</f>
        <v>S51</v>
      </c>
      <c r="BQ252" s="57" t="n">
        <f aca="false">IF(BP252="LOSE",1,IF(N(T252)&gt;0,T252,IF(N(P252)&gt;0,P252,MAX(1,G252))))</f>
        <v>25</v>
      </c>
      <c r="BR252" s="60" t="n">
        <f aca="false">IF(BP252="LOSE",1,0)</f>
        <v>0</v>
      </c>
      <c r="BS252" s="59" t="n">
        <f aca="false">IF(BR252=0,0,IF(N(R252)&gt;0,R252,IFERROR(VLOOKUP(D252,Parameter!$A$35:$C$64,3,0)+0,0)))</f>
        <v>0</v>
      </c>
      <c r="BT252" s="55" t="n">
        <f aca="false">IF(Y252&lt;&gt;"",Y252,X252)</f>
        <v>3</v>
      </c>
      <c r="BU252" s="55" t="str">
        <f aca="false">IF(BT252=1,"L1",IF(OR(BT252=2,BT252=3),"L23",IF(BT252="Aussen","Aussen","-")))</f>
        <v>L23</v>
      </c>
      <c r="BV252" s="66" t="n">
        <f aca="false">IF(N(Z252)&gt;0,Z252,0)</f>
        <v>0</v>
      </c>
      <c r="BW252" s="60" t="n">
        <f aca="false">IF(ISNUMBER(AC252),1,0)</f>
        <v>0</v>
      </c>
      <c r="BX252" s="57" t="n">
        <f aca="false">N(AC252)</f>
        <v>0</v>
      </c>
      <c r="BY252" s="57" t="n">
        <f aca="false">N(L252)+N(M252)</f>
        <v>75</v>
      </c>
      <c r="BZ252" s="57" t="n">
        <f aca="false">ROUNDUP(G252/BQ252,0)</f>
        <v>2</v>
      </c>
      <c r="CA252" s="57" t="n">
        <f aca="false">ROUNDUP(BX252/BQ252,0)</f>
        <v>0</v>
      </c>
      <c r="CB252" s="60" t="n">
        <f aca="false">IF(BR252=1,0,IFERROR(VLOOKUP(BP252,'Gebinde-Kategorie'!$A$5:$M$45,5,0)+0,0))</f>
        <v>11</v>
      </c>
      <c r="CC252" s="60" t="n">
        <f aca="false">IFERROR(IF(OR(BT252=1,BT252=2,BT252=3),N(INDEX(Parameter!$I$5:$I$7,BT252)),0),0)</f>
        <v>0</v>
      </c>
      <c r="CD252" s="59" t="n">
        <f aca="false">IF(AND(Parameter!$B$21="Ja",ISNUMBER(U252),N(V252)&gt;0),IFERROR(N(INDEX(Parameter!$L$5:$L$7,U252))*INDEX(Parameter!$E$5:$E$7,U252)*V252/SUMIFS($V$7:$V$1576,$U$7:$U$1576,U252),0),0)</f>
        <v>0</v>
      </c>
    </row>
    <row r="253" customFormat="false" ht="15" hidden="false" customHeight="false" outlineLevel="0" collapsed="false">
      <c r="A253" s="55" t="s">
        <v>678</v>
      </c>
      <c r="B253" s="55" t="s">
        <v>679</v>
      </c>
      <c r="C253" s="55" t="s">
        <v>160</v>
      </c>
      <c r="D253" s="55" t="s">
        <v>168</v>
      </c>
      <c r="E253" s="55" t="s">
        <v>210</v>
      </c>
      <c r="F253" s="56" t="n">
        <v>32.33</v>
      </c>
      <c r="G253" s="57" t="n">
        <f aca="false">MAX(0,IF(AND(Parameter!$B$21="Ja",ISNUMBER(W253)),W253,IF(Parameter!$B$20="Jahresanfang 2025 + Export",BJ253+BI253,BI253)))</f>
        <v>15</v>
      </c>
      <c r="H253" s="57" t="n">
        <f aca="false">G253*F253</f>
        <v>484.95</v>
      </c>
      <c r="I253" s="57" t="n">
        <f aca="false">BL253*Parameter!$B$18</f>
        <v>0</v>
      </c>
      <c r="J253" s="58" t="n">
        <v>0</v>
      </c>
      <c r="K253" s="59" t="n">
        <v>0</v>
      </c>
      <c r="L253" s="57" t="n">
        <v>0</v>
      </c>
      <c r="M253" s="57" t="n">
        <v>1</v>
      </c>
      <c r="N253" s="60" t="n">
        <v>9999</v>
      </c>
      <c r="O253" s="55" t="s">
        <v>163</v>
      </c>
      <c r="P253" s="57"/>
      <c r="Q253" s="60" t="n">
        <f aca="false">IF(BR253=1,0,IFERROR(VLOOKUP(BP253,'Gebinde-Kategorie'!$A$5:$M$45,13,0)+0,0))</f>
        <v>0</v>
      </c>
      <c r="R253" s="61"/>
      <c r="S253" s="62"/>
      <c r="T253" s="62"/>
      <c r="U253" s="55"/>
      <c r="V253" s="57"/>
      <c r="W253" s="57"/>
      <c r="X253" s="55" t="n">
        <f aca="false">IF(A253="","",IF(AND(Parameter!$B$21="Ja",ISNUMBER(U253)),U253,IF(IFERROR(VLOOKUP(D253,Parameter!$A$35:$C$64,2,0),"Nein")="2+3",IF(ISNUMBER(SEARCH("grosser Artikel",BM253)),2,IFERROR(VLOOKUP(BP253,Parameter!$F$35:$G$64,2,0),2)),IF(OR(IFERROR(VLOOKUP(D253,Parameter!$A$35:$C$64,2,0),"Nein")="Nein",IFERROR(VLOOKUP(D253,Parameter!$A$35:$C$64,2,0),"Nein")=""),"-",VLOOKUP(D253,Parameter!$A$35:$C$64,2,0)))))</f>
        <v>2</v>
      </c>
      <c r="Y253" s="62"/>
      <c r="Z253" s="63"/>
      <c r="AA253" s="57" t="n">
        <f aca="false">AP253</f>
        <v>1</v>
      </c>
      <c r="AB253" s="57" t="n">
        <f aca="false">MAX(AP253,G253)</f>
        <v>15</v>
      </c>
      <c r="AC253" s="64"/>
      <c r="AD253" s="57" t="n">
        <f aca="false">IF(LEFT(Cockpit!$C$5,1)="A",G253,IF(BW253=1,BX253,IF(LEFT(Cockpit!$C$5,1)="B",AH253,MAX(AH253,G253))))</f>
        <v>15</v>
      </c>
      <c r="AE253" s="57" t="n">
        <f aca="false">IF(BR253=1,0,ROUNDUP(AD253/BQ253,0))</f>
        <v>0</v>
      </c>
      <c r="AF253" s="59" t="n">
        <f aca="false">IF(CD253&gt;0,CD253*MAX(1,AD253/V253),IF(BR253=1,IF(AD253&lt;=0,0,BS253*MAX(1,IF(G253&gt;0,AD253/G253,1))),IF(Q253&gt;0,AE253/Q253,0))/MAX(0.1,N(Parameter!$M$21)))</f>
        <v>0.15</v>
      </c>
      <c r="AG253" s="57" t="n">
        <f aca="false">AD253*F253</f>
        <v>484.95</v>
      </c>
      <c r="AH253" s="57" t="n">
        <f aca="false">ROUNDUP(MAX(I253/IF(BV253&gt;0,BV253,MAX(0.1,N(Cockpit!$C$6))),BY253)/BQ253,0)*BQ253</f>
        <v>1</v>
      </c>
      <c r="AI253" s="58" t="n">
        <f aca="false">IF(AF253&gt;0,I253/AF253,-1)</f>
        <v>0</v>
      </c>
      <c r="AJ253" s="58" t="n">
        <f aca="false">IF(AND(OR(BU253="L1",BU253="L23"),AF253&gt;0),SUMIFS($AF$7:$AF$1576,$BU$7:$BU$1576,BU253,$AI$7:$AI$1576,"&gt;"&amp;AI253)+SUMIFS($AF$7:$AF$1576,$BU$7:$BU$1576,BU253,$AI$7:$AI$1576,AI253,$BO$7:$BO$1576,"&lt;="&amp;BO253),"")</f>
        <v>40.2363112732678</v>
      </c>
      <c r="AK253" s="65" t="n">
        <f aca="false">IF(AJ253="",0,MAX(0,MIN(1,(IF(BU253="L1",Parameter!$E$5,Parameter!$E$6+Parameter!$E$7)-(AJ253-AF253))/AF253)))</f>
        <v>1</v>
      </c>
      <c r="AL253" s="57" t="n">
        <f aca="false">IF(LEFT(Cockpit!$I$5,1)="A",G253,IF(BW253=1,BX253,IF(LEFT(Cockpit!$I$5,1)="B",AP253,MAX(AP253,G253))))</f>
        <v>15</v>
      </c>
      <c r="AM253" s="57" t="n">
        <f aca="false">IF(BR253=1,0,ROUNDUP(AL253/BQ253,0))</f>
        <v>0</v>
      </c>
      <c r="AN253" s="59" t="n">
        <f aca="false">IF(CD253&gt;0,CD253*MAX(1,AL253/V253),IF(BR253=1,IF(AL253&lt;=0,0,BS253*MAX(1,IF(G253&gt;0,AL253/G253,1))),IF(Q253&gt;0,AM253/Q253,0))/MAX(0.1,N(Parameter!$M$21)))</f>
        <v>0.15</v>
      </c>
      <c r="AO253" s="57" t="n">
        <f aca="false">AL253*F253</f>
        <v>484.95</v>
      </c>
      <c r="AP253" s="57" t="n">
        <f aca="false">ROUNDUP(MAX(I253/IF(BV253&gt;0,BV253,MAX(0.1,N(Cockpit!$I$6))),BY253)/BQ253,0)*BQ253</f>
        <v>1</v>
      </c>
      <c r="AQ253" s="58" t="n">
        <f aca="false">IF(AN253&gt;0,I253/AN253,-1)</f>
        <v>0</v>
      </c>
      <c r="AR253" s="58" t="n">
        <f aca="false">IF(AND(OR(BU253="L1",BU253="L23"),AN253&gt;0),SUMIFS($AN$7:$AN$1576,$BU$7:$BU$1576,BU253,$AQ$7:$AQ$1576,"&gt;"&amp;AQ253)+SUMIFS($AN$7:$AN$1576,$BU$7:$BU$1576,BU253,$AQ$7:$AQ$1576,AQ253,$BO$7:$BO$1576,"&lt;="&amp;BO253),"")</f>
        <v>123.110517023057</v>
      </c>
      <c r="AS253" s="65" t="n">
        <f aca="false">IF(AR253="",0,MAX(0,MIN(1,(IF(BU253="L1",Parameter!$E$5,Parameter!$E$6+Parameter!$E$7)-(AR253-AN253))/AN253)))</f>
        <v>0</v>
      </c>
      <c r="AT253" s="57" t="n">
        <f aca="false">IF(LEFT(Cockpit!$O$5,1)="A",G253,IF(BW253=1,BX253,IF(LEFT(Cockpit!$O$5,1)="B",AX253,MAX(AX253,G253))))</f>
        <v>15</v>
      </c>
      <c r="AU253" s="57" t="n">
        <f aca="false">IF(BR253=1,0,ROUNDUP(AT253/BQ253,0))</f>
        <v>0</v>
      </c>
      <c r="AV253" s="59" t="n">
        <f aca="false">IF(CD253&gt;0,CD253*MAX(1,AT253/V253),IF(BR253=1,IF(AT253&lt;=0,0,BS253*MAX(1,IF(G253&gt;0,AT253/G253,1))),IF(Q253&gt;0,AU253/Q253,0))/MAX(0.1,N(Parameter!$M$21)))</f>
        <v>0.15</v>
      </c>
      <c r="AW253" s="57" t="n">
        <f aca="false">AT253*F253</f>
        <v>484.95</v>
      </c>
      <c r="AX253" s="57" t="n">
        <f aca="false">ROUNDUP(MAX(I253/IF(BV253&gt;0,BV253,MAX(0.1,N(Cockpit!$O$6))),BY253)/BQ253,0)*BQ253</f>
        <v>1</v>
      </c>
      <c r="AY253" s="58" t="n">
        <f aca="false">IF(AV253&gt;0,I253/AV253,-1)</f>
        <v>0</v>
      </c>
      <c r="AZ253" s="58" t="n">
        <f aca="false">IF(AND(OR(BU253="L1",BU253="L23"),AV253&gt;0),SUMIFS($AV$7:$AV$1576,$BU$7:$BU$1576,BU253,$AY$7:$AY$1576,"&gt;"&amp;AY253)+SUMIFS($AV$7:$AV$1576,$BU$7:$BU$1576,BU253,$AY$7:$AY$1576,AY253,$BO$7:$BO$1576,"&lt;="&amp;BO253),"")</f>
        <v>113.170067472608</v>
      </c>
      <c r="BA253" s="65" t="n">
        <f aca="false">IF(AZ253="",0,MAX(0,MIN(1,(IF(BU253="L1",Parameter!$E$5,Parameter!$E$6+Parameter!$E$7)-(AZ253-AV253))/AV253)))</f>
        <v>0</v>
      </c>
      <c r="BB253" s="55" t="str">
        <f aca="false">IF(AF253&lt;=0,"",IF(BU253="Aussen","Aussenlager",IF(BU253="-","Nicht im Lift",IF(AK253&gt;=1,"Lift",IF(AK253&lt;=0,"Aussenlager","teilweise")))))</f>
        <v>Lift</v>
      </c>
      <c r="BC253" s="55" t="str">
        <f aca="false">IF(AN253&lt;=0,"",IF(BU253="Aussen","Aussenlager",IF(BU253="-","Nicht im Lift",IF(AS253&gt;=1,"Lift",IF(AS253&lt;=0,"Aussenlager","teilweise")))))</f>
        <v>Aussenlager</v>
      </c>
      <c r="BD253" s="55" t="str">
        <f aca="false">IF(AV253&lt;=0,"",IF(BU253="Aussen","Aussenlager",IF(BU253="-","Nicht im Lift",IF(BA253&gt;=1,"Lift",IF(BA253&lt;=0,"Aussenlager","teilweise")))))</f>
        <v>Aussenlager</v>
      </c>
      <c r="BE253" s="55" t="str">
        <f aca="false">IF(A253="","",IF(BN253=1,"Neu; ","")&amp;IF(AND(BN253=0,BI253&lt;0),"negativer Bestand (Export "&amp;BI253&amp;"); ","")&amp;IF(I253&lt;=0,"Kein Verbrauch; ","")&amp;IF(CD253&gt;0,"Lift "&amp;U253&amp;" lt. Liftbericht (Fach "&amp;V253&amp;" Stk); ",IF(BR253=1,"Lose – Fläche geschätzt; ",""))&amp;IF(G253&gt;AP253,"Überbestand "&amp;ROUND(G253-AP253,0)&amp;" Stk / CHF "&amp;ROUND((G253-AP253)*F253,0)&amp;"; ","")&amp;IF(AND(BW253=1,BX253&lt;BY253),"MAX &lt; MB+LG; ","")&amp;IF(AND(CC253&gt;0,CB253*10&gt;CC253),"zu hoch für Tablar; ","")&amp;IF(AND(BN253=0,OR(BW253=1,Y253&lt;&gt;"",S253&lt;&gt;"",T253&lt;&gt;"",Z253&lt;&gt;"")),"manuell übersteuert; ","")&amp;IF(AND(BR253=0,Q253=0),"Gebinde unbekannt / Stellmass fehlt; ","")&amp;IF(AND(BR253=0,N(T253)&lt;=0,N(P253)&lt;=0),"Menge pro Gebinde fehlt (Ist = 1 Gebinde); ","")&amp;BM253)</f>
        <v>Kein Verbrauch; Lose – Fläche geschätzt; Überbestand 14 Stk / CHF 453; </v>
      </c>
      <c r="BF253" s="55"/>
      <c r="BG253" s="55"/>
      <c r="BH253" s="62"/>
      <c r="BI253" s="57" t="n">
        <v>15</v>
      </c>
      <c r="BJ253" s="57" t="n">
        <v>0</v>
      </c>
      <c r="BK253" s="56" t="n">
        <v>484.95</v>
      </c>
      <c r="BL253" s="57" t="n">
        <v>0</v>
      </c>
      <c r="BM253" s="55"/>
      <c r="BN253" s="60" t="n">
        <v>0</v>
      </c>
      <c r="BO253" s="60" t="n">
        <v>253</v>
      </c>
      <c r="BP253" s="55" t="str">
        <f aca="false">IF(S253&lt;&gt;"",UPPER(TRIM(S253)),IF(O253="","LOSE",O253))</f>
        <v>LOSE</v>
      </c>
      <c r="BQ253" s="57" t="n">
        <f aca="false">IF(BP253="LOSE",1,IF(N(T253)&gt;0,T253,IF(N(P253)&gt;0,P253,MAX(1,G253))))</f>
        <v>1</v>
      </c>
      <c r="BR253" s="60" t="n">
        <f aca="false">IF(BP253="LOSE",1,0)</f>
        <v>1</v>
      </c>
      <c r="BS253" s="59" t="n">
        <f aca="false">IF(BR253=0,0,IF(N(R253)&gt;0,R253,IFERROR(VLOOKUP(D253,Parameter!$A$35:$C$64,3,0)+0,0)))</f>
        <v>0.15</v>
      </c>
      <c r="BT253" s="55" t="n">
        <f aca="false">IF(Y253&lt;&gt;"",Y253,X253)</f>
        <v>2</v>
      </c>
      <c r="BU253" s="55" t="str">
        <f aca="false">IF(BT253=1,"L1",IF(OR(BT253=2,BT253=3),"L23",IF(BT253="Aussen","Aussen","-")))</f>
        <v>L23</v>
      </c>
      <c r="BV253" s="66" t="n">
        <f aca="false">IF(N(Z253)&gt;0,Z253,0)</f>
        <v>0</v>
      </c>
      <c r="BW253" s="60" t="n">
        <f aca="false">IF(ISNUMBER(AC253),1,0)</f>
        <v>0</v>
      </c>
      <c r="BX253" s="57" t="n">
        <f aca="false">N(AC253)</f>
        <v>0</v>
      </c>
      <c r="BY253" s="57" t="n">
        <f aca="false">N(L253)+N(M253)</f>
        <v>1</v>
      </c>
      <c r="BZ253" s="57" t="n">
        <f aca="false">ROUNDUP(G253/BQ253,0)</f>
        <v>15</v>
      </c>
      <c r="CA253" s="57" t="n">
        <f aca="false">ROUNDUP(BX253/BQ253,0)</f>
        <v>0</v>
      </c>
      <c r="CB253" s="60" t="n">
        <f aca="false">IF(BR253=1,0,IFERROR(VLOOKUP(BP253,'Gebinde-Kategorie'!$A$5:$M$45,5,0)+0,0))</f>
        <v>0</v>
      </c>
      <c r="CC253" s="60" t="n">
        <f aca="false">IFERROR(IF(OR(BT253=1,BT253=2,BT253=3),N(INDEX(Parameter!$I$5:$I$7,BT253)),0),0)</f>
        <v>0</v>
      </c>
      <c r="CD253" s="59" t="n">
        <f aca="false">IF(AND(Parameter!$B$21="Ja",ISNUMBER(U253),N(V253)&gt;0),IFERROR(N(INDEX(Parameter!$L$5:$L$7,U253))*INDEX(Parameter!$E$5:$E$7,U253)*V253/SUMIFS($V$7:$V$1576,$U$7:$U$1576,U253),0),0)</f>
        <v>0</v>
      </c>
    </row>
    <row r="254" customFormat="false" ht="15" hidden="false" customHeight="false" outlineLevel="0" collapsed="false">
      <c r="A254" s="55" t="s">
        <v>680</v>
      </c>
      <c r="B254" s="55" t="s">
        <v>681</v>
      </c>
      <c r="C254" s="55" t="s">
        <v>160</v>
      </c>
      <c r="D254" s="55" t="s">
        <v>168</v>
      </c>
      <c r="E254" s="55" t="s">
        <v>210</v>
      </c>
      <c r="F254" s="56" t="n">
        <v>118.62</v>
      </c>
      <c r="G254" s="57" t="n">
        <f aca="false">MAX(0,IF(AND(Parameter!$B$21="Ja",ISNUMBER(W254)),W254,IF(Parameter!$B$20="Jahresanfang 2025 + Export",BJ254+BI254,BI254)))</f>
        <v>4</v>
      </c>
      <c r="H254" s="57" t="n">
        <f aca="false">G254*F254</f>
        <v>474.48</v>
      </c>
      <c r="I254" s="57" t="n">
        <f aca="false">BL254*Parameter!$B$18</f>
        <v>2</v>
      </c>
      <c r="J254" s="58" t="n">
        <v>1.5</v>
      </c>
      <c r="K254" s="59" t="n">
        <v>1.33333333333333</v>
      </c>
      <c r="L254" s="57" t="n">
        <v>0</v>
      </c>
      <c r="M254" s="57" t="n">
        <v>1</v>
      </c>
      <c r="N254" s="60" t="n">
        <v>31</v>
      </c>
      <c r="O254" s="55" t="s">
        <v>163</v>
      </c>
      <c r="P254" s="57"/>
      <c r="Q254" s="60" t="n">
        <f aca="false">IF(BR254=1,0,IFERROR(VLOOKUP(BP254,'Gebinde-Kategorie'!$A$5:$M$45,13,0)+0,0))</f>
        <v>0</v>
      </c>
      <c r="R254" s="61"/>
      <c r="S254" s="62"/>
      <c r="T254" s="62"/>
      <c r="U254" s="55"/>
      <c r="V254" s="57"/>
      <c r="W254" s="57"/>
      <c r="X254" s="55" t="n">
        <f aca="false">IF(A254="","",IF(AND(Parameter!$B$21="Ja",ISNUMBER(U254)),U254,IF(IFERROR(VLOOKUP(D254,Parameter!$A$35:$C$64,2,0),"Nein")="2+3",IF(ISNUMBER(SEARCH("grosser Artikel",BM254)),2,IFERROR(VLOOKUP(BP254,Parameter!$F$35:$G$64,2,0),2)),IF(OR(IFERROR(VLOOKUP(D254,Parameter!$A$35:$C$64,2,0),"Nein")="Nein",IFERROR(VLOOKUP(D254,Parameter!$A$35:$C$64,2,0),"Nein")=""),"-",VLOOKUP(D254,Parameter!$A$35:$C$64,2,0)))))</f>
        <v>2</v>
      </c>
      <c r="Y254" s="62"/>
      <c r="Z254" s="63"/>
      <c r="AA254" s="57" t="n">
        <f aca="false">AP254</f>
        <v>1</v>
      </c>
      <c r="AB254" s="57" t="n">
        <f aca="false">MAX(AP254,G254)</f>
        <v>4</v>
      </c>
      <c r="AC254" s="64"/>
      <c r="AD254" s="57" t="n">
        <f aca="false">IF(LEFT(Cockpit!$C$5,1)="A",G254,IF(BW254=1,BX254,IF(LEFT(Cockpit!$C$5,1)="B",AH254,MAX(AH254,G254))))</f>
        <v>4</v>
      </c>
      <c r="AE254" s="57" t="n">
        <f aca="false">IF(BR254=1,0,ROUNDUP(AD254/BQ254,0))</f>
        <v>0</v>
      </c>
      <c r="AF254" s="59" t="n">
        <f aca="false">IF(CD254&gt;0,CD254*MAX(1,AD254/V254),IF(BR254=1,IF(AD254&lt;=0,0,BS254*MAX(1,IF(G254&gt;0,AD254/G254,1))),IF(Q254&gt;0,AE254/Q254,0))/MAX(0.1,N(Parameter!$M$21)))</f>
        <v>0.15</v>
      </c>
      <c r="AG254" s="57" t="n">
        <f aca="false">AD254*F254</f>
        <v>474.48</v>
      </c>
      <c r="AH254" s="57" t="n">
        <f aca="false">ROUNDUP(MAX(I254/IF(BV254&gt;0,BV254,MAX(0.1,N(Cockpit!$C$6))),BY254)/BQ254,0)*BQ254</f>
        <v>1</v>
      </c>
      <c r="AI254" s="58" t="n">
        <f aca="false">IF(AF254&gt;0,I254/AF254,-1)</f>
        <v>13.3333333333333</v>
      </c>
      <c r="AJ254" s="58" t="n">
        <f aca="false">IF(AND(OR(BU254="L1",BU254="L23"),AF254&gt;0),SUMIFS($AF$7:$AF$1576,$BU$7:$BU$1576,BU254,$AI$7:$AI$1576,"&gt;"&amp;AI254)+SUMIFS($AF$7:$AF$1576,$BU$7:$BU$1576,BU254,$AI$7:$AI$1576,AI254,$BO$7:$BO$1576,"&lt;="&amp;BO254),"")</f>
        <v>30.7825816695382</v>
      </c>
      <c r="AK254" s="65" t="n">
        <f aca="false">IF(AJ254="",0,MAX(0,MIN(1,(IF(BU254="L1",Parameter!$E$5,Parameter!$E$6+Parameter!$E$7)-(AJ254-AF254))/AF254)))</f>
        <v>1</v>
      </c>
      <c r="AL254" s="57" t="n">
        <f aca="false">IF(LEFT(Cockpit!$I$5,1)="A",G254,IF(BW254=1,BX254,IF(LEFT(Cockpit!$I$5,1)="B",AP254,MAX(AP254,G254))))</f>
        <v>4</v>
      </c>
      <c r="AM254" s="57" t="n">
        <f aca="false">IF(BR254=1,0,ROUNDUP(AL254/BQ254,0))</f>
        <v>0</v>
      </c>
      <c r="AN254" s="59" t="n">
        <f aca="false">IF(CD254&gt;0,CD254*MAX(1,AL254/V254),IF(BR254=1,IF(AL254&lt;=0,0,BS254*MAX(1,IF(G254&gt;0,AL254/G254,1))),IF(Q254&gt;0,AM254/Q254,0))/MAX(0.1,N(Parameter!$M$21)))</f>
        <v>0.15</v>
      </c>
      <c r="AO254" s="57" t="n">
        <f aca="false">AL254*F254</f>
        <v>474.48</v>
      </c>
      <c r="AP254" s="57" t="n">
        <f aca="false">ROUNDUP(MAX(I254/IF(BV254&gt;0,BV254,MAX(0.1,N(Cockpit!$I$6))),BY254)/BQ254,0)*BQ254</f>
        <v>1</v>
      </c>
      <c r="AQ254" s="58" t="n">
        <f aca="false">IF(AN254&gt;0,I254/AN254,-1)</f>
        <v>13.3333333333333</v>
      </c>
      <c r="AR254" s="58" t="n">
        <f aca="false">IF(AND(OR(BU254="L1",BU254="L23"),AN254&gt;0),SUMIFS($AN$7:$AN$1576,$BU$7:$BU$1576,BU254,$AQ$7:$AQ$1576,"&gt;"&amp;AQ254)+SUMIFS($AN$7:$AN$1576,$BU$7:$BU$1576,BU254,$AQ$7:$AQ$1576,AQ254,$BO$7:$BO$1576,"&lt;="&amp;BO254),"")</f>
        <v>102.268075614337</v>
      </c>
      <c r="AS254" s="65" t="n">
        <f aca="false">IF(AR254="",0,MAX(0,MIN(1,(IF(BU254="L1",Parameter!$E$5,Parameter!$E$6+Parameter!$E$7)-(AR254-AN254))/AN254)))</f>
        <v>0</v>
      </c>
      <c r="AT254" s="57" t="n">
        <f aca="false">IF(LEFT(Cockpit!$O$5,1)="A",G254,IF(BW254=1,BX254,IF(LEFT(Cockpit!$O$5,1)="B",AX254,MAX(AX254,G254))))</f>
        <v>4</v>
      </c>
      <c r="AU254" s="57" t="n">
        <f aca="false">IF(BR254=1,0,ROUNDUP(AT254/BQ254,0))</f>
        <v>0</v>
      </c>
      <c r="AV254" s="59" t="n">
        <f aca="false">IF(CD254&gt;0,CD254*MAX(1,AT254/V254),IF(BR254=1,IF(AT254&lt;=0,0,BS254*MAX(1,IF(G254&gt;0,AT254/G254,1))),IF(Q254&gt;0,AU254/Q254,0))/MAX(0.1,N(Parameter!$M$21)))</f>
        <v>0.15</v>
      </c>
      <c r="AW254" s="57" t="n">
        <f aca="false">AT254*F254</f>
        <v>474.48</v>
      </c>
      <c r="AX254" s="57" t="n">
        <f aca="false">ROUNDUP(MAX(I254/IF(BV254&gt;0,BV254,MAX(0.1,N(Cockpit!$O$6))),BY254)/BQ254,0)*BQ254</f>
        <v>1</v>
      </c>
      <c r="AY254" s="58" t="n">
        <f aca="false">IF(AV254&gt;0,I254/AV254,-1)</f>
        <v>13.3333333333333</v>
      </c>
      <c r="AZ254" s="58" t="n">
        <f aca="false">IF(AND(OR(BU254="L1",BU254="L23"),AV254&gt;0),SUMIFS($AV$7:$AV$1576,$BU$7:$BU$1576,BU254,$AY$7:$AY$1576,"&gt;"&amp;AY254)+SUMIFS($AV$7:$AV$1576,$BU$7:$BU$1576,BU254,$AY$7:$AY$1576,AY254,$BO$7:$BO$1576,"&lt;="&amp;BO254),"")</f>
        <v>95.1776260638872</v>
      </c>
      <c r="BA254" s="65" t="n">
        <f aca="false">IF(AZ254="",0,MAX(0,MIN(1,(IF(BU254="L1",Parameter!$E$5,Parameter!$E$6+Parameter!$E$7)-(AZ254-AV254))/AV254)))</f>
        <v>1</v>
      </c>
      <c r="BB254" s="55" t="str">
        <f aca="false">IF(AF254&lt;=0,"",IF(BU254="Aussen","Aussenlager",IF(BU254="-","Nicht im Lift",IF(AK254&gt;=1,"Lift",IF(AK254&lt;=0,"Aussenlager","teilweise")))))</f>
        <v>Lift</v>
      </c>
      <c r="BC254" s="55" t="str">
        <f aca="false">IF(AN254&lt;=0,"",IF(BU254="Aussen","Aussenlager",IF(BU254="-","Nicht im Lift",IF(AS254&gt;=1,"Lift",IF(AS254&lt;=0,"Aussenlager","teilweise")))))</f>
        <v>Aussenlager</v>
      </c>
      <c r="BD254" s="55" t="str">
        <f aca="false">IF(AV254&lt;=0,"",IF(BU254="Aussen","Aussenlager",IF(BU254="-","Nicht im Lift",IF(BA254&gt;=1,"Lift",IF(BA254&lt;=0,"Aussenlager","teilweise")))))</f>
        <v>Lift</v>
      </c>
      <c r="BE254" s="55" t="str">
        <f aca="false">IF(A254="","",IF(BN254=1,"Neu; ","")&amp;IF(AND(BN254=0,BI254&lt;0),"negativer Bestand (Export "&amp;BI254&amp;"); ","")&amp;IF(I254&lt;=0,"Kein Verbrauch; ","")&amp;IF(CD254&gt;0,"Lift "&amp;U254&amp;" lt. Liftbericht (Fach "&amp;V254&amp;" Stk); ",IF(BR254=1,"Lose – Fläche geschätzt; ",""))&amp;IF(G254&gt;AP254,"Überbestand "&amp;ROUND(G254-AP254,0)&amp;" Stk / CHF "&amp;ROUND((G254-AP254)*F254,0)&amp;"; ","")&amp;IF(AND(BW254=1,BX254&lt;BY254),"MAX &lt; MB+LG; ","")&amp;IF(AND(CC254&gt;0,CB254*10&gt;CC254),"zu hoch für Tablar; ","")&amp;IF(AND(BN254=0,OR(BW254=1,Y254&lt;&gt;"",S254&lt;&gt;"",T254&lt;&gt;"",Z254&lt;&gt;"")),"manuell übersteuert; ","")&amp;IF(AND(BR254=0,Q254=0),"Gebinde unbekannt / Stellmass fehlt; ","")&amp;IF(AND(BR254=0,N(T254)&lt;=0,N(P254)&lt;=0),"Menge pro Gebinde fehlt (Ist = 1 Gebinde); ","")&amp;BM254)</f>
        <v>Lose – Fläche geschätzt; Überbestand 3 Stk / CHF 356; </v>
      </c>
      <c r="BF254" s="55"/>
      <c r="BG254" s="55"/>
      <c r="BH254" s="62"/>
      <c r="BI254" s="57" t="n">
        <v>4</v>
      </c>
      <c r="BJ254" s="57" t="n">
        <v>0</v>
      </c>
      <c r="BK254" s="56" t="n">
        <v>474.48</v>
      </c>
      <c r="BL254" s="57" t="n">
        <v>2</v>
      </c>
      <c r="BM254" s="55"/>
      <c r="BN254" s="60" t="n">
        <v>0</v>
      </c>
      <c r="BO254" s="60" t="n">
        <v>254</v>
      </c>
      <c r="BP254" s="55" t="str">
        <f aca="false">IF(S254&lt;&gt;"",UPPER(TRIM(S254)),IF(O254="","LOSE",O254))</f>
        <v>LOSE</v>
      </c>
      <c r="BQ254" s="57" t="n">
        <f aca="false">IF(BP254="LOSE",1,IF(N(T254)&gt;0,T254,IF(N(P254)&gt;0,P254,MAX(1,G254))))</f>
        <v>1</v>
      </c>
      <c r="BR254" s="60" t="n">
        <f aca="false">IF(BP254="LOSE",1,0)</f>
        <v>1</v>
      </c>
      <c r="BS254" s="59" t="n">
        <f aca="false">IF(BR254=0,0,IF(N(R254)&gt;0,R254,IFERROR(VLOOKUP(D254,Parameter!$A$35:$C$64,3,0)+0,0)))</f>
        <v>0.15</v>
      </c>
      <c r="BT254" s="55" t="n">
        <f aca="false">IF(Y254&lt;&gt;"",Y254,X254)</f>
        <v>2</v>
      </c>
      <c r="BU254" s="55" t="str">
        <f aca="false">IF(BT254=1,"L1",IF(OR(BT254=2,BT254=3),"L23",IF(BT254="Aussen","Aussen","-")))</f>
        <v>L23</v>
      </c>
      <c r="BV254" s="66" t="n">
        <f aca="false">IF(N(Z254)&gt;0,Z254,0)</f>
        <v>0</v>
      </c>
      <c r="BW254" s="60" t="n">
        <f aca="false">IF(ISNUMBER(AC254),1,0)</f>
        <v>0</v>
      </c>
      <c r="BX254" s="57" t="n">
        <f aca="false">N(AC254)</f>
        <v>0</v>
      </c>
      <c r="BY254" s="57" t="n">
        <f aca="false">N(L254)+N(M254)</f>
        <v>1</v>
      </c>
      <c r="BZ254" s="57" t="n">
        <f aca="false">ROUNDUP(G254/BQ254,0)</f>
        <v>4</v>
      </c>
      <c r="CA254" s="57" t="n">
        <f aca="false">ROUNDUP(BX254/BQ254,0)</f>
        <v>0</v>
      </c>
      <c r="CB254" s="60" t="n">
        <f aca="false">IF(BR254=1,0,IFERROR(VLOOKUP(BP254,'Gebinde-Kategorie'!$A$5:$M$45,5,0)+0,0))</f>
        <v>0</v>
      </c>
      <c r="CC254" s="60" t="n">
        <f aca="false">IFERROR(IF(OR(BT254=1,BT254=2,BT254=3),N(INDEX(Parameter!$I$5:$I$7,BT254)),0),0)</f>
        <v>0</v>
      </c>
      <c r="CD254" s="59" t="n">
        <f aca="false">IF(AND(Parameter!$B$21="Ja",ISNUMBER(U254),N(V254)&gt;0),IFERROR(N(INDEX(Parameter!$L$5:$L$7,U254))*INDEX(Parameter!$E$5:$E$7,U254)*V254/SUMIFS($V$7:$V$1576,$U$7:$U$1576,U254),0),0)</f>
        <v>0</v>
      </c>
    </row>
    <row r="255" customFormat="false" ht="15" hidden="false" customHeight="false" outlineLevel="0" collapsed="false">
      <c r="A255" s="55" t="s">
        <v>682</v>
      </c>
      <c r="B255" s="55" t="s">
        <v>683</v>
      </c>
      <c r="C255" s="55" t="s">
        <v>160</v>
      </c>
      <c r="D255" s="55" t="s">
        <v>178</v>
      </c>
      <c r="E255" s="55" t="s">
        <v>210</v>
      </c>
      <c r="F255" s="56" t="n">
        <v>5.93</v>
      </c>
      <c r="G255" s="57" t="n">
        <f aca="false">MAX(0,IF(AND(Parameter!$B$21="Ja",ISNUMBER(W255)),W255,IF(Parameter!$B$20="Jahresanfang 2025 + Export",BJ255+BI255,BI255)))</f>
        <v>83</v>
      </c>
      <c r="H255" s="57" t="n">
        <f aca="false">G255*F255</f>
        <v>492.19</v>
      </c>
      <c r="I255" s="57" t="n">
        <f aca="false">BL255*Parameter!$B$18</f>
        <v>193</v>
      </c>
      <c r="J255" s="58" t="n">
        <v>79</v>
      </c>
      <c r="K255" s="59" t="n">
        <v>2.44303797468354</v>
      </c>
      <c r="L255" s="57" t="n">
        <v>7</v>
      </c>
      <c r="M255" s="57" t="n">
        <v>195</v>
      </c>
      <c r="N255" s="60" t="n">
        <v>14</v>
      </c>
      <c r="O255" s="55" t="s">
        <v>163</v>
      </c>
      <c r="P255" s="57"/>
      <c r="Q255" s="60" t="n">
        <f aca="false">IF(BR255=1,0,IFERROR(VLOOKUP(BP255,'Gebinde-Kategorie'!$A$5:$M$45,13,0)+0,0))</f>
        <v>0</v>
      </c>
      <c r="R255" s="61"/>
      <c r="S255" s="62"/>
      <c r="T255" s="62"/>
      <c r="U255" s="55"/>
      <c r="V255" s="57"/>
      <c r="W255" s="57"/>
      <c r="X255" s="55" t="n">
        <f aca="false">IF(A255="","",IF(AND(Parameter!$B$21="Ja",ISNUMBER(U255)),U255,IF(IFERROR(VLOOKUP(D255,Parameter!$A$35:$C$64,2,0),"Nein")="2+3",IF(ISNUMBER(SEARCH("grosser Artikel",BM255)),2,IFERROR(VLOOKUP(BP255,Parameter!$F$35:$G$64,2,0),2)),IF(OR(IFERROR(VLOOKUP(D255,Parameter!$A$35:$C$64,2,0),"Nein")="Nein",IFERROR(VLOOKUP(D255,Parameter!$A$35:$C$64,2,0),"Nein")=""),"-",VLOOKUP(D255,Parameter!$A$35:$C$64,2,0)))))</f>
        <v>2</v>
      </c>
      <c r="Y255" s="62"/>
      <c r="Z255" s="63"/>
      <c r="AA255" s="57" t="n">
        <f aca="false">AP255</f>
        <v>202</v>
      </c>
      <c r="AB255" s="57" t="n">
        <f aca="false">MAX(AP255,G255)</f>
        <v>202</v>
      </c>
      <c r="AC255" s="64"/>
      <c r="AD255" s="57" t="n">
        <f aca="false">IF(LEFT(Cockpit!$C$5,1)="A",G255,IF(BW255=1,BX255,IF(LEFT(Cockpit!$C$5,1)="B",AH255,MAX(AH255,G255))))</f>
        <v>83</v>
      </c>
      <c r="AE255" s="57" t="n">
        <f aca="false">IF(BR255=1,0,ROUNDUP(AD255/BQ255,0))</f>
        <v>0</v>
      </c>
      <c r="AF255" s="59" t="n">
        <f aca="false">IF(CD255&gt;0,CD255*MAX(1,AD255/V255),IF(BR255=1,IF(AD255&lt;=0,0,BS255*MAX(1,IF(G255&gt;0,AD255/G255,1))),IF(Q255&gt;0,AE255/Q255,0))/MAX(0.1,N(Parameter!$M$21)))</f>
        <v>0.03</v>
      </c>
      <c r="AG255" s="57" t="n">
        <f aca="false">AD255*F255</f>
        <v>492.19</v>
      </c>
      <c r="AH255" s="57" t="n">
        <f aca="false">ROUNDUP(MAX(I255/IF(BV255&gt;0,BV255,MAX(0.1,N(Cockpit!$C$6))),BY255)/BQ255,0)*BQ255</f>
        <v>202</v>
      </c>
      <c r="AI255" s="58" t="n">
        <f aca="false">IF(AF255&gt;0,I255/AF255,-1)</f>
        <v>6433.33333333333</v>
      </c>
      <c r="AJ255" s="58" t="n">
        <f aca="false">IF(AND(OR(BU255="L1",BU255="L23"),AF255&gt;0),SUMIFS($AF$7:$AF$1576,$BU$7:$BU$1576,BU255,$AI$7:$AI$1576,"&gt;"&amp;AI255)+SUMIFS($AF$7:$AF$1576,$BU$7:$BU$1576,BU255,$AI$7:$AI$1576,AI255,$BO$7:$BO$1576,"&lt;="&amp;BO255),"")</f>
        <v>3.45085774129252</v>
      </c>
      <c r="AK255" s="65" t="n">
        <f aca="false">IF(AJ255="",0,MAX(0,MIN(1,(IF(BU255="L1",Parameter!$E$5,Parameter!$E$6+Parameter!$E$7)-(AJ255-AF255))/AF255)))</f>
        <v>1</v>
      </c>
      <c r="AL255" s="57" t="n">
        <f aca="false">IF(LEFT(Cockpit!$I$5,1)="A",G255,IF(BW255=1,BX255,IF(LEFT(Cockpit!$I$5,1)="B",AP255,MAX(AP255,G255))))</f>
        <v>202</v>
      </c>
      <c r="AM255" s="57" t="n">
        <f aca="false">IF(BR255=1,0,ROUNDUP(AL255/BQ255,0))</f>
        <v>0</v>
      </c>
      <c r="AN255" s="59" t="n">
        <f aca="false">IF(CD255&gt;0,CD255*MAX(1,AL255/V255),IF(BR255=1,IF(AL255&lt;=0,0,BS255*MAX(1,IF(G255&gt;0,AL255/G255,1))),IF(Q255&gt;0,AM255/Q255,0))/MAX(0.1,N(Parameter!$M$21)))</f>
        <v>0.0730120481927711</v>
      </c>
      <c r="AO255" s="57" t="n">
        <f aca="false">AL255*F255</f>
        <v>1197.86</v>
      </c>
      <c r="AP255" s="57" t="n">
        <f aca="false">ROUNDUP(MAX(I255/IF(BV255&gt;0,BV255,MAX(0.1,N(Cockpit!$I$6))),BY255)/BQ255,0)*BQ255</f>
        <v>202</v>
      </c>
      <c r="AQ255" s="58" t="n">
        <f aca="false">IF(AN255&gt;0,I255/AN255,-1)</f>
        <v>2643.39933993399</v>
      </c>
      <c r="AR255" s="58" t="n">
        <f aca="false">IF(AND(OR(BU255="L1",BU255="L23"),AN255&gt;0),SUMIFS($AN$7:$AN$1576,$BU$7:$BU$1576,BU255,$AQ$7:$AQ$1576,"&gt;"&amp;AQ255)+SUMIFS($AN$7:$AN$1576,$BU$7:$BU$1576,BU255,$AQ$7:$AQ$1576,AQ255,$BO$7:$BO$1576,"&lt;="&amp;BO255),"")</f>
        <v>14.9019046295245</v>
      </c>
      <c r="AS255" s="65" t="n">
        <f aca="false">IF(AR255="",0,MAX(0,MIN(1,(IF(BU255="L1",Parameter!$E$5,Parameter!$E$6+Parameter!$E$7)-(AR255-AN255))/AN255)))</f>
        <v>1</v>
      </c>
      <c r="AT255" s="57" t="n">
        <f aca="false">IF(LEFT(Cockpit!$O$5,1)="A",G255,IF(BW255=1,BX255,IF(LEFT(Cockpit!$O$5,1)="B",AX255,MAX(AX255,G255))))</f>
        <v>202</v>
      </c>
      <c r="AU255" s="57" t="n">
        <f aca="false">IF(BR255=1,0,ROUNDUP(AT255/BQ255,0))</f>
        <v>0</v>
      </c>
      <c r="AV255" s="59" t="n">
        <f aca="false">IF(CD255&gt;0,CD255*MAX(1,AT255/V255),IF(BR255=1,IF(AT255&lt;=0,0,BS255*MAX(1,IF(G255&gt;0,AT255/G255,1))),IF(Q255&gt;0,AU255/Q255,0))/MAX(0.1,N(Parameter!$M$21)))</f>
        <v>0.0730120481927711</v>
      </c>
      <c r="AW255" s="57" t="n">
        <f aca="false">AT255*F255</f>
        <v>1197.86</v>
      </c>
      <c r="AX255" s="57" t="n">
        <f aca="false">ROUNDUP(MAX(I255/IF(BV255&gt;0,BV255,MAX(0.1,N(Cockpit!$O$6))),BY255)/BQ255,0)*BQ255</f>
        <v>202</v>
      </c>
      <c r="AY255" s="58" t="n">
        <f aca="false">IF(AV255&gt;0,I255/AV255,-1)</f>
        <v>2643.39933993399</v>
      </c>
      <c r="AZ255" s="58" t="n">
        <f aca="false">IF(AND(OR(BU255="L1",BU255="L23"),AV255&gt;0),SUMIFS($AV$7:$AV$1576,$BU$7:$BU$1576,BU255,$AY$7:$AY$1576,"&gt;"&amp;AY255)+SUMIFS($AV$7:$AV$1576,$BU$7:$BU$1576,BU255,$AY$7:$AY$1576,AY255,$BO$7:$BO$1576,"&lt;="&amp;BO255),"")</f>
        <v>13.7061004337203</v>
      </c>
      <c r="BA255" s="65" t="n">
        <f aca="false">IF(AZ255="",0,MAX(0,MIN(1,(IF(BU255="L1",Parameter!$E$5,Parameter!$E$6+Parameter!$E$7)-(AZ255-AV255))/AV255)))</f>
        <v>1</v>
      </c>
      <c r="BB255" s="55" t="str">
        <f aca="false">IF(AF255&lt;=0,"",IF(BU255="Aussen","Aussenlager",IF(BU255="-","Nicht im Lift",IF(AK255&gt;=1,"Lift",IF(AK255&lt;=0,"Aussenlager","teilweise")))))</f>
        <v>Lift</v>
      </c>
      <c r="BC255" s="55" t="str">
        <f aca="false">IF(AN255&lt;=0,"",IF(BU255="Aussen","Aussenlager",IF(BU255="-","Nicht im Lift",IF(AS255&gt;=1,"Lift",IF(AS255&lt;=0,"Aussenlager","teilweise")))))</f>
        <v>Lift</v>
      </c>
      <c r="BD255" s="55" t="str">
        <f aca="false">IF(AV255&lt;=0,"",IF(BU255="Aussen","Aussenlager",IF(BU255="-","Nicht im Lift",IF(BA255&gt;=1,"Lift",IF(BA255&lt;=0,"Aussenlager","teilweise")))))</f>
        <v>Lift</v>
      </c>
      <c r="BE255" s="55" t="str">
        <f aca="false">IF(A255="","",IF(BN255=1,"Neu; ","")&amp;IF(AND(BN255=0,BI255&lt;0),"negativer Bestand (Export "&amp;BI255&amp;"); ","")&amp;IF(I255&lt;=0,"Kein Verbrauch; ","")&amp;IF(CD255&gt;0,"Lift "&amp;U255&amp;" lt. Liftbericht (Fach "&amp;V255&amp;" Stk); ",IF(BR255=1,"Lose – Fläche geschätzt; ",""))&amp;IF(G255&gt;AP255,"Überbestand "&amp;ROUND(G255-AP255,0)&amp;" Stk / CHF "&amp;ROUND((G255-AP255)*F255,0)&amp;"; ","")&amp;IF(AND(BW255=1,BX255&lt;BY255),"MAX &lt; MB+LG; ","")&amp;IF(AND(CC255&gt;0,CB255*10&gt;CC255),"zu hoch für Tablar; ","")&amp;IF(AND(BN255=0,OR(BW255=1,Y255&lt;&gt;"",S255&lt;&gt;"",T255&lt;&gt;"",Z255&lt;&gt;"")),"manuell übersteuert; ","")&amp;IF(AND(BR255=0,Q255=0),"Gebinde unbekannt / Stellmass fehlt; ","")&amp;IF(AND(BR255=0,N(T255)&lt;=0,N(P255)&lt;=0),"Menge pro Gebinde fehlt (Ist = 1 Gebinde); ","")&amp;BM255)</f>
        <v>Lose – Fläche geschätzt; </v>
      </c>
      <c r="BF255" s="55"/>
      <c r="BG255" s="55"/>
      <c r="BH255" s="62"/>
      <c r="BI255" s="57" t="n">
        <v>83</v>
      </c>
      <c r="BJ255" s="57" t="n">
        <v>93</v>
      </c>
      <c r="BK255" s="56" t="n">
        <v>470.8</v>
      </c>
      <c r="BL255" s="57" t="n">
        <v>193</v>
      </c>
      <c r="BM255" s="55"/>
      <c r="BN255" s="60" t="n">
        <v>0</v>
      </c>
      <c r="BO255" s="60" t="n">
        <v>255</v>
      </c>
      <c r="BP255" s="55" t="str">
        <f aca="false">IF(S255&lt;&gt;"",UPPER(TRIM(S255)),IF(O255="","LOSE",O255))</f>
        <v>LOSE</v>
      </c>
      <c r="BQ255" s="57" t="n">
        <f aca="false">IF(BP255="LOSE",1,IF(N(T255)&gt;0,T255,IF(N(P255)&gt;0,P255,MAX(1,G255))))</f>
        <v>1</v>
      </c>
      <c r="BR255" s="60" t="n">
        <f aca="false">IF(BP255="LOSE",1,0)</f>
        <v>1</v>
      </c>
      <c r="BS255" s="59" t="n">
        <f aca="false">IF(BR255=0,0,IF(N(R255)&gt;0,R255,IFERROR(VLOOKUP(D255,Parameter!$A$35:$C$64,3,0)+0,0)))</f>
        <v>0.03</v>
      </c>
      <c r="BT255" s="55" t="n">
        <f aca="false">IF(Y255&lt;&gt;"",Y255,X255)</f>
        <v>2</v>
      </c>
      <c r="BU255" s="55" t="str">
        <f aca="false">IF(BT255=1,"L1",IF(OR(BT255=2,BT255=3),"L23",IF(BT255="Aussen","Aussen","-")))</f>
        <v>L23</v>
      </c>
      <c r="BV255" s="66" t="n">
        <f aca="false">IF(N(Z255)&gt;0,Z255,0)</f>
        <v>0</v>
      </c>
      <c r="BW255" s="60" t="n">
        <f aca="false">IF(ISNUMBER(AC255),1,0)</f>
        <v>0</v>
      </c>
      <c r="BX255" s="57" t="n">
        <f aca="false">N(AC255)</f>
        <v>0</v>
      </c>
      <c r="BY255" s="57" t="n">
        <f aca="false">N(L255)+N(M255)</f>
        <v>202</v>
      </c>
      <c r="BZ255" s="57" t="n">
        <f aca="false">ROUNDUP(G255/BQ255,0)</f>
        <v>83</v>
      </c>
      <c r="CA255" s="57" t="n">
        <f aca="false">ROUNDUP(BX255/BQ255,0)</f>
        <v>0</v>
      </c>
      <c r="CB255" s="60" t="n">
        <f aca="false">IF(BR255=1,0,IFERROR(VLOOKUP(BP255,'Gebinde-Kategorie'!$A$5:$M$45,5,0)+0,0))</f>
        <v>0</v>
      </c>
      <c r="CC255" s="60" t="n">
        <f aca="false">IFERROR(IF(OR(BT255=1,BT255=2,BT255=3),N(INDEX(Parameter!$I$5:$I$7,BT255)),0),0)</f>
        <v>0</v>
      </c>
      <c r="CD255" s="59" t="n">
        <f aca="false">IF(AND(Parameter!$B$21="Ja",ISNUMBER(U255),N(V255)&gt;0),IFERROR(N(INDEX(Parameter!$L$5:$L$7,U255))*INDEX(Parameter!$E$5:$E$7,U255)*V255/SUMIFS($V$7:$V$1576,$U$7:$U$1576,U255),0),0)</f>
        <v>0</v>
      </c>
    </row>
    <row r="256" customFormat="false" ht="15" hidden="false" customHeight="false" outlineLevel="0" collapsed="false">
      <c r="A256" s="55" t="s">
        <v>684</v>
      </c>
      <c r="B256" s="55" t="s">
        <v>685</v>
      </c>
      <c r="C256" s="55" t="s">
        <v>160</v>
      </c>
      <c r="D256" s="55" t="s">
        <v>178</v>
      </c>
      <c r="E256" s="55" t="s">
        <v>210</v>
      </c>
      <c r="F256" s="56" t="n">
        <v>116.9</v>
      </c>
      <c r="G256" s="57" t="n">
        <f aca="false">MAX(0,IF(AND(Parameter!$B$21="Ja",ISNUMBER(W256)),W256,IF(Parameter!$B$20="Jahresanfang 2025 + Export",BJ256+BI256,BI256)))</f>
        <v>4</v>
      </c>
      <c r="H256" s="57" t="n">
        <f aca="false">G256*F256</f>
        <v>467.6</v>
      </c>
      <c r="I256" s="57" t="n">
        <f aca="false">BL256*Parameter!$B$18</f>
        <v>0</v>
      </c>
      <c r="J256" s="58" t="n">
        <v>2.5</v>
      </c>
      <c r="K256" s="59" t="n">
        <v>0</v>
      </c>
      <c r="L256" s="57" t="n">
        <v>0</v>
      </c>
      <c r="M256" s="57" t="n">
        <v>1</v>
      </c>
      <c r="N256" s="60" t="n">
        <v>21</v>
      </c>
      <c r="O256" s="55" t="s">
        <v>225</v>
      </c>
      <c r="P256" s="57" t="n">
        <v>9</v>
      </c>
      <c r="Q256" s="60" t="n">
        <f aca="false">IF(BR256=1,0,IFERROR(VLOOKUP(BP256,'Gebinde-Kategorie'!$A$5:$M$45,13,0)+0,0))</f>
        <v>26</v>
      </c>
      <c r="R256" s="61"/>
      <c r="S256" s="62"/>
      <c r="T256" s="62"/>
      <c r="U256" s="55"/>
      <c r="V256" s="57"/>
      <c r="W256" s="57"/>
      <c r="X256" s="55" t="n">
        <f aca="false">IF(A256="","",IF(AND(Parameter!$B$21="Ja",ISNUMBER(U256)),U256,IF(IFERROR(VLOOKUP(D256,Parameter!$A$35:$C$64,2,0),"Nein")="2+3",IF(ISNUMBER(SEARCH("grosser Artikel",BM256)),2,IFERROR(VLOOKUP(BP256,Parameter!$F$35:$G$64,2,0),2)),IF(OR(IFERROR(VLOOKUP(D256,Parameter!$A$35:$C$64,2,0),"Nein")="Nein",IFERROR(VLOOKUP(D256,Parameter!$A$35:$C$64,2,0),"Nein")=""),"-",VLOOKUP(D256,Parameter!$A$35:$C$64,2,0)))))</f>
        <v>3</v>
      </c>
      <c r="Y256" s="62"/>
      <c r="Z256" s="63"/>
      <c r="AA256" s="57" t="n">
        <f aca="false">AP256</f>
        <v>9</v>
      </c>
      <c r="AB256" s="57" t="n">
        <f aca="false">MAX(AP256,G256)</f>
        <v>9</v>
      </c>
      <c r="AC256" s="64"/>
      <c r="AD256" s="57" t="n">
        <f aca="false">IF(LEFT(Cockpit!$C$5,1)="A",G256,IF(BW256=1,BX256,IF(LEFT(Cockpit!$C$5,1)="B",AH256,MAX(AH256,G256))))</f>
        <v>4</v>
      </c>
      <c r="AE256" s="57" t="n">
        <f aca="false">IF(BR256=1,0,ROUNDUP(AD256/BQ256,0))</f>
        <v>1</v>
      </c>
      <c r="AF256" s="59" t="n">
        <f aca="false">IF(CD256&gt;0,CD256*MAX(1,AD256/V256),IF(BR256=1,IF(AD256&lt;=0,0,BS256*MAX(1,IF(G256&gt;0,AD256/G256,1))),IF(Q256&gt;0,AE256/Q256,0))/MAX(0.1,N(Parameter!$M$21)))</f>
        <v>0.0384615384615385</v>
      </c>
      <c r="AG256" s="57" t="n">
        <f aca="false">AD256*F256</f>
        <v>467.6</v>
      </c>
      <c r="AH256" s="57" t="n">
        <f aca="false">ROUNDUP(MAX(I256/IF(BV256&gt;0,BV256,MAX(0.1,N(Cockpit!$C$6))),BY256)/BQ256,0)*BQ256</f>
        <v>9</v>
      </c>
      <c r="AI256" s="58" t="n">
        <f aca="false">IF(AF256&gt;0,I256/AF256,-1)</f>
        <v>0</v>
      </c>
      <c r="AJ256" s="58" t="n">
        <f aca="false">IF(AND(OR(BU256="L1",BU256="L23"),AF256&gt;0),SUMIFS($AF$7:$AF$1576,$BU$7:$BU$1576,BU256,$AI$7:$AI$1576,"&gt;"&amp;AI256)+SUMIFS($AF$7:$AF$1576,$BU$7:$BU$1576,BU256,$AI$7:$AI$1576,AI256,$BO$7:$BO$1576,"&lt;="&amp;BO256),"")</f>
        <v>40.2747728117293</v>
      </c>
      <c r="AK256" s="65" t="n">
        <f aca="false">IF(AJ256="",0,MAX(0,MIN(1,(IF(BU256="L1",Parameter!$E$5,Parameter!$E$6+Parameter!$E$7)-(AJ256-AF256))/AF256)))</f>
        <v>1</v>
      </c>
      <c r="AL256" s="57" t="n">
        <f aca="false">IF(LEFT(Cockpit!$I$5,1)="A",G256,IF(BW256=1,BX256,IF(LEFT(Cockpit!$I$5,1)="B",AP256,MAX(AP256,G256))))</f>
        <v>9</v>
      </c>
      <c r="AM256" s="57" t="n">
        <f aca="false">IF(BR256=1,0,ROUNDUP(AL256/BQ256,0))</f>
        <v>1</v>
      </c>
      <c r="AN256" s="59" t="n">
        <f aca="false">IF(CD256&gt;0,CD256*MAX(1,AL256/V256),IF(BR256=1,IF(AL256&lt;=0,0,BS256*MAX(1,IF(G256&gt;0,AL256/G256,1))),IF(Q256&gt;0,AM256/Q256,0))/MAX(0.1,N(Parameter!$M$21)))</f>
        <v>0.0384615384615385</v>
      </c>
      <c r="AO256" s="57" t="n">
        <f aca="false">AL256*F256</f>
        <v>1052.1</v>
      </c>
      <c r="AP256" s="57" t="n">
        <f aca="false">ROUNDUP(MAX(I256/IF(BV256&gt;0,BV256,MAX(0.1,N(Cockpit!$I$6))),BY256)/BQ256,0)*BQ256</f>
        <v>9</v>
      </c>
      <c r="AQ256" s="58" t="n">
        <f aca="false">IF(AN256&gt;0,I256/AN256,-1)</f>
        <v>0</v>
      </c>
      <c r="AR256" s="58" t="n">
        <f aca="false">IF(AND(OR(BU256="L1",BU256="L23"),AN256&gt;0),SUMIFS($AN$7:$AN$1576,$BU$7:$BU$1576,BU256,$AQ$7:$AQ$1576,"&gt;"&amp;AQ256)+SUMIFS($AN$7:$AN$1576,$BU$7:$BU$1576,BU256,$AQ$7:$AQ$1576,AQ256,$BO$7:$BO$1576,"&lt;="&amp;BO256),"")</f>
        <v>123.148978561519</v>
      </c>
      <c r="AS256" s="65" t="n">
        <f aca="false">IF(AR256="",0,MAX(0,MIN(1,(IF(BU256="L1",Parameter!$E$5,Parameter!$E$6+Parameter!$E$7)-(AR256-AN256))/AN256)))</f>
        <v>0</v>
      </c>
      <c r="AT256" s="57" t="n">
        <f aca="false">IF(LEFT(Cockpit!$O$5,1)="A",G256,IF(BW256=1,BX256,IF(LEFT(Cockpit!$O$5,1)="B",AX256,MAX(AX256,G256))))</f>
        <v>9</v>
      </c>
      <c r="AU256" s="57" t="n">
        <f aca="false">IF(BR256=1,0,ROUNDUP(AT256/BQ256,0))</f>
        <v>1</v>
      </c>
      <c r="AV256" s="59" t="n">
        <f aca="false">IF(CD256&gt;0,CD256*MAX(1,AT256/V256),IF(BR256=1,IF(AT256&lt;=0,0,BS256*MAX(1,IF(G256&gt;0,AT256/G256,1))),IF(Q256&gt;0,AU256/Q256,0))/MAX(0.1,N(Parameter!$M$21)))</f>
        <v>0.0384615384615385</v>
      </c>
      <c r="AW256" s="57" t="n">
        <f aca="false">AT256*F256</f>
        <v>1052.1</v>
      </c>
      <c r="AX256" s="57" t="n">
        <f aca="false">ROUNDUP(MAX(I256/IF(BV256&gt;0,BV256,MAX(0.1,N(Cockpit!$O$6))),BY256)/BQ256,0)*BQ256</f>
        <v>9</v>
      </c>
      <c r="AY256" s="58" t="n">
        <f aca="false">IF(AV256&gt;0,I256/AV256,-1)</f>
        <v>0</v>
      </c>
      <c r="AZ256" s="58" t="n">
        <f aca="false">IF(AND(OR(BU256="L1",BU256="L23"),AV256&gt;0),SUMIFS($AV$7:$AV$1576,$BU$7:$BU$1576,BU256,$AY$7:$AY$1576,"&gt;"&amp;AY256)+SUMIFS($AV$7:$AV$1576,$BU$7:$BU$1576,BU256,$AY$7:$AY$1576,AY256,$BO$7:$BO$1576,"&lt;="&amp;BO256),"")</f>
        <v>113.208529011069</v>
      </c>
      <c r="BA256" s="65" t="n">
        <f aca="false">IF(AZ256="",0,MAX(0,MIN(1,(IF(BU256="L1",Parameter!$E$5,Parameter!$E$6+Parameter!$E$7)-(AZ256-AV256))/AV256)))</f>
        <v>0</v>
      </c>
      <c r="BB256" s="55" t="str">
        <f aca="false">IF(AF256&lt;=0,"",IF(BU256="Aussen","Aussenlager",IF(BU256="-","Nicht im Lift",IF(AK256&gt;=1,"Lift",IF(AK256&lt;=0,"Aussenlager","teilweise")))))</f>
        <v>Lift</v>
      </c>
      <c r="BC256" s="55" t="str">
        <f aca="false">IF(AN256&lt;=0,"",IF(BU256="Aussen","Aussenlager",IF(BU256="-","Nicht im Lift",IF(AS256&gt;=1,"Lift",IF(AS256&lt;=0,"Aussenlager","teilweise")))))</f>
        <v>Aussenlager</v>
      </c>
      <c r="BD256" s="55" t="str">
        <f aca="false">IF(AV256&lt;=0,"",IF(BU256="Aussen","Aussenlager",IF(BU256="-","Nicht im Lift",IF(BA256&gt;=1,"Lift",IF(BA256&lt;=0,"Aussenlager","teilweise")))))</f>
        <v>Aussenlager</v>
      </c>
      <c r="BE256" s="55" t="str">
        <f aca="false">IF(A256="","",IF(BN256=1,"Neu; ","")&amp;IF(AND(BN256=0,BI256&lt;0),"negativer Bestand (Export "&amp;BI256&amp;"); ","")&amp;IF(I256&lt;=0,"Kein Verbrauch; ","")&amp;IF(CD256&gt;0,"Lift "&amp;U256&amp;" lt. Liftbericht (Fach "&amp;V256&amp;" Stk); ",IF(BR256=1,"Lose – Fläche geschätzt; ",""))&amp;IF(G256&gt;AP256,"Überbestand "&amp;ROUND(G256-AP256,0)&amp;" Stk / CHF "&amp;ROUND((G256-AP256)*F256,0)&amp;"; ","")&amp;IF(AND(BW256=1,BX256&lt;BY256),"MAX &lt; MB+LG; ","")&amp;IF(AND(CC256&gt;0,CB256*10&gt;CC256),"zu hoch für Tablar; ","")&amp;IF(AND(BN256=0,OR(BW256=1,Y256&lt;&gt;"",S256&lt;&gt;"",T256&lt;&gt;"",Z256&lt;&gt;"")),"manuell übersteuert; ","")&amp;IF(AND(BR256=0,Q256=0),"Gebinde unbekannt / Stellmass fehlt; ","")&amp;IF(AND(BR256=0,N(T256)&lt;=0,N(P256)&lt;=0),"Menge pro Gebinde fehlt (Ist = 1 Gebinde); ","")&amp;BM256)</f>
        <v>Kein Verbrauch; </v>
      </c>
      <c r="BF256" s="55"/>
      <c r="BG256" s="55"/>
      <c r="BH256" s="62"/>
      <c r="BI256" s="57" t="n">
        <v>4</v>
      </c>
      <c r="BJ256" s="57" t="n">
        <v>0</v>
      </c>
      <c r="BK256" s="56" t="n">
        <v>467.6</v>
      </c>
      <c r="BL256" s="57" t="n">
        <v>0</v>
      </c>
      <c r="BM256" s="55"/>
      <c r="BN256" s="60" t="n">
        <v>0</v>
      </c>
      <c r="BO256" s="60" t="n">
        <v>256</v>
      </c>
      <c r="BP256" s="55" t="str">
        <f aca="false">IF(S256&lt;&gt;"",UPPER(TRIM(S256)),IF(O256="","LOSE",O256))</f>
        <v>S52</v>
      </c>
      <c r="BQ256" s="57" t="n">
        <f aca="false">IF(BP256="LOSE",1,IF(N(T256)&gt;0,T256,IF(N(P256)&gt;0,P256,MAX(1,G256))))</f>
        <v>9</v>
      </c>
      <c r="BR256" s="60" t="n">
        <f aca="false">IF(BP256="LOSE",1,0)</f>
        <v>0</v>
      </c>
      <c r="BS256" s="59" t="n">
        <f aca="false">IF(BR256=0,0,IF(N(R256)&gt;0,R256,IFERROR(VLOOKUP(D256,Parameter!$A$35:$C$64,3,0)+0,0)))</f>
        <v>0</v>
      </c>
      <c r="BT256" s="55" t="n">
        <f aca="false">IF(Y256&lt;&gt;"",Y256,X256)</f>
        <v>3</v>
      </c>
      <c r="BU256" s="55" t="str">
        <f aca="false">IF(BT256=1,"L1",IF(OR(BT256=2,BT256=3),"L23",IF(BT256="Aussen","Aussen","-")))</f>
        <v>L23</v>
      </c>
      <c r="BV256" s="66" t="n">
        <f aca="false">IF(N(Z256)&gt;0,Z256,0)</f>
        <v>0</v>
      </c>
      <c r="BW256" s="60" t="n">
        <f aca="false">IF(ISNUMBER(AC256),1,0)</f>
        <v>0</v>
      </c>
      <c r="BX256" s="57" t="n">
        <f aca="false">N(AC256)</f>
        <v>0</v>
      </c>
      <c r="BY256" s="57" t="n">
        <f aca="false">N(L256)+N(M256)</f>
        <v>1</v>
      </c>
      <c r="BZ256" s="57" t="n">
        <f aca="false">ROUNDUP(G256/BQ256,0)</f>
        <v>1</v>
      </c>
      <c r="CA256" s="57" t="n">
        <f aca="false">ROUNDUP(BX256/BQ256,0)</f>
        <v>0</v>
      </c>
      <c r="CB256" s="60" t="n">
        <f aca="false">IF(BR256=1,0,IFERROR(VLOOKUP(BP256,'Gebinde-Kategorie'!$A$5:$M$45,5,0)+0,0))</f>
        <v>21</v>
      </c>
      <c r="CC256" s="60" t="n">
        <f aca="false">IFERROR(IF(OR(BT256=1,BT256=2,BT256=3),N(INDEX(Parameter!$I$5:$I$7,BT256)),0),0)</f>
        <v>0</v>
      </c>
      <c r="CD256" s="59" t="n">
        <f aca="false">IF(AND(Parameter!$B$21="Ja",ISNUMBER(U256),N(V256)&gt;0),IFERROR(N(INDEX(Parameter!$L$5:$L$7,U256))*INDEX(Parameter!$E$5:$E$7,U256)*V256/SUMIFS($V$7:$V$1576,$U$7:$U$1576,U256),0),0)</f>
        <v>0</v>
      </c>
    </row>
    <row r="257" customFormat="false" ht="15" hidden="false" customHeight="false" outlineLevel="0" collapsed="false">
      <c r="A257" s="55" t="s">
        <v>686</v>
      </c>
      <c r="B257" s="55" t="s">
        <v>687</v>
      </c>
      <c r="C257" s="55" t="s">
        <v>160</v>
      </c>
      <c r="D257" s="55" t="s">
        <v>168</v>
      </c>
      <c r="E257" s="55" t="s">
        <v>210</v>
      </c>
      <c r="F257" s="56" t="n">
        <v>467.1</v>
      </c>
      <c r="G257" s="57" t="n">
        <f aca="false">MAX(0,IF(AND(Parameter!$B$21="Ja",ISNUMBER(W257)),W257,IF(Parameter!$B$20="Jahresanfang 2025 + Export",BJ257+BI257,BI257)))</f>
        <v>1</v>
      </c>
      <c r="H257" s="57" t="n">
        <f aca="false">G257*F257</f>
        <v>467.1</v>
      </c>
      <c r="I257" s="57" t="n">
        <f aca="false">BL257*Parameter!$B$18</f>
        <v>1</v>
      </c>
      <c r="J257" s="58" t="n">
        <v>0.5</v>
      </c>
      <c r="K257" s="59" t="n">
        <v>2</v>
      </c>
      <c r="L257" s="57" t="n">
        <v>0</v>
      </c>
      <c r="M257" s="57" t="n">
        <v>1</v>
      </c>
      <c r="N257" s="60" t="n">
        <v>28</v>
      </c>
      <c r="O257" s="55" t="s">
        <v>163</v>
      </c>
      <c r="P257" s="57"/>
      <c r="Q257" s="60" t="n">
        <f aca="false">IF(BR257=1,0,IFERROR(VLOOKUP(BP257,'Gebinde-Kategorie'!$A$5:$M$45,13,0)+0,0))</f>
        <v>0</v>
      </c>
      <c r="R257" s="61"/>
      <c r="S257" s="62"/>
      <c r="T257" s="62"/>
      <c r="U257" s="55"/>
      <c r="V257" s="57"/>
      <c r="W257" s="57"/>
      <c r="X257" s="55" t="n">
        <f aca="false">IF(A257="","",IF(AND(Parameter!$B$21="Ja",ISNUMBER(U257)),U257,IF(IFERROR(VLOOKUP(D257,Parameter!$A$35:$C$64,2,0),"Nein")="2+3",IF(ISNUMBER(SEARCH("grosser Artikel",BM257)),2,IFERROR(VLOOKUP(BP257,Parameter!$F$35:$G$64,2,0),2)),IF(OR(IFERROR(VLOOKUP(D257,Parameter!$A$35:$C$64,2,0),"Nein")="Nein",IFERROR(VLOOKUP(D257,Parameter!$A$35:$C$64,2,0),"Nein")=""),"-",VLOOKUP(D257,Parameter!$A$35:$C$64,2,0)))))</f>
        <v>2</v>
      </c>
      <c r="Y257" s="62"/>
      <c r="Z257" s="63"/>
      <c r="AA257" s="57" t="n">
        <f aca="false">AP257</f>
        <v>1</v>
      </c>
      <c r="AB257" s="57" t="n">
        <f aca="false">MAX(AP257,G257)</f>
        <v>1</v>
      </c>
      <c r="AC257" s="64"/>
      <c r="AD257" s="57" t="n">
        <f aca="false">IF(LEFT(Cockpit!$C$5,1)="A",G257,IF(BW257=1,BX257,IF(LEFT(Cockpit!$C$5,1)="B",AH257,MAX(AH257,G257))))</f>
        <v>1</v>
      </c>
      <c r="AE257" s="57" t="n">
        <f aca="false">IF(BR257=1,0,ROUNDUP(AD257/BQ257,0))</f>
        <v>0</v>
      </c>
      <c r="AF257" s="59" t="n">
        <f aca="false">IF(CD257&gt;0,CD257*MAX(1,AD257/V257),IF(BR257=1,IF(AD257&lt;=0,0,BS257*MAX(1,IF(G257&gt;0,AD257/G257,1))),IF(Q257&gt;0,AE257/Q257,0))/MAX(0.1,N(Parameter!$M$21)))</f>
        <v>0.15</v>
      </c>
      <c r="AG257" s="57" t="n">
        <f aca="false">AD257*F257</f>
        <v>467.1</v>
      </c>
      <c r="AH257" s="57" t="n">
        <f aca="false">ROUNDUP(MAX(I257/IF(BV257&gt;0,BV257,MAX(0.1,N(Cockpit!$C$6))),BY257)/BQ257,0)*BQ257</f>
        <v>1</v>
      </c>
      <c r="AI257" s="58" t="n">
        <f aca="false">IF(AF257&gt;0,I257/AF257,-1)</f>
        <v>6.66666666666667</v>
      </c>
      <c r="AJ257" s="58" t="n">
        <f aca="false">IF(AND(OR(BU257="L1",BU257="L23"),AF257&gt;0),SUMIFS($AF$7:$AF$1576,$BU$7:$BU$1576,BU257,$AI$7:$AI$1576,"&gt;"&amp;AI257)+SUMIFS($AF$7:$AF$1576,$BU$7:$BU$1576,BU257,$AI$7:$AI$1576,AI257,$BO$7:$BO$1576,"&lt;="&amp;BO257),"")</f>
        <v>31.7992483362049</v>
      </c>
      <c r="AK257" s="65" t="n">
        <f aca="false">IF(AJ257="",0,MAX(0,MIN(1,(IF(BU257="L1",Parameter!$E$5,Parameter!$E$6+Parameter!$E$7)-(AJ257-AF257))/AF257)))</f>
        <v>1</v>
      </c>
      <c r="AL257" s="57" t="n">
        <f aca="false">IF(LEFT(Cockpit!$I$5,1)="A",G257,IF(BW257=1,BX257,IF(LEFT(Cockpit!$I$5,1)="B",AP257,MAX(AP257,G257))))</f>
        <v>1</v>
      </c>
      <c r="AM257" s="57" t="n">
        <f aca="false">IF(BR257=1,0,ROUNDUP(AL257/BQ257,0))</f>
        <v>0</v>
      </c>
      <c r="AN257" s="59" t="n">
        <f aca="false">IF(CD257&gt;0,CD257*MAX(1,AL257/V257),IF(BR257=1,IF(AL257&lt;=0,0,BS257*MAX(1,IF(G257&gt;0,AL257/G257,1))),IF(Q257&gt;0,AM257/Q257,0))/MAX(0.1,N(Parameter!$M$21)))</f>
        <v>0.15</v>
      </c>
      <c r="AO257" s="57" t="n">
        <f aca="false">AL257*F257</f>
        <v>467.1</v>
      </c>
      <c r="AP257" s="57" t="n">
        <f aca="false">ROUNDUP(MAX(I257/IF(BV257&gt;0,BV257,MAX(0.1,N(Cockpit!$I$6))),BY257)/BQ257,0)*BQ257</f>
        <v>1</v>
      </c>
      <c r="AQ257" s="58" t="n">
        <f aca="false">IF(AN257&gt;0,I257/AN257,-1)</f>
        <v>6.66666666666667</v>
      </c>
      <c r="AR257" s="58" t="n">
        <f aca="false">IF(AND(OR(BU257="L1",BU257="L23"),AN257&gt;0),SUMIFS($AN$7:$AN$1576,$BU$7:$BU$1576,BU257,$AQ$7:$AQ$1576,"&gt;"&amp;AQ257)+SUMIFS($AN$7:$AN$1576,$BU$7:$BU$1576,BU257,$AQ$7:$AQ$1576,AQ257,$BO$7:$BO$1576,"&lt;="&amp;BO257),"")</f>
        <v>110.092434588696</v>
      </c>
      <c r="AS257" s="65" t="n">
        <f aca="false">IF(AR257="",0,MAX(0,MIN(1,(IF(BU257="L1",Parameter!$E$5,Parameter!$E$6+Parameter!$E$7)-(AR257-AN257))/AN257)))</f>
        <v>0</v>
      </c>
      <c r="AT257" s="57" t="n">
        <f aca="false">IF(LEFT(Cockpit!$O$5,1)="A",G257,IF(BW257=1,BX257,IF(LEFT(Cockpit!$O$5,1)="B",AX257,MAX(AX257,G257))))</f>
        <v>1</v>
      </c>
      <c r="AU257" s="57" t="n">
        <f aca="false">IF(BR257=1,0,ROUNDUP(AT257/BQ257,0))</f>
        <v>0</v>
      </c>
      <c r="AV257" s="59" t="n">
        <f aca="false">IF(CD257&gt;0,CD257*MAX(1,AT257/V257),IF(BR257=1,IF(AT257&lt;=0,0,BS257*MAX(1,IF(G257&gt;0,AT257/G257,1))),IF(Q257&gt;0,AU257/Q257,0))/MAX(0.1,N(Parameter!$M$21)))</f>
        <v>0.15</v>
      </c>
      <c r="AW257" s="57" t="n">
        <f aca="false">AT257*F257</f>
        <v>467.1</v>
      </c>
      <c r="AX257" s="57" t="n">
        <f aca="false">ROUNDUP(MAX(I257/IF(BV257&gt;0,BV257,MAX(0.1,N(Cockpit!$O$6))),BY257)/BQ257,0)*BQ257</f>
        <v>1</v>
      </c>
      <c r="AY257" s="58" t="n">
        <f aca="false">IF(AV257&gt;0,I257/AV257,-1)</f>
        <v>6.66666666666667</v>
      </c>
      <c r="AZ257" s="58" t="n">
        <f aca="false">IF(AND(OR(BU257="L1",BU257="L23"),AV257&gt;0),SUMIFS($AV$7:$AV$1576,$BU$7:$BU$1576,BU257,$AY$7:$AY$1576,"&gt;"&amp;AY257)+SUMIFS($AV$7:$AV$1576,$BU$7:$BU$1576,BU257,$AY$7:$AY$1576,AY257,$BO$7:$BO$1576,"&lt;="&amp;BO257),"")</f>
        <v>100.151985038246</v>
      </c>
      <c r="BA257" s="65" t="n">
        <f aca="false">IF(AZ257="",0,MAX(0,MIN(1,(IF(BU257="L1",Parameter!$E$5,Parameter!$E$6+Parameter!$E$7)-(AZ257-AV257))/AV257)))</f>
        <v>0</v>
      </c>
      <c r="BB257" s="55" t="str">
        <f aca="false">IF(AF257&lt;=0,"",IF(BU257="Aussen","Aussenlager",IF(BU257="-","Nicht im Lift",IF(AK257&gt;=1,"Lift",IF(AK257&lt;=0,"Aussenlager","teilweise")))))</f>
        <v>Lift</v>
      </c>
      <c r="BC257" s="55" t="str">
        <f aca="false">IF(AN257&lt;=0,"",IF(BU257="Aussen","Aussenlager",IF(BU257="-","Nicht im Lift",IF(AS257&gt;=1,"Lift",IF(AS257&lt;=0,"Aussenlager","teilweise")))))</f>
        <v>Aussenlager</v>
      </c>
      <c r="BD257" s="55" t="str">
        <f aca="false">IF(AV257&lt;=0,"",IF(BU257="Aussen","Aussenlager",IF(BU257="-","Nicht im Lift",IF(BA257&gt;=1,"Lift",IF(BA257&lt;=0,"Aussenlager","teilweise")))))</f>
        <v>Aussenlager</v>
      </c>
      <c r="BE257" s="55" t="str">
        <f aca="false">IF(A257="","",IF(BN257=1,"Neu; ","")&amp;IF(AND(BN257=0,BI257&lt;0),"negativer Bestand (Export "&amp;BI257&amp;"); ","")&amp;IF(I257&lt;=0,"Kein Verbrauch; ","")&amp;IF(CD257&gt;0,"Lift "&amp;U257&amp;" lt. Liftbericht (Fach "&amp;V257&amp;" Stk); ",IF(BR257=1,"Lose – Fläche geschätzt; ",""))&amp;IF(G257&gt;AP257,"Überbestand "&amp;ROUND(G257-AP257,0)&amp;" Stk / CHF "&amp;ROUND((G257-AP257)*F257,0)&amp;"; ","")&amp;IF(AND(BW257=1,BX257&lt;BY257),"MAX &lt; MB+LG; ","")&amp;IF(AND(CC257&gt;0,CB257*10&gt;CC257),"zu hoch für Tablar; ","")&amp;IF(AND(BN257=0,OR(BW257=1,Y257&lt;&gt;"",S257&lt;&gt;"",T257&lt;&gt;"",Z257&lt;&gt;"")),"manuell übersteuert; ","")&amp;IF(AND(BR257=0,Q257=0),"Gebinde unbekannt / Stellmass fehlt; ","")&amp;IF(AND(BR257=0,N(T257)&lt;=0,N(P257)&lt;=0),"Menge pro Gebinde fehlt (Ist = 1 Gebinde); ","")&amp;BM257)</f>
        <v>Lose – Fläche geschätzt; </v>
      </c>
      <c r="BF257" s="55"/>
      <c r="BG257" s="55"/>
      <c r="BH257" s="62"/>
      <c r="BI257" s="57" t="n">
        <v>1</v>
      </c>
      <c r="BJ257" s="57" t="n">
        <v>0</v>
      </c>
      <c r="BK257" s="56" t="n">
        <v>467.1</v>
      </c>
      <c r="BL257" s="57" t="n">
        <v>1</v>
      </c>
      <c r="BM257" s="55"/>
      <c r="BN257" s="60" t="n">
        <v>0</v>
      </c>
      <c r="BO257" s="60" t="n">
        <v>257</v>
      </c>
      <c r="BP257" s="55" t="str">
        <f aca="false">IF(S257&lt;&gt;"",UPPER(TRIM(S257)),IF(O257="","LOSE",O257))</f>
        <v>LOSE</v>
      </c>
      <c r="BQ257" s="57" t="n">
        <f aca="false">IF(BP257="LOSE",1,IF(N(T257)&gt;0,T257,IF(N(P257)&gt;0,P257,MAX(1,G257))))</f>
        <v>1</v>
      </c>
      <c r="BR257" s="60" t="n">
        <f aca="false">IF(BP257="LOSE",1,0)</f>
        <v>1</v>
      </c>
      <c r="BS257" s="59" t="n">
        <f aca="false">IF(BR257=0,0,IF(N(R257)&gt;0,R257,IFERROR(VLOOKUP(D257,Parameter!$A$35:$C$64,3,0)+0,0)))</f>
        <v>0.15</v>
      </c>
      <c r="BT257" s="55" t="n">
        <f aca="false">IF(Y257&lt;&gt;"",Y257,X257)</f>
        <v>2</v>
      </c>
      <c r="BU257" s="55" t="str">
        <f aca="false">IF(BT257=1,"L1",IF(OR(BT257=2,BT257=3),"L23",IF(BT257="Aussen","Aussen","-")))</f>
        <v>L23</v>
      </c>
      <c r="BV257" s="66" t="n">
        <f aca="false">IF(N(Z257)&gt;0,Z257,0)</f>
        <v>0</v>
      </c>
      <c r="BW257" s="60" t="n">
        <f aca="false">IF(ISNUMBER(AC257),1,0)</f>
        <v>0</v>
      </c>
      <c r="BX257" s="57" t="n">
        <f aca="false">N(AC257)</f>
        <v>0</v>
      </c>
      <c r="BY257" s="57" t="n">
        <f aca="false">N(L257)+N(M257)</f>
        <v>1</v>
      </c>
      <c r="BZ257" s="57" t="n">
        <f aca="false">ROUNDUP(G257/BQ257,0)</f>
        <v>1</v>
      </c>
      <c r="CA257" s="57" t="n">
        <f aca="false">ROUNDUP(BX257/BQ257,0)</f>
        <v>0</v>
      </c>
      <c r="CB257" s="60" t="n">
        <f aca="false">IF(BR257=1,0,IFERROR(VLOOKUP(BP257,'Gebinde-Kategorie'!$A$5:$M$45,5,0)+0,0))</f>
        <v>0</v>
      </c>
      <c r="CC257" s="60" t="n">
        <f aca="false">IFERROR(IF(OR(BT257=1,BT257=2,BT257=3),N(INDEX(Parameter!$I$5:$I$7,BT257)),0),0)</f>
        <v>0</v>
      </c>
      <c r="CD257" s="59" t="n">
        <f aca="false">IF(AND(Parameter!$B$21="Ja",ISNUMBER(U257),N(V257)&gt;0),IFERROR(N(INDEX(Parameter!$L$5:$L$7,U257))*INDEX(Parameter!$E$5:$E$7,U257)*V257/SUMIFS($V$7:$V$1576,$U$7:$U$1576,U257),0),0)</f>
        <v>0</v>
      </c>
    </row>
    <row r="258" customFormat="false" ht="15" hidden="false" customHeight="false" outlineLevel="0" collapsed="false">
      <c r="A258" s="55" t="s">
        <v>688</v>
      </c>
      <c r="B258" s="55" t="s">
        <v>689</v>
      </c>
      <c r="C258" s="55" t="s">
        <v>160</v>
      </c>
      <c r="D258" s="55" t="s">
        <v>168</v>
      </c>
      <c r="E258" s="55" t="s">
        <v>210</v>
      </c>
      <c r="F258" s="56" t="n">
        <v>84.68</v>
      </c>
      <c r="G258" s="57" t="n">
        <f aca="false">MAX(0,IF(AND(Parameter!$B$21="Ja",ISNUMBER(W258)),W258,IF(Parameter!$B$20="Jahresanfang 2025 + Export",BJ258+BI258,BI258)))</f>
        <v>5</v>
      </c>
      <c r="H258" s="57" t="n">
        <f aca="false">G258*F258</f>
        <v>423.4</v>
      </c>
      <c r="I258" s="57" t="n">
        <f aca="false">BL258*Parameter!$B$18</f>
        <v>83</v>
      </c>
      <c r="J258" s="58" t="n">
        <v>17</v>
      </c>
      <c r="K258" s="59" t="n">
        <v>4.88235294117647</v>
      </c>
      <c r="L258" s="57" t="n">
        <v>2</v>
      </c>
      <c r="M258" s="57" t="n">
        <v>20</v>
      </c>
      <c r="N258" s="60" t="n">
        <v>7</v>
      </c>
      <c r="O258" s="55" t="s">
        <v>218</v>
      </c>
      <c r="P258" s="57" t="n">
        <v>45</v>
      </c>
      <c r="Q258" s="60" t="n">
        <f aca="false">IF(BR258=1,0,IFERROR(VLOOKUP(BP258,'Gebinde-Kategorie'!$A$5:$M$45,13,0)+0,0))</f>
        <v>12</v>
      </c>
      <c r="R258" s="61"/>
      <c r="S258" s="62"/>
      <c r="T258" s="62"/>
      <c r="U258" s="55"/>
      <c r="V258" s="57"/>
      <c r="W258" s="57"/>
      <c r="X258" s="55" t="n">
        <f aca="false">IF(A258="","",IF(AND(Parameter!$B$21="Ja",ISNUMBER(U258)),U258,IF(IFERROR(VLOOKUP(D258,Parameter!$A$35:$C$64,2,0),"Nein")="2+3",IF(ISNUMBER(SEARCH("grosser Artikel",BM258)),2,IFERROR(VLOOKUP(BP258,Parameter!$F$35:$G$64,2,0),2)),IF(OR(IFERROR(VLOOKUP(D258,Parameter!$A$35:$C$64,2,0),"Nein")="Nein",IFERROR(VLOOKUP(D258,Parameter!$A$35:$C$64,2,0),"Nein")=""),"-",VLOOKUP(D258,Parameter!$A$35:$C$64,2,0)))))</f>
        <v>2</v>
      </c>
      <c r="Y258" s="62"/>
      <c r="Z258" s="63"/>
      <c r="AA258" s="57" t="n">
        <f aca="false">AP258</f>
        <v>45</v>
      </c>
      <c r="AB258" s="57" t="n">
        <f aca="false">MAX(AP258,G258)</f>
        <v>45</v>
      </c>
      <c r="AC258" s="64"/>
      <c r="AD258" s="57" t="n">
        <f aca="false">IF(LEFT(Cockpit!$C$5,1)="A",G258,IF(BW258=1,BX258,IF(LEFT(Cockpit!$C$5,1)="B",AH258,MAX(AH258,G258))))</f>
        <v>5</v>
      </c>
      <c r="AE258" s="57" t="n">
        <f aca="false">IF(BR258=1,0,ROUNDUP(AD258/BQ258,0))</f>
        <v>1</v>
      </c>
      <c r="AF258" s="59" t="n">
        <f aca="false">IF(CD258&gt;0,CD258*MAX(1,AD258/V258),IF(BR258=1,IF(AD258&lt;=0,0,BS258*MAX(1,IF(G258&gt;0,AD258/G258,1))),IF(Q258&gt;0,AE258/Q258,0))/MAX(0.1,N(Parameter!$M$21)))</f>
        <v>0.0833333333333333</v>
      </c>
      <c r="AG258" s="57" t="n">
        <f aca="false">AD258*F258</f>
        <v>423.4</v>
      </c>
      <c r="AH258" s="57" t="n">
        <f aca="false">ROUNDUP(MAX(I258/IF(BV258&gt;0,BV258,MAX(0.1,N(Cockpit!$C$6))),BY258)/BQ258,0)*BQ258</f>
        <v>45</v>
      </c>
      <c r="AI258" s="58" t="n">
        <f aca="false">IF(AF258&gt;0,I258/AF258,-1)</f>
        <v>996</v>
      </c>
      <c r="AJ258" s="58" t="n">
        <f aca="false">IF(AND(OR(BU258="L1",BU258="L23"),AF258&gt;0),SUMIFS($AF$7:$AF$1576,$BU$7:$BU$1576,BU258,$AI$7:$AI$1576,"&gt;"&amp;AI258)+SUMIFS($AF$7:$AF$1576,$BU$7:$BU$1576,BU258,$AI$7:$AI$1576,AI258,$BO$7:$BO$1576,"&lt;="&amp;BO258),"")</f>
        <v>9.37185872098916</v>
      </c>
      <c r="AK258" s="65" t="n">
        <f aca="false">IF(AJ258="",0,MAX(0,MIN(1,(IF(BU258="L1",Parameter!$E$5,Parameter!$E$6+Parameter!$E$7)-(AJ258-AF258))/AF258)))</f>
        <v>1</v>
      </c>
      <c r="AL258" s="57" t="n">
        <f aca="false">IF(LEFT(Cockpit!$I$5,1)="A",G258,IF(BW258=1,BX258,IF(LEFT(Cockpit!$I$5,1)="B",AP258,MAX(AP258,G258))))</f>
        <v>45</v>
      </c>
      <c r="AM258" s="57" t="n">
        <f aca="false">IF(BR258=1,0,ROUNDUP(AL258/BQ258,0))</f>
        <v>1</v>
      </c>
      <c r="AN258" s="59" t="n">
        <f aca="false">IF(CD258&gt;0,CD258*MAX(1,AL258/V258),IF(BR258=1,IF(AL258&lt;=0,0,BS258*MAX(1,IF(G258&gt;0,AL258/G258,1))),IF(Q258&gt;0,AM258/Q258,0))/MAX(0.1,N(Parameter!$M$21)))</f>
        <v>0.0833333333333333</v>
      </c>
      <c r="AO258" s="57" t="n">
        <f aca="false">AL258*F258</f>
        <v>3810.6</v>
      </c>
      <c r="AP258" s="57" t="n">
        <f aca="false">ROUNDUP(MAX(I258/IF(BV258&gt;0,BV258,MAX(0.1,N(Cockpit!$I$6))),BY258)/BQ258,0)*BQ258</f>
        <v>45</v>
      </c>
      <c r="AQ258" s="58" t="n">
        <f aca="false">IF(AN258&gt;0,I258/AN258,-1)</f>
        <v>996</v>
      </c>
      <c r="AR258" s="58" t="n">
        <f aca="false">IF(AND(OR(BU258="L1",BU258="L23"),AN258&gt;0),SUMIFS($AN$7:$AN$1576,$BU$7:$BU$1576,BU258,$AQ$7:$AQ$1576,"&gt;"&amp;AQ258)+SUMIFS($AN$7:$AN$1576,$BU$7:$BU$1576,BU258,$AQ$7:$AQ$1576,AQ258,$BO$7:$BO$1576,"&lt;="&amp;BO258),"")</f>
        <v>22.8905969034341</v>
      </c>
      <c r="AS258" s="65" t="n">
        <f aca="false">IF(AR258="",0,MAX(0,MIN(1,(IF(BU258="L1",Parameter!$E$5,Parameter!$E$6+Parameter!$E$7)-(AR258-AN258))/AN258)))</f>
        <v>1</v>
      </c>
      <c r="AT258" s="57" t="n">
        <f aca="false">IF(LEFT(Cockpit!$O$5,1)="A",G258,IF(BW258=1,BX258,IF(LEFT(Cockpit!$O$5,1)="B",AX258,MAX(AX258,G258))))</f>
        <v>45</v>
      </c>
      <c r="AU258" s="57" t="n">
        <f aca="false">IF(BR258=1,0,ROUNDUP(AT258/BQ258,0))</f>
        <v>1</v>
      </c>
      <c r="AV258" s="59" t="n">
        <f aca="false">IF(CD258&gt;0,CD258*MAX(1,AT258/V258),IF(BR258=1,IF(AT258&lt;=0,0,BS258*MAX(1,IF(G258&gt;0,AT258/G258,1))),IF(Q258&gt;0,AU258/Q258,0))/MAX(0.1,N(Parameter!$M$21)))</f>
        <v>0.0833333333333333</v>
      </c>
      <c r="AW258" s="57" t="n">
        <f aca="false">AT258*F258</f>
        <v>3810.6</v>
      </c>
      <c r="AX258" s="57" t="n">
        <f aca="false">ROUNDUP(MAX(I258/IF(BV258&gt;0,BV258,MAX(0.1,N(Cockpit!$O$6))),BY258)/BQ258,0)*BQ258</f>
        <v>45</v>
      </c>
      <c r="AY258" s="58" t="n">
        <f aca="false">IF(AV258&gt;0,I258/AV258,-1)</f>
        <v>996</v>
      </c>
      <c r="AZ258" s="58" t="n">
        <f aca="false">IF(AND(OR(BU258="L1",BU258="L23"),AV258&gt;0),SUMIFS($AV$7:$AV$1576,$BU$7:$BU$1576,BU258,$AY$7:$AY$1576,"&gt;"&amp;AY258)+SUMIFS($AV$7:$AV$1576,$BU$7:$BU$1576,BU258,$AY$7:$AY$1576,AY258,$BO$7:$BO$1576,"&lt;="&amp;BO258),"")</f>
        <v>22.1242798871171</v>
      </c>
      <c r="BA258" s="65" t="n">
        <f aca="false">IF(AZ258="",0,MAX(0,MIN(1,(IF(BU258="L1",Parameter!$E$5,Parameter!$E$6+Parameter!$E$7)-(AZ258-AV258))/AV258)))</f>
        <v>1</v>
      </c>
      <c r="BB258" s="55" t="str">
        <f aca="false">IF(AF258&lt;=0,"",IF(BU258="Aussen","Aussenlager",IF(BU258="-","Nicht im Lift",IF(AK258&gt;=1,"Lift",IF(AK258&lt;=0,"Aussenlager","teilweise")))))</f>
        <v>Lift</v>
      </c>
      <c r="BC258" s="55" t="str">
        <f aca="false">IF(AN258&lt;=0,"",IF(BU258="Aussen","Aussenlager",IF(BU258="-","Nicht im Lift",IF(AS258&gt;=1,"Lift",IF(AS258&lt;=0,"Aussenlager","teilweise")))))</f>
        <v>Lift</v>
      </c>
      <c r="BD258" s="55" t="str">
        <f aca="false">IF(AV258&lt;=0,"",IF(BU258="Aussen","Aussenlager",IF(BU258="-","Nicht im Lift",IF(BA258&gt;=1,"Lift",IF(BA258&lt;=0,"Aussenlager","teilweise")))))</f>
        <v>Lift</v>
      </c>
      <c r="BE258" s="55" t="str">
        <f aca="false">IF(A258="","",IF(BN258=1,"Neu; ","")&amp;IF(AND(BN258=0,BI258&lt;0),"negativer Bestand (Export "&amp;BI258&amp;"); ","")&amp;IF(I258&lt;=0,"Kein Verbrauch; ","")&amp;IF(CD258&gt;0,"Lift "&amp;U258&amp;" lt. Liftbericht (Fach "&amp;V258&amp;" Stk); ",IF(BR258=1,"Lose – Fläche geschätzt; ",""))&amp;IF(G258&gt;AP258,"Überbestand "&amp;ROUND(G258-AP258,0)&amp;" Stk / CHF "&amp;ROUND((G258-AP258)*F258,0)&amp;"; ","")&amp;IF(AND(BW258=1,BX258&lt;BY258),"MAX &lt; MB+LG; ","")&amp;IF(AND(CC258&gt;0,CB258*10&gt;CC258),"zu hoch für Tablar; ","")&amp;IF(AND(BN258=0,OR(BW258=1,Y258&lt;&gt;"",S258&lt;&gt;"",T258&lt;&gt;"",Z258&lt;&gt;"")),"manuell übersteuert; ","")&amp;IF(AND(BR258=0,Q258=0),"Gebinde unbekannt / Stellmass fehlt; ","")&amp;IF(AND(BR258=0,N(T258)&lt;=0,N(P258)&lt;=0),"Menge pro Gebinde fehlt (Ist = 1 Gebinde); ","")&amp;BM258)</f>
        <v/>
      </c>
      <c r="BF258" s="55"/>
      <c r="BG258" s="55"/>
      <c r="BH258" s="62"/>
      <c r="BI258" s="57" t="n">
        <v>5</v>
      </c>
      <c r="BJ258" s="57" t="n">
        <v>20</v>
      </c>
      <c r="BK258" s="56" t="n">
        <v>459.799999999999</v>
      </c>
      <c r="BL258" s="57" t="n">
        <v>83</v>
      </c>
      <c r="BM258" s="55"/>
      <c r="BN258" s="60" t="n">
        <v>0</v>
      </c>
      <c r="BO258" s="60" t="n">
        <v>258</v>
      </c>
      <c r="BP258" s="55" t="str">
        <f aca="false">IF(S258&lt;&gt;"",UPPER(TRIM(S258)),IF(O258="","LOSE",O258))</f>
        <v>S63</v>
      </c>
      <c r="BQ258" s="57" t="n">
        <f aca="false">IF(BP258="LOSE",1,IF(N(T258)&gt;0,T258,IF(N(P258)&gt;0,P258,MAX(1,G258))))</f>
        <v>45</v>
      </c>
      <c r="BR258" s="60" t="n">
        <f aca="false">IF(BP258="LOSE",1,0)</f>
        <v>0</v>
      </c>
      <c r="BS258" s="59" t="n">
        <f aca="false">IF(BR258=0,0,IF(N(R258)&gt;0,R258,IFERROR(VLOOKUP(D258,Parameter!$A$35:$C$64,3,0)+0,0)))</f>
        <v>0</v>
      </c>
      <c r="BT258" s="55" t="n">
        <f aca="false">IF(Y258&lt;&gt;"",Y258,X258)</f>
        <v>2</v>
      </c>
      <c r="BU258" s="55" t="str">
        <f aca="false">IF(BT258=1,"L1",IF(OR(BT258=2,BT258=3),"L23",IF(BT258="Aussen","Aussen","-")))</f>
        <v>L23</v>
      </c>
      <c r="BV258" s="66" t="n">
        <f aca="false">IF(N(Z258)&gt;0,Z258,0)</f>
        <v>0</v>
      </c>
      <c r="BW258" s="60" t="n">
        <f aca="false">IF(ISNUMBER(AC258),1,0)</f>
        <v>0</v>
      </c>
      <c r="BX258" s="57" t="n">
        <f aca="false">N(AC258)</f>
        <v>0</v>
      </c>
      <c r="BY258" s="57" t="n">
        <f aca="false">N(L258)+N(M258)</f>
        <v>22</v>
      </c>
      <c r="BZ258" s="57" t="n">
        <f aca="false">ROUNDUP(G258/BQ258,0)</f>
        <v>1</v>
      </c>
      <c r="CA258" s="57" t="n">
        <f aca="false">ROUNDUP(BX258/BQ258,0)</f>
        <v>0</v>
      </c>
      <c r="CB258" s="60" t="n">
        <f aca="false">IF(BR258=1,0,IFERROR(VLOOKUP(BP258,'Gebinde-Kategorie'!$A$5:$M$45,5,0)+0,0))</f>
        <v>31</v>
      </c>
      <c r="CC258" s="60" t="n">
        <f aca="false">IFERROR(IF(OR(BT258=1,BT258=2,BT258=3),N(INDEX(Parameter!$I$5:$I$7,BT258)),0),0)</f>
        <v>0</v>
      </c>
      <c r="CD258" s="59" t="n">
        <f aca="false">IF(AND(Parameter!$B$21="Ja",ISNUMBER(U258),N(V258)&gt;0),IFERROR(N(INDEX(Parameter!$L$5:$L$7,U258))*INDEX(Parameter!$E$5:$E$7,U258)*V258/SUMIFS($V$7:$V$1576,$U$7:$U$1576,U258),0),0)</f>
        <v>0</v>
      </c>
    </row>
    <row r="259" customFormat="false" ht="15" hidden="false" customHeight="false" outlineLevel="0" collapsed="false">
      <c r="A259" s="55" t="s">
        <v>690</v>
      </c>
      <c r="B259" s="55" t="s">
        <v>397</v>
      </c>
      <c r="C259" s="55" t="s">
        <v>160</v>
      </c>
      <c r="D259" s="55" t="s">
        <v>178</v>
      </c>
      <c r="E259" s="55" t="s">
        <v>210</v>
      </c>
      <c r="F259" s="56" t="n">
        <v>0.35</v>
      </c>
      <c r="G259" s="57" t="n">
        <f aca="false">MAX(0,IF(AND(Parameter!$B$21="Ja",ISNUMBER(W259)),W259,IF(Parameter!$B$20="Jahresanfang 2025 + Export",BJ259+BI259,BI259)))</f>
        <v>1293</v>
      </c>
      <c r="H259" s="57" t="n">
        <f aca="false">G259*F259</f>
        <v>452.55</v>
      </c>
      <c r="I259" s="57" t="n">
        <f aca="false">BL259*Parameter!$B$18</f>
        <v>4586</v>
      </c>
      <c r="J259" s="58" t="n">
        <v>1287</v>
      </c>
      <c r="K259" s="59" t="n">
        <v>3.56332556332556</v>
      </c>
      <c r="L259" s="57" t="n">
        <v>267</v>
      </c>
      <c r="M259" s="57" t="n">
        <v>2000</v>
      </c>
      <c r="N259" s="60" t="n">
        <v>21</v>
      </c>
      <c r="O259" s="55" t="s">
        <v>225</v>
      </c>
      <c r="P259" s="57" t="n">
        <v>1949</v>
      </c>
      <c r="Q259" s="60" t="n">
        <f aca="false">IF(BR259=1,0,IFERROR(VLOOKUP(BP259,'Gebinde-Kategorie'!$A$5:$M$45,13,0)+0,0))</f>
        <v>26</v>
      </c>
      <c r="R259" s="61"/>
      <c r="S259" s="62"/>
      <c r="T259" s="62"/>
      <c r="U259" s="55"/>
      <c r="V259" s="57"/>
      <c r="W259" s="57"/>
      <c r="X259" s="55" t="n">
        <f aca="false">IF(A259="","",IF(AND(Parameter!$B$21="Ja",ISNUMBER(U259)),U259,IF(IFERROR(VLOOKUP(D259,Parameter!$A$35:$C$64,2,0),"Nein")="2+3",IF(ISNUMBER(SEARCH("grosser Artikel",BM259)),2,IFERROR(VLOOKUP(BP259,Parameter!$F$35:$G$64,2,0),2)),IF(OR(IFERROR(VLOOKUP(D259,Parameter!$A$35:$C$64,2,0),"Nein")="Nein",IFERROR(VLOOKUP(D259,Parameter!$A$35:$C$64,2,0),"Nein")=""),"-",VLOOKUP(D259,Parameter!$A$35:$C$64,2,0)))))</f>
        <v>3</v>
      </c>
      <c r="Y259" s="62"/>
      <c r="Z259" s="63"/>
      <c r="AA259" s="57" t="n">
        <f aca="false">AP259</f>
        <v>3898</v>
      </c>
      <c r="AB259" s="57" t="n">
        <f aca="false">MAX(AP259,G259)</f>
        <v>3898</v>
      </c>
      <c r="AC259" s="64"/>
      <c r="AD259" s="57" t="n">
        <f aca="false">IF(LEFT(Cockpit!$C$5,1)="A",G259,IF(BW259=1,BX259,IF(LEFT(Cockpit!$C$5,1)="B",AH259,MAX(AH259,G259))))</f>
        <v>1293</v>
      </c>
      <c r="AE259" s="57" t="n">
        <f aca="false">IF(BR259=1,0,ROUNDUP(AD259/BQ259,0))</f>
        <v>1</v>
      </c>
      <c r="AF259" s="59" t="n">
        <f aca="false">IF(CD259&gt;0,CD259*MAX(1,AD259/V259),IF(BR259=1,IF(AD259&lt;=0,0,BS259*MAX(1,IF(G259&gt;0,AD259/G259,1))),IF(Q259&gt;0,AE259/Q259,0))/MAX(0.1,N(Parameter!$M$21)))</f>
        <v>0.0384615384615385</v>
      </c>
      <c r="AG259" s="57" t="n">
        <f aca="false">AD259*F259</f>
        <v>452.55</v>
      </c>
      <c r="AH259" s="57" t="n">
        <f aca="false">ROUNDUP(MAX(I259/IF(BV259&gt;0,BV259,MAX(0.1,N(Cockpit!$C$6))),BY259)/BQ259,0)*BQ259</f>
        <v>3898</v>
      </c>
      <c r="AI259" s="58" t="n">
        <f aca="false">IF(AF259&gt;0,I259/AF259,-1)</f>
        <v>119236</v>
      </c>
      <c r="AJ259" s="58" t="n">
        <f aca="false">IF(AND(OR(BU259="L1",BU259="L23"),AF259&gt;0),SUMIFS($AF$7:$AF$1576,$BU$7:$BU$1576,BU259,$AI$7:$AI$1576,"&gt;"&amp;AI259)+SUMIFS($AF$7:$AF$1576,$BU$7:$BU$1576,BU259,$AI$7:$AI$1576,AI259,$BO$7:$BO$1576,"&lt;="&amp;BO259),"")</f>
        <v>0.166531536096754</v>
      </c>
      <c r="AK259" s="65" t="n">
        <f aca="false">IF(AJ259="",0,MAX(0,MIN(1,(IF(BU259="L1",Parameter!$E$5,Parameter!$E$6+Parameter!$E$7)-(AJ259-AF259))/AF259)))</f>
        <v>1</v>
      </c>
      <c r="AL259" s="57" t="n">
        <f aca="false">IF(LEFT(Cockpit!$I$5,1)="A",G259,IF(BW259=1,BX259,IF(LEFT(Cockpit!$I$5,1)="B",AP259,MAX(AP259,G259))))</f>
        <v>3898</v>
      </c>
      <c r="AM259" s="57" t="n">
        <f aca="false">IF(BR259=1,0,ROUNDUP(AL259/BQ259,0))</f>
        <v>2</v>
      </c>
      <c r="AN259" s="59" t="n">
        <f aca="false">IF(CD259&gt;0,CD259*MAX(1,AL259/V259),IF(BR259=1,IF(AL259&lt;=0,0,BS259*MAX(1,IF(G259&gt;0,AL259/G259,1))),IF(Q259&gt;0,AM259/Q259,0))/MAX(0.1,N(Parameter!$M$21)))</f>
        <v>0.0769230769230769</v>
      </c>
      <c r="AO259" s="57" t="n">
        <f aca="false">AL259*F259</f>
        <v>1364.3</v>
      </c>
      <c r="AP259" s="57" t="n">
        <f aca="false">ROUNDUP(MAX(I259/IF(BV259&gt;0,BV259,MAX(0.1,N(Cockpit!$I$6))),BY259)/BQ259,0)*BQ259</f>
        <v>3898</v>
      </c>
      <c r="AQ259" s="58" t="n">
        <f aca="false">IF(AN259&gt;0,I259/AN259,-1)</f>
        <v>59618</v>
      </c>
      <c r="AR259" s="58" t="n">
        <f aca="false">IF(AND(OR(BU259="L1",BU259="L23"),AN259&gt;0),SUMIFS($AN$7:$AN$1576,$BU$7:$BU$1576,BU259,$AQ$7:$AQ$1576,"&gt;"&amp;AQ259)+SUMIFS($AN$7:$AN$1576,$BU$7:$BU$1576,BU259,$AQ$7:$AQ$1576,AQ259,$BO$7:$BO$1576,"&lt;="&amp;BO259),"")</f>
        <v>0.957988919293267</v>
      </c>
      <c r="AS259" s="65" t="n">
        <f aca="false">IF(AR259="",0,MAX(0,MIN(1,(IF(BU259="L1",Parameter!$E$5,Parameter!$E$6+Parameter!$E$7)-(AR259-AN259))/AN259)))</f>
        <v>1</v>
      </c>
      <c r="AT259" s="57" t="n">
        <f aca="false">IF(LEFT(Cockpit!$O$5,1)="A",G259,IF(BW259=1,BX259,IF(LEFT(Cockpit!$O$5,1)="B",AX259,MAX(AX259,G259))))</f>
        <v>3898</v>
      </c>
      <c r="AU259" s="57" t="n">
        <f aca="false">IF(BR259=1,0,ROUNDUP(AT259/BQ259,0))</f>
        <v>2</v>
      </c>
      <c r="AV259" s="59" t="n">
        <f aca="false">IF(CD259&gt;0,CD259*MAX(1,AT259/V259),IF(BR259=1,IF(AT259&lt;=0,0,BS259*MAX(1,IF(G259&gt;0,AT259/G259,1))),IF(Q259&gt;0,AU259/Q259,0))/MAX(0.1,N(Parameter!$M$21)))</f>
        <v>0.0769230769230769</v>
      </c>
      <c r="AW259" s="57" t="n">
        <f aca="false">AT259*F259</f>
        <v>1364.3</v>
      </c>
      <c r="AX259" s="57" t="n">
        <f aca="false">ROUNDUP(MAX(I259/IF(BV259&gt;0,BV259,MAX(0.1,N(Cockpit!$O$6))),BY259)/BQ259,0)*BQ259</f>
        <v>3898</v>
      </c>
      <c r="AY259" s="58" t="n">
        <f aca="false">IF(AV259&gt;0,I259/AV259,-1)</f>
        <v>59618</v>
      </c>
      <c r="AZ259" s="58" t="n">
        <f aca="false">IF(AND(OR(BU259="L1",BU259="L23"),AV259&gt;0),SUMIFS($AV$7:$AV$1576,$BU$7:$BU$1576,BU259,$AY$7:$AY$1576,"&gt;"&amp;AY259)+SUMIFS($AV$7:$AV$1576,$BU$7:$BU$1576,BU259,$AY$7:$AY$1576,AY259,$BO$7:$BO$1576,"&lt;="&amp;BO259),"")</f>
        <v>1.03083274213709</v>
      </c>
      <c r="BA259" s="65" t="n">
        <f aca="false">IF(AZ259="",0,MAX(0,MIN(1,(IF(BU259="L1",Parameter!$E$5,Parameter!$E$6+Parameter!$E$7)-(AZ259-AV259))/AV259)))</f>
        <v>1</v>
      </c>
      <c r="BB259" s="55" t="str">
        <f aca="false">IF(AF259&lt;=0,"",IF(BU259="Aussen","Aussenlager",IF(BU259="-","Nicht im Lift",IF(AK259&gt;=1,"Lift",IF(AK259&lt;=0,"Aussenlager","teilweise")))))</f>
        <v>Lift</v>
      </c>
      <c r="BC259" s="55" t="str">
        <f aca="false">IF(AN259&lt;=0,"",IF(BU259="Aussen","Aussenlager",IF(BU259="-","Nicht im Lift",IF(AS259&gt;=1,"Lift",IF(AS259&lt;=0,"Aussenlager","teilweise")))))</f>
        <v>Lift</v>
      </c>
      <c r="BD259" s="55" t="str">
        <f aca="false">IF(AV259&lt;=0,"",IF(BU259="Aussen","Aussenlager",IF(BU259="-","Nicht im Lift",IF(BA259&gt;=1,"Lift",IF(BA259&lt;=0,"Aussenlager","teilweise")))))</f>
        <v>Lift</v>
      </c>
      <c r="BE259" s="55" t="str">
        <f aca="false">IF(A259="","",IF(BN259=1,"Neu; ","")&amp;IF(AND(BN259=0,BI259&lt;0),"negativer Bestand (Export "&amp;BI259&amp;"); ","")&amp;IF(I259&lt;=0,"Kein Verbrauch; ","")&amp;IF(CD259&gt;0,"Lift "&amp;U259&amp;" lt. Liftbericht (Fach "&amp;V259&amp;" Stk); ",IF(BR259=1,"Lose – Fläche geschätzt; ",""))&amp;IF(G259&gt;AP259,"Überbestand "&amp;ROUND(G259-AP259,0)&amp;" Stk / CHF "&amp;ROUND((G259-AP259)*F259,0)&amp;"; ","")&amp;IF(AND(BW259=1,BX259&lt;BY259),"MAX &lt; MB+LG; ","")&amp;IF(AND(CC259&gt;0,CB259*10&gt;CC259),"zu hoch für Tablar; ","")&amp;IF(AND(BN259=0,OR(BW259=1,Y259&lt;&gt;"",S259&lt;&gt;"",T259&lt;&gt;"",Z259&lt;&gt;"")),"manuell übersteuert; ","")&amp;IF(AND(BR259=0,Q259=0),"Gebinde unbekannt / Stellmass fehlt; ","")&amp;IF(AND(BR259=0,N(T259)&lt;=0,N(P259)&lt;=0),"Menge pro Gebinde fehlt (Ist = 1 Gebinde); ","")&amp;BM259)</f>
        <v/>
      </c>
      <c r="BF259" s="55"/>
      <c r="BG259" s="55"/>
      <c r="BH259" s="62"/>
      <c r="BI259" s="57" t="n">
        <v>1293</v>
      </c>
      <c r="BJ259" s="57" t="n">
        <v>1154</v>
      </c>
      <c r="BK259" s="56" t="n">
        <v>452.55</v>
      </c>
      <c r="BL259" s="57" t="n">
        <v>4586</v>
      </c>
      <c r="BM259" s="55"/>
      <c r="BN259" s="60" t="n">
        <v>0</v>
      </c>
      <c r="BO259" s="60" t="n">
        <v>259</v>
      </c>
      <c r="BP259" s="55" t="str">
        <f aca="false">IF(S259&lt;&gt;"",UPPER(TRIM(S259)),IF(O259="","LOSE",O259))</f>
        <v>S52</v>
      </c>
      <c r="BQ259" s="57" t="n">
        <f aca="false">IF(BP259="LOSE",1,IF(N(T259)&gt;0,T259,IF(N(P259)&gt;0,P259,MAX(1,G259))))</f>
        <v>1949</v>
      </c>
      <c r="BR259" s="60" t="n">
        <f aca="false">IF(BP259="LOSE",1,0)</f>
        <v>0</v>
      </c>
      <c r="BS259" s="59" t="n">
        <f aca="false">IF(BR259=0,0,IF(N(R259)&gt;0,R259,IFERROR(VLOOKUP(D259,Parameter!$A$35:$C$64,3,0)+0,0)))</f>
        <v>0</v>
      </c>
      <c r="BT259" s="55" t="n">
        <f aca="false">IF(Y259&lt;&gt;"",Y259,X259)</f>
        <v>3</v>
      </c>
      <c r="BU259" s="55" t="str">
        <f aca="false">IF(BT259=1,"L1",IF(OR(BT259=2,BT259=3),"L23",IF(BT259="Aussen","Aussen","-")))</f>
        <v>L23</v>
      </c>
      <c r="BV259" s="66" t="n">
        <f aca="false">IF(N(Z259)&gt;0,Z259,0)</f>
        <v>0</v>
      </c>
      <c r="BW259" s="60" t="n">
        <f aca="false">IF(ISNUMBER(AC259),1,0)</f>
        <v>0</v>
      </c>
      <c r="BX259" s="57" t="n">
        <f aca="false">N(AC259)</f>
        <v>0</v>
      </c>
      <c r="BY259" s="57" t="n">
        <f aca="false">N(L259)+N(M259)</f>
        <v>2267</v>
      </c>
      <c r="BZ259" s="57" t="n">
        <f aca="false">ROUNDUP(G259/BQ259,0)</f>
        <v>1</v>
      </c>
      <c r="CA259" s="57" t="n">
        <f aca="false">ROUNDUP(BX259/BQ259,0)</f>
        <v>0</v>
      </c>
      <c r="CB259" s="60" t="n">
        <f aca="false">IF(BR259=1,0,IFERROR(VLOOKUP(BP259,'Gebinde-Kategorie'!$A$5:$M$45,5,0)+0,0))</f>
        <v>21</v>
      </c>
      <c r="CC259" s="60" t="n">
        <f aca="false">IFERROR(IF(OR(BT259=1,BT259=2,BT259=3),N(INDEX(Parameter!$I$5:$I$7,BT259)),0),0)</f>
        <v>0</v>
      </c>
      <c r="CD259" s="59" t="n">
        <f aca="false">IF(AND(Parameter!$B$21="Ja",ISNUMBER(U259),N(V259)&gt;0),IFERROR(N(INDEX(Parameter!$L$5:$L$7,U259))*INDEX(Parameter!$E$5:$E$7,U259)*V259/SUMIFS($V$7:$V$1576,$U$7:$U$1576,U259),0),0)</f>
        <v>0</v>
      </c>
    </row>
    <row r="260" customFormat="false" ht="15" hidden="false" customHeight="false" outlineLevel="0" collapsed="false">
      <c r="A260" s="55" t="s">
        <v>691</v>
      </c>
      <c r="B260" s="55" t="s">
        <v>692</v>
      </c>
      <c r="C260" s="55" t="s">
        <v>160</v>
      </c>
      <c r="D260" s="55" t="s">
        <v>168</v>
      </c>
      <c r="E260" s="55" t="s">
        <v>210</v>
      </c>
      <c r="F260" s="56" t="n">
        <v>428.4</v>
      </c>
      <c r="G260" s="57" t="n">
        <f aca="false">MAX(0,IF(AND(Parameter!$B$21="Ja",ISNUMBER(W260)),W260,IF(Parameter!$B$20="Jahresanfang 2025 + Export",BJ260+BI260,BI260)))</f>
        <v>1</v>
      </c>
      <c r="H260" s="57" t="n">
        <f aca="false">G260*F260</f>
        <v>428.4</v>
      </c>
      <c r="I260" s="57" t="n">
        <f aca="false">BL260*Parameter!$B$18</f>
        <v>58</v>
      </c>
      <c r="J260" s="58" t="n">
        <v>9</v>
      </c>
      <c r="K260" s="59" t="n">
        <v>6.44444444444445</v>
      </c>
      <c r="L260" s="57" t="n">
        <v>5</v>
      </c>
      <c r="M260" s="57" t="n">
        <v>20</v>
      </c>
      <c r="N260" s="60" t="n">
        <v>35</v>
      </c>
      <c r="O260" s="55" t="s">
        <v>251</v>
      </c>
      <c r="P260" s="57" t="n">
        <v>10</v>
      </c>
      <c r="Q260" s="60" t="n">
        <f aca="false">IF(BR260=1,0,IFERROR(VLOOKUP(BP260,'Gebinde-Kategorie'!$A$5:$M$45,13,0)+0,0))</f>
        <v>6</v>
      </c>
      <c r="R260" s="61"/>
      <c r="S260" s="62"/>
      <c r="T260" s="62"/>
      <c r="U260" s="55"/>
      <c r="V260" s="57"/>
      <c r="W260" s="57"/>
      <c r="X260" s="55" t="n">
        <f aca="false">IF(A260="","",IF(AND(Parameter!$B$21="Ja",ISNUMBER(U260)),U260,IF(IFERROR(VLOOKUP(D260,Parameter!$A$35:$C$64,2,0),"Nein")="2+3",IF(ISNUMBER(SEARCH("grosser Artikel",BM260)),2,IFERROR(VLOOKUP(BP260,Parameter!$F$35:$G$64,2,0),2)),IF(OR(IFERROR(VLOOKUP(D260,Parameter!$A$35:$C$64,2,0),"Nein")="Nein",IFERROR(VLOOKUP(D260,Parameter!$A$35:$C$64,2,0),"Nein")=""),"-",VLOOKUP(D260,Parameter!$A$35:$C$64,2,0)))))</f>
        <v>2</v>
      </c>
      <c r="Y260" s="62"/>
      <c r="Z260" s="63"/>
      <c r="AA260" s="57" t="n">
        <f aca="false">AP260</f>
        <v>30</v>
      </c>
      <c r="AB260" s="57" t="n">
        <f aca="false">MAX(AP260,G260)</f>
        <v>30</v>
      </c>
      <c r="AC260" s="64"/>
      <c r="AD260" s="57" t="n">
        <f aca="false">IF(LEFT(Cockpit!$C$5,1)="A",G260,IF(BW260=1,BX260,IF(LEFT(Cockpit!$C$5,1)="B",AH260,MAX(AH260,G260))))</f>
        <v>1</v>
      </c>
      <c r="AE260" s="57" t="n">
        <f aca="false">IF(BR260=1,0,ROUNDUP(AD260/BQ260,0))</f>
        <v>1</v>
      </c>
      <c r="AF260" s="59" t="n">
        <f aca="false">IF(CD260&gt;0,CD260*MAX(1,AD260/V260),IF(BR260=1,IF(AD260&lt;=0,0,BS260*MAX(1,IF(G260&gt;0,AD260/G260,1))),IF(Q260&gt;0,AE260/Q260,0))/MAX(0.1,N(Parameter!$M$21)))</f>
        <v>0.166666666666667</v>
      </c>
      <c r="AG260" s="57" t="n">
        <f aca="false">AD260*F260</f>
        <v>428.4</v>
      </c>
      <c r="AH260" s="57" t="n">
        <f aca="false">ROUNDUP(MAX(I260/IF(BV260&gt;0,BV260,MAX(0.1,N(Cockpit!$C$6))),BY260)/BQ260,0)*BQ260</f>
        <v>30</v>
      </c>
      <c r="AI260" s="58" t="n">
        <f aca="false">IF(AF260&gt;0,I260/AF260,-1)</f>
        <v>348</v>
      </c>
      <c r="AJ260" s="58" t="n">
        <f aca="false">IF(AND(OR(BU260="L1",BU260="L23"),AF260&gt;0),SUMIFS($AF$7:$AF$1576,$BU$7:$BU$1576,BU260,$AI$7:$AI$1576,"&gt;"&amp;AI260)+SUMIFS($AF$7:$AF$1576,$BU$7:$BU$1576,BU260,$AI$7:$AI$1576,AI260,$BO$7:$BO$1576,"&lt;="&amp;BO260),"")</f>
        <v>14.2741282389108</v>
      </c>
      <c r="AK260" s="65" t="n">
        <f aca="false">IF(AJ260="",0,MAX(0,MIN(1,(IF(BU260="L1",Parameter!$E$5,Parameter!$E$6+Parameter!$E$7)-(AJ260-AF260))/AF260)))</f>
        <v>1</v>
      </c>
      <c r="AL260" s="57" t="n">
        <f aca="false">IF(LEFT(Cockpit!$I$5,1)="A",G260,IF(BW260=1,BX260,IF(LEFT(Cockpit!$I$5,1)="B",AP260,MAX(AP260,G260))))</f>
        <v>30</v>
      </c>
      <c r="AM260" s="57" t="n">
        <f aca="false">IF(BR260=1,0,ROUNDUP(AL260/BQ260,0))</f>
        <v>3</v>
      </c>
      <c r="AN260" s="59" t="n">
        <f aca="false">IF(CD260&gt;0,CD260*MAX(1,AL260/V260),IF(BR260=1,IF(AL260&lt;=0,0,BS260*MAX(1,IF(G260&gt;0,AL260/G260,1))),IF(Q260&gt;0,AM260/Q260,0))/MAX(0.1,N(Parameter!$M$21)))</f>
        <v>0.5</v>
      </c>
      <c r="AO260" s="57" t="n">
        <f aca="false">AL260*F260</f>
        <v>12852</v>
      </c>
      <c r="AP260" s="57" t="n">
        <f aca="false">ROUNDUP(MAX(I260/IF(BV260&gt;0,BV260,MAX(0.1,N(Cockpit!$I$6))),BY260)/BQ260,0)*BQ260</f>
        <v>30</v>
      </c>
      <c r="AQ260" s="58" t="n">
        <f aca="false">IF(AN260&gt;0,I260/AN260,-1)</f>
        <v>116</v>
      </c>
      <c r="AR260" s="58" t="n">
        <f aca="false">IF(AND(OR(BU260="L1",BU260="L23"),AN260&gt;0),SUMIFS($AN$7:$AN$1576,$BU$7:$BU$1576,BU260,$AQ$7:$AQ$1576,"&gt;"&amp;AQ260)+SUMIFS($AN$7:$AN$1576,$BU$7:$BU$1576,BU260,$AQ$7:$AQ$1576,AQ260,$BO$7:$BO$1576,"&lt;="&amp;BO260),"")</f>
        <v>65.6103357153469</v>
      </c>
      <c r="AS260" s="65" t="n">
        <f aca="false">IF(AR260="",0,MAX(0,MIN(1,(IF(BU260="L1",Parameter!$E$5,Parameter!$E$6+Parameter!$E$7)-(AR260-AN260))/AN260)))</f>
        <v>1</v>
      </c>
      <c r="AT260" s="57" t="n">
        <f aca="false">IF(LEFT(Cockpit!$O$5,1)="A",G260,IF(BW260=1,BX260,IF(LEFT(Cockpit!$O$5,1)="B",AX260,MAX(AX260,G260))))</f>
        <v>30</v>
      </c>
      <c r="AU260" s="57" t="n">
        <f aca="false">IF(BR260=1,0,ROUNDUP(AT260/BQ260,0))</f>
        <v>3</v>
      </c>
      <c r="AV260" s="59" t="n">
        <f aca="false">IF(CD260&gt;0,CD260*MAX(1,AT260/V260),IF(BR260=1,IF(AT260&lt;=0,0,BS260*MAX(1,IF(G260&gt;0,AT260/G260,1))),IF(Q260&gt;0,AU260/Q260,0))/MAX(0.1,N(Parameter!$M$21)))</f>
        <v>0.5</v>
      </c>
      <c r="AW260" s="57" t="n">
        <f aca="false">AT260*F260</f>
        <v>12852</v>
      </c>
      <c r="AX260" s="57" t="n">
        <f aca="false">ROUNDUP(MAX(I260/IF(BV260&gt;0,BV260,MAX(0.1,N(Cockpit!$O$6))),BY260)/BQ260,0)*BQ260</f>
        <v>30</v>
      </c>
      <c r="AY260" s="58" t="n">
        <f aca="false">IF(AV260&gt;0,I260/AV260,-1)</f>
        <v>116</v>
      </c>
      <c r="AZ260" s="58" t="n">
        <f aca="false">IF(AND(OR(BU260="L1",BU260="L23"),AV260&gt;0),SUMIFS($AV$7:$AV$1576,$BU$7:$BU$1576,BU260,$AY$7:$AY$1576,"&gt;"&amp;AY260)+SUMIFS($AV$7:$AV$1576,$BU$7:$BU$1576,BU260,$AY$7:$AY$1576,AY260,$BO$7:$BO$1576,"&lt;="&amp;BO260),"")</f>
        <v>60.9394694982307</v>
      </c>
      <c r="BA260" s="65" t="n">
        <f aca="false">IF(AZ260="",0,MAX(0,MIN(1,(IF(BU260="L1",Parameter!$E$5,Parameter!$E$6+Parameter!$E$7)-(AZ260-AV260))/AV260)))</f>
        <v>1</v>
      </c>
      <c r="BB260" s="55" t="str">
        <f aca="false">IF(AF260&lt;=0,"",IF(BU260="Aussen","Aussenlager",IF(BU260="-","Nicht im Lift",IF(AK260&gt;=1,"Lift",IF(AK260&lt;=0,"Aussenlager","teilweise")))))</f>
        <v>Lift</v>
      </c>
      <c r="BC260" s="55" t="str">
        <f aca="false">IF(AN260&lt;=0,"",IF(BU260="Aussen","Aussenlager",IF(BU260="-","Nicht im Lift",IF(AS260&gt;=1,"Lift",IF(AS260&lt;=0,"Aussenlager","teilweise")))))</f>
        <v>Lift</v>
      </c>
      <c r="BD260" s="55" t="str">
        <f aca="false">IF(AV260&lt;=0,"",IF(BU260="Aussen","Aussenlager",IF(BU260="-","Nicht im Lift",IF(BA260&gt;=1,"Lift",IF(BA260&lt;=0,"Aussenlager","teilweise")))))</f>
        <v>Lift</v>
      </c>
      <c r="BE260" s="55" t="str">
        <f aca="false">IF(A260="","",IF(BN260=1,"Neu; ","")&amp;IF(AND(BN260=0,BI260&lt;0),"negativer Bestand (Export "&amp;BI260&amp;"); ","")&amp;IF(I260&lt;=0,"Kein Verbrauch; ","")&amp;IF(CD260&gt;0,"Lift "&amp;U260&amp;" lt. Liftbericht (Fach "&amp;V260&amp;" Stk); ",IF(BR260=1,"Lose – Fläche geschätzt; ",""))&amp;IF(G260&gt;AP260,"Überbestand "&amp;ROUND(G260-AP260,0)&amp;" Stk / CHF "&amp;ROUND((G260-AP260)*F260,0)&amp;"; ","")&amp;IF(AND(BW260=1,BX260&lt;BY260),"MAX &lt; MB+LG; ","")&amp;IF(AND(CC260&gt;0,CB260*10&gt;CC260),"zu hoch für Tablar; ","")&amp;IF(AND(BN260=0,OR(BW260=1,Y260&lt;&gt;"",S260&lt;&gt;"",T260&lt;&gt;"",Z260&lt;&gt;"")),"manuell übersteuert; ","")&amp;IF(AND(BR260=0,Q260=0),"Gebinde unbekannt / Stellmass fehlt; ","")&amp;IF(AND(BR260=0,N(T260)&lt;=0,N(P260)&lt;=0),"Menge pro Gebinde fehlt (Ist = 1 Gebinde); ","")&amp;BM260)</f>
        <v/>
      </c>
      <c r="BF260" s="55"/>
      <c r="BG260" s="55"/>
      <c r="BH260" s="62"/>
      <c r="BI260" s="57" t="n">
        <v>1</v>
      </c>
      <c r="BJ260" s="57" t="n">
        <v>13</v>
      </c>
      <c r="BK260" s="56" t="n">
        <v>449.2</v>
      </c>
      <c r="BL260" s="57" t="n">
        <v>58</v>
      </c>
      <c r="BM260" s="55"/>
      <c r="BN260" s="60" t="n">
        <v>0</v>
      </c>
      <c r="BO260" s="60" t="n">
        <v>260</v>
      </c>
      <c r="BP260" s="55" t="str">
        <f aca="false">IF(S260&lt;&gt;"",UPPER(TRIM(S260)),IF(O260="","LOSE",O260))</f>
        <v>S72</v>
      </c>
      <c r="BQ260" s="57" t="n">
        <f aca="false">IF(BP260="LOSE",1,IF(N(T260)&gt;0,T260,IF(N(P260)&gt;0,P260,MAX(1,G260))))</f>
        <v>10</v>
      </c>
      <c r="BR260" s="60" t="n">
        <f aca="false">IF(BP260="LOSE",1,0)</f>
        <v>0</v>
      </c>
      <c r="BS260" s="59" t="n">
        <f aca="false">IF(BR260=0,0,IF(N(R260)&gt;0,R260,IFERROR(VLOOKUP(D260,Parameter!$A$35:$C$64,3,0)+0,0)))</f>
        <v>0</v>
      </c>
      <c r="BT260" s="55" t="n">
        <f aca="false">IF(Y260&lt;&gt;"",Y260,X260)</f>
        <v>2</v>
      </c>
      <c r="BU260" s="55" t="str">
        <f aca="false">IF(BT260=1,"L1",IF(OR(BT260=2,BT260=3),"L23",IF(BT260="Aussen","Aussen","-")))</f>
        <v>L23</v>
      </c>
      <c r="BV260" s="66" t="n">
        <f aca="false">IF(N(Z260)&gt;0,Z260,0)</f>
        <v>0</v>
      </c>
      <c r="BW260" s="60" t="n">
        <f aca="false">IF(ISNUMBER(AC260),1,0)</f>
        <v>0</v>
      </c>
      <c r="BX260" s="57" t="n">
        <f aca="false">N(AC260)</f>
        <v>0</v>
      </c>
      <c r="BY260" s="57" t="n">
        <f aca="false">N(L260)+N(M260)</f>
        <v>25</v>
      </c>
      <c r="BZ260" s="57" t="n">
        <f aca="false">ROUNDUP(G260/BQ260,0)</f>
        <v>1</v>
      </c>
      <c r="CA260" s="57" t="n">
        <f aca="false">ROUNDUP(BX260/BQ260,0)</f>
        <v>0</v>
      </c>
      <c r="CB260" s="60" t="n">
        <f aca="false">IF(BR260=1,0,IFERROR(VLOOKUP(BP260,'Gebinde-Kategorie'!$A$5:$M$45,5,0)+0,0))</f>
        <v>40</v>
      </c>
      <c r="CC260" s="60" t="n">
        <f aca="false">IFERROR(IF(OR(BT260=1,BT260=2,BT260=3),N(INDEX(Parameter!$I$5:$I$7,BT260)),0),0)</f>
        <v>0</v>
      </c>
      <c r="CD260" s="59" t="n">
        <f aca="false">IF(AND(Parameter!$B$21="Ja",ISNUMBER(U260),N(V260)&gt;0),IFERROR(N(INDEX(Parameter!$L$5:$L$7,U260))*INDEX(Parameter!$E$5:$E$7,U260)*V260/SUMIFS($V$7:$V$1576,$U$7:$U$1576,U260),0),0)</f>
        <v>0</v>
      </c>
    </row>
    <row r="261" customFormat="false" ht="15" hidden="false" customHeight="false" outlineLevel="0" collapsed="false">
      <c r="A261" s="55" t="s">
        <v>693</v>
      </c>
      <c r="B261" s="55" t="s">
        <v>694</v>
      </c>
      <c r="C261" s="55" t="s">
        <v>160</v>
      </c>
      <c r="D261" s="55" t="s">
        <v>178</v>
      </c>
      <c r="E261" s="55" t="s">
        <v>210</v>
      </c>
      <c r="F261" s="56" t="n">
        <v>5.29</v>
      </c>
      <c r="G261" s="57" t="n">
        <f aca="false">MAX(0,IF(AND(Parameter!$B$21="Ja",ISNUMBER(W261)),W261,IF(Parameter!$B$20="Jahresanfang 2025 + Export",BJ261+BI261,BI261)))</f>
        <v>80</v>
      </c>
      <c r="H261" s="57" t="n">
        <f aca="false">G261*F261</f>
        <v>423.2</v>
      </c>
      <c r="I261" s="57" t="n">
        <f aca="false">BL261*Parameter!$B$18</f>
        <v>198</v>
      </c>
      <c r="J261" s="58" t="n">
        <v>110</v>
      </c>
      <c r="K261" s="59" t="n">
        <v>1.8</v>
      </c>
      <c r="L261" s="57" t="n">
        <v>7</v>
      </c>
      <c r="M261" s="57" t="n">
        <v>200</v>
      </c>
      <c r="N261" s="60" t="n">
        <v>14</v>
      </c>
      <c r="O261" s="55" t="s">
        <v>293</v>
      </c>
      <c r="P261" s="57" t="n">
        <v>150</v>
      </c>
      <c r="Q261" s="60" t="n">
        <f aca="false">IF(BR261=1,0,IFERROR(VLOOKUP(BP261,'Gebinde-Kategorie'!$A$5:$M$45,13,0)+0,0))</f>
        <v>26</v>
      </c>
      <c r="R261" s="61"/>
      <c r="S261" s="62"/>
      <c r="T261" s="62"/>
      <c r="U261" s="55"/>
      <c r="V261" s="57"/>
      <c r="W261" s="57"/>
      <c r="X261" s="55" t="n">
        <f aca="false">IF(A261="","",IF(AND(Parameter!$B$21="Ja",ISNUMBER(U261)),U261,IF(IFERROR(VLOOKUP(D261,Parameter!$A$35:$C$64,2,0),"Nein")="2+3",IF(ISNUMBER(SEARCH("grosser Artikel",BM261)),2,IFERROR(VLOOKUP(BP261,Parameter!$F$35:$G$64,2,0),2)),IF(OR(IFERROR(VLOOKUP(D261,Parameter!$A$35:$C$64,2,0),"Nein")="Nein",IFERROR(VLOOKUP(D261,Parameter!$A$35:$C$64,2,0),"Nein")=""),"-",VLOOKUP(D261,Parameter!$A$35:$C$64,2,0)))))</f>
        <v>3</v>
      </c>
      <c r="Y261" s="62"/>
      <c r="Z261" s="63"/>
      <c r="AA261" s="57" t="n">
        <f aca="false">AP261</f>
        <v>300</v>
      </c>
      <c r="AB261" s="57" t="n">
        <f aca="false">MAX(AP261,G261)</f>
        <v>300</v>
      </c>
      <c r="AC261" s="64"/>
      <c r="AD261" s="57" t="n">
        <f aca="false">IF(LEFT(Cockpit!$C$5,1)="A",G261,IF(BW261=1,BX261,IF(LEFT(Cockpit!$C$5,1)="B",AH261,MAX(AH261,G261))))</f>
        <v>80</v>
      </c>
      <c r="AE261" s="57" t="n">
        <f aca="false">IF(BR261=1,0,ROUNDUP(AD261/BQ261,0))</f>
        <v>1</v>
      </c>
      <c r="AF261" s="59" t="n">
        <f aca="false">IF(CD261&gt;0,CD261*MAX(1,AD261/V261),IF(BR261=1,IF(AD261&lt;=0,0,BS261*MAX(1,IF(G261&gt;0,AD261/G261,1))),IF(Q261&gt;0,AE261/Q261,0))/MAX(0.1,N(Parameter!$M$21)))</f>
        <v>0.0384615384615385</v>
      </c>
      <c r="AG261" s="57" t="n">
        <f aca="false">AD261*F261</f>
        <v>423.2</v>
      </c>
      <c r="AH261" s="57" t="n">
        <f aca="false">ROUNDUP(MAX(I261/IF(BV261&gt;0,BV261,MAX(0.1,N(Cockpit!$C$6))),BY261)/BQ261,0)*BQ261</f>
        <v>300</v>
      </c>
      <c r="AI261" s="58" t="n">
        <f aca="false">IF(AF261&gt;0,I261/AF261,-1)</f>
        <v>5148</v>
      </c>
      <c r="AJ261" s="58" t="n">
        <f aca="false">IF(AND(OR(BU261="L1",BU261="L23"),AF261&gt;0),SUMIFS($AF$7:$AF$1576,$BU$7:$BU$1576,BU261,$AI$7:$AI$1576,"&gt;"&amp;AI261)+SUMIFS($AF$7:$AF$1576,$BU$7:$BU$1576,BU261,$AI$7:$AI$1576,AI261,$BO$7:$BO$1576,"&lt;="&amp;BO261),"")</f>
        <v>3.73007972703625</v>
      </c>
      <c r="AK261" s="65" t="n">
        <f aca="false">IF(AJ261="",0,MAX(0,MIN(1,(IF(BU261="L1",Parameter!$E$5,Parameter!$E$6+Parameter!$E$7)-(AJ261-AF261))/AF261)))</f>
        <v>1</v>
      </c>
      <c r="AL261" s="57" t="n">
        <f aca="false">IF(LEFT(Cockpit!$I$5,1)="A",G261,IF(BW261=1,BX261,IF(LEFT(Cockpit!$I$5,1)="B",AP261,MAX(AP261,G261))))</f>
        <v>300</v>
      </c>
      <c r="AM261" s="57" t="n">
        <f aca="false">IF(BR261=1,0,ROUNDUP(AL261/BQ261,0))</f>
        <v>2</v>
      </c>
      <c r="AN261" s="59" t="n">
        <f aca="false">IF(CD261&gt;0,CD261*MAX(1,AL261/V261),IF(BR261=1,IF(AL261&lt;=0,0,BS261*MAX(1,IF(G261&gt;0,AL261/G261,1))),IF(Q261&gt;0,AM261/Q261,0))/MAX(0.1,N(Parameter!$M$21)))</f>
        <v>0.0769230769230769</v>
      </c>
      <c r="AO261" s="57" t="n">
        <f aca="false">AL261*F261</f>
        <v>1587</v>
      </c>
      <c r="AP261" s="57" t="n">
        <f aca="false">ROUNDUP(MAX(I261/IF(BV261&gt;0,BV261,MAX(0.1,N(Cockpit!$I$6))),BY261)/BQ261,0)*BQ261</f>
        <v>300</v>
      </c>
      <c r="AQ261" s="58" t="n">
        <f aca="false">IF(AN261&gt;0,I261/AN261,-1)</f>
        <v>2574</v>
      </c>
      <c r="AR261" s="58" t="n">
        <f aca="false">IF(AND(OR(BU261="L1",BU261="L23"),AN261&gt;0),SUMIFS($AN$7:$AN$1576,$BU$7:$BU$1576,BU261,$AQ$7:$AQ$1576,"&gt;"&amp;AQ261)+SUMIFS($AN$7:$AN$1576,$BU$7:$BU$1576,BU261,$AQ$7:$AQ$1576,AQ261,$BO$7:$BO$1576,"&lt;="&amp;BO261),"")</f>
        <v>15.1012053288252</v>
      </c>
      <c r="AS261" s="65" t="n">
        <f aca="false">IF(AR261="",0,MAX(0,MIN(1,(IF(BU261="L1",Parameter!$E$5,Parameter!$E$6+Parameter!$E$7)-(AR261-AN261))/AN261)))</f>
        <v>1</v>
      </c>
      <c r="AT261" s="57" t="n">
        <f aca="false">IF(LEFT(Cockpit!$O$5,1)="A",G261,IF(BW261=1,BX261,IF(LEFT(Cockpit!$O$5,1)="B",AX261,MAX(AX261,G261))))</f>
        <v>300</v>
      </c>
      <c r="AU261" s="57" t="n">
        <f aca="false">IF(BR261=1,0,ROUNDUP(AT261/BQ261,0))</f>
        <v>2</v>
      </c>
      <c r="AV261" s="59" t="n">
        <f aca="false">IF(CD261&gt;0,CD261*MAX(1,AT261/V261),IF(BR261=1,IF(AT261&lt;=0,0,BS261*MAX(1,IF(G261&gt;0,AT261/G261,1))),IF(Q261&gt;0,AU261/Q261,0))/MAX(0.1,N(Parameter!$M$21)))</f>
        <v>0.0769230769230769</v>
      </c>
      <c r="AW261" s="57" t="n">
        <f aca="false">AT261*F261</f>
        <v>1587</v>
      </c>
      <c r="AX261" s="57" t="n">
        <f aca="false">ROUNDUP(MAX(I261/IF(BV261&gt;0,BV261,MAX(0.1,N(Cockpit!$O$6))),BY261)/BQ261,0)*BQ261</f>
        <v>300</v>
      </c>
      <c r="AY261" s="58" t="n">
        <f aca="false">IF(AV261&gt;0,I261/AV261,-1)</f>
        <v>2574</v>
      </c>
      <c r="AZ261" s="58" t="n">
        <f aca="false">IF(AND(OR(BU261="L1",BU261="L23"),AV261&gt;0),SUMIFS($AV$7:$AV$1576,$BU$7:$BU$1576,BU261,$AY$7:$AY$1576,"&gt;"&amp;AY261)+SUMIFS($AV$7:$AV$1576,$BU$7:$BU$1576,BU261,$AY$7:$AY$1576,AY261,$BO$7:$BO$1576,"&lt;="&amp;BO261),"")</f>
        <v>13.905401133021</v>
      </c>
      <c r="BA261" s="65" t="n">
        <f aca="false">IF(AZ261="",0,MAX(0,MIN(1,(IF(BU261="L1",Parameter!$E$5,Parameter!$E$6+Parameter!$E$7)-(AZ261-AV261))/AV261)))</f>
        <v>1</v>
      </c>
      <c r="BB261" s="55" t="str">
        <f aca="false">IF(AF261&lt;=0,"",IF(BU261="Aussen","Aussenlager",IF(BU261="-","Nicht im Lift",IF(AK261&gt;=1,"Lift",IF(AK261&lt;=0,"Aussenlager","teilweise")))))</f>
        <v>Lift</v>
      </c>
      <c r="BC261" s="55" t="str">
        <f aca="false">IF(AN261&lt;=0,"",IF(BU261="Aussen","Aussenlager",IF(BU261="-","Nicht im Lift",IF(AS261&gt;=1,"Lift",IF(AS261&lt;=0,"Aussenlager","teilweise")))))</f>
        <v>Lift</v>
      </c>
      <c r="BD261" s="55" t="str">
        <f aca="false">IF(AV261&lt;=0,"",IF(BU261="Aussen","Aussenlager",IF(BU261="-","Nicht im Lift",IF(BA261&gt;=1,"Lift",IF(BA261&lt;=0,"Aussenlager","teilweise")))))</f>
        <v>Lift</v>
      </c>
      <c r="BE261" s="55" t="str">
        <f aca="false">IF(A261="","",IF(BN261=1,"Neu; ","")&amp;IF(AND(BN261=0,BI261&lt;0),"negativer Bestand (Export "&amp;BI261&amp;"); ","")&amp;IF(I261&lt;=0,"Kein Verbrauch; ","")&amp;IF(CD261&gt;0,"Lift "&amp;U261&amp;" lt. Liftbericht (Fach "&amp;V261&amp;" Stk); ",IF(BR261=1,"Lose – Fläche geschätzt; ",""))&amp;IF(G261&gt;AP261,"Überbestand "&amp;ROUND(G261-AP261,0)&amp;" Stk / CHF "&amp;ROUND((G261-AP261)*F261,0)&amp;"; ","")&amp;IF(AND(BW261=1,BX261&lt;BY261),"MAX &lt; MB+LG; ","")&amp;IF(AND(CC261&gt;0,CB261*10&gt;CC261),"zu hoch für Tablar; ","")&amp;IF(AND(BN261=0,OR(BW261=1,Y261&lt;&gt;"",S261&lt;&gt;"",T261&lt;&gt;"",Z261&lt;&gt;"")),"manuell übersteuert; ","")&amp;IF(AND(BR261=0,Q261=0),"Gebinde unbekannt / Stellmass fehlt; ","")&amp;IF(AND(BR261=0,N(T261)&lt;=0,N(P261)&lt;=0),"Menge pro Gebinde fehlt (Ist = 1 Gebinde); ","")&amp;BM261)</f>
        <v/>
      </c>
      <c r="BF261" s="55"/>
      <c r="BG261" s="55"/>
      <c r="BH261" s="62"/>
      <c r="BI261" s="57" t="n">
        <v>80</v>
      </c>
      <c r="BJ261" s="57" t="n">
        <v>108</v>
      </c>
      <c r="BK261" s="56" t="n">
        <v>448.04</v>
      </c>
      <c r="BL261" s="57" t="n">
        <v>198</v>
      </c>
      <c r="BM261" s="55"/>
      <c r="BN261" s="60" t="n">
        <v>0</v>
      </c>
      <c r="BO261" s="60" t="n">
        <v>261</v>
      </c>
      <c r="BP261" s="55" t="str">
        <f aca="false">IF(S261&lt;&gt;"",UPPER(TRIM(S261)),IF(O261="","LOSE",O261))</f>
        <v>S51</v>
      </c>
      <c r="BQ261" s="57" t="n">
        <f aca="false">IF(BP261="LOSE",1,IF(N(T261)&gt;0,T261,IF(N(P261)&gt;0,P261,MAX(1,G261))))</f>
        <v>150</v>
      </c>
      <c r="BR261" s="60" t="n">
        <f aca="false">IF(BP261="LOSE",1,0)</f>
        <v>0</v>
      </c>
      <c r="BS261" s="59" t="n">
        <f aca="false">IF(BR261=0,0,IF(N(R261)&gt;0,R261,IFERROR(VLOOKUP(D261,Parameter!$A$35:$C$64,3,0)+0,0)))</f>
        <v>0</v>
      </c>
      <c r="BT261" s="55" t="n">
        <f aca="false">IF(Y261&lt;&gt;"",Y261,X261)</f>
        <v>3</v>
      </c>
      <c r="BU261" s="55" t="str">
        <f aca="false">IF(BT261=1,"L1",IF(OR(BT261=2,BT261=3),"L23",IF(BT261="Aussen","Aussen","-")))</f>
        <v>L23</v>
      </c>
      <c r="BV261" s="66" t="n">
        <f aca="false">IF(N(Z261)&gt;0,Z261,0)</f>
        <v>0</v>
      </c>
      <c r="BW261" s="60" t="n">
        <f aca="false">IF(ISNUMBER(AC261),1,0)</f>
        <v>0</v>
      </c>
      <c r="BX261" s="57" t="n">
        <f aca="false">N(AC261)</f>
        <v>0</v>
      </c>
      <c r="BY261" s="57" t="n">
        <f aca="false">N(L261)+N(M261)</f>
        <v>207</v>
      </c>
      <c r="BZ261" s="57" t="n">
        <f aca="false">ROUNDUP(G261/BQ261,0)</f>
        <v>1</v>
      </c>
      <c r="CA261" s="57" t="n">
        <f aca="false">ROUNDUP(BX261/BQ261,0)</f>
        <v>0</v>
      </c>
      <c r="CB261" s="60" t="n">
        <f aca="false">IF(BR261=1,0,IFERROR(VLOOKUP(BP261,'Gebinde-Kategorie'!$A$5:$M$45,5,0)+0,0))</f>
        <v>11</v>
      </c>
      <c r="CC261" s="60" t="n">
        <f aca="false">IFERROR(IF(OR(BT261=1,BT261=2,BT261=3),N(INDEX(Parameter!$I$5:$I$7,BT261)),0),0)</f>
        <v>0</v>
      </c>
      <c r="CD261" s="59" t="n">
        <f aca="false">IF(AND(Parameter!$B$21="Ja",ISNUMBER(U261),N(V261)&gt;0),IFERROR(N(INDEX(Parameter!$L$5:$L$7,U261))*INDEX(Parameter!$E$5:$E$7,U261)*V261/SUMIFS($V$7:$V$1576,$U$7:$U$1576,U261),0),0)</f>
        <v>0</v>
      </c>
    </row>
    <row r="262" customFormat="false" ht="15" hidden="false" customHeight="false" outlineLevel="0" collapsed="false">
      <c r="A262" s="55" t="s">
        <v>695</v>
      </c>
      <c r="B262" s="55" t="s">
        <v>221</v>
      </c>
      <c r="C262" s="55" t="s">
        <v>160</v>
      </c>
      <c r="D262" s="55" t="s">
        <v>168</v>
      </c>
      <c r="E262" s="55" t="s">
        <v>210</v>
      </c>
      <c r="F262" s="56" t="n">
        <v>146.96</v>
      </c>
      <c r="G262" s="57" t="n">
        <f aca="false">MAX(0,IF(AND(Parameter!$B$21="Ja",ISNUMBER(W262)),W262,IF(Parameter!$B$20="Jahresanfang 2025 + Export",BJ262+BI262,BI262)))</f>
        <v>3</v>
      </c>
      <c r="H262" s="57" t="n">
        <f aca="false">G262*F262</f>
        <v>440.88</v>
      </c>
      <c r="I262" s="57" t="n">
        <f aca="false">BL262*Parameter!$B$18</f>
        <v>11</v>
      </c>
      <c r="J262" s="58" t="n">
        <v>2.5</v>
      </c>
      <c r="K262" s="59" t="n">
        <v>4.4</v>
      </c>
      <c r="L262" s="57" t="n">
        <v>0</v>
      </c>
      <c r="M262" s="57" t="n">
        <v>10</v>
      </c>
      <c r="N262" s="60" t="n">
        <v>14</v>
      </c>
      <c r="O262" s="55" t="s">
        <v>163</v>
      </c>
      <c r="P262" s="57"/>
      <c r="Q262" s="60" t="n">
        <f aca="false">IF(BR262=1,0,IFERROR(VLOOKUP(BP262,'Gebinde-Kategorie'!$A$5:$M$45,13,0)+0,0))</f>
        <v>0</v>
      </c>
      <c r="R262" s="61"/>
      <c r="S262" s="62"/>
      <c r="T262" s="62"/>
      <c r="U262" s="55"/>
      <c r="V262" s="57"/>
      <c r="W262" s="57"/>
      <c r="X262" s="55" t="n">
        <f aca="false">IF(A262="","",IF(AND(Parameter!$B$21="Ja",ISNUMBER(U262)),U262,IF(IFERROR(VLOOKUP(D262,Parameter!$A$35:$C$64,2,0),"Nein")="2+3",IF(ISNUMBER(SEARCH("grosser Artikel",BM262)),2,IFERROR(VLOOKUP(BP262,Parameter!$F$35:$G$64,2,0),2)),IF(OR(IFERROR(VLOOKUP(D262,Parameter!$A$35:$C$64,2,0),"Nein")="Nein",IFERROR(VLOOKUP(D262,Parameter!$A$35:$C$64,2,0),"Nein")=""),"-",VLOOKUP(D262,Parameter!$A$35:$C$64,2,0)))))</f>
        <v>2</v>
      </c>
      <c r="Y262" s="62"/>
      <c r="Z262" s="63"/>
      <c r="AA262" s="57" t="n">
        <f aca="false">AP262</f>
        <v>10</v>
      </c>
      <c r="AB262" s="57" t="n">
        <f aca="false">MAX(AP262,G262)</f>
        <v>10</v>
      </c>
      <c r="AC262" s="64"/>
      <c r="AD262" s="57" t="n">
        <f aca="false">IF(LEFT(Cockpit!$C$5,1)="A",G262,IF(BW262=1,BX262,IF(LEFT(Cockpit!$C$5,1)="B",AH262,MAX(AH262,G262))))</f>
        <v>3</v>
      </c>
      <c r="AE262" s="57" t="n">
        <f aca="false">IF(BR262=1,0,ROUNDUP(AD262/BQ262,0))</f>
        <v>0</v>
      </c>
      <c r="AF262" s="59" t="n">
        <f aca="false">IF(CD262&gt;0,CD262*MAX(1,AD262/V262),IF(BR262=1,IF(AD262&lt;=0,0,BS262*MAX(1,IF(G262&gt;0,AD262/G262,1))),IF(Q262&gt;0,AE262/Q262,0))/MAX(0.1,N(Parameter!$M$21)))</f>
        <v>0.15</v>
      </c>
      <c r="AG262" s="57" t="n">
        <f aca="false">AD262*F262</f>
        <v>440.88</v>
      </c>
      <c r="AH262" s="57" t="n">
        <f aca="false">ROUNDUP(MAX(I262/IF(BV262&gt;0,BV262,MAX(0.1,N(Cockpit!$C$6))),BY262)/BQ262,0)*BQ262</f>
        <v>10</v>
      </c>
      <c r="AI262" s="58" t="n">
        <f aca="false">IF(AF262&gt;0,I262/AF262,-1)</f>
        <v>73.3333333333333</v>
      </c>
      <c r="AJ262" s="58" t="n">
        <f aca="false">IF(AND(OR(BU262="L1",BU262="L23"),AF262&gt;0),SUMIFS($AF$7:$AF$1576,$BU$7:$BU$1576,BU262,$AI$7:$AI$1576,"&gt;"&amp;AI262)+SUMIFS($AF$7:$AF$1576,$BU$7:$BU$1576,BU262,$AI$7:$AI$1576,AI262,$BO$7:$BO$1576,"&lt;="&amp;BO262),"")</f>
        <v>24.1845863315429</v>
      </c>
      <c r="AK262" s="65" t="n">
        <f aca="false">IF(AJ262="",0,MAX(0,MIN(1,(IF(BU262="L1",Parameter!$E$5,Parameter!$E$6+Parameter!$E$7)-(AJ262-AF262))/AF262)))</f>
        <v>1</v>
      </c>
      <c r="AL262" s="57" t="n">
        <f aca="false">IF(LEFT(Cockpit!$I$5,1)="A",G262,IF(BW262=1,BX262,IF(LEFT(Cockpit!$I$5,1)="B",AP262,MAX(AP262,G262))))</f>
        <v>10</v>
      </c>
      <c r="AM262" s="57" t="n">
        <f aca="false">IF(BR262=1,0,ROUNDUP(AL262/BQ262,0))</f>
        <v>0</v>
      </c>
      <c r="AN262" s="59" t="n">
        <f aca="false">IF(CD262&gt;0,CD262*MAX(1,AL262/V262),IF(BR262=1,IF(AL262&lt;=0,0,BS262*MAX(1,IF(G262&gt;0,AL262/G262,1))),IF(Q262&gt;0,AM262/Q262,0))/MAX(0.1,N(Parameter!$M$21)))</f>
        <v>0.5</v>
      </c>
      <c r="AO262" s="57" t="n">
        <f aca="false">AL262*F262</f>
        <v>1469.6</v>
      </c>
      <c r="AP262" s="57" t="n">
        <f aca="false">ROUNDUP(MAX(I262/IF(BV262&gt;0,BV262,MAX(0.1,N(Cockpit!$I$6))),BY262)/BQ262,0)*BQ262</f>
        <v>10</v>
      </c>
      <c r="AQ262" s="58" t="n">
        <f aca="false">IF(AN262&gt;0,I262/AN262,-1)</f>
        <v>22</v>
      </c>
      <c r="AR262" s="58" t="n">
        <f aca="false">IF(AND(OR(BU262="L1",BU262="L23"),AN262&gt;0),SUMIFS($AN$7:$AN$1576,$BU$7:$BU$1576,BU262,$AQ$7:$AQ$1576,"&gt;"&amp;AQ262)+SUMIFS($AN$7:$AN$1576,$BU$7:$BU$1576,BU262,$AQ$7:$AQ$1576,AQ262,$BO$7:$BO$1576,"&lt;="&amp;BO262),"")</f>
        <v>99.9629474092086</v>
      </c>
      <c r="AS262" s="65" t="n">
        <f aca="false">IF(AR262="",0,MAX(0,MIN(1,(IF(BU262="L1",Parameter!$E$5,Parameter!$E$6+Parameter!$E$7)-(AR262-AN262))/AN262)))</f>
        <v>1</v>
      </c>
      <c r="AT262" s="57" t="n">
        <f aca="false">IF(LEFT(Cockpit!$O$5,1)="A",G262,IF(BW262=1,BX262,IF(LEFT(Cockpit!$O$5,1)="B",AX262,MAX(AX262,G262))))</f>
        <v>10</v>
      </c>
      <c r="AU262" s="57" t="n">
        <f aca="false">IF(BR262=1,0,ROUNDUP(AT262/BQ262,0))</f>
        <v>0</v>
      </c>
      <c r="AV262" s="59" t="n">
        <f aca="false">IF(CD262&gt;0,CD262*MAX(1,AT262/V262),IF(BR262=1,IF(AT262&lt;=0,0,BS262*MAX(1,IF(G262&gt;0,AT262/G262,1))),IF(Q262&gt;0,AU262/Q262,0))/MAX(0.1,N(Parameter!$M$21)))</f>
        <v>0.5</v>
      </c>
      <c r="AW262" s="57" t="n">
        <f aca="false">AT262*F262</f>
        <v>1469.6</v>
      </c>
      <c r="AX262" s="57" t="n">
        <f aca="false">ROUNDUP(MAX(I262/IF(BV262&gt;0,BV262,MAX(0.1,N(Cockpit!$O$6))),BY262)/BQ262,0)*BQ262</f>
        <v>10</v>
      </c>
      <c r="AY262" s="58" t="n">
        <f aca="false">IF(AV262&gt;0,I262/AV262,-1)</f>
        <v>22</v>
      </c>
      <c r="AZ262" s="58" t="n">
        <f aca="false">IF(AND(OR(BU262="L1",BU262="L23"),AV262&gt;0),SUMIFS($AV$7:$AV$1576,$BU$7:$BU$1576,BU262,$AY$7:$AY$1576,"&gt;"&amp;AY262)+SUMIFS($AV$7:$AV$1576,$BU$7:$BU$1576,BU262,$AY$7:$AY$1576,AY262,$BO$7:$BO$1576,"&lt;="&amp;BO262),"")</f>
        <v>90.772497858759</v>
      </c>
      <c r="BA262" s="65" t="n">
        <f aca="false">IF(AZ262="",0,MAX(0,MIN(1,(IF(BU262="L1",Parameter!$E$5,Parameter!$E$6+Parameter!$E$7)-(AZ262-AV262))/AV262)))</f>
        <v>1</v>
      </c>
      <c r="BB262" s="55" t="str">
        <f aca="false">IF(AF262&lt;=0,"",IF(BU262="Aussen","Aussenlager",IF(BU262="-","Nicht im Lift",IF(AK262&gt;=1,"Lift",IF(AK262&lt;=0,"Aussenlager","teilweise")))))</f>
        <v>Lift</v>
      </c>
      <c r="BC262" s="55" t="str">
        <f aca="false">IF(AN262&lt;=0,"",IF(BU262="Aussen","Aussenlager",IF(BU262="-","Nicht im Lift",IF(AS262&gt;=1,"Lift",IF(AS262&lt;=0,"Aussenlager","teilweise")))))</f>
        <v>Lift</v>
      </c>
      <c r="BD262" s="55" t="str">
        <f aca="false">IF(AV262&lt;=0,"",IF(BU262="Aussen","Aussenlager",IF(BU262="-","Nicht im Lift",IF(BA262&gt;=1,"Lift",IF(BA262&lt;=0,"Aussenlager","teilweise")))))</f>
        <v>Lift</v>
      </c>
      <c r="BE262" s="55" t="str">
        <f aca="false">IF(A262="","",IF(BN262=1,"Neu; ","")&amp;IF(AND(BN262=0,BI262&lt;0),"negativer Bestand (Export "&amp;BI262&amp;"); ","")&amp;IF(I262&lt;=0,"Kein Verbrauch; ","")&amp;IF(CD262&gt;0,"Lift "&amp;U262&amp;" lt. Liftbericht (Fach "&amp;V262&amp;" Stk); ",IF(BR262=1,"Lose – Fläche geschätzt; ",""))&amp;IF(G262&gt;AP262,"Überbestand "&amp;ROUND(G262-AP262,0)&amp;" Stk / CHF "&amp;ROUND((G262-AP262)*F262,0)&amp;"; ","")&amp;IF(AND(BW262=1,BX262&lt;BY262),"MAX &lt; MB+LG; ","")&amp;IF(AND(CC262&gt;0,CB262*10&gt;CC262),"zu hoch für Tablar; ","")&amp;IF(AND(BN262=0,OR(BW262=1,Y262&lt;&gt;"",S262&lt;&gt;"",T262&lt;&gt;"",Z262&lt;&gt;"")),"manuell übersteuert; ","")&amp;IF(AND(BR262=0,Q262=0),"Gebinde unbekannt / Stellmass fehlt; ","")&amp;IF(AND(BR262=0,N(T262)&lt;=0,N(P262)&lt;=0),"Menge pro Gebinde fehlt (Ist = 1 Gebinde); ","")&amp;BM262)</f>
        <v>Lose – Fläche geschätzt; </v>
      </c>
      <c r="BF262" s="55"/>
      <c r="BG262" s="55"/>
      <c r="BH262" s="62"/>
      <c r="BI262" s="57" t="n">
        <v>3</v>
      </c>
      <c r="BJ262" s="57" t="n">
        <v>0</v>
      </c>
      <c r="BK262" s="56" t="n">
        <v>440.88</v>
      </c>
      <c r="BL262" s="57" t="n">
        <v>11</v>
      </c>
      <c r="BM262" s="55"/>
      <c r="BN262" s="60" t="n">
        <v>0</v>
      </c>
      <c r="BO262" s="60" t="n">
        <v>262</v>
      </c>
      <c r="BP262" s="55" t="str">
        <f aca="false">IF(S262&lt;&gt;"",UPPER(TRIM(S262)),IF(O262="","LOSE",O262))</f>
        <v>LOSE</v>
      </c>
      <c r="BQ262" s="57" t="n">
        <f aca="false">IF(BP262="LOSE",1,IF(N(T262)&gt;0,T262,IF(N(P262)&gt;0,P262,MAX(1,G262))))</f>
        <v>1</v>
      </c>
      <c r="BR262" s="60" t="n">
        <f aca="false">IF(BP262="LOSE",1,0)</f>
        <v>1</v>
      </c>
      <c r="BS262" s="59" t="n">
        <f aca="false">IF(BR262=0,0,IF(N(R262)&gt;0,R262,IFERROR(VLOOKUP(D262,Parameter!$A$35:$C$64,3,0)+0,0)))</f>
        <v>0.15</v>
      </c>
      <c r="BT262" s="55" t="n">
        <f aca="false">IF(Y262&lt;&gt;"",Y262,X262)</f>
        <v>2</v>
      </c>
      <c r="BU262" s="55" t="str">
        <f aca="false">IF(BT262=1,"L1",IF(OR(BT262=2,BT262=3),"L23",IF(BT262="Aussen","Aussen","-")))</f>
        <v>L23</v>
      </c>
      <c r="BV262" s="66" t="n">
        <f aca="false">IF(N(Z262)&gt;0,Z262,0)</f>
        <v>0</v>
      </c>
      <c r="BW262" s="60" t="n">
        <f aca="false">IF(ISNUMBER(AC262),1,0)</f>
        <v>0</v>
      </c>
      <c r="BX262" s="57" t="n">
        <f aca="false">N(AC262)</f>
        <v>0</v>
      </c>
      <c r="BY262" s="57" t="n">
        <f aca="false">N(L262)+N(M262)</f>
        <v>10</v>
      </c>
      <c r="BZ262" s="57" t="n">
        <f aca="false">ROUNDUP(G262/BQ262,0)</f>
        <v>3</v>
      </c>
      <c r="CA262" s="57" t="n">
        <f aca="false">ROUNDUP(BX262/BQ262,0)</f>
        <v>0</v>
      </c>
      <c r="CB262" s="60" t="n">
        <f aca="false">IF(BR262=1,0,IFERROR(VLOOKUP(BP262,'Gebinde-Kategorie'!$A$5:$M$45,5,0)+0,0))</f>
        <v>0</v>
      </c>
      <c r="CC262" s="60" t="n">
        <f aca="false">IFERROR(IF(OR(BT262=1,BT262=2,BT262=3),N(INDEX(Parameter!$I$5:$I$7,BT262)),0),0)</f>
        <v>0</v>
      </c>
      <c r="CD262" s="59" t="n">
        <f aca="false">IF(AND(Parameter!$B$21="Ja",ISNUMBER(U262),N(V262)&gt;0),IFERROR(N(INDEX(Parameter!$L$5:$L$7,U262))*INDEX(Parameter!$E$5:$E$7,U262)*V262/SUMIFS($V$7:$V$1576,$U$7:$U$1576,U262),0),0)</f>
        <v>0</v>
      </c>
    </row>
    <row r="263" customFormat="false" ht="15" hidden="false" customHeight="false" outlineLevel="0" collapsed="false">
      <c r="A263" s="55" t="s">
        <v>696</v>
      </c>
      <c r="B263" s="55" t="s">
        <v>697</v>
      </c>
      <c r="C263" s="55" t="s">
        <v>160</v>
      </c>
      <c r="D263" s="55" t="s">
        <v>178</v>
      </c>
      <c r="E263" s="55" t="s">
        <v>210</v>
      </c>
      <c r="F263" s="56" t="n">
        <v>17.59</v>
      </c>
      <c r="G263" s="57" t="n">
        <f aca="false">MAX(0,IF(AND(Parameter!$B$21="Ja",ISNUMBER(W263)),W263,IF(Parameter!$B$20="Jahresanfang 2025 + Export",BJ263+BI263,BI263)))</f>
        <v>25</v>
      </c>
      <c r="H263" s="57" t="n">
        <f aca="false">G263*F263</f>
        <v>439.75</v>
      </c>
      <c r="I263" s="57" t="n">
        <f aca="false">BL263*Parameter!$B$18</f>
        <v>0</v>
      </c>
      <c r="J263" s="58" t="n">
        <v>0</v>
      </c>
      <c r="K263" s="59" t="n">
        <v>0</v>
      </c>
      <c r="L263" s="57" t="n">
        <v>0</v>
      </c>
      <c r="M263" s="57" t="n">
        <v>5</v>
      </c>
      <c r="N263" s="60" t="n">
        <v>9999</v>
      </c>
      <c r="O263" s="55" t="s">
        <v>163</v>
      </c>
      <c r="P263" s="57"/>
      <c r="Q263" s="60" t="n">
        <f aca="false">IF(BR263=1,0,IFERROR(VLOOKUP(BP263,'Gebinde-Kategorie'!$A$5:$M$45,13,0)+0,0))</f>
        <v>0</v>
      </c>
      <c r="R263" s="61"/>
      <c r="S263" s="62"/>
      <c r="T263" s="62"/>
      <c r="U263" s="55"/>
      <c r="V263" s="57"/>
      <c r="W263" s="57"/>
      <c r="X263" s="55" t="n">
        <f aca="false">IF(A263="","",IF(AND(Parameter!$B$21="Ja",ISNUMBER(U263)),U263,IF(IFERROR(VLOOKUP(D263,Parameter!$A$35:$C$64,2,0),"Nein")="2+3",IF(ISNUMBER(SEARCH("grosser Artikel",BM263)),2,IFERROR(VLOOKUP(BP263,Parameter!$F$35:$G$64,2,0),2)),IF(OR(IFERROR(VLOOKUP(D263,Parameter!$A$35:$C$64,2,0),"Nein")="Nein",IFERROR(VLOOKUP(D263,Parameter!$A$35:$C$64,2,0),"Nein")=""),"-",VLOOKUP(D263,Parameter!$A$35:$C$64,2,0)))))</f>
        <v>2</v>
      </c>
      <c r="Y263" s="62"/>
      <c r="Z263" s="63"/>
      <c r="AA263" s="57" t="n">
        <f aca="false">AP263</f>
        <v>5</v>
      </c>
      <c r="AB263" s="57" t="n">
        <f aca="false">MAX(AP263,G263)</f>
        <v>25</v>
      </c>
      <c r="AC263" s="64"/>
      <c r="AD263" s="57" t="n">
        <f aca="false">IF(LEFT(Cockpit!$C$5,1)="A",G263,IF(BW263=1,BX263,IF(LEFT(Cockpit!$C$5,1)="B",AH263,MAX(AH263,G263))))</f>
        <v>25</v>
      </c>
      <c r="AE263" s="57" t="n">
        <f aca="false">IF(BR263=1,0,ROUNDUP(AD263/BQ263,0))</f>
        <v>0</v>
      </c>
      <c r="AF263" s="59" t="n">
        <f aca="false">IF(CD263&gt;0,CD263*MAX(1,AD263/V263),IF(BR263=1,IF(AD263&lt;=0,0,BS263*MAX(1,IF(G263&gt;0,AD263/G263,1))),IF(Q263&gt;0,AE263/Q263,0))/MAX(0.1,N(Parameter!$M$21)))</f>
        <v>0.03</v>
      </c>
      <c r="AG263" s="57" t="n">
        <f aca="false">AD263*F263</f>
        <v>439.75</v>
      </c>
      <c r="AH263" s="57" t="n">
        <f aca="false">ROUNDUP(MAX(I263/IF(BV263&gt;0,BV263,MAX(0.1,N(Cockpit!$C$6))),BY263)/BQ263,0)*BQ263</f>
        <v>5</v>
      </c>
      <c r="AI263" s="58" t="n">
        <f aca="false">IF(AF263&gt;0,I263/AF263,-1)</f>
        <v>0</v>
      </c>
      <c r="AJ263" s="58" t="n">
        <f aca="false">IF(AND(OR(BU263="L1",BU263="L23"),AF263&gt;0),SUMIFS($AF$7:$AF$1576,$BU$7:$BU$1576,BU263,$AI$7:$AI$1576,"&gt;"&amp;AI263)+SUMIFS($AF$7:$AF$1576,$BU$7:$BU$1576,BU263,$AI$7:$AI$1576,AI263,$BO$7:$BO$1576,"&lt;="&amp;BO263),"")</f>
        <v>40.3047728117293</v>
      </c>
      <c r="AK263" s="65" t="n">
        <f aca="false">IF(AJ263="",0,MAX(0,MIN(1,(IF(BU263="L1",Parameter!$E$5,Parameter!$E$6+Parameter!$E$7)-(AJ263-AF263))/AF263)))</f>
        <v>1</v>
      </c>
      <c r="AL263" s="57" t="n">
        <f aca="false">IF(LEFT(Cockpit!$I$5,1)="A",G263,IF(BW263=1,BX263,IF(LEFT(Cockpit!$I$5,1)="B",AP263,MAX(AP263,G263))))</f>
        <v>25</v>
      </c>
      <c r="AM263" s="57" t="n">
        <f aca="false">IF(BR263=1,0,ROUNDUP(AL263/BQ263,0))</f>
        <v>0</v>
      </c>
      <c r="AN263" s="59" t="n">
        <f aca="false">IF(CD263&gt;0,CD263*MAX(1,AL263/V263),IF(BR263=1,IF(AL263&lt;=0,0,BS263*MAX(1,IF(G263&gt;0,AL263/G263,1))),IF(Q263&gt;0,AM263/Q263,0))/MAX(0.1,N(Parameter!$M$21)))</f>
        <v>0.03</v>
      </c>
      <c r="AO263" s="57" t="n">
        <f aca="false">AL263*F263</f>
        <v>439.75</v>
      </c>
      <c r="AP263" s="57" t="n">
        <f aca="false">ROUNDUP(MAX(I263/IF(BV263&gt;0,BV263,MAX(0.1,N(Cockpit!$I$6))),BY263)/BQ263,0)*BQ263</f>
        <v>5</v>
      </c>
      <c r="AQ263" s="58" t="n">
        <f aca="false">IF(AN263&gt;0,I263/AN263,-1)</f>
        <v>0</v>
      </c>
      <c r="AR263" s="58" t="n">
        <f aca="false">IF(AND(OR(BU263="L1",BU263="L23"),AN263&gt;0),SUMIFS($AN$7:$AN$1576,$BU$7:$BU$1576,BU263,$AQ$7:$AQ$1576,"&gt;"&amp;AQ263)+SUMIFS($AN$7:$AN$1576,$BU$7:$BU$1576,BU263,$AQ$7:$AQ$1576,AQ263,$BO$7:$BO$1576,"&lt;="&amp;BO263),"")</f>
        <v>123.178978561519</v>
      </c>
      <c r="AS263" s="65" t="n">
        <f aca="false">IF(AR263="",0,MAX(0,MIN(1,(IF(BU263="L1",Parameter!$E$5,Parameter!$E$6+Parameter!$E$7)-(AR263-AN263))/AN263)))</f>
        <v>0</v>
      </c>
      <c r="AT263" s="57" t="n">
        <f aca="false">IF(LEFT(Cockpit!$O$5,1)="A",G263,IF(BW263=1,BX263,IF(LEFT(Cockpit!$O$5,1)="B",AX263,MAX(AX263,G263))))</f>
        <v>25</v>
      </c>
      <c r="AU263" s="57" t="n">
        <f aca="false">IF(BR263=1,0,ROUNDUP(AT263/BQ263,0))</f>
        <v>0</v>
      </c>
      <c r="AV263" s="59" t="n">
        <f aca="false">IF(CD263&gt;0,CD263*MAX(1,AT263/V263),IF(BR263=1,IF(AT263&lt;=0,0,BS263*MAX(1,IF(G263&gt;0,AT263/G263,1))),IF(Q263&gt;0,AU263/Q263,0))/MAX(0.1,N(Parameter!$M$21)))</f>
        <v>0.03</v>
      </c>
      <c r="AW263" s="57" t="n">
        <f aca="false">AT263*F263</f>
        <v>439.75</v>
      </c>
      <c r="AX263" s="57" t="n">
        <f aca="false">ROUNDUP(MAX(I263/IF(BV263&gt;0,BV263,MAX(0.1,N(Cockpit!$O$6))),BY263)/BQ263,0)*BQ263</f>
        <v>5</v>
      </c>
      <c r="AY263" s="58" t="n">
        <f aca="false">IF(AV263&gt;0,I263/AV263,-1)</f>
        <v>0</v>
      </c>
      <c r="AZ263" s="58" t="n">
        <f aca="false">IF(AND(OR(BU263="L1",BU263="L23"),AV263&gt;0),SUMIFS($AV$7:$AV$1576,$BU$7:$BU$1576,BU263,$AY$7:$AY$1576,"&gt;"&amp;AY263)+SUMIFS($AV$7:$AV$1576,$BU$7:$BU$1576,BU263,$AY$7:$AY$1576,AY263,$BO$7:$BO$1576,"&lt;="&amp;BO263),"")</f>
        <v>113.238529011069</v>
      </c>
      <c r="BA263" s="65" t="n">
        <f aca="false">IF(AZ263="",0,MAX(0,MIN(1,(IF(BU263="L1",Parameter!$E$5,Parameter!$E$6+Parameter!$E$7)-(AZ263-AV263))/AV263)))</f>
        <v>0</v>
      </c>
      <c r="BB263" s="55" t="str">
        <f aca="false">IF(AF263&lt;=0,"",IF(BU263="Aussen","Aussenlager",IF(BU263="-","Nicht im Lift",IF(AK263&gt;=1,"Lift",IF(AK263&lt;=0,"Aussenlager","teilweise")))))</f>
        <v>Lift</v>
      </c>
      <c r="BC263" s="55" t="str">
        <f aca="false">IF(AN263&lt;=0,"",IF(BU263="Aussen","Aussenlager",IF(BU263="-","Nicht im Lift",IF(AS263&gt;=1,"Lift",IF(AS263&lt;=0,"Aussenlager","teilweise")))))</f>
        <v>Aussenlager</v>
      </c>
      <c r="BD263" s="55" t="str">
        <f aca="false">IF(AV263&lt;=0,"",IF(BU263="Aussen","Aussenlager",IF(BU263="-","Nicht im Lift",IF(BA263&gt;=1,"Lift",IF(BA263&lt;=0,"Aussenlager","teilweise")))))</f>
        <v>Aussenlager</v>
      </c>
      <c r="BE263" s="55" t="str">
        <f aca="false">IF(A263="","",IF(BN263=1,"Neu; ","")&amp;IF(AND(BN263=0,BI263&lt;0),"negativer Bestand (Export "&amp;BI263&amp;"); ","")&amp;IF(I263&lt;=0,"Kein Verbrauch; ","")&amp;IF(CD263&gt;0,"Lift "&amp;U263&amp;" lt. Liftbericht (Fach "&amp;V263&amp;" Stk); ",IF(BR263=1,"Lose – Fläche geschätzt; ",""))&amp;IF(G263&gt;AP263,"Überbestand "&amp;ROUND(G263-AP263,0)&amp;" Stk / CHF "&amp;ROUND((G263-AP263)*F263,0)&amp;"; ","")&amp;IF(AND(BW263=1,BX263&lt;BY263),"MAX &lt; MB+LG; ","")&amp;IF(AND(CC263&gt;0,CB263*10&gt;CC263),"zu hoch für Tablar; ","")&amp;IF(AND(BN263=0,OR(BW263=1,Y263&lt;&gt;"",S263&lt;&gt;"",T263&lt;&gt;"",Z263&lt;&gt;"")),"manuell übersteuert; ","")&amp;IF(AND(BR263=0,Q263=0),"Gebinde unbekannt / Stellmass fehlt; ","")&amp;IF(AND(BR263=0,N(T263)&lt;=0,N(P263)&lt;=0),"Menge pro Gebinde fehlt (Ist = 1 Gebinde); ","")&amp;BM263)</f>
        <v>Kein Verbrauch; Lose – Fläche geschätzt; Überbestand 20 Stk / CHF 352; </v>
      </c>
      <c r="BF263" s="55"/>
      <c r="BG263" s="55"/>
      <c r="BH263" s="62"/>
      <c r="BI263" s="57" t="n">
        <v>25</v>
      </c>
      <c r="BJ263" s="57" t="n">
        <v>0</v>
      </c>
      <c r="BK263" s="56" t="n">
        <v>439.75</v>
      </c>
      <c r="BL263" s="57" t="n">
        <v>0</v>
      </c>
      <c r="BM263" s="55"/>
      <c r="BN263" s="60" t="n">
        <v>0</v>
      </c>
      <c r="BO263" s="60" t="n">
        <v>263</v>
      </c>
      <c r="BP263" s="55" t="str">
        <f aca="false">IF(S263&lt;&gt;"",UPPER(TRIM(S263)),IF(O263="","LOSE",O263))</f>
        <v>LOSE</v>
      </c>
      <c r="BQ263" s="57" t="n">
        <f aca="false">IF(BP263="LOSE",1,IF(N(T263)&gt;0,T263,IF(N(P263)&gt;0,P263,MAX(1,G263))))</f>
        <v>1</v>
      </c>
      <c r="BR263" s="60" t="n">
        <f aca="false">IF(BP263="LOSE",1,0)</f>
        <v>1</v>
      </c>
      <c r="BS263" s="59" t="n">
        <f aca="false">IF(BR263=0,0,IF(N(R263)&gt;0,R263,IFERROR(VLOOKUP(D263,Parameter!$A$35:$C$64,3,0)+0,0)))</f>
        <v>0.03</v>
      </c>
      <c r="BT263" s="55" t="n">
        <f aca="false">IF(Y263&lt;&gt;"",Y263,X263)</f>
        <v>2</v>
      </c>
      <c r="BU263" s="55" t="str">
        <f aca="false">IF(BT263=1,"L1",IF(OR(BT263=2,BT263=3),"L23",IF(BT263="Aussen","Aussen","-")))</f>
        <v>L23</v>
      </c>
      <c r="BV263" s="66" t="n">
        <f aca="false">IF(N(Z263)&gt;0,Z263,0)</f>
        <v>0</v>
      </c>
      <c r="BW263" s="60" t="n">
        <f aca="false">IF(ISNUMBER(AC263),1,0)</f>
        <v>0</v>
      </c>
      <c r="BX263" s="57" t="n">
        <f aca="false">N(AC263)</f>
        <v>0</v>
      </c>
      <c r="BY263" s="57" t="n">
        <f aca="false">N(L263)+N(M263)</f>
        <v>5</v>
      </c>
      <c r="BZ263" s="57" t="n">
        <f aca="false">ROUNDUP(G263/BQ263,0)</f>
        <v>25</v>
      </c>
      <c r="CA263" s="57" t="n">
        <f aca="false">ROUNDUP(BX263/BQ263,0)</f>
        <v>0</v>
      </c>
      <c r="CB263" s="60" t="n">
        <f aca="false">IF(BR263=1,0,IFERROR(VLOOKUP(BP263,'Gebinde-Kategorie'!$A$5:$M$45,5,0)+0,0))</f>
        <v>0</v>
      </c>
      <c r="CC263" s="60" t="n">
        <f aca="false">IFERROR(IF(OR(BT263=1,BT263=2,BT263=3),N(INDEX(Parameter!$I$5:$I$7,BT263)),0),0)</f>
        <v>0</v>
      </c>
      <c r="CD263" s="59" t="n">
        <f aca="false">IF(AND(Parameter!$B$21="Ja",ISNUMBER(U263),N(V263)&gt;0),IFERROR(N(INDEX(Parameter!$L$5:$L$7,U263))*INDEX(Parameter!$E$5:$E$7,U263)*V263/SUMIFS($V$7:$V$1576,$U$7:$U$1576,U263),0),0)</f>
        <v>0</v>
      </c>
    </row>
    <row r="264" customFormat="false" ht="15" hidden="false" customHeight="false" outlineLevel="0" collapsed="false">
      <c r="A264" s="55" t="s">
        <v>698</v>
      </c>
      <c r="B264" s="55" t="s">
        <v>457</v>
      </c>
      <c r="C264" s="55" t="s">
        <v>160</v>
      </c>
      <c r="D264" s="55" t="s">
        <v>178</v>
      </c>
      <c r="E264" s="55" t="s">
        <v>210</v>
      </c>
      <c r="F264" s="56" t="n">
        <v>6.92</v>
      </c>
      <c r="G264" s="57" t="n">
        <f aca="false">MAX(0,IF(AND(Parameter!$B$21="Ja",ISNUMBER(W264)),W264,IF(Parameter!$B$20="Jahresanfang 2025 + Export",BJ264+BI264,BI264)))</f>
        <v>64</v>
      </c>
      <c r="H264" s="57" t="n">
        <f aca="false">G264*F264</f>
        <v>442.88</v>
      </c>
      <c r="I264" s="57" t="n">
        <f aca="false">BL264*Parameter!$B$18</f>
        <v>150</v>
      </c>
      <c r="J264" s="58" t="n">
        <v>49.5</v>
      </c>
      <c r="K264" s="59" t="n">
        <v>3.03030303030303</v>
      </c>
      <c r="L264" s="57" t="n">
        <v>5</v>
      </c>
      <c r="M264" s="57" t="n">
        <v>150</v>
      </c>
      <c r="N264" s="60" t="n">
        <v>14</v>
      </c>
      <c r="O264" s="55" t="s">
        <v>293</v>
      </c>
      <c r="P264" s="57" t="n">
        <v>72</v>
      </c>
      <c r="Q264" s="60" t="n">
        <f aca="false">IF(BR264=1,0,IFERROR(VLOOKUP(BP264,'Gebinde-Kategorie'!$A$5:$M$45,13,0)+0,0))</f>
        <v>26</v>
      </c>
      <c r="R264" s="61"/>
      <c r="S264" s="62"/>
      <c r="T264" s="62"/>
      <c r="U264" s="55"/>
      <c r="V264" s="57"/>
      <c r="W264" s="57"/>
      <c r="X264" s="55" t="n">
        <f aca="false">IF(A264="","",IF(AND(Parameter!$B$21="Ja",ISNUMBER(U264)),U264,IF(IFERROR(VLOOKUP(D264,Parameter!$A$35:$C$64,2,0),"Nein")="2+3",IF(ISNUMBER(SEARCH("grosser Artikel",BM264)),2,IFERROR(VLOOKUP(BP264,Parameter!$F$35:$G$64,2,0),2)),IF(OR(IFERROR(VLOOKUP(D264,Parameter!$A$35:$C$64,2,0),"Nein")="Nein",IFERROR(VLOOKUP(D264,Parameter!$A$35:$C$64,2,0),"Nein")=""),"-",VLOOKUP(D264,Parameter!$A$35:$C$64,2,0)))))</f>
        <v>3</v>
      </c>
      <c r="Y264" s="62"/>
      <c r="Z264" s="63"/>
      <c r="AA264" s="57" t="n">
        <f aca="false">AP264</f>
        <v>216</v>
      </c>
      <c r="AB264" s="57" t="n">
        <f aca="false">MAX(AP264,G264)</f>
        <v>216</v>
      </c>
      <c r="AC264" s="64"/>
      <c r="AD264" s="57" t="n">
        <f aca="false">IF(LEFT(Cockpit!$C$5,1)="A",G264,IF(BW264=1,BX264,IF(LEFT(Cockpit!$C$5,1)="B",AH264,MAX(AH264,G264))))</f>
        <v>64</v>
      </c>
      <c r="AE264" s="57" t="n">
        <f aca="false">IF(BR264=1,0,ROUNDUP(AD264/BQ264,0))</f>
        <v>1</v>
      </c>
      <c r="AF264" s="59" t="n">
        <f aca="false">IF(CD264&gt;0,CD264*MAX(1,AD264/V264),IF(BR264=1,IF(AD264&lt;=0,0,BS264*MAX(1,IF(G264&gt;0,AD264/G264,1))),IF(Q264&gt;0,AE264/Q264,0))/MAX(0.1,N(Parameter!$M$21)))</f>
        <v>0.0384615384615385</v>
      </c>
      <c r="AG264" s="57" t="n">
        <f aca="false">AD264*F264</f>
        <v>442.88</v>
      </c>
      <c r="AH264" s="57" t="n">
        <f aca="false">ROUNDUP(MAX(I264/IF(BV264&gt;0,BV264,MAX(0.1,N(Cockpit!$C$6))),BY264)/BQ264,0)*BQ264</f>
        <v>216</v>
      </c>
      <c r="AI264" s="58" t="n">
        <f aca="false">IF(AF264&gt;0,I264/AF264,-1)</f>
        <v>3900</v>
      </c>
      <c r="AJ264" s="58" t="n">
        <f aca="false">IF(AND(OR(BU264="L1",BU264="L23"),AF264&gt;0),SUMIFS($AF$7:$AF$1576,$BU$7:$BU$1576,BU264,$AI$7:$AI$1576,"&gt;"&amp;AI264)+SUMIFS($AF$7:$AF$1576,$BU$7:$BU$1576,BU264,$AI$7:$AI$1576,AI264,$BO$7:$BO$1576,"&lt;="&amp;BO264),"")</f>
        <v>4.32223877571704</v>
      </c>
      <c r="AK264" s="65" t="n">
        <f aca="false">IF(AJ264="",0,MAX(0,MIN(1,(IF(BU264="L1",Parameter!$E$5,Parameter!$E$6+Parameter!$E$7)-(AJ264-AF264))/AF264)))</f>
        <v>1</v>
      </c>
      <c r="AL264" s="57" t="n">
        <f aca="false">IF(LEFT(Cockpit!$I$5,1)="A",G264,IF(BW264=1,BX264,IF(LEFT(Cockpit!$I$5,1)="B",AP264,MAX(AP264,G264))))</f>
        <v>216</v>
      </c>
      <c r="AM264" s="57" t="n">
        <f aca="false">IF(BR264=1,0,ROUNDUP(AL264/BQ264,0))</f>
        <v>3</v>
      </c>
      <c r="AN264" s="59" t="n">
        <f aca="false">IF(CD264&gt;0,CD264*MAX(1,AL264/V264),IF(BR264=1,IF(AL264&lt;=0,0,BS264*MAX(1,IF(G264&gt;0,AL264/G264,1))),IF(Q264&gt;0,AM264/Q264,0))/MAX(0.1,N(Parameter!$M$21)))</f>
        <v>0.115384615384615</v>
      </c>
      <c r="AO264" s="57" t="n">
        <f aca="false">AL264*F264</f>
        <v>1494.72</v>
      </c>
      <c r="AP264" s="57" t="n">
        <f aca="false">ROUNDUP(MAX(I264/IF(BV264&gt;0,BV264,MAX(0.1,N(Cockpit!$I$6))),BY264)/BQ264,0)*BQ264</f>
        <v>216</v>
      </c>
      <c r="AQ264" s="58" t="n">
        <f aca="false">IF(AN264&gt;0,I264/AN264,-1)</f>
        <v>1300</v>
      </c>
      <c r="AR264" s="58" t="n">
        <f aca="false">IF(AND(OR(BU264="L1",BU264="L23"),AN264&gt;0),SUMIFS($AN$7:$AN$1576,$BU$7:$BU$1576,BU264,$AQ$7:$AQ$1576,"&gt;"&amp;AQ264)+SUMIFS($AN$7:$AN$1576,$BU$7:$BU$1576,BU264,$AQ$7:$AQ$1576,AQ264,$BO$7:$BO$1576,"&lt;="&amp;BO264),"")</f>
        <v>20.3843859646145</v>
      </c>
      <c r="AS264" s="65" t="n">
        <f aca="false">IF(AR264="",0,MAX(0,MIN(1,(IF(BU264="L1",Parameter!$E$5,Parameter!$E$6+Parameter!$E$7)-(AR264-AN264))/AN264)))</f>
        <v>1</v>
      </c>
      <c r="AT264" s="57" t="n">
        <f aca="false">IF(LEFT(Cockpit!$O$5,1)="A",G264,IF(BW264=1,BX264,IF(LEFT(Cockpit!$O$5,1)="B",AX264,MAX(AX264,G264))))</f>
        <v>216</v>
      </c>
      <c r="AU264" s="57" t="n">
        <f aca="false">IF(BR264=1,0,ROUNDUP(AT264/BQ264,0))</f>
        <v>3</v>
      </c>
      <c r="AV264" s="59" t="n">
        <f aca="false">IF(CD264&gt;0,CD264*MAX(1,AT264/V264),IF(BR264=1,IF(AT264&lt;=0,0,BS264*MAX(1,IF(G264&gt;0,AT264/G264,1))),IF(Q264&gt;0,AU264/Q264,0))/MAX(0.1,N(Parameter!$M$21)))</f>
        <v>0.115384615384615</v>
      </c>
      <c r="AW264" s="57" t="n">
        <f aca="false">AT264*F264</f>
        <v>1494.72</v>
      </c>
      <c r="AX264" s="57" t="n">
        <f aca="false">ROUNDUP(MAX(I264/IF(BV264&gt;0,BV264,MAX(0.1,N(Cockpit!$O$6))),BY264)/BQ264,0)*BQ264</f>
        <v>216</v>
      </c>
      <c r="AY264" s="58" t="n">
        <f aca="false">IF(AV264&gt;0,I264/AV264,-1)</f>
        <v>1300</v>
      </c>
      <c r="AZ264" s="58" t="n">
        <f aca="false">IF(AND(OR(BU264="L1",BU264="L23"),AV264&gt;0),SUMIFS($AV$7:$AV$1576,$BU$7:$BU$1576,BU264,$AY$7:$AY$1576,"&gt;"&amp;AY264)+SUMIFS($AV$7:$AV$1576,$BU$7:$BU$1576,BU264,$AY$7:$AY$1576,AY264,$BO$7:$BO$1576,"&lt;="&amp;BO264),"")</f>
        <v>19.4449920252206</v>
      </c>
      <c r="BA264" s="65" t="n">
        <f aca="false">IF(AZ264="",0,MAX(0,MIN(1,(IF(BU264="L1",Parameter!$E$5,Parameter!$E$6+Parameter!$E$7)-(AZ264-AV264))/AV264)))</f>
        <v>1</v>
      </c>
      <c r="BB264" s="55" t="str">
        <f aca="false">IF(AF264&lt;=0,"",IF(BU264="Aussen","Aussenlager",IF(BU264="-","Nicht im Lift",IF(AK264&gt;=1,"Lift",IF(AK264&lt;=0,"Aussenlager","teilweise")))))</f>
        <v>Lift</v>
      </c>
      <c r="BC264" s="55" t="str">
        <f aca="false">IF(AN264&lt;=0,"",IF(BU264="Aussen","Aussenlager",IF(BU264="-","Nicht im Lift",IF(AS264&gt;=1,"Lift",IF(AS264&lt;=0,"Aussenlager","teilweise")))))</f>
        <v>Lift</v>
      </c>
      <c r="BD264" s="55" t="str">
        <f aca="false">IF(AV264&lt;=0,"",IF(BU264="Aussen","Aussenlager",IF(BU264="-","Nicht im Lift",IF(BA264&gt;=1,"Lift",IF(BA264&lt;=0,"Aussenlager","teilweise")))))</f>
        <v>Lift</v>
      </c>
      <c r="BE264" s="55" t="str">
        <f aca="false">IF(A264="","",IF(BN264=1,"Neu; ","")&amp;IF(AND(BN264=0,BI264&lt;0),"negativer Bestand (Export "&amp;BI264&amp;"); ","")&amp;IF(I264&lt;=0,"Kein Verbrauch; ","")&amp;IF(CD264&gt;0,"Lift "&amp;U264&amp;" lt. Liftbericht (Fach "&amp;V264&amp;" Stk); ",IF(BR264=1,"Lose – Fläche geschätzt; ",""))&amp;IF(G264&gt;AP264,"Überbestand "&amp;ROUND(G264-AP264,0)&amp;" Stk / CHF "&amp;ROUND((G264-AP264)*F264,0)&amp;"; ","")&amp;IF(AND(BW264=1,BX264&lt;BY264),"MAX &lt; MB+LG; ","")&amp;IF(AND(CC264&gt;0,CB264*10&gt;CC264),"zu hoch für Tablar; ","")&amp;IF(AND(BN264=0,OR(BW264=1,Y264&lt;&gt;"",S264&lt;&gt;"",T264&lt;&gt;"",Z264&lt;&gt;"")),"manuell übersteuert; ","")&amp;IF(AND(BR264=0,Q264=0),"Gebinde unbekannt / Stellmass fehlt; ","")&amp;IF(AND(BR264=0,N(T264)&lt;=0,N(P264)&lt;=0),"Menge pro Gebinde fehlt (Ist = 1 Gebinde); ","")&amp;BM264)</f>
        <v/>
      </c>
      <c r="BF264" s="55"/>
      <c r="BG264" s="55"/>
      <c r="BH264" s="62"/>
      <c r="BI264" s="57" t="n">
        <v>64</v>
      </c>
      <c r="BJ264" s="57" t="n">
        <v>36</v>
      </c>
      <c r="BK264" s="56" t="n">
        <v>439.69</v>
      </c>
      <c r="BL264" s="57" t="n">
        <v>150</v>
      </c>
      <c r="BM264" s="55"/>
      <c r="BN264" s="60" t="n">
        <v>0</v>
      </c>
      <c r="BO264" s="60" t="n">
        <v>264</v>
      </c>
      <c r="BP264" s="55" t="str">
        <f aca="false">IF(S264&lt;&gt;"",UPPER(TRIM(S264)),IF(O264="","LOSE",O264))</f>
        <v>S51</v>
      </c>
      <c r="BQ264" s="57" t="n">
        <f aca="false">IF(BP264="LOSE",1,IF(N(T264)&gt;0,T264,IF(N(P264)&gt;0,P264,MAX(1,G264))))</f>
        <v>72</v>
      </c>
      <c r="BR264" s="60" t="n">
        <f aca="false">IF(BP264="LOSE",1,0)</f>
        <v>0</v>
      </c>
      <c r="BS264" s="59" t="n">
        <f aca="false">IF(BR264=0,0,IF(N(R264)&gt;0,R264,IFERROR(VLOOKUP(D264,Parameter!$A$35:$C$64,3,0)+0,0)))</f>
        <v>0</v>
      </c>
      <c r="BT264" s="55" t="n">
        <f aca="false">IF(Y264&lt;&gt;"",Y264,X264)</f>
        <v>3</v>
      </c>
      <c r="BU264" s="55" t="str">
        <f aca="false">IF(BT264=1,"L1",IF(OR(BT264=2,BT264=3),"L23",IF(BT264="Aussen","Aussen","-")))</f>
        <v>L23</v>
      </c>
      <c r="BV264" s="66" t="n">
        <f aca="false">IF(N(Z264)&gt;0,Z264,0)</f>
        <v>0</v>
      </c>
      <c r="BW264" s="60" t="n">
        <f aca="false">IF(ISNUMBER(AC264),1,0)</f>
        <v>0</v>
      </c>
      <c r="BX264" s="57" t="n">
        <f aca="false">N(AC264)</f>
        <v>0</v>
      </c>
      <c r="BY264" s="57" t="n">
        <f aca="false">N(L264)+N(M264)</f>
        <v>155</v>
      </c>
      <c r="BZ264" s="57" t="n">
        <f aca="false">ROUNDUP(G264/BQ264,0)</f>
        <v>1</v>
      </c>
      <c r="CA264" s="57" t="n">
        <f aca="false">ROUNDUP(BX264/BQ264,0)</f>
        <v>0</v>
      </c>
      <c r="CB264" s="60" t="n">
        <f aca="false">IF(BR264=1,0,IFERROR(VLOOKUP(BP264,'Gebinde-Kategorie'!$A$5:$M$45,5,0)+0,0))</f>
        <v>11</v>
      </c>
      <c r="CC264" s="60" t="n">
        <f aca="false">IFERROR(IF(OR(BT264=1,BT264=2,BT264=3),N(INDEX(Parameter!$I$5:$I$7,BT264)),0),0)</f>
        <v>0</v>
      </c>
      <c r="CD264" s="59" t="n">
        <f aca="false">IF(AND(Parameter!$B$21="Ja",ISNUMBER(U264),N(V264)&gt;0),IFERROR(N(INDEX(Parameter!$L$5:$L$7,U264))*INDEX(Parameter!$E$5:$E$7,U264)*V264/SUMIFS($V$7:$V$1576,$U$7:$U$1576,U264),0),0)</f>
        <v>0</v>
      </c>
    </row>
    <row r="265" customFormat="false" ht="15" hidden="false" customHeight="false" outlineLevel="0" collapsed="false">
      <c r="A265" s="55" t="s">
        <v>699</v>
      </c>
      <c r="B265" s="55" t="s">
        <v>560</v>
      </c>
      <c r="C265" s="55" t="s">
        <v>160</v>
      </c>
      <c r="D265" s="55" t="s">
        <v>178</v>
      </c>
      <c r="E265" s="55" t="s">
        <v>210</v>
      </c>
      <c r="F265" s="56" t="n">
        <v>11.14</v>
      </c>
      <c r="G265" s="57" t="n">
        <f aca="false">MAX(0,IF(AND(Parameter!$B$21="Ja",ISNUMBER(W265)),W265,IF(Parameter!$B$20="Jahresanfang 2025 + Export",BJ265+BI265,BI265)))</f>
        <v>18</v>
      </c>
      <c r="H265" s="57" t="n">
        <f aca="false">G265*F265</f>
        <v>200.52</v>
      </c>
      <c r="I265" s="57" t="n">
        <f aca="false">BL265*Parameter!$B$18</f>
        <v>221</v>
      </c>
      <c r="J265" s="58" t="n">
        <v>57</v>
      </c>
      <c r="K265" s="59" t="n">
        <v>3.87719298245614</v>
      </c>
      <c r="L265" s="57" t="n">
        <v>21</v>
      </c>
      <c r="M265" s="57" t="n">
        <v>100</v>
      </c>
      <c r="N265" s="60" t="n">
        <v>21</v>
      </c>
      <c r="O265" s="55" t="s">
        <v>319</v>
      </c>
      <c r="P265" s="57" t="n">
        <v>188</v>
      </c>
      <c r="Q265" s="60" t="n">
        <f aca="false">IF(BR265=1,0,IFERROR(VLOOKUP(BP265,'Gebinde-Kategorie'!$A$5:$M$45,13,0)+0,0))</f>
        <v>52</v>
      </c>
      <c r="R265" s="61"/>
      <c r="S265" s="62"/>
      <c r="T265" s="62"/>
      <c r="U265" s="55"/>
      <c r="V265" s="57"/>
      <c r="W265" s="57"/>
      <c r="X265" s="55" t="n">
        <f aca="false">IF(A265="","",IF(AND(Parameter!$B$21="Ja",ISNUMBER(U265)),U265,IF(IFERROR(VLOOKUP(D265,Parameter!$A$35:$C$64,2,0),"Nein")="2+3",IF(ISNUMBER(SEARCH("grosser Artikel",BM265)),2,IFERROR(VLOOKUP(BP265,Parameter!$F$35:$G$64,2,0),2)),IF(OR(IFERROR(VLOOKUP(D265,Parameter!$A$35:$C$64,2,0),"Nein")="Nein",IFERROR(VLOOKUP(D265,Parameter!$A$35:$C$64,2,0),"Nein")=""),"-",VLOOKUP(D265,Parameter!$A$35:$C$64,2,0)))))</f>
        <v>3</v>
      </c>
      <c r="Y265" s="62"/>
      <c r="Z265" s="63"/>
      <c r="AA265" s="57" t="n">
        <f aca="false">AP265</f>
        <v>188</v>
      </c>
      <c r="AB265" s="57" t="n">
        <f aca="false">MAX(AP265,G265)</f>
        <v>188</v>
      </c>
      <c r="AC265" s="64"/>
      <c r="AD265" s="57" t="n">
        <f aca="false">IF(LEFT(Cockpit!$C$5,1)="A",G265,IF(BW265=1,BX265,IF(LEFT(Cockpit!$C$5,1)="B",AH265,MAX(AH265,G265))))</f>
        <v>18</v>
      </c>
      <c r="AE265" s="57" t="n">
        <f aca="false">IF(BR265=1,0,ROUNDUP(AD265/BQ265,0))</f>
        <v>1</v>
      </c>
      <c r="AF265" s="59" t="n">
        <f aca="false">IF(CD265&gt;0,CD265*MAX(1,AD265/V265),IF(BR265=1,IF(AD265&lt;=0,0,BS265*MAX(1,IF(G265&gt;0,AD265/G265,1))),IF(Q265&gt;0,AE265/Q265,0))/MAX(0.1,N(Parameter!$M$21)))</f>
        <v>0.0192307692307692</v>
      </c>
      <c r="AG265" s="57" t="n">
        <f aca="false">AD265*F265</f>
        <v>200.52</v>
      </c>
      <c r="AH265" s="57" t="n">
        <f aca="false">ROUNDUP(MAX(I265/IF(BV265&gt;0,BV265,MAX(0.1,N(Cockpit!$C$6))),BY265)/BQ265,0)*BQ265</f>
        <v>188</v>
      </c>
      <c r="AI265" s="58" t="n">
        <f aca="false">IF(AF265&gt;0,I265/AF265,-1)</f>
        <v>11492</v>
      </c>
      <c r="AJ265" s="58" t="n">
        <f aca="false">IF(AND(OR(BU265="L1",BU265="L23"),AF265&gt;0),SUMIFS($AF$7:$AF$1576,$BU$7:$BU$1576,BU265,$AI$7:$AI$1576,"&gt;"&amp;AI265)+SUMIFS($AF$7:$AF$1576,$BU$7:$BU$1576,BU265,$AI$7:$AI$1576,AI265,$BO$7:$BO$1576,"&lt;="&amp;BO265),"")</f>
        <v>2.37062092496875</v>
      </c>
      <c r="AK265" s="65" t="n">
        <f aca="false">IF(AJ265="",0,MAX(0,MIN(1,(IF(BU265="L1",Parameter!$E$5,Parameter!$E$6+Parameter!$E$7)-(AJ265-AF265))/AF265)))</f>
        <v>1</v>
      </c>
      <c r="AL265" s="57" t="n">
        <f aca="false">IF(LEFT(Cockpit!$I$5,1)="A",G265,IF(BW265=1,BX265,IF(LEFT(Cockpit!$I$5,1)="B",AP265,MAX(AP265,G265))))</f>
        <v>188</v>
      </c>
      <c r="AM265" s="57" t="n">
        <f aca="false">IF(BR265=1,0,ROUNDUP(AL265/BQ265,0))</f>
        <v>1</v>
      </c>
      <c r="AN265" s="59" t="n">
        <f aca="false">IF(CD265&gt;0,CD265*MAX(1,AL265/V265),IF(BR265=1,IF(AL265&lt;=0,0,BS265*MAX(1,IF(G265&gt;0,AL265/G265,1))),IF(Q265&gt;0,AM265/Q265,0))/MAX(0.1,N(Parameter!$M$21)))</f>
        <v>0.0192307692307692</v>
      </c>
      <c r="AO265" s="57" t="n">
        <f aca="false">AL265*F265</f>
        <v>2094.32</v>
      </c>
      <c r="AP265" s="57" t="n">
        <f aca="false">ROUNDUP(MAX(I265/IF(BV265&gt;0,BV265,MAX(0.1,N(Cockpit!$I$6))),BY265)/BQ265,0)*BQ265</f>
        <v>188</v>
      </c>
      <c r="AQ265" s="58" t="n">
        <f aca="false">IF(AN265&gt;0,I265/AN265,-1)</f>
        <v>11492</v>
      </c>
      <c r="AR265" s="58" t="n">
        <f aca="false">IF(AND(OR(BU265="L1",BU265="L23"),AN265&gt;0),SUMIFS($AN$7:$AN$1576,$BU$7:$BU$1576,BU265,$AQ$7:$AQ$1576,"&gt;"&amp;AQ265)+SUMIFS($AN$7:$AN$1576,$BU$7:$BU$1576,BU265,$AQ$7:$AQ$1576,AQ265,$BO$7:$BO$1576,"&lt;="&amp;BO265),"")</f>
        <v>6.40946386946387</v>
      </c>
      <c r="AS265" s="65" t="n">
        <f aca="false">IF(AR265="",0,MAX(0,MIN(1,(IF(BU265="L1",Parameter!$E$5,Parameter!$E$6+Parameter!$E$7)-(AR265-AN265))/AN265)))</f>
        <v>1</v>
      </c>
      <c r="AT265" s="57" t="n">
        <f aca="false">IF(LEFT(Cockpit!$O$5,1)="A",G265,IF(BW265=1,BX265,IF(LEFT(Cockpit!$O$5,1)="B",AX265,MAX(AX265,G265))))</f>
        <v>188</v>
      </c>
      <c r="AU265" s="57" t="n">
        <f aca="false">IF(BR265=1,0,ROUNDUP(AT265/BQ265,0))</f>
        <v>1</v>
      </c>
      <c r="AV265" s="59" t="n">
        <f aca="false">IF(CD265&gt;0,CD265*MAX(1,AT265/V265),IF(BR265=1,IF(AT265&lt;=0,0,BS265*MAX(1,IF(G265&gt;0,AT265/G265,1))),IF(Q265&gt;0,AU265/Q265,0))/MAX(0.1,N(Parameter!$M$21)))</f>
        <v>0.0192307692307692</v>
      </c>
      <c r="AW265" s="57" t="n">
        <f aca="false">AT265*F265</f>
        <v>2094.32</v>
      </c>
      <c r="AX265" s="57" t="n">
        <f aca="false">ROUNDUP(MAX(I265/IF(BV265&gt;0,BV265,MAX(0.1,N(Cockpit!$O$6))),BY265)/BQ265,0)*BQ265</f>
        <v>188</v>
      </c>
      <c r="AY265" s="58" t="n">
        <f aca="false">IF(AV265&gt;0,I265/AV265,-1)</f>
        <v>11492</v>
      </c>
      <c r="AZ265" s="58" t="n">
        <f aca="false">IF(AND(OR(BU265="L1",BU265="L23"),AV265&gt;0),SUMIFS($AV$7:$AV$1576,$BU$7:$BU$1576,BU265,$AY$7:$AY$1576,"&gt;"&amp;AY265)+SUMIFS($AV$7:$AV$1576,$BU$7:$BU$1576,BU265,$AY$7:$AY$1576,AY265,$BO$7:$BO$1576,"&lt;="&amp;BO265),"")</f>
        <v>6.11109557109557</v>
      </c>
      <c r="BA265" s="65" t="n">
        <f aca="false">IF(AZ265="",0,MAX(0,MIN(1,(IF(BU265="L1",Parameter!$E$5,Parameter!$E$6+Parameter!$E$7)-(AZ265-AV265))/AV265)))</f>
        <v>1</v>
      </c>
      <c r="BB265" s="55" t="str">
        <f aca="false">IF(AF265&lt;=0,"",IF(BU265="Aussen","Aussenlager",IF(BU265="-","Nicht im Lift",IF(AK265&gt;=1,"Lift",IF(AK265&lt;=0,"Aussenlager","teilweise")))))</f>
        <v>Lift</v>
      </c>
      <c r="BC265" s="55" t="str">
        <f aca="false">IF(AN265&lt;=0,"",IF(BU265="Aussen","Aussenlager",IF(BU265="-","Nicht im Lift",IF(AS265&gt;=1,"Lift",IF(AS265&lt;=0,"Aussenlager","teilweise")))))</f>
        <v>Lift</v>
      </c>
      <c r="BD265" s="55" t="str">
        <f aca="false">IF(AV265&lt;=0,"",IF(BU265="Aussen","Aussenlager",IF(BU265="-","Nicht im Lift",IF(BA265&gt;=1,"Lift",IF(BA265&lt;=0,"Aussenlager","teilweise")))))</f>
        <v>Lift</v>
      </c>
      <c r="BE265" s="55" t="str">
        <f aca="false">IF(A265="","",IF(BN265=1,"Neu; ","")&amp;IF(AND(BN265=0,BI265&lt;0),"negativer Bestand (Export "&amp;BI265&amp;"); ","")&amp;IF(I265&lt;=0,"Kein Verbrauch; ","")&amp;IF(CD265&gt;0,"Lift "&amp;U265&amp;" lt. Liftbericht (Fach "&amp;V265&amp;" Stk); ",IF(BR265=1,"Lose – Fläche geschätzt; ",""))&amp;IF(G265&gt;AP265,"Überbestand "&amp;ROUND(G265-AP265,0)&amp;" Stk / CHF "&amp;ROUND((G265-AP265)*F265,0)&amp;"; ","")&amp;IF(AND(BW265=1,BX265&lt;BY265),"MAX &lt; MB+LG; ","")&amp;IF(AND(CC265&gt;0,CB265*10&gt;CC265),"zu hoch für Tablar; ","")&amp;IF(AND(BN265=0,OR(BW265=1,Y265&lt;&gt;"",S265&lt;&gt;"",T265&lt;&gt;"",Z265&lt;&gt;"")),"manuell übersteuert; ","")&amp;IF(AND(BR265=0,Q265=0),"Gebinde unbekannt / Stellmass fehlt; ","")&amp;IF(AND(BR265=0,N(T265)&lt;=0,N(P265)&lt;=0),"Menge pro Gebinde fehlt (Ist = 1 Gebinde); ","")&amp;BM265)</f>
        <v/>
      </c>
      <c r="BF265" s="55"/>
      <c r="BG265" s="55"/>
      <c r="BH265" s="62"/>
      <c r="BI265" s="57" t="n">
        <v>18</v>
      </c>
      <c r="BJ265" s="57" t="n">
        <v>67</v>
      </c>
      <c r="BK265" s="56" t="n">
        <v>429.840000000001</v>
      </c>
      <c r="BL265" s="57" t="n">
        <v>221</v>
      </c>
      <c r="BM265" s="55"/>
      <c r="BN265" s="60" t="n">
        <v>0</v>
      </c>
      <c r="BO265" s="60" t="n">
        <v>265</v>
      </c>
      <c r="BP265" s="55" t="str">
        <f aca="false">IF(S265&lt;&gt;"",UPPER(TRIM(S265)),IF(O265="","LOSE",O265))</f>
        <v>S41</v>
      </c>
      <c r="BQ265" s="57" t="n">
        <f aca="false">IF(BP265="LOSE",1,IF(N(T265)&gt;0,T265,IF(N(P265)&gt;0,P265,MAX(1,G265))))</f>
        <v>188</v>
      </c>
      <c r="BR265" s="60" t="n">
        <f aca="false">IF(BP265="LOSE",1,0)</f>
        <v>0</v>
      </c>
      <c r="BS265" s="59" t="n">
        <f aca="false">IF(BR265=0,0,IF(N(R265)&gt;0,R265,IFERROR(VLOOKUP(D265,Parameter!$A$35:$C$64,3,0)+0,0)))</f>
        <v>0</v>
      </c>
      <c r="BT265" s="55" t="n">
        <f aca="false">IF(Y265&lt;&gt;"",Y265,X265)</f>
        <v>3</v>
      </c>
      <c r="BU265" s="55" t="str">
        <f aca="false">IF(BT265=1,"L1",IF(OR(BT265=2,BT265=3),"L23",IF(BT265="Aussen","Aussen","-")))</f>
        <v>L23</v>
      </c>
      <c r="BV265" s="66" t="n">
        <f aca="false">IF(N(Z265)&gt;0,Z265,0)</f>
        <v>0</v>
      </c>
      <c r="BW265" s="60" t="n">
        <f aca="false">IF(ISNUMBER(AC265),1,0)</f>
        <v>0</v>
      </c>
      <c r="BX265" s="57" t="n">
        <f aca="false">N(AC265)</f>
        <v>0</v>
      </c>
      <c r="BY265" s="57" t="n">
        <f aca="false">N(L265)+N(M265)</f>
        <v>121</v>
      </c>
      <c r="BZ265" s="57" t="n">
        <f aca="false">ROUNDUP(G265/BQ265,0)</f>
        <v>1</v>
      </c>
      <c r="CA265" s="57" t="n">
        <f aca="false">ROUNDUP(BX265/BQ265,0)</f>
        <v>0</v>
      </c>
      <c r="CB265" s="60" t="n">
        <f aca="false">IF(BR265=1,0,IFERROR(VLOOKUP(BP265,'Gebinde-Kategorie'!$A$5:$M$45,5,0)+0,0))</f>
        <v>11</v>
      </c>
      <c r="CC265" s="60" t="n">
        <f aca="false">IFERROR(IF(OR(BT265=1,BT265=2,BT265=3),N(INDEX(Parameter!$I$5:$I$7,BT265)),0),0)</f>
        <v>0</v>
      </c>
      <c r="CD265" s="59" t="n">
        <f aca="false">IF(AND(Parameter!$B$21="Ja",ISNUMBER(U265),N(V265)&gt;0),IFERROR(N(INDEX(Parameter!$L$5:$L$7,U265))*INDEX(Parameter!$E$5:$E$7,U265)*V265/SUMIFS($V$7:$V$1576,$U$7:$U$1576,U265),0),0)</f>
        <v>0</v>
      </c>
    </row>
    <row r="266" customFormat="false" ht="15" hidden="false" customHeight="false" outlineLevel="0" collapsed="false">
      <c r="A266" s="55" t="s">
        <v>700</v>
      </c>
      <c r="B266" s="55" t="s">
        <v>364</v>
      </c>
      <c r="C266" s="55" t="s">
        <v>160</v>
      </c>
      <c r="D266" s="55" t="s">
        <v>178</v>
      </c>
      <c r="E266" s="55" t="s">
        <v>210</v>
      </c>
      <c r="F266" s="56" t="n">
        <v>2.9</v>
      </c>
      <c r="G266" s="57" t="n">
        <f aca="false">MAX(0,IF(AND(Parameter!$B$21="Ja",ISNUMBER(W266)),W266,IF(Parameter!$B$20="Jahresanfang 2025 + Export",BJ266+BI266,BI266)))</f>
        <v>148</v>
      </c>
      <c r="H266" s="57" t="n">
        <f aca="false">G266*F266</f>
        <v>429.2</v>
      </c>
      <c r="I266" s="57" t="n">
        <f aca="false">BL266*Parameter!$B$18</f>
        <v>40</v>
      </c>
      <c r="J266" s="58" t="n">
        <v>0</v>
      </c>
      <c r="K266" s="59" t="n">
        <v>0</v>
      </c>
      <c r="L266" s="57" t="n">
        <v>1</v>
      </c>
      <c r="M266" s="57" t="n">
        <v>40</v>
      </c>
      <c r="N266" s="60" t="n">
        <v>14</v>
      </c>
      <c r="O266" s="55" t="s">
        <v>411</v>
      </c>
      <c r="P266" s="57" t="n">
        <v>40</v>
      </c>
      <c r="Q266" s="60" t="n">
        <f aca="false">IF(BR266=1,0,IFERROR(VLOOKUP(BP266,'Gebinde-Kategorie'!$A$5:$M$45,13,0)+0,0))</f>
        <v>132</v>
      </c>
      <c r="R266" s="61"/>
      <c r="S266" s="62"/>
      <c r="T266" s="62"/>
      <c r="U266" s="55"/>
      <c r="V266" s="57"/>
      <c r="W266" s="57"/>
      <c r="X266" s="55" t="n">
        <f aca="false">IF(A266="","",IF(AND(Parameter!$B$21="Ja",ISNUMBER(U266)),U266,IF(IFERROR(VLOOKUP(D266,Parameter!$A$35:$C$64,2,0),"Nein")="2+3",IF(ISNUMBER(SEARCH("grosser Artikel",BM266)),2,IFERROR(VLOOKUP(BP266,Parameter!$F$35:$G$64,2,0),2)),IF(OR(IFERROR(VLOOKUP(D266,Parameter!$A$35:$C$64,2,0),"Nein")="Nein",IFERROR(VLOOKUP(D266,Parameter!$A$35:$C$64,2,0),"Nein")=""),"-",VLOOKUP(D266,Parameter!$A$35:$C$64,2,0)))))</f>
        <v>3</v>
      </c>
      <c r="Y266" s="62"/>
      <c r="Z266" s="63"/>
      <c r="AA266" s="57" t="n">
        <f aca="false">AP266</f>
        <v>80</v>
      </c>
      <c r="AB266" s="57" t="n">
        <f aca="false">MAX(AP266,G266)</f>
        <v>148</v>
      </c>
      <c r="AC266" s="64"/>
      <c r="AD266" s="57" t="n">
        <f aca="false">IF(LEFT(Cockpit!$C$5,1)="A",G266,IF(BW266=1,BX266,IF(LEFT(Cockpit!$C$5,1)="B",AH266,MAX(AH266,G266))))</f>
        <v>148</v>
      </c>
      <c r="AE266" s="57" t="n">
        <f aca="false">IF(BR266=1,0,ROUNDUP(AD266/BQ266,0))</f>
        <v>4</v>
      </c>
      <c r="AF266" s="59" t="n">
        <f aca="false">IF(CD266&gt;0,CD266*MAX(1,AD266/V266),IF(BR266=1,IF(AD266&lt;=0,0,BS266*MAX(1,IF(G266&gt;0,AD266/G266,1))),IF(Q266&gt;0,AE266/Q266,0))/MAX(0.1,N(Parameter!$M$21)))</f>
        <v>0.0303030303030303</v>
      </c>
      <c r="AG266" s="57" t="n">
        <f aca="false">AD266*F266</f>
        <v>429.2</v>
      </c>
      <c r="AH266" s="57" t="n">
        <f aca="false">ROUNDUP(MAX(I266/IF(BV266&gt;0,BV266,MAX(0.1,N(Cockpit!$C$6))),BY266)/BQ266,0)*BQ266</f>
        <v>80</v>
      </c>
      <c r="AI266" s="58" t="n">
        <f aca="false">IF(AF266&gt;0,I266/AF266,-1)</f>
        <v>1320</v>
      </c>
      <c r="AJ266" s="58" t="n">
        <f aca="false">IF(AND(OR(BU266="L1",BU266="L23"),AF266&gt;0),SUMIFS($AF$7:$AF$1576,$BU$7:$BU$1576,BU266,$AI$7:$AI$1576,"&gt;"&amp;AI266)+SUMIFS($AF$7:$AF$1576,$BU$7:$BU$1576,BU266,$AI$7:$AI$1576,AI266,$BO$7:$BO$1576,"&lt;="&amp;BO266),"")</f>
        <v>8.26983851896896</v>
      </c>
      <c r="AK266" s="65" t="n">
        <f aca="false">IF(AJ266="",0,MAX(0,MIN(1,(IF(BU266="L1",Parameter!$E$5,Parameter!$E$6+Parameter!$E$7)-(AJ266-AF266))/AF266)))</f>
        <v>1</v>
      </c>
      <c r="AL266" s="57" t="n">
        <f aca="false">IF(LEFT(Cockpit!$I$5,1)="A",G266,IF(BW266=1,BX266,IF(LEFT(Cockpit!$I$5,1)="B",AP266,MAX(AP266,G266))))</f>
        <v>148</v>
      </c>
      <c r="AM266" s="57" t="n">
        <f aca="false">IF(BR266=1,0,ROUNDUP(AL266/BQ266,0))</f>
        <v>4</v>
      </c>
      <c r="AN266" s="59" t="n">
        <f aca="false">IF(CD266&gt;0,CD266*MAX(1,AL266/V266),IF(BR266=1,IF(AL266&lt;=0,0,BS266*MAX(1,IF(G266&gt;0,AL266/G266,1))),IF(Q266&gt;0,AM266/Q266,0))/MAX(0.1,N(Parameter!$M$21)))</f>
        <v>0.0303030303030303</v>
      </c>
      <c r="AO266" s="57" t="n">
        <f aca="false">AL266*F266</f>
        <v>429.2</v>
      </c>
      <c r="AP266" s="57" t="n">
        <f aca="false">ROUNDUP(MAX(I266/IF(BV266&gt;0,BV266,MAX(0.1,N(Cockpit!$I$6))),BY266)/BQ266,0)*BQ266</f>
        <v>80</v>
      </c>
      <c r="AQ266" s="58" t="n">
        <f aca="false">IF(AN266&gt;0,I266/AN266,-1)</f>
        <v>1320</v>
      </c>
      <c r="AR266" s="58" t="n">
        <f aca="false">IF(AND(OR(BU266="L1",BU266="L23"),AN266&gt;0),SUMIFS($AN$7:$AN$1576,$BU$7:$BU$1576,BU266,$AQ$7:$AQ$1576,"&gt;"&amp;AQ266)+SUMIFS($AN$7:$AN$1576,$BU$7:$BU$1576,BU266,$AQ$7:$AQ$1576,AQ266,$BO$7:$BO$1576,"&lt;="&amp;BO266),"")</f>
        <v>20.2235468037754</v>
      </c>
      <c r="AS266" s="65" t="n">
        <f aca="false">IF(AR266="",0,MAX(0,MIN(1,(IF(BU266="L1",Parameter!$E$5,Parameter!$E$6+Parameter!$E$7)-(AR266-AN266))/AN266)))</f>
        <v>1</v>
      </c>
      <c r="AT266" s="57" t="n">
        <f aca="false">IF(LEFT(Cockpit!$O$5,1)="A",G266,IF(BW266=1,BX266,IF(LEFT(Cockpit!$O$5,1)="B",AX266,MAX(AX266,G266))))</f>
        <v>148</v>
      </c>
      <c r="AU266" s="57" t="n">
        <f aca="false">IF(BR266=1,0,ROUNDUP(AT266/BQ266,0))</f>
        <v>4</v>
      </c>
      <c r="AV266" s="59" t="n">
        <f aca="false">IF(CD266&gt;0,CD266*MAX(1,AT266/V266),IF(BR266=1,IF(AT266&lt;=0,0,BS266*MAX(1,IF(G266&gt;0,AT266/G266,1))),IF(Q266&gt;0,AU266/Q266,0))/MAX(0.1,N(Parameter!$M$21)))</f>
        <v>0.0303030303030303</v>
      </c>
      <c r="AW266" s="57" t="n">
        <f aca="false">AT266*F266</f>
        <v>429.2</v>
      </c>
      <c r="AX266" s="57" t="n">
        <f aca="false">ROUNDUP(MAX(I266/IF(BV266&gt;0,BV266,MAX(0.1,N(Cockpit!$O$6))),BY266)/BQ266,0)*BQ266</f>
        <v>80</v>
      </c>
      <c r="AY266" s="58" t="n">
        <f aca="false">IF(AV266&gt;0,I266/AV266,-1)</f>
        <v>1320</v>
      </c>
      <c r="AZ266" s="58" t="n">
        <f aca="false">IF(AND(OR(BU266="L1",BU266="L23"),AV266&gt;0),SUMIFS($AV$7:$AV$1576,$BU$7:$BU$1576,BU266,$AY$7:$AY$1576,"&gt;"&amp;AY266)+SUMIFS($AV$7:$AV$1576,$BU$7:$BU$1576,BU266,$AY$7:$AY$1576,AY266,$BO$7:$BO$1576,"&lt;="&amp;BO266),"")</f>
        <v>19.2841528643814</v>
      </c>
      <c r="BA266" s="65" t="n">
        <f aca="false">IF(AZ266="",0,MAX(0,MIN(1,(IF(BU266="L1",Parameter!$E$5,Parameter!$E$6+Parameter!$E$7)-(AZ266-AV266))/AV266)))</f>
        <v>1</v>
      </c>
      <c r="BB266" s="55" t="str">
        <f aca="false">IF(AF266&lt;=0,"",IF(BU266="Aussen","Aussenlager",IF(BU266="-","Nicht im Lift",IF(AK266&gt;=1,"Lift",IF(AK266&lt;=0,"Aussenlager","teilweise")))))</f>
        <v>Lift</v>
      </c>
      <c r="BC266" s="55" t="str">
        <f aca="false">IF(AN266&lt;=0,"",IF(BU266="Aussen","Aussenlager",IF(BU266="-","Nicht im Lift",IF(AS266&gt;=1,"Lift",IF(AS266&lt;=0,"Aussenlager","teilweise")))))</f>
        <v>Lift</v>
      </c>
      <c r="BD266" s="55" t="str">
        <f aca="false">IF(AV266&lt;=0,"",IF(BU266="Aussen","Aussenlager",IF(BU266="-","Nicht im Lift",IF(BA266&gt;=1,"Lift",IF(BA266&lt;=0,"Aussenlager","teilweise")))))</f>
        <v>Lift</v>
      </c>
      <c r="BE266" s="55" t="str">
        <f aca="false">IF(A266="","",IF(BN266=1,"Neu; ","")&amp;IF(AND(BN266=0,BI266&lt;0),"negativer Bestand (Export "&amp;BI266&amp;"); ","")&amp;IF(I266&lt;=0,"Kein Verbrauch; ","")&amp;IF(CD266&gt;0,"Lift "&amp;U266&amp;" lt. Liftbericht (Fach "&amp;V266&amp;" Stk); ",IF(BR266=1,"Lose – Fläche geschätzt; ",""))&amp;IF(G266&gt;AP266,"Überbestand "&amp;ROUND(G266-AP266,0)&amp;" Stk / CHF "&amp;ROUND((G266-AP266)*F266,0)&amp;"; ","")&amp;IF(AND(BW266=1,BX266&lt;BY266),"MAX &lt; MB+LG; ","")&amp;IF(AND(CC266&gt;0,CB266*10&gt;CC266),"zu hoch für Tablar; ","")&amp;IF(AND(BN266=0,OR(BW266=1,Y266&lt;&gt;"",S266&lt;&gt;"",T266&lt;&gt;"",Z266&lt;&gt;"")),"manuell übersteuert; ","")&amp;IF(AND(BR266=0,Q266=0),"Gebinde unbekannt / Stellmass fehlt; ","")&amp;IF(AND(BR266=0,N(T266)&lt;=0,N(P266)&lt;=0),"Menge pro Gebinde fehlt (Ist = 1 Gebinde); ","")&amp;BM266)</f>
        <v>Überbestand 68 Stk / CHF 197; </v>
      </c>
      <c r="BF266" s="55"/>
      <c r="BG266" s="55"/>
      <c r="BH266" s="62"/>
      <c r="BI266" s="57" t="n">
        <v>148</v>
      </c>
      <c r="BJ266" s="57" t="n">
        <v>0</v>
      </c>
      <c r="BK266" s="56" t="n">
        <v>429.2</v>
      </c>
      <c r="BL266" s="57" t="n">
        <v>40</v>
      </c>
      <c r="BM266" s="55"/>
      <c r="BN266" s="60" t="n">
        <v>0</v>
      </c>
      <c r="BO266" s="60" t="n">
        <v>266</v>
      </c>
      <c r="BP266" s="55" t="str">
        <f aca="false">IF(S266&lt;&gt;"",UPPER(TRIM(S266)),IF(O266="","LOSE",O266))</f>
        <v>S32</v>
      </c>
      <c r="BQ266" s="57" t="n">
        <f aca="false">IF(BP266="LOSE",1,IF(N(T266)&gt;0,T266,IF(N(P266)&gt;0,P266,MAX(1,G266))))</f>
        <v>40</v>
      </c>
      <c r="BR266" s="60" t="n">
        <f aca="false">IF(BP266="LOSE",1,0)</f>
        <v>0</v>
      </c>
      <c r="BS266" s="59" t="n">
        <f aca="false">IF(BR266=0,0,IF(N(R266)&gt;0,R266,IFERROR(VLOOKUP(D266,Parameter!$A$35:$C$64,3,0)+0,0)))</f>
        <v>0</v>
      </c>
      <c r="BT266" s="55" t="n">
        <f aca="false">IF(Y266&lt;&gt;"",Y266,X266)</f>
        <v>3</v>
      </c>
      <c r="BU266" s="55" t="str">
        <f aca="false">IF(BT266=1,"L1",IF(OR(BT266=2,BT266=3),"L23",IF(BT266="Aussen","Aussen","-")))</f>
        <v>L23</v>
      </c>
      <c r="BV266" s="66" t="n">
        <f aca="false">IF(N(Z266)&gt;0,Z266,0)</f>
        <v>0</v>
      </c>
      <c r="BW266" s="60" t="n">
        <f aca="false">IF(ISNUMBER(AC266),1,0)</f>
        <v>0</v>
      </c>
      <c r="BX266" s="57" t="n">
        <f aca="false">N(AC266)</f>
        <v>0</v>
      </c>
      <c r="BY266" s="57" t="n">
        <f aca="false">N(L266)+N(M266)</f>
        <v>41</v>
      </c>
      <c r="BZ266" s="57" t="n">
        <f aca="false">ROUNDUP(G266/BQ266,0)</f>
        <v>4</v>
      </c>
      <c r="CA266" s="57" t="n">
        <f aca="false">ROUNDUP(BX266/BQ266,0)</f>
        <v>0</v>
      </c>
      <c r="CB266" s="60" t="n">
        <f aca="false">IF(BR266=1,0,IFERROR(VLOOKUP(BP266,'Gebinde-Kategorie'!$A$5:$M$45,5,0)+0,0))</f>
        <v>8</v>
      </c>
      <c r="CC266" s="60" t="n">
        <f aca="false">IFERROR(IF(OR(BT266=1,BT266=2,BT266=3),N(INDEX(Parameter!$I$5:$I$7,BT266)),0),0)</f>
        <v>0</v>
      </c>
      <c r="CD266" s="59" t="n">
        <f aca="false">IF(AND(Parameter!$B$21="Ja",ISNUMBER(U266),N(V266)&gt;0),IFERROR(N(INDEX(Parameter!$L$5:$L$7,U266))*INDEX(Parameter!$E$5:$E$7,U266)*V266/SUMIFS($V$7:$V$1576,$U$7:$U$1576,U266),0),0)</f>
        <v>0</v>
      </c>
    </row>
    <row r="267" customFormat="false" ht="15" hidden="false" customHeight="false" outlineLevel="0" collapsed="false">
      <c r="A267" s="55" t="s">
        <v>701</v>
      </c>
      <c r="B267" s="55" t="s">
        <v>702</v>
      </c>
      <c r="C267" s="55" t="s">
        <v>160</v>
      </c>
      <c r="D267" s="55" t="s">
        <v>178</v>
      </c>
      <c r="E267" s="55" t="s">
        <v>210</v>
      </c>
      <c r="F267" s="56" t="n">
        <v>1.77</v>
      </c>
      <c r="G267" s="57" t="n">
        <f aca="false">MAX(0,IF(AND(Parameter!$B$21="Ja",ISNUMBER(W267)),W267,IF(Parameter!$B$20="Jahresanfang 2025 + Export",BJ267+BI267,BI267)))</f>
        <v>242</v>
      </c>
      <c r="H267" s="57" t="n">
        <f aca="false">G267*F267</f>
        <v>428.34</v>
      </c>
      <c r="I267" s="57" t="n">
        <f aca="false">BL267*Parameter!$B$18</f>
        <v>258</v>
      </c>
      <c r="J267" s="58" t="n">
        <v>92</v>
      </c>
      <c r="K267" s="59" t="n">
        <v>2.80434782608696</v>
      </c>
      <c r="L267" s="57" t="n">
        <v>15</v>
      </c>
      <c r="M267" s="57" t="n">
        <v>300</v>
      </c>
      <c r="N267" s="60" t="n">
        <v>21</v>
      </c>
      <c r="O267" s="55" t="s">
        <v>411</v>
      </c>
      <c r="P267" s="57" t="n">
        <v>241</v>
      </c>
      <c r="Q267" s="60" t="n">
        <f aca="false">IF(BR267=1,0,IFERROR(VLOOKUP(BP267,'Gebinde-Kategorie'!$A$5:$M$45,13,0)+0,0))</f>
        <v>132</v>
      </c>
      <c r="R267" s="61"/>
      <c r="S267" s="62"/>
      <c r="T267" s="62"/>
      <c r="U267" s="55"/>
      <c r="V267" s="57"/>
      <c r="W267" s="57"/>
      <c r="X267" s="55" t="n">
        <f aca="false">IF(A267="","",IF(AND(Parameter!$B$21="Ja",ISNUMBER(U267)),U267,IF(IFERROR(VLOOKUP(D267,Parameter!$A$35:$C$64,2,0),"Nein")="2+3",IF(ISNUMBER(SEARCH("grosser Artikel",BM267)),2,IFERROR(VLOOKUP(BP267,Parameter!$F$35:$G$64,2,0),2)),IF(OR(IFERROR(VLOOKUP(D267,Parameter!$A$35:$C$64,2,0),"Nein")="Nein",IFERROR(VLOOKUP(D267,Parameter!$A$35:$C$64,2,0),"Nein")=""),"-",VLOOKUP(D267,Parameter!$A$35:$C$64,2,0)))))</f>
        <v>3</v>
      </c>
      <c r="Y267" s="62"/>
      <c r="Z267" s="63"/>
      <c r="AA267" s="57" t="n">
        <f aca="false">AP267</f>
        <v>482</v>
      </c>
      <c r="AB267" s="57" t="n">
        <f aca="false">MAX(AP267,G267)</f>
        <v>482</v>
      </c>
      <c r="AC267" s="64"/>
      <c r="AD267" s="57" t="n">
        <f aca="false">IF(LEFT(Cockpit!$C$5,1)="A",G267,IF(BW267=1,BX267,IF(LEFT(Cockpit!$C$5,1)="B",AH267,MAX(AH267,G267))))</f>
        <v>242</v>
      </c>
      <c r="AE267" s="57" t="n">
        <f aca="false">IF(BR267=1,0,ROUNDUP(AD267/BQ267,0))</f>
        <v>2</v>
      </c>
      <c r="AF267" s="59" t="n">
        <f aca="false">IF(CD267&gt;0,CD267*MAX(1,AD267/V267),IF(BR267=1,IF(AD267&lt;=0,0,BS267*MAX(1,IF(G267&gt;0,AD267/G267,1))),IF(Q267&gt;0,AE267/Q267,0))/MAX(0.1,N(Parameter!$M$21)))</f>
        <v>0.0151515151515152</v>
      </c>
      <c r="AG267" s="57" t="n">
        <f aca="false">AD267*F267</f>
        <v>428.34</v>
      </c>
      <c r="AH267" s="57" t="n">
        <f aca="false">ROUNDUP(MAX(I267/IF(BV267&gt;0,BV267,MAX(0.1,N(Cockpit!$C$6))),BY267)/BQ267,0)*BQ267</f>
        <v>482</v>
      </c>
      <c r="AI267" s="58" t="n">
        <f aca="false">IF(AF267&gt;0,I267/AF267,-1)</f>
        <v>17028</v>
      </c>
      <c r="AJ267" s="58" t="n">
        <f aca="false">IF(AND(OR(BU267="L1",BU267="L23"),AF267&gt;0),SUMIFS($AF$7:$AF$1576,$BU$7:$BU$1576,BU267,$AI$7:$AI$1576,"&gt;"&amp;AI267)+SUMIFS($AF$7:$AF$1576,$BU$7:$BU$1576,BU267,$AI$7:$AI$1576,AI267,$BO$7:$BO$1576,"&lt;="&amp;BO267),"")</f>
        <v>2.13968278098713</v>
      </c>
      <c r="AK267" s="65" t="n">
        <f aca="false">IF(AJ267="",0,MAX(0,MIN(1,(IF(BU267="L1",Parameter!$E$5,Parameter!$E$6+Parameter!$E$7)-(AJ267-AF267))/AF267)))</f>
        <v>1</v>
      </c>
      <c r="AL267" s="57" t="n">
        <f aca="false">IF(LEFT(Cockpit!$I$5,1)="A",G267,IF(BW267=1,BX267,IF(LEFT(Cockpit!$I$5,1)="B",AP267,MAX(AP267,G267))))</f>
        <v>482</v>
      </c>
      <c r="AM267" s="57" t="n">
        <f aca="false">IF(BR267=1,0,ROUNDUP(AL267/BQ267,0))</f>
        <v>2</v>
      </c>
      <c r="AN267" s="59" t="n">
        <f aca="false">IF(CD267&gt;0,CD267*MAX(1,AL267/V267),IF(BR267=1,IF(AL267&lt;=0,0,BS267*MAX(1,IF(G267&gt;0,AL267/G267,1))),IF(Q267&gt;0,AM267/Q267,0))/MAX(0.1,N(Parameter!$M$21)))</f>
        <v>0.0151515151515152</v>
      </c>
      <c r="AO267" s="57" t="n">
        <f aca="false">AL267*F267</f>
        <v>853.14</v>
      </c>
      <c r="AP267" s="57" t="n">
        <f aca="false">ROUNDUP(MAX(I267/IF(BV267&gt;0,BV267,MAX(0.1,N(Cockpit!$I$6))),BY267)/BQ267,0)*BQ267</f>
        <v>482</v>
      </c>
      <c r="AQ267" s="58" t="n">
        <f aca="false">IF(AN267&gt;0,I267/AN267,-1)</f>
        <v>17028</v>
      </c>
      <c r="AR267" s="58" t="n">
        <f aca="false">IF(AND(OR(BU267="L1",BU267="L23"),AN267&gt;0),SUMIFS($AN$7:$AN$1576,$BU$7:$BU$1576,BU267,$AQ$7:$AQ$1576,"&gt;"&amp;AQ267)+SUMIFS($AN$7:$AN$1576,$BU$7:$BU$1576,BU267,$AQ$7:$AQ$1576,AQ267,$BO$7:$BO$1576,"&lt;="&amp;BO267),"")</f>
        <v>4.44406574102226</v>
      </c>
      <c r="AS267" s="65" t="n">
        <f aca="false">IF(AR267="",0,MAX(0,MIN(1,(IF(BU267="L1",Parameter!$E$5,Parameter!$E$6+Parameter!$E$7)-(AR267-AN267))/AN267)))</f>
        <v>1</v>
      </c>
      <c r="AT267" s="57" t="n">
        <f aca="false">IF(LEFT(Cockpit!$O$5,1)="A",G267,IF(BW267=1,BX267,IF(LEFT(Cockpit!$O$5,1)="B",AX267,MAX(AX267,G267))))</f>
        <v>482</v>
      </c>
      <c r="AU267" s="57" t="n">
        <f aca="false">IF(BR267=1,0,ROUNDUP(AT267/BQ267,0))</f>
        <v>2</v>
      </c>
      <c r="AV267" s="59" t="n">
        <f aca="false">IF(CD267&gt;0,CD267*MAX(1,AT267/V267),IF(BR267=1,IF(AT267&lt;=0,0,BS267*MAX(1,IF(G267&gt;0,AT267/G267,1))),IF(Q267&gt;0,AU267/Q267,0))/MAX(0.1,N(Parameter!$M$21)))</f>
        <v>0.0151515151515152</v>
      </c>
      <c r="AW267" s="57" t="n">
        <f aca="false">AT267*F267</f>
        <v>853.14</v>
      </c>
      <c r="AX267" s="57" t="n">
        <f aca="false">ROUNDUP(MAX(I267/IF(BV267&gt;0,BV267,MAX(0.1,N(Cockpit!$O$6))),BY267)/BQ267,0)*BQ267</f>
        <v>482</v>
      </c>
      <c r="AY267" s="58" t="n">
        <f aca="false">IF(AV267&gt;0,I267/AV267,-1)</f>
        <v>17028</v>
      </c>
      <c r="AZ267" s="58" t="n">
        <f aca="false">IF(AND(OR(BU267="L1",BU267="L23"),AV267&gt;0),SUMIFS($AV$7:$AV$1576,$BU$7:$BU$1576,BU267,$AY$7:$AY$1576,"&gt;"&amp;AY267)+SUMIFS($AV$7:$AV$1576,$BU$7:$BU$1576,BU267,$AY$7:$AY$1576,AY267,$BO$7:$BO$1576,"&lt;="&amp;BO267),"")</f>
        <v>4.82518462214114</v>
      </c>
      <c r="BA267" s="65" t="n">
        <f aca="false">IF(AZ267="",0,MAX(0,MIN(1,(IF(BU267="L1",Parameter!$E$5,Parameter!$E$6+Parameter!$E$7)-(AZ267-AV267))/AV267)))</f>
        <v>1</v>
      </c>
      <c r="BB267" s="55" t="str">
        <f aca="false">IF(AF267&lt;=0,"",IF(BU267="Aussen","Aussenlager",IF(BU267="-","Nicht im Lift",IF(AK267&gt;=1,"Lift",IF(AK267&lt;=0,"Aussenlager","teilweise")))))</f>
        <v>Lift</v>
      </c>
      <c r="BC267" s="55" t="str">
        <f aca="false">IF(AN267&lt;=0,"",IF(BU267="Aussen","Aussenlager",IF(BU267="-","Nicht im Lift",IF(AS267&gt;=1,"Lift",IF(AS267&lt;=0,"Aussenlager","teilweise")))))</f>
        <v>Lift</v>
      </c>
      <c r="BD267" s="55" t="str">
        <f aca="false">IF(AV267&lt;=0,"",IF(BU267="Aussen","Aussenlager",IF(BU267="-","Nicht im Lift",IF(BA267&gt;=1,"Lift",IF(BA267&lt;=0,"Aussenlager","teilweise")))))</f>
        <v>Lift</v>
      </c>
      <c r="BE267" s="55" t="str">
        <f aca="false">IF(A267="","",IF(BN267=1,"Neu; ","")&amp;IF(AND(BN267=0,BI267&lt;0),"negativer Bestand (Export "&amp;BI267&amp;"); ","")&amp;IF(I267&lt;=0,"Kein Verbrauch; ","")&amp;IF(CD267&gt;0,"Lift "&amp;U267&amp;" lt. Liftbericht (Fach "&amp;V267&amp;" Stk); ",IF(BR267=1,"Lose – Fläche geschätzt; ",""))&amp;IF(G267&gt;AP267,"Überbestand "&amp;ROUND(G267-AP267,0)&amp;" Stk / CHF "&amp;ROUND((G267-AP267)*F267,0)&amp;"; ","")&amp;IF(AND(BW267=1,BX267&lt;BY267),"MAX &lt; MB+LG; ","")&amp;IF(AND(CC267&gt;0,CB267*10&gt;CC267),"zu hoch für Tablar; ","")&amp;IF(AND(BN267=0,OR(BW267=1,Y267&lt;&gt;"",S267&lt;&gt;"",T267&lt;&gt;"",Z267&lt;&gt;"")),"manuell übersteuert; ","")&amp;IF(AND(BR267=0,Q267=0),"Gebinde unbekannt / Stellmass fehlt; ","")&amp;IF(AND(BR267=0,N(T267)&lt;=0,N(P267)&lt;=0),"Menge pro Gebinde fehlt (Ist = 1 Gebinde); ","")&amp;BM267)</f>
        <v/>
      </c>
      <c r="BF267" s="55"/>
      <c r="BG267" s="55"/>
      <c r="BH267" s="62"/>
      <c r="BI267" s="57" t="n">
        <v>242</v>
      </c>
      <c r="BJ267" s="57" t="n">
        <v>73</v>
      </c>
      <c r="BK267" s="56" t="n">
        <v>426.15</v>
      </c>
      <c r="BL267" s="57" t="n">
        <v>258</v>
      </c>
      <c r="BM267" s="55"/>
      <c r="BN267" s="60" t="n">
        <v>0</v>
      </c>
      <c r="BO267" s="60" t="n">
        <v>267</v>
      </c>
      <c r="BP267" s="55" t="str">
        <f aca="false">IF(S267&lt;&gt;"",UPPER(TRIM(S267)),IF(O267="","LOSE",O267))</f>
        <v>S32</v>
      </c>
      <c r="BQ267" s="57" t="n">
        <f aca="false">IF(BP267="LOSE",1,IF(N(T267)&gt;0,T267,IF(N(P267)&gt;0,P267,MAX(1,G267))))</f>
        <v>241</v>
      </c>
      <c r="BR267" s="60" t="n">
        <f aca="false">IF(BP267="LOSE",1,0)</f>
        <v>0</v>
      </c>
      <c r="BS267" s="59" t="n">
        <f aca="false">IF(BR267=0,0,IF(N(R267)&gt;0,R267,IFERROR(VLOOKUP(D267,Parameter!$A$35:$C$64,3,0)+0,0)))</f>
        <v>0</v>
      </c>
      <c r="BT267" s="55" t="n">
        <f aca="false">IF(Y267&lt;&gt;"",Y267,X267)</f>
        <v>3</v>
      </c>
      <c r="BU267" s="55" t="str">
        <f aca="false">IF(BT267=1,"L1",IF(OR(BT267=2,BT267=3),"L23",IF(BT267="Aussen","Aussen","-")))</f>
        <v>L23</v>
      </c>
      <c r="BV267" s="66" t="n">
        <f aca="false">IF(N(Z267)&gt;0,Z267,0)</f>
        <v>0</v>
      </c>
      <c r="BW267" s="60" t="n">
        <f aca="false">IF(ISNUMBER(AC267),1,0)</f>
        <v>0</v>
      </c>
      <c r="BX267" s="57" t="n">
        <f aca="false">N(AC267)</f>
        <v>0</v>
      </c>
      <c r="BY267" s="57" t="n">
        <f aca="false">N(L267)+N(M267)</f>
        <v>315</v>
      </c>
      <c r="BZ267" s="57" t="n">
        <f aca="false">ROUNDUP(G267/BQ267,0)</f>
        <v>2</v>
      </c>
      <c r="CA267" s="57" t="n">
        <f aca="false">ROUNDUP(BX267/BQ267,0)</f>
        <v>0</v>
      </c>
      <c r="CB267" s="60" t="n">
        <f aca="false">IF(BR267=1,0,IFERROR(VLOOKUP(BP267,'Gebinde-Kategorie'!$A$5:$M$45,5,0)+0,0))</f>
        <v>8</v>
      </c>
      <c r="CC267" s="60" t="n">
        <f aca="false">IFERROR(IF(OR(BT267=1,BT267=2,BT267=3),N(INDEX(Parameter!$I$5:$I$7,BT267)),0),0)</f>
        <v>0</v>
      </c>
      <c r="CD267" s="59" t="n">
        <f aca="false">IF(AND(Parameter!$B$21="Ja",ISNUMBER(U267),N(V267)&gt;0),IFERROR(N(INDEX(Parameter!$L$5:$L$7,U267))*INDEX(Parameter!$E$5:$E$7,U267)*V267/SUMIFS($V$7:$V$1576,$U$7:$U$1576,U267),0),0)</f>
        <v>0</v>
      </c>
    </row>
    <row r="268" customFormat="false" ht="15" hidden="false" customHeight="false" outlineLevel="0" collapsed="false">
      <c r="A268" s="55" t="s">
        <v>703</v>
      </c>
      <c r="B268" s="55" t="s">
        <v>704</v>
      </c>
      <c r="C268" s="55" t="s">
        <v>160</v>
      </c>
      <c r="D268" s="55" t="s">
        <v>178</v>
      </c>
      <c r="E268" s="55" t="s">
        <v>210</v>
      </c>
      <c r="F268" s="56" t="n">
        <v>21.54</v>
      </c>
      <c r="G268" s="57" t="n">
        <f aca="false">MAX(0,IF(AND(Parameter!$B$21="Ja",ISNUMBER(W268)),W268,IF(Parameter!$B$20="Jahresanfang 2025 + Export",BJ268+BI268,BI268)))</f>
        <v>18</v>
      </c>
      <c r="H268" s="57" t="n">
        <f aca="false">G268*F268</f>
        <v>387.72</v>
      </c>
      <c r="I268" s="57" t="n">
        <f aca="false">BL268*Parameter!$B$18</f>
        <v>58</v>
      </c>
      <c r="J268" s="58" t="n">
        <v>42</v>
      </c>
      <c r="K268" s="59" t="n">
        <v>1.38095238095238</v>
      </c>
      <c r="L268" s="57" t="n">
        <v>4</v>
      </c>
      <c r="M268" s="57" t="n">
        <v>60</v>
      </c>
      <c r="N268" s="60" t="n">
        <v>28</v>
      </c>
      <c r="O268" s="55" t="s">
        <v>284</v>
      </c>
      <c r="P268" s="57" t="n">
        <v>28</v>
      </c>
      <c r="Q268" s="60" t="n">
        <f aca="false">IF(BR268=1,0,IFERROR(VLOOKUP(BP268,'Gebinde-Kategorie'!$A$5:$M$45,13,0)+0,0))</f>
        <v>12</v>
      </c>
      <c r="R268" s="61"/>
      <c r="S268" s="62"/>
      <c r="T268" s="62"/>
      <c r="U268" s="55"/>
      <c r="V268" s="57"/>
      <c r="W268" s="57"/>
      <c r="X268" s="55" t="n">
        <f aca="false">IF(A268="","",IF(AND(Parameter!$B$21="Ja",ISNUMBER(U268)),U268,IF(IFERROR(VLOOKUP(D268,Parameter!$A$35:$C$64,2,0),"Nein")="2+3",IF(ISNUMBER(SEARCH("grosser Artikel",BM268)),2,IFERROR(VLOOKUP(BP268,Parameter!$F$35:$G$64,2,0),2)),IF(OR(IFERROR(VLOOKUP(D268,Parameter!$A$35:$C$64,2,0),"Nein")="Nein",IFERROR(VLOOKUP(D268,Parameter!$A$35:$C$64,2,0),"Nein")=""),"-",VLOOKUP(D268,Parameter!$A$35:$C$64,2,0)))))</f>
        <v>2</v>
      </c>
      <c r="Y268" s="62"/>
      <c r="Z268" s="63"/>
      <c r="AA268" s="57" t="n">
        <f aca="false">AP268</f>
        <v>84</v>
      </c>
      <c r="AB268" s="57" t="n">
        <f aca="false">MAX(AP268,G268)</f>
        <v>84</v>
      </c>
      <c r="AC268" s="64"/>
      <c r="AD268" s="57" t="n">
        <f aca="false">IF(LEFT(Cockpit!$C$5,1)="A",G268,IF(BW268=1,BX268,IF(LEFT(Cockpit!$C$5,1)="B",AH268,MAX(AH268,G268))))</f>
        <v>18</v>
      </c>
      <c r="AE268" s="57" t="n">
        <f aca="false">IF(BR268=1,0,ROUNDUP(AD268/BQ268,0))</f>
        <v>1</v>
      </c>
      <c r="AF268" s="59" t="n">
        <f aca="false">IF(CD268&gt;0,CD268*MAX(1,AD268/V268),IF(BR268=1,IF(AD268&lt;=0,0,BS268*MAX(1,IF(G268&gt;0,AD268/G268,1))),IF(Q268&gt;0,AE268/Q268,0))/MAX(0.1,N(Parameter!$M$21)))</f>
        <v>0.0833333333333333</v>
      </c>
      <c r="AG268" s="57" t="n">
        <f aca="false">AD268*F268</f>
        <v>387.72</v>
      </c>
      <c r="AH268" s="57" t="n">
        <f aca="false">ROUNDUP(MAX(I268/IF(BV268&gt;0,BV268,MAX(0.1,N(Cockpit!$C$6))),BY268)/BQ268,0)*BQ268</f>
        <v>84</v>
      </c>
      <c r="AI268" s="58" t="n">
        <f aca="false">IF(AF268&gt;0,I268/AF268,-1)</f>
        <v>696</v>
      </c>
      <c r="AJ268" s="58" t="n">
        <f aca="false">IF(AND(OR(BU268="L1",BU268="L23"),AF268&gt;0),SUMIFS($AF$7:$AF$1576,$BU$7:$BU$1576,BU268,$AI$7:$AI$1576,"&gt;"&amp;AI268)+SUMIFS($AF$7:$AF$1576,$BU$7:$BU$1576,BU268,$AI$7:$AI$1576,AI268,$BO$7:$BO$1576,"&lt;="&amp;BO268),"")</f>
        <v>11.4341758724367</v>
      </c>
      <c r="AK268" s="65" t="n">
        <f aca="false">IF(AJ268="",0,MAX(0,MIN(1,(IF(BU268="L1",Parameter!$E$5,Parameter!$E$6+Parameter!$E$7)-(AJ268-AF268))/AF268)))</f>
        <v>1</v>
      </c>
      <c r="AL268" s="57" t="n">
        <f aca="false">IF(LEFT(Cockpit!$I$5,1)="A",G268,IF(BW268=1,BX268,IF(LEFT(Cockpit!$I$5,1)="B",AP268,MAX(AP268,G268))))</f>
        <v>84</v>
      </c>
      <c r="AM268" s="57" t="n">
        <f aca="false">IF(BR268=1,0,ROUNDUP(AL268/BQ268,0))</f>
        <v>3</v>
      </c>
      <c r="AN268" s="59" t="n">
        <f aca="false">IF(CD268&gt;0,CD268*MAX(1,AL268/V268),IF(BR268=1,IF(AL268&lt;=0,0,BS268*MAX(1,IF(G268&gt;0,AL268/G268,1))),IF(Q268&gt;0,AM268/Q268,0))/MAX(0.1,N(Parameter!$M$21)))</f>
        <v>0.25</v>
      </c>
      <c r="AO268" s="57" t="n">
        <f aca="false">AL268*F268</f>
        <v>1809.36</v>
      </c>
      <c r="AP268" s="57" t="n">
        <f aca="false">ROUNDUP(MAX(I268/IF(BV268&gt;0,BV268,MAX(0.1,N(Cockpit!$I$6))),BY268)/BQ268,0)*BQ268</f>
        <v>84</v>
      </c>
      <c r="AQ268" s="58" t="n">
        <f aca="false">IF(AN268&gt;0,I268/AN268,-1)</f>
        <v>232</v>
      </c>
      <c r="AR268" s="58" t="n">
        <f aca="false">IF(AND(OR(BU268="L1",BU268="L23"),AN268&gt;0),SUMIFS($AN$7:$AN$1576,$BU$7:$BU$1576,BU268,$AQ$7:$AQ$1576,"&gt;"&amp;AQ268)+SUMIFS($AN$7:$AN$1576,$BU$7:$BU$1576,BU268,$AQ$7:$AQ$1576,AQ268,$BO$7:$BO$1576,"&lt;="&amp;BO268),"")</f>
        <v>47.3193370521743</v>
      </c>
      <c r="AS268" s="65" t="n">
        <f aca="false">IF(AR268="",0,MAX(0,MIN(1,(IF(BU268="L1",Parameter!$E$5,Parameter!$E$6+Parameter!$E$7)-(AR268-AN268))/AN268)))</f>
        <v>1</v>
      </c>
      <c r="AT268" s="57" t="n">
        <f aca="false">IF(LEFT(Cockpit!$O$5,1)="A",G268,IF(BW268=1,BX268,IF(LEFT(Cockpit!$O$5,1)="B",AX268,MAX(AX268,G268))))</f>
        <v>84</v>
      </c>
      <c r="AU268" s="57" t="n">
        <f aca="false">IF(BR268=1,0,ROUNDUP(AT268/BQ268,0))</f>
        <v>3</v>
      </c>
      <c r="AV268" s="59" t="n">
        <f aca="false">IF(CD268&gt;0,CD268*MAX(1,AT268/V268),IF(BR268=1,IF(AT268&lt;=0,0,BS268*MAX(1,IF(G268&gt;0,AT268/G268,1))),IF(Q268&gt;0,AU268/Q268,0))/MAX(0.1,N(Parameter!$M$21)))</f>
        <v>0.25</v>
      </c>
      <c r="AW268" s="57" t="n">
        <f aca="false">AT268*F268</f>
        <v>1809.36</v>
      </c>
      <c r="AX268" s="57" t="n">
        <f aca="false">ROUNDUP(MAX(I268/IF(BV268&gt;0,BV268,MAX(0.1,N(Cockpit!$O$6))),BY268)/BQ268,0)*BQ268</f>
        <v>84</v>
      </c>
      <c r="AY268" s="58" t="n">
        <f aca="false">IF(AV268&gt;0,I268/AV268,-1)</f>
        <v>232</v>
      </c>
      <c r="AZ268" s="58" t="n">
        <f aca="false">IF(AND(OR(BU268="L1",BU268="L23"),AV268&gt;0),SUMIFS($AV$7:$AV$1576,$BU$7:$BU$1576,BU268,$AY$7:$AY$1576,"&gt;"&amp;AY268)+SUMIFS($AV$7:$AV$1576,$BU$7:$BU$1576,BU268,$AY$7:$AY$1576,AY268,$BO$7:$BO$1576,"&lt;="&amp;BO268),"")</f>
        <v>43.9307489735862</v>
      </c>
      <c r="BA268" s="65" t="n">
        <f aca="false">IF(AZ268="",0,MAX(0,MIN(1,(IF(BU268="L1",Parameter!$E$5,Parameter!$E$6+Parameter!$E$7)-(AZ268-AV268))/AV268)))</f>
        <v>1</v>
      </c>
      <c r="BB268" s="55" t="str">
        <f aca="false">IF(AF268&lt;=0,"",IF(BU268="Aussen","Aussenlager",IF(BU268="-","Nicht im Lift",IF(AK268&gt;=1,"Lift",IF(AK268&lt;=0,"Aussenlager","teilweise")))))</f>
        <v>Lift</v>
      </c>
      <c r="BC268" s="55" t="str">
        <f aca="false">IF(AN268&lt;=0,"",IF(BU268="Aussen","Aussenlager",IF(BU268="-","Nicht im Lift",IF(AS268&gt;=1,"Lift",IF(AS268&lt;=0,"Aussenlager","teilweise")))))</f>
        <v>Lift</v>
      </c>
      <c r="BD268" s="55" t="str">
        <f aca="false">IF(AV268&lt;=0,"",IF(BU268="Aussen","Aussenlager",IF(BU268="-","Nicht im Lift",IF(BA268&gt;=1,"Lift",IF(BA268&lt;=0,"Aussenlager","teilweise")))))</f>
        <v>Lift</v>
      </c>
      <c r="BE268" s="55" t="str">
        <f aca="false">IF(A268="","",IF(BN268=1,"Neu; ","")&amp;IF(AND(BN268=0,BI268&lt;0),"negativer Bestand (Export "&amp;BI268&amp;"); ","")&amp;IF(I268&lt;=0,"Kein Verbrauch; ","")&amp;IF(CD268&gt;0,"Lift "&amp;U268&amp;" lt. Liftbericht (Fach "&amp;V268&amp;" Stk); ",IF(BR268=1,"Lose – Fläche geschätzt; ",""))&amp;IF(G268&gt;AP268,"Überbestand "&amp;ROUND(G268-AP268,0)&amp;" Stk / CHF "&amp;ROUND((G268-AP268)*F268,0)&amp;"; ","")&amp;IF(AND(BW268=1,BX268&lt;BY268),"MAX &lt; MB+LG; ","")&amp;IF(AND(CC268&gt;0,CB268*10&gt;CC268),"zu hoch für Tablar; ","")&amp;IF(AND(BN268=0,OR(BW268=1,Y268&lt;&gt;"",S268&lt;&gt;"",T268&lt;&gt;"",Z268&lt;&gt;"")),"manuell übersteuert; ","")&amp;IF(AND(BR268=0,Q268=0),"Gebinde unbekannt / Stellmass fehlt; ","")&amp;IF(AND(BR268=0,N(T268)&lt;=0,N(P268)&lt;=0),"Menge pro Gebinde fehlt (Ist = 1 Gebinde); ","")&amp;BM268)</f>
        <v/>
      </c>
      <c r="BF268" s="55"/>
      <c r="BG268" s="55"/>
      <c r="BH268" s="62"/>
      <c r="BI268" s="57" t="n">
        <v>18</v>
      </c>
      <c r="BJ268" s="57" t="n">
        <v>49</v>
      </c>
      <c r="BK268" s="56" t="n">
        <v>425.15</v>
      </c>
      <c r="BL268" s="57" t="n">
        <v>58</v>
      </c>
      <c r="BM268" s="55"/>
      <c r="BN268" s="60" t="n">
        <v>0</v>
      </c>
      <c r="BO268" s="60" t="n">
        <v>268</v>
      </c>
      <c r="BP268" s="55" t="str">
        <f aca="false">IF(S268&lt;&gt;"",UPPER(TRIM(S268)),IF(O268="","LOSE",O268))</f>
        <v>S62</v>
      </c>
      <c r="BQ268" s="57" t="n">
        <f aca="false">IF(BP268="LOSE",1,IF(N(T268)&gt;0,T268,IF(N(P268)&gt;0,P268,MAX(1,G268))))</f>
        <v>28</v>
      </c>
      <c r="BR268" s="60" t="n">
        <f aca="false">IF(BP268="LOSE",1,0)</f>
        <v>0</v>
      </c>
      <c r="BS268" s="59" t="n">
        <f aca="false">IF(BR268=0,0,IF(N(R268)&gt;0,R268,IFERROR(VLOOKUP(D268,Parameter!$A$35:$C$64,3,0)+0,0)))</f>
        <v>0</v>
      </c>
      <c r="BT268" s="55" t="n">
        <f aca="false">IF(Y268&lt;&gt;"",Y268,X268)</f>
        <v>2</v>
      </c>
      <c r="BU268" s="55" t="str">
        <f aca="false">IF(BT268=1,"L1",IF(OR(BT268=2,BT268=3),"L23",IF(BT268="Aussen","Aussen","-")))</f>
        <v>L23</v>
      </c>
      <c r="BV268" s="66" t="n">
        <f aca="false">IF(N(Z268)&gt;0,Z268,0)</f>
        <v>0</v>
      </c>
      <c r="BW268" s="60" t="n">
        <f aca="false">IF(ISNUMBER(AC268),1,0)</f>
        <v>0</v>
      </c>
      <c r="BX268" s="57" t="n">
        <f aca="false">N(AC268)</f>
        <v>0</v>
      </c>
      <c r="BY268" s="57" t="n">
        <f aca="false">N(L268)+N(M268)</f>
        <v>64</v>
      </c>
      <c r="BZ268" s="57" t="n">
        <f aca="false">ROUNDUP(G268/BQ268,0)</f>
        <v>1</v>
      </c>
      <c r="CA268" s="57" t="n">
        <f aca="false">ROUNDUP(BX268/BQ268,0)</f>
        <v>0</v>
      </c>
      <c r="CB268" s="60" t="n">
        <f aca="false">IF(BR268=1,0,IFERROR(VLOOKUP(BP268,'Gebinde-Kategorie'!$A$5:$M$45,5,0)+0,0))</f>
        <v>21</v>
      </c>
      <c r="CC268" s="60" t="n">
        <f aca="false">IFERROR(IF(OR(BT268=1,BT268=2,BT268=3),N(INDEX(Parameter!$I$5:$I$7,BT268)),0),0)</f>
        <v>0</v>
      </c>
      <c r="CD268" s="59" t="n">
        <f aca="false">IF(AND(Parameter!$B$21="Ja",ISNUMBER(U268),N(V268)&gt;0),IFERROR(N(INDEX(Parameter!$L$5:$L$7,U268))*INDEX(Parameter!$E$5:$E$7,U268)*V268/SUMIFS($V$7:$V$1576,$U$7:$U$1576,U268),0),0)</f>
        <v>0</v>
      </c>
    </row>
    <row r="269" customFormat="false" ht="15" hidden="false" customHeight="false" outlineLevel="0" collapsed="false">
      <c r="A269" s="55" t="s">
        <v>705</v>
      </c>
      <c r="B269" s="55" t="s">
        <v>706</v>
      </c>
      <c r="C269" s="55" t="s">
        <v>160</v>
      </c>
      <c r="D269" s="55" t="s">
        <v>168</v>
      </c>
      <c r="E269" s="55" t="s">
        <v>210</v>
      </c>
      <c r="F269" s="56" t="n">
        <v>97.95</v>
      </c>
      <c r="G269" s="57" t="n">
        <f aca="false">MAX(0,IF(AND(Parameter!$B$21="Ja",ISNUMBER(W269)),W269,IF(Parameter!$B$20="Jahresanfang 2025 + Export",BJ269+BI269,BI269)))</f>
        <v>4</v>
      </c>
      <c r="H269" s="57" t="n">
        <f aca="false">G269*F269</f>
        <v>391.8</v>
      </c>
      <c r="I269" s="57" t="n">
        <f aca="false">BL269*Parameter!$B$18</f>
        <v>25</v>
      </c>
      <c r="J269" s="58" t="n">
        <v>9.5</v>
      </c>
      <c r="K269" s="59" t="n">
        <v>2.63157894736842</v>
      </c>
      <c r="L269" s="57" t="n">
        <v>2</v>
      </c>
      <c r="M269" s="57" t="n">
        <v>25</v>
      </c>
      <c r="N269" s="60" t="n">
        <v>35</v>
      </c>
      <c r="O269" s="55" t="s">
        <v>179</v>
      </c>
      <c r="P269" s="57" t="n">
        <v>13</v>
      </c>
      <c r="Q269" s="60" t="n">
        <f aca="false">IF(BR269=1,0,IFERROR(VLOOKUP(BP269,'Gebinde-Kategorie'!$A$5:$M$45,13,0)+0,0))</f>
        <v>12</v>
      </c>
      <c r="R269" s="61"/>
      <c r="S269" s="62"/>
      <c r="T269" s="62"/>
      <c r="U269" s="55"/>
      <c r="V269" s="57"/>
      <c r="W269" s="57"/>
      <c r="X269" s="55" t="n">
        <f aca="false">IF(A269="","",IF(AND(Parameter!$B$21="Ja",ISNUMBER(U269)),U269,IF(IFERROR(VLOOKUP(D269,Parameter!$A$35:$C$64,2,0),"Nein")="2+3",IF(ISNUMBER(SEARCH("grosser Artikel",BM269)),2,IFERROR(VLOOKUP(BP269,Parameter!$F$35:$G$64,2,0),2)),IF(OR(IFERROR(VLOOKUP(D269,Parameter!$A$35:$C$64,2,0),"Nein")="Nein",IFERROR(VLOOKUP(D269,Parameter!$A$35:$C$64,2,0),"Nein")=""),"-",VLOOKUP(D269,Parameter!$A$35:$C$64,2,0)))))</f>
        <v>2</v>
      </c>
      <c r="Y269" s="62"/>
      <c r="Z269" s="63"/>
      <c r="AA269" s="57" t="n">
        <f aca="false">AP269</f>
        <v>39</v>
      </c>
      <c r="AB269" s="57" t="n">
        <f aca="false">MAX(AP269,G269)</f>
        <v>39</v>
      </c>
      <c r="AC269" s="64"/>
      <c r="AD269" s="57" t="n">
        <f aca="false">IF(LEFT(Cockpit!$C$5,1)="A",G269,IF(BW269=1,BX269,IF(LEFT(Cockpit!$C$5,1)="B",AH269,MAX(AH269,G269))))</f>
        <v>4</v>
      </c>
      <c r="AE269" s="57" t="n">
        <f aca="false">IF(BR269=1,0,ROUNDUP(AD269/BQ269,0))</f>
        <v>1</v>
      </c>
      <c r="AF269" s="59" t="n">
        <f aca="false">IF(CD269&gt;0,CD269*MAX(1,AD269/V269),IF(BR269=1,IF(AD269&lt;=0,0,BS269*MAX(1,IF(G269&gt;0,AD269/G269,1))),IF(Q269&gt;0,AE269/Q269,0))/MAX(0.1,N(Parameter!$M$21)))</f>
        <v>0.0833333333333333</v>
      </c>
      <c r="AG269" s="57" t="n">
        <f aca="false">AD269*F269</f>
        <v>391.8</v>
      </c>
      <c r="AH269" s="57" t="n">
        <f aca="false">ROUNDUP(MAX(I269/IF(BV269&gt;0,BV269,MAX(0.1,N(Cockpit!$C$6))),BY269)/BQ269,0)*BQ269</f>
        <v>39</v>
      </c>
      <c r="AI269" s="58" t="n">
        <f aca="false">IF(AF269&gt;0,I269/AF269,-1)</f>
        <v>300</v>
      </c>
      <c r="AJ269" s="58" t="n">
        <f aca="false">IF(AND(OR(BU269="L1",BU269="L23"),AF269&gt;0),SUMIFS($AF$7:$AF$1576,$BU$7:$BU$1576,BU269,$AI$7:$AI$1576,"&gt;"&amp;AI269)+SUMIFS($AF$7:$AF$1576,$BU$7:$BU$1576,BU269,$AI$7:$AI$1576,AI269,$BO$7:$BO$1576,"&lt;="&amp;BO269),"")</f>
        <v>14.7913077260903</v>
      </c>
      <c r="AK269" s="65" t="n">
        <f aca="false">IF(AJ269="",0,MAX(0,MIN(1,(IF(BU269="L1",Parameter!$E$5,Parameter!$E$6+Parameter!$E$7)-(AJ269-AF269))/AF269)))</f>
        <v>1</v>
      </c>
      <c r="AL269" s="57" t="n">
        <f aca="false">IF(LEFT(Cockpit!$I$5,1)="A",G269,IF(BW269=1,BX269,IF(LEFT(Cockpit!$I$5,1)="B",AP269,MAX(AP269,G269))))</f>
        <v>39</v>
      </c>
      <c r="AM269" s="57" t="n">
        <f aca="false">IF(BR269=1,0,ROUNDUP(AL269/BQ269,0))</f>
        <v>3</v>
      </c>
      <c r="AN269" s="59" t="n">
        <f aca="false">IF(CD269&gt;0,CD269*MAX(1,AL269/V269),IF(BR269=1,IF(AL269&lt;=0,0,BS269*MAX(1,IF(G269&gt;0,AL269/G269,1))),IF(Q269&gt;0,AM269/Q269,0))/MAX(0.1,N(Parameter!$M$21)))</f>
        <v>0.25</v>
      </c>
      <c r="AO269" s="57" t="n">
        <f aca="false">AL269*F269</f>
        <v>3820.05</v>
      </c>
      <c r="AP269" s="57" t="n">
        <f aca="false">ROUNDUP(MAX(I269/IF(BV269&gt;0,BV269,MAX(0.1,N(Cockpit!$I$6))),BY269)/BQ269,0)*BQ269</f>
        <v>39</v>
      </c>
      <c r="AQ269" s="58" t="n">
        <f aca="false">IF(AN269&gt;0,I269/AN269,-1)</f>
        <v>100</v>
      </c>
      <c r="AR269" s="58" t="n">
        <f aca="false">IF(AND(OR(BU269="L1",BU269="L23"),AN269&gt;0),SUMIFS($AN$7:$AN$1576,$BU$7:$BU$1576,BU269,$AQ$7:$AQ$1576,"&gt;"&amp;AQ269)+SUMIFS($AN$7:$AN$1576,$BU$7:$BU$1576,BU269,$AQ$7:$AQ$1576,AQ269,$BO$7:$BO$1576,"&lt;="&amp;BO269),"")</f>
        <v>69.3367780230392</v>
      </c>
      <c r="AS269" s="65" t="n">
        <f aca="false">IF(AR269="",0,MAX(0,MIN(1,(IF(BU269="L1",Parameter!$E$5,Parameter!$E$6+Parameter!$E$7)-(AR269-AN269))/AN269)))</f>
        <v>1</v>
      </c>
      <c r="AT269" s="57" t="n">
        <f aca="false">IF(LEFT(Cockpit!$O$5,1)="A",G269,IF(BW269=1,BX269,IF(LEFT(Cockpit!$O$5,1)="B",AX269,MAX(AX269,G269))))</f>
        <v>39</v>
      </c>
      <c r="AU269" s="57" t="n">
        <f aca="false">IF(BR269=1,0,ROUNDUP(AT269/BQ269,0))</f>
        <v>3</v>
      </c>
      <c r="AV269" s="59" t="n">
        <f aca="false">IF(CD269&gt;0,CD269*MAX(1,AT269/V269),IF(BR269=1,IF(AT269&lt;=0,0,BS269*MAX(1,IF(G269&gt;0,AT269/G269,1))),IF(Q269&gt;0,AU269/Q269,0))/MAX(0.1,N(Parameter!$M$21)))</f>
        <v>0.25</v>
      </c>
      <c r="AW269" s="57" t="n">
        <f aca="false">AT269*F269</f>
        <v>3820.05</v>
      </c>
      <c r="AX269" s="57" t="n">
        <f aca="false">ROUNDUP(MAX(I269/IF(BV269&gt;0,BV269,MAX(0.1,N(Cockpit!$O$6))),BY269)/BQ269,0)*BQ269</f>
        <v>39</v>
      </c>
      <c r="AY269" s="58" t="n">
        <f aca="false">IF(AV269&gt;0,I269/AV269,-1)</f>
        <v>100</v>
      </c>
      <c r="AZ269" s="58" t="n">
        <f aca="false">IF(AND(OR(BU269="L1",BU269="L23"),AV269&gt;0),SUMIFS($AV$7:$AV$1576,$BU$7:$BU$1576,BU269,$AY$7:$AY$1576,"&gt;"&amp;AY269)+SUMIFS($AV$7:$AV$1576,$BU$7:$BU$1576,BU269,$AY$7:$AY$1576,AY269,$BO$7:$BO$1576,"&lt;="&amp;BO269),"")</f>
        <v>63.897161805923</v>
      </c>
      <c r="BA269" s="65" t="n">
        <f aca="false">IF(AZ269="",0,MAX(0,MIN(1,(IF(BU269="L1",Parameter!$E$5,Parameter!$E$6+Parameter!$E$7)-(AZ269-AV269))/AV269)))</f>
        <v>1</v>
      </c>
      <c r="BB269" s="55" t="str">
        <f aca="false">IF(AF269&lt;=0,"",IF(BU269="Aussen","Aussenlager",IF(BU269="-","Nicht im Lift",IF(AK269&gt;=1,"Lift",IF(AK269&lt;=0,"Aussenlager","teilweise")))))</f>
        <v>Lift</v>
      </c>
      <c r="BC269" s="55" t="str">
        <f aca="false">IF(AN269&lt;=0,"",IF(BU269="Aussen","Aussenlager",IF(BU269="-","Nicht im Lift",IF(AS269&gt;=1,"Lift",IF(AS269&lt;=0,"Aussenlager","teilweise")))))</f>
        <v>Lift</v>
      </c>
      <c r="BD269" s="55" t="str">
        <f aca="false">IF(AV269&lt;=0,"",IF(BU269="Aussen","Aussenlager",IF(BU269="-","Nicht im Lift",IF(BA269&gt;=1,"Lift",IF(BA269&lt;=0,"Aussenlager","teilweise")))))</f>
        <v>Lift</v>
      </c>
      <c r="BE269" s="55" t="str">
        <f aca="false">IF(A269="","",IF(BN269=1,"Neu; ","")&amp;IF(AND(BN269=0,BI269&lt;0),"negativer Bestand (Export "&amp;BI269&amp;"); ","")&amp;IF(I269&lt;=0,"Kein Verbrauch; ","")&amp;IF(CD269&gt;0,"Lift "&amp;U269&amp;" lt. Liftbericht (Fach "&amp;V269&amp;" Stk); ",IF(BR269=1,"Lose – Fläche geschätzt; ",""))&amp;IF(G269&gt;AP269,"Überbestand "&amp;ROUND(G269-AP269,0)&amp;" Stk / CHF "&amp;ROUND((G269-AP269)*F269,0)&amp;"; ","")&amp;IF(AND(BW269=1,BX269&lt;BY269),"MAX &lt; MB+LG; ","")&amp;IF(AND(CC269&gt;0,CB269*10&gt;CC269),"zu hoch für Tablar; ","")&amp;IF(AND(BN269=0,OR(BW269=1,Y269&lt;&gt;"",S269&lt;&gt;"",T269&lt;&gt;"",Z269&lt;&gt;"")),"manuell übersteuert; ","")&amp;IF(AND(BR269=0,Q269=0),"Gebinde unbekannt / Stellmass fehlt; ","")&amp;IF(AND(BR269=0,N(T269)&lt;=0,N(P269)&lt;=0),"Menge pro Gebinde fehlt (Ist = 1 Gebinde); ","")&amp;BM269)</f>
        <v/>
      </c>
      <c r="BF269" s="55"/>
      <c r="BG269" s="55"/>
      <c r="BH269" s="62"/>
      <c r="BI269" s="57" t="n">
        <v>4</v>
      </c>
      <c r="BJ269" s="57" t="n">
        <v>7</v>
      </c>
      <c r="BK269" s="56" t="n">
        <v>417.56</v>
      </c>
      <c r="BL269" s="57" t="n">
        <v>25</v>
      </c>
      <c r="BM269" s="55"/>
      <c r="BN269" s="60" t="n">
        <v>0</v>
      </c>
      <c r="BO269" s="60" t="n">
        <v>269</v>
      </c>
      <c r="BP269" s="55" t="str">
        <f aca="false">IF(S269&lt;&gt;"",UPPER(TRIM(S269)),IF(O269="","LOSE",O269))</f>
        <v>S61</v>
      </c>
      <c r="BQ269" s="57" t="n">
        <f aca="false">IF(BP269="LOSE",1,IF(N(T269)&gt;0,T269,IF(N(P269)&gt;0,P269,MAX(1,G269))))</f>
        <v>13</v>
      </c>
      <c r="BR269" s="60" t="n">
        <f aca="false">IF(BP269="LOSE",1,0)</f>
        <v>0</v>
      </c>
      <c r="BS269" s="59" t="n">
        <f aca="false">IF(BR269=0,0,IF(N(R269)&gt;0,R269,IFERROR(VLOOKUP(D269,Parameter!$A$35:$C$64,3,0)+0,0)))</f>
        <v>0</v>
      </c>
      <c r="BT269" s="55" t="n">
        <f aca="false">IF(Y269&lt;&gt;"",Y269,X269)</f>
        <v>2</v>
      </c>
      <c r="BU269" s="55" t="str">
        <f aca="false">IF(BT269=1,"L1",IF(OR(BT269=2,BT269=3),"L23",IF(BT269="Aussen","Aussen","-")))</f>
        <v>L23</v>
      </c>
      <c r="BV269" s="66" t="n">
        <f aca="false">IF(N(Z269)&gt;0,Z269,0)</f>
        <v>0</v>
      </c>
      <c r="BW269" s="60" t="n">
        <f aca="false">IF(ISNUMBER(AC269),1,0)</f>
        <v>0</v>
      </c>
      <c r="BX269" s="57" t="n">
        <f aca="false">N(AC269)</f>
        <v>0</v>
      </c>
      <c r="BY269" s="57" t="n">
        <f aca="false">N(L269)+N(M269)</f>
        <v>27</v>
      </c>
      <c r="BZ269" s="57" t="n">
        <f aca="false">ROUNDUP(G269/BQ269,0)</f>
        <v>1</v>
      </c>
      <c r="CA269" s="57" t="n">
        <f aca="false">ROUNDUP(BX269/BQ269,0)</f>
        <v>0</v>
      </c>
      <c r="CB269" s="60" t="n">
        <f aca="false">IF(BR269=1,0,IFERROR(VLOOKUP(BP269,'Gebinde-Kategorie'!$A$5:$M$45,5,0)+0,0))</f>
        <v>11</v>
      </c>
      <c r="CC269" s="60" t="n">
        <f aca="false">IFERROR(IF(OR(BT269=1,BT269=2,BT269=3),N(INDEX(Parameter!$I$5:$I$7,BT269)),0),0)</f>
        <v>0</v>
      </c>
      <c r="CD269" s="59" t="n">
        <f aca="false">IF(AND(Parameter!$B$21="Ja",ISNUMBER(U269),N(V269)&gt;0),IFERROR(N(INDEX(Parameter!$L$5:$L$7,U269))*INDEX(Parameter!$E$5:$E$7,U269)*V269/SUMIFS($V$7:$V$1576,$U$7:$U$1576,U269),0),0)</f>
        <v>0</v>
      </c>
    </row>
    <row r="270" customFormat="false" ht="15" hidden="false" customHeight="false" outlineLevel="0" collapsed="false">
      <c r="A270" s="55" t="s">
        <v>707</v>
      </c>
      <c r="B270" s="55" t="s">
        <v>708</v>
      </c>
      <c r="C270" s="55" t="s">
        <v>160</v>
      </c>
      <c r="D270" s="55" t="s">
        <v>178</v>
      </c>
      <c r="E270" s="55" t="s">
        <v>210</v>
      </c>
      <c r="F270" s="56" t="n">
        <v>16.65</v>
      </c>
      <c r="G270" s="57" t="n">
        <f aca="false">MAX(0,IF(AND(Parameter!$B$21="Ja",ISNUMBER(W270)),W270,IF(Parameter!$B$20="Jahresanfang 2025 + Export",BJ270+BI270,BI270)))</f>
        <v>25</v>
      </c>
      <c r="H270" s="57" t="n">
        <f aca="false">G270*F270</f>
        <v>416.25</v>
      </c>
      <c r="I270" s="57" t="n">
        <f aca="false">BL270*Parameter!$B$18</f>
        <v>0</v>
      </c>
      <c r="J270" s="58" t="n">
        <v>0</v>
      </c>
      <c r="K270" s="59" t="n">
        <v>0</v>
      </c>
      <c r="L270" s="57" t="n">
        <v>0</v>
      </c>
      <c r="M270" s="57" t="n">
        <v>5</v>
      </c>
      <c r="N270" s="60" t="n">
        <v>9999</v>
      </c>
      <c r="O270" s="55" t="s">
        <v>163</v>
      </c>
      <c r="P270" s="57"/>
      <c r="Q270" s="60" t="n">
        <f aca="false">IF(BR270=1,0,IFERROR(VLOOKUP(BP270,'Gebinde-Kategorie'!$A$5:$M$45,13,0)+0,0))</f>
        <v>0</v>
      </c>
      <c r="R270" s="61"/>
      <c r="S270" s="62"/>
      <c r="T270" s="62"/>
      <c r="U270" s="55"/>
      <c r="V270" s="57"/>
      <c r="W270" s="57"/>
      <c r="X270" s="55" t="n">
        <f aca="false">IF(A270="","",IF(AND(Parameter!$B$21="Ja",ISNUMBER(U270)),U270,IF(IFERROR(VLOOKUP(D270,Parameter!$A$35:$C$64,2,0),"Nein")="2+3",IF(ISNUMBER(SEARCH("grosser Artikel",BM270)),2,IFERROR(VLOOKUP(BP270,Parameter!$F$35:$G$64,2,0),2)),IF(OR(IFERROR(VLOOKUP(D270,Parameter!$A$35:$C$64,2,0),"Nein")="Nein",IFERROR(VLOOKUP(D270,Parameter!$A$35:$C$64,2,0),"Nein")=""),"-",VLOOKUP(D270,Parameter!$A$35:$C$64,2,0)))))</f>
        <v>2</v>
      </c>
      <c r="Y270" s="62"/>
      <c r="Z270" s="63"/>
      <c r="AA270" s="57" t="n">
        <f aca="false">AP270</f>
        <v>5</v>
      </c>
      <c r="AB270" s="57" t="n">
        <f aca="false">MAX(AP270,G270)</f>
        <v>25</v>
      </c>
      <c r="AC270" s="64"/>
      <c r="AD270" s="57" t="n">
        <f aca="false">IF(LEFT(Cockpit!$C$5,1)="A",G270,IF(BW270=1,BX270,IF(LEFT(Cockpit!$C$5,1)="B",AH270,MAX(AH270,G270))))</f>
        <v>25</v>
      </c>
      <c r="AE270" s="57" t="n">
        <f aca="false">IF(BR270=1,0,ROUNDUP(AD270/BQ270,0))</f>
        <v>0</v>
      </c>
      <c r="AF270" s="59" t="n">
        <f aca="false">IF(CD270&gt;0,CD270*MAX(1,AD270/V270),IF(BR270=1,IF(AD270&lt;=0,0,BS270*MAX(1,IF(G270&gt;0,AD270/G270,1))),IF(Q270&gt;0,AE270/Q270,0))/MAX(0.1,N(Parameter!$M$21)))</f>
        <v>0.03</v>
      </c>
      <c r="AG270" s="57" t="n">
        <f aca="false">AD270*F270</f>
        <v>416.25</v>
      </c>
      <c r="AH270" s="57" t="n">
        <f aca="false">ROUNDUP(MAX(I270/IF(BV270&gt;0,BV270,MAX(0.1,N(Cockpit!$C$6))),BY270)/BQ270,0)*BQ270</f>
        <v>5</v>
      </c>
      <c r="AI270" s="58" t="n">
        <f aca="false">IF(AF270&gt;0,I270/AF270,-1)</f>
        <v>0</v>
      </c>
      <c r="AJ270" s="58" t="n">
        <f aca="false">IF(AND(OR(BU270="L1",BU270="L23"),AF270&gt;0),SUMIFS($AF$7:$AF$1576,$BU$7:$BU$1576,BU270,$AI$7:$AI$1576,"&gt;"&amp;AI270)+SUMIFS($AF$7:$AF$1576,$BU$7:$BU$1576,BU270,$AI$7:$AI$1576,AI270,$BO$7:$BO$1576,"&lt;="&amp;BO270),"")</f>
        <v>40.3347728117293</v>
      </c>
      <c r="AK270" s="65" t="n">
        <f aca="false">IF(AJ270="",0,MAX(0,MIN(1,(IF(BU270="L1",Parameter!$E$5,Parameter!$E$6+Parameter!$E$7)-(AJ270-AF270))/AF270)))</f>
        <v>1</v>
      </c>
      <c r="AL270" s="57" t="n">
        <f aca="false">IF(LEFT(Cockpit!$I$5,1)="A",G270,IF(BW270=1,BX270,IF(LEFT(Cockpit!$I$5,1)="B",AP270,MAX(AP270,G270))))</f>
        <v>25</v>
      </c>
      <c r="AM270" s="57" t="n">
        <f aca="false">IF(BR270=1,0,ROUNDUP(AL270/BQ270,0))</f>
        <v>0</v>
      </c>
      <c r="AN270" s="59" t="n">
        <f aca="false">IF(CD270&gt;0,CD270*MAX(1,AL270/V270),IF(BR270=1,IF(AL270&lt;=0,0,BS270*MAX(1,IF(G270&gt;0,AL270/G270,1))),IF(Q270&gt;0,AM270/Q270,0))/MAX(0.1,N(Parameter!$M$21)))</f>
        <v>0.03</v>
      </c>
      <c r="AO270" s="57" t="n">
        <f aca="false">AL270*F270</f>
        <v>416.25</v>
      </c>
      <c r="AP270" s="57" t="n">
        <f aca="false">ROUNDUP(MAX(I270/IF(BV270&gt;0,BV270,MAX(0.1,N(Cockpit!$I$6))),BY270)/BQ270,0)*BQ270</f>
        <v>5</v>
      </c>
      <c r="AQ270" s="58" t="n">
        <f aca="false">IF(AN270&gt;0,I270/AN270,-1)</f>
        <v>0</v>
      </c>
      <c r="AR270" s="58" t="n">
        <f aca="false">IF(AND(OR(BU270="L1",BU270="L23"),AN270&gt;0),SUMIFS($AN$7:$AN$1576,$BU$7:$BU$1576,BU270,$AQ$7:$AQ$1576,"&gt;"&amp;AQ270)+SUMIFS($AN$7:$AN$1576,$BU$7:$BU$1576,BU270,$AQ$7:$AQ$1576,AQ270,$BO$7:$BO$1576,"&lt;="&amp;BO270),"")</f>
        <v>123.208978561519</v>
      </c>
      <c r="AS270" s="65" t="n">
        <f aca="false">IF(AR270="",0,MAX(0,MIN(1,(IF(BU270="L1",Parameter!$E$5,Parameter!$E$6+Parameter!$E$7)-(AR270-AN270))/AN270)))</f>
        <v>0</v>
      </c>
      <c r="AT270" s="57" t="n">
        <f aca="false">IF(LEFT(Cockpit!$O$5,1)="A",G270,IF(BW270=1,BX270,IF(LEFT(Cockpit!$O$5,1)="B",AX270,MAX(AX270,G270))))</f>
        <v>25</v>
      </c>
      <c r="AU270" s="57" t="n">
        <f aca="false">IF(BR270=1,0,ROUNDUP(AT270/BQ270,0))</f>
        <v>0</v>
      </c>
      <c r="AV270" s="59" t="n">
        <f aca="false">IF(CD270&gt;0,CD270*MAX(1,AT270/V270),IF(BR270=1,IF(AT270&lt;=0,0,BS270*MAX(1,IF(G270&gt;0,AT270/G270,1))),IF(Q270&gt;0,AU270/Q270,0))/MAX(0.1,N(Parameter!$M$21)))</f>
        <v>0.03</v>
      </c>
      <c r="AW270" s="57" t="n">
        <f aca="false">AT270*F270</f>
        <v>416.25</v>
      </c>
      <c r="AX270" s="57" t="n">
        <f aca="false">ROUNDUP(MAX(I270/IF(BV270&gt;0,BV270,MAX(0.1,N(Cockpit!$O$6))),BY270)/BQ270,0)*BQ270</f>
        <v>5</v>
      </c>
      <c r="AY270" s="58" t="n">
        <f aca="false">IF(AV270&gt;0,I270/AV270,-1)</f>
        <v>0</v>
      </c>
      <c r="AZ270" s="58" t="n">
        <f aca="false">IF(AND(OR(BU270="L1",BU270="L23"),AV270&gt;0),SUMIFS($AV$7:$AV$1576,$BU$7:$BU$1576,BU270,$AY$7:$AY$1576,"&gt;"&amp;AY270)+SUMIFS($AV$7:$AV$1576,$BU$7:$BU$1576,BU270,$AY$7:$AY$1576,AY270,$BO$7:$BO$1576,"&lt;="&amp;BO270),"")</f>
        <v>113.268529011069</v>
      </c>
      <c r="BA270" s="65" t="n">
        <f aca="false">IF(AZ270="",0,MAX(0,MIN(1,(IF(BU270="L1",Parameter!$E$5,Parameter!$E$6+Parameter!$E$7)-(AZ270-AV270))/AV270)))</f>
        <v>0</v>
      </c>
      <c r="BB270" s="55" t="str">
        <f aca="false">IF(AF270&lt;=0,"",IF(BU270="Aussen","Aussenlager",IF(BU270="-","Nicht im Lift",IF(AK270&gt;=1,"Lift",IF(AK270&lt;=0,"Aussenlager","teilweise")))))</f>
        <v>Lift</v>
      </c>
      <c r="BC270" s="55" t="str">
        <f aca="false">IF(AN270&lt;=0,"",IF(BU270="Aussen","Aussenlager",IF(BU270="-","Nicht im Lift",IF(AS270&gt;=1,"Lift",IF(AS270&lt;=0,"Aussenlager","teilweise")))))</f>
        <v>Aussenlager</v>
      </c>
      <c r="BD270" s="55" t="str">
        <f aca="false">IF(AV270&lt;=0,"",IF(BU270="Aussen","Aussenlager",IF(BU270="-","Nicht im Lift",IF(BA270&gt;=1,"Lift",IF(BA270&lt;=0,"Aussenlager","teilweise")))))</f>
        <v>Aussenlager</v>
      </c>
      <c r="BE270" s="55" t="str">
        <f aca="false">IF(A270="","",IF(BN270=1,"Neu; ","")&amp;IF(AND(BN270=0,BI270&lt;0),"negativer Bestand (Export "&amp;BI270&amp;"); ","")&amp;IF(I270&lt;=0,"Kein Verbrauch; ","")&amp;IF(CD270&gt;0,"Lift "&amp;U270&amp;" lt. Liftbericht (Fach "&amp;V270&amp;" Stk); ",IF(BR270=1,"Lose – Fläche geschätzt; ",""))&amp;IF(G270&gt;AP270,"Überbestand "&amp;ROUND(G270-AP270,0)&amp;" Stk / CHF "&amp;ROUND((G270-AP270)*F270,0)&amp;"; ","")&amp;IF(AND(BW270=1,BX270&lt;BY270),"MAX &lt; MB+LG; ","")&amp;IF(AND(CC270&gt;0,CB270*10&gt;CC270),"zu hoch für Tablar; ","")&amp;IF(AND(BN270=0,OR(BW270=1,Y270&lt;&gt;"",S270&lt;&gt;"",T270&lt;&gt;"",Z270&lt;&gt;"")),"manuell übersteuert; ","")&amp;IF(AND(BR270=0,Q270=0),"Gebinde unbekannt / Stellmass fehlt; ","")&amp;IF(AND(BR270=0,N(T270)&lt;=0,N(P270)&lt;=0),"Menge pro Gebinde fehlt (Ist = 1 Gebinde); ","")&amp;BM270)</f>
        <v>Kein Verbrauch; Lose – Fläche geschätzt; Überbestand 20 Stk / CHF 333; </v>
      </c>
      <c r="BF270" s="55"/>
      <c r="BG270" s="55"/>
      <c r="BH270" s="62"/>
      <c r="BI270" s="57" t="n">
        <v>25</v>
      </c>
      <c r="BJ270" s="57" t="n">
        <v>0</v>
      </c>
      <c r="BK270" s="56" t="n">
        <v>416.25</v>
      </c>
      <c r="BL270" s="57" t="n">
        <v>0</v>
      </c>
      <c r="BM270" s="55"/>
      <c r="BN270" s="60" t="n">
        <v>0</v>
      </c>
      <c r="BO270" s="60" t="n">
        <v>270</v>
      </c>
      <c r="BP270" s="55" t="str">
        <f aca="false">IF(S270&lt;&gt;"",UPPER(TRIM(S270)),IF(O270="","LOSE",O270))</f>
        <v>LOSE</v>
      </c>
      <c r="BQ270" s="57" t="n">
        <f aca="false">IF(BP270="LOSE",1,IF(N(T270)&gt;0,T270,IF(N(P270)&gt;0,P270,MAX(1,G270))))</f>
        <v>1</v>
      </c>
      <c r="BR270" s="60" t="n">
        <f aca="false">IF(BP270="LOSE",1,0)</f>
        <v>1</v>
      </c>
      <c r="BS270" s="59" t="n">
        <f aca="false">IF(BR270=0,0,IF(N(R270)&gt;0,R270,IFERROR(VLOOKUP(D270,Parameter!$A$35:$C$64,3,0)+0,0)))</f>
        <v>0.03</v>
      </c>
      <c r="BT270" s="55" t="n">
        <f aca="false">IF(Y270&lt;&gt;"",Y270,X270)</f>
        <v>2</v>
      </c>
      <c r="BU270" s="55" t="str">
        <f aca="false">IF(BT270=1,"L1",IF(OR(BT270=2,BT270=3),"L23",IF(BT270="Aussen","Aussen","-")))</f>
        <v>L23</v>
      </c>
      <c r="BV270" s="66" t="n">
        <f aca="false">IF(N(Z270)&gt;0,Z270,0)</f>
        <v>0</v>
      </c>
      <c r="BW270" s="60" t="n">
        <f aca="false">IF(ISNUMBER(AC270),1,0)</f>
        <v>0</v>
      </c>
      <c r="BX270" s="57" t="n">
        <f aca="false">N(AC270)</f>
        <v>0</v>
      </c>
      <c r="BY270" s="57" t="n">
        <f aca="false">N(L270)+N(M270)</f>
        <v>5</v>
      </c>
      <c r="BZ270" s="57" t="n">
        <f aca="false">ROUNDUP(G270/BQ270,0)</f>
        <v>25</v>
      </c>
      <c r="CA270" s="57" t="n">
        <f aca="false">ROUNDUP(BX270/BQ270,0)</f>
        <v>0</v>
      </c>
      <c r="CB270" s="60" t="n">
        <f aca="false">IF(BR270=1,0,IFERROR(VLOOKUP(BP270,'Gebinde-Kategorie'!$A$5:$M$45,5,0)+0,0))</f>
        <v>0</v>
      </c>
      <c r="CC270" s="60" t="n">
        <f aca="false">IFERROR(IF(OR(BT270=1,BT270=2,BT270=3),N(INDEX(Parameter!$I$5:$I$7,BT270)),0),0)</f>
        <v>0</v>
      </c>
      <c r="CD270" s="59" t="n">
        <f aca="false">IF(AND(Parameter!$B$21="Ja",ISNUMBER(U270),N(V270)&gt;0),IFERROR(N(INDEX(Parameter!$L$5:$L$7,U270))*INDEX(Parameter!$E$5:$E$7,U270)*V270/SUMIFS($V$7:$V$1576,$U$7:$U$1576,U270),0),0)</f>
        <v>0</v>
      </c>
    </row>
    <row r="271" customFormat="false" ht="15" hidden="false" customHeight="false" outlineLevel="0" collapsed="false">
      <c r="A271" s="55" t="s">
        <v>709</v>
      </c>
      <c r="B271" s="55" t="s">
        <v>472</v>
      </c>
      <c r="C271" s="55" t="s">
        <v>160</v>
      </c>
      <c r="D271" s="55" t="s">
        <v>178</v>
      </c>
      <c r="E271" s="55" t="s">
        <v>210</v>
      </c>
      <c r="F271" s="56" t="n">
        <v>100.35</v>
      </c>
      <c r="G271" s="57" t="n">
        <f aca="false">MAX(0,IF(AND(Parameter!$B$21="Ja",ISNUMBER(W271)),W271,IF(Parameter!$B$20="Jahresanfang 2025 + Export",BJ271+BI271,BI271)))</f>
        <v>4</v>
      </c>
      <c r="H271" s="57" t="n">
        <f aca="false">G271*F271</f>
        <v>401.4</v>
      </c>
      <c r="I271" s="57" t="n">
        <f aca="false">BL271*Parameter!$B$18</f>
        <v>6</v>
      </c>
      <c r="J271" s="58" t="n">
        <v>0</v>
      </c>
      <c r="K271" s="59" t="n">
        <v>0</v>
      </c>
      <c r="L271" s="57" t="n">
        <v>0</v>
      </c>
      <c r="M271" s="57" t="n">
        <v>5</v>
      </c>
      <c r="N271" s="60" t="n">
        <v>14</v>
      </c>
      <c r="O271" s="55" t="s">
        <v>411</v>
      </c>
      <c r="P271" s="57" t="n">
        <v>4</v>
      </c>
      <c r="Q271" s="60" t="n">
        <f aca="false">IF(BR271=1,0,IFERROR(VLOOKUP(BP271,'Gebinde-Kategorie'!$A$5:$M$45,13,0)+0,0))</f>
        <v>132</v>
      </c>
      <c r="R271" s="61"/>
      <c r="S271" s="62"/>
      <c r="T271" s="62"/>
      <c r="U271" s="55"/>
      <c r="V271" s="57"/>
      <c r="W271" s="57"/>
      <c r="X271" s="55" t="n">
        <f aca="false">IF(A271="","",IF(AND(Parameter!$B$21="Ja",ISNUMBER(U271)),U271,IF(IFERROR(VLOOKUP(D271,Parameter!$A$35:$C$64,2,0),"Nein")="2+3",IF(ISNUMBER(SEARCH("grosser Artikel",BM271)),2,IFERROR(VLOOKUP(BP271,Parameter!$F$35:$G$64,2,0),2)),IF(OR(IFERROR(VLOOKUP(D271,Parameter!$A$35:$C$64,2,0),"Nein")="Nein",IFERROR(VLOOKUP(D271,Parameter!$A$35:$C$64,2,0),"Nein")=""),"-",VLOOKUP(D271,Parameter!$A$35:$C$64,2,0)))))</f>
        <v>3</v>
      </c>
      <c r="Y271" s="62"/>
      <c r="Z271" s="63"/>
      <c r="AA271" s="57" t="n">
        <f aca="false">AP271</f>
        <v>8</v>
      </c>
      <c r="AB271" s="57" t="n">
        <f aca="false">MAX(AP271,G271)</f>
        <v>8</v>
      </c>
      <c r="AC271" s="64"/>
      <c r="AD271" s="57" t="n">
        <f aca="false">IF(LEFT(Cockpit!$C$5,1)="A",G271,IF(BW271=1,BX271,IF(LEFT(Cockpit!$C$5,1)="B",AH271,MAX(AH271,G271))))</f>
        <v>4</v>
      </c>
      <c r="AE271" s="57" t="n">
        <f aca="false">IF(BR271=1,0,ROUNDUP(AD271/BQ271,0))</f>
        <v>1</v>
      </c>
      <c r="AF271" s="59" t="n">
        <f aca="false">IF(CD271&gt;0,CD271*MAX(1,AD271/V271),IF(BR271=1,IF(AD271&lt;=0,0,BS271*MAX(1,IF(G271&gt;0,AD271/G271,1))),IF(Q271&gt;0,AE271/Q271,0))/MAX(0.1,N(Parameter!$M$21)))</f>
        <v>0.00757575757575758</v>
      </c>
      <c r="AG271" s="57" t="n">
        <f aca="false">AD271*F271</f>
        <v>401.4</v>
      </c>
      <c r="AH271" s="57" t="n">
        <f aca="false">ROUNDUP(MAX(I271/IF(BV271&gt;0,BV271,MAX(0.1,N(Cockpit!$C$6))),BY271)/BQ271,0)*BQ271</f>
        <v>8</v>
      </c>
      <c r="AI271" s="58" t="n">
        <f aca="false">IF(AF271&gt;0,I271/AF271,-1)</f>
        <v>792</v>
      </c>
      <c r="AJ271" s="58" t="n">
        <f aca="false">IF(AND(OR(BU271="L1",BU271="L23"),AF271&gt;0),SUMIFS($AF$7:$AF$1576,$BU$7:$BU$1576,BU271,$AI$7:$AI$1576,"&gt;"&amp;AI271)+SUMIFS($AF$7:$AF$1576,$BU$7:$BU$1576,BU271,$AI$7:$AI$1576,AI271,$BO$7:$BO$1576,"&lt;="&amp;BO271),"")</f>
        <v>10.5792807675416</v>
      </c>
      <c r="AK271" s="65" t="n">
        <f aca="false">IF(AJ271="",0,MAX(0,MIN(1,(IF(BU271="L1",Parameter!$E$5,Parameter!$E$6+Parameter!$E$7)-(AJ271-AF271))/AF271)))</f>
        <v>1</v>
      </c>
      <c r="AL271" s="57" t="n">
        <f aca="false">IF(LEFT(Cockpit!$I$5,1)="A",G271,IF(BW271=1,BX271,IF(LEFT(Cockpit!$I$5,1)="B",AP271,MAX(AP271,G271))))</f>
        <v>8</v>
      </c>
      <c r="AM271" s="57" t="n">
        <f aca="false">IF(BR271=1,0,ROUNDUP(AL271/BQ271,0))</f>
        <v>2</v>
      </c>
      <c r="AN271" s="59" t="n">
        <f aca="false">IF(CD271&gt;0,CD271*MAX(1,AL271/V271),IF(BR271=1,IF(AL271&lt;=0,0,BS271*MAX(1,IF(G271&gt;0,AL271/G271,1))),IF(Q271&gt;0,AM271/Q271,0))/MAX(0.1,N(Parameter!$M$21)))</f>
        <v>0.0151515151515152</v>
      </c>
      <c r="AO271" s="57" t="n">
        <f aca="false">AL271*F271</f>
        <v>802.8</v>
      </c>
      <c r="AP271" s="57" t="n">
        <f aca="false">ROUNDUP(MAX(I271/IF(BV271&gt;0,BV271,MAX(0.1,N(Cockpit!$I$6))),BY271)/BQ271,0)*BQ271</f>
        <v>8</v>
      </c>
      <c r="AQ271" s="58" t="n">
        <f aca="false">IF(AN271&gt;0,I271/AN271,-1)</f>
        <v>396</v>
      </c>
      <c r="AR271" s="58" t="n">
        <f aca="false">IF(AND(OR(BU271="L1",BU271="L23"),AN271&gt;0),SUMIFS($AN$7:$AN$1576,$BU$7:$BU$1576,BU271,$AQ$7:$AQ$1576,"&gt;"&amp;AQ271)+SUMIFS($AN$7:$AN$1576,$BU$7:$BU$1576,BU271,$AQ$7:$AQ$1576,AQ271,$BO$7:$BO$1576,"&lt;="&amp;BO271),"")</f>
        <v>36.7157783886156</v>
      </c>
      <c r="AS271" s="65" t="n">
        <f aca="false">IF(AR271="",0,MAX(0,MIN(1,(IF(BU271="L1",Parameter!$E$5,Parameter!$E$6+Parameter!$E$7)-(AR271-AN271))/AN271)))</f>
        <v>1</v>
      </c>
      <c r="AT271" s="57" t="n">
        <f aca="false">IF(LEFT(Cockpit!$O$5,1)="A",G271,IF(BW271=1,BX271,IF(LEFT(Cockpit!$O$5,1)="B",AX271,MAX(AX271,G271))))</f>
        <v>8</v>
      </c>
      <c r="AU271" s="57" t="n">
        <f aca="false">IF(BR271=1,0,ROUNDUP(AT271/BQ271,0))</f>
        <v>2</v>
      </c>
      <c r="AV271" s="59" t="n">
        <f aca="false">IF(CD271&gt;0,CD271*MAX(1,AT271/V271),IF(BR271=1,IF(AT271&lt;=0,0,BS271*MAX(1,IF(G271&gt;0,AT271/G271,1))),IF(Q271&gt;0,AU271/Q271,0))/MAX(0.1,N(Parameter!$M$21)))</f>
        <v>0.0151515151515152</v>
      </c>
      <c r="AW271" s="57" t="n">
        <f aca="false">AT271*F271</f>
        <v>802.8</v>
      </c>
      <c r="AX271" s="57" t="n">
        <f aca="false">ROUNDUP(MAX(I271/IF(BV271&gt;0,BV271,MAX(0.1,N(Cockpit!$O$6))),BY271)/BQ271,0)*BQ271</f>
        <v>8</v>
      </c>
      <c r="AY271" s="58" t="n">
        <f aca="false">IF(AV271&gt;0,I271/AV271,-1)</f>
        <v>396</v>
      </c>
      <c r="AZ271" s="58" t="n">
        <f aca="false">IF(AND(OR(BU271="L1",BU271="L23"),AV271&gt;0),SUMIFS($AV$7:$AV$1576,$BU$7:$BU$1576,BU271,$AY$7:$AY$1576,"&gt;"&amp;AY271)+SUMIFS($AV$7:$AV$1576,$BU$7:$BU$1576,BU271,$AY$7:$AY$1576,AY271,$BO$7:$BO$1576,"&lt;="&amp;BO271),"")</f>
        <v>35.8805236433609</v>
      </c>
      <c r="BA271" s="65" t="n">
        <f aca="false">IF(AZ271="",0,MAX(0,MIN(1,(IF(BU271="L1",Parameter!$E$5,Parameter!$E$6+Parameter!$E$7)-(AZ271-AV271))/AV271)))</f>
        <v>1</v>
      </c>
      <c r="BB271" s="55" t="str">
        <f aca="false">IF(AF271&lt;=0,"",IF(BU271="Aussen","Aussenlager",IF(BU271="-","Nicht im Lift",IF(AK271&gt;=1,"Lift",IF(AK271&lt;=0,"Aussenlager","teilweise")))))</f>
        <v>Lift</v>
      </c>
      <c r="BC271" s="55" t="str">
        <f aca="false">IF(AN271&lt;=0,"",IF(BU271="Aussen","Aussenlager",IF(BU271="-","Nicht im Lift",IF(AS271&gt;=1,"Lift",IF(AS271&lt;=0,"Aussenlager","teilweise")))))</f>
        <v>Lift</v>
      </c>
      <c r="BD271" s="55" t="str">
        <f aca="false">IF(AV271&lt;=0,"",IF(BU271="Aussen","Aussenlager",IF(BU271="-","Nicht im Lift",IF(BA271&gt;=1,"Lift",IF(BA271&lt;=0,"Aussenlager","teilweise")))))</f>
        <v>Lift</v>
      </c>
      <c r="BE271" s="55" t="str">
        <f aca="false">IF(A271="","",IF(BN271=1,"Neu; ","")&amp;IF(AND(BN271=0,BI271&lt;0),"negativer Bestand (Export "&amp;BI271&amp;"); ","")&amp;IF(I271&lt;=0,"Kein Verbrauch; ","")&amp;IF(CD271&gt;0,"Lift "&amp;U271&amp;" lt. Liftbericht (Fach "&amp;V271&amp;" Stk); ",IF(BR271=1,"Lose – Fläche geschätzt; ",""))&amp;IF(G271&gt;AP271,"Überbestand "&amp;ROUND(G271-AP271,0)&amp;" Stk / CHF "&amp;ROUND((G271-AP271)*F271,0)&amp;"; ","")&amp;IF(AND(BW271=1,BX271&lt;BY271),"MAX &lt; MB+LG; ","")&amp;IF(AND(CC271&gt;0,CB271*10&gt;CC271),"zu hoch für Tablar; ","")&amp;IF(AND(BN271=0,OR(BW271=1,Y271&lt;&gt;"",S271&lt;&gt;"",T271&lt;&gt;"",Z271&lt;&gt;"")),"manuell übersteuert; ","")&amp;IF(AND(BR271=0,Q271=0),"Gebinde unbekannt / Stellmass fehlt; ","")&amp;IF(AND(BR271=0,N(T271)&lt;=0,N(P271)&lt;=0),"Menge pro Gebinde fehlt (Ist = 1 Gebinde); ","")&amp;BM271)</f>
        <v/>
      </c>
      <c r="BF271" s="55"/>
      <c r="BG271" s="55"/>
      <c r="BH271" s="62"/>
      <c r="BI271" s="57" t="n">
        <v>4</v>
      </c>
      <c r="BJ271" s="57" t="n">
        <v>0</v>
      </c>
      <c r="BK271" s="56" t="n">
        <v>401.4</v>
      </c>
      <c r="BL271" s="57" t="n">
        <v>6</v>
      </c>
      <c r="BM271" s="55"/>
      <c r="BN271" s="60" t="n">
        <v>0</v>
      </c>
      <c r="BO271" s="60" t="n">
        <v>271</v>
      </c>
      <c r="BP271" s="55" t="str">
        <f aca="false">IF(S271&lt;&gt;"",UPPER(TRIM(S271)),IF(O271="","LOSE",O271))</f>
        <v>S32</v>
      </c>
      <c r="BQ271" s="57" t="n">
        <f aca="false">IF(BP271="LOSE",1,IF(N(T271)&gt;0,T271,IF(N(P271)&gt;0,P271,MAX(1,G271))))</f>
        <v>4</v>
      </c>
      <c r="BR271" s="60" t="n">
        <f aca="false">IF(BP271="LOSE",1,0)</f>
        <v>0</v>
      </c>
      <c r="BS271" s="59" t="n">
        <f aca="false">IF(BR271=0,0,IF(N(R271)&gt;0,R271,IFERROR(VLOOKUP(D271,Parameter!$A$35:$C$64,3,0)+0,0)))</f>
        <v>0</v>
      </c>
      <c r="BT271" s="55" t="n">
        <f aca="false">IF(Y271&lt;&gt;"",Y271,X271)</f>
        <v>3</v>
      </c>
      <c r="BU271" s="55" t="str">
        <f aca="false">IF(BT271=1,"L1",IF(OR(BT271=2,BT271=3),"L23",IF(BT271="Aussen","Aussen","-")))</f>
        <v>L23</v>
      </c>
      <c r="BV271" s="66" t="n">
        <f aca="false">IF(N(Z271)&gt;0,Z271,0)</f>
        <v>0</v>
      </c>
      <c r="BW271" s="60" t="n">
        <f aca="false">IF(ISNUMBER(AC271),1,0)</f>
        <v>0</v>
      </c>
      <c r="BX271" s="57" t="n">
        <f aca="false">N(AC271)</f>
        <v>0</v>
      </c>
      <c r="BY271" s="57" t="n">
        <f aca="false">N(L271)+N(M271)</f>
        <v>5</v>
      </c>
      <c r="BZ271" s="57" t="n">
        <f aca="false">ROUNDUP(G271/BQ271,0)</f>
        <v>1</v>
      </c>
      <c r="CA271" s="57" t="n">
        <f aca="false">ROUNDUP(BX271/BQ271,0)</f>
        <v>0</v>
      </c>
      <c r="CB271" s="60" t="n">
        <f aca="false">IF(BR271=1,0,IFERROR(VLOOKUP(BP271,'Gebinde-Kategorie'!$A$5:$M$45,5,0)+0,0))</f>
        <v>8</v>
      </c>
      <c r="CC271" s="60" t="n">
        <f aca="false">IFERROR(IF(OR(BT271=1,BT271=2,BT271=3),N(INDEX(Parameter!$I$5:$I$7,BT271)),0),0)</f>
        <v>0</v>
      </c>
      <c r="CD271" s="59" t="n">
        <f aca="false">IF(AND(Parameter!$B$21="Ja",ISNUMBER(U271),N(V271)&gt;0),IFERROR(N(INDEX(Parameter!$L$5:$L$7,U271))*INDEX(Parameter!$E$5:$E$7,U271)*V271/SUMIFS($V$7:$V$1576,$U$7:$U$1576,U271),0),0)</f>
        <v>0</v>
      </c>
    </row>
    <row r="272" customFormat="false" ht="15" hidden="false" customHeight="false" outlineLevel="0" collapsed="false">
      <c r="A272" s="55" t="s">
        <v>710</v>
      </c>
      <c r="B272" s="55" t="s">
        <v>711</v>
      </c>
      <c r="C272" s="55" t="s">
        <v>160</v>
      </c>
      <c r="D272" s="55" t="s">
        <v>178</v>
      </c>
      <c r="E272" s="55" t="s">
        <v>210</v>
      </c>
      <c r="F272" s="56" t="n">
        <v>38.7</v>
      </c>
      <c r="G272" s="57" t="n">
        <f aca="false">MAX(0,IF(AND(Parameter!$B$21="Ja",ISNUMBER(W272)),W272,IF(Parameter!$B$20="Jahresanfang 2025 + Export",BJ272+BI272,BI272)))</f>
        <v>10</v>
      </c>
      <c r="H272" s="57" t="n">
        <f aca="false">G272*F272</f>
        <v>387</v>
      </c>
      <c r="I272" s="57" t="n">
        <f aca="false">BL272*Parameter!$B$18</f>
        <v>13</v>
      </c>
      <c r="J272" s="58" t="n">
        <v>17</v>
      </c>
      <c r="K272" s="59" t="n">
        <v>0.764705882352941</v>
      </c>
      <c r="L272" s="57" t="n">
        <v>1</v>
      </c>
      <c r="M272" s="57" t="n">
        <v>15</v>
      </c>
      <c r="N272" s="60" t="n">
        <v>28</v>
      </c>
      <c r="O272" s="55" t="s">
        <v>411</v>
      </c>
      <c r="P272" s="57" t="n">
        <v>31</v>
      </c>
      <c r="Q272" s="60" t="n">
        <f aca="false">IF(BR272=1,0,IFERROR(VLOOKUP(BP272,'Gebinde-Kategorie'!$A$5:$M$45,13,0)+0,0))</f>
        <v>132</v>
      </c>
      <c r="R272" s="61"/>
      <c r="S272" s="62"/>
      <c r="T272" s="62"/>
      <c r="U272" s="55"/>
      <c r="V272" s="57"/>
      <c r="W272" s="57"/>
      <c r="X272" s="55" t="n">
        <f aca="false">IF(A272="","",IF(AND(Parameter!$B$21="Ja",ISNUMBER(U272)),U272,IF(IFERROR(VLOOKUP(D272,Parameter!$A$35:$C$64,2,0),"Nein")="2+3",IF(ISNUMBER(SEARCH("grosser Artikel",BM272)),2,IFERROR(VLOOKUP(BP272,Parameter!$F$35:$G$64,2,0),2)),IF(OR(IFERROR(VLOOKUP(D272,Parameter!$A$35:$C$64,2,0),"Nein")="Nein",IFERROR(VLOOKUP(D272,Parameter!$A$35:$C$64,2,0),"Nein")=""),"-",VLOOKUP(D272,Parameter!$A$35:$C$64,2,0)))))</f>
        <v>3</v>
      </c>
      <c r="Y272" s="62"/>
      <c r="Z272" s="63"/>
      <c r="AA272" s="57" t="n">
        <f aca="false">AP272</f>
        <v>31</v>
      </c>
      <c r="AB272" s="57" t="n">
        <f aca="false">MAX(AP272,G272)</f>
        <v>31</v>
      </c>
      <c r="AC272" s="64"/>
      <c r="AD272" s="57" t="n">
        <f aca="false">IF(LEFT(Cockpit!$C$5,1)="A",G272,IF(BW272=1,BX272,IF(LEFT(Cockpit!$C$5,1)="B",AH272,MAX(AH272,G272))))</f>
        <v>10</v>
      </c>
      <c r="AE272" s="57" t="n">
        <f aca="false">IF(BR272=1,0,ROUNDUP(AD272/BQ272,0))</f>
        <v>1</v>
      </c>
      <c r="AF272" s="59" t="n">
        <f aca="false">IF(CD272&gt;0,CD272*MAX(1,AD272/V272),IF(BR272=1,IF(AD272&lt;=0,0,BS272*MAX(1,IF(G272&gt;0,AD272/G272,1))),IF(Q272&gt;0,AE272/Q272,0))/MAX(0.1,N(Parameter!$M$21)))</f>
        <v>0.00757575757575758</v>
      </c>
      <c r="AG272" s="57" t="n">
        <f aca="false">AD272*F272</f>
        <v>387</v>
      </c>
      <c r="AH272" s="57" t="n">
        <f aca="false">ROUNDUP(MAX(I272/IF(BV272&gt;0,BV272,MAX(0.1,N(Cockpit!$C$6))),BY272)/BQ272,0)*BQ272</f>
        <v>31</v>
      </c>
      <c r="AI272" s="58" t="n">
        <f aca="false">IF(AF272&gt;0,I272/AF272,-1)</f>
        <v>1716</v>
      </c>
      <c r="AJ272" s="58" t="n">
        <f aca="false">IF(AND(OR(BU272="L1",BU272="L23"),AF272&gt;0),SUMIFS($AF$7:$AF$1576,$BU$7:$BU$1576,BU272,$AI$7:$AI$1576,"&gt;"&amp;AI272)+SUMIFS($AF$7:$AF$1576,$BU$7:$BU$1576,BU272,$AI$7:$AI$1576,AI272,$BO$7:$BO$1576,"&lt;="&amp;BO272),"")</f>
        <v>7.52671328671329</v>
      </c>
      <c r="AK272" s="65" t="n">
        <f aca="false">IF(AJ272="",0,MAX(0,MIN(1,(IF(BU272="L1",Parameter!$E$5,Parameter!$E$6+Parameter!$E$7)-(AJ272-AF272))/AF272)))</f>
        <v>1</v>
      </c>
      <c r="AL272" s="57" t="n">
        <f aca="false">IF(LEFT(Cockpit!$I$5,1)="A",G272,IF(BW272=1,BX272,IF(LEFT(Cockpit!$I$5,1)="B",AP272,MAX(AP272,G272))))</f>
        <v>31</v>
      </c>
      <c r="AM272" s="57" t="n">
        <f aca="false">IF(BR272=1,0,ROUNDUP(AL272/BQ272,0))</f>
        <v>1</v>
      </c>
      <c r="AN272" s="59" t="n">
        <f aca="false">IF(CD272&gt;0,CD272*MAX(1,AL272/V272),IF(BR272=1,IF(AL272&lt;=0,0,BS272*MAX(1,IF(G272&gt;0,AL272/G272,1))),IF(Q272&gt;0,AM272/Q272,0))/MAX(0.1,N(Parameter!$M$21)))</f>
        <v>0.00757575757575758</v>
      </c>
      <c r="AO272" s="57" t="n">
        <f aca="false">AL272*F272</f>
        <v>1199.7</v>
      </c>
      <c r="AP272" s="57" t="n">
        <f aca="false">ROUNDUP(MAX(I272/IF(BV272&gt;0,BV272,MAX(0.1,N(Cockpit!$I$6))),BY272)/BQ272,0)*BQ272</f>
        <v>31</v>
      </c>
      <c r="AQ272" s="58" t="n">
        <f aca="false">IF(AN272&gt;0,I272/AN272,-1)</f>
        <v>1716</v>
      </c>
      <c r="AR272" s="58" t="n">
        <f aca="false">IF(AND(OR(BU272="L1",BU272="L23"),AN272&gt;0),SUMIFS($AN$7:$AN$1576,$BU$7:$BU$1576,BU272,$AQ$7:$AQ$1576,"&gt;"&amp;AQ272)+SUMIFS($AN$7:$AN$1576,$BU$7:$BU$1576,BU272,$AQ$7:$AQ$1576,AQ272,$BO$7:$BO$1576,"&lt;="&amp;BO272),"")</f>
        <v>18.2209624316258</v>
      </c>
      <c r="AS272" s="65" t="n">
        <f aca="false">IF(AR272="",0,MAX(0,MIN(1,(IF(BU272="L1",Parameter!$E$5,Parameter!$E$6+Parameter!$E$7)-(AR272-AN272))/AN272)))</f>
        <v>1</v>
      </c>
      <c r="AT272" s="57" t="n">
        <f aca="false">IF(LEFT(Cockpit!$O$5,1)="A",G272,IF(BW272=1,BX272,IF(LEFT(Cockpit!$O$5,1)="B",AX272,MAX(AX272,G272))))</f>
        <v>31</v>
      </c>
      <c r="AU272" s="57" t="n">
        <f aca="false">IF(BR272=1,0,ROUNDUP(AT272/BQ272,0))</f>
        <v>1</v>
      </c>
      <c r="AV272" s="59" t="n">
        <f aca="false">IF(CD272&gt;0,CD272*MAX(1,AT272/V272),IF(BR272=1,IF(AT272&lt;=0,0,BS272*MAX(1,IF(G272&gt;0,AT272/G272,1))),IF(Q272&gt;0,AU272/Q272,0))/MAX(0.1,N(Parameter!$M$21)))</f>
        <v>0.00757575757575758</v>
      </c>
      <c r="AW272" s="57" t="n">
        <f aca="false">AT272*F272</f>
        <v>1199.7</v>
      </c>
      <c r="AX272" s="57" t="n">
        <f aca="false">ROUNDUP(MAX(I272/IF(BV272&gt;0,BV272,MAX(0.1,N(Cockpit!$O$6))),BY272)/BQ272,0)*BQ272</f>
        <v>31</v>
      </c>
      <c r="AY272" s="58" t="n">
        <f aca="false">IF(AV272&gt;0,I272/AV272,-1)</f>
        <v>1716</v>
      </c>
      <c r="AZ272" s="58" t="n">
        <f aca="false">IF(AND(OR(BU272="L1",BU272="L23"),AV272&gt;0),SUMIFS($AV$7:$AV$1576,$BU$7:$BU$1576,BU272,$AY$7:$AY$1576,"&gt;"&amp;AY272)+SUMIFS($AV$7:$AV$1576,$BU$7:$BU$1576,BU272,$AY$7:$AY$1576,AY272,$BO$7:$BO$1576,"&lt;="&amp;BO272),"")</f>
        <v>17.1982351588985</v>
      </c>
      <c r="BA272" s="65" t="n">
        <f aca="false">IF(AZ272="",0,MAX(0,MIN(1,(IF(BU272="L1",Parameter!$E$5,Parameter!$E$6+Parameter!$E$7)-(AZ272-AV272))/AV272)))</f>
        <v>1</v>
      </c>
      <c r="BB272" s="55" t="str">
        <f aca="false">IF(AF272&lt;=0,"",IF(BU272="Aussen","Aussenlager",IF(BU272="-","Nicht im Lift",IF(AK272&gt;=1,"Lift",IF(AK272&lt;=0,"Aussenlager","teilweise")))))</f>
        <v>Lift</v>
      </c>
      <c r="BC272" s="55" t="str">
        <f aca="false">IF(AN272&lt;=0,"",IF(BU272="Aussen","Aussenlager",IF(BU272="-","Nicht im Lift",IF(AS272&gt;=1,"Lift",IF(AS272&lt;=0,"Aussenlager","teilweise")))))</f>
        <v>Lift</v>
      </c>
      <c r="BD272" s="55" t="str">
        <f aca="false">IF(AV272&lt;=0,"",IF(BU272="Aussen","Aussenlager",IF(BU272="-","Nicht im Lift",IF(BA272&gt;=1,"Lift",IF(BA272&lt;=0,"Aussenlager","teilweise")))))</f>
        <v>Lift</v>
      </c>
      <c r="BE272" s="55" t="str">
        <f aca="false">IF(A272="","",IF(BN272=1,"Neu; ","")&amp;IF(AND(BN272=0,BI272&lt;0),"negativer Bestand (Export "&amp;BI272&amp;"); ","")&amp;IF(I272&lt;=0,"Kein Verbrauch; ","")&amp;IF(CD272&gt;0,"Lift "&amp;U272&amp;" lt. Liftbericht (Fach "&amp;V272&amp;" Stk); ",IF(BR272=1,"Lose – Fläche geschätzt; ",""))&amp;IF(G272&gt;AP272,"Überbestand "&amp;ROUND(G272-AP272,0)&amp;" Stk / CHF "&amp;ROUND((G272-AP272)*F272,0)&amp;"; ","")&amp;IF(AND(BW272=1,BX272&lt;BY272),"MAX &lt; MB+LG; ","")&amp;IF(AND(CC272&gt;0,CB272*10&gt;CC272),"zu hoch für Tablar; ","")&amp;IF(AND(BN272=0,OR(BW272=1,Y272&lt;&gt;"",S272&lt;&gt;"",T272&lt;&gt;"",Z272&lt;&gt;"")),"manuell übersteuert; ","")&amp;IF(AND(BR272=0,Q272=0),"Gebinde unbekannt / Stellmass fehlt; ","")&amp;IF(AND(BR272=0,N(T272)&lt;=0,N(P272)&lt;=0),"Menge pro Gebinde fehlt (Ist = 1 Gebinde); ","")&amp;BM272)</f>
        <v/>
      </c>
      <c r="BF272" s="55"/>
      <c r="BG272" s="55"/>
      <c r="BH272" s="62"/>
      <c r="BI272" s="57" t="n">
        <v>10</v>
      </c>
      <c r="BJ272" s="57" t="n">
        <v>11</v>
      </c>
      <c r="BK272" s="56" t="n">
        <v>387</v>
      </c>
      <c r="BL272" s="57" t="n">
        <v>13</v>
      </c>
      <c r="BM272" s="55"/>
      <c r="BN272" s="60" t="n">
        <v>0</v>
      </c>
      <c r="BO272" s="60" t="n">
        <v>272</v>
      </c>
      <c r="BP272" s="55" t="str">
        <f aca="false">IF(S272&lt;&gt;"",UPPER(TRIM(S272)),IF(O272="","LOSE",O272))</f>
        <v>S32</v>
      </c>
      <c r="BQ272" s="57" t="n">
        <f aca="false">IF(BP272="LOSE",1,IF(N(T272)&gt;0,T272,IF(N(P272)&gt;0,P272,MAX(1,G272))))</f>
        <v>31</v>
      </c>
      <c r="BR272" s="60" t="n">
        <f aca="false">IF(BP272="LOSE",1,0)</f>
        <v>0</v>
      </c>
      <c r="BS272" s="59" t="n">
        <f aca="false">IF(BR272=0,0,IF(N(R272)&gt;0,R272,IFERROR(VLOOKUP(D272,Parameter!$A$35:$C$64,3,0)+0,0)))</f>
        <v>0</v>
      </c>
      <c r="BT272" s="55" t="n">
        <f aca="false">IF(Y272&lt;&gt;"",Y272,X272)</f>
        <v>3</v>
      </c>
      <c r="BU272" s="55" t="str">
        <f aca="false">IF(BT272=1,"L1",IF(OR(BT272=2,BT272=3),"L23",IF(BT272="Aussen","Aussen","-")))</f>
        <v>L23</v>
      </c>
      <c r="BV272" s="66" t="n">
        <f aca="false">IF(N(Z272)&gt;0,Z272,0)</f>
        <v>0</v>
      </c>
      <c r="BW272" s="60" t="n">
        <f aca="false">IF(ISNUMBER(AC272),1,0)</f>
        <v>0</v>
      </c>
      <c r="BX272" s="57" t="n">
        <f aca="false">N(AC272)</f>
        <v>0</v>
      </c>
      <c r="BY272" s="57" t="n">
        <f aca="false">N(L272)+N(M272)</f>
        <v>16</v>
      </c>
      <c r="BZ272" s="57" t="n">
        <f aca="false">ROUNDUP(G272/BQ272,0)</f>
        <v>1</v>
      </c>
      <c r="CA272" s="57" t="n">
        <f aca="false">ROUNDUP(BX272/BQ272,0)</f>
        <v>0</v>
      </c>
      <c r="CB272" s="60" t="n">
        <f aca="false">IF(BR272=1,0,IFERROR(VLOOKUP(BP272,'Gebinde-Kategorie'!$A$5:$M$45,5,0)+0,0))</f>
        <v>8</v>
      </c>
      <c r="CC272" s="60" t="n">
        <f aca="false">IFERROR(IF(OR(BT272=1,BT272=2,BT272=3),N(INDEX(Parameter!$I$5:$I$7,BT272)),0),0)</f>
        <v>0</v>
      </c>
      <c r="CD272" s="59" t="n">
        <f aca="false">IF(AND(Parameter!$B$21="Ja",ISNUMBER(U272),N(V272)&gt;0),IFERROR(N(INDEX(Parameter!$L$5:$L$7,U272))*INDEX(Parameter!$E$5:$E$7,U272)*V272/SUMIFS($V$7:$V$1576,$U$7:$U$1576,U272),0),0)</f>
        <v>0</v>
      </c>
    </row>
    <row r="273" customFormat="false" ht="15" hidden="false" customHeight="false" outlineLevel="0" collapsed="false">
      <c r="A273" s="55" t="s">
        <v>712</v>
      </c>
      <c r="B273" s="55" t="s">
        <v>713</v>
      </c>
      <c r="C273" s="55" t="s">
        <v>160</v>
      </c>
      <c r="D273" s="55" t="s">
        <v>178</v>
      </c>
      <c r="E273" s="55" t="s">
        <v>210</v>
      </c>
      <c r="F273" s="56" t="n">
        <v>9.25</v>
      </c>
      <c r="G273" s="57" t="n">
        <f aca="false">MAX(0,IF(AND(Parameter!$B$21="Ja",ISNUMBER(W273)),W273,IF(Parameter!$B$20="Jahresanfang 2025 + Export",BJ273+BI273,BI273)))</f>
        <v>44</v>
      </c>
      <c r="H273" s="57" t="n">
        <f aca="false">G273*F273</f>
        <v>407</v>
      </c>
      <c r="I273" s="57" t="n">
        <f aca="false">BL273*Parameter!$B$18</f>
        <v>8</v>
      </c>
      <c r="J273" s="58" t="n">
        <v>5.5</v>
      </c>
      <c r="K273" s="59" t="n">
        <v>1.45454545454546</v>
      </c>
      <c r="L273" s="57" t="n">
        <v>0</v>
      </c>
      <c r="M273" s="57" t="n">
        <v>10</v>
      </c>
      <c r="N273" s="60" t="n">
        <v>18</v>
      </c>
      <c r="O273" s="55" t="s">
        <v>416</v>
      </c>
      <c r="P273" s="57" t="n">
        <v>21</v>
      </c>
      <c r="Q273" s="60" t="n">
        <f aca="false">IF(BR273=1,0,IFERROR(VLOOKUP(BP273,'Gebinde-Kategorie'!$A$5:$M$45,13,0)+0,0))</f>
        <v>198</v>
      </c>
      <c r="R273" s="61"/>
      <c r="S273" s="62"/>
      <c r="T273" s="62"/>
      <c r="U273" s="55"/>
      <c r="V273" s="57"/>
      <c r="W273" s="57"/>
      <c r="X273" s="55" t="n">
        <f aca="false">IF(A273="","",IF(AND(Parameter!$B$21="Ja",ISNUMBER(U273)),U273,IF(IFERROR(VLOOKUP(D273,Parameter!$A$35:$C$64,2,0),"Nein")="2+3",IF(ISNUMBER(SEARCH("grosser Artikel",BM273)),2,IFERROR(VLOOKUP(BP273,Parameter!$F$35:$G$64,2,0),2)),IF(OR(IFERROR(VLOOKUP(D273,Parameter!$A$35:$C$64,2,0),"Nein")="Nein",IFERROR(VLOOKUP(D273,Parameter!$A$35:$C$64,2,0),"Nein")=""),"-",VLOOKUP(D273,Parameter!$A$35:$C$64,2,0)))))</f>
        <v>3</v>
      </c>
      <c r="Y273" s="62"/>
      <c r="Z273" s="63"/>
      <c r="AA273" s="57" t="n">
        <f aca="false">AP273</f>
        <v>21</v>
      </c>
      <c r="AB273" s="57" t="n">
        <f aca="false">MAX(AP273,G273)</f>
        <v>44</v>
      </c>
      <c r="AC273" s="64"/>
      <c r="AD273" s="57" t="n">
        <f aca="false">IF(LEFT(Cockpit!$C$5,1)="A",G273,IF(BW273=1,BX273,IF(LEFT(Cockpit!$C$5,1)="B",AH273,MAX(AH273,G273))))</f>
        <v>44</v>
      </c>
      <c r="AE273" s="57" t="n">
        <f aca="false">IF(BR273=1,0,ROUNDUP(AD273/BQ273,0))</f>
        <v>3</v>
      </c>
      <c r="AF273" s="59" t="n">
        <f aca="false">IF(CD273&gt;0,CD273*MAX(1,AD273/V273),IF(BR273=1,IF(AD273&lt;=0,0,BS273*MAX(1,IF(G273&gt;0,AD273/G273,1))),IF(Q273&gt;0,AE273/Q273,0))/MAX(0.1,N(Parameter!$M$21)))</f>
        <v>0.0151515151515152</v>
      </c>
      <c r="AG273" s="57" t="n">
        <f aca="false">AD273*F273</f>
        <v>407</v>
      </c>
      <c r="AH273" s="57" t="n">
        <f aca="false">ROUNDUP(MAX(I273/IF(BV273&gt;0,BV273,MAX(0.1,N(Cockpit!$C$6))),BY273)/BQ273,0)*BQ273</f>
        <v>21</v>
      </c>
      <c r="AI273" s="58" t="n">
        <f aca="false">IF(AF273&gt;0,I273/AF273,-1)</f>
        <v>528</v>
      </c>
      <c r="AJ273" s="58" t="n">
        <f aca="false">IF(AND(OR(BU273="L1",BU273="L23"),AF273&gt;0),SUMIFS($AF$7:$AF$1576,$BU$7:$BU$1576,BU273,$AI$7:$AI$1576,"&gt;"&amp;AI273)+SUMIFS($AF$7:$AF$1576,$BU$7:$BU$1576,BU273,$AI$7:$AI$1576,AI273,$BO$7:$BO$1576,"&lt;="&amp;BO273),"")</f>
        <v>12.32426911253</v>
      </c>
      <c r="AK273" s="65" t="n">
        <f aca="false">IF(AJ273="",0,MAX(0,MIN(1,(IF(BU273="L1",Parameter!$E$5,Parameter!$E$6+Parameter!$E$7)-(AJ273-AF273))/AF273)))</f>
        <v>1</v>
      </c>
      <c r="AL273" s="57" t="n">
        <f aca="false">IF(LEFT(Cockpit!$I$5,1)="A",G273,IF(BW273=1,BX273,IF(LEFT(Cockpit!$I$5,1)="B",AP273,MAX(AP273,G273))))</f>
        <v>44</v>
      </c>
      <c r="AM273" s="57" t="n">
        <f aca="false">IF(BR273=1,0,ROUNDUP(AL273/BQ273,0))</f>
        <v>3</v>
      </c>
      <c r="AN273" s="59" t="n">
        <f aca="false">IF(CD273&gt;0,CD273*MAX(1,AL273/V273),IF(BR273=1,IF(AL273&lt;=0,0,BS273*MAX(1,IF(G273&gt;0,AL273/G273,1))),IF(Q273&gt;0,AM273/Q273,0))/MAX(0.1,N(Parameter!$M$21)))</f>
        <v>0.0151515151515152</v>
      </c>
      <c r="AO273" s="57" t="n">
        <f aca="false">AL273*F273</f>
        <v>407</v>
      </c>
      <c r="AP273" s="57" t="n">
        <f aca="false">ROUNDUP(MAX(I273/IF(BV273&gt;0,BV273,MAX(0.1,N(Cockpit!$I$6))),BY273)/BQ273,0)*BQ273</f>
        <v>21</v>
      </c>
      <c r="AQ273" s="58" t="n">
        <f aca="false">IF(AN273&gt;0,I273/AN273,-1)</f>
        <v>528</v>
      </c>
      <c r="AR273" s="58" t="n">
        <f aca="false">IF(AND(OR(BU273="L1",BU273="L23"),AN273&gt;0),SUMIFS($AN$7:$AN$1576,$BU$7:$BU$1576,BU273,$AQ$7:$AQ$1576,"&gt;"&amp;AQ273)+SUMIFS($AN$7:$AN$1576,$BU$7:$BU$1576,BU273,$AQ$7:$AQ$1576,AQ273,$BO$7:$BO$1576,"&lt;="&amp;BO273),"")</f>
        <v>32.8816840288691</v>
      </c>
      <c r="AS273" s="65" t="n">
        <f aca="false">IF(AR273="",0,MAX(0,MIN(1,(IF(BU273="L1",Parameter!$E$5,Parameter!$E$6+Parameter!$E$7)-(AR273-AN273))/AN273)))</f>
        <v>1</v>
      </c>
      <c r="AT273" s="57" t="n">
        <f aca="false">IF(LEFT(Cockpit!$O$5,1)="A",G273,IF(BW273=1,BX273,IF(LEFT(Cockpit!$O$5,1)="B",AX273,MAX(AX273,G273))))</f>
        <v>44</v>
      </c>
      <c r="AU273" s="57" t="n">
        <f aca="false">IF(BR273=1,0,ROUNDUP(AT273/BQ273,0))</f>
        <v>3</v>
      </c>
      <c r="AV273" s="59" t="n">
        <f aca="false">IF(CD273&gt;0,CD273*MAX(1,AT273/V273),IF(BR273=1,IF(AT273&lt;=0,0,BS273*MAX(1,IF(G273&gt;0,AT273/G273,1))),IF(Q273&gt;0,AU273/Q273,0))/MAX(0.1,N(Parameter!$M$21)))</f>
        <v>0.0151515151515152</v>
      </c>
      <c r="AW273" s="57" t="n">
        <f aca="false">AT273*F273</f>
        <v>407</v>
      </c>
      <c r="AX273" s="57" t="n">
        <f aca="false">ROUNDUP(MAX(I273/IF(BV273&gt;0,BV273,MAX(0.1,N(Cockpit!$O$6))),BY273)/BQ273,0)*BQ273</f>
        <v>21</v>
      </c>
      <c r="AY273" s="58" t="n">
        <f aca="false">IF(AV273&gt;0,I273/AV273,-1)</f>
        <v>528</v>
      </c>
      <c r="AZ273" s="58" t="n">
        <f aca="false">IF(AND(OR(BU273="L1",BU273="L23"),AV273&gt;0),SUMIFS($AV$7:$AV$1576,$BU$7:$BU$1576,BU273,$AY$7:$AY$1576,"&gt;"&amp;AY273)+SUMIFS($AV$7:$AV$1576,$BU$7:$BU$1576,BU273,$AY$7:$AY$1576,AY273,$BO$7:$BO$1576,"&lt;="&amp;BO273),"")</f>
        <v>30.9583706755557</v>
      </c>
      <c r="BA273" s="65" t="n">
        <f aca="false">IF(AZ273="",0,MAX(0,MIN(1,(IF(BU273="L1",Parameter!$E$5,Parameter!$E$6+Parameter!$E$7)-(AZ273-AV273))/AV273)))</f>
        <v>1</v>
      </c>
      <c r="BB273" s="55" t="str">
        <f aca="false">IF(AF273&lt;=0,"",IF(BU273="Aussen","Aussenlager",IF(BU273="-","Nicht im Lift",IF(AK273&gt;=1,"Lift",IF(AK273&lt;=0,"Aussenlager","teilweise")))))</f>
        <v>Lift</v>
      </c>
      <c r="BC273" s="55" t="str">
        <f aca="false">IF(AN273&lt;=0,"",IF(BU273="Aussen","Aussenlager",IF(BU273="-","Nicht im Lift",IF(AS273&gt;=1,"Lift",IF(AS273&lt;=0,"Aussenlager","teilweise")))))</f>
        <v>Lift</v>
      </c>
      <c r="BD273" s="55" t="str">
        <f aca="false">IF(AV273&lt;=0,"",IF(BU273="Aussen","Aussenlager",IF(BU273="-","Nicht im Lift",IF(BA273&gt;=1,"Lift",IF(BA273&lt;=0,"Aussenlager","teilweise")))))</f>
        <v>Lift</v>
      </c>
      <c r="BE273" s="55" t="str">
        <f aca="false">IF(A273="","",IF(BN273=1,"Neu; ","")&amp;IF(AND(BN273=0,BI273&lt;0),"negativer Bestand (Export "&amp;BI273&amp;"); ","")&amp;IF(I273&lt;=0,"Kein Verbrauch; ","")&amp;IF(CD273&gt;0,"Lift "&amp;U273&amp;" lt. Liftbericht (Fach "&amp;V273&amp;" Stk); ",IF(BR273=1,"Lose – Fläche geschätzt; ",""))&amp;IF(G273&gt;AP273,"Überbestand "&amp;ROUND(G273-AP273,0)&amp;" Stk / CHF "&amp;ROUND((G273-AP273)*F273,0)&amp;"; ","")&amp;IF(AND(BW273=1,BX273&lt;BY273),"MAX &lt; MB+LG; ","")&amp;IF(AND(CC273&gt;0,CB273*10&gt;CC273),"zu hoch für Tablar; ","")&amp;IF(AND(BN273=0,OR(BW273=1,Y273&lt;&gt;"",S273&lt;&gt;"",T273&lt;&gt;"",Z273&lt;&gt;"")),"manuell übersteuert; ","")&amp;IF(AND(BR273=0,Q273=0),"Gebinde unbekannt / Stellmass fehlt; ","")&amp;IF(AND(BR273=0,N(T273)&lt;=0,N(P273)&lt;=0),"Menge pro Gebinde fehlt (Ist = 1 Gebinde); ","")&amp;BM273)</f>
        <v>Überbestand 23 Stk / CHF 213; </v>
      </c>
      <c r="BF273" s="55"/>
      <c r="BG273" s="55"/>
      <c r="BH273" s="62"/>
      <c r="BI273" s="57" t="n">
        <v>44</v>
      </c>
      <c r="BJ273" s="57" t="n">
        <v>9</v>
      </c>
      <c r="BK273" s="56" t="n">
        <v>378.38</v>
      </c>
      <c r="BL273" s="57" t="n">
        <v>8</v>
      </c>
      <c r="BM273" s="55"/>
      <c r="BN273" s="60" t="n">
        <v>0</v>
      </c>
      <c r="BO273" s="60" t="n">
        <v>273</v>
      </c>
      <c r="BP273" s="55" t="str">
        <f aca="false">IF(S273&lt;&gt;"",UPPER(TRIM(S273)),IF(O273="","LOSE",O273))</f>
        <v>S22</v>
      </c>
      <c r="BQ273" s="57" t="n">
        <f aca="false">IF(BP273="LOSE",1,IF(N(T273)&gt;0,T273,IF(N(P273)&gt;0,P273,MAX(1,G273))))</f>
        <v>21</v>
      </c>
      <c r="BR273" s="60" t="n">
        <f aca="false">IF(BP273="LOSE",1,0)</f>
        <v>0</v>
      </c>
      <c r="BS273" s="59" t="n">
        <f aca="false">IF(BR273=0,0,IF(N(R273)&gt;0,R273,IFERROR(VLOOKUP(D273,Parameter!$A$35:$C$64,3,0)+0,0)))</f>
        <v>0</v>
      </c>
      <c r="BT273" s="55" t="n">
        <f aca="false">IF(Y273&lt;&gt;"",Y273,X273)</f>
        <v>3</v>
      </c>
      <c r="BU273" s="55" t="str">
        <f aca="false">IF(BT273=1,"L1",IF(OR(BT273=2,BT273=3),"L23",IF(BT273="Aussen","Aussen","-")))</f>
        <v>L23</v>
      </c>
      <c r="BV273" s="66" t="n">
        <f aca="false">IF(N(Z273)&gt;0,Z273,0)</f>
        <v>0</v>
      </c>
      <c r="BW273" s="60" t="n">
        <f aca="false">IF(ISNUMBER(AC273),1,0)</f>
        <v>0</v>
      </c>
      <c r="BX273" s="57" t="n">
        <f aca="false">N(AC273)</f>
        <v>0</v>
      </c>
      <c r="BY273" s="57" t="n">
        <f aca="false">N(L273)+N(M273)</f>
        <v>10</v>
      </c>
      <c r="BZ273" s="57" t="n">
        <f aca="false">ROUNDUP(G273/BQ273,0)</f>
        <v>3</v>
      </c>
      <c r="CA273" s="57" t="n">
        <f aca="false">ROUNDUP(BX273/BQ273,0)</f>
        <v>0</v>
      </c>
      <c r="CB273" s="60" t="n">
        <f aca="false">IF(BR273=1,0,IFERROR(VLOOKUP(BP273,'Gebinde-Kategorie'!$A$5:$M$45,5,0)+0,0))</f>
        <v>8</v>
      </c>
      <c r="CC273" s="60" t="n">
        <f aca="false">IFERROR(IF(OR(BT273=1,BT273=2,BT273=3),N(INDEX(Parameter!$I$5:$I$7,BT273)),0),0)</f>
        <v>0</v>
      </c>
      <c r="CD273" s="59" t="n">
        <f aca="false">IF(AND(Parameter!$B$21="Ja",ISNUMBER(U273),N(V273)&gt;0),IFERROR(N(INDEX(Parameter!$L$5:$L$7,U273))*INDEX(Parameter!$E$5:$E$7,U273)*V273/SUMIFS($V$7:$V$1576,$U$7:$U$1576,U273),0),0)</f>
        <v>0</v>
      </c>
    </row>
    <row r="274" customFormat="false" ht="15" hidden="false" customHeight="false" outlineLevel="0" collapsed="false">
      <c r="A274" s="55" t="s">
        <v>714</v>
      </c>
      <c r="B274" s="55" t="s">
        <v>715</v>
      </c>
      <c r="C274" s="55" t="s">
        <v>160</v>
      </c>
      <c r="D274" s="55" t="s">
        <v>178</v>
      </c>
      <c r="E274" s="55" t="s">
        <v>210</v>
      </c>
      <c r="F274" s="56" t="n">
        <v>15.2</v>
      </c>
      <c r="G274" s="57" t="n">
        <f aca="false">MAX(0,IF(AND(Parameter!$B$21="Ja",ISNUMBER(W274)),W274,IF(Parameter!$B$20="Jahresanfang 2025 + Export",BJ274+BI274,BI274)))</f>
        <v>26</v>
      </c>
      <c r="H274" s="57" t="n">
        <f aca="false">G274*F274</f>
        <v>395.2</v>
      </c>
      <c r="I274" s="57" t="n">
        <f aca="false">BL274*Parameter!$B$18</f>
        <v>48</v>
      </c>
      <c r="J274" s="58" t="n">
        <v>17.5</v>
      </c>
      <c r="K274" s="59" t="n">
        <v>2.74285714285714</v>
      </c>
      <c r="L274" s="57" t="n">
        <v>1</v>
      </c>
      <c r="M274" s="57" t="n">
        <v>50</v>
      </c>
      <c r="N274" s="60" t="n">
        <v>14</v>
      </c>
      <c r="O274" s="55" t="s">
        <v>319</v>
      </c>
      <c r="P274" s="57" t="n">
        <v>43</v>
      </c>
      <c r="Q274" s="60" t="n">
        <f aca="false">IF(BR274=1,0,IFERROR(VLOOKUP(BP274,'Gebinde-Kategorie'!$A$5:$M$45,13,0)+0,0))</f>
        <v>52</v>
      </c>
      <c r="R274" s="61"/>
      <c r="S274" s="62"/>
      <c r="T274" s="62"/>
      <c r="U274" s="55"/>
      <c r="V274" s="57"/>
      <c r="W274" s="57"/>
      <c r="X274" s="55" t="n">
        <f aca="false">IF(A274="","",IF(AND(Parameter!$B$21="Ja",ISNUMBER(U274)),U274,IF(IFERROR(VLOOKUP(D274,Parameter!$A$35:$C$64,2,0),"Nein")="2+3",IF(ISNUMBER(SEARCH("grosser Artikel",BM274)),2,IFERROR(VLOOKUP(BP274,Parameter!$F$35:$G$64,2,0),2)),IF(OR(IFERROR(VLOOKUP(D274,Parameter!$A$35:$C$64,2,0),"Nein")="Nein",IFERROR(VLOOKUP(D274,Parameter!$A$35:$C$64,2,0),"Nein")=""),"-",VLOOKUP(D274,Parameter!$A$35:$C$64,2,0)))))</f>
        <v>3</v>
      </c>
      <c r="Y274" s="62"/>
      <c r="Z274" s="63"/>
      <c r="AA274" s="57" t="n">
        <f aca="false">AP274</f>
        <v>86</v>
      </c>
      <c r="AB274" s="57" t="n">
        <f aca="false">MAX(AP274,G274)</f>
        <v>86</v>
      </c>
      <c r="AC274" s="64"/>
      <c r="AD274" s="57" t="n">
        <f aca="false">IF(LEFT(Cockpit!$C$5,1)="A",G274,IF(BW274=1,BX274,IF(LEFT(Cockpit!$C$5,1)="B",AH274,MAX(AH274,G274))))</f>
        <v>26</v>
      </c>
      <c r="AE274" s="57" t="n">
        <f aca="false">IF(BR274=1,0,ROUNDUP(AD274/BQ274,0))</f>
        <v>1</v>
      </c>
      <c r="AF274" s="59" t="n">
        <f aca="false">IF(CD274&gt;0,CD274*MAX(1,AD274/V274),IF(BR274=1,IF(AD274&lt;=0,0,BS274*MAX(1,IF(G274&gt;0,AD274/G274,1))),IF(Q274&gt;0,AE274/Q274,0))/MAX(0.1,N(Parameter!$M$21)))</f>
        <v>0.0192307692307692</v>
      </c>
      <c r="AG274" s="57" t="n">
        <f aca="false">AD274*F274</f>
        <v>395.2</v>
      </c>
      <c r="AH274" s="57" t="n">
        <f aca="false">ROUNDUP(MAX(I274/IF(BV274&gt;0,BV274,MAX(0.1,N(Cockpit!$C$6))),BY274)/BQ274,0)*BQ274</f>
        <v>86</v>
      </c>
      <c r="AI274" s="58" t="n">
        <f aca="false">IF(AF274&gt;0,I274/AF274,-1)</f>
        <v>2496</v>
      </c>
      <c r="AJ274" s="58" t="n">
        <f aca="false">IF(AND(OR(BU274="L1",BU274="L23"),AF274&gt;0),SUMIFS($AF$7:$AF$1576,$BU$7:$BU$1576,BU274,$AI$7:$AI$1576,"&gt;"&amp;AI274)+SUMIFS($AF$7:$AF$1576,$BU$7:$BU$1576,BU274,$AI$7:$AI$1576,AI274,$BO$7:$BO$1576,"&lt;="&amp;BO274),"")</f>
        <v>5.75794196142022</v>
      </c>
      <c r="AK274" s="65" t="n">
        <f aca="false">IF(AJ274="",0,MAX(0,MIN(1,(IF(BU274="L1",Parameter!$E$5,Parameter!$E$6+Parameter!$E$7)-(AJ274-AF274))/AF274)))</f>
        <v>1</v>
      </c>
      <c r="AL274" s="57" t="n">
        <f aca="false">IF(LEFT(Cockpit!$I$5,1)="A",G274,IF(BW274=1,BX274,IF(LEFT(Cockpit!$I$5,1)="B",AP274,MAX(AP274,G274))))</f>
        <v>86</v>
      </c>
      <c r="AM274" s="57" t="n">
        <f aca="false">IF(BR274=1,0,ROUNDUP(AL274/BQ274,0))</f>
        <v>2</v>
      </c>
      <c r="AN274" s="59" t="n">
        <f aca="false">IF(CD274&gt;0,CD274*MAX(1,AL274/V274),IF(BR274=1,IF(AL274&lt;=0,0,BS274*MAX(1,IF(G274&gt;0,AL274/G274,1))),IF(Q274&gt;0,AM274/Q274,0))/MAX(0.1,N(Parameter!$M$21)))</f>
        <v>0.0384615384615385</v>
      </c>
      <c r="AO274" s="57" t="n">
        <f aca="false">AL274*F274</f>
        <v>1307.2</v>
      </c>
      <c r="AP274" s="57" t="n">
        <f aca="false">ROUNDUP(MAX(I274/IF(BV274&gt;0,BV274,MAX(0.1,N(Cockpit!$I$6))),BY274)/BQ274,0)*BQ274</f>
        <v>86</v>
      </c>
      <c r="AQ274" s="58" t="n">
        <f aca="false">IF(AN274&gt;0,I274/AN274,-1)</f>
        <v>1248</v>
      </c>
      <c r="AR274" s="58" t="n">
        <f aca="false">IF(AND(OR(BU274="L1",BU274="L23"),AN274&gt;0),SUMIFS($AN$7:$AN$1576,$BU$7:$BU$1576,BU274,$AQ$7:$AQ$1576,"&gt;"&amp;AQ274)+SUMIFS($AN$7:$AN$1576,$BU$7:$BU$1576,BU274,$AQ$7:$AQ$1576,AQ274,$BO$7:$BO$1576,"&lt;="&amp;BO274),"")</f>
        <v>20.6690013492299</v>
      </c>
      <c r="AS274" s="65" t="n">
        <f aca="false">IF(AR274="",0,MAX(0,MIN(1,(IF(BU274="L1",Parameter!$E$5,Parameter!$E$6+Parameter!$E$7)-(AR274-AN274))/AN274)))</f>
        <v>1</v>
      </c>
      <c r="AT274" s="57" t="n">
        <f aca="false">IF(LEFT(Cockpit!$O$5,1)="A",G274,IF(BW274=1,BX274,IF(LEFT(Cockpit!$O$5,1)="B",AX274,MAX(AX274,G274))))</f>
        <v>86</v>
      </c>
      <c r="AU274" s="57" t="n">
        <f aca="false">IF(BR274=1,0,ROUNDUP(AT274/BQ274,0))</f>
        <v>2</v>
      </c>
      <c r="AV274" s="59" t="n">
        <f aca="false">IF(CD274&gt;0,CD274*MAX(1,AT274/V274),IF(BR274=1,IF(AT274&lt;=0,0,BS274*MAX(1,IF(G274&gt;0,AT274/G274,1))),IF(Q274&gt;0,AU274/Q274,0))/MAX(0.1,N(Parameter!$M$21)))</f>
        <v>0.0384615384615385</v>
      </c>
      <c r="AW274" s="57" t="n">
        <f aca="false">AT274*F274</f>
        <v>1307.2</v>
      </c>
      <c r="AX274" s="57" t="n">
        <f aca="false">ROUNDUP(MAX(I274/IF(BV274&gt;0,BV274,MAX(0.1,N(Cockpit!$O$6))),BY274)/BQ274,0)*BQ274</f>
        <v>86</v>
      </c>
      <c r="AY274" s="58" t="n">
        <f aca="false">IF(AV274&gt;0,I274/AV274,-1)</f>
        <v>1248</v>
      </c>
      <c r="AZ274" s="58" t="n">
        <f aca="false">IF(AND(OR(BU274="L1",BU274="L23"),AV274&gt;0),SUMIFS($AV$7:$AV$1576,$BU$7:$BU$1576,BU274,$AY$7:$AY$1576,"&gt;"&amp;AY274)+SUMIFS($AV$7:$AV$1576,$BU$7:$BU$1576,BU274,$AY$7:$AY$1576,AY274,$BO$7:$BO$1576,"&lt;="&amp;BO274),"")</f>
        <v>19.729607409836</v>
      </c>
      <c r="BA274" s="65" t="n">
        <f aca="false">IF(AZ274="",0,MAX(0,MIN(1,(IF(BU274="L1",Parameter!$E$5,Parameter!$E$6+Parameter!$E$7)-(AZ274-AV274))/AV274)))</f>
        <v>1</v>
      </c>
      <c r="BB274" s="55" t="str">
        <f aca="false">IF(AF274&lt;=0,"",IF(BU274="Aussen","Aussenlager",IF(BU274="-","Nicht im Lift",IF(AK274&gt;=1,"Lift",IF(AK274&lt;=0,"Aussenlager","teilweise")))))</f>
        <v>Lift</v>
      </c>
      <c r="BC274" s="55" t="str">
        <f aca="false">IF(AN274&lt;=0,"",IF(BU274="Aussen","Aussenlager",IF(BU274="-","Nicht im Lift",IF(AS274&gt;=1,"Lift",IF(AS274&lt;=0,"Aussenlager","teilweise")))))</f>
        <v>Lift</v>
      </c>
      <c r="BD274" s="55" t="str">
        <f aca="false">IF(AV274&lt;=0,"",IF(BU274="Aussen","Aussenlager",IF(BU274="-","Nicht im Lift",IF(BA274&gt;=1,"Lift",IF(BA274&lt;=0,"Aussenlager","teilweise")))))</f>
        <v>Lift</v>
      </c>
      <c r="BE274" s="55" t="str">
        <f aca="false">IF(A274="","",IF(BN274=1,"Neu; ","")&amp;IF(AND(BN274=0,BI274&lt;0),"negativer Bestand (Export "&amp;BI274&amp;"); ","")&amp;IF(I274&lt;=0,"Kein Verbrauch; ","")&amp;IF(CD274&gt;0,"Lift "&amp;U274&amp;" lt. Liftbericht (Fach "&amp;V274&amp;" Stk); ",IF(BR274=1,"Lose – Fläche geschätzt; ",""))&amp;IF(G274&gt;AP274,"Überbestand "&amp;ROUND(G274-AP274,0)&amp;" Stk / CHF "&amp;ROUND((G274-AP274)*F274,0)&amp;"; ","")&amp;IF(AND(BW274=1,BX274&lt;BY274),"MAX &lt; MB+LG; ","")&amp;IF(AND(CC274&gt;0,CB274*10&gt;CC274),"zu hoch für Tablar; ","")&amp;IF(AND(BN274=0,OR(BW274=1,Y274&lt;&gt;"",S274&lt;&gt;"",T274&lt;&gt;"",Z274&lt;&gt;"")),"manuell übersteuert; ","")&amp;IF(AND(BR274=0,Q274=0),"Gebinde unbekannt / Stellmass fehlt; ","")&amp;IF(AND(BR274=0,N(T274)&lt;=0,N(P274)&lt;=0),"Menge pro Gebinde fehlt (Ist = 1 Gebinde); ","")&amp;BM274)</f>
        <v/>
      </c>
      <c r="BF274" s="55"/>
      <c r="BG274" s="55"/>
      <c r="BH274" s="62"/>
      <c r="BI274" s="57" t="n">
        <v>26</v>
      </c>
      <c r="BJ274" s="57" t="n">
        <v>19</v>
      </c>
      <c r="BK274" s="56" t="n">
        <v>375.06</v>
      </c>
      <c r="BL274" s="57" t="n">
        <v>48</v>
      </c>
      <c r="BM274" s="55"/>
      <c r="BN274" s="60" t="n">
        <v>0</v>
      </c>
      <c r="BO274" s="60" t="n">
        <v>274</v>
      </c>
      <c r="BP274" s="55" t="str">
        <f aca="false">IF(S274&lt;&gt;"",UPPER(TRIM(S274)),IF(O274="","LOSE",O274))</f>
        <v>S41</v>
      </c>
      <c r="BQ274" s="57" t="n">
        <f aca="false">IF(BP274="LOSE",1,IF(N(T274)&gt;0,T274,IF(N(P274)&gt;0,P274,MAX(1,G274))))</f>
        <v>43</v>
      </c>
      <c r="BR274" s="60" t="n">
        <f aca="false">IF(BP274="LOSE",1,0)</f>
        <v>0</v>
      </c>
      <c r="BS274" s="59" t="n">
        <f aca="false">IF(BR274=0,0,IF(N(R274)&gt;0,R274,IFERROR(VLOOKUP(D274,Parameter!$A$35:$C$64,3,0)+0,0)))</f>
        <v>0</v>
      </c>
      <c r="BT274" s="55" t="n">
        <f aca="false">IF(Y274&lt;&gt;"",Y274,X274)</f>
        <v>3</v>
      </c>
      <c r="BU274" s="55" t="str">
        <f aca="false">IF(BT274=1,"L1",IF(OR(BT274=2,BT274=3),"L23",IF(BT274="Aussen","Aussen","-")))</f>
        <v>L23</v>
      </c>
      <c r="BV274" s="66" t="n">
        <f aca="false">IF(N(Z274)&gt;0,Z274,0)</f>
        <v>0</v>
      </c>
      <c r="BW274" s="60" t="n">
        <f aca="false">IF(ISNUMBER(AC274),1,0)</f>
        <v>0</v>
      </c>
      <c r="BX274" s="57" t="n">
        <f aca="false">N(AC274)</f>
        <v>0</v>
      </c>
      <c r="BY274" s="57" t="n">
        <f aca="false">N(L274)+N(M274)</f>
        <v>51</v>
      </c>
      <c r="BZ274" s="57" t="n">
        <f aca="false">ROUNDUP(G274/BQ274,0)</f>
        <v>1</v>
      </c>
      <c r="CA274" s="57" t="n">
        <f aca="false">ROUNDUP(BX274/BQ274,0)</f>
        <v>0</v>
      </c>
      <c r="CB274" s="60" t="n">
        <f aca="false">IF(BR274=1,0,IFERROR(VLOOKUP(BP274,'Gebinde-Kategorie'!$A$5:$M$45,5,0)+0,0))</f>
        <v>11</v>
      </c>
      <c r="CC274" s="60" t="n">
        <f aca="false">IFERROR(IF(OR(BT274=1,BT274=2,BT274=3),N(INDEX(Parameter!$I$5:$I$7,BT274)),0),0)</f>
        <v>0</v>
      </c>
      <c r="CD274" s="59" t="n">
        <f aca="false">IF(AND(Parameter!$B$21="Ja",ISNUMBER(U274),N(V274)&gt;0),IFERROR(N(INDEX(Parameter!$L$5:$L$7,U274))*INDEX(Parameter!$E$5:$E$7,U274)*V274/SUMIFS($V$7:$V$1576,$U$7:$U$1576,U274),0),0)</f>
        <v>0</v>
      </c>
    </row>
    <row r="275" customFormat="false" ht="15" hidden="false" customHeight="false" outlineLevel="0" collapsed="false">
      <c r="A275" s="55" t="s">
        <v>716</v>
      </c>
      <c r="B275" s="55" t="s">
        <v>706</v>
      </c>
      <c r="C275" s="55" t="s">
        <v>160</v>
      </c>
      <c r="D275" s="55" t="s">
        <v>168</v>
      </c>
      <c r="E275" s="55" t="s">
        <v>210</v>
      </c>
      <c r="F275" s="56" t="n">
        <v>74.17</v>
      </c>
      <c r="G275" s="57" t="n">
        <f aca="false">MAX(0,IF(AND(Parameter!$B$21="Ja",ISNUMBER(W275)),W275,IF(Parameter!$B$20="Jahresanfang 2025 + Export",BJ275+BI275,BI275)))</f>
        <v>5</v>
      </c>
      <c r="H275" s="57" t="n">
        <f aca="false">G275*F275</f>
        <v>370.85</v>
      </c>
      <c r="I275" s="57" t="n">
        <f aca="false">BL275*Parameter!$B$18</f>
        <v>2</v>
      </c>
      <c r="J275" s="58" t="n">
        <v>8.5</v>
      </c>
      <c r="K275" s="59" t="n">
        <v>0.235294117647059</v>
      </c>
      <c r="L275" s="57" t="n">
        <v>0</v>
      </c>
      <c r="M275" s="57" t="n">
        <v>1</v>
      </c>
      <c r="N275" s="60" t="n">
        <v>28</v>
      </c>
      <c r="O275" s="55" t="s">
        <v>179</v>
      </c>
      <c r="P275" s="57" t="n">
        <v>12</v>
      </c>
      <c r="Q275" s="60" t="n">
        <f aca="false">IF(BR275=1,0,IFERROR(VLOOKUP(BP275,'Gebinde-Kategorie'!$A$5:$M$45,13,0)+0,0))</f>
        <v>12</v>
      </c>
      <c r="R275" s="61"/>
      <c r="S275" s="62"/>
      <c r="T275" s="62"/>
      <c r="U275" s="55"/>
      <c r="V275" s="57"/>
      <c r="W275" s="57"/>
      <c r="X275" s="55" t="n">
        <f aca="false">IF(A275="","",IF(AND(Parameter!$B$21="Ja",ISNUMBER(U275)),U275,IF(IFERROR(VLOOKUP(D275,Parameter!$A$35:$C$64,2,0),"Nein")="2+3",IF(ISNUMBER(SEARCH("grosser Artikel",BM275)),2,IFERROR(VLOOKUP(BP275,Parameter!$F$35:$G$64,2,0),2)),IF(OR(IFERROR(VLOOKUP(D275,Parameter!$A$35:$C$64,2,0),"Nein")="Nein",IFERROR(VLOOKUP(D275,Parameter!$A$35:$C$64,2,0),"Nein")=""),"-",VLOOKUP(D275,Parameter!$A$35:$C$64,2,0)))))</f>
        <v>2</v>
      </c>
      <c r="Y275" s="62"/>
      <c r="Z275" s="63"/>
      <c r="AA275" s="57" t="n">
        <f aca="false">AP275</f>
        <v>12</v>
      </c>
      <c r="AB275" s="57" t="n">
        <f aca="false">MAX(AP275,G275)</f>
        <v>12</v>
      </c>
      <c r="AC275" s="64"/>
      <c r="AD275" s="57" t="n">
        <f aca="false">IF(LEFT(Cockpit!$C$5,1)="A",G275,IF(BW275=1,BX275,IF(LEFT(Cockpit!$C$5,1)="B",AH275,MAX(AH275,G275))))</f>
        <v>5</v>
      </c>
      <c r="AE275" s="57" t="n">
        <f aca="false">IF(BR275=1,0,ROUNDUP(AD275/BQ275,0))</f>
        <v>1</v>
      </c>
      <c r="AF275" s="59" t="n">
        <f aca="false">IF(CD275&gt;0,CD275*MAX(1,AD275/V275),IF(BR275=1,IF(AD275&lt;=0,0,BS275*MAX(1,IF(G275&gt;0,AD275/G275,1))),IF(Q275&gt;0,AE275/Q275,0))/MAX(0.1,N(Parameter!$M$21)))</f>
        <v>0.0833333333333333</v>
      </c>
      <c r="AG275" s="57" t="n">
        <f aca="false">AD275*F275</f>
        <v>370.85</v>
      </c>
      <c r="AH275" s="57" t="n">
        <f aca="false">ROUNDUP(MAX(I275/IF(BV275&gt;0,BV275,MAX(0.1,N(Cockpit!$C$6))),BY275)/BQ275,0)*BQ275</f>
        <v>12</v>
      </c>
      <c r="AI275" s="58" t="n">
        <f aca="false">IF(AF275&gt;0,I275/AF275,-1)</f>
        <v>24</v>
      </c>
      <c r="AJ275" s="58" t="n">
        <f aca="false">IF(AND(OR(BU275="L1",BU275="L23"),AF275&gt;0),SUMIFS($AF$7:$AF$1576,$BU$7:$BU$1576,BU275,$AI$7:$AI$1576,"&gt;"&amp;AI275)+SUMIFS($AF$7:$AF$1576,$BU$7:$BU$1576,BU275,$AI$7:$AI$1576,AI275,$BO$7:$BO$1576,"&lt;="&amp;BO275),"")</f>
        <v>28.6659150028715</v>
      </c>
      <c r="AK275" s="65" t="n">
        <f aca="false">IF(AJ275="",0,MAX(0,MIN(1,(IF(BU275="L1",Parameter!$E$5,Parameter!$E$6+Parameter!$E$7)-(AJ275-AF275))/AF275)))</f>
        <v>1</v>
      </c>
      <c r="AL275" s="57" t="n">
        <f aca="false">IF(LEFT(Cockpit!$I$5,1)="A",G275,IF(BW275=1,BX275,IF(LEFT(Cockpit!$I$5,1)="B",AP275,MAX(AP275,G275))))</f>
        <v>12</v>
      </c>
      <c r="AM275" s="57" t="n">
        <f aca="false">IF(BR275=1,0,ROUNDUP(AL275/BQ275,0))</f>
        <v>1</v>
      </c>
      <c r="AN275" s="59" t="n">
        <f aca="false">IF(CD275&gt;0,CD275*MAX(1,AL275/V275),IF(BR275=1,IF(AL275&lt;=0,0,BS275*MAX(1,IF(G275&gt;0,AL275/G275,1))),IF(Q275&gt;0,AM275/Q275,0))/MAX(0.1,N(Parameter!$M$21)))</f>
        <v>0.0833333333333333</v>
      </c>
      <c r="AO275" s="57" t="n">
        <f aca="false">AL275*F275</f>
        <v>890.04</v>
      </c>
      <c r="AP275" s="57" t="n">
        <f aca="false">ROUNDUP(MAX(I275/IF(BV275&gt;0,BV275,MAX(0.1,N(Cockpit!$I$6))),BY275)/BQ275,0)*BQ275</f>
        <v>12</v>
      </c>
      <c r="AQ275" s="58" t="n">
        <f aca="false">IF(AN275&gt;0,I275/AN275,-1)</f>
        <v>24</v>
      </c>
      <c r="AR275" s="58" t="n">
        <f aca="false">IF(AND(OR(BU275="L1",BU275="L23"),AN275&gt;0),SUMIFS($AN$7:$AN$1576,$BU$7:$BU$1576,BU275,$AQ$7:$AQ$1576,"&gt;"&amp;AQ275)+SUMIFS($AN$7:$AN$1576,$BU$7:$BU$1576,BU275,$AQ$7:$AQ$1576,AQ275,$BO$7:$BO$1576,"&lt;="&amp;BO275),"")</f>
        <v>97.7962807425419</v>
      </c>
      <c r="AS275" s="65" t="n">
        <f aca="false">IF(AR275="",0,MAX(0,MIN(1,(IF(BU275="L1",Parameter!$E$5,Parameter!$E$6+Parameter!$E$7)-(AR275-AN275))/AN275)))</f>
        <v>1</v>
      </c>
      <c r="AT275" s="57" t="n">
        <f aca="false">IF(LEFT(Cockpit!$O$5,1)="A",G275,IF(BW275=1,BX275,IF(LEFT(Cockpit!$O$5,1)="B",AX275,MAX(AX275,G275))))</f>
        <v>12</v>
      </c>
      <c r="AU275" s="57" t="n">
        <f aca="false">IF(BR275=1,0,ROUNDUP(AT275/BQ275,0))</f>
        <v>1</v>
      </c>
      <c r="AV275" s="59" t="n">
        <f aca="false">IF(CD275&gt;0,CD275*MAX(1,AT275/V275),IF(BR275=1,IF(AT275&lt;=0,0,BS275*MAX(1,IF(G275&gt;0,AT275/G275,1))),IF(Q275&gt;0,AU275/Q275,0))/MAX(0.1,N(Parameter!$M$21)))</f>
        <v>0.0833333333333333</v>
      </c>
      <c r="AW275" s="57" t="n">
        <f aca="false">AT275*F275</f>
        <v>890.04</v>
      </c>
      <c r="AX275" s="57" t="n">
        <f aca="false">ROUNDUP(MAX(I275/IF(BV275&gt;0,BV275,MAX(0.1,N(Cockpit!$O$6))),BY275)/BQ275,0)*BQ275</f>
        <v>12</v>
      </c>
      <c r="AY275" s="58" t="n">
        <f aca="false">IF(AV275&gt;0,I275/AV275,-1)</f>
        <v>24</v>
      </c>
      <c r="AZ275" s="58" t="n">
        <f aca="false">IF(AND(OR(BU275="L1",BU275="L23"),AV275&gt;0),SUMIFS($AV$7:$AV$1576,$BU$7:$BU$1576,BU275,$AY$7:$AY$1576,"&gt;"&amp;AY275)+SUMIFS($AV$7:$AV$1576,$BU$7:$BU$1576,BU275,$AY$7:$AY$1576,AY275,$BO$7:$BO$1576,"&lt;="&amp;BO275),"")</f>
        <v>88.6058311920924</v>
      </c>
      <c r="BA275" s="65" t="n">
        <f aca="false">IF(AZ275="",0,MAX(0,MIN(1,(IF(BU275="L1",Parameter!$E$5,Parameter!$E$6+Parameter!$E$7)-(AZ275-AV275))/AV275)))</f>
        <v>1</v>
      </c>
      <c r="BB275" s="55" t="str">
        <f aca="false">IF(AF275&lt;=0,"",IF(BU275="Aussen","Aussenlager",IF(BU275="-","Nicht im Lift",IF(AK275&gt;=1,"Lift",IF(AK275&lt;=0,"Aussenlager","teilweise")))))</f>
        <v>Lift</v>
      </c>
      <c r="BC275" s="55" t="str">
        <f aca="false">IF(AN275&lt;=0,"",IF(BU275="Aussen","Aussenlager",IF(BU275="-","Nicht im Lift",IF(AS275&gt;=1,"Lift",IF(AS275&lt;=0,"Aussenlager","teilweise")))))</f>
        <v>Lift</v>
      </c>
      <c r="BD275" s="55" t="str">
        <f aca="false">IF(AV275&lt;=0,"",IF(BU275="Aussen","Aussenlager",IF(BU275="-","Nicht im Lift",IF(BA275&gt;=1,"Lift",IF(BA275&lt;=0,"Aussenlager","teilweise")))))</f>
        <v>Lift</v>
      </c>
      <c r="BE275" s="55" t="str">
        <f aca="false">IF(A275="","",IF(BN275=1,"Neu; ","")&amp;IF(AND(BN275=0,BI275&lt;0),"negativer Bestand (Export "&amp;BI275&amp;"); ","")&amp;IF(I275&lt;=0,"Kein Verbrauch; ","")&amp;IF(CD275&gt;0,"Lift "&amp;U275&amp;" lt. Liftbericht (Fach "&amp;V275&amp;" Stk); ",IF(BR275=1,"Lose – Fläche geschätzt; ",""))&amp;IF(G275&gt;AP275,"Überbestand "&amp;ROUND(G275-AP275,0)&amp;" Stk / CHF "&amp;ROUND((G275-AP275)*F275,0)&amp;"; ","")&amp;IF(AND(BW275=1,BX275&lt;BY275),"MAX &lt; MB+LG; ","")&amp;IF(AND(CC275&gt;0,CB275*10&gt;CC275),"zu hoch für Tablar; ","")&amp;IF(AND(BN275=0,OR(BW275=1,Y275&lt;&gt;"",S275&lt;&gt;"",T275&lt;&gt;"",Z275&lt;&gt;"")),"manuell übersteuert; ","")&amp;IF(AND(BR275=0,Q275=0),"Gebinde unbekannt / Stellmass fehlt; ","")&amp;IF(AND(BR275=0,N(T275)&lt;=0,N(P275)&lt;=0),"Menge pro Gebinde fehlt (Ist = 1 Gebinde); ","")&amp;BM275)</f>
        <v/>
      </c>
      <c r="BF275" s="55"/>
      <c r="BG275" s="55"/>
      <c r="BH275" s="62"/>
      <c r="BI275" s="57" t="n">
        <v>5</v>
      </c>
      <c r="BJ275" s="57" t="n">
        <v>6</v>
      </c>
      <c r="BK275" s="56" t="n">
        <v>370.85</v>
      </c>
      <c r="BL275" s="57" t="n">
        <v>2</v>
      </c>
      <c r="BM275" s="55"/>
      <c r="BN275" s="60" t="n">
        <v>0</v>
      </c>
      <c r="BO275" s="60" t="n">
        <v>275</v>
      </c>
      <c r="BP275" s="55" t="str">
        <f aca="false">IF(S275&lt;&gt;"",UPPER(TRIM(S275)),IF(O275="","LOSE",O275))</f>
        <v>S61</v>
      </c>
      <c r="BQ275" s="57" t="n">
        <f aca="false">IF(BP275="LOSE",1,IF(N(T275)&gt;0,T275,IF(N(P275)&gt;0,P275,MAX(1,G275))))</f>
        <v>12</v>
      </c>
      <c r="BR275" s="60" t="n">
        <f aca="false">IF(BP275="LOSE",1,0)</f>
        <v>0</v>
      </c>
      <c r="BS275" s="59" t="n">
        <f aca="false">IF(BR275=0,0,IF(N(R275)&gt;0,R275,IFERROR(VLOOKUP(D275,Parameter!$A$35:$C$64,3,0)+0,0)))</f>
        <v>0</v>
      </c>
      <c r="BT275" s="55" t="n">
        <f aca="false">IF(Y275&lt;&gt;"",Y275,X275)</f>
        <v>2</v>
      </c>
      <c r="BU275" s="55" t="str">
        <f aca="false">IF(BT275=1,"L1",IF(OR(BT275=2,BT275=3),"L23",IF(BT275="Aussen","Aussen","-")))</f>
        <v>L23</v>
      </c>
      <c r="BV275" s="66" t="n">
        <f aca="false">IF(N(Z275)&gt;0,Z275,0)</f>
        <v>0</v>
      </c>
      <c r="BW275" s="60" t="n">
        <f aca="false">IF(ISNUMBER(AC275),1,0)</f>
        <v>0</v>
      </c>
      <c r="BX275" s="57" t="n">
        <f aca="false">N(AC275)</f>
        <v>0</v>
      </c>
      <c r="BY275" s="57" t="n">
        <f aca="false">N(L275)+N(M275)</f>
        <v>1</v>
      </c>
      <c r="BZ275" s="57" t="n">
        <f aca="false">ROUNDUP(G275/BQ275,0)</f>
        <v>1</v>
      </c>
      <c r="CA275" s="57" t="n">
        <f aca="false">ROUNDUP(BX275/BQ275,0)</f>
        <v>0</v>
      </c>
      <c r="CB275" s="60" t="n">
        <f aca="false">IF(BR275=1,0,IFERROR(VLOOKUP(BP275,'Gebinde-Kategorie'!$A$5:$M$45,5,0)+0,0))</f>
        <v>11</v>
      </c>
      <c r="CC275" s="60" t="n">
        <f aca="false">IFERROR(IF(OR(BT275=1,BT275=2,BT275=3),N(INDEX(Parameter!$I$5:$I$7,BT275)),0),0)</f>
        <v>0</v>
      </c>
      <c r="CD275" s="59" t="n">
        <f aca="false">IF(AND(Parameter!$B$21="Ja",ISNUMBER(U275),N(V275)&gt;0),IFERROR(N(INDEX(Parameter!$L$5:$L$7,U275))*INDEX(Parameter!$E$5:$E$7,U275)*V275/SUMIFS($V$7:$V$1576,$U$7:$U$1576,U275),0),0)</f>
        <v>0</v>
      </c>
    </row>
    <row r="276" customFormat="false" ht="15" hidden="false" customHeight="false" outlineLevel="0" collapsed="false">
      <c r="A276" s="55" t="s">
        <v>717</v>
      </c>
      <c r="B276" s="55" t="s">
        <v>533</v>
      </c>
      <c r="C276" s="55" t="s">
        <v>160</v>
      </c>
      <c r="D276" s="55" t="s">
        <v>178</v>
      </c>
      <c r="E276" s="55" t="s">
        <v>210</v>
      </c>
      <c r="F276" s="56" t="n">
        <v>24.5</v>
      </c>
      <c r="G276" s="57" t="n">
        <f aca="false">MAX(0,IF(AND(Parameter!$B$21="Ja",ISNUMBER(W276)),W276,IF(Parameter!$B$20="Jahresanfang 2025 + Export",BJ276+BI276,BI276)))</f>
        <v>15</v>
      </c>
      <c r="H276" s="57" t="n">
        <f aca="false">G276*F276</f>
        <v>367.5</v>
      </c>
      <c r="I276" s="57" t="n">
        <f aca="false">BL276*Parameter!$B$18</f>
        <v>0</v>
      </c>
      <c r="J276" s="58" t="n">
        <v>0</v>
      </c>
      <c r="K276" s="59" t="n">
        <v>0</v>
      </c>
      <c r="L276" s="57" t="n">
        <v>0</v>
      </c>
      <c r="M276" s="57" t="n">
        <v>15</v>
      </c>
      <c r="N276" s="60" t="n">
        <v>9999</v>
      </c>
      <c r="O276" s="55" t="s">
        <v>163</v>
      </c>
      <c r="P276" s="57"/>
      <c r="Q276" s="60" t="n">
        <f aca="false">IF(BR276=1,0,IFERROR(VLOOKUP(BP276,'Gebinde-Kategorie'!$A$5:$M$45,13,0)+0,0))</f>
        <v>0</v>
      </c>
      <c r="R276" s="61"/>
      <c r="S276" s="62"/>
      <c r="T276" s="62"/>
      <c r="U276" s="55"/>
      <c r="V276" s="57"/>
      <c r="W276" s="57"/>
      <c r="X276" s="55" t="n">
        <f aca="false">IF(A276="","",IF(AND(Parameter!$B$21="Ja",ISNUMBER(U276)),U276,IF(IFERROR(VLOOKUP(D276,Parameter!$A$35:$C$64,2,0),"Nein")="2+3",IF(ISNUMBER(SEARCH("grosser Artikel",BM276)),2,IFERROR(VLOOKUP(BP276,Parameter!$F$35:$G$64,2,0),2)),IF(OR(IFERROR(VLOOKUP(D276,Parameter!$A$35:$C$64,2,0),"Nein")="Nein",IFERROR(VLOOKUP(D276,Parameter!$A$35:$C$64,2,0),"Nein")=""),"-",VLOOKUP(D276,Parameter!$A$35:$C$64,2,0)))))</f>
        <v>2</v>
      </c>
      <c r="Y276" s="62"/>
      <c r="Z276" s="63"/>
      <c r="AA276" s="57" t="n">
        <f aca="false">AP276</f>
        <v>15</v>
      </c>
      <c r="AB276" s="57" t="n">
        <f aca="false">MAX(AP276,G276)</f>
        <v>15</v>
      </c>
      <c r="AC276" s="64"/>
      <c r="AD276" s="57" t="n">
        <f aca="false">IF(LEFT(Cockpit!$C$5,1)="A",G276,IF(BW276=1,BX276,IF(LEFT(Cockpit!$C$5,1)="B",AH276,MAX(AH276,G276))))</f>
        <v>15</v>
      </c>
      <c r="AE276" s="57" t="n">
        <f aca="false">IF(BR276=1,0,ROUNDUP(AD276/BQ276,0))</f>
        <v>0</v>
      </c>
      <c r="AF276" s="59" t="n">
        <f aca="false">IF(CD276&gt;0,CD276*MAX(1,AD276/V276),IF(BR276=1,IF(AD276&lt;=0,0,BS276*MAX(1,IF(G276&gt;0,AD276/G276,1))),IF(Q276&gt;0,AE276/Q276,0))/MAX(0.1,N(Parameter!$M$21)))</f>
        <v>0.03</v>
      </c>
      <c r="AG276" s="57" t="n">
        <f aca="false">AD276*F276</f>
        <v>367.5</v>
      </c>
      <c r="AH276" s="57" t="n">
        <f aca="false">ROUNDUP(MAX(I276/IF(BV276&gt;0,BV276,MAX(0.1,N(Cockpit!$C$6))),BY276)/BQ276,0)*BQ276</f>
        <v>15</v>
      </c>
      <c r="AI276" s="58" t="n">
        <f aca="false">IF(AF276&gt;0,I276/AF276,-1)</f>
        <v>0</v>
      </c>
      <c r="AJ276" s="58" t="n">
        <f aca="false">IF(AND(OR(BU276="L1",BU276="L23"),AF276&gt;0),SUMIFS($AF$7:$AF$1576,$BU$7:$BU$1576,BU276,$AI$7:$AI$1576,"&gt;"&amp;AI276)+SUMIFS($AF$7:$AF$1576,$BU$7:$BU$1576,BU276,$AI$7:$AI$1576,AI276,$BO$7:$BO$1576,"&lt;="&amp;BO276),"")</f>
        <v>40.3647728117293</v>
      </c>
      <c r="AK276" s="65" t="n">
        <f aca="false">IF(AJ276="",0,MAX(0,MIN(1,(IF(BU276="L1",Parameter!$E$5,Parameter!$E$6+Parameter!$E$7)-(AJ276-AF276))/AF276)))</f>
        <v>1</v>
      </c>
      <c r="AL276" s="57" t="n">
        <f aca="false">IF(LEFT(Cockpit!$I$5,1)="A",G276,IF(BW276=1,BX276,IF(LEFT(Cockpit!$I$5,1)="B",AP276,MAX(AP276,G276))))</f>
        <v>15</v>
      </c>
      <c r="AM276" s="57" t="n">
        <f aca="false">IF(BR276=1,0,ROUNDUP(AL276/BQ276,0))</f>
        <v>0</v>
      </c>
      <c r="AN276" s="59" t="n">
        <f aca="false">IF(CD276&gt;0,CD276*MAX(1,AL276/V276),IF(BR276=1,IF(AL276&lt;=0,0,BS276*MAX(1,IF(G276&gt;0,AL276/G276,1))),IF(Q276&gt;0,AM276/Q276,0))/MAX(0.1,N(Parameter!$M$21)))</f>
        <v>0.03</v>
      </c>
      <c r="AO276" s="57" t="n">
        <f aca="false">AL276*F276</f>
        <v>367.5</v>
      </c>
      <c r="AP276" s="57" t="n">
        <f aca="false">ROUNDUP(MAX(I276/IF(BV276&gt;0,BV276,MAX(0.1,N(Cockpit!$I$6))),BY276)/BQ276,0)*BQ276</f>
        <v>15</v>
      </c>
      <c r="AQ276" s="58" t="n">
        <f aca="false">IF(AN276&gt;0,I276/AN276,-1)</f>
        <v>0</v>
      </c>
      <c r="AR276" s="58" t="n">
        <f aca="false">IF(AND(OR(BU276="L1",BU276="L23"),AN276&gt;0),SUMIFS($AN$7:$AN$1576,$BU$7:$BU$1576,BU276,$AQ$7:$AQ$1576,"&gt;"&amp;AQ276)+SUMIFS($AN$7:$AN$1576,$BU$7:$BU$1576,BU276,$AQ$7:$AQ$1576,AQ276,$BO$7:$BO$1576,"&lt;="&amp;BO276),"")</f>
        <v>123.238978561519</v>
      </c>
      <c r="AS276" s="65" t="n">
        <f aca="false">IF(AR276="",0,MAX(0,MIN(1,(IF(BU276="L1",Parameter!$E$5,Parameter!$E$6+Parameter!$E$7)-(AR276-AN276))/AN276)))</f>
        <v>0</v>
      </c>
      <c r="AT276" s="57" t="n">
        <f aca="false">IF(LEFT(Cockpit!$O$5,1)="A",G276,IF(BW276=1,BX276,IF(LEFT(Cockpit!$O$5,1)="B",AX276,MAX(AX276,G276))))</f>
        <v>15</v>
      </c>
      <c r="AU276" s="57" t="n">
        <f aca="false">IF(BR276=1,0,ROUNDUP(AT276/BQ276,0))</f>
        <v>0</v>
      </c>
      <c r="AV276" s="59" t="n">
        <f aca="false">IF(CD276&gt;0,CD276*MAX(1,AT276/V276),IF(BR276=1,IF(AT276&lt;=0,0,BS276*MAX(1,IF(G276&gt;0,AT276/G276,1))),IF(Q276&gt;0,AU276/Q276,0))/MAX(0.1,N(Parameter!$M$21)))</f>
        <v>0.03</v>
      </c>
      <c r="AW276" s="57" t="n">
        <f aca="false">AT276*F276</f>
        <v>367.5</v>
      </c>
      <c r="AX276" s="57" t="n">
        <f aca="false">ROUNDUP(MAX(I276/IF(BV276&gt;0,BV276,MAX(0.1,N(Cockpit!$O$6))),BY276)/BQ276,0)*BQ276</f>
        <v>15</v>
      </c>
      <c r="AY276" s="58" t="n">
        <f aca="false">IF(AV276&gt;0,I276/AV276,-1)</f>
        <v>0</v>
      </c>
      <c r="AZ276" s="58" t="n">
        <f aca="false">IF(AND(OR(BU276="L1",BU276="L23"),AV276&gt;0),SUMIFS($AV$7:$AV$1576,$BU$7:$BU$1576,BU276,$AY$7:$AY$1576,"&gt;"&amp;AY276)+SUMIFS($AV$7:$AV$1576,$BU$7:$BU$1576,BU276,$AY$7:$AY$1576,AY276,$BO$7:$BO$1576,"&lt;="&amp;BO276),"")</f>
        <v>113.298529011069</v>
      </c>
      <c r="BA276" s="65" t="n">
        <f aca="false">IF(AZ276="",0,MAX(0,MIN(1,(IF(BU276="L1",Parameter!$E$5,Parameter!$E$6+Parameter!$E$7)-(AZ276-AV276))/AV276)))</f>
        <v>0</v>
      </c>
      <c r="BB276" s="55" t="str">
        <f aca="false">IF(AF276&lt;=0,"",IF(BU276="Aussen","Aussenlager",IF(BU276="-","Nicht im Lift",IF(AK276&gt;=1,"Lift",IF(AK276&lt;=0,"Aussenlager","teilweise")))))</f>
        <v>Lift</v>
      </c>
      <c r="BC276" s="55" t="str">
        <f aca="false">IF(AN276&lt;=0,"",IF(BU276="Aussen","Aussenlager",IF(BU276="-","Nicht im Lift",IF(AS276&gt;=1,"Lift",IF(AS276&lt;=0,"Aussenlager","teilweise")))))</f>
        <v>Aussenlager</v>
      </c>
      <c r="BD276" s="55" t="str">
        <f aca="false">IF(AV276&lt;=0,"",IF(BU276="Aussen","Aussenlager",IF(BU276="-","Nicht im Lift",IF(BA276&gt;=1,"Lift",IF(BA276&lt;=0,"Aussenlager","teilweise")))))</f>
        <v>Aussenlager</v>
      </c>
      <c r="BE276" s="55" t="str">
        <f aca="false">IF(A276="","",IF(BN276=1,"Neu; ","")&amp;IF(AND(BN276=0,BI276&lt;0),"negativer Bestand (Export "&amp;BI276&amp;"); ","")&amp;IF(I276&lt;=0,"Kein Verbrauch; ","")&amp;IF(CD276&gt;0,"Lift "&amp;U276&amp;" lt. Liftbericht (Fach "&amp;V276&amp;" Stk); ",IF(BR276=1,"Lose – Fläche geschätzt; ",""))&amp;IF(G276&gt;AP276,"Überbestand "&amp;ROUND(G276-AP276,0)&amp;" Stk / CHF "&amp;ROUND((G276-AP276)*F276,0)&amp;"; ","")&amp;IF(AND(BW276=1,BX276&lt;BY276),"MAX &lt; MB+LG; ","")&amp;IF(AND(CC276&gt;0,CB276*10&gt;CC276),"zu hoch für Tablar; ","")&amp;IF(AND(BN276=0,OR(BW276=1,Y276&lt;&gt;"",S276&lt;&gt;"",T276&lt;&gt;"",Z276&lt;&gt;"")),"manuell übersteuert; ","")&amp;IF(AND(BR276=0,Q276=0),"Gebinde unbekannt / Stellmass fehlt; ","")&amp;IF(AND(BR276=0,N(T276)&lt;=0,N(P276)&lt;=0),"Menge pro Gebinde fehlt (Ist = 1 Gebinde); ","")&amp;BM276)</f>
        <v>Kein Verbrauch; Lose – Fläche geschätzt; </v>
      </c>
      <c r="BF276" s="55"/>
      <c r="BG276" s="55"/>
      <c r="BH276" s="62"/>
      <c r="BI276" s="57" t="n">
        <v>15</v>
      </c>
      <c r="BJ276" s="57" t="n">
        <v>0</v>
      </c>
      <c r="BK276" s="56" t="n">
        <v>367.5</v>
      </c>
      <c r="BL276" s="57" t="n">
        <v>0</v>
      </c>
      <c r="BM276" s="55"/>
      <c r="BN276" s="60" t="n">
        <v>0</v>
      </c>
      <c r="BO276" s="60" t="n">
        <v>276</v>
      </c>
      <c r="BP276" s="55" t="str">
        <f aca="false">IF(S276&lt;&gt;"",UPPER(TRIM(S276)),IF(O276="","LOSE",O276))</f>
        <v>LOSE</v>
      </c>
      <c r="BQ276" s="57" t="n">
        <f aca="false">IF(BP276="LOSE",1,IF(N(T276)&gt;0,T276,IF(N(P276)&gt;0,P276,MAX(1,G276))))</f>
        <v>1</v>
      </c>
      <c r="BR276" s="60" t="n">
        <f aca="false">IF(BP276="LOSE",1,0)</f>
        <v>1</v>
      </c>
      <c r="BS276" s="59" t="n">
        <f aca="false">IF(BR276=0,0,IF(N(R276)&gt;0,R276,IFERROR(VLOOKUP(D276,Parameter!$A$35:$C$64,3,0)+0,0)))</f>
        <v>0.03</v>
      </c>
      <c r="BT276" s="55" t="n">
        <f aca="false">IF(Y276&lt;&gt;"",Y276,X276)</f>
        <v>2</v>
      </c>
      <c r="BU276" s="55" t="str">
        <f aca="false">IF(BT276=1,"L1",IF(OR(BT276=2,BT276=3),"L23",IF(BT276="Aussen","Aussen","-")))</f>
        <v>L23</v>
      </c>
      <c r="BV276" s="66" t="n">
        <f aca="false">IF(N(Z276)&gt;0,Z276,0)</f>
        <v>0</v>
      </c>
      <c r="BW276" s="60" t="n">
        <f aca="false">IF(ISNUMBER(AC276),1,0)</f>
        <v>0</v>
      </c>
      <c r="BX276" s="57" t="n">
        <f aca="false">N(AC276)</f>
        <v>0</v>
      </c>
      <c r="BY276" s="57" t="n">
        <f aca="false">N(L276)+N(M276)</f>
        <v>15</v>
      </c>
      <c r="BZ276" s="57" t="n">
        <f aca="false">ROUNDUP(G276/BQ276,0)</f>
        <v>15</v>
      </c>
      <c r="CA276" s="57" t="n">
        <f aca="false">ROUNDUP(BX276/BQ276,0)</f>
        <v>0</v>
      </c>
      <c r="CB276" s="60" t="n">
        <f aca="false">IF(BR276=1,0,IFERROR(VLOOKUP(BP276,'Gebinde-Kategorie'!$A$5:$M$45,5,0)+0,0))</f>
        <v>0</v>
      </c>
      <c r="CC276" s="60" t="n">
        <f aca="false">IFERROR(IF(OR(BT276=1,BT276=2,BT276=3),N(INDEX(Parameter!$I$5:$I$7,BT276)),0),0)</f>
        <v>0</v>
      </c>
      <c r="CD276" s="59" t="n">
        <f aca="false">IF(AND(Parameter!$B$21="Ja",ISNUMBER(U276),N(V276)&gt;0),IFERROR(N(INDEX(Parameter!$L$5:$L$7,U276))*INDEX(Parameter!$E$5:$E$7,U276)*V276/SUMIFS($V$7:$V$1576,$U$7:$U$1576,U276),0),0)</f>
        <v>0</v>
      </c>
    </row>
    <row r="277" customFormat="false" ht="15" hidden="false" customHeight="false" outlineLevel="0" collapsed="false">
      <c r="A277" s="55" t="s">
        <v>718</v>
      </c>
      <c r="B277" s="55" t="s">
        <v>719</v>
      </c>
      <c r="C277" s="55" t="s">
        <v>160</v>
      </c>
      <c r="D277" s="55" t="s">
        <v>178</v>
      </c>
      <c r="E277" s="55" t="s">
        <v>210</v>
      </c>
      <c r="F277" s="56" t="n">
        <v>20.67</v>
      </c>
      <c r="G277" s="57" t="n">
        <f aca="false">MAX(0,IF(AND(Parameter!$B$21="Ja",ISNUMBER(W277)),W277,IF(Parameter!$B$20="Jahresanfang 2025 + Export",BJ277+BI277,BI277)))</f>
        <v>17</v>
      </c>
      <c r="H277" s="57" t="n">
        <f aca="false">G277*F277</f>
        <v>351.39</v>
      </c>
      <c r="I277" s="57" t="n">
        <f aca="false">BL277*Parameter!$B$18</f>
        <v>4</v>
      </c>
      <c r="J277" s="58" t="n">
        <v>13</v>
      </c>
      <c r="K277" s="59" t="n">
        <v>0.307692307692308</v>
      </c>
      <c r="L277" s="57" t="n">
        <v>0</v>
      </c>
      <c r="M277" s="57" t="n">
        <v>5</v>
      </c>
      <c r="N277" s="60" t="n">
        <v>21</v>
      </c>
      <c r="O277" s="55" t="s">
        <v>411</v>
      </c>
      <c r="P277" s="57" t="n">
        <v>13</v>
      </c>
      <c r="Q277" s="60" t="n">
        <f aca="false">IF(BR277=1,0,IFERROR(VLOOKUP(BP277,'Gebinde-Kategorie'!$A$5:$M$45,13,0)+0,0))</f>
        <v>132</v>
      </c>
      <c r="R277" s="61"/>
      <c r="S277" s="62"/>
      <c r="T277" s="62"/>
      <c r="U277" s="55"/>
      <c r="V277" s="57"/>
      <c r="W277" s="57"/>
      <c r="X277" s="55" t="n">
        <f aca="false">IF(A277="","",IF(AND(Parameter!$B$21="Ja",ISNUMBER(U277)),U277,IF(IFERROR(VLOOKUP(D277,Parameter!$A$35:$C$64,2,0),"Nein")="2+3",IF(ISNUMBER(SEARCH("grosser Artikel",BM277)),2,IFERROR(VLOOKUP(BP277,Parameter!$F$35:$G$64,2,0),2)),IF(OR(IFERROR(VLOOKUP(D277,Parameter!$A$35:$C$64,2,0),"Nein")="Nein",IFERROR(VLOOKUP(D277,Parameter!$A$35:$C$64,2,0),"Nein")=""),"-",VLOOKUP(D277,Parameter!$A$35:$C$64,2,0)))))</f>
        <v>3</v>
      </c>
      <c r="Y277" s="62"/>
      <c r="Z277" s="63"/>
      <c r="AA277" s="57" t="n">
        <f aca="false">AP277</f>
        <v>13</v>
      </c>
      <c r="AB277" s="57" t="n">
        <f aca="false">MAX(AP277,G277)</f>
        <v>17</v>
      </c>
      <c r="AC277" s="64"/>
      <c r="AD277" s="57" t="n">
        <f aca="false">IF(LEFT(Cockpit!$C$5,1)="A",G277,IF(BW277=1,BX277,IF(LEFT(Cockpit!$C$5,1)="B",AH277,MAX(AH277,G277))))</f>
        <v>17</v>
      </c>
      <c r="AE277" s="57" t="n">
        <f aca="false">IF(BR277=1,0,ROUNDUP(AD277/BQ277,0))</f>
        <v>2</v>
      </c>
      <c r="AF277" s="59" t="n">
        <f aca="false">IF(CD277&gt;0,CD277*MAX(1,AD277/V277),IF(BR277=1,IF(AD277&lt;=0,0,BS277*MAX(1,IF(G277&gt;0,AD277/G277,1))),IF(Q277&gt;0,AE277/Q277,0))/MAX(0.1,N(Parameter!$M$21)))</f>
        <v>0.0151515151515152</v>
      </c>
      <c r="AG277" s="57" t="n">
        <f aca="false">AD277*F277</f>
        <v>351.39</v>
      </c>
      <c r="AH277" s="57" t="n">
        <f aca="false">ROUNDUP(MAX(I277/IF(BV277&gt;0,BV277,MAX(0.1,N(Cockpit!$C$6))),BY277)/BQ277,0)*BQ277</f>
        <v>13</v>
      </c>
      <c r="AI277" s="58" t="n">
        <f aca="false">IF(AF277&gt;0,I277/AF277,-1)</f>
        <v>264</v>
      </c>
      <c r="AJ277" s="58" t="n">
        <f aca="false">IF(AND(OR(BU277="L1",BU277="L23"),AF277&gt;0),SUMIFS($AF$7:$AF$1576,$BU$7:$BU$1576,BU277,$AI$7:$AI$1576,"&gt;"&amp;AI277)+SUMIFS($AF$7:$AF$1576,$BU$7:$BU$1576,BU277,$AI$7:$AI$1576,AI277,$BO$7:$BO$1576,"&lt;="&amp;BO277),"")</f>
        <v>15.5997925745752</v>
      </c>
      <c r="AK277" s="65" t="n">
        <f aca="false">IF(AJ277="",0,MAX(0,MIN(1,(IF(BU277="L1",Parameter!$E$5,Parameter!$E$6+Parameter!$E$7)-(AJ277-AF277))/AF277)))</f>
        <v>1</v>
      </c>
      <c r="AL277" s="57" t="n">
        <f aca="false">IF(LEFT(Cockpit!$I$5,1)="A",G277,IF(BW277=1,BX277,IF(LEFT(Cockpit!$I$5,1)="B",AP277,MAX(AP277,G277))))</f>
        <v>17</v>
      </c>
      <c r="AM277" s="57" t="n">
        <f aca="false">IF(BR277=1,0,ROUNDUP(AL277/BQ277,0))</f>
        <v>2</v>
      </c>
      <c r="AN277" s="59" t="n">
        <f aca="false">IF(CD277&gt;0,CD277*MAX(1,AL277/V277),IF(BR277=1,IF(AL277&lt;=0,0,BS277*MAX(1,IF(G277&gt;0,AL277/G277,1))),IF(Q277&gt;0,AM277/Q277,0))/MAX(0.1,N(Parameter!$M$21)))</f>
        <v>0.0151515151515152</v>
      </c>
      <c r="AO277" s="57" t="n">
        <f aca="false">AL277*F277</f>
        <v>351.39</v>
      </c>
      <c r="AP277" s="57" t="n">
        <f aca="false">ROUNDUP(MAX(I277/IF(BV277&gt;0,BV277,MAX(0.1,N(Cockpit!$I$6))),BY277)/BQ277,0)*BQ277</f>
        <v>13</v>
      </c>
      <c r="AQ277" s="58" t="n">
        <f aca="false">IF(AN277&gt;0,I277/AN277,-1)</f>
        <v>264</v>
      </c>
      <c r="AR277" s="58" t="n">
        <f aca="false">IF(AND(OR(BU277="L1",BU277="L23"),AN277&gt;0),SUMIFS($AN$7:$AN$1576,$BU$7:$BU$1576,BU277,$AQ$7:$AQ$1576,"&gt;"&amp;AQ277)+SUMIFS($AN$7:$AN$1576,$BU$7:$BU$1576,BU277,$AQ$7:$AQ$1576,AQ277,$BO$7:$BO$1576,"&lt;="&amp;BO277),"")</f>
        <v>45.3124839053212</v>
      </c>
      <c r="AS277" s="65" t="n">
        <f aca="false">IF(AR277="",0,MAX(0,MIN(1,(IF(BU277="L1",Parameter!$E$5,Parameter!$E$6+Parameter!$E$7)-(AR277-AN277))/AN277)))</f>
        <v>1</v>
      </c>
      <c r="AT277" s="57" t="n">
        <f aca="false">IF(LEFT(Cockpit!$O$5,1)="A",G277,IF(BW277=1,BX277,IF(LEFT(Cockpit!$O$5,1)="B",AX277,MAX(AX277,G277))))</f>
        <v>17</v>
      </c>
      <c r="AU277" s="57" t="n">
        <f aca="false">IF(BR277=1,0,ROUNDUP(AT277/BQ277,0))</f>
        <v>2</v>
      </c>
      <c r="AV277" s="59" t="n">
        <f aca="false">IF(CD277&gt;0,CD277*MAX(1,AT277/V277),IF(BR277=1,IF(AT277&lt;=0,0,BS277*MAX(1,IF(G277&gt;0,AT277/G277,1))),IF(Q277&gt;0,AU277/Q277,0))/MAX(0.1,N(Parameter!$M$21)))</f>
        <v>0.0151515151515152</v>
      </c>
      <c r="AW277" s="57" t="n">
        <f aca="false">AT277*F277</f>
        <v>351.39</v>
      </c>
      <c r="AX277" s="57" t="n">
        <f aca="false">ROUNDUP(MAX(I277/IF(BV277&gt;0,BV277,MAX(0.1,N(Cockpit!$O$6))),BY277)/BQ277,0)*BQ277</f>
        <v>13</v>
      </c>
      <c r="AY277" s="58" t="n">
        <f aca="false">IF(AV277&gt;0,I277/AV277,-1)</f>
        <v>264</v>
      </c>
      <c r="AZ277" s="58" t="n">
        <f aca="false">IF(AND(OR(BU277="L1",BU277="L23"),AV277&gt;0),SUMIFS($AV$7:$AV$1576,$BU$7:$BU$1576,BU277,$AY$7:$AY$1576,"&gt;"&amp;AY277)+SUMIFS($AV$7:$AV$1576,$BU$7:$BU$1576,BU277,$AY$7:$AY$1576,AY277,$BO$7:$BO$1576,"&lt;="&amp;BO277),"")</f>
        <v>41.5905624933997</v>
      </c>
      <c r="BA277" s="65" t="n">
        <f aca="false">IF(AZ277="",0,MAX(0,MIN(1,(IF(BU277="L1",Parameter!$E$5,Parameter!$E$6+Parameter!$E$7)-(AZ277-AV277))/AV277)))</f>
        <v>1</v>
      </c>
      <c r="BB277" s="55" t="str">
        <f aca="false">IF(AF277&lt;=0,"",IF(BU277="Aussen","Aussenlager",IF(BU277="-","Nicht im Lift",IF(AK277&gt;=1,"Lift",IF(AK277&lt;=0,"Aussenlager","teilweise")))))</f>
        <v>Lift</v>
      </c>
      <c r="BC277" s="55" t="str">
        <f aca="false">IF(AN277&lt;=0,"",IF(BU277="Aussen","Aussenlager",IF(BU277="-","Nicht im Lift",IF(AS277&gt;=1,"Lift",IF(AS277&lt;=0,"Aussenlager","teilweise")))))</f>
        <v>Lift</v>
      </c>
      <c r="BD277" s="55" t="str">
        <f aca="false">IF(AV277&lt;=0,"",IF(BU277="Aussen","Aussenlager",IF(BU277="-","Nicht im Lift",IF(BA277&gt;=1,"Lift",IF(BA277&lt;=0,"Aussenlager","teilweise")))))</f>
        <v>Lift</v>
      </c>
      <c r="BE277" s="55" t="str">
        <f aca="false">IF(A277="","",IF(BN277=1,"Neu; ","")&amp;IF(AND(BN277=0,BI277&lt;0),"negativer Bestand (Export "&amp;BI277&amp;"); ","")&amp;IF(I277&lt;=0,"Kein Verbrauch; ","")&amp;IF(CD277&gt;0,"Lift "&amp;U277&amp;" lt. Liftbericht (Fach "&amp;V277&amp;" Stk); ",IF(BR277=1,"Lose – Fläche geschätzt; ",""))&amp;IF(G277&gt;AP277,"Überbestand "&amp;ROUND(G277-AP277,0)&amp;" Stk / CHF "&amp;ROUND((G277-AP277)*F277,0)&amp;"; ","")&amp;IF(AND(BW277=1,BX277&lt;BY277),"MAX &lt; MB+LG; ","")&amp;IF(AND(CC277&gt;0,CB277*10&gt;CC277),"zu hoch für Tablar; ","")&amp;IF(AND(BN277=0,OR(BW277=1,Y277&lt;&gt;"",S277&lt;&gt;"",T277&lt;&gt;"",Z277&lt;&gt;"")),"manuell übersteuert; ","")&amp;IF(AND(BR277=0,Q277=0),"Gebinde unbekannt / Stellmass fehlt; ","")&amp;IF(AND(BR277=0,N(T277)&lt;=0,N(P277)&lt;=0),"Menge pro Gebinde fehlt (Ist = 1 Gebinde); ","")&amp;BM277)</f>
        <v>Überbestand 4 Stk / CHF 83; </v>
      </c>
      <c r="BF277" s="55"/>
      <c r="BG277" s="55"/>
      <c r="BH277" s="62"/>
      <c r="BI277" s="57" t="n">
        <v>17</v>
      </c>
      <c r="BJ277" s="57" t="n">
        <v>5</v>
      </c>
      <c r="BK277" s="56" t="n">
        <v>364.74</v>
      </c>
      <c r="BL277" s="57" t="n">
        <v>4</v>
      </c>
      <c r="BM277" s="55"/>
      <c r="BN277" s="60" t="n">
        <v>0</v>
      </c>
      <c r="BO277" s="60" t="n">
        <v>277</v>
      </c>
      <c r="BP277" s="55" t="str">
        <f aca="false">IF(S277&lt;&gt;"",UPPER(TRIM(S277)),IF(O277="","LOSE",O277))</f>
        <v>S32</v>
      </c>
      <c r="BQ277" s="57" t="n">
        <f aca="false">IF(BP277="LOSE",1,IF(N(T277)&gt;0,T277,IF(N(P277)&gt;0,P277,MAX(1,G277))))</f>
        <v>13</v>
      </c>
      <c r="BR277" s="60" t="n">
        <f aca="false">IF(BP277="LOSE",1,0)</f>
        <v>0</v>
      </c>
      <c r="BS277" s="59" t="n">
        <f aca="false">IF(BR277=0,0,IF(N(R277)&gt;0,R277,IFERROR(VLOOKUP(D277,Parameter!$A$35:$C$64,3,0)+0,0)))</f>
        <v>0</v>
      </c>
      <c r="BT277" s="55" t="n">
        <f aca="false">IF(Y277&lt;&gt;"",Y277,X277)</f>
        <v>3</v>
      </c>
      <c r="BU277" s="55" t="str">
        <f aca="false">IF(BT277=1,"L1",IF(OR(BT277=2,BT277=3),"L23",IF(BT277="Aussen","Aussen","-")))</f>
        <v>L23</v>
      </c>
      <c r="BV277" s="66" t="n">
        <f aca="false">IF(N(Z277)&gt;0,Z277,0)</f>
        <v>0</v>
      </c>
      <c r="BW277" s="60" t="n">
        <f aca="false">IF(ISNUMBER(AC277),1,0)</f>
        <v>0</v>
      </c>
      <c r="BX277" s="57" t="n">
        <f aca="false">N(AC277)</f>
        <v>0</v>
      </c>
      <c r="BY277" s="57" t="n">
        <f aca="false">N(L277)+N(M277)</f>
        <v>5</v>
      </c>
      <c r="BZ277" s="57" t="n">
        <f aca="false">ROUNDUP(G277/BQ277,0)</f>
        <v>2</v>
      </c>
      <c r="CA277" s="57" t="n">
        <f aca="false">ROUNDUP(BX277/BQ277,0)</f>
        <v>0</v>
      </c>
      <c r="CB277" s="60" t="n">
        <f aca="false">IF(BR277=1,0,IFERROR(VLOOKUP(BP277,'Gebinde-Kategorie'!$A$5:$M$45,5,0)+0,0))</f>
        <v>8</v>
      </c>
      <c r="CC277" s="60" t="n">
        <f aca="false">IFERROR(IF(OR(BT277=1,BT277=2,BT277=3),N(INDEX(Parameter!$I$5:$I$7,BT277)),0),0)</f>
        <v>0</v>
      </c>
      <c r="CD277" s="59" t="n">
        <f aca="false">IF(AND(Parameter!$B$21="Ja",ISNUMBER(U277),N(V277)&gt;0),IFERROR(N(INDEX(Parameter!$L$5:$L$7,U277))*INDEX(Parameter!$E$5:$E$7,U277)*V277/SUMIFS($V$7:$V$1576,$U$7:$U$1576,U277),0),0)</f>
        <v>0</v>
      </c>
    </row>
    <row r="278" customFormat="false" ht="15" hidden="false" customHeight="false" outlineLevel="0" collapsed="false">
      <c r="A278" s="55" t="s">
        <v>720</v>
      </c>
      <c r="B278" s="55" t="s">
        <v>721</v>
      </c>
      <c r="C278" s="55" t="s">
        <v>160</v>
      </c>
      <c r="D278" s="55" t="s">
        <v>178</v>
      </c>
      <c r="E278" s="55" t="s">
        <v>210</v>
      </c>
      <c r="F278" s="56" t="n">
        <v>364</v>
      </c>
      <c r="G278" s="57" t="n">
        <f aca="false">MAX(0,IF(AND(Parameter!$B$21="Ja",ISNUMBER(W278)),W278,IF(Parameter!$B$20="Jahresanfang 2025 + Export",BJ278+BI278,BI278)))</f>
        <v>1</v>
      </c>
      <c r="H278" s="57" t="n">
        <f aca="false">G278*F278</f>
        <v>364</v>
      </c>
      <c r="I278" s="57" t="n">
        <f aca="false">BL278*Parameter!$B$18</f>
        <v>0</v>
      </c>
      <c r="J278" s="58" t="n">
        <v>0.5</v>
      </c>
      <c r="K278" s="59" t="n">
        <v>0</v>
      </c>
      <c r="L278" s="57" t="n">
        <v>0</v>
      </c>
      <c r="M278" s="57" t="n">
        <v>1</v>
      </c>
      <c r="N278" s="60" t="n">
        <v>110</v>
      </c>
      <c r="O278" s="55" t="s">
        <v>416</v>
      </c>
      <c r="P278" s="57" t="n">
        <v>5</v>
      </c>
      <c r="Q278" s="60" t="n">
        <f aca="false">IF(BR278=1,0,IFERROR(VLOOKUP(BP278,'Gebinde-Kategorie'!$A$5:$M$45,13,0)+0,0))</f>
        <v>198</v>
      </c>
      <c r="R278" s="61"/>
      <c r="S278" s="62"/>
      <c r="T278" s="62"/>
      <c r="U278" s="55"/>
      <c r="V278" s="57"/>
      <c r="W278" s="57"/>
      <c r="X278" s="55" t="n">
        <f aca="false">IF(A278="","",IF(AND(Parameter!$B$21="Ja",ISNUMBER(U278)),U278,IF(IFERROR(VLOOKUP(D278,Parameter!$A$35:$C$64,2,0),"Nein")="2+3",IF(ISNUMBER(SEARCH("grosser Artikel",BM278)),2,IFERROR(VLOOKUP(BP278,Parameter!$F$35:$G$64,2,0),2)),IF(OR(IFERROR(VLOOKUP(D278,Parameter!$A$35:$C$64,2,0),"Nein")="Nein",IFERROR(VLOOKUP(D278,Parameter!$A$35:$C$64,2,0),"Nein")=""),"-",VLOOKUP(D278,Parameter!$A$35:$C$64,2,0)))))</f>
        <v>3</v>
      </c>
      <c r="Y278" s="62"/>
      <c r="Z278" s="63"/>
      <c r="AA278" s="57" t="n">
        <f aca="false">AP278</f>
        <v>5</v>
      </c>
      <c r="AB278" s="57" t="n">
        <f aca="false">MAX(AP278,G278)</f>
        <v>5</v>
      </c>
      <c r="AC278" s="64"/>
      <c r="AD278" s="57" t="n">
        <f aca="false">IF(LEFT(Cockpit!$C$5,1)="A",G278,IF(BW278=1,BX278,IF(LEFT(Cockpit!$C$5,1)="B",AH278,MAX(AH278,G278))))</f>
        <v>1</v>
      </c>
      <c r="AE278" s="57" t="n">
        <f aca="false">IF(BR278=1,0,ROUNDUP(AD278/BQ278,0))</f>
        <v>1</v>
      </c>
      <c r="AF278" s="59" t="n">
        <f aca="false">IF(CD278&gt;0,CD278*MAX(1,AD278/V278),IF(BR278=1,IF(AD278&lt;=0,0,BS278*MAX(1,IF(G278&gt;0,AD278/G278,1))),IF(Q278&gt;0,AE278/Q278,0))/MAX(0.1,N(Parameter!$M$21)))</f>
        <v>0.00505050505050505</v>
      </c>
      <c r="AG278" s="57" t="n">
        <f aca="false">AD278*F278</f>
        <v>364</v>
      </c>
      <c r="AH278" s="57" t="n">
        <f aca="false">ROUNDUP(MAX(I278/IF(BV278&gt;0,BV278,MAX(0.1,N(Cockpit!$C$6))),BY278)/BQ278,0)*BQ278</f>
        <v>5</v>
      </c>
      <c r="AI278" s="58" t="n">
        <f aca="false">IF(AF278&gt;0,I278/AF278,-1)</f>
        <v>0</v>
      </c>
      <c r="AJ278" s="58" t="n">
        <f aca="false">IF(AND(OR(BU278="L1",BU278="L23"),AF278&gt;0),SUMIFS($AF$7:$AF$1576,$BU$7:$BU$1576,BU278,$AI$7:$AI$1576,"&gt;"&amp;AI278)+SUMIFS($AF$7:$AF$1576,$BU$7:$BU$1576,BU278,$AI$7:$AI$1576,AI278,$BO$7:$BO$1576,"&lt;="&amp;BO278),"")</f>
        <v>40.3698233167798</v>
      </c>
      <c r="AK278" s="65" t="n">
        <f aca="false">IF(AJ278="",0,MAX(0,MIN(1,(IF(BU278="L1",Parameter!$E$5,Parameter!$E$6+Parameter!$E$7)-(AJ278-AF278))/AF278)))</f>
        <v>1</v>
      </c>
      <c r="AL278" s="57" t="n">
        <f aca="false">IF(LEFT(Cockpit!$I$5,1)="A",G278,IF(BW278=1,BX278,IF(LEFT(Cockpit!$I$5,1)="B",AP278,MAX(AP278,G278))))</f>
        <v>5</v>
      </c>
      <c r="AM278" s="57" t="n">
        <f aca="false">IF(BR278=1,0,ROUNDUP(AL278/BQ278,0))</f>
        <v>1</v>
      </c>
      <c r="AN278" s="59" t="n">
        <f aca="false">IF(CD278&gt;0,CD278*MAX(1,AL278/V278),IF(BR278=1,IF(AL278&lt;=0,0,BS278*MAX(1,IF(G278&gt;0,AL278/G278,1))),IF(Q278&gt;0,AM278/Q278,0))/MAX(0.1,N(Parameter!$M$21)))</f>
        <v>0.00505050505050505</v>
      </c>
      <c r="AO278" s="57" t="n">
        <f aca="false">AL278*F278</f>
        <v>1820</v>
      </c>
      <c r="AP278" s="57" t="n">
        <f aca="false">ROUNDUP(MAX(I278/IF(BV278&gt;0,BV278,MAX(0.1,N(Cockpit!$I$6))),BY278)/BQ278,0)*BQ278</f>
        <v>5</v>
      </c>
      <c r="AQ278" s="58" t="n">
        <f aca="false">IF(AN278&gt;0,I278/AN278,-1)</f>
        <v>0</v>
      </c>
      <c r="AR278" s="58" t="n">
        <f aca="false">IF(AND(OR(BU278="L1",BU278="L23"),AN278&gt;0),SUMIFS($AN$7:$AN$1576,$BU$7:$BU$1576,BU278,$AQ$7:$AQ$1576,"&gt;"&amp;AQ278)+SUMIFS($AN$7:$AN$1576,$BU$7:$BU$1576,BU278,$AQ$7:$AQ$1576,AQ278,$BO$7:$BO$1576,"&lt;="&amp;BO278),"")</f>
        <v>123.244029066569</v>
      </c>
      <c r="AS278" s="65" t="n">
        <f aca="false">IF(AR278="",0,MAX(0,MIN(1,(IF(BU278="L1",Parameter!$E$5,Parameter!$E$6+Parameter!$E$7)-(AR278-AN278))/AN278)))</f>
        <v>0</v>
      </c>
      <c r="AT278" s="57" t="n">
        <f aca="false">IF(LEFT(Cockpit!$O$5,1)="A",G278,IF(BW278=1,BX278,IF(LEFT(Cockpit!$O$5,1)="B",AX278,MAX(AX278,G278))))</f>
        <v>5</v>
      </c>
      <c r="AU278" s="57" t="n">
        <f aca="false">IF(BR278=1,0,ROUNDUP(AT278/BQ278,0))</f>
        <v>1</v>
      </c>
      <c r="AV278" s="59" t="n">
        <f aca="false">IF(CD278&gt;0,CD278*MAX(1,AT278/V278),IF(BR278=1,IF(AT278&lt;=0,0,BS278*MAX(1,IF(G278&gt;0,AT278/G278,1))),IF(Q278&gt;0,AU278/Q278,0))/MAX(0.1,N(Parameter!$M$21)))</f>
        <v>0.00505050505050505</v>
      </c>
      <c r="AW278" s="57" t="n">
        <f aca="false">AT278*F278</f>
        <v>1820</v>
      </c>
      <c r="AX278" s="57" t="n">
        <f aca="false">ROUNDUP(MAX(I278/IF(BV278&gt;0,BV278,MAX(0.1,N(Cockpit!$O$6))),BY278)/BQ278,0)*BQ278</f>
        <v>5</v>
      </c>
      <c r="AY278" s="58" t="n">
        <f aca="false">IF(AV278&gt;0,I278/AV278,-1)</f>
        <v>0</v>
      </c>
      <c r="AZ278" s="58" t="n">
        <f aca="false">IF(AND(OR(BU278="L1",BU278="L23"),AV278&gt;0),SUMIFS($AV$7:$AV$1576,$BU$7:$BU$1576,BU278,$AY$7:$AY$1576,"&gt;"&amp;AY278)+SUMIFS($AV$7:$AV$1576,$BU$7:$BU$1576,BU278,$AY$7:$AY$1576,AY278,$BO$7:$BO$1576,"&lt;="&amp;BO278),"")</f>
        <v>113.30357951612</v>
      </c>
      <c r="BA278" s="65" t="n">
        <f aca="false">IF(AZ278="",0,MAX(0,MIN(1,(IF(BU278="L1",Parameter!$E$5,Parameter!$E$6+Parameter!$E$7)-(AZ278-AV278))/AV278)))</f>
        <v>0</v>
      </c>
      <c r="BB278" s="55" t="str">
        <f aca="false">IF(AF278&lt;=0,"",IF(BU278="Aussen","Aussenlager",IF(BU278="-","Nicht im Lift",IF(AK278&gt;=1,"Lift",IF(AK278&lt;=0,"Aussenlager","teilweise")))))</f>
        <v>Lift</v>
      </c>
      <c r="BC278" s="55" t="str">
        <f aca="false">IF(AN278&lt;=0,"",IF(BU278="Aussen","Aussenlager",IF(BU278="-","Nicht im Lift",IF(AS278&gt;=1,"Lift",IF(AS278&lt;=0,"Aussenlager","teilweise")))))</f>
        <v>Aussenlager</v>
      </c>
      <c r="BD278" s="55" t="str">
        <f aca="false">IF(AV278&lt;=0,"",IF(BU278="Aussen","Aussenlager",IF(BU278="-","Nicht im Lift",IF(BA278&gt;=1,"Lift",IF(BA278&lt;=0,"Aussenlager","teilweise")))))</f>
        <v>Aussenlager</v>
      </c>
      <c r="BE278" s="55" t="str">
        <f aca="false">IF(A278="","",IF(BN278=1,"Neu; ","")&amp;IF(AND(BN278=0,BI278&lt;0),"negativer Bestand (Export "&amp;BI278&amp;"); ","")&amp;IF(I278&lt;=0,"Kein Verbrauch; ","")&amp;IF(CD278&gt;0,"Lift "&amp;U278&amp;" lt. Liftbericht (Fach "&amp;V278&amp;" Stk); ",IF(BR278=1,"Lose – Fläche geschätzt; ",""))&amp;IF(G278&gt;AP278,"Überbestand "&amp;ROUND(G278-AP278,0)&amp;" Stk / CHF "&amp;ROUND((G278-AP278)*F278,0)&amp;"; ","")&amp;IF(AND(BW278=1,BX278&lt;BY278),"MAX &lt; MB+LG; ","")&amp;IF(AND(CC278&gt;0,CB278*10&gt;CC278),"zu hoch für Tablar; ","")&amp;IF(AND(BN278=0,OR(BW278=1,Y278&lt;&gt;"",S278&lt;&gt;"",T278&lt;&gt;"",Z278&lt;&gt;"")),"manuell übersteuert; ","")&amp;IF(AND(BR278=0,Q278=0),"Gebinde unbekannt / Stellmass fehlt; ","")&amp;IF(AND(BR278=0,N(T278)&lt;=0,N(P278)&lt;=0),"Menge pro Gebinde fehlt (Ist = 1 Gebinde); ","")&amp;BM278)</f>
        <v>Kein Verbrauch; </v>
      </c>
      <c r="BF278" s="55"/>
      <c r="BG278" s="55"/>
      <c r="BH278" s="62"/>
      <c r="BI278" s="57" t="n">
        <v>1</v>
      </c>
      <c r="BJ278" s="57" t="n">
        <v>0</v>
      </c>
      <c r="BK278" s="56" t="n">
        <v>364</v>
      </c>
      <c r="BL278" s="57" t="n">
        <v>0</v>
      </c>
      <c r="BM278" s="55"/>
      <c r="BN278" s="60" t="n">
        <v>0</v>
      </c>
      <c r="BO278" s="60" t="n">
        <v>278</v>
      </c>
      <c r="BP278" s="55" t="str">
        <f aca="false">IF(S278&lt;&gt;"",UPPER(TRIM(S278)),IF(O278="","LOSE",O278))</f>
        <v>S22</v>
      </c>
      <c r="BQ278" s="57" t="n">
        <f aca="false">IF(BP278="LOSE",1,IF(N(T278)&gt;0,T278,IF(N(P278)&gt;0,P278,MAX(1,G278))))</f>
        <v>5</v>
      </c>
      <c r="BR278" s="60" t="n">
        <f aca="false">IF(BP278="LOSE",1,0)</f>
        <v>0</v>
      </c>
      <c r="BS278" s="59" t="n">
        <f aca="false">IF(BR278=0,0,IF(N(R278)&gt;0,R278,IFERROR(VLOOKUP(D278,Parameter!$A$35:$C$64,3,0)+0,0)))</f>
        <v>0</v>
      </c>
      <c r="BT278" s="55" t="n">
        <f aca="false">IF(Y278&lt;&gt;"",Y278,X278)</f>
        <v>3</v>
      </c>
      <c r="BU278" s="55" t="str">
        <f aca="false">IF(BT278=1,"L1",IF(OR(BT278=2,BT278=3),"L23",IF(BT278="Aussen","Aussen","-")))</f>
        <v>L23</v>
      </c>
      <c r="BV278" s="66" t="n">
        <f aca="false">IF(N(Z278)&gt;0,Z278,0)</f>
        <v>0</v>
      </c>
      <c r="BW278" s="60" t="n">
        <f aca="false">IF(ISNUMBER(AC278),1,0)</f>
        <v>0</v>
      </c>
      <c r="BX278" s="57" t="n">
        <f aca="false">N(AC278)</f>
        <v>0</v>
      </c>
      <c r="BY278" s="57" t="n">
        <f aca="false">N(L278)+N(M278)</f>
        <v>1</v>
      </c>
      <c r="BZ278" s="57" t="n">
        <f aca="false">ROUNDUP(G278/BQ278,0)</f>
        <v>1</v>
      </c>
      <c r="CA278" s="57" t="n">
        <f aca="false">ROUNDUP(BX278/BQ278,0)</f>
        <v>0</v>
      </c>
      <c r="CB278" s="60" t="n">
        <f aca="false">IF(BR278=1,0,IFERROR(VLOOKUP(BP278,'Gebinde-Kategorie'!$A$5:$M$45,5,0)+0,0))</f>
        <v>8</v>
      </c>
      <c r="CC278" s="60" t="n">
        <f aca="false">IFERROR(IF(OR(BT278=1,BT278=2,BT278=3),N(INDEX(Parameter!$I$5:$I$7,BT278)),0),0)</f>
        <v>0</v>
      </c>
      <c r="CD278" s="59" t="n">
        <f aca="false">IF(AND(Parameter!$B$21="Ja",ISNUMBER(U278),N(V278)&gt;0),IFERROR(N(INDEX(Parameter!$L$5:$L$7,U278))*INDEX(Parameter!$E$5:$E$7,U278)*V278/SUMIFS($V$7:$V$1576,$U$7:$U$1576,U278),0),0)</f>
        <v>0</v>
      </c>
    </row>
    <row r="279" customFormat="false" ht="15" hidden="false" customHeight="false" outlineLevel="0" collapsed="false">
      <c r="A279" s="55" t="s">
        <v>722</v>
      </c>
      <c r="B279" s="55" t="s">
        <v>723</v>
      </c>
      <c r="C279" s="55" t="s">
        <v>160</v>
      </c>
      <c r="D279" s="55" t="s">
        <v>178</v>
      </c>
      <c r="E279" s="55" t="s">
        <v>210</v>
      </c>
      <c r="F279" s="56" t="n">
        <v>18.62</v>
      </c>
      <c r="G279" s="57" t="n">
        <f aca="false">MAX(0,IF(AND(Parameter!$B$21="Ja",ISNUMBER(W279)),W279,IF(Parameter!$B$20="Jahresanfang 2025 + Export",BJ279+BI279,BI279)))</f>
        <v>22</v>
      </c>
      <c r="H279" s="57" t="n">
        <f aca="false">G279*F279</f>
        <v>409.64</v>
      </c>
      <c r="I279" s="57" t="n">
        <f aca="false">BL279*Parameter!$B$18</f>
        <v>23</v>
      </c>
      <c r="J279" s="58" t="n">
        <v>14.5</v>
      </c>
      <c r="K279" s="59" t="n">
        <v>1.58620689655172</v>
      </c>
      <c r="L279" s="57" t="n">
        <v>1</v>
      </c>
      <c r="M279" s="57" t="n">
        <v>25</v>
      </c>
      <c r="N279" s="60" t="n">
        <v>28</v>
      </c>
      <c r="O279" s="55" t="s">
        <v>319</v>
      </c>
      <c r="P279" s="57" t="n">
        <v>13</v>
      </c>
      <c r="Q279" s="60" t="n">
        <f aca="false">IF(BR279=1,0,IFERROR(VLOOKUP(BP279,'Gebinde-Kategorie'!$A$5:$M$45,13,0)+0,0))</f>
        <v>52</v>
      </c>
      <c r="R279" s="61"/>
      <c r="S279" s="62"/>
      <c r="T279" s="62"/>
      <c r="U279" s="55"/>
      <c r="V279" s="57"/>
      <c r="W279" s="57"/>
      <c r="X279" s="55" t="n">
        <f aca="false">IF(A279="","",IF(AND(Parameter!$B$21="Ja",ISNUMBER(U279)),U279,IF(IFERROR(VLOOKUP(D279,Parameter!$A$35:$C$64,2,0),"Nein")="2+3",IF(ISNUMBER(SEARCH("grosser Artikel",BM279)),2,IFERROR(VLOOKUP(BP279,Parameter!$F$35:$G$64,2,0),2)),IF(OR(IFERROR(VLOOKUP(D279,Parameter!$A$35:$C$64,2,0),"Nein")="Nein",IFERROR(VLOOKUP(D279,Parameter!$A$35:$C$64,2,0),"Nein")=""),"-",VLOOKUP(D279,Parameter!$A$35:$C$64,2,0)))))</f>
        <v>3</v>
      </c>
      <c r="Y279" s="62"/>
      <c r="Z279" s="63"/>
      <c r="AA279" s="57" t="n">
        <f aca="false">AP279</f>
        <v>26</v>
      </c>
      <c r="AB279" s="57" t="n">
        <f aca="false">MAX(AP279,G279)</f>
        <v>26</v>
      </c>
      <c r="AC279" s="64"/>
      <c r="AD279" s="57" t="n">
        <f aca="false">IF(LEFT(Cockpit!$C$5,1)="A",G279,IF(BW279=1,BX279,IF(LEFT(Cockpit!$C$5,1)="B",AH279,MAX(AH279,G279))))</f>
        <v>22</v>
      </c>
      <c r="AE279" s="57" t="n">
        <f aca="false">IF(BR279=1,0,ROUNDUP(AD279/BQ279,0))</f>
        <v>2</v>
      </c>
      <c r="AF279" s="59" t="n">
        <f aca="false">IF(CD279&gt;0,CD279*MAX(1,AD279/V279),IF(BR279=1,IF(AD279&lt;=0,0,BS279*MAX(1,IF(G279&gt;0,AD279/G279,1))),IF(Q279&gt;0,AE279/Q279,0))/MAX(0.1,N(Parameter!$M$21)))</f>
        <v>0.0384615384615385</v>
      </c>
      <c r="AG279" s="57" t="n">
        <f aca="false">AD279*F279</f>
        <v>409.64</v>
      </c>
      <c r="AH279" s="57" t="n">
        <f aca="false">ROUNDUP(MAX(I279/IF(BV279&gt;0,BV279,MAX(0.1,N(Cockpit!$C$6))),BY279)/BQ279,0)*BQ279</f>
        <v>26</v>
      </c>
      <c r="AI279" s="58" t="n">
        <f aca="false">IF(AF279&gt;0,I279/AF279,-1)</f>
        <v>598</v>
      </c>
      <c r="AJ279" s="58" t="n">
        <f aca="false">IF(AND(OR(BU279="L1",BU279="L23"),AF279&gt;0),SUMIFS($AF$7:$AF$1576,$BU$7:$BU$1576,BU279,$AI$7:$AI$1576,"&gt;"&amp;AI279)+SUMIFS($AF$7:$AF$1576,$BU$7:$BU$1576,BU279,$AI$7:$AI$1576,AI279,$BO$7:$BO$1576,"&lt;="&amp;BO279),"")</f>
        <v>11.8555045437654</v>
      </c>
      <c r="AK279" s="65" t="n">
        <f aca="false">IF(AJ279="",0,MAX(0,MIN(1,(IF(BU279="L1",Parameter!$E$5,Parameter!$E$6+Parameter!$E$7)-(AJ279-AF279))/AF279)))</f>
        <v>1</v>
      </c>
      <c r="AL279" s="57" t="n">
        <f aca="false">IF(LEFT(Cockpit!$I$5,1)="A",G279,IF(BW279=1,BX279,IF(LEFT(Cockpit!$I$5,1)="B",AP279,MAX(AP279,G279))))</f>
        <v>26</v>
      </c>
      <c r="AM279" s="57" t="n">
        <f aca="false">IF(BR279=1,0,ROUNDUP(AL279/BQ279,0))</f>
        <v>2</v>
      </c>
      <c r="AN279" s="59" t="n">
        <f aca="false">IF(CD279&gt;0,CD279*MAX(1,AL279/V279),IF(BR279=1,IF(AL279&lt;=0,0,BS279*MAX(1,IF(G279&gt;0,AL279/G279,1))),IF(Q279&gt;0,AM279/Q279,0))/MAX(0.1,N(Parameter!$M$21)))</f>
        <v>0.0384615384615385</v>
      </c>
      <c r="AO279" s="57" t="n">
        <f aca="false">AL279*F279</f>
        <v>484.12</v>
      </c>
      <c r="AP279" s="57" t="n">
        <f aca="false">ROUNDUP(MAX(I279/IF(BV279&gt;0,BV279,MAX(0.1,N(Cockpit!$I$6))),BY279)/BQ279,0)*BQ279</f>
        <v>26</v>
      </c>
      <c r="AQ279" s="58" t="n">
        <f aca="false">IF(AN279&gt;0,I279/AN279,-1)</f>
        <v>598</v>
      </c>
      <c r="AR279" s="58" t="n">
        <f aca="false">IF(AND(OR(BU279="L1",BU279="L23"),AN279&gt;0),SUMIFS($AN$7:$AN$1576,$BU$7:$BU$1576,BU279,$AQ$7:$AQ$1576,"&gt;"&amp;AQ279)+SUMIFS($AN$7:$AN$1576,$BU$7:$BU$1576,BU279,$AQ$7:$AQ$1576,AQ279,$BO$7:$BO$1576,"&lt;="&amp;BO279),"")</f>
        <v>31.025537952723</v>
      </c>
      <c r="AS279" s="65" t="n">
        <f aca="false">IF(AR279="",0,MAX(0,MIN(1,(IF(BU279="L1",Parameter!$E$5,Parameter!$E$6+Parameter!$E$7)-(AR279-AN279))/AN279)))</f>
        <v>1</v>
      </c>
      <c r="AT279" s="57" t="n">
        <f aca="false">IF(LEFT(Cockpit!$O$5,1)="A",G279,IF(BW279=1,BX279,IF(LEFT(Cockpit!$O$5,1)="B",AX279,MAX(AX279,G279))))</f>
        <v>26</v>
      </c>
      <c r="AU279" s="57" t="n">
        <f aca="false">IF(BR279=1,0,ROUNDUP(AT279/BQ279,0))</f>
        <v>2</v>
      </c>
      <c r="AV279" s="59" t="n">
        <f aca="false">IF(CD279&gt;0,CD279*MAX(1,AT279/V279),IF(BR279=1,IF(AT279&lt;=0,0,BS279*MAX(1,IF(G279&gt;0,AT279/G279,1))),IF(Q279&gt;0,AU279/Q279,0))/MAX(0.1,N(Parameter!$M$21)))</f>
        <v>0.0384615384615385</v>
      </c>
      <c r="AW279" s="57" t="n">
        <f aca="false">AT279*F279</f>
        <v>484.12</v>
      </c>
      <c r="AX279" s="57" t="n">
        <f aca="false">ROUNDUP(MAX(I279/IF(BV279&gt;0,BV279,MAX(0.1,N(Cockpit!$O$6))),BY279)/BQ279,0)*BQ279</f>
        <v>26</v>
      </c>
      <c r="AY279" s="58" t="n">
        <f aca="false">IF(AV279&gt;0,I279/AV279,-1)</f>
        <v>598</v>
      </c>
      <c r="AZ279" s="58" t="n">
        <f aca="false">IF(AND(OR(BU279="L1",BU279="L23"),AV279&gt;0),SUMIFS($AV$7:$AV$1576,$BU$7:$BU$1576,BU279,$AY$7:$AY$1576,"&gt;"&amp;AY279)+SUMIFS($AV$7:$AV$1576,$BU$7:$BU$1576,BU279,$AY$7:$AY$1576,AY279,$BO$7:$BO$1576,"&lt;="&amp;BO279),"")</f>
        <v>30.2368399840251</v>
      </c>
      <c r="BA279" s="65" t="n">
        <f aca="false">IF(AZ279="",0,MAX(0,MIN(1,(IF(BU279="L1",Parameter!$E$5,Parameter!$E$6+Parameter!$E$7)-(AZ279-AV279))/AV279)))</f>
        <v>1</v>
      </c>
      <c r="BB279" s="55" t="str">
        <f aca="false">IF(AF279&lt;=0,"",IF(BU279="Aussen","Aussenlager",IF(BU279="-","Nicht im Lift",IF(AK279&gt;=1,"Lift",IF(AK279&lt;=0,"Aussenlager","teilweise")))))</f>
        <v>Lift</v>
      </c>
      <c r="BC279" s="55" t="str">
        <f aca="false">IF(AN279&lt;=0,"",IF(BU279="Aussen","Aussenlager",IF(BU279="-","Nicht im Lift",IF(AS279&gt;=1,"Lift",IF(AS279&lt;=0,"Aussenlager","teilweise")))))</f>
        <v>Lift</v>
      </c>
      <c r="BD279" s="55" t="str">
        <f aca="false">IF(AV279&lt;=0,"",IF(BU279="Aussen","Aussenlager",IF(BU279="-","Nicht im Lift",IF(BA279&gt;=1,"Lift",IF(BA279&lt;=0,"Aussenlager","teilweise")))))</f>
        <v>Lift</v>
      </c>
      <c r="BE279" s="55" t="str">
        <f aca="false">IF(A279="","",IF(BN279=1,"Neu; ","")&amp;IF(AND(BN279=0,BI279&lt;0),"negativer Bestand (Export "&amp;BI279&amp;"); ","")&amp;IF(I279&lt;=0,"Kein Verbrauch; ","")&amp;IF(CD279&gt;0,"Lift "&amp;U279&amp;" lt. Liftbericht (Fach "&amp;V279&amp;" Stk); ",IF(BR279=1,"Lose – Fläche geschätzt; ",""))&amp;IF(G279&gt;AP279,"Überbestand "&amp;ROUND(G279-AP279,0)&amp;" Stk / CHF "&amp;ROUND((G279-AP279)*F279,0)&amp;"; ","")&amp;IF(AND(BW279=1,BX279&lt;BY279),"MAX &lt; MB+LG; ","")&amp;IF(AND(CC279&gt;0,CB279*10&gt;CC279),"zu hoch für Tablar; ","")&amp;IF(AND(BN279=0,OR(BW279=1,Y279&lt;&gt;"",S279&lt;&gt;"",T279&lt;&gt;"",Z279&lt;&gt;"")),"manuell übersteuert; ","")&amp;IF(AND(BR279=0,Q279=0),"Gebinde unbekannt / Stellmass fehlt; ","")&amp;IF(AND(BR279=0,N(T279)&lt;=0,N(P279)&lt;=0),"Menge pro Gebinde fehlt (Ist = 1 Gebinde); ","")&amp;BM279)</f>
        <v/>
      </c>
      <c r="BF279" s="55"/>
      <c r="BG279" s="55"/>
      <c r="BH279" s="62"/>
      <c r="BI279" s="57" t="n">
        <v>22</v>
      </c>
      <c r="BJ279" s="57" t="n">
        <v>14</v>
      </c>
      <c r="BK279" s="56" t="n">
        <v>361.480000000001</v>
      </c>
      <c r="BL279" s="57" t="n">
        <v>23</v>
      </c>
      <c r="BM279" s="55"/>
      <c r="BN279" s="60" t="n">
        <v>0</v>
      </c>
      <c r="BO279" s="60" t="n">
        <v>279</v>
      </c>
      <c r="BP279" s="55" t="str">
        <f aca="false">IF(S279&lt;&gt;"",UPPER(TRIM(S279)),IF(O279="","LOSE",O279))</f>
        <v>S41</v>
      </c>
      <c r="BQ279" s="57" t="n">
        <f aca="false">IF(BP279="LOSE",1,IF(N(T279)&gt;0,T279,IF(N(P279)&gt;0,P279,MAX(1,G279))))</f>
        <v>13</v>
      </c>
      <c r="BR279" s="60" t="n">
        <f aca="false">IF(BP279="LOSE",1,0)</f>
        <v>0</v>
      </c>
      <c r="BS279" s="59" t="n">
        <f aca="false">IF(BR279=0,0,IF(N(R279)&gt;0,R279,IFERROR(VLOOKUP(D279,Parameter!$A$35:$C$64,3,0)+0,0)))</f>
        <v>0</v>
      </c>
      <c r="BT279" s="55" t="n">
        <f aca="false">IF(Y279&lt;&gt;"",Y279,X279)</f>
        <v>3</v>
      </c>
      <c r="BU279" s="55" t="str">
        <f aca="false">IF(BT279=1,"L1",IF(OR(BT279=2,BT279=3),"L23",IF(BT279="Aussen","Aussen","-")))</f>
        <v>L23</v>
      </c>
      <c r="BV279" s="66" t="n">
        <f aca="false">IF(N(Z279)&gt;0,Z279,0)</f>
        <v>0</v>
      </c>
      <c r="BW279" s="60" t="n">
        <f aca="false">IF(ISNUMBER(AC279),1,0)</f>
        <v>0</v>
      </c>
      <c r="BX279" s="57" t="n">
        <f aca="false">N(AC279)</f>
        <v>0</v>
      </c>
      <c r="BY279" s="57" t="n">
        <f aca="false">N(L279)+N(M279)</f>
        <v>26</v>
      </c>
      <c r="BZ279" s="57" t="n">
        <f aca="false">ROUNDUP(G279/BQ279,0)</f>
        <v>2</v>
      </c>
      <c r="CA279" s="57" t="n">
        <f aca="false">ROUNDUP(BX279/BQ279,0)</f>
        <v>0</v>
      </c>
      <c r="CB279" s="60" t="n">
        <f aca="false">IF(BR279=1,0,IFERROR(VLOOKUP(BP279,'Gebinde-Kategorie'!$A$5:$M$45,5,0)+0,0))</f>
        <v>11</v>
      </c>
      <c r="CC279" s="60" t="n">
        <f aca="false">IFERROR(IF(OR(BT279=1,BT279=2,BT279=3),N(INDEX(Parameter!$I$5:$I$7,BT279)),0),0)</f>
        <v>0</v>
      </c>
      <c r="CD279" s="59" t="n">
        <f aca="false">IF(AND(Parameter!$B$21="Ja",ISNUMBER(U279),N(V279)&gt;0),IFERROR(N(INDEX(Parameter!$L$5:$L$7,U279))*INDEX(Parameter!$E$5:$E$7,U279)*V279/SUMIFS($V$7:$V$1576,$U$7:$U$1576,U279),0),0)</f>
        <v>0</v>
      </c>
    </row>
    <row r="280" customFormat="false" ht="15" hidden="false" customHeight="false" outlineLevel="0" collapsed="false">
      <c r="A280" s="55" t="s">
        <v>724</v>
      </c>
      <c r="B280" s="55" t="s">
        <v>725</v>
      </c>
      <c r="C280" s="55" t="s">
        <v>160</v>
      </c>
      <c r="D280" s="55" t="s">
        <v>178</v>
      </c>
      <c r="E280" s="55" t="s">
        <v>210</v>
      </c>
      <c r="F280" s="56" t="n">
        <v>13.98</v>
      </c>
      <c r="G280" s="57" t="n">
        <f aca="false">MAX(0,IF(AND(Parameter!$B$21="Ja",ISNUMBER(W280)),W280,IF(Parameter!$B$20="Jahresanfang 2025 + Export",BJ280+BI280,BI280)))</f>
        <v>25</v>
      </c>
      <c r="H280" s="57" t="n">
        <f aca="false">G280*F280</f>
        <v>349.5</v>
      </c>
      <c r="I280" s="57" t="n">
        <f aca="false">BL280*Parameter!$B$18</f>
        <v>56</v>
      </c>
      <c r="J280" s="58" t="n">
        <v>6.5</v>
      </c>
      <c r="K280" s="59" t="n">
        <v>8.61538461538462</v>
      </c>
      <c r="L280" s="57" t="n">
        <v>4</v>
      </c>
      <c r="M280" s="57" t="n">
        <v>55</v>
      </c>
      <c r="N280" s="60" t="n">
        <v>28</v>
      </c>
      <c r="O280" s="55" t="s">
        <v>225</v>
      </c>
      <c r="P280" s="57" t="n">
        <v>30</v>
      </c>
      <c r="Q280" s="60" t="n">
        <f aca="false">IF(BR280=1,0,IFERROR(VLOOKUP(BP280,'Gebinde-Kategorie'!$A$5:$M$45,13,0)+0,0))</f>
        <v>26</v>
      </c>
      <c r="R280" s="61"/>
      <c r="S280" s="62"/>
      <c r="T280" s="62"/>
      <c r="U280" s="55"/>
      <c r="V280" s="57"/>
      <c r="W280" s="57"/>
      <c r="X280" s="55" t="n">
        <f aca="false">IF(A280="","",IF(AND(Parameter!$B$21="Ja",ISNUMBER(U280)),U280,IF(IFERROR(VLOOKUP(D280,Parameter!$A$35:$C$64,2,0),"Nein")="2+3",IF(ISNUMBER(SEARCH("grosser Artikel",BM280)),2,IFERROR(VLOOKUP(BP280,Parameter!$F$35:$G$64,2,0),2)),IF(OR(IFERROR(VLOOKUP(D280,Parameter!$A$35:$C$64,2,0),"Nein")="Nein",IFERROR(VLOOKUP(D280,Parameter!$A$35:$C$64,2,0),"Nein")=""),"-",VLOOKUP(D280,Parameter!$A$35:$C$64,2,0)))))</f>
        <v>3</v>
      </c>
      <c r="Y280" s="62"/>
      <c r="Z280" s="63"/>
      <c r="AA280" s="57" t="n">
        <f aca="false">AP280</f>
        <v>60</v>
      </c>
      <c r="AB280" s="57" t="n">
        <f aca="false">MAX(AP280,G280)</f>
        <v>60</v>
      </c>
      <c r="AC280" s="64"/>
      <c r="AD280" s="57" t="n">
        <f aca="false">IF(LEFT(Cockpit!$C$5,1)="A",G280,IF(BW280=1,BX280,IF(LEFT(Cockpit!$C$5,1)="B",AH280,MAX(AH280,G280))))</f>
        <v>25</v>
      </c>
      <c r="AE280" s="57" t="n">
        <f aca="false">IF(BR280=1,0,ROUNDUP(AD280/BQ280,0))</f>
        <v>1</v>
      </c>
      <c r="AF280" s="59" t="n">
        <f aca="false">IF(CD280&gt;0,CD280*MAX(1,AD280/V280),IF(BR280=1,IF(AD280&lt;=0,0,BS280*MAX(1,IF(G280&gt;0,AD280/G280,1))),IF(Q280&gt;0,AE280/Q280,0))/MAX(0.1,N(Parameter!$M$21)))</f>
        <v>0.0384615384615385</v>
      </c>
      <c r="AG280" s="57" t="n">
        <f aca="false">AD280*F280</f>
        <v>349.5</v>
      </c>
      <c r="AH280" s="57" t="n">
        <f aca="false">ROUNDUP(MAX(I280/IF(BV280&gt;0,BV280,MAX(0.1,N(Cockpit!$C$6))),BY280)/BQ280,0)*BQ280</f>
        <v>60</v>
      </c>
      <c r="AI280" s="58" t="n">
        <f aca="false">IF(AF280&gt;0,I280/AF280,-1)</f>
        <v>1456</v>
      </c>
      <c r="AJ280" s="58" t="n">
        <f aca="false">IF(AND(OR(BU280="L1",BU280="L23"),AF280&gt;0),SUMIFS($AF$7:$AF$1576,$BU$7:$BU$1576,BU280,$AI$7:$AI$1576,"&gt;"&amp;AI280)+SUMIFS($AF$7:$AF$1576,$BU$7:$BU$1576,BU280,$AI$7:$AI$1576,AI280,$BO$7:$BO$1576,"&lt;="&amp;BO280),"")</f>
        <v>7.91261241174285</v>
      </c>
      <c r="AK280" s="65" t="n">
        <f aca="false">IF(AJ280="",0,MAX(0,MIN(1,(IF(BU280="L1",Parameter!$E$5,Parameter!$E$6+Parameter!$E$7)-(AJ280-AF280))/AF280)))</f>
        <v>1</v>
      </c>
      <c r="AL280" s="57" t="n">
        <f aca="false">IF(LEFT(Cockpit!$I$5,1)="A",G280,IF(BW280=1,BX280,IF(LEFT(Cockpit!$I$5,1)="B",AP280,MAX(AP280,G280))))</f>
        <v>60</v>
      </c>
      <c r="AM280" s="57" t="n">
        <f aca="false">IF(BR280=1,0,ROUNDUP(AL280/BQ280,0))</f>
        <v>2</v>
      </c>
      <c r="AN280" s="59" t="n">
        <f aca="false">IF(CD280&gt;0,CD280*MAX(1,AL280/V280),IF(BR280=1,IF(AL280&lt;=0,0,BS280*MAX(1,IF(G280&gt;0,AL280/G280,1))),IF(Q280&gt;0,AM280/Q280,0))/MAX(0.1,N(Parameter!$M$21)))</f>
        <v>0.0769230769230769</v>
      </c>
      <c r="AO280" s="57" t="n">
        <f aca="false">AL280*F280</f>
        <v>838.8</v>
      </c>
      <c r="AP280" s="57" t="n">
        <f aca="false">ROUNDUP(MAX(I280/IF(BV280&gt;0,BV280,MAX(0.1,N(Cockpit!$I$6))),BY280)/BQ280,0)*BQ280</f>
        <v>60</v>
      </c>
      <c r="AQ280" s="58" t="n">
        <f aca="false">IF(AN280&gt;0,I280/AN280,-1)</f>
        <v>728</v>
      </c>
      <c r="AR280" s="58" t="n">
        <f aca="false">IF(AND(OR(BU280="L1",BU280="L23"),AN280&gt;0),SUMIFS($AN$7:$AN$1576,$BU$7:$BU$1576,BU280,$AQ$7:$AQ$1576,"&gt;"&amp;AQ280)+SUMIFS($AN$7:$AN$1576,$BU$7:$BU$1576,BU280,$AQ$7:$AQ$1576,AQ280,$BO$7:$BO$1576,"&lt;="&amp;BO280),"")</f>
        <v>27.4271230343081</v>
      </c>
      <c r="AS280" s="65" t="n">
        <f aca="false">IF(AR280="",0,MAX(0,MIN(1,(IF(BU280="L1",Parameter!$E$5,Parameter!$E$6+Parameter!$E$7)-(AR280-AN280))/AN280)))</f>
        <v>1</v>
      </c>
      <c r="AT280" s="57" t="n">
        <f aca="false">IF(LEFT(Cockpit!$O$5,1)="A",G280,IF(BW280=1,BX280,IF(LEFT(Cockpit!$O$5,1)="B",AX280,MAX(AX280,G280))))</f>
        <v>60</v>
      </c>
      <c r="AU280" s="57" t="n">
        <f aca="false">IF(BR280=1,0,ROUNDUP(AT280/BQ280,0))</f>
        <v>2</v>
      </c>
      <c r="AV280" s="59" t="n">
        <f aca="false">IF(CD280&gt;0,CD280*MAX(1,AT280/V280),IF(BR280=1,IF(AT280&lt;=0,0,BS280*MAX(1,IF(G280&gt;0,AT280/G280,1))),IF(Q280&gt;0,AU280/Q280,0))/MAX(0.1,N(Parameter!$M$21)))</f>
        <v>0.0769230769230769</v>
      </c>
      <c r="AW280" s="57" t="n">
        <f aca="false">AT280*F280</f>
        <v>838.8</v>
      </c>
      <c r="AX280" s="57" t="n">
        <f aca="false">ROUNDUP(MAX(I280/IF(BV280&gt;0,BV280,MAX(0.1,N(Cockpit!$O$6))),BY280)/BQ280,0)*BQ280</f>
        <v>60</v>
      </c>
      <c r="AY280" s="58" t="n">
        <f aca="false">IF(AV280&gt;0,I280/AV280,-1)</f>
        <v>728</v>
      </c>
      <c r="AZ280" s="58" t="n">
        <f aca="false">IF(AND(OR(BU280="L1",BU280="L23"),AV280&gt;0),SUMIFS($AV$7:$AV$1576,$BU$7:$BU$1576,BU280,$AY$7:$AY$1576,"&gt;"&amp;AY280)+SUMIFS($AV$7:$AV$1576,$BU$7:$BU$1576,BU280,$AY$7:$AY$1576,AY280,$BO$7:$BO$1576,"&lt;="&amp;BO280),"")</f>
        <v>27.8274726846578</v>
      </c>
      <c r="BA280" s="65" t="n">
        <f aca="false">IF(AZ280="",0,MAX(0,MIN(1,(IF(BU280="L1",Parameter!$E$5,Parameter!$E$6+Parameter!$E$7)-(AZ280-AV280))/AV280)))</f>
        <v>1</v>
      </c>
      <c r="BB280" s="55" t="str">
        <f aca="false">IF(AF280&lt;=0,"",IF(BU280="Aussen","Aussenlager",IF(BU280="-","Nicht im Lift",IF(AK280&gt;=1,"Lift",IF(AK280&lt;=0,"Aussenlager","teilweise")))))</f>
        <v>Lift</v>
      </c>
      <c r="BC280" s="55" t="str">
        <f aca="false">IF(AN280&lt;=0,"",IF(BU280="Aussen","Aussenlager",IF(BU280="-","Nicht im Lift",IF(AS280&gt;=1,"Lift",IF(AS280&lt;=0,"Aussenlager","teilweise")))))</f>
        <v>Lift</v>
      </c>
      <c r="BD280" s="55" t="str">
        <f aca="false">IF(AV280&lt;=0,"",IF(BU280="Aussen","Aussenlager",IF(BU280="-","Nicht im Lift",IF(BA280&gt;=1,"Lift",IF(BA280&lt;=0,"Aussenlager","teilweise")))))</f>
        <v>Lift</v>
      </c>
      <c r="BE280" s="55" t="str">
        <f aca="false">IF(A280="","",IF(BN280=1,"Neu; ","")&amp;IF(AND(BN280=0,BI280&lt;0),"negativer Bestand (Export "&amp;BI280&amp;"); ","")&amp;IF(I280&lt;=0,"Kein Verbrauch; ","")&amp;IF(CD280&gt;0,"Lift "&amp;U280&amp;" lt. Liftbericht (Fach "&amp;V280&amp;" Stk); ",IF(BR280=1,"Lose – Fläche geschätzt; ",""))&amp;IF(G280&gt;AP280,"Überbestand "&amp;ROUND(G280-AP280,0)&amp;" Stk / CHF "&amp;ROUND((G280-AP280)*F280,0)&amp;"; ","")&amp;IF(AND(BW280=1,BX280&lt;BY280),"MAX &lt; MB+LG; ","")&amp;IF(AND(CC280&gt;0,CB280*10&gt;CC280),"zu hoch für Tablar; ","")&amp;IF(AND(BN280=0,OR(BW280=1,Y280&lt;&gt;"",S280&lt;&gt;"",T280&lt;&gt;"",Z280&lt;&gt;"")),"manuell übersteuert; ","")&amp;IF(AND(BR280=0,Q280=0),"Gebinde unbekannt / Stellmass fehlt; ","")&amp;IF(AND(BR280=0,N(T280)&lt;=0,N(P280)&lt;=0),"Menge pro Gebinde fehlt (Ist = 1 Gebinde); ","")&amp;BM280)</f>
        <v/>
      </c>
      <c r="BF280" s="55"/>
      <c r="BG280" s="55"/>
      <c r="BH280" s="62"/>
      <c r="BI280" s="57" t="n">
        <v>25</v>
      </c>
      <c r="BJ280" s="57" t="n">
        <v>13</v>
      </c>
      <c r="BK280" s="56" t="n">
        <v>351.06</v>
      </c>
      <c r="BL280" s="57" t="n">
        <v>56</v>
      </c>
      <c r="BM280" s="55"/>
      <c r="BN280" s="60" t="n">
        <v>0</v>
      </c>
      <c r="BO280" s="60" t="n">
        <v>280</v>
      </c>
      <c r="BP280" s="55" t="str">
        <f aca="false">IF(S280&lt;&gt;"",UPPER(TRIM(S280)),IF(O280="","LOSE",O280))</f>
        <v>S52</v>
      </c>
      <c r="BQ280" s="57" t="n">
        <f aca="false">IF(BP280="LOSE",1,IF(N(T280)&gt;0,T280,IF(N(P280)&gt;0,P280,MAX(1,G280))))</f>
        <v>30</v>
      </c>
      <c r="BR280" s="60" t="n">
        <f aca="false">IF(BP280="LOSE",1,0)</f>
        <v>0</v>
      </c>
      <c r="BS280" s="59" t="n">
        <f aca="false">IF(BR280=0,0,IF(N(R280)&gt;0,R280,IFERROR(VLOOKUP(D280,Parameter!$A$35:$C$64,3,0)+0,0)))</f>
        <v>0</v>
      </c>
      <c r="BT280" s="55" t="n">
        <f aca="false">IF(Y280&lt;&gt;"",Y280,X280)</f>
        <v>3</v>
      </c>
      <c r="BU280" s="55" t="str">
        <f aca="false">IF(BT280=1,"L1",IF(OR(BT280=2,BT280=3),"L23",IF(BT280="Aussen","Aussen","-")))</f>
        <v>L23</v>
      </c>
      <c r="BV280" s="66" t="n">
        <f aca="false">IF(N(Z280)&gt;0,Z280,0)</f>
        <v>0</v>
      </c>
      <c r="BW280" s="60" t="n">
        <f aca="false">IF(ISNUMBER(AC280),1,0)</f>
        <v>0</v>
      </c>
      <c r="BX280" s="57" t="n">
        <f aca="false">N(AC280)</f>
        <v>0</v>
      </c>
      <c r="BY280" s="57" t="n">
        <f aca="false">N(L280)+N(M280)</f>
        <v>59</v>
      </c>
      <c r="BZ280" s="57" t="n">
        <f aca="false">ROUNDUP(G280/BQ280,0)</f>
        <v>1</v>
      </c>
      <c r="CA280" s="57" t="n">
        <f aca="false">ROUNDUP(BX280/BQ280,0)</f>
        <v>0</v>
      </c>
      <c r="CB280" s="60" t="n">
        <f aca="false">IF(BR280=1,0,IFERROR(VLOOKUP(BP280,'Gebinde-Kategorie'!$A$5:$M$45,5,0)+0,0))</f>
        <v>21</v>
      </c>
      <c r="CC280" s="60" t="n">
        <f aca="false">IFERROR(IF(OR(BT280=1,BT280=2,BT280=3),N(INDEX(Parameter!$I$5:$I$7,BT280)),0),0)</f>
        <v>0</v>
      </c>
      <c r="CD280" s="59" t="n">
        <f aca="false">IF(AND(Parameter!$B$21="Ja",ISNUMBER(U280),N(V280)&gt;0),IFERROR(N(INDEX(Parameter!$L$5:$L$7,U280))*INDEX(Parameter!$E$5:$E$7,U280)*V280/SUMIFS($V$7:$V$1576,$U$7:$U$1576,U280),0),0)</f>
        <v>0</v>
      </c>
    </row>
    <row r="281" customFormat="false" ht="15" hidden="false" customHeight="false" outlineLevel="0" collapsed="false">
      <c r="A281" s="55" t="s">
        <v>726</v>
      </c>
      <c r="B281" s="55" t="s">
        <v>521</v>
      </c>
      <c r="C281" s="55" t="s">
        <v>160</v>
      </c>
      <c r="D281" s="55" t="s">
        <v>178</v>
      </c>
      <c r="E281" s="55" t="s">
        <v>210</v>
      </c>
      <c r="F281" s="56" t="n">
        <v>10</v>
      </c>
      <c r="G281" s="57" t="n">
        <f aca="false">MAX(0,IF(AND(Parameter!$B$21="Ja",ISNUMBER(W281)),W281,IF(Parameter!$B$20="Jahresanfang 2025 + Export",BJ281+BI281,BI281)))</f>
        <v>35</v>
      </c>
      <c r="H281" s="57" t="n">
        <f aca="false">G281*F281</f>
        <v>350</v>
      </c>
      <c r="I281" s="57" t="n">
        <f aca="false">BL281*Parameter!$B$18</f>
        <v>0</v>
      </c>
      <c r="J281" s="58" t="n">
        <v>34.5</v>
      </c>
      <c r="K281" s="59" t="n">
        <v>0</v>
      </c>
      <c r="L281" s="57" t="n">
        <v>0</v>
      </c>
      <c r="M281" s="57" t="n">
        <v>1</v>
      </c>
      <c r="N281" s="60" t="n">
        <v>14</v>
      </c>
      <c r="O281" s="55" t="s">
        <v>293</v>
      </c>
      <c r="P281" s="57" t="n">
        <v>44</v>
      </c>
      <c r="Q281" s="60" t="n">
        <f aca="false">IF(BR281=1,0,IFERROR(VLOOKUP(BP281,'Gebinde-Kategorie'!$A$5:$M$45,13,0)+0,0))</f>
        <v>26</v>
      </c>
      <c r="R281" s="61"/>
      <c r="S281" s="62"/>
      <c r="T281" s="62"/>
      <c r="U281" s="55"/>
      <c r="V281" s="57"/>
      <c r="W281" s="57"/>
      <c r="X281" s="55" t="n">
        <f aca="false">IF(A281="","",IF(AND(Parameter!$B$21="Ja",ISNUMBER(U281)),U281,IF(IFERROR(VLOOKUP(D281,Parameter!$A$35:$C$64,2,0),"Nein")="2+3",IF(ISNUMBER(SEARCH("grosser Artikel",BM281)),2,IFERROR(VLOOKUP(BP281,Parameter!$F$35:$G$64,2,0),2)),IF(OR(IFERROR(VLOOKUP(D281,Parameter!$A$35:$C$64,2,0),"Nein")="Nein",IFERROR(VLOOKUP(D281,Parameter!$A$35:$C$64,2,0),"Nein")=""),"-",VLOOKUP(D281,Parameter!$A$35:$C$64,2,0)))))</f>
        <v>3</v>
      </c>
      <c r="Y281" s="62"/>
      <c r="Z281" s="63"/>
      <c r="AA281" s="57" t="n">
        <f aca="false">AP281</f>
        <v>44</v>
      </c>
      <c r="AB281" s="57" t="n">
        <f aca="false">MAX(AP281,G281)</f>
        <v>44</v>
      </c>
      <c r="AC281" s="64"/>
      <c r="AD281" s="57" t="n">
        <f aca="false">IF(LEFT(Cockpit!$C$5,1)="A",G281,IF(BW281=1,BX281,IF(LEFT(Cockpit!$C$5,1)="B",AH281,MAX(AH281,G281))))</f>
        <v>35</v>
      </c>
      <c r="AE281" s="57" t="n">
        <f aca="false">IF(BR281=1,0,ROUNDUP(AD281/BQ281,0))</f>
        <v>1</v>
      </c>
      <c r="AF281" s="59" t="n">
        <f aca="false">IF(CD281&gt;0,CD281*MAX(1,AD281/V281),IF(BR281=1,IF(AD281&lt;=0,0,BS281*MAX(1,IF(G281&gt;0,AD281/G281,1))),IF(Q281&gt;0,AE281/Q281,0))/MAX(0.1,N(Parameter!$M$21)))</f>
        <v>0.0384615384615385</v>
      </c>
      <c r="AG281" s="57" t="n">
        <f aca="false">AD281*F281</f>
        <v>350</v>
      </c>
      <c r="AH281" s="57" t="n">
        <f aca="false">ROUNDUP(MAX(I281/IF(BV281&gt;0,BV281,MAX(0.1,N(Cockpit!$C$6))),BY281)/BQ281,0)*BQ281</f>
        <v>44</v>
      </c>
      <c r="AI281" s="58" t="n">
        <f aca="false">IF(AF281&gt;0,I281/AF281,-1)</f>
        <v>0</v>
      </c>
      <c r="AJ281" s="58" t="n">
        <f aca="false">IF(AND(OR(BU281="L1",BU281="L23"),AF281&gt;0),SUMIFS($AF$7:$AF$1576,$BU$7:$BU$1576,BU281,$AI$7:$AI$1576,"&gt;"&amp;AI281)+SUMIFS($AF$7:$AF$1576,$BU$7:$BU$1576,BU281,$AI$7:$AI$1576,AI281,$BO$7:$BO$1576,"&lt;="&amp;BO281),"")</f>
        <v>40.4082848552414</v>
      </c>
      <c r="AK281" s="65" t="n">
        <f aca="false">IF(AJ281="",0,MAX(0,MIN(1,(IF(BU281="L1",Parameter!$E$5,Parameter!$E$6+Parameter!$E$7)-(AJ281-AF281))/AF281)))</f>
        <v>1</v>
      </c>
      <c r="AL281" s="57" t="n">
        <f aca="false">IF(LEFT(Cockpit!$I$5,1)="A",G281,IF(BW281=1,BX281,IF(LEFT(Cockpit!$I$5,1)="B",AP281,MAX(AP281,G281))))</f>
        <v>44</v>
      </c>
      <c r="AM281" s="57" t="n">
        <f aca="false">IF(BR281=1,0,ROUNDUP(AL281/BQ281,0))</f>
        <v>1</v>
      </c>
      <c r="AN281" s="59" t="n">
        <f aca="false">IF(CD281&gt;0,CD281*MAX(1,AL281/V281),IF(BR281=1,IF(AL281&lt;=0,0,BS281*MAX(1,IF(G281&gt;0,AL281/G281,1))),IF(Q281&gt;0,AM281/Q281,0))/MAX(0.1,N(Parameter!$M$21)))</f>
        <v>0.0384615384615385</v>
      </c>
      <c r="AO281" s="57" t="n">
        <f aca="false">AL281*F281</f>
        <v>440</v>
      </c>
      <c r="AP281" s="57" t="n">
        <f aca="false">ROUNDUP(MAX(I281/IF(BV281&gt;0,BV281,MAX(0.1,N(Cockpit!$I$6))),BY281)/BQ281,0)*BQ281</f>
        <v>44</v>
      </c>
      <c r="AQ281" s="58" t="n">
        <f aca="false">IF(AN281&gt;0,I281/AN281,-1)</f>
        <v>0</v>
      </c>
      <c r="AR281" s="58" t="n">
        <f aca="false">IF(AND(OR(BU281="L1",BU281="L23"),AN281&gt;0),SUMIFS($AN$7:$AN$1576,$BU$7:$BU$1576,BU281,$AQ$7:$AQ$1576,"&gt;"&amp;AQ281)+SUMIFS($AN$7:$AN$1576,$BU$7:$BU$1576,BU281,$AQ$7:$AQ$1576,AQ281,$BO$7:$BO$1576,"&lt;="&amp;BO281),"")</f>
        <v>123.282490605031</v>
      </c>
      <c r="AS281" s="65" t="n">
        <f aca="false">IF(AR281="",0,MAX(0,MIN(1,(IF(BU281="L1",Parameter!$E$5,Parameter!$E$6+Parameter!$E$7)-(AR281-AN281))/AN281)))</f>
        <v>0</v>
      </c>
      <c r="AT281" s="57" t="n">
        <f aca="false">IF(LEFT(Cockpit!$O$5,1)="A",G281,IF(BW281=1,BX281,IF(LEFT(Cockpit!$O$5,1)="B",AX281,MAX(AX281,G281))))</f>
        <v>44</v>
      </c>
      <c r="AU281" s="57" t="n">
        <f aca="false">IF(BR281=1,0,ROUNDUP(AT281/BQ281,0))</f>
        <v>1</v>
      </c>
      <c r="AV281" s="59" t="n">
        <f aca="false">IF(CD281&gt;0,CD281*MAX(1,AT281/V281),IF(BR281=1,IF(AT281&lt;=0,0,BS281*MAX(1,IF(G281&gt;0,AT281/G281,1))),IF(Q281&gt;0,AU281/Q281,0))/MAX(0.1,N(Parameter!$M$21)))</f>
        <v>0.0384615384615385</v>
      </c>
      <c r="AW281" s="57" t="n">
        <f aca="false">AT281*F281</f>
        <v>440</v>
      </c>
      <c r="AX281" s="57" t="n">
        <f aca="false">ROUNDUP(MAX(I281/IF(BV281&gt;0,BV281,MAX(0.1,N(Cockpit!$O$6))),BY281)/BQ281,0)*BQ281</f>
        <v>44</v>
      </c>
      <c r="AY281" s="58" t="n">
        <f aca="false">IF(AV281&gt;0,I281/AV281,-1)</f>
        <v>0</v>
      </c>
      <c r="AZ281" s="58" t="n">
        <f aca="false">IF(AND(OR(BU281="L1",BU281="L23"),AV281&gt;0),SUMIFS($AV$7:$AV$1576,$BU$7:$BU$1576,BU281,$AY$7:$AY$1576,"&gt;"&amp;AY281)+SUMIFS($AV$7:$AV$1576,$BU$7:$BU$1576,BU281,$AY$7:$AY$1576,AY281,$BO$7:$BO$1576,"&lt;="&amp;BO281),"")</f>
        <v>113.342041054581</v>
      </c>
      <c r="BA281" s="65" t="n">
        <f aca="false">IF(AZ281="",0,MAX(0,MIN(1,(IF(BU281="L1",Parameter!$E$5,Parameter!$E$6+Parameter!$E$7)-(AZ281-AV281))/AV281)))</f>
        <v>0</v>
      </c>
      <c r="BB281" s="55" t="str">
        <f aca="false">IF(AF281&lt;=0,"",IF(BU281="Aussen","Aussenlager",IF(BU281="-","Nicht im Lift",IF(AK281&gt;=1,"Lift",IF(AK281&lt;=0,"Aussenlager","teilweise")))))</f>
        <v>Lift</v>
      </c>
      <c r="BC281" s="55" t="str">
        <f aca="false">IF(AN281&lt;=0,"",IF(BU281="Aussen","Aussenlager",IF(BU281="-","Nicht im Lift",IF(AS281&gt;=1,"Lift",IF(AS281&lt;=0,"Aussenlager","teilweise")))))</f>
        <v>Aussenlager</v>
      </c>
      <c r="BD281" s="55" t="str">
        <f aca="false">IF(AV281&lt;=0,"",IF(BU281="Aussen","Aussenlager",IF(BU281="-","Nicht im Lift",IF(BA281&gt;=1,"Lift",IF(BA281&lt;=0,"Aussenlager","teilweise")))))</f>
        <v>Aussenlager</v>
      </c>
      <c r="BE281" s="55" t="str">
        <f aca="false">IF(A281="","",IF(BN281=1,"Neu; ","")&amp;IF(AND(BN281=0,BI281&lt;0),"negativer Bestand (Export "&amp;BI281&amp;"); ","")&amp;IF(I281&lt;=0,"Kein Verbrauch; ","")&amp;IF(CD281&gt;0,"Lift "&amp;U281&amp;" lt. Liftbericht (Fach "&amp;V281&amp;" Stk); ",IF(BR281=1,"Lose – Fläche geschätzt; ",""))&amp;IF(G281&gt;AP281,"Überbestand "&amp;ROUND(G281-AP281,0)&amp;" Stk / CHF "&amp;ROUND((G281-AP281)*F281,0)&amp;"; ","")&amp;IF(AND(BW281=1,BX281&lt;BY281),"MAX &lt; MB+LG; ","")&amp;IF(AND(CC281&gt;0,CB281*10&gt;CC281),"zu hoch für Tablar; ","")&amp;IF(AND(BN281=0,OR(BW281=1,Y281&lt;&gt;"",S281&lt;&gt;"",T281&lt;&gt;"",Z281&lt;&gt;"")),"manuell übersteuert; ","")&amp;IF(AND(BR281=0,Q281=0),"Gebinde unbekannt / Stellmass fehlt; ","")&amp;IF(AND(BR281=0,N(T281)&lt;=0,N(P281)&lt;=0),"Menge pro Gebinde fehlt (Ist = 1 Gebinde); ","")&amp;BM281)</f>
        <v>Kein Verbrauch; </v>
      </c>
      <c r="BF281" s="55"/>
      <c r="BG281" s="55"/>
      <c r="BH281" s="62"/>
      <c r="BI281" s="57" t="n">
        <v>35</v>
      </c>
      <c r="BJ281" s="57" t="n">
        <v>17</v>
      </c>
      <c r="BK281" s="56" t="n">
        <v>350</v>
      </c>
      <c r="BL281" s="57" t="n">
        <v>0</v>
      </c>
      <c r="BM281" s="55"/>
      <c r="BN281" s="60" t="n">
        <v>0</v>
      </c>
      <c r="BO281" s="60" t="n">
        <v>281</v>
      </c>
      <c r="BP281" s="55" t="str">
        <f aca="false">IF(S281&lt;&gt;"",UPPER(TRIM(S281)),IF(O281="","LOSE",O281))</f>
        <v>S51</v>
      </c>
      <c r="BQ281" s="57" t="n">
        <f aca="false">IF(BP281="LOSE",1,IF(N(T281)&gt;0,T281,IF(N(P281)&gt;0,P281,MAX(1,G281))))</f>
        <v>44</v>
      </c>
      <c r="BR281" s="60" t="n">
        <f aca="false">IF(BP281="LOSE",1,0)</f>
        <v>0</v>
      </c>
      <c r="BS281" s="59" t="n">
        <f aca="false">IF(BR281=0,0,IF(N(R281)&gt;0,R281,IFERROR(VLOOKUP(D281,Parameter!$A$35:$C$64,3,0)+0,0)))</f>
        <v>0</v>
      </c>
      <c r="BT281" s="55" t="n">
        <f aca="false">IF(Y281&lt;&gt;"",Y281,X281)</f>
        <v>3</v>
      </c>
      <c r="BU281" s="55" t="str">
        <f aca="false">IF(BT281=1,"L1",IF(OR(BT281=2,BT281=3),"L23",IF(BT281="Aussen","Aussen","-")))</f>
        <v>L23</v>
      </c>
      <c r="BV281" s="66" t="n">
        <f aca="false">IF(N(Z281)&gt;0,Z281,0)</f>
        <v>0</v>
      </c>
      <c r="BW281" s="60" t="n">
        <f aca="false">IF(ISNUMBER(AC281),1,0)</f>
        <v>0</v>
      </c>
      <c r="BX281" s="57" t="n">
        <f aca="false">N(AC281)</f>
        <v>0</v>
      </c>
      <c r="BY281" s="57" t="n">
        <f aca="false">N(L281)+N(M281)</f>
        <v>1</v>
      </c>
      <c r="BZ281" s="57" t="n">
        <f aca="false">ROUNDUP(G281/BQ281,0)</f>
        <v>1</v>
      </c>
      <c r="CA281" s="57" t="n">
        <f aca="false">ROUNDUP(BX281/BQ281,0)</f>
        <v>0</v>
      </c>
      <c r="CB281" s="60" t="n">
        <f aca="false">IF(BR281=1,0,IFERROR(VLOOKUP(BP281,'Gebinde-Kategorie'!$A$5:$M$45,5,0)+0,0))</f>
        <v>11</v>
      </c>
      <c r="CC281" s="60" t="n">
        <f aca="false">IFERROR(IF(OR(BT281=1,BT281=2,BT281=3),N(INDEX(Parameter!$I$5:$I$7,BT281)),0),0)</f>
        <v>0</v>
      </c>
      <c r="CD281" s="59" t="n">
        <f aca="false">IF(AND(Parameter!$B$21="Ja",ISNUMBER(U281),N(V281)&gt;0),IFERROR(N(INDEX(Parameter!$L$5:$L$7,U281))*INDEX(Parameter!$E$5:$E$7,U281)*V281/SUMIFS($V$7:$V$1576,$U$7:$U$1576,U281),0),0)</f>
        <v>0</v>
      </c>
    </row>
    <row r="282" customFormat="false" ht="15" hidden="false" customHeight="false" outlineLevel="0" collapsed="false">
      <c r="A282" s="55" t="s">
        <v>727</v>
      </c>
      <c r="B282" s="55" t="s">
        <v>578</v>
      </c>
      <c r="C282" s="55" t="s">
        <v>160</v>
      </c>
      <c r="D282" s="55" t="s">
        <v>178</v>
      </c>
      <c r="E282" s="55" t="s">
        <v>210</v>
      </c>
      <c r="F282" s="56" t="n">
        <v>1.62</v>
      </c>
      <c r="G282" s="57" t="n">
        <f aca="false">MAX(0,IF(AND(Parameter!$B$21="Ja",ISNUMBER(W282)),W282,IF(Parameter!$B$20="Jahresanfang 2025 + Export",BJ282+BI282,BI282)))</f>
        <v>224</v>
      </c>
      <c r="H282" s="57" t="n">
        <f aca="false">G282*F282</f>
        <v>362.88</v>
      </c>
      <c r="I282" s="57" t="n">
        <f aca="false">BL282*Parameter!$B$18</f>
        <v>309</v>
      </c>
      <c r="J282" s="58" t="n">
        <v>85</v>
      </c>
      <c r="K282" s="59" t="n">
        <v>3.63529411764706</v>
      </c>
      <c r="L282" s="57" t="n">
        <v>18</v>
      </c>
      <c r="M282" s="57" t="n">
        <v>310</v>
      </c>
      <c r="N282" s="60" t="n">
        <v>21</v>
      </c>
      <c r="O282" s="55" t="s">
        <v>391</v>
      </c>
      <c r="P282" s="57" t="n">
        <v>175</v>
      </c>
      <c r="Q282" s="60" t="n">
        <f aca="false">IF(BR282=1,0,IFERROR(VLOOKUP(BP282,'Gebinde-Kategorie'!$A$5:$M$45,13,0)+0,0))</f>
        <v>414</v>
      </c>
      <c r="R282" s="61"/>
      <c r="S282" s="62"/>
      <c r="T282" s="62"/>
      <c r="U282" s="55"/>
      <c r="V282" s="57"/>
      <c r="W282" s="57"/>
      <c r="X282" s="55" t="n">
        <f aca="false">IF(A282="","",IF(AND(Parameter!$B$21="Ja",ISNUMBER(U282)),U282,IF(IFERROR(VLOOKUP(D282,Parameter!$A$35:$C$64,2,0),"Nein")="2+3",IF(ISNUMBER(SEARCH("grosser Artikel",BM282)),2,IFERROR(VLOOKUP(BP282,Parameter!$F$35:$G$64,2,0),2)),IF(OR(IFERROR(VLOOKUP(D282,Parameter!$A$35:$C$64,2,0),"Nein")="Nein",IFERROR(VLOOKUP(D282,Parameter!$A$35:$C$64,2,0),"Nein")=""),"-",VLOOKUP(D282,Parameter!$A$35:$C$64,2,0)))))</f>
        <v>3</v>
      </c>
      <c r="Y282" s="62"/>
      <c r="Z282" s="63"/>
      <c r="AA282" s="57" t="n">
        <f aca="false">AP282</f>
        <v>350</v>
      </c>
      <c r="AB282" s="57" t="n">
        <f aca="false">MAX(AP282,G282)</f>
        <v>350</v>
      </c>
      <c r="AC282" s="64"/>
      <c r="AD282" s="57" t="n">
        <f aca="false">IF(LEFT(Cockpit!$C$5,1)="A",G282,IF(BW282=1,BX282,IF(LEFT(Cockpit!$C$5,1)="B",AH282,MAX(AH282,G282))))</f>
        <v>224</v>
      </c>
      <c r="AE282" s="57" t="n">
        <f aca="false">IF(BR282=1,0,ROUNDUP(AD282/BQ282,0))</f>
        <v>2</v>
      </c>
      <c r="AF282" s="59" t="n">
        <f aca="false">IF(CD282&gt;0,CD282*MAX(1,AD282/V282),IF(BR282=1,IF(AD282&lt;=0,0,BS282*MAX(1,IF(G282&gt;0,AD282/G282,1))),IF(Q282&gt;0,AE282/Q282,0))/MAX(0.1,N(Parameter!$M$21)))</f>
        <v>0.00483091787439614</v>
      </c>
      <c r="AG282" s="57" t="n">
        <f aca="false">AD282*F282</f>
        <v>362.88</v>
      </c>
      <c r="AH282" s="57" t="n">
        <f aca="false">ROUNDUP(MAX(I282/IF(BV282&gt;0,BV282,MAX(0.1,N(Cockpit!$C$6))),BY282)/BQ282,0)*BQ282</f>
        <v>350</v>
      </c>
      <c r="AI282" s="58" t="n">
        <f aca="false">IF(AF282&gt;0,I282/AF282,-1)</f>
        <v>63963</v>
      </c>
      <c r="AJ282" s="58" t="n">
        <f aca="false">IF(AND(OR(BU282="L1",BU282="L23"),AF282&gt;0),SUMIFS($AF$7:$AF$1576,$BU$7:$BU$1576,BU282,$AI$7:$AI$1576,"&gt;"&amp;AI282)+SUMIFS($AF$7:$AF$1576,$BU$7:$BU$1576,BU282,$AI$7:$AI$1576,AI282,$BO$7:$BO$1576,"&lt;="&amp;BO282),"")</f>
        <v>0.547126786257221</v>
      </c>
      <c r="AK282" s="65" t="n">
        <f aca="false">IF(AJ282="",0,MAX(0,MIN(1,(IF(BU282="L1",Parameter!$E$5,Parameter!$E$6+Parameter!$E$7)-(AJ282-AF282))/AF282)))</f>
        <v>1</v>
      </c>
      <c r="AL282" s="57" t="n">
        <f aca="false">IF(LEFT(Cockpit!$I$5,1)="A",G282,IF(BW282=1,BX282,IF(LEFT(Cockpit!$I$5,1)="B",AP282,MAX(AP282,G282))))</f>
        <v>350</v>
      </c>
      <c r="AM282" s="57" t="n">
        <f aca="false">IF(BR282=1,0,ROUNDUP(AL282/BQ282,0))</f>
        <v>2</v>
      </c>
      <c r="AN282" s="59" t="n">
        <f aca="false">IF(CD282&gt;0,CD282*MAX(1,AL282/V282),IF(BR282=1,IF(AL282&lt;=0,0,BS282*MAX(1,IF(G282&gt;0,AL282/G282,1))),IF(Q282&gt;0,AM282/Q282,0))/MAX(0.1,N(Parameter!$M$21)))</f>
        <v>0.00483091787439614</v>
      </c>
      <c r="AO282" s="57" t="n">
        <f aca="false">AL282*F282</f>
        <v>567</v>
      </c>
      <c r="AP282" s="57" t="n">
        <f aca="false">ROUNDUP(MAX(I282/IF(BV282&gt;0,BV282,MAX(0.1,N(Cockpit!$I$6))),BY282)/BQ282,0)*BQ282</f>
        <v>350</v>
      </c>
      <c r="AQ282" s="58" t="n">
        <f aca="false">IF(AN282&gt;0,I282/AN282,-1)</f>
        <v>63963</v>
      </c>
      <c r="AR282" s="58" t="n">
        <f aca="false">IF(AND(OR(BU282="L1",BU282="L23"),AN282&gt;0),SUMIFS($AN$7:$AN$1576,$BU$7:$BU$1576,BU282,$AQ$7:$AQ$1576,"&gt;"&amp;AQ282)+SUMIFS($AN$7:$AN$1576,$BU$7:$BU$1576,BU282,$AQ$7:$AQ$1576,AQ282,$BO$7:$BO$1576,"&lt;="&amp;BO282),"")</f>
        <v>0.763265768048377</v>
      </c>
      <c r="AS282" s="65" t="n">
        <f aca="false">IF(AR282="",0,MAX(0,MIN(1,(IF(BU282="L1",Parameter!$E$5,Parameter!$E$6+Parameter!$E$7)-(AR282-AN282))/AN282)))</f>
        <v>1</v>
      </c>
      <c r="AT282" s="57" t="n">
        <f aca="false">IF(LEFT(Cockpit!$O$5,1)="A",G282,IF(BW282=1,BX282,IF(LEFT(Cockpit!$O$5,1)="B",AX282,MAX(AX282,G282))))</f>
        <v>350</v>
      </c>
      <c r="AU282" s="57" t="n">
        <f aca="false">IF(BR282=1,0,ROUNDUP(AT282/BQ282,0))</f>
        <v>2</v>
      </c>
      <c r="AV282" s="59" t="n">
        <f aca="false">IF(CD282&gt;0,CD282*MAX(1,AT282/V282),IF(BR282=1,IF(AT282&lt;=0,0,BS282*MAX(1,IF(G282&gt;0,AT282/G282,1))),IF(Q282&gt;0,AU282/Q282,0))/MAX(0.1,N(Parameter!$M$21)))</f>
        <v>0.00483091787439614</v>
      </c>
      <c r="AW282" s="57" t="n">
        <f aca="false">AT282*F282</f>
        <v>567</v>
      </c>
      <c r="AX282" s="57" t="n">
        <f aca="false">ROUNDUP(MAX(I282/IF(BV282&gt;0,BV282,MAX(0.1,N(Cockpit!$O$6))),BY282)/BQ282,0)*BQ282</f>
        <v>350</v>
      </c>
      <c r="AY282" s="58" t="n">
        <f aca="false">IF(AV282&gt;0,I282/AV282,-1)</f>
        <v>63963</v>
      </c>
      <c r="AZ282" s="58" t="n">
        <f aca="false">IF(AND(OR(BU282="L1",BU282="L23"),AV282&gt;0),SUMIFS($AV$7:$AV$1576,$BU$7:$BU$1576,BU282,$AY$7:$AY$1576,"&gt;"&amp;AY282)+SUMIFS($AV$7:$AV$1576,$BU$7:$BU$1576,BU282,$AY$7:$AY$1576,AY282,$BO$7:$BO$1576,"&lt;="&amp;BO282),"")</f>
        <v>0.932263437046046</v>
      </c>
      <c r="BA282" s="65" t="n">
        <f aca="false">IF(AZ282="",0,MAX(0,MIN(1,(IF(BU282="L1",Parameter!$E$5,Parameter!$E$6+Parameter!$E$7)-(AZ282-AV282))/AV282)))</f>
        <v>1</v>
      </c>
      <c r="BB282" s="55" t="str">
        <f aca="false">IF(AF282&lt;=0,"",IF(BU282="Aussen","Aussenlager",IF(BU282="-","Nicht im Lift",IF(AK282&gt;=1,"Lift",IF(AK282&lt;=0,"Aussenlager","teilweise")))))</f>
        <v>Lift</v>
      </c>
      <c r="BC282" s="55" t="str">
        <f aca="false">IF(AN282&lt;=0,"",IF(BU282="Aussen","Aussenlager",IF(BU282="-","Nicht im Lift",IF(AS282&gt;=1,"Lift",IF(AS282&lt;=0,"Aussenlager","teilweise")))))</f>
        <v>Lift</v>
      </c>
      <c r="BD282" s="55" t="str">
        <f aca="false">IF(AV282&lt;=0,"",IF(BU282="Aussen","Aussenlager",IF(BU282="-","Nicht im Lift",IF(BA282&gt;=1,"Lift",IF(BA282&lt;=0,"Aussenlager","teilweise")))))</f>
        <v>Lift</v>
      </c>
      <c r="BE282" s="55" t="str">
        <f aca="false">IF(A282="","",IF(BN282=1,"Neu; ","")&amp;IF(AND(BN282=0,BI282&lt;0),"negativer Bestand (Export "&amp;BI282&amp;"); ","")&amp;IF(I282&lt;=0,"Kein Verbrauch; ","")&amp;IF(CD282&gt;0,"Lift "&amp;U282&amp;" lt. Liftbericht (Fach "&amp;V282&amp;" Stk); ",IF(BR282=1,"Lose – Fläche geschätzt; ",""))&amp;IF(G282&gt;AP282,"Überbestand "&amp;ROUND(G282-AP282,0)&amp;" Stk / CHF "&amp;ROUND((G282-AP282)*F282,0)&amp;"; ","")&amp;IF(AND(BW282=1,BX282&lt;BY282),"MAX &lt; MB+LG; ","")&amp;IF(AND(CC282&gt;0,CB282*10&gt;CC282),"zu hoch für Tablar; ","")&amp;IF(AND(BN282=0,OR(BW282=1,Y282&lt;&gt;"",S282&lt;&gt;"",T282&lt;&gt;"",Z282&lt;&gt;"")),"manuell übersteuert; ","")&amp;IF(AND(BR282=0,Q282=0),"Gebinde unbekannt / Stellmass fehlt; ","")&amp;IF(AND(BR282=0,N(T282)&lt;=0,N(P282)&lt;=0),"Menge pro Gebinde fehlt (Ist = 1 Gebinde); ","")&amp;BM282)</f>
        <v/>
      </c>
      <c r="BF282" s="55"/>
      <c r="BG282" s="55"/>
      <c r="BH282" s="62"/>
      <c r="BI282" s="57" t="n">
        <v>224</v>
      </c>
      <c r="BJ282" s="57" t="n">
        <v>98</v>
      </c>
      <c r="BK282" s="56" t="n">
        <v>345.24</v>
      </c>
      <c r="BL282" s="57" t="n">
        <v>309</v>
      </c>
      <c r="BM282" s="55"/>
      <c r="BN282" s="60" t="n">
        <v>0</v>
      </c>
      <c r="BO282" s="60" t="n">
        <v>282</v>
      </c>
      <c r="BP282" s="55" t="str">
        <f aca="false">IF(S282&lt;&gt;"",UPPER(TRIM(S282)),IF(O282="","LOSE",O282))</f>
        <v>S21</v>
      </c>
      <c r="BQ282" s="57" t="n">
        <f aca="false">IF(BP282="LOSE",1,IF(N(T282)&gt;0,T282,IF(N(P282)&gt;0,P282,MAX(1,G282))))</f>
        <v>175</v>
      </c>
      <c r="BR282" s="60" t="n">
        <f aca="false">IF(BP282="LOSE",1,0)</f>
        <v>0</v>
      </c>
      <c r="BS282" s="59" t="n">
        <f aca="false">IF(BR282=0,0,IF(N(R282)&gt;0,R282,IFERROR(VLOOKUP(D282,Parameter!$A$35:$C$64,3,0)+0,0)))</f>
        <v>0</v>
      </c>
      <c r="BT282" s="55" t="n">
        <f aca="false">IF(Y282&lt;&gt;"",Y282,X282)</f>
        <v>3</v>
      </c>
      <c r="BU282" s="55" t="str">
        <f aca="false">IF(BT282=1,"L1",IF(OR(BT282=2,BT282=3),"L23",IF(BT282="Aussen","Aussen","-")))</f>
        <v>L23</v>
      </c>
      <c r="BV282" s="66" t="n">
        <f aca="false">IF(N(Z282)&gt;0,Z282,0)</f>
        <v>0</v>
      </c>
      <c r="BW282" s="60" t="n">
        <f aca="false">IF(ISNUMBER(AC282),1,0)</f>
        <v>0</v>
      </c>
      <c r="BX282" s="57" t="n">
        <f aca="false">N(AC282)</f>
        <v>0</v>
      </c>
      <c r="BY282" s="57" t="n">
        <f aca="false">N(L282)+N(M282)</f>
        <v>328</v>
      </c>
      <c r="BZ282" s="57" t="n">
        <f aca="false">ROUNDUP(G282/BQ282,0)</f>
        <v>2</v>
      </c>
      <c r="CA282" s="57" t="n">
        <f aca="false">ROUNDUP(BX282/BQ282,0)</f>
        <v>0</v>
      </c>
      <c r="CB282" s="60" t="n">
        <f aca="false">IF(BR282=1,0,IFERROR(VLOOKUP(BP282,'Gebinde-Kategorie'!$A$5:$M$45,5,0)+0,0))</f>
        <v>8</v>
      </c>
      <c r="CC282" s="60" t="n">
        <f aca="false">IFERROR(IF(OR(BT282=1,BT282=2,BT282=3),N(INDEX(Parameter!$I$5:$I$7,BT282)),0),0)</f>
        <v>0</v>
      </c>
      <c r="CD282" s="59" t="n">
        <f aca="false">IF(AND(Parameter!$B$21="Ja",ISNUMBER(U282),N(V282)&gt;0),IFERROR(N(INDEX(Parameter!$L$5:$L$7,U282))*INDEX(Parameter!$E$5:$E$7,U282)*V282/SUMIFS($V$7:$V$1576,$U$7:$U$1576,U282),0),0)</f>
        <v>0</v>
      </c>
    </row>
    <row r="283" customFormat="false" ht="15" hidden="false" customHeight="false" outlineLevel="0" collapsed="false">
      <c r="A283" s="55" t="s">
        <v>728</v>
      </c>
      <c r="B283" s="55" t="s">
        <v>729</v>
      </c>
      <c r="C283" s="55" t="s">
        <v>160</v>
      </c>
      <c r="D283" s="55" t="s">
        <v>178</v>
      </c>
      <c r="E283" s="55" t="s">
        <v>210</v>
      </c>
      <c r="F283" s="56" t="n">
        <v>22.11</v>
      </c>
      <c r="G283" s="57" t="n">
        <f aca="false">MAX(0,IF(AND(Parameter!$B$21="Ja",ISNUMBER(W283)),W283,IF(Parameter!$B$20="Jahresanfang 2025 + Export",BJ283+BI283,BI283)))</f>
        <v>19</v>
      </c>
      <c r="H283" s="57" t="n">
        <f aca="false">G283*F283</f>
        <v>420.09</v>
      </c>
      <c r="I283" s="57" t="n">
        <f aca="false">BL283*Parameter!$B$18</f>
        <v>152</v>
      </c>
      <c r="J283" s="58" t="n">
        <v>57</v>
      </c>
      <c r="K283" s="59" t="n">
        <v>2.66666666666667</v>
      </c>
      <c r="L283" s="57" t="n">
        <v>15</v>
      </c>
      <c r="M283" s="57" t="n">
        <v>24</v>
      </c>
      <c r="N283" s="60" t="n">
        <v>28</v>
      </c>
      <c r="O283" s="55" t="s">
        <v>179</v>
      </c>
      <c r="P283" s="57" t="n">
        <v>80</v>
      </c>
      <c r="Q283" s="60" t="n">
        <f aca="false">IF(BR283=1,0,IFERROR(VLOOKUP(BP283,'Gebinde-Kategorie'!$A$5:$M$45,13,0)+0,0))</f>
        <v>12</v>
      </c>
      <c r="R283" s="61"/>
      <c r="S283" s="62"/>
      <c r="T283" s="62"/>
      <c r="U283" s="55"/>
      <c r="V283" s="57"/>
      <c r="W283" s="57"/>
      <c r="X283" s="55" t="n">
        <f aca="false">IF(A283="","",IF(AND(Parameter!$B$21="Ja",ISNUMBER(U283)),U283,IF(IFERROR(VLOOKUP(D283,Parameter!$A$35:$C$64,2,0),"Nein")="2+3",IF(ISNUMBER(SEARCH("grosser Artikel",BM283)),2,IFERROR(VLOOKUP(BP283,Parameter!$F$35:$G$64,2,0),2)),IF(OR(IFERROR(VLOOKUP(D283,Parameter!$A$35:$C$64,2,0),"Nein")="Nein",IFERROR(VLOOKUP(D283,Parameter!$A$35:$C$64,2,0),"Nein")=""),"-",VLOOKUP(D283,Parameter!$A$35:$C$64,2,0)))))</f>
        <v>2</v>
      </c>
      <c r="Y283" s="62"/>
      <c r="Z283" s="63"/>
      <c r="AA283" s="57" t="n">
        <f aca="false">AP283</f>
        <v>80</v>
      </c>
      <c r="AB283" s="57" t="n">
        <f aca="false">MAX(AP283,G283)</f>
        <v>80</v>
      </c>
      <c r="AC283" s="64"/>
      <c r="AD283" s="57" t="n">
        <f aca="false">IF(LEFT(Cockpit!$C$5,1)="A",G283,IF(BW283=1,BX283,IF(LEFT(Cockpit!$C$5,1)="B",AH283,MAX(AH283,G283))))</f>
        <v>19</v>
      </c>
      <c r="AE283" s="57" t="n">
        <f aca="false">IF(BR283=1,0,ROUNDUP(AD283/BQ283,0))</f>
        <v>1</v>
      </c>
      <c r="AF283" s="59" t="n">
        <f aca="false">IF(CD283&gt;0,CD283*MAX(1,AD283/V283),IF(BR283=1,IF(AD283&lt;=0,0,BS283*MAX(1,IF(G283&gt;0,AD283/G283,1))),IF(Q283&gt;0,AE283/Q283,0))/MAX(0.1,N(Parameter!$M$21)))</f>
        <v>0.0833333333333333</v>
      </c>
      <c r="AG283" s="57" t="n">
        <f aca="false">AD283*F283</f>
        <v>420.09</v>
      </c>
      <c r="AH283" s="57" t="n">
        <f aca="false">ROUNDUP(MAX(I283/IF(BV283&gt;0,BV283,MAX(0.1,N(Cockpit!$C$6))),BY283)/BQ283,0)*BQ283</f>
        <v>80</v>
      </c>
      <c r="AI283" s="58" t="n">
        <f aca="false">IF(AF283&gt;0,I283/AF283,-1)</f>
        <v>1824</v>
      </c>
      <c r="AJ283" s="58" t="n">
        <f aca="false">IF(AND(OR(BU283="L1",BU283="L23"),AF283&gt;0),SUMIFS($AF$7:$AF$1576,$BU$7:$BU$1576,BU283,$AI$7:$AI$1576,"&gt;"&amp;AI283)+SUMIFS($AF$7:$AF$1576,$BU$7:$BU$1576,BU283,$AI$7:$AI$1576,AI283,$BO$7:$BO$1576,"&lt;="&amp;BO283),"")</f>
        <v>7.17939393939394</v>
      </c>
      <c r="AK283" s="65" t="n">
        <f aca="false">IF(AJ283="",0,MAX(0,MIN(1,(IF(BU283="L1",Parameter!$E$5,Parameter!$E$6+Parameter!$E$7)-(AJ283-AF283))/AF283)))</f>
        <v>1</v>
      </c>
      <c r="AL283" s="57" t="n">
        <f aca="false">IF(LEFT(Cockpit!$I$5,1)="A",G283,IF(BW283=1,BX283,IF(LEFT(Cockpit!$I$5,1)="B",AP283,MAX(AP283,G283))))</f>
        <v>80</v>
      </c>
      <c r="AM283" s="57" t="n">
        <f aca="false">IF(BR283=1,0,ROUNDUP(AL283/BQ283,0))</f>
        <v>1</v>
      </c>
      <c r="AN283" s="59" t="n">
        <f aca="false">IF(CD283&gt;0,CD283*MAX(1,AL283/V283),IF(BR283=1,IF(AL283&lt;=0,0,BS283*MAX(1,IF(G283&gt;0,AL283/G283,1))),IF(Q283&gt;0,AM283/Q283,0))/MAX(0.1,N(Parameter!$M$21)))</f>
        <v>0.0833333333333333</v>
      </c>
      <c r="AO283" s="57" t="n">
        <f aca="false">AL283*F283</f>
        <v>1768.8</v>
      </c>
      <c r="AP283" s="57" t="n">
        <f aca="false">ROUNDUP(MAX(I283/IF(BV283&gt;0,BV283,MAX(0.1,N(Cockpit!$I$6))),BY283)/BQ283,0)*BQ283</f>
        <v>80</v>
      </c>
      <c r="AQ283" s="58" t="n">
        <f aca="false">IF(AN283&gt;0,I283/AN283,-1)</f>
        <v>1824</v>
      </c>
      <c r="AR283" s="58" t="n">
        <f aca="false">IF(AND(OR(BU283="L1",BU283="L23"),AN283&gt;0),SUMIFS($AN$7:$AN$1576,$BU$7:$BU$1576,BU283,$AQ$7:$AQ$1576,"&gt;"&amp;AQ283)+SUMIFS($AN$7:$AN$1576,$BU$7:$BU$1576,BU283,$AQ$7:$AQ$1576,AQ283,$BO$7:$BO$1576,"&lt;="&amp;BO283),"")</f>
        <v>17.8672328278962</v>
      </c>
      <c r="AS283" s="65" t="n">
        <f aca="false">IF(AR283="",0,MAX(0,MIN(1,(IF(BU283="L1",Parameter!$E$5,Parameter!$E$6+Parameter!$E$7)-(AR283-AN283))/AN283)))</f>
        <v>1</v>
      </c>
      <c r="AT283" s="57" t="n">
        <f aca="false">IF(LEFT(Cockpit!$O$5,1)="A",G283,IF(BW283=1,BX283,IF(LEFT(Cockpit!$O$5,1)="B",AX283,MAX(AX283,G283))))</f>
        <v>80</v>
      </c>
      <c r="AU283" s="57" t="n">
        <f aca="false">IF(BR283=1,0,ROUNDUP(AT283/BQ283,0))</f>
        <v>1</v>
      </c>
      <c r="AV283" s="59" t="n">
        <f aca="false">IF(CD283&gt;0,CD283*MAX(1,AT283/V283),IF(BR283=1,IF(AT283&lt;=0,0,BS283*MAX(1,IF(G283&gt;0,AT283/G283,1))),IF(Q283&gt;0,AU283/Q283,0))/MAX(0.1,N(Parameter!$M$21)))</f>
        <v>0.0833333333333333</v>
      </c>
      <c r="AW283" s="57" t="n">
        <f aca="false">AT283*F283</f>
        <v>1768.8</v>
      </c>
      <c r="AX283" s="57" t="n">
        <f aca="false">ROUNDUP(MAX(I283/IF(BV283&gt;0,BV283,MAX(0.1,N(Cockpit!$O$6))),BY283)/BQ283,0)*BQ283</f>
        <v>80</v>
      </c>
      <c r="AY283" s="58" t="n">
        <f aca="false">IF(AV283&gt;0,I283/AV283,-1)</f>
        <v>1824</v>
      </c>
      <c r="AZ283" s="58" t="n">
        <f aca="false">IF(AND(OR(BU283="L1",BU283="L23"),AV283&gt;0),SUMIFS($AV$7:$AV$1576,$BU$7:$BU$1576,BU283,$AY$7:$AY$1576,"&gt;"&amp;AY283)+SUMIFS($AV$7:$AV$1576,$BU$7:$BU$1576,BU283,$AY$7:$AY$1576,AY283,$BO$7:$BO$1576,"&lt;="&amp;BO283),"")</f>
        <v>16.8445055551689</v>
      </c>
      <c r="BA283" s="65" t="n">
        <f aca="false">IF(AZ283="",0,MAX(0,MIN(1,(IF(BU283="L1",Parameter!$E$5,Parameter!$E$6+Parameter!$E$7)-(AZ283-AV283))/AV283)))</f>
        <v>1</v>
      </c>
      <c r="BB283" s="55" t="str">
        <f aca="false">IF(AF283&lt;=0,"",IF(BU283="Aussen","Aussenlager",IF(BU283="-","Nicht im Lift",IF(AK283&gt;=1,"Lift",IF(AK283&lt;=0,"Aussenlager","teilweise")))))</f>
        <v>Lift</v>
      </c>
      <c r="BC283" s="55" t="str">
        <f aca="false">IF(AN283&lt;=0,"",IF(BU283="Aussen","Aussenlager",IF(BU283="-","Nicht im Lift",IF(AS283&gt;=1,"Lift",IF(AS283&lt;=0,"Aussenlager","teilweise")))))</f>
        <v>Lift</v>
      </c>
      <c r="BD283" s="55" t="str">
        <f aca="false">IF(AV283&lt;=0,"",IF(BU283="Aussen","Aussenlager",IF(BU283="-","Nicht im Lift",IF(BA283&gt;=1,"Lift",IF(BA283&lt;=0,"Aussenlager","teilweise")))))</f>
        <v>Lift</v>
      </c>
      <c r="BE283" s="55" t="str">
        <f aca="false">IF(A283="","",IF(BN283=1,"Neu; ","")&amp;IF(AND(BN283=0,BI283&lt;0),"negativer Bestand (Export "&amp;BI283&amp;"); ","")&amp;IF(I283&lt;=0,"Kein Verbrauch; ","")&amp;IF(CD283&gt;0,"Lift "&amp;U283&amp;" lt. Liftbericht (Fach "&amp;V283&amp;" Stk); ",IF(BR283=1,"Lose – Fläche geschätzt; ",""))&amp;IF(G283&gt;AP283,"Überbestand "&amp;ROUND(G283-AP283,0)&amp;" Stk / CHF "&amp;ROUND((G283-AP283)*F283,0)&amp;"; ","")&amp;IF(AND(BW283=1,BX283&lt;BY283),"MAX &lt; MB+LG; ","")&amp;IF(AND(CC283&gt;0,CB283*10&gt;CC283),"zu hoch für Tablar; ","")&amp;IF(AND(BN283=0,OR(BW283=1,Y283&lt;&gt;"",S283&lt;&gt;"",T283&lt;&gt;"",Z283&lt;&gt;"")),"manuell übersteuert; ","")&amp;IF(AND(BR283=0,Q283=0),"Gebinde unbekannt / Stellmass fehlt; ","")&amp;IF(AND(BR283=0,N(T283)&lt;=0,N(P283)&lt;=0),"Menge pro Gebinde fehlt (Ist = 1 Gebinde); ","")&amp;BM283)</f>
        <v/>
      </c>
      <c r="BF283" s="55"/>
      <c r="BG283" s="55"/>
      <c r="BH283" s="62"/>
      <c r="BI283" s="57" t="n">
        <v>19</v>
      </c>
      <c r="BJ283" s="57" t="n">
        <v>38</v>
      </c>
      <c r="BK283" s="56" t="n">
        <v>339.15</v>
      </c>
      <c r="BL283" s="57" t="n">
        <v>152</v>
      </c>
      <c r="BM283" s="55"/>
      <c r="BN283" s="60" t="n">
        <v>0</v>
      </c>
      <c r="BO283" s="60" t="n">
        <v>283</v>
      </c>
      <c r="BP283" s="55" t="str">
        <f aca="false">IF(S283&lt;&gt;"",UPPER(TRIM(S283)),IF(O283="","LOSE",O283))</f>
        <v>S61</v>
      </c>
      <c r="BQ283" s="57" t="n">
        <f aca="false">IF(BP283="LOSE",1,IF(N(T283)&gt;0,T283,IF(N(P283)&gt;0,P283,MAX(1,G283))))</f>
        <v>80</v>
      </c>
      <c r="BR283" s="60" t="n">
        <f aca="false">IF(BP283="LOSE",1,0)</f>
        <v>0</v>
      </c>
      <c r="BS283" s="59" t="n">
        <f aca="false">IF(BR283=0,0,IF(N(R283)&gt;0,R283,IFERROR(VLOOKUP(D283,Parameter!$A$35:$C$64,3,0)+0,0)))</f>
        <v>0</v>
      </c>
      <c r="BT283" s="55" t="n">
        <f aca="false">IF(Y283&lt;&gt;"",Y283,X283)</f>
        <v>2</v>
      </c>
      <c r="BU283" s="55" t="str">
        <f aca="false">IF(BT283=1,"L1",IF(OR(BT283=2,BT283=3),"L23",IF(BT283="Aussen","Aussen","-")))</f>
        <v>L23</v>
      </c>
      <c r="BV283" s="66" t="n">
        <f aca="false">IF(N(Z283)&gt;0,Z283,0)</f>
        <v>0</v>
      </c>
      <c r="BW283" s="60" t="n">
        <f aca="false">IF(ISNUMBER(AC283),1,0)</f>
        <v>0</v>
      </c>
      <c r="BX283" s="57" t="n">
        <f aca="false">N(AC283)</f>
        <v>0</v>
      </c>
      <c r="BY283" s="57" t="n">
        <f aca="false">N(L283)+N(M283)</f>
        <v>39</v>
      </c>
      <c r="BZ283" s="57" t="n">
        <f aca="false">ROUNDUP(G283/BQ283,0)</f>
        <v>1</v>
      </c>
      <c r="CA283" s="57" t="n">
        <f aca="false">ROUNDUP(BX283/BQ283,0)</f>
        <v>0</v>
      </c>
      <c r="CB283" s="60" t="n">
        <f aca="false">IF(BR283=1,0,IFERROR(VLOOKUP(BP283,'Gebinde-Kategorie'!$A$5:$M$45,5,0)+0,0))</f>
        <v>11</v>
      </c>
      <c r="CC283" s="60" t="n">
        <f aca="false">IFERROR(IF(OR(BT283=1,BT283=2,BT283=3),N(INDEX(Parameter!$I$5:$I$7,BT283)),0),0)</f>
        <v>0</v>
      </c>
      <c r="CD283" s="59" t="n">
        <f aca="false">IF(AND(Parameter!$B$21="Ja",ISNUMBER(U283),N(V283)&gt;0),IFERROR(N(INDEX(Parameter!$L$5:$L$7,U283))*INDEX(Parameter!$E$5:$E$7,U283)*V283/SUMIFS($V$7:$V$1576,$U$7:$U$1576,U283),0),0)</f>
        <v>0</v>
      </c>
    </row>
    <row r="284" customFormat="false" ht="15" hidden="false" customHeight="false" outlineLevel="0" collapsed="false">
      <c r="A284" s="55" t="s">
        <v>730</v>
      </c>
      <c r="B284" s="55" t="s">
        <v>457</v>
      </c>
      <c r="C284" s="55" t="s">
        <v>160</v>
      </c>
      <c r="D284" s="55" t="s">
        <v>178</v>
      </c>
      <c r="E284" s="55" t="s">
        <v>210</v>
      </c>
      <c r="F284" s="56" t="n">
        <v>0.53</v>
      </c>
      <c r="G284" s="57" t="n">
        <f aca="false">MAX(0,IF(AND(Parameter!$B$21="Ja",ISNUMBER(W284)),W284,IF(Parameter!$B$20="Jahresanfang 2025 + Export",BJ284+BI284,BI284)))</f>
        <v>700</v>
      </c>
      <c r="H284" s="57" t="n">
        <f aca="false">G284*F284</f>
        <v>371</v>
      </c>
      <c r="I284" s="57" t="n">
        <f aca="false">BL284*Parameter!$B$18</f>
        <v>1116</v>
      </c>
      <c r="J284" s="58" t="n">
        <v>450</v>
      </c>
      <c r="K284" s="59" t="n">
        <v>2.48</v>
      </c>
      <c r="L284" s="57" t="n">
        <v>43</v>
      </c>
      <c r="M284" s="57" t="n">
        <v>1115</v>
      </c>
      <c r="N284" s="60" t="n">
        <v>14</v>
      </c>
      <c r="O284" s="55" t="s">
        <v>319</v>
      </c>
      <c r="P284" s="57" t="n">
        <v>470</v>
      </c>
      <c r="Q284" s="60" t="n">
        <f aca="false">IF(BR284=1,0,IFERROR(VLOOKUP(BP284,'Gebinde-Kategorie'!$A$5:$M$45,13,0)+0,0))</f>
        <v>52</v>
      </c>
      <c r="R284" s="61"/>
      <c r="S284" s="62"/>
      <c r="T284" s="62"/>
      <c r="U284" s="55"/>
      <c r="V284" s="57"/>
      <c r="W284" s="57"/>
      <c r="X284" s="55" t="n">
        <f aca="false">IF(A284="","",IF(AND(Parameter!$B$21="Ja",ISNUMBER(U284)),U284,IF(IFERROR(VLOOKUP(D284,Parameter!$A$35:$C$64,2,0),"Nein")="2+3",IF(ISNUMBER(SEARCH("grosser Artikel",BM284)),2,IFERROR(VLOOKUP(BP284,Parameter!$F$35:$G$64,2,0),2)),IF(OR(IFERROR(VLOOKUP(D284,Parameter!$A$35:$C$64,2,0),"Nein")="Nein",IFERROR(VLOOKUP(D284,Parameter!$A$35:$C$64,2,0),"Nein")=""),"-",VLOOKUP(D284,Parameter!$A$35:$C$64,2,0)))))</f>
        <v>3</v>
      </c>
      <c r="Y284" s="62"/>
      <c r="Z284" s="63"/>
      <c r="AA284" s="57" t="n">
        <f aca="false">AP284</f>
        <v>1410</v>
      </c>
      <c r="AB284" s="57" t="n">
        <f aca="false">MAX(AP284,G284)</f>
        <v>1410</v>
      </c>
      <c r="AC284" s="64"/>
      <c r="AD284" s="57" t="n">
        <f aca="false">IF(LEFT(Cockpit!$C$5,1)="A",G284,IF(BW284=1,BX284,IF(LEFT(Cockpit!$C$5,1)="B",AH284,MAX(AH284,G284))))</f>
        <v>700</v>
      </c>
      <c r="AE284" s="57" t="n">
        <f aca="false">IF(BR284=1,0,ROUNDUP(AD284/BQ284,0))</f>
        <v>2</v>
      </c>
      <c r="AF284" s="59" t="n">
        <f aca="false">IF(CD284&gt;0,CD284*MAX(1,AD284/V284),IF(BR284=1,IF(AD284&lt;=0,0,BS284*MAX(1,IF(G284&gt;0,AD284/G284,1))),IF(Q284&gt;0,AE284/Q284,0))/MAX(0.1,N(Parameter!$M$21)))</f>
        <v>0.0384615384615385</v>
      </c>
      <c r="AG284" s="57" t="n">
        <f aca="false">AD284*F284</f>
        <v>371</v>
      </c>
      <c r="AH284" s="57" t="n">
        <f aca="false">ROUNDUP(MAX(I284/IF(BV284&gt;0,BV284,MAX(0.1,N(Cockpit!$C$6))),BY284)/BQ284,0)*BQ284</f>
        <v>1410</v>
      </c>
      <c r="AI284" s="58" t="n">
        <f aca="false">IF(AF284&gt;0,I284/AF284,-1)</f>
        <v>29016</v>
      </c>
      <c r="AJ284" s="58" t="n">
        <f aca="false">IF(AND(OR(BU284="L1",BU284="L23"),AF284&gt;0),SUMIFS($AF$7:$AF$1576,$BU$7:$BU$1576,BU284,$AI$7:$AI$1576,"&gt;"&amp;AI284)+SUMIFS($AF$7:$AF$1576,$BU$7:$BU$1576,BU284,$AI$7:$AI$1576,AI284,$BO$7:$BO$1576,"&lt;="&amp;BO284),"")</f>
        <v>1.5476335258944</v>
      </c>
      <c r="AK284" s="65" t="n">
        <f aca="false">IF(AJ284="",0,MAX(0,MIN(1,(IF(BU284="L1",Parameter!$E$5,Parameter!$E$6+Parameter!$E$7)-(AJ284-AF284))/AF284)))</f>
        <v>1</v>
      </c>
      <c r="AL284" s="57" t="n">
        <f aca="false">IF(LEFT(Cockpit!$I$5,1)="A",G284,IF(BW284=1,BX284,IF(LEFT(Cockpit!$I$5,1)="B",AP284,MAX(AP284,G284))))</f>
        <v>1410</v>
      </c>
      <c r="AM284" s="57" t="n">
        <f aca="false">IF(BR284=1,0,ROUNDUP(AL284/BQ284,0))</f>
        <v>3</v>
      </c>
      <c r="AN284" s="59" t="n">
        <f aca="false">IF(CD284&gt;0,CD284*MAX(1,AL284/V284),IF(BR284=1,IF(AL284&lt;=0,0,BS284*MAX(1,IF(G284&gt;0,AL284/G284,1))),IF(Q284&gt;0,AM284/Q284,0))/MAX(0.1,N(Parameter!$M$21)))</f>
        <v>0.0576923076923077</v>
      </c>
      <c r="AO284" s="57" t="n">
        <f aca="false">AL284*F284</f>
        <v>747.3</v>
      </c>
      <c r="AP284" s="57" t="n">
        <f aca="false">ROUNDUP(MAX(I284/IF(BV284&gt;0,BV284,MAX(0.1,N(Cockpit!$I$6))),BY284)/BQ284,0)*BQ284</f>
        <v>1410</v>
      </c>
      <c r="AQ284" s="58" t="n">
        <f aca="false">IF(AN284&gt;0,I284/AN284,-1)</f>
        <v>19344</v>
      </c>
      <c r="AR284" s="58" t="n">
        <f aca="false">IF(AND(OR(BU284="L1",BU284="L23"),AN284&gt;0),SUMIFS($AN$7:$AN$1576,$BU$7:$BU$1576,BU284,$AQ$7:$AQ$1576,"&gt;"&amp;AQ284)+SUMIFS($AN$7:$AN$1576,$BU$7:$BU$1576,BU284,$AQ$7:$AQ$1576,AQ284,$BO$7:$BO$1576,"&lt;="&amp;BO284),"")</f>
        <v>4.02919800006757</v>
      </c>
      <c r="AS284" s="65" t="n">
        <f aca="false">IF(AR284="",0,MAX(0,MIN(1,(IF(BU284="L1",Parameter!$E$5,Parameter!$E$6+Parameter!$E$7)-(AR284-AN284))/AN284)))</f>
        <v>1</v>
      </c>
      <c r="AT284" s="57" t="n">
        <f aca="false">IF(LEFT(Cockpit!$O$5,1)="A",G284,IF(BW284=1,BX284,IF(LEFT(Cockpit!$O$5,1)="B",AX284,MAX(AX284,G284))))</f>
        <v>1410</v>
      </c>
      <c r="AU284" s="57" t="n">
        <f aca="false">IF(BR284=1,0,ROUNDUP(AT284/BQ284,0))</f>
        <v>3</v>
      </c>
      <c r="AV284" s="59" t="n">
        <f aca="false">IF(CD284&gt;0,CD284*MAX(1,AT284/V284),IF(BR284=1,IF(AT284&lt;=0,0,BS284*MAX(1,IF(G284&gt;0,AT284/G284,1))),IF(Q284&gt;0,AU284/Q284,0))/MAX(0.1,N(Parameter!$M$21)))</f>
        <v>0.0576923076923077</v>
      </c>
      <c r="AW284" s="57" t="n">
        <f aca="false">AT284*F284</f>
        <v>747.3</v>
      </c>
      <c r="AX284" s="57" t="n">
        <f aca="false">ROUNDUP(MAX(I284/IF(BV284&gt;0,BV284,MAX(0.1,N(Cockpit!$O$6))),BY284)/BQ284,0)*BQ284</f>
        <v>1410</v>
      </c>
      <c r="AY284" s="58" t="n">
        <f aca="false">IF(AV284&gt;0,I284/AV284,-1)</f>
        <v>19344</v>
      </c>
      <c r="AZ284" s="58" t="n">
        <f aca="false">IF(AND(OR(BU284="L1",BU284="L23"),AV284&gt;0),SUMIFS($AV$7:$AV$1576,$BU$7:$BU$1576,BU284,$AY$7:$AY$1576,"&gt;"&amp;AY284)+SUMIFS($AV$7:$AV$1576,$BU$7:$BU$1576,BU284,$AY$7:$AY$1576,AY284,$BO$7:$BO$1576,"&lt;="&amp;BO284),"")</f>
        <v>4.37185534272491</v>
      </c>
      <c r="BA284" s="65" t="n">
        <f aca="false">IF(AZ284="",0,MAX(0,MIN(1,(IF(BU284="L1",Parameter!$E$5,Parameter!$E$6+Parameter!$E$7)-(AZ284-AV284))/AV284)))</f>
        <v>1</v>
      </c>
      <c r="BB284" s="55" t="str">
        <f aca="false">IF(AF284&lt;=0,"",IF(BU284="Aussen","Aussenlager",IF(BU284="-","Nicht im Lift",IF(AK284&gt;=1,"Lift",IF(AK284&lt;=0,"Aussenlager","teilweise")))))</f>
        <v>Lift</v>
      </c>
      <c r="BC284" s="55" t="str">
        <f aca="false">IF(AN284&lt;=0,"",IF(BU284="Aussen","Aussenlager",IF(BU284="-","Nicht im Lift",IF(AS284&gt;=1,"Lift",IF(AS284&lt;=0,"Aussenlager","teilweise")))))</f>
        <v>Lift</v>
      </c>
      <c r="BD284" s="55" t="str">
        <f aca="false">IF(AV284&lt;=0,"",IF(BU284="Aussen","Aussenlager",IF(BU284="-","Nicht im Lift",IF(BA284&gt;=1,"Lift",IF(BA284&lt;=0,"Aussenlager","teilweise")))))</f>
        <v>Lift</v>
      </c>
      <c r="BE284" s="55" t="str">
        <f aca="false">IF(A284="","",IF(BN284=1,"Neu; ","")&amp;IF(AND(BN284=0,BI284&lt;0),"negativer Bestand (Export "&amp;BI284&amp;"); ","")&amp;IF(I284&lt;=0,"Kein Verbrauch; ","")&amp;IF(CD284&gt;0,"Lift "&amp;U284&amp;" lt. Liftbericht (Fach "&amp;V284&amp;" Stk); ",IF(BR284=1,"Lose – Fläche geschätzt; ",""))&amp;IF(G284&gt;AP284,"Überbestand "&amp;ROUND(G284-AP284,0)&amp;" Stk / CHF "&amp;ROUND((G284-AP284)*F284,0)&amp;"; ","")&amp;IF(AND(BW284=1,BX284&lt;BY284),"MAX &lt; MB+LG; ","")&amp;IF(AND(CC284&gt;0,CB284*10&gt;CC284),"zu hoch für Tablar; ","")&amp;IF(AND(BN284=0,OR(BW284=1,Y284&lt;&gt;"",S284&lt;&gt;"",T284&lt;&gt;"",Z284&lt;&gt;"")),"manuell übersteuert; ","")&amp;IF(AND(BR284=0,Q284=0),"Gebinde unbekannt / Stellmass fehlt; ","")&amp;IF(AND(BR284=0,N(T284)&lt;=0,N(P284)&lt;=0),"Menge pro Gebinde fehlt (Ist = 1 Gebinde); ","")&amp;BM284)</f>
        <v/>
      </c>
      <c r="BF284" s="55"/>
      <c r="BG284" s="55"/>
      <c r="BH284" s="62"/>
      <c r="BI284" s="57" t="n">
        <v>700</v>
      </c>
      <c r="BJ284" s="57" t="n">
        <v>281</v>
      </c>
      <c r="BK284" s="56" t="n">
        <v>335.51</v>
      </c>
      <c r="BL284" s="57" t="n">
        <v>1116</v>
      </c>
      <c r="BM284" s="55"/>
      <c r="BN284" s="60" t="n">
        <v>0</v>
      </c>
      <c r="BO284" s="60" t="n">
        <v>284</v>
      </c>
      <c r="BP284" s="55" t="str">
        <f aca="false">IF(S284&lt;&gt;"",UPPER(TRIM(S284)),IF(O284="","LOSE",O284))</f>
        <v>S41</v>
      </c>
      <c r="BQ284" s="57" t="n">
        <f aca="false">IF(BP284="LOSE",1,IF(N(T284)&gt;0,T284,IF(N(P284)&gt;0,P284,MAX(1,G284))))</f>
        <v>470</v>
      </c>
      <c r="BR284" s="60" t="n">
        <f aca="false">IF(BP284="LOSE",1,0)</f>
        <v>0</v>
      </c>
      <c r="BS284" s="59" t="n">
        <f aca="false">IF(BR284=0,0,IF(N(R284)&gt;0,R284,IFERROR(VLOOKUP(D284,Parameter!$A$35:$C$64,3,0)+0,0)))</f>
        <v>0</v>
      </c>
      <c r="BT284" s="55" t="n">
        <f aca="false">IF(Y284&lt;&gt;"",Y284,X284)</f>
        <v>3</v>
      </c>
      <c r="BU284" s="55" t="str">
        <f aca="false">IF(BT284=1,"L1",IF(OR(BT284=2,BT284=3),"L23",IF(BT284="Aussen","Aussen","-")))</f>
        <v>L23</v>
      </c>
      <c r="BV284" s="66" t="n">
        <f aca="false">IF(N(Z284)&gt;0,Z284,0)</f>
        <v>0</v>
      </c>
      <c r="BW284" s="60" t="n">
        <f aca="false">IF(ISNUMBER(AC284),1,0)</f>
        <v>0</v>
      </c>
      <c r="BX284" s="57" t="n">
        <f aca="false">N(AC284)</f>
        <v>0</v>
      </c>
      <c r="BY284" s="57" t="n">
        <f aca="false">N(L284)+N(M284)</f>
        <v>1158</v>
      </c>
      <c r="BZ284" s="57" t="n">
        <f aca="false">ROUNDUP(G284/BQ284,0)</f>
        <v>2</v>
      </c>
      <c r="CA284" s="57" t="n">
        <f aca="false">ROUNDUP(BX284/BQ284,0)</f>
        <v>0</v>
      </c>
      <c r="CB284" s="60" t="n">
        <f aca="false">IF(BR284=1,0,IFERROR(VLOOKUP(BP284,'Gebinde-Kategorie'!$A$5:$M$45,5,0)+0,0))</f>
        <v>11</v>
      </c>
      <c r="CC284" s="60" t="n">
        <f aca="false">IFERROR(IF(OR(BT284=1,BT284=2,BT284=3),N(INDEX(Parameter!$I$5:$I$7,BT284)),0),0)</f>
        <v>0</v>
      </c>
      <c r="CD284" s="59" t="n">
        <f aca="false">IF(AND(Parameter!$B$21="Ja",ISNUMBER(U284),N(V284)&gt;0),IFERROR(N(INDEX(Parameter!$L$5:$L$7,U284))*INDEX(Parameter!$E$5:$E$7,U284)*V284/SUMIFS($V$7:$V$1576,$U$7:$U$1576,U284),0),0)</f>
        <v>0</v>
      </c>
    </row>
    <row r="285" customFormat="false" ht="15" hidden="false" customHeight="false" outlineLevel="0" collapsed="false">
      <c r="A285" s="55" t="s">
        <v>731</v>
      </c>
      <c r="B285" s="55" t="s">
        <v>732</v>
      </c>
      <c r="C285" s="55" t="s">
        <v>160</v>
      </c>
      <c r="D285" s="55" t="s">
        <v>178</v>
      </c>
      <c r="E285" s="55" t="s">
        <v>210</v>
      </c>
      <c r="F285" s="56" t="n">
        <v>51.14</v>
      </c>
      <c r="G285" s="57" t="n">
        <f aca="false">MAX(0,IF(AND(Parameter!$B$21="Ja",ISNUMBER(W285)),W285,IF(Parameter!$B$20="Jahresanfang 2025 + Export",BJ285+BI285,BI285)))</f>
        <v>7</v>
      </c>
      <c r="H285" s="57" t="n">
        <f aca="false">G285*F285</f>
        <v>357.98</v>
      </c>
      <c r="I285" s="57" t="n">
        <f aca="false">BL285*Parameter!$B$18</f>
        <v>25</v>
      </c>
      <c r="J285" s="58" t="n">
        <v>13.5</v>
      </c>
      <c r="K285" s="59" t="n">
        <v>1.85185185185185</v>
      </c>
      <c r="L285" s="57" t="n">
        <v>2</v>
      </c>
      <c r="M285" s="57" t="n">
        <v>25</v>
      </c>
      <c r="N285" s="60" t="n">
        <v>35</v>
      </c>
      <c r="O285" s="55" t="s">
        <v>225</v>
      </c>
      <c r="P285" s="57" t="n">
        <v>33</v>
      </c>
      <c r="Q285" s="60" t="n">
        <f aca="false">IF(BR285=1,0,IFERROR(VLOOKUP(BP285,'Gebinde-Kategorie'!$A$5:$M$45,13,0)+0,0))</f>
        <v>26</v>
      </c>
      <c r="R285" s="61"/>
      <c r="S285" s="62"/>
      <c r="T285" s="62"/>
      <c r="U285" s="55"/>
      <c r="V285" s="57"/>
      <c r="W285" s="57"/>
      <c r="X285" s="55" t="n">
        <f aca="false">IF(A285="","",IF(AND(Parameter!$B$21="Ja",ISNUMBER(U285)),U285,IF(IFERROR(VLOOKUP(D285,Parameter!$A$35:$C$64,2,0),"Nein")="2+3",IF(ISNUMBER(SEARCH("grosser Artikel",BM285)),2,IFERROR(VLOOKUP(BP285,Parameter!$F$35:$G$64,2,0),2)),IF(OR(IFERROR(VLOOKUP(D285,Parameter!$A$35:$C$64,2,0),"Nein")="Nein",IFERROR(VLOOKUP(D285,Parameter!$A$35:$C$64,2,0),"Nein")=""),"-",VLOOKUP(D285,Parameter!$A$35:$C$64,2,0)))))</f>
        <v>3</v>
      </c>
      <c r="Y285" s="62"/>
      <c r="Z285" s="63"/>
      <c r="AA285" s="57" t="n">
        <f aca="false">AP285</f>
        <v>33</v>
      </c>
      <c r="AB285" s="57" t="n">
        <f aca="false">MAX(AP285,G285)</f>
        <v>33</v>
      </c>
      <c r="AC285" s="64"/>
      <c r="AD285" s="57" t="n">
        <f aca="false">IF(LEFT(Cockpit!$C$5,1)="A",G285,IF(BW285=1,BX285,IF(LEFT(Cockpit!$C$5,1)="B",AH285,MAX(AH285,G285))))</f>
        <v>7</v>
      </c>
      <c r="AE285" s="57" t="n">
        <f aca="false">IF(BR285=1,0,ROUNDUP(AD285/BQ285,0))</f>
        <v>1</v>
      </c>
      <c r="AF285" s="59" t="n">
        <f aca="false">IF(CD285&gt;0,CD285*MAX(1,AD285/V285),IF(BR285=1,IF(AD285&lt;=0,0,BS285*MAX(1,IF(G285&gt;0,AD285/G285,1))),IF(Q285&gt;0,AE285/Q285,0))/MAX(0.1,N(Parameter!$M$21)))</f>
        <v>0.0384615384615385</v>
      </c>
      <c r="AG285" s="57" t="n">
        <f aca="false">AD285*F285</f>
        <v>357.98</v>
      </c>
      <c r="AH285" s="57" t="n">
        <f aca="false">ROUNDUP(MAX(I285/IF(BV285&gt;0,BV285,MAX(0.1,N(Cockpit!$C$6))),BY285)/BQ285,0)*BQ285</f>
        <v>33</v>
      </c>
      <c r="AI285" s="58" t="n">
        <f aca="false">IF(AF285&gt;0,I285/AF285,-1)</f>
        <v>650</v>
      </c>
      <c r="AJ285" s="58" t="n">
        <f aca="false">IF(AND(OR(BU285="L1",BU285="L23"),AF285&gt;0),SUMIFS($AF$7:$AF$1576,$BU$7:$BU$1576,BU285,$AI$7:$AI$1576,"&gt;"&amp;AI285)+SUMIFS($AF$7:$AF$1576,$BU$7:$BU$1576,BU285,$AI$7:$AI$1576,AI285,$BO$7:$BO$1576,"&lt;="&amp;BO285),"")</f>
        <v>11.6247353129962</v>
      </c>
      <c r="AK285" s="65" t="n">
        <f aca="false">IF(AJ285="",0,MAX(0,MIN(1,(IF(BU285="L1",Parameter!$E$5,Parameter!$E$6+Parameter!$E$7)-(AJ285-AF285))/AF285)))</f>
        <v>1</v>
      </c>
      <c r="AL285" s="57" t="n">
        <f aca="false">IF(LEFT(Cockpit!$I$5,1)="A",G285,IF(BW285=1,BX285,IF(LEFT(Cockpit!$I$5,1)="B",AP285,MAX(AP285,G285))))</f>
        <v>33</v>
      </c>
      <c r="AM285" s="57" t="n">
        <f aca="false">IF(BR285=1,0,ROUNDUP(AL285/BQ285,0))</f>
        <v>1</v>
      </c>
      <c r="AN285" s="59" t="n">
        <f aca="false">IF(CD285&gt;0,CD285*MAX(1,AL285/V285),IF(BR285=1,IF(AL285&lt;=0,0,BS285*MAX(1,IF(G285&gt;0,AL285/G285,1))),IF(Q285&gt;0,AM285/Q285,0))/MAX(0.1,N(Parameter!$M$21)))</f>
        <v>0.0384615384615385</v>
      </c>
      <c r="AO285" s="57" t="n">
        <f aca="false">AL285*F285</f>
        <v>1687.62</v>
      </c>
      <c r="AP285" s="57" t="n">
        <f aca="false">ROUNDUP(MAX(I285/IF(BV285&gt;0,BV285,MAX(0.1,N(Cockpit!$I$6))),BY285)/BQ285,0)*BQ285</f>
        <v>33</v>
      </c>
      <c r="AQ285" s="58" t="n">
        <f aca="false">IF(AN285&gt;0,I285/AN285,-1)</f>
        <v>650</v>
      </c>
      <c r="AR285" s="58" t="n">
        <f aca="false">IF(AND(OR(BU285="L1",BU285="L23"),AN285&gt;0),SUMIFS($AN$7:$AN$1576,$BU$7:$BU$1576,BU285,$AQ$7:$AQ$1576,"&gt;"&amp;AQ285)+SUMIFS($AN$7:$AN$1576,$BU$7:$BU$1576,BU285,$AQ$7:$AQ$1576,AQ285,$BO$7:$BO$1576,"&lt;="&amp;BO285),"")</f>
        <v>30.0421579993431</v>
      </c>
      <c r="AS285" s="65" t="n">
        <f aca="false">IF(AR285="",0,MAX(0,MIN(1,(IF(BU285="L1",Parameter!$E$5,Parameter!$E$6+Parameter!$E$7)-(AR285-AN285))/AN285)))</f>
        <v>1</v>
      </c>
      <c r="AT285" s="57" t="n">
        <f aca="false">IF(LEFT(Cockpit!$O$5,1)="A",G285,IF(BW285=1,BX285,IF(LEFT(Cockpit!$O$5,1)="B",AX285,MAX(AX285,G285))))</f>
        <v>33</v>
      </c>
      <c r="AU285" s="57" t="n">
        <f aca="false">IF(BR285=1,0,ROUNDUP(AT285/BQ285,0))</f>
        <v>1</v>
      </c>
      <c r="AV285" s="59" t="n">
        <f aca="false">IF(CD285&gt;0,CD285*MAX(1,AT285/V285),IF(BR285=1,IF(AT285&lt;=0,0,BS285*MAX(1,IF(G285&gt;0,AT285/G285,1))),IF(Q285&gt;0,AU285/Q285,0))/MAX(0.1,N(Parameter!$M$21)))</f>
        <v>0.0384615384615385</v>
      </c>
      <c r="AW285" s="57" t="n">
        <f aca="false">AT285*F285</f>
        <v>1687.62</v>
      </c>
      <c r="AX285" s="57" t="n">
        <f aca="false">ROUNDUP(MAX(I285/IF(BV285&gt;0,BV285,MAX(0.1,N(Cockpit!$O$6))),BY285)/BQ285,0)*BQ285</f>
        <v>33</v>
      </c>
      <c r="AY285" s="58" t="n">
        <f aca="false">IF(AV285&gt;0,I285/AV285,-1)</f>
        <v>650</v>
      </c>
      <c r="AZ285" s="58" t="n">
        <f aca="false">IF(AND(OR(BU285="L1",BU285="L23"),AV285&gt;0),SUMIFS($AV$7:$AV$1576,$BU$7:$BU$1576,BU285,$AY$7:$AY$1576,"&gt;"&amp;AY285)+SUMIFS($AV$7:$AV$1576,$BU$7:$BU$1576,BU285,$AY$7:$AY$1576,AY285,$BO$7:$BO$1576,"&lt;="&amp;BO285),"")</f>
        <v>29.7534600306451</v>
      </c>
      <c r="BA285" s="65" t="n">
        <f aca="false">IF(AZ285="",0,MAX(0,MIN(1,(IF(BU285="L1",Parameter!$E$5,Parameter!$E$6+Parameter!$E$7)-(AZ285-AV285))/AV285)))</f>
        <v>1</v>
      </c>
      <c r="BB285" s="55" t="str">
        <f aca="false">IF(AF285&lt;=0,"",IF(BU285="Aussen","Aussenlager",IF(BU285="-","Nicht im Lift",IF(AK285&gt;=1,"Lift",IF(AK285&lt;=0,"Aussenlager","teilweise")))))</f>
        <v>Lift</v>
      </c>
      <c r="BC285" s="55" t="str">
        <f aca="false">IF(AN285&lt;=0,"",IF(BU285="Aussen","Aussenlager",IF(BU285="-","Nicht im Lift",IF(AS285&gt;=1,"Lift",IF(AS285&lt;=0,"Aussenlager","teilweise")))))</f>
        <v>Lift</v>
      </c>
      <c r="BD285" s="55" t="str">
        <f aca="false">IF(AV285&lt;=0,"",IF(BU285="Aussen","Aussenlager",IF(BU285="-","Nicht im Lift",IF(BA285&gt;=1,"Lift",IF(BA285&lt;=0,"Aussenlager","teilweise")))))</f>
        <v>Lift</v>
      </c>
      <c r="BE285" s="55" t="str">
        <f aca="false">IF(A285="","",IF(BN285=1,"Neu; ","")&amp;IF(AND(BN285=0,BI285&lt;0),"negativer Bestand (Export "&amp;BI285&amp;"); ","")&amp;IF(I285&lt;=0,"Kein Verbrauch; ","")&amp;IF(CD285&gt;0,"Lift "&amp;U285&amp;" lt. Liftbericht (Fach "&amp;V285&amp;" Stk); ",IF(BR285=1,"Lose – Fläche geschätzt; ",""))&amp;IF(G285&gt;AP285,"Überbestand "&amp;ROUND(G285-AP285,0)&amp;" Stk / CHF "&amp;ROUND((G285-AP285)*F285,0)&amp;"; ","")&amp;IF(AND(BW285=1,BX285&lt;BY285),"MAX &lt; MB+LG; ","")&amp;IF(AND(CC285&gt;0,CB285*10&gt;CC285),"zu hoch für Tablar; ","")&amp;IF(AND(BN285=0,OR(BW285=1,Y285&lt;&gt;"",S285&lt;&gt;"",T285&lt;&gt;"",Z285&lt;&gt;"")),"manuell übersteuert; ","")&amp;IF(AND(BR285=0,Q285=0),"Gebinde unbekannt / Stellmass fehlt; ","")&amp;IF(AND(BR285=0,N(T285)&lt;=0,N(P285)&lt;=0),"Menge pro Gebinde fehlt (Ist = 1 Gebinde); ","")&amp;BM285)</f>
        <v/>
      </c>
      <c r="BF285" s="55"/>
      <c r="BG285" s="55"/>
      <c r="BH285" s="62"/>
      <c r="BI285" s="57" t="n">
        <v>7</v>
      </c>
      <c r="BJ285" s="57" t="n">
        <v>11</v>
      </c>
      <c r="BK285" s="56" t="n">
        <v>326.52</v>
      </c>
      <c r="BL285" s="57" t="n">
        <v>25</v>
      </c>
      <c r="BM285" s="55"/>
      <c r="BN285" s="60" t="n">
        <v>0</v>
      </c>
      <c r="BO285" s="60" t="n">
        <v>285</v>
      </c>
      <c r="BP285" s="55" t="str">
        <f aca="false">IF(S285&lt;&gt;"",UPPER(TRIM(S285)),IF(O285="","LOSE",O285))</f>
        <v>S52</v>
      </c>
      <c r="BQ285" s="57" t="n">
        <f aca="false">IF(BP285="LOSE",1,IF(N(T285)&gt;0,T285,IF(N(P285)&gt;0,P285,MAX(1,G285))))</f>
        <v>33</v>
      </c>
      <c r="BR285" s="60" t="n">
        <f aca="false">IF(BP285="LOSE",1,0)</f>
        <v>0</v>
      </c>
      <c r="BS285" s="59" t="n">
        <f aca="false">IF(BR285=0,0,IF(N(R285)&gt;0,R285,IFERROR(VLOOKUP(D285,Parameter!$A$35:$C$64,3,0)+0,0)))</f>
        <v>0</v>
      </c>
      <c r="BT285" s="55" t="n">
        <f aca="false">IF(Y285&lt;&gt;"",Y285,X285)</f>
        <v>3</v>
      </c>
      <c r="BU285" s="55" t="str">
        <f aca="false">IF(BT285=1,"L1",IF(OR(BT285=2,BT285=3),"L23",IF(BT285="Aussen","Aussen","-")))</f>
        <v>L23</v>
      </c>
      <c r="BV285" s="66" t="n">
        <f aca="false">IF(N(Z285)&gt;0,Z285,0)</f>
        <v>0</v>
      </c>
      <c r="BW285" s="60" t="n">
        <f aca="false">IF(ISNUMBER(AC285),1,0)</f>
        <v>0</v>
      </c>
      <c r="BX285" s="57" t="n">
        <f aca="false">N(AC285)</f>
        <v>0</v>
      </c>
      <c r="BY285" s="57" t="n">
        <f aca="false">N(L285)+N(M285)</f>
        <v>27</v>
      </c>
      <c r="BZ285" s="57" t="n">
        <f aca="false">ROUNDUP(G285/BQ285,0)</f>
        <v>1</v>
      </c>
      <c r="CA285" s="57" t="n">
        <f aca="false">ROUNDUP(BX285/BQ285,0)</f>
        <v>0</v>
      </c>
      <c r="CB285" s="60" t="n">
        <f aca="false">IF(BR285=1,0,IFERROR(VLOOKUP(BP285,'Gebinde-Kategorie'!$A$5:$M$45,5,0)+0,0))</f>
        <v>21</v>
      </c>
      <c r="CC285" s="60" t="n">
        <f aca="false">IFERROR(IF(OR(BT285=1,BT285=2,BT285=3),N(INDEX(Parameter!$I$5:$I$7,BT285)),0),0)</f>
        <v>0</v>
      </c>
      <c r="CD285" s="59" t="n">
        <f aca="false">IF(AND(Parameter!$B$21="Ja",ISNUMBER(U285),N(V285)&gt;0),IFERROR(N(INDEX(Parameter!$L$5:$L$7,U285))*INDEX(Parameter!$E$5:$E$7,U285)*V285/SUMIFS($V$7:$V$1576,$U$7:$U$1576,U285),0),0)</f>
        <v>0</v>
      </c>
    </row>
    <row r="286" customFormat="false" ht="15" hidden="false" customHeight="false" outlineLevel="0" collapsed="false">
      <c r="A286" s="55" t="s">
        <v>733</v>
      </c>
      <c r="B286" s="55" t="s">
        <v>734</v>
      </c>
      <c r="C286" s="55" t="s">
        <v>160</v>
      </c>
      <c r="D286" s="55" t="s">
        <v>178</v>
      </c>
      <c r="E286" s="55" t="s">
        <v>210</v>
      </c>
      <c r="F286" s="56" t="n">
        <v>147.94</v>
      </c>
      <c r="G286" s="57" t="n">
        <f aca="false">MAX(0,IF(AND(Parameter!$B$21="Ja",ISNUMBER(W286)),W286,IF(Parameter!$B$20="Jahresanfang 2025 + Export",BJ286+BI286,BI286)))</f>
        <v>1</v>
      </c>
      <c r="H286" s="57" t="n">
        <f aca="false">G286*F286</f>
        <v>147.94</v>
      </c>
      <c r="I286" s="57" t="n">
        <f aca="false">BL286*Parameter!$B$18</f>
        <v>0</v>
      </c>
      <c r="J286" s="58" t="n">
        <v>3</v>
      </c>
      <c r="K286" s="59" t="n">
        <v>0</v>
      </c>
      <c r="L286" s="57" t="n">
        <v>0</v>
      </c>
      <c r="M286" s="57" t="n">
        <v>1</v>
      </c>
      <c r="N286" s="60" t="n">
        <v>42</v>
      </c>
      <c r="O286" s="55" t="s">
        <v>284</v>
      </c>
      <c r="P286" s="57" t="n">
        <v>4</v>
      </c>
      <c r="Q286" s="60" t="n">
        <f aca="false">IF(BR286=1,0,IFERROR(VLOOKUP(BP286,'Gebinde-Kategorie'!$A$5:$M$45,13,0)+0,0))</f>
        <v>12</v>
      </c>
      <c r="R286" s="61"/>
      <c r="S286" s="62"/>
      <c r="T286" s="62"/>
      <c r="U286" s="55"/>
      <c r="V286" s="57"/>
      <c r="W286" s="57"/>
      <c r="X286" s="55" t="n">
        <f aca="false">IF(A286="","",IF(AND(Parameter!$B$21="Ja",ISNUMBER(U286)),U286,IF(IFERROR(VLOOKUP(D286,Parameter!$A$35:$C$64,2,0),"Nein")="2+3",IF(ISNUMBER(SEARCH("grosser Artikel",BM286)),2,IFERROR(VLOOKUP(BP286,Parameter!$F$35:$G$64,2,0),2)),IF(OR(IFERROR(VLOOKUP(D286,Parameter!$A$35:$C$64,2,0),"Nein")="Nein",IFERROR(VLOOKUP(D286,Parameter!$A$35:$C$64,2,0),"Nein")=""),"-",VLOOKUP(D286,Parameter!$A$35:$C$64,2,0)))))</f>
        <v>2</v>
      </c>
      <c r="Y286" s="62"/>
      <c r="Z286" s="63"/>
      <c r="AA286" s="57" t="n">
        <f aca="false">AP286</f>
        <v>4</v>
      </c>
      <c r="AB286" s="57" t="n">
        <f aca="false">MAX(AP286,G286)</f>
        <v>4</v>
      </c>
      <c r="AC286" s="64"/>
      <c r="AD286" s="57" t="n">
        <f aca="false">IF(LEFT(Cockpit!$C$5,1)="A",G286,IF(BW286=1,BX286,IF(LEFT(Cockpit!$C$5,1)="B",AH286,MAX(AH286,G286))))</f>
        <v>1</v>
      </c>
      <c r="AE286" s="57" t="n">
        <f aca="false">IF(BR286=1,0,ROUNDUP(AD286/BQ286,0))</f>
        <v>1</v>
      </c>
      <c r="AF286" s="59" t="n">
        <f aca="false">IF(CD286&gt;0,CD286*MAX(1,AD286/V286),IF(BR286=1,IF(AD286&lt;=0,0,BS286*MAX(1,IF(G286&gt;0,AD286/G286,1))),IF(Q286&gt;0,AE286/Q286,0))/MAX(0.1,N(Parameter!$M$21)))</f>
        <v>0.0833333333333333</v>
      </c>
      <c r="AG286" s="57" t="n">
        <f aca="false">AD286*F286</f>
        <v>147.94</v>
      </c>
      <c r="AH286" s="57" t="n">
        <f aca="false">ROUNDUP(MAX(I286/IF(BV286&gt;0,BV286,MAX(0.1,N(Cockpit!$C$6))),BY286)/BQ286,0)*BQ286</f>
        <v>4</v>
      </c>
      <c r="AI286" s="58" t="n">
        <f aca="false">IF(AF286&gt;0,I286/AF286,-1)</f>
        <v>0</v>
      </c>
      <c r="AJ286" s="58" t="n">
        <f aca="false">IF(AND(OR(BU286="L1",BU286="L23"),AF286&gt;0),SUMIFS($AF$7:$AF$1576,$BU$7:$BU$1576,BU286,$AI$7:$AI$1576,"&gt;"&amp;AI286)+SUMIFS($AF$7:$AF$1576,$BU$7:$BU$1576,BU286,$AI$7:$AI$1576,AI286,$BO$7:$BO$1576,"&lt;="&amp;BO286),"")</f>
        <v>40.4916181885747</v>
      </c>
      <c r="AK286" s="65" t="n">
        <f aca="false">IF(AJ286="",0,MAX(0,MIN(1,(IF(BU286="L1",Parameter!$E$5,Parameter!$E$6+Parameter!$E$7)-(AJ286-AF286))/AF286)))</f>
        <v>1</v>
      </c>
      <c r="AL286" s="57" t="n">
        <f aca="false">IF(LEFT(Cockpit!$I$5,1)="A",G286,IF(BW286=1,BX286,IF(LEFT(Cockpit!$I$5,1)="B",AP286,MAX(AP286,G286))))</f>
        <v>4</v>
      </c>
      <c r="AM286" s="57" t="n">
        <f aca="false">IF(BR286=1,0,ROUNDUP(AL286/BQ286,0))</f>
        <v>1</v>
      </c>
      <c r="AN286" s="59" t="n">
        <f aca="false">IF(CD286&gt;0,CD286*MAX(1,AL286/V286),IF(BR286=1,IF(AL286&lt;=0,0,BS286*MAX(1,IF(G286&gt;0,AL286/G286,1))),IF(Q286&gt;0,AM286/Q286,0))/MAX(0.1,N(Parameter!$M$21)))</f>
        <v>0.0833333333333333</v>
      </c>
      <c r="AO286" s="57" t="n">
        <f aca="false">AL286*F286</f>
        <v>591.76</v>
      </c>
      <c r="AP286" s="57" t="n">
        <f aca="false">ROUNDUP(MAX(I286/IF(BV286&gt;0,BV286,MAX(0.1,N(Cockpit!$I$6))),BY286)/BQ286,0)*BQ286</f>
        <v>4</v>
      </c>
      <c r="AQ286" s="58" t="n">
        <f aca="false">IF(AN286&gt;0,I286/AN286,-1)</f>
        <v>0</v>
      </c>
      <c r="AR286" s="58" t="n">
        <f aca="false">IF(AND(OR(BU286="L1",BU286="L23"),AN286&gt;0),SUMIFS($AN$7:$AN$1576,$BU$7:$BU$1576,BU286,$AQ$7:$AQ$1576,"&gt;"&amp;AQ286)+SUMIFS($AN$7:$AN$1576,$BU$7:$BU$1576,BU286,$AQ$7:$AQ$1576,AQ286,$BO$7:$BO$1576,"&lt;="&amp;BO286),"")</f>
        <v>123.365823938364</v>
      </c>
      <c r="AS286" s="65" t="n">
        <f aca="false">IF(AR286="",0,MAX(0,MIN(1,(IF(BU286="L1",Parameter!$E$5,Parameter!$E$6+Parameter!$E$7)-(AR286-AN286))/AN286)))</f>
        <v>0</v>
      </c>
      <c r="AT286" s="57" t="n">
        <f aca="false">IF(LEFT(Cockpit!$O$5,1)="A",G286,IF(BW286=1,BX286,IF(LEFT(Cockpit!$O$5,1)="B",AX286,MAX(AX286,G286))))</f>
        <v>4</v>
      </c>
      <c r="AU286" s="57" t="n">
        <f aca="false">IF(BR286=1,0,ROUNDUP(AT286/BQ286,0))</f>
        <v>1</v>
      </c>
      <c r="AV286" s="59" t="n">
        <f aca="false">IF(CD286&gt;0,CD286*MAX(1,AT286/V286),IF(BR286=1,IF(AT286&lt;=0,0,BS286*MAX(1,IF(G286&gt;0,AT286/G286,1))),IF(Q286&gt;0,AU286/Q286,0))/MAX(0.1,N(Parameter!$M$21)))</f>
        <v>0.0833333333333333</v>
      </c>
      <c r="AW286" s="57" t="n">
        <f aca="false">AT286*F286</f>
        <v>591.76</v>
      </c>
      <c r="AX286" s="57" t="n">
        <f aca="false">ROUNDUP(MAX(I286/IF(BV286&gt;0,BV286,MAX(0.1,N(Cockpit!$O$6))),BY286)/BQ286,0)*BQ286</f>
        <v>4</v>
      </c>
      <c r="AY286" s="58" t="n">
        <f aca="false">IF(AV286&gt;0,I286/AV286,-1)</f>
        <v>0</v>
      </c>
      <c r="AZ286" s="58" t="n">
        <f aca="false">IF(AND(OR(BU286="L1",BU286="L23"),AV286&gt;0),SUMIFS($AV$7:$AV$1576,$BU$7:$BU$1576,BU286,$AY$7:$AY$1576,"&gt;"&amp;AY286)+SUMIFS($AV$7:$AV$1576,$BU$7:$BU$1576,BU286,$AY$7:$AY$1576,AY286,$BO$7:$BO$1576,"&lt;="&amp;BO286),"")</f>
        <v>113.425374387915</v>
      </c>
      <c r="BA286" s="65" t="n">
        <f aca="false">IF(AZ286="",0,MAX(0,MIN(1,(IF(BU286="L1",Parameter!$E$5,Parameter!$E$6+Parameter!$E$7)-(AZ286-AV286))/AV286)))</f>
        <v>0</v>
      </c>
      <c r="BB286" s="55" t="str">
        <f aca="false">IF(AF286&lt;=0,"",IF(BU286="Aussen","Aussenlager",IF(BU286="-","Nicht im Lift",IF(AK286&gt;=1,"Lift",IF(AK286&lt;=0,"Aussenlager","teilweise")))))</f>
        <v>Lift</v>
      </c>
      <c r="BC286" s="55" t="str">
        <f aca="false">IF(AN286&lt;=0,"",IF(BU286="Aussen","Aussenlager",IF(BU286="-","Nicht im Lift",IF(AS286&gt;=1,"Lift",IF(AS286&lt;=0,"Aussenlager","teilweise")))))</f>
        <v>Aussenlager</v>
      </c>
      <c r="BD286" s="55" t="str">
        <f aca="false">IF(AV286&lt;=0,"",IF(BU286="Aussen","Aussenlager",IF(BU286="-","Nicht im Lift",IF(BA286&gt;=1,"Lift",IF(BA286&lt;=0,"Aussenlager","teilweise")))))</f>
        <v>Aussenlager</v>
      </c>
      <c r="BE286" s="55" t="str">
        <f aca="false">IF(A286="","",IF(BN286=1,"Neu; ","")&amp;IF(AND(BN286=0,BI286&lt;0),"negativer Bestand (Export "&amp;BI286&amp;"); ","")&amp;IF(I286&lt;=0,"Kein Verbrauch; ","")&amp;IF(CD286&gt;0,"Lift "&amp;U286&amp;" lt. Liftbericht (Fach "&amp;V286&amp;" Stk); ",IF(BR286=1,"Lose – Fläche geschätzt; ",""))&amp;IF(G286&gt;AP286,"Überbestand "&amp;ROUND(G286-AP286,0)&amp;" Stk / CHF "&amp;ROUND((G286-AP286)*F286,0)&amp;"; ","")&amp;IF(AND(BW286=1,BX286&lt;BY286),"MAX &lt; MB+LG; ","")&amp;IF(AND(CC286&gt;0,CB286*10&gt;CC286),"zu hoch für Tablar; ","")&amp;IF(AND(BN286=0,OR(BW286=1,Y286&lt;&gt;"",S286&lt;&gt;"",T286&lt;&gt;"",Z286&lt;&gt;"")),"manuell übersteuert; ","")&amp;IF(AND(BR286=0,Q286=0),"Gebinde unbekannt / Stellmass fehlt; ","")&amp;IF(AND(BR286=0,N(T286)&lt;=0,N(P286)&lt;=0),"Menge pro Gebinde fehlt (Ist = 1 Gebinde); ","")&amp;BM286)</f>
        <v>Kein Verbrauch; </v>
      </c>
      <c r="BF286" s="55"/>
      <c r="BG286" s="55"/>
      <c r="BH286" s="62"/>
      <c r="BI286" s="57" t="n">
        <v>1</v>
      </c>
      <c r="BJ286" s="57" t="n">
        <v>3</v>
      </c>
      <c r="BK286" s="56" t="n">
        <v>325.81</v>
      </c>
      <c r="BL286" s="57" t="n">
        <v>0</v>
      </c>
      <c r="BM286" s="55"/>
      <c r="BN286" s="60" t="n">
        <v>0</v>
      </c>
      <c r="BO286" s="60" t="n">
        <v>286</v>
      </c>
      <c r="BP286" s="55" t="str">
        <f aca="false">IF(S286&lt;&gt;"",UPPER(TRIM(S286)),IF(O286="","LOSE",O286))</f>
        <v>S62</v>
      </c>
      <c r="BQ286" s="57" t="n">
        <f aca="false">IF(BP286="LOSE",1,IF(N(T286)&gt;0,T286,IF(N(P286)&gt;0,P286,MAX(1,G286))))</f>
        <v>4</v>
      </c>
      <c r="BR286" s="60" t="n">
        <f aca="false">IF(BP286="LOSE",1,0)</f>
        <v>0</v>
      </c>
      <c r="BS286" s="59" t="n">
        <f aca="false">IF(BR286=0,0,IF(N(R286)&gt;0,R286,IFERROR(VLOOKUP(D286,Parameter!$A$35:$C$64,3,0)+0,0)))</f>
        <v>0</v>
      </c>
      <c r="BT286" s="55" t="n">
        <f aca="false">IF(Y286&lt;&gt;"",Y286,X286)</f>
        <v>2</v>
      </c>
      <c r="BU286" s="55" t="str">
        <f aca="false">IF(BT286=1,"L1",IF(OR(BT286=2,BT286=3),"L23",IF(BT286="Aussen","Aussen","-")))</f>
        <v>L23</v>
      </c>
      <c r="BV286" s="66" t="n">
        <f aca="false">IF(N(Z286)&gt;0,Z286,0)</f>
        <v>0</v>
      </c>
      <c r="BW286" s="60" t="n">
        <f aca="false">IF(ISNUMBER(AC286),1,0)</f>
        <v>0</v>
      </c>
      <c r="BX286" s="57" t="n">
        <f aca="false">N(AC286)</f>
        <v>0</v>
      </c>
      <c r="BY286" s="57" t="n">
        <f aca="false">N(L286)+N(M286)</f>
        <v>1</v>
      </c>
      <c r="BZ286" s="57" t="n">
        <f aca="false">ROUNDUP(G286/BQ286,0)</f>
        <v>1</v>
      </c>
      <c r="CA286" s="57" t="n">
        <f aca="false">ROUNDUP(BX286/BQ286,0)</f>
        <v>0</v>
      </c>
      <c r="CB286" s="60" t="n">
        <f aca="false">IF(BR286=1,0,IFERROR(VLOOKUP(BP286,'Gebinde-Kategorie'!$A$5:$M$45,5,0)+0,0))</f>
        <v>21</v>
      </c>
      <c r="CC286" s="60" t="n">
        <f aca="false">IFERROR(IF(OR(BT286=1,BT286=2,BT286=3),N(INDEX(Parameter!$I$5:$I$7,BT286)),0),0)</f>
        <v>0</v>
      </c>
      <c r="CD286" s="59" t="n">
        <f aca="false">IF(AND(Parameter!$B$21="Ja",ISNUMBER(U286),N(V286)&gt;0),IFERROR(N(INDEX(Parameter!$L$5:$L$7,U286))*INDEX(Parameter!$E$5:$E$7,U286)*V286/SUMIFS($V$7:$V$1576,$U$7:$U$1576,U286),0),0)</f>
        <v>0</v>
      </c>
    </row>
    <row r="287" customFormat="false" ht="15" hidden="false" customHeight="false" outlineLevel="0" collapsed="false">
      <c r="A287" s="55" t="s">
        <v>735</v>
      </c>
      <c r="B287" s="55" t="s">
        <v>736</v>
      </c>
      <c r="C287" s="55" t="s">
        <v>162</v>
      </c>
      <c r="D287" s="55" t="s">
        <v>178</v>
      </c>
      <c r="E287" s="55" t="s">
        <v>210</v>
      </c>
      <c r="F287" s="56" t="n">
        <v>81</v>
      </c>
      <c r="G287" s="57" t="n">
        <f aca="false">MAX(0,IF(AND(Parameter!$B$21="Ja",ISNUMBER(W287)),W287,IF(Parameter!$B$20="Jahresanfang 2025 + Export",BJ287+BI287,BI287)))</f>
        <v>4</v>
      </c>
      <c r="H287" s="57" t="n">
        <f aca="false">G287*F287</f>
        <v>324</v>
      </c>
      <c r="I287" s="57" t="n">
        <f aca="false">BL287*Parameter!$B$18</f>
        <v>0</v>
      </c>
      <c r="J287" s="58" t="n">
        <v>9</v>
      </c>
      <c r="K287" s="59" t="n">
        <v>0</v>
      </c>
      <c r="L287" s="57" t="n">
        <v>0</v>
      </c>
      <c r="M287" s="57" t="n">
        <v>1</v>
      </c>
      <c r="N287" s="60" t="n">
        <v>28</v>
      </c>
      <c r="O287" s="55" t="s">
        <v>319</v>
      </c>
      <c r="P287" s="57" t="n">
        <v>6</v>
      </c>
      <c r="Q287" s="60" t="n">
        <f aca="false">IF(BR287=1,0,IFERROR(VLOOKUP(BP287,'Gebinde-Kategorie'!$A$5:$M$45,13,0)+0,0))</f>
        <v>52</v>
      </c>
      <c r="R287" s="61"/>
      <c r="S287" s="62"/>
      <c r="T287" s="62"/>
      <c r="U287" s="55"/>
      <c r="V287" s="57"/>
      <c r="W287" s="57"/>
      <c r="X287" s="55" t="n">
        <f aca="false">IF(A287="","",IF(AND(Parameter!$B$21="Ja",ISNUMBER(U287)),U287,IF(IFERROR(VLOOKUP(D287,Parameter!$A$35:$C$64,2,0),"Nein")="2+3",IF(ISNUMBER(SEARCH("grosser Artikel",BM287)),2,IFERROR(VLOOKUP(BP287,Parameter!$F$35:$G$64,2,0),2)),IF(OR(IFERROR(VLOOKUP(D287,Parameter!$A$35:$C$64,2,0),"Nein")="Nein",IFERROR(VLOOKUP(D287,Parameter!$A$35:$C$64,2,0),"Nein")=""),"-",VLOOKUP(D287,Parameter!$A$35:$C$64,2,0)))))</f>
        <v>3</v>
      </c>
      <c r="Y287" s="62"/>
      <c r="Z287" s="63"/>
      <c r="AA287" s="57" t="n">
        <f aca="false">AP287</f>
        <v>6</v>
      </c>
      <c r="AB287" s="57" t="n">
        <f aca="false">MAX(AP287,G287)</f>
        <v>6</v>
      </c>
      <c r="AC287" s="64"/>
      <c r="AD287" s="57" t="n">
        <f aca="false">IF(LEFT(Cockpit!$C$5,1)="A",G287,IF(BW287=1,BX287,IF(LEFT(Cockpit!$C$5,1)="B",AH287,MAX(AH287,G287))))</f>
        <v>4</v>
      </c>
      <c r="AE287" s="57" t="n">
        <f aca="false">IF(BR287=1,0,ROUNDUP(AD287/BQ287,0))</f>
        <v>1</v>
      </c>
      <c r="AF287" s="59" t="n">
        <f aca="false">IF(CD287&gt;0,CD287*MAX(1,AD287/V287),IF(BR287=1,IF(AD287&lt;=0,0,BS287*MAX(1,IF(G287&gt;0,AD287/G287,1))),IF(Q287&gt;0,AE287/Q287,0))/MAX(0.1,N(Parameter!$M$21)))</f>
        <v>0.0192307692307692</v>
      </c>
      <c r="AG287" s="57" t="n">
        <f aca="false">AD287*F287</f>
        <v>324</v>
      </c>
      <c r="AH287" s="57" t="n">
        <f aca="false">ROUNDUP(MAX(I287/IF(BV287&gt;0,BV287,MAX(0.1,N(Cockpit!$C$6))),BY287)/BQ287,0)*BQ287</f>
        <v>6</v>
      </c>
      <c r="AI287" s="58" t="n">
        <f aca="false">IF(AF287&gt;0,I287/AF287,-1)</f>
        <v>0</v>
      </c>
      <c r="AJ287" s="58" t="n">
        <f aca="false">IF(AND(OR(BU287="L1",BU287="L23"),AF287&gt;0),SUMIFS($AF$7:$AF$1576,$BU$7:$BU$1576,BU287,$AI$7:$AI$1576,"&gt;"&amp;AI287)+SUMIFS($AF$7:$AF$1576,$BU$7:$BU$1576,BU287,$AI$7:$AI$1576,AI287,$BO$7:$BO$1576,"&lt;="&amp;BO287),"")</f>
        <v>40.5108489578055</v>
      </c>
      <c r="AK287" s="65" t="n">
        <f aca="false">IF(AJ287="",0,MAX(0,MIN(1,(IF(BU287="L1",Parameter!$E$5,Parameter!$E$6+Parameter!$E$7)-(AJ287-AF287))/AF287)))</f>
        <v>1</v>
      </c>
      <c r="AL287" s="57" t="n">
        <f aca="false">IF(LEFT(Cockpit!$I$5,1)="A",G287,IF(BW287=1,BX287,IF(LEFT(Cockpit!$I$5,1)="B",AP287,MAX(AP287,G287))))</f>
        <v>6</v>
      </c>
      <c r="AM287" s="57" t="n">
        <f aca="false">IF(BR287=1,0,ROUNDUP(AL287/BQ287,0))</f>
        <v>1</v>
      </c>
      <c r="AN287" s="59" t="n">
        <f aca="false">IF(CD287&gt;0,CD287*MAX(1,AL287/V287),IF(BR287=1,IF(AL287&lt;=0,0,BS287*MAX(1,IF(G287&gt;0,AL287/G287,1))),IF(Q287&gt;0,AM287/Q287,0))/MAX(0.1,N(Parameter!$M$21)))</f>
        <v>0.0192307692307692</v>
      </c>
      <c r="AO287" s="57" t="n">
        <f aca="false">AL287*F287</f>
        <v>486</v>
      </c>
      <c r="AP287" s="57" t="n">
        <f aca="false">ROUNDUP(MAX(I287/IF(BV287&gt;0,BV287,MAX(0.1,N(Cockpit!$I$6))),BY287)/BQ287,0)*BQ287</f>
        <v>6</v>
      </c>
      <c r="AQ287" s="58" t="n">
        <f aca="false">IF(AN287&gt;0,I287/AN287,-1)</f>
        <v>0</v>
      </c>
      <c r="AR287" s="58" t="n">
        <f aca="false">IF(AND(OR(BU287="L1",BU287="L23"),AN287&gt;0),SUMIFS($AN$7:$AN$1576,$BU$7:$BU$1576,BU287,$AQ$7:$AQ$1576,"&gt;"&amp;AQ287)+SUMIFS($AN$7:$AN$1576,$BU$7:$BU$1576,BU287,$AQ$7:$AQ$1576,AQ287,$BO$7:$BO$1576,"&lt;="&amp;BO287),"")</f>
        <v>123.385054707595</v>
      </c>
      <c r="AS287" s="65" t="n">
        <f aca="false">IF(AR287="",0,MAX(0,MIN(1,(IF(BU287="L1",Parameter!$E$5,Parameter!$E$6+Parameter!$E$7)-(AR287-AN287))/AN287)))</f>
        <v>0</v>
      </c>
      <c r="AT287" s="57" t="n">
        <f aca="false">IF(LEFT(Cockpit!$O$5,1)="A",G287,IF(BW287=1,BX287,IF(LEFT(Cockpit!$O$5,1)="B",AX287,MAX(AX287,G287))))</f>
        <v>6</v>
      </c>
      <c r="AU287" s="57" t="n">
        <f aca="false">IF(BR287=1,0,ROUNDUP(AT287/BQ287,0))</f>
        <v>1</v>
      </c>
      <c r="AV287" s="59" t="n">
        <f aca="false">IF(CD287&gt;0,CD287*MAX(1,AT287/V287),IF(BR287=1,IF(AT287&lt;=0,0,BS287*MAX(1,IF(G287&gt;0,AT287/G287,1))),IF(Q287&gt;0,AU287/Q287,0))/MAX(0.1,N(Parameter!$M$21)))</f>
        <v>0.0192307692307692</v>
      </c>
      <c r="AW287" s="57" t="n">
        <f aca="false">AT287*F287</f>
        <v>486</v>
      </c>
      <c r="AX287" s="57" t="n">
        <f aca="false">ROUNDUP(MAX(I287/IF(BV287&gt;0,BV287,MAX(0.1,N(Cockpit!$O$6))),BY287)/BQ287,0)*BQ287</f>
        <v>6</v>
      </c>
      <c r="AY287" s="58" t="n">
        <f aca="false">IF(AV287&gt;0,I287/AV287,-1)</f>
        <v>0</v>
      </c>
      <c r="AZ287" s="58" t="n">
        <f aca="false">IF(AND(OR(BU287="L1",BU287="L23"),AV287&gt;0),SUMIFS($AV$7:$AV$1576,$BU$7:$BU$1576,BU287,$AY$7:$AY$1576,"&gt;"&amp;AY287)+SUMIFS($AV$7:$AV$1576,$BU$7:$BU$1576,BU287,$AY$7:$AY$1576,AY287,$BO$7:$BO$1576,"&lt;="&amp;BO287),"")</f>
        <v>113.444605157145</v>
      </c>
      <c r="BA287" s="65" t="n">
        <f aca="false">IF(AZ287="",0,MAX(0,MIN(1,(IF(BU287="L1",Parameter!$E$5,Parameter!$E$6+Parameter!$E$7)-(AZ287-AV287))/AV287)))</f>
        <v>0</v>
      </c>
      <c r="BB287" s="55" t="str">
        <f aca="false">IF(AF287&lt;=0,"",IF(BU287="Aussen","Aussenlager",IF(BU287="-","Nicht im Lift",IF(AK287&gt;=1,"Lift",IF(AK287&lt;=0,"Aussenlager","teilweise")))))</f>
        <v>Lift</v>
      </c>
      <c r="BC287" s="55" t="str">
        <f aca="false">IF(AN287&lt;=0,"",IF(BU287="Aussen","Aussenlager",IF(BU287="-","Nicht im Lift",IF(AS287&gt;=1,"Lift",IF(AS287&lt;=0,"Aussenlager","teilweise")))))</f>
        <v>Aussenlager</v>
      </c>
      <c r="BD287" s="55" t="str">
        <f aca="false">IF(AV287&lt;=0,"",IF(BU287="Aussen","Aussenlager",IF(BU287="-","Nicht im Lift",IF(BA287&gt;=1,"Lift",IF(BA287&lt;=0,"Aussenlager","teilweise")))))</f>
        <v>Aussenlager</v>
      </c>
      <c r="BE287" s="55" t="str">
        <f aca="false">IF(A287="","",IF(BN287=1,"Neu; ","")&amp;IF(AND(BN287=0,BI287&lt;0),"negativer Bestand (Export "&amp;BI287&amp;"); ","")&amp;IF(I287&lt;=0,"Kein Verbrauch; ","")&amp;IF(CD287&gt;0,"Lift "&amp;U287&amp;" lt. Liftbericht (Fach "&amp;V287&amp;" Stk); ",IF(BR287=1,"Lose – Fläche geschätzt; ",""))&amp;IF(G287&gt;AP287,"Überbestand "&amp;ROUND(G287-AP287,0)&amp;" Stk / CHF "&amp;ROUND((G287-AP287)*F287,0)&amp;"; ","")&amp;IF(AND(BW287=1,BX287&lt;BY287),"MAX &lt; MB+LG; ","")&amp;IF(AND(CC287&gt;0,CB287*10&gt;CC287),"zu hoch für Tablar; ","")&amp;IF(AND(BN287=0,OR(BW287=1,Y287&lt;&gt;"",S287&lt;&gt;"",T287&lt;&gt;"",Z287&lt;&gt;"")),"manuell übersteuert; ","")&amp;IF(AND(BR287=0,Q287=0),"Gebinde unbekannt / Stellmass fehlt; ","")&amp;IF(AND(BR287=0,N(T287)&lt;=0,N(P287)&lt;=0),"Menge pro Gebinde fehlt (Ist = 1 Gebinde); ","")&amp;BM287)</f>
        <v>Kein Verbrauch; </v>
      </c>
      <c r="BF287" s="55"/>
      <c r="BG287" s="55"/>
      <c r="BH287" s="62"/>
      <c r="BI287" s="57" t="n">
        <v>4</v>
      </c>
      <c r="BJ287" s="57" t="n">
        <v>7</v>
      </c>
      <c r="BK287" s="56" t="n">
        <v>324</v>
      </c>
      <c r="BL287" s="57" t="n">
        <v>0</v>
      </c>
      <c r="BM287" s="55"/>
      <c r="BN287" s="60" t="n">
        <v>0</v>
      </c>
      <c r="BO287" s="60" t="n">
        <v>287</v>
      </c>
      <c r="BP287" s="55" t="str">
        <f aca="false">IF(S287&lt;&gt;"",UPPER(TRIM(S287)),IF(O287="","LOSE",O287))</f>
        <v>S41</v>
      </c>
      <c r="BQ287" s="57" t="n">
        <f aca="false">IF(BP287="LOSE",1,IF(N(T287)&gt;0,T287,IF(N(P287)&gt;0,P287,MAX(1,G287))))</f>
        <v>6</v>
      </c>
      <c r="BR287" s="60" t="n">
        <f aca="false">IF(BP287="LOSE",1,0)</f>
        <v>0</v>
      </c>
      <c r="BS287" s="59" t="n">
        <f aca="false">IF(BR287=0,0,IF(N(R287)&gt;0,R287,IFERROR(VLOOKUP(D287,Parameter!$A$35:$C$64,3,0)+0,0)))</f>
        <v>0</v>
      </c>
      <c r="BT287" s="55" t="n">
        <f aca="false">IF(Y287&lt;&gt;"",Y287,X287)</f>
        <v>3</v>
      </c>
      <c r="BU287" s="55" t="str">
        <f aca="false">IF(BT287=1,"L1",IF(OR(BT287=2,BT287=3),"L23",IF(BT287="Aussen","Aussen","-")))</f>
        <v>L23</v>
      </c>
      <c r="BV287" s="66" t="n">
        <f aca="false">IF(N(Z287)&gt;0,Z287,0)</f>
        <v>0</v>
      </c>
      <c r="BW287" s="60" t="n">
        <f aca="false">IF(ISNUMBER(AC287),1,0)</f>
        <v>0</v>
      </c>
      <c r="BX287" s="57" t="n">
        <f aca="false">N(AC287)</f>
        <v>0</v>
      </c>
      <c r="BY287" s="57" t="n">
        <f aca="false">N(L287)+N(M287)</f>
        <v>1</v>
      </c>
      <c r="BZ287" s="57" t="n">
        <f aca="false">ROUNDUP(G287/BQ287,0)</f>
        <v>1</v>
      </c>
      <c r="CA287" s="57" t="n">
        <f aca="false">ROUNDUP(BX287/BQ287,0)</f>
        <v>0</v>
      </c>
      <c r="CB287" s="60" t="n">
        <f aca="false">IF(BR287=1,0,IFERROR(VLOOKUP(BP287,'Gebinde-Kategorie'!$A$5:$M$45,5,0)+0,0))</f>
        <v>11</v>
      </c>
      <c r="CC287" s="60" t="n">
        <f aca="false">IFERROR(IF(OR(BT287=1,BT287=2,BT287=3),N(INDEX(Parameter!$I$5:$I$7,BT287)),0),0)</f>
        <v>0</v>
      </c>
      <c r="CD287" s="59" t="n">
        <f aca="false">IF(AND(Parameter!$B$21="Ja",ISNUMBER(U287),N(V287)&gt;0),IFERROR(N(INDEX(Parameter!$L$5:$L$7,U287))*INDEX(Parameter!$E$5:$E$7,U287)*V287/SUMIFS($V$7:$V$1576,$U$7:$U$1576,U287),0),0)</f>
        <v>0</v>
      </c>
    </row>
    <row r="288" customFormat="false" ht="15" hidden="false" customHeight="false" outlineLevel="0" collapsed="false">
      <c r="A288" s="55" t="s">
        <v>737</v>
      </c>
      <c r="B288" s="55" t="s">
        <v>738</v>
      </c>
      <c r="C288" s="55" t="s">
        <v>160</v>
      </c>
      <c r="D288" s="55" t="s">
        <v>178</v>
      </c>
      <c r="E288" s="55" t="s">
        <v>210</v>
      </c>
      <c r="F288" s="56" t="n">
        <v>152.26</v>
      </c>
      <c r="G288" s="57" t="n">
        <f aca="false">MAX(0,IF(AND(Parameter!$B$21="Ja",ISNUMBER(W288)),W288,IF(Parameter!$B$20="Jahresanfang 2025 + Export",BJ288+BI288,BI288)))</f>
        <v>2</v>
      </c>
      <c r="H288" s="57" t="n">
        <f aca="false">G288*F288</f>
        <v>304.52</v>
      </c>
      <c r="I288" s="57" t="n">
        <f aca="false">BL288*Parameter!$B$18</f>
        <v>1</v>
      </c>
      <c r="J288" s="58" t="n">
        <v>3.5</v>
      </c>
      <c r="K288" s="59" t="n">
        <v>0.285714285714286</v>
      </c>
      <c r="L288" s="57" t="n">
        <v>0</v>
      </c>
      <c r="M288" s="57" t="n">
        <v>1</v>
      </c>
      <c r="N288" s="60" t="n">
        <v>28</v>
      </c>
      <c r="O288" s="55" t="s">
        <v>411</v>
      </c>
      <c r="P288" s="57" t="n">
        <v>4</v>
      </c>
      <c r="Q288" s="60" t="n">
        <f aca="false">IF(BR288=1,0,IFERROR(VLOOKUP(BP288,'Gebinde-Kategorie'!$A$5:$M$45,13,0)+0,0))</f>
        <v>132</v>
      </c>
      <c r="R288" s="61"/>
      <c r="S288" s="62"/>
      <c r="T288" s="62"/>
      <c r="U288" s="55"/>
      <c r="V288" s="57"/>
      <c r="W288" s="57"/>
      <c r="X288" s="55" t="n">
        <f aca="false">IF(A288="","",IF(AND(Parameter!$B$21="Ja",ISNUMBER(U288)),U288,IF(IFERROR(VLOOKUP(D288,Parameter!$A$35:$C$64,2,0),"Nein")="2+3",IF(ISNUMBER(SEARCH("grosser Artikel",BM288)),2,IFERROR(VLOOKUP(BP288,Parameter!$F$35:$G$64,2,0),2)),IF(OR(IFERROR(VLOOKUP(D288,Parameter!$A$35:$C$64,2,0),"Nein")="Nein",IFERROR(VLOOKUP(D288,Parameter!$A$35:$C$64,2,0),"Nein")=""),"-",VLOOKUP(D288,Parameter!$A$35:$C$64,2,0)))))</f>
        <v>3</v>
      </c>
      <c r="Y288" s="62"/>
      <c r="Z288" s="63"/>
      <c r="AA288" s="57" t="n">
        <f aca="false">AP288</f>
        <v>4</v>
      </c>
      <c r="AB288" s="57" t="n">
        <f aca="false">MAX(AP288,G288)</f>
        <v>4</v>
      </c>
      <c r="AC288" s="64"/>
      <c r="AD288" s="57" t="n">
        <f aca="false">IF(LEFT(Cockpit!$C$5,1)="A",G288,IF(BW288=1,BX288,IF(LEFT(Cockpit!$C$5,1)="B",AH288,MAX(AH288,G288))))</f>
        <v>2</v>
      </c>
      <c r="AE288" s="57" t="n">
        <f aca="false">IF(BR288=1,0,ROUNDUP(AD288/BQ288,0))</f>
        <v>1</v>
      </c>
      <c r="AF288" s="59" t="n">
        <f aca="false">IF(CD288&gt;0,CD288*MAX(1,AD288/V288),IF(BR288=1,IF(AD288&lt;=0,0,BS288*MAX(1,IF(G288&gt;0,AD288/G288,1))),IF(Q288&gt;0,AE288/Q288,0))/MAX(0.1,N(Parameter!$M$21)))</f>
        <v>0.00757575757575758</v>
      </c>
      <c r="AG288" s="57" t="n">
        <f aca="false">AD288*F288</f>
        <v>304.52</v>
      </c>
      <c r="AH288" s="57" t="n">
        <f aca="false">ROUNDUP(MAX(I288/IF(BV288&gt;0,BV288,MAX(0.1,N(Cockpit!$C$6))),BY288)/BQ288,0)*BQ288</f>
        <v>4</v>
      </c>
      <c r="AI288" s="58" t="n">
        <f aca="false">IF(AF288&gt;0,I288/AF288,-1)</f>
        <v>132</v>
      </c>
      <c r="AJ288" s="58" t="n">
        <f aca="false">IF(AND(OR(BU288="L1",BU288="L23"),AF288&gt;0),SUMIFS($AF$7:$AF$1576,$BU$7:$BU$1576,BU288,$AI$7:$AI$1576,"&gt;"&amp;AI288)+SUMIFS($AF$7:$AF$1576,$BU$7:$BU$1576,BU288,$AI$7:$AI$1576,AI288,$BO$7:$BO$1576,"&lt;="&amp;BO288),"")</f>
        <v>20.4312840782406</v>
      </c>
      <c r="AK288" s="65" t="n">
        <f aca="false">IF(AJ288="",0,MAX(0,MIN(1,(IF(BU288="L1",Parameter!$E$5,Parameter!$E$6+Parameter!$E$7)-(AJ288-AF288))/AF288)))</f>
        <v>1</v>
      </c>
      <c r="AL288" s="57" t="n">
        <f aca="false">IF(LEFT(Cockpit!$I$5,1)="A",G288,IF(BW288=1,BX288,IF(LEFT(Cockpit!$I$5,1)="B",AP288,MAX(AP288,G288))))</f>
        <v>4</v>
      </c>
      <c r="AM288" s="57" t="n">
        <f aca="false">IF(BR288=1,0,ROUNDUP(AL288/BQ288,0))</f>
        <v>1</v>
      </c>
      <c r="AN288" s="59" t="n">
        <f aca="false">IF(CD288&gt;0,CD288*MAX(1,AL288/V288),IF(BR288=1,IF(AL288&lt;=0,0,BS288*MAX(1,IF(G288&gt;0,AL288/G288,1))),IF(Q288&gt;0,AM288/Q288,0))/MAX(0.1,N(Parameter!$M$21)))</f>
        <v>0.00757575757575758</v>
      </c>
      <c r="AO288" s="57" t="n">
        <f aca="false">AL288*F288</f>
        <v>609.04</v>
      </c>
      <c r="AP288" s="57" t="n">
        <f aca="false">ROUNDUP(MAX(I288/IF(BV288&gt;0,BV288,MAX(0.1,N(Cockpit!$I$6))),BY288)/BQ288,0)*BQ288</f>
        <v>4</v>
      </c>
      <c r="AQ288" s="58" t="n">
        <f aca="false">IF(AN288&gt;0,I288/AN288,-1)</f>
        <v>132</v>
      </c>
      <c r="AR288" s="58" t="n">
        <f aca="false">IF(AND(OR(BU288="L1",BU288="L23"),AN288&gt;0),SUMIFS($AN$7:$AN$1576,$BU$7:$BU$1576,BU288,$AQ$7:$AQ$1576,"&gt;"&amp;AQ288)+SUMIFS($AN$7:$AN$1576,$BU$7:$BU$1576,BU288,$AQ$7:$AQ$1576,AQ288,$BO$7:$BO$1576,"&lt;="&amp;BO288),"")</f>
        <v>60.0631329181441</v>
      </c>
      <c r="AS288" s="65" t="n">
        <f aca="false">IF(AR288="",0,MAX(0,MIN(1,(IF(BU288="L1",Parameter!$E$5,Parameter!$E$6+Parameter!$E$7)-(AR288-AN288))/AN288)))</f>
        <v>1</v>
      </c>
      <c r="AT288" s="57" t="n">
        <f aca="false">IF(LEFT(Cockpit!$O$5,1)="A",G288,IF(BW288=1,BX288,IF(LEFT(Cockpit!$O$5,1)="B",AX288,MAX(AX288,G288))))</f>
        <v>4</v>
      </c>
      <c r="AU288" s="57" t="n">
        <f aca="false">IF(BR288=1,0,ROUNDUP(AT288/BQ288,0))</f>
        <v>1</v>
      </c>
      <c r="AV288" s="59" t="n">
        <f aca="false">IF(CD288&gt;0,CD288*MAX(1,AT288/V288),IF(BR288=1,IF(AT288&lt;=0,0,BS288*MAX(1,IF(G288&gt;0,AT288/G288,1))),IF(Q288&gt;0,AU288/Q288,0))/MAX(0.1,N(Parameter!$M$21)))</f>
        <v>0.00757575757575758</v>
      </c>
      <c r="AW288" s="57" t="n">
        <f aca="false">AT288*F288</f>
        <v>609.04</v>
      </c>
      <c r="AX288" s="57" t="n">
        <f aca="false">ROUNDUP(MAX(I288/IF(BV288&gt;0,BV288,MAX(0.1,N(Cockpit!$O$6))),BY288)/BQ288,0)*BQ288</f>
        <v>4</v>
      </c>
      <c r="AY288" s="58" t="n">
        <f aca="false">IF(AV288&gt;0,I288/AV288,-1)</f>
        <v>132</v>
      </c>
      <c r="AZ288" s="58" t="n">
        <f aca="false">IF(AND(OR(BU288="L1",BU288="L23"),AV288&gt;0),SUMIFS($AV$7:$AV$1576,$BU$7:$BU$1576,BU288,$AY$7:$AY$1576,"&gt;"&amp;AY288)+SUMIFS($AV$7:$AV$1576,$BU$7:$BU$1576,BU288,$AY$7:$AY$1576,AY288,$BO$7:$BO$1576,"&lt;="&amp;BO288),"")</f>
        <v>54.7256000343612</v>
      </c>
      <c r="BA288" s="65" t="n">
        <f aca="false">IF(AZ288="",0,MAX(0,MIN(1,(IF(BU288="L1",Parameter!$E$5,Parameter!$E$6+Parameter!$E$7)-(AZ288-AV288))/AV288)))</f>
        <v>1</v>
      </c>
      <c r="BB288" s="55" t="str">
        <f aca="false">IF(AF288&lt;=0,"",IF(BU288="Aussen","Aussenlager",IF(BU288="-","Nicht im Lift",IF(AK288&gt;=1,"Lift",IF(AK288&lt;=0,"Aussenlager","teilweise")))))</f>
        <v>Lift</v>
      </c>
      <c r="BC288" s="55" t="str">
        <f aca="false">IF(AN288&lt;=0,"",IF(BU288="Aussen","Aussenlager",IF(BU288="-","Nicht im Lift",IF(AS288&gt;=1,"Lift",IF(AS288&lt;=0,"Aussenlager","teilweise")))))</f>
        <v>Lift</v>
      </c>
      <c r="BD288" s="55" t="str">
        <f aca="false">IF(AV288&lt;=0,"",IF(BU288="Aussen","Aussenlager",IF(BU288="-","Nicht im Lift",IF(BA288&gt;=1,"Lift",IF(BA288&lt;=0,"Aussenlager","teilweise")))))</f>
        <v>Lift</v>
      </c>
      <c r="BE288" s="55" t="str">
        <f aca="false">IF(A288="","",IF(BN288=1,"Neu; ","")&amp;IF(AND(BN288=0,BI288&lt;0),"negativer Bestand (Export "&amp;BI288&amp;"); ","")&amp;IF(I288&lt;=0,"Kein Verbrauch; ","")&amp;IF(CD288&gt;0,"Lift "&amp;U288&amp;" lt. Liftbericht (Fach "&amp;V288&amp;" Stk); ",IF(BR288=1,"Lose – Fläche geschätzt; ",""))&amp;IF(G288&gt;AP288,"Überbestand "&amp;ROUND(G288-AP288,0)&amp;" Stk / CHF "&amp;ROUND((G288-AP288)*F288,0)&amp;"; ","")&amp;IF(AND(BW288=1,BX288&lt;BY288),"MAX &lt; MB+LG; ","")&amp;IF(AND(CC288&gt;0,CB288*10&gt;CC288),"zu hoch für Tablar; ","")&amp;IF(AND(BN288=0,OR(BW288=1,Y288&lt;&gt;"",S288&lt;&gt;"",T288&lt;&gt;"",Z288&lt;&gt;"")),"manuell übersteuert; ","")&amp;IF(AND(BR288=0,Q288=0),"Gebinde unbekannt / Stellmass fehlt; ","")&amp;IF(AND(BR288=0,N(T288)&lt;=0,N(P288)&lt;=0),"Menge pro Gebinde fehlt (Ist = 1 Gebinde); ","")&amp;BM288)</f>
        <v/>
      </c>
      <c r="BF288" s="55"/>
      <c r="BG288" s="55"/>
      <c r="BH288" s="62"/>
      <c r="BI288" s="57" t="n">
        <v>2</v>
      </c>
      <c r="BJ288" s="57" t="n">
        <v>2</v>
      </c>
      <c r="BK288" s="56" t="n">
        <v>322.92</v>
      </c>
      <c r="BL288" s="57" t="n">
        <v>1</v>
      </c>
      <c r="BM288" s="55"/>
      <c r="BN288" s="60" t="n">
        <v>0</v>
      </c>
      <c r="BO288" s="60" t="n">
        <v>288</v>
      </c>
      <c r="BP288" s="55" t="str">
        <f aca="false">IF(S288&lt;&gt;"",UPPER(TRIM(S288)),IF(O288="","LOSE",O288))</f>
        <v>S32</v>
      </c>
      <c r="BQ288" s="57" t="n">
        <f aca="false">IF(BP288="LOSE",1,IF(N(T288)&gt;0,T288,IF(N(P288)&gt;0,P288,MAX(1,G288))))</f>
        <v>4</v>
      </c>
      <c r="BR288" s="60" t="n">
        <f aca="false">IF(BP288="LOSE",1,0)</f>
        <v>0</v>
      </c>
      <c r="BS288" s="59" t="n">
        <f aca="false">IF(BR288=0,0,IF(N(R288)&gt;0,R288,IFERROR(VLOOKUP(D288,Parameter!$A$35:$C$64,3,0)+0,0)))</f>
        <v>0</v>
      </c>
      <c r="BT288" s="55" t="n">
        <f aca="false">IF(Y288&lt;&gt;"",Y288,X288)</f>
        <v>3</v>
      </c>
      <c r="BU288" s="55" t="str">
        <f aca="false">IF(BT288=1,"L1",IF(OR(BT288=2,BT288=3),"L23",IF(BT288="Aussen","Aussen","-")))</f>
        <v>L23</v>
      </c>
      <c r="BV288" s="66" t="n">
        <f aca="false">IF(N(Z288)&gt;0,Z288,0)</f>
        <v>0</v>
      </c>
      <c r="BW288" s="60" t="n">
        <f aca="false">IF(ISNUMBER(AC288),1,0)</f>
        <v>0</v>
      </c>
      <c r="BX288" s="57" t="n">
        <f aca="false">N(AC288)</f>
        <v>0</v>
      </c>
      <c r="BY288" s="57" t="n">
        <f aca="false">N(L288)+N(M288)</f>
        <v>1</v>
      </c>
      <c r="BZ288" s="57" t="n">
        <f aca="false">ROUNDUP(G288/BQ288,0)</f>
        <v>1</v>
      </c>
      <c r="CA288" s="57" t="n">
        <f aca="false">ROUNDUP(BX288/BQ288,0)</f>
        <v>0</v>
      </c>
      <c r="CB288" s="60" t="n">
        <f aca="false">IF(BR288=1,0,IFERROR(VLOOKUP(BP288,'Gebinde-Kategorie'!$A$5:$M$45,5,0)+0,0))</f>
        <v>8</v>
      </c>
      <c r="CC288" s="60" t="n">
        <f aca="false">IFERROR(IF(OR(BT288=1,BT288=2,BT288=3),N(INDEX(Parameter!$I$5:$I$7,BT288)),0),0)</f>
        <v>0</v>
      </c>
      <c r="CD288" s="59" t="n">
        <f aca="false">IF(AND(Parameter!$B$21="Ja",ISNUMBER(U288),N(V288)&gt;0),IFERROR(N(INDEX(Parameter!$L$5:$L$7,U288))*INDEX(Parameter!$E$5:$E$7,U288)*V288/SUMIFS($V$7:$V$1576,$U$7:$U$1576,U288),0),0)</f>
        <v>0</v>
      </c>
    </row>
    <row r="289" customFormat="false" ht="15" hidden="false" customHeight="false" outlineLevel="0" collapsed="false">
      <c r="A289" s="55" t="s">
        <v>739</v>
      </c>
      <c r="B289" s="55" t="s">
        <v>740</v>
      </c>
      <c r="C289" s="55" t="s">
        <v>160</v>
      </c>
      <c r="D289" s="55" t="s">
        <v>178</v>
      </c>
      <c r="E289" s="55" t="s">
        <v>210</v>
      </c>
      <c r="F289" s="56" t="n">
        <v>11.14</v>
      </c>
      <c r="G289" s="57" t="n">
        <f aca="false">MAX(0,IF(AND(Parameter!$B$21="Ja",ISNUMBER(W289)),W289,IF(Parameter!$B$20="Jahresanfang 2025 + Export",BJ289+BI289,BI289)))</f>
        <v>29</v>
      </c>
      <c r="H289" s="57" t="n">
        <f aca="false">G289*F289</f>
        <v>323.06</v>
      </c>
      <c r="I289" s="57" t="n">
        <f aca="false">BL289*Parameter!$B$18</f>
        <v>5</v>
      </c>
      <c r="J289" s="58" t="n">
        <v>5</v>
      </c>
      <c r="K289" s="59" t="n">
        <v>1</v>
      </c>
      <c r="L289" s="57" t="n">
        <v>0</v>
      </c>
      <c r="M289" s="57" t="n">
        <v>5</v>
      </c>
      <c r="N289" s="60" t="n">
        <v>14</v>
      </c>
      <c r="O289" s="55" t="s">
        <v>411</v>
      </c>
      <c r="P289" s="57" t="n">
        <v>11</v>
      </c>
      <c r="Q289" s="60" t="n">
        <f aca="false">IF(BR289=1,0,IFERROR(VLOOKUP(BP289,'Gebinde-Kategorie'!$A$5:$M$45,13,0)+0,0))</f>
        <v>132</v>
      </c>
      <c r="R289" s="61"/>
      <c r="S289" s="62"/>
      <c r="T289" s="62"/>
      <c r="U289" s="55"/>
      <c r="V289" s="57"/>
      <c r="W289" s="57"/>
      <c r="X289" s="55" t="n">
        <f aca="false">IF(A289="","",IF(AND(Parameter!$B$21="Ja",ISNUMBER(U289)),U289,IF(IFERROR(VLOOKUP(D289,Parameter!$A$35:$C$64,2,0),"Nein")="2+3",IF(ISNUMBER(SEARCH("grosser Artikel",BM289)),2,IFERROR(VLOOKUP(BP289,Parameter!$F$35:$G$64,2,0),2)),IF(OR(IFERROR(VLOOKUP(D289,Parameter!$A$35:$C$64,2,0),"Nein")="Nein",IFERROR(VLOOKUP(D289,Parameter!$A$35:$C$64,2,0),"Nein")=""),"-",VLOOKUP(D289,Parameter!$A$35:$C$64,2,0)))))</f>
        <v>3</v>
      </c>
      <c r="Y289" s="62"/>
      <c r="Z289" s="63"/>
      <c r="AA289" s="57" t="n">
        <f aca="false">AP289</f>
        <v>11</v>
      </c>
      <c r="AB289" s="57" t="n">
        <f aca="false">MAX(AP289,G289)</f>
        <v>29</v>
      </c>
      <c r="AC289" s="64"/>
      <c r="AD289" s="57" t="n">
        <f aca="false">IF(LEFT(Cockpit!$C$5,1)="A",G289,IF(BW289=1,BX289,IF(LEFT(Cockpit!$C$5,1)="B",AH289,MAX(AH289,G289))))</f>
        <v>29</v>
      </c>
      <c r="AE289" s="57" t="n">
        <f aca="false">IF(BR289=1,0,ROUNDUP(AD289/BQ289,0))</f>
        <v>3</v>
      </c>
      <c r="AF289" s="59" t="n">
        <f aca="false">IF(CD289&gt;0,CD289*MAX(1,AD289/V289),IF(BR289=1,IF(AD289&lt;=0,0,BS289*MAX(1,IF(G289&gt;0,AD289/G289,1))),IF(Q289&gt;0,AE289/Q289,0))/MAX(0.1,N(Parameter!$M$21)))</f>
        <v>0.0227272727272727</v>
      </c>
      <c r="AG289" s="57" t="n">
        <f aca="false">AD289*F289</f>
        <v>323.06</v>
      </c>
      <c r="AH289" s="57" t="n">
        <f aca="false">ROUNDUP(MAX(I289/IF(BV289&gt;0,BV289,MAX(0.1,N(Cockpit!$C$6))),BY289)/BQ289,0)*BQ289</f>
        <v>11</v>
      </c>
      <c r="AI289" s="58" t="n">
        <f aca="false">IF(AF289&gt;0,I289/AF289,-1)</f>
        <v>220</v>
      </c>
      <c r="AJ289" s="58" t="n">
        <f aca="false">IF(AND(OR(BU289="L1",BU289="L23"),AF289&gt;0),SUMIFS($AF$7:$AF$1576,$BU$7:$BU$1576,BU289,$AI$7:$AI$1576,"&gt;"&amp;AI289)+SUMIFS($AF$7:$AF$1576,$BU$7:$BU$1576,BU289,$AI$7:$AI$1576,AI289,$BO$7:$BO$1576,"&lt;="&amp;BO289),"")</f>
        <v>16.7705384953211</v>
      </c>
      <c r="AK289" s="65" t="n">
        <f aca="false">IF(AJ289="",0,MAX(0,MIN(1,(IF(BU289="L1",Parameter!$E$5,Parameter!$E$6+Parameter!$E$7)-(AJ289-AF289))/AF289)))</f>
        <v>1</v>
      </c>
      <c r="AL289" s="57" t="n">
        <f aca="false">IF(LEFT(Cockpit!$I$5,1)="A",G289,IF(BW289=1,BX289,IF(LEFT(Cockpit!$I$5,1)="B",AP289,MAX(AP289,G289))))</f>
        <v>29</v>
      </c>
      <c r="AM289" s="57" t="n">
        <f aca="false">IF(BR289=1,0,ROUNDUP(AL289/BQ289,0))</f>
        <v>3</v>
      </c>
      <c r="AN289" s="59" t="n">
        <f aca="false">IF(CD289&gt;0,CD289*MAX(1,AL289/V289),IF(BR289=1,IF(AL289&lt;=0,0,BS289*MAX(1,IF(G289&gt;0,AL289/G289,1))),IF(Q289&gt;0,AM289/Q289,0))/MAX(0.1,N(Parameter!$M$21)))</f>
        <v>0.0227272727272727</v>
      </c>
      <c r="AO289" s="57" t="n">
        <f aca="false">AL289*F289</f>
        <v>323.06</v>
      </c>
      <c r="AP289" s="57" t="n">
        <f aca="false">ROUNDUP(MAX(I289/IF(BV289&gt;0,BV289,MAX(0.1,N(Cockpit!$I$6))),BY289)/BQ289,0)*BQ289</f>
        <v>11</v>
      </c>
      <c r="AQ289" s="58" t="n">
        <f aca="false">IF(AN289&gt;0,I289/AN289,-1)</f>
        <v>220</v>
      </c>
      <c r="AR289" s="58" t="n">
        <f aca="false">IF(AND(OR(BU289="L1",BU289="L23"),AN289&gt;0),SUMIFS($AN$7:$AN$1576,$BU$7:$BU$1576,BU289,$AQ$7:$AQ$1576,"&gt;"&amp;AQ289)+SUMIFS($AN$7:$AN$1576,$BU$7:$BU$1576,BU289,$AQ$7:$AQ$1576,AQ289,$BO$7:$BO$1576,"&lt;="&amp;BO289),"")</f>
        <v>47.8647915976288</v>
      </c>
      <c r="AS289" s="65" t="n">
        <f aca="false">IF(AR289="",0,MAX(0,MIN(1,(IF(BU289="L1",Parameter!$E$5,Parameter!$E$6+Parameter!$E$7)-(AR289-AN289))/AN289)))</f>
        <v>1</v>
      </c>
      <c r="AT289" s="57" t="n">
        <f aca="false">IF(LEFT(Cockpit!$O$5,1)="A",G289,IF(BW289=1,BX289,IF(LEFT(Cockpit!$O$5,1)="B",AX289,MAX(AX289,G289))))</f>
        <v>29</v>
      </c>
      <c r="AU289" s="57" t="n">
        <f aca="false">IF(BR289=1,0,ROUNDUP(AT289/BQ289,0))</f>
        <v>3</v>
      </c>
      <c r="AV289" s="59" t="n">
        <f aca="false">IF(CD289&gt;0,CD289*MAX(1,AT289/V289),IF(BR289=1,IF(AT289&lt;=0,0,BS289*MAX(1,IF(G289&gt;0,AT289/G289,1))),IF(Q289&gt;0,AU289/Q289,0))/MAX(0.1,N(Parameter!$M$21)))</f>
        <v>0.0227272727272727</v>
      </c>
      <c r="AW289" s="57" t="n">
        <f aca="false">AT289*F289</f>
        <v>323.06</v>
      </c>
      <c r="AX289" s="57" t="n">
        <f aca="false">ROUNDUP(MAX(I289/IF(BV289&gt;0,BV289,MAX(0.1,N(Cockpit!$O$6))),BY289)/BQ289,0)*BQ289</f>
        <v>11</v>
      </c>
      <c r="AY289" s="58" t="n">
        <f aca="false">IF(AV289&gt;0,I289/AV289,-1)</f>
        <v>220</v>
      </c>
      <c r="AZ289" s="58" t="n">
        <f aca="false">IF(AND(OR(BU289="L1",BU289="L23"),AV289&gt;0),SUMIFS($AV$7:$AV$1576,$BU$7:$BU$1576,BU289,$AY$7:$AY$1576,"&gt;"&amp;AY289)+SUMIFS($AV$7:$AV$1576,$BU$7:$BU$1576,BU289,$AY$7:$AY$1576,AY289,$BO$7:$BO$1576,"&lt;="&amp;BO289),"")</f>
        <v>45.1443853372226</v>
      </c>
      <c r="BA289" s="65" t="n">
        <f aca="false">IF(AZ289="",0,MAX(0,MIN(1,(IF(BU289="L1",Parameter!$E$5,Parameter!$E$6+Parameter!$E$7)-(AZ289-AV289))/AV289)))</f>
        <v>1</v>
      </c>
      <c r="BB289" s="55" t="str">
        <f aca="false">IF(AF289&lt;=0,"",IF(BU289="Aussen","Aussenlager",IF(BU289="-","Nicht im Lift",IF(AK289&gt;=1,"Lift",IF(AK289&lt;=0,"Aussenlager","teilweise")))))</f>
        <v>Lift</v>
      </c>
      <c r="BC289" s="55" t="str">
        <f aca="false">IF(AN289&lt;=0,"",IF(BU289="Aussen","Aussenlager",IF(BU289="-","Nicht im Lift",IF(AS289&gt;=1,"Lift",IF(AS289&lt;=0,"Aussenlager","teilweise")))))</f>
        <v>Lift</v>
      </c>
      <c r="BD289" s="55" t="str">
        <f aca="false">IF(AV289&lt;=0,"",IF(BU289="Aussen","Aussenlager",IF(BU289="-","Nicht im Lift",IF(BA289&gt;=1,"Lift",IF(BA289&lt;=0,"Aussenlager","teilweise")))))</f>
        <v>Lift</v>
      </c>
      <c r="BE289" s="55" t="str">
        <f aca="false">IF(A289="","",IF(BN289=1,"Neu; ","")&amp;IF(AND(BN289=0,BI289&lt;0),"negativer Bestand (Export "&amp;BI289&amp;"); ","")&amp;IF(I289&lt;=0,"Kein Verbrauch; ","")&amp;IF(CD289&gt;0,"Lift "&amp;U289&amp;" lt. Liftbericht (Fach "&amp;V289&amp;" Stk); ",IF(BR289=1,"Lose – Fläche geschätzt; ",""))&amp;IF(G289&gt;AP289,"Überbestand "&amp;ROUND(G289-AP289,0)&amp;" Stk / CHF "&amp;ROUND((G289-AP289)*F289,0)&amp;"; ","")&amp;IF(AND(BW289=1,BX289&lt;BY289),"MAX &lt; MB+LG; ","")&amp;IF(AND(CC289&gt;0,CB289*10&gt;CC289),"zu hoch für Tablar; ","")&amp;IF(AND(BN289=0,OR(BW289=1,Y289&lt;&gt;"",S289&lt;&gt;"",T289&lt;&gt;"",Z289&lt;&gt;"")),"manuell übersteuert; ","")&amp;IF(AND(BR289=0,Q289=0),"Gebinde unbekannt / Stellmass fehlt; ","")&amp;IF(AND(BR289=0,N(T289)&lt;=0,N(P289)&lt;=0),"Menge pro Gebinde fehlt (Ist = 1 Gebinde); ","")&amp;BM289)</f>
        <v>Überbestand 18 Stk / CHF 201; </v>
      </c>
      <c r="BF289" s="55"/>
      <c r="BG289" s="55"/>
      <c r="BH289" s="62"/>
      <c r="BI289" s="57" t="n">
        <v>29</v>
      </c>
      <c r="BJ289" s="57" t="n">
        <v>5</v>
      </c>
      <c r="BK289" s="56" t="n">
        <v>310.91</v>
      </c>
      <c r="BL289" s="57" t="n">
        <v>5</v>
      </c>
      <c r="BM289" s="55"/>
      <c r="BN289" s="60" t="n">
        <v>0</v>
      </c>
      <c r="BO289" s="60" t="n">
        <v>289</v>
      </c>
      <c r="BP289" s="55" t="str">
        <f aca="false">IF(S289&lt;&gt;"",UPPER(TRIM(S289)),IF(O289="","LOSE",O289))</f>
        <v>S32</v>
      </c>
      <c r="BQ289" s="57" t="n">
        <f aca="false">IF(BP289="LOSE",1,IF(N(T289)&gt;0,T289,IF(N(P289)&gt;0,P289,MAX(1,G289))))</f>
        <v>11</v>
      </c>
      <c r="BR289" s="60" t="n">
        <f aca="false">IF(BP289="LOSE",1,0)</f>
        <v>0</v>
      </c>
      <c r="BS289" s="59" t="n">
        <f aca="false">IF(BR289=0,0,IF(N(R289)&gt;0,R289,IFERROR(VLOOKUP(D289,Parameter!$A$35:$C$64,3,0)+0,0)))</f>
        <v>0</v>
      </c>
      <c r="BT289" s="55" t="n">
        <f aca="false">IF(Y289&lt;&gt;"",Y289,X289)</f>
        <v>3</v>
      </c>
      <c r="BU289" s="55" t="str">
        <f aca="false">IF(BT289=1,"L1",IF(OR(BT289=2,BT289=3),"L23",IF(BT289="Aussen","Aussen","-")))</f>
        <v>L23</v>
      </c>
      <c r="BV289" s="66" t="n">
        <f aca="false">IF(N(Z289)&gt;0,Z289,0)</f>
        <v>0</v>
      </c>
      <c r="BW289" s="60" t="n">
        <f aca="false">IF(ISNUMBER(AC289),1,0)</f>
        <v>0</v>
      </c>
      <c r="BX289" s="57" t="n">
        <f aca="false">N(AC289)</f>
        <v>0</v>
      </c>
      <c r="BY289" s="57" t="n">
        <f aca="false">N(L289)+N(M289)</f>
        <v>5</v>
      </c>
      <c r="BZ289" s="57" t="n">
        <f aca="false">ROUNDUP(G289/BQ289,0)</f>
        <v>3</v>
      </c>
      <c r="CA289" s="57" t="n">
        <f aca="false">ROUNDUP(BX289/BQ289,0)</f>
        <v>0</v>
      </c>
      <c r="CB289" s="60" t="n">
        <f aca="false">IF(BR289=1,0,IFERROR(VLOOKUP(BP289,'Gebinde-Kategorie'!$A$5:$M$45,5,0)+0,0))</f>
        <v>8</v>
      </c>
      <c r="CC289" s="60" t="n">
        <f aca="false">IFERROR(IF(OR(BT289=1,BT289=2,BT289=3),N(INDEX(Parameter!$I$5:$I$7,BT289)),0),0)</f>
        <v>0</v>
      </c>
      <c r="CD289" s="59" t="n">
        <f aca="false">IF(AND(Parameter!$B$21="Ja",ISNUMBER(U289),N(V289)&gt;0),IFERROR(N(INDEX(Parameter!$L$5:$L$7,U289))*INDEX(Parameter!$E$5:$E$7,U289)*V289/SUMIFS($V$7:$V$1576,$U$7:$U$1576,U289),0),0)</f>
        <v>0</v>
      </c>
    </row>
    <row r="290" customFormat="false" ht="15" hidden="false" customHeight="false" outlineLevel="0" collapsed="false">
      <c r="A290" s="55" t="s">
        <v>741</v>
      </c>
      <c r="B290" s="55" t="s">
        <v>742</v>
      </c>
      <c r="C290" s="55" t="s">
        <v>160</v>
      </c>
      <c r="D290" s="55" t="s">
        <v>178</v>
      </c>
      <c r="E290" s="55" t="s">
        <v>210</v>
      </c>
      <c r="F290" s="56" t="n">
        <v>4.03</v>
      </c>
      <c r="G290" s="57" t="n">
        <f aca="false">MAX(0,IF(AND(Parameter!$B$21="Ja",ISNUMBER(W290)),W290,IF(Parameter!$B$20="Jahresanfang 2025 + Export",BJ290+BI290,BI290)))</f>
        <v>76</v>
      </c>
      <c r="H290" s="57" t="n">
        <f aca="false">G290*F290</f>
        <v>306.28</v>
      </c>
      <c r="I290" s="57" t="n">
        <f aca="false">BL290*Parameter!$B$18</f>
        <v>228</v>
      </c>
      <c r="J290" s="58" t="n">
        <v>92.5</v>
      </c>
      <c r="K290" s="59" t="n">
        <v>2.46486486486487</v>
      </c>
      <c r="L290" s="57" t="n">
        <v>17</v>
      </c>
      <c r="M290" s="57" t="n">
        <v>230</v>
      </c>
      <c r="N290" s="60" t="n">
        <v>28</v>
      </c>
      <c r="O290" s="55" t="s">
        <v>293</v>
      </c>
      <c r="P290" s="57" t="n">
        <v>76</v>
      </c>
      <c r="Q290" s="60" t="n">
        <f aca="false">IF(BR290=1,0,IFERROR(VLOOKUP(BP290,'Gebinde-Kategorie'!$A$5:$M$45,13,0)+0,0))</f>
        <v>26</v>
      </c>
      <c r="R290" s="61"/>
      <c r="S290" s="62"/>
      <c r="T290" s="62"/>
      <c r="U290" s="55"/>
      <c r="V290" s="57"/>
      <c r="W290" s="57"/>
      <c r="X290" s="55" t="n">
        <f aca="false">IF(A290="","",IF(AND(Parameter!$B$21="Ja",ISNUMBER(U290)),U290,IF(IFERROR(VLOOKUP(D290,Parameter!$A$35:$C$64,2,0),"Nein")="2+3",IF(ISNUMBER(SEARCH("grosser Artikel",BM290)),2,IFERROR(VLOOKUP(BP290,Parameter!$F$35:$G$64,2,0),2)),IF(OR(IFERROR(VLOOKUP(D290,Parameter!$A$35:$C$64,2,0),"Nein")="Nein",IFERROR(VLOOKUP(D290,Parameter!$A$35:$C$64,2,0),"Nein")=""),"-",VLOOKUP(D290,Parameter!$A$35:$C$64,2,0)))))</f>
        <v>3</v>
      </c>
      <c r="Y290" s="62"/>
      <c r="Z290" s="63"/>
      <c r="AA290" s="57" t="n">
        <f aca="false">AP290</f>
        <v>304</v>
      </c>
      <c r="AB290" s="57" t="n">
        <f aca="false">MAX(AP290,G290)</f>
        <v>304</v>
      </c>
      <c r="AC290" s="64"/>
      <c r="AD290" s="57" t="n">
        <f aca="false">IF(LEFT(Cockpit!$C$5,1)="A",G290,IF(BW290=1,BX290,IF(LEFT(Cockpit!$C$5,1)="B",AH290,MAX(AH290,G290))))</f>
        <v>76</v>
      </c>
      <c r="AE290" s="57" t="n">
        <f aca="false">IF(BR290=1,0,ROUNDUP(AD290/BQ290,0))</f>
        <v>1</v>
      </c>
      <c r="AF290" s="59" t="n">
        <f aca="false">IF(CD290&gt;0,CD290*MAX(1,AD290/V290),IF(BR290=1,IF(AD290&lt;=0,0,BS290*MAX(1,IF(G290&gt;0,AD290/G290,1))),IF(Q290&gt;0,AE290/Q290,0))/MAX(0.1,N(Parameter!$M$21)))</f>
        <v>0.0384615384615385</v>
      </c>
      <c r="AG290" s="57" t="n">
        <f aca="false">AD290*F290</f>
        <v>306.28</v>
      </c>
      <c r="AH290" s="57" t="n">
        <f aca="false">ROUNDUP(MAX(I290/IF(BV290&gt;0,BV290,MAX(0.1,N(Cockpit!$C$6))),BY290)/BQ290,0)*BQ290</f>
        <v>304</v>
      </c>
      <c r="AI290" s="58" t="n">
        <f aca="false">IF(AF290&gt;0,I290/AF290,-1)</f>
        <v>5928</v>
      </c>
      <c r="AJ290" s="58" t="n">
        <f aca="false">IF(AND(OR(BU290="L1",BU290="L23"),AF290&gt;0),SUMIFS($AF$7:$AF$1576,$BU$7:$BU$1576,BU290,$AI$7:$AI$1576,"&gt;"&amp;AI290)+SUMIFS($AF$7:$AF$1576,$BU$7:$BU$1576,BU290,$AI$7:$AI$1576,AI290,$BO$7:$BO$1576,"&lt;="&amp;BO290),"")</f>
        <v>3.60470389513868</v>
      </c>
      <c r="AK290" s="65" t="n">
        <f aca="false">IF(AJ290="",0,MAX(0,MIN(1,(IF(BU290="L1",Parameter!$E$5,Parameter!$E$6+Parameter!$E$7)-(AJ290-AF290))/AF290)))</f>
        <v>1</v>
      </c>
      <c r="AL290" s="57" t="n">
        <f aca="false">IF(LEFT(Cockpit!$I$5,1)="A",G290,IF(BW290=1,BX290,IF(LEFT(Cockpit!$I$5,1)="B",AP290,MAX(AP290,G290))))</f>
        <v>304</v>
      </c>
      <c r="AM290" s="57" t="n">
        <f aca="false">IF(BR290=1,0,ROUNDUP(AL290/BQ290,0))</f>
        <v>4</v>
      </c>
      <c r="AN290" s="59" t="n">
        <f aca="false">IF(CD290&gt;0,CD290*MAX(1,AL290/V290),IF(BR290=1,IF(AL290&lt;=0,0,BS290*MAX(1,IF(G290&gt;0,AL290/G290,1))),IF(Q290&gt;0,AM290/Q290,0))/MAX(0.1,N(Parameter!$M$21)))</f>
        <v>0.153846153846154</v>
      </c>
      <c r="AO290" s="57" t="n">
        <f aca="false">AL290*F290</f>
        <v>1225.12</v>
      </c>
      <c r="AP290" s="57" t="n">
        <f aca="false">ROUNDUP(MAX(I290/IF(BV290&gt;0,BV290,MAX(0.1,N(Cockpit!$I$6))),BY290)/BQ290,0)*BQ290</f>
        <v>304</v>
      </c>
      <c r="AQ290" s="58" t="n">
        <f aca="false">IF(AN290&gt;0,I290/AN290,-1)</f>
        <v>1482</v>
      </c>
      <c r="AR290" s="58" t="n">
        <f aca="false">IF(AND(OR(BU290="L1",BU290="L23"),AN290&gt;0),SUMIFS($AN$7:$AN$1576,$BU$7:$BU$1576,BU290,$AQ$7:$AQ$1576,"&gt;"&amp;AQ290)+SUMIFS($AN$7:$AN$1576,$BU$7:$BU$1576,BU290,$AQ$7:$AQ$1576,AQ290,$BO$7:$BO$1576,"&lt;="&amp;BO290),"")</f>
        <v>19.3729252031538</v>
      </c>
      <c r="AS290" s="65" t="n">
        <f aca="false">IF(AR290="",0,MAX(0,MIN(1,(IF(BU290="L1",Parameter!$E$5,Parameter!$E$6+Parameter!$E$7)-(AR290-AN290))/AN290)))</f>
        <v>1</v>
      </c>
      <c r="AT290" s="57" t="n">
        <f aca="false">IF(LEFT(Cockpit!$O$5,1)="A",G290,IF(BW290=1,BX290,IF(LEFT(Cockpit!$O$5,1)="B",AX290,MAX(AX290,G290))))</f>
        <v>304</v>
      </c>
      <c r="AU290" s="57" t="n">
        <f aca="false">IF(BR290=1,0,ROUNDUP(AT290/BQ290,0))</f>
        <v>4</v>
      </c>
      <c r="AV290" s="59" t="n">
        <f aca="false">IF(CD290&gt;0,CD290*MAX(1,AT290/V290),IF(BR290=1,IF(AT290&lt;=0,0,BS290*MAX(1,IF(G290&gt;0,AT290/G290,1))),IF(Q290&gt;0,AU290/Q290,0))/MAX(0.1,N(Parameter!$M$21)))</f>
        <v>0.153846153846154</v>
      </c>
      <c r="AW290" s="57" t="n">
        <f aca="false">AT290*F290</f>
        <v>1225.12</v>
      </c>
      <c r="AX290" s="57" t="n">
        <f aca="false">ROUNDUP(MAX(I290/IF(BV290&gt;0,BV290,MAX(0.1,N(Cockpit!$O$6))),BY290)/BQ290,0)*BQ290</f>
        <v>304</v>
      </c>
      <c r="AY290" s="58" t="n">
        <f aca="false">IF(AV290&gt;0,I290/AV290,-1)</f>
        <v>1482</v>
      </c>
      <c r="AZ290" s="58" t="n">
        <f aca="false">IF(AND(OR(BU290="L1",BU290="L23"),AV290&gt;0),SUMIFS($AV$7:$AV$1576,$BU$7:$BU$1576,BU290,$AY$7:$AY$1576,"&gt;"&amp;AY290)+SUMIFS($AV$7:$AV$1576,$BU$7:$BU$1576,BU290,$AY$7:$AY$1576,AY290,$BO$7:$BO$1576,"&lt;="&amp;BO290),"")</f>
        <v>18.3501979304265</v>
      </c>
      <c r="BA290" s="65" t="n">
        <f aca="false">IF(AZ290="",0,MAX(0,MIN(1,(IF(BU290="L1",Parameter!$E$5,Parameter!$E$6+Parameter!$E$7)-(AZ290-AV290))/AV290)))</f>
        <v>1</v>
      </c>
      <c r="BB290" s="55" t="str">
        <f aca="false">IF(AF290&lt;=0,"",IF(BU290="Aussen","Aussenlager",IF(BU290="-","Nicht im Lift",IF(AK290&gt;=1,"Lift",IF(AK290&lt;=0,"Aussenlager","teilweise")))))</f>
        <v>Lift</v>
      </c>
      <c r="BC290" s="55" t="str">
        <f aca="false">IF(AN290&lt;=0,"",IF(BU290="Aussen","Aussenlager",IF(BU290="-","Nicht im Lift",IF(AS290&gt;=1,"Lift",IF(AS290&lt;=0,"Aussenlager","teilweise")))))</f>
        <v>Lift</v>
      </c>
      <c r="BD290" s="55" t="str">
        <f aca="false">IF(AV290&lt;=0,"",IF(BU290="Aussen","Aussenlager",IF(BU290="-","Nicht im Lift",IF(BA290&gt;=1,"Lift",IF(BA290&lt;=0,"Aussenlager","teilweise")))))</f>
        <v>Lift</v>
      </c>
      <c r="BE290" s="55" t="str">
        <f aca="false">IF(A290="","",IF(BN290=1,"Neu; ","")&amp;IF(AND(BN290=0,BI290&lt;0),"negativer Bestand (Export "&amp;BI290&amp;"); ","")&amp;IF(I290&lt;=0,"Kein Verbrauch; ","")&amp;IF(CD290&gt;0,"Lift "&amp;U290&amp;" lt. Liftbericht (Fach "&amp;V290&amp;" Stk); ",IF(BR290=1,"Lose – Fläche geschätzt; ",""))&amp;IF(G290&gt;AP290,"Überbestand "&amp;ROUND(G290-AP290,0)&amp;" Stk / CHF "&amp;ROUND((G290-AP290)*F290,0)&amp;"; ","")&amp;IF(AND(BW290=1,BX290&lt;BY290),"MAX &lt; MB+LG; ","")&amp;IF(AND(CC290&gt;0,CB290*10&gt;CC290),"zu hoch für Tablar; ","")&amp;IF(AND(BN290=0,OR(BW290=1,Y290&lt;&gt;"",S290&lt;&gt;"",T290&lt;&gt;"",Z290&lt;&gt;"")),"manuell übersteuert; ","")&amp;IF(AND(BR290=0,Q290=0),"Gebinde unbekannt / Stellmass fehlt; ","")&amp;IF(AND(BR290=0,N(T290)&lt;=0,N(P290)&lt;=0),"Menge pro Gebinde fehlt (Ist = 1 Gebinde); ","")&amp;BM290)</f>
        <v/>
      </c>
      <c r="BF290" s="55"/>
      <c r="BG290" s="55"/>
      <c r="BH290" s="62"/>
      <c r="BI290" s="57" t="n">
        <v>76</v>
      </c>
      <c r="BJ290" s="57" t="n">
        <v>57</v>
      </c>
      <c r="BK290" s="56" t="n">
        <v>307.99</v>
      </c>
      <c r="BL290" s="57" t="n">
        <v>228</v>
      </c>
      <c r="BM290" s="55"/>
      <c r="BN290" s="60" t="n">
        <v>0</v>
      </c>
      <c r="BO290" s="60" t="n">
        <v>290</v>
      </c>
      <c r="BP290" s="55" t="str">
        <f aca="false">IF(S290&lt;&gt;"",UPPER(TRIM(S290)),IF(O290="","LOSE",O290))</f>
        <v>S51</v>
      </c>
      <c r="BQ290" s="57" t="n">
        <f aca="false">IF(BP290="LOSE",1,IF(N(T290)&gt;0,T290,IF(N(P290)&gt;0,P290,MAX(1,G290))))</f>
        <v>76</v>
      </c>
      <c r="BR290" s="60" t="n">
        <f aca="false">IF(BP290="LOSE",1,0)</f>
        <v>0</v>
      </c>
      <c r="BS290" s="59" t="n">
        <f aca="false">IF(BR290=0,0,IF(N(R290)&gt;0,R290,IFERROR(VLOOKUP(D290,Parameter!$A$35:$C$64,3,0)+0,0)))</f>
        <v>0</v>
      </c>
      <c r="BT290" s="55" t="n">
        <f aca="false">IF(Y290&lt;&gt;"",Y290,X290)</f>
        <v>3</v>
      </c>
      <c r="BU290" s="55" t="str">
        <f aca="false">IF(BT290=1,"L1",IF(OR(BT290=2,BT290=3),"L23",IF(BT290="Aussen","Aussen","-")))</f>
        <v>L23</v>
      </c>
      <c r="BV290" s="66" t="n">
        <f aca="false">IF(N(Z290)&gt;0,Z290,0)</f>
        <v>0</v>
      </c>
      <c r="BW290" s="60" t="n">
        <f aca="false">IF(ISNUMBER(AC290),1,0)</f>
        <v>0</v>
      </c>
      <c r="BX290" s="57" t="n">
        <f aca="false">N(AC290)</f>
        <v>0</v>
      </c>
      <c r="BY290" s="57" t="n">
        <f aca="false">N(L290)+N(M290)</f>
        <v>247</v>
      </c>
      <c r="BZ290" s="57" t="n">
        <f aca="false">ROUNDUP(G290/BQ290,0)</f>
        <v>1</v>
      </c>
      <c r="CA290" s="57" t="n">
        <f aca="false">ROUNDUP(BX290/BQ290,0)</f>
        <v>0</v>
      </c>
      <c r="CB290" s="60" t="n">
        <f aca="false">IF(BR290=1,0,IFERROR(VLOOKUP(BP290,'Gebinde-Kategorie'!$A$5:$M$45,5,0)+0,0))</f>
        <v>11</v>
      </c>
      <c r="CC290" s="60" t="n">
        <f aca="false">IFERROR(IF(OR(BT290=1,BT290=2,BT290=3),N(INDEX(Parameter!$I$5:$I$7,BT290)),0),0)</f>
        <v>0</v>
      </c>
      <c r="CD290" s="59" t="n">
        <f aca="false">IF(AND(Parameter!$B$21="Ja",ISNUMBER(U290),N(V290)&gt;0),IFERROR(N(INDEX(Parameter!$L$5:$L$7,U290))*INDEX(Parameter!$E$5:$E$7,U290)*V290/SUMIFS($V$7:$V$1576,$U$7:$U$1576,U290),0),0)</f>
        <v>0</v>
      </c>
    </row>
    <row r="291" customFormat="false" ht="15" hidden="false" customHeight="false" outlineLevel="0" collapsed="false">
      <c r="A291" s="55" t="s">
        <v>743</v>
      </c>
      <c r="B291" s="55" t="s">
        <v>744</v>
      </c>
      <c r="C291" s="55" t="s">
        <v>160</v>
      </c>
      <c r="D291" s="55" t="s">
        <v>178</v>
      </c>
      <c r="E291" s="55" t="s">
        <v>210</v>
      </c>
      <c r="F291" s="56" t="n">
        <v>138.11</v>
      </c>
      <c r="G291" s="57" t="n">
        <f aca="false">MAX(0,IF(AND(Parameter!$B$21="Ja",ISNUMBER(W291)),W291,IF(Parameter!$B$20="Jahresanfang 2025 + Export",BJ291+BI291,BI291)))</f>
        <v>2</v>
      </c>
      <c r="H291" s="57" t="n">
        <f aca="false">G291*F291</f>
        <v>276.22</v>
      </c>
      <c r="I291" s="57" t="n">
        <f aca="false">BL291*Parameter!$B$18</f>
        <v>3</v>
      </c>
      <c r="J291" s="58" t="n">
        <v>6.5</v>
      </c>
      <c r="K291" s="59" t="n">
        <v>0.461538461538462</v>
      </c>
      <c r="L291" s="57" t="n">
        <v>0</v>
      </c>
      <c r="M291" s="57" t="n">
        <v>5</v>
      </c>
      <c r="N291" s="60" t="n">
        <v>35</v>
      </c>
      <c r="O291" s="55" t="s">
        <v>411</v>
      </c>
      <c r="P291" s="57" t="n">
        <v>8</v>
      </c>
      <c r="Q291" s="60" t="n">
        <f aca="false">IF(BR291=1,0,IFERROR(VLOOKUP(BP291,'Gebinde-Kategorie'!$A$5:$M$45,13,0)+0,0))</f>
        <v>132</v>
      </c>
      <c r="R291" s="61"/>
      <c r="S291" s="62"/>
      <c r="T291" s="62"/>
      <c r="U291" s="55"/>
      <c r="V291" s="57"/>
      <c r="W291" s="57"/>
      <c r="X291" s="55" t="n">
        <f aca="false">IF(A291="","",IF(AND(Parameter!$B$21="Ja",ISNUMBER(U291)),U291,IF(IFERROR(VLOOKUP(D291,Parameter!$A$35:$C$64,2,0),"Nein")="2+3",IF(ISNUMBER(SEARCH("grosser Artikel",BM291)),2,IFERROR(VLOOKUP(BP291,Parameter!$F$35:$G$64,2,0),2)),IF(OR(IFERROR(VLOOKUP(D291,Parameter!$A$35:$C$64,2,0),"Nein")="Nein",IFERROR(VLOOKUP(D291,Parameter!$A$35:$C$64,2,0),"Nein")=""),"-",VLOOKUP(D291,Parameter!$A$35:$C$64,2,0)))))</f>
        <v>3</v>
      </c>
      <c r="Y291" s="62"/>
      <c r="Z291" s="63"/>
      <c r="AA291" s="57" t="n">
        <f aca="false">AP291</f>
        <v>8</v>
      </c>
      <c r="AB291" s="57" t="n">
        <f aca="false">MAX(AP291,G291)</f>
        <v>8</v>
      </c>
      <c r="AC291" s="64"/>
      <c r="AD291" s="57" t="n">
        <f aca="false">IF(LEFT(Cockpit!$C$5,1)="A",G291,IF(BW291=1,BX291,IF(LEFT(Cockpit!$C$5,1)="B",AH291,MAX(AH291,G291))))</f>
        <v>2</v>
      </c>
      <c r="AE291" s="57" t="n">
        <f aca="false">IF(BR291=1,0,ROUNDUP(AD291/BQ291,0))</f>
        <v>1</v>
      </c>
      <c r="AF291" s="59" t="n">
        <f aca="false">IF(CD291&gt;0,CD291*MAX(1,AD291/V291),IF(BR291=1,IF(AD291&lt;=0,0,BS291*MAX(1,IF(G291&gt;0,AD291/G291,1))),IF(Q291&gt;0,AE291/Q291,0))/MAX(0.1,N(Parameter!$M$21)))</f>
        <v>0.00757575757575758</v>
      </c>
      <c r="AG291" s="57" t="n">
        <f aca="false">AD291*F291</f>
        <v>276.22</v>
      </c>
      <c r="AH291" s="57" t="n">
        <f aca="false">ROUNDUP(MAX(I291/IF(BV291&gt;0,BV291,MAX(0.1,N(Cockpit!$C$6))),BY291)/BQ291,0)*BQ291</f>
        <v>8</v>
      </c>
      <c r="AI291" s="58" t="n">
        <f aca="false">IF(AF291&gt;0,I291/AF291,-1)</f>
        <v>396</v>
      </c>
      <c r="AJ291" s="58" t="n">
        <f aca="false">IF(AND(OR(BU291="L1",BU291="L23"),AF291&gt;0),SUMIFS($AF$7:$AF$1576,$BU$7:$BU$1576,BU291,$AI$7:$AI$1576,"&gt;"&amp;AI291)+SUMIFS($AF$7:$AF$1576,$BU$7:$BU$1576,BU291,$AI$7:$AI$1576,AI291,$BO$7:$BO$1576,"&lt;="&amp;BO291),"")</f>
        <v>13.4330248978075</v>
      </c>
      <c r="AK291" s="65" t="n">
        <f aca="false">IF(AJ291="",0,MAX(0,MIN(1,(IF(BU291="L1",Parameter!$E$5,Parameter!$E$6+Parameter!$E$7)-(AJ291-AF291))/AF291)))</f>
        <v>1</v>
      </c>
      <c r="AL291" s="57" t="n">
        <f aca="false">IF(LEFT(Cockpit!$I$5,1)="A",G291,IF(BW291=1,BX291,IF(LEFT(Cockpit!$I$5,1)="B",AP291,MAX(AP291,G291))))</f>
        <v>8</v>
      </c>
      <c r="AM291" s="57" t="n">
        <f aca="false">IF(BR291=1,0,ROUNDUP(AL291/BQ291,0))</f>
        <v>1</v>
      </c>
      <c r="AN291" s="59" t="n">
        <f aca="false">IF(CD291&gt;0,CD291*MAX(1,AL291/V291),IF(BR291=1,IF(AL291&lt;=0,0,BS291*MAX(1,IF(G291&gt;0,AL291/G291,1))),IF(Q291&gt;0,AM291/Q291,0))/MAX(0.1,N(Parameter!$M$21)))</f>
        <v>0.00757575757575758</v>
      </c>
      <c r="AO291" s="57" t="n">
        <f aca="false">AL291*F291</f>
        <v>1104.88</v>
      </c>
      <c r="AP291" s="57" t="n">
        <f aca="false">ROUNDUP(MAX(I291/IF(BV291&gt;0,BV291,MAX(0.1,N(Cockpit!$I$6))),BY291)/BQ291,0)*BQ291</f>
        <v>8</v>
      </c>
      <c r="AQ291" s="58" t="n">
        <f aca="false">IF(AN291&gt;0,I291/AN291,-1)</f>
        <v>396</v>
      </c>
      <c r="AR291" s="58" t="n">
        <f aca="false">IF(AND(OR(BU291="L1",BU291="L23"),AN291&gt;0),SUMIFS($AN$7:$AN$1576,$BU$7:$BU$1576,BU291,$AQ$7:$AQ$1576,"&gt;"&amp;AQ291)+SUMIFS($AN$7:$AN$1576,$BU$7:$BU$1576,BU291,$AQ$7:$AQ$1576,AQ291,$BO$7:$BO$1576,"&lt;="&amp;BO291),"")</f>
        <v>36.7233541461914</v>
      </c>
      <c r="AS291" s="65" t="n">
        <f aca="false">IF(AR291="",0,MAX(0,MIN(1,(IF(BU291="L1",Parameter!$E$5,Parameter!$E$6+Parameter!$E$7)-(AR291-AN291))/AN291)))</f>
        <v>1</v>
      </c>
      <c r="AT291" s="57" t="n">
        <f aca="false">IF(LEFT(Cockpit!$O$5,1)="A",G291,IF(BW291=1,BX291,IF(LEFT(Cockpit!$O$5,1)="B",AX291,MAX(AX291,G291))))</f>
        <v>8</v>
      </c>
      <c r="AU291" s="57" t="n">
        <f aca="false">IF(BR291=1,0,ROUNDUP(AT291/BQ291,0))</f>
        <v>1</v>
      </c>
      <c r="AV291" s="59" t="n">
        <f aca="false">IF(CD291&gt;0,CD291*MAX(1,AT291/V291),IF(BR291=1,IF(AT291&lt;=0,0,BS291*MAX(1,IF(G291&gt;0,AT291/G291,1))),IF(Q291&gt;0,AU291/Q291,0))/MAX(0.1,N(Parameter!$M$21)))</f>
        <v>0.00757575757575758</v>
      </c>
      <c r="AW291" s="57" t="n">
        <f aca="false">AT291*F291</f>
        <v>1104.88</v>
      </c>
      <c r="AX291" s="57" t="n">
        <f aca="false">ROUNDUP(MAX(I291/IF(BV291&gt;0,BV291,MAX(0.1,N(Cockpit!$O$6))),BY291)/BQ291,0)*BQ291</f>
        <v>8</v>
      </c>
      <c r="AY291" s="58" t="n">
        <f aca="false">IF(AV291&gt;0,I291/AV291,-1)</f>
        <v>396</v>
      </c>
      <c r="AZ291" s="58" t="n">
        <f aca="false">IF(AND(OR(BU291="L1",BU291="L23"),AV291&gt;0),SUMIFS($AV$7:$AV$1576,$BU$7:$BU$1576,BU291,$AY$7:$AY$1576,"&gt;"&amp;AY291)+SUMIFS($AV$7:$AV$1576,$BU$7:$BU$1576,BU291,$AY$7:$AY$1576,AY291,$BO$7:$BO$1576,"&lt;="&amp;BO291),"")</f>
        <v>35.8880994009366</v>
      </c>
      <c r="BA291" s="65" t="n">
        <f aca="false">IF(AZ291="",0,MAX(0,MIN(1,(IF(BU291="L1",Parameter!$E$5,Parameter!$E$6+Parameter!$E$7)-(AZ291-AV291))/AV291)))</f>
        <v>1</v>
      </c>
      <c r="BB291" s="55" t="str">
        <f aca="false">IF(AF291&lt;=0,"",IF(BU291="Aussen","Aussenlager",IF(BU291="-","Nicht im Lift",IF(AK291&gt;=1,"Lift",IF(AK291&lt;=0,"Aussenlager","teilweise")))))</f>
        <v>Lift</v>
      </c>
      <c r="BC291" s="55" t="str">
        <f aca="false">IF(AN291&lt;=0,"",IF(BU291="Aussen","Aussenlager",IF(BU291="-","Nicht im Lift",IF(AS291&gt;=1,"Lift",IF(AS291&lt;=0,"Aussenlager","teilweise")))))</f>
        <v>Lift</v>
      </c>
      <c r="BD291" s="55" t="str">
        <f aca="false">IF(AV291&lt;=0,"",IF(BU291="Aussen","Aussenlager",IF(BU291="-","Nicht im Lift",IF(BA291&gt;=1,"Lift",IF(BA291&lt;=0,"Aussenlager","teilweise")))))</f>
        <v>Lift</v>
      </c>
      <c r="BE291" s="55" t="str">
        <f aca="false">IF(A291="","",IF(BN291=1,"Neu; ","")&amp;IF(AND(BN291=0,BI291&lt;0),"negativer Bestand (Export "&amp;BI291&amp;"); ","")&amp;IF(I291&lt;=0,"Kein Verbrauch; ","")&amp;IF(CD291&gt;0,"Lift "&amp;U291&amp;" lt. Liftbericht (Fach "&amp;V291&amp;" Stk); ",IF(BR291=1,"Lose – Fläche geschätzt; ",""))&amp;IF(G291&gt;AP291,"Überbestand "&amp;ROUND(G291-AP291,0)&amp;" Stk / CHF "&amp;ROUND((G291-AP291)*F291,0)&amp;"; ","")&amp;IF(AND(BW291=1,BX291&lt;BY291),"MAX &lt; MB+LG; ","")&amp;IF(AND(CC291&gt;0,CB291*10&gt;CC291),"zu hoch für Tablar; ","")&amp;IF(AND(BN291=0,OR(BW291=1,Y291&lt;&gt;"",S291&lt;&gt;"",T291&lt;&gt;"",Z291&lt;&gt;"")),"manuell übersteuert; ","")&amp;IF(AND(BR291=0,Q291=0),"Gebinde unbekannt / Stellmass fehlt; ","")&amp;IF(AND(BR291=0,N(T291)&lt;=0,N(P291)&lt;=0),"Menge pro Gebinde fehlt (Ist = 1 Gebinde); ","")&amp;BM291)</f>
        <v/>
      </c>
      <c r="BF291" s="55"/>
      <c r="BG291" s="55"/>
      <c r="BH291" s="62"/>
      <c r="BI291" s="57" t="n">
        <v>2</v>
      </c>
      <c r="BJ291" s="57" t="n">
        <v>5</v>
      </c>
      <c r="BK291" s="56" t="n">
        <v>303.87</v>
      </c>
      <c r="BL291" s="57" t="n">
        <v>3</v>
      </c>
      <c r="BM291" s="55"/>
      <c r="BN291" s="60" t="n">
        <v>0</v>
      </c>
      <c r="BO291" s="60" t="n">
        <v>291</v>
      </c>
      <c r="BP291" s="55" t="str">
        <f aca="false">IF(S291&lt;&gt;"",UPPER(TRIM(S291)),IF(O291="","LOSE",O291))</f>
        <v>S32</v>
      </c>
      <c r="BQ291" s="57" t="n">
        <f aca="false">IF(BP291="LOSE",1,IF(N(T291)&gt;0,T291,IF(N(P291)&gt;0,P291,MAX(1,G291))))</f>
        <v>8</v>
      </c>
      <c r="BR291" s="60" t="n">
        <f aca="false">IF(BP291="LOSE",1,0)</f>
        <v>0</v>
      </c>
      <c r="BS291" s="59" t="n">
        <f aca="false">IF(BR291=0,0,IF(N(R291)&gt;0,R291,IFERROR(VLOOKUP(D291,Parameter!$A$35:$C$64,3,0)+0,0)))</f>
        <v>0</v>
      </c>
      <c r="BT291" s="55" t="n">
        <f aca="false">IF(Y291&lt;&gt;"",Y291,X291)</f>
        <v>3</v>
      </c>
      <c r="BU291" s="55" t="str">
        <f aca="false">IF(BT291=1,"L1",IF(OR(BT291=2,BT291=3),"L23",IF(BT291="Aussen","Aussen","-")))</f>
        <v>L23</v>
      </c>
      <c r="BV291" s="66" t="n">
        <f aca="false">IF(N(Z291)&gt;0,Z291,0)</f>
        <v>0</v>
      </c>
      <c r="BW291" s="60" t="n">
        <f aca="false">IF(ISNUMBER(AC291),1,0)</f>
        <v>0</v>
      </c>
      <c r="BX291" s="57" t="n">
        <f aca="false">N(AC291)</f>
        <v>0</v>
      </c>
      <c r="BY291" s="57" t="n">
        <f aca="false">N(L291)+N(M291)</f>
        <v>5</v>
      </c>
      <c r="BZ291" s="57" t="n">
        <f aca="false">ROUNDUP(G291/BQ291,0)</f>
        <v>1</v>
      </c>
      <c r="CA291" s="57" t="n">
        <f aca="false">ROUNDUP(BX291/BQ291,0)</f>
        <v>0</v>
      </c>
      <c r="CB291" s="60" t="n">
        <f aca="false">IF(BR291=1,0,IFERROR(VLOOKUP(BP291,'Gebinde-Kategorie'!$A$5:$M$45,5,0)+0,0))</f>
        <v>8</v>
      </c>
      <c r="CC291" s="60" t="n">
        <f aca="false">IFERROR(IF(OR(BT291=1,BT291=2,BT291=3),N(INDEX(Parameter!$I$5:$I$7,BT291)),0),0)</f>
        <v>0</v>
      </c>
      <c r="CD291" s="59" t="n">
        <f aca="false">IF(AND(Parameter!$B$21="Ja",ISNUMBER(U291),N(V291)&gt;0),IFERROR(N(INDEX(Parameter!$L$5:$L$7,U291))*INDEX(Parameter!$E$5:$E$7,U291)*V291/SUMIFS($V$7:$V$1576,$U$7:$U$1576,U291),0),0)</f>
        <v>0</v>
      </c>
    </row>
    <row r="292" customFormat="false" ht="15" hidden="false" customHeight="false" outlineLevel="0" collapsed="false">
      <c r="A292" s="55" t="s">
        <v>745</v>
      </c>
      <c r="B292" s="55" t="s">
        <v>746</v>
      </c>
      <c r="C292" s="55" t="s">
        <v>160</v>
      </c>
      <c r="D292" s="55" t="s">
        <v>178</v>
      </c>
      <c r="E292" s="55" t="s">
        <v>210</v>
      </c>
      <c r="F292" s="56" t="n">
        <v>21.92</v>
      </c>
      <c r="G292" s="57" t="n">
        <f aca="false">MAX(0,IF(AND(Parameter!$B$21="Ja",ISNUMBER(W292)),W292,IF(Parameter!$B$20="Jahresanfang 2025 + Export",BJ292+BI292,BI292)))</f>
        <v>17</v>
      </c>
      <c r="H292" s="57" t="n">
        <f aca="false">G292*F292</f>
        <v>372.64</v>
      </c>
      <c r="I292" s="57" t="n">
        <f aca="false">BL292*Parameter!$B$18</f>
        <v>92</v>
      </c>
      <c r="J292" s="58" t="n">
        <v>62</v>
      </c>
      <c r="K292" s="59" t="n">
        <v>1.48387096774194</v>
      </c>
      <c r="L292" s="57" t="n">
        <v>21</v>
      </c>
      <c r="M292" s="57" t="n">
        <v>90</v>
      </c>
      <c r="N292" s="60" t="n">
        <v>84</v>
      </c>
      <c r="O292" s="55" t="s">
        <v>293</v>
      </c>
      <c r="P292" s="57" t="n">
        <v>48</v>
      </c>
      <c r="Q292" s="60" t="n">
        <f aca="false">IF(BR292=1,0,IFERROR(VLOOKUP(BP292,'Gebinde-Kategorie'!$A$5:$M$45,13,0)+0,0))</f>
        <v>26</v>
      </c>
      <c r="R292" s="61"/>
      <c r="S292" s="62"/>
      <c r="T292" s="62"/>
      <c r="U292" s="55"/>
      <c r="V292" s="57"/>
      <c r="W292" s="57"/>
      <c r="X292" s="55" t="n">
        <f aca="false">IF(A292="","",IF(AND(Parameter!$B$21="Ja",ISNUMBER(U292)),U292,IF(IFERROR(VLOOKUP(D292,Parameter!$A$35:$C$64,2,0),"Nein")="2+3",IF(ISNUMBER(SEARCH("grosser Artikel",BM292)),2,IFERROR(VLOOKUP(BP292,Parameter!$F$35:$G$64,2,0),2)),IF(OR(IFERROR(VLOOKUP(D292,Parameter!$A$35:$C$64,2,0),"Nein")="Nein",IFERROR(VLOOKUP(D292,Parameter!$A$35:$C$64,2,0),"Nein")=""),"-",VLOOKUP(D292,Parameter!$A$35:$C$64,2,0)))))</f>
        <v>3</v>
      </c>
      <c r="Y292" s="62"/>
      <c r="Z292" s="63"/>
      <c r="AA292" s="57" t="n">
        <f aca="false">AP292</f>
        <v>144</v>
      </c>
      <c r="AB292" s="57" t="n">
        <f aca="false">MAX(AP292,G292)</f>
        <v>144</v>
      </c>
      <c r="AC292" s="64"/>
      <c r="AD292" s="57" t="n">
        <f aca="false">IF(LEFT(Cockpit!$C$5,1)="A",G292,IF(BW292=1,BX292,IF(LEFT(Cockpit!$C$5,1)="B",AH292,MAX(AH292,G292))))</f>
        <v>17</v>
      </c>
      <c r="AE292" s="57" t="n">
        <f aca="false">IF(BR292=1,0,ROUNDUP(AD292/BQ292,0))</f>
        <v>1</v>
      </c>
      <c r="AF292" s="59" t="n">
        <f aca="false">IF(CD292&gt;0,CD292*MAX(1,AD292/V292),IF(BR292=1,IF(AD292&lt;=0,0,BS292*MAX(1,IF(G292&gt;0,AD292/G292,1))),IF(Q292&gt;0,AE292/Q292,0))/MAX(0.1,N(Parameter!$M$21)))</f>
        <v>0.0384615384615385</v>
      </c>
      <c r="AG292" s="57" t="n">
        <f aca="false">AD292*F292</f>
        <v>372.64</v>
      </c>
      <c r="AH292" s="57" t="n">
        <f aca="false">ROUNDUP(MAX(I292/IF(BV292&gt;0,BV292,MAX(0.1,N(Cockpit!$C$6))),BY292)/BQ292,0)*BQ292</f>
        <v>144</v>
      </c>
      <c r="AI292" s="58" t="n">
        <f aca="false">IF(AF292&gt;0,I292/AF292,-1)</f>
        <v>2392</v>
      </c>
      <c r="AJ292" s="58" t="n">
        <f aca="false">IF(AND(OR(BU292="L1",BU292="L23"),AF292&gt;0),SUMIFS($AF$7:$AF$1576,$BU$7:$BU$1576,BU292,$AI$7:$AI$1576,"&gt;"&amp;AI292)+SUMIFS($AF$7:$AF$1576,$BU$7:$BU$1576,BU292,$AI$7:$AI$1576,AI292,$BO$7:$BO$1576,"&lt;="&amp;BO292),"")</f>
        <v>5.87973683321509</v>
      </c>
      <c r="AK292" s="65" t="n">
        <f aca="false">IF(AJ292="",0,MAX(0,MIN(1,(IF(BU292="L1",Parameter!$E$5,Parameter!$E$6+Parameter!$E$7)-(AJ292-AF292))/AF292)))</f>
        <v>1</v>
      </c>
      <c r="AL292" s="57" t="n">
        <f aca="false">IF(LEFT(Cockpit!$I$5,1)="A",G292,IF(BW292=1,BX292,IF(LEFT(Cockpit!$I$5,1)="B",AP292,MAX(AP292,G292))))</f>
        <v>144</v>
      </c>
      <c r="AM292" s="57" t="n">
        <f aca="false">IF(BR292=1,0,ROUNDUP(AL292/BQ292,0))</f>
        <v>3</v>
      </c>
      <c r="AN292" s="59" t="n">
        <f aca="false">IF(CD292&gt;0,CD292*MAX(1,AL292/V292),IF(BR292=1,IF(AL292&lt;=0,0,BS292*MAX(1,IF(G292&gt;0,AL292/G292,1))),IF(Q292&gt;0,AM292/Q292,0))/MAX(0.1,N(Parameter!$M$21)))</f>
        <v>0.115384615384615</v>
      </c>
      <c r="AO292" s="57" t="n">
        <f aca="false">AL292*F292</f>
        <v>3156.48</v>
      </c>
      <c r="AP292" s="57" t="n">
        <f aca="false">ROUNDUP(MAX(I292/IF(BV292&gt;0,BV292,MAX(0.1,N(Cockpit!$I$6))),BY292)/BQ292,0)*BQ292</f>
        <v>144</v>
      </c>
      <c r="AQ292" s="58" t="n">
        <f aca="false">IF(AN292&gt;0,I292/AN292,-1)</f>
        <v>797.333333333333</v>
      </c>
      <c r="AR292" s="58" t="n">
        <f aca="false">IF(AND(OR(BU292="L1",BU292="L23"),AN292&gt;0),SUMIFS($AN$7:$AN$1576,$BU$7:$BU$1576,BU292,$AQ$7:$AQ$1576,"&gt;"&amp;AQ292)+SUMIFS($AN$7:$AN$1576,$BU$7:$BU$1576,BU292,$AQ$7:$AQ$1576,AQ292,$BO$7:$BO$1576,"&lt;="&amp;BO292),"")</f>
        <v>26.1543957615808</v>
      </c>
      <c r="AS292" s="65" t="n">
        <f aca="false">IF(AR292="",0,MAX(0,MIN(1,(IF(BU292="L1",Parameter!$E$5,Parameter!$E$6+Parameter!$E$7)-(AR292-AN292))/AN292)))</f>
        <v>1</v>
      </c>
      <c r="AT292" s="57" t="n">
        <f aca="false">IF(LEFT(Cockpit!$O$5,1)="A",G292,IF(BW292=1,BX292,IF(LEFT(Cockpit!$O$5,1)="B",AX292,MAX(AX292,G292))))</f>
        <v>144</v>
      </c>
      <c r="AU292" s="57" t="n">
        <f aca="false">IF(BR292=1,0,ROUNDUP(AT292/BQ292,0))</f>
        <v>3</v>
      </c>
      <c r="AV292" s="59" t="n">
        <f aca="false">IF(CD292&gt;0,CD292*MAX(1,AT292/V292),IF(BR292=1,IF(AT292&lt;=0,0,BS292*MAX(1,IF(G292&gt;0,AT292/G292,1))),IF(Q292&gt;0,AU292/Q292,0))/MAX(0.1,N(Parameter!$M$21)))</f>
        <v>0.115384615384615</v>
      </c>
      <c r="AW292" s="57" t="n">
        <f aca="false">AT292*F292</f>
        <v>3156.48</v>
      </c>
      <c r="AX292" s="57" t="n">
        <f aca="false">ROUNDUP(MAX(I292/IF(BV292&gt;0,BV292,MAX(0.1,N(Cockpit!$O$6))),BY292)/BQ292,0)*BQ292</f>
        <v>144</v>
      </c>
      <c r="AY292" s="58" t="n">
        <f aca="false">IF(AV292&gt;0,I292/AV292,-1)</f>
        <v>797.333333333333</v>
      </c>
      <c r="AZ292" s="58" t="n">
        <f aca="false">IF(AND(OR(BU292="L1",BU292="L23"),AV292&gt;0),SUMIFS($AV$7:$AV$1576,$BU$7:$BU$1576,BU292,$AY$7:$AY$1576,"&gt;"&amp;AY292)+SUMIFS($AV$7:$AV$1576,$BU$7:$BU$1576,BU292,$AY$7:$AY$1576,AY292,$BO$7:$BO$1576,"&lt;="&amp;BO292),"")</f>
        <v>26.0547454119305</v>
      </c>
      <c r="BA292" s="65" t="n">
        <f aca="false">IF(AZ292="",0,MAX(0,MIN(1,(IF(BU292="L1",Parameter!$E$5,Parameter!$E$6+Parameter!$E$7)-(AZ292-AV292))/AV292)))</f>
        <v>1</v>
      </c>
      <c r="BB292" s="55" t="str">
        <f aca="false">IF(AF292&lt;=0,"",IF(BU292="Aussen","Aussenlager",IF(BU292="-","Nicht im Lift",IF(AK292&gt;=1,"Lift",IF(AK292&lt;=0,"Aussenlager","teilweise")))))</f>
        <v>Lift</v>
      </c>
      <c r="BC292" s="55" t="str">
        <f aca="false">IF(AN292&lt;=0,"",IF(BU292="Aussen","Aussenlager",IF(BU292="-","Nicht im Lift",IF(AS292&gt;=1,"Lift",IF(AS292&lt;=0,"Aussenlager","teilweise")))))</f>
        <v>Lift</v>
      </c>
      <c r="BD292" s="55" t="str">
        <f aca="false">IF(AV292&lt;=0,"",IF(BU292="Aussen","Aussenlager",IF(BU292="-","Nicht im Lift",IF(BA292&gt;=1,"Lift",IF(BA292&lt;=0,"Aussenlager","teilweise")))))</f>
        <v>Lift</v>
      </c>
      <c r="BE292" s="55" t="str">
        <f aca="false">IF(A292="","",IF(BN292=1,"Neu; ","")&amp;IF(AND(BN292=0,BI292&lt;0),"negativer Bestand (Export "&amp;BI292&amp;"); ","")&amp;IF(I292&lt;=0,"Kein Verbrauch; ","")&amp;IF(CD292&gt;0,"Lift "&amp;U292&amp;" lt. Liftbericht (Fach "&amp;V292&amp;" Stk); ",IF(BR292=1,"Lose – Fläche geschätzt; ",""))&amp;IF(G292&gt;AP292,"Überbestand "&amp;ROUND(G292-AP292,0)&amp;" Stk / CHF "&amp;ROUND((G292-AP292)*F292,0)&amp;"; ","")&amp;IF(AND(BW292=1,BX292&lt;BY292),"MAX &lt; MB+LG; ","")&amp;IF(AND(CC292&gt;0,CB292*10&gt;CC292),"zu hoch für Tablar; ","")&amp;IF(AND(BN292=0,OR(BW292=1,Y292&lt;&gt;"",S292&lt;&gt;"",T292&lt;&gt;"",Z292&lt;&gt;"")),"manuell übersteuert; ","")&amp;IF(AND(BR292=0,Q292=0),"Gebinde unbekannt / Stellmass fehlt; ","")&amp;IF(AND(BR292=0,N(T292)&lt;=0,N(P292)&lt;=0),"Menge pro Gebinde fehlt (Ist = 1 Gebinde); ","")&amp;BM292)</f>
        <v/>
      </c>
      <c r="BF292" s="55"/>
      <c r="BG292" s="55"/>
      <c r="BH292" s="62"/>
      <c r="BI292" s="57" t="n">
        <v>17</v>
      </c>
      <c r="BJ292" s="57" t="n">
        <v>57</v>
      </c>
      <c r="BK292" s="56" t="n">
        <v>296.830000000001</v>
      </c>
      <c r="BL292" s="57" t="n">
        <v>92</v>
      </c>
      <c r="BM292" s="55"/>
      <c r="BN292" s="60" t="n">
        <v>0</v>
      </c>
      <c r="BO292" s="60" t="n">
        <v>292</v>
      </c>
      <c r="BP292" s="55" t="str">
        <f aca="false">IF(S292&lt;&gt;"",UPPER(TRIM(S292)),IF(O292="","LOSE",O292))</f>
        <v>S51</v>
      </c>
      <c r="BQ292" s="57" t="n">
        <f aca="false">IF(BP292="LOSE",1,IF(N(T292)&gt;0,T292,IF(N(P292)&gt;0,P292,MAX(1,G292))))</f>
        <v>48</v>
      </c>
      <c r="BR292" s="60" t="n">
        <f aca="false">IF(BP292="LOSE",1,0)</f>
        <v>0</v>
      </c>
      <c r="BS292" s="59" t="n">
        <f aca="false">IF(BR292=0,0,IF(N(R292)&gt;0,R292,IFERROR(VLOOKUP(D292,Parameter!$A$35:$C$64,3,0)+0,0)))</f>
        <v>0</v>
      </c>
      <c r="BT292" s="55" t="n">
        <f aca="false">IF(Y292&lt;&gt;"",Y292,X292)</f>
        <v>3</v>
      </c>
      <c r="BU292" s="55" t="str">
        <f aca="false">IF(BT292=1,"L1",IF(OR(BT292=2,BT292=3),"L23",IF(BT292="Aussen","Aussen","-")))</f>
        <v>L23</v>
      </c>
      <c r="BV292" s="66" t="n">
        <f aca="false">IF(N(Z292)&gt;0,Z292,0)</f>
        <v>0</v>
      </c>
      <c r="BW292" s="60" t="n">
        <f aca="false">IF(ISNUMBER(AC292),1,0)</f>
        <v>0</v>
      </c>
      <c r="BX292" s="57" t="n">
        <f aca="false">N(AC292)</f>
        <v>0</v>
      </c>
      <c r="BY292" s="57" t="n">
        <f aca="false">N(L292)+N(M292)</f>
        <v>111</v>
      </c>
      <c r="BZ292" s="57" t="n">
        <f aca="false">ROUNDUP(G292/BQ292,0)</f>
        <v>1</v>
      </c>
      <c r="CA292" s="57" t="n">
        <f aca="false">ROUNDUP(BX292/BQ292,0)</f>
        <v>0</v>
      </c>
      <c r="CB292" s="60" t="n">
        <f aca="false">IF(BR292=1,0,IFERROR(VLOOKUP(BP292,'Gebinde-Kategorie'!$A$5:$M$45,5,0)+0,0))</f>
        <v>11</v>
      </c>
      <c r="CC292" s="60" t="n">
        <f aca="false">IFERROR(IF(OR(BT292=1,BT292=2,BT292=3),N(INDEX(Parameter!$I$5:$I$7,BT292)),0),0)</f>
        <v>0</v>
      </c>
      <c r="CD292" s="59" t="n">
        <f aca="false">IF(AND(Parameter!$B$21="Ja",ISNUMBER(U292),N(V292)&gt;0),IFERROR(N(INDEX(Parameter!$L$5:$L$7,U292))*INDEX(Parameter!$E$5:$E$7,U292)*V292/SUMIFS($V$7:$V$1576,$U$7:$U$1576,U292),0),0)</f>
        <v>0</v>
      </c>
    </row>
    <row r="293" customFormat="false" ht="15" hidden="false" customHeight="false" outlineLevel="0" collapsed="false">
      <c r="A293" s="55" t="s">
        <v>747</v>
      </c>
      <c r="B293" s="55" t="s">
        <v>748</v>
      </c>
      <c r="C293" s="55" t="s">
        <v>160</v>
      </c>
      <c r="D293" s="55" t="s">
        <v>178</v>
      </c>
      <c r="E293" s="55" t="s">
        <v>210</v>
      </c>
      <c r="F293" s="56" t="n">
        <v>2.8</v>
      </c>
      <c r="G293" s="57" t="n">
        <f aca="false">MAX(0,IF(AND(Parameter!$B$21="Ja",ISNUMBER(W293)),W293,IF(Parameter!$B$20="Jahresanfang 2025 + Export",BJ293+BI293,BI293)))</f>
        <v>105</v>
      </c>
      <c r="H293" s="57" t="n">
        <f aca="false">G293*F293</f>
        <v>294</v>
      </c>
      <c r="I293" s="57" t="n">
        <f aca="false">BL293*Parameter!$B$18</f>
        <v>129</v>
      </c>
      <c r="J293" s="58" t="n">
        <v>54.5</v>
      </c>
      <c r="K293" s="59" t="n">
        <v>2.36697247706422</v>
      </c>
      <c r="L293" s="57" t="n">
        <v>10</v>
      </c>
      <c r="M293" s="57" t="n">
        <v>130</v>
      </c>
      <c r="N293" s="60" t="n">
        <v>28</v>
      </c>
      <c r="O293" s="55" t="s">
        <v>411</v>
      </c>
      <c r="P293" s="57" t="n">
        <v>115</v>
      </c>
      <c r="Q293" s="60" t="n">
        <f aca="false">IF(BR293=1,0,IFERROR(VLOOKUP(BP293,'Gebinde-Kategorie'!$A$5:$M$45,13,0)+0,0))</f>
        <v>132</v>
      </c>
      <c r="R293" s="61"/>
      <c r="S293" s="62"/>
      <c r="T293" s="62"/>
      <c r="U293" s="55"/>
      <c r="V293" s="57"/>
      <c r="W293" s="57"/>
      <c r="X293" s="55" t="n">
        <f aca="false">IF(A293="","",IF(AND(Parameter!$B$21="Ja",ISNUMBER(U293)),U293,IF(IFERROR(VLOOKUP(D293,Parameter!$A$35:$C$64,2,0),"Nein")="2+3",IF(ISNUMBER(SEARCH("grosser Artikel",BM293)),2,IFERROR(VLOOKUP(BP293,Parameter!$F$35:$G$64,2,0),2)),IF(OR(IFERROR(VLOOKUP(D293,Parameter!$A$35:$C$64,2,0),"Nein")="Nein",IFERROR(VLOOKUP(D293,Parameter!$A$35:$C$64,2,0),"Nein")=""),"-",VLOOKUP(D293,Parameter!$A$35:$C$64,2,0)))))</f>
        <v>3</v>
      </c>
      <c r="Y293" s="62"/>
      <c r="Z293" s="63"/>
      <c r="AA293" s="57" t="n">
        <f aca="false">AP293</f>
        <v>230</v>
      </c>
      <c r="AB293" s="57" t="n">
        <f aca="false">MAX(AP293,G293)</f>
        <v>230</v>
      </c>
      <c r="AC293" s="64"/>
      <c r="AD293" s="57" t="n">
        <f aca="false">IF(LEFT(Cockpit!$C$5,1)="A",G293,IF(BW293=1,BX293,IF(LEFT(Cockpit!$C$5,1)="B",AH293,MAX(AH293,G293))))</f>
        <v>105</v>
      </c>
      <c r="AE293" s="57" t="n">
        <f aca="false">IF(BR293=1,0,ROUNDUP(AD293/BQ293,0))</f>
        <v>1</v>
      </c>
      <c r="AF293" s="59" t="n">
        <f aca="false">IF(CD293&gt;0,CD293*MAX(1,AD293/V293),IF(BR293=1,IF(AD293&lt;=0,0,BS293*MAX(1,IF(G293&gt;0,AD293/G293,1))),IF(Q293&gt;0,AE293/Q293,0))/MAX(0.1,N(Parameter!$M$21)))</f>
        <v>0.00757575757575758</v>
      </c>
      <c r="AG293" s="57" t="n">
        <f aca="false">AD293*F293</f>
        <v>294</v>
      </c>
      <c r="AH293" s="57" t="n">
        <f aca="false">ROUNDUP(MAX(I293/IF(BV293&gt;0,BV293,MAX(0.1,N(Cockpit!$C$6))),BY293)/BQ293,0)*BQ293</f>
        <v>230</v>
      </c>
      <c r="AI293" s="58" t="n">
        <f aca="false">IF(AF293&gt;0,I293/AF293,-1)</f>
        <v>17028</v>
      </c>
      <c r="AJ293" s="58" t="n">
        <f aca="false">IF(AND(OR(BU293="L1",BU293="L23"),AF293&gt;0),SUMIFS($AF$7:$AF$1576,$BU$7:$BU$1576,BU293,$AI$7:$AI$1576,"&gt;"&amp;AI293)+SUMIFS($AF$7:$AF$1576,$BU$7:$BU$1576,BU293,$AI$7:$AI$1576,AI293,$BO$7:$BO$1576,"&lt;="&amp;BO293),"")</f>
        <v>2.14725853856289</v>
      </c>
      <c r="AK293" s="65" t="n">
        <f aca="false">IF(AJ293="",0,MAX(0,MIN(1,(IF(BU293="L1",Parameter!$E$5,Parameter!$E$6+Parameter!$E$7)-(AJ293-AF293))/AF293)))</f>
        <v>1</v>
      </c>
      <c r="AL293" s="57" t="n">
        <f aca="false">IF(LEFT(Cockpit!$I$5,1)="A",G293,IF(BW293=1,BX293,IF(LEFT(Cockpit!$I$5,1)="B",AP293,MAX(AP293,G293))))</f>
        <v>230</v>
      </c>
      <c r="AM293" s="57" t="n">
        <f aca="false">IF(BR293=1,0,ROUNDUP(AL293/BQ293,0))</f>
        <v>2</v>
      </c>
      <c r="AN293" s="59" t="n">
        <f aca="false">IF(CD293&gt;0,CD293*MAX(1,AL293/V293),IF(BR293=1,IF(AL293&lt;=0,0,BS293*MAX(1,IF(G293&gt;0,AL293/G293,1))),IF(Q293&gt;0,AM293/Q293,0))/MAX(0.1,N(Parameter!$M$21)))</f>
        <v>0.0151515151515152</v>
      </c>
      <c r="AO293" s="57" t="n">
        <f aca="false">AL293*F293</f>
        <v>644</v>
      </c>
      <c r="AP293" s="57" t="n">
        <f aca="false">ROUNDUP(MAX(I293/IF(BV293&gt;0,BV293,MAX(0.1,N(Cockpit!$I$6))),BY293)/BQ293,0)*BQ293</f>
        <v>230</v>
      </c>
      <c r="AQ293" s="58" t="n">
        <f aca="false">IF(AN293&gt;0,I293/AN293,-1)</f>
        <v>8514</v>
      </c>
      <c r="AR293" s="58" t="n">
        <f aca="false">IF(AND(OR(BU293="L1",BU293="L23"),AN293&gt;0),SUMIFS($AN$7:$AN$1576,$BU$7:$BU$1576,BU293,$AQ$7:$AQ$1576,"&gt;"&amp;AQ293)+SUMIFS($AN$7:$AN$1576,$BU$7:$BU$1576,BU293,$AQ$7:$AQ$1576,AQ293,$BO$7:$BO$1576,"&lt;="&amp;BO293),"")</f>
        <v>7.86104591061113</v>
      </c>
      <c r="AS293" s="65" t="n">
        <f aca="false">IF(AR293="",0,MAX(0,MIN(1,(IF(BU293="L1",Parameter!$E$5,Parameter!$E$6+Parameter!$E$7)-(AR293-AN293))/AN293)))</f>
        <v>1</v>
      </c>
      <c r="AT293" s="57" t="n">
        <f aca="false">IF(LEFT(Cockpit!$O$5,1)="A",G293,IF(BW293=1,BX293,IF(LEFT(Cockpit!$O$5,1)="B",AX293,MAX(AX293,G293))))</f>
        <v>230</v>
      </c>
      <c r="AU293" s="57" t="n">
        <f aca="false">IF(BR293=1,0,ROUNDUP(AT293/BQ293,0))</f>
        <v>2</v>
      </c>
      <c r="AV293" s="59" t="n">
        <f aca="false">IF(CD293&gt;0,CD293*MAX(1,AT293/V293),IF(BR293=1,IF(AT293&lt;=0,0,BS293*MAX(1,IF(G293&gt;0,AT293/G293,1))),IF(Q293&gt;0,AU293/Q293,0))/MAX(0.1,N(Parameter!$M$21)))</f>
        <v>0.0151515151515152</v>
      </c>
      <c r="AW293" s="57" t="n">
        <f aca="false">AT293*F293</f>
        <v>644</v>
      </c>
      <c r="AX293" s="57" t="n">
        <f aca="false">ROUNDUP(MAX(I293/IF(BV293&gt;0,BV293,MAX(0.1,N(Cockpit!$O$6))),BY293)/BQ293,0)*BQ293</f>
        <v>230</v>
      </c>
      <c r="AY293" s="58" t="n">
        <f aca="false">IF(AV293&gt;0,I293/AV293,-1)</f>
        <v>8514</v>
      </c>
      <c r="AZ293" s="58" t="n">
        <f aca="false">IF(AND(OR(BU293="L1",BU293="L23"),AV293&gt;0),SUMIFS($AV$7:$AV$1576,$BU$7:$BU$1576,BU293,$AY$7:$AY$1576,"&gt;"&amp;AY293)+SUMIFS($AV$7:$AV$1576,$BU$7:$BU$1576,BU293,$AY$7:$AY$1576,AY293,$BO$7:$BO$1576,"&lt;="&amp;BO293),"")</f>
        <v>7.87678017634539</v>
      </c>
      <c r="BA293" s="65" t="n">
        <f aca="false">IF(AZ293="",0,MAX(0,MIN(1,(IF(BU293="L1",Parameter!$E$5,Parameter!$E$6+Parameter!$E$7)-(AZ293-AV293))/AV293)))</f>
        <v>1</v>
      </c>
      <c r="BB293" s="55" t="str">
        <f aca="false">IF(AF293&lt;=0,"",IF(BU293="Aussen","Aussenlager",IF(BU293="-","Nicht im Lift",IF(AK293&gt;=1,"Lift",IF(AK293&lt;=0,"Aussenlager","teilweise")))))</f>
        <v>Lift</v>
      </c>
      <c r="BC293" s="55" t="str">
        <f aca="false">IF(AN293&lt;=0,"",IF(BU293="Aussen","Aussenlager",IF(BU293="-","Nicht im Lift",IF(AS293&gt;=1,"Lift",IF(AS293&lt;=0,"Aussenlager","teilweise")))))</f>
        <v>Lift</v>
      </c>
      <c r="BD293" s="55" t="str">
        <f aca="false">IF(AV293&lt;=0,"",IF(BU293="Aussen","Aussenlager",IF(BU293="-","Nicht im Lift",IF(BA293&gt;=1,"Lift",IF(BA293&lt;=0,"Aussenlager","teilweise")))))</f>
        <v>Lift</v>
      </c>
      <c r="BE293" s="55" t="str">
        <f aca="false">IF(A293="","",IF(BN293=1,"Neu; ","")&amp;IF(AND(BN293=0,BI293&lt;0),"negativer Bestand (Export "&amp;BI293&amp;"); ","")&amp;IF(I293&lt;=0,"Kein Verbrauch; ","")&amp;IF(CD293&gt;0,"Lift "&amp;U293&amp;" lt. Liftbericht (Fach "&amp;V293&amp;" Stk); ",IF(BR293=1,"Lose – Fläche geschätzt; ",""))&amp;IF(G293&gt;AP293,"Überbestand "&amp;ROUND(G293-AP293,0)&amp;" Stk / CHF "&amp;ROUND((G293-AP293)*F293,0)&amp;"; ","")&amp;IF(AND(BW293=1,BX293&lt;BY293),"MAX &lt; MB+LG; ","")&amp;IF(AND(CC293&gt;0,CB293*10&gt;CC293),"zu hoch für Tablar; ","")&amp;IF(AND(BN293=0,OR(BW293=1,Y293&lt;&gt;"",S293&lt;&gt;"",T293&lt;&gt;"",Z293&lt;&gt;"")),"manuell übersteuert; ","")&amp;IF(AND(BR293=0,Q293=0),"Gebinde unbekannt / Stellmass fehlt; ","")&amp;IF(AND(BR293=0,N(T293)&lt;=0,N(P293)&lt;=0),"Menge pro Gebinde fehlt (Ist = 1 Gebinde); ","")&amp;BM293)</f>
        <v/>
      </c>
      <c r="BF293" s="55"/>
      <c r="BG293" s="55"/>
      <c r="BH293" s="62"/>
      <c r="BI293" s="57" t="n">
        <v>105</v>
      </c>
      <c r="BJ293" s="57" t="n">
        <v>18</v>
      </c>
      <c r="BK293" s="56" t="n">
        <v>294.18</v>
      </c>
      <c r="BL293" s="57" t="n">
        <v>129</v>
      </c>
      <c r="BM293" s="55"/>
      <c r="BN293" s="60" t="n">
        <v>0</v>
      </c>
      <c r="BO293" s="60" t="n">
        <v>293</v>
      </c>
      <c r="BP293" s="55" t="str">
        <f aca="false">IF(S293&lt;&gt;"",UPPER(TRIM(S293)),IF(O293="","LOSE",O293))</f>
        <v>S32</v>
      </c>
      <c r="BQ293" s="57" t="n">
        <f aca="false">IF(BP293="LOSE",1,IF(N(T293)&gt;0,T293,IF(N(P293)&gt;0,P293,MAX(1,G293))))</f>
        <v>115</v>
      </c>
      <c r="BR293" s="60" t="n">
        <f aca="false">IF(BP293="LOSE",1,0)</f>
        <v>0</v>
      </c>
      <c r="BS293" s="59" t="n">
        <f aca="false">IF(BR293=0,0,IF(N(R293)&gt;0,R293,IFERROR(VLOOKUP(D293,Parameter!$A$35:$C$64,3,0)+0,0)))</f>
        <v>0</v>
      </c>
      <c r="BT293" s="55" t="n">
        <f aca="false">IF(Y293&lt;&gt;"",Y293,X293)</f>
        <v>3</v>
      </c>
      <c r="BU293" s="55" t="str">
        <f aca="false">IF(BT293=1,"L1",IF(OR(BT293=2,BT293=3),"L23",IF(BT293="Aussen","Aussen","-")))</f>
        <v>L23</v>
      </c>
      <c r="BV293" s="66" t="n">
        <f aca="false">IF(N(Z293)&gt;0,Z293,0)</f>
        <v>0</v>
      </c>
      <c r="BW293" s="60" t="n">
        <f aca="false">IF(ISNUMBER(AC293),1,0)</f>
        <v>0</v>
      </c>
      <c r="BX293" s="57" t="n">
        <f aca="false">N(AC293)</f>
        <v>0</v>
      </c>
      <c r="BY293" s="57" t="n">
        <f aca="false">N(L293)+N(M293)</f>
        <v>140</v>
      </c>
      <c r="BZ293" s="57" t="n">
        <f aca="false">ROUNDUP(G293/BQ293,0)</f>
        <v>1</v>
      </c>
      <c r="CA293" s="57" t="n">
        <f aca="false">ROUNDUP(BX293/BQ293,0)</f>
        <v>0</v>
      </c>
      <c r="CB293" s="60" t="n">
        <f aca="false">IF(BR293=1,0,IFERROR(VLOOKUP(BP293,'Gebinde-Kategorie'!$A$5:$M$45,5,0)+0,0))</f>
        <v>8</v>
      </c>
      <c r="CC293" s="60" t="n">
        <f aca="false">IFERROR(IF(OR(BT293=1,BT293=2,BT293=3),N(INDEX(Parameter!$I$5:$I$7,BT293)),0),0)</f>
        <v>0</v>
      </c>
      <c r="CD293" s="59" t="n">
        <f aca="false">IF(AND(Parameter!$B$21="Ja",ISNUMBER(U293),N(V293)&gt;0),IFERROR(N(INDEX(Parameter!$L$5:$L$7,U293))*INDEX(Parameter!$E$5:$E$7,U293)*V293/SUMIFS($V$7:$V$1576,$U$7:$U$1576,U293),0),0)</f>
        <v>0</v>
      </c>
    </row>
    <row r="294" customFormat="false" ht="15" hidden="false" customHeight="false" outlineLevel="0" collapsed="false">
      <c r="A294" s="55" t="s">
        <v>749</v>
      </c>
      <c r="B294" s="55" t="s">
        <v>750</v>
      </c>
      <c r="C294" s="55" t="s">
        <v>160</v>
      </c>
      <c r="D294" s="55" t="s">
        <v>178</v>
      </c>
      <c r="E294" s="55" t="s">
        <v>210</v>
      </c>
      <c r="F294" s="56" t="n">
        <v>30.7</v>
      </c>
      <c r="G294" s="57" t="n">
        <f aca="false">MAX(0,IF(AND(Parameter!$B$21="Ja",ISNUMBER(W294)),W294,IF(Parameter!$B$20="Jahresanfang 2025 + Export",BJ294+BI294,BI294)))</f>
        <v>8</v>
      </c>
      <c r="H294" s="57" t="n">
        <f aca="false">G294*F294</f>
        <v>245.6</v>
      </c>
      <c r="I294" s="57" t="n">
        <f aca="false">BL294*Parameter!$B$18</f>
        <v>2</v>
      </c>
      <c r="J294" s="58" t="n">
        <v>14</v>
      </c>
      <c r="K294" s="59" t="n">
        <v>0.142857142857143</v>
      </c>
      <c r="L294" s="57" t="n">
        <v>0</v>
      </c>
      <c r="M294" s="57" t="n">
        <v>1</v>
      </c>
      <c r="N294" s="60" t="n">
        <v>21</v>
      </c>
      <c r="O294" s="55" t="s">
        <v>391</v>
      </c>
      <c r="P294" s="57" t="n">
        <v>10</v>
      </c>
      <c r="Q294" s="60" t="n">
        <f aca="false">IF(BR294=1,0,IFERROR(VLOOKUP(BP294,'Gebinde-Kategorie'!$A$5:$M$45,13,0)+0,0))</f>
        <v>414</v>
      </c>
      <c r="R294" s="61"/>
      <c r="S294" s="62"/>
      <c r="T294" s="62"/>
      <c r="U294" s="55"/>
      <c r="V294" s="57"/>
      <c r="W294" s="57"/>
      <c r="X294" s="55" t="n">
        <f aca="false">IF(A294="","",IF(AND(Parameter!$B$21="Ja",ISNUMBER(U294)),U294,IF(IFERROR(VLOOKUP(D294,Parameter!$A$35:$C$64,2,0),"Nein")="2+3",IF(ISNUMBER(SEARCH("grosser Artikel",BM294)),2,IFERROR(VLOOKUP(BP294,Parameter!$F$35:$G$64,2,0),2)),IF(OR(IFERROR(VLOOKUP(D294,Parameter!$A$35:$C$64,2,0),"Nein")="Nein",IFERROR(VLOOKUP(D294,Parameter!$A$35:$C$64,2,0),"Nein")=""),"-",VLOOKUP(D294,Parameter!$A$35:$C$64,2,0)))))</f>
        <v>3</v>
      </c>
      <c r="Y294" s="62"/>
      <c r="Z294" s="63"/>
      <c r="AA294" s="57" t="n">
        <f aca="false">AP294</f>
        <v>10</v>
      </c>
      <c r="AB294" s="57" t="n">
        <f aca="false">MAX(AP294,G294)</f>
        <v>10</v>
      </c>
      <c r="AC294" s="64"/>
      <c r="AD294" s="57" t="n">
        <f aca="false">IF(LEFT(Cockpit!$C$5,1)="A",G294,IF(BW294=1,BX294,IF(LEFT(Cockpit!$C$5,1)="B",AH294,MAX(AH294,G294))))</f>
        <v>8</v>
      </c>
      <c r="AE294" s="57" t="n">
        <f aca="false">IF(BR294=1,0,ROUNDUP(AD294/BQ294,0))</f>
        <v>1</v>
      </c>
      <c r="AF294" s="59" t="n">
        <f aca="false">IF(CD294&gt;0,CD294*MAX(1,AD294/V294),IF(BR294=1,IF(AD294&lt;=0,0,BS294*MAX(1,IF(G294&gt;0,AD294/G294,1))),IF(Q294&gt;0,AE294/Q294,0))/MAX(0.1,N(Parameter!$M$21)))</f>
        <v>0.00241545893719807</v>
      </c>
      <c r="AG294" s="57" t="n">
        <f aca="false">AD294*F294</f>
        <v>245.6</v>
      </c>
      <c r="AH294" s="57" t="n">
        <f aca="false">ROUNDUP(MAX(I294/IF(BV294&gt;0,BV294,MAX(0.1,N(Cockpit!$C$6))),BY294)/BQ294,0)*BQ294</f>
        <v>10</v>
      </c>
      <c r="AI294" s="58" t="n">
        <f aca="false">IF(AF294&gt;0,I294/AF294,-1)</f>
        <v>828</v>
      </c>
      <c r="AJ294" s="58" t="n">
        <f aca="false">IF(AND(OR(BU294="L1",BU294="L23"),AF294&gt;0),SUMIFS($AF$7:$AF$1576,$BU$7:$BU$1576,BU294,$AI$7:$AI$1576,"&gt;"&amp;AI294)+SUMIFS($AF$7:$AF$1576,$BU$7:$BU$1576,BU294,$AI$7:$AI$1576,AI294,$BO$7:$BO$1576,"&lt;="&amp;BO294),"")</f>
        <v>10.3929610486132</v>
      </c>
      <c r="AK294" s="65" t="n">
        <f aca="false">IF(AJ294="",0,MAX(0,MIN(1,(IF(BU294="L1",Parameter!$E$5,Parameter!$E$6+Parameter!$E$7)-(AJ294-AF294))/AF294)))</f>
        <v>1</v>
      </c>
      <c r="AL294" s="57" t="n">
        <f aca="false">IF(LEFT(Cockpit!$I$5,1)="A",G294,IF(BW294=1,BX294,IF(LEFT(Cockpit!$I$5,1)="B",AP294,MAX(AP294,G294))))</f>
        <v>10</v>
      </c>
      <c r="AM294" s="57" t="n">
        <f aca="false">IF(BR294=1,0,ROUNDUP(AL294/BQ294,0))</f>
        <v>1</v>
      </c>
      <c r="AN294" s="59" t="n">
        <f aca="false">IF(CD294&gt;0,CD294*MAX(1,AL294/V294),IF(BR294=1,IF(AL294&lt;=0,0,BS294*MAX(1,IF(G294&gt;0,AL294/G294,1))),IF(Q294&gt;0,AM294/Q294,0))/MAX(0.1,N(Parameter!$M$21)))</f>
        <v>0.00241545893719807</v>
      </c>
      <c r="AO294" s="57" t="n">
        <f aca="false">AL294*F294</f>
        <v>307</v>
      </c>
      <c r="AP294" s="57" t="n">
        <f aca="false">ROUNDUP(MAX(I294/IF(BV294&gt;0,BV294,MAX(0.1,N(Cockpit!$I$6))),BY294)/BQ294,0)*BQ294</f>
        <v>10</v>
      </c>
      <c r="AQ294" s="58" t="n">
        <f aca="false">IF(AN294&gt;0,I294/AN294,-1)</f>
        <v>828</v>
      </c>
      <c r="AR294" s="58" t="n">
        <f aca="false">IF(AND(OR(BU294="L1",BU294="L23"),AN294&gt;0),SUMIFS($AN$7:$AN$1576,$BU$7:$BU$1576,BU294,$AQ$7:$AQ$1576,"&gt;"&amp;AQ294)+SUMIFS($AN$7:$AN$1576,$BU$7:$BU$1576,BU294,$AQ$7:$AQ$1576,AQ294,$BO$7:$BO$1576,"&lt;="&amp;BO294),"")</f>
        <v>25.5861125954716</v>
      </c>
      <c r="AS294" s="65" t="n">
        <f aca="false">IF(AR294="",0,MAX(0,MIN(1,(IF(BU294="L1",Parameter!$E$5,Parameter!$E$6+Parameter!$E$7)-(AR294-AN294))/AN294)))</f>
        <v>1</v>
      </c>
      <c r="AT294" s="57" t="n">
        <f aca="false">IF(LEFT(Cockpit!$O$5,1)="A",G294,IF(BW294=1,BX294,IF(LEFT(Cockpit!$O$5,1)="B",AX294,MAX(AX294,G294))))</f>
        <v>10</v>
      </c>
      <c r="AU294" s="57" t="n">
        <f aca="false">IF(BR294=1,0,ROUNDUP(AT294/BQ294,0))</f>
        <v>1</v>
      </c>
      <c r="AV294" s="59" t="n">
        <f aca="false">IF(CD294&gt;0,CD294*MAX(1,AT294/V294),IF(BR294=1,IF(AT294&lt;=0,0,BS294*MAX(1,IF(G294&gt;0,AT294/G294,1))),IF(Q294&gt;0,AU294/Q294,0))/MAX(0.1,N(Parameter!$M$21)))</f>
        <v>0.00241545893719807</v>
      </c>
      <c r="AW294" s="57" t="n">
        <f aca="false">AT294*F294</f>
        <v>307</v>
      </c>
      <c r="AX294" s="57" t="n">
        <f aca="false">ROUNDUP(MAX(I294/IF(BV294&gt;0,BV294,MAX(0.1,N(Cockpit!$O$6))),BY294)/BQ294,0)*BQ294</f>
        <v>10</v>
      </c>
      <c r="AY294" s="58" t="n">
        <f aca="false">IF(AV294&gt;0,I294/AV294,-1)</f>
        <v>828</v>
      </c>
      <c r="AZ294" s="58" t="n">
        <f aca="false">IF(AND(OR(BU294="L1",BU294="L23"),AV294&gt;0),SUMIFS($AV$7:$AV$1576,$BU$7:$BU$1576,BU294,$AY$7:$AY$1576,"&gt;"&amp;AY294)+SUMIFS($AV$7:$AV$1576,$BU$7:$BU$1576,BU294,$AY$7:$AY$1576,AY294,$BO$7:$BO$1576,"&lt;="&amp;BO294),"")</f>
        <v>25.8197955791546</v>
      </c>
      <c r="BA294" s="65" t="n">
        <f aca="false">IF(AZ294="",0,MAX(0,MIN(1,(IF(BU294="L1",Parameter!$E$5,Parameter!$E$6+Parameter!$E$7)-(AZ294-AV294))/AV294)))</f>
        <v>1</v>
      </c>
      <c r="BB294" s="55" t="str">
        <f aca="false">IF(AF294&lt;=0,"",IF(BU294="Aussen","Aussenlager",IF(BU294="-","Nicht im Lift",IF(AK294&gt;=1,"Lift",IF(AK294&lt;=0,"Aussenlager","teilweise")))))</f>
        <v>Lift</v>
      </c>
      <c r="BC294" s="55" t="str">
        <f aca="false">IF(AN294&lt;=0,"",IF(BU294="Aussen","Aussenlager",IF(BU294="-","Nicht im Lift",IF(AS294&gt;=1,"Lift",IF(AS294&lt;=0,"Aussenlager","teilweise")))))</f>
        <v>Lift</v>
      </c>
      <c r="BD294" s="55" t="str">
        <f aca="false">IF(AV294&lt;=0,"",IF(BU294="Aussen","Aussenlager",IF(BU294="-","Nicht im Lift",IF(BA294&gt;=1,"Lift",IF(BA294&lt;=0,"Aussenlager","teilweise")))))</f>
        <v>Lift</v>
      </c>
      <c r="BE294" s="55" t="str">
        <f aca="false">IF(A294="","",IF(BN294=1,"Neu; ","")&amp;IF(AND(BN294=0,BI294&lt;0),"negativer Bestand (Export "&amp;BI294&amp;"); ","")&amp;IF(I294&lt;=0,"Kein Verbrauch; ","")&amp;IF(CD294&gt;0,"Lift "&amp;U294&amp;" lt. Liftbericht (Fach "&amp;V294&amp;" Stk); ",IF(BR294=1,"Lose – Fläche geschätzt; ",""))&amp;IF(G294&gt;AP294,"Überbestand "&amp;ROUND(G294-AP294,0)&amp;" Stk / CHF "&amp;ROUND((G294-AP294)*F294,0)&amp;"; ","")&amp;IF(AND(BW294=1,BX294&lt;BY294),"MAX &lt; MB+LG; ","")&amp;IF(AND(CC294&gt;0,CB294*10&gt;CC294),"zu hoch für Tablar; ","")&amp;IF(AND(BN294=0,OR(BW294=1,Y294&lt;&gt;"",S294&lt;&gt;"",T294&lt;&gt;"",Z294&lt;&gt;"")),"manuell übersteuert; ","")&amp;IF(AND(BR294=0,Q294=0),"Gebinde unbekannt / Stellmass fehlt; ","")&amp;IF(AND(BR294=0,N(T294)&lt;=0,N(P294)&lt;=0),"Menge pro Gebinde fehlt (Ist = 1 Gebinde); ","")&amp;BM294)</f>
        <v/>
      </c>
      <c r="BF294" s="55"/>
      <c r="BG294" s="55"/>
      <c r="BH294" s="62"/>
      <c r="BI294" s="57" t="n">
        <v>8</v>
      </c>
      <c r="BJ294" s="57" t="n">
        <v>10</v>
      </c>
      <c r="BK294" s="56" t="n">
        <v>286.9</v>
      </c>
      <c r="BL294" s="57" t="n">
        <v>2</v>
      </c>
      <c r="BM294" s="55"/>
      <c r="BN294" s="60" t="n">
        <v>0</v>
      </c>
      <c r="BO294" s="60" t="n">
        <v>294</v>
      </c>
      <c r="BP294" s="55" t="str">
        <f aca="false">IF(S294&lt;&gt;"",UPPER(TRIM(S294)),IF(O294="","LOSE",O294))</f>
        <v>S21</v>
      </c>
      <c r="BQ294" s="57" t="n">
        <f aca="false">IF(BP294="LOSE",1,IF(N(T294)&gt;0,T294,IF(N(P294)&gt;0,P294,MAX(1,G294))))</f>
        <v>10</v>
      </c>
      <c r="BR294" s="60" t="n">
        <f aca="false">IF(BP294="LOSE",1,0)</f>
        <v>0</v>
      </c>
      <c r="BS294" s="59" t="n">
        <f aca="false">IF(BR294=0,0,IF(N(R294)&gt;0,R294,IFERROR(VLOOKUP(D294,Parameter!$A$35:$C$64,3,0)+0,0)))</f>
        <v>0</v>
      </c>
      <c r="BT294" s="55" t="n">
        <f aca="false">IF(Y294&lt;&gt;"",Y294,X294)</f>
        <v>3</v>
      </c>
      <c r="BU294" s="55" t="str">
        <f aca="false">IF(BT294=1,"L1",IF(OR(BT294=2,BT294=3),"L23",IF(BT294="Aussen","Aussen","-")))</f>
        <v>L23</v>
      </c>
      <c r="BV294" s="66" t="n">
        <f aca="false">IF(N(Z294)&gt;0,Z294,0)</f>
        <v>0</v>
      </c>
      <c r="BW294" s="60" t="n">
        <f aca="false">IF(ISNUMBER(AC294),1,0)</f>
        <v>0</v>
      </c>
      <c r="BX294" s="57" t="n">
        <f aca="false">N(AC294)</f>
        <v>0</v>
      </c>
      <c r="BY294" s="57" t="n">
        <f aca="false">N(L294)+N(M294)</f>
        <v>1</v>
      </c>
      <c r="BZ294" s="57" t="n">
        <f aca="false">ROUNDUP(G294/BQ294,0)</f>
        <v>1</v>
      </c>
      <c r="CA294" s="57" t="n">
        <f aca="false">ROUNDUP(BX294/BQ294,0)</f>
        <v>0</v>
      </c>
      <c r="CB294" s="60" t="n">
        <f aca="false">IF(BR294=1,0,IFERROR(VLOOKUP(BP294,'Gebinde-Kategorie'!$A$5:$M$45,5,0)+0,0))</f>
        <v>8</v>
      </c>
      <c r="CC294" s="60" t="n">
        <f aca="false">IFERROR(IF(OR(BT294=1,BT294=2,BT294=3),N(INDEX(Parameter!$I$5:$I$7,BT294)),0),0)</f>
        <v>0</v>
      </c>
      <c r="CD294" s="59" t="n">
        <f aca="false">IF(AND(Parameter!$B$21="Ja",ISNUMBER(U294),N(V294)&gt;0),IFERROR(N(INDEX(Parameter!$L$5:$L$7,U294))*INDEX(Parameter!$E$5:$E$7,U294)*V294/SUMIFS($V$7:$V$1576,$U$7:$U$1576,U294),0),0)</f>
        <v>0</v>
      </c>
    </row>
    <row r="295" customFormat="false" ht="15" hidden="false" customHeight="false" outlineLevel="0" collapsed="false">
      <c r="A295" s="55" t="s">
        <v>751</v>
      </c>
      <c r="B295" s="55" t="s">
        <v>752</v>
      </c>
      <c r="C295" s="55" t="s">
        <v>160</v>
      </c>
      <c r="D295" s="55" t="s">
        <v>178</v>
      </c>
      <c r="E295" s="55" t="s">
        <v>210</v>
      </c>
      <c r="F295" s="56" t="n">
        <v>5.72</v>
      </c>
      <c r="G295" s="57" t="n">
        <f aca="false">MAX(0,IF(AND(Parameter!$B$21="Ja",ISNUMBER(W295)),W295,IF(Parameter!$B$20="Jahresanfang 2025 + Export",BJ295+BI295,BI295)))</f>
        <v>50</v>
      </c>
      <c r="H295" s="57" t="n">
        <f aca="false">G295*F295</f>
        <v>286</v>
      </c>
      <c r="I295" s="57" t="n">
        <f aca="false">BL295*Parameter!$B$18</f>
        <v>0</v>
      </c>
      <c r="J295" s="58" t="n">
        <v>0</v>
      </c>
      <c r="K295" s="59" t="n">
        <v>0</v>
      </c>
      <c r="L295" s="57" t="n">
        <v>0</v>
      </c>
      <c r="M295" s="57" t="n">
        <v>1</v>
      </c>
      <c r="N295" s="60" t="n">
        <v>9999</v>
      </c>
      <c r="O295" s="55" t="s">
        <v>163</v>
      </c>
      <c r="P295" s="57"/>
      <c r="Q295" s="60" t="n">
        <f aca="false">IF(BR295=1,0,IFERROR(VLOOKUP(BP295,'Gebinde-Kategorie'!$A$5:$M$45,13,0)+0,0))</f>
        <v>0</v>
      </c>
      <c r="R295" s="61"/>
      <c r="S295" s="62"/>
      <c r="T295" s="62"/>
      <c r="U295" s="55"/>
      <c r="V295" s="57"/>
      <c r="W295" s="57"/>
      <c r="X295" s="55" t="n">
        <f aca="false">IF(A295="","",IF(AND(Parameter!$B$21="Ja",ISNUMBER(U295)),U295,IF(IFERROR(VLOOKUP(D295,Parameter!$A$35:$C$64,2,0),"Nein")="2+3",IF(ISNUMBER(SEARCH("grosser Artikel",BM295)),2,IFERROR(VLOOKUP(BP295,Parameter!$F$35:$G$64,2,0),2)),IF(OR(IFERROR(VLOOKUP(D295,Parameter!$A$35:$C$64,2,0),"Nein")="Nein",IFERROR(VLOOKUP(D295,Parameter!$A$35:$C$64,2,0),"Nein")=""),"-",VLOOKUP(D295,Parameter!$A$35:$C$64,2,0)))))</f>
        <v>2</v>
      </c>
      <c r="Y295" s="62"/>
      <c r="Z295" s="63"/>
      <c r="AA295" s="57" t="n">
        <f aca="false">AP295</f>
        <v>1</v>
      </c>
      <c r="AB295" s="57" t="n">
        <f aca="false">MAX(AP295,G295)</f>
        <v>50</v>
      </c>
      <c r="AC295" s="64"/>
      <c r="AD295" s="57" t="n">
        <f aca="false">IF(LEFT(Cockpit!$C$5,1)="A",G295,IF(BW295=1,BX295,IF(LEFT(Cockpit!$C$5,1)="B",AH295,MAX(AH295,G295))))</f>
        <v>50</v>
      </c>
      <c r="AE295" s="57" t="n">
        <f aca="false">IF(BR295=1,0,ROUNDUP(AD295/BQ295,0))</f>
        <v>0</v>
      </c>
      <c r="AF295" s="59" t="n">
        <f aca="false">IF(CD295&gt;0,CD295*MAX(1,AD295/V295),IF(BR295=1,IF(AD295&lt;=0,0,BS295*MAX(1,IF(G295&gt;0,AD295/G295,1))),IF(Q295&gt;0,AE295/Q295,0))/MAX(0.1,N(Parameter!$M$21)))</f>
        <v>0.03</v>
      </c>
      <c r="AG295" s="57" t="n">
        <f aca="false">AD295*F295</f>
        <v>286</v>
      </c>
      <c r="AH295" s="57" t="n">
        <f aca="false">ROUNDUP(MAX(I295/IF(BV295&gt;0,BV295,MAX(0.1,N(Cockpit!$C$6))),BY295)/BQ295,0)*BQ295</f>
        <v>1</v>
      </c>
      <c r="AI295" s="58" t="n">
        <f aca="false">IF(AF295&gt;0,I295/AF295,-1)</f>
        <v>0</v>
      </c>
      <c r="AJ295" s="58" t="n">
        <f aca="false">IF(AND(OR(BU295="L1",BU295="L23"),AF295&gt;0),SUMIFS($AF$7:$AF$1576,$BU$7:$BU$1576,BU295,$AI$7:$AI$1576,"&gt;"&amp;AI295)+SUMIFS($AF$7:$AF$1576,$BU$7:$BU$1576,BU295,$AI$7:$AI$1576,AI295,$BO$7:$BO$1576,"&lt;="&amp;BO295),"")</f>
        <v>40.5408489578055</v>
      </c>
      <c r="AK295" s="65" t="n">
        <f aca="false">IF(AJ295="",0,MAX(0,MIN(1,(IF(BU295="L1",Parameter!$E$5,Parameter!$E$6+Parameter!$E$7)-(AJ295-AF295))/AF295)))</f>
        <v>1</v>
      </c>
      <c r="AL295" s="57" t="n">
        <f aca="false">IF(LEFT(Cockpit!$I$5,1)="A",G295,IF(BW295=1,BX295,IF(LEFT(Cockpit!$I$5,1)="B",AP295,MAX(AP295,G295))))</f>
        <v>50</v>
      </c>
      <c r="AM295" s="57" t="n">
        <f aca="false">IF(BR295=1,0,ROUNDUP(AL295/BQ295,0))</f>
        <v>0</v>
      </c>
      <c r="AN295" s="59" t="n">
        <f aca="false">IF(CD295&gt;0,CD295*MAX(1,AL295/V295),IF(BR295=1,IF(AL295&lt;=0,0,BS295*MAX(1,IF(G295&gt;0,AL295/G295,1))),IF(Q295&gt;0,AM295/Q295,0))/MAX(0.1,N(Parameter!$M$21)))</f>
        <v>0.03</v>
      </c>
      <c r="AO295" s="57" t="n">
        <f aca="false">AL295*F295</f>
        <v>286</v>
      </c>
      <c r="AP295" s="57" t="n">
        <f aca="false">ROUNDUP(MAX(I295/IF(BV295&gt;0,BV295,MAX(0.1,N(Cockpit!$I$6))),BY295)/BQ295,0)*BQ295</f>
        <v>1</v>
      </c>
      <c r="AQ295" s="58" t="n">
        <f aca="false">IF(AN295&gt;0,I295/AN295,-1)</f>
        <v>0</v>
      </c>
      <c r="AR295" s="58" t="n">
        <f aca="false">IF(AND(OR(BU295="L1",BU295="L23"),AN295&gt;0),SUMIFS($AN$7:$AN$1576,$BU$7:$BU$1576,BU295,$AQ$7:$AQ$1576,"&gt;"&amp;AQ295)+SUMIFS($AN$7:$AN$1576,$BU$7:$BU$1576,BU295,$AQ$7:$AQ$1576,AQ295,$BO$7:$BO$1576,"&lt;="&amp;BO295),"")</f>
        <v>123.415054707595</v>
      </c>
      <c r="AS295" s="65" t="n">
        <f aca="false">IF(AR295="",0,MAX(0,MIN(1,(IF(BU295="L1",Parameter!$E$5,Parameter!$E$6+Parameter!$E$7)-(AR295-AN295))/AN295)))</f>
        <v>0</v>
      </c>
      <c r="AT295" s="57" t="n">
        <f aca="false">IF(LEFT(Cockpit!$O$5,1)="A",G295,IF(BW295=1,BX295,IF(LEFT(Cockpit!$O$5,1)="B",AX295,MAX(AX295,G295))))</f>
        <v>50</v>
      </c>
      <c r="AU295" s="57" t="n">
        <f aca="false">IF(BR295=1,0,ROUNDUP(AT295/BQ295,0))</f>
        <v>0</v>
      </c>
      <c r="AV295" s="59" t="n">
        <f aca="false">IF(CD295&gt;0,CD295*MAX(1,AT295/V295),IF(BR295=1,IF(AT295&lt;=0,0,BS295*MAX(1,IF(G295&gt;0,AT295/G295,1))),IF(Q295&gt;0,AU295/Q295,0))/MAX(0.1,N(Parameter!$M$21)))</f>
        <v>0.03</v>
      </c>
      <c r="AW295" s="57" t="n">
        <f aca="false">AT295*F295</f>
        <v>286</v>
      </c>
      <c r="AX295" s="57" t="n">
        <f aca="false">ROUNDUP(MAX(I295/IF(BV295&gt;0,BV295,MAX(0.1,N(Cockpit!$O$6))),BY295)/BQ295,0)*BQ295</f>
        <v>1</v>
      </c>
      <c r="AY295" s="58" t="n">
        <f aca="false">IF(AV295&gt;0,I295/AV295,-1)</f>
        <v>0</v>
      </c>
      <c r="AZ295" s="58" t="n">
        <f aca="false">IF(AND(OR(BU295="L1",BU295="L23"),AV295&gt;0),SUMIFS($AV$7:$AV$1576,$BU$7:$BU$1576,BU295,$AY$7:$AY$1576,"&gt;"&amp;AY295)+SUMIFS($AV$7:$AV$1576,$BU$7:$BU$1576,BU295,$AY$7:$AY$1576,AY295,$BO$7:$BO$1576,"&lt;="&amp;BO295),"")</f>
        <v>113.474605157145</v>
      </c>
      <c r="BA295" s="65" t="n">
        <f aca="false">IF(AZ295="",0,MAX(0,MIN(1,(IF(BU295="L1",Parameter!$E$5,Parameter!$E$6+Parameter!$E$7)-(AZ295-AV295))/AV295)))</f>
        <v>0</v>
      </c>
      <c r="BB295" s="55" t="str">
        <f aca="false">IF(AF295&lt;=0,"",IF(BU295="Aussen","Aussenlager",IF(BU295="-","Nicht im Lift",IF(AK295&gt;=1,"Lift",IF(AK295&lt;=0,"Aussenlager","teilweise")))))</f>
        <v>Lift</v>
      </c>
      <c r="BC295" s="55" t="str">
        <f aca="false">IF(AN295&lt;=0,"",IF(BU295="Aussen","Aussenlager",IF(BU295="-","Nicht im Lift",IF(AS295&gt;=1,"Lift",IF(AS295&lt;=0,"Aussenlager","teilweise")))))</f>
        <v>Aussenlager</v>
      </c>
      <c r="BD295" s="55" t="str">
        <f aca="false">IF(AV295&lt;=0,"",IF(BU295="Aussen","Aussenlager",IF(BU295="-","Nicht im Lift",IF(BA295&gt;=1,"Lift",IF(BA295&lt;=0,"Aussenlager","teilweise")))))</f>
        <v>Aussenlager</v>
      </c>
      <c r="BE295" s="55" t="str">
        <f aca="false">IF(A295="","",IF(BN295=1,"Neu; ","")&amp;IF(AND(BN295=0,BI295&lt;0),"negativer Bestand (Export "&amp;BI295&amp;"); ","")&amp;IF(I295&lt;=0,"Kein Verbrauch; ","")&amp;IF(CD295&gt;0,"Lift "&amp;U295&amp;" lt. Liftbericht (Fach "&amp;V295&amp;" Stk); ",IF(BR295=1,"Lose – Fläche geschätzt; ",""))&amp;IF(G295&gt;AP295,"Überbestand "&amp;ROUND(G295-AP295,0)&amp;" Stk / CHF "&amp;ROUND((G295-AP295)*F295,0)&amp;"; ","")&amp;IF(AND(BW295=1,BX295&lt;BY295),"MAX &lt; MB+LG; ","")&amp;IF(AND(CC295&gt;0,CB295*10&gt;CC295),"zu hoch für Tablar; ","")&amp;IF(AND(BN295=0,OR(BW295=1,Y295&lt;&gt;"",S295&lt;&gt;"",T295&lt;&gt;"",Z295&lt;&gt;"")),"manuell übersteuert; ","")&amp;IF(AND(BR295=0,Q295=0),"Gebinde unbekannt / Stellmass fehlt; ","")&amp;IF(AND(BR295=0,N(T295)&lt;=0,N(P295)&lt;=0),"Menge pro Gebinde fehlt (Ist = 1 Gebinde); ","")&amp;BM295)</f>
        <v>Kein Verbrauch; Lose – Fläche geschätzt; Überbestand 49 Stk / CHF 280; </v>
      </c>
      <c r="BF295" s="55"/>
      <c r="BG295" s="55"/>
      <c r="BH295" s="62"/>
      <c r="BI295" s="57" t="n">
        <v>50</v>
      </c>
      <c r="BJ295" s="57" t="n">
        <v>0</v>
      </c>
      <c r="BK295" s="56" t="n">
        <v>286</v>
      </c>
      <c r="BL295" s="57" t="n">
        <v>0</v>
      </c>
      <c r="BM295" s="55"/>
      <c r="BN295" s="60" t="n">
        <v>0</v>
      </c>
      <c r="BO295" s="60" t="n">
        <v>295</v>
      </c>
      <c r="BP295" s="55" t="str">
        <f aca="false">IF(S295&lt;&gt;"",UPPER(TRIM(S295)),IF(O295="","LOSE",O295))</f>
        <v>LOSE</v>
      </c>
      <c r="BQ295" s="57" t="n">
        <f aca="false">IF(BP295="LOSE",1,IF(N(T295)&gt;0,T295,IF(N(P295)&gt;0,P295,MAX(1,G295))))</f>
        <v>1</v>
      </c>
      <c r="BR295" s="60" t="n">
        <f aca="false">IF(BP295="LOSE",1,0)</f>
        <v>1</v>
      </c>
      <c r="BS295" s="59" t="n">
        <f aca="false">IF(BR295=0,0,IF(N(R295)&gt;0,R295,IFERROR(VLOOKUP(D295,Parameter!$A$35:$C$64,3,0)+0,0)))</f>
        <v>0.03</v>
      </c>
      <c r="BT295" s="55" t="n">
        <f aca="false">IF(Y295&lt;&gt;"",Y295,X295)</f>
        <v>2</v>
      </c>
      <c r="BU295" s="55" t="str">
        <f aca="false">IF(BT295=1,"L1",IF(OR(BT295=2,BT295=3),"L23",IF(BT295="Aussen","Aussen","-")))</f>
        <v>L23</v>
      </c>
      <c r="BV295" s="66" t="n">
        <f aca="false">IF(N(Z295)&gt;0,Z295,0)</f>
        <v>0</v>
      </c>
      <c r="BW295" s="60" t="n">
        <f aca="false">IF(ISNUMBER(AC295),1,0)</f>
        <v>0</v>
      </c>
      <c r="BX295" s="57" t="n">
        <f aca="false">N(AC295)</f>
        <v>0</v>
      </c>
      <c r="BY295" s="57" t="n">
        <f aca="false">N(L295)+N(M295)</f>
        <v>1</v>
      </c>
      <c r="BZ295" s="57" t="n">
        <f aca="false">ROUNDUP(G295/BQ295,0)</f>
        <v>50</v>
      </c>
      <c r="CA295" s="57" t="n">
        <f aca="false">ROUNDUP(BX295/BQ295,0)</f>
        <v>0</v>
      </c>
      <c r="CB295" s="60" t="n">
        <f aca="false">IF(BR295=1,0,IFERROR(VLOOKUP(BP295,'Gebinde-Kategorie'!$A$5:$M$45,5,0)+0,0))</f>
        <v>0</v>
      </c>
      <c r="CC295" s="60" t="n">
        <f aca="false">IFERROR(IF(OR(BT295=1,BT295=2,BT295=3),N(INDEX(Parameter!$I$5:$I$7,BT295)),0),0)</f>
        <v>0</v>
      </c>
      <c r="CD295" s="59" t="n">
        <f aca="false">IF(AND(Parameter!$B$21="Ja",ISNUMBER(U295),N(V295)&gt;0),IFERROR(N(INDEX(Parameter!$L$5:$L$7,U295))*INDEX(Parameter!$E$5:$E$7,U295)*V295/SUMIFS($V$7:$V$1576,$U$7:$U$1576,U295),0),0)</f>
        <v>0</v>
      </c>
    </row>
    <row r="296" customFormat="false" ht="15" hidden="false" customHeight="false" outlineLevel="0" collapsed="false">
      <c r="A296" s="55" t="s">
        <v>753</v>
      </c>
      <c r="B296" s="55" t="s">
        <v>565</v>
      </c>
      <c r="C296" s="55" t="s">
        <v>160</v>
      </c>
      <c r="D296" s="55" t="s">
        <v>178</v>
      </c>
      <c r="E296" s="55" t="s">
        <v>210</v>
      </c>
      <c r="F296" s="56" t="n">
        <v>738.65</v>
      </c>
      <c r="G296" s="57" t="n">
        <f aca="false">MAX(0,IF(AND(Parameter!$B$21="Ja",ISNUMBER(W296)),W296,IF(Parameter!$B$20="Jahresanfang 2025 + Export",BJ296+BI296,BI296)))</f>
        <v>0</v>
      </c>
      <c r="H296" s="57" t="n">
        <f aca="false">G296*F296</f>
        <v>0</v>
      </c>
      <c r="I296" s="57" t="n">
        <f aca="false">BL296*Parameter!$B$18</f>
        <v>14</v>
      </c>
      <c r="J296" s="58" t="n">
        <v>4.5</v>
      </c>
      <c r="K296" s="59" t="n">
        <v>3.11111111111111</v>
      </c>
      <c r="L296" s="57" t="n">
        <v>10</v>
      </c>
      <c r="M296" s="57" t="n">
        <v>5</v>
      </c>
      <c r="N296" s="60" t="n">
        <v>28</v>
      </c>
      <c r="O296" s="55" t="s">
        <v>163</v>
      </c>
      <c r="P296" s="57"/>
      <c r="Q296" s="60" t="n">
        <f aca="false">IF(BR296=1,0,IFERROR(VLOOKUP(BP296,'Gebinde-Kategorie'!$A$5:$M$45,13,0)+0,0))</f>
        <v>0</v>
      </c>
      <c r="R296" s="61"/>
      <c r="S296" s="62"/>
      <c r="T296" s="62"/>
      <c r="U296" s="55"/>
      <c r="V296" s="57"/>
      <c r="W296" s="57"/>
      <c r="X296" s="55" t="n">
        <f aca="false">IF(A296="","",IF(AND(Parameter!$B$21="Ja",ISNUMBER(U296)),U296,IF(IFERROR(VLOOKUP(D296,Parameter!$A$35:$C$64,2,0),"Nein")="2+3",IF(ISNUMBER(SEARCH("grosser Artikel",BM296)),2,IFERROR(VLOOKUP(BP296,Parameter!$F$35:$G$64,2,0),2)),IF(OR(IFERROR(VLOOKUP(D296,Parameter!$A$35:$C$64,2,0),"Nein")="Nein",IFERROR(VLOOKUP(D296,Parameter!$A$35:$C$64,2,0),"Nein")=""),"-",VLOOKUP(D296,Parameter!$A$35:$C$64,2,0)))))</f>
        <v>2</v>
      </c>
      <c r="Y296" s="62"/>
      <c r="Z296" s="63"/>
      <c r="AA296" s="57" t="n">
        <f aca="false">AP296</f>
        <v>15</v>
      </c>
      <c r="AB296" s="57" t="n">
        <f aca="false">MAX(AP296,G296)</f>
        <v>15</v>
      </c>
      <c r="AC296" s="64"/>
      <c r="AD296" s="57" t="n">
        <f aca="false">IF(LEFT(Cockpit!$C$5,1)="A",G296,IF(BW296=1,BX296,IF(LEFT(Cockpit!$C$5,1)="B",AH296,MAX(AH296,G296))))</f>
        <v>0</v>
      </c>
      <c r="AE296" s="57" t="n">
        <f aca="false">IF(BR296=1,0,ROUNDUP(AD296/BQ296,0))</f>
        <v>0</v>
      </c>
      <c r="AF296" s="59" t="n">
        <f aca="false">IF(CD296&gt;0,CD296*MAX(1,AD296/V296),IF(BR296=1,IF(AD296&lt;=0,0,BS296*MAX(1,IF(G296&gt;0,AD296/G296,1))),IF(Q296&gt;0,AE296/Q296,0))/MAX(0.1,N(Parameter!$M$21)))</f>
        <v>0</v>
      </c>
      <c r="AG296" s="57" t="n">
        <f aca="false">AD296*F296</f>
        <v>0</v>
      </c>
      <c r="AH296" s="57" t="n">
        <f aca="false">ROUNDUP(MAX(I296/IF(BV296&gt;0,BV296,MAX(0.1,N(Cockpit!$C$6))),BY296)/BQ296,0)*BQ296</f>
        <v>15</v>
      </c>
      <c r="AI296" s="58" t="n">
        <f aca="false">IF(AF296&gt;0,I296/AF296,-1)</f>
        <v>-1</v>
      </c>
      <c r="AJ296" s="58" t="str">
        <f aca="false">IF(AND(OR(BU296="L1",BU296="L23"),AF296&gt;0),SUMIFS($AF$7:$AF$1576,$BU$7:$BU$1576,BU296,$AI$7:$AI$1576,"&gt;"&amp;AI296)+SUMIFS($AF$7:$AF$1576,$BU$7:$BU$1576,BU296,$AI$7:$AI$1576,AI296,$BO$7:$BO$1576,"&lt;="&amp;BO296),"")</f>
        <v/>
      </c>
      <c r="AK296" s="65" t="n">
        <f aca="false">IF(AJ296="",0,MAX(0,MIN(1,(IF(BU296="L1",Parameter!$E$5,Parameter!$E$6+Parameter!$E$7)-(AJ296-AF296))/AF296)))</f>
        <v>0</v>
      </c>
      <c r="AL296" s="57" t="n">
        <f aca="false">IF(LEFT(Cockpit!$I$5,1)="A",G296,IF(BW296=1,BX296,IF(LEFT(Cockpit!$I$5,1)="B",AP296,MAX(AP296,G296))))</f>
        <v>15</v>
      </c>
      <c r="AM296" s="57" t="n">
        <f aca="false">IF(BR296=1,0,ROUNDUP(AL296/BQ296,0))</f>
        <v>0</v>
      </c>
      <c r="AN296" s="59" t="n">
        <f aca="false">IF(CD296&gt;0,CD296*MAX(1,AL296/V296),IF(BR296=1,IF(AL296&lt;=0,0,BS296*MAX(1,IF(G296&gt;0,AL296/G296,1))),IF(Q296&gt;0,AM296/Q296,0))/MAX(0.1,N(Parameter!$M$21)))</f>
        <v>0.03</v>
      </c>
      <c r="AO296" s="57" t="n">
        <f aca="false">AL296*F296</f>
        <v>11079.75</v>
      </c>
      <c r="AP296" s="57" t="n">
        <f aca="false">ROUNDUP(MAX(I296/IF(BV296&gt;0,BV296,MAX(0.1,N(Cockpit!$I$6))),BY296)/BQ296,0)*BQ296</f>
        <v>15</v>
      </c>
      <c r="AQ296" s="58" t="n">
        <f aca="false">IF(AN296&gt;0,I296/AN296,-1)</f>
        <v>466.666666666667</v>
      </c>
      <c r="AR296" s="58" t="n">
        <f aca="false">IF(AND(OR(BU296="L1",BU296="L23"),AN296&gt;0),SUMIFS($AN$7:$AN$1576,$BU$7:$BU$1576,BU296,$AQ$7:$AQ$1576,"&gt;"&amp;AQ296)+SUMIFS($AN$7:$AN$1576,$BU$7:$BU$1576,BU296,$AQ$7:$AQ$1576,AQ296,$BO$7:$BO$1576,"&lt;="&amp;BO296),"")</f>
        <v>35.1721102692953</v>
      </c>
      <c r="AS296" s="65" t="n">
        <f aca="false">IF(AR296="",0,MAX(0,MIN(1,(IF(BU296="L1",Parameter!$E$5,Parameter!$E$6+Parameter!$E$7)-(AR296-AN296))/AN296)))</f>
        <v>1</v>
      </c>
      <c r="AT296" s="57" t="n">
        <f aca="false">IF(LEFT(Cockpit!$O$5,1)="A",G296,IF(BW296=1,BX296,IF(LEFT(Cockpit!$O$5,1)="B",AX296,MAX(AX296,G296))))</f>
        <v>15</v>
      </c>
      <c r="AU296" s="57" t="n">
        <f aca="false">IF(BR296=1,0,ROUNDUP(AT296/BQ296,0))</f>
        <v>0</v>
      </c>
      <c r="AV296" s="59" t="n">
        <f aca="false">IF(CD296&gt;0,CD296*MAX(1,AT296/V296),IF(BR296=1,IF(AT296&lt;=0,0,BS296*MAX(1,IF(G296&gt;0,AT296/G296,1))),IF(Q296&gt;0,AU296/Q296,0))/MAX(0.1,N(Parameter!$M$21)))</f>
        <v>0.03</v>
      </c>
      <c r="AW296" s="57" t="n">
        <f aca="false">AT296*F296</f>
        <v>11079.75</v>
      </c>
      <c r="AX296" s="57" t="n">
        <f aca="false">ROUNDUP(MAX(I296/IF(BV296&gt;0,BV296,MAX(0.1,N(Cockpit!$O$6))),BY296)/BQ296,0)*BQ296</f>
        <v>15</v>
      </c>
      <c r="AY296" s="58" t="n">
        <f aca="false">IF(AV296&gt;0,I296/AV296,-1)</f>
        <v>466.666666666667</v>
      </c>
      <c r="AZ296" s="58" t="n">
        <f aca="false">IF(AND(OR(BU296="L1",BU296="L23"),AV296&gt;0),SUMIFS($AV$7:$AV$1576,$BU$7:$BU$1576,BU296,$AY$7:$AY$1576,"&gt;"&amp;AY296)+SUMIFS($AV$7:$AV$1576,$BU$7:$BU$1576,BU296,$AY$7:$AY$1576,AY296,$BO$7:$BO$1576,"&lt;="&amp;BO296),"")</f>
        <v>34.3240350112201</v>
      </c>
      <c r="BA296" s="65" t="n">
        <f aca="false">IF(AZ296="",0,MAX(0,MIN(1,(IF(BU296="L1",Parameter!$E$5,Parameter!$E$6+Parameter!$E$7)-(AZ296-AV296))/AV296)))</f>
        <v>1</v>
      </c>
      <c r="BB296" s="55" t="str">
        <f aca="false">IF(AF296&lt;=0,"",IF(BU296="Aussen","Aussenlager",IF(BU296="-","Nicht im Lift",IF(AK296&gt;=1,"Lift",IF(AK296&lt;=0,"Aussenlager","teilweise")))))</f>
        <v/>
      </c>
      <c r="BC296" s="55" t="str">
        <f aca="false">IF(AN296&lt;=0,"",IF(BU296="Aussen","Aussenlager",IF(BU296="-","Nicht im Lift",IF(AS296&gt;=1,"Lift",IF(AS296&lt;=0,"Aussenlager","teilweise")))))</f>
        <v>Lift</v>
      </c>
      <c r="BD296" s="55" t="str">
        <f aca="false">IF(AV296&lt;=0,"",IF(BU296="Aussen","Aussenlager",IF(BU296="-","Nicht im Lift",IF(BA296&gt;=1,"Lift",IF(BA296&lt;=0,"Aussenlager","teilweise")))))</f>
        <v>Lift</v>
      </c>
      <c r="BE296" s="55" t="str">
        <f aca="false">IF(A296="","",IF(BN296=1,"Neu; ","")&amp;IF(AND(BN296=0,BI296&lt;0),"negativer Bestand (Export "&amp;BI296&amp;"); ","")&amp;IF(I296&lt;=0,"Kein Verbrauch; ","")&amp;IF(CD296&gt;0,"Lift "&amp;U296&amp;" lt. Liftbericht (Fach "&amp;V296&amp;" Stk); ",IF(BR296=1,"Lose – Fläche geschätzt; ",""))&amp;IF(G296&gt;AP296,"Überbestand "&amp;ROUND(G296-AP296,0)&amp;" Stk / CHF "&amp;ROUND((G296-AP296)*F296,0)&amp;"; ","")&amp;IF(AND(BW296=1,BX296&lt;BY296),"MAX &lt; MB+LG; ","")&amp;IF(AND(CC296&gt;0,CB296*10&gt;CC296),"zu hoch für Tablar; ","")&amp;IF(AND(BN296=0,OR(BW296=1,Y296&lt;&gt;"",S296&lt;&gt;"",T296&lt;&gt;"",Z296&lt;&gt;"")),"manuell übersteuert; ","")&amp;IF(AND(BR296=0,Q296=0),"Gebinde unbekannt / Stellmass fehlt; ","")&amp;IF(AND(BR296=0,N(T296)&lt;=0,N(P296)&lt;=0),"Menge pro Gebinde fehlt (Ist = 1 Gebinde); ","")&amp;BM296)</f>
        <v>Lose – Fläche geschätzt; </v>
      </c>
      <c r="BF296" s="55"/>
      <c r="BG296" s="55"/>
      <c r="BH296" s="62"/>
      <c r="BI296" s="57" t="n">
        <v>0</v>
      </c>
      <c r="BJ296" s="57" t="n">
        <v>4</v>
      </c>
      <c r="BK296" s="56" t="n">
        <v>279.720000000003</v>
      </c>
      <c r="BL296" s="57" t="n">
        <v>14</v>
      </c>
      <c r="BM296" s="55"/>
      <c r="BN296" s="60" t="n">
        <v>0</v>
      </c>
      <c r="BO296" s="60" t="n">
        <v>296</v>
      </c>
      <c r="BP296" s="55" t="str">
        <f aca="false">IF(S296&lt;&gt;"",UPPER(TRIM(S296)),IF(O296="","LOSE",O296))</f>
        <v>LOSE</v>
      </c>
      <c r="BQ296" s="57" t="n">
        <f aca="false">IF(BP296="LOSE",1,IF(N(T296)&gt;0,T296,IF(N(P296)&gt;0,P296,MAX(1,G296))))</f>
        <v>1</v>
      </c>
      <c r="BR296" s="60" t="n">
        <f aca="false">IF(BP296="LOSE",1,0)</f>
        <v>1</v>
      </c>
      <c r="BS296" s="59" t="n">
        <f aca="false">IF(BR296=0,0,IF(N(R296)&gt;0,R296,IFERROR(VLOOKUP(D296,Parameter!$A$35:$C$64,3,0)+0,0)))</f>
        <v>0.03</v>
      </c>
      <c r="BT296" s="55" t="n">
        <f aca="false">IF(Y296&lt;&gt;"",Y296,X296)</f>
        <v>2</v>
      </c>
      <c r="BU296" s="55" t="str">
        <f aca="false">IF(BT296=1,"L1",IF(OR(BT296=2,BT296=3),"L23",IF(BT296="Aussen","Aussen","-")))</f>
        <v>L23</v>
      </c>
      <c r="BV296" s="66" t="n">
        <f aca="false">IF(N(Z296)&gt;0,Z296,0)</f>
        <v>0</v>
      </c>
      <c r="BW296" s="60" t="n">
        <f aca="false">IF(ISNUMBER(AC296),1,0)</f>
        <v>0</v>
      </c>
      <c r="BX296" s="57" t="n">
        <f aca="false">N(AC296)</f>
        <v>0</v>
      </c>
      <c r="BY296" s="57" t="n">
        <f aca="false">N(L296)+N(M296)</f>
        <v>15</v>
      </c>
      <c r="BZ296" s="57" t="n">
        <f aca="false">ROUNDUP(G296/BQ296,0)</f>
        <v>0</v>
      </c>
      <c r="CA296" s="57" t="n">
        <f aca="false">ROUNDUP(BX296/BQ296,0)</f>
        <v>0</v>
      </c>
      <c r="CB296" s="60" t="n">
        <f aca="false">IF(BR296=1,0,IFERROR(VLOOKUP(BP296,'Gebinde-Kategorie'!$A$5:$M$45,5,0)+0,0))</f>
        <v>0</v>
      </c>
      <c r="CC296" s="60" t="n">
        <f aca="false">IFERROR(IF(OR(BT296=1,BT296=2,BT296=3),N(INDEX(Parameter!$I$5:$I$7,BT296)),0),0)</f>
        <v>0</v>
      </c>
      <c r="CD296" s="59" t="n">
        <f aca="false">IF(AND(Parameter!$B$21="Ja",ISNUMBER(U296),N(V296)&gt;0),IFERROR(N(INDEX(Parameter!$L$5:$L$7,U296))*INDEX(Parameter!$E$5:$E$7,U296)*V296/SUMIFS($V$7:$V$1576,$U$7:$U$1576,U296),0),0)</f>
        <v>0</v>
      </c>
    </row>
    <row r="297" customFormat="false" ht="15" hidden="false" customHeight="false" outlineLevel="0" collapsed="false">
      <c r="A297" s="55" t="s">
        <v>754</v>
      </c>
      <c r="B297" s="55" t="s">
        <v>755</v>
      </c>
      <c r="C297" s="55" t="s">
        <v>160</v>
      </c>
      <c r="D297" s="55" t="s">
        <v>178</v>
      </c>
      <c r="E297" s="55" t="s">
        <v>210</v>
      </c>
      <c r="F297" s="56" t="n">
        <v>29.89</v>
      </c>
      <c r="G297" s="57" t="n">
        <f aca="false">MAX(0,IF(AND(Parameter!$B$21="Ja",ISNUMBER(W297)),W297,IF(Parameter!$B$20="Jahresanfang 2025 + Export",BJ297+BI297,BI297)))</f>
        <v>9</v>
      </c>
      <c r="H297" s="57" t="n">
        <f aca="false">G297*F297</f>
        <v>269.01</v>
      </c>
      <c r="I297" s="57" t="n">
        <f aca="false">BL297*Parameter!$B$18</f>
        <v>2</v>
      </c>
      <c r="J297" s="58" t="n">
        <v>9</v>
      </c>
      <c r="K297" s="59" t="n">
        <v>0.222222222222222</v>
      </c>
      <c r="L297" s="57" t="n">
        <v>0</v>
      </c>
      <c r="M297" s="57" t="n">
        <v>1</v>
      </c>
      <c r="N297" s="60" t="n">
        <v>28</v>
      </c>
      <c r="O297" s="55" t="s">
        <v>465</v>
      </c>
      <c r="P297" s="57" t="n">
        <v>12</v>
      </c>
      <c r="Q297" s="60" t="n">
        <f aca="false">IF(BR297=1,0,IFERROR(VLOOKUP(BP297,'Gebinde-Kategorie'!$A$5:$M$45,13,0)+0,0))</f>
        <v>66</v>
      </c>
      <c r="R297" s="61"/>
      <c r="S297" s="62"/>
      <c r="T297" s="62"/>
      <c r="U297" s="55"/>
      <c r="V297" s="57"/>
      <c r="W297" s="57"/>
      <c r="X297" s="55" t="n">
        <f aca="false">IF(A297="","",IF(AND(Parameter!$B$21="Ja",ISNUMBER(U297)),U297,IF(IFERROR(VLOOKUP(D297,Parameter!$A$35:$C$64,2,0),"Nein")="2+3",IF(ISNUMBER(SEARCH("grosser Artikel",BM297)),2,IFERROR(VLOOKUP(BP297,Parameter!$F$35:$G$64,2,0),2)),IF(OR(IFERROR(VLOOKUP(D297,Parameter!$A$35:$C$64,2,0),"Nein")="Nein",IFERROR(VLOOKUP(D297,Parameter!$A$35:$C$64,2,0),"Nein")=""),"-",VLOOKUP(D297,Parameter!$A$35:$C$64,2,0)))))</f>
        <v>3</v>
      </c>
      <c r="Y297" s="62"/>
      <c r="Z297" s="63"/>
      <c r="AA297" s="57" t="n">
        <f aca="false">AP297</f>
        <v>12</v>
      </c>
      <c r="AB297" s="57" t="n">
        <f aca="false">MAX(AP297,G297)</f>
        <v>12</v>
      </c>
      <c r="AC297" s="64"/>
      <c r="AD297" s="57" t="n">
        <f aca="false">IF(LEFT(Cockpit!$C$5,1)="A",G297,IF(BW297=1,BX297,IF(LEFT(Cockpit!$C$5,1)="B",AH297,MAX(AH297,G297))))</f>
        <v>9</v>
      </c>
      <c r="AE297" s="57" t="n">
        <f aca="false">IF(BR297=1,0,ROUNDUP(AD297/BQ297,0))</f>
        <v>1</v>
      </c>
      <c r="AF297" s="59" t="n">
        <f aca="false">IF(CD297&gt;0,CD297*MAX(1,AD297/V297),IF(BR297=1,IF(AD297&lt;=0,0,BS297*MAX(1,IF(G297&gt;0,AD297/G297,1))),IF(Q297&gt;0,AE297/Q297,0))/MAX(0.1,N(Parameter!$M$21)))</f>
        <v>0.0151515151515152</v>
      </c>
      <c r="AG297" s="57" t="n">
        <f aca="false">AD297*F297</f>
        <v>269.01</v>
      </c>
      <c r="AH297" s="57" t="n">
        <f aca="false">ROUNDUP(MAX(I297/IF(BV297&gt;0,BV297,MAX(0.1,N(Cockpit!$C$6))),BY297)/BQ297,0)*BQ297</f>
        <v>12</v>
      </c>
      <c r="AI297" s="58" t="n">
        <f aca="false">IF(AF297&gt;0,I297/AF297,-1)</f>
        <v>132</v>
      </c>
      <c r="AJ297" s="58" t="n">
        <f aca="false">IF(AND(OR(BU297="L1",BU297="L23"),AF297&gt;0),SUMIFS($AF$7:$AF$1576,$BU$7:$BU$1576,BU297,$AI$7:$AI$1576,"&gt;"&amp;AI297)+SUMIFS($AF$7:$AF$1576,$BU$7:$BU$1576,BU297,$AI$7:$AI$1576,AI297,$BO$7:$BO$1576,"&lt;="&amp;BO297),"")</f>
        <v>20.4464355933921</v>
      </c>
      <c r="AK297" s="65" t="n">
        <f aca="false">IF(AJ297="",0,MAX(0,MIN(1,(IF(BU297="L1",Parameter!$E$5,Parameter!$E$6+Parameter!$E$7)-(AJ297-AF297))/AF297)))</f>
        <v>1</v>
      </c>
      <c r="AL297" s="57" t="n">
        <f aca="false">IF(LEFT(Cockpit!$I$5,1)="A",G297,IF(BW297=1,BX297,IF(LEFT(Cockpit!$I$5,1)="B",AP297,MAX(AP297,G297))))</f>
        <v>12</v>
      </c>
      <c r="AM297" s="57" t="n">
        <f aca="false">IF(BR297=1,0,ROUNDUP(AL297/BQ297,0))</f>
        <v>1</v>
      </c>
      <c r="AN297" s="59" t="n">
        <f aca="false">IF(CD297&gt;0,CD297*MAX(1,AL297/V297),IF(BR297=1,IF(AL297&lt;=0,0,BS297*MAX(1,IF(G297&gt;0,AL297/G297,1))),IF(Q297&gt;0,AM297/Q297,0))/MAX(0.1,N(Parameter!$M$21)))</f>
        <v>0.0151515151515152</v>
      </c>
      <c r="AO297" s="57" t="n">
        <f aca="false">AL297*F297</f>
        <v>358.68</v>
      </c>
      <c r="AP297" s="57" t="n">
        <f aca="false">ROUNDUP(MAX(I297/IF(BV297&gt;0,BV297,MAX(0.1,N(Cockpit!$I$6))),BY297)/BQ297,0)*BQ297</f>
        <v>12</v>
      </c>
      <c r="AQ297" s="58" t="n">
        <f aca="false">IF(AN297&gt;0,I297/AN297,-1)</f>
        <v>132</v>
      </c>
      <c r="AR297" s="58" t="n">
        <f aca="false">IF(AND(OR(BU297="L1",BU297="L23"),AN297&gt;0),SUMIFS($AN$7:$AN$1576,$BU$7:$BU$1576,BU297,$AQ$7:$AQ$1576,"&gt;"&amp;AQ297)+SUMIFS($AN$7:$AN$1576,$BU$7:$BU$1576,BU297,$AQ$7:$AQ$1576,AQ297,$BO$7:$BO$1576,"&lt;="&amp;BO297),"")</f>
        <v>60.0782844332956</v>
      </c>
      <c r="AS297" s="65" t="n">
        <f aca="false">IF(AR297="",0,MAX(0,MIN(1,(IF(BU297="L1",Parameter!$E$5,Parameter!$E$6+Parameter!$E$7)-(AR297-AN297))/AN297)))</f>
        <v>1</v>
      </c>
      <c r="AT297" s="57" t="n">
        <f aca="false">IF(LEFT(Cockpit!$O$5,1)="A",G297,IF(BW297=1,BX297,IF(LEFT(Cockpit!$O$5,1)="B",AX297,MAX(AX297,G297))))</f>
        <v>12</v>
      </c>
      <c r="AU297" s="57" t="n">
        <f aca="false">IF(BR297=1,0,ROUNDUP(AT297/BQ297,0))</f>
        <v>1</v>
      </c>
      <c r="AV297" s="59" t="n">
        <f aca="false">IF(CD297&gt;0,CD297*MAX(1,AT297/V297),IF(BR297=1,IF(AT297&lt;=0,0,BS297*MAX(1,IF(G297&gt;0,AT297/G297,1))),IF(Q297&gt;0,AU297/Q297,0))/MAX(0.1,N(Parameter!$M$21)))</f>
        <v>0.0151515151515152</v>
      </c>
      <c r="AW297" s="57" t="n">
        <f aca="false">AT297*F297</f>
        <v>358.68</v>
      </c>
      <c r="AX297" s="57" t="n">
        <f aca="false">ROUNDUP(MAX(I297/IF(BV297&gt;0,BV297,MAX(0.1,N(Cockpit!$O$6))),BY297)/BQ297,0)*BQ297</f>
        <v>12</v>
      </c>
      <c r="AY297" s="58" t="n">
        <f aca="false">IF(AV297&gt;0,I297/AV297,-1)</f>
        <v>132</v>
      </c>
      <c r="AZ297" s="58" t="n">
        <f aca="false">IF(AND(OR(BU297="L1",BU297="L23"),AV297&gt;0),SUMIFS($AV$7:$AV$1576,$BU$7:$BU$1576,BU297,$AY$7:$AY$1576,"&gt;"&amp;AY297)+SUMIFS($AV$7:$AV$1576,$BU$7:$BU$1576,BU297,$AY$7:$AY$1576,AY297,$BO$7:$BO$1576,"&lt;="&amp;BO297),"")</f>
        <v>54.7407515495127</v>
      </c>
      <c r="BA297" s="65" t="n">
        <f aca="false">IF(AZ297="",0,MAX(0,MIN(1,(IF(BU297="L1",Parameter!$E$5,Parameter!$E$6+Parameter!$E$7)-(AZ297-AV297))/AV297)))</f>
        <v>1</v>
      </c>
      <c r="BB297" s="55" t="str">
        <f aca="false">IF(AF297&lt;=0,"",IF(BU297="Aussen","Aussenlager",IF(BU297="-","Nicht im Lift",IF(AK297&gt;=1,"Lift",IF(AK297&lt;=0,"Aussenlager","teilweise")))))</f>
        <v>Lift</v>
      </c>
      <c r="BC297" s="55" t="str">
        <f aca="false">IF(AN297&lt;=0,"",IF(BU297="Aussen","Aussenlager",IF(BU297="-","Nicht im Lift",IF(AS297&gt;=1,"Lift",IF(AS297&lt;=0,"Aussenlager","teilweise")))))</f>
        <v>Lift</v>
      </c>
      <c r="BD297" s="55" t="str">
        <f aca="false">IF(AV297&lt;=0,"",IF(BU297="Aussen","Aussenlager",IF(BU297="-","Nicht im Lift",IF(BA297&gt;=1,"Lift",IF(BA297&lt;=0,"Aussenlager","teilweise")))))</f>
        <v>Lift</v>
      </c>
      <c r="BE297" s="55" t="str">
        <f aca="false">IF(A297="","",IF(BN297=1,"Neu; ","")&amp;IF(AND(BN297=0,BI297&lt;0),"negativer Bestand (Export "&amp;BI297&amp;"); ","")&amp;IF(I297&lt;=0,"Kein Verbrauch; ","")&amp;IF(CD297&gt;0,"Lift "&amp;U297&amp;" lt. Liftbericht (Fach "&amp;V297&amp;" Stk); ",IF(BR297=1,"Lose – Fläche geschätzt; ",""))&amp;IF(G297&gt;AP297,"Überbestand "&amp;ROUND(G297-AP297,0)&amp;" Stk / CHF "&amp;ROUND((G297-AP297)*F297,0)&amp;"; ","")&amp;IF(AND(BW297=1,BX297&lt;BY297),"MAX &lt; MB+LG; ","")&amp;IF(AND(CC297&gt;0,CB297*10&gt;CC297),"zu hoch für Tablar; ","")&amp;IF(AND(BN297=0,OR(BW297=1,Y297&lt;&gt;"",S297&lt;&gt;"",T297&lt;&gt;"",Z297&lt;&gt;"")),"manuell übersteuert; ","")&amp;IF(AND(BR297=0,Q297=0),"Gebinde unbekannt / Stellmass fehlt; ","")&amp;IF(AND(BR297=0,N(T297)&lt;=0,N(P297)&lt;=0),"Menge pro Gebinde fehlt (Ist = 1 Gebinde); ","")&amp;BM297)</f>
        <v/>
      </c>
      <c r="BF297" s="55"/>
      <c r="BG297" s="55"/>
      <c r="BH297" s="62"/>
      <c r="BI297" s="57" t="n">
        <v>9</v>
      </c>
      <c r="BJ297" s="57" t="n">
        <v>5</v>
      </c>
      <c r="BK297" s="56" t="n">
        <v>276.66</v>
      </c>
      <c r="BL297" s="57" t="n">
        <v>2</v>
      </c>
      <c r="BM297" s="55"/>
      <c r="BN297" s="60" t="n">
        <v>0</v>
      </c>
      <c r="BO297" s="60" t="n">
        <v>297</v>
      </c>
      <c r="BP297" s="55" t="str">
        <f aca="false">IF(S297&lt;&gt;"",UPPER(TRIM(S297)),IF(O297="","LOSE",O297))</f>
        <v>S33</v>
      </c>
      <c r="BQ297" s="57" t="n">
        <f aca="false">IF(BP297="LOSE",1,IF(N(T297)&gt;0,T297,IF(N(P297)&gt;0,P297,MAX(1,G297))))</f>
        <v>12</v>
      </c>
      <c r="BR297" s="60" t="n">
        <f aca="false">IF(BP297="LOSE",1,0)</f>
        <v>0</v>
      </c>
      <c r="BS297" s="59" t="n">
        <f aca="false">IF(BR297=0,0,IF(N(R297)&gt;0,R297,IFERROR(VLOOKUP(D297,Parameter!$A$35:$C$64,3,0)+0,0)))</f>
        <v>0</v>
      </c>
      <c r="BT297" s="55" t="n">
        <f aca="false">IF(Y297&lt;&gt;"",Y297,X297)</f>
        <v>3</v>
      </c>
      <c r="BU297" s="55" t="str">
        <f aca="false">IF(BT297=1,"L1",IF(OR(BT297=2,BT297=3),"L23",IF(BT297="Aussen","Aussen","-")))</f>
        <v>L23</v>
      </c>
      <c r="BV297" s="66" t="n">
        <f aca="false">IF(N(Z297)&gt;0,Z297,0)</f>
        <v>0</v>
      </c>
      <c r="BW297" s="60" t="n">
        <f aca="false">IF(ISNUMBER(AC297),1,0)</f>
        <v>0</v>
      </c>
      <c r="BX297" s="57" t="n">
        <f aca="false">N(AC297)</f>
        <v>0</v>
      </c>
      <c r="BY297" s="57" t="n">
        <f aca="false">N(L297)+N(M297)</f>
        <v>1</v>
      </c>
      <c r="BZ297" s="57" t="n">
        <f aca="false">ROUNDUP(G297/BQ297,0)</f>
        <v>1</v>
      </c>
      <c r="CA297" s="57" t="n">
        <f aca="false">ROUNDUP(BX297/BQ297,0)</f>
        <v>0</v>
      </c>
      <c r="CB297" s="60" t="n">
        <f aca="false">IF(BR297=1,0,IFERROR(VLOOKUP(BP297,'Gebinde-Kategorie'!$A$5:$M$45,5,0)+0,0))</f>
        <v>8</v>
      </c>
      <c r="CC297" s="60" t="n">
        <f aca="false">IFERROR(IF(OR(BT297=1,BT297=2,BT297=3),N(INDEX(Parameter!$I$5:$I$7,BT297)),0),0)</f>
        <v>0</v>
      </c>
      <c r="CD297" s="59" t="n">
        <f aca="false">IF(AND(Parameter!$B$21="Ja",ISNUMBER(U297),N(V297)&gt;0),IFERROR(N(INDEX(Parameter!$L$5:$L$7,U297))*INDEX(Parameter!$E$5:$E$7,U297)*V297/SUMIFS($V$7:$V$1576,$U$7:$U$1576,U297),0),0)</f>
        <v>0</v>
      </c>
    </row>
    <row r="298" customFormat="false" ht="15" hidden="false" customHeight="false" outlineLevel="0" collapsed="false">
      <c r="A298" s="55" t="s">
        <v>756</v>
      </c>
      <c r="B298" s="55" t="s">
        <v>757</v>
      </c>
      <c r="C298" s="55" t="s">
        <v>160</v>
      </c>
      <c r="D298" s="55" t="s">
        <v>178</v>
      </c>
      <c r="E298" s="55" t="s">
        <v>210</v>
      </c>
      <c r="F298" s="56" t="n">
        <v>21.27</v>
      </c>
      <c r="G298" s="57" t="n">
        <f aca="false">MAX(0,IF(AND(Parameter!$B$21="Ja",ISNUMBER(W298)),W298,IF(Parameter!$B$20="Jahresanfang 2025 + Export",BJ298+BI298,BI298)))</f>
        <v>13</v>
      </c>
      <c r="H298" s="57" t="n">
        <f aca="false">G298*F298</f>
        <v>276.51</v>
      </c>
      <c r="I298" s="57" t="n">
        <f aca="false">BL298*Parameter!$B$18</f>
        <v>0</v>
      </c>
      <c r="J298" s="58" t="n">
        <v>36.5</v>
      </c>
      <c r="K298" s="59" t="n">
        <v>0</v>
      </c>
      <c r="L298" s="57" t="n">
        <v>0</v>
      </c>
      <c r="M298" s="57" t="n">
        <v>1</v>
      </c>
      <c r="N298" s="60" t="n">
        <v>28</v>
      </c>
      <c r="O298" s="55" t="s">
        <v>284</v>
      </c>
      <c r="P298" s="57" t="n">
        <v>32</v>
      </c>
      <c r="Q298" s="60" t="n">
        <f aca="false">IF(BR298=1,0,IFERROR(VLOOKUP(BP298,'Gebinde-Kategorie'!$A$5:$M$45,13,0)+0,0))</f>
        <v>12</v>
      </c>
      <c r="R298" s="61"/>
      <c r="S298" s="62"/>
      <c r="T298" s="62"/>
      <c r="U298" s="55"/>
      <c r="V298" s="57"/>
      <c r="W298" s="57"/>
      <c r="X298" s="55" t="n">
        <f aca="false">IF(A298="","",IF(AND(Parameter!$B$21="Ja",ISNUMBER(U298)),U298,IF(IFERROR(VLOOKUP(D298,Parameter!$A$35:$C$64,2,0),"Nein")="2+3",IF(ISNUMBER(SEARCH("grosser Artikel",BM298)),2,IFERROR(VLOOKUP(BP298,Parameter!$F$35:$G$64,2,0),2)),IF(OR(IFERROR(VLOOKUP(D298,Parameter!$A$35:$C$64,2,0),"Nein")="Nein",IFERROR(VLOOKUP(D298,Parameter!$A$35:$C$64,2,0),"Nein")=""),"-",VLOOKUP(D298,Parameter!$A$35:$C$64,2,0)))))</f>
        <v>2</v>
      </c>
      <c r="Y298" s="62"/>
      <c r="Z298" s="63"/>
      <c r="AA298" s="57" t="n">
        <f aca="false">AP298</f>
        <v>32</v>
      </c>
      <c r="AB298" s="57" t="n">
        <f aca="false">MAX(AP298,G298)</f>
        <v>32</v>
      </c>
      <c r="AC298" s="64"/>
      <c r="AD298" s="57" t="n">
        <f aca="false">IF(LEFT(Cockpit!$C$5,1)="A",G298,IF(BW298=1,BX298,IF(LEFT(Cockpit!$C$5,1)="B",AH298,MAX(AH298,G298))))</f>
        <v>13</v>
      </c>
      <c r="AE298" s="57" t="n">
        <f aca="false">IF(BR298=1,0,ROUNDUP(AD298/BQ298,0))</f>
        <v>1</v>
      </c>
      <c r="AF298" s="59" t="n">
        <f aca="false">IF(CD298&gt;0,CD298*MAX(1,AD298/V298),IF(BR298=1,IF(AD298&lt;=0,0,BS298*MAX(1,IF(G298&gt;0,AD298/G298,1))),IF(Q298&gt;0,AE298/Q298,0))/MAX(0.1,N(Parameter!$M$21)))</f>
        <v>0.0833333333333333</v>
      </c>
      <c r="AG298" s="57" t="n">
        <f aca="false">AD298*F298</f>
        <v>276.51</v>
      </c>
      <c r="AH298" s="57" t="n">
        <f aca="false">ROUNDUP(MAX(I298/IF(BV298&gt;0,BV298,MAX(0.1,N(Cockpit!$C$6))),BY298)/BQ298,0)*BQ298</f>
        <v>32</v>
      </c>
      <c r="AI298" s="58" t="n">
        <f aca="false">IF(AF298&gt;0,I298/AF298,-1)</f>
        <v>0</v>
      </c>
      <c r="AJ298" s="58" t="n">
        <f aca="false">IF(AND(OR(BU298="L1",BU298="L23"),AF298&gt;0),SUMIFS($AF$7:$AF$1576,$BU$7:$BU$1576,BU298,$AI$7:$AI$1576,"&gt;"&amp;AI298)+SUMIFS($AF$7:$AF$1576,$BU$7:$BU$1576,BU298,$AI$7:$AI$1576,AI298,$BO$7:$BO$1576,"&lt;="&amp;BO298),"")</f>
        <v>40.6241822911388</v>
      </c>
      <c r="AK298" s="65" t="n">
        <f aca="false">IF(AJ298="",0,MAX(0,MIN(1,(IF(BU298="L1",Parameter!$E$5,Parameter!$E$6+Parameter!$E$7)-(AJ298-AF298))/AF298)))</f>
        <v>1</v>
      </c>
      <c r="AL298" s="57" t="n">
        <f aca="false">IF(LEFT(Cockpit!$I$5,1)="A",G298,IF(BW298=1,BX298,IF(LEFT(Cockpit!$I$5,1)="B",AP298,MAX(AP298,G298))))</f>
        <v>32</v>
      </c>
      <c r="AM298" s="57" t="n">
        <f aca="false">IF(BR298=1,0,ROUNDUP(AL298/BQ298,0))</f>
        <v>1</v>
      </c>
      <c r="AN298" s="59" t="n">
        <f aca="false">IF(CD298&gt;0,CD298*MAX(1,AL298/V298),IF(BR298=1,IF(AL298&lt;=0,0,BS298*MAX(1,IF(G298&gt;0,AL298/G298,1))),IF(Q298&gt;0,AM298/Q298,0))/MAX(0.1,N(Parameter!$M$21)))</f>
        <v>0.0833333333333333</v>
      </c>
      <c r="AO298" s="57" t="n">
        <f aca="false">AL298*F298</f>
        <v>680.64</v>
      </c>
      <c r="AP298" s="57" t="n">
        <f aca="false">ROUNDUP(MAX(I298/IF(BV298&gt;0,BV298,MAX(0.1,N(Cockpit!$I$6))),BY298)/BQ298,0)*BQ298</f>
        <v>32</v>
      </c>
      <c r="AQ298" s="58" t="n">
        <f aca="false">IF(AN298&gt;0,I298/AN298,-1)</f>
        <v>0</v>
      </c>
      <c r="AR298" s="58" t="n">
        <f aca="false">IF(AND(OR(BU298="L1",BU298="L23"),AN298&gt;0),SUMIFS($AN$7:$AN$1576,$BU$7:$BU$1576,BU298,$AQ$7:$AQ$1576,"&gt;"&amp;AQ298)+SUMIFS($AN$7:$AN$1576,$BU$7:$BU$1576,BU298,$AQ$7:$AQ$1576,AQ298,$BO$7:$BO$1576,"&lt;="&amp;BO298),"")</f>
        <v>123.498388040928</v>
      </c>
      <c r="AS298" s="65" t="n">
        <f aca="false">IF(AR298="",0,MAX(0,MIN(1,(IF(BU298="L1",Parameter!$E$5,Parameter!$E$6+Parameter!$E$7)-(AR298-AN298))/AN298)))</f>
        <v>0</v>
      </c>
      <c r="AT298" s="57" t="n">
        <f aca="false">IF(LEFT(Cockpit!$O$5,1)="A",G298,IF(BW298=1,BX298,IF(LEFT(Cockpit!$O$5,1)="B",AX298,MAX(AX298,G298))))</f>
        <v>32</v>
      </c>
      <c r="AU298" s="57" t="n">
        <f aca="false">IF(BR298=1,0,ROUNDUP(AT298/BQ298,0))</f>
        <v>1</v>
      </c>
      <c r="AV298" s="59" t="n">
        <f aca="false">IF(CD298&gt;0,CD298*MAX(1,AT298/V298),IF(BR298=1,IF(AT298&lt;=0,0,BS298*MAX(1,IF(G298&gt;0,AT298/G298,1))),IF(Q298&gt;0,AU298/Q298,0))/MAX(0.1,N(Parameter!$M$21)))</f>
        <v>0.0833333333333333</v>
      </c>
      <c r="AW298" s="57" t="n">
        <f aca="false">AT298*F298</f>
        <v>680.64</v>
      </c>
      <c r="AX298" s="57" t="n">
        <f aca="false">ROUNDUP(MAX(I298/IF(BV298&gt;0,BV298,MAX(0.1,N(Cockpit!$O$6))),BY298)/BQ298,0)*BQ298</f>
        <v>32</v>
      </c>
      <c r="AY298" s="58" t="n">
        <f aca="false">IF(AV298&gt;0,I298/AV298,-1)</f>
        <v>0</v>
      </c>
      <c r="AZ298" s="58" t="n">
        <f aca="false">IF(AND(OR(BU298="L1",BU298="L23"),AV298&gt;0),SUMIFS($AV$7:$AV$1576,$BU$7:$BU$1576,BU298,$AY$7:$AY$1576,"&gt;"&amp;AY298)+SUMIFS($AV$7:$AV$1576,$BU$7:$BU$1576,BU298,$AY$7:$AY$1576,AY298,$BO$7:$BO$1576,"&lt;="&amp;BO298),"")</f>
        <v>113.557938490479</v>
      </c>
      <c r="BA298" s="65" t="n">
        <f aca="false">IF(AZ298="",0,MAX(0,MIN(1,(IF(BU298="L1",Parameter!$E$5,Parameter!$E$6+Parameter!$E$7)-(AZ298-AV298))/AV298)))</f>
        <v>0</v>
      </c>
      <c r="BB298" s="55" t="str">
        <f aca="false">IF(AF298&lt;=0,"",IF(BU298="Aussen","Aussenlager",IF(BU298="-","Nicht im Lift",IF(AK298&gt;=1,"Lift",IF(AK298&lt;=0,"Aussenlager","teilweise")))))</f>
        <v>Lift</v>
      </c>
      <c r="BC298" s="55" t="str">
        <f aca="false">IF(AN298&lt;=0,"",IF(BU298="Aussen","Aussenlager",IF(BU298="-","Nicht im Lift",IF(AS298&gt;=1,"Lift",IF(AS298&lt;=0,"Aussenlager","teilweise")))))</f>
        <v>Aussenlager</v>
      </c>
      <c r="BD298" s="55" t="str">
        <f aca="false">IF(AV298&lt;=0,"",IF(BU298="Aussen","Aussenlager",IF(BU298="-","Nicht im Lift",IF(BA298&gt;=1,"Lift",IF(BA298&lt;=0,"Aussenlager","teilweise")))))</f>
        <v>Aussenlager</v>
      </c>
      <c r="BE298" s="55" t="str">
        <f aca="false">IF(A298="","",IF(BN298=1,"Neu; ","")&amp;IF(AND(BN298=0,BI298&lt;0),"negativer Bestand (Export "&amp;BI298&amp;"); ","")&amp;IF(I298&lt;=0,"Kein Verbrauch; ","")&amp;IF(CD298&gt;0,"Lift "&amp;U298&amp;" lt. Liftbericht (Fach "&amp;V298&amp;" Stk); ",IF(BR298=1,"Lose – Fläche geschätzt; ",""))&amp;IF(G298&gt;AP298,"Überbestand "&amp;ROUND(G298-AP298,0)&amp;" Stk / CHF "&amp;ROUND((G298-AP298)*F298,0)&amp;"; ","")&amp;IF(AND(BW298=1,BX298&lt;BY298),"MAX &lt; MB+LG; ","")&amp;IF(AND(CC298&gt;0,CB298*10&gt;CC298),"zu hoch für Tablar; ","")&amp;IF(AND(BN298=0,OR(BW298=1,Y298&lt;&gt;"",S298&lt;&gt;"",T298&lt;&gt;"",Z298&lt;&gt;"")),"manuell übersteuert; ","")&amp;IF(AND(BR298=0,Q298=0),"Gebinde unbekannt / Stellmass fehlt; ","")&amp;IF(AND(BR298=0,N(T298)&lt;=0,N(P298)&lt;=0),"Menge pro Gebinde fehlt (Ist = 1 Gebinde); ","")&amp;BM298)</f>
        <v>Kein Verbrauch; </v>
      </c>
      <c r="BF298" s="55"/>
      <c r="BG298" s="55"/>
      <c r="BH298" s="62"/>
      <c r="BI298" s="57" t="n">
        <v>13</v>
      </c>
      <c r="BJ298" s="57" t="n">
        <v>30</v>
      </c>
      <c r="BK298" s="56" t="n">
        <v>276.51</v>
      </c>
      <c r="BL298" s="57" t="n">
        <v>0</v>
      </c>
      <c r="BM298" s="55"/>
      <c r="BN298" s="60" t="n">
        <v>0</v>
      </c>
      <c r="BO298" s="60" t="n">
        <v>298</v>
      </c>
      <c r="BP298" s="55" t="str">
        <f aca="false">IF(S298&lt;&gt;"",UPPER(TRIM(S298)),IF(O298="","LOSE",O298))</f>
        <v>S62</v>
      </c>
      <c r="BQ298" s="57" t="n">
        <f aca="false">IF(BP298="LOSE",1,IF(N(T298)&gt;0,T298,IF(N(P298)&gt;0,P298,MAX(1,G298))))</f>
        <v>32</v>
      </c>
      <c r="BR298" s="60" t="n">
        <f aca="false">IF(BP298="LOSE",1,0)</f>
        <v>0</v>
      </c>
      <c r="BS298" s="59" t="n">
        <f aca="false">IF(BR298=0,0,IF(N(R298)&gt;0,R298,IFERROR(VLOOKUP(D298,Parameter!$A$35:$C$64,3,0)+0,0)))</f>
        <v>0</v>
      </c>
      <c r="BT298" s="55" t="n">
        <f aca="false">IF(Y298&lt;&gt;"",Y298,X298)</f>
        <v>2</v>
      </c>
      <c r="BU298" s="55" t="str">
        <f aca="false">IF(BT298=1,"L1",IF(OR(BT298=2,BT298=3),"L23",IF(BT298="Aussen","Aussen","-")))</f>
        <v>L23</v>
      </c>
      <c r="BV298" s="66" t="n">
        <f aca="false">IF(N(Z298)&gt;0,Z298,0)</f>
        <v>0</v>
      </c>
      <c r="BW298" s="60" t="n">
        <f aca="false">IF(ISNUMBER(AC298),1,0)</f>
        <v>0</v>
      </c>
      <c r="BX298" s="57" t="n">
        <f aca="false">N(AC298)</f>
        <v>0</v>
      </c>
      <c r="BY298" s="57" t="n">
        <f aca="false">N(L298)+N(M298)</f>
        <v>1</v>
      </c>
      <c r="BZ298" s="57" t="n">
        <f aca="false">ROUNDUP(G298/BQ298,0)</f>
        <v>1</v>
      </c>
      <c r="CA298" s="57" t="n">
        <f aca="false">ROUNDUP(BX298/BQ298,0)</f>
        <v>0</v>
      </c>
      <c r="CB298" s="60" t="n">
        <f aca="false">IF(BR298=1,0,IFERROR(VLOOKUP(BP298,'Gebinde-Kategorie'!$A$5:$M$45,5,0)+0,0))</f>
        <v>21</v>
      </c>
      <c r="CC298" s="60" t="n">
        <f aca="false">IFERROR(IF(OR(BT298=1,BT298=2,BT298=3),N(INDEX(Parameter!$I$5:$I$7,BT298)),0),0)</f>
        <v>0</v>
      </c>
      <c r="CD298" s="59" t="n">
        <f aca="false">IF(AND(Parameter!$B$21="Ja",ISNUMBER(U298),N(V298)&gt;0),IFERROR(N(INDEX(Parameter!$L$5:$L$7,U298))*INDEX(Parameter!$E$5:$E$7,U298)*V298/SUMIFS($V$7:$V$1576,$U$7:$U$1576,U298),0),0)</f>
        <v>0</v>
      </c>
    </row>
    <row r="299" customFormat="false" ht="15" hidden="false" customHeight="false" outlineLevel="0" collapsed="false">
      <c r="A299" s="55" t="s">
        <v>758</v>
      </c>
      <c r="B299" s="55" t="s">
        <v>562</v>
      </c>
      <c r="C299" s="55" t="s">
        <v>160</v>
      </c>
      <c r="D299" s="55" t="s">
        <v>168</v>
      </c>
      <c r="E299" s="55" t="s">
        <v>210</v>
      </c>
      <c r="F299" s="56" t="n">
        <v>86.22</v>
      </c>
      <c r="G299" s="57" t="n">
        <f aca="false">MAX(0,IF(AND(Parameter!$B$21="Ja",ISNUMBER(W299)),W299,IF(Parameter!$B$20="Jahresanfang 2025 + Export",BJ299+BI299,BI299)))</f>
        <v>8</v>
      </c>
      <c r="H299" s="57" t="n">
        <f aca="false">G299*F299</f>
        <v>689.76</v>
      </c>
      <c r="I299" s="57" t="n">
        <f aca="false">BL299*Parameter!$B$18</f>
        <v>69</v>
      </c>
      <c r="J299" s="58" t="n">
        <v>13</v>
      </c>
      <c r="K299" s="59" t="n">
        <v>5.30769230769231</v>
      </c>
      <c r="L299" s="57" t="n">
        <v>4</v>
      </c>
      <c r="M299" s="57" t="n">
        <v>20</v>
      </c>
      <c r="N299" s="60" t="n">
        <v>21</v>
      </c>
      <c r="O299" s="55" t="s">
        <v>218</v>
      </c>
      <c r="P299" s="57" t="n">
        <v>33</v>
      </c>
      <c r="Q299" s="60" t="n">
        <f aca="false">IF(BR299=1,0,IFERROR(VLOOKUP(BP299,'Gebinde-Kategorie'!$A$5:$M$45,13,0)+0,0))</f>
        <v>12</v>
      </c>
      <c r="R299" s="61"/>
      <c r="S299" s="62"/>
      <c r="T299" s="62"/>
      <c r="U299" s="55"/>
      <c r="V299" s="57"/>
      <c r="W299" s="57"/>
      <c r="X299" s="55" t="n">
        <f aca="false">IF(A299="","",IF(AND(Parameter!$B$21="Ja",ISNUMBER(U299)),U299,IF(IFERROR(VLOOKUP(D299,Parameter!$A$35:$C$64,2,0),"Nein")="2+3",IF(ISNUMBER(SEARCH("grosser Artikel",BM299)),2,IFERROR(VLOOKUP(BP299,Parameter!$F$35:$G$64,2,0),2)),IF(OR(IFERROR(VLOOKUP(D299,Parameter!$A$35:$C$64,2,0),"Nein")="Nein",IFERROR(VLOOKUP(D299,Parameter!$A$35:$C$64,2,0),"Nein")=""),"-",VLOOKUP(D299,Parameter!$A$35:$C$64,2,0)))))</f>
        <v>2</v>
      </c>
      <c r="Y299" s="62"/>
      <c r="Z299" s="63"/>
      <c r="AA299" s="57" t="n">
        <f aca="false">AP299</f>
        <v>66</v>
      </c>
      <c r="AB299" s="57" t="n">
        <f aca="false">MAX(AP299,G299)</f>
        <v>66</v>
      </c>
      <c r="AC299" s="64"/>
      <c r="AD299" s="57" t="n">
        <f aca="false">IF(LEFT(Cockpit!$C$5,1)="A",G299,IF(BW299=1,BX299,IF(LEFT(Cockpit!$C$5,1)="B",AH299,MAX(AH299,G299))))</f>
        <v>8</v>
      </c>
      <c r="AE299" s="57" t="n">
        <f aca="false">IF(BR299=1,0,ROUNDUP(AD299/BQ299,0))</f>
        <v>1</v>
      </c>
      <c r="AF299" s="59" t="n">
        <f aca="false">IF(CD299&gt;0,CD299*MAX(1,AD299/V299),IF(BR299=1,IF(AD299&lt;=0,0,BS299*MAX(1,IF(G299&gt;0,AD299/G299,1))),IF(Q299&gt;0,AE299/Q299,0))/MAX(0.1,N(Parameter!$M$21)))</f>
        <v>0.0833333333333333</v>
      </c>
      <c r="AG299" s="57" t="n">
        <f aca="false">AD299*F299</f>
        <v>689.76</v>
      </c>
      <c r="AH299" s="57" t="n">
        <f aca="false">ROUNDUP(MAX(I299/IF(BV299&gt;0,BV299,MAX(0.1,N(Cockpit!$C$6))),BY299)/BQ299,0)*BQ299</f>
        <v>66</v>
      </c>
      <c r="AI299" s="58" t="n">
        <f aca="false">IF(AF299&gt;0,I299/AF299,-1)</f>
        <v>828</v>
      </c>
      <c r="AJ299" s="58" t="n">
        <f aca="false">IF(AND(OR(BU299="L1",BU299="L23"),AF299&gt;0),SUMIFS($AF$7:$AF$1576,$BU$7:$BU$1576,BU299,$AI$7:$AI$1576,"&gt;"&amp;AI299)+SUMIFS($AF$7:$AF$1576,$BU$7:$BU$1576,BU299,$AI$7:$AI$1576,AI299,$BO$7:$BO$1576,"&lt;="&amp;BO299),"")</f>
        <v>10.4762943819466</v>
      </c>
      <c r="AK299" s="65" t="n">
        <f aca="false">IF(AJ299="",0,MAX(0,MIN(1,(IF(BU299="L1",Parameter!$E$5,Parameter!$E$6+Parameter!$E$7)-(AJ299-AF299))/AF299)))</f>
        <v>1</v>
      </c>
      <c r="AL299" s="57" t="n">
        <f aca="false">IF(LEFT(Cockpit!$I$5,1)="A",G299,IF(BW299=1,BX299,IF(LEFT(Cockpit!$I$5,1)="B",AP299,MAX(AP299,G299))))</f>
        <v>66</v>
      </c>
      <c r="AM299" s="57" t="n">
        <f aca="false">IF(BR299=1,0,ROUNDUP(AL299/BQ299,0))</f>
        <v>2</v>
      </c>
      <c r="AN299" s="59" t="n">
        <f aca="false">IF(CD299&gt;0,CD299*MAX(1,AL299/V299),IF(BR299=1,IF(AL299&lt;=0,0,BS299*MAX(1,IF(G299&gt;0,AL299/G299,1))),IF(Q299&gt;0,AM299/Q299,0))/MAX(0.1,N(Parameter!$M$21)))</f>
        <v>0.166666666666667</v>
      </c>
      <c r="AO299" s="57" t="n">
        <f aca="false">AL299*F299</f>
        <v>5690.52</v>
      </c>
      <c r="AP299" s="57" t="n">
        <f aca="false">ROUNDUP(MAX(I299/IF(BV299&gt;0,BV299,MAX(0.1,N(Cockpit!$I$6))),BY299)/BQ299,0)*BQ299</f>
        <v>66</v>
      </c>
      <c r="AQ299" s="58" t="n">
        <f aca="false">IF(AN299&gt;0,I299/AN299,-1)</f>
        <v>414</v>
      </c>
      <c r="AR299" s="58" t="n">
        <f aca="false">IF(AND(OR(BU299="L1",BU299="L23"),AN299&gt;0),SUMIFS($AN$7:$AN$1576,$BU$7:$BU$1576,BU299,$AQ$7:$AQ$1576,"&gt;"&amp;AQ299)+SUMIFS($AN$7:$AN$1576,$BU$7:$BU$1576,BU299,$AQ$7:$AQ$1576,AQ299,$BO$7:$BO$1576,"&lt;="&amp;BO299),"")</f>
        <v>36.4270519942371</v>
      </c>
      <c r="AS299" s="65" t="n">
        <f aca="false">IF(AR299="",0,MAX(0,MIN(1,(IF(BU299="L1",Parameter!$E$5,Parameter!$E$6+Parameter!$E$7)-(AR299-AN299))/AN299)))</f>
        <v>1</v>
      </c>
      <c r="AT299" s="57" t="n">
        <f aca="false">IF(LEFT(Cockpit!$O$5,1)="A",G299,IF(BW299=1,BX299,IF(LEFT(Cockpit!$O$5,1)="B",AX299,MAX(AX299,G299))))</f>
        <v>33</v>
      </c>
      <c r="AU299" s="57" t="n">
        <f aca="false">IF(BR299=1,0,ROUNDUP(AT299/BQ299,0))</f>
        <v>1</v>
      </c>
      <c r="AV299" s="59" t="n">
        <f aca="false">IF(CD299&gt;0,CD299*MAX(1,AT299/V299),IF(BR299=1,IF(AT299&lt;=0,0,BS299*MAX(1,IF(G299&gt;0,AT299/G299,1))),IF(Q299&gt;0,AU299/Q299,0))/MAX(0.1,N(Parameter!$M$21)))</f>
        <v>0.0833333333333333</v>
      </c>
      <c r="AW299" s="57" t="n">
        <f aca="false">AT299*F299</f>
        <v>2845.26</v>
      </c>
      <c r="AX299" s="57" t="n">
        <f aca="false">ROUNDUP(MAX(I299/IF(BV299&gt;0,BV299,MAX(0.1,N(Cockpit!$O$6))),BY299)/BQ299,0)*BQ299</f>
        <v>33</v>
      </c>
      <c r="AY299" s="58" t="n">
        <f aca="false">IF(AV299&gt;0,I299/AV299,-1)</f>
        <v>828</v>
      </c>
      <c r="AZ299" s="58" t="n">
        <f aca="false">IF(AND(OR(BU299="L1",BU299="L23"),AV299&gt;0),SUMIFS($AV$7:$AV$1576,$BU$7:$BU$1576,BU299,$AY$7:$AY$1576,"&gt;"&amp;AY299)+SUMIFS($AV$7:$AV$1576,$BU$7:$BU$1576,BU299,$AY$7:$AY$1576,AY299,$BO$7:$BO$1576,"&lt;="&amp;BO299),"")</f>
        <v>25.9031289124879</v>
      </c>
      <c r="BA299" s="65" t="n">
        <f aca="false">IF(AZ299="",0,MAX(0,MIN(1,(IF(BU299="L1",Parameter!$E$5,Parameter!$E$6+Parameter!$E$7)-(AZ299-AV299))/AV299)))</f>
        <v>1</v>
      </c>
      <c r="BB299" s="55" t="str">
        <f aca="false">IF(AF299&lt;=0,"",IF(BU299="Aussen","Aussenlager",IF(BU299="-","Nicht im Lift",IF(AK299&gt;=1,"Lift",IF(AK299&lt;=0,"Aussenlager","teilweise")))))</f>
        <v>Lift</v>
      </c>
      <c r="BC299" s="55" t="str">
        <f aca="false">IF(AN299&lt;=0,"",IF(BU299="Aussen","Aussenlager",IF(BU299="-","Nicht im Lift",IF(AS299&gt;=1,"Lift",IF(AS299&lt;=0,"Aussenlager","teilweise")))))</f>
        <v>Lift</v>
      </c>
      <c r="BD299" s="55" t="str">
        <f aca="false">IF(AV299&lt;=0,"",IF(BU299="Aussen","Aussenlager",IF(BU299="-","Nicht im Lift",IF(BA299&gt;=1,"Lift",IF(BA299&lt;=0,"Aussenlager","teilweise")))))</f>
        <v>Lift</v>
      </c>
      <c r="BE299" s="55" t="str">
        <f aca="false">IF(A299="","",IF(BN299=1,"Neu; ","")&amp;IF(AND(BN299=0,BI299&lt;0),"negativer Bestand (Export "&amp;BI299&amp;"); ","")&amp;IF(I299&lt;=0,"Kein Verbrauch; ","")&amp;IF(CD299&gt;0,"Lift "&amp;U299&amp;" lt. Liftbericht (Fach "&amp;V299&amp;" Stk); ",IF(BR299=1,"Lose – Fläche geschätzt; ",""))&amp;IF(G299&gt;AP299,"Überbestand "&amp;ROUND(G299-AP299,0)&amp;" Stk / CHF "&amp;ROUND((G299-AP299)*F299,0)&amp;"; ","")&amp;IF(AND(BW299=1,BX299&lt;BY299),"MAX &lt; MB+LG; ","")&amp;IF(AND(CC299&gt;0,CB299*10&gt;CC299),"zu hoch für Tablar; ","")&amp;IF(AND(BN299=0,OR(BW299=1,Y299&lt;&gt;"",S299&lt;&gt;"",T299&lt;&gt;"",Z299&lt;&gt;"")),"manuell übersteuert; ","")&amp;IF(AND(BR299=0,Q299=0),"Gebinde unbekannt / Stellmass fehlt; ","")&amp;IF(AND(BR299=0,N(T299)&lt;=0,N(P299)&lt;=0),"Menge pro Gebinde fehlt (Ist = 1 Gebinde); ","")&amp;BM299)</f>
        <v/>
      </c>
      <c r="BF299" s="55"/>
      <c r="BG299" s="55"/>
      <c r="BH299" s="62"/>
      <c r="BI299" s="57" t="n">
        <v>8</v>
      </c>
      <c r="BJ299" s="57" t="n">
        <v>14</v>
      </c>
      <c r="BK299" s="56" t="n">
        <v>275.919999999997</v>
      </c>
      <c r="BL299" s="57" t="n">
        <v>69</v>
      </c>
      <c r="BM299" s="55"/>
      <c r="BN299" s="60" t="n">
        <v>0</v>
      </c>
      <c r="BO299" s="60" t="n">
        <v>299</v>
      </c>
      <c r="BP299" s="55" t="str">
        <f aca="false">IF(S299&lt;&gt;"",UPPER(TRIM(S299)),IF(O299="","LOSE",O299))</f>
        <v>S63</v>
      </c>
      <c r="BQ299" s="57" t="n">
        <f aca="false">IF(BP299="LOSE",1,IF(N(T299)&gt;0,T299,IF(N(P299)&gt;0,P299,MAX(1,G299))))</f>
        <v>33</v>
      </c>
      <c r="BR299" s="60" t="n">
        <f aca="false">IF(BP299="LOSE",1,0)</f>
        <v>0</v>
      </c>
      <c r="BS299" s="59" t="n">
        <f aca="false">IF(BR299=0,0,IF(N(R299)&gt;0,R299,IFERROR(VLOOKUP(D299,Parameter!$A$35:$C$64,3,0)+0,0)))</f>
        <v>0</v>
      </c>
      <c r="BT299" s="55" t="n">
        <f aca="false">IF(Y299&lt;&gt;"",Y299,X299)</f>
        <v>2</v>
      </c>
      <c r="BU299" s="55" t="str">
        <f aca="false">IF(BT299=1,"L1",IF(OR(BT299=2,BT299=3),"L23",IF(BT299="Aussen","Aussen","-")))</f>
        <v>L23</v>
      </c>
      <c r="BV299" s="66" t="n">
        <f aca="false">IF(N(Z299)&gt;0,Z299,0)</f>
        <v>0</v>
      </c>
      <c r="BW299" s="60" t="n">
        <f aca="false">IF(ISNUMBER(AC299),1,0)</f>
        <v>0</v>
      </c>
      <c r="BX299" s="57" t="n">
        <f aca="false">N(AC299)</f>
        <v>0</v>
      </c>
      <c r="BY299" s="57" t="n">
        <f aca="false">N(L299)+N(M299)</f>
        <v>24</v>
      </c>
      <c r="BZ299" s="57" t="n">
        <f aca="false">ROUNDUP(G299/BQ299,0)</f>
        <v>1</v>
      </c>
      <c r="CA299" s="57" t="n">
        <f aca="false">ROUNDUP(BX299/BQ299,0)</f>
        <v>0</v>
      </c>
      <c r="CB299" s="60" t="n">
        <f aca="false">IF(BR299=1,0,IFERROR(VLOOKUP(BP299,'Gebinde-Kategorie'!$A$5:$M$45,5,0)+0,0))</f>
        <v>31</v>
      </c>
      <c r="CC299" s="60" t="n">
        <f aca="false">IFERROR(IF(OR(BT299=1,BT299=2,BT299=3),N(INDEX(Parameter!$I$5:$I$7,BT299)),0),0)</f>
        <v>0</v>
      </c>
      <c r="CD299" s="59" t="n">
        <f aca="false">IF(AND(Parameter!$B$21="Ja",ISNUMBER(U299),N(V299)&gt;0),IFERROR(N(INDEX(Parameter!$L$5:$L$7,U299))*INDEX(Parameter!$E$5:$E$7,U299)*V299/SUMIFS($V$7:$V$1576,$U$7:$U$1576,U299),0),0)</f>
        <v>0</v>
      </c>
    </row>
    <row r="300" customFormat="false" ht="15" hidden="false" customHeight="false" outlineLevel="0" collapsed="false">
      <c r="A300" s="55" t="s">
        <v>759</v>
      </c>
      <c r="B300" s="55" t="s">
        <v>760</v>
      </c>
      <c r="C300" s="55" t="s">
        <v>160</v>
      </c>
      <c r="D300" s="55" t="s">
        <v>178</v>
      </c>
      <c r="E300" s="55" t="s">
        <v>210</v>
      </c>
      <c r="F300" s="56" t="n">
        <v>22.95</v>
      </c>
      <c r="G300" s="57" t="n">
        <f aca="false">MAX(0,IF(AND(Parameter!$B$21="Ja",ISNUMBER(W300)),W300,IF(Parameter!$B$20="Jahresanfang 2025 + Export",BJ300+BI300,BI300)))</f>
        <v>12</v>
      </c>
      <c r="H300" s="57" t="n">
        <f aca="false">G300*F300</f>
        <v>275.4</v>
      </c>
      <c r="I300" s="57" t="n">
        <f aca="false">BL300*Parameter!$B$18</f>
        <v>5</v>
      </c>
      <c r="J300" s="58" t="n">
        <v>6</v>
      </c>
      <c r="K300" s="59" t="n">
        <v>0.833333333333333</v>
      </c>
      <c r="L300" s="57" t="n">
        <v>0</v>
      </c>
      <c r="M300" s="57" t="n">
        <v>15</v>
      </c>
      <c r="N300" s="60" t="n">
        <v>14</v>
      </c>
      <c r="O300" s="55" t="s">
        <v>391</v>
      </c>
      <c r="P300" s="57" t="n">
        <v>15</v>
      </c>
      <c r="Q300" s="60" t="n">
        <f aca="false">IF(BR300=1,0,IFERROR(VLOOKUP(BP300,'Gebinde-Kategorie'!$A$5:$M$45,13,0)+0,0))</f>
        <v>414</v>
      </c>
      <c r="R300" s="61"/>
      <c r="S300" s="62"/>
      <c r="T300" s="62"/>
      <c r="U300" s="55"/>
      <c r="V300" s="57"/>
      <c r="W300" s="57"/>
      <c r="X300" s="55" t="n">
        <f aca="false">IF(A300="","",IF(AND(Parameter!$B$21="Ja",ISNUMBER(U300)),U300,IF(IFERROR(VLOOKUP(D300,Parameter!$A$35:$C$64,2,0),"Nein")="2+3",IF(ISNUMBER(SEARCH("grosser Artikel",BM300)),2,IFERROR(VLOOKUP(BP300,Parameter!$F$35:$G$64,2,0),2)),IF(OR(IFERROR(VLOOKUP(D300,Parameter!$A$35:$C$64,2,0),"Nein")="Nein",IFERROR(VLOOKUP(D300,Parameter!$A$35:$C$64,2,0),"Nein")=""),"-",VLOOKUP(D300,Parameter!$A$35:$C$64,2,0)))))</f>
        <v>3</v>
      </c>
      <c r="Y300" s="62"/>
      <c r="Z300" s="63"/>
      <c r="AA300" s="57" t="n">
        <f aca="false">AP300</f>
        <v>15</v>
      </c>
      <c r="AB300" s="57" t="n">
        <f aca="false">MAX(AP300,G300)</f>
        <v>15</v>
      </c>
      <c r="AC300" s="64"/>
      <c r="AD300" s="57" t="n">
        <f aca="false">IF(LEFT(Cockpit!$C$5,1)="A",G300,IF(BW300=1,BX300,IF(LEFT(Cockpit!$C$5,1)="B",AH300,MAX(AH300,G300))))</f>
        <v>12</v>
      </c>
      <c r="AE300" s="57" t="n">
        <f aca="false">IF(BR300=1,0,ROUNDUP(AD300/BQ300,0))</f>
        <v>1</v>
      </c>
      <c r="AF300" s="59" t="n">
        <f aca="false">IF(CD300&gt;0,CD300*MAX(1,AD300/V300),IF(BR300=1,IF(AD300&lt;=0,0,BS300*MAX(1,IF(G300&gt;0,AD300/G300,1))),IF(Q300&gt;0,AE300/Q300,0))/MAX(0.1,N(Parameter!$M$21)))</f>
        <v>0.00241545893719807</v>
      </c>
      <c r="AG300" s="57" t="n">
        <f aca="false">AD300*F300</f>
        <v>275.4</v>
      </c>
      <c r="AH300" s="57" t="n">
        <f aca="false">ROUNDUP(MAX(I300/IF(BV300&gt;0,BV300,MAX(0.1,N(Cockpit!$C$6))),BY300)/BQ300,0)*BQ300</f>
        <v>15</v>
      </c>
      <c r="AI300" s="58" t="n">
        <f aca="false">IF(AF300&gt;0,I300/AF300,-1)</f>
        <v>2070</v>
      </c>
      <c r="AJ300" s="58" t="n">
        <f aca="false">IF(AND(OR(BU300="L1",BU300="L23"),AF300&gt;0),SUMIFS($AF$7:$AF$1576,$BU$7:$BU$1576,BU300,$AI$7:$AI$1576,"&gt;"&amp;AI300)+SUMIFS($AF$7:$AF$1576,$BU$7:$BU$1576,BU300,$AI$7:$AI$1576,AI300,$BO$7:$BO$1576,"&lt;="&amp;BO300),"")</f>
        <v>6.36292152292152</v>
      </c>
      <c r="AK300" s="65" t="n">
        <f aca="false">IF(AJ300="",0,MAX(0,MIN(1,(IF(BU300="L1",Parameter!$E$5,Parameter!$E$6+Parameter!$E$7)-(AJ300-AF300))/AF300)))</f>
        <v>1</v>
      </c>
      <c r="AL300" s="57" t="n">
        <f aca="false">IF(LEFT(Cockpit!$I$5,1)="A",G300,IF(BW300=1,BX300,IF(LEFT(Cockpit!$I$5,1)="B",AP300,MAX(AP300,G300))))</f>
        <v>15</v>
      </c>
      <c r="AM300" s="57" t="n">
        <f aca="false">IF(BR300=1,0,ROUNDUP(AL300/BQ300,0))</f>
        <v>1</v>
      </c>
      <c r="AN300" s="59" t="n">
        <f aca="false">IF(CD300&gt;0,CD300*MAX(1,AL300/V300),IF(BR300=1,IF(AL300&lt;=0,0,BS300*MAX(1,IF(G300&gt;0,AL300/G300,1))),IF(Q300&gt;0,AM300/Q300,0))/MAX(0.1,N(Parameter!$M$21)))</f>
        <v>0.00241545893719807</v>
      </c>
      <c r="AO300" s="57" t="n">
        <f aca="false">AL300*F300</f>
        <v>344.25</v>
      </c>
      <c r="AP300" s="57" t="n">
        <f aca="false">ROUNDUP(MAX(I300/IF(BV300&gt;0,BV300,MAX(0.1,N(Cockpit!$I$6))),BY300)/BQ300,0)*BQ300</f>
        <v>15</v>
      </c>
      <c r="AQ300" s="58" t="n">
        <f aca="false">IF(AN300&gt;0,I300/AN300,-1)</f>
        <v>2070</v>
      </c>
      <c r="AR300" s="58" t="n">
        <f aca="false">IF(AND(OR(BU300="L1",BU300="L23"),AN300&gt;0),SUMIFS($AN$7:$AN$1576,$BU$7:$BU$1576,BU300,$AQ$7:$AQ$1576,"&gt;"&amp;AQ300)+SUMIFS($AN$7:$AN$1576,$BU$7:$BU$1576,BU300,$AQ$7:$AQ$1576,AQ300,$BO$7:$BO$1576,"&lt;="&amp;BO300),"")</f>
        <v>16.9937994979411</v>
      </c>
      <c r="AS300" s="65" t="n">
        <f aca="false">IF(AR300="",0,MAX(0,MIN(1,(IF(BU300="L1",Parameter!$E$5,Parameter!$E$6+Parameter!$E$7)-(AR300-AN300))/AN300)))</f>
        <v>1</v>
      </c>
      <c r="AT300" s="57" t="n">
        <f aca="false">IF(LEFT(Cockpit!$O$5,1)="A",G300,IF(BW300=1,BX300,IF(LEFT(Cockpit!$O$5,1)="B",AX300,MAX(AX300,G300))))</f>
        <v>15</v>
      </c>
      <c r="AU300" s="57" t="n">
        <f aca="false">IF(BR300=1,0,ROUNDUP(AT300/BQ300,0))</f>
        <v>1</v>
      </c>
      <c r="AV300" s="59" t="n">
        <f aca="false">IF(CD300&gt;0,CD300*MAX(1,AT300/V300),IF(BR300=1,IF(AT300&lt;=0,0,BS300*MAX(1,IF(G300&gt;0,AT300/G300,1))),IF(Q300&gt;0,AU300/Q300,0))/MAX(0.1,N(Parameter!$M$21)))</f>
        <v>0.00241545893719807</v>
      </c>
      <c r="AW300" s="57" t="n">
        <f aca="false">AT300*F300</f>
        <v>344.25</v>
      </c>
      <c r="AX300" s="57" t="n">
        <f aca="false">ROUNDUP(MAX(I300/IF(BV300&gt;0,BV300,MAX(0.1,N(Cockpit!$O$6))),BY300)/BQ300,0)*BQ300</f>
        <v>15</v>
      </c>
      <c r="AY300" s="58" t="n">
        <f aca="false">IF(AV300&gt;0,I300/AV300,-1)</f>
        <v>2070</v>
      </c>
      <c r="AZ300" s="58" t="n">
        <f aca="false">IF(AND(OR(BU300="L1",BU300="L23"),AV300&gt;0),SUMIFS($AV$7:$AV$1576,$BU$7:$BU$1576,BU300,$AY$7:$AY$1576,"&gt;"&amp;AY300)+SUMIFS($AV$7:$AV$1576,$BU$7:$BU$1576,BU300,$AY$7:$AY$1576,AY300,$BO$7:$BO$1576,"&lt;="&amp;BO300),"")</f>
        <v>15.6826106867523</v>
      </c>
      <c r="BA300" s="65" t="n">
        <f aca="false">IF(AZ300="",0,MAX(0,MIN(1,(IF(BU300="L1",Parameter!$E$5,Parameter!$E$6+Parameter!$E$7)-(AZ300-AV300))/AV300)))</f>
        <v>1</v>
      </c>
      <c r="BB300" s="55" t="str">
        <f aca="false">IF(AF300&lt;=0,"",IF(BU300="Aussen","Aussenlager",IF(BU300="-","Nicht im Lift",IF(AK300&gt;=1,"Lift",IF(AK300&lt;=0,"Aussenlager","teilweise")))))</f>
        <v>Lift</v>
      </c>
      <c r="BC300" s="55" t="str">
        <f aca="false">IF(AN300&lt;=0,"",IF(BU300="Aussen","Aussenlager",IF(BU300="-","Nicht im Lift",IF(AS300&gt;=1,"Lift",IF(AS300&lt;=0,"Aussenlager","teilweise")))))</f>
        <v>Lift</v>
      </c>
      <c r="BD300" s="55" t="str">
        <f aca="false">IF(AV300&lt;=0,"",IF(BU300="Aussen","Aussenlager",IF(BU300="-","Nicht im Lift",IF(BA300&gt;=1,"Lift",IF(BA300&lt;=0,"Aussenlager","teilweise")))))</f>
        <v>Lift</v>
      </c>
      <c r="BE300" s="55" t="str">
        <f aca="false">IF(A300="","",IF(BN300=1,"Neu; ","")&amp;IF(AND(BN300=0,BI300&lt;0),"negativer Bestand (Export "&amp;BI300&amp;"); ","")&amp;IF(I300&lt;=0,"Kein Verbrauch; ","")&amp;IF(CD300&gt;0,"Lift "&amp;U300&amp;" lt. Liftbericht (Fach "&amp;V300&amp;" Stk); ",IF(BR300=1,"Lose – Fläche geschätzt; ",""))&amp;IF(G300&gt;AP300,"Überbestand "&amp;ROUND(G300-AP300,0)&amp;" Stk / CHF "&amp;ROUND((G300-AP300)*F300,0)&amp;"; ","")&amp;IF(AND(BW300=1,BX300&lt;BY300),"MAX &lt; MB+LG; ","")&amp;IF(AND(CC300&gt;0,CB300*10&gt;CC300),"zu hoch für Tablar; ","")&amp;IF(AND(BN300=0,OR(BW300=1,Y300&lt;&gt;"",S300&lt;&gt;"",T300&lt;&gt;"",Z300&lt;&gt;"")),"manuell übersteuert; ","")&amp;IF(AND(BR300=0,Q300=0),"Gebinde unbekannt / Stellmass fehlt; ","")&amp;IF(AND(BR300=0,N(T300)&lt;=0,N(P300)&lt;=0),"Menge pro Gebinde fehlt (Ist = 1 Gebinde); ","")&amp;BM300)</f>
        <v/>
      </c>
      <c r="BF300" s="55"/>
      <c r="BG300" s="55"/>
      <c r="BH300" s="62"/>
      <c r="BI300" s="57" t="n">
        <v>12</v>
      </c>
      <c r="BJ300" s="57" t="n">
        <v>0</v>
      </c>
      <c r="BK300" s="56" t="n">
        <v>275.4</v>
      </c>
      <c r="BL300" s="57" t="n">
        <v>5</v>
      </c>
      <c r="BM300" s="55"/>
      <c r="BN300" s="60" t="n">
        <v>0</v>
      </c>
      <c r="BO300" s="60" t="n">
        <v>300</v>
      </c>
      <c r="BP300" s="55" t="str">
        <f aca="false">IF(S300&lt;&gt;"",UPPER(TRIM(S300)),IF(O300="","LOSE",O300))</f>
        <v>S21</v>
      </c>
      <c r="BQ300" s="57" t="n">
        <f aca="false">IF(BP300="LOSE",1,IF(N(T300)&gt;0,T300,IF(N(P300)&gt;0,P300,MAX(1,G300))))</f>
        <v>15</v>
      </c>
      <c r="BR300" s="60" t="n">
        <f aca="false">IF(BP300="LOSE",1,0)</f>
        <v>0</v>
      </c>
      <c r="BS300" s="59" t="n">
        <f aca="false">IF(BR300=0,0,IF(N(R300)&gt;0,R300,IFERROR(VLOOKUP(D300,Parameter!$A$35:$C$64,3,0)+0,0)))</f>
        <v>0</v>
      </c>
      <c r="BT300" s="55" t="n">
        <f aca="false">IF(Y300&lt;&gt;"",Y300,X300)</f>
        <v>3</v>
      </c>
      <c r="BU300" s="55" t="str">
        <f aca="false">IF(BT300=1,"L1",IF(OR(BT300=2,BT300=3),"L23",IF(BT300="Aussen","Aussen","-")))</f>
        <v>L23</v>
      </c>
      <c r="BV300" s="66" t="n">
        <f aca="false">IF(N(Z300)&gt;0,Z300,0)</f>
        <v>0</v>
      </c>
      <c r="BW300" s="60" t="n">
        <f aca="false">IF(ISNUMBER(AC300),1,0)</f>
        <v>0</v>
      </c>
      <c r="BX300" s="57" t="n">
        <f aca="false">N(AC300)</f>
        <v>0</v>
      </c>
      <c r="BY300" s="57" t="n">
        <f aca="false">N(L300)+N(M300)</f>
        <v>15</v>
      </c>
      <c r="BZ300" s="57" t="n">
        <f aca="false">ROUNDUP(G300/BQ300,0)</f>
        <v>1</v>
      </c>
      <c r="CA300" s="57" t="n">
        <f aca="false">ROUNDUP(BX300/BQ300,0)</f>
        <v>0</v>
      </c>
      <c r="CB300" s="60" t="n">
        <f aca="false">IF(BR300=1,0,IFERROR(VLOOKUP(BP300,'Gebinde-Kategorie'!$A$5:$M$45,5,0)+0,0))</f>
        <v>8</v>
      </c>
      <c r="CC300" s="60" t="n">
        <f aca="false">IFERROR(IF(OR(BT300=1,BT300=2,BT300=3),N(INDEX(Parameter!$I$5:$I$7,BT300)),0),0)</f>
        <v>0</v>
      </c>
      <c r="CD300" s="59" t="n">
        <f aca="false">IF(AND(Parameter!$B$21="Ja",ISNUMBER(U300),N(V300)&gt;0),IFERROR(N(INDEX(Parameter!$L$5:$L$7,U300))*INDEX(Parameter!$E$5:$E$7,U300)*V300/SUMIFS($V$7:$V$1576,$U$7:$U$1576,U300),0),0)</f>
        <v>0</v>
      </c>
    </row>
    <row r="301" customFormat="false" ht="15" hidden="false" customHeight="false" outlineLevel="0" collapsed="false">
      <c r="A301" s="55" t="s">
        <v>761</v>
      </c>
      <c r="B301" s="55" t="s">
        <v>762</v>
      </c>
      <c r="C301" s="55" t="s">
        <v>160</v>
      </c>
      <c r="D301" s="55" t="s">
        <v>178</v>
      </c>
      <c r="E301" s="55" t="s">
        <v>210</v>
      </c>
      <c r="F301" s="56" t="n">
        <v>40.32</v>
      </c>
      <c r="G301" s="57" t="n">
        <f aca="false">MAX(0,IF(AND(Parameter!$B$21="Ja",ISNUMBER(W301)),W301,IF(Parameter!$B$20="Jahresanfang 2025 + Export",BJ301+BI301,BI301)))</f>
        <v>6</v>
      </c>
      <c r="H301" s="57" t="n">
        <f aca="false">G301*F301</f>
        <v>241.92</v>
      </c>
      <c r="I301" s="57" t="n">
        <f aca="false">BL301*Parameter!$B$18</f>
        <v>40</v>
      </c>
      <c r="J301" s="58" t="n">
        <v>9</v>
      </c>
      <c r="K301" s="59" t="n">
        <v>4.44444444444445</v>
      </c>
      <c r="L301" s="57" t="n">
        <v>3</v>
      </c>
      <c r="M301" s="57" t="n">
        <v>10</v>
      </c>
      <c r="N301" s="60" t="n">
        <v>35</v>
      </c>
      <c r="O301" s="55" t="s">
        <v>284</v>
      </c>
      <c r="P301" s="57" t="n">
        <v>48</v>
      </c>
      <c r="Q301" s="60" t="n">
        <f aca="false">IF(BR301=1,0,IFERROR(VLOOKUP(BP301,'Gebinde-Kategorie'!$A$5:$M$45,13,0)+0,0))</f>
        <v>12</v>
      </c>
      <c r="R301" s="61"/>
      <c r="S301" s="62"/>
      <c r="T301" s="62"/>
      <c r="U301" s="55"/>
      <c r="V301" s="57"/>
      <c r="W301" s="57"/>
      <c r="X301" s="55" t="n">
        <f aca="false">IF(A301="","",IF(AND(Parameter!$B$21="Ja",ISNUMBER(U301)),U301,IF(IFERROR(VLOOKUP(D301,Parameter!$A$35:$C$64,2,0),"Nein")="2+3",IF(ISNUMBER(SEARCH("grosser Artikel",BM301)),2,IFERROR(VLOOKUP(BP301,Parameter!$F$35:$G$64,2,0),2)),IF(OR(IFERROR(VLOOKUP(D301,Parameter!$A$35:$C$64,2,0),"Nein")="Nein",IFERROR(VLOOKUP(D301,Parameter!$A$35:$C$64,2,0),"Nein")=""),"-",VLOOKUP(D301,Parameter!$A$35:$C$64,2,0)))))</f>
        <v>2</v>
      </c>
      <c r="Y301" s="62"/>
      <c r="Z301" s="63"/>
      <c r="AA301" s="57" t="n">
        <f aca="false">AP301</f>
        <v>48</v>
      </c>
      <c r="AB301" s="57" t="n">
        <f aca="false">MAX(AP301,G301)</f>
        <v>48</v>
      </c>
      <c r="AC301" s="64"/>
      <c r="AD301" s="57" t="n">
        <f aca="false">IF(LEFT(Cockpit!$C$5,1)="A",G301,IF(BW301=1,BX301,IF(LEFT(Cockpit!$C$5,1)="B",AH301,MAX(AH301,G301))))</f>
        <v>6</v>
      </c>
      <c r="AE301" s="57" t="n">
        <f aca="false">IF(BR301=1,0,ROUNDUP(AD301/BQ301,0))</f>
        <v>1</v>
      </c>
      <c r="AF301" s="59" t="n">
        <f aca="false">IF(CD301&gt;0,CD301*MAX(1,AD301/V301),IF(BR301=1,IF(AD301&lt;=0,0,BS301*MAX(1,IF(G301&gt;0,AD301/G301,1))),IF(Q301&gt;0,AE301/Q301,0))/MAX(0.1,N(Parameter!$M$21)))</f>
        <v>0.0833333333333333</v>
      </c>
      <c r="AG301" s="57" t="n">
        <f aca="false">AD301*F301</f>
        <v>241.92</v>
      </c>
      <c r="AH301" s="57" t="n">
        <f aca="false">ROUNDUP(MAX(I301/IF(BV301&gt;0,BV301,MAX(0.1,N(Cockpit!$C$6))),BY301)/BQ301,0)*BQ301</f>
        <v>48</v>
      </c>
      <c r="AI301" s="58" t="n">
        <f aca="false">IF(AF301&gt;0,I301/AF301,-1)</f>
        <v>480</v>
      </c>
      <c r="AJ301" s="58" t="n">
        <f aca="false">IF(AND(OR(BU301="L1",BU301="L23"),AF301&gt;0),SUMIFS($AF$7:$AF$1576,$BU$7:$BU$1576,BU301,$AI$7:$AI$1576,"&gt;"&amp;AI301)+SUMIFS($AF$7:$AF$1576,$BU$7:$BU$1576,BU301,$AI$7:$AI$1576,AI301,$BO$7:$BO$1576,"&lt;="&amp;BO301),"")</f>
        <v>12.599910138171</v>
      </c>
      <c r="AK301" s="65" t="n">
        <f aca="false">IF(AJ301="",0,MAX(0,MIN(1,(IF(BU301="L1",Parameter!$E$5,Parameter!$E$6+Parameter!$E$7)-(AJ301-AF301))/AF301)))</f>
        <v>1</v>
      </c>
      <c r="AL301" s="57" t="n">
        <f aca="false">IF(LEFT(Cockpit!$I$5,1)="A",G301,IF(BW301=1,BX301,IF(LEFT(Cockpit!$I$5,1)="B",AP301,MAX(AP301,G301))))</f>
        <v>48</v>
      </c>
      <c r="AM301" s="57" t="n">
        <f aca="false">IF(BR301=1,0,ROUNDUP(AL301/BQ301,0))</f>
        <v>1</v>
      </c>
      <c r="AN301" s="59" t="n">
        <f aca="false">IF(CD301&gt;0,CD301*MAX(1,AL301/V301),IF(BR301=1,IF(AL301&lt;=0,0,BS301*MAX(1,IF(G301&gt;0,AL301/G301,1))),IF(Q301&gt;0,AM301/Q301,0))/MAX(0.1,N(Parameter!$M$21)))</f>
        <v>0.0833333333333333</v>
      </c>
      <c r="AO301" s="57" t="n">
        <f aca="false">AL301*F301</f>
        <v>1935.36</v>
      </c>
      <c r="AP301" s="57" t="n">
        <f aca="false">ROUNDUP(MAX(I301/IF(BV301&gt;0,BV301,MAX(0.1,N(Cockpit!$I$6))),BY301)/BQ301,0)*BQ301</f>
        <v>48</v>
      </c>
      <c r="AQ301" s="58" t="n">
        <f aca="false">IF(AN301&gt;0,I301/AN301,-1)</f>
        <v>480</v>
      </c>
      <c r="AR301" s="58" t="n">
        <f aca="false">IF(AND(OR(BU301="L1",BU301="L23"),AN301&gt;0),SUMIFS($AN$7:$AN$1576,$BU$7:$BU$1576,BU301,$AQ$7:$AQ$1576,"&gt;"&amp;AQ301)+SUMIFS($AN$7:$AN$1576,$BU$7:$BU$1576,BU301,$AQ$7:$AQ$1576,AQ301,$BO$7:$BO$1576,"&lt;="&amp;BO301),"")</f>
        <v>33.6596560568411</v>
      </c>
      <c r="AS301" s="65" t="n">
        <f aca="false">IF(AR301="",0,MAX(0,MIN(1,(IF(BU301="L1",Parameter!$E$5,Parameter!$E$6+Parameter!$E$7)-(AR301-AN301))/AN301)))</f>
        <v>1</v>
      </c>
      <c r="AT301" s="57" t="n">
        <f aca="false">IF(LEFT(Cockpit!$O$5,1)="A",G301,IF(BW301=1,BX301,IF(LEFT(Cockpit!$O$5,1)="B",AX301,MAX(AX301,G301))))</f>
        <v>48</v>
      </c>
      <c r="AU301" s="57" t="n">
        <f aca="false">IF(BR301=1,0,ROUNDUP(AT301/BQ301,0))</f>
        <v>1</v>
      </c>
      <c r="AV301" s="59" t="n">
        <f aca="false">IF(CD301&gt;0,CD301*MAX(1,AT301/V301),IF(BR301=1,IF(AT301&lt;=0,0,BS301*MAX(1,IF(G301&gt;0,AT301/G301,1))),IF(Q301&gt;0,AU301/Q301,0))/MAX(0.1,N(Parameter!$M$21)))</f>
        <v>0.0833333333333333</v>
      </c>
      <c r="AW301" s="57" t="n">
        <f aca="false">AT301*F301</f>
        <v>1935.36</v>
      </c>
      <c r="AX301" s="57" t="n">
        <f aca="false">ROUNDUP(MAX(I301/IF(BV301&gt;0,BV301,MAX(0.1,N(Cockpit!$O$6))),BY301)/BQ301,0)*BQ301</f>
        <v>48</v>
      </c>
      <c r="AY301" s="58" t="n">
        <f aca="false">IF(AV301&gt;0,I301/AV301,-1)</f>
        <v>480</v>
      </c>
      <c r="AZ301" s="58" t="n">
        <f aca="false">IF(AND(OR(BU301="L1",BU301="L23"),AV301&gt;0),SUMIFS($AV$7:$AV$1576,$BU$7:$BU$1576,BU301,$AY$7:$AY$1576,"&gt;"&amp;AY301)+SUMIFS($AV$7:$AV$1576,$BU$7:$BU$1576,BU301,$AY$7:$AY$1576,AY301,$BO$7:$BO$1576,"&lt;="&amp;BO301),"")</f>
        <v>33.4030093701945</v>
      </c>
      <c r="BA301" s="65" t="n">
        <f aca="false">IF(AZ301="",0,MAX(0,MIN(1,(IF(BU301="L1",Parameter!$E$5,Parameter!$E$6+Parameter!$E$7)-(AZ301-AV301))/AV301)))</f>
        <v>1</v>
      </c>
      <c r="BB301" s="55" t="str">
        <f aca="false">IF(AF301&lt;=0,"",IF(BU301="Aussen","Aussenlager",IF(BU301="-","Nicht im Lift",IF(AK301&gt;=1,"Lift",IF(AK301&lt;=0,"Aussenlager","teilweise")))))</f>
        <v>Lift</v>
      </c>
      <c r="BC301" s="55" t="str">
        <f aca="false">IF(AN301&lt;=0,"",IF(BU301="Aussen","Aussenlager",IF(BU301="-","Nicht im Lift",IF(AS301&gt;=1,"Lift",IF(AS301&lt;=0,"Aussenlager","teilweise")))))</f>
        <v>Lift</v>
      </c>
      <c r="BD301" s="55" t="str">
        <f aca="false">IF(AV301&lt;=0,"",IF(BU301="Aussen","Aussenlager",IF(BU301="-","Nicht im Lift",IF(BA301&gt;=1,"Lift",IF(BA301&lt;=0,"Aussenlager","teilweise")))))</f>
        <v>Lift</v>
      </c>
      <c r="BE301" s="55" t="str">
        <f aca="false">IF(A301="","",IF(BN301=1,"Neu; ","")&amp;IF(AND(BN301=0,BI301&lt;0),"negativer Bestand (Export "&amp;BI301&amp;"); ","")&amp;IF(I301&lt;=0,"Kein Verbrauch; ","")&amp;IF(CD301&gt;0,"Lift "&amp;U301&amp;" lt. Liftbericht (Fach "&amp;V301&amp;" Stk); ",IF(BR301=1,"Lose – Fläche geschätzt; ",""))&amp;IF(G301&gt;AP301,"Überbestand "&amp;ROUND(G301-AP301,0)&amp;" Stk / CHF "&amp;ROUND((G301-AP301)*F301,0)&amp;"; ","")&amp;IF(AND(BW301=1,BX301&lt;BY301),"MAX &lt; MB+LG; ","")&amp;IF(AND(CC301&gt;0,CB301*10&gt;CC301),"zu hoch für Tablar; ","")&amp;IF(AND(BN301=0,OR(BW301=1,Y301&lt;&gt;"",S301&lt;&gt;"",T301&lt;&gt;"",Z301&lt;&gt;"")),"manuell übersteuert; ","")&amp;IF(AND(BR301=0,Q301=0),"Gebinde unbekannt / Stellmass fehlt; ","")&amp;IF(AND(BR301=0,N(T301)&lt;=0,N(P301)&lt;=0),"Menge pro Gebinde fehlt (Ist = 1 Gebinde); ","")&amp;BM301)</f>
        <v/>
      </c>
      <c r="BF301" s="55"/>
      <c r="BG301" s="55"/>
      <c r="BH301" s="62"/>
      <c r="BI301" s="57" t="n">
        <v>6</v>
      </c>
      <c r="BJ301" s="57" t="n">
        <v>10</v>
      </c>
      <c r="BK301" s="56" t="n">
        <v>270.560000000001</v>
      </c>
      <c r="BL301" s="57" t="n">
        <v>40</v>
      </c>
      <c r="BM301" s="55"/>
      <c r="BN301" s="60" t="n">
        <v>0</v>
      </c>
      <c r="BO301" s="60" t="n">
        <v>301</v>
      </c>
      <c r="BP301" s="55" t="str">
        <f aca="false">IF(S301&lt;&gt;"",UPPER(TRIM(S301)),IF(O301="","LOSE",O301))</f>
        <v>S62</v>
      </c>
      <c r="BQ301" s="57" t="n">
        <f aca="false">IF(BP301="LOSE",1,IF(N(T301)&gt;0,T301,IF(N(P301)&gt;0,P301,MAX(1,G301))))</f>
        <v>48</v>
      </c>
      <c r="BR301" s="60" t="n">
        <f aca="false">IF(BP301="LOSE",1,0)</f>
        <v>0</v>
      </c>
      <c r="BS301" s="59" t="n">
        <f aca="false">IF(BR301=0,0,IF(N(R301)&gt;0,R301,IFERROR(VLOOKUP(D301,Parameter!$A$35:$C$64,3,0)+0,0)))</f>
        <v>0</v>
      </c>
      <c r="BT301" s="55" t="n">
        <f aca="false">IF(Y301&lt;&gt;"",Y301,X301)</f>
        <v>2</v>
      </c>
      <c r="BU301" s="55" t="str">
        <f aca="false">IF(BT301=1,"L1",IF(OR(BT301=2,BT301=3),"L23",IF(BT301="Aussen","Aussen","-")))</f>
        <v>L23</v>
      </c>
      <c r="BV301" s="66" t="n">
        <f aca="false">IF(N(Z301)&gt;0,Z301,0)</f>
        <v>0</v>
      </c>
      <c r="BW301" s="60" t="n">
        <f aca="false">IF(ISNUMBER(AC301),1,0)</f>
        <v>0</v>
      </c>
      <c r="BX301" s="57" t="n">
        <f aca="false">N(AC301)</f>
        <v>0</v>
      </c>
      <c r="BY301" s="57" t="n">
        <f aca="false">N(L301)+N(M301)</f>
        <v>13</v>
      </c>
      <c r="BZ301" s="57" t="n">
        <f aca="false">ROUNDUP(G301/BQ301,0)</f>
        <v>1</v>
      </c>
      <c r="CA301" s="57" t="n">
        <f aca="false">ROUNDUP(BX301/BQ301,0)</f>
        <v>0</v>
      </c>
      <c r="CB301" s="60" t="n">
        <f aca="false">IF(BR301=1,0,IFERROR(VLOOKUP(BP301,'Gebinde-Kategorie'!$A$5:$M$45,5,0)+0,0))</f>
        <v>21</v>
      </c>
      <c r="CC301" s="60" t="n">
        <f aca="false">IFERROR(IF(OR(BT301=1,BT301=2,BT301=3),N(INDEX(Parameter!$I$5:$I$7,BT301)),0),0)</f>
        <v>0</v>
      </c>
      <c r="CD301" s="59" t="n">
        <f aca="false">IF(AND(Parameter!$B$21="Ja",ISNUMBER(U301),N(V301)&gt;0),IFERROR(N(INDEX(Parameter!$L$5:$L$7,U301))*INDEX(Parameter!$E$5:$E$7,U301)*V301/SUMIFS($V$7:$V$1576,$U$7:$U$1576,U301),0),0)</f>
        <v>0</v>
      </c>
    </row>
    <row r="302" customFormat="false" ht="15" hidden="false" customHeight="false" outlineLevel="0" collapsed="false">
      <c r="A302" s="55" t="s">
        <v>763</v>
      </c>
      <c r="B302" s="55" t="s">
        <v>643</v>
      </c>
      <c r="C302" s="55" t="s">
        <v>160</v>
      </c>
      <c r="D302" s="55" t="s">
        <v>178</v>
      </c>
      <c r="E302" s="55" t="s">
        <v>210</v>
      </c>
      <c r="F302" s="56" t="n">
        <v>2.7</v>
      </c>
      <c r="G302" s="57" t="n">
        <f aca="false">MAX(0,IF(AND(Parameter!$B$21="Ja",ISNUMBER(W302)),W302,IF(Parameter!$B$20="Jahresanfang 2025 + Export",BJ302+BI302,BI302)))</f>
        <v>100</v>
      </c>
      <c r="H302" s="57" t="n">
        <f aca="false">G302*F302</f>
        <v>270</v>
      </c>
      <c r="I302" s="57" t="n">
        <f aca="false">BL302*Parameter!$B$18</f>
        <v>20</v>
      </c>
      <c r="J302" s="58" t="n">
        <v>268.5</v>
      </c>
      <c r="K302" s="59" t="n">
        <v>0.074487895716946</v>
      </c>
      <c r="L302" s="57" t="n">
        <v>0</v>
      </c>
      <c r="M302" s="57" t="n">
        <v>20</v>
      </c>
      <c r="N302" s="60" t="n">
        <v>14</v>
      </c>
      <c r="O302" s="55" t="s">
        <v>416</v>
      </c>
      <c r="P302" s="57" t="n">
        <v>235</v>
      </c>
      <c r="Q302" s="60" t="n">
        <f aca="false">IF(BR302=1,0,IFERROR(VLOOKUP(BP302,'Gebinde-Kategorie'!$A$5:$M$45,13,0)+0,0))</f>
        <v>198</v>
      </c>
      <c r="R302" s="61"/>
      <c r="S302" s="62"/>
      <c r="T302" s="62"/>
      <c r="U302" s="55"/>
      <c r="V302" s="57"/>
      <c r="W302" s="57"/>
      <c r="X302" s="55" t="n">
        <f aca="false">IF(A302="","",IF(AND(Parameter!$B$21="Ja",ISNUMBER(U302)),U302,IF(IFERROR(VLOOKUP(D302,Parameter!$A$35:$C$64,2,0),"Nein")="2+3",IF(ISNUMBER(SEARCH("grosser Artikel",BM302)),2,IFERROR(VLOOKUP(BP302,Parameter!$F$35:$G$64,2,0),2)),IF(OR(IFERROR(VLOOKUP(D302,Parameter!$A$35:$C$64,2,0),"Nein")="Nein",IFERROR(VLOOKUP(D302,Parameter!$A$35:$C$64,2,0),"Nein")=""),"-",VLOOKUP(D302,Parameter!$A$35:$C$64,2,0)))))</f>
        <v>3</v>
      </c>
      <c r="Y302" s="62"/>
      <c r="Z302" s="63"/>
      <c r="AA302" s="57" t="n">
        <f aca="false">AP302</f>
        <v>235</v>
      </c>
      <c r="AB302" s="57" t="n">
        <f aca="false">MAX(AP302,G302)</f>
        <v>235</v>
      </c>
      <c r="AC302" s="64"/>
      <c r="AD302" s="57" t="n">
        <f aca="false">IF(LEFT(Cockpit!$C$5,1)="A",G302,IF(BW302=1,BX302,IF(LEFT(Cockpit!$C$5,1)="B",AH302,MAX(AH302,G302))))</f>
        <v>100</v>
      </c>
      <c r="AE302" s="57" t="n">
        <f aca="false">IF(BR302=1,0,ROUNDUP(AD302/BQ302,0))</f>
        <v>1</v>
      </c>
      <c r="AF302" s="59" t="n">
        <f aca="false">IF(CD302&gt;0,CD302*MAX(1,AD302/V302),IF(BR302=1,IF(AD302&lt;=0,0,BS302*MAX(1,IF(G302&gt;0,AD302/G302,1))),IF(Q302&gt;0,AE302/Q302,0))/MAX(0.1,N(Parameter!$M$21)))</f>
        <v>0.00505050505050505</v>
      </c>
      <c r="AG302" s="57" t="n">
        <f aca="false">AD302*F302</f>
        <v>270</v>
      </c>
      <c r="AH302" s="57" t="n">
        <f aca="false">ROUNDUP(MAX(I302/IF(BV302&gt;0,BV302,MAX(0.1,N(Cockpit!$C$6))),BY302)/BQ302,0)*BQ302</f>
        <v>235</v>
      </c>
      <c r="AI302" s="58" t="n">
        <f aca="false">IF(AF302&gt;0,I302/AF302,-1)</f>
        <v>3960</v>
      </c>
      <c r="AJ302" s="58" t="n">
        <f aca="false">IF(AND(OR(BU302="L1",BU302="L23"),AF302&gt;0),SUMIFS($AF$7:$AF$1576,$BU$7:$BU$1576,BU302,$AI$7:$AI$1576,"&gt;"&amp;AI302)+SUMIFS($AF$7:$AF$1576,$BU$7:$BU$1576,BU302,$AI$7:$AI$1576,AI302,$BO$7:$BO$1576,"&lt;="&amp;BO302),"")</f>
        <v>4.2377399412182</v>
      </c>
      <c r="AK302" s="65" t="n">
        <f aca="false">IF(AJ302="",0,MAX(0,MIN(1,(IF(BU302="L1",Parameter!$E$5,Parameter!$E$6+Parameter!$E$7)-(AJ302-AF302))/AF302)))</f>
        <v>1</v>
      </c>
      <c r="AL302" s="57" t="n">
        <f aca="false">IF(LEFT(Cockpit!$I$5,1)="A",G302,IF(BW302=1,BX302,IF(LEFT(Cockpit!$I$5,1)="B",AP302,MAX(AP302,G302))))</f>
        <v>235</v>
      </c>
      <c r="AM302" s="57" t="n">
        <f aca="false">IF(BR302=1,0,ROUNDUP(AL302/BQ302,0))</f>
        <v>1</v>
      </c>
      <c r="AN302" s="59" t="n">
        <f aca="false">IF(CD302&gt;0,CD302*MAX(1,AL302/V302),IF(BR302=1,IF(AL302&lt;=0,0,BS302*MAX(1,IF(G302&gt;0,AL302/G302,1))),IF(Q302&gt;0,AM302/Q302,0))/MAX(0.1,N(Parameter!$M$21)))</f>
        <v>0.00505050505050505</v>
      </c>
      <c r="AO302" s="57" t="n">
        <f aca="false">AL302*F302</f>
        <v>634.5</v>
      </c>
      <c r="AP302" s="57" t="n">
        <f aca="false">ROUNDUP(MAX(I302/IF(BV302&gt;0,BV302,MAX(0.1,N(Cockpit!$I$6))),BY302)/BQ302,0)*BQ302</f>
        <v>235</v>
      </c>
      <c r="AQ302" s="58" t="n">
        <f aca="false">IF(AN302&gt;0,I302/AN302,-1)</f>
        <v>3960</v>
      </c>
      <c r="AR302" s="58" t="n">
        <f aca="false">IF(AND(OR(BU302="L1",BU302="L23"),AN302&gt;0),SUMIFS($AN$7:$AN$1576,$BU$7:$BU$1576,BU302,$AQ$7:$AQ$1576,"&gt;"&amp;AQ302)+SUMIFS($AN$7:$AN$1576,$BU$7:$BU$1576,BU302,$AQ$7:$AQ$1576,AQ302,$BO$7:$BO$1576,"&lt;="&amp;BO302),"")</f>
        <v>13.0550950744907</v>
      </c>
      <c r="AS302" s="65" t="n">
        <f aca="false">IF(AR302="",0,MAX(0,MIN(1,(IF(BU302="L1",Parameter!$E$5,Parameter!$E$6+Parameter!$E$7)-(AR302-AN302))/AN302)))</f>
        <v>1</v>
      </c>
      <c r="AT302" s="57" t="n">
        <f aca="false">IF(LEFT(Cockpit!$O$5,1)="A",G302,IF(BW302=1,BX302,IF(LEFT(Cockpit!$O$5,1)="B",AX302,MAX(AX302,G302))))</f>
        <v>235</v>
      </c>
      <c r="AU302" s="57" t="n">
        <f aca="false">IF(BR302=1,0,ROUNDUP(AT302/BQ302,0))</f>
        <v>1</v>
      </c>
      <c r="AV302" s="59" t="n">
        <f aca="false">IF(CD302&gt;0,CD302*MAX(1,AT302/V302),IF(BR302=1,IF(AT302&lt;=0,0,BS302*MAX(1,IF(G302&gt;0,AT302/G302,1))),IF(Q302&gt;0,AU302/Q302,0))/MAX(0.1,N(Parameter!$M$21)))</f>
        <v>0.00505050505050505</v>
      </c>
      <c r="AW302" s="57" t="n">
        <f aca="false">AT302*F302</f>
        <v>634.5</v>
      </c>
      <c r="AX302" s="57" t="n">
        <f aca="false">ROUNDUP(MAX(I302/IF(BV302&gt;0,BV302,MAX(0.1,N(Cockpit!$O$6))),BY302)/BQ302,0)*BQ302</f>
        <v>235</v>
      </c>
      <c r="AY302" s="58" t="n">
        <f aca="false">IF(AV302&gt;0,I302/AV302,-1)</f>
        <v>3960</v>
      </c>
      <c r="AZ302" s="58" t="n">
        <f aca="false">IF(AND(OR(BU302="L1",BU302="L23"),AV302&gt;0),SUMIFS($AV$7:$AV$1576,$BU$7:$BU$1576,BU302,$AY$7:$AY$1576,"&gt;"&amp;AY302)+SUMIFS($AV$7:$AV$1576,$BU$7:$BU$1576,BU302,$AY$7:$AY$1576,AY302,$BO$7:$BO$1576,"&lt;="&amp;BO302),"")</f>
        <v>11.7759575453532</v>
      </c>
      <c r="BA302" s="65" t="n">
        <f aca="false">IF(AZ302="",0,MAX(0,MIN(1,(IF(BU302="L1",Parameter!$E$5,Parameter!$E$6+Parameter!$E$7)-(AZ302-AV302))/AV302)))</f>
        <v>1</v>
      </c>
      <c r="BB302" s="55" t="str">
        <f aca="false">IF(AF302&lt;=0,"",IF(BU302="Aussen","Aussenlager",IF(BU302="-","Nicht im Lift",IF(AK302&gt;=1,"Lift",IF(AK302&lt;=0,"Aussenlager","teilweise")))))</f>
        <v>Lift</v>
      </c>
      <c r="BC302" s="55" t="str">
        <f aca="false">IF(AN302&lt;=0,"",IF(BU302="Aussen","Aussenlager",IF(BU302="-","Nicht im Lift",IF(AS302&gt;=1,"Lift",IF(AS302&lt;=0,"Aussenlager","teilweise")))))</f>
        <v>Lift</v>
      </c>
      <c r="BD302" s="55" t="str">
        <f aca="false">IF(AV302&lt;=0,"",IF(BU302="Aussen","Aussenlager",IF(BU302="-","Nicht im Lift",IF(BA302&gt;=1,"Lift",IF(BA302&lt;=0,"Aussenlager","teilweise")))))</f>
        <v>Lift</v>
      </c>
      <c r="BE302" s="55" t="str">
        <f aca="false">IF(A302="","",IF(BN302=1,"Neu; ","")&amp;IF(AND(BN302=0,BI302&lt;0),"negativer Bestand (Export "&amp;BI302&amp;"); ","")&amp;IF(I302&lt;=0,"Kein Verbrauch; ","")&amp;IF(CD302&gt;0,"Lift "&amp;U302&amp;" lt. Liftbericht (Fach "&amp;V302&amp;" Stk); ",IF(BR302=1,"Lose – Fläche geschätzt; ",""))&amp;IF(G302&gt;AP302,"Überbestand "&amp;ROUND(G302-AP302,0)&amp;" Stk / CHF "&amp;ROUND((G302-AP302)*F302,0)&amp;"; ","")&amp;IF(AND(BW302=1,BX302&lt;BY302),"MAX &lt; MB+LG; ","")&amp;IF(AND(CC302&gt;0,CB302*10&gt;CC302),"zu hoch für Tablar; ","")&amp;IF(AND(BN302=0,OR(BW302=1,Y302&lt;&gt;"",S302&lt;&gt;"",T302&lt;&gt;"",Z302&lt;&gt;"")),"manuell übersteuert; ","")&amp;IF(AND(BR302=0,Q302=0),"Gebinde unbekannt / Stellmass fehlt; ","")&amp;IF(AND(BR302=0,N(T302)&lt;=0,N(P302)&lt;=0),"Menge pro Gebinde fehlt (Ist = 1 Gebinde); ","")&amp;BM302)</f>
        <v/>
      </c>
      <c r="BF302" s="55"/>
      <c r="BG302" s="55"/>
      <c r="BH302" s="62"/>
      <c r="BI302" s="57" t="n">
        <v>100</v>
      </c>
      <c r="BJ302" s="57" t="n">
        <v>217</v>
      </c>
      <c r="BK302" s="56" t="n">
        <v>270</v>
      </c>
      <c r="BL302" s="57" t="n">
        <v>20</v>
      </c>
      <c r="BM302" s="55"/>
      <c r="BN302" s="60" t="n">
        <v>0</v>
      </c>
      <c r="BO302" s="60" t="n">
        <v>302</v>
      </c>
      <c r="BP302" s="55" t="str">
        <f aca="false">IF(S302&lt;&gt;"",UPPER(TRIM(S302)),IF(O302="","LOSE",O302))</f>
        <v>S22</v>
      </c>
      <c r="BQ302" s="57" t="n">
        <f aca="false">IF(BP302="LOSE",1,IF(N(T302)&gt;0,T302,IF(N(P302)&gt;0,P302,MAX(1,G302))))</f>
        <v>235</v>
      </c>
      <c r="BR302" s="60" t="n">
        <f aca="false">IF(BP302="LOSE",1,0)</f>
        <v>0</v>
      </c>
      <c r="BS302" s="59" t="n">
        <f aca="false">IF(BR302=0,0,IF(N(R302)&gt;0,R302,IFERROR(VLOOKUP(D302,Parameter!$A$35:$C$64,3,0)+0,0)))</f>
        <v>0</v>
      </c>
      <c r="BT302" s="55" t="n">
        <f aca="false">IF(Y302&lt;&gt;"",Y302,X302)</f>
        <v>3</v>
      </c>
      <c r="BU302" s="55" t="str">
        <f aca="false">IF(BT302=1,"L1",IF(OR(BT302=2,BT302=3),"L23",IF(BT302="Aussen","Aussen","-")))</f>
        <v>L23</v>
      </c>
      <c r="BV302" s="66" t="n">
        <f aca="false">IF(N(Z302)&gt;0,Z302,0)</f>
        <v>0</v>
      </c>
      <c r="BW302" s="60" t="n">
        <f aca="false">IF(ISNUMBER(AC302),1,0)</f>
        <v>0</v>
      </c>
      <c r="BX302" s="57" t="n">
        <f aca="false">N(AC302)</f>
        <v>0</v>
      </c>
      <c r="BY302" s="57" t="n">
        <f aca="false">N(L302)+N(M302)</f>
        <v>20</v>
      </c>
      <c r="BZ302" s="57" t="n">
        <f aca="false">ROUNDUP(G302/BQ302,0)</f>
        <v>1</v>
      </c>
      <c r="CA302" s="57" t="n">
        <f aca="false">ROUNDUP(BX302/BQ302,0)</f>
        <v>0</v>
      </c>
      <c r="CB302" s="60" t="n">
        <f aca="false">IF(BR302=1,0,IFERROR(VLOOKUP(BP302,'Gebinde-Kategorie'!$A$5:$M$45,5,0)+0,0))</f>
        <v>8</v>
      </c>
      <c r="CC302" s="60" t="n">
        <f aca="false">IFERROR(IF(OR(BT302=1,BT302=2,BT302=3),N(INDEX(Parameter!$I$5:$I$7,BT302)),0),0)</f>
        <v>0</v>
      </c>
      <c r="CD302" s="59" t="n">
        <f aca="false">IF(AND(Parameter!$B$21="Ja",ISNUMBER(U302),N(V302)&gt;0),IFERROR(N(INDEX(Parameter!$L$5:$L$7,U302))*INDEX(Parameter!$E$5:$E$7,U302)*V302/SUMIFS($V$7:$V$1576,$U$7:$U$1576,U302),0),0)</f>
        <v>0</v>
      </c>
    </row>
    <row r="303" customFormat="false" ht="15" hidden="false" customHeight="false" outlineLevel="0" collapsed="false">
      <c r="A303" s="55" t="s">
        <v>764</v>
      </c>
      <c r="B303" s="55" t="s">
        <v>765</v>
      </c>
      <c r="C303" s="55" t="s">
        <v>160</v>
      </c>
      <c r="D303" s="55" t="s">
        <v>178</v>
      </c>
      <c r="E303" s="55" t="s">
        <v>210</v>
      </c>
      <c r="F303" s="56" t="n">
        <v>0.79</v>
      </c>
      <c r="G303" s="57" t="n">
        <f aca="false">MAX(0,IF(AND(Parameter!$B$21="Ja",ISNUMBER(W303)),W303,IF(Parameter!$B$20="Jahresanfang 2025 + Export",BJ303+BI303,BI303)))</f>
        <v>339</v>
      </c>
      <c r="H303" s="57" t="n">
        <f aca="false">G303*F303</f>
        <v>267.81</v>
      </c>
      <c r="I303" s="57" t="n">
        <f aca="false">BL303*Parameter!$B$18</f>
        <v>59</v>
      </c>
      <c r="J303" s="58" t="n">
        <v>115</v>
      </c>
      <c r="K303" s="59" t="n">
        <v>0.51304347826087</v>
      </c>
      <c r="L303" s="57" t="n">
        <v>2</v>
      </c>
      <c r="M303" s="57" t="n">
        <v>60</v>
      </c>
      <c r="N303" s="60" t="n">
        <v>14</v>
      </c>
      <c r="O303" s="55" t="s">
        <v>411</v>
      </c>
      <c r="P303" s="57" t="n">
        <v>39</v>
      </c>
      <c r="Q303" s="60" t="n">
        <f aca="false">IF(BR303=1,0,IFERROR(VLOOKUP(BP303,'Gebinde-Kategorie'!$A$5:$M$45,13,0)+0,0))</f>
        <v>132</v>
      </c>
      <c r="R303" s="61"/>
      <c r="S303" s="62"/>
      <c r="T303" s="62"/>
      <c r="U303" s="55"/>
      <c r="V303" s="57"/>
      <c r="W303" s="57"/>
      <c r="X303" s="55" t="n">
        <f aca="false">IF(A303="","",IF(AND(Parameter!$B$21="Ja",ISNUMBER(U303)),U303,IF(IFERROR(VLOOKUP(D303,Parameter!$A$35:$C$64,2,0),"Nein")="2+3",IF(ISNUMBER(SEARCH("grosser Artikel",BM303)),2,IFERROR(VLOOKUP(BP303,Parameter!$F$35:$G$64,2,0),2)),IF(OR(IFERROR(VLOOKUP(D303,Parameter!$A$35:$C$64,2,0),"Nein")="Nein",IFERROR(VLOOKUP(D303,Parameter!$A$35:$C$64,2,0),"Nein")=""),"-",VLOOKUP(D303,Parameter!$A$35:$C$64,2,0)))))</f>
        <v>3</v>
      </c>
      <c r="Y303" s="62"/>
      <c r="Z303" s="63"/>
      <c r="AA303" s="57" t="n">
        <f aca="false">AP303</f>
        <v>78</v>
      </c>
      <c r="AB303" s="57" t="n">
        <f aca="false">MAX(AP303,G303)</f>
        <v>339</v>
      </c>
      <c r="AC303" s="64"/>
      <c r="AD303" s="57" t="n">
        <f aca="false">IF(LEFT(Cockpit!$C$5,1)="A",G303,IF(BW303=1,BX303,IF(LEFT(Cockpit!$C$5,1)="B",AH303,MAX(AH303,G303))))</f>
        <v>339</v>
      </c>
      <c r="AE303" s="57" t="n">
        <f aca="false">IF(BR303=1,0,ROUNDUP(AD303/BQ303,0))</f>
        <v>9</v>
      </c>
      <c r="AF303" s="59" t="n">
        <f aca="false">IF(CD303&gt;0,CD303*MAX(1,AD303/V303),IF(BR303=1,IF(AD303&lt;=0,0,BS303*MAX(1,IF(G303&gt;0,AD303/G303,1))),IF(Q303&gt;0,AE303/Q303,0))/MAX(0.1,N(Parameter!$M$21)))</f>
        <v>0.0681818181818182</v>
      </c>
      <c r="AG303" s="57" t="n">
        <f aca="false">AD303*F303</f>
        <v>267.81</v>
      </c>
      <c r="AH303" s="57" t="n">
        <f aca="false">ROUNDUP(MAX(I303/IF(BV303&gt;0,BV303,MAX(0.1,N(Cockpit!$C$6))),BY303)/BQ303,0)*BQ303</f>
        <v>78</v>
      </c>
      <c r="AI303" s="58" t="n">
        <f aca="false">IF(AF303&gt;0,I303/AF303,-1)</f>
        <v>865.333333333333</v>
      </c>
      <c r="AJ303" s="58" t="n">
        <f aca="false">IF(AND(OR(BU303="L1",BU303="L23"),AF303&gt;0),SUMIFS($AF$7:$AF$1576,$BU$7:$BU$1576,BU303,$AI$7:$AI$1576,"&gt;"&amp;AI303)+SUMIFS($AF$7:$AF$1576,$BU$7:$BU$1576,BU303,$AI$7:$AI$1576,AI303,$BO$7:$BO$1576,"&lt;="&amp;BO303),"")</f>
        <v>10.1959068950373</v>
      </c>
      <c r="AK303" s="65" t="n">
        <f aca="false">IF(AJ303="",0,MAX(0,MIN(1,(IF(BU303="L1",Parameter!$E$5,Parameter!$E$6+Parameter!$E$7)-(AJ303-AF303))/AF303)))</f>
        <v>1</v>
      </c>
      <c r="AL303" s="57" t="n">
        <f aca="false">IF(LEFT(Cockpit!$I$5,1)="A",G303,IF(BW303=1,BX303,IF(LEFT(Cockpit!$I$5,1)="B",AP303,MAX(AP303,G303))))</f>
        <v>339</v>
      </c>
      <c r="AM303" s="57" t="n">
        <f aca="false">IF(BR303=1,0,ROUNDUP(AL303/BQ303,0))</f>
        <v>9</v>
      </c>
      <c r="AN303" s="59" t="n">
        <f aca="false">IF(CD303&gt;0,CD303*MAX(1,AL303/V303),IF(BR303=1,IF(AL303&lt;=0,0,BS303*MAX(1,IF(G303&gt;0,AL303/G303,1))),IF(Q303&gt;0,AM303/Q303,0))/MAX(0.1,N(Parameter!$M$21)))</f>
        <v>0.0681818181818182</v>
      </c>
      <c r="AO303" s="57" t="n">
        <f aca="false">AL303*F303</f>
        <v>267.81</v>
      </c>
      <c r="AP303" s="57" t="n">
        <f aca="false">ROUNDUP(MAX(I303/IF(BV303&gt;0,BV303,MAX(0.1,N(Cockpit!$I$6))),BY303)/BQ303,0)*BQ303</f>
        <v>78</v>
      </c>
      <c r="AQ303" s="58" t="n">
        <f aca="false">IF(AN303&gt;0,I303/AN303,-1)</f>
        <v>865.333333333333</v>
      </c>
      <c r="AR303" s="58" t="n">
        <f aca="false">IF(AND(OR(BU303="L1",BU303="L23"),AN303&gt;0),SUMIFS($AN$7:$AN$1576,$BU$7:$BU$1576,BU303,$AQ$7:$AQ$1576,"&gt;"&amp;AQ303)+SUMIFS($AN$7:$AN$1576,$BU$7:$BU$1576,BU303,$AQ$7:$AQ$1576,AQ303,$BO$7:$BO$1576,"&lt;="&amp;BO303),"")</f>
        <v>25.4036272064645</v>
      </c>
      <c r="AS303" s="65" t="n">
        <f aca="false">IF(AR303="",0,MAX(0,MIN(1,(IF(BU303="L1",Parameter!$E$5,Parameter!$E$6+Parameter!$E$7)-(AR303-AN303))/AN303)))</f>
        <v>1</v>
      </c>
      <c r="AT303" s="57" t="n">
        <f aca="false">IF(LEFT(Cockpit!$O$5,1)="A",G303,IF(BW303=1,BX303,IF(LEFT(Cockpit!$O$5,1)="B",AX303,MAX(AX303,G303))))</f>
        <v>339</v>
      </c>
      <c r="AU303" s="57" t="n">
        <f aca="false">IF(BR303=1,0,ROUNDUP(AT303/BQ303,0))</f>
        <v>9</v>
      </c>
      <c r="AV303" s="59" t="n">
        <f aca="false">IF(CD303&gt;0,CD303*MAX(1,AT303/V303),IF(BR303=1,IF(AT303&lt;=0,0,BS303*MAX(1,IF(G303&gt;0,AT303/G303,1))),IF(Q303&gt;0,AU303/Q303,0))/MAX(0.1,N(Parameter!$M$21)))</f>
        <v>0.0681818181818182</v>
      </c>
      <c r="AW303" s="57" t="n">
        <f aca="false">AT303*F303</f>
        <v>267.81</v>
      </c>
      <c r="AX303" s="57" t="n">
        <f aca="false">ROUNDUP(MAX(I303/IF(BV303&gt;0,BV303,MAX(0.1,N(Cockpit!$O$6))),BY303)/BQ303,0)*BQ303</f>
        <v>78</v>
      </c>
      <c r="AY303" s="58" t="n">
        <f aca="false">IF(AV303&gt;0,I303/AV303,-1)</f>
        <v>865.333333333333</v>
      </c>
      <c r="AZ303" s="58" t="n">
        <f aca="false">IF(AND(OR(BU303="L1",BU303="L23"),AV303&gt;0),SUMIFS($AV$7:$AV$1576,$BU$7:$BU$1576,BU303,$AY$7:$AY$1576,"&gt;"&amp;AY303)+SUMIFS($AV$7:$AV$1576,$BU$7:$BU$1576,BU303,$AY$7:$AY$1576,AY303,$BO$7:$BO$1576,"&lt;="&amp;BO303),"")</f>
        <v>25.6373101901474</v>
      </c>
      <c r="BA303" s="65" t="n">
        <f aca="false">IF(AZ303="",0,MAX(0,MIN(1,(IF(BU303="L1",Parameter!$E$5,Parameter!$E$6+Parameter!$E$7)-(AZ303-AV303))/AV303)))</f>
        <v>1</v>
      </c>
      <c r="BB303" s="55" t="str">
        <f aca="false">IF(AF303&lt;=0,"",IF(BU303="Aussen","Aussenlager",IF(BU303="-","Nicht im Lift",IF(AK303&gt;=1,"Lift",IF(AK303&lt;=0,"Aussenlager","teilweise")))))</f>
        <v>Lift</v>
      </c>
      <c r="BC303" s="55" t="str">
        <f aca="false">IF(AN303&lt;=0,"",IF(BU303="Aussen","Aussenlager",IF(BU303="-","Nicht im Lift",IF(AS303&gt;=1,"Lift",IF(AS303&lt;=0,"Aussenlager","teilweise")))))</f>
        <v>Lift</v>
      </c>
      <c r="BD303" s="55" t="str">
        <f aca="false">IF(AV303&lt;=0,"",IF(BU303="Aussen","Aussenlager",IF(BU303="-","Nicht im Lift",IF(BA303&gt;=1,"Lift",IF(BA303&lt;=0,"Aussenlager","teilweise")))))</f>
        <v>Lift</v>
      </c>
      <c r="BE303" s="55" t="str">
        <f aca="false">IF(A303="","",IF(BN303=1,"Neu; ","")&amp;IF(AND(BN303=0,BI303&lt;0),"negativer Bestand (Export "&amp;BI303&amp;"); ","")&amp;IF(I303&lt;=0,"Kein Verbrauch; ","")&amp;IF(CD303&gt;0,"Lift "&amp;U303&amp;" lt. Liftbericht (Fach "&amp;V303&amp;" Stk); ",IF(BR303=1,"Lose – Fläche geschätzt; ",""))&amp;IF(G303&gt;AP303,"Überbestand "&amp;ROUND(G303-AP303,0)&amp;" Stk / CHF "&amp;ROUND((G303-AP303)*F303,0)&amp;"; ","")&amp;IF(AND(BW303=1,BX303&lt;BY303),"MAX &lt; MB+LG; ","")&amp;IF(AND(CC303&gt;0,CB303*10&gt;CC303),"zu hoch für Tablar; ","")&amp;IF(AND(BN303=0,OR(BW303=1,Y303&lt;&gt;"",S303&lt;&gt;"",T303&lt;&gt;"",Z303&lt;&gt;"")),"manuell übersteuert; ","")&amp;IF(AND(BR303=0,Q303=0),"Gebinde unbekannt / Stellmass fehlt; ","")&amp;IF(AND(BR303=0,N(T303)&lt;=0,N(P303)&lt;=0),"Menge pro Gebinde fehlt (Ist = 1 Gebinde); ","")&amp;BM303)</f>
        <v>Überbestand 261 Stk / CHF 206; </v>
      </c>
      <c r="BF303" s="55"/>
      <c r="BG303" s="55"/>
      <c r="BH303" s="62"/>
      <c r="BI303" s="57" t="n">
        <v>339</v>
      </c>
      <c r="BJ303" s="57" t="n">
        <v>32</v>
      </c>
      <c r="BK303" s="56" t="n">
        <v>267.81</v>
      </c>
      <c r="BL303" s="57" t="n">
        <v>59</v>
      </c>
      <c r="BM303" s="55"/>
      <c r="BN303" s="60" t="n">
        <v>0</v>
      </c>
      <c r="BO303" s="60" t="n">
        <v>303</v>
      </c>
      <c r="BP303" s="55" t="str">
        <f aca="false">IF(S303&lt;&gt;"",UPPER(TRIM(S303)),IF(O303="","LOSE",O303))</f>
        <v>S32</v>
      </c>
      <c r="BQ303" s="57" t="n">
        <f aca="false">IF(BP303="LOSE",1,IF(N(T303)&gt;0,T303,IF(N(P303)&gt;0,P303,MAX(1,G303))))</f>
        <v>39</v>
      </c>
      <c r="BR303" s="60" t="n">
        <f aca="false">IF(BP303="LOSE",1,0)</f>
        <v>0</v>
      </c>
      <c r="BS303" s="59" t="n">
        <f aca="false">IF(BR303=0,0,IF(N(R303)&gt;0,R303,IFERROR(VLOOKUP(D303,Parameter!$A$35:$C$64,3,0)+0,0)))</f>
        <v>0</v>
      </c>
      <c r="BT303" s="55" t="n">
        <f aca="false">IF(Y303&lt;&gt;"",Y303,X303)</f>
        <v>3</v>
      </c>
      <c r="BU303" s="55" t="str">
        <f aca="false">IF(BT303=1,"L1",IF(OR(BT303=2,BT303=3),"L23",IF(BT303="Aussen","Aussen","-")))</f>
        <v>L23</v>
      </c>
      <c r="BV303" s="66" t="n">
        <f aca="false">IF(N(Z303)&gt;0,Z303,0)</f>
        <v>0</v>
      </c>
      <c r="BW303" s="60" t="n">
        <f aca="false">IF(ISNUMBER(AC303),1,0)</f>
        <v>0</v>
      </c>
      <c r="BX303" s="57" t="n">
        <f aca="false">N(AC303)</f>
        <v>0</v>
      </c>
      <c r="BY303" s="57" t="n">
        <f aca="false">N(L303)+N(M303)</f>
        <v>62</v>
      </c>
      <c r="BZ303" s="57" t="n">
        <f aca="false">ROUNDUP(G303/BQ303,0)</f>
        <v>9</v>
      </c>
      <c r="CA303" s="57" t="n">
        <f aca="false">ROUNDUP(BX303/BQ303,0)</f>
        <v>0</v>
      </c>
      <c r="CB303" s="60" t="n">
        <f aca="false">IF(BR303=1,0,IFERROR(VLOOKUP(BP303,'Gebinde-Kategorie'!$A$5:$M$45,5,0)+0,0))</f>
        <v>8</v>
      </c>
      <c r="CC303" s="60" t="n">
        <f aca="false">IFERROR(IF(OR(BT303=1,BT303=2,BT303=3),N(INDEX(Parameter!$I$5:$I$7,BT303)),0),0)</f>
        <v>0</v>
      </c>
      <c r="CD303" s="59" t="n">
        <f aca="false">IF(AND(Parameter!$B$21="Ja",ISNUMBER(U303),N(V303)&gt;0),IFERROR(N(INDEX(Parameter!$L$5:$L$7,U303))*INDEX(Parameter!$E$5:$E$7,U303)*V303/SUMIFS($V$7:$V$1576,$U$7:$U$1576,U303),0),0)</f>
        <v>0</v>
      </c>
    </row>
    <row r="304" customFormat="false" ht="15" hidden="false" customHeight="false" outlineLevel="0" collapsed="false">
      <c r="A304" s="55" t="s">
        <v>766</v>
      </c>
      <c r="B304" s="55" t="s">
        <v>478</v>
      </c>
      <c r="C304" s="55" t="s">
        <v>160</v>
      </c>
      <c r="D304" s="55" t="s">
        <v>178</v>
      </c>
      <c r="E304" s="55" t="s">
        <v>210</v>
      </c>
      <c r="F304" s="56" t="n">
        <v>2.01</v>
      </c>
      <c r="G304" s="57" t="n">
        <f aca="false">MAX(0,IF(AND(Parameter!$B$21="Ja",ISNUMBER(W304)),W304,IF(Parameter!$B$20="Jahresanfang 2025 + Export",BJ304+BI304,BI304)))</f>
        <v>136</v>
      </c>
      <c r="H304" s="57" t="n">
        <f aca="false">G304*F304</f>
        <v>273.36</v>
      </c>
      <c r="I304" s="57" t="n">
        <f aca="false">BL304*Parameter!$B$18</f>
        <v>172</v>
      </c>
      <c r="J304" s="58" t="n">
        <v>69</v>
      </c>
      <c r="K304" s="59" t="n">
        <v>2.49275362318841</v>
      </c>
      <c r="L304" s="57" t="n">
        <v>6</v>
      </c>
      <c r="M304" s="57" t="n">
        <v>200</v>
      </c>
      <c r="N304" s="60" t="n">
        <v>14</v>
      </c>
      <c r="O304" s="55" t="s">
        <v>465</v>
      </c>
      <c r="P304" s="57" t="n">
        <v>342</v>
      </c>
      <c r="Q304" s="60" t="n">
        <f aca="false">IF(BR304=1,0,IFERROR(VLOOKUP(BP304,'Gebinde-Kategorie'!$A$5:$M$45,13,0)+0,0))</f>
        <v>66</v>
      </c>
      <c r="R304" s="61"/>
      <c r="S304" s="62"/>
      <c r="T304" s="62"/>
      <c r="U304" s="55"/>
      <c r="V304" s="57"/>
      <c r="W304" s="57"/>
      <c r="X304" s="55" t="n">
        <f aca="false">IF(A304="","",IF(AND(Parameter!$B$21="Ja",ISNUMBER(U304)),U304,IF(IFERROR(VLOOKUP(D304,Parameter!$A$35:$C$64,2,0),"Nein")="2+3",IF(ISNUMBER(SEARCH("grosser Artikel",BM304)),2,IFERROR(VLOOKUP(BP304,Parameter!$F$35:$G$64,2,0),2)),IF(OR(IFERROR(VLOOKUP(D304,Parameter!$A$35:$C$64,2,0),"Nein")="Nein",IFERROR(VLOOKUP(D304,Parameter!$A$35:$C$64,2,0),"Nein")=""),"-",VLOOKUP(D304,Parameter!$A$35:$C$64,2,0)))))</f>
        <v>3</v>
      </c>
      <c r="Y304" s="62"/>
      <c r="Z304" s="63"/>
      <c r="AA304" s="57" t="n">
        <f aca="false">AP304</f>
        <v>342</v>
      </c>
      <c r="AB304" s="57" t="n">
        <f aca="false">MAX(AP304,G304)</f>
        <v>342</v>
      </c>
      <c r="AC304" s="64"/>
      <c r="AD304" s="57" t="n">
        <f aca="false">IF(LEFT(Cockpit!$C$5,1)="A",G304,IF(BW304=1,BX304,IF(LEFT(Cockpit!$C$5,1)="B",AH304,MAX(AH304,G304))))</f>
        <v>136</v>
      </c>
      <c r="AE304" s="57" t="n">
        <f aca="false">IF(BR304=1,0,ROUNDUP(AD304/BQ304,0))</f>
        <v>1</v>
      </c>
      <c r="AF304" s="59" t="n">
        <f aca="false">IF(CD304&gt;0,CD304*MAX(1,AD304/V304),IF(BR304=1,IF(AD304&lt;=0,0,BS304*MAX(1,IF(G304&gt;0,AD304/G304,1))),IF(Q304&gt;0,AE304/Q304,0))/MAX(0.1,N(Parameter!$M$21)))</f>
        <v>0.0151515151515152</v>
      </c>
      <c r="AG304" s="57" t="n">
        <f aca="false">AD304*F304</f>
        <v>273.36</v>
      </c>
      <c r="AH304" s="57" t="n">
        <f aca="false">ROUNDUP(MAX(I304/IF(BV304&gt;0,BV304,MAX(0.1,N(Cockpit!$C$6))),BY304)/BQ304,0)*BQ304</f>
        <v>342</v>
      </c>
      <c r="AI304" s="58" t="n">
        <f aca="false">IF(AF304&gt;0,I304/AF304,-1)</f>
        <v>11352</v>
      </c>
      <c r="AJ304" s="58" t="n">
        <f aca="false">IF(AND(OR(BU304="L1",BU304="L23"),AF304&gt;0),SUMIFS($AF$7:$AF$1576,$BU$7:$BU$1576,BU304,$AI$7:$AI$1576,"&gt;"&amp;AI304)+SUMIFS($AF$7:$AF$1576,$BU$7:$BU$1576,BU304,$AI$7:$AI$1576,AI304,$BO$7:$BO$1576,"&lt;="&amp;BO304),"")</f>
        <v>2.38577244012027</v>
      </c>
      <c r="AK304" s="65" t="n">
        <f aca="false">IF(AJ304="",0,MAX(0,MIN(1,(IF(BU304="L1",Parameter!$E$5,Parameter!$E$6+Parameter!$E$7)-(AJ304-AF304))/AF304)))</f>
        <v>1</v>
      </c>
      <c r="AL304" s="57" t="n">
        <f aca="false">IF(LEFT(Cockpit!$I$5,1)="A",G304,IF(BW304=1,BX304,IF(LEFT(Cockpit!$I$5,1)="B",AP304,MAX(AP304,G304))))</f>
        <v>342</v>
      </c>
      <c r="AM304" s="57" t="n">
        <f aca="false">IF(BR304=1,0,ROUNDUP(AL304/BQ304,0))</f>
        <v>1</v>
      </c>
      <c r="AN304" s="59" t="n">
        <f aca="false">IF(CD304&gt;0,CD304*MAX(1,AL304/V304),IF(BR304=1,IF(AL304&lt;=0,0,BS304*MAX(1,IF(G304&gt;0,AL304/G304,1))),IF(Q304&gt;0,AM304/Q304,0))/MAX(0.1,N(Parameter!$M$21)))</f>
        <v>0.0151515151515152</v>
      </c>
      <c r="AO304" s="57" t="n">
        <f aca="false">AL304*F304</f>
        <v>687.42</v>
      </c>
      <c r="AP304" s="57" t="n">
        <f aca="false">ROUNDUP(MAX(I304/IF(BV304&gt;0,BV304,MAX(0.1,N(Cockpit!$I$6))),BY304)/BQ304,0)*BQ304</f>
        <v>342</v>
      </c>
      <c r="AQ304" s="58" t="n">
        <f aca="false">IF(AN304&gt;0,I304/AN304,-1)</f>
        <v>11352</v>
      </c>
      <c r="AR304" s="58" t="n">
        <f aca="false">IF(AND(OR(BU304="L1",BU304="L23"),AN304&gt;0),SUMIFS($AN$7:$AN$1576,$BU$7:$BU$1576,BU304,$AQ$7:$AQ$1576,"&gt;"&amp;AQ304)+SUMIFS($AN$7:$AN$1576,$BU$7:$BU$1576,BU304,$AQ$7:$AQ$1576,AQ304,$BO$7:$BO$1576,"&lt;="&amp;BO304),"")</f>
        <v>6.42461538461539</v>
      </c>
      <c r="AS304" s="65" t="n">
        <f aca="false">IF(AR304="",0,MAX(0,MIN(1,(IF(BU304="L1",Parameter!$E$5,Parameter!$E$6+Parameter!$E$7)-(AR304-AN304))/AN304)))</f>
        <v>1</v>
      </c>
      <c r="AT304" s="57" t="n">
        <f aca="false">IF(LEFT(Cockpit!$O$5,1)="A",G304,IF(BW304=1,BX304,IF(LEFT(Cockpit!$O$5,1)="B",AX304,MAX(AX304,G304))))</f>
        <v>342</v>
      </c>
      <c r="AU304" s="57" t="n">
        <f aca="false">IF(BR304=1,0,ROUNDUP(AT304/BQ304,0))</f>
        <v>1</v>
      </c>
      <c r="AV304" s="59" t="n">
        <f aca="false">IF(CD304&gt;0,CD304*MAX(1,AT304/V304),IF(BR304=1,IF(AT304&lt;=0,0,BS304*MAX(1,IF(G304&gt;0,AT304/G304,1))),IF(Q304&gt;0,AU304/Q304,0))/MAX(0.1,N(Parameter!$M$21)))</f>
        <v>0.0151515151515152</v>
      </c>
      <c r="AW304" s="57" t="n">
        <f aca="false">AT304*F304</f>
        <v>687.42</v>
      </c>
      <c r="AX304" s="57" t="n">
        <f aca="false">ROUNDUP(MAX(I304/IF(BV304&gt;0,BV304,MAX(0.1,N(Cockpit!$O$6))),BY304)/BQ304,0)*BQ304</f>
        <v>342</v>
      </c>
      <c r="AY304" s="58" t="n">
        <f aca="false">IF(AV304&gt;0,I304/AV304,-1)</f>
        <v>11352</v>
      </c>
      <c r="AZ304" s="58" t="n">
        <f aca="false">IF(AND(OR(BU304="L1",BU304="L23"),AV304&gt;0),SUMIFS($AV$7:$AV$1576,$BU$7:$BU$1576,BU304,$AY$7:$AY$1576,"&gt;"&amp;AY304)+SUMIFS($AV$7:$AV$1576,$BU$7:$BU$1576,BU304,$AY$7:$AY$1576,AY304,$BO$7:$BO$1576,"&lt;="&amp;BO304),"")</f>
        <v>6.12624708624709</v>
      </c>
      <c r="BA304" s="65" t="n">
        <f aca="false">IF(AZ304="",0,MAX(0,MIN(1,(IF(BU304="L1",Parameter!$E$5,Parameter!$E$6+Parameter!$E$7)-(AZ304-AV304))/AV304)))</f>
        <v>1</v>
      </c>
      <c r="BB304" s="55" t="str">
        <f aca="false">IF(AF304&lt;=0,"",IF(BU304="Aussen","Aussenlager",IF(BU304="-","Nicht im Lift",IF(AK304&gt;=1,"Lift",IF(AK304&lt;=0,"Aussenlager","teilweise")))))</f>
        <v>Lift</v>
      </c>
      <c r="BC304" s="55" t="str">
        <f aca="false">IF(AN304&lt;=0,"",IF(BU304="Aussen","Aussenlager",IF(BU304="-","Nicht im Lift",IF(AS304&gt;=1,"Lift",IF(AS304&lt;=0,"Aussenlager","teilweise")))))</f>
        <v>Lift</v>
      </c>
      <c r="BD304" s="55" t="str">
        <f aca="false">IF(AV304&lt;=0,"",IF(BU304="Aussen","Aussenlager",IF(BU304="-","Nicht im Lift",IF(BA304&gt;=1,"Lift",IF(BA304&lt;=0,"Aussenlager","teilweise")))))</f>
        <v>Lift</v>
      </c>
      <c r="BE304" s="55" t="str">
        <f aca="false">IF(A304="","",IF(BN304=1,"Neu; ","")&amp;IF(AND(BN304=0,BI304&lt;0),"negativer Bestand (Export "&amp;BI304&amp;"); ","")&amp;IF(I304&lt;=0,"Kein Verbrauch; ","")&amp;IF(CD304&gt;0,"Lift "&amp;U304&amp;" lt. Liftbericht (Fach "&amp;V304&amp;" Stk); ",IF(BR304=1,"Lose – Fläche geschätzt; ",""))&amp;IF(G304&gt;AP304,"Überbestand "&amp;ROUND(G304-AP304,0)&amp;" Stk / CHF "&amp;ROUND((G304-AP304)*F304,0)&amp;"; ","")&amp;IF(AND(BW304=1,BX304&lt;BY304),"MAX &lt; MB+LG; ","")&amp;IF(AND(CC304&gt;0,CB304*10&gt;CC304),"zu hoch für Tablar; ","")&amp;IF(AND(BN304=0,OR(BW304=1,Y304&lt;&gt;"",S304&lt;&gt;"",T304&lt;&gt;"",Z304&lt;&gt;"")),"manuell übersteuert; ","")&amp;IF(AND(BR304=0,Q304=0),"Gebinde unbekannt / Stellmass fehlt; ","")&amp;IF(AND(BR304=0,N(T304)&lt;=0,N(P304)&lt;=0),"Menge pro Gebinde fehlt (Ist = 1 Gebinde); ","")&amp;BM304)</f>
        <v/>
      </c>
      <c r="BF304" s="55"/>
      <c r="BG304" s="55"/>
      <c r="BH304" s="62"/>
      <c r="BI304" s="57" t="n">
        <v>136</v>
      </c>
      <c r="BJ304" s="57" t="n">
        <v>57</v>
      </c>
      <c r="BK304" s="56" t="n">
        <v>267.48</v>
      </c>
      <c r="BL304" s="57" t="n">
        <v>172</v>
      </c>
      <c r="BM304" s="55"/>
      <c r="BN304" s="60" t="n">
        <v>0</v>
      </c>
      <c r="BO304" s="60" t="n">
        <v>304</v>
      </c>
      <c r="BP304" s="55" t="str">
        <f aca="false">IF(S304&lt;&gt;"",UPPER(TRIM(S304)),IF(O304="","LOSE",O304))</f>
        <v>S33</v>
      </c>
      <c r="BQ304" s="57" t="n">
        <f aca="false">IF(BP304="LOSE",1,IF(N(T304)&gt;0,T304,IF(N(P304)&gt;0,P304,MAX(1,G304))))</f>
        <v>342</v>
      </c>
      <c r="BR304" s="60" t="n">
        <f aca="false">IF(BP304="LOSE",1,0)</f>
        <v>0</v>
      </c>
      <c r="BS304" s="59" t="n">
        <f aca="false">IF(BR304=0,0,IF(N(R304)&gt;0,R304,IFERROR(VLOOKUP(D304,Parameter!$A$35:$C$64,3,0)+0,0)))</f>
        <v>0</v>
      </c>
      <c r="BT304" s="55" t="n">
        <f aca="false">IF(Y304&lt;&gt;"",Y304,X304)</f>
        <v>3</v>
      </c>
      <c r="BU304" s="55" t="str">
        <f aca="false">IF(BT304=1,"L1",IF(OR(BT304=2,BT304=3),"L23",IF(BT304="Aussen","Aussen","-")))</f>
        <v>L23</v>
      </c>
      <c r="BV304" s="66" t="n">
        <f aca="false">IF(N(Z304)&gt;0,Z304,0)</f>
        <v>0</v>
      </c>
      <c r="BW304" s="60" t="n">
        <f aca="false">IF(ISNUMBER(AC304),1,0)</f>
        <v>0</v>
      </c>
      <c r="BX304" s="57" t="n">
        <f aca="false">N(AC304)</f>
        <v>0</v>
      </c>
      <c r="BY304" s="57" t="n">
        <f aca="false">N(L304)+N(M304)</f>
        <v>206</v>
      </c>
      <c r="BZ304" s="57" t="n">
        <f aca="false">ROUNDUP(G304/BQ304,0)</f>
        <v>1</v>
      </c>
      <c r="CA304" s="57" t="n">
        <f aca="false">ROUNDUP(BX304/BQ304,0)</f>
        <v>0</v>
      </c>
      <c r="CB304" s="60" t="n">
        <f aca="false">IF(BR304=1,0,IFERROR(VLOOKUP(BP304,'Gebinde-Kategorie'!$A$5:$M$45,5,0)+0,0))</f>
        <v>8</v>
      </c>
      <c r="CC304" s="60" t="n">
        <f aca="false">IFERROR(IF(OR(BT304=1,BT304=2,BT304=3),N(INDEX(Parameter!$I$5:$I$7,BT304)),0),0)</f>
        <v>0</v>
      </c>
      <c r="CD304" s="59" t="n">
        <f aca="false">IF(AND(Parameter!$B$21="Ja",ISNUMBER(U304),N(V304)&gt;0),IFERROR(N(INDEX(Parameter!$L$5:$L$7,U304))*INDEX(Parameter!$E$5:$E$7,U304)*V304/SUMIFS($V$7:$V$1576,$U$7:$U$1576,U304),0),0)</f>
        <v>0</v>
      </c>
    </row>
    <row r="305" customFormat="false" ht="15" hidden="false" customHeight="false" outlineLevel="0" collapsed="false">
      <c r="A305" s="55" t="s">
        <v>767</v>
      </c>
      <c r="B305" s="55" t="s">
        <v>768</v>
      </c>
      <c r="C305" s="55" t="s">
        <v>160</v>
      </c>
      <c r="D305" s="55" t="s">
        <v>178</v>
      </c>
      <c r="E305" s="55" t="s">
        <v>210</v>
      </c>
      <c r="F305" s="56" t="n">
        <v>17.67</v>
      </c>
      <c r="G305" s="57" t="n">
        <f aca="false">MAX(0,IF(AND(Parameter!$B$21="Ja",ISNUMBER(W305)),W305,IF(Parameter!$B$20="Jahresanfang 2025 + Export",BJ305+BI305,BI305)))</f>
        <v>15</v>
      </c>
      <c r="H305" s="57" t="n">
        <f aca="false">G305*F305</f>
        <v>265.05</v>
      </c>
      <c r="I305" s="57" t="n">
        <f aca="false">BL305*Parameter!$B$18</f>
        <v>0</v>
      </c>
      <c r="J305" s="58" t="n">
        <v>0</v>
      </c>
      <c r="K305" s="59" t="n">
        <v>0</v>
      </c>
      <c r="L305" s="57" t="n">
        <v>0</v>
      </c>
      <c r="M305" s="57" t="n">
        <v>1</v>
      </c>
      <c r="N305" s="60" t="n">
        <v>9999</v>
      </c>
      <c r="O305" s="55" t="s">
        <v>163</v>
      </c>
      <c r="P305" s="57"/>
      <c r="Q305" s="60" t="n">
        <f aca="false">IF(BR305=1,0,IFERROR(VLOOKUP(BP305,'Gebinde-Kategorie'!$A$5:$M$45,13,0)+0,0))</f>
        <v>0</v>
      </c>
      <c r="R305" s="61"/>
      <c r="S305" s="62"/>
      <c r="T305" s="62"/>
      <c r="U305" s="55"/>
      <c r="V305" s="57"/>
      <c r="W305" s="57"/>
      <c r="X305" s="55" t="n">
        <f aca="false">IF(A305="","",IF(AND(Parameter!$B$21="Ja",ISNUMBER(U305)),U305,IF(IFERROR(VLOOKUP(D305,Parameter!$A$35:$C$64,2,0),"Nein")="2+3",IF(ISNUMBER(SEARCH("grosser Artikel",BM305)),2,IFERROR(VLOOKUP(BP305,Parameter!$F$35:$G$64,2,0),2)),IF(OR(IFERROR(VLOOKUP(D305,Parameter!$A$35:$C$64,2,0),"Nein")="Nein",IFERROR(VLOOKUP(D305,Parameter!$A$35:$C$64,2,0),"Nein")=""),"-",VLOOKUP(D305,Parameter!$A$35:$C$64,2,0)))))</f>
        <v>2</v>
      </c>
      <c r="Y305" s="62"/>
      <c r="Z305" s="63"/>
      <c r="AA305" s="57" t="n">
        <f aca="false">AP305</f>
        <v>1</v>
      </c>
      <c r="AB305" s="57" t="n">
        <f aca="false">MAX(AP305,G305)</f>
        <v>15</v>
      </c>
      <c r="AC305" s="64"/>
      <c r="AD305" s="57" t="n">
        <f aca="false">IF(LEFT(Cockpit!$C$5,1)="A",G305,IF(BW305=1,BX305,IF(LEFT(Cockpit!$C$5,1)="B",AH305,MAX(AH305,G305))))</f>
        <v>15</v>
      </c>
      <c r="AE305" s="57" t="n">
        <f aca="false">IF(BR305=1,0,ROUNDUP(AD305/BQ305,0))</f>
        <v>0</v>
      </c>
      <c r="AF305" s="59" t="n">
        <f aca="false">IF(CD305&gt;0,CD305*MAX(1,AD305/V305),IF(BR305=1,IF(AD305&lt;=0,0,BS305*MAX(1,IF(G305&gt;0,AD305/G305,1))),IF(Q305&gt;0,AE305/Q305,0))/MAX(0.1,N(Parameter!$M$21)))</f>
        <v>0.03</v>
      </c>
      <c r="AG305" s="57" t="n">
        <f aca="false">AD305*F305</f>
        <v>265.05</v>
      </c>
      <c r="AH305" s="57" t="n">
        <f aca="false">ROUNDUP(MAX(I305/IF(BV305&gt;0,BV305,MAX(0.1,N(Cockpit!$C$6))),BY305)/BQ305,0)*BQ305</f>
        <v>1</v>
      </c>
      <c r="AI305" s="58" t="n">
        <f aca="false">IF(AF305&gt;0,I305/AF305,-1)</f>
        <v>0</v>
      </c>
      <c r="AJ305" s="58" t="n">
        <f aca="false">IF(AND(OR(BU305="L1",BU305="L23"),AF305&gt;0),SUMIFS($AF$7:$AF$1576,$BU$7:$BU$1576,BU305,$AI$7:$AI$1576,"&gt;"&amp;AI305)+SUMIFS($AF$7:$AF$1576,$BU$7:$BU$1576,BU305,$AI$7:$AI$1576,AI305,$BO$7:$BO$1576,"&lt;="&amp;BO305),"")</f>
        <v>40.6541822911388</v>
      </c>
      <c r="AK305" s="65" t="n">
        <f aca="false">IF(AJ305="",0,MAX(0,MIN(1,(IF(BU305="L1",Parameter!$E$5,Parameter!$E$6+Parameter!$E$7)-(AJ305-AF305))/AF305)))</f>
        <v>1</v>
      </c>
      <c r="AL305" s="57" t="n">
        <f aca="false">IF(LEFT(Cockpit!$I$5,1)="A",G305,IF(BW305=1,BX305,IF(LEFT(Cockpit!$I$5,1)="B",AP305,MAX(AP305,G305))))</f>
        <v>15</v>
      </c>
      <c r="AM305" s="57" t="n">
        <f aca="false">IF(BR305=1,0,ROUNDUP(AL305/BQ305,0))</f>
        <v>0</v>
      </c>
      <c r="AN305" s="59" t="n">
        <f aca="false">IF(CD305&gt;0,CD305*MAX(1,AL305/V305),IF(BR305=1,IF(AL305&lt;=0,0,BS305*MAX(1,IF(G305&gt;0,AL305/G305,1))),IF(Q305&gt;0,AM305/Q305,0))/MAX(0.1,N(Parameter!$M$21)))</f>
        <v>0.03</v>
      </c>
      <c r="AO305" s="57" t="n">
        <f aca="false">AL305*F305</f>
        <v>265.05</v>
      </c>
      <c r="AP305" s="57" t="n">
        <f aca="false">ROUNDUP(MAX(I305/IF(BV305&gt;0,BV305,MAX(0.1,N(Cockpit!$I$6))),BY305)/BQ305,0)*BQ305</f>
        <v>1</v>
      </c>
      <c r="AQ305" s="58" t="n">
        <f aca="false">IF(AN305&gt;0,I305/AN305,-1)</f>
        <v>0</v>
      </c>
      <c r="AR305" s="58" t="n">
        <f aca="false">IF(AND(OR(BU305="L1",BU305="L23"),AN305&gt;0),SUMIFS($AN$7:$AN$1576,$BU$7:$BU$1576,BU305,$AQ$7:$AQ$1576,"&gt;"&amp;AQ305)+SUMIFS($AN$7:$AN$1576,$BU$7:$BU$1576,BU305,$AQ$7:$AQ$1576,AQ305,$BO$7:$BO$1576,"&lt;="&amp;BO305),"")</f>
        <v>123.528388040928</v>
      </c>
      <c r="AS305" s="65" t="n">
        <f aca="false">IF(AR305="",0,MAX(0,MIN(1,(IF(BU305="L1",Parameter!$E$5,Parameter!$E$6+Parameter!$E$7)-(AR305-AN305))/AN305)))</f>
        <v>0</v>
      </c>
      <c r="AT305" s="57" t="n">
        <f aca="false">IF(LEFT(Cockpit!$O$5,1)="A",G305,IF(BW305=1,BX305,IF(LEFT(Cockpit!$O$5,1)="B",AX305,MAX(AX305,G305))))</f>
        <v>15</v>
      </c>
      <c r="AU305" s="57" t="n">
        <f aca="false">IF(BR305=1,0,ROUNDUP(AT305/BQ305,0))</f>
        <v>0</v>
      </c>
      <c r="AV305" s="59" t="n">
        <f aca="false">IF(CD305&gt;0,CD305*MAX(1,AT305/V305),IF(BR305=1,IF(AT305&lt;=0,0,BS305*MAX(1,IF(G305&gt;0,AT305/G305,1))),IF(Q305&gt;0,AU305/Q305,0))/MAX(0.1,N(Parameter!$M$21)))</f>
        <v>0.03</v>
      </c>
      <c r="AW305" s="57" t="n">
        <f aca="false">AT305*F305</f>
        <v>265.05</v>
      </c>
      <c r="AX305" s="57" t="n">
        <f aca="false">ROUNDUP(MAX(I305/IF(BV305&gt;0,BV305,MAX(0.1,N(Cockpit!$O$6))),BY305)/BQ305,0)*BQ305</f>
        <v>1</v>
      </c>
      <c r="AY305" s="58" t="n">
        <f aca="false">IF(AV305&gt;0,I305/AV305,-1)</f>
        <v>0</v>
      </c>
      <c r="AZ305" s="58" t="n">
        <f aca="false">IF(AND(OR(BU305="L1",BU305="L23"),AV305&gt;0),SUMIFS($AV$7:$AV$1576,$BU$7:$BU$1576,BU305,$AY$7:$AY$1576,"&gt;"&amp;AY305)+SUMIFS($AV$7:$AV$1576,$BU$7:$BU$1576,BU305,$AY$7:$AY$1576,AY305,$BO$7:$BO$1576,"&lt;="&amp;BO305),"")</f>
        <v>113.587938490479</v>
      </c>
      <c r="BA305" s="65" t="n">
        <f aca="false">IF(AZ305="",0,MAX(0,MIN(1,(IF(BU305="L1",Parameter!$E$5,Parameter!$E$6+Parameter!$E$7)-(AZ305-AV305))/AV305)))</f>
        <v>0</v>
      </c>
      <c r="BB305" s="55" t="str">
        <f aca="false">IF(AF305&lt;=0,"",IF(BU305="Aussen","Aussenlager",IF(BU305="-","Nicht im Lift",IF(AK305&gt;=1,"Lift",IF(AK305&lt;=0,"Aussenlager","teilweise")))))</f>
        <v>Lift</v>
      </c>
      <c r="BC305" s="55" t="str">
        <f aca="false">IF(AN305&lt;=0,"",IF(BU305="Aussen","Aussenlager",IF(BU305="-","Nicht im Lift",IF(AS305&gt;=1,"Lift",IF(AS305&lt;=0,"Aussenlager","teilweise")))))</f>
        <v>Aussenlager</v>
      </c>
      <c r="BD305" s="55" t="str">
        <f aca="false">IF(AV305&lt;=0,"",IF(BU305="Aussen","Aussenlager",IF(BU305="-","Nicht im Lift",IF(BA305&gt;=1,"Lift",IF(BA305&lt;=0,"Aussenlager","teilweise")))))</f>
        <v>Aussenlager</v>
      </c>
      <c r="BE305" s="55" t="str">
        <f aca="false">IF(A305="","",IF(BN305=1,"Neu; ","")&amp;IF(AND(BN305=0,BI305&lt;0),"negativer Bestand (Export "&amp;BI305&amp;"); ","")&amp;IF(I305&lt;=0,"Kein Verbrauch; ","")&amp;IF(CD305&gt;0,"Lift "&amp;U305&amp;" lt. Liftbericht (Fach "&amp;V305&amp;" Stk); ",IF(BR305=1,"Lose – Fläche geschätzt; ",""))&amp;IF(G305&gt;AP305,"Überbestand "&amp;ROUND(G305-AP305,0)&amp;" Stk / CHF "&amp;ROUND((G305-AP305)*F305,0)&amp;"; ","")&amp;IF(AND(BW305=1,BX305&lt;BY305),"MAX &lt; MB+LG; ","")&amp;IF(AND(CC305&gt;0,CB305*10&gt;CC305),"zu hoch für Tablar; ","")&amp;IF(AND(BN305=0,OR(BW305=1,Y305&lt;&gt;"",S305&lt;&gt;"",T305&lt;&gt;"",Z305&lt;&gt;"")),"manuell übersteuert; ","")&amp;IF(AND(BR305=0,Q305=0),"Gebinde unbekannt / Stellmass fehlt; ","")&amp;IF(AND(BR305=0,N(T305)&lt;=0,N(P305)&lt;=0),"Menge pro Gebinde fehlt (Ist = 1 Gebinde); ","")&amp;BM305)</f>
        <v>Kein Verbrauch; Lose – Fläche geschätzt; Überbestand 14 Stk / CHF 247; </v>
      </c>
      <c r="BF305" s="55"/>
      <c r="BG305" s="55"/>
      <c r="BH305" s="62"/>
      <c r="BI305" s="57" t="n">
        <v>15</v>
      </c>
      <c r="BJ305" s="57" t="n">
        <v>0</v>
      </c>
      <c r="BK305" s="56" t="n">
        <v>265.05</v>
      </c>
      <c r="BL305" s="57" t="n">
        <v>0</v>
      </c>
      <c r="BM305" s="55"/>
      <c r="BN305" s="60" t="n">
        <v>0</v>
      </c>
      <c r="BO305" s="60" t="n">
        <v>305</v>
      </c>
      <c r="BP305" s="55" t="str">
        <f aca="false">IF(S305&lt;&gt;"",UPPER(TRIM(S305)),IF(O305="","LOSE",O305))</f>
        <v>LOSE</v>
      </c>
      <c r="BQ305" s="57" t="n">
        <f aca="false">IF(BP305="LOSE",1,IF(N(T305)&gt;0,T305,IF(N(P305)&gt;0,P305,MAX(1,G305))))</f>
        <v>1</v>
      </c>
      <c r="BR305" s="60" t="n">
        <f aca="false">IF(BP305="LOSE",1,0)</f>
        <v>1</v>
      </c>
      <c r="BS305" s="59" t="n">
        <f aca="false">IF(BR305=0,0,IF(N(R305)&gt;0,R305,IFERROR(VLOOKUP(D305,Parameter!$A$35:$C$64,3,0)+0,0)))</f>
        <v>0.03</v>
      </c>
      <c r="BT305" s="55" t="n">
        <f aca="false">IF(Y305&lt;&gt;"",Y305,X305)</f>
        <v>2</v>
      </c>
      <c r="BU305" s="55" t="str">
        <f aca="false">IF(BT305=1,"L1",IF(OR(BT305=2,BT305=3),"L23",IF(BT305="Aussen","Aussen","-")))</f>
        <v>L23</v>
      </c>
      <c r="BV305" s="66" t="n">
        <f aca="false">IF(N(Z305)&gt;0,Z305,0)</f>
        <v>0</v>
      </c>
      <c r="BW305" s="60" t="n">
        <f aca="false">IF(ISNUMBER(AC305),1,0)</f>
        <v>0</v>
      </c>
      <c r="BX305" s="57" t="n">
        <f aca="false">N(AC305)</f>
        <v>0</v>
      </c>
      <c r="BY305" s="57" t="n">
        <f aca="false">N(L305)+N(M305)</f>
        <v>1</v>
      </c>
      <c r="BZ305" s="57" t="n">
        <f aca="false">ROUNDUP(G305/BQ305,0)</f>
        <v>15</v>
      </c>
      <c r="CA305" s="57" t="n">
        <f aca="false">ROUNDUP(BX305/BQ305,0)</f>
        <v>0</v>
      </c>
      <c r="CB305" s="60" t="n">
        <f aca="false">IF(BR305=1,0,IFERROR(VLOOKUP(BP305,'Gebinde-Kategorie'!$A$5:$M$45,5,0)+0,0))</f>
        <v>0</v>
      </c>
      <c r="CC305" s="60" t="n">
        <f aca="false">IFERROR(IF(OR(BT305=1,BT305=2,BT305=3),N(INDEX(Parameter!$I$5:$I$7,BT305)),0),0)</f>
        <v>0</v>
      </c>
      <c r="CD305" s="59" t="n">
        <f aca="false">IF(AND(Parameter!$B$21="Ja",ISNUMBER(U305),N(V305)&gt;0),IFERROR(N(INDEX(Parameter!$L$5:$L$7,U305))*INDEX(Parameter!$E$5:$E$7,U305)*V305/SUMIFS($V$7:$V$1576,$U$7:$U$1576,U305),0),0)</f>
        <v>0</v>
      </c>
    </row>
    <row r="306" customFormat="false" ht="15" hidden="false" customHeight="false" outlineLevel="0" collapsed="false">
      <c r="A306" s="55" t="s">
        <v>769</v>
      </c>
      <c r="B306" s="55" t="s">
        <v>457</v>
      </c>
      <c r="C306" s="55" t="s">
        <v>160</v>
      </c>
      <c r="D306" s="55" t="s">
        <v>178</v>
      </c>
      <c r="E306" s="55" t="s">
        <v>210</v>
      </c>
      <c r="F306" s="56" t="n">
        <v>0.64</v>
      </c>
      <c r="G306" s="57" t="n">
        <f aca="false">MAX(0,IF(AND(Parameter!$B$21="Ja",ISNUMBER(W306)),W306,IF(Parameter!$B$20="Jahresanfang 2025 + Export",BJ306+BI306,BI306)))</f>
        <v>0</v>
      </c>
      <c r="H306" s="57" t="n">
        <f aca="false">G306*F306</f>
        <v>0</v>
      </c>
      <c r="I306" s="57" t="n">
        <f aca="false">BL306*Parameter!$B$18</f>
        <v>2222</v>
      </c>
      <c r="J306" s="58" t="n">
        <v>2692</v>
      </c>
      <c r="K306" s="59" t="n">
        <v>0.825408618127786</v>
      </c>
      <c r="L306" s="57" t="n">
        <v>518</v>
      </c>
      <c r="M306" s="57" t="n">
        <v>2500</v>
      </c>
      <c r="N306" s="60" t="n">
        <v>84</v>
      </c>
      <c r="O306" s="55" t="s">
        <v>218</v>
      </c>
      <c r="P306" s="57" t="n">
        <v>1500</v>
      </c>
      <c r="Q306" s="60" t="n">
        <f aca="false">IF(BR306=1,0,IFERROR(VLOOKUP(BP306,'Gebinde-Kategorie'!$A$5:$M$45,13,0)+0,0))</f>
        <v>12</v>
      </c>
      <c r="R306" s="61"/>
      <c r="S306" s="62"/>
      <c r="T306" s="62"/>
      <c r="U306" s="55"/>
      <c r="V306" s="57"/>
      <c r="W306" s="57"/>
      <c r="X306" s="55" t="n">
        <f aca="false">IF(A306="","",IF(AND(Parameter!$B$21="Ja",ISNUMBER(U306)),U306,IF(IFERROR(VLOOKUP(D306,Parameter!$A$35:$C$64,2,0),"Nein")="2+3",IF(ISNUMBER(SEARCH("grosser Artikel",BM306)),2,IFERROR(VLOOKUP(BP306,Parameter!$F$35:$G$64,2,0),2)),IF(OR(IFERROR(VLOOKUP(D306,Parameter!$A$35:$C$64,2,0),"Nein")="Nein",IFERROR(VLOOKUP(D306,Parameter!$A$35:$C$64,2,0),"Nein")=""),"-",VLOOKUP(D306,Parameter!$A$35:$C$64,2,0)))))</f>
        <v>2</v>
      </c>
      <c r="Y306" s="62"/>
      <c r="Z306" s="63"/>
      <c r="AA306" s="57" t="n">
        <f aca="false">AP306</f>
        <v>4500</v>
      </c>
      <c r="AB306" s="57" t="n">
        <f aca="false">MAX(AP306,G306)</f>
        <v>4500</v>
      </c>
      <c r="AC306" s="64"/>
      <c r="AD306" s="57" t="n">
        <f aca="false">IF(LEFT(Cockpit!$C$5,1)="A",G306,IF(BW306=1,BX306,IF(LEFT(Cockpit!$C$5,1)="B",AH306,MAX(AH306,G306))))</f>
        <v>0</v>
      </c>
      <c r="AE306" s="57" t="n">
        <f aca="false">IF(BR306=1,0,ROUNDUP(AD306/BQ306,0))</f>
        <v>0</v>
      </c>
      <c r="AF306" s="59" t="n">
        <f aca="false">IF(CD306&gt;0,CD306*MAX(1,AD306/V306),IF(BR306=1,IF(AD306&lt;=0,0,BS306*MAX(1,IF(G306&gt;0,AD306/G306,1))),IF(Q306&gt;0,AE306/Q306,0))/MAX(0.1,N(Parameter!$M$21)))</f>
        <v>0</v>
      </c>
      <c r="AG306" s="57" t="n">
        <f aca="false">AD306*F306</f>
        <v>0</v>
      </c>
      <c r="AH306" s="57" t="n">
        <f aca="false">ROUNDUP(MAX(I306/IF(BV306&gt;0,BV306,MAX(0.1,N(Cockpit!$C$6))),BY306)/BQ306,0)*BQ306</f>
        <v>4500</v>
      </c>
      <c r="AI306" s="58" t="n">
        <f aca="false">IF(AF306&gt;0,I306/AF306,-1)</f>
        <v>-1</v>
      </c>
      <c r="AJ306" s="58" t="str">
        <f aca="false">IF(AND(OR(BU306="L1",BU306="L23"),AF306&gt;0),SUMIFS($AF$7:$AF$1576,$BU$7:$BU$1576,BU306,$AI$7:$AI$1576,"&gt;"&amp;AI306)+SUMIFS($AF$7:$AF$1576,$BU$7:$BU$1576,BU306,$AI$7:$AI$1576,AI306,$BO$7:$BO$1576,"&lt;="&amp;BO306),"")</f>
        <v/>
      </c>
      <c r="AK306" s="65" t="n">
        <f aca="false">IF(AJ306="",0,MAX(0,MIN(1,(IF(BU306="L1",Parameter!$E$5,Parameter!$E$6+Parameter!$E$7)-(AJ306-AF306))/AF306)))</f>
        <v>0</v>
      </c>
      <c r="AL306" s="57" t="n">
        <f aca="false">IF(LEFT(Cockpit!$I$5,1)="A",G306,IF(BW306=1,BX306,IF(LEFT(Cockpit!$I$5,1)="B",AP306,MAX(AP306,G306))))</f>
        <v>4500</v>
      </c>
      <c r="AM306" s="57" t="n">
        <f aca="false">IF(BR306=1,0,ROUNDUP(AL306/BQ306,0))</f>
        <v>3</v>
      </c>
      <c r="AN306" s="59" t="n">
        <f aca="false">IF(CD306&gt;0,CD306*MAX(1,AL306/V306),IF(BR306=1,IF(AL306&lt;=0,0,BS306*MAX(1,IF(G306&gt;0,AL306/G306,1))),IF(Q306&gt;0,AM306/Q306,0))/MAX(0.1,N(Parameter!$M$21)))</f>
        <v>0.25</v>
      </c>
      <c r="AO306" s="57" t="n">
        <f aca="false">AL306*F306</f>
        <v>2880</v>
      </c>
      <c r="AP306" s="57" t="n">
        <f aca="false">ROUNDUP(MAX(I306/IF(BV306&gt;0,BV306,MAX(0.1,N(Cockpit!$I$6))),BY306)/BQ306,0)*BQ306</f>
        <v>4500</v>
      </c>
      <c r="AQ306" s="58" t="n">
        <f aca="false">IF(AN306&gt;0,I306/AN306,-1)</f>
        <v>8888</v>
      </c>
      <c r="AR306" s="58" t="n">
        <f aca="false">IF(AND(OR(BU306="L1",BU306="L23"),AN306&gt;0),SUMIFS($AN$7:$AN$1576,$BU$7:$BU$1576,BU306,$AQ$7:$AQ$1576,"&gt;"&amp;AQ306)+SUMIFS($AN$7:$AN$1576,$BU$7:$BU$1576,BU306,$AQ$7:$AQ$1576,AQ306,$BO$7:$BO$1576,"&lt;="&amp;BO306),"")</f>
        <v>7.75140434444782</v>
      </c>
      <c r="AS306" s="65" t="n">
        <f aca="false">IF(AR306="",0,MAX(0,MIN(1,(IF(BU306="L1",Parameter!$E$5,Parameter!$E$6+Parameter!$E$7)-(AR306-AN306))/AN306)))</f>
        <v>1</v>
      </c>
      <c r="AT306" s="57" t="n">
        <f aca="false">IF(LEFT(Cockpit!$O$5,1)="A",G306,IF(BW306=1,BX306,IF(LEFT(Cockpit!$O$5,1)="B",AX306,MAX(AX306,G306))))</f>
        <v>4500</v>
      </c>
      <c r="AU306" s="57" t="n">
        <f aca="false">IF(BR306=1,0,ROUNDUP(AT306/BQ306,0))</f>
        <v>3</v>
      </c>
      <c r="AV306" s="59" t="n">
        <f aca="false">IF(CD306&gt;0,CD306*MAX(1,AT306/V306),IF(BR306=1,IF(AT306&lt;=0,0,BS306*MAX(1,IF(G306&gt;0,AT306/G306,1))),IF(Q306&gt;0,AU306/Q306,0))/MAX(0.1,N(Parameter!$M$21)))</f>
        <v>0.25</v>
      </c>
      <c r="AW306" s="57" t="n">
        <f aca="false">AT306*F306</f>
        <v>2880</v>
      </c>
      <c r="AX306" s="57" t="n">
        <f aca="false">ROUNDUP(MAX(I306/IF(BV306&gt;0,BV306,MAX(0.1,N(Cockpit!$O$6))),BY306)/BQ306,0)*BQ306</f>
        <v>4500</v>
      </c>
      <c r="AY306" s="58" t="n">
        <f aca="false">IF(AV306&gt;0,I306/AV306,-1)</f>
        <v>8888</v>
      </c>
      <c r="AZ306" s="58" t="n">
        <f aca="false">IF(AND(OR(BU306="L1",BU306="L23"),AV306&gt;0),SUMIFS($AV$7:$AV$1576,$BU$7:$BU$1576,BU306,$AY$7:$AY$1576,"&gt;"&amp;AY306)+SUMIFS($AV$7:$AV$1576,$BU$7:$BU$1576,BU306,$AY$7:$AY$1576,AY306,$BO$7:$BO$1576,"&lt;="&amp;BO306),"")</f>
        <v>7.84406168710517</v>
      </c>
      <c r="BA306" s="65" t="n">
        <f aca="false">IF(AZ306="",0,MAX(0,MIN(1,(IF(BU306="L1",Parameter!$E$5,Parameter!$E$6+Parameter!$E$7)-(AZ306-AV306))/AV306)))</f>
        <v>1</v>
      </c>
      <c r="BB306" s="55" t="str">
        <f aca="false">IF(AF306&lt;=0,"",IF(BU306="Aussen","Aussenlager",IF(BU306="-","Nicht im Lift",IF(AK306&gt;=1,"Lift",IF(AK306&lt;=0,"Aussenlager","teilweise")))))</f>
        <v/>
      </c>
      <c r="BC306" s="55" t="str">
        <f aca="false">IF(AN306&lt;=0,"",IF(BU306="Aussen","Aussenlager",IF(BU306="-","Nicht im Lift",IF(AS306&gt;=1,"Lift",IF(AS306&lt;=0,"Aussenlager","teilweise")))))</f>
        <v>Lift</v>
      </c>
      <c r="BD306" s="55" t="str">
        <f aca="false">IF(AV306&lt;=0,"",IF(BU306="Aussen","Aussenlager",IF(BU306="-","Nicht im Lift",IF(BA306&gt;=1,"Lift",IF(BA306&lt;=0,"Aussenlager","teilweise")))))</f>
        <v>Lift</v>
      </c>
      <c r="BE306" s="55" t="str">
        <f aca="false">IF(A306="","",IF(BN306=1,"Neu; ","")&amp;IF(AND(BN306=0,BI306&lt;0),"negativer Bestand (Export "&amp;BI306&amp;"); ","")&amp;IF(I306&lt;=0,"Kein Verbrauch; ","")&amp;IF(CD306&gt;0,"Lift "&amp;U306&amp;" lt. Liftbericht (Fach "&amp;V306&amp;" Stk); ",IF(BR306=1,"Lose – Fläche geschätzt; ",""))&amp;IF(G306&gt;AP306,"Überbestand "&amp;ROUND(G306-AP306,0)&amp;" Stk / CHF "&amp;ROUND((G306-AP306)*F306,0)&amp;"; ","")&amp;IF(AND(BW306=1,BX306&lt;BY306),"MAX &lt; MB+LG; ","")&amp;IF(AND(CC306&gt;0,CB306*10&gt;CC306),"zu hoch für Tablar; ","")&amp;IF(AND(BN306=0,OR(BW306=1,Y306&lt;&gt;"",S306&lt;&gt;"",T306&lt;&gt;"",Z306&lt;&gt;"")),"manuell übersteuert; ","")&amp;IF(AND(BR306=0,Q306=0),"Gebinde unbekannt / Stellmass fehlt; ","")&amp;IF(AND(BR306=0,N(T306)&lt;=0,N(P306)&lt;=0),"Menge pro Gebinde fehlt (Ist = 1 Gebinde); ","")&amp;BM306)</f>
        <v>negativer Bestand (Export -928); </v>
      </c>
      <c r="BF306" s="55"/>
      <c r="BG306" s="55"/>
      <c r="BH306" s="62"/>
      <c r="BI306" s="57" t="n">
        <v>-928</v>
      </c>
      <c r="BJ306" s="57" t="n">
        <v>3745</v>
      </c>
      <c r="BK306" s="56" t="n">
        <v>264.439999999999</v>
      </c>
      <c r="BL306" s="57" t="n">
        <v>2222</v>
      </c>
      <c r="BM306" s="55"/>
      <c r="BN306" s="60" t="n">
        <v>0</v>
      </c>
      <c r="BO306" s="60" t="n">
        <v>306</v>
      </c>
      <c r="BP306" s="55" t="str">
        <f aca="false">IF(S306&lt;&gt;"",UPPER(TRIM(S306)),IF(O306="","LOSE",O306))</f>
        <v>S63</v>
      </c>
      <c r="BQ306" s="57" t="n">
        <f aca="false">IF(BP306="LOSE",1,IF(N(T306)&gt;0,T306,IF(N(P306)&gt;0,P306,MAX(1,G306))))</f>
        <v>1500</v>
      </c>
      <c r="BR306" s="60" t="n">
        <f aca="false">IF(BP306="LOSE",1,0)</f>
        <v>0</v>
      </c>
      <c r="BS306" s="59" t="n">
        <f aca="false">IF(BR306=0,0,IF(N(R306)&gt;0,R306,IFERROR(VLOOKUP(D306,Parameter!$A$35:$C$64,3,0)+0,0)))</f>
        <v>0</v>
      </c>
      <c r="BT306" s="55" t="n">
        <f aca="false">IF(Y306&lt;&gt;"",Y306,X306)</f>
        <v>2</v>
      </c>
      <c r="BU306" s="55" t="str">
        <f aca="false">IF(BT306=1,"L1",IF(OR(BT306=2,BT306=3),"L23",IF(BT306="Aussen","Aussen","-")))</f>
        <v>L23</v>
      </c>
      <c r="BV306" s="66" t="n">
        <f aca="false">IF(N(Z306)&gt;0,Z306,0)</f>
        <v>0</v>
      </c>
      <c r="BW306" s="60" t="n">
        <f aca="false">IF(ISNUMBER(AC306),1,0)</f>
        <v>0</v>
      </c>
      <c r="BX306" s="57" t="n">
        <f aca="false">N(AC306)</f>
        <v>0</v>
      </c>
      <c r="BY306" s="57" t="n">
        <f aca="false">N(L306)+N(M306)</f>
        <v>3018</v>
      </c>
      <c r="BZ306" s="57" t="n">
        <f aca="false">ROUNDUP(G306/BQ306,0)</f>
        <v>0</v>
      </c>
      <c r="CA306" s="57" t="n">
        <f aca="false">ROUNDUP(BX306/BQ306,0)</f>
        <v>0</v>
      </c>
      <c r="CB306" s="60" t="n">
        <f aca="false">IF(BR306=1,0,IFERROR(VLOOKUP(BP306,'Gebinde-Kategorie'!$A$5:$M$45,5,0)+0,0))</f>
        <v>31</v>
      </c>
      <c r="CC306" s="60" t="n">
        <f aca="false">IFERROR(IF(OR(BT306=1,BT306=2,BT306=3),N(INDEX(Parameter!$I$5:$I$7,BT306)),0),0)</f>
        <v>0</v>
      </c>
      <c r="CD306" s="59" t="n">
        <f aca="false">IF(AND(Parameter!$B$21="Ja",ISNUMBER(U306),N(V306)&gt;0),IFERROR(N(INDEX(Parameter!$L$5:$L$7,U306))*INDEX(Parameter!$E$5:$E$7,U306)*V306/SUMIFS($V$7:$V$1576,$U$7:$U$1576,U306),0),0)</f>
        <v>0</v>
      </c>
    </row>
    <row r="307" customFormat="false" ht="15" hidden="false" customHeight="false" outlineLevel="0" collapsed="false">
      <c r="A307" s="55" t="s">
        <v>770</v>
      </c>
      <c r="B307" s="55" t="s">
        <v>771</v>
      </c>
      <c r="C307" s="55" t="s">
        <v>160</v>
      </c>
      <c r="D307" s="55" t="s">
        <v>168</v>
      </c>
      <c r="E307" s="55" t="s">
        <v>210</v>
      </c>
      <c r="F307" s="56" t="n">
        <v>21.55</v>
      </c>
      <c r="G307" s="57" t="n">
        <f aca="false">MAX(0,IF(AND(Parameter!$B$21="Ja",ISNUMBER(W307)),W307,IF(Parameter!$B$20="Jahresanfang 2025 + Export",BJ307+BI307,BI307)))</f>
        <v>12</v>
      </c>
      <c r="H307" s="57" t="n">
        <f aca="false">G307*F307</f>
        <v>258.6</v>
      </c>
      <c r="I307" s="57" t="n">
        <f aca="false">BL307*Parameter!$B$18</f>
        <v>12</v>
      </c>
      <c r="J307" s="58" t="n">
        <v>12</v>
      </c>
      <c r="K307" s="59" t="n">
        <v>1</v>
      </c>
      <c r="L307" s="57" t="n">
        <v>0</v>
      </c>
      <c r="M307" s="57" t="n">
        <v>10</v>
      </c>
      <c r="N307" s="60" t="n">
        <v>21</v>
      </c>
      <c r="O307" s="55" t="s">
        <v>284</v>
      </c>
      <c r="P307" s="57" t="n">
        <v>8</v>
      </c>
      <c r="Q307" s="60" t="n">
        <f aca="false">IF(BR307=1,0,IFERROR(VLOOKUP(BP307,'Gebinde-Kategorie'!$A$5:$M$45,13,0)+0,0))</f>
        <v>12</v>
      </c>
      <c r="R307" s="61"/>
      <c r="S307" s="62"/>
      <c r="T307" s="62"/>
      <c r="U307" s="55"/>
      <c r="V307" s="57"/>
      <c r="W307" s="57"/>
      <c r="X307" s="55" t="n">
        <f aca="false">IF(A307="","",IF(AND(Parameter!$B$21="Ja",ISNUMBER(U307)),U307,IF(IFERROR(VLOOKUP(D307,Parameter!$A$35:$C$64,2,0),"Nein")="2+3",IF(ISNUMBER(SEARCH("grosser Artikel",BM307)),2,IFERROR(VLOOKUP(BP307,Parameter!$F$35:$G$64,2,0),2)),IF(OR(IFERROR(VLOOKUP(D307,Parameter!$A$35:$C$64,2,0),"Nein")="Nein",IFERROR(VLOOKUP(D307,Parameter!$A$35:$C$64,2,0),"Nein")=""),"-",VLOOKUP(D307,Parameter!$A$35:$C$64,2,0)))))</f>
        <v>2</v>
      </c>
      <c r="Y307" s="62"/>
      <c r="Z307" s="63"/>
      <c r="AA307" s="57" t="n">
        <f aca="false">AP307</f>
        <v>16</v>
      </c>
      <c r="AB307" s="57" t="n">
        <f aca="false">MAX(AP307,G307)</f>
        <v>16</v>
      </c>
      <c r="AC307" s="64"/>
      <c r="AD307" s="57" t="n">
        <f aca="false">IF(LEFT(Cockpit!$C$5,1)="A",G307,IF(BW307=1,BX307,IF(LEFT(Cockpit!$C$5,1)="B",AH307,MAX(AH307,G307))))</f>
        <v>12</v>
      </c>
      <c r="AE307" s="57" t="n">
        <f aca="false">IF(BR307=1,0,ROUNDUP(AD307/BQ307,0))</f>
        <v>2</v>
      </c>
      <c r="AF307" s="59" t="n">
        <f aca="false">IF(CD307&gt;0,CD307*MAX(1,AD307/V307),IF(BR307=1,IF(AD307&lt;=0,0,BS307*MAX(1,IF(G307&gt;0,AD307/G307,1))),IF(Q307&gt;0,AE307/Q307,0))/MAX(0.1,N(Parameter!$M$21)))</f>
        <v>0.166666666666667</v>
      </c>
      <c r="AG307" s="57" t="n">
        <f aca="false">AD307*F307</f>
        <v>258.6</v>
      </c>
      <c r="AH307" s="57" t="n">
        <f aca="false">ROUNDUP(MAX(I307/IF(BV307&gt;0,BV307,MAX(0.1,N(Cockpit!$C$6))),BY307)/BQ307,0)*BQ307</f>
        <v>16</v>
      </c>
      <c r="AI307" s="58" t="n">
        <f aca="false">IF(AF307&gt;0,I307/AF307,-1)</f>
        <v>72</v>
      </c>
      <c r="AJ307" s="58" t="n">
        <f aca="false">IF(AND(OR(BU307="L1",BU307="L23"),AF307&gt;0),SUMIFS($AF$7:$AF$1576,$BU$7:$BU$1576,BU307,$AI$7:$AI$1576,"&gt;"&amp;AI307)+SUMIFS($AF$7:$AF$1576,$BU$7:$BU$1576,BU307,$AI$7:$AI$1576,AI307,$BO$7:$BO$1576,"&lt;="&amp;BO307),"")</f>
        <v>24.5179196648762</v>
      </c>
      <c r="AK307" s="65" t="n">
        <f aca="false">IF(AJ307="",0,MAX(0,MIN(1,(IF(BU307="L1",Parameter!$E$5,Parameter!$E$6+Parameter!$E$7)-(AJ307-AF307))/AF307)))</f>
        <v>1</v>
      </c>
      <c r="AL307" s="57" t="n">
        <f aca="false">IF(LEFT(Cockpit!$I$5,1)="A",G307,IF(BW307=1,BX307,IF(LEFT(Cockpit!$I$5,1)="B",AP307,MAX(AP307,G307))))</f>
        <v>16</v>
      </c>
      <c r="AM307" s="57" t="n">
        <f aca="false">IF(BR307=1,0,ROUNDUP(AL307/BQ307,0))</f>
        <v>2</v>
      </c>
      <c r="AN307" s="59" t="n">
        <f aca="false">IF(CD307&gt;0,CD307*MAX(1,AL307/V307),IF(BR307=1,IF(AL307&lt;=0,0,BS307*MAX(1,IF(G307&gt;0,AL307/G307,1))),IF(Q307&gt;0,AM307/Q307,0))/MAX(0.1,N(Parameter!$M$21)))</f>
        <v>0.166666666666667</v>
      </c>
      <c r="AO307" s="57" t="n">
        <f aca="false">AL307*F307</f>
        <v>344.8</v>
      </c>
      <c r="AP307" s="57" t="n">
        <f aca="false">ROUNDUP(MAX(I307/IF(BV307&gt;0,BV307,MAX(0.1,N(Cockpit!$I$6))),BY307)/BQ307,0)*BQ307</f>
        <v>16</v>
      </c>
      <c r="AQ307" s="58" t="n">
        <f aca="false">IF(AN307&gt;0,I307/AN307,-1)</f>
        <v>72</v>
      </c>
      <c r="AR307" s="58" t="n">
        <f aca="false">IF(AND(OR(BU307="L1",BU307="L23"),AN307&gt;0),SUMIFS($AN$7:$AN$1576,$BU$7:$BU$1576,BU307,$AQ$7:$AQ$1576,"&gt;"&amp;AQ307)+SUMIFS($AN$7:$AN$1576,$BU$7:$BU$1576,BU307,$AQ$7:$AQ$1576,AQ307,$BO$7:$BO$1576,"&lt;="&amp;BO307),"")</f>
        <v>75.6456280618892</v>
      </c>
      <c r="AS307" s="65" t="n">
        <f aca="false">IF(AR307="",0,MAX(0,MIN(1,(IF(BU307="L1",Parameter!$E$5,Parameter!$E$6+Parameter!$E$7)-(AR307-AN307))/AN307)))</f>
        <v>1</v>
      </c>
      <c r="AT307" s="57" t="n">
        <f aca="false">IF(LEFT(Cockpit!$O$5,1)="A",G307,IF(BW307=1,BX307,IF(LEFT(Cockpit!$O$5,1)="B",AX307,MAX(AX307,G307))))</f>
        <v>16</v>
      </c>
      <c r="AU307" s="57" t="n">
        <f aca="false">IF(BR307=1,0,ROUNDUP(AT307/BQ307,0))</f>
        <v>2</v>
      </c>
      <c r="AV307" s="59" t="n">
        <f aca="false">IF(CD307&gt;0,CD307*MAX(1,AT307/V307),IF(BR307=1,IF(AT307&lt;=0,0,BS307*MAX(1,IF(G307&gt;0,AT307/G307,1))),IF(Q307&gt;0,AU307/Q307,0))/MAX(0.1,N(Parameter!$M$21)))</f>
        <v>0.166666666666667</v>
      </c>
      <c r="AW307" s="57" t="n">
        <f aca="false">AT307*F307</f>
        <v>344.8</v>
      </c>
      <c r="AX307" s="57" t="n">
        <f aca="false">ROUNDUP(MAX(I307/IF(BV307&gt;0,BV307,MAX(0.1,N(Cockpit!$O$6))),BY307)/BQ307,0)*BQ307</f>
        <v>16</v>
      </c>
      <c r="AY307" s="58" t="n">
        <f aca="false">IF(AV307&gt;0,I307/AV307,-1)</f>
        <v>72</v>
      </c>
      <c r="AZ307" s="58" t="n">
        <f aca="false">IF(AND(OR(BU307="L1",BU307="L23"),AV307&gt;0),SUMIFS($AV$7:$AV$1576,$BU$7:$BU$1576,BU307,$AY$7:$AY$1576,"&gt;"&amp;AY307)+SUMIFS($AV$7:$AV$1576,$BU$7:$BU$1576,BU307,$AY$7:$AY$1576,AY307,$BO$7:$BO$1576,"&lt;="&amp;BO307),"")</f>
        <v>72.043511844773</v>
      </c>
      <c r="BA307" s="65" t="n">
        <f aca="false">IF(AZ307="",0,MAX(0,MIN(1,(IF(BU307="L1",Parameter!$E$5,Parameter!$E$6+Parameter!$E$7)-(AZ307-AV307))/AV307)))</f>
        <v>1</v>
      </c>
      <c r="BB307" s="55" t="str">
        <f aca="false">IF(AF307&lt;=0,"",IF(BU307="Aussen","Aussenlager",IF(BU307="-","Nicht im Lift",IF(AK307&gt;=1,"Lift",IF(AK307&lt;=0,"Aussenlager","teilweise")))))</f>
        <v>Lift</v>
      </c>
      <c r="BC307" s="55" t="str">
        <f aca="false">IF(AN307&lt;=0,"",IF(BU307="Aussen","Aussenlager",IF(BU307="-","Nicht im Lift",IF(AS307&gt;=1,"Lift",IF(AS307&lt;=0,"Aussenlager","teilweise")))))</f>
        <v>Lift</v>
      </c>
      <c r="BD307" s="55" t="str">
        <f aca="false">IF(AV307&lt;=0,"",IF(BU307="Aussen","Aussenlager",IF(BU307="-","Nicht im Lift",IF(BA307&gt;=1,"Lift",IF(BA307&lt;=0,"Aussenlager","teilweise")))))</f>
        <v>Lift</v>
      </c>
      <c r="BE307" s="55" t="str">
        <f aca="false">IF(A307="","",IF(BN307=1,"Neu; ","")&amp;IF(AND(BN307=0,BI307&lt;0),"negativer Bestand (Export "&amp;BI307&amp;"); ","")&amp;IF(I307&lt;=0,"Kein Verbrauch; ","")&amp;IF(CD307&gt;0,"Lift "&amp;U307&amp;" lt. Liftbericht (Fach "&amp;V307&amp;" Stk); ",IF(BR307=1,"Lose – Fläche geschätzt; ",""))&amp;IF(G307&gt;AP307,"Überbestand "&amp;ROUND(G307-AP307,0)&amp;" Stk / CHF "&amp;ROUND((G307-AP307)*F307,0)&amp;"; ","")&amp;IF(AND(BW307=1,BX307&lt;BY307),"MAX &lt; MB+LG; ","")&amp;IF(AND(CC307&gt;0,CB307*10&gt;CC307),"zu hoch für Tablar; ","")&amp;IF(AND(BN307=0,OR(BW307=1,Y307&lt;&gt;"",S307&lt;&gt;"",T307&lt;&gt;"",Z307&lt;&gt;"")),"manuell übersteuert; ","")&amp;IF(AND(BR307=0,Q307=0),"Gebinde unbekannt / Stellmass fehlt; ","")&amp;IF(AND(BR307=0,N(T307)&lt;=0,N(P307)&lt;=0),"Menge pro Gebinde fehlt (Ist = 1 Gebinde); ","")&amp;BM307)</f>
        <v>grosser Artikel &amp; nicht im KTL</v>
      </c>
      <c r="BF307" s="55"/>
      <c r="BG307" s="55"/>
      <c r="BH307" s="62"/>
      <c r="BI307" s="57" t="n">
        <v>12</v>
      </c>
      <c r="BJ307" s="57" t="n">
        <v>8</v>
      </c>
      <c r="BK307" s="56" t="n">
        <v>262.04</v>
      </c>
      <c r="BL307" s="57" t="n">
        <v>12</v>
      </c>
      <c r="BM307" s="55" t="s">
        <v>253</v>
      </c>
      <c r="BN307" s="60" t="n">
        <v>0</v>
      </c>
      <c r="BO307" s="60" t="n">
        <v>307</v>
      </c>
      <c r="BP307" s="55" t="str">
        <f aca="false">IF(S307&lt;&gt;"",UPPER(TRIM(S307)),IF(O307="","LOSE",O307))</f>
        <v>S62</v>
      </c>
      <c r="BQ307" s="57" t="n">
        <f aca="false">IF(BP307="LOSE",1,IF(N(T307)&gt;0,T307,IF(N(P307)&gt;0,P307,MAX(1,G307))))</f>
        <v>8</v>
      </c>
      <c r="BR307" s="60" t="n">
        <f aca="false">IF(BP307="LOSE",1,0)</f>
        <v>0</v>
      </c>
      <c r="BS307" s="59" t="n">
        <f aca="false">IF(BR307=0,0,IF(N(R307)&gt;0,R307,IFERROR(VLOOKUP(D307,Parameter!$A$35:$C$64,3,0)+0,0)))</f>
        <v>0</v>
      </c>
      <c r="BT307" s="55" t="n">
        <f aca="false">IF(Y307&lt;&gt;"",Y307,X307)</f>
        <v>2</v>
      </c>
      <c r="BU307" s="55" t="str">
        <f aca="false">IF(BT307=1,"L1",IF(OR(BT307=2,BT307=3),"L23",IF(BT307="Aussen","Aussen","-")))</f>
        <v>L23</v>
      </c>
      <c r="BV307" s="66" t="n">
        <f aca="false">IF(N(Z307)&gt;0,Z307,0)</f>
        <v>0</v>
      </c>
      <c r="BW307" s="60" t="n">
        <f aca="false">IF(ISNUMBER(AC307),1,0)</f>
        <v>0</v>
      </c>
      <c r="BX307" s="57" t="n">
        <f aca="false">N(AC307)</f>
        <v>0</v>
      </c>
      <c r="BY307" s="57" t="n">
        <f aca="false">N(L307)+N(M307)</f>
        <v>10</v>
      </c>
      <c r="BZ307" s="57" t="n">
        <f aca="false">ROUNDUP(G307/BQ307,0)</f>
        <v>2</v>
      </c>
      <c r="CA307" s="57" t="n">
        <f aca="false">ROUNDUP(BX307/BQ307,0)</f>
        <v>0</v>
      </c>
      <c r="CB307" s="60" t="n">
        <f aca="false">IF(BR307=1,0,IFERROR(VLOOKUP(BP307,'Gebinde-Kategorie'!$A$5:$M$45,5,0)+0,0))</f>
        <v>21</v>
      </c>
      <c r="CC307" s="60" t="n">
        <f aca="false">IFERROR(IF(OR(BT307=1,BT307=2,BT307=3),N(INDEX(Parameter!$I$5:$I$7,BT307)),0),0)</f>
        <v>0</v>
      </c>
      <c r="CD307" s="59" t="n">
        <f aca="false">IF(AND(Parameter!$B$21="Ja",ISNUMBER(U307),N(V307)&gt;0),IFERROR(N(INDEX(Parameter!$L$5:$L$7,U307))*INDEX(Parameter!$E$5:$E$7,U307)*V307/SUMIFS($V$7:$V$1576,$U$7:$U$1576,U307),0),0)</f>
        <v>0</v>
      </c>
    </row>
    <row r="308" customFormat="false" ht="15" hidden="false" customHeight="false" outlineLevel="0" collapsed="false">
      <c r="A308" s="55" t="s">
        <v>772</v>
      </c>
      <c r="B308" s="55" t="s">
        <v>773</v>
      </c>
      <c r="C308" s="55" t="s">
        <v>160</v>
      </c>
      <c r="D308" s="55" t="s">
        <v>168</v>
      </c>
      <c r="E308" s="55" t="s">
        <v>210</v>
      </c>
      <c r="F308" s="56" t="n">
        <v>452.4</v>
      </c>
      <c r="G308" s="57" t="n">
        <f aca="false">MAX(0,IF(AND(Parameter!$B$21="Ja",ISNUMBER(W308)),W308,IF(Parameter!$B$20="Jahresanfang 2025 + Export",BJ308+BI308,BI308)))</f>
        <v>1</v>
      </c>
      <c r="H308" s="57" t="n">
        <f aca="false">G308*F308</f>
        <v>452.4</v>
      </c>
      <c r="I308" s="57" t="n">
        <f aca="false">BL308*Parameter!$B$18</f>
        <v>118</v>
      </c>
      <c r="J308" s="58" t="n">
        <v>17</v>
      </c>
      <c r="K308" s="59" t="n">
        <v>6.94117647058824</v>
      </c>
      <c r="L308" s="57" t="n">
        <v>10</v>
      </c>
      <c r="M308" s="57" t="n">
        <v>25</v>
      </c>
      <c r="N308" s="60" t="n">
        <v>84</v>
      </c>
      <c r="O308" s="55" t="s">
        <v>169</v>
      </c>
      <c r="P308" s="57" t="n">
        <v>20</v>
      </c>
      <c r="Q308" s="60" t="n">
        <f aca="false">IF(BR308=1,0,IFERROR(VLOOKUP(BP308,'Gebinde-Kategorie'!$A$5:$M$45,13,0)+0,0))</f>
        <v>6</v>
      </c>
      <c r="R308" s="61"/>
      <c r="S308" s="62"/>
      <c r="T308" s="62"/>
      <c r="U308" s="55"/>
      <c r="V308" s="57"/>
      <c r="W308" s="57"/>
      <c r="X308" s="55" t="n">
        <f aca="false">IF(A308="","",IF(AND(Parameter!$B$21="Ja",ISNUMBER(U308)),U308,IF(IFERROR(VLOOKUP(D308,Parameter!$A$35:$C$64,2,0),"Nein")="2+3",IF(ISNUMBER(SEARCH("grosser Artikel",BM308)),2,IFERROR(VLOOKUP(BP308,Parameter!$F$35:$G$64,2,0),2)),IF(OR(IFERROR(VLOOKUP(D308,Parameter!$A$35:$C$64,2,0),"Nein")="Nein",IFERROR(VLOOKUP(D308,Parameter!$A$35:$C$64,2,0),"Nein")=""),"-",VLOOKUP(D308,Parameter!$A$35:$C$64,2,0)))))</f>
        <v>2</v>
      </c>
      <c r="Y308" s="62"/>
      <c r="Z308" s="63"/>
      <c r="AA308" s="57" t="n">
        <f aca="false">AP308</f>
        <v>60</v>
      </c>
      <c r="AB308" s="57" t="n">
        <f aca="false">MAX(AP308,G308)</f>
        <v>60</v>
      </c>
      <c r="AC308" s="64"/>
      <c r="AD308" s="57" t="n">
        <f aca="false">IF(LEFT(Cockpit!$C$5,1)="A",G308,IF(BW308=1,BX308,IF(LEFT(Cockpit!$C$5,1)="B",AH308,MAX(AH308,G308))))</f>
        <v>1</v>
      </c>
      <c r="AE308" s="57" t="n">
        <f aca="false">IF(BR308=1,0,ROUNDUP(AD308/BQ308,0))</f>
        <v>1</v>
      </c>
      <c r="AF308" s="59" t="n">
        <f aca="false">IF(CD308&gt;0,CD308*MAX(1,AD308/V308),IF(BR308=1,IF(AD308&lt;=0,0,BS308*MAX(1,IF(G308&gt;0,AD308/G308,1))),IF(Q308&gt;0,AE308/Q308,0))/MAX(0.1,N(Parameter!$M$21)))</f>
        <v>0.166666666666667</v>
      </c>
      <c r="AG308" s="57" t="n">
        <f aca="false">AD308*F308</f>
        <v>452.4</v>
      </c>
      <c r="AH308" s="57" t="n">
        <f aca="false">ROUNDUP(MAX(I308/IF(BV308&gt;0,BV308,MAX(0.1,N(Cockpit!$C$6))),BY308)/BQ308,0)*BQ308</f>
        <v>60</v>
      </c>
      <c r="AI308" s="58" t="n">
        <f aca="false">IF(AF308&gt;0,I308/AF308,-1)</f>
        <v>708</v>
      </c>
      <c r="AJ308" s="58" t="n">
        <f aca="false">IF(AND(OR(BU308="L1",BU308="L23"),AF308&gt;0),SUMIFS($AF$7:$AF$1576,$BU$7:$BU$1576,BU308,$AI$7:$AI$1576,"&gt;"&amp;AI308)+SUMIFS($AF$7:$AF$1576,$BU$7:$BU$1576,BU308,$AI$7:$AI$1576,AI308,$BO$7:$BO$1576,"&lt;="&amp;BO308),"")</f>
        <v>11.3508425391034</v>
      </c>
      <c r="AK308" s="65" t="n">
        <f aca="false">IF(AJ308="",0,MAX(0,MIN(1,(IF(BU308="L1",Parameter!$E$5,Parameter!$E$6+Parameter!$E$7)-(AJ308-AF308))/AF308)))</f>
        <v>1</v>
      </c>
      <c r="AL308" s="57" t="n">
        <f aca="false">IF(LEFT(Cockpit!$I$5,1)="A",G308,IF(BW308=1,BX308,IF(LEFT(Cockpit!$I$5,1)="B",AP308,MAX(AP308,G308))))</f>
        <v>60</v>
      </c>
      <c r="AM308" s="57" t="n">
        <f aca="false">IF(BR308=1,0,ROUNDUP(AL308/BQ308,0))</f>
        <v>3</v>
      </c>
      <c r="AN308" s="59" t="n">
        <f aca="false">IF(CD308&gt;0,CD308*MAX(1,AL308/V308),IF(BR308=1,IF(AL308&lt;=0,0,BS308*MAX(1,IF(G308&gt;0,AL308/G308,1))),IF(Q308&gt;0,AM308/Q308,0))/MAX(0.1,N(Parameter!$M$21)))</f>
        <v>0.5</v>
      </c>
      <c r="AO308" s="57" t="n">
        <f aca="false">AL308*F308</f>
        <v>27144</v>
      </c>
      <c r="AP308" s="57" t="n">
        <f aca="false">ROUNDUP(MAX(I308/IF(BV308&gt;0,BV308,MAX(0.1,N(Cockpit!$I$6))),BY308)/BQ308,0)*BQ308</f>
        <v>60</v>
      </c>
      <c r="AQ308" s="58" t="n">
        <f aca="false">IF(AN308&gt;0,I308/AN308,-1)</f>
        <v>236</v>
      </c>
      <c r="AR308" s="58" t="n">
        <f aca="false">IF(AND(OR(BU308="L1",BU308="L23"),AN308&gt;0),SUMIFS($AN$7:$AN$1576,$BU$7:$BU$1576,BU308,$AQ$7:$AQ$1576,"&gt;"&amp;AQ308)+SUMIFS($AN$7:$AN$1576,$BU$7:$BU$1576,BU308,$AQ$7:$AQ$1576,AQ308,$BO$7:$BO$1576,"&lt;="&amp;BO308),"")</f>
        <v>46.8208755137128</v>
      </c>
      <c r="AS308" s="65" t="n">
        <f aca="false">IF(AR308="",0,MAX(0,MIN(1,(IF(BU308="L1",Parameter!$E$5,Parameter!$E$6+Parameter!$E$7)-(AR308-AN308))/AN308)))</f>
        <v>1</v>
      </c>
      <c r="AT308" s="57" t="n">
        <f aca="false">IF(LEFT(Cockpit!$O$5,1)="A",G308,IF(BW308=1,BX308,IF(LEFT(Cockpit!$O$5,1)="B",AX308,MAX(AX308,G308))))</f>
        <v>40</v>
      </c>
      <c r="AU308" s="57" t="n">
        <f aca="false">IF(BR308=1,0,ROUNDUP(AT308/BQ308,0))</f>
        <v>2</v>
      </c>
      <c r="AV308" s="59" t="n">
        <f aca="false">IF(CD308&gt;0,CD308*MAX(1,AT308/V308),IF(BR308=1,IF(AT308&lt;=0,0,BS308*MAX(1,IF(G308&gt;0,AT308/G308,1))),IF(Q308&gt;0,AU308/Q308,0))/MAX(0.1,N(Parameter!$M$21)))</f>
        <v>0.333333333333333</v>
      </c>
      <c r="AW308" s="57" t="n">
        <f aca="false">AT308*F308</f>
        <v>18096</v>
      </c>
      <c r="AX308" s="57" t="n">
        <f aca="false">ROUNDUP(MAX(I308/IF(BV308&gt;0,BV308,MAX(0.1,N(Cockpit!$O$6))),BY308)/BQ308,0)*BQ308</f>
        <v>40</v>
      </c>
      <c r="AY308" s="58" t="n">
        <f aca="false">IF(AV308&gt;0,I308/AV308,-1)</f>
        <v>354</v>
      </c>
      <c r="AZ308" s="58" t="n">
        <f aca="false">IF(AND(OR(BU308="L1",BU308="L23"),AV308&gt;0),SUMIFS($AV$7:$AV$1576,$BU$7:$BU$1576,BU308,$AY$7:$AY$1576,"&gt;"&amp;AY308)+SUMIFS($AV$7:$AV$1576,$BU$7:$BU$1576,BU308,$AY$7:$AY$1576,AY308,$BO$7:$BO$1576,"&lt;="&amp;BO308),"")</f>
        <v>37.7302128430501</v>
      </c>
      <c r="BA308" s="65" t="n">
        <f aca="false">IF(AZ308="",0,MAX(0,MIN(1,(IF(BU308="L1",Parameter!$E$5,Parameter!$E$6+Parameter!$E$7)-(AZ308-AV308))/AV308)))</f>
        <v>1</v>
      </c>
      <c r="BB308" s="55" t="str">
        <f aca="false">IF(AF308&lt;=0,"",IF(BU308="Aussen","Aussenlager",IF(BU308="-","Nicht im Lift",IF(AK308&gt;=1,"Lift",IF(AK308&lt;=0,"Aussenlager","teilweise")))))</f>
        <v>Lift</v>
      </c>
      <c r="BC308" s="55" t="str">
        <f aca="false">IF(AN308&lt;=0,"",IF(BU308="Aussen","Aussenlager",IF(BU308="-","Nicht im Lift",IF(AS308&gt;=1,"Lift",IF(AS308&lt;=0,"Aussenlager","teilweise")))))</f>
        <v>Lift</v>
      </c>
      <c r="BD308" s="55" t="str">
        <f aca="false">IF(AV308&lt;=0,"",IF(BU308="Aussen","Aussenlager",IF(BU308="-","Nicht im Lift",IF(BA308&gt;=1,"Lift",IF(BA308&lt;=0,"Aussenlager","teilweise")))))</f>
        <v>Lift</v>
      </c>
      <c r="BE308" s="55" t="str">
        <f aca="false">IF(A308="","",IF(BN308=1,"Neu; ","")&amp;IF(AND(BN308=0,BI308&lt;0),"negativer Bestand (Export "&amp;BI308&amp;"); ","")&amp;IF(I308&lt;=0,"Kein Verbrauch; ","")&amp;IF(CD308&gt;0,"Lift "&amp;U308&amp;" lt. Liftbericht (Fach "&amp;V308&amp;" Stk); ",IF(BR308=1,"Lose – Fläche geschätzt; ",""))&amp;IF(G308&gt;AP308,"Überbestand "&amp;ROUND(G308-AP308,0)&amp;" Stk / CHF "&amp;ROUND((G308-AP308)*F308,0)&amp;"; ","")&amp;IF(AND(BW308=1,BX308&lt;BY308),"MAX &lt; MB+LG; ","")&amp;IF(AND(CC308&gt;0,CB308*10&gt;CC308),"zu hoch für Tablar; ","")&amp;IF(AND(BN308=0,OR(BW308=1,Y308&lt;&gt;"",S308&lt;&gt;"",T308&lt;&gt;"",Z308&lt;&gt;"")),"manuell übersteuert; ","")&amp;IF(AND(BR308=0,Q308=0),"Gebinde unbekannt / Stellmass fehlt; ","")&amp;IF(AND(BR308=0,N(T308)&lt;=0,N(P308)&lt;=0),"Menge pro Gebinde fehlt (Ist = 1 Gebinde); ","")&amp;BM308)</f>
        <v/>
      </c>
      <c r="BF308" s="55"/>
      <c r="BG308" s="55"/>
      <c r="BH308" s="62"/>
      <c r="BI308" s="57" t="n">
        <v>1</v>
      </c>
      <c r="BJ308" s="57" t="n">
        <v>17</v>
      </c>
      <c r="BK308" s="56" t="n">
        <v>258.500000000026</v>
      </c>
      <c r="BL308" s="57" t="n">
        <v>118</v>
      </c>
      <c r="BM308" s="55"/>
      <c r="BN308" s="60" t="n">
        <v>0</v>
      </c>
      <c r="BO308" s="60" t="n">
        <v>308</v>
      </c>
      <c r="BP308" s="55" t="str">
        <f aca="false">IF(S308&lt;&gt;"",UPPER(TRIM(S308)),IF(O308="","LOSE",O308))</f>
        <v>S71</v>
      </c>
      <c r="BQ308" s="57" t="n">
        <f aca="false">IF(BP308="LOSE",1,IF(N(T308)&gt;0,T308,IF(N(P308)&gt;0,P308,MAX(1,G308))))</f>
        <v>20</v>
      </c>
      <c r="BR308" s="60" t="n">
        <f aca="false">IF(BP308="LOSE",1,0)</f>
        <v>0</v>
      </c>
      <c r="BS308" s="59" t="n">
        <f aca="false">IF(BR308=0,0,IF(N(R308)&gt;0,R308,IFERROR(VLOOKUP(D308,Parameter!$A$35:$C$64,3,0)+0,0)))</f>
        <v>0</v>
      </c>
      <c r="BT308" s="55" t="n">
        <f aca="false">IF(Y308&lt;&gt;"",Y308,X308)</f>
        <v>2</v>
      </c>
      <c r="BU308" s="55" t="str">
        <f aca="false">IF(BT308=1,"L1",IF(OR(BT308=2,BT308=3),"L23",IF(BT308="Aussen","Aussen","-")))</f>
        <v>L23</v>
      </c>
      <c r="BV308" s="66" t="n">
        <f aca="false">IF(N(Z308)&gt;0,Z308,0)</f>
        <v>0</v>
      </c>
      <c r="BW308" s="60" t="n">
        <f aca="false">IF(ISNUMBER(AC308),1,0)</f>
        <v>0</v>
      </c>
      <c r="BX308" s="57" t="n">
        <f aca="false">N(AC308)</f>
        <v>0</v>
      </c>
      <c r="BY308" s="57" t="n">
        <f aca="false">N(L308)+N(M308)</f>
        <v>35</v>
      </c>
      <c r="BZ308" s="57" t="n">
        <f aca="false">ROUNDUP(G308/BQ308,0)</f>
        <v>1</v>
      </c>
      <c r="CA308" s="57" t="n">
        <f aca="false">ROUNDUP(BX308/BQ308,0)</f>
        <v>0</v>
      </c>
      <c r="CB308" s="60" t="n">
        <f aca="false">IF(BR308=1,0,IFERROR(VLOOKUP(BP308,'Gebinde-Kategorie'!$A$5:$M$45,5,0)+0,0))</f>
        <v>20</v>
      </c>
      <c r="CC308" s="60" t="n">
        <f aca="false">IFERROR(IF(OR(BT308=1,BT308=2,BT308=3),N(INDEX(Parameter!$I$5:$I$7,BT308)),0),0)</f>
        <v>0</v>
      </c>
      <c r="CD308" s="59" t="n">
        <f aca="false">IF(AND(Parameter!$B$21="Ja",ISNUMBER(U308),N(V308)&gt;0),IFERROR(N(INDEX(Parameter!$L$5:$L$7,U308))*INDEX(Parameter!$E$5:$E$7,U308)*V308/SUMIFS($V$7:$V$1576,$U$7:$U$1576,U308),0),0)</f>
        <v>0</v>
      </c>
    </row>
    <row r="309" customFormat="false" ht="15" hidden="false" customHeight="false" outlineLevel="0" collapsed="false">
      <c r="A309" s="55" t="s">
        <v>774</v>
      </c>
      <c r="B309" s="55" t="s">
        <v>775</v>
      </c>
      <c r="C309" s="55" t="s">
        <v>160</v>
      </c>
      <c r="D309" s="55" t="s">
        <v>168</v>
      </c>
      <c r="E309" s="55" t="s">
        <v>210</v>
      </c>
      <c r="F309" s="56" t="n">
        <v>258.1</v>
      </c>
      <c r="G309" s="57" t="n">
        <f aca="false">MAX(0,IF(AND(Parameter!$B$21="Ja",ISNUMBER(W309)),W309,IF(Parameter!$B$20="Jahresanfang 2025 + Export",BJ309+BI309,BI309)))</f>
        <v>1</v>
      </c>
      <c r="H309" s="57" t="n">
        <f aca="false">G309*F309</f>
        <v>258.1</v>
      </c>
      <c r="I309" s="57" t="n">
        <f aca="false">BL309*Parameter!$B$18</f>
        <v>0</v>
      </c>
      <c r="J309" s="58" t="n">
        <v>7.5</v>
      </c>
      <c r="K309" s="59" t="n">
        <v>0</v>
      </c>
      <c r="L309" s="57" t="n">
        <v>0</v>
      </c>
      <c r="M309" s="57" t="n">
        <v>1</v>
      </c>
      <c r="N309" s="60" t="n">
        <v>28</v>
      </c>
      <c r="O309" s="55" t="s">
        <v>163</v>
      </c>
      <c r="P309" s="57"/>
      <c r="Q309" s="60" t="n">
        <f aca="false">IF(BR309=1,0,IFERROR(VLOOKUP(BP309,'Gebinde-Kategorie'!$A$5:$M$45,13,0)+0,0))</f>
        <v>0</v>
      </c>
      <c r="R309" s="61"/>
      <c r="S309" s="62"/>
      <c r="T309" s="62"/>
      <c r="U309" s="55"/>
      <c r="V309" s="57"/>
      <c r="W309" s="57"/>
      <c r="X309" s="55" t="n">
        <f aca="false">IF(A309="","",IF(AND(Parameter!$B$21="Ja",ISNUMBER(U309)),U309,IF(IFERROR(VLOOKUP(D309,Parameter!$A$35:$C$64,2,0),"Nein")="2+3",IF(ISNUMBER(SEARCH("grosser Artikel",BM309)),2,IFERROR(VLOOKUP(BP309,Parameter!$F$35:$G$64,2,0),2)),IF(OR(IFERROR(VLOOKUP(D309,Parameter!$A$35:$C$64,2,0),"Nein")="Nein",IFERROR(VLOOKUP(D309,Parameter!$A$35:$C$64,2,0),"Nein")=""),"-",VLOOKUP(D309,Parameter!$A$35:$C$64,2,0)))))</f>
        <v>2</v>
      </c>
      <c r="Y309" s="62"/>
      <c r="Z309" s="63"/>
      <c r="AA309" s="57" t="n">
        <f aca="false">AP309</f>
        <v>1</v>
      </c>
      <c r="AB309" s="57" t="n">
        <f aca="false">MAX(AP309,G309)</f>
        <v>1</v>
      </c>
      <c r="AC309" s="64"/>
      <c r="AD309" s="57" t="n">
        <f aca="false">IF(LEFT(Cockpit!$C$5,1)="A",G309,IF(BW309=1,BX309,IF(LEFT(Cockpit!$C$5,1)="B",AH309,MAX(AH309,G309))))</f>
        <v>1</v>
      </c>
      <c r="AE309" s="57" t="n">
        <f aca="false">IF(BR309=1,0,ROUNDUP(AD309/BQ309,0))</f>
        <v>0</v>
      </c>
      <c r="AF309" s="59" t="n">
        <f aca="false">IF(CD309&gt;0,CD309*MAX(1,AD309/V309),IF(BR309=1,IF(AD309&lt;=0,0,BS309*MAX(1,IF(G309&gt;0,AD309/G309,1))),IF(Q309&gt;0,AE309/Q309,0))/MAX(0.1,N(Parameter!$M$21)))</f>
        <v>0.15</v>
      </c>
      <c r="AG309" s="57" t="n">
        <f aca="false">AD309*F309</f>
        <v>258.1</v>
      </c>
      <c r="AH309" s="57" t="n">
        <f aca="false">ROUNDUP(MAX(I309/IF(BV309&gt;0,BV309,MAX(0.1,N(Cockpit!$C$6))),BY309)/BQ309,0)*BQ309</f>
        <v>1</v>
      </c>
      <c r="AI309" s="58" t="n">
        <f aca="false">IF(AF309&gt;0,I309/AF309,-1)</f>
        <v>0</v>
      </c>
      <c r="AJ309" s="58" t="n">
        <f aca="false">IF(AND(OR(BU309="L1",BU309="L23"),AF309&gt;0),SUMIFS($AF$7:$AF$1576,$BU$7:$BU$1576,BU309,$AI$7:$AI$1576,"&gt;"&amp;AI309)+SUMIFS($AF$7:$AF$1576,$BU$7:$BU$1576,BU309,$AI$7:$AI$1576,AI309,$BO$7:$BO$1576,"&lt;="&amp;BO309),"")</f>
        <v>40.8041822911388</v>
      </c>
      <c r="AK309" s="65" t="n">
        <f aca="false">IF(AJ309="",0,MAX(0,MIN(1,(IF(BU309="L1",Parameter!$E$5,Parameter!$E$6+Parameter!$E$7)-(AJ309-AF309))/AF309)))</f>
        <v>1</v>
      </c>
      <c r="AL309" s="57" t="n">
        <f aca="false">IF(LEFT(Cockpit!$I$5,1)="A",G309,IF(BW309=1,BX309,IF(LEFT(Cockpit!$I$5,1)="B",AP309,MAX(AP309,G309))))</f>
        <v>1</v>
      </c>
      <c r="AM309" s="57" t="n">
        <f aca="false">IF(BR309=1,0,ROUNDUP(AL309/BQ309,0))</f>
        <v>0</v>
      </c>
      <c r="AN309" s="59" t="n">
        <f aca="false">IF(CD309&gt;0,CD309*MAX(1,AL309/V309),IF(BR309=1,IF(AL309&lt;=0,0,BS309*MAX(1,IF(G309&gt;0,AL309/G309,1))),IF(Q309&gt;0,AM309/Q309,0))/MAX(0.1,N(Parameter!$M$21)))</f>
        <v>0.15</v>
      </c>
      <c r="AO309" s="57" t="n">
        <f aca="false">AL309*F309</f>
        <v>258.1</v>
      </c>
      <c r="AP309" s="57" t="n">
        <f aca="false">ROUNDUP(MAX(I309/IF(BV309&gt;0,BV309,MAX(0.1,N(Cockpit!$I$6))),BY309)/BQ309,0)*BQ309</f>
        <v>1</v>
      </c>
      <c r="AQ309" s="58" t="n">
        <f aca="false">IF(AN309&gt;0,I309/AN309,-1)</f>
        <v>0</v>
      </c>
      <c r="AR309" s="58" t="n">
        <f aca="false">IF(AND(OR(BU309="L1",BU309="L23"),AN309&gt;0),SUMIFS($AN$7:$AN$1576,$BU$7:$BU$1576,BU309,$AQ$7:$AQ$1576,"&gt;"&amp;AQ309)+SUMIFS($AN$7:$AN$1576,$BU$7:$BU$1576,BU309,$AQ$7:$AQ$1576,AQ309,$BO$7:$BO$1576,"&lt;="&amp;BO309),"")</f>
        <v>123.678388040928</v>
      </c>
      <c r="AS309" s="65" t="n">
        <f aca="false">IF(AR309="",0,MAX(0,MIN(1,(IF(BU309="L1",Parameter!$E$5,Parameter!$E$6+Parameter!$E$7)-(AR309-AN309))/AN309)))</f>
        <v>0</v>
      </c>
      <c r="AT309" s="57" t="n">
        <f aca="false">IF(LEFT(Cockpit!$O$5,1)="A",G309,IF(BW309=1,BX309,IF(LEFT(Cockpit!$O$5,1)="B",AX309,MAX(AX309,G309))))</f>
        <v>1</v>
      </c>
      <c r="AU309" s="57" t="n">
        <f aca="false">IF(BR309=1,0,ROUNDUP(AT309/BQ309,0))</f>
        <v>0</v>
      </c>
      <c r="AV309" s="59" t="n">
        <f aca="false">IF(CD309&gt;0,CD309*MAX(1,AT309/V309),IF(BR309=1,IF(AT309&lt;=0,0,BS309*MAX(1,IF(G309&gt;0,AT309/G309,1))),IF(Q309&gt;0,AU309/Q309,0))/MAX(0.1,N(Parameter!$M$21)))</f>
        <v>0.15</v>
      </c>
      <c r="AW309" s="57" t="n">
        <f aca="false">AT309*F309</f>
        <v>258.1</v>
      </c>
      <c r="AX309" s="57" t="n">
        <f aca="false">ROUNDUP(MAX(I309/IF(BV309&gt;0,BV309,MAX(0.1,N(Cockpit!$O$6))),BY309)/BQ309,0)*BQ309</f>
        <v>1</v>
      </c>
      <c r="AY309" s="58" t="n">
        <f aca="false">IF(AV309&gt;0,I309/AV309,-1)</f>
        <v>0</v>
      </c>
      <c r="AZ309" s="58" t="n">
        <f aca="false">IF(AND(OR(BU309="L1",BU309="L23"),AV309&gt;0),SUMIFS($AV$7:$AV$1576,$BU$7:$BU$1576,BU309,$AY$7:$AY$1576,"&gt;"&amp;AY309)+SUMIFS($AV$7:$AV$1576,$BU$7:$BU$1576,BU309,$AY$7:$AY$1576,AY309,$BO$7:$BO$1576,"&lt;="&amp;BO309),"")</f>
        <v>113.737938490479</v>
      </c>
      <c r="BA309" s="65" t="n">
        <f aca="false">IF(AZ309="",0,MAX(0,MIN(1,(IF(BU309="L1",Parameter!$E$5,Parameter!$E$6+Parameter!$E$7)-(AZ309-AV309))/AV309)))</f>
        <v>0</v>
      </c>
      <c r="BB309" s="55" t="str">
        <f aca="false">IF(AF309&lt;=0,"",IF(BU309="Aussen","Aussenlager",IF(BU309="-","Nicht im Lift",IF(AK309&gt;=1,"Lift",IF(AK309&lt;=0,"Aussenlager","teilweise")))))</f>
        <v>Lift</v>
      </c>
      <c r="BC309" s="55" t="str">
        <f aca="false">IF(AN309&lt;=0,"",IF(BU309="Aussen","Aussenlager",IF(BU309="-","Nicht im Lift",IF(AS309&gt;=1,"Lift",IF(AS309&lt;=0,"Aussenlager","teilweise")))))</f>
        <v>Aussenlager</v>
      </c>
      <c r="BD309" s="55" t="str">
        <f aca="false">IF(AV309&lt;=0,"",IF(BU309="Aussen","Aussenlager",IF(BU309="-","Nicht im Lift",IF(BA309&gt;=1,"Lift",IF(BA309&lt;=0,"Aussenlager","teilweise")))))</f>
        <v>Aussenlager</v>
      </c>
      <c r="BE309" s="55" t="str">
        <f aca="false">IF(A309="","",IF(BN309=1,"Neu; ","")&amp;IF(AND(BN309=0,BI309&lt;0),"negativer Bestand (Export "&amp;BI309&amp;"); ","")&amp;IF(I309&lt;=0,"Kein Verbrauch; ","")&amp;IF(CD309&gt;0,"Lift "&amp;U309&amp;" lt. Liftbericht (Fach "&amp;V309&amp;" Stk); ",IF(BR309=1,"Lose – Fläche geschätzt; ",""))&amp;IF(G309&gt;AP309,"Überbestand "&amp;ROUND(G309-AP309,0)&amp;" Stk / CHF "&amp;ROUND((G309-AP309)*F309,0)&amp;"; ","")&amp;IF(AND(BW309=1,BX309&lt;BY309),"MAX &lt; MB+LG; ","")&amp;IF(AND(CC309&gt;0,CB309*10&gt;CC309),"zu hoch für Tablar; ","")&amp;IF(AND(BN309=0,OR(BW309=1,Y309&lt;&gt;"",S309&lt;&gt;"",T309&lt;&gt;"",Z309&lt;&gt;"")),"manuell übersteuert; ","")&amp;IF(AND(BR309=0,Q309=0),"Gebinde unbekannt / Stellmass fehlt; ","")&amp;IF(AND(BR309=0,N(T309)&lt;=0,N(P309)&lt;=0),"Menge pro Gebinde fehlt (Ist = 1 Gebinde); ","")&amp;BM309)</f>
        <v>Kein Verbrauch; Lose – Fläche geschätzt; </v>
      </c>
      <c r="BF309" s="55"/>
      <c r="BG309" s="55"/>
      <c r="BH309" s="62"/>
      <c r="BI309" s="57" t="n">
        <v>1</v>
      </c>
      <c r="BJ309" s="57" t="n">
        <v>7</v>
      </c>
      <c r="BK309" s="56" t="n">
        <v>258.1</v>
      </c>
      <c r="BL309" s="57" t="n">
        <v>0</v>
      </c>
      <c r="BM309" s="55"/>
      <c r="BN309" s="60" t="n">
        <v>0</v>
      </c>
      <c r="BO309" s="60" t="n">
        <v>309</v>
      </c>
      <c r="BP309" s="55" t="str">
        <f aca="false">IF(S309&lt;&gt;"",UPPER(TRIM(S309)),IF(O309="","LOSE",O309))</f>
        <v>LOSE</v>
      </c>
      <c r="BQ309" s="57" t="n">
        <f aca="false">IF(BP309="LOSE",1,IF(N(T309)&gt;0,T309,IF(N(P309)&gt;0,P309,MAX(1,G309))))</f>
        <v>1</v>
      </c>
      <c r="BR309" s="60" t="n">
        <f aca="false">IF(BP309="LOSE",1,0)</f>
        <v>1</v>
      </c>
      <c r="BS309" s="59" t="n">
        <f aca="false">IF(BR309=0,0,IF(N(R309)&gt;0,R309,IFERROR(VLOOKUP(D309,Parameter!$A$35:$C$64,3,0)+0,0)))</f>
        <v>0.15</v>
      </c>
      <c r="BT309" s="55" t="n">
        <f aca="false">IF(Y309&lt;&gt;"",Y309,X309)</f>
        <v>2</v>
      </c>
      <c r="BU309" s="55" t="str">
        <f aca="false">IF(BT309=1,"L1",IF(OR(BT309=2,BT309=3),"L23",IF(BT309="Aussen","Aussen","-")))</f>
        <v>L23</v>
      </c>
      <c r="BV309" s="66" t="n">
        <f aca="false">IF(N(Z309)&gt;0,Z309,0)</f>
        <v>0</v>
      </c>
      <c r="BW309" s="60" t="n">
        <f aca="false">IF(ISNUMBER(AC309),1,0)</f>
        <v>0</v>
      </c>
      <c r="BX309" s="57" t="n">
        <f aca="false">N(AC309)</f>
        <v>0</v>
      </c>
      <c r="BY309" s="57" t="n">
        <f aca="false">N(L309)+N(M309)</f>
        <v>1</v>
      </c>
      <c r="BZ309" s="57" t="n">
        <f aca="false">ROUNDUP(G309/BQ309,0)</f>
        <v>1</v>
      </c>
      <c r="CA309" s="57" t="n">
        <f aca="false">ROUNDUP(BX309/BQ309,0)</f>
        <v>0</v>
      </c>
      <c r="CB309" s="60" t="n">
        <f aca="false">IF(BR309=1,0,IFERROR(VLOOKUP(BP309,'Gebinde-Kategorie'!$A$5:$M$45,5,0)+0,0))</f>
        <v>0</v>
      </c>
      <c r="CC309" s="60" t="n">
        <f aca="false">IFERROR(IF(OR(BT309=1,BT309=2,BT309=3),N(INDEX(Parameter!$I$5:$I$7,BT309)),0),0)</f>
        <v>0</v>
      </c>
      <c r="CD309" s="59" t="n">
        <f aca="false">IF(AND(Parameter!$B$21="Ja",ISNUMBER(U309),N(V309)&gt;0),IFERROR(N(INDEX(Parameter!$L$5:$L$7,U309))*INDEX(Parameter!$E$5:$E$7,U309)*V309/SUMIFS($V$7:$V$1576,$U$7:$U$1576,U309),0),0)</f>
        <v>0</v>
      </c>
    </row>
    <row r="310" customFormat="false" ht="15" hidden="false" customHeight="false" outlineLevel="0" collapsed="false">
      <c r="A310" s="55" t="s">
        <v>776</v>
      </c>
      <c r="B310" s="55" t="s">
        <v>777</v>
      </c>
      <c r="C310" s="55" t="s">
        <v>160</v>
      </c>
      <c r="D310" s="55" t="s">
        <v>168</v>
      </c>
      <c r="E310" s="55" t="s">
        <v>210</v>
      </c>
      <c r="F310" s="56" t="n">
        <v>32.17</v>
      </c>
      <c r="G310" s="57" t="n">
        <f aca="false">MAX(0,IF(AND(Parameter!$B$21="Ja",ISNUMBER(W310)),W310,IF(Parameter!$B$20="Jahresanfang 2025 + Export",BJ310+BI310,BI310)))</f>
        <v>13</v>
      </c>
      <c r="H310" s="57" t="n">
        <f aca="false">G310*F310</f>
        <v>418.21</v>
      </c>
      <c r="I310" s="57" t="n">
        <f aca="false">BL310*Parameter!$B$18</f>
        <v>22</v>
      </c>
      <c r="J310" s="58" t="n">
        <v>4.5</v>
      </c>
      <c r="K310" s="59" t="n">
        <v>4.88888888888889</v>
      </c>
      <c r="L310" s="57" t="n">
        <v>5</v>
      </c>
      <c r="M310" s="57" t="n">
        <v>30</v>
      </c>
      <c r="N310" s="60" t="n">
        <v>90</v>
      </c>
      <c r="O310" s="55" t="s">
        <v>179</v>
      </c>
      <c r="P310" s="57" t="n">
        <v>15</v>
      </c>
      <c r="Q310" s="60" t="n">
        <f aca="false">IF(BR310=1,0,IFERROR(VLOOKUP(BP310,'Gebinde-Kategorie'!$A$5:$M$45,13,0)+0,0))</f>
        <v>12</v>
      </c>
      <c r="R310" s="61"/>
      <c r="S310" s="62"/>
      <c r="T310" s="62"/>
      <c r="U310" s="55"/>
      <c r="V310" s="57"/>
      <c r="W310" s="57"/>
      <c r="X310" s="55" t="n">
        <f aca="false">IF(A310="","",IF(AND(Parameter!$B$21="Ja",ISNUMBER(U310)),U310,IF(IFERROR(VLOOKUP(D310,Parameter!$A$35:$C$64,2,0),"Nein")="2+3",IF(ISNUMBER(SEARCH("grosser Artikel",BM310)),2,IFERROR(VLOOKUP(BP310,Parameter!$F$35:$G$64,2,0),2)),IF(OR(IFERROR(VLOOKUP(D310,Parameter!$A$35:$C$64,2,0),"Nein")="Nein",IFERROR(VLOOKUP(D310,Parameter!$A$35:$C$64,2,0),"Nein")=""),"-",VLOOKUP(D310,Parameter!$A$35:$C$64,2,0)))))</f>
        <v>2</v>
      </c>
      <c r="Y310" s="62"/>
      <c r="Z310" s="63"/>
      <c r="AA310" s="57" t="n">
        <f aca="false">AP310</f>
        <v>45</v>
      </c>
      <c r="AB310" s="57" t="n">
        <f aca="false">MAX(AP310,G310)</f>
        <v>45</v>
      </c>
      <c r="AC310" s="64"/>
      <c r="AD310" s="57" t="n">
        <f aca="false">IF(LEFT(Cockpit!$C$5,1)="A",G310,IF(BW310=1,BX310,IF(LEFT(Cockpit!$C$5,1)="B",AH310,MAX(AH310,G310))))</f>
        <v>13</v>
      </c>
      <c r="AE310" s="57" t="n">
        <f aca="false">IF(BR310=1,0,ROUNDUP(AD310/BQ310,0))</f>
        <v>1</v>
      </c>
      <c r="AF310" s="59" t="n">
        <f aca="false">IF(CD310&gt;0,CD310*MAX(1,AD310/V310),IF(BR310=1,IF(AD310&lt;=0,0,BS310*MAX(1,IF(G310&gt;0,AD310/G310,1))),IF(Q310&gt;0,AE310/Q310,0))/MAX(0.1,N(Parameter!$M$21)))</f>
        <v>0.0833333333333333</v>
      </c>
      <c r="AG310" s="57" t="n">
        <f aca="false">AD310*F310</f>
        <v>418.21</v>
      </c>
      <c r="AH310" s="57" t="n">
        <f aca="false">ROUNDUP(MAX(I310/IF(BV310&gt;0,BV310,MAX(0.1,N(Cockpit!$C$6))),BY310)/BQ310,0)*BQ310</f>
        <v>45</v>
      </c>
      <c r="AI310" s="58" t="n">
        <f aca="false">IF(AF310&gt;0,I310/AF310,-1)</f>
        <v>264</v>
      </c>
      <c r="AJ310" s="58" t="n">
        <f aca="false">IF(AND(OR(BU310="L1",BU310="L23"),AF310&gt;0),SUMIFS($AF$7:$AF$1576,$BU$7:$BU$1576,BU310,$AI$7:$AI$1576,"&gt;"&amp;AI310)+SUMIFS($AF$7:$AF$1576,$BU$7:$BU$1576,BU310,$AI$7:$AI$1576,AI310,$BO$7:$BO$1576,"&lt;="&amp;BO310),"")</f>
        <v>15.6831259079085</v>
      </c>
      <c r="AK310" s="65" t="n">
        <f aca="false">IF(AJ310="",0,MAX(0,MIN(1,(IF(BU310="L1",Parameter!$E$5,Parameter!$E$6+Parameter!$E$7)-(AJ310-AF310))/AF310)))</f>
        <v>1</v>
      </c>
      <c r="AL310" s="57" t="n">
        <f aca="false">IF(LEFT(Cockpit!$I$5,1)="A",G310,IF(BW310=1,BX310,IF(LEFT(Cockpit!$I$5,1)="B",AP310,MAX(AP310,G310))))</f>
        <v>45</v>
      </c>
      <c r="AM310" s="57" t="n">
        <f aca="false">IF(BR310=1,0,ROUNDUP(AL310/BQ310,0))</f>
        <v>3</v>
      </c>
      <c r="AN310" s="59" t="n">
        <f aca="false">IF(CD310&gt;0,CD310*MAX(1,AL310/V310),IF(BR310=1,IF(AL310&lt;=0,0,BS310*MAX(1,IF(G310&gt;0,AL310/G310,1))),IF(Q310&gt;0,AM310/Q310,0))/MAX(0.1,N(Parameter!$M$21)))</f>
        <v>0.25</v>
      </c>
      <c r="AO310" s="57" t="n">
        <f aca="false">AL310*F310</f>
        <v>1447.65</v>
      </c>
      <c r="AP310" s="57" t="n">
        <f aca="false">ROUNDUP(MAX(I310/IF(BV310&gt;0,BV310,MAX(0.1,N(Cockpit!$I$6))),BY310)/BQ310,0)*BQ310</f>
        <v>45</v>
      </c>
      <c r="AQ310" s="58" t="n">
        <f aca="false">IF(AN310&gt;0,I310/AN310,-1)</f>
        <v>88</v>
      </c>
      <c r="AR310" s="58" t="n">
        <f aca="false">IF(AND(OR(BU310="L1",BU310="L23"),AN310&gt;0),SUMIFS($AN$7:$AN$1576,$BU$7:$BU$1576,BU310,$AQ$7:$AQ$1576,"&gt;"&amp;AQ310)+SUMIFS($AN$7:$AN$1576,$BU$7:$BU$1576,BU310,$AQ$7:$AQ$1576,AQ310,$BO$7:$BO$1576,"&lt;="&amp;BO310),"")</f>
        <v>71.6103133765745</v>
      </c>
      <c r="AS310" s="65" t="n">
        <f aca="false">IF(AR310="",0,MAX(0,MIN(1,(IF(BU310="L1",Parameter!$E$5,Parameter!$E$6+Parameter!$E$7)-(AR310-AN310))/AN310)))</f>
        <v>1</v>
      </c>
      <c r="AT310" s="57" t="n">
        <f aca="false">IF(LEFT(Cockpit!$O$5,1)="A",G310,IF(BW310=1,BX310,IF(LEFT(Cockpit!$O$5,1)="B",AX310,MAX(AX310,G310))))</f>
        <v>45</v>
      </c>
      <c r="AU310" s="57" t="n">
        <f aca="false">IF(BR310=1,0,ROUNDUP(AT310/BQ310,0))</f>
        <v>3</v>
      </c>
      <c r="AV310" s="59" t="n">
        <f aca="false">IF(CD310&gt;0,CD310*MAX(1,AT310/V310),IF(BR310=1,IF(AT310&lt;=0,0,BS310*MAX(1,IF(G310&gt;0,AT310/G310,1))),IF(Q310&gt;0,AU310/Q310,0))/MAX(0.1,N(Parameter!$M$21)))</f>
        <v>0.25</v>
      </c>
      <c r="AW310" s="57" t="n">
        <f aca="false">AT310*F310</f>
        <v>1447.65</v>
      </c>
      <c r="AX310" s="57" t="n">
        <f aca="false">ROUNDUP(MAX(I310/IF(BV310&gt;0,BV310,MAX(0.1,N(Cockpit!$O$6))),BY310)/BQ310,0)*BQ310</f>
        <v>45</v>
      </c>
      <c r="AY310" s="58" t="n">
        <f aca="false">IF(AV310&gt;0,I310/AV310,-1)</f>
        <v>88</v>
      </c>
      <c r="AZ310" s="58" t="n">
        <f aca="false">IF(AND(OR(BU310="L1",BU310="L23"),AV310&gt;0),SUMIFS($AV$7:$AV$1576,$BU$7:$BU$1576,BU310,$AY$7:$AY$1576,"&gt;"&amp;AY310)+SUMIFS($AV$7:$AV$1576,$BU$7:$BU$1576,BU310,$AY$7:$AY$1576,AY310,$BO$7:$BO$1576,"&lt;="&amp;BO310),"")</f>
        <v>66.1706971594583</v>
      </c>
      <c r="BA310" s="65" t="n">
        <f aca="false">IF(AZ310="",0,MAX(0,MIN(1,(IF(BU310="L1",Parameter!$E$5,Parameter!$E$6+Parameter!$E$7)-(AZ310-AV310))/AV310)))</f>
        <v>1</v>
      </c>
      <c r="BB310" s="55" t="str">
        <f aca="false">IF(AF310&lt;=0,"",IF(BU310="Aussen","Aussenlager",IF(BU310="-","Nicht im Lift",IF(AK310&gt;=1,"Lift",IF(AK310&lt;=0,"Aussenlager","teilweise")))))</f>
        <v>Lift</v>
      </c>
      <c r="BC310" s="55" t="str">
        <f aca="false">IF(AN310&lt;=0,"",IF(BU310="Aussen","Aussenlager",IF(BU310="-","Nicht im Lift",IF(AS310&gt;=1,"Lift",IF(AS310&lt;=0,"Aussenlager","teilweise")))))</f>
        <v>Lift</v>
      </c>
      <c r="BD310" s="55" t="str">
        <f aca="false">IF(AV310&lt;=0,"",IF(BU310="Aussen","Aussenlager",IF(BU310="-","Nicht im Lift",IF(BA310&gt;=1,"Lift",IF(BA310&lt;=0,"Aussenlager","teilweise")))))</f>
        <v>Lift</v>
      </c>
      <c r="BE310" s="55" t="str">
        <f aca="false">IF(A310="","",IF(BN310=1,"Neu; ","")&amp;IF(AND(BN310=0,BI310&lt;0),"negativer Bestand (Export "&amp;BI310&amp;"); ","")&amp;IF(I310&lt;=0,"Kein Verbrauch; ","")&amp;IF(CD310&gt;0,"Lift "&amp;U310&amp;" lt. Liftbericht (Fach "&amp;V310&amp;" Stk); ",IF(BR310=1,"Lose – Fläche geschätzt; ",""))&amp;IF(G310&gt;AP310,"Überbestand "&amp;ROUND(G310-AP310,0)&amp;" Stk / CHF "&amp;ROUND((G310-AP310)*F310,0)&amp;"; ","")&amp;IF(AND(BW310=1,BX310&lt;BY310),"MAX &lt; MB+LG; ","")&amp;IF(AND(CC310&gt;0,CB310*10&gt;CC310),"zu hoch für Tablar; ","")&amp;IF(AND(BN310=0,OR(BW310=1,Y310&lt;&gt;"",S310&lt;&gt;"",T310&lt;&gt;"",Z310&lt;&gt;"")),"manuell übersteuert; ","")&amp;IF(AND(BR310=0,Q310=0),"Gebinde unbekannt / Stellmass fehlt; ","")&amp;IF(AND(BR310=0,N(T310)&lt;=0,N(P310)&lt;=0),"Menge pro Gebinde fehlt (Ist = 1 Gebinde); ","")&amp;BM310)</f>
        <v/>
      </c>
      <c r="BF310" s="55"/>
      <c r="BG310" s="55"/>
      <c r="BH310" s="62"/>
      <c r="BI310" s="57" t="n">
        <v>13</v>
      </c>
      <c r="BJ310" s="57" t="n">
        <v>6</v>
      </c>
      <c r="BK310" s="56" t="n">
        <v>255.25</v>
      </c>
      <c r="BL310" s="57" t="n">
        <v>22</v>
      </c>
      <c r="BM310" s="55"/>
      <c r="BN310" s="60" t="n">
        <v>0</v>
      </c>
      <c r="BO310" s="60" t="n">
        <v>310</v>
      </c>
      <c r="BP310" s="55" t="str">
        <f aca="false">IF(S310&lt;&gt;"",UPPER(TRIM(S310)),IF(O310="","LOSE",O310))</f>
        <v>S61</v>
      </c>
      <c r="BQ310" s="57" t="n">
        <f aca="false">IF(BP310="LOSE",1,IF(N(T310)&gt;0,T310,IF(N(P310)&gt;0,P310,MAX(1,G310))))</f>
        <v>15</v>
      </c>
      <c r="BR310" s="60" t="n">
        <f aca="false">IF(BP310="LOSE",1,0)</f>
        <v>0</v>
      </c>
      <c r="BS310" s="59" t="n">
        <f aca="false">IF(BR310=0,0,IF(N(R310)&gt;0,R310,IFERROR(VLOOKUP(D310,Parameter!$A$35:$C$64,3,0)+0,0)))</f>
        <v>0</v>
      </c>
      <c r="BT310" s="55" t="n">
        <f aca="false">IF(Y310&lt;&gt;"",Y310,X310)</f>
        <v>2</v>
      </c>
      <c r="BU310" s="55" t="str">
        <f aca="false">IF(BT310=1,"L1",IF(OR(BT310=2,BT310=3),"L23",IF(BT310="Aussen","Aussen","-")))</f>
        <v>L23</v>
      </c>
      <c r="BV310" s="66" t="n">
        <f aca="false">IF(N(Z310)&gt;0,Z310,0)</f>
        <v>0</v>
      </c>
      <c r="BW310" s="60" t="n">
        <f aca="false">IF(ISNUMBER(AC310),1,0)</f>
        <v>0</v>
      </c>
      <c r="BX310" s="57" t="n">
        <f aca="false">N(AC310)</f>
        <v>0</v>
      </c>
      <c r="BY310" s="57" t="n">
        <f aca="false">N(L310)+N(M310)</f>
        <v>35</v>
      </c>
      <c r="BZ310" s="57" t="n">
        <f aca="false">ROUNDUP(G310/BQ310,0)</f>
        <v>1</v>
      </c>
      <c r="CA310" s="57" t="n">
        <f aca="false">ROUNDUP(BX310/BQ310,0)</f>
        <v>0</v>
      </c>
      <c r="CB310" s="60" t="n">
        <f aca="false">IF(BR310=1,0,IFERROR(VLOOKUP(BP310,'Gebinde-Kategorie'!$A$5:$M$45,5,0)+0,0))</f>
        <v>11</v>
      </c>
      <c r="CC310" s="60" t="n">
        <f aca="false">IFERROR(IF(OR(BT310=1,BT310=2,BT310=3),N(INDEX(Parameter!$I$5:$I$7,BT310)),0),0)</f>
        <v>0</v>
      </c>
      <c r="CD310" s="59" t="n">
        <f aca="false">IF(AND(Parameter!$B$21="Ja",ISNUMBER(U310),N(V310)&gt;0),IFERROR(N(INDEX(Parameter!$L$5:$L$7,U310))*INDEX(Parameter!$E$5:$E$7,U310)*V310/SUMIFS($V$7:$V$1576,$U$7:$U$1576,U310),0),0)</f>
        <v>0</v>
      </c>
    </row>
    <row r="311" customFormat="false" ht="15" hidden="false" customHeight="false" outlineLevel="0" collapsed="false">
      <c r="A311" s="55" t="s">
        <v>778</v>
      </c>
      <c r="B311" s="55" t="s">
        <v>779</v>
      </c>
      <c r="C311" s="55" t="s">
        <v>160</v>
      </c>
      <c r="D311" s="55" t="s">
        <v>178</v>
      </c>
      <c r="E311" s="55" t="s">
        <v>210</v>
      </c>
      <c r="F311" s="56" t="n">
        <v>24.55</v>
      </c>
      <c r="G311" s="57" t="n">
        <f aca="false">MAX(0,IF(AND(Parameter!$B$21="Ja",ISNUMBER(W311)),W311,IF(Parameter!$B$20="Jahresanfang 2025 + Export",BJ311+BI311,BI311)))</f>
        <v>10</v>
      </c>
      <c r="H311" s="57" t="n">
        <f aca="false">G311*F311</f>
        <v>245.5</v>
      </c>
      <c r="I311" s="57" t="n">
        <f aca="false">BL311*Parameter!$B$18</f>
        <v>0</v>
      </c>
      <c r="J311" s="58" t="n">
        <v>2</v>
      </c>
      <c r="K311" s="59" t="n">
        <v>0</v>
      </c>
      <c r="L311" s="57" t="n">
        <v>0</v>
      </c>
      <c r="M311" s="57" t="n">
        <v>1</v>
      </c>
      <c r="N311" s="60" t="n">
        <v>14</v>
      </c>
      <c r="O311" s="55" t="s">
        <v>319</v>
      </c>
      <c r="P311" s="57" t="n">
        <v>30</v>
      </c>
      <c r="Q311" s="60" t="n">
        <f aca="false">IF(BR311=1,0,IFERROR(VLOOKUP(BP311,'Gebinde-Kategorie'!$A$5:$M$45,13,0)+0,0))</f>
        <v>52</v>
      </c>
      <c r="R311" s="61"/>
      <c r="S311" s="62"/>
      <c r="T311" s="62"/>
      <c r="U311" s="55"/>
      <c r="V311" s="57"/>
      <c r="W311" s="57"/>
      <c r="X311" s="55" t="n">
        <f aca="false">IF(A311="","",IF(AND(Parameter!$B$21="Ja",ISNUMBER(U311)),U311,IF(IFERROR(VLOOKUP(D311,Parameter!$A$35:$C$64,2,0),"Nein")="2+3",IF(ISNUMBER(SEARCH("grosser Artikel",BM311)),2,IFERROR(VLOOKUP(BP311,Parameter!$F$35:$G$64,2,0),2)),IF(OR(IFERROR(VLOOKUP(D311,Parameter!$A$35:$C$64,2,0),"Nein")="Nein",IFERROR(VLOOKUP(D311,Parameter!$A$35:$C$64,2,0),"Nein")=""),"-",VLOOKUP(D311,Parameter!$A$35:$C$64,2,0)))))</f>
        <v>3</v>
      </c>
      <c r="Y311" s="62"/>
      <c r="Z311" s="63"/>
      <c r="AA311" s="57" t="n">
        <f aca="false">AP311</f>
        <v>30</v>
      </c>
      <c r="AB311" s="57" t="n">
        <f aca="false">MAX(AP311,G311)</f>
        <v>30</v>
      </c>
      <c r="AC311" s="64"/>
      <c r="AD311" s="57" t="n">
        <f aca="false">IF(LEFT(Cockpit!$C$5,1)="A",G311,IF(BW311=1,BX311,IF(LEFT(Cockpit!$C$5,1)="B",AH311,MAX(AH311,G311))))</f>
        <v>10</v>
      </c>
      <c r="AE311" s="57" t="n">
        <f aca="false">IF(BR311=1,0,ROUNDUP(AD311/BQ311,0))</f>
        <v>1</v>
      </c>
      <c r="AF311" s="59" t="n">
        <f aca="false">IF(CD311&gt;0,CD311*MAX(1,AD311/V311),IF(BR311=1,IF(AD311&lt;=0,0,BS311*MAX(1,IF(G311&gt;0,AD311/G311,1))),IF(Q311&gt;0,AE311/Q311,0))/MAX(0.1,N(Parameter!$M$21)))</f>
        <v>0.0192307692307692</v>
      </c>
      <c r="AG311" s="57" t="n">
        <f aca="false">AD311*F311</f>
        <v>245.5</v>
      </c>
      <c r="AH311" s="57" t="n">
        <f aca="false">ROUNDUP(MAX(I311/IF(BV311&gt;0,BV311,MAX(0.1,N(Cockpit!$C$6))),BY311)/BQ311,0)*BQ311</f>
        <v>30</v>
      </c>
      <c r="AI311" s="58" t="n">
        <f aca="false">IF(AF311&gt;0,I311/AF311,-1)</f>
        <v>0</v>
      </c>
      <c r="AJ311" s="58" t="n">
        <f aca="false">IF(AND(OR(BU311="L1",BU311="L23"),AF311&gt;0),SUMIFS($AF$7:$AF$1576,$BU$7:$BU$1576,BU311,$AI$7:$AI$1576,"&gt;"&amp;AI311)+SUMIFS($AF$7:$AF$1576,$BU$7:$BU$1576,BU311,$AI$7:$AI$1576,AI311,$BO$7:$BO$1576,"&lt;="&amp;BO311),"")</f>
        <v>40.8234130603696</v>
      </c>
      <c r="AK311" s="65" t="n">
        <f aca="false">IF(AJ311="",0,MAX(0,MIN(1,(IF(BU311="L1",Parameter!$E$5,Parameter!$E$6+Parameter!$E$7)-(AJ311-AF311))/AF311)))</f>
        <v>1</v>
      </c>
      <c r="AL311" s="57" t="n">
        <f aca="false">IF(LEFT(Cockpit!$I$5,1)="A",G311,IF(BW311=1,BX311,IF(LEFT(Cockpit!$I$5,1)="B",AP311,MAX(AP311,G311))))</f>
        <v>30</v>
      </c>
      <c r="AM311" s="57" t="n">
        <f aca="false">IF(BR311=1,0,ROUNDUP(AL311/BQ311,0))</f>
        <v>1</v>
      </c>
      <c r="AN311" s="59" t="n">
        <f aca="false">IF(CD311&gt;0,CD311*MAX(1,AL311/V311),IF(BR311=1,IF(AL311&lt;=0,0,BS311*MAX(1,IF(G311&gt;0,AL311/G311,1))),IF(Q311&gt;0,AM311/Q311,0))/MAX(0.1,N(Parameter!$M$21)))</f>
        <v>0.0192307692307692</v>
      </c>
      <c r="AO311" s="57" t="n">
        <f aca="false">AL311*F311</f>
        <v>736.5</v>
      </c>
      <c r="AP311" s="57" t="n">
        <f aca="false">ROUNDUP(MAX(I311/IF(BV311&gt;0,BV311,MAX(0.1,N(Cockpit!$I$6))),BY311)/BQ311,0)*BQ311</f>
        <v>30</v>
      </c>
      <c r="AQ311" s="58" t="n">
        <f aca="false">IF(AN311&gt;0,I311/AN311,-1)</f>
        <v>0</v>
      </c>
      <c r="AR311" s="58" t="n">
        <f aca="false">IF(AND(OR(BU311="L1",BU311="L23"),AN311&gt;0),SUMIFS($AN$7:$AN$1576,$BU$7:$BU$1576,BU311,$AQ$7:$AQ$1576,"&gt;"&amp;AQ311)+SUMIFS($AN$7:$AN$1576,$BU$7:$BU$1576,BU311,$AQ$7:$AQ$1576,AQ311,$BO$7:$BO$1576,"&lt;="&amp;BO311),"")</f>
        <v>123.697618810159</v>
      </c>
      <c r="AS311" s="65" t="n">
        <f aca="false">IF(AR311="",0,MAX(0,MIN(1,(IF(BU311="L1",Parameter!$E$5,Parameter!$E$6+Parameter!$E$7)-(AR311-AN311))/AN311)))</f>
        <v>0</v>
      </c>
      <c r="AT311" s="57" t="n">
        <f aca="false">IF(LEFT(Cockpit!$O$5,1)="A",G311,IF(BW311=1,BX311,IF(LEFT(Cockpit!$O$5,1)="B",AX311,MAX(AX311,G311))))</f>
        <v>30</v>
      </c>
      <c r="AU311" s="57" t="n">
        <f aca="false">IF(BR311=1,0,ROUNDUP(AT311/BQ311,0))</f>
        <v>1</v>
      </c>
      <c r="AV311" s="59" t="n">
        <f aca="false">IF(CD311&gt;0,CD311*MAX(1,AT311/V311),IF(BR311=1,IF(AT311&lt;=0,0,BS311*MAX(1,IF(G311&gt;0,AT311/G311,1))),IF(Q311&gt;0,AU311/Q311,0))/MAX(0.1,N(Parameter!$M$21)))</f>
        <v>0.0192307692307692</v>
      </c>
      <c r="AW311" s="57" t="n">
        <f aca="false">AT311*F311</f>
        <v>736.5</v>
      </c>
      <c r="AX311" s="57" t="n">
        <f aca="false">ROUNDUP(MAX(I311/IF(BV311&gt;0,BV311,MAX(0.1,N(Cockpit!$O$6))),BY311)/BQ311,0)*BQ311</f>
        <v>30</v>
      </c>
      <c r="AY311" s="58" t="n">
        <f aca="false">IF(AV311&gt;0,I311/AV311,-1)</f>
        <v>0</v>
      </c>
      <c r="AZ311" s="58" t="n">
        <f aca="false">IF(AND(OR(BU311="L1",BU311="L23"),AV311&gt;0),SUMIFS($AV$7:$AV$1576,$BU$7:$BU$1576,BU311,$AY$7:$AY$1576,"&gt;"&amp;AY311)+SUMIFS($AV$7:$AV$1576,$BU$7:$BU$1576,BU311,$AY$7:$AY$1576,AY311,$BO$7:$BO$1576,"&lt;="&amp;BO311),"")</f>
        <v>113.757169259709</v>
      </c>
      <c r="BA311" s="65" t="n">
        <f aca="false">IF(AZ311="",0,MAX(0,MIN(1,(IF(BU311="L1",Parameter!$E$5,Parameter!$E$6+Parameter!$E$7)-(AZ311-AV311))/AV311)))</f>
        <v>0</v>
      </c>
      <c r="BB311" s="55" t="str">
        <f aca="false">IF(AF311&lt;=0,"",IF(BU311="Aussen","Aussenlager",IF(BU311="-","Nicht im Lift",IF(AK311&gt;=1,"Lift",IF(AK311&lt;=0,"Aussenlager","teilweise")))))</f>
        <v>Lift</v>
      </c>
      <c r="BC311" s="55" t="str">
        <f aca="false">IF(AN311&lt;=0,"",IF(BU311="Aussen","Aussenlager",IF(BU311="-","Nicht im Lift",IF(AS311&gt;=1,"Lift",IF(AS311&lt;=0,"Aussenlager","teilweise")))))</f>
        <v>Aussenlager</v>
      </c>
      <c r="BD311" s="55" t="str">
        <f aca="false">IF(AV311&lt;=0,"",IF(BU311="Aussen","Aussenlager",IF(BU311="-","Nicht im Lift",IF(BA311&gt;=1,"Lift",IF(BA311&lt;=0,"Aussenlager","teilweise")))))</f>
        <v>Aussenlager</v>
      </c>
      <c r="BE311" s="55" t="str">
        <f aca="false">IF(A311="","",IF(BN311=1,"Neu; ","")&amp;IF(AND(BN311=0,BI311&lt;0),"negativer Bestand (Export "&amp;BI311&amp;"); ","")&amp;IF(I311&lt;=0,"Kein Verbrauch; ","")&amp;IF(CD311&gt;0,"Lift "&amp;U311&amp;" lt. Liftbericht (Fach "&amp;V311&amp;" Stk); ",IF(BR311=1,"Lose – Fläche geschätzt; ",""))&amp;IF(G311&gt;AP311,"Überbestand "&amp;ROUND(G311-AP311,0)&amp;" Stk / CHF "&amp;ROUND((G311-AP311)*F311,0)&amp;"; ","")&amp;IF(AND(BW311=1,BX311&lt;BY311),"MAX &lt; MB+LG; ","")&amp;IF(AND(CC311&gt;0,CB311*10&gt;CC311),"zu hoch für Tablar; ","")&amp;IF(AND(BN311=0,OR(BW311=1,Y311&lt;&gt;"",S311&lt;&gt;"",T311&lt;&gt;"",Z311&lt;&gt;"")),"manuell übersteuert; ","")&amp;IF(AND(BR311=0,Q311=0),"Gebinde unbekannt / Stellmass fehlt; ","")&amp;IF(AND(BR311=0,N(T311)&lt;=0,N(P311)&lt;=0),"Menge pro Gebinde fehlt (Ist = 1 Gebinde); ","")&amp;BM311)</f>
        <v>Kein Verbrauch; </v>
      </c>
      <c r="BF311" s="55"/>
      <c r="BG311" s="55"/>
      <c r="BH311" s="62"/>
      <c r="BI311" s="57" t="n">
        <v>10</v>
      </c>
      <c r="BJ311" s="57" t="n">
        <v>2</v>
      </c>
      <c r="BK311" s="56" t="n">
        <v>254.58</v>
      </c>
      <c r="BL311" s="57" t="n">
        <v>0</v>
      </c>
      <c r="BM311" s="55"/>
      <c r="BN311" s="60" t="n">
        <v>0</v>
      </c>
      <c r="BO311" s="60" t="n">
        <v>311</v>
      </c>
      <c r="BP311" s="55" t="str">
        <f aca="false">IF(S311&lt;&gt;"",UPPER(TRIM(S311)),IF(O311="","LOSE",O311))</f>
        <v>S41</v>
      </c>
      <c r="BQ311" s="57" t="n">
        <f aca="false">IF(BP311="LOSE",1,IF(N(T311)&gt;0,T311,IF(N(P311)&gt;0,P311,MAX(1,G311))))</f>
        <v>30</v>
      </c>
      <c r="BR311" s="60" t="n">
        <f aca="false">IF(BP311="LOSE",1,0)</f>
        <v>0</v>
      </c>
      <c r="BS311" s="59" t="n">
        <f aca="false">IF(BR311=0,0,IF(N(R311)&gt;0,R311,IFERROR(VLOOKUP(D311,Parameter!$A$35:$C$64,3,0)+0,0)))</f>
        <v>0</v>
      </c>
      <c r="BT311" s="55" t="n">
        <f aca="false">IF(Y311&lt;&gt;"",Y311,X311)</f>
        <v>3</v>
      </c>
      <c r="BU311" s="55" t="str">
        <f aca="false">IF(BT311=1,"L1",IF(OR(BT311=2,BT311=3),"L23",IF(BT311="Aussen","Aussen","-")))</f>
        <v>L23</v>
      </c>
      <c r="BV311" s="66" t="n">
        <f aca="false">IF(N(Z311)&gt;0,Z311,0)</f>
        <v>0</v>
      </c>
      <c r="BW311" s="60" t="n">
        <f aca="false">IF(ISNUMBER(AC311),1,0)</f>
        <v>0</v>
      </c>
      <c r="BX311" s="57" t="n">
        <f aca="false">N(AC311)</f>
        <v>0</v>
      </c>
      <c r="BY311" s="57" t="n">
        <f aca="false">N(L311)+N(M311)</f>
        <v>1</v>
      </c>
      <c r="BZ311" s="57" t="n">
        <f aca="false">ROUNDUP(G311/BQ311,0)</f>
        <v>1</v>
      </c>
      <c r="CA311" s="57" t="n">
        <f aca="false">ROUNDUP(BX311/BQ311,0)</f>
        <v>0</v>
      </c>
      <c r="CB311" s="60" t="n">
        <f aca="false">IF(BR311=1,0,IFERROR(VLOOKUP(BP311,'Gebinde-Kategorie'!$A$5:$M$45,5,0)+0,0))</f>
        <v>11</v>
      </c>
      <c r="CC311" s="60" t="n">
        <f aca="false">IFERROR(IF(OR(BT311=1,BT311=2,BT311=3),N(INDEX(Parameter!$I$5:$I$7,BT311)),0),0)</f>
        <v>0</v>
      </c>
      <c r="CD311" s="59" t="n">
        <f aca="false">IF(AND(Parameter!$B$21="Ja",ISNUMBER(U311),N(V311)&gt;0),IFERROR(N(INDEX(Parameter!$L$5:$L$7,U311))*INDEX(Parameter!$E$5:$E$7,U311)*V311/SUMIFS($V$7:$V$1576,$U$7:$U$1576,U311),0),0)</f>
        <v>0</v>
      </c>
    </row>
    <row r="312" customFormat="false" ht="15" hidden="false" customHeight="false" outlineLevel="0" collapsed="false">
      <c r="A312" s="55" t="s">
        <v>780</v>
      </c>
      <c r="B312" s="55" t="s">
        <v>781</v>
      </c>
      <c r="C312" s="55" t="s">
        <v>160</v>
      </c>
      <c r="D312" s="55" t="s">
        <v>178</v>
      </c>
      <c r="E312" s="55" t="s">
        <v>210</v>
      </c>
      <c r="F312" s="56" t="n">
        <v>10.09</v>
      </c>
      <c r="G312" s="57" t="n">
        <f aca="false">MAX(0,IF(AND(Parameter!$B$21="Ja",ISNUMBER(W312)),W312,IF(Parameter!$B$20="Jahresanfang 2025 + Export",BJ312+BI312,BI312)))</f>
        <v>25</v>
      </c>
      <c r="H312" s="57" t="n">
        <f aca="false">G312*F312</f>
        <v>252.25</v>
      </c>
      <c r="I312" s="57" t="n">
        <f aca="false">BL312*Parameter!$B$18</f>
        <v>0</v>
      </c>
      <c r="J312" s="58" t="n">
        <v>0</v>
      </c>
      <c r="K312" s="59" t="n">
        <v>0</v>
      </c>
      <c r="L312" s="57" t="n">
        <v>0</v>
      </c>
      <c r="M312" s="57" t="n">
        <v>1</v>
      </c>
      <c r="N312" s="60" t="n">
        <v>9999</v>
      </c>
      <c r="O312" s="55" t="s">
        <v>163</v>
      </c>
      <c r="P312" s="57"/>
      <c r="Q312" s="60" t="n">
        <f aca="false">IF(BR312=1,0,IFERROR(VLOOKUP(BP312,'Gebinde-Kategorie'!$A$5:$M$45,13,0)+0,0))</f>
        <v>0</v>
      </c>
      <c r="R312" s="61"/>
      <c r="S312" s="62"/>
      <c r="T312" s="62"/>
      <c r="U312" s="55"/>
      <c r="V312" s="57"/>
      <c r="W312" s="57"/>
      <c r="X312" s="55" t="n">
        <f aca="false">IF(A312="","",IF(AND(Parameter!$B$21="Ja",ISNUMBER(U312)),U312,IF(IFERROR(VLOOKUP(D312,Parameter!$A$35:$C$64,2,0),"Nein")="2+3",IF(ISNUMBER(SEARCH("grosser Artikel",BM312)),2,IFERROR(VLOOKUP(BP312,Parameter!$F$35:$G$64,2,0),2)),IF(OR(IFERROR(VLOOKUP(D312,Parameter!$A$35:$C$64,2,0),"Nein")="Nein",IFERROR(VLOOKUP(D312,Parameter!$A$35:$C$64,2,0),"Nein")=""),"-",VLOOKUP(D312,Parameter!$A$35:$C$64,2,0)))))</f>
        <v>2</v>
      </c>
      <c r="Y312" s="62"/>
      <c r="Z312" s="63"/>
      <c r="AA312" s="57" t="n">
        <f aca="false">AP312</f>
        <v>1</v>
      </c>
      <c r="AB312" s="57" t="n">
        <f aca="false">MAX(AP312,G312)</f>
        <v>25</v>
      </c>
      <c r="AC312" s="64"/>
      <c r="AD312" s="57" t="n">
        <f aca="false">IF(LEFT(Cockpit!$C$5,1)="A",G312,IF(BW312=1,BX312,IF(LEFT(Cockpit!$C$5,1)="B",AH312,MAX(AH312,G312))))</f>
        <v>25</v>
      </c>
      <c r="AE312" s="57" t="n">
        <f aca="false">IF(BR312=1,0,ROUNDUP(AD312/BQ312,0))</f>
        <v>0</v>
      </c>
      <c r="AF312" s="59" t="n">
        <f aca="false">IF(CD312&gt;0,CD312*MAX(1,AD312/V312),IF(BR312=1,IF(AD312&lt;=0,0,BS312*MAX(1,IF(G312&gt;0,AD312/G312,1))),IF(Q312&gt;0,AE312/Q312,0))/MAX(0.1,N(Parameter!$M$21)))</f>
        <v>0.03</v>
      </c>
      <c r="AG312" s="57" t="n">
        <f aca="false">AD312*F312</f>
        <v>252.25</v>
      </c>
      <c r="AH312" s="57" t="n">
        <f aca="false">ROUNDUP(MAX(I312/IF(BV312&gt;0,BV312,MAX(0.1,N(Cockpit!$C$6))),BY312)/BQ312,0)*BQ312</f>
        <v>1</v>
      </c>
      <c r="AI312" s="58" t="n">
        <f aca="false">IF(AF312&gt;0,I312/AF312,-1)</f>
        <v>0</v>
      </c>
      <c r="AJ312" s="58" t="n">
        <f aca="false">IF(AND(OR(BU312="L1",BU312="L23"),AF312&gt;0),SUMIFS($AF$7:$AF$1576,$BU$7:$BU$1576,BU312,$AI$7:$AI$1576,"&gt;"&amp;AI312)+SUMIFS($AF$7:$AF$1576,$BU$7:$BU$1576,BU312,$AI$7:$AI$1576,AI312,$BO$7:$BO$1576,"&lt;="&amp;BO312),"")</f>
        <v>40.8534130603696</v>
      </c>
      <c r="AK312" s="65" t="n">
        <f aca="false">IF(AJ312="",0,MAX(0,MIN(1,(IF(BU312="L1",Parameter!$E$5,Parameter!$E$6+Parameter!$E$7)-(AJ312-AF312))/AF312)))</f>
        <v>1</v>
      </c>
      <c r="AL312" s="57" t="n">
        <f aca="false">IF(LEFT(Cockpit!$I$5,1)="A",G312,IF(BW312=1,BX312,IF(LEFT(Cockpit!$I$5,1)="B",AP312,MAX(AP312,G312))))</f>
        <v>25</v>
      </c>
      <c r="AM312" s="57" t="n">
        <f aca="false">IF(BR312=1,0,ROUNDUP(AL312/BQ312,0))</f>
        <v>0</v>
      </c>
      <c r="AN312" s="59" t="n">
        <f aca="false">IF(CD312&gt;0,CD312*MAX(1,AL312/V312),IF(BR312=1,IF(AL312&lt;=0,0,BS312*MAX(1,IF(G312&gt;0,AL312/G312,1))),IF(Q312&gt;0,AM312/Q312,0))/MAX(0.1,N(Parameter!$M$21)))</f>
        <v>0.03</v>
      </c>
      <c r="AO312" s="57" t="n">
        <f aca="false">AL312*F312</f>
        <v>252.25</v>
      </c>
      <c r="AP312" s="57" t="n">
        <f aca="false">ROUNDUP(MAX(I312/IF(BV312&gt;0,BV312,MAX(0.1,N(Cockpit!$I$6))),BY312)/BQ312,0)*BQ312</f>
        <v>1</v>
      </c>
      <c r="AQ312" s="58" t="n">
        <f aca="false">IF(AN312&gt;0,I312/AN312,-1)</f>
        <v>0</v>
      </c>
      <c r="AR312" s="58" t="n">
        <f aca="false">IF(AND(OR(BU312="L1",BU312="L23"),AN312&gt;0),SUMIFS($AN$7:$AN$1576,$BU$7:$BU$1576,BU312,$AQ$7:$AQ$1576,"&gt;"&amp;AQ312)+SUMIFS($AN$7:$AN$1576,$BU$7:$BU$1576,BU312,$AQ$7:$AQ$1576,AQ312,$BO$7:$BO$1576,"&lt;="&amp;BO312),"")</f>
        <v>123.727618810159</v>
      </c>
      <c r="AS312" s="65" t="n">
        <f aca="false">IF(AR312="",0,MAX(0,MIN(1,(IF(BU312="L1",Parameter!$E$5,Parameter!$E$6+Parameter!$E$7)-(AR312-AN312))/AN312)))</f>
        <v>0</v>
      </c>
      <c r="AT312" s="57" t="n">
        <f aca="false">IF(LEFT(Cockpit!$O$5,1)="A",G312,IF(BW312=1,BX312,IF(LEFT(Cockpit!$O$5,1)="B",AX312,MAX(AX312,G312))))</f>
        <v>25</v>
      </c>
      <c r="AU312" s="57" t="n">
        <f aca="false">IF(BR312=1,0,ROUNDUP(AT312/BQ312,0))</f>
        <v>0</v>
      </c>
      <c r="AV312" s="59" t="n">
        <f aca="false">IF(CD312&gt;0,CD312*MAX(1,AT312/V312),IF(BR312=1,IF(AT312&lt;=0,0,BS312*MAX(1,IF(G312&gt;0,AT312/G312,1))),IF(Q312&gt;0,AU312/Q312,0))/MAX(0.1,N(Parameter!$M$21)))</f>
        <v>0.03</v>
      </c>
      <c r="AW312" s="57" t="n">
        <f aca="false">AT312*F312</f>
        <v>252.25</v>
      </c>
      <c r="AX312" s="57" t="n">
        <f aca="false">ROUNDUP(MAX(I312/IF(BV312&gt;0,BV312,MAX(0.1,N(Cockpit!$O$6))),BY312)/BQ312,0)*BQ312</f>
        <v>1</v>
      </c>
      <c r="AY312" s="58" t="n">
        <f aca="false">IF(AV312&gt;0,I312/AV312,-1)</f>
        <v>0</v>
      </c>
      <c r="AZ312" s="58" t="n">
        <f aca="false">IF(AND(OR(BU312="L1",BU312="L23"),AV312&gt;0),SUMIFS($AV$7:$AV$1576,$BU$7:$BU$1576,BU312,$AY$7:$AY$1576,"&gt;"&amp;AY312)+SUMIFS($AV$7:$AV$1576,$BU$7:$BU$1576,BU312,$AY$7:$AY$1576,AY312,$BO$7:$BO$1576,"&lt;="&amp;BO312),"")</f>
        <v>113.787169259709</v>
      </c>
      <c r="BA312" s="65" t="n">
        <f aca="false">IF(AZ312="",0,MAX(0,MIN(1,(IF(BU312="L1",Parameter!$E$5,Parameter!$E$6+Parameter!$E$7)-(AZ312-AV312))/AV312)))</f>
        <v>0</v>
      </c>
      <c r="BB312" s="55" t="str">
        <f aca="false">IF(AF312&lt;=0,"",IF(BU312="Aussen","Aussenlager",IF(BU312="-","Nicht im Lift",IF(AK312&gt;=1,"Lift",IF(AK312&lt;=0,"Aussenlager","teilweise")))))</f>
        <v>Lift</v>
      </c>
      <c r="BC312" s="55" t="str">
        <f aca="false">IF(AN312&lt;=0,"",IF(BU312="Aussen","Aussenlager",IF(BU312="-","Nicht im Lift",IF(AS312&gt;=1,"Lift",IF(AS312&lt;=0,"Aussenlager","teilweise")))))</f>
        <v>Aussenlager</v>
      </c>
      <c r="BD312" s="55" t="str">
        <f aca="false">IF(AV312&lt;=0,"",IF(BU312="Aussen","Aussenlager",IF(BU312="-","Nicht im Lift",IF(BA312&gt;=1,"Lift",IF(BA312&lt;=0,"Aussenlager","teilweise")))))</f>
        <v>Aussenlager</v>
      </c>
      <c r="BE312" s="55" t="str">
        <f aca="false">IF(A312="","",IF(BN312=1,"Neu; ","")&amp;IF(AND(BN312=0,BI312&lt;0),"negativer Bestand (Export "&amp;BI312&amp;"); ","")&amp;IF(I312&lt;=0,"Kein Verbrauch; ","")&amp;IF(CD312&gt;0,"Lift "&amp;U312&amp;" lt. Liftbericht (Fach "&amp;V312&amp;" Stk); ",IF(BR312=1,"Lose – Fläche geschätzt; ",""))&amp;IF(G312&gt;AP312,"Überbestand "&amp;ROUND(G312-AP312,0)&amp;" Stk / CHF "&amp;ROUND((G312-AP312)*F312,0)&amp;"; ","")&amp;IF(AND(BW312=1,BX312&lt;BY312),"MAX &lt; MB+LG; ","")&amp;IF(AND(CC312&gt;0,CB312*10&gt;CC312),"zu hoch für Tablar; ","")&amp;IF(AND(BN312=0,OR(BW312=1,Y312&lt;&gt;"",S312&lt;&gt;"",T312&lt;&gt;"",Z312&lt;&gt;"")),"manuell übersteuert; ","")&amp;IF(AND(BR312=0,Q312=0),"Gebinde unbekannt / Stellmass fehlt; ","")&amp;IF(AND(BR312=0,N(T312)&lt;=0,N(P312)&lt;=0),"Menge pro Gebinde fehlt (Ist = 1 Gebinde); ","")&amp;BM312)</f>
        <v>Kein Verbrauch; Lose – Fläche geschätzt; Überbestand 24 Stk / CHF 242; </v>
      </c>
      <c r="BF312" s="55"/>
      <c r="BG312" s="55"/>
      <c r="BH312" s="62"/>
      <c r="BI312" s="57" t="n">
        <v>25</v>
      </c>
      <c r="BJ312" s="57" t="n">
        <v>0</v>
      </c>
      <c r="BK312" s="56" t="n">
        <v>252.25</v>
      </c>
      <c r="BL312" s="57" t="n">
        <v>0</v>
      </c>
      <c r="BM312" s="55"/>
      <c r="BN312" s="60" t="n">
        <v>0</v>
      </c>
      <c r="BO312" s="60" t="n">
        <v>312</v>
      </c>
      <c r="BP312" s="55" t="str">
        <f aca="false">IF(S312&lt;&gt;"",UPPER(TRIM(S312)),IF(O312="","LOSE",O312))</f>
        <v>LOSE</v>
      </c>
      <c r="BQ312" s="57" t="n">
        <f aca="false">IF(BP312="LOSE",1,IF(N(T312)&gt;0,T312,IF(N(P312)&gt;0,P312,MAX(1,G312))))</f>
        <v>1</v>
      </c>
      <c r="BR312" s="60" t="n">
        <f aca="false">IF(BP312="LOSE",1,0)</f>
        <v>1</v>
      </c>
      <c r="BS312" s="59" t="n">
        <f aca="false">IF(BR312=0,0,IF(N(R312)&gt;0,R312,IFERROR(VLOOKUP(D312,Parameter!$A$35:$C$64,3,0)+0,0)))</f>
        <v>0.03</v>
      </c>
      <c r="BT312" s="55" t="n">
        <f aca="false">IF(Y312&lt;&gt;"",Y312,X312)</f>
        <v>2</v>
      </c>
      <c r="BU312" s="55" t="str">
        <f aca="false">IF(BT312=1,"L1",IF(OR(BT312=2,BT312=3),"L23",IF(BT312="Aussen","Aussen","-")))</f>
        <v>L23</v>
      </c>
      <c r="BV312" s="66" t="n">
        <f aca="false">IF(N(Z312)&gt;0,Z312,0)</f>
        <v>0</v>
      </c>
      <c r="BW312" s="60" t="n">
        <f aca="false">IF(ISNUMBER(AC312),1,0)</f>
        <v>0</v>
      </c>
      <c r="BX312" s="57" t="n">
        <f aca="false">N(AC312)</f>
        <v>0</v>
      </c>
      <c r="BY312" s="57" t="n">
        <f aca="false">N(L312)+N(M312)</f>
        <v>1</v>
      </c>
      <c r="BZ312" s="57" t="n">
        <f aca="false">ROUNDUP(G312/BQ312,0)</f>
        <v>25</v>
      </c>
      <c r="CA312" s="57" t="n">
        <f aca="false">ROUNDUP(BX312/BQ312,0)</f>
        <v>0</v>
      </c>
      <c r="CB312" s="60" t="n">
        <f aca="false">IF(BR312=1,0,IFERROR(VLOOKUP(BP312,'Gebinde-Kategorie'!$A$5:$M$45,5,0)+0,0))</f>
        <v>0</v>
      </c>
      <c r="CC312" s="60" t="n">
        <f aca="false">IFERROR(IF(OR(BT312=1,BT312=2,BT312=3),N(INDEX(Parameter!$I$5:$I$7,BT312)),0),0)</f>
        <v>0</v>
      </c>
      <c r="CD312" s="59" t="n">
        <f aca="false">IF(AND(Parameter!$B$21="Ja",ISNUMBER(U312),N(V312)&gt;0),IFERROR(N(INDEX(Parameter!$L$5:$L$7,U312))*INDEX(Parameter!$E$5:$E$7,U312)*V312/SUMIFS($V$7:$V$1576,$U$7:$U$1576,U312),0),0)</f>
        <v>0</v>
      </c>
    </row>
    <row r="313" customFormat="false" ht="15" hidden="false" customHeight="false" outlineLevel="0" collapsed="false">
      <c r="A313" s="55" t="s">
        <v>782</v>
      </c>
      <c r="B313" s="55" t="s">
        <v>783</v>
      </c>
      <c r="C313" s="55" t="s">
        <v>160</v>
      </c>
      <c r="D313" s="55" t="s">
        <v>178</v>
      </c>
      <c r="E313" s="55" t="s">
        <v>210</v>
      </c>
      <c r="F313" s="56" t="n">
        <v>27.18</v>
      </c>
      <c r="G313" s="57" t="n">
        <f aca="false">MAX(0,IF(AND(Parameter!$B$21="Ja",ISNUMBER(W313)),W313,IF(Parameter!$B$20="Jahresanfang 2025 + Export",BJ313+BI313,BI313)))</f>
        <v>9</v>
      </c>
      <c r="H313" s="57" t="n">
        <f aca="false">G313*F313</f>
        <v>244.62</v>
      </c>
      <c r="I313" s="57" t="n">
        <f aca="false">BL313*Parameter!$B$18</f>
        <v>24</v>
      </c>
      <c r="J313" s="58" t="n">
        <v>19.5</v>
      </c>
      <c r="K313" s="59" t="n">
        <v>1.23076923076923</v>
      </c>
      <c r="L313" s="57" t="n">
        <v>1</v>
      </c>
      <c r="M313" s="57" t="n">
        <v>25</v>
      </c>
      <c r="N313" s="60" t="n">
        <v>21</v>
      </c>
      <c r="O313" s="55" t="s">
        <v>225</v>
      </c>
      <c r="P313" s="57" t="n">
        <v>8</v>
      </c>
      <c r="Q313" s="60" t="n">
        <f aca="false">IF(BR313=1,0,IFERROR(VLOOKUP(BP313,'Gebinde-Kategorie'!$A$5:$M$45,13,0)+0,0))</f>
        <v>26</v>
      </c>
      <c r="R313" s="61"/>
      <c r="S313" s="62"/>
      <c r="T313" s="62"/>
      <c r="U313" s="55"/>
      <c r="V313" s="57"/>
      <c r="W313" s="57"/>
      <c r="X313" s="55" t="n">
        <f aca="false">IF(A313="","",IF(AND(Parameter!$B$21="Ja",ISNUMBER(U313)),U313,IF(IFERROR(VLOOKUP(D313,Parameter!$A$35:$C$64,2,0),"Nein")="2+3",IF(ISNUMBER(SEARCH("grosser Artikel",BM313)),2,IFERROR(VLOOKUP(BP313,Parameter!$F$35:$G$64,2,0),2)),IF(OR(IFERROR(VLOOKUP(D313,Parameter!$A$35:$C$64,2,0),"Nein")="Nein",IFERROR(VLOOKUP(D313,Parameter!$A$35:$C$64,2,0),"Nein")=""),"-",VLOOKUP(D313,Parameter!$A$35:$C$64,2,0)))))</f>
        <v>3</v>
      </c>
      <c r="Y313" s="62"/>
      <c r="Z313" s="63"/>
      <c r="AA313" s="57" t="n">
        <f aca="false">AP313</f>
        <v>32</v>
      </c>
      <c r="AB313" s="57" t="n">
        <f aca="false">MAX(AP313,G313)</f>
        <v>32</v>
      </c>
      <c r="AC313" s="64"/>
      <c r="AD313" s="57" t="n">
        <f aca="false">IF(LEFT(Cockpit!$C$5,1)="A",G313,IF(BW313=1,BX313,IF(LEFT(Cockpit!$C$5,1)="B",AH313,MAX(AH313,G313))))</f>
        <v>9</v>
      </c>
      <c r="AE313" s="57" t="n">
        <f aca="false">IF(BR313=1,0,ROUNDUP(AD313/BQ313,0))</f>
        <v>2</v>
      </c>
      <c r="AF313" s="59" t="n">
        <f aca="false">IF(CD313&gt;0,CD313*MAX(1,AD313/V313),IF(BR313=1,IF(AD313&lt;=0,0,BS313*MAX(1,IF(G313&gt;0,AD313/G313,1))),IF(Q313&gt;0,AE313/Q313,0))/MAX(0.1,N(Parameter!$M$21)))</f>
        <v>0.0769230769230769</v>
      </c>
      <c r="AG313" s="57" t="n">
        <f aca="false">AD313*F313</f>
        <v>244.62</v>
      </c>
      <c r="AH313" s="57" t="n">
        <f aca="false">ROUNDUP(MAX(I313/IF(BV313&gt;0,BV313,MAX(0.1,N(Cockpit!$C$6))),BY313)/BQ313,0)*BQ313</f>
        <v>32</v>
      </c>
      <c r="AI313" s="58" t="n">
        <f aca="false">IF(AF313&gt;0,I313/AF313,-1)</f>
        <v>312</v>
      </c>
      <c r="AJ313" s="58" t="n">
        <f aca="false">IF(AND(OR(BU313="L1",BU313="L23"),AF313&gt;0),SUMIFS($AF$7:$AF$1576,$BU$7:$BU$1576,BU313,$AI$7:$AI$1576,"&gt;"&amp;AI313)+SUMIFS($AF$7:$AF$1576,$BU$7:$BU$1576,BU313,$AI$7:$AI$1576,AI313,$BO$7:$BO$1576,"&lt;="&amp;BO313),"")</f>
        <v>14.707974392757</v>
      </c>
      <c r="AK313" s="65" t="n">
        <f aca="false">IF(AJ313="",0,MAX(0,MIN(1,(IF(BU313="L1",Parameter!$E$5,Parameter!$E$6+Parameter!$E$7)-(AJ313-AF313))/AF313)))</f>
        <v>1</v>
      </c>
      <c r="AL313" s="57" t="n">
        <f aca="false">IF(LEFT(Cockpit!$I$5,1)="A",G313,IF(BW313=1,BX313,IF(LEFT(Cockpit!$I$5,1)="B",AP313,MAX(AP313,G313))))</f>
        <v>32</v>
      </c>
      <c r="AM313" s="57" t="n">
        <f aca="false">IF(BR313=1,0,ROUNDUP(AL313/BQ313,0))</f>
        <v>4</v>
      </c>
      <c r="AN313" s="59" t="n">
        <f aca="false">IF(CD313&gt;0,CD313*MAX(1,AL313/V313),IF(BR313=1,IF(AL313&lt;=0,0,BS313*MAX(1,IF(G313&gt;0,AL313/G313,1))),IF(Q313&gt;0,AM313/Q313,0))/MAX(0.1,N(Parameter!$M$21)))</f>
        <v>0.153846153846154</v>
      </c>
      <c r="AO313" s="57" t="n">
        <f aca="false">AL313*F313</f>
        <v>869.76</v>
      </c>
      <c r="AP313" s="57" t="n">
        <f aca="false">ROUNDUP(MAX(I313/IF(BV313&gt;0,BV313,MAX(0.1,N(Cockpit!$I$6))),BY313)/BQ313,0)*BQ313</f>
        <v>32</v>
      </c>
      <c r="AQ313" s="58" t="n">
        <f aca="false">IF(AN313&gt;0,I313/AN313,-1)</f>
        <v>156</v>
      </c>
      <c r="AR313" s="58" t="n">
        <f aca="false">IF(AND(OR(BU313="L1",BU313="L23"),AN313&gt;0),SUMIFS($AN$7:$AN$1576,$BU$7:$BU$1576,BU313,$AQ$7:$AQ$1576,"&gt;"&amp;AQ313)+SUMIFS($AN$7:$AN$1576,$BU$7:$BU$1576,BU313,$AQ$7:$AQ$1576,AQ313,$BO$7:$BO$1576,"&lt;="&amp;BO313),"")</f>
        <v>54.3539021489133</v>
      </c>
      <c r="AS313" s="65" t="n">
        <f aca="false">IF(AR313="",0,MAX(0,MIN(1,(IF(BU313="L1",Parameter!$E$5,Parameter!$E$6+Parameter!$E$7)-(AR313-AN313))/AN313)))</f>
        <v>1</v>
      </c>
      <c r="AT313" s="57" t="n">
        <f aca="false">IF(LEFT(Cockpit!$O$5,1)="A",G313,IF(BW313=1,BX313,IF(LEFT(Cockpit!$O$5,1)="B",AX313,MAX(AX313,G313))))</f>
        <v>32</v>
      </c>
      <c r="AU313" s="57" t="n">
        <f aca="false">IF(BR313=1,0,ROUNDUP(AT313/BQ313,0))</f>
        <v>4</v>
      </c>
      <c r="AV313" s="59" t="n">
        <f aca="false">IF(CD313&gt;0,CD313*MAX(1,AT313/V313),IF(BR313=1,IF(AT313&lt;=0,0,BS313*MAX(1,IF(G313&gt;0,AT313/G313,1))),IF(Q313&gt;0,AU313/Q313,0))/MAX(0.1,N(Parameter!$M$21)))</f>
        <v>0.153846153846154</v>
      </c>
      <c r="AW313" s="57" t="n">
        <f aca="false">AT313*F313</f>
        <v>869.76</v>
      </c>
      <c r="AX313" s="57" t="n">
        <f aca="false">ROUNDUP(MAX(I313/IF(BV313&gt;0,BV313,MAX(0.1,N(Cockpit!$O$6))),BY313)/BQ313,0)*BQ313</f>
        <v>32</v>
      </c>
      <c r="AY313" s="58" t="n">
        <f aca="false">IF(AV313&gt;0,I313/AV313,-1)</f>
        <v>156</v>
      </c>
      <c r="AZ313" s="58" t="n">
        <f aca="false">IF(AND(OR(BU313="L1",BU313="L23"),AV313&gt;0),SUMIFS($AV$7:$AV$1576,$BU$7:$BU$1576,BU313,$AY$7:$AY$1576,"&gt;"&amp;AY313)+SUMIFS($AV$7:$AV$1576,$BU$7:$BU$1576,BU313,$AY$7:$AY$1576,AY313,$BO$7:$BO$1576,"&lt;="&amp;BO313),"")</f>
        <v>50.692126840888</v>
      </c>
      <c r="BA313" s="65" t="n">
        <f aca="false">IF(AZ313="",0,MAX(0,MIN(1,(IF(BU313="L1",Parameter!$E$5,Parameter!$E$6+Parameter!$E$7)-(AZ313-AV313))/AV313)))</f>
        <v>1</v>
      </c>
      <c r="BB313" s="55" t="str">
        <f aca="false">IF(AF313&lt;=0,"",IF(BU313="Aussen","Aussenlager",IF(BU313="-","Nicht im Lift",IF(AK313&gt;=1,"Lift",IF(AK313&lt;=0,"Aussenlager","teilweise")))))</f>
        <v>Lift</v>
      </c>
      <c r="BC313" s="55" t="str">
        <f aca="false">IF(AN313&lt;=0,"",IF(BU313="Aussen","Aussenlager",IF(BU313="-","Nicht im Lift",IF(AS313&gt;=1,"Lift",IF(AS313&lt;=0,"Aussenlager","teilweise")))))</f>
        <v>Lift</v>
      </c>
      <c r="BD313" s="55" t="str">
        <f aca="false">IF(AV313&lt;=0,"",IF(BU313="Aussen","Aussenlager",IF(BU313="-","Nicht im Lift",IF(BA313&gt;=1,"Lift",IF(BA313&lt;=0,"Aussenlager","teilweise")))))</f>
        <v>Lift</v>
      </c>
      <c r="BE313" s="55" t="str">
        <f aca="false">IF(A313="","",IF(BN313=1,"Neu; ","")&amp;IF(AND(BN313=0,BI313&lt;0),"negativer Bestand (Export "&amp;BI313&amp;"); ","")&amp;IF(I313&lt;=0,"Kein Verbrauch; ","")&amp;IF(CD313&gt;0,"Lift "&amp;U313&amp;" lt. Liftbericht (Fach "&amp;V313&amp;" Stk); ",IF(BR313=1,"Lose – Fläche geschätzt; ",""))&amp;IF(G313&gt;AP313,"Überbestand "&amp;ROUND(G313-AP313,0)&amp;" Stk / CHF "&amp;ROUND((G313-AP313)*F313,0)&amp;"; ","")&amp;IF(AND(BW313=1,BX313&lt;BY313),"MAX &lt; MB+LG; ","")&amp;IF(AND(CC313&gt;0,CB313*10&gt;CC313),"zu hoch für Tablar; ","")&amp;IF(AND(BN313=0,OR(BW313=1,Y313&lt;&gt;"",S313&lt;&gt;"",T313&lt;&gt;"",Z313&lt;&gt;"")),"manuell übersteuert; ","")&amp;IF(AND(BR313=0,Q313=0),"Gebinde unbekannt / Stellmass fehlt; ","")&amp;IF(AND(BR313=0,N(T313)&lt;=0,N(P313)&lt;=0),"Menge pro Gebinde fehlt (Ist = 1 Gebinde); ","")&amp;BM313)</f>
        <v/>
      </c>
      <c r="BF313" s="55"/>
      <c r="BG313" s="55"/>
      <c r="BH313" s="62"/>
      <c r="BI313" s="57" t="n">
        <v>9</v>
      </c>
      <c r="BJ313" s="57" t="n">
        <v>19</v>
      </c>
      <c r="BK313" s="56" t="n">
        <v>249.88</v>
      </c>
      <c r="BL313" s="57" t="n">
        <v>24</v>
      </c>
      <c r="BM313" s="55"/>
      <c r="BN313" s="60" t="n">
        <v>0</v>
      </c>
      <c r="BO313" s="60" t="n">
        <v>313</v>
      </c>
      <c r="BP313" s="55" t="str">
        <f aca="false">IF(S313&lt;&gt;"",UPPER(TRIM(S313)),IF(O313="","LOSE",O313))</f>
        <v>S52</v>
      </c>
      <c r="BQ313" s="57" t="n">
        <f aca="false">IF(BP313="LOSE",1,IF(N(T313)&gt;0,T313,IF(N(P313)&gt;0,P313,MAX(1,G313))))</f>
        <v>8</v>
      </c>
      <c r="BR313" s="60" t="n">
        <f aca="false">IF(BP313="LOSE",1,0)</f>
        <v>0</v>
      </c>
      <c r="BS313" s="59" t="n">
        <f aca="false">IF(BR313=0,0,IF(N(R313)&gt;0,R313,IFERROR(VLOOKUP(D313,Parameter!$A$35:$C$64,3,0)+0,0)))</f>
        <v>0</v>
      </c>
      <c r="BT313" s="55" t="n">
        <f aca="false">IF(Y313&lt;&gt;"",Y313,X313)</f>
        <v>3</v>
      </c>
      <c r="BU313" s="55" t="str">
        <f aca="false">IF(BT313=1,"L1",IF(OR(BT313=2,BT313=3),"L23",IF(BT313="Aussen","Aussen","-")))</f>
        <v>L23</v>
      </c>
      <c r="BV313" s="66" t="n">
        <f aca="false">IF(N(Z313)&gt;0,Z313,0)</f>
        <v>0</v>
      </c>
      <c r="BW313" s="60" t="n">
        <f aca="false">IF(ISNUMBER(AC313),1,0)</f>
        <v>0</v>
      </c>
      <c r="BX313" s="57" t="n">
        <f aca="false">N(AC313)</f>
        <v>0</v>
      </c>
      <c r="BY313" s="57" t="n">
        <f aca="false">N(L313)+N(M313)</f>
        <v>26</v>
      </c>
      <c r="BZ313" s="57" t="n">
        <f aca="false">ROUNDUP(G313/BQ313,0)</f>
        <v>2</v>
      </c>
      <c r="CA313" s="57" t="n">
        <f aca="false">ROUNDUP(BX313/BQ313,0)</f>
        <v>0</v>
      </c>
      <c r="CB313" s="60" t="n">
        <f aca="false">IF(BR313=1,0,IFERROR(VLOOKUP(BP313,'Gebinde-Kategorie'!$A$5:$M$45,5,0)+0,0))</f>
        <v>21</v>
      </c>
      <c r="CC313" s="60" t="n">
        <f aca="false">IFERROR(IF(OR(BT313=1,BT313=2,BT313=3),N(INDEX(Parameter!$I$5:$I$7,BT313)),0),0)</f>
        <v>0</v>
      </c>
      <c r="CD313" s="59" t="n">
        <f aca="false">IF(AND(Parameter!$B$21="Ja",ISNUMBER(U313),N(V313)&gt;0),IFERROR(N(INDEX(Parameter!$L$5:$L$7,U313))*INDEX(Parameter!$E$5:$E$7,U313)*V313/SUMIFS($V$7:$V$1576,$U$7:$U$1576,U313),0),0)</f>
        <v>0</v>
      </c>
    </row>
    <row r="314" customFormat="false" ht="15" hidden="false" customHeight="false" outlineLevel="0" collapsed="false">
      <c r="A314" s="55" t="s">
        <v>784</v>
      </c>
      <c r="B314" s="55" t="s">
        <v>785</v>
      </c>
      <c r="C314" s="55" t="s">
        <v>160</v>
      </c>
      <c r="D314" s="55" t="s">
        <v>178</v>
      </c>
      <c r="E314" s="55" t="s">
        <v>210</v>
      </c>
      <c r="F314" s="56" t="n">
        <v>21.25</v>
      </c>
      <c r="G314" s="57" t="n">
        <f aca="false">MAX(0,IF(AND(Parameter!$B$21="Ja",ISNUMBER(W314)),W314,IF(Parameter!$B$20="Jahresanfang 2025 + Export",BJ314+BI314,BI314)))</f>
        <v>11</v>
      </c>
      <c r="H314" s="57" t="n">
        <f aca="false">G314*F314</f>
        <v>233.75</v>
      </c>
      <c r="I314" s="57" t="n">
        <f aca="false">BL314*Parameter!$B$18</f>
        <v>16</v>
      </c>
      <c r="J314" s="58" t="n">
        <v>5.5</v>
      </c>
      <c r="K314" s="59" t="n">
        <v>2.90909090909091</v>
      </c>
      <c r="L314" s="57" t="n">
        <v>0</v>
      </c>
      <c r="M314" s="57" t="n">
        <v>15</v>
      </c>
      <c r="N314" s="60" t="n">
        <v>21</v>
      </c>
      <c r="O314" s="55" t="s">
        <v>411</v>
      </c>
      <c r="P314" s="57" t="n">
        <v>9</v>
      </c>
      <c r="Q314" s="60" t="n">
        <f aca="false">IF(BR314=1,0,IFERROR(VLOOKUP(BP314,'Gebinde-Kategorie'!$A$5:$M$45,13,0)+0,0))</f>
        <v>132</v>
      </c>
      <c r="R314" s="61"/>
      <c r="S314" s="62"/>
      <c r="T314" s="62"/>
      <c r="U314" s="55"/>
      <c r="V314" s="57"/>
      <c r="W314" s="57"/>
      <c r="X314" s="55" t="n">
        <f aca="false">IF(A314="","",IF(AND(Parameter!$B$21="Ja",ISNUMBER(U314)),U314,IF(IFERROR(VLOOKUP(D314,Parameter!$A$35:$C$64,2,0),"Nein")="2+3",IF(ISNUMBER(SEARCH("grosser Artikel",BM314)),2,IFERROR(VLOOKUP(BP314,Parameter!$F$35:$G$64,2,0),2)),IF(OR(IFERROR(VLOOKUP(D314,Parameter!$A$35:$C$64,2,0),"Nein")="Nein",IFERROR(VLOOKUP(D314,Parameter!$A$35:$C$64,2,0),"Nein")=""),"-",VLOOKUP(D314,Parameter!$A$35:$C$64,2,0)))))</f>
        <v>3</v>
      </c>
      <c r="Y314" s="62"/>
      <c r="Z314" s="63"/>
      <c r="AA314" s="57" t="n">
        <f aca="false">AP314</f>
        <v>18</v>
      </c>
      <c r="AB314" s="57" t="n">
        <f aca="false">MAX(AP314,G314)</f>
        <v>18</v>
      </c>
      <c r="AC314" s="64"/>
      <c r="AD314" s="57" t="n">
        <f aca="false">IF(LEFT(Cockpit!$C$5,1)="A",G314,IF(BW314=1,BX314,IF(LEFT(Cockpit!$C$5,1)="B",AH314,MAX(AH314,G314))))</f>
        <v>11</v>
      </c>
      <c r="AE314" s="57" t="n">
        <f aca="false">IF(BR314=1,0,ROUNDUP(AD314/BQ314,0))</f>
        <v>2</v>
      </c>
      <c r="AF314" s="59" t="n">
        <f aca="false">IF(CD314&gt;0,CD314*MAX(1,AD314/V314),IF(BR314=1,IF(AD314&lt;=0,0,BS314*MAX(1,IF(G314&gt;0,AD314/G314,1))),IF(Q314&gt;0,AE314/Q314,0))/MAX(0.1,N(Parameter!$M$21)))</f>
        <v>0.0151515151515152</v>
      </c>
      <c r="AG314" s="57" t="n">
        <f aca="false">AD314*F314</f>
        <v>233.75</v>
      </c>
      <c r="AH314" s="57" t="n">
        <f aca="false">ROUNDUP(MAX(I314/IF(BV314&gt;0,BV314,MAX(0.1,N(Cockpit!$C$6))),BY314)/BQ314,0)*BQ314</f>
        <v>18</v>
      </c>
      <c r="AI314" s="58" t="n">
        <f aca="false">IF(AF314&gt;0,I314/AF314,-1)</f>
        <v>1056</v>
      </c>
      <c r="AJ314" s="58" t="n">
        <f aca="false">IF(AND(OR(BU314="L1",BU314="L23"),AF314&gt;0),SUMIFS($AF$7:$AF$1576,$BU$7:$BU$1576,BU314,$AI$7:$AI$1576,"&gt;"&amp;AI314)+SUMIFS($AF$7:$AF$1576,$BU$7:$BU$1576,BU314,$AI$7:$AI$1576,AI314,$BO$7:$BO$1576,"&lt;="&amp;BO314),"")</f>
        <v>8.91183541096585</v>
      </c>
      <c r="AK314" s="65" t="n">
        <f aca="false">IF(AJ314="",0,MAX(0,MIN(1,(IF(BU314="L1",Parameter!$E$5,Parameter!$E$6+Parameter!$E$7)-(AJ314-AF314))/AF314)))</f>
        <v>1</v>
      </c>
      <c r="AL314" s="57" t="n">
        <f aca="false">IF(LEFT(Cockpit!$I$5,1)="A",G314,IF(BW314=1,BX314,IF(LEFT(Cockpit!$I$5,1)="B",AP314,MAX(AP314,G314))))</f>
        <v>18</v>
      </c>
      <c r="AM314" s="57" t="n">
        <f aca="false">IF(BR314=1,0,ROUNDUP(AL314/BQ314,0))</f>
        <v>2</v>
      </c>
      <c r="AN314" s="59" t="n">
        <f aca="false">IF(CD314&gt;0,CD314*MAX(1,AL314/V314),IF(BR314=1,IF(AL314&lt;=0,0,BS314*MAX(1,IF(G314&gt;0,AL314/G314,1))),IF(Q314&gt;0,AM314/Q314,0))/MAX(0.1,N(Parameter!$M$21)))</f>
        <v>0.0151515151515152</v>
      </c>
      <c r="AO314" s="57" t="n">
        <f aca="false">AL314*F314</f>
        <v>382.5</v>
      </c>
      <c r="AP314" s="57" t="n">
        <f aca="false">ROUNDUP(MAX(I314/IF(BV314&gt;0,BV314,MAX(0.1,N(Cockpit!$I$6))),BY314)/BQ314,0)*BQ314</f>
        <v>18</v>
      </c>
      <c r="AQ314" s="58" t="n">
        <f aca="false">IF(AN314&gt;0,I314/AN314,-1)</f>
        <v>1056</v>
      </c>
      <c r="AR314" s="58" t="n">
        <f aca="false">IF(AND(OR(BU314="L1",BU314="L23"),AN314&gt;0),SUMIFS($AN$7:$AN$1576,$BU$7:$BU$1576,BU314,$AQ$7:$AQ$1576,"&gt;"&amp;AQ314)+SUMIFS($AN$7:$AN$1576,$BU$7:$BU$1576,BU314,$AQ$7:$AQ$1576,AQ314,$BO$7:$BO$1576,"&lt;="&amp;BO314),"")</f>
        <v>22.4119897617835</v>
      </c>
      <c r="AS314" s="65" t="n">
        <f aca="false">IF(AR314="",0,MAX(0,MIN(1,(IF(BU314="L1",Parameter!$E$5,Parameter!$E$6+Parameter!$E$7)-(AR314-AN314))/AN314)))</f>
        <v>1</v>
      </c>
      <c r="AT314" s="57" t="n">
        <f aca="false">IF(LEFT(Cockpit!$O$5,1)="A",G314,IF(BW314=1,BX314,IF(LEFT(Cockpit!$O$5,1)="B",AX314,MAX(AX314,G314))))</f>
        <v>18</v>
      </c>
      <c r="AU314" s="57" t="n">
        <f aca="false">IF(BR314=1,0,ROUNDUP(AT314/BQ314,0))</f>
        <v>2</v>
      </c>
      <c r="AV314" s="59" t="n">
        <f aca="false">IF(CD314&gt;0,CD314*MAX(1,AT314/V314),IF(BR314=1,IF(AT314&lt;=0,0,BS314*MAX(1,IF(G314&gt;0,AT314/G314,1))),IF(Q314&gt;0,AU314/Q314,0))/MAX(0.1,N(Parameter!$M$21)))</f>
        <v>0.0151515151515152</v>
      </c>
      <c r="AW314" s="57" t="n">
        <f aca="false">AT314*F314</f>
        <v>382.5</v>
      </c>
      <c r="AX314" s="57" t="n">
        <f aca="false">ROUNDUP(MAX(I314/IF(BV314&gt;0,BV314,MAX(0.1,N(Cockpit!$O$6))),BY314)/BQ314,0)*BQ314</f>
        <v>18</v>
      </c>
      <c r="AY314" s="58" t="n">
        <f aca="false">IF(AV314&gt;0,I314/AV314,-1)</f>
        <v>1056</v>
      </c>
      <c r="AZ314" s="58" t="n">
        <f aca="false">IF(AND(OR(BU314="L1",BU314="L23"),AV314&gt;0),SUMIFS($AV$7:$AV$1576,$BU$7:$BU$1576,BU314,$AY$7:$AY$1576,"&gt;"&amp;AY314)+SUMIFS($AV$7:$AV$1576,$BU$7:$BU$1576,BU314,$AY$7:$AY$1576,AY314,$BO$7:$BO$1576,"&lt;="&amp;BO314),"")</f>
        <v>21.7225958223896</v>
      </c>
      <c r="BA314" s="65" t="n">
        <f aca="false">IF(AZ314="",0,MAX(0,MIN(1,(IF(BU314="L1",Parameter!$E$5,Parameter!$E$6+Parameter!$E$7)-(AZ314-AV314))/AV314)))</f>
        <v>1</v>
      </c>
      <c r="BB314" s="55" t="str">
        <f aca="false">IF(AF314&lt;=0,"",IF(BU314="Aussen","Aussenlager",IF(BU314="-","Nicht im Lift",IF(AK314&gt;=1,"Lift",IF(AK314&lt;=0,"Aussenlager","teilweise")))))</f>
        <v>Lift</v>
      </c>
      <c r="BC314" s="55" t="str">
        <f aca="false">IF(AN314&lt;=0,"",IF(BU314="Aussen","Aussenlager",IF(BU314="-","Nicht im Lift",IF(AS314&gt;=1,"Lift",IF(AS314&lt;=0,"Aussenlager","teilweise")))))</f>
        <v>Lift</v>
      </c>
      <c r="BD314" s="55" t="str">
        <f aca="false">IF(AV314&lt;=0,"",IF(BU314="Aussen","Aussenlager",IF(BU314="-","Nicht im Lift",IF(BA314&gt;=1,"Lift",IF(BA314&lt;=0,"Aussenlager","teilweise")))))</f>
        <v>Lift</v>
      </c>
      <c r="BE314" s="55" t="str">
        <f aca="false">IF(A314="","",IF(BN314=1,"Neu; ","")&amp;IF(AND(BN314=0,BI314&lt;0),"negativer Bestand (Export "&amp;BI314&amp;"); ","")&amp;IF(I314&lt;=0,"Kein Verbrauch; ","")&amp;IF(CD314&gt;0,"Lift "&amp;U314&amp;" lt. Liftbericht (Fach "&amp;V314&amp;" Stk); ",IF(BR314=1,"Lose – Fläche geschätzt; ",""))&amp;IF(G314&gt;AP314,"Überbestand "&amp;ROUND(G314-AP314,0)&amp;" Stk / CHF "&amp;ROUND((G314-AP314)*F314,0)&amp;"; ","")&amp;IF(AND(BW314=1,BX314&lt;BY314),"MAX &lt; MB+LG; ","")&amp;IF(AND(CC314&gt;0,CB314*10&gt;CC314),"zu hoch für Tablar; ","")&amp;IF(AND(BN314=0,OR(BW314=1,Y314&lt;&gt;"",S314&lt;&gt;"",T314&lt;&gt;"",Z314&lt;&gt;"")),"manuell übersteuert; ","")&amp;IF(AND(BR314=0,Q314=0),"Gebinde unbekannt / Stellmass fehlt; ","")&amp;IF(AND(BR314=0,N(T314)&lt;=0,N(P314)&lt;=0),"Menge pro Gebinde fehlt (Ist = 1 Gebinde); ","")&amp;BM314)</f>
        <v/>
      </c>
      <c r="BF314" s="55"/>
      <c r="BG314" s="55"/>
      <c r="BH314" s="62"/>
      <c r="BI314" s="57" t="n">
        <v>11</v>
      </c>
      <c r="BJ314" s="57" t="n">
        <v>6</v>
      </c>
      <c r="BK314" s="56" t="n">
        <v>249.53</v>
      </c>
      <c r="BL314" s="57" t="n">
        <v>16</v>
      </c>
      <c r="BM314" s="55"/>
      <c r="BN314" s="60" t="n">
        <v>0</v>
      </c>
      <c r="BO314" s="60" t="n">
        <v>314</v>
      </c>
      <c r="BP314" s="55" t="str">
        <f aca="false">IF(S314&lt;&gt;"",UPPER(TRIM(S314)),IF(O314="","LOSE",O314))</f>
        <v>S32</v>
      </c>
      <c r="BQ314" s="57" t="n">
        <f aca="false">IF(BP314="LOSE",1,IF(N(T314)&gt;0,T314,IF(N(P314)&gt;0,P314,MAX(1,G314))))</f>
        <v>9</v>
      </c>
      <c r="BR314" s="60" t="n">
        <f aca="false">IF(BP314="LOSE",1,0)</f>
        <v>0</v>
      </c>
      <c r="BS314" s="59" t="n">
        <f aca="false">IF(BR314=0,0,IF(N(R314)&gt;0,R314,IFERROR(VLOOKUP(D314,Parameter!$A$35:$C$64,3,0)+0,0)))</f>
        <v>0</v>
      </c>
      <c r="BT314" s="55" t="n">
        <f aca="false">IF(Y314&lt;&gt;"",Y314,X314)</f>
        <v>3</v>
      </c>
      <c r="BU314" s="55" t="str">
        <f aca="false">IF(BT314=1,"L1",IF(OR(BT314=2,BT314=3),"L23",IF(BT314="Aussen","Aussen","-")))</f>
        <v>L23</v>
      </c>
      <c r="BV314" s="66" t="n">
        <f aca="false">IF(N(Z314)&gt;0,Z314,0)</f>
        <v>0</v>
      </c>
      <c r="BW314" s="60" t="n">
        <f aca="false">IF(ISNUMBER(AC314),1,0)</f>
        <v>0</v>
      </c>
      <c r="BX314" s="57" t="n">
        <f aca="false">N(AC314)</f>
        <v>0</v>
      </c>
      <c r="BY314" s="57" t="n">
        <f aca="false">N(L314)+N(M314)</f>
        <v>15</v>
      </c>
      <c r="BZ314" s="57" t="n">
        <f aca="false">ROUNDUP(G314/BQ314,0)</f>
        <v>2</v>
      </c>
      <c r="CA314" s="57" t="n">
        <f aca="false">ROUNDUP(BX314/BQ314,0)</f>
        <v>0</v>
      </c>
      <c r="CB314" s="60" t="n">
        <f aca="false">IF(BR314=1,0,IFERROR(VLOOKUP(BP314,'Gebinde-Kategorie'!$A$5:$M$45,5,0)+0,0))</f>
        <v>8</v>
      </c>
      <c r="CC314" s="60" t="n">
        <f aca="false">IFERROR(IF(OR(BT314=1,BT314=2,BT314=3),N(INDEX(Parameter!$I$5:$I$7,BT314)),0),0)</f>
        <v>0</v>
      </c>
      <c r="CD314" s="59" t="n">
        <f aca="false">IF(AND(Parameter!$B$21="Ja",ISNUMBER(U314),N(V314)&gt;0),IFERROR(N(INDEX(Parameter!$L$5:$L$7,U314))*INDEX(Parameter!$E$5:$E$7,U314)*V314/SUMIFS($V$7:$V$1576,$U$7:$U$1576,U314),0),0)</f>
        <v>0</v>
      </c>
    </row>
    <row r="315" customFormat="false" ht="15" hidden="false" customHeight="false" outlineLevel="0" collapsed="false">
      <c r="A315" s="55" t="s">
        <v>786</v>
      </c>
      <c r="B315" s="55" t="s">
        <v>580</v>
      </c>
      <c r="C315" s="55" t="s">
        <v>160</v>
      </c>
      <c r="D315" s="55" t="s">
        <v>178</v>
      </c>
      <c r="E315" s="55" t="s">
        <v>210</v>
      </c>
      <c r="F315" s="56" t="n">
        <v>7.02</v>
      </c>
      <c r="G315" s="57" t="n">
        <f aca="false">MAX(0,IF(AND(Parameter!$B$21="Ja",ISNUMBER(W315)),W315,IF(Parameter!$B$20="Jahresanfang 2025 + Export",BJ315+BI315,BI315)))</f>
        <v>38</v>
      </c>
      <c r="H315" s="57" t="n">
        <f aca="false">G315*F315</f>
        <v>266.76</v>
      </c>
      <c r="I315" s="57" t="n">
        <f aca="false">BL315*Parameter!$B$18</f>
        <v>63</v>
      </c>
      <c r="J315" s="58" t="n">
        <v>42</v>
      </c>
      <c r="K315" s="59" t="n">
        <v>1.5</v>
      </c>
      <c r="L315" s="57" t="n">
        <v>2</v>
      </c>
      <c r="M315" s="57" t="n">
        <v>60</v>
      </c>
      <c r="N315" s="60" t="n">
        <v>21</v>
      </c>
      <c r="O315" s="55" t="s">
        <v>465</v>
      </c>
      <c r="P315" s="57" t="n">
        <v>58</v>
      </c>
      <c r="Q315" s="60" t="n">
        <f aca="false">IF(BR315=1,0,IFERROR(VLOOKUP(BP315,'Gebinde-Kategorie'!$A$5:$M$45,13,0)+0,0))</f>
        <v>66</v>
      </c>
      <c r="R315" s="61"/>
      <c r="S315" s="62"/>
      <c r="T315" s="62"/>
      <c r="U315" s="55"/>
      <c r="V315" s="57"/>
      <c r="W315" s="57"/>
      <c r="X315" s="55" t="n">
        <f aca="false">IF(A315="","",IF(AND(Parameter!$B$21="Ja",ISNUMBER(U315)),U315,IF(IFERROR(VLOOKUP(D315,Parameter!$A$35:$C$64,2,0),"Nein")="2+3",IF(ISNUMBER(SEARCH("grosser Artikel",BM315)),2,IFERROR(VLOOKUP(BP315,Parameter!$F$35:$G$64,2,0),2)),IF(OR(IFERROR(VLOOKUP(D315,Parameter!$A$35:$C$64,2,0),"Nein")="Nein",IFERROR(VLOOKUP(D315,Parameter!$A$35:$C$64,2,0),"Nein")=""),"-",VLOOKUP(D315,Parameter!$A$35:$C$64,2,0)))))</f>
        <v>3</v>
      </c>
      <c r="Y315" s="62"/>
      <c r="Z315" s="63"/>
      <c r="AA315" s="57" t="n">
        <f aca="false">AP315</f>
        <v>116</v>
      </c>
      <c r="AB315" s="57" t="n">
        <f aca="false">MAX(AP315,G315)</f>
        <v>116</v>
      </c>
      <c r="AC315" s="64"/>
      <c r="AD315" s="57" t="n">
        <f aca="false">IF(LEFT(Cockpit!$C$5,1)="A",G315,IF(BW315=1,BX315,IF(LEFT(Cockpit!$C$5,1)="B",AH315,MAX(AH315,G315))))</f>
        <v>38</v>
      </c>
      <c r="AE315" s="57" t="n">
        <f aca="false">IF(BR315=1,0,ROUNDUP(AD315/BQ315,0))</f>
        <v>1</v>
      </c>
      <c r="AF315" s="59" t="n">
        <f aca="false">IF(CD315&gt;0,CD315*MAX(1,AD315/V315),IF(BR315=1,IF(AD315&lt;=0,0,BS315*MAX(1,IF(G315&gt;0,AD315/G315,1))),IF(Q315&gt;0,AE315/Q315,0))/MAX(0.1,N(Parameter!$M$21)))</f>
        <v>0.0151515151515152</v>
      </c>
      <c r="AG315" s="57" t="n">
        <f aca="false">AD315*F315</f>
        <v>266.76</v>
      </c>
      <c r="AH315" s="57" t="n">
        <f aca="false">ROUNDUP(MAX(I315/IF(BV315&gt;0,BV315,MAX(0.1,N(Cockpit!$C$6))),BY315)/BQ315,0)*BQ315</f>
        <v>116</v>
      </c>
      <c r="AI315" s="58" t="n">
        <f aca="false">IF(AF315&gt;0,I315/AF315,-1)</f>
        <v>4158</v>
      </c>
      <c r="AJ315" s="58" t="n">
        <f aca="false">IF(AND(OR(BU315="L1",BU315="L23"),AF315&gt;0),SUMIFS($AF$7:$AF$1576,$BU$7:$BU$1576,BU315,$AI$7:$AI$1576,"&gt;"&amp;AI315)+SUMIFS($AF$7:$AF$1576,$BU$7:$BU$1576,BU315,$AI$7:$AI$1576,AI315,$BO$7:$BO$1576,"&lt;="&amp;BO315),"")</f>
        <v>4.15576635924462</v>
      </c>
      <c r="AK315" s="65" t="n">
        <f aca="false">IF(AJ315="",0,MAX(0,MIN(1,(IF(BU315="L1",Parameter!$E$5,Parameter!$E$6+Parameter!$E$7)-(AJ315-AF315))/AF315)))</f>
        <v>1</v>
      </c>
      <c r="AL315" s="57" t="n">
        <f aca="false">IF(LEFT(Cockpit!$I$5,1)="A",G315,IF(BW315=1,BX315,IF(LEFT(Cockpit!$I$5,1)="B",AP315,MAX(AP315,G315))))</f>
        <v>116</v>
      </c>
      <c r="AM315" s="57" t="n">
        <f aca="false">IF(BR315=1,0,ROUNDUP(AL315/BQ315,0))</f>
        <v>2</v>
      </c>
      <c r="AN315" s="59" t="n">
        <f aca="false">IF(CD315&gt;0,CD315*MAX(1,AL315/V315),IF(BR315=1,IF(AL315&lt;=0,0,BS315*MAX(1,IF(G315&gt;0,AL315/G315,1))),IF(Q315&gt;0,AM315/Q315,0))/MAX(0.1,N(Parameter!$M$21)))</f>
        <v>0.0303030303030303</v>
      </c>
      <c r="AO315" s="57" t="n">
        <f aca="false">AL315*F315</f>
        <v>814.32</v>
      </c>
      <c r="AP315" s="57" t="n">
        <f aca="false">ROUNDUP(MAX(I315/IF(BV315&gt;0,BV315,MAX(0.1,N(Cockpit!$I$6))),BY315)/BQ315,0)*BQ315</f>
        <v>116</v>
      </c>
      <c r="AQ315" s="58" t="n">
        <f aca="false">IF(AN315&gt;0,I315/AN315,-1)</f>
        <v>2079</v>
      </c>
      <c r="AR315" s="58" t="n">
        <f aca="false">IF(AND(OR(BU315="L1",BU315="L23"),AN315&gt;0),SUMIFS($AN$7:$AN$1576,$BU$7:$BU$1576,BU315,$AQ$7:$AQ$1576,"&gt;"&amp;AQ315)+SUMIFS($AN$7:$AN$1576,$BU$7:$BU$1576,BU315,$AQ$7:$AQ$1576,AQ315,$BO$7:$BO$1576,"&lt;="&amp;BO315),"")</f>
        <v>16.9913840390039</v>
      </c>
      <c r="AS315" s="65" t="n">
        <f aca="false">IF(AR315="",0,MAX(0,MIN(1,(IF(BU315="L1",Parameter!$E$5,Parameter!$E$6+Parameter!$E$7)-(AR315-AN315))/AN315)))</f>
        <v>1</v>
      </c>
      <c r="AT315" s="57" t="n">
        <f aca="false">IF(LEFT(Cockpit!$O$5,1)="A",G315,IF(BW315=1,BX315,IF(LEFT(Cockpit!$O$5,1)="B",AX315,MAX(AX315,G315))))</f>
        <v>116</v>
      </c>
      <c r="AU315" s="57" t="n">
        <f aca="false">IF(BR315=1,0,ROUNDUP(AT315/BQ315,0))</f>
        <v>2</v>
      </c>
      <c r="AV315" s="59" t="n">
        <f aca="false">IF(CD315&gt;0,CD315*MAX(1,AT315/V315),IF(BR315=1,IF(AT315&lt;=0,0,BS315*MAX(1,IF(G315&gt;0,AT315/G315,1))),IF(Q315&gt;0,AU315/Q315,0))/MAX(0.1,N(Parameter!$M$21)))</f>
        <v>0.0303030303030303</v>
      </c>
      <c r="AW315" s="57" t="n">
        <f aca="false">AT315*F315</f>
        <v>814.32</v>
      </c>
      <c r="AX315" s="57" t="n">
        <f aca="false">ROUNDUP(MAX(I315/IF(BV315&gt;0,BV315,MAX(0.1,N(Cockpit!$O$6))),BY315)/BQ315,0)*BQ315</f>
        <v>116</v>
      </c>
      <c r="AY315" s="58" t="n">
        <f aca="false">IF(AV315&gt;0,I315/AV315,-1)</f>
        <v>2079</v>
      </c>
      <c r="AZ315" s="58" t="n">
        <f aca="false">IF(AND(OR(BU315="L1",BU315="L23"),AV315&gt;0),SUMIFS($AV$7:$AV$1576,$BU$7:$BU$1576,BU315,$AY$7:$AY$1576,"&gt;"&amp;AY315)+SUMIFS($AV$7:$AV$1576,$BU$7:$BU$1576,BU315,$AY$7:$AY$1576,AY315,$BO$7:$BO$1576,"&lt;="&amp;BO315),"")</f>
        <v>15.6801952278151</v>
      </c>
      <c r="BA315" s="65" t="n">
        <f aca="false">IF(AZ315="",0,MAX(0,MIN(1,(IF(BU315="L1",Parameter!$E$5,Parameter!$E$6+Parameter!$E$7)-(AZ315-AV315))/AV315)))</f>
        <v>1</v>
      </c>
      <c r="BB315" s="55" t="str">
        <f aca="false">IF(AF315&lt;=0,"",IF(BU315="Aussen","Aussenlager",IF(BU315="-","Nicht im Lift",IF(AK315&gt;=1,"Lift",IF(AK315&lt;=0,"Aussenlager","teilweise")))))</f>
        <v>Lift</v>
      </c>
      <c r="BC315" s="55" t="str">
        <f aca="false">IF(AN315&lt;=0,"",IF(BU315="Aussen","Aussenlager",IF(BU315="-","Nicht im Lift",IF(AS315&gt;=1,"Lift",IF(AS315&lt;=0,"Aussenlager","teilweise")))))</f>
        <v>Lift</v>
      </c>
      <c r="BD315" s="55" t="str">
        <f aca="false">IF(AV315&lt;=0,"",IF(BU315="Aussen","Aussenlager",IF(BU315="-","Nicht im Lift",IF(BA315&gt;=1,"Lift",IF(BA315&lt;=0,"Aussenlager","teilweise")))))</f>
        <v>Lift</v>
      </c>
      <c r="BE315" s="55" t="str">
        <f aca="false">IF(A315="","",IF(BN315=1,"Neu; ","")&amp;IF(AND(BN315=0,BI315&lt;0),"negativer Bestand (Export "&amp;BI315&amp;"); ","")&amp;IF(I315&lt;=0,"Kein Verbrauch; ","")&amp;IF(CD315&gt;0,"Lift "&amp;U315&amp;" lt. Liftbericht (Fach "&amp;V315&amp;" Stk); ",IF(BR315=1,"Lose – Fläche geschätzt; ",""))&amp;IF(G315&gt;AP315,"Überbestand "&amp;ROUND(G315-AP315,0)&amp;" Stk / CHF "&amp;ROUND((G315-AP315)*F315,0)&amp;"; ","")&amp;IF(AND(BW315=1,BX315&lt;BY315),"MAX &lt; MB+LG; ","")&amp;IF(AND(CC315&gt;0,CB315*10&gt;CC315),"zu hoch für Tablar; ","")&amp;IF(AND(BN315=0,OR(BW315=1,Y315&lt;&gt;"",S315&lt;&gt;"",T315&lt;&gt;"",Z315&lt;&gt;"")),"manuell übersteuert; ","")&amp;IF(AND(BR315=0,Q315=0),"Gebinde unbekannt / Stellmass fehlt; ","")&amp;IF(AND(BR315=0,N(T315)&lt;=0,N(P315)&lt;=0),"Menge pro Gebinde fehlt (Ist = 1 Gebinde); ","")&amp;BM315)</f>
        <v/>
      </c>
      <c r="BF315" s="55"/>
      <c r="BG315" s="55"/>
      <c r="BH315" s="62"/>
      <c r="BI315" s="57" t="n">
        <v>38</v>
      </c>
      <c r="BJ315" s="57" t="n">
        <v>23</v>
      </c>
      <c r="BK315" s="56" t="n">
        <v>248.82</v>
      </c>
      <c r="BL315" s="57" t="n">
        <v>63</v>
      </c>
      <c r="BM315" s="55"/>
      <c r="BN315" s="60" t="n">
        <v>0</v>
      </c>
      <c r="BO315" s="60" t="n">
        <v>315</v>
      </c>
      <c r="BP315" s="55" t="str">
        <f aca="false">IF(S315&lt;&gt;"",UPPER(TRIM(S315)),IF(O315="","LOSE",O315))</f>
        <v>S33</v>
      </c>
      <c r="BQ315" s="57" t="n">
        <f aca="false">IF(BP315="LOSE",1,IF(N(T315)&gt;0,T315,IF(N(P315)&gt;0,P315,MAX(1,G315))))</f>
        <v>58</v>
      </c>
      <c r="BR315" s="60" t="n">
        <f aca="false">IF(BP315="LOSE",1,0)</f>
        <v>0</v>
      </c>
      <c r="BS315" s="59" t="n">
        <f aca="false">IF(BR315=0,0,IF(N(R315)&gt;0,R315,IFERROR(VLOOKUP(D315,Parameter!$A$35:$C$64,3,0)+0,0)))</f>
        <v>0</v>
      </c>
      <c r="BT315" s="55" t="n">
        <f aca="false">IF(Y315&lt;&gt;"",Y315,X315)</f>
        <v>3</v>
      </c>
      <c r="BU315" s="55" t="str">
        <f aca="false">IF(BT315=1,"L1",IF(OR(BT315=2,BT315=3),"L23",IF(BT315="Aussen","Aussen","-")))</f>
        <v>L23</v>
      </c>
      <c r="BV315" s="66" t="n">
        <f aca="false">IF(N(Z315)&gt;0,Z315,0)</f>
        <v>0</v>
      </c>
      <c r="BW315" s="60" t="n">
        <f aca="false">IF(ISNUMBER(AC315),1,0)</f>
        <v>0</v>
      </c>
      <c r="BX315" s="57" t="n">
        <f aca="false">N(AC315)</f>
        <v>0</v>
      </c>
      <c r="BY315" s="57" t="n">
        <f aca="false">N(L315)+N(M315)</f>
        <v>62</v>
      </c>
      <c r="BZ315" s="57" t="n">
        <f aca="false">ROUNDUP(G315/BQ315,0)</f>
        <v>1</v>
      </c>
      <c r="CA315" s="57" t="n">
        <f aca="false">ROUNDUP(BX315/BQ315,0)</f>
        <v>0</v>
      </c>
      <c r="CB315" s="60" t="n">
        <f aca="false">IF(BR315=1,0,IFERROR(VLOOKUP(BP315,'Gebinde-Kategorie'!$A$5:$M$45,5,0)+0,0))</f>
        <v>8</v>
      </c>
      <c r="CC315" s="60" t="n">
        <f aca="false">IFERROR(IF(OR(BT315=1,BT315=2,BT315=3),N(INDEX(Parameter!$I$5:$I$7,BT315)),0),0)</f>
        <v>0</v>
      </c>
      <c r="CD315" s="59" t="n">
        <f aca="false">IF(AND(Parameter!$B$21="Ja",ISNUMBER(U315),N(V315)&gt;0),IFERROR(N(INDEX(Parameter!$L$5:$L$7,U315))*INDEX(Parameter!$E$5:$E$7,U315)*V315/SUMIFS($V$7:$V$1576,$U$7:$U$1576,U315),0),0)</f>
        <v>0</v>
      </c>
    </row>
    <row r="316" customFormat="false" ht="15" hidden="false" customHeight="false" outlineLevel="0" collapsed="false">
      <c r="A316" s="55" t="s">
        <v>787</v>
      </c>
      <c r="B316" s="55" t="s">
        <v>781</v>
      </c>
      <c r="C316" s="55" t="s">
        <v>160</v>
      </c>
      <c r="D316" s="55" t="s">
        <v>178</v>
      </c>
      <c r="E316" s="55" t="s">
        <v>210</v>
      </c>
      <c r="F316" s="56" t="n">
        <v>9.86</v>
      </c>
      <c r="G316" s="57" t="n">
        <f aca="false">MAX(0,IF(AND(Parameter!$B$21="Ja",ISNUMBER(W316)),W316,IF(Parameter!$B$20="Jahresanfang 2025 + Export",BJ316+BI316,BI316)))</f>
        <v>25</v>
      </c>
      <c r="H316" s="57" t="n">
        <f aca="false">G316*F316</f>
        <v>246.5</v>
      </c>
      <c r="I316" s="57" t="n">
        <f aca="false">BL316*Parameter!$B$18</f>
        <v>0</v>
      </c>
      <c r="J316" s="58" t="n">
        <v>0</v>
      </c>
      <c r="K316" s="59" t="n">
        <v>0</v>
      </c>
      <c r="L316" s="57" t="n">
        <v>0</v>
      </c>
      <c r="M316" s="57" t="n">
        <v>1</v>
      </c>
      <c r="N316" s="60" t="n">
        <v>9999</v>
      </c>
      <c r="O316" s="55" t="s">
        <v>163</v>
      </c>
      <c r="P316" s="57"/>
      <c r="Q316" s="60" t="n">
        <f aca="false">IF(BR316=1,0,IFERROR(VLOOKUP(BP316,'Gebinde-Kategorie'!$A$5:$M$45,13,0)+0,0))</f>
        <v>0</v>
      </c>
      <c r="R316" s="61"/>
      <c r="S316" s="62"/>
      <c r="T316" s="62"/>
      <c r="U316" s="55"/>
      <c r="V316" s="57"/>
      <c r="W316" s="57"/>
      <c r="X316" s="55" t="n">
        <f aca="false">IF(A316="","",IF(AND(Parameter!$B$21="Ja",ISNUMBER(U316)),U316,IF(IFERROR(VLOOKUP(D316,Parameter!$A$35:$C$64,2,0),"Nein")="2+3",IF(ISNUMBER(SEARCH("grosser Artikel",BM316)),2,IFERROR(VLOOKUP(BP316,Parameter!$F$35:$G$64,2,0),2)),IF(OR(IFERROR(VLOOKUP(D316,Parameter!$A$35:$C$64,2,0),"Nein")="Nein",IFERROR(VLOOKUP(D316,Parameter!$A$35:$C$64,2,0),"Nein")=""),"-",VLOOKUP(D316,Parameter!$A$35:$C$64,2,0)))))</f>
        <v>2</v>
      </c>
      <c r="Y316" s="62"/>
      <c r="Z316" s="63"/>
      <c r="AA316" s="57" t="n">
        <f aca="false">AP316</f>
        <v>1</v>
      </c>
      <c r="AB316" s="57" t="n">
        <f aca="false">MAX(AP316,G316)</f>
        <v>25</v>
      </c>
      <c r="AC316" s="64"/>
      <c r="AD316" s="57" t="n">
        <f aca="false">IF(LEFT(Cockpit!$C$5,1)="A",G316,IF(BW316=1,BX316,IF(LEFT(Cockpit!$C$5,1)="B",AH316,MAX(AH316,G316))))</f>
        <v>25</v>
      </c>
      <c r="AE316" s="57" t="n">
        <f aca="false">IF(BR316=1,0,ROUNDUP(AD316/BQ316,0))</f>
        <v>0</v>
      </c>
      <c r="AF316" s="59" t="n">
        <f aca="false">IF(CD316&gt;0,CD316*MAX(1,AD316/V316),IF(BR316=1,IF(AD316&lt;=0,0,BS316*MAX(1,IF(G316&gt;0,AD316/G316,1))),IF(Q316&gt;0,AE316/Q316,0))/MAX(0.1,N(Parameter!$M$21)))</f>
        <v>0.03</v>
      </c>
      <c r="AG316" s="57" t="n">
        <f aca="false">AD316*F316</f>
        <v>246.5</v>
      </c>
      <c r="AH316" s="57" t="n">
        <f aca="false">ROUNDUP(MAX(I316/IF(BV316&gt;0,BV316,MAX(0.1,N(Cockpit!$C$6))),BY316)/BQ316,0)*BQ316</f>
        <v>1</v>
      </c>
      <c r="AI316" s="58" t="n">
        <f aca="false">IF(AF316&gt;0,I316/AF316,-1)</f>
        <v>0</v>
      </c>
      <c r="AJ316" s="58" t="n">
        <f aca="false">IF(AND(OR(BU316="L1",BU316="L23"),AF316&gt;0),SUMIFS($AF$7:$AF$1576,$BU$7:$BU$1576,BU316,$AI$7:$AI$1576,"&gt;"&amp;AI316)+SUMIFS($AF$7:$AF$1576,$BU$7:$BU$1576,BU316,$AI$7:$AI$1576,AI316,$BO$7:$BO$1576,"&lt;="&amp;BO316),"")</f>
        <v>40.8834130603696</v>
      </c>
      <c r="AK316" s="65" t="n">
        <f aca="false">IF(AJ316="",0,MAX(0,MIN(1,(IF(BU316="L1",Parameter!$E$5,Parameter!$E$6+Parameter!$E$7)-(AJ316-AF316))/AF316)))</f>
        <v>1</v>
      </c>
      <c r="AL316" s="57" t="n">
        <f aca="false">IF(LEFT(Cockpit!$I$5,1)="A",G316,IF(BW316=1,BX316,IF(LEFT(Cockpit!$I$5,1)="B",AP316,MAX(AP316,G316))))</f>
        <v>25</v>
      </c>
      <c r="AM316" s="57" t="n">
        <f aca="false">IF(BR316=1,0,ROUNDUP(AL316/BQ316,0))</f>
        <v>0</v>
      </c>
      <c r="AN316" s="59" t="n">
        <f aca="false">IF(CD316&gt;0,CD316*MAX(1,AL316/V316),IF(BR316=1,IF(AL316&lt;=0,0,BS316*MAX(1,IF(G316&gt;0,AL316/G316,1))),IF(Q316&gt;0,AM316/Q316,0))/MAX(0.1,N(Parameter!$M$21)))</f>
        <v>0.03</v>
      </c>
      <c r="AO316" s="57" t="n">
        <f aca="false">AL316*F316</f>
        <v>246.5</v>
      </c>
      <c r="AP316" s="57" t="n">
        <f aca="false">ROUNDUP(MAX(I316/IF(BV316&gt;0,BV316,MAX(0.1,N(Cockpit!$I$6))),BY316)/BQ316,0)*BQ316</f>
        <v>1</v>
      </c>
      <c r="AQ316" s="58" t="n">
        <f aca="false">IF(AN316&gt;0,I316/AN316,-1)</f>
        <v>0</v>
      </c>
      <c r="AR316" s="58" t="n">
        <f aca="false">IF(AND(OR(BU316="L1",BU316="L23"),AN316&gt;0),SUMIFS($AN$7:$AN$1576,$BU$7:$BU$1576,BU316,$AQ$7:$AQ$1576,"&gt;"&amp;AQ316)+SUMIFS($AN$7:$AN$1576,$BU$7:$BU$1576,BU316,$AQ$7:$AQ$1576,AQ316,$BO$7:$BO$1576,"&lt;="&amp;BO316),"")</f>
        <v>123.757618810159</v>
      </c>
      <c r="AS316" s="65" t="n">
        <f aca="false">IF(AR316="",0,MAX(0,MIN(1,(IF(BU316="L1",Parameter!$E$5,Parameter!$E$6+Parameter!$E$7)-(AR316-AN316))/AN316)))</f>
        <v>0</v>
      </c>
      <c r="AT316" s="57" t="n">
        <f aca="false">IF(LEFT(Cockpit!$O$5,1)="A",G316,IF(BW316=1,BX316,IF(LEFT(Cockpit!$O$5,1)="B",AX316,MAX(AX316,G316))))</f>
        <v>25</v>
      </c>
      <c r="AU316" s="57" t="n">
        <f aca="false">IF(BR316=1,0,ROUNDUP(AT316/BQ316,0))</f>
        <v>0</v>
      </c>
      <c r="AV316" s="59" t="n">
        <f aca="false">IF(CD316&gt;0,CD316*MAX(1,AT316/V316),IF(BR316=1,IF(AT316&lt;=0,0,BS316*MAX(1,IF(G316&gt;0,AT316/G316,1))),IF(Q316&gt;0,AU316/Q316,0))/MAX(0.1,N(Parameter!$M$21)))</f>
        <v>0.03</v>
      </c>
      <c r="AW316" s="57" t="n">
        <f aca="false">AT316*F316</f>
        <v>246.5</v>
      </c>
      <c r="AX316" s="57" t="n">
        <f aca="false">ROUNDUP(MAX(I316/IF(BV316&gt;0,BV316,MAX(0.1,N(Cockpit!$O$6))),BY316)/BQ316,0)*BQ316</f>
        <v>1</v>
      </c>
      <c r="AY316" s="58" t="n">
        <f aca="false">IF(AV316&gt;0,I316/AV316,-1)</f>
        <v>0</v>
      </c>
      <c r="AZ316" s="58" t="n">
        <f aca="false">IF(AND(OR(BU316="L1",BU316="L23"),AV316&gt;0),SUMIFS($AV$7:$AV$1576,$BU$7:$BU$1576,BU316,$AY$7:$AY$1576,"&gt;"&amp;AY316)+SUMIFS($AV$7:$AV$1576,$BU$7:$BU$1576,BU316,$AY$7:$AY$1576,AY316,$BO$7:$BO$1576,"&lt;="&amp;BO316),"")</f>
        <v>113.817169259709</v>
      </c>
      <c r="BA316" s="65" t="n">
        <f aca="false">IF(AZ316="",0,MAX(0,MIN(1,(IF(BU316="L1",Parameter!$E$5,Parameter!$E$6+Parameter!$E$7)-(AZ316-AV316))/AV316)))</f>
        <v>0</v>
      </c>
      <c r="BB316" s="55" t="str">
        <f aca="false">IF(AF316&lt;=0,"",IF(BU316="Aussen","Aussenlager",IF(BU316="-","Nicht im Lift",IF(AK316&gt;=1,"Lift",IF(AK316&lt;=0,"Aussenlager","teilweise")))))</f>
        <v>Lift</v>
      </c>
      <c r="BC316" s="55" t="str">
        <f aca="false">IF(AN316&lt;=0,"",IF(BU316="Aussen","Aussenlager",IF(BU316="-","Nicht im Lift",IF(AS316&gt;=1,"Lift",IF(AS316&lt;=0,"Aussenlager","teilweise")))))</f>
        <v>Aussenlager</v>
      </c>
      <c r="BD316" s="55" t="str">
        <f aca="false">IF(AV316&lt;=0,"",IF(BU316="Aussen","Aussenlager",IF(BU316="-","Nicht im Lift",IF(BA316&gt;=1,"Lift",IF(BA316&lt;=0,"Aussenlager","teilweise")))))</f>
        <v>Aussenlager</v>
      </c>
      <c r="BE316" s="55" t="str">
        <f aca="false">IF(A316="","",IF(BN316=1,"Neu; ","")&amp;IF(AND(BN316=0,BI316&lt;0),"negativer Bestand (Export "&amp;BI316&amp;"); ","")&amp;IF(I316&lt;=0,"Kein Verbrauch; ","")&amp;IF(CD316&gt;0,"Lift "&amp;U316&amp;" lt. Liftbericht (Fach "&amp;V316&amp;" Stk); ",IF(BR316=1,"Lose – Fläche geschätzt; ",""))&amp;IF(G316&gt;AP316,"Überbestand "&amp;ROUND(G316-AP316,0)&amp;" Stk / CHF "&amp;ROUND((G316-AP316)*F316,0)&amp;"; ","")&amp;IF(AND(BW316=1,BX316&lt;BY316),"MAX &lt; MB+LG; ","")&amp;IF(AND(CC316&gt;0,CB316*10&gt;CC316),"zu hoch für Tablar; ","")&amp;IF(AND(BN316=0,OR(BW316=1,Y316&lt;&gt;"",S316&lt;&gt;"",T316&lt;&gt;"",Z316&lt;&gt;"")),"manuell übersteuert; ","")&amp;IF(AND(BR316=0,Q316=0),"Gebinde unbekannt / Stellmass fehlt; ","")&amp;IF(AND(BR316=0,N(T316)&lt;=0,N(P316)&lt;=0),"Menge pro Gebinde fehlt (Ist = 1 Gebinde); ","")&amp;BM316)</f>
        <v>Kein Verbrauch; Lose – Fläche geschätzt; Überbestand 24 Stk / CHF 237; </v>
      </c>
      <c r="BF316" s="55"/>
      <c r="BG316" s="55"/>
      <c r="BH316" s="62"/>
      <c r="BI316" s="57" t="n">
        <v>25</v>
      </c>
      <c r="BJ316" s="57" t="n">
        <v>0</v>
      </c>
      <c r="BK316" s="56" t="n">
        <v>246.5</v>
      </c>
      <c r="BL316" s="57" t="n">
        <v>0</v>
      </c>
      <c r="BM316" s="55"/>
      <c r="BN316" s="60" t="n">
        <v>0</v>
      </c>
      <c r="BO316" s="60" t="n">
        <v>316</v>
      </c>
      <c r="BP316" s="55" t="str">
        <f aca="false">IF(S316&lt;&gt;"",UPPER(TRIM(S316)),IF(O316="","LOSE",O316))</f>
        <v>LOSE</v>
      </c>
      <c r="BQ316" s="57" t="n">
        <f aca="false">IF(BP316="LOSE",1,IF(N(T316)&gt;0,T316,IF(N(P316)&gt;0,P316,MAX(1,G316))))</f>
        <v>1</v>
      </c>
      <c r="BR316" s="60" t="n">
        <f aca="false">IF(BP316="LOSE",1,0)</f>
        <v>1</v>
      </c>
      <c r="BS316" s="59" t="n">
        <f aca="false">IF(BR316=0,0,IF(N(R316)&gt;0,R316,IFERROR(VLOOKUP(D316,Parameter!$A$35:$C$64,3,0)+0,0)))</f>
        <v>0.03</v>
      </c>
      <c r="BT316" s="55" t="n">
        <f aca="false">IF(Y316&lt;&gt;"",Y316,X316)</f>
        <v>2</v>
      </c>
      <c r="BU316" s="55" t="str">
        <f aca="false">IF(BT316=1,"L1",IF(OR(BT316=2,BT316=3),"L23",IF(BT316="Aussen","Aussen","-")))</f>
        <v>L23</v>
      </c>
      <c r="BV316" s="66" t="n">
        <f aca="false">IF(N(Z316)&gt;0,Z316,0)</f>
        <v>0</v>
      </c>
      <c r="BW316" s="60" t="n">
        <f aca="false">IF(ISNUMBER(AC316),1,0)</f>
        <v>0</v>
      </c>
      <c r="BX316" s="57" t="n">
        <f aca="false">N(AC316)</f>
        <v>0</v>
      </c>
      <c r="BY316" s="57" t="n">
        <f aca="false">N(L316)+N(M316)</f>
        <v>1</v>
      </c>
      <c r="BZ316" s="57" t="n">
        <f aca="false">ROUNDUP(G316/BQ316,0)</f>
        <v>25</v>
      </c>
      <c r="CA316" s="57" t="n">
        <f aca="false">ROUNDUP(BX316/BQ316,0)</f>
        <v>0</v>
      </c>
      <c r="CB316" s="60" t="n">
        <f aca="false">IF(BR316=1,0,IFERROR(VLOOKUP(BP316,'Gebinde-Kategorie'!$A$5:$M$45,5,0)+0,0))</f>
        <v>0</v>
      </c>
      <c r="CC316" s="60" t="n">
        <f aca="false">IFERROR(IF(OR(BT316=1,BT316=2,BT316=3),N(INDEX(Parameter!$I$5:$I$7,BT316)),0),0)</f>
        <v>0</v>
      </c>
      <c r="CD316" s="59" t="n">
        <f aca="false">IF(AND(Parameter!$B$21="Ja",ISNUMBER(U316),N(V316)&gt;0),IFERROR(N(INDEX(Parameter!$L$5:$L$7,U316))*INDEX(Parameter!$E$5:$E$7,U316)*V316/SUMIFS($V$7:$V$1576,$U$7:$U$1576,U316),0),0)</f>
        <v>0</v>
      </c>
    </row>
    <row r="317" customFormat="false" ht="15" hidden="false" customHeight="false" outlineLevel="0" collapsed="false">
      <c r="A317" s="55" t="s">
        <v>788</v>
      </c>
      <c r="B317" s="55" t="s">
        <v>789</v>
      </c>
      <c r="C317" s="55" t="s">
        <v>160</v>
      </c>
      <c r="D317" s="55" t="s">
        <v>178</v>
      </c>
      <c r="E317" s="55" t="s">
        <v>210</v>
      </c>
      <c r="F317" s="56" t="n">
        <v>81.98</v>
      </c>
      <c r="G317" s="57" t="n">
        <f aca="false">MAX(0,IF(AND(Parameter!$B$21="Ja",ISNUMBER(W317)),W317,IF(Parameter!$B$20="Jahresanfang 2025 + Export",BJ317+BI317,BI317)))</f>
        <v>3</v>
      </c>
      <c r="H317" s="57" t="n">
        <f aca="false">G317*F317</f>
        <v>245.94</v>
      </c>
      <c r="I317" s="57" t="n">
        <f aca="false">BL317*Parameter!$B$18</f>
        <v>4</v>
      </c>
      <c r="J317" s="58" t="n">
        <v>3</v>
      </c>
      <c r="K317" s="59" t="n">
        <v>1.33333333333333</v>
      </c>
      <c r="L317" s="57" t="n">
        <v>0</v>
      </c>
      <c r="M317" s="57" t="n">
        <v>5</v>
      </c>
      <c r="N317" s="60" t="n">
        <v>14</v>
      </c>
      <c r="O317" s="55" t="s">
        <v>293</v>
      </c>
      <c r="P317" s="57" t="n">
        <v>3</v>
      </c>
      <c r="Q317" s="60" t="n">
        <f aca="false">IF(BR317=1,0,IFERROR(VLOOKUP(BP317,'Gebinde-Kategorie'!$A$5:$M$45,13,0)+0,0))</f>
        <v>26</v>
      </c>
      <c r="R317" s="61"/>
      <c r="S317" s="62"/>
      <c r="T317" s="62"/>
      <c r="U317" s="55"/>
      <c r="V317" s="57"/>
      <c r="W317" s="57"/>
      <c r="X317" s="55" t="n">
        <f aca="false">IF(A317="","",IF(AND(Parameter!$B$21="Ja",ISNUMBER(U317)),U317,IF(IFERROR(VLOOKUP(D317,Parameter!$A$35:$C$64,2,0),"Nein")="2+3",IF(ISNUMBER(SEARCH("grosser Artikel",BM317)),2,IFERROR(VLOOKUP(BP317,Parameter!$F$35:$G$64,2,0),2)),IF(OR(IFERROR(VLOOKUP(D317,Parameter!$A$35:$C$64,2,0),"Nein")="Nein",IFERROR(VLOOKUP(D317,Parameter!$A$35:$C$64,2,0),"Nein")=""),"-",VLOOKUP(D317,Parameter!$A$35:$C$64,2,0)))))</f>
        <v>3</v>
      </c>
      <c r="Y317" s="62"/>
      <c r="Z317" s="63"/>
      <c r="AA317" s="57" t="n">
        <f aca="false">AP317</f>
        <v>6</v>
      </c>
      <c r="AB317" s="57" t="n">
        <f aca="false">MAX(AP317,G317)</f>
        <v>6</v>
      </c>
      <c r="AC317" s="64"/>
      <c r="AD317" s="57" t="n">
        <f aca="false">IF(LEFT(Cockpit!$C$5,1)="A",G317,IF(BW317=1,BX317,IF(LEFT(Cockpit!$C$5,1)="B",AH317,MAX(AH317,G317))))</f>
        <v>3</v>
      </c>
      <c r="AE317" s="57" t="n">
        <f aca="false">IF(BR317=1,0,ROUNDUP(AD317/BQ317,0))</f>
        <v>1</v>
      </c>
      <c r="AF317" s="59" t="n">
        <f aca="false">IF(CD317&gt;0,CD317*MAX(1,AD317/V317),IF(BR317=1,IF(AD317&lt;=0,0,BS317*MAX(1,IF(G317&gt;0,AD317/G317,1))),IF(Q317&gt;0,AE317/Q317,0))/MAX(0.1,N(Parameter!$M$21)))</f>
        <v>0.0384615384615385</v>
      </c>
      <c r="AG317" s="57" t="n">
        <f aca="false">AD317*F317</f>
        <v>245.94</v>
      </c>
      <c r="AH317" s="57" t="n">
        <f aca="false">ROUNDUP(MAX(I317/IF(BV317&gt;0,BV317,MAX(0.1,N(Cockpit!$C$6))),BY317)/BQ317,0)*BQ317</f>
        <v>6</v>
      </c>
      <c r="AI317" s="58" t="n">
        <f aca="false">IF(AF317&gt;0,I317/AF317,-1)</f>
        <v>104</v>
      </c>
      <c r="AJ317" s="58" t="n">
        <f aca="false">IF(AND(OR(BU317="L1",BU317="L23"),AF317&gt;0),SUMIFS($AF$7:$AF$1576,$BU$7:$BU$1576,BU317,$AI$7:$AI$1576,"&gt;"&amp;AI317)+SUMIFS($AF$7:$AF$1576,$BU$7:$BU$1576,BU317,$AI$7:$AI$1576,AI317,$BO$7:$BO$1576,"&lt;="&amp;BO317),"")</f>
        <v>22.4233586703152</v>
      </c>
      <c r="AK317" s="65" t="n">
        <f aca="false">IF(AJ317="",0,MAX(0,MIN(1,(IF(BU317="L1",Parameter!$E$5,Parameter!$E$6+Parameter!$E$7)-(AJ317-AF317))/AF317)))</f>
        <v>1</v>
      </c>
      <c r="AL317" s="57" t="n">
        <f aca="false">IF(LEFT(Cockpit!$I$5,1)="A",G317,IF(BW317=1,BX317,IF(LEFT(Cockpit!$I$5,1)="B",AP317,MAX(AP317,G317))))</f>
        <v>6</v>
      </c>
      <c r="AM317" s="57" t="n">
        <f aca="false">IF(BR317=1,0,ROUNDUP(AL317/BQ317,0))</f>
        <v>2</v>
      </c>
      <c r="AN317" s="59" t="n">
        <f aca="false">IF(CD317&gt;0,CD317*MAX(1,AL317/V317),IF(BR317=1,IF(AL317&lt;=0,0,BS317*MAX(1,IF(G317&gt;0,AL317/G317,1))),IF(Q317&gt;0,AM317/Q317,0))/MAX(0.1,N(Parameter!$M$21)))</f>
        <v>0.0769230769230769</v>
      </c>
      <c r="AO317" s="57" t="n">
        <f aca="false">AL317*F317</f>
        <v>491.88</v>
      </c>
      <c r="AP317" s="57" t="n">
        <f aca="false">ROUNDUP(MAX(I317/IF(BV317&gt;0,BV317,MAX(0.1,N(Cockpit!$I$6))),BY317)/BQ317,0)*BQ317</f>
        <v>6</v>
      </c>
      <c r="AQ317" s="58" t="n">
        <f aca="false">IF(AN317&gt;0,I317/AN317,-1)</f>
        <v>52</v>
      </c>
      <c r="AR317" s="58" t="n">
        <f aca="false">IF(AND(OR(BU317="L1",BU317="L23"),AN317&gt;0),SUMIFS($AN$7:$AN$1576,$BU$7:$BU$1576,BU317,$AQ$7:$AQ$1576,"&gt;"&amp;AQ317)+SUMIFS($AN$7:$AN$1576,$BU$7:$BU$1576,BU317,$AQ$7:$AQ$1576,AQ317,$BO$7:$BO$1576,"&lt;="&amp;BO317),"")</f>
        <v>81.9837166399778</v>
      </c>
      <c r="AS317" s="65" t="n">
        <f aca="false">IF(AR317="",0,MAX(0,MIN(1,(IF(BU317="L1",Parameter!$E$5,Parameter!$E$6+Parameter!$E$7)-(AR317-AN317))/AN317)))</f>
        <v>1</v>
      </c>
      <c r="AT317" s="57" t="n">
        <f aca="false">IF(LEFT(Cockpit!$O$5,1)="A",G317,IF(BW317=1,BX317,IF(LEFT(Cockpit!$O$5,1)="B",AX317,MAX(AX317,G317))))</f>
        <v>6</v>
      </c>
      <c r="AU317" s="57" t="n">
        <f aca="false">IF(BR317=1,0,ROUNDUP(AT317/BQ317,0))</f>
        <v>2</v>
      </c>
      <c r="AV317" s="59" t="n">
        <f aca="false">IF(CD317&gt;0,CD317*MAX(1,AT317/V317),IF(BR317=1,IF(AT317&lt;=0,0,BS317*MAX(1,IF(G317&gt;0,AT317/G317,1))),IF(Q317&gt;0,AU317/Q317,0))/MAX(0.1,N(Parameter!$M$21)))</f>
        <v>0.0769230769230769</v>
      </c>
      <c r="AW317" s="57" t="n">
        <f aca="false">AT317*F317</f>
        <v>491.88</v>
      </c>
      <c r="AX317" s="57" t="n">
        <f aca="false">ROUNDUP(MAX(I317/IF(BV317&gt;0,BV317,MAX(0.1,N(Cockpit!$O$6))),BY317)/BQ317,0)*BQ317</f>
        <v>6</v>
      </c>
      <c r="AY317" s="58" t="n">
        <f aca="false">IF(AV317&gt;0,I317/AV317,-1)</f>
        <v>52</v>
      </c>
      <c r="AZ317" s="58" t="n">
        <f aca="false">IF(AND(OR(BU317="L1",BU317="L23"),AV317&gt;0),SUMIFS($AV$7:$AV$1576,$BU$7:$BU$1576,BU317,$AY$7:$AY$1576,"&gt;"&amp;AY317)+SUMIFS($AV$7:$AV$1576,$BU$7:$BU$1576,BU317,$AY$7:$AY$1576,AY317,$BO$7:$BO$1576,"&lt;="&amp;BO317),"")</f>
        <v>78.4016004228616</v>
      </c>
      <c r="BA317" s="65" t="n">
        <f aca="false">IF(AZ317="",0,MAX(0,MIN(1,(IF(BU317="L1",Parameter!$E$5,Parameter!$E$6+Parameter!$E$7)-(AZ317-AV317))/AV317)))</f>
        <v>1</v>
      </c>
      <c r="BB317" s="55" t="str">
        <f aca="false">IF(AF317&lt;=0,"",IF(BU317="Aussen","Aussenlager",IF(BU317="-","Nicht im Lift",IF(AK317&gt;=1,"Lift",IF(AK317&lt;=0,"Aussenlager","teilweise")))))</f>
        <v>Lift</v>
      </c>
      <c r="BC317" s="55" t="str">
        <f aca="false">IF(AN317&lt;=0,"",IF(BU317="Aussen","Aussenlager",IF(BU317="-","Nicht im Lift",IF(AS317&gt;=1,"Lift",IF(AS317&lt;=0,"Aussenlager","teilweise")))))</f>
        <v>Lift</v>
      </c>
      <c r="BD317" s="55" t="str">
        <f aca="false">IF(AV317&lt;=0,"",IF(BU317="Aussen","Aussenlager",IF(BU317="-","Nicht im Lift",IF(BA317&gt;=1,"Lift",IF(BA317&lt;=0,"Aussenlager","teilweise")))))</f>
        <v>Lift</v>
      </c>
      <c r="BE317" s="55" t="str">
        <f aca="false">IF(A317="","",IF(BN317=1,"Neu; ","")&amp;IF(AND(BN317=0,BI317&lt;0),"negativer Bestand (Export "&amp;BI317&amp;"); ","")&amp;IF(I317&lt;=0,"Kein Verbrauch; ","")&amp;IF(CD317&gt;0,"Lift "&amp;U317&amp;" lt. Liftbericht (Fach "&amp;V317&amp;" Stk); ",IF(BR317=1,"Lose – Fläche geschätzt; ",""))&amp;IF(G317&gt;AP317,"Überbestand "&amp;ROUND(G317-AP317,0)&amp;" Stk / CHF "&amp;ROUND((G317-AP317)*F317,0)&amp;"; ","")&amp;IF(AND(BW317=1,BX317&lt;BY317),"MAX &lt; MB+LG; ","")&amp;IF(AND(CC317&gt;0,CB317*10&gt;CC317),"zu hoch für Tablar; ","")&amp;IF(AND(BN317=0,OR(BW317=1,Y317&lt;&gt;"",S317&lt;&gt;"",T317&lt;&gt;"",Z317&lt;&gt;"")),"manuell übersteuert; ","")&amp;IF(AND(BR317=0,Q317=0),"Gebinde unbekannt / Stellmass fehlt; ","")&amp;IF(AND(BR317=0,N(T317)&lt;=0,N(P317)&lt;=0),"Menge pro Gebinde fehlt (Ist = 1 Gebinde); ","")&amp;BM317)</f>
        <v/>
      </c>
      <c r="BF317" s="55"/>
      <c r="BG317" s="55"/>
      <c r="BH317" s="62"/>
      <c r="BI317" s="57" t="n">
        <v>3</v>
      </c>
      <c r="BJ317" s="57" t="n">
        <v>0</v>
      </c>
      <c r="BK317" s="56" t="n">
        <v>245.94</v>
      </c>
      <c r="BL317" s="57" t="n">
        <v>4</v>
      </c>
      <c r="BM317" s="55"/>
      <c r="BN317" s="60" t="n">
        <v>0</v>
      </c>
      <c r="BO317" s="60" t="n">
        <v>317</v>
      </c>
      <c r="BP317" s="55" t="str">
        <f aca="false">IF(S317&lt;&gt;"",UPPER(TRIM(S317)),IF(O317="","LOSE",O317))</f>
        <v>S51</v>
      </c>
      <c r="BQ317" s="57" t="n">
        <f aca="false">IF(BP317="LOSE",1,IF(N(T317)&gt;0,T317,IF(N(P317)&gt;0,P317,MAX(1,G317))))</f>
        <v>3</v>
      </c>
      <c r="BR317" s="60" t="n">
        <f aca="false">IF(BP317="LOSE",1,0)</f>
        <v>0</v>
      </c>
      <c r="BS317" s="59" t="n">
        <f aca="false">IF(BR317=0,0,IF(N(R317)&gt;0,R317,IFERROR(VLOOKUP(D317,Parameter!$A$35:$C$64,3,0)+0,0)))</f>
        <v>0</v>
      </c>
      <c r="BT317" s="55" t="n">
        <f aca="false">IF(Y317&lt;&gt;"",Y317,X317)</f>
        <v>3</v>
      </c>
      <c r="BU317" s="55" t="str">
        <f aca="false">IF(BT317=1,"L1",IF(OR(BT317=2,BT317=3),"L23",IF(BT317="Aussen","Aussen","-")))</f>
        <v>L23</v>
      </c>
      <c r="BV317" s="66" t="n">
        <f aca="false">IF(N(Z317)&gt;0,Z317,0)</f>
        <v>0</v>
      </c>
      <c r="BW317" s="60" t="n">
        <f aca="false">IF(ISNUMBER(AC317),1,0)</f>
        <v>0</v>
      </c>
      <c r="BX317" s="57" t="n">
        <f aca="false">N(AC317)</f>
        <v>0</v>
      </c>
      <c r="BY317" s="57" t="n">
        <f aca="false">N(L317)+N(M317)</f>
        <v>5</v>
      </c>
      <c r="BZ317" s="57" t="n">
        <f aca="false">ROUNDUP(G317/BQ317,0)</f>
        <v>1</v>
      </c>
      <c r="CA317" s="57" t="n">
        <f aca="false">ROUNDUP(BX317/BQ317,0)</f>
        <v>0</v>
      </c>
      <c r="CB317" s="60" t="n">
        <f aca="false">IF(BR317=1,0,IFERROR(VLOOKUP(BP317,'Gebinde-Kategorie'!$A$5:$M$45,5,0)+0,0))</f>
        <v>11</v>
      </c>
      <c r="CC317" s="60" t="n">
        <f aca="false">IFERROR(IF(OR(BT317=1,BT317=2,BT317=3),N(INDEX(Parameter!$I$5:$I$7,BT317)),0),0)</f>
        <v>0</v>
      </c>
      <c r="CD317" s="59" t="n">
        <f aca="false">IF(AND(Parameter!$B$21="Ja",ISNUMBER(U317),N(V317)&gt;0),IFERROR(N(INDEX(Parameter!$L$5:$L$7,U317))*INDEX(Parameter!$E$5:$E$7,U317)*V317/SUMIFS($V$7:$V$1576,$U$7:$U$1576,U317),0),0)</f>
        <v>0</v>
      </c>
    </row>
    <row r="318" customFormat="false" ht="15" hidden="false" customHeight="false" outlineLevel="0" collapsed="false">
      <c r="A318" s="55" t="s">
        <v>790</v>
      </c>
      <c r="B318" s="55" t="s">
        <v>791</v>
      </c>
      <c r="C318" s="55" t="s">
        <v>160</v>
      </c>
      <c r="D318" s="55" t="s">
        <v>178</v>
      </c>
      <c r="E318" s="55" t="s">
        <v>210</v>
      </c>
      <c r="F318" s="56" t="n">
        <v>40.39</v>
      </c>
      <c r="G318" s="57" t="n">
        <f aca="false">MAX(0,IF(AND(Parameter!$B$21="Ja",ISNUMBER(W318)),W318,IF(Parameter!$B$20="Jahresanfang 2025 + Export",BJ318+BI318,BI318)))</f>
        <v>6</v>
      </c>
      <c r="H318" s="57" t="n">
        <f aca="false">G318*F318</f>
        <v>242.34</v>
      </c>
      <c r="I318" s="57" t="n">
        <f aca="false">BL318*Parameter!$B$18</f>
        <v>0</v>
      </c>
      <c r="J318" s="58" t="n">
        <v>0</v>
      </c>
      <c r="K318" s="59" t="n">
        <v>0</v>
      </c>
      <c r="L318" s="57" t="n">
        <v>0</v>
      </c>
      <c r="M318" s="57" t="n">
        <v>5</v>
      </c>
      <c r="N318" s="60" t="n">
        <v>21</v>
      </c>
      <c r="O318" s="55" t="s">
        <v>411</v>
      </c>
      <c r="P318" s="57" t="n">
        <v>8</v>
      </c>
      <c r="Q318" s="60" t="n">
        <f aca="false">IF(BR318=1,0,IFERROR(VLOOKUP(BP318,'Gebinde-Kategorie'!$A$5:$M$45,13,0)+0,0))</f>
        <v>132</v>
      </c>
      <c r="R318" s="61"/>
      <c r="S318" s="62"/>
      <c r="T318" s="62"/>
      <c r="U318" s="55"/>
      <c r="V318" s="57"/>
      <c r="W318" s="57"/>
      <c r="X318" s="55" t="n">
        <f aca="false">IF(A318="","",IF(AND(Parameter!$B$21="Ja",ISNUMBER(U318)),U318,IF(IFERROR(VLOOKUP(D318,Parameter!$A$35:$C$64,2,0),"Nein")="2+3",IF(ISNUMBER(SEARCH("grosser Artikel",BM318)),2,IFERROR(VLOOKUP(BP318,Parameter!$F$35:$G$64,2,0),2)),IF(OR(IFERROR(VLOOKUP(D318,Parameter!$A$35:$C$64,2,0),"Nein")="Nein",IFERROR(VLOOKUP(D318,Parameter!$A$35:$C$64,2,0),"Nein")=""),"-",VLOOKUP(D318,Parameter!$A$35:$C$64,2,0)))))</f>
        <v>3</v>
      </c>
      <c r="Y318" s="62"/>
      <c r="Z318" s="63"/>
      <c r="AA318" s="57" t="n">
        <f aca="false">AP318</f>
        <v>8</v>
      </c>
      <c r="AB318" s="57" t="n">
        <f aca="false">MAX(AP318,G318)</f>
        <v>8</v>
      </c>
      <c r="AC318" s="64"/>
      <c r="AD318" s="57" t="n">
        <f aca="false">IF(LEFT(Cockpit!$C$5,1)="A",G318,IF(BW318=1,BX318,IF(LEFT(Cockpit!$C$5,1)="B",AH318,MAX(AH318,G318))))</f>
        <v>6</v>
      </c>
      <c r="AE318" s="57" t="n">
        <f aca="false">IF(BR318=1,0,ROUNDUP(AD318/BQ318,0))</f>
        <v>1</v>
      </c>
      <c r="AF318" s="59" t="n">
        <f aca="false">IF(CD318&gt;0,CD318*MAX(1,AD318/V318),IF(BR318=1,IF(AD318&lt;=0,0,BS318*MAX(1,IF(G318&gt;0,AD318/G318,1))),IF(Q318&gt;0,AE318/Q318,0))/MAX(0.1,N(Parameter!$M$21)))</f>
        <v>0.00757575757575758</v>
      </c>
      <c r="AG318" s="57" t="n">
        <f aca="false">AD318*F318</f>
        <v>242.34</v>
      </c>
      <c r="AH318" s="57" t="n">
        <f aca="false">ROUNDUP(MAX(I318/IF(BV318&gt;0,BV318,MAX(0.1,N(Cockpit!$C$6))),BY318)/BQ318,0)*BQ318</f>
        <v>8</v>
      </c>
      <c r="AI318" s="58" t="n">
        <f aca="false">IF(AF318&gt;0,I318/AF318,-1)</f>
        <v>0</v>
      </c>
      <c r="AJ318" s="58" t="n">
        <f aca="false">IF(AND(OR(BU318="L1",BU318="L23"),AF318&gt;0),SUMIFS($AF$7:$AF$1576,$BU$7:$BU$1576,BU318,$AI$7:$AI$1576,"&gt;"&amp;AI318)+SUMIFS($AF$7:$AF$1576,$BU$7:$BU$1576,BU318,$AI$7:$AI$1576,AI318,$BO$7:$BO$1576,"&lt;="&amp;BO318),"")</f>
        <v>40.8909888179453</v>
      </c>
      <c r="AK318" s="65" t="n">
        <f aca="false">IF(AJ318="",0,MAX(0,MIN(1,(IF(BU318="L1",Parameter!$E$5,Parameter!$E$6+Parameter!$E$7)-(AJ318-AF318))/AF318)))</f>
        <v>1</v>
      </c>
      <c r="AL318" s="57" t="n">
        <f aca="false">IF(LEFT(Cockpit!$I$5,1)="A",G318,IF(BW318=1,BX318,IF(LEFT(Cockpit!$I$5,1)="B",AP318,MAX(AP318,G318))))</f>
        <v>8</v>
      </c>
      <c r="AM318" s="57" t="n">
        <f aca="false">IF(BR318=1,0,ROUNDUP(AL318/BQ318,0))</f>
        <v>1</v>
      </c>
      <c r="AN318" s="59" t="n">
        <f aca="false">IF(CD318&gt;0,CD318*MAX(1,AL318/V318),IF(BR318=1,IF(AL318&lt;=0,0,BS318*MAX(1,IF(G318&gt;0,AL318/G318,1))),IF(Q318&gt;0,AM318/Q318,0))/MAX(0.1,N(Parameter!$M$21)))</f>
        <v>0.00757575757575758</v>
      </c>
      <c r="AO318" s="57" t="n">
        <f aca="false">AL318*F318</f>
        <v>323.12</v>
      </c>
      <c r="AP318" s="57" t="n">
        <f aca="false">ROUNDUP(MAX(I318/IF(BV318&gt;0,BV318,MAX(0.1,N(Cockpit!$I$6))),BY318)/BQ318,0)*BQ318</f>
        <v>8</v>
      </c>
      <c r="AQ318" s="58" t="n">
        <f aca="false">IF(AN318&gt;0,I318/AN318,-1)</f>
        <v>0</v>
      </c>
      <c r="AR318" s="58" t="n">
        <f aca="false">IF(AND(OR(BU318="L1",BU318="L23"),AN318&gt;0),SUMIFS($AN$7:$AN$1576,$BU$7:$BU$1576,BU318,$AQ$7:$AQ$1576,"&gt;"&amp;AQ318)+SUMIFS($AN$7:$AN$1576,$BU$7:$BU$1576,BU318,$AQ$7:$AQ$1576,AQ318,$BO$7:$BO$1576,"&lt;="&amp;BO318),"")</f>
        <v>123.765194567735</v>
      </c>
      <c r="AS318" s="65" t="n">
        <f aca="false">IF(AR318="",0,MAX(0,MIN(1,(IF(BU318="L1",Parameter!$E$5,Parameter!$E$6+Parameter!$E$7)-(AR318-AN318))/AN318)))</f>
        <v>0</v>
      </c>
      <c r="AT318" s="57" t="n">
        <f aca="false">IF(LEFT(Cockpit!$O$5,1)="A",G318,IF(BW318=1,BX318,IF(LEFT(Cockpit!$O$5,1)="B",AX318,MAX(AX318,G318))))</f>
        <v>8</v>
      </c>
      <c r="AU318" s="57" t="n">
        <f aca="false">IF(BR318=1,0,ROUNDUP(AT318/BQ318,0))</f>
        <v>1</v>
      </c>
      <c r="AV318" s="59" t="n">
        <f aca="false">IF(CD318&gt;0,CD318*MAX(1,AT318/V318),IF(BR318=1,IF(AT318&lt;=0,0,BS318*MAX(1,IF(G318&gt;0,AT318/G318,1))),IF(Q318&gt;0,AU318/Q318,0))/MAX(0.1,N(Parameter!$M$21)))</f>
        <v>0.00757575757575758</v>
      </c>
      <c r="AW318" s="57" t="n">
        <f aca="false">AT318*F318</f>
        <v>323.12</v>
      </c>
      <c r="AX318" s="57" t="n">
        <f aca="false">ROUNDUP(MAX(I318/IF(BV318&gt;0,BV318,MAX(0.1,N(Cockpit!$O$6))),BY318)/BQ318,0)*BQ318</f>
        <v>8</v>
      </c>
      <c r="AY318" s="58" t="n">
        <f aca="false">IF(AV318&gt;0,I318/AV318,-1)</f>
        <v>0</v>
      </c>
      <c r="AZ318" s="58" t="n">
        <f aca="false">IF(AND(OR(BU318="L1",BU318="L23"),AV318&gt;0),SUMIFS($AV$7:$AV$1576,$BU$7:$BU$1576,BU318,$AY$7:$AY$1576,"&gt;"&amp;AY318)+SUMIFS($AV$7:$AV$1576,$BU$7:$BU$1576,BU318,$AY$7:$AY$1576,AY318,$BO$7:$BO$1576,"&lt;="&amp;BO318),"")</f>
        <v>113.824745017285</v>
      </c>
      <c r="BA318" s="65" t="n">
        <f aca="false">IF(AZ318="",0,MAX(0,MIN(1,(IF(BU318="L1",Parameter!$E$5,Parameter!$E$6+Parameter!$E$7)-(AZ318-AV318))/AV318)))</f>
        <v>0</v>
      </c>
      <c r="BB318" s="55" t="str">
        <f aca="false">IF(AF318&lt;=0,"",IF(BU318="Aussen","Aussenlager",IF(BU318="-","Nicht im Lift",IF(AK318&gt;=1,"Lift",IF(AK318&lt;=0,"Aussenlager","teilweise")))))</f>
        <v>Lift</v>
      </c>
      <c r="BC318" s="55" t="str">
        <f aca="false">IF(AN318&lt;=0,"",IF(BU318="Aussen","Aussenlager",IF(BU318="-","Nicht im Lift",IF(AS318&gt;=1,"Lift",IF(AS318&lt;=0,"Aussenlager","teilweise")))))</f>
        <v>Aussenlager</v>
      </c>
      <c r="BD318" s="55" t="str">
        <f aca="false">IF(AV318&lt;=0,"",IF(BU318="Aussen","Aussenlager",IF(BU318="-","Nicht im Lift",IF(BA318&gt;=1,"Lift",IF(BA318&lt;=0,"Aussenlager","teilweise")))))</f>
        <v>Aussenlager</v>
      </c>
      <c r="BE318" s="55" t="str">
        <f aca="false">IF(A318="","",IF(BN318=1,"Neu; ","")&amp;IF(AND(BN318=0,BI318&lt;0),"negativer Bestand (Export "&amp;BI318&amp;"); ","")&amp;IF(I318&lt;=0,"Kein Verbrauch; ","")&amp;IF(CD318&gt;0,"Lift "&amp;U318&amp;" lt. Liftbericht (Fach "&amp;V318&amp;" Stk); ",IF(BR318=1,"Lose – Fläche geschätzt; ",""))&amp;IF(G318&gt;AP318,"Überbestand "&amp;ROUND(G318-AP318,0)&amp;" Stk / CHF "&amp;ROUND((G318-AP318)*F318,0)&amp;"; ","")&amp;IF(AND(BW318=1,BX318&lt;BY318),"MAX &lt; MB+LG; ","")&amp;IF(AND(CC318&gt;0,CB318*10&gt;CC318),"zu hoch für Tablar; ","")&amp;IF(AND(BN318=0,OR(BW318=1,Y318&lt;&gt;"",S318&lt;&gt;"",T318&lt;&gt;"",Z318&lt;&gt;"")),"manuell übersteuert; ","")&amp;IF(AND(BR318=0,Q318=0),"Gebinde unbekannt / Stellmass fehlt; ","")&amp;IF(AND(BR318=0,N(T318)&lt;=0,N(P318)&lt;=0),"Menge pro Gebinde fehlt (Ist = 1 Gebinde); ","")&amp;BM318)</f>
        <v>Kein Verbrauch; </v>
      </c>
      <c r="BF318" s="55"/>
      <c r="BG318" s="55"/>
      <c r="BH318" s="62"/>
      <c r="BI318" s="57" t="n">
        <v>6</v>
      </c>
      <c r="BJ318" s="57" t="n">
        <v>0</v>
      </c>
      <c r="BK318" s="56" t="n">
        <v>242.34</v>
      </c>
      <c r="BL318" s="57" t="n">
        <v>0</v>
      </c>
      <c r="BM318" s="55"/>
      <c r="BN318" s="60" t="n">
        <v>0</v>
      </c>
      <c r="BO318" s="60" t="n">
        <v>318</v>
      </c>
      <c r="BP318" s="55" t="str">
        <f aca="false">IF(S318&lt;&gt;"",UPPER(TRIM(S318)),IF(O318="","LOSE",O318))</f>
        <v>S32</v>
      </c>
      <c r="BQ318" s="57" t="n">
        <f aca="false">IF(BP318="LOSE",1,IF(N(T318)&gt;0,T318,IF(N(P318)&gt;0,P318,MAX(1,G318))))</f>
        <v>8</v>
      </c>
      <c r="BR318" s="60" t="n">
        <f aca="false">IF(BP318="LOSE",1,0)</f>
        <v>0</v>
      </c>
      <c r="BS318" s="59" t="n">
        <f aca="false">IF(BR318=0,0,IF(N(R318)&gt;0,R318,IFERROR(VLOOKUP(D318,Parameter!$A$35:$C$64,3,0)+0,0)))</f>
        <v>0</v>
      </c>
      <c r="BT318" s="55" t="n">
        <f aca="false">IF(Y318&lt;&gt;"",Y318,X318)</f>
        <v>3</v>
      </c>
      <c r="BU318" s="55" t="str">
        <f aca="false">IF(BT318=1,"L1",IF(OR(BT318=2,BT318=3),"L23",IF(BT318="Aussen","Aussen","-")))</f>
        <v>L23</v>
      </c>
      <c r="BV318" s="66" t="n">
        <f aca="false">IF(N(Z318)&gt;0,Z318,0)</f>
        <v>0</v>
      </c>
      <c r="BW318" s="60" t="n">
        <f aca="false">IF(ISNUMBER(AC318),1,0)</f>
        <v>0</v>
      </c>
      <c r="BX318" s="57" t="n">
        <f aca="false">N(AC318)</f>
        <v>0</v>
      </c>
      <c r="BY318" s="57" t="n">
        <f aca="false">N(L318)+N(M318)</f>
        <v>5</v>
      </c>
      <c r="BZ318" s="57" t="n">
        <f aca="false">ROUNDUP(G318/BQ318,0)</f>
        <v>1</v>
      </c>
      <c r="CA318" s="57" t="n">
        <f aca="false">ROUNDUP(BX318/BQ318,0)</f>
        <v>0</v>
      </c>
      <c r="CB318" s="60" t="n">
        <f aca="false">IF(BR318=1,0,IFERROR(VLOOKUP(BP318,'Gebinde-Kategorie'!$A$5:$M$45,5,0)+0,0))</f>
        <v>8</v>
      </c>
      <c r="CC318" s="60" t="n">
        <f aca="false">IFERROR(IF(OR(BT318=1,BT318=2,BT318=3),N(INDEX(Parameter!$I$5:$I$7,BT318)),0),0)</f>
        <v>0</v>
      </c>
      <c r="CD318" s="59" t="n">
        <f aca="false">IF(AND(Parameter!$B$21="Ja",ISNUMBER(U318),N(V318)&gt;0),IFERROR(N(INDEX(Parameter!$L$5:$L$7,U318))*INDEX(Parameter!$E$5:$E$7,U318)*V318/SUMIFS($V$7:$V$1576,$U$7:$U$1576,U318),0),0)</f>
        <v>0</v>
      </c>
    </row>
    <row r="319" customFormat="false" ht="15" hidden="false" customHeight="false" outlineLevel="0" collapsed="false">
      <c r="A319" s="55" t="s">
        <v>792</v>
      </c>
      <c r="B319" s="55" t="s">
        <v>793</v>
      </c>
      <c r="C319" s="55" t="s">
        <v>160</v>
      </c>
      <c r="D319" s="55" t="s">
        <v>178</v>
      </c>
      <c r="E319" s="55" t="s">
        <v>210</v>
      </c>
      <c r="F319" s="56" t="n">
        <v>34.48</v>
      </c>
      <c r="G319" s="57" t="n">
        <f aca="false">MAX(0,IF(AND(Parameter!$B$21="Ja",ISNUMBER(W319)),W319,IF(Parameter!$B$20="Jahresanfang 2025 + Export",BJ319+BI319,BI319)))</f>
        <v>7</v>
      </c>
      <c r="H319" s="57" t="n">
        <f aca="false">G319*F319</f>
        <v>241.36</v>
      </c>
      <c r="I319" s="57" t="n">
        <f aca="false">BL319*Parameter!$B$18</f>
        <v>4</v>
      </c>
      <c r="J319" s="58" t="n">
        <v>48.5</v>
      </c>
      <c r="K319" s="59" t="n">
        <v>0.0824742268041237</v>
      </c>
      <c r="L319" s="57" t="n">
        <v>0</v>
      </c>
      <c r="M319" s="57" t="n">
        <v>5</v>
      </c>
      <c r="N319" s="60" t="n">
        <v>49</v>
      </c>
      <c r="O319" s="55" t="s">
        <v>293</v>
      </c>
      <c r="P319" s="57" t="n">
        <v>55</v>
      </c>
      <c r="Q319" s="60" t="n">
        <f aca="false">IF(BR319=1,0,IFERROR(VLOOKUP(BP319,'Gebinde-Kategorie'!$A$5:$M$45,13,0)+0,0))</f>
        <v>26</v>
      </c>
      <c r="R319" s="61"/>
      <c r="S319" s="62"/>
      <c r="T319" s="62"/>
      <c r="U319" s="55"/>
      <c r="V319" s="57"/>
      <c r="W319" s="57"/>
      <c r="X319" s="55" t="n">
        <f aca="false">IF(A319="","",IF(AND(Parameter!$B$21="Ja",ISNUMBER(U319)),U319,IF(IFERROR(VLOOKUP(D319,Parameter!$A$35:$C$64,2,0),"Nein")="2+3",IF(ISNUMBER(SEARCH("grosser Artikel",BM319)),2,IFERROR(VLOOKUP(BP319,Parameter!$F$35:$G$64,2,0),2)),IF(OR(IFERROR(VLOOKUP(D319,Parameter!$A$35:$C$64,2,0),"Nein")="Nein",IFERROR(VLOOKUP(D319,Parameter!$A$35:$C$64,2,0),"Nein")=""),"-",VLOOKUP(D319,Parameter!$A$35:$C$64,2,0)))))</f>
        <v>3</v>
      </c>
      <c r="Y319" s="62"/>
      <c r="Z319" s="63"/>
      <c r="AA319" s="57" t="n">
        <f aca="false">AP319</f>
        <v>55</v>
      </c>
      <c r="AB319" s="57" t="n">
        <f aca="false">MAX(AP319,G319)</f>
        <v>55</v>
      </c>
      <c r="AC319" s="64"/>
      <c r="AD319" s="57" t="n">
        <f aca="false">IF(LEFT(Cockpit!$C$5,1)="A",G319,IF(BW319=1,BX319,IF(LEFT(Cockpit!$C$5,1)="B",AH319,MAX(AH319,G319))))</f>
        <v>7</v>
      </c>
      <c r="AE319" s="57" t="n">
        <f aca="false">IF(BR319=1,0,ROUNDUP(AD319/BQ319,0))</f>
        <v>1</v>
      </c>
      <c r="AF319" s="59" t="n">
        <f aca="false">IF(CD319&gt;0,CD319*MAX(1,AD319/V319),IF(BR319=1,IF(AD319&lt;=0,0,BS319*MAX(1,IF(G319&gt;0,AD319/G319,1))),IF(Q319&gt;0,AE319/Q319,0))/MAX(0.1,N(Parameter!$M$21)))</f>
        <v>0.0384615384615385</v>
      </c>
      <c r="AG319" s="57" t="n">
        <f aca="false">AD319*F319</f>
        <v>241.36</v>
      </c>
      <c r="AH319" s="57" t="n">
        <f aca="false">ROUNDUP(MAX(I319/IF(BV319&gt;0,BV319,MAX(0.1,N(Cockpit!$C$6))),BY319)/BQ319,0)*BQ319</f>
        <v>55</v>
      </c>
      <c r="AI319" s="58" t="n">
        <f aca="false">IF(AF319&gt;0,I319/AF319,-1)</f>
        <v>104</v>
      </c>
      <c r="AJ319" s="58" t="n">
        <f aca="false">IF(AND(OR(BU319="L1",BU319="L23"),AF319&gt;0),SUMIFS($AF$7:$AF$1576,$BU$7:$BU$1576,BU319,$AI$7:$AI$1576,"&gt;"&amp;AI319)+SUMIFS($AF$7:$AF$1576,$BU$7:$BU$1576,BU319,$AI$7:$AI$1576,AI319,$BO$7:$BO$1576,"&lt;="&amp;BO319),"")</f>
        <v>22.4618202087767</v>
      </c>
      <c r="AK319" s="65" t="n">
        <f aca="false">IF(AJ319="",0,MAX(0,MIN(1,(IF(BU319="L1",Parameter!$E$5,Parameter!$E$6+Parameter!$E$7)-(AJ319-AF319))/AF319)))</f>
        <v>1</v>
      </c>
      <c r="AL319" s="57" t="n">
        <f aca="false">IF(LEFT(Cockpit!$I$5,1)="A",G319,IF(BW319=1,BX319,IF(LEFT(Cockpit!$I$5,1)="B",AP319,MAX(AP319,G319))))</f>
        <v>55</v>
      </c>
      <c r="AM319" s="57" t="n">
        <f aca="false">IF(BR319=1,0,ROUNDUP(AL319/BQ319,0))</f>
        <v>1</v>
      </c>
      <c r="AN319" s="59" t="n">
        <f aca="false">IF(CD319&gt;0,CD319*MAX(1,AL319/V319),IF(BR319=1,IF(AL319&lt;=0,0,BS319*MAX(1,IF(G319&gt;0,AL319/G319,1))),IF(Q319&gt;0,AM319/Q319,0))/MAX(0.1,N(Parameter!$M$21)))</f>
        <v>0.0384615384615385</v>
      </c>
      <c r="AO319" s="57" t="n">
        <f aca="false">AL319*F319</f>
        <v>1896.4</v>
      </c>
      <c r="AP319" s="57" t="n">
        <f aca="false">ROUNDUP(MAX(I319/IF(BV319&gt;0,BV319,MAX(0.1,N(Cockpit!$I$6))),BY319)/BQ319,0)*BQ319</f>
        <v>55</v>
      </c>
      <c r="AQ319" s="58" t="n">
        <f aca="false">IF(AN319&gt;0,I319/AN319,-1)</f>
        <v>104</v>
      </c>
      <c r="AR319" s="58" t="n">
        <f aca="false">IF(AND(OR(BU319="L1",BU319="L23"),AN319&gt;0),SUMIFS($AN$7:$AN$1576,$BU$7:$BU$1576,BU319,$AQ$7:$AQ$1576,"&gt;"&amp;AQ319)+SUMIFS($AN$7:$AN$1576,$BU$7:$BU$1576,BU319,$AQ$7:$AQ$1576,AQ319,$BO$7:$BO$1576,"&lt;="&amp;BO319),"")</f>
        <v>68.5803677666289</v>
      </c>
      <c r="AS319" s="65" t="n">
        <f aca="false">IF(AR319="",0,MAX(0,MIN(1,(IF(BU319="L1",Parameter!$E$5,Parameter!$E$6+Parameter!$E$7)-(AR319-AN319))/AN319)))</f>
        <v>1</v>
      </c>
      <c r="AT319" s="57" t="n">
        <f aca="false">IF(LEFT(Cockpit!$O$5,1)="A",G319,IF(BW319=1,BX319,IF(LEFT(Cockpit!$O$5,1)="B",AX319,MAX(AX319,G319))))</f>
        <v>55</v>
      </c>
      <c r="AU319" s="57" t="n">
        <f aca="false">IF(BR319=1,0,ROUNDUP(AT319/BQ319,0))</f>
        <v>1</v>
      </c>
      <c r="AV319" s="59" t="n">
        <f aca="false">IF(CD319&gt;0,CD319*MAX(1,AT319/V319),IF(BR319=1,IF(AT319&lt;=0,0,BS319*MAX(1,IF(G319&gt;0,AT319/G319,1))),IF(Q319&gt;0,AU319/Q319,0))/MAX(0.1,N(Parameter!$M$21)))</f>
        <v>0.0384615384615385</v>
      </c>
      <c r="AW319" s="57" t="n">
        <f aca="false">AT319*F319</f>
        <v>1896.4</v>
      </c>
      <c r="AX319" s="57" t="n">
        <f aca="false">ROUNDUP(MAX(I319/IF(BV319&gt;0,BV319,MAX(0.1,N(Cockpit!$O$6))),BY319)/BQ319,0)*BQ319</f>
        <v>55</v>
      </c>
      <c r="AY319" s="58" t="n">
        <f aca="false">IF(AV319&gt;0,I319/AV319,-1)</f>
        <v>104</v>
      </c>
      <c r="AZ319" s="58" t="n">
        <f aca="false">IF(AND(OR(BU319="L1",BU319="L23"),AV319&gt;0),SUMIFS($AV$7:$AV$1576,$BU$7:$BU$1576,BU319,$AY$7:$AY$1576,"&gt;"&amp;AY319)+SUMIFS($AV$7:$AV$1576,$BU$7:$BU$1576,BU319,$AY$7:$AY$1576,AY319,$BO$7:$BO$1576,"&lt;="&amp;BO319),"")</f>
        <v>63.1407515495127</v>
      </c>
      <c r="BA319" s="65" t="n">
        <f aca="false">IF(AZ319="",0,MAX(0,MIN(1,(IF(BU319="L1",Parameter!$E$5,Parameter!$E$6+Parameter!$E$7)-(AZ319-AV319))/AV319)))</f>
        <v>1</v>
      </c>
      <c r="BB319" s="55" t="str">
        <f aca="false">IF(AF319&lt;=0,"",IF(BU319="Aussen","Aussenlager",IF(BU319="-","Nicht im Lift",IF(AK319&gt;=1,"Lift",IF(AK319&lt;=0,"Aussenlager","teilweise")))))</f>
        <v>Lift</v>
      </c>
      <c r="BC319" s="55" t="str">
        <f aca="false">IF(AN319&lt;=0,"",IF(BU319="Aussen","Aussenlager",IF(BU319="-","Nicht im Lift",IF(AS319&gt;=1,"Lift",IF(AS319&lt;=0,"Aussenlager","teilweise")))))</f>
        <v>Lift</v>
      </c>
      <c r="BD319" s="55" t="str">
        <f aca="false">IF(AV319&lt;=0,"",IF(BU319="Aussen","Aussenlager",IF(BU319="-","Nicht im Lift",IF(BA319&gt;=1,"Lift",IF(BA319&lt;=0,"Aussenlager","teilweise")))))</f>
        <v>Lift</v>
      </c>
      <c r="BE319" s="55" t="str">
        <f aca="false">IF(A319="","",IF(BN319=1,"Neu; ","")&amp;IF(AND(BN319=0,BI319&lt;0),"negativer Bestand (Export "&amp;BI319&amp;"); ","")&amp;IF(I319&lt;=0,"Kein Verbrauch; ","")&amp;IF(CD319&gt;0,"Lift "&amp;U319&amp;" lt. Liftbericht (Fach "&amp;V319&amp;" Stk); ",IF(BR319=1,"Lose – Fläche geschätzt; ",""))&amp;IF(G319&gt;AP319,"Überbestand "&amp;ROUND(G319-AP319,0)&amp;" Stk / CHF "&amp;ROUND((G319-AP319)*F319,0)&amp;"; ","")&amp;IF(AND(BW319=1,BX319&lt;BY319),"MAX &lt; MB+LG; ","")&amp;IF(AND(CC319&gt;0,CB319*10&gt;CC319),"zu hoch für Tablar; ","")&amp;IF(AND(BN319=0,OR(BW319=1,Y319&lt;&gt;"",S319&lt;&gt;"",T319&lt;&gt;"",Z319&lt;&gt;"")),"manuell übersteuert; ","")&amp;IF(AND(BR319=0,Q319=0),"Gebinde unbekannt / Stellmass fehlt; ","")&amp;IF(AND(BR319=0,N(T319)&lt;=0,N(P319)&lt;=0),"Menge pro Gebinde fehlt (Ist = 1 Gebinde); ","")&amp;BM319)</f>
        <v>i.o</v>
      </c>
      <c r="BF319" s="55"/>
      <c r="BG319" s="55"/>
      <c r="BH319" s="62"/>
      <c r="BI319" s="57" t="n">
        <v>7</v>
      </c>
      <c r="BJ319" s="57" t="n">
        <v>45</v>
      </c>
      <c r="BK319" s="56" t="n">
        <v>241.36</v>
      </c>
      <c r="BL319" s="57" t="n">
        <v>4</v>
      </c>
      <c r="BM319" s="55" t="s">
        <v>525</v>
      </c>
      <c r="BN319" s="60" t="n">
        <v>0</v>
      </c>
      <c r="BO319" s="60" t="n">
        <v>319</v>
      </c>
      <c r="BP319" s="55" t="str">
        <f aca="false">IF(S319&lt;&gt;"",UPPER(TRIM(S319)),IF(O319="","LOSE",O319))</f>
        <v>S51</v>
      </c>
      <c r="BQ319" s="57" t="n">
        <f aca="false">IF(BP319="LOSE",1,IF(N(T319)&gt;0,T319,IF(N(P319)&gt;0,P319,MAX(1,G319))))</f>
        <v>55</v>
      </c>
      <c r="BR319" s="60" t="n">
        <f aca="false">IF(BP319="LOSE",1,0)</f>
        <v>0</v>
      </c>
      <c r="BS319" s="59" t="n">
        <f aca="false">IF(BR319=0,0,IF(N(R319)&gt;0,R319,IFERROR(VLOOKUP(D319,Parameter!$A$35:$C$64,3,0)+0,0)))</f>
        <v>0</v>
      </c>
      <c r="BT319" s="55" t="n">
        <f aca="false">IF(Y319&lt;&gt;"",Y319,X319)</f>
        <v>3</v>
      </c>
      <c r="BU319" s="55" t="str">
        <f aca="false">IF(BT319=1,"L1",IF(OR(BT319=2,BT319=3),"L23",IF(BT319="Aussen","Aussen","-")))</f>
        <v>L23</v>
      </c>
      <c r="BV319" s="66" t="n">
        <f aca="false">IF(N(Z319)&gt;0,Z319,0)</f>
        <v>0</v>
      </c>
      <c r="BW319" s="60" t="n">
        <f aca="false">IF(ISNUMBER(AC319),1,0)</f>
        <v>0</v>
      </c>
      <c r="BX319" s="57" t="n">
        <f aca="false">N(AC319)</f>
        <v>0</v>
      </c>
      <c r="BY319" s="57" t="n">
        <f aca="false">N(L319)+N(M319)</f>
        <v>5</v>
      </c>
      <c r="BZ319" s="57" t="n">
        <f aca="false">ROUNDUP(G319/BQ319,0)</f>
        <v>1</v>
      </c>
      <c r="CA319" s="57" t="n">
        <f aca="false">ROUNDUP(BX319/BQ319,0)</f>
        <v>0</v>
      </c>
      <c r="CB319" s="60" t="n">
        <f aca="false">IF(BR319=1,0,IFERROR(VLOOKUP(BP319,'Gebinde-Kategorie'!$A$5:$M$45,5,0)+0,0))</f>
        <v>11</v>
      </c>
      <c r="CC319" s="60" t="n">
        <f aca="false">IFERROR(IF(OR(BT319=1,BT319=2,BT319=3),N(INDEX(Parameter!$I$5:$I$7,BT319)),0),0)</f>
        <v>0</v>
      </c>
      <c r="CD319" s="59" t="n">
        <f aca="false">IF(AND(Parameter!$B$21="Ja",ISNUMBER(U319),N(V319)&gt;0),IFERROR(N(INDEX(Parameter!$L$5:$L$7,U319))*INDEX(Parameter!$E$5:$E$7,U319)*V319/SUMIFS($V$7:$V$1576,$U$7:$U$1576,U319),0),0)</f>
        <v>0</v>
      </c>
    </row>
    <row r="320" customFormat="false" ht="15" hidden="false" customHeight="false" outlineLevel="0" collapsed="false">
      <c r="A320" s="55" t="s">
        <v>794</v>
      </c>
      <c r="B320" s="55" t="s">
        <v>795</v>
      </c>
      <c r="C320" s="55" t="s">
        <v>160</v>
      </c>
      <c r="D320" s="55" t="s">
        <v>178</v>
      </c>
      <c r="E320" s="55" t="s">
        <v>210</v>
      </c>
      <c r="F320" s="56" t="n">
        <v>32.38</v>
      </c>
      <c r="G320" s="57" t="n">
        <f aca="false">MAX(0,IF(AND(Parameter!$B$21="Ja",ISNUMBER(W320)),W320,IF(Parameter!$B$20="Jahresanfang 2025 + Export",BJ320+BI320,BI320)))</f>
        <v>7</v>
      </c>
      <c r="H320" s="57" t="n">
        <f aca="false">G320*F320</f>
        <v>226.66</v>
      </c>
      <c r="I320" s="57" t="n">
        <f aca="false">BL320*Parameter!$B$18</f>
        <v>10</v>
      </c>
      <c r="J320" s="58" t="n">
        <v>10</v>
      </c>
      <c r="K320" s="59" t="n">
        <v>1</v>
      </c>
      <c r="L320" s="57" t="n">
        <v>0</v>
      </c>
      <c r="M320" s="57" t="n">
        <v>10</v>
      </c>
      <c r="N320" s="60" t="n">
        <v>28</v>
      </c>
      <c r="O320" s="55" t="s">
        <v>411</v>
      </c>
      <c r="P320" s="57" t="n">
        <v>9</v>
      </c>
      <c r="Q320" s="60" t="n">
        <f aca="false">IF(BR320=1,0,IFERROR(VLOOKUP(BP320,'Gebinde-Kategorie'!$A$5:$M$45,13,0)+0,0))</f>
        <v>132</v>
      </c>
      <c r="R320" s="61"/>
      <c r="S320" s="62"/>
      <c r="T320" s="62"/>
      <c r="U320" s="55"/>
      <c r="V320" s="57"/>
      <c r="W320" s="57"/>
      <c r="X320" s="55" t="n">
        <f aca="false">IF(A320="","",IF(AND(Parameter!$B$21="Ja",ISNUMBER(U320)),U320,IF(IFERROR(VLOOKUP(D320,Parameter!$A$35:$C$64,2,0),"Nein")="2+3",IF(ISNUMBER(SEARCH("grosser Artikel",BM320)),2,IFERROR(VLOOKUP(BP320,Parameter!$F$35:$G$64,2,0),2)),IF(OR(IFERROR(VLOOKUP(D320,Parameter!$A$35:$C$64,2,0),"Nein")="Nein",IFERROR(VLOOKUP(D320,Parameter!$A$35:$C$64,2,0),"Nein")=""),"-",VLOOKUP(D320,Parameter!$A$35:$C$64,2,0)))))</f>
        <v>3</v>
      </c>
      <c r="Y320" s="62"/>
      <c r="Z320" s="63"/>
      <c r="AA320" s="57" t="n">
        <f aca="false">AP320</f>
        <v>18</v>
      </c>
      <c r="AB320" s="57" t="n">
        <f aca="false">MAX(AP320,G320)</f>
        <v>18</v>
      </c>
      <c r="AC320" s="64"/>
      <c r="AD320" s="57" t="n">
        <f aca="false">IF(LEFT(Cockpit!$C$5,1)="A",G320,IF(BW320=1,BX320,IF(LEFT(Cockpit!$C$5,1)="B",AH320,MAX(AH320,G320))))</f>
        <v>7</v>
      </c>
      <c r="AE320" s="57" t="n">
        <f aca="false">IF(BR320=1,0,ROUNDUP(AD320/BQ320,0))</f>
        <v>1</v>
      </c>
      <c r="AF320" s="59" t="n">
        <f aca="false">IF(CD320&gt;0,CD320*MAX(1,AD320/V320),IF(BR320=1,IF(AD320&lt;=0,0,BS320*MAX(1,IF(G320&gt;0,AD320/G320,1))),IF(Q320&gt;0,AE320/Q320,0))/MAX(0.1,N(Parameter!$M$21)))</f>
        <v>0.00757575757575758</v>
      </c>
      <c r="AG320" s="57" t="n">
        <f aca="false">AD320*F320</f>
        <v>226.66</v>
      </c>
      <c r="AH320" s="57" t="n">
        <f aca="false">ROUNDUP(MAX(I320/IF(BV320&gt;0,BV320,MAX(0.1,N(Cockpit!$C$6))),BY320)/BQ320,0)*BQ320</f>
        <v>18</v>
      </c>
      <c r="AI320" s="58" t="n">
        <f aca="false">IF(AF320&gt;0,I320/AF320,-1)</f>
        <v>1320</v>
      </c>
      <c r="AJ320" s="58" t="n">
        <f aca="false">IF(AND(OR(BU320="L1",BU320="L23"),AF320&gt;0),SUMIFS($AF$7:$AF$1576,$BU$7:$BU$1576,BU320,$AI$7:$AI$1576,"&gt;"&amp;AI320)+SUMIFS($AF$7:$AF$1576,$BU$7:$BU$1576,BU320,$AI$7:$AI$1576,AI320,$BO$7:$BO$1576,"&lt;="&amp;BO320),"")</f>
        <v>8.27741427654471</v>
      </c>
      <c r="AK320" s="65" t="n">
        <f aca="false">IF(AJ320="",0,MAX(0,MIN(1,(IF(BU320="L1",Parameter!$E$5,Parameter!$E$6+Parameter!$E$7)-(AJ320-AF320))/AF320)))</f>
        <v>1</v>
      </c>
      <c r="AL320" s="57" t="n">
        <f aca="false">IF(LEFT(Cockpit!$I$5,1)="A",G320,IF(BW320=1,BX320,IF(LEFT(Cockpit!$I$5,1)="B",AP320,MAX(AP320,G320))))</f>
        <v>18</v>
      </c>
      <c r="AM320" s="57" t="n">
        <f aca="false">IF(BR320=1,0,ROUNDUP(AL320/BQ320,0))</f>
        <v>2</v>
      </c>
      <c r="AN320" s="59" t="n">
        <f aca="false">IF(CD320&gt;0,CD320*MAX(1,AL320/V320),IF(BR320=1,IF(AL320&lt;=0,0,BS320*MAX(1,IF(G320&gt;0,AL320/G320,1))),IF(Q320&gt;0,AM320/Q320,0))/MAX(0.1,N(Parameter!$M$21)))</f>
        <v>0.0151515151515152</v>
      </c>
      <c r="AO320" s="57" t="n">
        <f aca="false">AL320*F320</f>
        <v>582.84</v>
      </c>
      <c r="AP320" s="57" t="n">
        <f aca="false">ROUNDUP(MAX(I320/IF(BV320&gt;0,BV320,MAX(0.1,N(Cockpit!$I$6))),BY320)/BQ320,0)*BQ320</f>
        <v>18</v>
      </c>
      <c r="AQ320" s="58" t="n">
        <f aca="false">IF(AN320&gt;0,I320/AN320,-1)</f>
        <v>660</v>
      </c>
      <c r="AR320" s="58" t="n">
        <f aca="false">IF(AND(OR(BU320="L1",BU320="L23"),AN320&gt;0),SUMIFS($AN$7:$AN$1576,$BU$7:$BU$1576,BU320,$AQ$7:$AQ$1576,"&gt;"&amp;AQ320)+SUMIFS($AN$7:$AN$1576,$BU$7:$BU$1576,BU320,$AQ$7:$AQ$1576,AQ320,$BO$7:$BO$1576,"&lt;="&amp;BO320),"")</f>
        <v>29.7394773466624</v>
      </c>
      <c r="AS320" s="65" t="n">
        <f aca="false">IF(AR320="",0,MAX(0,MIN(1,(IF(BU320="L1",Parameter!$E$5,Parameter!$E$6+Parameter!$E$7)-(AR320-AN320))/AN320)))</f>
        <v>1</v>
      </c>
      <c r="AT320" s="57" t="n">
        <f aca="false">IF(LEFT(Cockpit!$O$5,1)="A",G320,IF(BW320=1,BX320,IF(LEFT(Cockpit!$O$5,1)="B",AX320,MAX(AX320,G320))))</f>
        <v>18</v>
      </c>
      <c r="AU320" s="57" t="n">
        <f aca="false">IF(BR320=1,0,ROUNDUP(AT320/BQ320,0))</f>
        <v>2</v>
      </c>
      <c r="AV320" s="59" t="n">
        <f aca="false">IF(CD320&gt;0,CD320*MAX(1,AT320/V320),IF(BR320=1,IF(AT320&lt;=0,0,BS320*MAX(1,IF(G320&gt;0,AT320/G320,1))),IF(Q320&gt;0,AU320/Q320,0))/MAX(0.1,N(Parameter!$M$21)))</f>
        <v>0.0151515151515152</v>
      </c>
      <c r="AW320" s="57" t="n">
        <f aca="false">AT320*F320</f>
        <v>582.84</v>
      </c>
      <c r="AX320" s="57" t="n">
        <f aca="false">ROUNDUP(MAX(I320/IF(BV320&gt;0,BV320,MAX(0.1,N(Cockpit!$O$6))),BY320)/BQ320,0)*BQ320</f>
        <v>18</v>
      </c>
      <c r="AY320" s="58" t="n">
        <f aca="false">IF(AV320&gt;0,I320/AV320,-1)</f>
        <v>660</v>
      </c>
      <c r="AZ320" s="58" t="n">
        <f aca="false">IF(AND(OR(BU320="L1",BU320="L23"),AV320&gt;0),SUMIFS($AV$7:$AV$1576,$BU$7:$BU$1576,BU320,$AY$7:$AY$1576,"&gt;"&amp;AY320)+SUMIFS($AV$7:$AV$1576,$BU$7:$BU$1576,BU320,$AY$7:$AY$1576,AY320,$BO$7:$BO$1576,"&lt;="&amp;BO320),"")</f>
        <v>29.4507793779644</v>
      </c>
      <c r="BA320" s="65" t="n">
        <f aca="false">IF(AZ320="",0,MAX(0,MIN(1,(IF(BU320="L1",Parameter!$E$5,Parameter!$E$6+Parameter!$E$7)-(AZ320-AV320))/AV320)))</f>
        <v>1</v>
      </c>
      <c r="BB320" s="55" t="str">
        <f aca="false">IF(AF320&lt;=0,"",IF(BU320="Aussen","Aussenlager",IF(BU320="-","Nicht im Lift",IF(AK320&gt;=1,"Lift",IF(AK320&lt;=0,"Aussenlager","teilweise")))))</f>
        <v>Lift</v>
      </c>
      <c r="BC320" s="55" t="str">
        <f aca="false">IF(AN320&lt;=0,"",IF(BU320="Aussen","Aussenlager",IF(BU320="-","Nicht im Lift",IF(AS320&gt;=1,"Lift",IF(AS320&lt;=0,"Aussenlager","teilweise")))))</f>
        <v>Lift</v>
      </c>
      <c r="BD320" s="55" t="str">
        <f aca="false">IF(AV320&lt;=0,"",IF(BU320="Aussen","Aussenlager",IF(BU320="-","Nicht im Lift",IF(BA320&gt;=1,"Lift",IF(BA320&lt;=0,"Aussenlager","teilweise")))))</f>
        <v>Lift</v>
      </c>
      <c r="BE320" s="55" t="str">
        <f aca="false">IF(A320="","",IF(BN320=1,"Neu; ","")&amp;IF(AND(BN320=0,BI320&lt;0),"negativer Bestand (Export "&amp;BI320&amp;"); ","")&amp;IF(I320&lt;=0,"Kein Verbrauch; ","")&amp;IF(CD320&gt;0,"Lift "&amp;U320&amp;" lt. Liftbericht (Fach "&amp;V320&amp;" Stk); ",IF(BR320=1,"Lose – Fläche geschätzt; ",""))&amp;IF(G320&gt;AP320,"Überbestand "&amp;ROUND(G320-AP320,0)&amp;" Stk / CHF "&amp;ROUND((G320-AP320)*F320,0)&amp;"; ","")&amp;IF(AND(BW320=1,BX320&lt;BY320),"MAX &lt; MB+LG; ","")&amp;IF(AND(CC320&gt;0,CB320*10&gt;CC320),"zu hoch für Tablar; ","")&amp;IF(AND(BN320=0,OR(BW320=1,Y320&lt;&gt;"",S320&lt;&gt;"",T320&lt;&gt;"",Z320&lt;&gt;"")),"manuell übersteuert; ","")&amp;IF(AND(BR320=0,Q320=0),"Gebinde unbekannt / Stellmass fehlt; ","")&amp;IF(AND(BR320=0,N(T320)&lt;=0,N(P320)&lt;=0),"Menge pro Gebinde fehlt (Ist = 1 Gebinde); ","")&amp;BM320)</f>
        <v/>
      </c>
      <c r="BF320" s="55"/>
      <c r="BG320" s="55"/>
      <c r="BH320" s="62"/>
      <c r="BI320" s="57" t="n">
        <v>7</v>
      </c>
      <c r="BJ320" s="57" t="n">
        <v>5</v>
      </c>
      <c r="BK320" s="56" t="n">
        <v>238.56</v>
      </c>
      <c r="BL320" s="57" t="n">
        <v>10</v>
      </c>
      <c r="BM320" s="55"/>
      <c r="BN320" s="60" t="n">
        <v>0</v>
      </c>
      <c r="BO320" s="60" t="n">
        <v>320</v>
      </c>
      <c r="BP320" s="55" t="str">
        <f aca="false">IF(S320&lt;&gt;"",UPPER(TRIM(S320)),IF(O320="","LOSE",O320))</f>
        <v>S32</v>
      </c>
      <c r="BQ320" s="57" t="n">
        <f aca="false">IF(BP320="LOSE",1,IF(N(T320)&gt;0,T320,IF(N(P320)&gt;0,P320,MAX(1,G320))))</f>
        <v>9</v>
      </c>
      <c r="BR320" s="60" t="n">
        <f aca="false">IF(BP320="LOSE",1,0)</f>
        <v>0</v>
      </c>
      <c r="BS320" s="59" t="n">
        <f aca="false">IF(BR320=0,0,IF(N(R320)&gt;0,R320,IFERROR(VLOOKUP(D320,Parameter!$A$35:$C$64,3,0)+0,0)))</f>
        <v>0</v>
      </c>
      <c r="BT320" s="55" t="n">
        <f aca="false">IF(Y320&lt;&gt;"",Y320,X320)</f>
        <v>3</v>
      </c>
      <c r="BU320" s="55" t="str">
        <f aca="false">IF(BT320=1,"L1",IF(OR(BT320=2,BT320=3),"L23",IF(BT320="Aussen","Aussen","-")))</f>
        <v>L23</v>
      </c>
      <c r="BV320" s="66" t="n">
        <f aca="false">IF(N(Z320)&gt;0,Z320,0)</f>
        <v>0</v>
      </c>
      <c r="BW320" s="60" t="n">
        <f aca="false">IF(ISNUMBER(AC320),1,0)</f>
        <v>0</v>
      </c>
      <c r="BX320" s="57" t="n">
        <f aca="false">N(AC320)</f>
        <v>0</v>
      </c>
      <c r="BY320" s="57" t="n">
        <f aca="false">N(L320)+N(M320)</f>
        <v>10</v>
      </c>
      <c r="BZ320" s="57" t="n">
        <f aca="false">ROUNDUP(G320/BQ320,0)</f>
        <v>1</v>
      </c>
      <c r="CA320" s="57" t="n">
        <f aca="false">ROUNDUP(BX320/BQ320,0)</f>
        <v>0</v>
      </c>
      <c r="CB320" s="60" t="n">
        <f aca="false">IF(BR320=1,0,IFERROR(VLOOKUP(BP320,'Gebinde-Kategorie'!$A$5:$M$45,5,0)+0,0))</f>
        <v>8</v>
      </c>
      <c r="CC320" s="60" t="n">
        <f aca="false">IFERROR(IF(OR(BT320=1,BT320=2,BT320=3),N(INDEX(Parameter!$I$5:$I$7,BT320)),0),0)</f>
        <v>0</v>
      </c>
      <c r="CD320" s="59" t="n">
        <f aca="false">IF(AND(Parameter!$B$21="Ja",ISNUMBER(U320),N(V320)&gt;0),IFERROR(N(INDEX(Parameter!$L$5:$L$7,U320))*INDEX(Parameter!$E$5:$E$7,U320)*V320/SUMIFS($V$7:$V$1576,$U$7:$U$1576,U320),0),0)</f>
        <v>0</v>
      </c>
    </row>
    <row r="321" customFormat="false" ht="15" hidden="false" customHeight="false" outlineLevel="0" collapsed="false">
      <c r="A321" s="55" t="s">
        <v>796</v>
      </c>
      <c r="B321" s="55" t="s">
        <v>797</v>
      </c>
      <c r="C321" s="55" t="s">
        <v>160</v>
      </c>
      <c r="D321" s="55" t="s">
        <v>178</v>
      </c>
      <c r="E321" s="55" t="s">
        <v>210</v>
      </c>
      <c r="F321" s="56" t="n">
        <v>3.64</v>
      </c>
      <c r="G321" s="57" t="n">
        <f aca="false">MAX(0,IF(AND(Parameter!$B$21="Ja",ISNUMBER(W321)),W321,IF(Parameter!$B$20="Jahresanfang 2025 + Export",BJ321+BI321,BI321)))</f>
        <v>137</v>
      </c>
      <c r="H321" s="57" t="n">
        <f aca="false">G321*F321</f>
        <v>498.68</v>
      </c>
      <c r="I321" s="57" t="n">
        <f aca="false">BL321*Parameter!$B$18</f>
        <v>198</v>
      </c>
      <c r="J321" s="58" t="n">
        <v>76</v>
      </c>
      <c r="K321" s="59" t="n">
        <v>2.60526315789474</v>
      </c>
      <c r="L321" s="57" t="n">
        <v>49</v>
      </c>
      <c r="M321" s="57" t="n">
        <v>200</v>
      </c>
      <c r="N321" s="60" t="n">
        <v>60</v>
      </c>
      <c r="O321" s="55" t="s">
        <v>319</v>
      </c>
      <c r="P321" s="57" t="n">
        <v>280</v>
      </c>
      <c r="Q321" s="60" t="n">
        <f aca="false">IF(BR321=1,0,IFERROR(VLOOKUP(BP321,'Gebinde-Kategorie'!$A$5:$M$45,13,0)+0,0))</f>
        <v>52</v>
      </c>
      <c r="R321" s="61"/>
      <c r="S321" s="62"/>
      <c r="T321" s="62"/>
      <c r="U321" s="55"/>
      <c r="V321" s="57"/>
      <c r="W321" s="57"/>
      <c r="X321" s="55" t="n">
        <f aca="false">IF(A321="","",IF(AND(Parameter!$B$21="Ja",ISNUMBER(U321)),U321,IF(IFERROR(VLOOKUP(D321,Parameter!$A$35:$C$64,2,0),"Nein")="2+3",IF(ISNUMBER(SEARCH("grosser Artikel",BM321)),2,IFERROR(VLOOKUP(BP321,Parameter!$F$35:$G$64,2,0),2)),IF(OR(IFERROR(VLOOKUP(D321,Parameter!$A$35:$C$64,2,0),"Nein")="Nein",IFERROR(VLOOKUP(D321,Parameter!$A$35:$C$64,2,0),"Nein")=""),"-",VLOOKUP(D321,Parameter!$A$35:$C$64,2,0)))))</f>
        <v>3</v>
      </c>
      <c r="Y321" s="62"/>
      <c r="Z321" s="63"/>
      <c r="AA321" s="57" t="n">
        <f aca="false">AP321</f>
        <v>280</v>
      </c>
      <c r="AB321" s="57" t="n">
        <f aca="false">MAX(AP321,G321)</f>
        <v>280</v>
      </c>
      <c r="AC321" s="64"/>
      <c r="AD321" s="57" t="n">
        <f aca="false">IF(LEFT(Cockpit!$C$5,1)="A",G321,IF(BW321=1,BX321,IF(LEFT(Cockpit!$C$5,1)="B",AH321,MAX(AH321,G321))))</f>
        <v>137</v>
      </c>
      <c r="AE321" s="57" t="n">
        <f aca="false">IF(BR321=1,0,ROUNDUP(AD321/BQ321,0))</f>
        <v>1</v>
      </c>
      <c r="AF321" s="59" t="n">
        <f aca="false">IF(CD321&gt;0,CD321*MAX(1,AD321/V321),IF(BR321=1,IF(AD321&lt;=0,0,BS321*MAX(1,IF(G321&gt;0,AD321/G321,1))),IF(Q321&gt;0,AE321/Q321,0))/MAX(0.1,N(Parameter!$M$21)))</f>
        <v>0.0192307692307692</v>
      </c>
      <c r="AG321" s="57" t="n">
        <f aca="false">AD321*F321</f>
        <v>498.68</v>
      </c>
      <c r="AH321" s="57" t="n">
        <f aca="false">ROUNDUP(MAX(I321/IF(BV321&gt;0,BV321,MAX(0.1,N(Cockpit!$C$6))),BY321)/BQ321,0)*BQ321</f>
        <v>280</v>
      </c>
      <c r="AI321" s="58" t="n">
        <f aca="false">IF(AF321&gt;0,I321/AF321,-1)</f>
        <v>10296</v>
      </c>
      <c r="AJ321" s="58" t="n">
        <f aca="false">IF(AND(OR(BU321="L1",BU321="L23"),AF321&gt;0),SUMIFS($AF$7:$AF$1576,$BU$7:$BU$1576,BU321,$AI$7:$AI$1576,"&gt;"&amp;AI321)+SUMIFS($AF$7:$AF$1576,$BU$7:$BU$1576,BU321,$AI$7:$AI$1576,AI321,$BO$7:$BO$1576,"&lt;="&amp;BO321),"")</f>
        <v>2.45093071180028</v>
      </c>
      <c r="AK321" s="65" t="n">
        <f aca="false">IF(AJ321="",0,MAX(0,MIN(1,(IF(BU321="L1",Parameter!$E$5,Parameter!$E$6+Parameter!$E$7)-(AJ321-AF321))/AF321)))</f>
        <v>1</v>
      </c>
      <c r="AL321" s="57" t="n">
        <f aca="false">IF(LEFT(Cockpit!$I$5,1)="A",G321,IF(BW321=1,BX321,IF(LEFT(Cockpit!$I$5,1)="B",AP321,MAX(AP321,G321))))</f>
        <v>280</v>
      </c>
      <c r="AM321" s="57" t="n">
        <f aca="false">IF(BR321=1,0,ROUNDUP(AL321/BQ321,0))</f>
        <v>1</v>
      </c>
      <c r="AN321" s="59" t="n">
        <f aca="false">IF(CD321&gt;0,CD321*MAX(1,AL321/V321),IF(BR321=1,IF(AL321&lt;=0,0,BS321*MAX(1,IF(G321&gt;0,AL321/G321,1))),IF(Q321&gt;0,AM321/Q321,0))/MAX(0.1,N(Parameter!$M$21)))</f>
        <v>0.0192307692307692</v>
      </c>
      <c r="AO321" s="57" t="n">
        <f aca="false">AL321*F321</f>
        <v>1019.2</v>
      </c>
      <c r="AP321" s="57" t="n">
        <f aca="false">ROUNDUP(MAX(I321/IF(BV321&gt;0,BV321,MAX(0.1,N(Cockpit!$I$6))),BY321)/BQ321,0)*BQ321</f>
        <v>280</v>
      </c>
      <c r="AQ321" s="58" t="n">
        <f aca="false">IF(AN321&gt;0,I321/AN321,-1)</f>
        <v>10296</v>
      </c>
      <c r="AR321" s="58" t="n">
        <f aca="false">IF(AND(OR(BU321="L1",BU321="L23"),AN321&gt;0),SUMIFS($AN$7:$AN$1576,$BU$7:$BU$1576,BU321,$AQ$7:$AQ$1576,"&gt;"&amp;AQ321)+SUMIFS($AN$7:$AN$1576,$BU$7:$BU$1576,BU321,$AQ$7:$AQ$1576,AQ321,$BO$7:$BO$1576,"&lt;="&amp;BO321),"")</f>
        <v>7.08454342758691</v>
      </c>
      <c r="AS321" s="65" t="n">
        <f aca="false">IF(AR321="",0,MAX(0,MIN(1,(IF(BU321="L1",Parameter!$E$5,Parameter!$E$6+Parameter!$E$7)-(AR321-AN321))/AN321)))</f>
        <v>1</v>
      </c>
      <c r="AT321" s="57" t="n">
        <f aca="false">IF(LEFT(Cockpit!$O$5,1)="A",G321,IF(BW321=1,BX321,IF(LEFT(Cockpit!$O$5,1)="B",AX321,MAX(AX321,G321))))</f>
        <v>280</v>
      </c>
      <c r="AU321" s="57" t="n">
        <f aca="false">IF(BR321=1,0,ROUNDUP(AT321/BQ321,0))</f>
        <v>1</v>
      </c>
      <c r="AV321" s="59" t="n">
        <f aca="false">IF(CD321&gt;0,CD321*MAX(1,AT321/V321),IF(BR321=1,IF(AT321&lt;=0,0,BS321*MAX(1,IF(G321&gt;0,AT321/G321,1))),IF(Q321&gt;0,AU321/Q321,0))/MAX(0.1,N(Parameter!$M$21)))</f>
        <v>0.0192307692307692</v>
      </c>
      <c r="AW321" s="57" t="n">
        <f aca="false">AT321*F321</f>
        <v>1019.2</v>
      </c>
      <c r="AX321" s="57" t="n">
        <f aca="false">ROUNDUP(MAX(I321/IF(BV321&gt;0,BV321,MAX(0.1,N(Cockpit!$O$6))),BY321)/BQ321,0)*BQ321</f>
        <v>280</v>
      </c>
      <c r="AY321" s="58" t="n">
        <f aca="false">IF(AV321&gt;0,I321/AV321,-1)</f>
        <v>10296</v>
      </c>
      <c r="AZ321" s="58" t="n">
        <f aca="false">IF(AND(OR(BU321="L1",BU321="L23"),AV321&gt;0),SUMIFS($AV$7:$AV$1576,$BU$7:$BU$1576,BU321,$AY$7:$AY$1576,"&gt;"&amp;AY321)+SUMIFS($AV$7:$AV$1576,$BU$7:$BU$1576,BU321,$AY$7:$AY$1576,AY321,$BO$7:$BO$1576,"&lt;="&amp;BO321),"")</f>
        <v>6.78617512921861</v>
      </c>
      <c r="BA321" s="65" t="n">
        <f aca="false">IF(AZ321="",0,MAX(0,MIN(1,(IF(BU321="L1",Parameter!$E$5,Parameter!$E$6+Parameter!$E$7)-(AZ321-AV321))/AV321)))</f>
        <v>1</v>
      </c>
      <c r="BB321" s="55" t="str">
        <f aca="false">IF(AF321&lt;=0,"",IF(BU321="Aussen","Aussenlager",IF(BU321="-","Nicht im Lift",IF(AK321&gt;=1,"Lift",IF(AK321&lt;=0,"Aussenlager","teilweise")))))</f>
        <v>Lift</v>
      </c>
      <c r="BC321" s="55" t="str">
        <f aca="false">IF(AN321&lt;=0,"",IF(BU321="Aussen","Aussenlager",IF(BU321="-","Nicht im Lift",IF(AS321&gt;=1,"Lift",IF(AS321&lt;=0,"Aussenlager","teilweise")))))</f>
        <v>Lift</v>
      </c>
      <c r="BD321" s="55" t="str">
        <f aca="false">IF(AV321&lt;=0,"",IF(BU321="Aussen","Aussenlager",IF(BU321="-","Nicht im Lift",IF(BA321&gt;=1,"Lift",IF(BA321&lt;=0,"Aussenlager","teilweise")))))</f>
        <v>Lift</v>
      </c>
      <c r="BE321" s="55" t="str">
        <f aca="false">IF(A321="","",IF(BN321=1,"Neu; ","")&amp;IF(AND(BN321=0,BI321&lt;0),"negativer Bestand (Export "&amp;BI321&amp;"); ","")&amp;IF(I321&lt;=0,"Kein Verbrauch; ","")&amp;IF(CD321&gt;0,"Lift "&amp;U321&amp;" lt. Liftbericht (Fach "&amp;V321&amp;" Stk); ",IF(BR321=1,"Lose – Fläche geschätzt; ",""))&amp;IF(G321&gt;AP321,"Überbestand "&amp;ROUND(G321-AP321,0)&amp;" Stk / CHF "&amp;ROUND((G321-AP321)*F321,0)&amp;"; ","")&amp;IF(AND(BW321=1,BX321&lt;BY321),"MAX &lt; MB+LG; ","")&amp;IF(AND(CC321&gt;0,CB321*10&gt;CC321),"zu hoch für Tablar; ","")&amp;IF(AND(BN321=0,OR(BW321=1,Y321&lt;&gt;"",S321&lt;&gt;"",T321&lt;&gt;"",Z321&lt;&gt;"")),"manuell übersteuert; ","")&amp;IF(AND(BR321=0,Q321=0),"Gebinde unbekannt / Stellmass fehlt; ","")&amp;IF(AND(BR321=0,N(T321)&lt;=0,N(P321)&lt;=0),"Menge pro Gebinde fehlt (Ist = 1 Gebinde); ","")&amp;BM321)</f>
        <v/>
      </c>
      <c r="BF321" s="55"/>
      <c r="BG321" s="55"/>
      <c r="BH321" s="62"/>
      <c r="BI321" s="57" t="n">
        <v>137</v>
      </c>
      <c r="BJ321" s="57" t="n">
        <v>45</v>
      </c>
      <c r="BK321" s="56" t="n">
        <v>237.88</v>
      </c>
      <c r="BL321" s="57" t="n">
        <v>198</v>
      </c>
      <c r="BM321" s="55"/>
      <c r="BN321" s="60" t="n">
        <v>0</v>
      </c>
      <c r="BO321" s="60" t="n">
        <v>321</v>
      </c>
      <c r="BP321" s="55" t="str">
        <f aca="false">IF(S321&lt;&gt;"",UPPER(TRIM(S321)),IF(O321="","LOSE",O321))</f>
        <v>S41</v>
      </c>
      <c r="BQ321" s="57" t="n">
        <f aca="false">IF(BP321="LOSE",1,IF(N(T321)&gt;0,T321,IF(N(P321)&gt;0,P321,MAX(1,G321))))</f>
        <v>280</v>
      </c>
      <c r="BR321" s="60" t="n">
        <f aca="false">IF(BP321="LOSE",1,0)</f>
        <v>0</v>
      </c>
      <c r="BS321" s="59" t="n">
        <f aca="false">IF(BR321=0,0,IF(N(R321)&gt;0,R321,IFERROR(VLOOKUP(D321,Parameter!$A$35:$C$64,3,0)+0,0)))</f>
        <v>0</v>
      </c>
      <c r="BT321" s="55" t="n">
        <f aca="false">IF(Y321&lt;&gt;"",Y321,X321)</f>
        <v>3</v>
      </c>
      <c r="BU321" s="55" t="str">
        <f aca="false">IF(BT321=1,"L1",IF(OR(BT321=2,BT321=3),"L23",IF(BT321="Aussen","Aussen","-")))</f>
        <v>L23</v>
      </c>
      <c r="BV321" s="66" t="n">
        <f aca="false">IF(N(Z321)&gt;0,Z321,0)</f>
        <v>0</v>
      </c>
      <c r="BW321" s="60" t="n">
        <f aca="false">IF(ISNUMBER(AC321),1,0)</f>
        <v>0</v>
      </c>
      <c r="BX321" s="57" t="n">
        <f aca="false">N(AC321)</f>
        <v>0</v>
      </c>
      <c r="BY321" s="57" t="n">
        <f aca="false">N(L321)+N(M321)</f>
        <v>249</v>
      </c>
      <c r="BZ321" s="57" t="n">
        <f aca="false">ROUNDUP(G321/BQ321,0)</f>
        <v>1</v>
      </c>
      <c r="CA321" s="57" t="n">
        <f aca="false">ROUNDUP(BX321/BQ321,0)</f>
        <v>0</v>
      </c>
      <c r="CB321" s="60" t="n">
        <f aca="false">IF(BR321=1,0,IFERROR(VLOOKUP(BP321,'Gebinde-Kategorie'!$A$5:$M$45,5,0)+0,0))</f>
        <v>11</v>
      </c>
      <c r="CC321" s="60" t="n">
        <f aca="false">IFERROR(IF(OR(BT321=1,BT321=2,BT321=3),N(INDEX(Parameter!$I$5:$I$7,BT321)),0),0)</f>
        <v>0</v>
      </c>
      <c r="CD321" s="59" t="n">
        <f aca="false">IF(AND(Parameter!$B$21="Ja",ISNUMBER(U321),N(V321)&gt;0),IFERROR(N(INDEX(Parameter!$L$5:$L$7,U321))*INDEX(Parameter!$E$5:$E$7,U321)*V321/SUMIFS($V$7:$V$1576,$U$7:$U$1576,U321),0),0)</f>
        <v>0</v>
      </c>
    </row>
    <row r="322" customFormat="false" ht="15" hidden="false" customHeight="false" outlineLevel="0" collapsed="false">
      <c r="A322" s="55" t="s">
        <v>798</v>
      </c>
      <c r="B322" s="55" t="s">
        <v>752</v>
      </c>
      <c r="C322" s="55" t="s">
        <v>160</v>
      </c>
      <c r="D322" s="55" t="s">
        <v>178</v>
      </c>
      <c r="E322" s="55" t="s">
        <v>210</v>
      </c>
      <c r="F322" s="56" t="n">
        <v>9.47</v>
      </c>
      <c r="G322" s="57" t="n">
        <f aca="false">MAX(0,IF(AND(Parameter!$B$21="Ja",ISNUMBER(W322)),W322,IF(Parameter!$B$20="Jahresanfang 2025 + Export",BJ322+BI322,BI322)))</f>
        <v>25</v>
      </c>
      <c r="H322" s="57" t="n">
        <f aca="false">G322*F322</f>
        <v>236.75</v>
      </c>
      <c r="I322" s="57" t="n">
        <f aca="false">BL322*Parameter!$B$18</f>
        <v>0</v>
      </c>
      <c r="J322" s="58" t="n">
        <v>0</v>
      </c>
      <c r="K322" s="59" t="n">
        <v>0</v>
      </c>
      <c r="L322" s="57" t="n">
        <v>0</v>
      </c>
      <c r="M322" s="57" t="n">
        <v>1</v>
      </c>
      <c r="N322" s="60" t="n">
        <v>9999</v>
      </c>
      <c r="O322" s="55" t="s">
        <v>163</v>
      </c>
      <c r="P322" s="57"/>
      <c r="Q322" s="60" t="n">
        <f aca="false">IF(BR322=1,0,IFERROR(VLOOKUP(BP322,'Gebinde-Kategorie'!$A$5:$M$45,13,0)+0,0))</f>
        <v>0</v>
      </c>
      <c r="R322" s="61"/>
      <c r="S322" s="62"/>
      <c r="T322" s="62"/>
      <c r="U322" s="55"/>
      <c r="V322" s="57"/>
      <c r="W322" s="57"/>
      <c r="X322" s="55" t="n">
        <f aca="false">IF(A322="","",IF(AND(Parameter!$B$21="Ja",ISNUMBER(U322)),U322,IF(IFERROR(VLOOKUP(D322,Parameter!$A$35:$C$64,2,0),"Nein")="2+3",IF(ISNUMBER(SEARCH("grosser Artikel",BM322)),2,IFERROR(VLOOKUP(BP322,Parameter!$F$35:$G$64,2,0),2)),IF(OR(IFERROR(VLOOKUP(D322,Parameter!$A$35:$C$64,2,0),"Nein")="Nein",IFERROR(VLOOKUP(D322,Parameter!$A$35:$C$64,2,0),"Nein")=""),"-",VLOOKUP(D322,Parameter!$A$35:$C$64,2,0)))))</f>
        <v>2</v>
      </c>
      <c r="Y322" s="62"/>
      <c r="Z322" s="63"/>
      <c r="AA322" s="57" t="n">
        <f aca="false">AP322</f>
        <v>1</v>
      </c>
      <c r="AB322" s="57" t="n">
        <f aca="false">MAX(AP322,G322)</f>
        <v>25</v>
      </c>
      <c r="AC322" s="64"/>
      <c r="AD322" s="57" t="n">
        <f aca="false">IF(LEFT(Cockpit!$C$5,1)="A",G322,IF(BW322=1,BX322,IF(LEFT(Cockpit!$C$5,1)="B",AH322,MAX(AH322,G322))))</f>
        <v>25</v>
      </c>
      <c r="AE322" s="57" t="n">
        <f aca="false">IF(BR322=1,0,ROUNDUP(AD322/BQ322,0))</f>
        <v>0</v>
      </c>
      <c r="AF322" s="59" t="n">
        <f aca="false">IF(CD322&gt;0,CD322*MAX(1,AD322/V322),IF(BR322=1,IF(AD322&lt;=0,0,BS322*MAX(1,IF(G322&gt;0,AD322/G322,1))),IF(Q322&gt;0,AE322/Q322,0))/MAX(0.1,N(Parameter!$M$21)))</f>
        <v>0.03</v>
      </c>
      <c r="AG322" s="57" t="n">
        <f aca="false">AD322*F322</f>
        <v>236.75</v>
      </c>
      <c r="AH322" s="57" t="n">
        <f aca="false">ROUNDUP(MAX(I322/IF(BV322&gt;0,BV322,MAX(0.1,N(Cockpit!$C$6))),BY322)/BQ322,0)*BQ322</f>
        <v>1</v>
      </c>
      <c r="AI322" s="58" t="n">
        <f aca="false">IF(AF322&gt;0,I322/AF322,-1)</f>
        <v>0</v>
      </c>
      <c r="AJ322" s="58" t="n">
        <f aca="false">IF(AND(OR(BU322="L1",BU322="L23"),AF322&gt;0),SUMIFS($AF$7:$AF$1576,$BU$7:$BU$1576,BU322,$AI$7:$AI$1576,"&gt;"&amp;AI322)+SUMIFS($AF$7:$AF$1576,$BU$7:$BU$1576,BU322,$AI$7:$AI$1576,AI322,$BO$7:$BO$1576,"&lt;="&amp;BO322),"")</f>
        <v>40.9209888179453</v>
      </c>
      <c r="AK322" s="65" t="n">
        <f aca="false">IF(AJ322="",0,MAX(0,MIN(1,(IF(BU322="L1",Parameter!$E$5,Parameter!$E$6+Parameter!$E$7)-(AJ322-AF322))/AF322)))</f>
        <v>1</v>
      </c>
      <c r="AL322" s="57" t="n">
        <f aca="false">IF(LEFT(Cockpit!$I$5,1)="A",G322,IF(BW322=1,BX322,IF(LEFT(Cockpit!$I$5,1)="B",AP322,MAX(AP322,G322))))</f>
        <v>25</v>
      </c>
      <c r="AM322" s="57" t="n">
        <f aca="false">IF(BR322=1,0,ROUNDUP(AL322/BQ322,0))</f>
        <v>0</v>
      </c>
      <c r="AN322" s="59" t="n">
        <f aca="false">IF(CD322&gt;0,CD322*MAX(1,AL322/V322),IF(BR322=1,IF(AL322&lt;=0,0,BS322*MAX(1,IF(G322&gt;0,AL322/G322,1))),IF(Q322&gt;0,AM322/Q322,0))/MAX(0.1,N(Parameter!$M$21)))</f>
        <v>0.03</v>
      </c>
      <c r="AO322" s="57" t="n">
        <f aca="false">AL322*F322</f>
        <v>236.75</v>
      </c>
      <c r="AP322" s="57" t="n">
        <f aca="false">ROUNDUP(MAX(I322/IF(BV322&gt;0,BV322,MAX(0.1,N(Cockpit!$I$6))),BY322)/BQ322,0)*BQ322</f>
        <v>1</v>
      </c>
      <c r="AQ322" s="58" t="n">
        <f aca="false">IF(AN322&gt;0,I322/AN322,-1)</f>
        <v>0</v>
      </c>
      <c r="AR322" s="58" t="n">
        <f aca="false">IF(AND(OR(BU322="L1",BU322="L23"),AN322&gt;0),SUMIFS($AN$7:$AN$1576,$BU$7:$BU$1576,BU322,$AQ$7:$AQ$1576,"&gt;"&amp;AQ322)+SUMIFS($AN$7:$AN$1576,$BU$7:$BU$1576,BU322,$AQ$7:$AQ$1576,AQ322,$BO$7:$BO$1576,"&lt;="&amp;BO322),"")</f>
        <v>123.795194567735</v>
      </c>
      <c r="AS322" s="65" t="n">
        <f aca="false">IF(AR322="",0,MAX(0,MIN(1,(IF(BU322="L1",Parameter!$E$5,Parameter!$E$6+Parameter!$E$7)-(AR322-AN322))/AN322)))</f>
        <v>0</v>
      </c>
      <c r="AT322" s="57" t="n">
        <f aca="false">IF(LEFT(Cockpit!$O$5,1)="A",G322,IF(BW322=1,BX322,IF(LEFT(Cockpit!$O$5,1)="B",AX322,MAX(AX322,G322))))</f>
        <v>25</v>
      </c>
      <c r="AU322" s="57" t="n">
        <f aca="false">IF(BR322=1,0,ROUNDUP(AT322/BQ322,0))</f>
        <v>0</v>
      </c>
      <c r="AV322" s="59" t="n">
        <f aca="false">IF(CD322&gt;0,CD322*MAX(1,AT322/V322),IF(BR322=1,IF(AT322&lt;=0,0,BS322*MAX(1,IF(G322&gt;0,AT322/G322,1))),IF(Q322&gt;0,AU322/Q322,0))/MAX(0.1,N(Parameter!$M$21)))</f>
        <v>0.03</v>
      </c>
      <c r="AW322" s="57" t="n">
        <f aca="false">AT322*F322</f>
        <v>236.75</v>
      </c>
      <c r="AX322" s="57" t="n">
        <f aca="false">ROUNDUP(MAX(I322/IF(BV322&gt;0,BV322,MAX(0.1,N(Cockpit!$O$6))),BY322)/BQ322,0)*BQ322</f>
        <v>1</v>
      </c>
      <c r="AY322" s="58" t="n">
        <f aca="false">IF(AV322&gt;0,I322/AV322,-1)</f>
        <v>0</v>
      </c>
      <c r="AZ322" s="58" t="n">
        <f aca="false">IF(AND(OR(BU322="L1",BU322="L23"),AV322&gt;0),SUMIFS($AV$7:$AV$1576,$BU$7:$BU$1576,BU322,$AY$7:$AY$1576,"&gt;"&amp;AY322)+SUMIFS($AV$7:$AV$1576,$BU$7:$BU$1576,BU322,$AY$7:$AY$1576,AY322,$BO$7:$BO$1576,"&lt;="&amp;BO322),"")</f>
        <v>113.854745017285</v>
      </c>
      <c r="BA322" s="65" t="n">
        <f aca="false">IF(AZ322="",0,MAX(0,MIN(1,(IF(BU322="L1",Parameter!$E$5,Parameter!$E$6+Parameter!$E$7)-(AZ322-AV322))/AV322)))</f>
        <v>0</v>
      </c>
      <c r="BB322" s="55" t="str">
        <f aca="false">IF(AF322&lt;=0,"",IF(BU322="Aussen","Aussenlager",IF(BU322="-","Nicht im Lift",IF(AK322&gt;=1,"Lift",IF(AK322&lt;=0,"Aussenlager","teilweise")))))</f>
        <v>Lift</v>
      </c>
      <c r="BC322" s="55" t="str">
        <f aca="false">IF(AN322&lt;=0,"",IF(BU322="Aussen","Aussenlager",IF(BU322="-","Nicht im Lift",IF(AS322&gt;=1,"Lift",IF(AS322&lt;=0,"Aussenlager","teilweise")))))</f>
        <v>Aussenlager</v>
      </c>
      <c r="BD322" s="55" t="str">
        <f aca="false">IF(AV322&lt;=0,"",IF(BU322="Aussen","Aussenlager",IF(BU322="-","Nicht im Lift",IF(BA322&gt;=1,"Lift",IF(BA322&lt;=0,"Aussenlager","teilweise")))))</f>
        <v>Aussenlager</v>
      </c>
      <c r="BE322" s="55" t="str">
        <f aca="false">IF(A322="","",IF(BN322=1,"Neu; ","")&amp;IF(AND(BN322=0,BI322&lt;0),"negativer Bestand (Export "&amp;BI322&amp;"); ","")&amp;IF(I322&lt;=0,"Kein Verbrauch; ","")&amp;IF(CD322&gt;0,"Lift "&amp;U322&amp;" lt. Liftbericht (Fach "&amp;V322&amp;" Stk); ",IF(BR322=1,"Lose – Fläche geschätzt; ",""))&amp;IF(G322&gt;AP322,"Überbestand "&amp;ROUND(G322-AP322,0)&amp;" Stk / CHF "&amp;ROUND((G322-AP322)*F322,0)&amp;"; ","")&amp;IF(AND(BW322=1,BX322&lt;BY322),"MAX &lt; MB+LG; ","")&amp;IF(AND(CC322&gt;0,CB322*10&gt;CC322),"zu hoch für Tablar; ","")&amp;IF(AND(BN322=0,OR(BW322=1,Y322&lt;&gt;"",S322&lt;&gt;"",T322&lt;&gt;"",Z322&lt;&gt;"")),"manuell übersteuert; ","")&amp;IF(AND(BR322=0,Q322=0),"Gebinde unbekannt / Stellmass fehlt; ","")&amp;IF(AND(BR322=0,N(T322)&lt;=0,N(P322)&lt;=0),"Menge pro Gebinde fehlt (Ist = 1 Gebinde); ","")&amp;BM322)</f>
        <v>Kein Verbrauch; Lose – Fläche geschätzt; Überbestand 24 Stk / CHF 227; </v>
      </c>
      <c r="BF322" s="55"/>
      <c r="BG322" s="55"/>
      <c r="BH322" s="62"/>
      <c r="BI322" s="57" t="n">
        <v>25</v>
      </c>
      <c r="BJ322" s="57" t="n">
        <v>0</v>
      </c>
      <c r="BK322" s="56" t="n">
        <v>236.75</v>
      </c>
      <c r="BL322" s="57" t="n">
        <v>0</v>
      </c>
      <c r="BM322" s="55"/>
      <c r="BN322" s="60" t="n">
        <v>0</v>
      </c>
      <c r="BO322" s="60" t="n">
        <v>322</v>
      </c>
      <c r="BP322" s="55" t="str">
        <f aca="false">IF(S322&lt;&gt;"",UPPER(TRIM(S322)),IF(O322="","LOSE",O322))</f>
        <v>LOSE</v>
      </c>
      <c r="BQ322" s="57" t="n">
        <f aca="false">IF(BP322="LOSE",1,IF(N(T322)&gt;0,T322,IF(N(P322)&gt;0,P322,MAX(1,G322))))</f>
        <v>1</v>
      </c>
      <c r="BR322" s="60" t="n">
        <f aca="false">IF(BP322="LOSE",1,0)</f>
        <v>1</v>
      </c>
      <c r="BS322" s="59" t="n">
        <f aca="false">IF(BR322=0,0,IF(N(R322)&gt;0,R322,IFERROR(VLOOKUP(D322,Parameter!$A$35:$C$64,3,0)+0,0)))</f>
        <v>0.03</v>
      </c>
      <c r="BT322" s="55" t="n">
        <f aca="false">IF(Y322&lt;&gt;"",Y322,X322)</f>
        <v>2</v>
      </c>
      <c r="BU322" s="55" t="str">
        <f aca="false">IF(BT322=1,"L1",IF(OR(BT322=2,BT322=3),"L23",IF(BT322="Aussen","Aussen","-")))</f>
        <v>L23</v>
      </c>
      <c r="BV322" s="66" t="n">
        <f aca="false">IF(N(Z322)&gt;0,Z322,0)</f>
        <v>0</v>
      </c>
      <c r="BW322" s="60" t="n">
        <f aca="false">IF(ISNUMBER(AC322),1,0)</f>
        <v>0</v>
      </c>
      <c r="BX322" s="57" t="n">
        <f aca="false">N(AC322)</f>
        <v>0</v>
      </c>
      <c r="BY322" s="57" t="n">
        <f aca="false">N(L322)+N(M322)</f>
        <v>1</v>
      </c>
      <c r="BZ322" s="57" t="n">
        <f aca="false">ROUNDUP(G322/BQ322,0)</f>
        <v>25</v>
      </c>
      <c r="CA322" s="57" t="n">
        <f aca="false">ROUNDUP(BX322/BQ322,0)</f>
        <v>0</v>
      </c>
      <c r="CB322" s="60" t="n">
        <f aca="false">IF(BR322=1,0,IFERROR(VLOOKUP(BP322,'Gebinde-Kategorie'!$A$5:$M$45,5,0)+0,0))</f>
        <v>0</v>
      </c>
      <c r="CC322" s="60" t="n">
        <f aca="false">IFERROR(IF(OR(BT322=1,BT322=2,BT322=3),N(INDEX(Parameter!$I$5:$I$7,BT322)),0),0)</f>
        <v>0</v>
      </c>
      <c r="CD322" s="59" t="n">
        <f aca="false">IF(AND(Parameter!$B$21="Ja",ISNUMBER(U322),N(V322)&gt;0),IFERROR(N(INDEX(Parameter!$L$5:$L$7,U322))*INDEX(Parameter!$E$5:$E$7,U322)*V322/SUMIFS($V$7:$V$1576,$U$7:$U$1576,U322),0),0)</f>
        <v>0</v>
      </c>
    </row>
    <row r="323" customFormat="false" ht="15" hidden="false" customHeight="false" outlineLevel="0" collapsed="false">
      <c r="A323" s="55" t="s">
        <v>799</v>
      </c>
      <c r="B323" s="55" t="s">
        <v>692</v>
      </c>
      <c r="C323" s="55" t="s">
        <v>160</v>
      </c>
      <c r="D323" s="55" t="s">
        <v>168</v>
      </c>
      <c r="E323" s="55" t="s">
        <v>210</v>
      </c>
      <c r="F323" s="56" t="n">
        <v>445</v>
      </c>
      <c r="G323" s="57" t="n">
        <f aca="false">MAX(0,IF(AND(Parameter!$B$21="Ja",ISNUMBER(W323)),W323,IF(Parameter!$B$20="Jahresanfang 2025 + Export",BJ323+BI323,BI323)))</f>
        <v>0</v>
      </c>
      <c r="H323" s="57" t="n">
        <f aca="false">G323*F323</f>
        <v>0</v>
      </c>
      <c r="I323" s="57" t="n">
        <f aca="false">BL323*Parameter!$B$18</f>
        <v>8</v>
      </c>
      <c r="J323" s="58" t="n">
        <v>2</v>
      </c>
      <c r="K323" s="59" t="n">
        <v>4</v>
      </c>
      <c r="L323" s="57" t="n">
        <v>0</v>
      </c>
      <c r="M323" s="57" t="n">
        <v>5</v>
      </c>
      <c r="N323" s="60" t="n">
        <v>35</v>
      </c>
      <c r="O323" s="55" t="s">
        <v>251</v>
      </c>
      <c r="P323" s="57" t="n">
        <v>4</v>
      </c>
      <c r="Q323" s="60" t="n">
        <f aca="false">IF(BR323=1,0,IFERROR(VLOOKUP(BP323,'Gebinde-Kategorie'!$A$5:$M$45,13,0)+0,0))</f>
        <v>6</v>
      </c>
      <c r="R323" s="61"/>
      <c r="S323" s="62"/>
      <c r="T323" s="62"/>
      <c r="U323" s="55"/>
      <c r="V323" s="57"/>
      <c r="W323" s="57"/>
      <c r="X323" s="55" t="n">
        <f aca="false">IF(A323="","",IF(AND(Parameter!$B$21="Ja",ISNUMBER(U323)),U323,IF(IFERROR(VLOOKUP(D323,Parameter!$A$35:$C$64,2,0),"Nein")="2+3",IF(ISNUMBER(SEARCH("grosser Artikel",BM323)),2,IFERROR(VLOOKUP(BP323,Parameter!$F$35:$G$64,2,0),2)),IF(OR(IFERROR(VLOOKUP(D323,Parameter!$A$35:$C$64,2,0),"Nein")="Nein",IFERROR(VLOOKUP(D323,Parameter!$A$35:$C$64,2,0),"Nein")=""),"-",VLOOKUP(D323,Parameter!$A$35:$C$64,2,0)))))</f>
        <v>2</v>
      </c>
      <c r="Y323" s="62"/>
      <c r="Z323" s="63"/>
      <c r="AA323" s="57" t="n">
        <f aca="false">AP323</f>
        <v>8</v>
      </c>
      <c r="AB323" s="57" t="n">
        <f aca="false">MAX(AP323,G323)</f>
        <v>8</v>
      </c>
      <c r="AC323" s="64"/>
      <c r="AD323" s="57" t="n">
        <f aca="false">IF(LEFT(Cockpit!$C$5,1)="A",G323,IF(BW323=1,BX323,IF(LEFT(Cockpit!$C$5,1)="B",AH323,MAX(AH323,G323))))</f>
        <v>0</v>
      </c>
      <c r="AE323" s="57" t="n">
        <f aca="false">IF(BR323=1,0,ROUNDUP(AD323/BQ323,0))</f>
        <v>0</v>
      </c>
      <c r="AF323" s="59" t="n">
        <f aca="false">IF(CD323&gt;0,CD323*MAX(1,AD323/V323),IF(BR323=1,IF(AD323&lt;=0,0,BS323*MAX(1,IF(G323&gt;0,AD323/G323,1))),IF(Q323&gt;0,AE323/Q323,0))/MAX(0.1,N(Parameter!$M$21)))</f>
        <v>0</v>
      </c>
      <c r="AG323" s="57" t="n">
        <f aca="false">AD323*F323</f>
        <v>0</v>
      </c>
      <c r="AH323" s="57" t="n">
        <f aca="false">ROUNDUP(MAX(I323/IF(BV323&gt;0,BV323,MAX(0.1,N(Cockpit!$C$6))),BY323)/BQ323,0)*BQ323</f>
        <v>8</v>
      </c>
      <c r="AI323" s="58" t="n">
        <f aca="false">IF(AF323&gt;0,I323/AF323,-1)</f>
        <v>-1</v>
      </c>
      <c r="AJ323" s="58" t="str">
        <f aca="false">IF(AND(OR(BU323="L1",BU323="L23"),AF323&gt;0),SUMIFS($AF$7:$AF$1576,$BU$7:$BU$1576,BU323,$AI$7:$AI$1576,"&gt;"&amp;AI323)+SUMIFS($AF$7:$AF$1576,$BU$7:$BU$1576,BU323,$AI$7:$AI$1576,AI323,$BO$7:$BO$1576,"&lt;="&amp;BO323),"")</f>
        <v/>
      </c>
      <c r="AK323" s="65" t="n">
        <f aca="false">IF(AJ323="",0,MAX(0,MIN(1,(IF(BU323="L1",Parameter!$E$5,Parameter!$E$6+Parameter!$E$7)-(AJ323-AF323))/AF323)))</f>
        <v>0</v>
      </c>
      <c r="AL323" s="57" t="n">
        <f aca="false">IF(LEFT(Cockpit!$I$5,1)="A",G323,IF(BW323=1,BX323,IF(LEFT(Cockpit!$I$5,1)="B",AP323,MAX(AP323,G323))))</f>
        <v>8</v>
      </c>
      <c r="AM323" s="57" t="n">
        <f aca="false">IF(BR323=1,0,ROUNDUP(AL323/BQ323,0))</f>
        <v>2</v>
      </c>
      <c r="AN323" s="59" t="n">
        <f aca="false">IF(CD323&gt;0,CD323*MAX(1,AL323/V323),IF(BR323=1,IF(AL323&lt;=0,0,BS323*MAX(1,IF(G323&gt;0,AL323/G323,1))),IF(Q323&gt;0,AM323/Q323,0))/MAX(0.1,N(Parameter!$M$21)))</f>
        <v>0.333333333333333</v>
      </c>
      <c r="AO323" s="57" t="n">
        <f aca="false">AL323*F323</f>
        <v>3560</v>
      </c>
      <c r="AP323" s="57" t="n">
        <f aca="false">ROUNDUP(MAX(I323/IF(BV323&gt;0,BV323,MAX(0.1,N(Cockpit!$I$6))),BY323)/BQ323,0)*BQ323</f>
        <v>8</v>
      </c>
      <c r="AQ323" s="58" t="n">
        <f aca="false">IF(AN323&gt;0,I323/AN323,-1)</f>
        <v>24</v>
      </c>
      <c r="AR323" s="58" t="n">
        <f aca="false">IF(AND(OR(BU323="L1",BU323="L23"),AN323&gt;0),SUMIFS($AN$7:$AN$1576,$BU$7:$BU$1576,BU323,$AQ$7:$AQ$1576,"&gt;"&amp;AQ323)+SUMIFS($AN$7:$AN$1576,$BU$7:$BU$1576,BU323,$AQ$7:$AQ$1576,AQ323,$BO$7:$BO$1576,"&lt;="&amp;BO323),"")</f>
        <v>98.1296140758752</v>
      </c>
      <c r="AS323" s="65" t="n">
        <f aca="false">IF(AR323="",0,MAX(0,MIN(1,(IF(BU323="L1",Parameter!$E$5,Parameter!$E$6+Parameter!$E$7)-(AR323-AN323))/AN323)))</f>
        <v>1</v>
      </c>
      <c r="AT323" s="57" t="n">
        <f aca="false">IF(LEFT(Cockpit!$O$5,1)="A",G323,IF(BW323=1,BX323,IF(LEFT(Cockpit!$O$5,1)="B",AX323,MAX(AX323,G323))))</f>
        <v>8</v>
      </c>
      <c r="AU323" s="57" t="n">
        <f aca="false">IF(BR323=1,0,ROUNDUP(AT323/BQ323,0))</f>
        <v>2</v>
      </c>
      <c r="AV323" s="59" t="n">
        <f aca="false">IF(CD323&gt;0,CD323*MAX(1,AT323/V323),IF(BR323=1,IF(AT323&lt;=0,0,BS323*MAX(1,IF(G323&gt;0,AT323/G323,1))),IF(Q323&gt;0,AU323/Q323,0))/MAX(0.1,N(Parameter!$M$21)))</f>
        <v>0.333333333333333</v>
      </c>
      <c r="AW323" s="57" t="n">
        <f aca="false">AT323*F323</f>
        <v>3560</v>
      </c>
      <c r="AX323" s="57" t="n">
        <f aca="false">ROUNDUP(MAX(I323/IF(BV323&gt;0,BV323,MAX(0.1,N(Cockpit!$O$6))),BY323)/BQ323,0)*BQ323</f>
        <v>8</v>
      </c>
      <c r="AY323" s="58" t="n">
        <f aca="false">IF(AV323&gt;0,I323/AV323,-1)</f>
        <v>24</v>
      </c>
      <c r="AZ323" s="58" t="n">
        <f aca="false">IF(AND(OR(BU323="L1",BU323="L23"),AV323&gt;0),SUMIFS($AV$7:$AV$1576,$BU$7:$BU$1576,BU323,$AY$7:$AY$1576,"&gt;"&amp;AY323)+SUMIFS($AV$7:$AV$1576,$BU$7:$BU$1576,BU323,$AY$7:$AY$1576,AY323,$BO$7:$BO$1576,"&lt;="&amp;BO323),"")</f>
        <v>88.9391645254257</v>
      </c>
      <c r="BA323" s="65" t="n">
        <f aca="false">IF(AZ323="",0,MAX(0,MIN(1,(IF(BU323="L1",Parameter!$E$5,Parameter!$E$6+Parameter!$E$7)-(AZ323-AV323))/AV323)))</f>
        <v>1</v>
      </c>
      <c r="BB323" s="55" t="str">
        <f aca="false">IF(AF323&lt;=0,"",IF(BU323="Aussen","Aussenlager",IF(BU323="-","Nicht im Lift",IF(AK323&gt;=1,"Lift",IF(AK323&lt;=0,"Aussenlager","teilweise")))))</f>
        <v/>
      </c>
      <c r="BC323" s="55" t="str">
        <f aca="false">IF(AN323&lt;=0,"",IF(BU323="Aussen","Aussenlager",IF(BU323="-","Nicht im Lift",IF(AS323&gt;=1,"Lift",IF(AS323&lt;=0,"Aussenlager","teilweise")))))</f>
        <v>Lift</v>
      </c>
      <c r="BD323" s="55" t="str">
        <f aca="false">IF(AV323&lt;=0,"",IF(BU323="Aussen","Aussenlager",IF(BU323="-","Nicht im Lift",IF(BA323&gt;=1,"Lift",IF(BA323&lt;=0,"Aussenlager","teilweise")))))</f>
        <v>Lift</v>
      </c>
      <c r="BE323" s="55" t="str">
        <f aca="false">IF(A323="","",IF(BN323=1,"Neu; ","")&amp;IF(AND(BN323=0,BI323&lt;0),"negativer Bestand (Export "&amp;BI323&amp;"); ","")&amp;IF(I323&lt;=0,"Kein Verbrauch; ","")&amp;IF(CD323&gt;0,"Lift "&amp;U323&amp;" lt. Liftbericht (Fach "&amp;V323&amp;" Stk); ",IF(BR323=1,"Lose – Fläche geschätzt; ",""))&amp;IF(G323&gt;AP323,"Überbestand "&amp;ROUND(G323-AP323,0)&amp;" Stk / CHF "&amp;ROUND((G323-AP323)*F323,0)&amp;"; ","")&amp;IF(AND(BW323=1,BX323&lt;BY323),"MAX &lt; MB+LG; ","")&amp;IF(AND(CC323&gt;0,CB323*10&gt;CC323),"zu hoch für Tablar; ","")&amp;IF(AND(BN323=0,OR(BW323=1,Y323&lt;&gt;"",S323&lt;&gt;"",T323&lt;&gt;"",Z323&lt;&gt;"")),"manuell übersteuert; ","")&amp;IF(AND(BR323=0,Q323=0),"Gebinde unbekannt / Stellmass fehlt; ","")&amp;IF(AND(BR323=0,N(T323)&lt;=0,N(P323)&lt;=0),"Menge pro Gebinde fehlt (Ist = 1 Gebinde); ","")&amp;BM323)</f>
        <v/>
      </c>
      <c r="BF323" s="55"/>
      <c r="BG323" s="55"/>
      <c r="BH323" s="62"/>
      <c r="BI323" s="57" t="n">
        <v>0</v>
      </c>
      <c r="BJ323" s="57" t="n">
        <v>2</v>
      </c>
      <c r="BK323" s="56" t="n">
        <v>236</v>
      </c>
      <c r="BL323" s="57" t="n">
        <v>8</v>
      </c>
      <c r="BM323" s="55"/>
      <c r="BN323" s="60" t="n">
        <v>0</v>
      </c>
      <c r="BO323" s="60" t="n">
        <v>323</v>
      </c>
      <c r="BP323" s="55" t="str">
        <f aca="false">IF(S323&lt;&gt;"",UPPER(TRIM(S323)),IF(O323="","LOSE",O323))</f>
        <v>S72</v>
      </c>
      <c r="BQ323" s="57" t="n">
        <f aca="false">IF(BP323="LOSE",1,IF(N(T323)&gt;0,T323,IF(N(P323)&gt;0,P323,MAX(1,G323))))</f>
        <v>4</v>
      </c>
      <c r="BR323" s="60" t="n">
        <f aca="false">IF(BP323="LOSE",1,0)</f>
        <v>0</v>
      </c>
      <c r="BS323" s="59" t="n">
        <f aca="false">IF(BR323=0,0,IF(N(R323)&gt;0,R323,IFERROR(VLOOKUP(D323,Parameter!$A$35:$C$64,3,0)+0,0)))</f>
        <v>0</v>
      </c>
      <c r="BT323" s="55" t="n">
        <f aca="false">IF(Y323&lt;&gt;"",Y323,X323)</f>
        <v>2</v>
      </c>
      <c r="BU323" s="55" t="str">
        <f aca="false">IF(BT323=1,"L1",IF(OR(BT323=2,BT323=3),"L23",IF(BT323="Aussen","Aussen","-")))</f>
        <v>L23</v>
      </c>
      <c r="BV323" s="66" t="n">
        <f aca="false">IF(N(Z323)&gt;0,Z323,0)</f>
        <v>0</v>
      </c>
      <c r="BW323" s="60" t="n">
        <f aca="false">IF(ISNUMBER(AC323),1,0)</f>
        <v>0</v>
      </c>
      <c r="BX323" s="57" t="n">
        <f aca="false">N(AC323)</f>
        <v>0</v>
      </c>
      <c r="BY323" s="57" t="n">
        <f aca="false">N(L323)+N(M323)</f>
        <v>5</v>
      </c>
      <c r="BZ323" s="57" t="n">
        <f aca="false">ROUNDUP(G323/BQ323,0)</f>
        <v>0</v>
      </c>
      <c r="CA323" s="57" t="n">
        <f aca="false">ROUNDUP(BX323/BQ323,0)</f>
        <v>0</v>
      </c>
      <c r="CB323" s="60" t="n">
        <f aca="false">IF(BR323=1,0,IFERROR(VLOOKUP(BP323,'Gebinde-Kategorie'!$A$5:$M$45,5,0)+0,0))</f>
        <v>40</v>
      </c>
      <c r="CC323" s="60" t="n">
        <f aca="false">IFERROR(IF(OR(BT323=1,BT323=2,BT323=3),N(INDEX(Parameter!$I$5:$I$7,BT323)),0),0)</f>
        <v>0</v>
      </c>
      <c r="CD323" s="59" t="n">
        <f aca="false">IF(AND(Parameter!$B$21="Ja",ISNUMBER(U323),N(V323)&gt;0),IFERROR(N(INDEX(Parameter!$L$5:$L$7,U323))*INDEX(Parameter!$E$5:$E$7,U323)*V323/SUMIFS($V$7:$V$1576,$U$7:$U$1576,U323),0),0)</f>
        <v>0</v>
      </c>
    </row>
    <row r="324" customFormat="false" ht="15" hidden="false" customHeight="false" outlineLevel="0" collapsed="false">
      <c r="A324" s="55" t="s">
        <v>800</v>
      </c>
      <c r="B324" s="55" t="s">
        <v>801</v>
      </c>
      <c r="C324" s="55" t="s">
        <v>160</v>
      </c>
      <c r="D324" s="55" t="s">
        <v>178</v>
      </c>
      <c r="E324" s="55" t="s">
        <v>210</v>
      </c>
      <c r="F324" s="56" t="n">
        <v>13</v>
      </c>
      <c r="G324" s="57" t="n">
        <f aca="false">MAX(0,IF(AND(Parameter!$B$21="Ja",ISNUMBER(W324)),W324,IF(Parameter!$B$20="Jahresanfang 2025 + Export",BJ324+BI324,BI324)))</f>
        <v>18</v>
      </c>
      <c r="H324" s="57" t="n">
        <f aca="false">G324*F324</f>
        <v>234</v>
      </c>
      <c r="I324" s="57" t="n">
        <f aca="false">BL324*Parameter!$B$18</f>
        <v>0</v>
      </c>
      <c r="J324" s="58" t="n">
        <v>11.5</v>
      </c>
      <c r="K324" s="59" t="n">
        <v>0</v>
      </c>
      <c r="L324" s="57" t="n">
        <v>0</v>
      </c>
      <c r="M324" s="57" t="n">
        <v>1</v>
      </c>
      <c r="N324" s="60" t="n">
        <v>21</v>
      </c>
      <c r="O324" s="55" t="s">
        <v>163</v>
      </c>
      <c r="P324" s="57"/>
      <c r="Q324" s="60" t="n">
        <f aca="false">IF(BR324=1,0,IFERROR(VLOOKUP(BP324,'Gebinde-Kategorie'!$A$5:$M$45,13,0)+0,0))</f>
        <v>0</v>
      </c>
      <c r="R324" s="61"/>
      <c r="S324" s="62"/>
      <c r="T324" s="62"/>
      <c r="U324" s="55"/>
      <c r="V324" s="57"/>
      <c r="W324" s="57"/>
      <c r="X324" s="55" t="n">
        <f aca="false">IF(A324="","",IF(AND(Parameter!$B$21="Ja",ISNUMBER(U324)),U324,IF(IFERROR(VLOOKUP(D324,Parameter!$A$35:$C$64,2,0),"Nein")="2+3",IF(ISNUMBER(SEARCH("grosser Artikel",BM324)),2,IFERROR(VLOOKUP(BP324,Parameter!$F$35:$G$64,2,0),2)),IF(OR(IFERROR(VLOOKUP(D324,Parameter!$A$35:$C$64,2,0),"Nein")="Nein",IFERROR(VLOOKUP(D324,Parameter!$A$35:$C$64,2,0),"Nein")=""),"-",VLOOKUP(D324,Parameter!$A$35:$C$64,2,0)))))</f>
        <v>2</v>
      </c>
      <c r="Y324" s="62"/>
      <c r="Z324" s="63"/>
      <c r="AA324" s="57" t="n">
        <f aca="false">AP324</f>
        <v>1</v>
      </c>
      <c r="AB324" s="57" t="n">
        <f aca="false">MAX(AP324,G324)</f>
        <v>18</v>
      </c>
      <c r="AC324" s="64"/>
      <c r="AD324" s="57" t="n">
        <f aca="false">IF(LEFT(Cockpit!$C$5,1)="A",G324,IF(BW324=1,BX324,IF(LEFT(Cockpit!$C$5,1)="B",AH324,MAX(AH324,G324))))</f>
        <v>18</v>
      </c>
      <c r="AE324" s="57" t="n">
        <f aca="false">IF(BR324=1,0,ROUNDUP(AD324/BQ324,0))</f>
        <v>0</v>
      </c>
      <c r="AF324" s="59" t="n">
        <f aca="false">IF(CD324&gt;0,CD324*MAX(1,AD324/V324),IF(BR324=1,IF(AD324&lt;=0,0,BS324*MAX(1,IF(G324&gt;0,AD324/G324,1))),IF(Q324&gt;0,AE324/Q324,0))/MAX(0.1,N(Parameter!$M$21)))</f>
        <v>0.03</v>
      </c>
      <c r="AG324" s="57" t="n">
        <f aca="false">AD324*F324</f>
        <v>234</v>
      </c>
      <c r="AH324" s="57" t="n">
        <f aca="false">ROUNDUP(MAX(I324/IF(BV324&gt;0,BV324,MAX(0.1,N(Cockpit!$C$6))),BY324)/BQ324,0)*BQ324</f>
        <v>1</v>
      </c>
      <c r="AI324" s="58" t="n">
        <f aca="false">IF(AF324&gt;0,I324/AF324,-1)</f>
        <v>0</v>
      </c>
      <c r="AJ324" s="58" t="n">
        <f aca="false">IF(AND(OR(BU324="L1",BU324="L23"),AF324&gt;0),SUMIFS($AF$7:$AF$1576,$BU$7:$BU$1576,BU324,$AI$7:$AI$1576,"&gt;"&amp;AI324)+SUMIFS($AF$7:$AF$1576,$BU$7:$BU$1576,BU324,$AI$7:$AI$1576,AI324,$BO$7:$BO$1576,"&lt;="&amp;BO324),"")</f>
        <v>40.9509888179453</v>
      </c>
      <c r="AK324" s="65" t="n">
        <f aca="false">IF(AJ324="",0,MAX(0,MIN(1,(IF(BU324="L1",Parameter!$E$5,Parameter!$E$6+Parameter!$E$7)-(AJ324-AF324))/AF324)))</f>
        <v>1</v>
      </c>
      <c r="AL324" s="57" t="n">
        <f aca="false">IF(LEFT(Cockpit!$I$5,1)="A",G324,IF(BW324=1,BX324,IF(LEFT(Cockpit!$I$5,1)="B",AP324,MAX(AP324,G324))))</f>
        <v>18</v>
      </c>
      <c r="AM324" s="57" t="n">
        <f aca="false">IF(BR324=1,0,ROUNDUP(AL324/BQ324,0))</f>
        <v>0</v>
      </c>
      <c r="AN324" s="59" t="n">
        <f aca="false">IF(CD324&gt;0,CD324*MAX(1,AL324/V324),IF(BR324=1,IF(AL324&lt;=0,0,BS324*MAX(1,IF(G324&gt;0,AL324/G324,1))),IF(Q324&gt;0,AM324/Q324,0))/MAX(0.1,N(Parameter!$M$21)))</f>
        <v>0.03</v>
      </c>
      <c r="AO324" s="57" t="n">
        <f aca="false">AL324*F324</f>
        <v>234</v>
      </c>
      <c r="AP324" s="57" t="n">
        <f aca="false">ROUNDUP(MAX(I324/IF(BV324&gt;0,BV324,MAX(0.1,N(Cockpit!$I$6))),BY324)/BQ324,0)*BQ324</f>
        <v>1</v>
      </c>
      <c r="AQ324" s="58" t="n">
        <f aca="false">IF(AN324&gt;0,I324/AN324,-1)</f>
        <v>0</v>
      </c>
      <c r="AR324" s="58" t="n">
        <f aca="false">IF(AND(OR(BU324="L1",BU324="L23"),AN324&gt;0),SUMIFS($AN$7:$AN$1576,$BU$7:$BU$1576,BU324,$AQ$7:$AQ$1576,"&gt;"&amp;AQ324)+SUMIFS($AN$7:$AN$1576,$BU$7:$BU$1576,BU324,$AQ$7:$AQ$1576,AQ324,$BO$7:$BO$1576,"&lt;="&amp;BO324),"")</f>
        <v>123.825194567735</v>
      </c>
      <c r="AS324" s="65" t="n">
        <f aca="false">IF(AR324="",0,MAX(0,MIN(1,(IF(BU324="L1",Parameter!$E$5,Parameter!$E$6+Parameter!$E$7)-(AR324-AN324))/AN324)))</f>
        <v>0</v>
      </c>
      <c r="AT324" s="57" t="n">
        <f aca="false">IF(LEFT(Cockpit!$O$5,1)="A",G324,IF(BW324=1,BX324,IF(LEFT(Cockpit!$O$5,1)="B",AX324,MAX(AX324,G324))))</f>
        <v>18</v>
      </c>
      <c r="AU324" s="57" t="n">
        <f aca="false">IF(BR324=1,0,ROUNDUP(AT324/BQ324,0))</f>
        <v>0</v>
      </c>
      <c r="AV324" s="59" t="n">
        <f aca="false">IF(CD324&gt;0,CD324*MAX(1,AT324/V324),IF(BR324=1,IF(AT324&lt;=0,0,BS324*MAX(1,IF(G324&gt;0,AT324/G324,1))),IF(Q324&gt;0,AU324/Q324,0))/MAX(0.1,N(Parameter!$M$21)))</f>
        <v>0.03</v>
      </c>
      <c r="AW324" s="57" t="n">
        <f aca="false">AT324*F324</f>
        <v>234</v>
      </c>
      <c r="AX324" s="57" t="n">
        <f aca="false">ROUNDUP(MAX(I324/IF(BV324&gt;0,BV324,MAX(0.1,N(Cockpit!$O$6))),BY324)/BQ324,0)*BQ324</f>
        <v>1</v>
      </c>
      <c r="AY324" s="58" t="n">
        <f aca="false">IF(AV324&gt;0,I324/AV324,-1)</f>
        <v>0</v>
      </c>
      <c r="AZ324" s="58" t="n">
        <f aca="false">IF(AND(OR(BU324="L1",BU324="L23"),AV324&gt;0),SUMIFS($AV$7:$AV$1576,$BU$7:$BU$1576,BU324,$AY$7:$AY$1576,"&gt;"&amp;AY324)+SUMIFS($AV$7:$AV$1576,$BU$7:$BU$1576,BU324,$AY$7:$AY$1576,AY324,$BO$7:$BO$1576,"&lt;="&amp;BO324),"")</f>
        <v>113.884745017285</v>
      </c>
      <c r="BA324" s="65" t="n">
        <f aca="false">IF(AZ324="",0,MAX(0,MIN(1,(IF(BU324="L1",Parameter!$E$5,Parameter!$E$6+Parameter!$E$7)-(AZ324-AV324))/AV324)))</f>
        <v>0</v>
      </c>
      <c r="BB324" s="55" t="str">
        <f aca="false">IF(AF324&lt;=0,"",IF(BU324="Aussen","Aussenlager",IF(BU324="-","Nicht im Lift",IF(AK324&gt;=1,"Lift",IF(AK324&lt;=0,"Aussenlager","teilweise")))))</f>
        <v>Lift</v>
      </c>
      <c r="BC324" s="55" t="str">
        <f aca="false">IF(AN324&lt;=0,"",IF(BU324="Aussen","Aussenlager",IF(BU324="-","Nicht im Lift",IF(AS324&gt;=1,"Lift",IF(AS324&lt;=0,"Aussenlager","teilweise")))))</f>
        <v>Aussenlager</v>
      </c>
      <c r="BD324" s="55" t="str">
        <f aca="false">IF(AV324&lt;=0,"",IF(BU324="Aussen","Aussenlager",IF(BU324="-","Nicht im Lift",IF(BA324&gt;=1,"Lift",IF(BA324&lt;=0,"Aussenlager","teilweise")))))</f>
        <v>Aussenlager</v>
      </c>
      <c r="BE324" s="55" t="str">
        <f aca="false">IF(A324="","",IF(BN324=1,"Neu; ","")&amp;IF(AND(BN324=0,BI324&lt;0),"negativer Bestand (Export "&amp;BI324&amp;"); ","")&amp;IF(I324&lt;=0,"Kein Verbrauch; ","")&amp;IF(CD324&gt;0,"Lift "&amp;U324&amp;" lt. Liftbericht (Fach "&amp;V324&amp;" Stk); ",IF(BR324=1,"Lose – Fläche geschätzt; ",""))&amp;IF(G324&gt;AP324,"Überbestand "&amp;ROUND(G324-AP324,0)&amp;" Stk / CHF "&amp;ROUND((G324-AP324)*F324,0)&amp;"; ","")&amp;IF(AND(BW324=1,BX324&lt;BY324),"MAX &lt; MB+LG; ","")&amp;IF(AND(CC324&gt;0,CB324*10&gt;CC324),"zu hoch für Tablar; ","")&amp;IF(AND(BN324=0,OR(BW324=1,Y324&lt;&gt;"",S324&lt;&gt;"",T324&lt;&gt;"",Z324&lt;&gt;"")),"manuell übersteuert; ","")&amp;IF(AND(BR324=0,Q324=0),"Gebinde unbekannt / Stellmass fehlt; ","")&amp;IF(AND(BR324=0,N(T324)&lt;=0,N(P324)&lt;=0),"Menge pro Gebinde fehlt (Ist = 1 Gebinde); ","")&amp;BM324)</f>
        <v>Kein Verbrauch; Lose – Fläche geschätzt; Überbestand 17 Stk / CHF 221; </v>
      </c>
      <c r="BF324" s="55"/>
      <c r="BG324" s="55"/>
      <c r="BH324" s="62"/>
      <c r="BI324" s="57" t="n">
        <v>18</v>
      </c>
      <c r="BJ324" s="57" t="n">
        <v>5</v>
      </c>
      <c r="BK324" s="56" t="n">
        <v>234</v>
      </c>
      <c r="BL324" s="57" t="n">
        <v>0</v>
      </c>
      <c r="BM324" s="55"/>
      <c r="BN324" s="60" t="n">
        <v>0</v>
      </c>
      <c r="BO324" s="60" t="n">
        <v>324</v>
      </c>
      <c r="BP324" s="55" t="str">
        <f aca="false">IF(S324&lt;&gt;"",UPPER(TRIM(S324)),IF(O324="","LOSE",O324))</f>
        <v>LOSE</v>
      </c>
      <c r="BQ324" s="57" t="n">
        <f aca="false">IF(BP324="LOSE",1,IF(N(T324)&gt;0,T324,IF(N(P324)&gt;0,P324,MAX(1,G324))))</f>
        <v>1</v>
      </c>
      <c r="BR324" s="60" t="n">
        <f aca="false">IF(BP324="LOSE",1,0)</f>
        <v>1</v>
      </c>
      <c r="BS324" s="59" t="n">
        <f aca="false">IF(BR324=0,0,IF(N(R324)&gt;0,R324,IFERROR(VLOOKUP(D324,Parameter!$A$35:$C$64,3,0)+0,0)))</f>
        <v>0.03</v>
      </c>
      <c r="BT324" s="55" t="n">
        <f aca="false">IF(Y324&lt;&gt;"",Y324,X324)</f>
        <v>2</v>
      </c>
      <c r="BU324" s="55" t="str">
        <f aca="false">IF(BT324=1,"L1",IF(OR(BT324=2,BT324=3),"L23",IF(BT324="Aussen","Aussen","-")))</f>
        <v>L23</v>
      </c>
      <c r="BV324" s="66" t="n">
        <f aca="false">IF(N(Z324)&gt;0,Z324,0)</f>
        <v>0</v>
      </c>
      <c r="BW324" s="60" t="n">
        <f aca="false">IF(ISNUMBER(AC324),1,0)</f>
        <v>0</v>
      </c>
      <c r="BX324" s="57" t="n">
        <f aca="false">N(AC324)</f>
        <v>0</v>
      </c>
      <c r="BY324" s="57" t="n">
        <f aca="false">N(L324)+N(M324)</f>
        <v>1</v>
      </c>
      <c r="BZ324" s="57" t="n">
        <f aca="false">ROUNDUP(G324/BQ324,0)</f>
        <v>18</v>
      </c>
      <c r="CA324" s="57" t="n">
        <f aca="false">ROUNDUP(BX324/BQ324,0)</f>
        <v>0</v>
      </c>
      <c r="CB324" s="60" t="n">
        <f aca="false">IF(BR324=1,0,IFERROR(VLOOKUP(BP324,'Gebinde-Kategorie'!$A$5:$M$45,5,0)+0,0))</f>
        <v>0</v>
      </c>
      <c r="CC324" s="60" t="n">
        <f aca="false">IFERROR(IF(OR(BT324=1,BT324=2,BT324=3),N(INDEX(Parameter!$I$5:$I$7,BT324)),0),0)</f>
        <v>0</v>
      </c>
      <c r="CD324" s="59" t="n">
        <f aca="false">IF(AND(Parameter!$B$21="Ja",ISNUMBER(U324),N(V324)&gt;0),IFERROR(N(INDEX(Parameter!$L$5:$L$7,U324))*INDEX(Parameter!$E$5:$E$7,U324)*V324/SUMIFS($V$7:$V$1576,$U$7:$U$1576,U324),0),0)</f>
        <v>0</v>
      </c>
    </row>
    <row r="325" customFormat="false" ht="15" hidden="false" customHeight="false" outlineLevel="0" collapsed="false">
      <c r="A325" s="55" t="s">
        <v>802</v>
      </c>
      <c r="B325" s="55" t="s">
        <v>803</v>
      </c>
      <c r="C325" s="55" t="s">
        <v>160</v>
      </c>
      <c r="D325" s="55" t="s">
        <v>178</v>
      </c>
      <c r="E325" s="55" t="s">
        <v>210</v>
      </c>
      <c r="F325" s="56" t="n">
        <v>74</v>
      </c>
      <c r="G325" s="57" t="n">
        <f aca="false">MAX(0,IF(AND(Parameter!$B$21="Ja",ISNUMBER(W325)),W325,IF(Parameter!$B$20="Jahresanfang 2025 + Export",BJ325+BI325,BI325)))</f>
        <v>8</v>
      </c>
      <c r="H325" s="57" t="n">
        <f aca="false">G325*F325</f>
        <v>592</v>
      </c>
      <c r="I325" s="57" t="n">
        <f aca="false">BL325*Parameter!$B$18</f>
        <v>13</v>
      </c>
      <c r="J325" s="58" t="n">
        <v>25</v>
      </c>
      <c r="K325" s="59" t="n">
        <v>0.52</v>
      </c>
      <c r="L325" s="57" t="n">
        <v>4</v>
      </c>
      <c r="M325" s="57" t="n">
        <v>50</v>
      </c>
      <c r="N325" s="60" t="n">
        <v>126</v>
      </c>
      <c r="O325" s="55" t="s">
        <v>411</v>
      </c>
      <c r="P325" s="57" t="n">
        <v>37</v>
      </c>
      <c r="Q325" s="60" t="n">
        <f aca="false">IF(BR325=1,0,IFERROR(VLOOKUP(BP325,'Gebinde-Kategorie'!$A$5:$M$45,13,0)+0,0))</f>
        <v>132</v>
      </c>
      <c r="R325" s="61"/>
      <c r="S325" s="62"/>
      <c r="T325" s="62"/>
      <c r="U325" s="55"/>
      <c r="V325" s="57"/>
      <c r="W325" s="57"/>
      <c r="X325" s="55" t="n">
        <f aca="false">IF(A325="","",IF(AND(Parameter!$B$21="Ja",ISNUMBER(U325)),U325,IF(IFERROR(VLOOKUP(D325,Parameter!$A$35:$C$64,2,0),"Nein")="2+3",IF(ISNUMBER(SEARCH("grosser Artikel",BM325)),2,IFERROR(VLOOKUP(BP325,Parameter!$F$35:$G$64,2,0),2)),IF(OR(IFERROR(VLOOKUP(D325,Parameter!$A$35:$C$64,2,0),"Nein")="Nein",IFERROR(VLOOKUP(D325,Parameter!$A$35:$C$64,2,0),"Nein")=""),"-",VLOOKUP(D325,Parameter!$A$35:$C$64,2,0)))))</f>
        <v>3</v>
      </c>
      <c r="Y325" s="62"/>
      <c r="Z325" s="63"/>
      <c r="AA325" s="57" t="n">
        <f aca="false">AP325</f>
        <v>74</v>
      </c>
      <c r="AB325" s="57" t="n">
        <f aca="false">MAX(AP325,G325)</f>
        <v>74</v>
      </c>
      <c r="AC325" s="64"/>
      <c r="AD325" s="57" t="n">
        <f aca="false">IF(LEFT(Cockpit!$C$5,1)="A",G325,IF(BW325=1,BX325,IF(LEFT(Cockpit!$C$5,1)="B",AH325,MAX(AH325,G325))))</f>
        <v>8</v>
      </c>
      <c r="AE325" s="57" t="n">
        <f aca="false">IF(BR325=1,0,ROUNDUP(AD325/BQ325,0))</f>
        <v>1</v>
      </c>
      <c r="AF325" s="59" t="n">
        <f aca="false">IF(CD325&gt;0,CD325*MAX(1,AD325/V325),IF(BR325=1,IF(AD325&lt;=0,0,BS325*MAX(1,IF(G325&gt;0,AD325/G325,1))),IF(Q325&gt;0,AE325/Q325,0))/MAX(0.1,N(Parameter!$M$21)))</f>
        <v>0.00757575757575758</v>
      </c>
      <c r="AG325" s="57" t="n">
        <f aca="false">AD325*F325</f>
        <v>592</v>
      </c>
      <c r="AH325" s="57" t="n">
        <f aca="false">ROUNDUP(MAX(I325/IF(BV325&gt;0,BV325,MAX(0.1,N(Cockpit!$C$6))),BY325)/BQ325,0)*BQ325</f>
        <v>74</v>
      </c>
      <c r="AI325" s="58" t="n">
        <f aca="false">IF(AF325&gt;0,I325/AF325,-1)</f>
        <v>1716</v>
      </c>
      <c r="AJ325" s="58" t="n">
        <f aca="false">IF(AND(OR(BU325="L1",BU325="L23"),AF325&gt;0),SUMIFS($AF$7:$AF$1576,$BU$7:$BU$1576,BU325,$AI$7:$AI$1576,"&gt;"&amp;AI325)+SUMIFS($AF$7:$AF$1576,$BU$7:$BU$1576,BU325,$AI$7:$AI$1576,AI325,$BO$7:$BO$1576,"&lt;="&amp;BO325),"")</f>
        <v>7.53428904428905</v>
      </c>
      <c r="AK325" s="65" t="n">
        <f aca="false">IF(AJ325="",0,MAX(0,MIN(1,(IF(BU325="L1",Parameter!$E$5,Parameter!$E$6+Parameter!$E$7)-(AJ325-AF325))/AF325)))</f>
        <v>1</v>
      </c>
      <c r="AL325" s="57" t="n">
        <f aca="false">IF(LEFT(Cockpit!$I$5,1)="A",G325,IF(BW325=1,BX325,IF(LEFT(Cockpit!$I$5,1)="B",AP325,MAX(AP325,G325))))</f>
        <v>74</v>
      </c>
      <c r="AM325" s="57" t="n">
        <f aca="false">IF(BR325=1,0,ROUNDUP(AL325/BQ325,0))</f>
        <v>2</v>
      </c>
      <c r="AN325" s="59" t="n">
        <f aca="false">IF(CD325&gt;0,CD325*MAX(1,AL325/V325),IF(BR325=1,IF(AL325&lt;=0,0,BS325*MAX(1,IF(G325&gt;0,AL325/G325,1))),IF(Q325&gt;0,AM325/Q325,0))/MAX(0.1,N(Parameter!$M$21)))</f>
        <v>0.0151515151515152</v>
      </c>
      <c r="AO325" s="57" t="n">
        <f aca="false">AL325*F325</f>
        <v>5476</v>
      </c>
      <c r="AP325" s="57" t="n">
        <f aca="false">ROUNDUP(MAX(I325/IF(BV325&gt;0,BV325,MAX(0.1,N(Cockpit!$I$6))),BY325)/BQ325,0)*BQ325</f>
        <v>74</v>
      </c>
      <c r="AQ325" s="58" t="n">
        <f aca="false">IF(AN325&gt;0,I325/AN325,-1)</f>
        <v>858</v>
      </c>
      <c r="AR325" s="58" t="n">
        <f aca="false">IF(AND(OR(BU325="L1",BU325="L23"),AN325&gt;0),SUMIFS($AN$7:$AN$1576,$BU$7:$BU$1576,BU325,$AQ$7:$AQ$1576,"&gt;"&amp;AQ325)+SUMIFS($AN$7:$AN$1576,$BU$7:$BU$1576,BU325,$AQ$7:$AQ$1576,AQ325,$BO$7:$BO$1576,"&lt;="&amp;BO325),"")</f>
        <v>25.5108533136906</v>
      </c>
      <c r="AS325" s="65" t="n">
        <f aca="false">IF(AR325="",0,MAX(0,MIN(1,(IF(BU325="L1",Parameter!$E$5,Parameter!$E$6+Parameter!$E$7)-(AR325-AN325))/AN325)))</f>
        <v>1</v>
      </c>
      <c r="AT325" s="57" t="n">
        <f aca="false">IF(LEFT(Cockpit!$O$5,1)="A",G325,IF(BW325=1,BX325,IF(LEFT(Cockpit!$O$5,1)="B",AX325,MAX(AX325,G325))))</f>
        <v>74</v>
      </c>
      <c r="AU325" s="57" t="n">
        <f aca="false">IF(BR325=1,0,ROUNDUP(AT325/BQ325,0))</f>
        <v>2</v>
      </c>
      <c r="AV325" s="59" t="n">
        <f aca="false">IF(CD325&gt;0,CD325*MAX(1,AT325/V325),IF(BR325=1,IF(AT325&lt;=0,0,BS325*MAX(1,IF(G325&gt;0,AT325/G325,1))),IF(Q325&gt;0,AU325/Q325,0))/MAX(0.1,N(Parameter!$M$21)))</f>
        <v>0.0151515151515152</v>
      </c>
      <c r="AW325" s="57" t="n">
        <f aca="false">AT325*F325</f>
        <v>5476</v>
      </c>
      <c r="AX325" s="57" t="n">
        <f aca="false">ROUNDUP(MAX(I325/IF(BV325&gt;0,BV325,MAX(0.1,N(Cockpit!$O$6))),BY325)/BQ325,0)*BQ325</f>
        <v>74</v>
      </c>
      <c r="AY325" s="58" t="n">
        <f aca="false">IF(AV325&gt;0,I325/AV325,-1)</f>
        <v>858</v>
      </c>
      <c r="AZ325" s="58" t="n">
        <f aca="false">IF(AND(OR(BU325="L1",BU325="L23"),AV325&gt;0),SUMIFS($AV$7:$AV$1576,$BU$7:$BU$1576,BU325,$AY$7:$AY$1576,"&gt;"&amp;AY325)+SUMIFS($AV$7:$AV$1576,$BU$7:$BU$1576,BU325,$AY$7:$AY$1576,AY325,$BO$7:$BO$1576,"&lt;="&amp;BO325),"")</f>
        <v>25.7445362973735</v>
      </c>
      <c r="BA325" s="65" t="n">
        <f aca="false">IF(AZ325="",0,MAX(0,MIN(1,(IF(BU325="L1",Parameter!$E$5,Parameter!$E$6+Parameter!$E$7)-(AZ325-AV325))/AV325)))</f>
        <v>1</v>
      </c>
      <c r="BB325" s="55" t="str">
        <f aca="false">IF(AF325&lt;=0,"",IF(BU325="Aussen","Aussenlager",IF(BU325="-","Nicht im Lift",IF(AK325&gt;=1,"Lift",IF(AK325&lt;=0,"Aussenlager","teilweise")))))</f>
        <v>Lift</v>
      </c>
      <c r="BC325" s="55" t="str">
        <f aca="false">IF(AN325&lt;=0,"",IF(BU325="Aussen","Aussenlager",IF(BU325="-","Nicht im Lift",IF(AS325&gt;=1,"Lift",IF(AS325&lt;=0,"Aussenlager","teilweise")))))</f>
        <v>Lift</v>
      </c>
      <c r="BD325" s="55" t="str">
        <f aca="false">IF(AV325&lt;=0,"",IF(BU325="Aussen","Aussenlager",IF(BU325="-","Nicht im Lift",IF(BA325&gt;=1,"Lift",IF(BA325&lt;=0,"Aussenlager","teilweise")))))</f>
        <v>Lift</v>
      </c>
      <c r="BE325" s="55" t="str">
        <f aca="false">IF(A325="","",IF(BN325=1,"Neu; ","")&amp;IF(AND(BN325=0,BI325&lt;0),"negativer Bestand (Export "&amp;BI325&amp;"); ","")&amp;IF(I325&lt;=0,"Kein Verbrauch; ","")&amp;IF(CD325&gt;0,"Lift "&amp;U325&amp;" lt. Liftbericht (Fach "&amp;V325&amp;" Stk); ",IF(BR325=1,"Lose – Fläche geschätzt; ",""))&amp;IF(G325&gt;AP325,"Überbestand "&amp;ROUND(G325-AP325,0)&amp;" Stk / CHF "&amp;ROUND((G325-AP325)*F325,0)&amp;"; ","")&amp;IF(AND(BW325=1,BX325&lt;BY325),"MAX &lt; MB+LG; ","")&amp;IF(AND(CC325&gt;0,CB325*10&gt;CC325),"zu hoch für Tablar; ","")&amp;IF(AND(BN325=0,OR(BW325=1,Y325&lt;&gt;"",S325&lt;&gt;"",T325&lt;&gt;"",Z325&lt;&gt;"")),"manuell übersteuert; ","")&amp;IF(AND(BR325=0,Q325=0),"Gebinde unbekannt / Stellmass fehlt; ","")&amp;IF(AND(BR325=0,N(T325)&lt;=0,N(P325)&lt;=0),"Menge pro Gebinde fehlt (Ist = 1 Gebinde); ","")&amp;BM325)</f>
        <v/>
      </c>
      <c r="BF325" s="55"/>
      <c r="BG325" s="55"/>
      <c r="BH325" s="62"/>
      <c r="BI325" s="57" t="n">
        <v>8</v>
      </c>
      <c r="BJ325" s="57" t="n">
        <v>21</v>
      </c>
      <c r="BK325" s="56" t="n">
        <v>228.28</v>
      </c>
      <c r="BL325" s="57" t="n">
        <v>13</v>
      </c>
      <c r="BM325" s="55"/>
      <c r="BN325" s="60" t="n">
        <v>0</v>
      </c>
      <c r="BO325" s="60" t="n">
        <v>325</v>
      </c>
      <c r="BP325" s="55" t="str">
        <f aca="false">IF(S325&lt;&gt;"",UPPER(TRIM(S325)),IF(O325="","LOSE",O325))</f>
        <v>S32</v>
      </c>
      <c r="BQ325" s="57" t="n">
        <f aca="false">IF(BP325="LOSE",1,IF(N(T325)&gt;0,T325,IF(N(P325)&gt;0,P325,MAX(1,G325))))</f>
        <v>37</v>
      </c>
      <c r="BR325" s="60" t="n">
        <f aca="false">IF(BP325="LOSE",1,0)</f>
        <v>0</v>
      </c>
      <c r="BS325" s="59" t="n">
        <f aca="false">IF(BR325=0,0,IF(N(R325)&gt;0,R325,IFERROR(VLOOKUP(D325,Parameter!$A$35:$C$64,3,0)+0,0)))</f>
        <v>0</v>
      </c>
      <c r="BT325" s="55" t="n">
        <f aca="false">IF(Y325&lt;&gt;"",Y325,X325)</f>
        <v>3</v>
      </c>
      <c r="BU325" s="55" t="str">
        <f aca="false">IF(BT325=1,"L1",IF(OR(BT325=2,BT325=3),"L23",IF(BT325="Aussen","Aussen","-")))</f>
        <v>L23</v>
      </c>
      <c r="BV325" s="66" t="n">
        <f aca="false">IF(N(Z325)&gt;0,Z325,0)</f>
        <v>0</v>
      </c>
      <c r="BW325" s="60" t="n">
        <f aca="false">IF(ISNUMBER(AC325),1,0)</f>
        <v>0</v>
      </c>
      <c r="BX325" s="57" t="n">
        <f aca="false">N(AC325)</f>
        <v>0</v>
      </c>
      <c r="BY325" s="57" t="n">
        <f aca="false">N(L325)+N(M325)</f>
        <v>54</v>
      </c>
      <c r="BZ325" s="57" t="n">
        <f aca="false">ROUNDUP(G325/BQ325,0)</f>
        <v>1</v>
      </c>
      <c r="CA325" s="57" t="n">
        <f aca="false">ROUNDUP(BX325/BQ325,0)</f>
        <v>0</v>
      </c>
      <c r="CB325" s="60" t="n">
        <f aca="false">IF(BR325=1,0,IFERROR(VLOOKUP(BP325,'Gebinde-Kategorie'!$A$5:$M$45,5,0)+0,0))</f>
        <v>8</v>
      </c>
      <c r="CC325" s="60" t="n">
        <f aca="false">IFERROR(IF(OR(BT325=1,BT325=2,BT325=3),N(INDEX(Parameter!$I$5:$I$7,BT325)),0),0)</f>
        <v>0</v>
      </c>
      <c r="CD325" s="59" t="n">
        <f aca="false">IF(AND(Parameter!$B$21="Ja",ISNUMBER(U325),N(V325)&gt;0),IFERROR(N(INDEX(Parameter!$L$5:$L$7,U325))*INDEX(Parameter!$E$5:$E$7,U325)*V325/SUMIFS($V$7:$V$1576,$U$7:$U$1576,U325),0),0)</f>
        <v>0</v>
      </c>
    </row>
    <row r="326" customFormat="false" ht="15" hidden="false" customHeight="false" outlineLevel="0" collapsed="false">
      <c r="A326" s="55" t="s">
        <v>804</v>
      </c>
      <c r="B326" s="55" t="s">
        <v>805</v>
      </c>
      <c r="C326" s="55" t="s">
        <v>160</v>
      </c>
      <c r="D326" s="55" t="s">
        <v>178</v>
      </c>
      <c r="E326" s="55" t="s">
        <v>210</v>
      </c>
      <c r="F326" s="56" t="n">
        <v>34.66</v>
      </c>
      <c r="G326" s="57" t="n">
        <f aca="false">MAX(0,IF(AND(Parameter!$B$21="Ja",ISNUMBER(W326)),W326,IF(Parameter!$B$20="Jahresanfang 2025 + Export",BJ326+BI326,BI326)))</f>
        <v>11</v>
      </c>
      <c r="H326" s="57" t="n">
        <f aca="false">G326*F326</f>
        <v>381.26</v>
      </c>
      <c r="I326" s="57" t="n">
        <f aca="false">BL326*Parameter!$B$18</f>
        <v>37</v>
      </c>
      <c r="J326" s="58" t="n">
        <v>23.5</v>
      </c>
      <c r="K326" s="59" t="n">
        <v>1.57446808510638</v>
      </c>
      <c r="L326" s="57" t="n">
        <v>4</v>
      </c>
      <c r="M326" s="57" t="n">
        <v>35</v>
      </c>
      <c r="N326" s="60" t="n">
        <v>42</v>
      </c>
      <c r="O326" s="55" t="s">
        <v>411</v>
      </c>
      <c r="P326" s="57" t="n">
        <v>46</v>
      </c>
      <c r="Q326" s="60" t="n">
        <f aca="false">IF(BR326=1,0,IFERROR(VLOOKUP(BP326,'Gebinde-Kategorie'!$A$5:$M$45,13,0)+0,0))</f>
        <v>132</v>
      </c>
      <c r="R326" s="61"/>
      <c r="S326" s="62"/>
      <c r="T326" s="62"/>
      <c r="U326" s="55"/>
      <c r="V326" s="57"/>
      <c r="W326" s="57"/>
      <c r="X326" s="55" t="n">
        <f aca="false">IF(A326="","",IF(AND(Parameter!$B$21="Ja",ISNUMBER(U326)),U326,IF(IFERROR(VLOOKUP(D326,Parameter!$A$35:$C$64,2,0),"Nein")="2+3",IF(ISNUMBER(SEARCH("grosser Artikel",BM326)),2,IFERROR(VLOOKUP(BP326,Parameter!$F$35:$G$64,2,0),2)),IF(OR(IFERROR(VLOOKUP(D326,Parameter!$A$35:$C$64,2,0),"Nein")="Nein",IFERROR(VLOOKUP(D326,Parameter!$A$35:$C$64,2,0),"Nein")=""),"-",VLOOKUP(D326,Parameter!$A$35:$C$64,2,0)))))</f>
        <v>3</v>
      </c>
      <c r="Y326" s="62"/>
      <c r="Z326" s="63"/>
      <c r="AA326" s="57" t="n">
        <f aca="false">AP326</f>
        <v>46</v>
      </c>
      <c r="AB326" s="57" t="n">
        <f aca="false">MAX(AP326,G326)</f>
        <v>46</v>
      </c>
      <c r="AC326" s="64"/>
      <c r="AD326" s="57" t="n">
        <f aca="false">IF(LEFT(Cockpit!$C$5,1)="A",G326,IF(BW326=1,BX326,IF(LEFT(Cockpit!$C$5,1)="B",AH326,MAX(AH326,G326))))</f>
        <v>11</v>
      </c>
      <c r="AE326" s="57" t="n">
        <f aca="false">IF(BR326=1,0,ROUNDUP(AD326/BQ326,0))</f>
        <v>1</v>
      </c>
      <c r="AF326" s="59" t="n">
        <f aca="false">IF(CD326&gt;0,CD326*MAX(1,AD326/V326),IF(BR326=1,IF(AD326&lt;=0,0,BS326*MAX(1,IF(G326&gt;0,AD326/G326,1))),IF(Q326&gt;0,AE326/Q326,0))/MAX(0.1,N(Parameter!$M$21)))</f>
        <v>0.00757575757575758</v>
      </c>
      <c r="AG326" s="57" t="n">
        <f aca="false">AD326*F326</f>
        <v>381.26</v>
      </c>
      <c r="AH326" s="57" t="n">
        <f aca="false">ROUNDUP(MAX(I326/IF(BV326&gt;0,BV326,MAX(0.1,N(Cockpit!$C$6))),BY326)/BQ326,0)*BQ326</f>
        <v>46</v>
      </c>
      <c r="AI326" s="58" t="n">
        <f aca="false">IF(AF326&gt;0,I326/AF326,-1)</f>
        <v>4884</v>
      </c>
      <c r="AJ326" s="58" t="n">
        <f aca="false">IF(AND(OR(BU326="L1",BU326="L23"),AF326&gt;0),SUMIFS($AF$7:$AF$1576,$BU$7:$BU$1576,BU326,$AI$7:$AI$1576,"&gt;"&amp;AI326)+SUMIFS($AF$7:$AF$1576,$BU$7:$BU$1576,BU326,$AI$7:$AI$1576,AI326,$BO$7:$BO$1576,"&lt;="&amp;BO326),"")</f>
        <v>3.84488159183811</v>
      </c>
      <c r="AK326" s="65" t="n">
        <f aca="false">IF(AJ326="",0,MAX(0,MIN(1,(IF(BU326="L1",Parameter!$E$5,Parameter!$E$6+Parameter!$E$7)-(AJ326-AF326))/AF326)))</f>
        <v>1</v>
      </c>
      <c r="AL326" s="57" t="n">
        <f aca="false">IF(LEFT(Cockpit!$I$5,1)="A",G326,IF(BW326=1,BX326,IF(LEFT(Cockpit!$I$5,1)="B",AP326,MAX(AP326,G326))))</f>
        <v>46</v>
      </c>
      <c r="AM326" s="57" t="n">
        <f aca="false">IF(BR326=1,0,ROUNDUP(AL326/BQ326,0))</f>
        <v>1</v>
      </c>
      <c r="AN326" s="59" t="n">
        <f aca="false">IF(CD326&gt;0,CD326*MAX(1,AL326/V326),IF(BR326=1,IF(AL326&lt;=0,0,BS326*MAX(1,IF(G326&gt;0,AL326/G326,1))),IF(Q326&gt;0,AM326/Q326,0))/MAX(0.1,N(Parameter!$M$21)))</f>
        <v>0.00757575757575758</v>
      </c>
      <c r="AO326" s="57" t="n">
        <f aca="false">AL326*F326</f>
        <v>1594.36</v>
      </c>
      <c r="AP326" s="57" t="n">
        <f aca="false">ROUNDUP(MAX(I326/IF(BV326&gt;0,BV326,MAX(0.1,N(Cockpit!$I$6))),BY326)/BQ326,0)*BQ326</f>
        <v>46</v>
      </c>
      <c r="AQ326" s="58" t="n">
        <f aca="false">IF(AN326&gt;0,I326/AN326,-1)</f>
        <v>4884</v>
      </c>
      <c r="AR326" s="58" t="n">
        <f aca="false">IF(AND(OR(BU326="L1",BU326="L23"),AN326&gt;0),SUMIFS($AN$7:$AN$1576,$BU$7:$BU$1576,BU326,$AQ$7:$AQ$1576,"&gt;"&amp;AQ326)+SUMIFS($AN$7:$AN$1576,$BU$7:$BU$1576,BU326,$AQ$7:$AQ$1576,AQ326,$BO$7:$BO$1576,"&lt;="&amp;BO326),"")</f>
        <v>11.4244744873484</v>
      </c>
      <c r="AS326" s="65" t="n">
        <f aca="false">IF(AR326="",0,MAX(0,MIN(1,(IF(BU326="L1",Parameter!$E$5,Parameter!$E$6+Parameter!$E$7)-(AR326-AN326))/AN326)))</f>
        <v>1</v>
      </c>
      <c r="AT326" s="57" t="n">
        <f aca="false">IF(LEFT(Cockpit!$O$5,1)="A",G326,IF(BW326=1,BX326,IF(LEFT(Cockpit!$O$5,1)="B",AX326,MAX(AX326,G326))))</f>
        <v>46</v>
      </c>
      <c r="AU326" s="57" t="n">
        <f aca="false">IF(BR326=1,0,ROUNDUP(AT326/BQ326,0))</f>
        <v>1</v>
      </c>
      <c r="AV326" s="59" t="n">
        <f aca="false">IF(CD326&gt;0,CD326*MAX(1,AT326/V326),IF(BR326=1,IF(AT326&lt;=0,0,BS326*MAX(1,IF(G326&gt;0,AT326/G326,1))),IF(Q326&gt;0,AU326/Q326,0))/MAX(0.1,N(Parameter!$M$21)))</f>
        <v>0.00757575757575758</v>
      </c>
      <c r="AW326" s="57" t="n">
        <f aca="false">AT326*F326</f>
        <v>1594.36</v>
      </c>
      <c r="AX326" s="57" t="n">
        <f aca="false">ROUNDUP(MAX(I326/IF(BV326&gt;0,BV326,MAX(0.1,N(Cockpit!$O$6))),BY326)/BQ326,0)*BQ326</f>
        <v>46</v>
      </c>
      <c r="AY326" s="58" t="n">
        <f aca="false">IF(AV326&gt;0,I326/AV326,-1)</f>
        <v>4884</v>
      </c>
      <c r="AZ326" s="58" t="n">
        <f aca="false">IF(AND(OR(BU326="L1",BU326="L23"),AV326&gt;0),SUMIFS($AV$7:$AV$1576,$BU$7:$BU$1576,BU326,$AY$7:$AY$1576,"&gt;"&amp;AY326)+SUMIFS($AV$7:$AV$1576,$BU$7:$BU$1576,BU326,$AY$7:$AY$1576,AY326,$BO$7:$BO$1576,"&lt;="&amp;BO326),"")</f>
        <v>10.6453369582109</v>
      </c>
      <c r="BA326" s="65" t="n">
        <f aca="false">IF(AZ326="",0,MAX(0,MIN(1,(IF(BU326="L1",Parameter!$E$5,Parameter!$E$6+Parameter!$E$7)-(AZ326-AV326))/AV326)))</f>
        <v>1</v>
      </c>
      <c r="BB326" s="55" t="str">
        <f aca="false">IF(AF326&lt;=0,"",IF(BU326="Aussen","Aussenlager",IF(BU326="-","Nicht im Lift",IF(AK326&gt;=1,"Lift",IF(AK326&lt;=0,"Aussenlager","teilweise")))))</f>
        <v>Lift</v>
      </c>
      <c r="BC326" s="55" t="str">
        <f aca="false">IF(AN326&lt;=0,"",IF(BU326="Aussen","Aussenlager",IF(BU326="-","Nicht im Lift",IF(AS326&gt;=1,"Lift",IF(AS326&lt;=0,"Aussenlager","teilweise")))))</f>
        <v>Lift</v>
      </c>
      <c r="BD326" s="55" t="str">
        <f aca="false">IF(AV326&lt;=0,"",IF(BU326="Aussen","Aussenlager",IF(BU326="-","Nicht im Lift",IF(BA326&gt;=1,"Lift",IF(BA326&lt;=0,"Aussenlager","teilweise")))))</f>
        <v>Lift</v>
      </c>
      <c r="BE326" s="55" t="str">
        <f aca="false">IF(A326="","",IF(BN326=1,"Neu; ","")&amp;IF(AND(BN326=0,BI326&lt;0),"negativer Bestand (Export "&amp;BI326&amp;"); ","")&amp;IF(I326&lt;=0,"Kein Verbrauch; ","")&amp;IF(CD326&gt;0,"Lift "&amp;U326&amp;" lt. Liftbericht (Fach "&amp;V326&amp;" Stk); ",IF(BR326=1,"Lose – Fläche geschätzt; ",""))&amp;IF(G326&gt;AP326,"Überbestand "&amp;ROUND(G326-AP326,0)&amp;" Stk / CHF "&amp;ROUND((G326-AP326)*F326,0)&amp;"; ","")&amp;IF(AND(BW326=1,BX326&lt;BY326),"MAX &lt; MB+LG; ","")&amp;IF(AND(CC326&gt;0,CB326*10&gt;CC326),"zu hoch für Tablar; ","")&amp;IF(AND(BN326=0,OR(BW326=1,Y326&lt;&gt;"",S326&lt;&gt;"",T326&lt;&gt;"",Z326&lt;&gt;"")),"manuell übersteuert; ","")&amp;IF(AND(BR326=0,Q326=0),"Gebinde unbekannt / Stellmass fehlt; ","")&amp;IF(AND(BR326=0,N(T326)&lt;=0,N(P326)&lt;=0),"Menge pro Gebinde fehlt (Ist = 1 Gebinde); ","")&amp;BM326)</f>
        <v/>
      </c>
      <c r="BF326" s="55"/>
      <c r="BG326" s="55"/>
      <c r="BH326" s="62"/>
      <c r="BI326" s="57" t="n">
        <v>11</v>
      </c>
      <c r="BJ326" s="57" t="n">
        <v>22</v>
      </c>
      <c r="BK326" s="56" t="n">
        <v>227.04</v>
      </c>
      <c r="BL326" s="57" t="n">
        <v>37</v>
      </c>
      <c r="BM326" s="55"/>
      <c r="BN326" s="60" t="n">
        <v>0</v>
      </c>
      <c r="BO326" s="60" t="n">
        <v>326</v>
      </c>
      <c r="BP326" s="55" t="str">
        <f aca="false">IF(S326&lt;&gt;"",UPPER(TRIM(S326)),IF(O326="","LOSE",O326))</f>
        <v>S32</v>
      </c>
      <c r="BQ326" s="57" t="n">
        <f aca="false">IF(BP326="LOSE",1,IF(N(T326)&gt;0,T326,IF(N(P326)&gt;0,P326,MAX(1,G326))))</f>
        <v>46</v>
      </c>
      <c r="BR326" s="60" t="n">
        <f aca="false">IF(BP326="LOSE",1,0)</f>
        <v>0</v>
      </c>
      <c r="BS326" s="59" t="n">
        <f aca="false">IF(BR326=0,0,IF(N(R326)&gt;0,R326,IFERROR(VLOOKUP(D326,Parameter!$A$35:$C$64,3,0)+0,0)))</f>
        <v>0</v>
      </c>
      <c r="BT326" s="55" t="n">
        <f aca="false">IF(Y326&lt;&gt;"",Y326,X326)</f>
        <v>3</v>
      </c>
      <c r="BU326" s="55" t="str">
        <f aca="false">IF(BT326=1,"L1",IF(OR(BT326=2,BT326=3),"L23",IF(BT326="Aussen","Aussen","-")))</f>
        <v>L23</v>
      </c>
      <c r="BV326" s="66" t="n">
        <f aca="false">IF(N(Z326)&gt;0,Z326,0)</f>
        <v>0</v>
      </c>
      <c r="BW326" s="60" t="n">
        <f aca="false">IF(ISNUMBER(AC326),1,0)</f>
        <v>0</v>
      </c>
      <c r="BX326" s="57" t="n">
        <f aca="false">N(AC326)</f>
        <v>0</v>
      </c>
      <c r="BY326" s="57" t="n">
        <f aca="false">N(L326)+N(M326)</f>
        <v>39</v>
      </c>
      <c r="BZ326" s="57" t="n">
        <f aca="false">ROUNDUP(G326/BQ326,0)</f>
        <v>1</v>
      </c>
      <c r="CA326" s="57" t="n">
        <f aca="false">ROUNDUP(BX326/BQ326,0)</f>
        <v>0</v>
      </c>
      <c r="CB326" s="60" t="n">
        <f aca="false">IF(BR326=1,0,IFERROR(VLOOKUP(BP326,'Gebinde-Kategorie'!$A$5:$M$45,5,0)+0,0))</f>
        <v>8</v>
      </c>
      <c r="CC326" s="60" t="n">
        <f aca="false">IFERROR(IF(OR(BT326=1,BT326=2,BT326=3),N(INDEX(Parameter!$I$5:$I$7,BT326)),0),0)</f>
        <v>0</v>
      </c>
      <c r="CD326" s="59" t="n">
        <f aca="false">IF(AND(Parameter!$B$21="Ja",ISNUMBER(U326),N(V326)&gt;0),IFERROR(N(INDEX(Parameter!$L$5:$L$7,U326))*INDEX(Parameter!$E$5:$E$7,U326)*V326/SUMIFS($V$7:$V$1576,$U$7:$U$1576,U326),0),0)</f>
        <v>0</v>
      </c>
    </row>
    <row r="327" customFormat="false" ht="15" hidden="false" customHeight="false" outlineLevel="0" collapsed="false">
      <c r="A327" s="55" t="s">
        <v>806</v>
      </c>
      <c r="B327" s="55" t="s">
        <v>807</v>
      </c>
      <c r="C327" s="55" t="s">
        <v>160</v>
      </c>
      <c r="D327" s="55" t="s">
        <v>178</v>
      </c>
      <c r="E327" s="55" t="s">
        <v>210</v>
      </c>
      <c r="F327" s="56" t="n">
        <v>1.04</v>
      </c>
      <c r="G327" s="57" t="n">
        <f aca="false">MAX(0,IF(AND(Parameter!$B$21="Ja",ISNUMBER(W327)),W327,IF(Parameter!$B$20="Jahresanfang 2025 + Export",BJ327+BI327,BI327)))</f>
        <v>215</v>
      </c>
      <c r="H327" s="57" t="n">
        <f aca="false">G327*F327</f>
        <v>223.6</v>
      </c>
      <c r="I327" s="57" t="n">
        <f aca="false">BL327*Parameter!$B$18</f>
        <v>100</v>
      </c>
      <c r="J327" s="58" t="n">
        <v>41.5</v>
      </c>
      <c r="K327" s="59" t="n">
        <v>2.40963855421687</v>
      </c>
      <c r="L327" s="57" t="n">
        <v>25</v>
      </c>
      <c r="M327" s="57" t="n">
        <v>200</v>
      </c>
      <c r="N327" s="60" t="n">
        <v>35</v>
      </c>
      <c r="O327" s="55" t="s">
        <v>416</v>
      </c>
      <c r="P327" s="57" t="n">
        <v>200</v>
      </c>
      <c r="Q327" s="60" t="n">
        <f aca="false">IF(BR327=1,0,IFERROR(VLOOKUP(BP327,'Gebinde-Kategorie'!$A$5:$M$45,13,0)+0,0))</f>
        <v>198</v>
      </c>
      <c r="R327" s="61"/>
      <c r="S327" s="62"/>
      <c r="T327" s="62"/>
      <c r="U327" s="55"/>
      <c r="V327" s="57"/>
      <c r="W327" s="57"/>
      <c r="X327" s="55" t="n">
        <f aca="false">IF(A327="","",IF(AND(Parameter!$B$21="Ja",ISNUMBER(U327)),U327,IF(IFERROR(VLOOKUP(D327,Parameter!$A$35:$C$64,2,0),"Nein")="2+3",IF(ISNUMBER(SEARCH("grosser Artikel",BM327)),2,IFERROR(VLOOKUP(BP327,Parameter!$F$35:$G$64,2,0),2)),IF(OR(IFERROR(VLOOKUP(D327,Parameter!$A$35:$C$64,2,0),"Nein")="Nein",IFERROR(VLOOKUP(D327,Parameter!$A$35:$C$64,2,0),"Nein")=""),"-",VLOOKUP(D327,Parameter!$A$35:$C$64,2,0)))))</f>
        <v>3</v>
      </c>
      <c r="Y327" s="62"/>
      <c r="Z327" s="63"/>
      <c r="AA327" s="57" t="n">
        <f aca="false">AP327</f>
        <v>400</v>
      </c>
      <c r="AB327" s="57" t="n">
        <f aca="false">MAX(AP327,G327)</f>
        <v>400</v>
      </c>
      <c r="AC327" s="64"/>
      <c r="AD327" s="57" t="n">
        <f aca="false">IF(LEFT(Cockpit!$C$5,1)="A",G327,IF(BW327=1,BX327,IF(LEFT(Cockpit!$C$5,1)="B",AH327,MAX(AH327,G327))))</f>
        <v>215</v>
      </c>
      <c r="AE327" s="57" t="n">
        <f aca="false">IF(BR327=1,0,ROUNDUP(AD327/BQ327,0))</f>
        <v>2</v>
      </c>
      <c r="AF327" s="59" t="n">
        <f aca="false">IF(CD327&gt;0,CD327*MAX(1,AD327/V327),IF(BR327=1,IF(AD327&lt;=0,0,BS327*MAX(1,IF(G327&gt;0,AD327/G327,1))),IF(Q327&gt;0,AE327/Q327,0))/MAX(0.1,N(Parameter!$M$21)))</f>
        <v>0.0101010101010101</v>
      </c>
      <c r="AG327" s="57" t="n">
        <f aca="false">AD327*F327</f>
        <v>223.6</v>
      </c>
      <c r="AH327" s="57" t="n">
        <f aca="false">ROUNDUP(MAX(I327/IF(BV327&gt;0,BV327,MAX(0.1,N(Cockpit!$C$6))),BY327)/BQ327,0)*BQ327</f>
        <v>400</v>
      </c>
      <c r="AI327" s="58" t="n">
        <f aca="false">IF(AF327&gt;0,I327/AF327,-1)</f>
        <v>9900</v>
      </c>
      <c r="AJ327" s="58" t="n">
        <f aca="false">IF(AND(OR(BU327="L1",BU327="L23"),AF327&gt;0),SUMIFS($AF$7:$AF$1576,$BU$7:$BU$1576,BU327,$AI$7:$AI$1576,"&gt;"&amp;AI327)+SUMIFS($AF$7:$AF$1576,$BU$7:$BU$1576,BU327,$AI$7:$AI$1576,AI327,$BO$7:$BO$1576,"&lt;="&amp;BO327),"")</f>
        <v>2.63702239789196</v>
      </c>
      <c r="AK327" s="65" t="n">
        <f aca="false">IF(AJ327="",0,MAX(0,MIN(1,(IF(BU327="L1",Parameter!$E$5,Parameter!$E$6+Parameter!$E$7)-(AJ327-AF327))/AF327)))</f>
        <v>1</v>
      </c>
      <c r="AL327" s="57" t="n">
        <f aca="false">IF(LEFT(Cockpit!$I$5,1)="A",G327,IF(BW327=1,BX327,IF(LEFT(Cockpit!$I$5,1)="B",AP327,MAX(AP327,G327))))</f>
        <v>400</v>
      </c>
      <c r="AM327" s="57" t="n">
        <f aca="false">IF(BR327=1,0,ROUNDUP(AL327/BQ327,0))</f>
        <v>2</v>
      </c>
      <c r="AN327" s="59" t="n">
        <f aca="false">IF(CD327&gt;0,CD327*MAX(1,AL327/V327),IF(BR327=1,IF(AL327&lt;=0,0,BS327*MAX(1,IF(G327&gt;0,AL327/G327,1))),IF(Q327&gt;0,AM327/Q327,0))/MAX(0.1,N(Parameter!$M$21)))</f>
        <v>0.0101010101010101</v>
      </c>
      <c r="AO327" s="57" t="n">
        <f aca="false">AL327*F327</f>
        <v>416</v>
      </c>
      <c r="AP327" s="57" t="n">
        <f aca="false">ROUNDUP(MAX(I327/IF(BV327&gt;0,BV327,MAX(0.1,N(Cockpit!$I$6))),BY327)/BQ327,0)*BQ327</f>
        <v>400</v>
      </c>
      <c r="AQ327" s="58" t="n">
        <f aca="false">IF(AN327&gt;0,I327/AN327,-1)</f>
        <v>9900</v>
      </c>
      <c r="AR327" s="58" t="n">
        <f aca="false">IF(AND(OR(BU327="L1",BU327="L23"),AN327&gt;0),SUMIFS($AN$7:$AN$1576,$BU$7:$BU$1576,BU327,$AQ$7:$AQ$1576,"&gt;"&amp;AQ327)+SUMIFS($AN$7:$AN$1576,$BU$7:$BU$1576,BU327,$AQ$7:$AQ$1576,AQ327,$BO$7:$BO$1576,"&lt;="&amp;BO327),"")</f>
        <v>7.21702206006554</v>
      </c>
      <c r="AS327" s="65" t="n">
        <f aca="false">IF(AR327="",0,MAX(0,MIN(1,(IF(BU327="L1",Parameter!$E$5,Parameter!$E$6+Parameter!$E$7)-(AR327-AN327))/AN327)))</f>
        <v>1</v>
      </c>
      <c r="AT327" s="57" t="n">
        <f aca="false">IF(LEFT(Cockpit!$O$5,1)="A",G327,IF(BW327=1,BX327,IF(LEFT(Cockpit!$O$5,1)="B",AX327,MAX(AX327,G327))))</f>
        <v>400</v>
      </c>
      <c r="AU327" s="57" t="n">
        <f aca="false">IF(BR327=1,0,ROUNDUP(AT327/BQ327,0))</f>
        <v>2</v>
      </c>
      <c r="AV327" s="59" t="n">
        <f aca="false">IF(CD327&gt;0,CD327*MAX(1,AT327/V327),IF(BR327=1,IF(AT327&lt;=0,0,BS327*MAX(1,IF(G327&gt;0,AT327/G327,1))),IF(Q327&gt;0,AU327/Q327,0))/MAX(0.1,N(Parameter!$M$21)))</f>
        <v>0.0101010101010101</v>
      </c>
      <c r="AW327" s="57" t="n">
        <f aca="false">AT327*F327</f>
        <v>416</v>
      </c>
      <c r="AX327" s="57" t="n">
        <f aca="false">ROUNDUP(MAX(I327/IF(BV327&gt;0,BV327,MAX(0.1,N(Cockpit!$O$6))),BY327)/BQ327,0)*BQ327</f>
        <v>400</v>
      </c>
      <c r="AY327" s="58" t="n">
        <f aca="false">IF(AV327&gt;0,I327/AV327,-1)</f>
        <v>9900</v>
      </c>
      <c r="AZ327" s="58" t="n">
        <f aca="false">IF(AND(OR(BU327="L1",BU327="L23"),AV327&gt;0),SUMIFS($AV$7:$AV$1576,$BU$7:$BU$1576,BU327,$AY$7:$AY$1576,"&gt;"&amp;AY327)+SUMIFS($AV$7:$AV$1576,$BU$7:$BU$1576,BU327,$AY$7:$AY$1576,AY327,$BO$7:$BO$1576,"&lt;="&amp;BO327),"")</f>
        <v>6.91865376169724</v>
      </c>
      <c r="BA327" s="65" t="n">
        <f aca="false">IF(AZ327="",0,MAX(0,MIN(1,(IF(BU327="L1",Parameter!$E$5,Parameter!$E$6+Parameter!$E$7)-(AZ327-AV327))/AV327)))</f>
        <v>1</v>
      </c>
      <c r="BB327" s="55" t="str">
        <f aca="false">IF(AF327&lt;=0,"",IF(BU327="Aussen","Aussenlager",IF(BU327="-","Nicht im Lift",IF(AK327&gt;=1,"Lift",IF(AK327&lt;=0,"Aussenlager","teilweise")))))</f>
        <v>Lift</v>
      </c>
      <c r="BC327" s="55" t="str">
        <f aca="false">IF(AN327&lt;=0,"",IF(BU327="Aussen","Aussenlager",IF(BU327="-","Nicht im Lift",IF(AS327&gt;=1,"Lift",IF(AS327&lt;=0,"Aussenlager","teilweise")))))</f>
        <v>Lift</v>
      </c>
      <c r="BD327" s="55" t="str">
        <f aca="false">IF(AV327&lt;=0,"",IF(BU327="Aussen","Aussenlager",IF(BU327="-","Nicht im Lift",IF(BA327&gt;=1,"Lift",IF(BA327&lt;=0,"Aussenlager","teilweise")))))</f>
        <v>Lift</v>
      </c>
      <c r="BE327" s="55" t="str">
        <f aca="false">IF(A327="","",IF(BN327=1,"Neu; ","")&amp;IF(AND(BN327=0,BI327&lt;0),"negativer Bestand (Export "&amp;BI327&amp;"); ","")&amp;IF(I327&lt;=0,"Kein Verbrauch; ","")&amp;IF(CD327&gt;0,"Lift "&amp;U327&amp;" lt. Liftbericht (Fach "&amp;V327&amp;" Stk); ",IF(BR327=1,"Lose – Fläche geschätzt; ",""))&amp;IF(G327&gt;AP327,"Überbestand "&amp;ROUND(G327-AP327,0)&amp;" Stk / CHF "&amp;ROUND((G327-AP327)*F327,0)&amp;"; ","")&amp;IF(AND(BW327=1,BX327&lt;BY327),"MAX &lt; MB+LG; ","")&amp;IF(AND(CC327&gt;0,CB327*10&gt;CC327),"zu hoch für Tablar; ","")&amp;IF(AND(BN327=0,OR(BW327=1,Y327&lt;&gt;"",S327&lt;&gt;"",T327&lt;&gt;"",Z327&lt;&gt;"")),"manuell übersteuert; ","")&amp;IF(AND(BR327=0,Q327=0),"Gebinde unbekannt / Stellmass fehlt; ","")&amp;IF(AND(BR327=0,N(T327)&lt;=0,N(P327)&lt;=0),"Menge pro Gebinde fehlt (Ist = 1 Gebinde); ","")&amp;BM327)</f>
        <v/>
      </c>
      <c r="BF327" s="55"/>
      <c r="BG327" s="55"/>
      <c r="BH327" s="62"/>
      <c r="BI327" s="57" t="n">
        <v>215</v>
      </c>
      <c r="BJ327" s="57" t="n">
        <v>4</v>
      </c>
      <c r="BK327" s="56" t="n">
        <v>223.6</v>
      </c>
      <c r="BL327" s="57" t="n">
        <v>100</v>
      </c>
      <c r="BM327" s="55"/>
      <c r="BN327" s="60" t="n">
        <v>0</v>
      </c>
      <c r="BO327" s="60" t="n">
        <v>327</v>
      </c>
      <c r="BP327" s="55" t="str">
        <f aca="false">IF(S327&lt;&gt;"",UPPER(TRIM(S327)),IF(O327="","LOSE",O327))</f>
        <v>S22</v>
      </c>
      <c r="BQ327" s="57" t="n">
        <f aca="false">IF(BP327="LOSE",1,IF(N(T327)&gt;0,T327,IF(N(P327)&gt;0,P327,MAX(1,G327))))</f>
        <v>200</v>
      </c>
      <c r="BR327" s="60" t="n">
        <f aca="false">IF(BP327="LOSE",1,0)</f>
        <v>0</v>
      </c>
      <c r="BS327" s="59" t="n">
        <f aca="false">IF(BR327=0,0,IF(N(R327)&gt;0,R327,IFERROR(VLOOKUP(D327,Parameter!$A$35:$C$64,3,0)+0,0)))</f>
        <v>0</v>
      </c>
      <c r="BT327" s="55" t="n">
        <f aca="false">IF(Y327&lt;&gt;"",Y327,X327)</f>
        <v>3</v>
      </c>
      <c r="BU327" s="55" t="str">
        <f aca="false">IF(BT327=1,"L1",IF(OR(BT327=2,BT327=3),"L23",IF(BT327="Aussen","Aussen","-")))</f>
        <v>L23</v>
      </c>
      <c r="BV327" s="66" t="n">
        <f aca="false">IF(N(Z327)&gt;0,Z327,0)</f>
        <v>0</v>
      </c>
      <c r="BW327" s="60" t="n">
        <f aca="false">IF(ISNUMBER(AC327),1,0)</f>
        <v>0</v>
      </c>
      <c r="BX327" s="57" t="n">
        <f aca="false">N(AC327)</f>
        <v>0</v>
      </c>
      <c r="BY327" s="57" t="n">
        <f aca="false">N(L327)+N(M327)</f>
        <v>225</v>
      </c>
      <c r="BZ327" s="57" t="n">
        <f aca="false">ROUNDUP(G327/BQ327,0)</f>
        <v>2</v>
      </c>
      <c r="CA327" s="57" t="n">
        <f aca="false">ROUNDUP(BX327/BQ327,0)</f>
        <v>0</v>
      </c>
      <c r="CB327" s="60" t="n">
        <f aca="false">IF(BR327=1,0,IFERROR(VLOOKUP(BP327,'Gebinde-Kategorie'!$A$5:$M$45,5,0)+0,0))</f>
        <v>8</v>
      </c>
      <c r="CC327" s="60" t="n">
        <f aca="false">IFERROR(IF(OR(BT327=1,BT327=2,BT327=3),N(INDEX(Parameter!$I$5:$I$7,BT327)),0),0)</f>
        <v>0</v>
      </c>
      <c r="CD327" s="59" t="n">
        <f aca="false">IF(AND(Parameter!$B$21="Ja",ISNUMBER(U327),N(V327)&gt;0),IFERROR(N(INDEX(Parameter!$L$5:$L$7,U327))*INDEX(Parameter!$E$5:$E$7,U327)*V327/SUMIFS($V$7:$V$1576,$U$7:$U$1576,U327),0),0)</f>
        <v>0</v>
      </c>
    </row>
    <row r="328" customFormat="false" ht="15" hidden="false" customHeight="false" outlineLevel="0" collapsed="false">
      <c r="A328" s="55" t="s">
        <v>808</v>
      </c>
      <c r="B328" s="55" t="s">
        <v>578</v>
      </c>
      <c r="C328" s="55" t="s">
        <v>160</v>
      </c>
      <c r="D328" s="55" t="s">
        <v>178</v>
      </c>
      <c r="E328" s="55" t="s">
        <v>210</v>
      </c>
      <c r="F328" s="56" t="n">
        <v>1.5</v>
      </c>
      <c r="G328" s="57" t="n">
        <f aca="false">MAX(0,IF(AND(Parameter!$B$21="Ja",ISNUMBER(W328)),W328,IF(Parameter!$B$20="Jahresanfang 2025 + Export",BJ328+BI328,BI328)))</f>
        <v>148</v>
      </c>
      <c r="H328" s="57" t="n">
        <f aca="false">G328*F328</f>
        <v>222</v>
      </c>
      <c r="I328" s="57" t="n">
        <f aca="false">BL328*Parameter!$B$18</f>
        <v>362</v>
      </c>
      <c r="J328" s="58" t="n">
        <v>154.5</v>
      </c>
      <c r="K328" s="59" t="n">
        <v>2.34304207119741</v>
      </c>
      <c r="L328" s="57" t="n">
        <v>21</v>
      </c>
      <c r="M328" s="57" t="n">
        <v>360</v>
      </c>
      <c r="N328" s="60" t="n">
        <v>21</v>
      </c>
      <c r="O328" s="55" t="s">
        <v>416</v>
      </c>
      <c r="P328" s="57" t="n">
        <v>121</v>
      </c>
      <c r="Q328" s="60" t="n">
        <f aca="false">IF(BR328=1,0,IFERROR(VLOOKUP(BP328,'Gebinde-Kategorie'!$A$5:$M$45,13,0)+0,0))</f>
        <v>198</v>
      </c>
      <c r="R328" s="61"/>
      <c r="S328" s="62"/>
      <c r="T328" s="62"/>
      <c r="U328" s="55"/>
      <c r="V328" s="57"/>
      <c r="W328" s="57"/>
      <c r="X328" s="55" t="n">
        <f aca="false">IF(A328="","",IF(AND(Parameter!$B$21="Ja",ISNUMBER(U328)),U328,IF(IFERROR(VLOOKUP(D328,Parameter!$A$35:$C$64,2,0),"Nein")="2+3",IF(ISNUMBER(SEARCH("grosser Artikel",BM328)),2,IFERROR(VLOOKUP(BP328,Parameter!$F$35:$G$64,2,0),2)),IF(OR(IFERROR(VLOOKUP(D328,Parameter!$A$35:$C$64,2,0),"Nein")="Nein",IFERROR(VLOOKUP(D328,Parameter!$A$35:$C$64,2,0),"Nein")=""),"-",VLOOKUP(D328,Parameter!$A$35:$C$64,2,0)))))</f>
        <v>3</v>
      </c>
      <c r="Y328" s="62"/>
      <c r="Z328" s="63"/>
      <c r="AA328" s="57" t="n">
        <f aca="false">AP328</f>
        <v>484</v>
      </c>
      <c r="AB328" s="57" t="n">
        <f aca="false">MAX(AP328,G328)</f>
        <v>484</v>
      </c>
      <c r="AC328" s="64"/>
      <c r="AD328" s="57" t="n">
        <f aca="false">IF(LEFT(Cockpit!$C$5,1)="A",G328,IF(BW328=1,BX328,IF(LEFT(Cockpit!$C$5,1)="B",AH328,MAX(AH328,G328))))</f>
        <v>148</v>
      </c>
      <c r="AE328" s="57" t="n">
        <f aca="false">IF(BR328=1,0,ROUNDUP(AD328/BQ328,0))</f>
        <v>2</v>
      </c>
      <c r="AF328" s="59" t="n">
        <f aca="false">IF(CD328&gt;0,CD328*MAX(1,AD328/V328),IF(BR328=1,IF(AD328&lt;=0,0,BS328*MAX(1,IF(G328&gt;0,AD328/G328,1))),IF(Q328&gt;0,AE328/Q328,0))/MAX(0.1,N(Parameter!$M$21)))</f>
        <v>0.0101010101010101</v>
      </c>
      <c r="AG328" s="57" t="n">
        <f aca="false">AD328*F328</f>
        <v>222</v>
      </c>
      <c r="AH328" s="57" t="n">
        <f aca="false">ROUNDUP(MAX(I328/IF(BV328&gt;0,BV328,MAX(0.1,N(Cockpit!$C$6))),BY328)/BQ328,0)*BQ328</f>
        <v>484</v>
      </c>
      <c r="AI328" s="58" t="n">
        <f aca="false">IF(AF328&gt;0,I328/AF328,-1)</f>
        <v>35838</v>
      </c>
      <c r="AJ328" s="58" t="n">
        <f aca="false">IF(AND(OR(BU328="L1",BU328="L23"),AF328&gt;0),SUMIFS($AF$7:$AF$1576,$BU$7:$BU$1576,BU328,$AI$7:$AI$1576,"&gt;"&amp;AI328)+SUMIFS($AF$7:$AF$1576,$BU$7:$BU$1576,BU328,$AI$7:$AI$1576,AI328,$BO$7:$BO$1576,"&lt;="&amp;BO328),"")</f>
        <v>1.18832134049525</v>
      </c>
      <c r="AK328" s="65" t="n">
        <f aca="false">IF(AJ328="",0,MAX(0,MIN(1,(IF(BU328="L1",Parameter!$E$5,Parameter!$E$6+Parameter!$E$7)-(AJ328-AF328))/AF328)))</f>
        <v>1</v>
      </c>
      <c r="AL328" s="57" t="n">
        <f aca="false">IF(LEFT(Cockpit!$I$5,1)="A",G328,IF(BW328=1,BX328,IF(LEFT(Cockpit!$I$5,1)="B",AP328,MAX(AP328,G328))))</f>
        <v>484</v>
      </c>
      <c r="AM328" s="57" t="n">
        <f aca="false">IF(BR328=1,0,ROUNDUP(AL328/BQ328,0))</f>
        <v>4</v>
      </c>
      <c r="AN328" s="59" t="n">
        <f aca="false">IF(CD328&gt;0,CD328*MAX(1,AL328/V328),IF(BR328=1,IF(AL328&lt;=0,0,BS328*MAX(1,IF(G328&gt;0,AL328/G328,1))),IF(Q328&gt;0,AM328/Q328,0))/MAX(0.1,N(Parameter!$M$21)))</f>
        <v>0.0202020202020202</v>
      </c>
      <c r="AO328" s="57" t="n">
        <f aca="false">AL328*F328</f>
        <v>726</v>
      </c>
      <c r="AP328" s="57" t="n">
        <f aca="false">ROUNDUP(MAX(I328/IF(BV328&gt;0,BV328,MAX(0.1,N(Cockpit!$I$6))),BY328)/BQ328,0)*BQ328</f>
        <v>484</v>
      </c>
      <c r="AQ328" s="58" t="n">
        <f aca="false">IF(AN328&gt;0,I328/AN328,-1)</f>
        <v>17919</v>
      </c>
      <c r="AR328" s="58" t="n">
        <f aca="false">IF(AND(OR(BU328="L1",BU328="L23"),AN328&gt;0),SUMIFS($AN$7:$AN$1576,$BU$7:$BU$1576,BU328,$AQ$7:$AQ$1576,"&gt;"&amp;AQ328)+SUMIFS($AN$7:$AN$1576,$BU$7:$BU$1576,BU328,$AQ$7:$AQ$1576,AQ328,$BO$7:$BO$1576,"&lt;="&amp;BO328),"")</f>
        <v>4.27914732610385</v>
      </c>
      <c r="AS328" s="65" t="n">
        <f aca="false">IF(AR328="",0,MAX(0,MIN(1,(IF(BU328="L1",Parameter!$E$5,Parameter!$E$6+Parameter!$E$7)-(AR328-AN328))/AN328)))</f>
        <v>1</v>
      </c>
      <c r="AT328" s="57" t="n">
        <f aca="false">IF(LEFT(Cockpit!$O$5,1)="A",G328,IF(BW328=1,BX328,IF(LEFT(Cockpit!$O$5,1)="B",AX328,MAX(AX328,G328))))</f>
        <v>484</v>
      </c>
      <c r="AU328" s="57" t="n">
        <f aca="false">IF(BR328=1,0,ROUNDUP(AT328/BQ328,0))</f>
        <v>4</v>
      </c>
      <c r="AV328" s="59" t="n">
        <f aca="false">IF(CD328&gt;0,CD328*MAX(1,AT328/V328),IF(BR328=1,IF(AT328&lt;=0,0,BS328*MAX(1,IF(G328&gt;0,AT328/G328,1))),IF(Q328&gt;0,AU328/Q328,0))/MAX(0.1,N(Parameter!$M$21)))</f>
        <v>0.0202020202020202</v>
      </c>
      <c r="AW328" s="57" t="n">
        <f aca="false">AT328*F328</f>
        <v>726</v>
      </c>
      <c r="AX328" s="57" t="n">
        <f aca="false">ROUNDUP(MAX(I328/IF(BV328&gt;0,BV328,MAX(0.1,N(Cockpit!$O$6))),BY328)/BQ328,0)*BQ328</f>
        <v>484</v>
      </c>
      <c r="AY328" s="58" t="n">
        <f aca="false">IF(AV328&gt;0,I328/AV328,-1)</f>
        <v>17919</v>
      </c>
      <c r="AZ328" s="58" t="n">
        <f aca="false">IF(AND(OR(BU328="L1",BU328="L23"),AV328&gt;0),SUMIFS($AV$7:$AV$1576,$BU$7:$BU$1576,BU328,$AY$7:$AY$1576,"&gt;"&amp;AY328)+SUMIFS($AV$7:$AV$1576,$BU$7:$BU$1576,BU328,$AY$7:$AY$1576,AY328,$BO$7:$BO$1576,"&lt;="&amp;BO328),"")</f>
        <v>4.62180466876119</v>
      </c>
      <c r="BA328" s="65" t="n">
        <f aca="false">IF(AZ328="",0,MAX(0,MIN(1,(IF(BU328="L1",Parameter!$E$5,Parameter!$E$6+Parameter!$E$7)-(AZ328-AV328))/AV328)))</f>
        <v>1</v>
      </c>
      <c r="BB328" s="55" t="str">
        <f aca="false">IF(AF328&lt;=0,"",IF(BU328="Aussen","Aussenlager",IF(BU328="-","Nicht im Lift",IF(AK328&gt;=1,"Lift",IF(AK328&lt;=0,"Aussenlager","teilweise")))))</f>
        <v>Lift</v>
      </c>
      <c r="BC328" s="55" t="str">
        <f aca="false">IF(AN328&lt;=0,"",IF(BU328="Aussen","Aussenlager",IF(BU328="-","Nicht im Lift",IF(AS328&gt;=1,"Lift",IF(AS328&lt;=0,"Aussenlager","teilweise")))))</f>
        <v>Lift</v>
      </c>
      <c r="BD328" s="55" t="str">
        <f aca="false">IF(AV328&lt;=0,"",IF(BU328="Aussen","Aussenlager",IF(BU328="-","Nicht im Lift",IF(BA328&gt;=1,"Lift",IF(BA328&lt;=0,"Aussenlager","teilweise")))))</f>
        <v>Lift</v>
      </c>
      <c r="BE328" s="55" t="str">
        <f aca="false">IF(A328="","",IF(BN328=1,"Neu; ","")&amp;IF(AND(BN328=0,BI328&lt;0),"negativer Bestand (Export "&amp;BI328&amp;"); ","")&amp;IF(I328&lt;=0,"Kein Verbrauch; ","")&amp;IF(CD328&gt;0,"Lift "&amp;U328&amp;" lt. Liftbericht (Fach "&amp;V328&amp;" Stk); ",IF(BR328=1,"Lose – Fläche geschätzt; ",""))&amp;IF(G328&gt;AP328,"Überbestand "&amp;ROUND(G328-AP328,0)&amp;" Stk / CHF "&amp;ROUND((G328-AP328)*F328,0)&amp;"; ","")&amp;IF(AND(BW328=1,BX328&lt;BY328),"MAX &lt; MB+LG; ","")&amp;IF(AND(CC328&gt;0,CB328*10&gt;CC328),"zu hoch für Tablar; ","")&amp;IF(AND(BN328=0,OR(BW328=1,Y328&lt;&gt;"",S328&lt;&gt;"",T328&lt;&gt;"",Z328&lt;&gt;"")),"manuell übersteuert; ","")&amp;IF(AND(BR328=0,Q328=0),"Gebinde unbekannt / Stellmass fehlt; ","")&amp;IF(AND(BR328=0,N(T328)&lt;=0,N(P328)&lt;=0),"Menge pro Gebinde fehlt (Ist = 1 Gebinde); ","")&amp;BM328)</f>
        <v/>
      </c>
      <c r="BF328" s="55"/>
      <c r="BG328" s="55"/>
      <c r="BH328" s="62"/>
      <c r="BI328" s="57" t="n">
        <v>148</v>
      </c>
      <c r="BJ328" s="57" t="n">
        <v>135</v>
      </c>
      <c r="BK328" s="56" t="n">
        <v>222</v>
      </c>
      <c r="BL328" s="57" t="n">
        <v>362</v>
      </c>
      <c r="BM328" s="55"/>
      <c r="BN328" s="60" t="n">
        <v>0</v>
      </c>
      <c r="BO328" s="60" t="n">
        <v>328</v>
      </c>
      <c r="BP328" s="55" t="str">
        <f aca="false">IF(S328&lt;&gt;"",UPPER(TRIM(S328)),IF(O328="","LOSE",O328))</f>
        <v>S22</v>
      </c>
      <c r="BQ328" s="57" t="n">
        <f aca="false">IF(BP328="LOSE",1,IF(N(T328)&gt;0,T328,IF(N(P328)&gt;0,P328,MAX(1,G328))))</f>
        <v>121</v>
      </c>
      <c r="BR328" s="60" t="n">
        <f aca="false">IF(BP328="LOSE",1,0)</f>
        <v>0</v>
      </c>
      <c r="BS328" s="59" t="n">
        <f aca="false">IF(BR328=0,0,IF(N(R328)&gt;0,R328,IFERROR(VLOOKUP(D328,Parameter!$A$35:$C$64,3,0)+0,0)))</f>
        <v>0</v>
      </c>
      <c r="BT328" s="55" t="n">
        <f aca="false">IF(Y328&lt;&gt;"",Y328,X328)</f>
        <v>3</v>
      </c>
      <c r="BU328" s="55" t="str">
        <f aca="false">IF(BT328=1,"L1",IF(OR(BT328=2,BT328=3),"L23",IF(BT328="Aussen","Aussen","-")))</f>
        <v>L23</v>
      </c>
      <c r="BV328" s="66" t="n">
        <f aca="false">IF(N(Z328)&gt;0,Z328,0)</f>
        <v>0</v>
      </c>
      <c r="BW328" s="60" t="n">
        <f aca="false">IF(ISNUMBER(AC328),1,0)</f>
        <v>0</v>
      </c>
      <c r="BX328" s="57" t="n">
        <f aca="false">N(AC328)</f>
        <v>0</v>
      </c>
      <c r="BY328" s="57" t="n">
        <f aca="false">N(L328)+N(M328)</f>
        <v>381</v>
      </c>
      <c r="BZ328" s="57" t="n">
        <f aca="false">ROUNDUP(G328/BQ328,0)</f>
        <v>2</v>
      </c>
      <c r="CA328" s="57" t="n">
        <f aca="false">ROUNDUP(BX328/BQ328,0)</f>
        <v>0</v>
      </c>
      <c r="CB328" s="60" t="n">
        <f aca="false">IF(BR328=1,0,IFERROR(VLOOKUP(BP328,'Gebinde-Kategorie'!$A$5:$M$45,5,0)+0,0))</f>
        <v>8</v>
      </c>
      <c r="CC328" s="60" t="n">
        <f aca="false">IFERROR(IF(OR(BT328=1,BT328=2,BT328=3),N(INDEX(Parameter!$I$5:$I$7,BT328)),0),0)</f>
        <v>0</v>
      </c>
      <c r="CD328" s="59" t="n">
        <f aca="false">IF(AND(Parameter!$B$21="Ja",ISNUMBER(U328),N(V328)&gt;0),IFERROR(N(INDEX(Parameter!$L$5:$L$7,U328))*INDEX(Parameter!$E$5:$E$7,U328)*V328/SUMIFS($V$7:$V$1576,$U$7:$U$1576,U328),0),0)</f>
        <v>0</v>
      </c>
    </row>
    <row r="329" customFormat="false" ht="15" hidden="false" customHeight="false" outlineLevel="0" collapsed="false">
      <c r="A329" s="55" t="s">
        <v>809</v>
      </c>
      <c r="B329" s="55" t="s">
        <v>358</v>
      </c>
      <c r="C329" s="55" t="s">
        <v>160</v>
      </c>
      <c r="D329" s="55" t="s">
        <v>178</v>
      </c>
      <c r="E329" s="55" t="s">
        <v>210</v>
      </c>
      <c r="F329" s="56" t="n">
        <v>14.67</v>
      </c>
      <c r="G329" s="57" t="n">
        <f aca="false">MAX(0,IF(AND(Parameter!$B$21="Ja",ISNUMBER(W329)),W329,IF(Parameter!$B$20="Jahresanfang 2025 + Export",BJ329+BI329,BI329)))</f>
        <v>15</v>
      </c>
      <c r="H329" s="57" t="n">
        <f aca="false">G329*F329</f>
        <v>220.05</v>
      </c>
      <c r="I329" s="57" t="n">
        <f aca="false">BL329*Parameter!$B$18</f>
        <v>0</v>
      </c>
      <c r="J329" s="58" t="n">
        <v>0</v>
      </c>
      <c r="K329" s="59" t="n">
        <v>0</v>
      </c>
      <c r="L329" s="57" t="n">
        <v>0</v>
      </c>
      <c r="M329" s="57" t="n">
        <v>1</v>
      </c>
      <c r="N329" s="60" t="n">
        <v>9999</v>
      </c>
      <c r="O329" s="55" t="s">
        <v>163</v>
      </c>
      <c r="P329" s="57"/>
      <c r="Q329" s="60" t="n">
        <f aca="false">IF(BR329=1,0,IFERROR(VLOOKUP(BP329,'Gebinde-Kategorie'!$A$5:$M$45,13,0)+0,0))</f>
        <v>0</v>
      </c>
      <c r="R329" s="61"/>
      <c r="S329" s="62"/>
      <c r="T329" s="62"/>
      <c r="U329" s="55"/>
      <c r="V329" s="57"/>
      <c r="W329" s="57"/>
      <c r="X329" s="55" t="n">
        <f aca="false">IF(A329="","",IF(AND(Parameter!$B$21="Ja",ISNUMBER(U329)),U329,IF(IFERROR(VLOOKUP(D329,Parameter!$A$35:$C$64,2,0),"Nein")="2+3",IF(ISNUMBER(SEARCH("grosser Artikel",BM329)),2,IFERROR(VLOOKUP(BP329,Parameter!$F$35:$G$64,2,0),2)),IF(OR(IFERROR(VLOOKUP(D329,Parameter!$A$35:$C$64,2,0),"Nein")="Nein",IFERROR(VLOOKUP(D329,Parameter!$A$35:$C$64,2,0),"Nein")=""),"-",VLOOKUP(D329,Parameter!$A$35:$C$64,2,0)))))</f>
        <v>2</v>
      </c>
      <c r="Y329" s="62"/>
      <c r="Z329" s="63"/>
      <c r="AA329" s="57" t="n">
        <f aca="false">AP329</f>
        <v>1</v>
      </c>
      <c r="AB329" s="57" t="n">
        <f aca="false">MAX(AP329,G329)</f>
        <v>15</v>
      </c>
      <c r="AC329" s="64"/>
      <c r="AD329" s="57" t="n">
        <f aca="false">IF(LEFT(Cockpit!$C$5,1)="A",G329,IF(BW329=1,BX329,IF(LEFT(Cockpit!$C$5,1)="B",AH329,MAX(AH329,G329))))</f>
        <v>15</v>
      </c>
      <c r="AE329" s="57" t="n">
        <f aca="false">IF(BR329=1,0,ROUNDUP(AD329/BQ329,0))</f>
        <v>0</v>
      </c>
      <c r="AF329" s="59" t="n">
        <f aca="false">IF(CD329&gt;0,CD329*MAX(1,AD329/V329),IF(BR329=1,IF(AD329&lt;=0,0,BS329*MAX(1,IF(G329&gt;0,AD329/G329,1))),IF(Q329&gt;0,AE329/Q329,0))/MAX(0.1,N(Parameter!$M$21)))</f>
        <v>0.03</v>
      </c>
      <c r="AG329" s="57" t="n">
        <f aca="false">AD329*F329</f>
        <v>220.05</v>
      </c>
      <c r="AH329" s="57" t="n">
        <f aca="false">ROUNDUP(MAX(I329/IF(BV329&gt;0,BV329,MAX(0.1,N(Cockpit!$C$6))),BY329)/BQ329,0)*BQ329</f>
        <v>1</v>
      </c>
      <c r="AI329" s="58" t="n">
        <f aca="false">IF(AF329&gt;0,I329/AF329,-1)</f>
        <v>0</v>
      </c>
      <c r="AJ329" s="58" t="n">
        <f aca="false">IF(AND(OR(BU329="L1",BU329="L23"),AF329&gt;0),SUMIFS($AF$7:$AF$1576,$BU$7:$BU$1576,BU329,$AI$7:$AI$1576,"&gt;"&amp;AI329)+SUMIFS($AF$7:$AF$1576,$BU$7:$BU$1576,BU329,$AI$7:$AI$1576,AI329,$BO$7:$BO$1576,"&lt;="&amp;BO329),"")</f>
        <v>40.9809888179453</v>
      </c>
      <c r="AK329" s="65" t="n">
        <f aca="false">IF(AJ329="",0,MAX(0,MIN(1,(IF(BU329="L1",Parameter!$E$5,Parameter!$E$6+Parameter!$E$7)-(AJ329-AF329))/AF329)))</f>
        <v>1</v>
      </c>
      <c r="AL329" s="57" t="n">
        <f aca="false">IF(LEFT(Cockpit!$I$5,1)="A",G329,IF(BW329=1,BX329,IF(LEFT(Cockpit!$I$5,1)="B",AP329,MAX(AP329,G329))))</f>
        <v>15</v>
      </c>
      <c r="AM329" s="57" t="n">
        <f aca="false">IF(BR329=1,0,ROUNDUP(AL329/BQ329,0))</f>
        <v>0</v>
      </c>
      <c r="AN329" s="59" t="n">
        <f aca="false">IF(CD329&gt;0,CD329*MAX(1,AL329/V329),IF(BR329=1,IF(AL329&lt;=0,0,BS329*MAX(1,IF(G329&gt;0,AL329/G329,1))),IF(Q329&gt;0,AM329/Q329,0))/MAX(0.1,N(Parameter!$M$21)))</f>
        <v>0.03</v>
      </c>
      <c r="AO329" s="57" t="n">
        <f aca="false">AL329*F329</f>
        <v>220.05</v>
      </c>
      <c r="AP329" s="57" t="n">
        <f aca="false">ROUNDUP(MAX(I329/IF(BV329&gt;0,BV329,MAX(0.1,N(Cockpit!$I$6))),BY329)/BQ329,0)*BQ329</f>
        <v>1</v>
      </c>
      <c r="AQ329" s="58" t="n">
        <f aca="false">IF(AN329&gt;0,I329/AN329,-1)</f>
        <v>0</v>
      </c>
      <c r="AR329" s="58" t="n">
        <f aca="false">IF(AND(OR(BU329="L1",BU329="L23"),AN329&gt;0),SUMIFS($AN$7:$AN$1576,$BU$7:$BU$1576,BU329,$AQ$7:$AQ$1576,"&gt;"&amp;AQ329)+SUMIFS($AN$7:$AN$1576,$BU$7:$BU$1576,BU329,$AQ$7:$AQ$1576,AQ329,$BO$7:$BO$1576,"&lt;="&amp;BO329),"")</f>
        <v>123.855194567735</v>
      </c>
      <c r="AS329" s="65" t="n">
        <f aca="false">IF(AR329="",0,MAX(0,MIN(1,(IF(BU329="L1",Parameter!$E$5,Parameter!$E$6+Parameter!$E$7)-(AR329-AN329))/AN329)))</f>
        <v>0</v>
      </c>
      <c r="AT329" s="57" t="n">
        <f aca="false">IF(LEFT(Cockpit!$O$5,1)="A",G329,IF(BW329=1,BX329,IF(LEFT(Cockpit!$O$5,1)="B",AX329,MAX(AX329,G329))))</f>
        <v>15</v>
      </c>
      <c r="AU329" s="57" t="n">
        <f aca="false">IF(BR329=1,0,ROUNDUP(AT329/BQ329,0))</f>
        <v>0</v>
      </c>
      <c r="AV329" s="59" t="n">
        <f aca="false">IF(CD329&gt;0,CD329*MAX(1,AT329/V329),IF(BR329=1,IF(AT329&lt;=0,0,BS329*MAX(1,IF(G329&gt;0,AT329/G329,1))),IF(Q329&gt;0,AU329/Q329,0))/MAX(0.1,N(Parameter!$M$21)))</f>
        <v>0.03</v>
      </c>
      <c r="AW329" s="57" t="n">
        <f aca="false">AT329*F329</f>
        <v>220.05</v>
      </c>
      <c r="AX329" s="57" t="n">
        <f aca="false">ROUNDUP(MAX(I329/IF(BV329&gt;0,BV329,MAX(0.1,N(Cockpit!$O$6))),BY329)/BQ329,0)*BQ329</f>
        <v>1</v>
      </c>
      <c r="AY329" s="58" t="n">
        <f aca="false">IF(AV329&gt;0,I329/AV329,-1)</f>
        <v>0</v>
      </c>
      <c r="AZ329" s="58" t="n">
        <f aca="false">IF(AND(OR(BU329="L1",BU329="L23"),AV329&gt;0),SUMIFS($AV$7:$AV$1576,$BU$7:$BU$1576,BU329,$AY$7:$AY$1576,"&gt;"&amp;AY329)+SUMIFS($AV$7:$AV$1576,$BU$7:$BU$1576,BU329,$AY$7:$AY$1576,AY329,$BO$7:$BO$1576,"&lt;="&amp;BO329),"")</f>
        <v>113.914745017285</v>
      </c>
      <c r="BA329" s="65" t="n">
        <f aca="false">IF(AZ329="",0,MAX(0,MIN(1,(IF(BU329="L1",Parameter!$E$5,Parameter!$E$6+Parameter!$E$7)-(AZ329-AV329))/AV329)))</f>
        <v>0</v>
      </c>
      <c r="BB329" s="55" t="str">
        <f aca="false">IF(AF329&lt;=0,"",IF(BU329="Aussen","Aussenlager",IF(BU329="-","Nicht im Lift",IF(AK329&gt;=1,"Lift",IF(AK329&lt;=0,"Aussenlager","teilweise")))))</f>
        <v>Lift</v>
      </c>
      <c r="BC329" s="55" t="str">
        <f aca="false">IF(AN329&lt;=0,"",IF(BU329="Aussen","Aussenlager",IF(BU329="-","Nicht im Lift",IF(AS329&gt;=1,"Lift",IF(AS329&lt;=0,"Aussenlager","teilweise")))))</f>
        <v>Aussenlager</v>
      </c>
      <c r="BD329" s="55" t="str">
        <f aca="false">IF(AV329&lt;=0,"",IF(BU329="Aussen","Aussenlager",IF(BU329="-","Nicht im Lift",IF(BA329&gt;=1,"Lift",IF(BA329&lt;=0,"Aussenlager","teilweise")))))</f>
        <v>Aussenlager</v>
      </c>
      <c r="BE329" s="55" t="str">
        <f aca="false">IF(A329="","",IF(BN329=1,"Neu; ","")&amp;IF(AND(BN329=0,BI329&lt;0),"negativer Bestand (Export "&amp;BI329&amp;"); ","")&amp;IF(I329&lt;=0,"Kein Verbrauch; ","")&amp;IF(CD329&gt;0,"Lift "&amp;U329&amp;" lt. Liftbericht (Fach "&amp;V329&amp;" Stk); ",IF(BR329=1,"Lose – Fläche geschätzt; ",""))&amp;IF(G329&gt;AP329,"Überbestand "&amp;ROUND(G329-AP329,0)&amp;" Stk / CHF "&amp;ROUND((G329-AP329)*F329,0)&amp;"; ","")&amp;IF(AND(BW329=1,BX329&lt;BY329),"MAX &lt; MB+LG; ","")&amp;IF(AND(CC329&gt;0,CB329*10&gt;CC329),"zu hoch für Tablar; ","")&amp;IF(AND(BN329=0,OR(BW329=1,Y329&lt;&gt;"",S329&lt;&gt;"",T329&lt;&gt;"",Z329&lt;&gt;"")),"manuell übersteuert; ","")&amp;IF(AND(BR329=0,Q329=0),"Gebinde unbekannt / Stellmass fehlt; ","")&amp;IF(AND(BR329=0,N(T329)&lt;=0,N(P329)&lt;=0),"Menge pro Gebinde fehlt (Ist = 1 Gebinde); ","")&amp;BM329)</f>
        <v>Kein Verbrauch; Lose – Fläche geschätzt; Überbestand 14 Stk / CHF 205; </v>
      </c>
      <c r="BF329" s="55"/>
      <c r="BG329" s="55"/>
      <c r="BH329" s="62"/>
      <c r="BI329" s="57" t="n">
        <v>15</v>
      </c>
      <c r="BJ329" s="57" t="n">
        <v>0</v>
      </c>
      <c r="BK329" s="56" t="n">
        <v>220.05</v>
      </c>
      <c r="BL329" s="57" t="n">
        <v>0</v>
      </c>
      <c r="BM329" s="55"/>
      <c r="BN329" s="60" t="n">
        <v>0</v>
      </c>
      <c r="BO329" s="60" t="n">
        <v>329</v>
      </c>
      <c r="BP329" s="55" t="str">
        <f aca="false">IF(S329&lt;&gt;"",UPPER(TRIM(S329)),IF(O329="","LOSE",O329))</f>
        <v>LOSE</v>
      </c>
      <c r="BQ329" s="57" t="n">
        <f aca="false">IF(BP329="LOSE",1,IF(N(T329)&gt;0,T329,IF(N(P329)&gt;0,P329,MAX(1,G329))))</f>
        <v>1</v>
      </c>
      <c r="BR329" s="60" t="n">
        <f aca="false">IF(BP329="LOSE",1,0)</f>
        <v>1</v>
      </c>
      <c r="BS329" s="59" t="n">
        <f aca="false">IF(BR329=0,0,IF(N(R329)&gt;0,R329,IFERROR(VLOOKUP(D329,Parameter!$A$35:$C$64,3,0)+0,0)))</f>
        <v>0.03</v>
      </c>
      <c r="BT329" s="55" t="n">
        <f aca="false">IF(Y329&lt;&gt;"",Y329,X329)</f>
        <v>2</v>
      </c>
      <c r="BU329" s="55" t="str">
        <f aca="false">IF(BT329=1,"L1",IF(OR(BT329=2,BT329=3),"L23",IF(BT329="Aussen","Aussen","-")))</f>
        <v>L23</v>
      </c>
      <c r="BV329" s="66" t="n">
        <f aca="false">IF(N(Z329)&gt;0,Z329,0)</f>
        <v>0</v>
      </c>
      <c r="BW329" s="60" t="n">
        <f aca="false">IF(ISNUMBER(AC329),1,0)</f>
        <v>0</v>
      </c>
      <c r="BX329" s="57" t="n">
        <f aca="false">N(AC329)</f>
        <v>0</v>
      </c>
      <c r="BY329" s="57" t="n">
        <f aca="false">N(L329)+N(M329)</f>
        <v>1</v>
      </c>
      <c r="BZ329" s="57" t="n">
        <f aca="false">ROUNDUP(G329/BQ329,0)</f>
        <v>15</v>
      </c>
      <c r="CA329" s="57" t="n">
        <f aca="false">ROUNDUP(BX329/BQ329,0)</f>
        <v>0</v>
      </c>
      <c r="CB329" s="60" t="n">
        <f aca="false">IF(BR329=1,0,IFERROR(VLOOKUP(BP329,'Gebinde-Kategorie'!$A$5:$M$45,5,0)+0,0))</f>
        <v>0</v>
      </c>
      <c r="CC329" s="60" t="n">
        <f aca="false">IFERROR(IF(OR(BT329=1,BT329=2,BT329=3),N(INDEX(Parameter!$I$5:$I$7,BT329)),0),0)</f>
        <v>0</v>
      </c>
      <c r="CD329" s="59" t="n">
        <f aca="false">IF(AND(Parameter!$B$21="Ja",ISNUMBER(U329),N(V329)&gt;0),IFERROR(N(INDEX(Parameter!$L$5:$L$7,U329))*INDEX(Parameter!$E$5:$E$7,U329)*V329/SUMIFS($V$7:$V$1576,$U$7:$U$1576,U329),0),0)</f>
        <v>0</v>
      </c>
    </row>
    <row r="330" customFormat="false" ht="15" hidden="false" customHeight="false" outlineLevel="0" collapsed="false">
      <c r="A330" s="55" t="s">
        <v>810</v>
      </c>
      <c r="B330" s="55" t="s">
        <v>811</v>
      </c>
      <c r="C330" s="55" t="s">
        <v>160</v>
      </c>
      <c r="D330" s="55" t="s">
        <v>168</v>
      </c>
      <c r="E330" s="55" t="s">
        <v>210</v>
      </c>
      <c r="F330" s="56" t="n">
        <v>9.51</v>
      </c>
      <c r="G330" s="57" t="n">
        <f aca="false">MAX(0,IF(AND(Parameter!$B$21="Ja",ISNUMBER(W330)),W330,IF(Parameter!$B$20="Jahresanfang 2025 + Export",BJ330+BI330,BI330)))</f>
        <v>22</v>
      </c>
      <c r="H330" s="57" t="n">
        <f aca="false">G330*F330</f>
        <v>209.22</v>
      </c>
      <c r="I330" s="57" t="n">
        <f aca="false">BL330*Parameter!$B$18</f>
        <v>142</v>
      </c>
      <c r="J330" s="58" t="n">
        <v>36</v>
      </c>
      <c r="K330" s="59" t="n">
        <v>3.94444444444445</v>
      </c>
      <c r="L330" s="57" t="n">
        <v>5</v>
      </c>
      <c r="M330" s="57" t="n">
        <v>30</v>
      </c>
      <c r="N330" s="60" t="n">
        <v>14</v>
      </c>
      <c r="O330" s="55" t="s">
        <v>218</v>
      </c>
      <c r="P330" s="57" t="n">
        <v>171</v>
      </c>
      <c r="Q330" s="60" t="n">
        <f aca="false">IF(BR330=1,0,IFERROR(VLOOKUP(BP330,'Gebinde-Kategorie'!$A$5:$M$45,13,0)+0,0))</f>
        <v>12</v>
      </c>
      <c r="R330" s="61"/>
      <c r="S330" s="62"/>
      <c r="T330" s="62"/>
      <c r="U330" s="55"/>
      <c r="V330" s="57"/>
      <c r="W330" s="57"/>
      <c r="X330" s="55" t="n">
        <f aca="false">IF(A330="","",IF(AND(Parameter!$B$21="Ja",ISNUMBER(U330)),U330,IF(IFERROR(VLOOKUP(D330,Parameter!$A$35:$C$64,2,0),"Nein")="2+3",IF(ISNUMBER(SEARCH("grosser Artikel",BM330)),2,IFERROR(VLOOKUP(BP330,Parameter!$F$35:$G$64,2,0),2)),IF(OR(IFERROR(VLOOKUP(D330,Parameter!$A$35:$C$64,2,0),"Nein")="Nein",IFERROR(VLOOKUP(D330,Parameter!$A$35:$C$64,2,0),"Nein")=""),"-",VLOOKUP(D330,Parameter!$A$35:$C$64,2,0)))))</f>
        <v>2</v>
      </c>
      <c r="Y330" s="62"/>
      <c r="Z330" s="63"/>
      <c r="AA330" s="57" t="n">
        <f aca="false">AP330</f>
        <v>171</v>
      </c>
      <c r="AB330" s="57" t="n">
        <f aca="false">MAX(AP330,G330)</f>
        <v>171</v>
      </c>
      <c r="AC330" s="64"/>
      <c r="AD330" s="57" t="n">
        <f aca="false">IF(LEFT(Cockpit!$C$5,1)="A",G330,IF(BW330=1,BX330,IF(LEFT(Cockpit!$C$5,1)="B",AH330,MAX(AH330,G330))))</f>
        <v>22</v>
      </c>
      <c r="AE330" s="57" t="n">
        <f aca="false">IF(BR330=1,0,ROUNDUP(AD330/BQ330,0))</f>
        <v>1</v>
      </c>
      <c r="AF330" s="59" t="n">
        <f aca="false">IF(CD330&gt;0,CD330*MAX(1,AD330/V330),IF(BR330=1,IF(AD330&lt;=0,0,BS330*MAX(1,IF(G330&gt;0,AD330/G330,1))),IF(Q330&gt;0,AE330/Q330,0))/MAX(0.1,N(Parameter!$M$21)))</f>
        <v>0.0833333333333333</v>
      </c>
      <c r="AG330" s="57" t="n">
        <f aca="false">AD330*F330</f>
        <v>209.22</v>
      </c>
      <c r="AH330" s="57" t="n">
        <f aca="false">ROUNDUP(MAX(I330/IF(BV330&gt;0,BV330,MAX(0.1,N(Cockpit!$C$6))),BY330)/BQ330,0)*BQ330</f>
        <v>171</v>
      </c>
      <c r="AI330" s="58" t="n">
        <f aca="false">IF(AF330&gt;0,I330/AF330,-1)</f>
        <v>1704</v>
      </c>
      <c r="AJ330" s="58" t="n">
        <f aca="false">IF(AND(OR(BU330="L1",BU330="L23"),AF330&gt;0),SUMIFS($AF$7:$AF$1576,$BU$7:$BU$1576,BU330,$AI$7:$AI$1576,"&gt;"&amp;AI330)+SUMIFS($AF$7:$AF$1576,$BU$7:$BU$1576,BU330,$AI$7:$AI$1576,AI330,$BO$7:$BO$1576,"&lt;="&amp;BO330),"")</f>
        <v>7.62519813519814</v>
      </c>
      <c r="AK330" s="65" t="n">
        <f aca="false">IF(AJ330="",0,MAX(0,MIN(1,(IF(BU330="L1",Parameter!$E$5,Parameter!$E$6+Parameter!$E$7)-(AJ330-AF330))/AF330)))</f>
        <v>1</v>
      </c>
      <c r="AL330" s="57" t="n">
        <f aca="false">IF(LEFT(Cockpit!$I$5,1)="A",G330,IF(BW330=1,BX330,IF(LEFT(Cockpit!$I$5,1)="B",AP330,MAX(AP330,G330))))</f>
        <v>171</v>
      </c>
      <c r="AM330" s="57" t="n">
        <f aca="false">IF(BR330=1,0,ROUNDUP(AL330/BQ330,0))</f>
        <v>1</v>
      </c>
      <c r="AN330" s="59" t="n">
        <f aca="false">IF(CD330&gt;0,CD330*MAX(1,AL330/V330),IF(BR330=1,IF(AL330&lt;=0,0,BS330*MAX(1,IF(G330&gt;0,AL330/G330,1))),IF(Q330&gt;0,AM330/Q330,0))/MAX(0.1,N(Parameter!$M$21)))</f>
        <v>0.0833333333333333</v>
      </c>
      <c r="AO330" s="57" t="n">
        <f aca="false">AL330*F330</f>
        <v>1626.21</v>
      </c>
      <c r="AP330" s="57" t="n">
        <f aca="false">ROUNDUP(MAX(I330/IF(BV330&gt;0,BV330,MAX(0.1,N(Cockpit!$I$6))),BY330)/BQ330,0)*BQ330</f>
        <v>171</v>
      </c>
      <c r="AQ330" s="58" t="n">
        <f aca="false">IF(AN330&gt;0,I330/AN330,-1)</f>
        <v>1704</v>
      </c>
      <c r="AR330" s="58" t="n">
        <f aca="false">IF(AND(OR(BU330="L1",BU330="L23"),AN330&gt;0),SUMIFS($AN$7:$AN$1576,$BU$7:$BU$1576,BU330,$AQ$7:$AQ$1576,"&gt;"&amp;AQ330)+SUMIFS($AN$7:$AN$1576,$BU$7:$BU$1576,BU330,$AQ$7:$AQ$1576,AQ330,$BO$7:$BO$1576,"&lt;="&amp;BO330),"")</f>
        <v>18.4103563710197</v>
      </c>
      <c r="AS330" s="65" t="n">
        <f aca="false">IF(AR330="",0,MAX(0,MIN(1,(IF(BU330="L1",Parameter!$E$5,Parameter!$E$6+Parameter!$E$7)-(AR330-AN330))/AN330)))</f>
        <v>1</v>
      </c>
      <c r="AT330" s="57" t="n">
        <f aca="false">IF(LEFT(Cockpit!$O$5,1)="A",G330,IF(BW330=1,BX330,IF(LEFT(Cockpit!$O$5,1)="B",AX330,MAX(AX330,G330))))</f>
        <v>171</v>
      </c>
      <c r="AU330" s="57" t="n">
        <f aca="false">IF(BR330=1,0,ROUNDUP(AT330/BQ330,0))</f>
        <v>1</v>
      </c>
      <c r="AV330" s="59" t="n">
        <f aca="false">IF(CD330&gt;0,CD330*MAX(1,AT330/V330),IF(BR330=1,IF(AT330&lt;=0,0,BS330*MAX(1,IF(G330&gt;0,AT330/G330,1))),IF(Q330&gt;0,AU330/Q330,0))/MAX(0.1,N(Parameter!$M$21)))</f>
        <v>0.0833333333333333</v>
      </c>
      <c r="AW330" s="57" t="n">
        <f aca="false">AT330*F330</f>
        <v>1626.21</v>
      </c>
      <c r="AX330" s="57" t="n">
        <f aca="false">ROUNDUP(MAX(I330/IF(BV330&gt;0,BV330,MAX(0.1,N(Cockpit!$O$6))),BY330)/BQ330,0)*BQ330</f>
        <v>171</v>
      </c>
      <c r="AY330" s="58" t="n">
        <f aca="false">IF(AV330&gt;0,I330/AV330,-1)</f>
        <v>1704</v>
      </c>
      <c r="AZ330" s="58" t="n">
        <f aca="false">IF(AND(OR(BU330="L1",BU330="L23"),AV330&gt;0),SUMIFS($AV$7:$AV$1576,$BU$7:$BU$1576,BU330,$AY$7:$AY$1576,"&gt;"&amp;AY330)+SUMIFS($AV$7:$AV$1576,$BU$7:$BU$1576,BU330,$AY$7:$AY$1576,AY330,$BO$7:$BO$1576,"&lt;="&amp;BO330),"")</f>
        <v>17.3876290982924</v>
      </c>
      <c r="BA330" s="65" t="n">
        <f aca="false">IF(AZ330="",0,MAX(0,MIN(1,(IF(BU330="L1",Parameter!$E$5,Parameter!$E$6+Parameter!$E$7)-(AZ330-AV330))/AV330)))</f>
        <v>1</v>
      </c>
      <c r="BB330" s="55" t="str">
        <f aca="false">IF(AF330&lt;=0,"",IF(BU330="Aussen","Aussenlager",IF(BU330="-","Nicht im Lift",IF(AK330&gt;=1,"Lift",IF(AK330&lt;=0,"Aussenlager","teilweise")))))</f>
        <v>Lift</v>
      </c>
      <c r="BC330" s="55" t="str">
        <f aca="false">IF(AN330&lt;=0,"",IF(BU330="Aussen","Aussenlager",IF(BU330="-","Nicht im Lift",IF(AS330&gt;=1,"Lift",IF(AS330&lt;=0,"Aussenlager","teilweise")))))</f>
        <v>Lift</v>
      </c>
      <c r="BD330" s="55" t="str">
        <f aca="false">IF(AV330&lt;=0,"",IF(BU330="Aussen","Aussenlager",IF(BU330="-","Nicht im Lift",IF(BA330&gt;=1,"Lift",IF(BA330&lt;=0,"Aussenlager","teilweise")))))</f>
        <v>Lift</v>
      </c>
      <c r="BE330" s="55" t="str">
        <f aca="false">IF(A330="","",IF(BN330=1,"Neu; ","")&amp;IF(AND(BN330=0,BI330&lt;0),"negativer Bestand (Export "&amp;BI330&amp;"); ","")&amp;IF(I330&lt;=0,"Kein Verbrauch; ","")&amp;IF(CD330&gt;0,"Lift "&amp;U330&amp;" lt. Liftbericht (Fach "&amp;V330&amp;" Stk); ",IF(BR330=1,"Lose – Fläche geschätzt; ",""))&amp;IF(G330&gt;AP330,"Überbestand "&amp;ROUND(G330-AP330,0)&amp;" Stk / CHF "&amp;ROUND((G330-AP330)*F330,0)&amp;"; ","")&amp;IF(AND(BW330=1,BX330&lt;BY330),"MAX &lt; MB+LG; ","")&amp;IF(AND(CC330&gt;0,CB330*10&gt;CC330),"zu hoch für Tablar; ","")&amp;IF(AND(BN330=0,OR(BW330=1,Y330&lt;&gt;"",S330&lt;&gt;"",T330&lt;&gt;"",Z330&lt;&gt;"")),"manuell übersteuert; ","")&amp;IF(AND(BR330=0,Q330=0),"Gebinde unbekannt / Stellmass fehlt; ","")&amp;IF(AND(BR330=0,N(T330)&lt;=0,N(P330)&lt;=0),"Menge pro Gebinde fehlt (Ist = 1 Gebinde); ","")&amp;BM330)</f>
        <v/>
      </c>
      <c r="BF330" s="55"/>
      <c r="BG330" s="55"/>
      <c r="BH330" s="62"/>
      <c r="BI330" s="57" t="n">
        <v>22</v>
      </c>
      <c r="BJ330" s="57" t="n">
        <v>30</v>
      </c>
      <c r="BK330" s="56" t="n">
        <v>217.62</v>
      </c>
      <c r="BL330" s="57" t="n">
        <v>142</v>
      </c>
      <c r="BM330" s="55"/>
      <c r="BN330" s="60" t="n">
        <v>0</v>
      </c>
      <c r="BO330" s="60" t="n">
        <v>330</v>
      </c>
      <c r="BP330" s="55" t="str">
        <f aca="false">IF(S330&lt;&gt;"",UPPER(TRIM(S330)),IF(O330="","LOSE",O330))</f>
        <v>S63</v>
      </c>
      <c r="BQ330" s="57" t="n">
        <f aca="false">IF(BP330="LOSE",1,IF(N(T330)&gt;0,T330,IF(N(P330)&gt;0,P330,MAX(1,G330))))</f>
        <v>171</v>
      </c>
      <c r="BR330" s="60" t="n">
        <f aca="false">IF(BP330="LOSE",1,0)</f>
        <v>0</v>
      </c>
      <c r="BS330" s="59" t="n">
        <f aca="false">IF(BR330=0,0,IF(N(R330)&gt;0,R330,IFERROR(VLOOKUP(D330,Parameter!$A$35:$C$64,3,0)+0,0)))</f>
        <v>0</v>
      </c>
      <c r="BT330" s="55" t="n">
        <f aca="false">IF(Y330&lt;&gt;"",Y330,X330)</f>
        <v>2</v>
      </c>
      <c r="BU330" s="55" t="str">
        <f aca="false">IF(BT330=1,"L1",IF(OR(BT330=2,BT330=3),"L23",IF(BT330="Aussen","Aussen","-")))</f>
        <v>L23</v>
      </c>
      <c r="BV330" s="66" t="n">
        <f aca="false">IF(N(Z330)&gt;0,Z330,0)</f>
        <v>0</v>
      </c>
      <c r="BW330" s="60" t="n">
        <f aca="false">IF(ISNUMBER(AC330),1,0)</f>
        <v>0</v>
      </c>
      <c r="BX330" s="57" t="n">
        <f aca="false">N(AC330)</f>
        <v>0</v>
      </c>
      <c r="BY330" s="57" t="n">
        <f aca="false">N(L330)+N(M330)</f>
        <v>35</v>
      </c>
      <c r="BZ330" s="57" t="n">
        <f aca="false">ROUNDUP(G330/BQ330,0)</f>
        <v>1</v>
      </c>
      <c r="CA330" s="57" t="n">
        <f aca="false">ROUNDUP(BX330/BQ330,0)</f>
        <v>0</v>
      </c>
      <c r="CB330" s="60" t="n">
        <f aca="false">IF(BR330=1,0,IFERROR(VLOOKUP(BP330,'Gebinde-Kategorie'!$A$5:$M$45,5,0)+0,0))</f>
        <v>31</v>
      </c>
      <c r="CC330" s="60" t="n">
        <f aca="false">IFERROR(IF(OR(BT330=1,BT330=2,BT330=3),N(INDEX(Parameter!$I$5:$I$7,BT330)),0),0)</f>
        <v>0</v>
      </c>
      <c r="CD330" s="59" t="n">
        <f aca="false">IF(AND(Parameter!$B$21="Ja",ISNUMBER(U330),N(V330)&gt;0),IFERROR(N(INDEX(Parameter!$L$5:$L$7,U330))*INDEX(Parameter!$E$5:$E$7,U330)*V330/SUMIFS($V$7:$V$1576,$U$7:$U$1576,U330),0),0)</f>
        <v>0</v>
      </c>
    </row>
    <row r="331" customFormat="false" ht="15" hidden="false" customHeight="false" outlineLevel="0" collapsed="false">
      <c r="A331" s="55" t="s">
        <v>812</v>
      </c>
      <c r="B331" s="55" t="s">
        <v>813</v>
      </c>
      <c r="C331" s="55" t="s">
        <v>160</v>
      </c>
      <c r="D331" s="55" t="s">
        <v>178</v>
      </c>
      <c r="E331" s="55" t="s">
        <v>210</v>
      </c>
      <c r="F331" s="56" t="n">
        <v>0.5</v>
      </c>
      <c r="G331" s="57" t="n">
        <f aca="false">MAX(0,IF(AND(Parameter!$B$21="Ja",ISNUMBER(W331)),W331,IF(Parameter!$B$20="Jahresanfang 2025 + Export",BJ331+BI331,BI331)))</f>
        <v>434</v>
      </c>
      <c r="H331" s="57" t="n">
        <f aca="false">G331*F331</f>
        <v>217</v>
      </c>
      <c r="I331" s="57" t="n">
        <f aca="false">BL331*Parameter!$B$18</f>
        <v>0</v>
      </c>
      <c r="J331" s="58" t="n">
        <v>345.5</v>
      </c>
      <c r="K331" s="59" t="n">
        <v>0</v>
      </c>
      <c r="L331" s="57" t="n">
        <v>9</v>
      </c>
      <c r="M331" s="57" t="n">
        <v>250</v>
      </c>
      <c r="N331" s="60" t="n">
        <v>14</v>
      </c>
      <c r="O331" s="55" t="s">
        <v>411</v>
      </c>
      <c r="P331" s="57" t="n">
        <v>600</v>
      </c>
      <c r="Q331" s="60" t="n">
        <f aca="false">IF(BR331=1,0,IFERROR(VLOOKUP(BP331,'Gebinde-Kategorie'!$A$5:$M$45,13,0)+0,0))</f>
        <v>132</v>
      </c>
      <c r="R331" s="61"/>
      <c r="S331" s="62"/>
      <c r="T331" s="62"/>
      <c r="U331" s="55"/>
      <c r="V331" s="57"/>
      <c r="W331" s="57"/>
      <c r="X331" s="55" t="n">
        <f aca="false">IF(A331="","",IF(AND(Parameter!$B$21="Ja",ISNUMBER(U331)),U331,IF(IFERROR(VLOOKUP(D331,Parameter!$A$35:$C$64,2,0),"Nein")="2+3",IF(ISNUMBER(SEARCH("grosser Artikel",BM331)),2,IFERROR(VLOOKUP(BP331,Parameter!$F$35:$G$64,2,0),2)),IF(OR(IFERROR(VLOOKUP(D331,Parameter!$A$35:$C$64,2,0),"Nein")="Nein",IFERROR(VLOOKUP(D331,Parameter!$A$35:$C$64,2,0),"Nein")=""),"-",VLOOKUP(D331,Parameter!$A$35:$C$64,2,0)))))</f>
        <v>3</v>
      </c>
      <c r="Y331" s="62"/>
      <c r="Z331" s="63"/>
      <c r="AA331" s="57" t="n">
        <f aca="false">AP331</f>
        <v>600</v>
      </c>
      <c r="AB331" s="57" t="n">
        <f aca="false">MAX(AP331,G331)</f>
        <v>600</v>
      </c>
      <c r="AC331" s="64"/>
      <c r="AD331" s="57" t="n">
        <f aca="false">IF(LEFT(Cockpit!$C$5,1)="A",G331,IF(BW331=1,BX331,IF(LEFT(Cockpit!$C$5,1)="B",AH331,MAX(AH331,G331))))</f>
        <v>434</v>
      </c>
      <c r="AE331" s="57" t="n">
        <f aca="false">IF(BR331=1,0,ROUNDUP(AD331/BQ331,0))</f>
        <v>1</v>
      </c>
      <c r="AF331" s="59" t="n">
        <f aca="false">IF(CD331&gt;0,CD331*MAX(1,AD331/V331),IF(BR331=1,IF(AD331&lt;=0,0,BS331*MAX(1,IF(G331&gt;0,AD331/G331,1))),IF(Q331&gt;0,AE331/Q331,0))/MAX(0.1,N(Parameter!$M$21)))</f>
        <v>0.00757575757575758</v>
      </c>
      <c r="AG331" s="57" t="n">
        <f aca="false">AD331*F331</f>
        <v>217</v>
      </c>
      <c r="AH331" s="57" t="n">
        <f aca="false">ROUNDUP(MAX(I331/IF(BV331&gt;0,BV331,MAX(0.1,N(Cockpit!$C$6))),BY331)/BQ331,0)*BQ331</f>
        <v>600</v>
      </c>
      <c r="AI331" s="58" t="n">
        <f aca="false">IF(AF331&gt;0,I331/AF331,-1)</f>
        <v>0</v>
      </c>
      <c r="AJ331" s="58" t="n">
        <f aca="false">IF(AND(OR(BU331="L1",BU331="L23"),AF331&gt;0),SUMIFS($AF$7:$AF$1576,$BU$7:$BU$1576,BU331,$AI$7:$AI$1576,"&gt;"&amp;AI331)+SUMIFS($AF$7:$AF$1576,$BU$7:$BU$1576,BU331,$AI$7:$AI$1576,AI331,$BO$7:$BO$1576,"&lt;="&amp;BO331),"")</f>
        <v>40.9885645755211</v>
      </c>
      <c r="AK331" s="65" t="n">
        <f aca="false">IF(AJ331="",0,MAX(0,MIN(1,(IF(BU331="L1",Parameter!$E$5,Parameter!$E$6+Parameter!$E$7)-(AJ331-AF331))/AF331)))</f>
        <v>1</v>
      </c>
      <c r="AL331" s="57" t="n">
        <f aca="false">IF(LEFT(Cockpit!$I$5,1)="A",G331,IF(BW331=1,BX331,IF(LEFT(Cockpit!$I$5,1)="B",AP331,MAX(AP331,G331))))</f>
        <v>600</v>
      </c>
      <c r="AM331" s="57" t="n">
        <f aca="false">IF(BR331=1,0,ROUNDUP(AL331/BQ331,0))</f>
        <v>1</v>
      </c>
      <c r="AN331" s="59" t="n">
        <f aca="false">IF(CD331&gt;0,CD331*MAX(1,AL331/V331),IF(BR331=1,IF(AL331&lt;=0,0,BS331*MAX(1,IF(G331&gt;0,AL331/G331,1))),IF(Q331&gt;0,AM331/Q331,0))/MAX(0.1,N(Parameter!$M$21)))</f>
        <v>0.00757575757575758</v>
      </c>
      <c r="AO331" s="57" t="n">
        <f aca="false">AL331*F331</f>
        <v>300</v>
      </c>
      <c r="AP331" s="57" t="n">
        <f aca="false">ROUNDUP(MAX(I331/IF(BV331&gt;0,BV331,MAX(0.1,N(Cockpit!$I$6))),BY331)/BQ331,0)*BQ331</f>
        <v>600</v>
      </c>
      <c r="AQ331" s="58" t="n">
        <f aca="false">IF(AN331&gt;0,I331/AN331,-1)</f>
        <v>0</v>
      </c>
      <c r="AR331" s="58" t="n">
        <f aca="false">IF(AND(OR(BU331="L1",BU331="L23"),AN331&gt;0),SUMIFS($AN$7:$AN$1576,$BU$7:$BU$1576,BU331,$AQ$7:$AQ$1576,"&gt;"&amp;AQ331)+SUMIFS($AN$7:$AN$1576,$BU$7:$BU$1576,BU331,$AQ$7:$AQ$1576,AQ331,$BO$7:$BO$1576,"&lt;="&amp;BO331),"")</f>
        <v>123.862770325311</v>
      </c>
      <c r="AS331" s="65" t="n">
        <f aca="false">IF(AR331="",0,MAX(0,MIN(1,(IF(BU331="L1",Parameter!$E$5,Parameter!$E$6+Parameter!$E$7)-(AR331-AN331))/AN331)))</f>
        <v>0</v>
      </c>
      <c r="AT331" s="57" t="n">
        <f aca="false">IF(LEFT(Cockpit!$O$5,1)="A",G331,IF(BW331=1,BX331,IF(LEFT(Cockpit!$O$5,1)="B",AX331,MAX(AX331,G331))))</f>
        <v>600</v>
      </c>
      <c r="AU331" s="57" t="n">
        <f aca="false">IF(BR331=1,0,ROUNDUP(AT331/BQ331,0))</f>
        <v>1</v>
      </c>
      <c r="AV331" s="59" t="n">
        <f aca="false">IF(CD331&gt;0,CD331*MAX(1,AT331/V331),IF(BR331=1,IF(AT331&lt;=0,0,BS331*MAX(1,IF(G331&gt;0,AT331/G331,1))),IF(Q331&gt;0,AU331/Q331,0))/MAX(0.1,N(Parameter!$M$21)))</f>
        <v>0.00757575757575758</v>
      </c>
      <c r="AW331" s="57" t="n">
        <f aca="false">AT331*F331</f>
        <v>300</v>
      </c>
      <c r="AX331" s="57" t="n">
        <f aca="false">ROUNDUP(MAX(I331/IF(BV331&gt;0,BV331,MAX(0.1,N(Cockpit!$O$6))),BY331)/BQ331,0)*BQ331</f>
        <v>600</v>
      </c>
      <c r="AY331" s="58" t="n">
        <f aca="false">IF(AV331&gt;0,I331/AV331,-1)</f>
        <v>0</v>
      </c>
      <c r="AZ331" s="58" t="n">
        <f aca="false">IF(AND(OR(BU331="L1",BU331="L23"),AV331&gt;0),SUMIFS($AV$7:$AV$1576,$BU$7:$BU$1576,BU331,$AY$7:$AY$1576,"&gt;"&amp;AY331)+SUMIFS($AV$7:$AV$1576,$BU$7:$BU$1576,BU331,$AY$7:$AY$1576,AY331,$BO$7:$BO$1576,"&lt;="&amp;BO331),"")</f>
        <v>113.922320774861</v>
      </c>
      <c r="BA331" s="65" t="n">
        <f aca="false">IF(AZ331="",0,MAX(0,MIN(1,(IF(BU331="L1",Parameter!$E$5,Parameter!$E$6+Parameter!$E$7)-(AZ331-AV331))/AV331)))</f>
        <v>0</v>
      </c>
      <c r="BB331" s="55" t="str">
        <f aca="false">IF(AF331&lt;=0,"",IF(BU331="Aussen","Aussenlager",IF(BU331="-","Nicht im Lift",IF(AK331&gt;=1,"Lift",IF(AK331&lt;=0,"Aussenlager","teilweise")))))</f>
        <v>Lift</v>
      </c>
      <c r="BC331" s="55" t="str">
        <f aca="false">IF(AN331&lt;=0,"",IF(BU331="Aussen","Aussenlager",IF(BU331="-","Nicht im Lift",IF(AS331&gt;=1,"Lift",IF(AS331&lt;=0,"Aussenlager","teilweise")))))</f>
        <v>Aussenlager</v>
      </c>
      <c r="BD331" s="55" t="str">
        <f aca="false">IF(AV331&lt;=0,"",IF(BU331="Aussen","Aussenlager",IF(BU331="-","Nicht im Lift",IF(BA331&gt;=1,"Lift",IF(BA331&lt;=0,"Aussenlager","teilweise")))))</f>
        <v>Aussenlager</v>
      </c>
      <c r="BE331" s="55" t="str">
        <f aca="false">IF(A331="","",IF(BN331=1,"Neu; ","")&amp;IF(AND(BN331=0,BI331&lt;0),"negativer Bestand (Export "&amp;BI331&amp;"); ","")&amp;IF(I331&lt;=0,"Kein Verbrauch; ","")&amp;IF(CD331&gt;0,"Lift "&amp;U331&amp;" lt. Liftbericht (Fach "&amp;V331&amp;" Stk); ",IF(BR331=1,"Lose – Fläche geschätzt; ",""))&amp;IF(G331&gt;AP331,"Überbestand "&amp;ROUND(G331-AP331,0)&amp;" Stk / CHF "&amp;ROUND((G331-AP331)*F331,0)&amp;"; ","")&amp;IF(AND(BW331=1,BX331&lt;BY331),"MAX &lt; MB+LG; ","")&amp;IF(AND(CC331&gt;0,CB331*10&gt;CC331),"zu hoch für Tablar; ","")&amp;IF(AND(BN331=0,OR(BW331=1,Y331&lt;&gt;"",S331&lt;&gt;"",T331&lt;&gt;"",Z331&lt;&gt;"")),"manuell übersteuert; ","")&amp;IF(AND(BR331=0,Q331=0),"Gebinde unbekannt / Stellmass fehlt; ","")&amp;IF(AND(BR331=0,N(T331)&lt;=0,N(P331)&lt;=0),"Menge pro Gebinde fehlt (Ist = 1 Gebinde); ","")&amp;BM331)</f>
        <v>Kein Verbrauch; </v>
      </c>
      <c r="BF331" s="55"/>
      <c r="BG331" s="55"/>
      <c r="BH331" s="62"/>
      <c r="BI331" s="57" t="n">
        <v>434</v>
      </c>
      <c r="BJ331" s="57" t="n">
        <v>63</v>
      </c>
      <c r="BK331" s="56" t="n">
        <v>217</v>
      </c>
      <c r="BL331" s="57" t="n">
        <v>0</v>
      </c>
      <c r="BM331" s="55"/>
      <c r="BN331" s="60" t="n">
        <v>0</v>
      </c>
      <c r="BO331" s="60" t="n">
        <v>331</v>
      </c>
      <c r="BP331" s="55" t="str">
        <f aca="false">IF(S331&lt;&gt;"",UPPER(TRIM(S331)),IF(O331="","LOSE",O331))</f>
        <v>S32</v>
      </c>
      <c r="BQ331" s="57" t="n">
        <f aca="false">IF(BP331="LOSE",1,IF(N(T331)&gt;0,T331,IF(N(P331)&gt;0,P331,MAX(1,G331))))</f>
        <v>600</v>
      </c>
      <c r="BR331" s="60" t="n">
        <f aca="false">IF(BP331="LOSE",1,0)</f>
        <v>0</v>
      </c>
      <c r="BS331" s="59" t="n">
        <f aca="false">IF(BR331=0,0,IF(N(R331)&gt;0,R331,IFERROR(VLOOKUP(D331,Parameter!$A$35:$C$64,3,0)+0,0)))</f>
        <v>0</v>
      </c>
      <c r="BT331" s="55" t="n">
        <f aca="false">IF(Y331&lt;&gt;"",Y331,X331)</f>
        <v>3</v>
      </c>
      <c r="BU331" s="55" t="str">
        <f aca="false">IF(BT331=1,"L1",IF(OR(BT331=2,BT331=3),"L23",IF(BT331="Aussen","Aussen","-")))</f>
        <v>L23</v>
      </c>
      <c r="BV331" s="66" t="n">
        <f aca="false">IF(N(Z331)&gt;0,Z331,0)</f>
        <v>0</v>
      </c>
      <c r="BW331" s="60" t="n">
        <f aca="false">IF(ISNUMBER(AC331),1,0)</f>
        <v>0</v>
      </c>
      <c r="BX331" s="57" t="n">
        <f aca="false">N(AC331)</f>
        <v>0</v>
      </c>
      <c r="BY331" s="57" t="n">
        <f aca="false">N(L331)+N(M331)</f>
        <v>259</v>
      </c>
      <c r="BZ331" s="57" t="n">
        <f aca="false">ROUNDUP(G331/BQ331,0)</f>
        <v>1</v>
      </c>
      <c r="CA331" s="57" t="n">
        <f aca="false">ROUNDUP(BX331/BQ331,0)</f>
        <v>0</v>
      </c>
      <c r="CB331" s="60" t="n">
        <f aca="false">IF(BR331=1,0,IFERROR(VLOOKUP(BP331,'Gebinde-Kategorie'!$A$5:$M$45,5,0)+0,0))</f>
        <v>8</v>
      </c>
      <c r="CC331" s="60" t="n">
        <f aca="false">IFERROR(IF(OR(BT331=1,BT331=2,BT331=3),N(INDEX(Parameter!$I$5:$I$7,BT331)),0),0)</f>
        <v>0</v>
      </c>
      <c r="CD331" s="59" t="n">
        <f aca="false">IF(AND(Parameter!$B$21="Ja",ISNUMBER(U331),N(V331)&gt;0),IFERROR(N(INDEX(Parameter!$L$5:$L$7,U331))*INDEX(Parameter!$E$5:$E$7,U331)*V331/SUMIFS($V$7:$V$1576,$U$7:$U$1576,U331),0),0)</f>
        <v>0</v>
      </c>
    </row>
    <row r="332" customFormat="false" ht="15" hidden="false" customHeight="false" outlineLevel="0" collapsed="false">
      <c r="A332" s="55" t="s">
        <v>814</v>
      </c>
      <c r="B332" s="55" t="s">
        <v>815</v>
      </c>
      <c r="C332" s="55" t="s">
        <v>160</v>
      </c>
      <c r="D332" s="55" t="s">
        <v>178</v>
      </c>
      <c r="E332" s="55" t="s">
        <v>210</v>
      </c>
      <c r="F332" s="56" t="n">
        <v>16.63</v>
      </c>
      <c r="G332" s="57" t="n">
        <f aca="false">MAX(0,IF(AND(Parameter!$B$21="Ja",ISNUMBER(W332)),W332,IF(Parameter!$B$20="Jahresanfang 2025 + Export",BJ332+BI332,BI332)))</f>
        <v>13</v>
      </c>
      <c r="H332" s="57" t="n">
        <f aca="false">G332*F332</f>
        <v>216.19</v>
      </c>
      <c r="I332" s="57" t="n">
        <f aca="false">BL332*Parameter!$B$18</f>
        <v>8</v>
      </c>
      <c r="J332" s="58" t="n">
        <v>15</v>
      </c>
      <c r="K332" s="59" t="n">
        <v>0.533333333333333</v>
      </c>
      <c r="L332" s="57" t="n">
        <v>0</v>
      </c>
      <c r="M332" s="57" t="n">
        <v>10</v>
      </c>
      <c r="N332" s="60" t="n">
        <v>14</v>
      </c>
      <c r="O332" s="55" t="s">
        <v>391</v>
      </c>
      <c r="P332" s="57" t="n">
        <v>9</v>
      </c>
      <c r="Q332" s="60" t="n">
        <f aca="false">IF(BR332=1,0,IFERROR(VLOOKUP(BP332,'Gebinde-Kategorie'!$A$5:$M$45,13,0)+0,0))</f>
        <v>414</v>
      </c>
      <c r="R332" s="61"/>
      <c r="S332" s="62"/>
      <c r="T332" s="62"/>
      <c r="U332" s="55"/>
      <c r="V332" s="57"/>
      <c r="W332" s="57"/>
      <c r="X332" s="55" t="n">
        <f aca="false">IF(A332="","",IF(AND(Parameter!$B$21="Ja",ISNUMBER(U332)),U332,IF(IFERROR(VLOOKUP(D332,Parameter!$A$35:$C$64,2,0),"Nein")="2+3",IF(ISNUMBER(SEARCH("grosser Artikel",BM332)),2,IFERROR(VLOOKUP(BP332,Parameter!$F$35:$G$64,2,0),2)),IF(OR(IFERROR(VLOOKUP(D332,Parameter!$A$35:$C$64,2,0),"Nein")="Nein",IFERROR(VLOOKUP(D332,Parameter!$A$35:$C$64,2,0),"Nein")=""),"-",VLOOKUP(D332,Parameter!$A$35:$C$64,2,0)))))</f>
        <v>3</v>
      </c>
      <c r="Y332" s="62"/>
      <c r="Z332" s="63"/>
      <c r="AA332" s="57" t="n">
        <f aca="false">AP332</f>
        <v>18</v>
      </c>
      <c r="AB332" s="57" t="n">
        <f aca="false">MAX(AP332,G332)</f>
        <v>18</v>
      </c>
      <c r="AC332" s="64"/>
      <c r="AD332" s="57" t="n">
        <f aca="false">IF(LEFT(Cockpit!$C$5,1)="A",G332,IF(BW332=1,BX332,IF(LEFT(Cockpit!$C$5,1)="B",AH332,MAX(AH332,G332))))</f>
        <v>13</v>
      </c>
      <c r="AE332" s="57" t="n">
        <f aca="false">IF(BR332=1,0,ROUNDUP(AD332/BQ332,0))</f>
        <v>2</v>
      </c>
      <c r="AF332" s="59" t="n">
        <f aca="false">IF(CD332&gt;0,CD332*MAX(1,AD332/V332),IF(BR332=1,IF(AD332&lt;=0,0,BS332*MAX(1,IF(G332&gt;0,AD332/G332,1))),IF(Q332&gt;0,AE332/Q332,0))/MAX(0.1,N(Parameter!$M$21)))</f>
        <v>0.00483091787439614</v>
      </c>
      <c r="AG332" s="57" t="n">
        <f aca="false">AD332*F332</f>
        <v>216.19</v>
      </c>
      <c r="AH332" s="57" t="n">
        <f aca="false">ROUNDUP(MAX(I332/IF(BV332&gt;0,BV332,MAX(0.1,N(Cockpit!$C$6))),BY332)/BQ332,0)*BQ332</f>
        <v>18</v>
      </c>
      <c r="AI332" s="58" t="n">
        <f aca="false">IF(AF332&gt;0,I332/AF332,-1)</f>
        <v>1656</v>
      </c>
      <c r="AJ332" s="58" t="n">
        <f aca="false">IF(AND(OR(BU332="L1",BU332="L23"),AF332&gt;0),SUMIFS($AF$7:$AF$1576,$BU$7:$BU$1576,BU332,$AI$7:$AI$1576,"&gt;"&amp;AI332)+SUMIFS($AF$7:$AF$1576,$BU$7:$BU$1576,BU332,$AI$7:$AI$1576,AI332,$BO$7:$BO$1576,"&lt;="&amp;BO332),"")</f>
        <v>7.63002905307253</v>
      </c>
      <c r="AK332" s="65" t="n">
        <f aca="false">IF(AJ332="",0,MAX(0,MIN(1,(IF(BU332="L1",Parameter!$E$5,Parameter!$E$6+Parameter!$E$7)-(AJ332-AF332))/AF332)))</f>
        <v>1</v>
      </c>
      <c r="AL332" s="57" t="n">
        <f aca="false">IF(LEFT(Cockpit!$I$5,1)="A",G332,IF(BW332=1,BX332,IF(LEFT(Cockpit!$I$5,1)="B",AP332,MAX(AP332,G332))))</f>
        <v>18</v>
      </c>
      <c r="AM332" s="57" t="n">
        <f aca="false">IF(BR332=1,0,ROUNDUP(AL332/BQ332,0))</f>
        <v>2</v>
      </c>
      <c r="AN332" s="59" t="n">
        <f aca="false">IF(CD332&gt;0,CD332*MAX(1,AL332/V332),IF(BR332=1,IF(AL332&lt;=0,0,BS332*MAX(1,IF(G332&gt;0,AL332/G332,1))),IF(Q332&gt;0,AM332/Q332,0))/MAX(0.1,N(Parameter!$M$21)))</f>
        <v>0.00483091787439614</v>
      </c>
      <c r="AO332" s="57" t="n">
        <f aca="false">AL332*F332</f>
        <v>299.34</v>
      </c>
      <c r="AP332" s="57" t="n">
        <f aca="false">ROUNDUP(MAX(I332/IF(BV332&gt;0,BV332,MAX(0.1,N(Cockpit!$I$6))),BY332)/BQ332,0)*BQ332</f>
        <v>18</v>
      </c>
      <c r="AQ332" s="58" t="n">
        <f aca="false">IF(AN332&gt;0,I332/AN332,-1)</f>
        <v>1656</v>
      </c>
      <c r="AR332" s="58" t="n">
        <f aca="false">IF(AND(OR(BU332="L1",BU332="L23"),AN332&gt;0),SUMIFS($AN$7:$AN$1576,$BU$7:$BU$1576,BU332,$AQ$7:$AQ$1576,"&gt;"&amp;AQ332)+SUMIFS($AN$7:$AN$1576,$BU$7:$BU$1576,BU332,$AQ$7:$AQ$1576,AQ332,$BO$7:$BO$1576,"&lt;="&amp;BO332),"")</f>
        <v>18.4921103658172</v>
      </c>
      <c r="AS332" s="65" t="n">
        <f aca="false">IF(AR332="",0,MAX(0,MIN(1,(IF(BU332="L1",Parameter!$E$5,Parameter!$E$6+Parameter!$E$7)-(AR332-AN332))/AN332)))</f>
        <v>1</v>
      </c>
      <c r="AT332" s="57" t="n">
        <f aca="false">IF(LEFT(Cockpit!$O$5,1)="A",G332,IF(BW332=1,BX332,IF(LEFT(Cockpit!$O$5,1)="B",AX332,MAX(AX332,G332))))</f>
        <v>18</v>
      </c>
      <c r="AU332" s="57" t="n">
        <f aca="false">IF(BR332=1,0,ROUNDUP(AT332/BQ332,0))</f>
        <v>2</v>
      </c>
      <c r="AV332" s="59" t="n">
        <f aca="false">IF(CD332&gt;0,CD332*MAX(1,AT332/V332),IF(BR332=1,IF(AT332&lt;=0,0,BS332*MAX(1,IF(G332&gt;0,AT332/G332,1))),IF(Q332&gt;0,AU332/Q332,0))/MAX(0.1,N(Parameter!$M$21)))</f>
        <v>0.00483091787439614</v>
      </c>
      <c r="AW332" s="57" t="n">
        <f aca="false">AT332*F332</f>
        <v>299.34</v>
      </c>
      <c r="AX332" s="57" t="n">
        <f aca="false">ROUNDUP(MAX(I332/IF(BV332&gt;0,BV332,MAX(0.1,N(Cockpit!$O$6))),BY332)/BQ332,0)*BQ332</f>
        <v>18</v>
      </c>
      <c r="AY332" s="58" t="n">
        <f aca="false">IF(AV332&gt;0,I332/AV332,-1)</f>
        <v>1656</v>
      </c>
      <c r="AZ332" s="58" t="n">
        <f aca="false">IF(AND(OR(BU332="L1",BU332="L23"),AV332&gt;0),SUMIFS($AV$7:$AV$1576,$BU$7:$BU$1576,BU332,$AY$7:$AY$1576,"&gt;"&amp;AY332)+SUMIFS($AV$7:$AV$1576,$BU$7:$BU$1576,BU332,$AY$7:$AY$1576,AY332,$BO$7:$BO$1576,"&lt;="&amp;BO332),"")</f>
        <v>17.4693830930899</v>
      </c>
      <c r="BA332" s="65" t="n">
        <f aca="false">IF(AZ332="",0,MAX(0,MIN(1,(IF(BU332="L1",Parameter!$E$5,Parameter!$E$6+Parameter!$E$7)-(AZ332-AV332))/AV332)))</f>
        <v>1</v>
      </c>
      <c r="BB332" s="55" t="str">
        <f aca="false">IF(AF332&lt;=0,"",IF(BU332="Aussen","Aussenlager",IF(BU332="-","Nicht im Lift",IF(AK332&gt;=1,"Lift",IF(AK332&lt;=0,"Aussenlager","teilweise")))))</f>
        <v>Lift</v>
      </c>
      <c r="BC332" s="55" t="str">
        <f aca="false">IF(AN332&lt;=0,"",IF(BU332="Aussen","Aussenlager",IF(BU332="-","Nicht im Lift",IF(AS332&gt;=1,"Lift",IF(AS332&lt;=0,"Aussenlager","teilweise")))))</f>
        <v>Lift</v>
      </c>
      <c r="BD332" s="55" t="str">
        <f aca="false">IF(AV332&lt;=0,"",IF(BU332="Aussen","Aussenlager",IF(BU332="-","Nicht im Lift",IF(BA332&gt;=1,"Lift",IF(BA332&lt;=0,"Aussenlager","teilweise")))))</f>
        <v>Lift</v>
      </c>
      <c r="BE332" s="55" t="str">
        <f aca="false">IF(A332="","",IF(BN332=1,"Neu; ","")&amp;IF(AND(BN332=0,BI332&lt;0),"negativer Bestand (Export "&amp;BI332&amp;"); ","")&amp;IF(I332&lt;=0,"Kein Verbrauch; ","")&amp;IF(CD332&gt;0,"Lift "&amp;U332&amp;" lt. Liftbericht (Fach "&amp;V332&amp;" Stk); ",IF(BR332=1,"Lose – Fläche geschätzt; ",""))&amp;IF(G332&gt;AP332,"Überbestand "&amp;ROUND(G332-AP332,0)&amp;" Stk / CHF "&amp;ROUND((G332-AP332)*F332,0)&amp;"; ","")&amp;IF(AND(BW332=1,BX332&lt;BY332),"MAX &lt; MB+LG; ","")&amp;IF(AND(CC332&gt;0,CB332*10&gt;CC332),"zu hoch für Tablar; ","")&amp;IF(AND(BN332=0,OR(BW332=1,Y332&lt;&gt;"",S332&lt;&gt;"",T332&lt;&gt;"",Z332&lt;&gt;"")),"manuell übersteuert; ","")&amp;IF(AND(BR332=0,Q332=0),"Gebinde unbekannt / Stellmass fehlt; ","")&amp;IF(AND(BR332=0,N(T332)&lt;=0,N(P332)&lt;=0),"Menge pro Gebinde fehlt (Ist = 1 Gebinde); ","")&amp;BM332)</f>
        <v/>
      </c>
      <c r="BF332" s="55"/>
      <c r="BG332" s="55"/>
      <c r="BH332" s="62"/>
      <c r="BI332" s="57" t="n">
        <v>13</v>
      </c>
      <c r="BJ332" s="57" t="n">
        <v>3</v>
      </c>
      <c r="BK332" s="56" t="n">
        <v>216.19</v>
      </c>
      <c r="BL332" s="57" t="n">
        <v>8</v>
      </c>
      <c r="BM332" s="55"/>
      <c r="BN332" s="60" t="n">
        <v>0</v>
      </c>
      <c r="BO332" s="60" t="n">
        <v>332</v>
      </c>
      <c r="BP332" s="55" t="str">
        <f aca="false">IF(S332&lt;&gt;"",UPPER(TRIM(S332)),IF(O332="","LOSE",O332))</f>
        <v>S21</v>
      </c>
      <c r="BQ332" s="57" t="n">
        <f aca="false">IF(BP332="LOSE",1,IF(N(T332)&gt;0,T332,IF(N(P332)&gt;0,P332,MAX(1,G332))))</f>
        <v>9</v>
      </c>
      <c r="BR332" s="60" t="n">
        <f aca="false">IF(BP332="LOSE",1,0)</f>
        <v>0</v>
      </c>
      <c r="BS332" s="59" t="n">
        <f aca="false">IF(BR332=0,0,IF(N(R332)&gt;0,R332,IFERROR(VLOOKUP(D332,Parameter!$A$35:$C$64,3,0)+0,0)))</f>
        <v>0</v>
      </c>
      <c r="BT332" s="55" t="n">
        <f aca="false">IF(Y332&lt;&gt;"",Y332,X332)</f>
        <v>3</v>
      </c>
      <c r="BU332" s="55" t="str">
        <f aca="false">IF(BT332=1,"L1",IF(OR(BT332=2,BT332=3),"L23",IF(BT332="Aussen","Aussen","-")))</f>
        <v>L23</v>
      </c>
      <c r="BV332" s="66" t="n">
        <f aca="false">IF(N(Z332)&gt;0,Z332,0)</f>
        <v>0</v>
      </c>
      <c r="BW332" s="60" t="n">
        <f aca="false">IF(ISNUMBER(AC332),1,0)</f>
        <v>0</v>
      </c>
      <c r="BX332" s="57" t="n">
        <f aca="false">N(AC332)</f>
        <v>0</v>
      </c>
      <c r="BY332" s="57" t="n">
        <f aca="false">N(L332)+N(M332)</f>
        <v>10</v>
      </c>
      <c r="BZ332" s="57" t="n">
        <f aca="false">ROUNDUP(G332/BQ332,0)</f>
        <v>2</v>
      </c>
      <c r="CA332" s="57" t="n">
        <f aca="false">ROUNDUP(BX332/BQ332,0)</f>
        <v>0</v>
      </c>
      <c r="CB332" s="60" t="n">
        <f aca="false">IF(BR332=1,0,IFERROR(VLOOKUP(BP332,'Gebinde-Kategorie'!$A$5:$M$45,5,0)+0,0))</f>
        <v>8</v>
      </c>
      <c r="CC332" s="60" t="n">
        <f aca="false">IFERROR(IF(OR(BT332=1,BT332=2,BT332=3),N(INDEX(Parameter!$I$5:$I$7,BT332)),0),0)</f>
        <v>0</v>
      </c>
      <c r="CD332" s="59" t="n">
        <f aca="false">IF(AND(Parameter!$B$21="Ja",ISNUMBER(U332),N(V332)&gt;0),IFERROR(N(INDEX(Parameter!$L$5:$L$7,U332))*INDEX(Parameter!$E$5:$E$7,U332)*V332/SUMIFS($V$7:$V$1576,$U$7:$U$1576,U332),0),0)</f>
        <v>0</v>
      </c>
    </row>
    <row r="333" customFormat="false" ht="15" hidden="false" customHeight="false" outlineLevel="0" collapsed="false">
      <c r="A333" s="55" t="s">
        <v>816</v>
      </c>
      <c r="B333" s="55" t="s">
        <v>817</v>
      </c>
      <c r="C333" s="55" t="s">
        <v>160</v>
      </c>
      <c r="D333" s="55" t="s">
        <v>168</v>
      </c>
      <c r="E333" s="55" t="s">
        <v>210</v>
      </c>
      <c r="F333" s="56" t="n">
        <v>12.37</v>
      </c>
      <c r="G333" s="57" t="n">
        <f aca="false">MAX(0,IF(AND(Parameter!$B$21="Ja",ISNUMBER(W333)),W333,IF(Parameter!$B$20="Jahresanfang 2025 + Export",BJ333+BI333,BI333)))</f>
        <v>22</v>
      </c>
      <c r="H333" s="57" t="n">
        <f aca="false">G333*F333</f>
        <v>272.14</v>
      </c>
      <c r="I333" s="57" t="n">
        <f aca="false">BL333*Parameter!$B$18</f>
        <v>234</v>
      </c>
      <c r="J333" s="58" t="n">
        <v>120</v>
      </c>
      <c r="K333" s="59" t="n">
        <v>1.95</v>
      </c>
      <c r="L333" s="57" t="n">
        <v>30</v>
      </c>
      <c r="M333" s="57" t="n">
        <v>215</v>
      </c>
      <c r="N333" s="60" t="n">
        <v>42</v>
      </c>
      <c r="O333" s="55" t="s">
        <v>284</v>
      </c>
      <c r="P333" s="57" t="n">
        <v>45</v>
      </c>
      <c r="Q333" s="60" t="n">
        <f aca="false">IF(BR333=1,0,IFERROR(VLOOKUP(BP333,'Gebinde-Kategorie'!$A$5:$M$45,13,0)+0,0))</f>
        <v>12</v>
      </c>
      <c r="R333" s="61"/>
      <c r="S333" s="62"/>
      <c r="T333" s="62"/>
      <c r="U333" s="55"/>
      <c r="V333" s="57"/>
      <c r="W333" s="57"/>
      <c r="X333" s="55" t="n">
        <f aca="false">IF(A333="","",IF(AND(Parameter!$B$21="Ja",ISNUMBER(U333)),U333,IF(IFERROR(VLOOKUP(D333,Parameter!$A$35:$C$64,2,0),"Nein")="2+3",IF(ISNUMBER(SEARCH("grosser Artikel",BM333)),2,IFERROR(VLOOKUP(BP333,Parameter!$F$35:$G$64,2,0),2)),IF(OR(IFERROR(VLOOKUP(D333,Parameter!$A$35:$C$64,2,0),"Nein")="Nein",IFERROR(VLOOKUP(D333,Parameter!$A$35:$C$64,2,0),"Nein")=""),"-",VLOOKUP(D333,Parameter!$A$35:$C$64,2,0)))))</f>
        <v>2</v>
      </c>
      <c r="Y333" s="62"/>
      <c r="Z333" s="63"/>
      <c r="AA333" s="57" t="n">
        <f aca="false">AP333</f>
        <v>270</v>
      </c>
      <c r="AB333" s="57" t="n">
        <f aca="false">MAX(AP333,G333)</f>
        <v>270</v>
      </c>
      <c r="AC333" s="64"/>
      <c r="AD333" s="57" t="n">
        <f aca="false">IF(LEFT(Cockpit!$C$5,1)="A",G333,IF(BW333=1,BX333,IF(LEFT(Cockpit!$C$5,1)="B",AH333,MAX(AH333,G333))))</f>
        <v>22</v>
      </c>
      <c r="AE333" s="57" t="n">
        <f aca="false">IF(BR333=1,0,ROUNDUP(AD333/BQ333,0))</f>
        <v>1</v>
      </c>
      <c r="AF333" s="59" t="n">
        <f aca="false">IF(CD333&gt;0,CD333*MAX(1,AD333/V333),IF(BR333=1,IF(AD333&lt;=0,0,BS333*MAX(1,IF(G333&gt;0,AD333/G333,1))),IF(Q333&gt;0,AE333/Q333,0))/MAX(0.1,N(Parameter!$M$21)))</f>
        <v>0.0833333333333333</v>
      </c>
      <c r="AG333" s="57" t="n">
        <f aca="false">AD333*F333</f>
        <v>272.14</v>
      </c>
      <c r="AH333" s="57" t="n">
        <f aca="false">ROUNDUP(MAX(I333/IF(BV333&gt;0,BV333,MAX(0.1,N(Cockpit!$C$6))),BY333)/BQ333,0)*BQ333</f>
        <v>270</v>
      </c>
      <c r="AI333" s="58" t="n">
        <f aca="false">IF(AF333&gt;0,I333/AF333,-1)</f>
        <v>2808</v>
      </c>
      <c r="AJ333" s="58" t="n">
        <f aca="false">IF(AND(OR(BU333="L1",BU333="L23"),AF333&gt;0),SUMIFS($AF$7:$AF$1576,$BU$7:$BU$1576,BU333,$AI$7:$AI$1576,"&gt;"&amp;AI333)+SUMIFS($AF$7:$AF$1576,$BU$7:$BU$1576,BU333,$AI$7:$AI$1576,AI333,$BO$7:$BO$1576,"&lt;="&amp;BO333),"")</f>
        <v>5.20665991013817</v>
      </c>
      <c r="AK333" s="65" t="n">
        <f aca="false">IF(AJ333="",0,MAX(0,MIN(1,(IF(BU333="L1",Parameter!$E$5,Parameter!$E$6+Parameter!$E$7)-(AJ333-AF333))/AF333)))</f>
        <v>1</v>
      </c>
      <c r="AL333" s="57" t="n">
        <f aca="false">IF(LEFT(Cockpit!$I$5,1)="A",G333,IF(BW333=1,BX333,IF(LEFT(Cockpit!$I$5,1)="B",AP333,MAX(AP333,G333))))</f>
        <v>270</v>
      </c>
      <c r="AM333" s="57" t="n">
        <f aca="false">IF(BR333=1,0,ROUNDUP(AL333/BQ333,0))</f>
        <v>6</v>
      </c>
      <c r="AN333" s="59" t="n">
        <f aca="false">IF(CD333&gt;0,CD333*MAX(1,AL333/V333),IF(BR333=1,IF(AL333&lt;=0,0,BS333*MAX(1,IF(G333&gt;0,AL333/G333,1))),IF(Q333&gt;0,AM333/Q333,0))/MAX(0.1,N(Parameter!$M$21)))</f>
        <v>0.5</v>
      </c>
      <c r="AO333" s="57" t="n">
        <f aca="false">AL333*F333</f>
        <v>3339.9</v>
      </c>
      <c r="AP333" s="57" t="n">
        <f aca="false">ROUNDUP(MAX(I333/IF(BV333&gt;0,BV333,MAX(0.1,N(Cockpit!$I$6))),BY333)/BQ333,0)*BQ333</f>
        <v>270</v>
      </c>
      <c r="AQ333" s="58" t="n">
        <f aca="false">IF(AN333&gt;0,I333/AN333,-1)</f>
        <v>468</v>
      </c>
      <c r="AR333" s="58" t="n">
        <f aca="false">IF(AND(OR(BU333="L1",BU333="L23"),AN333&gt;0),SUMIFS($AN$7:$AN$1576,$BU$7:$BU$1576,BU333,$AQ$7:$AQ$1576,"&gt;"&amp;AQ333)+SUMIFS($AN$7:$AN$1576,$BU$7:$BU$1576,BU333,$AQ$7:$AQ$1576,AQ333,$BO$7:$BO$1576,"&lt;="&amp;BO333),"")</f>
        <v>34.4929893901745</v>
      </c>
      <c r="AS333" s="65" t="n">
        <f aca="false">IF(AR333="",0,MAX(0,MIN(1,(IF(BU333="L1",Parameter!$E$5,Parameter!$E$6+Parameter!$E$7)-(AR333-AN333))/AN333)))</f>
        <v>1</v>
      </c>
      <c r="AT333" s="57" t="n">
        <f aca="false">IF(LEFT(Cockpit!$O$5,1)="A",G333,IF(BW333=1,BX333,IF(LEFT(Cockpit!$O$5,1)="B",AX333,MAX(AX333,G333))))</f>
        <v>270</v>
      </c>
      <c r="AU333" s="57" t="n">
        <f aca="false">IF(BR333=1,0,ROUNDUP(AT333/BQ333,0))</f>
        <v>6</v>
      </c>
      <c r="AV333" s="59" t="n">
        <f aca="false">IF(CD333&gt;0,CD333*MAX(1,AT333/V333),IF(BR333=1,IF(AT333&lt;=0,0,BS333*MAX(1,IF(G333&gt;0,AT333/G333,1))),IF(Q333&gt;0,AU333/Q333,0))/MAX(0.1,N(Parameter!$M$21)))</f>
        <v>0.5</v>
      </c>
      <c r="AW333" s="57" t="n">
        <f aca="false">AT333*F333</f>
        <v>3339.9</v>
      </c>
      <c r="AX333" s="57" t="n">
        <f aca="false">ROUNDUP(MAX(I333/IF(BV333&gt;0,BV333,MAX(0.1,N(Cockpit!$O$6))),BY333)/BQ333,0)*BQ333</f>
        <v>270</v>
      </c>
      <c r="AY333" s="58" t="n">
        <f aca="false">IF(AV333&gt;0,I333/AV333,-1)</f>
        <v>468</v>
      </c>
      <c r="AZ333" s="58" t="n">
        <f aca="false">IF(AND(OR(BU333="L1",BU333="L23"),AV333&gt;0),SUMIFS($AV$7:$AV$1576,$BU$7:$BU$1576,BU333,$AY$7:$AY$1576,"&gt;"&amp;AY333)+SUMIFS($AV$7:$AV$1576,$BU$7:$BU$1576,BU333,$AY$7:$AY$1576,AY333,$BO$7:$BO$1576,"&lt;="&amp;BO333),"")</f>
        <v>34.2363427035278</v>
      </c>
      <c r="BA333" s="65" t="n">
        <f aca="false">IF(AZ333="",0,MAX(0,MIN(1,(IF(BU333="L1",Parameter!$E$5,Parameter!$E$6+Parameter!$E$7)-(AZ333-AV333))/AV333)))</f>
        <v>1</v>
      </c>
      <c r="BB333" s="55" t="str">
        <f aca="false">IF(AF333&lt;=0,"",IF(BU333="Aussen","Aussenlager",IF(BU333="-","Nicht im Lift",IF(AK333&gt;=1,"Lift",IF(AK333&lt;=0,"Aussenlager","teilweise")))))</f>
        <v>Lift</v>
      </c>
      <c r="BC333" s="55" t="str">
        <f aca="false">IF(AN333&lt;=0,"",IF(BU333="Aussen","Aussenlager",IF(BU333="-","Nicht im Lift",IF(AS333&gt;=1,"Lift",IF(AS333&lt;=0,"Aussenlager","teilweise")))))</f>
        <v>Lift</v>
      </c>
      <c r="BD333" s="55" t="str">
        <f aca="false">IF(AV333&lt;=0,"",IF(BU333="Aussen","Aussenlager",IF(BU333="-","Nicht im Lift",IF(BA333&gt;=1,"Lift",IF(BA333&lt;=0,"Aussenlager","teilweise")))))</f>
        <v>Lift</v>
      </c>
      <c r="BE333" s="55" t="str">
        <f aca="false">IF(A333="","",IF(BN333=1,"Neu; ","")&amp;IF(AND(BN333=0,BI333&lt;0),"negativer Bestand (Export "&amp;BI333&amp;"); ","")&amp;IF(I333&lt;=0,"Kein Verbrauch; ","")&amp;IF(CD333&gt;0,"Lift "&amp;U333&amp;" lt. Liftbericht (Fach "&amp;V333&amp;" Stk); ",IF(BR333=1,"Lose – Fläche geschätzt; ",""))&amp;IF(G333&gt;AP333,"Überbestand "&amp;ROUND(G333-AP333,0)&amp;" Stk / CHF "&amp;ROUND((G333-AP333)*F333,0)&amp;"; ","")&amp;IF(AND(BW333=1,BX333&lt;BY333),"MAX &lt; MB+LG; ","")&amp;IF(AND(CC333&gt;0,CB333*10&gt;CC333),"zu hoch für Tablar; ","")&amp;IF(AND(BN333=0,OR(BW333=1,Y333&lt;&gt;"",S333&lt;&gt;"",T333&lt;&gt;"",Z333&lt;&gt;"")),"manuell übersteuert; ","")&amp;IF(AND(BR333=0,Q333=0),"Gebinde unbekannt / Stellmass fehlt; ","")&amp;IF(AND(BR333=0,N(T333)&lt;=0,N(P333)&lt;=0),"Menge pro Gebinde fehlt (Ist = 1 Gebinde); ","")&amp;BM333)</f>
        <v>grosser Artikel &amp; nicht im KTL</v>
      </c>
      <c r="BF333" s="55"/>
      <c r="BG333" s="55"/>
      <c r="BH333" s="62"/>
      <c r="BI333" s="57" t="n">
        <v>22</v>
      </c>
      <c r="BJ333" s="57" t="n">
        <v>132</v>
      </c>
      <c r="BK333" s="56" t="n">
        <v>214.059999999999</v>
      </c>
      <c r="BL333" s="57" t="n">
        <v>234</v>
      </c>
      <c r="BM333" s="55" t="s">
        <v>253</v>
      </c>
      <c r="BN333" s="60" t="n">
        <v>0</v>
      </c>
      <c r="BO333" s="60" t="n">
        <v>333</v>
      </c>
      <c r="BP333" s="55" t="str">
        <f aca="false">IF(S333&lt;&gt;"",UPPER(TRIM(S333)),IF(O333="","LOSE",O333))</f>
        <v>S62</v>
      </c>
      <c r="BQ333" s="57" t="n">
        <f aca="false">IF(BP333="LOSE",1,IF(N(T333)&gt;0,T333,IF(N(P333)&gt;0,P333,MAX(1,G333))))</f>
        <v>45</v>
      </c>
      <c r="BR333" s="60" t="n">
        <f aca="false">IF(BP333="LOSE",1,0)</f>
        <v>0</v>
      </c>
      <c r="BS333" s="59" t="n">
        <f aca="false">IF(BR333=0,0,IF(N(R333)&gt;0,R333,IFERROR(VLOOKUP(D333,Parameter!$A$35:$C$64,3,0)+0,0)))</f>
        <v>0</v>
      </c>
      <c r="BT333" s="55" t="n">
        <f aca="false">IF(Y333&lt;&gt;"",Y333,X333)</f>
        <v>2</v>
      </c>
      <c r="BU333" s="55" t="str">
        <f aca="false">IF(BT333=1,"L1",IF(OR(BT333=2,BT333=3),"L23",IF(BT333="Aussen","Aussen","-")))</f>
        <v>L23</v>
      </c>
      <c r="BV333" s="66" t="n">
        <f aca="false">IF(N(Z333)&gt;0,Z333,0)</f>
        <v>0</v>
      </c>
      <c r="BW333" s="60" t="n">
        <f aca="false">IF(ISNUMBER(AC333),1,0)</f>
        <v>0</v>
      </c>
      <c r="BX333" s="57" t="n">
        <f aca="false">N(AC333)</f>
        <v>0</v>
      </c>
      <c r="BY333" s="57" t="n">
        <f aca="false">N(L333)+N(M333)</f>
        <v>245</v>
      </c>
      <c r="BZ333" s="57" t="n">
        <f aca="false">ROUNDUP(G333/BQ333,0)</f>
        <v>1</v>
      </c>
      <c r="CA333" s="57" t="n">
        <f aca="false">ROUNDUP(BX333/BQ333,0)</f>
        <v>0</v>
      </c>
      <c r="CB333" s="60" t="n">
        <f aca="false">IF(BR333=1,0,IFERROR(VLOOKUP(BP333,'Gebinde-Kategorie'!$A$5:$M$45,5,0)+0,0))</f>
        <v>21</v>
      </c>
      <c r="CC333" s="60" t="n">
        <f aca="false">IFERROR(IF(OR(BT333=1,BT333=2,BT333=3),N(INDEX(Parameter!$I$5:$I$7,BT333)),0),0)</f>
        <v>0</v>
      </c>
      <c r="CD333" s="59" t="n">
        <f aca="false">IF(AND(Parameter!$B$21="Ja",ISNUMBER(U333),N(V333)&gt;0),IFERROR(N(INDEX(Parameter!$L$5:$L$7,U333))*INDEX(Parameter!$E$5:$E$7,U333)*V333/SUMIFS($V$7:$V$1576,$U$7:$U$1576,U333),0),0)</f>
        <v>0</v>
      </c>
    </row>
    <row r="334" customFormat="false" ht="15" hidden="false" customHeight="false" outlineLevel="0" collapsed="false">
      <c r="A334" s="55" t="s">
        <v>818</v>
      </c>
      <c r="B334" s="55" t="s">
        <v>430</v>
      </c>
      <c r="C334" s="55" t="s">
        <v>160</v>
      </c>
      <c r="D334" s="55" t="s">
        <v>178</v>
      </c>
      <c r="E334" s="55" t="s">
        <v>210</v>
      </c>
      <c r="F334" s="56" t="n">
        <v>107</v>
      </c>
      <c r="G334" s="57" t="n">
        <f aca="false">MAX(0,IF(AND(Parameter!$B$21="Ja",ISNUMBER(W334)),W334,IF(Parameter!$B$20="Jahresanfang 2025 + Export",BJ334+BI334,BI334)))</f>
        <v>2</v>
      </c>
      <c r="H334" s="57" t="n">
        <f aca="false">G334*F334</f>
        <v>214</v>
      </c>
      <c r="I334" s="57" t="n">
        <f aca="false">BL334*Parameter!$B$18</f>
        <v>6</v>
      </c>
      <c r="J334" s="58" t="n">
        <v>16</v>
      </c>
      <c r="K334" s="59" t="n">
        <v>0.375</v>
      </c>
      <c r="L334" s="57" t="n">
        <v>1</v>
      </c>
      <c r="M334" s="57" t="n">
        <v>5</v>
      </c>
      <c r="N334" s="60" t="n">
        <v>84</v>
      </c>
      <c r="O334" s="55" t="s">
        <v>225</v>
      </c>
      <c r="P334" s="57" t="n">
        <v>23</v>
      </c>
      <c r="Q334" s="60" t="n">
        <f aca="false">IF(BR334=1,0,IFERROR(VLOOKUP(BP334,'Gebinde-Kategorie'!$A$5:$M$45,13,0)+0,0))</f>
        <v>26</v>
      </c>
      <c r="R334" s="61"/>
      <c r="S334" s="62"/>
      <c r="T334" s="62"/>
      <c r="U334" s="55"/>
      <c r="V334" s="57"/>
      <c r="W334" s="57"/>
      <c r="X334" s="55" t="n">
        <f aca="false">IF(A334="","",IF(AND(Parameter!$B$21="Ja",ISNUMBER(U334)),U334,IF(IFERROR(VLOOKUP(D334,Parameter!$A$35:$C$64,2,0),"Nein")="2+3",IF(ISNUMBER(SEARCH("grosser Artikel",BM334)),2,IFERROR(VLOOKUP(BP334,Parameter!$F$35:$G$64,2,0),2)),IF(OR(IFERROR(VLOOKUP(D334,Parameter!$A$35:$C$64,2,0),"Nein")="Nein",IFERROR(VLOOKUP(D334,Parameter!$A$35:$C$64,2,0),"Nein")=""),"-",VLOOKUP(D334,Parameter!$A$35:$C$64,2,0)))))</f>
        <v>3</v>
      </c>
      <c r="Y334" s="62"/>
      <c r="Z334" s="63"/>
      <c r="AA334" s="57" t="n">
        <f aca="false">AP334</f>
        <v>23</v>
      </c>
      <c r="AB334" s="57" t="n">
        <f aca="false">MAX(AP334,G334)</f>
        <v>23</v>
      </c>
      <c r="AC334" s="64"/>
      <c r="AD334" s="57" t="n">
        <f aca="false">IF(LEFT(Cockpit!$C$5,1)="A",G334,IF(BW334=1,BX334,IF(LEFT(Cockpit!$C$5,1)="B",AH334,MAX(AH334,G334))))</f>
        <v>2</v>
      </c>
      <c r="AE334" s="57" t="n">
        <f aca="false">IF(BR334=1,0,ROUNDUP(AD334/BQ334,0))</f>
        <v>1</v>
      </c>
      <c r="AF334" s="59" t="n">
        <f aca="false">IF(CD334&gt;0,CD334*MAX(1,AD334/V334),IF(BR334=1,IF(AD334&lt;=0,0,BS334*MAX(1,IF(G334&gt;0,AD334/G334,1))),IF(Q334&gt;0,AE334/Q334,0))/MAX(0.1,N(Parameter!$M$21)))</f>
        <v>0.0384615384615385</v>
      </c>
      <c r="AG334" s="57" t="n">
        <f aca="false">AD334*F334</f>
        <v>214</v>
      </c>
      <c r="AH334" s="57" t="n">
        <f aca="false">ROUNDUP(MAX(I334/IF(BV334&gt;0,BV334,MAX(0.1,N(Cockpit!$C$6))),BY334)/BQ334,0)*BQ334</f>
        <v>23</v>
      </c>
      <c r="AI334" s="58" t="n">
        <f aca="false">IF(AF334&gt;0,I334/AF334,-1)</f>
        <v>156</v>
      </c>
      <c r="AJ334" s="58" t="n">
        <f aca="false">IF(AND(OR(BU334="L1",BU334="L23"),AF334&gt;0),SUMIFS($AF$7:$AF$1576,$BU$7:$BU$1576,BU334,$AI$7:$AI$1576,"&gt;"&amp;AI334)+SUMIFS($AF$7:$AF$1576,$BU$7:$BU$1576,BU334,$AI$7:$AI$1576,AI334,$BO$7:$BO$1576,"&lt;="&amp;BO334),"")</f>
        <v>18.7211442181007</v>
      </c>
      <c r="AK334" s="65" t="n">
        <f aca="false">IF(AJ334="",0,MAX(0,MIN(1,(IF(BU334="L1",Parameter!$E$5,Parameter!$E$6+Parameter!$E$7)-(AJ334-AF334))/AF334)))</f>
        <v>1</v>
      </c>
      <c r="AL334" s="57" t="n">
        <f aca="false">IF(LEFT(Cockpit!$I$5,1)="A",G334,IF(BW334=1,BX334,IF(LEFT(Cockpit!$I$5,1)="B",AP334,MAX(AP334,G334))))</f>
        <v>23</v>
      </c>
      <c r="AM334" s="57" t="n">
        <f aca="false">IF(BR334=1,0,ROUNDUP(AL334/BQ334,0))</f>
        <v>1</v>
      </c>
      <c r="AN334" s="59" t="n">
        <f aca="false">IF(CD334&gt;0,CD334*MAX(1,AL334/V334),IF(BR334=1,IF(AL334&lt;=0,0,BS334*MAX(1,IF(G334&gt;0,AL334/G334,1))),IF(Q334&gt;0,AM334/Q334,0))/MAX(0.1,N(Parameter!$M$21)))</f>
        <v>0.0384615384615385</v>
      </c>
      <c r="AO334" s="57" t="n">
        <f aca="false">AL334*F334</f>
        <v>2461</v>
      </c>
      <c r="AP334" s="57" t="n">
        <f aca="false">ROUNDUP(MAX(I334/IF(BV334&gt;0,BV334,MAX(0.1,N(Cockpit!$I$6))),BY334)/BQ334,0)*BQ334</f>
        <v>23</v>
      </c>
      <c r="AQ334" s="58" t="n">
        <f aca="false">IF(AN334&gt;0,I334/AN334,-1)</f>
        <v>156</v>
      </c>
      <c r="AR334" s="58" t="n">
        <f aca="false">IF(AND(OR(BU334="L1",BU334="L23"),AN334&gt;0),SUMIFS($AN$7:$AN$1576,$BU$7:$BU$1576,BU334,$AQ$7:$AQ$1576,"&gt;"&amp;AQ334)+SUMIFS($AN$7:$AN$1576,$BU$7:$BU$1576,BU334,$AQ$7:$AQ$1576,AQ334,$BO$7:$BO$1576,"&lt;="&amp;BO334),"")</f>
        <v>54.3923636873748</v>
      </c>
      <c r="AS334" s="65" t="n">
        <f aca="false">IF(AR334="",0,MAX(0,MIN(1,(IF(BU334="L1",Parameter!$E$5,Parameter!$E$6+Parameter!$E$7)-(AR334-AN334))/AN334)))</f>
        <v>1</v>
      </c>
      <c r="AT334" s="57" t="n">
        <f aca="false">IF(LEFT(Cockpit!$O$5,1)="A",G334,IF(BW334=1,BX334,IF(LEFT(Cockpit!$O$5,1)="B",AX334,MAX(AX334,G334))))</f>
        <v>23</v>
      </c>
      <c r="AU334" s="57" t="n">
        <f aca="false">IF(BR334=1,0,ROUNDUP(AT334/BQ334,0))</f>
        <v>1</v>
      </c>
      <c r="AV334" s="59" t="n">
        <f aca="false">IF(CD334&gt;0,CD334*MAX(1,AT334/V334),IF(BR334=1,IF(AT334&lt;=0,0,BS334*MAX(1,IF(G334&gt;0,AT334/G334,1))),IF(Q334&gt;0,AU334/Q334,0))/MAX(0.1,N(Parameter!$M$21)))</f>
        <v>0.0384615384615385</v>
      </c>
      <c r="AW334" s="57" t="n">
        <f aca="false">AT334*F334</f>
        <v>2461</v>
      </c>
      <c r="AX334" s="57" t="n">
        <f aca="false">ROUNDUP(MAX(I334/IF(BV334&gt;0,BV334,MAX(0.1,N(Cockpit!$O$6))),BY334)/BQ334,0)*BQ334</f>
        <v>23</v>
      </c>
      <c r="AY334" s="58" t="n">
        <f aca="false">IF(AV334&gt;0,I334/AV334,-1)</f>
        <v>156</v>
      </c>
      <c r="AZ334" s="58" t="n">
        <f aca="false">IF(AND(OR(BU334="L1",BU334="L23"),AV334&gt;0),SUMIFS($AV$7:$AV$1576,$BU$7:$BU$1576,BU334,$AY$7:$AY$1576,"&gt;"&amp;AY334)+SUMIFS($AV$7:$AV$1576,$BU$7:$BU$1576,BU334,$AY$7:$AY$1576,AY334,$BO$7:$BO$1576,"&lt;="&amp;BO334),"")</f>
        <v>50.7305883793495</v>
      </c>
      <c r="BA334" s="65" t="n">
        <f aca="false">IF(AZ334="",0,MAX(0,MIN(1,(IF(BU334="L1",Parameter!$E$5,Parameter!$E$6+Parameter!$E$7)-(AZ334-AV334))/AV334)))</f>
        <v>1</v>
      </c>
      <c r="BB334" s="55" t="str">
        <f aca="false">IF(AF334&lt;=0,"",IF(BU334="Aussen","Aussenlager",IF(BU334="-","Nicht im Lift",IF(AK334&gt;=1,"Lift",IF(AK334&lt;=0,"Aussenlager","teilweise")))))</f>
        <v>Lift</v>
      </c>
      <c r="BC334" s="55" t="str">
        <f aca="false">IF(AN334&lt;=0,"",IF(BU334="Aussen","Aussenlager",IF(BU334="-","Nicht im Lift",IF(AS334&gt;=1,"Lift",IF(AS334&lt;=0,"Aussenlager","teilweise")))))</f>
        <v>Lift</v>
      </c>
      <c r="BD334" s="55" t="str">
        <f aca="false">IF(AV334&lt;=0,"",IF(BU334="Aussen","Aussenlager",IF(BU334="-","Nicht im Lift",IF(BA334&gt;=1,"Lift",IF(BA334&lt;=0,"Aussenlager","teilweise")))))</f>
        <v>Lift</v>
      </c>
      <c r="BE334" s="55" t="str">
        <f aca="false">IF(A334="","",IF(BN334=1,"Neu; ","")&amp;IF(AND(BN334=0,BI334&lt;0),"negativer Bestand (Export "&amp;BI334&amp;"); ","")&amp;IF(I334&lt;=0,"Kein Verbrauch; ","")&amp;IF(CD334&gt;0,"Lift "&amp;U334&amp;" lt. Liftbericht (Fach "&amp;V334&amp;" Stk); ",IF(BR334=1,"Lose – Fläche geschätzt; ",""))&amp;IF(G334&gt;AP334,"Überbestand "&amp;ROUND(G334-AP334,0)&amp;" Stk / CHF "&amp;ROUND((G334-AP334)*F334,0)&amp;"; ","")&amp;IF(AND(BW334=1,BX334&lt;BY334),"MAX &lt; MB+LG; ","")&amp;IF(AND(CC334&gt;0,CB334*10&gt;CC334),"zu hoch für Tablar; ","")&amp;IF(AND(BN334=0,OR(BW334=1,Y334&lt;&gt;"",S334&lt;&gt;"",T334&lt;&gt;"",Z334&lt;&gt;"")),"manuell übersteuert; ","")&amp;IF(AND(BR334=0,Q334=0),"Gebinde unbekannt / Stellmass fehlt; ","")&amp;IF(AND(BR334=0,N(T334)&lt;=0,N(P334)&lt;=0),"Menge pro Gebinde fehlt (Ist = 1 Gebinde); ","")&amp;BM334)</f>
        <v/>
      </c>
      <c r="BF334" s="55"/>
      <c r="BG334" s="55"/>
      <c r="BH334" s="62"/>
      <c r="BI334" s="57" t="n">
        <v>2</v>
      </c>
      <c r="BJ334" s="57" t="n">
        <v>19</v>
      </c>
      <c r="BK334" s="56" t="n">
        <v>214</v>
      </c>
      <c r="BL334" s="57" t="n">
        <v>6</v>
      </c>
      <c r="BM334" s="55"/>
      <c r="BN334" s="60" t="n">
        <v>0</v>
      </c>
      <c r="BO334" s="60" t="n">
        <v>334</v>
      </c>
      <c r="BP334" s="55" t="str">
        <f aca="false">IF(S334&lt;&gt;"",UPPER(TRIM(S334)),IF(O334="","LOSE",O334))</f>
        <v>S52</v>
      </c>
      <c r="BQ334" s="57" t="n">
        <f aca="false">IF(BP334="LOSE",1,IF(N(T334)&gt;0,T334,IF(N(P334)&gt;0,P334,MAX(1,G334))))</f>
        <v>23</v>
      </c>
      <c r="BR334" s="60" t="n">
        <f aca="false">IF(BP334="LOSE",1,0)</f>
        <v>0</v>
      </c>
      <c r="BS334" s="59" t="n">
        <f aca="false">IF(BR334=0,0,IF(N(R334)&gt;0,R334,IFERROR(VLOOKUP(D334,Parameter!$A$35:$C$64,3,0)+0,0)))</f>
        <v>0</v>
      </c>
      <c r="BT334" s="55" t="n">
        <f aca="false">IF(Y334&lt;&gt;"",Y334,X334)</f>
        <v>3</v>
      </c>
      <c r="BU334" s="55" t="str">
        <f aca="false">IF(BT334=1,"L1",IF(OR(BT334=2,BT334=3),"L23",IF(BT334="Aussen","Aussen","-")))</f>
        <v>L23</v>
      </c>
      <c r="BV334" s="66" t="n">
        <f aca="false">IF(N(Z334)&gt;0,Z334,0)</f>
        <v>0</v>
      </c>
      <c r="BW334" s="60" t="n">
        <f aca="false">IF(ISNUMBER(AC334),1,0)</f>
        <v>0</v>
      </c>
      <c r="BX334" s="57" t="n">
        <f aca="false">N(AC334)</f>
        <v>0</v>
      </c>
      <c r="BY334" s="57" t="n">
        <f aca="false">N(L334)+N(M334)</f>
        <v>6</v>
      </c>
      <c r="BZ334" s="57" t="n">
        <f aca="false">ROUNDUP(G334/BQ334,0)</f>
        <v>1</v>
      </c>
      <c r="CA334" s="57" t="n">
        <f aca="false">ROUNDUP(BX334/BQ334,0)</f>
        <v>0</v>
      </c>
      <c r="CB334" s="60" t="n">
        <f aca="false">IF(BR334=1,0,IFERROR(VLOOKUP(BP334,'Gebinde-Kategorie'!$A$5:$M$45,5,0)+0,0))</f>
        <v>21</v>
      </c>
      <c r="CC334" s="60" t="n">
        <f aca="false">IFERROR(IF(OR(BT334=1,BT334=2,BT334=3),N(INDEX(Parameter!$I$5:$I$7,BT334)),0),0)</f>
        <v>0</v>
      </c>
      <c r="CD334" s="59" t="n">
        <f aca="false">IF(AND(Parameter!$B$21="Ja",ISNUMBER(U334),N(V334)&gt;0),IFERROR(N(INDEX(Parameter!$L$5:$L$7,U334))*INDEX(Parameter!$E$5:$E$7,U334)*V334/SUMIFS($V$7:$V$1576,$U$7:$U$1576,U334),0),0)</f>
        <v>0</v>
      </c>
    </row>
    <row r="335" customFormat="false" ht="15" hidden="false" customHeight="false" outlineLevel="0" collapsed="false">
      <c r="A335" s="55" t="s">
        <v>819</v>
      </c>
      <c r="B335" s="55" t="s">
        <v>820</v>
      </c>
      <c r="C335" s="55" t="s">
        <v>160</v>
      </c>
      <c r="D335" s="55" t="s">
        <v>178</v>
      </c>
      <c r="E335" s="55" t="s">
        <v>210</v>
      </c>
      <c r="F335" s="56" t="n">
        <v>43.47</v>
      </c>
      <c r="G335" s="57" t="n">
        <f aca="false">MAX(0,IF(AND(Parameter!$B$21="Ja",ISNUMBER(W335)),W335,IF(Parameter!$B$20="Jahresanfang 2025 + Export",BJ335+BI335,BI335)))</f>
        <v>4</v>
      </c>
      <c r="H335" s="57" t="n">
        <f aca="false">G335*F335</f>
        <v>173.88</v>
      </c>
      <c r="I335" s="57" t="n">
        <f aca="false">BL335*Parameter!$B$18</f>
        <v>6</v>
      </c>
      <c r="J335" s="58" t="n">
        <v>10</v>
      </c>
      <c r="K335" s="59" t="n">
        <v>0.6</v>
      </c>
      <c r="L335" s="57" t="n">
        <v>0</v>
      </c>
      <c r="M335" s="57" t="n">
        <v>5</v>
      </c>
      <c r="N335" s="60" t="n">
        <v>35</v>
      </c>
      <c r="O335" s="55" t="s">
        <v>465</v>
      </c>
      <c r="P335" s="57" t="n">
        <v>18</v>
      </c>
      <c r="Q335" s="60" t="n">
        <f aca="false">IF(BR335=1,0,IFERROR(VLOOKUP(BP335,'Gebinde-Kategorie'!$A$5:$M$45,13,0)+0,0))</f>
        <v>66</v>
      </c>
      <c r="R335" s="61"/>
      <c r="S335" s="62"/>
      <c r="T335" s="62"/>
      <c r="U335" s="55"/>
      <c r="V335" s="57"/>
      <c r="W335" s="57"/>
      <c r="X335" s="55" t="n">
        <f aca="false">IF(A335="","",IF(AND(Parameter!$B$21="Ja",ISNUMBER(U335)),U335,IF(IFERROR(VLOOKUP(D335,Parameter!$A$35:$C$64,2,0),"Nein")="2+3",IF(ISNUMBER(SEARCH("grosser Artikel",BM335)),2,IFERROR(VLOOKUP(BP335,Parameter!$F$35:$G$64,2,0),2)),IF(OR(IFERROR(VLOOKUP(D335,Parameter!$A$35:$C$64,2,0),"Nein")="Nein",IFERROR(VLOOKUP(D335,Parameter!$A$35:$C$64,2,0),"Nein")=""),"-",VLOOKUP(D335,Parameter!$A$35:$C$64,2,0)))))</f>
        <v>3</v>
      </c>
      <c r="Y335" s="62"/>
      <c r="Z335" s="63"/>
      <c r="AA335" s="57" t="n">
        <f aca="false">AP335</f>
        <v>18</v>
      </c>
      <c r="AB335" s="57" t="n">
        <f aca="false">MAX(AP335,G335)</f>
        <v>18</v>
      </c>
      <c r="AC335" s="64"/>
      <c r="AD335" s="57" t="n">
        <f aca="false">IF(LEFT(Cockpit!$C$5,1)="A",G335,IF(BW335=1,BX335,IF(LEFT(Cockpit!$C$5,1)="B",AH335,MAX(AH335,G335))))</f>
        <v>4</v>
      </c>
      <c r="AE335" s="57" t="n">
        <f aca="false">IF(BR335=1,0,ROUNDUP(AD335/BQ335,0))</f>
        <v>1</v>
      </c>
      <c r="AF335" s="59" t="n">
        <f aca="false">IF(CD335&gt;0,CD335*MAX(1,AD335/V335),IF(BR335=1,IF(AD335&lt;=0,0,BS335*MAX(1,IF(G335&gt;0,AD335/G335,1))),IF(Q335&gt;0,AE335/Q335,0))/MAX(0.1,N(Parameter!$M$21)))</f>
        <v>0.0151515151515152</v>
      </c>
      <c r="AG335" s="57" t="n">
        <f aca="false">AD335*F335</f>
        <v>173.88</v>
      </c>
      <c r="AH335" s="57" t="n">
        <f aca="false">ROUNDUP(MAX(I335/IF(BV335&gt;0,BV335,MAX(0.1,N(Cockpit!$C$6))),BY335)/BQ335,0)*BQ335</f>
        <v>18</v>
      </c>
      <c r="AI335" s="58" t="n">
        <f aca="false">IF(AF335&gt;0,I335/AF335,-1)</f>
        <v>396</v>
      </c>
      <c r="AJ335" s="58" t="n">
        <f aca="false">IF(AND(OR(BU335="L1",BU335="L23"),AF335&gt;0),SUMIFS($AF$7:$AF$1576,$BU$7:$BU$1576,BU335,$AI$7:$AI$1576,"&gt;"&amp;AI335)+SUMIFS($AF$7:$AF$1576,$BU$7:$BU$1576,BU335,$AI$7:$AI$1576,AI335,$BO$7:$BO$1576,"&lt;="&amp;BO335),"")</f>
        <v>13.448176412959</v>
      </c>
      <c r="AK335" s="65" t="n">
        <f aca="false">IF(AJ335="",0,MAX(0,MIN(1,(IF(BU335="L1",Parameter!$E$5,Parameter!$E$6+Parameter!$E$7)-(AJ335-AF335))/AF335)))</f>
        <v>1</v>
      </c>
      <c r="AL335" s="57" t="n">
        <f aca="false">IF(LEFT(Cockpit!$I$5,1)="A",G335,IF(BW335=1,BX335,IF(LEFT(Cockpit!$I$5,1)="B",AP335,MAX(AP335,G335))))</f>
        <v>18</v>
      </c>
      <c r="AM335" s="57" t="n">
        <f aca="false">IF(BR335=1,0,ROUNDUP(AL335/BQ335,0))</f>
        <v>1</v>
      </c>
      <c r="AN335" s="59" t="n">
        <f aca="false">IF(CD335&gt;0,CD335*MAX(1,AL335/V335),IF(BR335=1,IF(AL335&lt;=0,0,BS335*MAX(1,IF(G335&gt;0,AL335/G335,1))),IF(Q335&gt;0,AM335/Q335,0))/MAX(0.1,N(Parameter!$M$21)))</f>
        <v>0.0151515151515152</v>
      </c>
      <c r="AO335" s="57" t="n">
        <f aca="false">AL335*F335</f>
        <v>782.46</v>
      </c>
      <c r="AP335" s="57" t="n">
        <f aca="false">ROUNDUP(MAX(I335/IF(BV335&gt;0,BV335,MAX(0.1,N(Cockpit!$I$6))),BY335)/BQ335,0)*BQ335</f>
        <v>18</v>
      </c>
      <c r="AQ335" s="58" t="n">
        <f aca="false">IF(AN335&gt;0,I335/AN335,-1)</f>
        <v>396</v>
      </c>
      <c r="AR335" s="58" t="n">
        <f aca="false">IF(AND(OR(BU335="L1",BU335="L23"),AN335&gt;0),SUMIFS($AN$7:$AN$1576,$BU$7:$BU$1576,BU335,$AQ$7:$AQ$1576,"&gt;"&amp;AQ335)+SUMIFS($AN$7:$AN$1576,$BU$7:$BU$1576,BU335,$AQ$7:$AQ$1576,AQ335,$BO$7:$BO$1576,"&lt;="&amp;BO335),"")</f>
        <v>36.7385056613429</v>
      </c>
      <c r="AS335" s="65" t="n">
        <f aca="false">IF(AR335="",0,MAX(0,MIN(1,(IF(BU335="L1",Parameter!$E$5,Parameter!$E$6+Parameter!$E$7)-(AR335-AN335))/AN335)))</f>
        <v>1</v>
      </c>
      <c r="AT335" s="57" t="n">
        <f aca="false">IF(LEFT(Cockpit!$O$5,1)="A",G335,IF(BW335=1,BX335,IF(LEFT(Cockpit!$O$5,1)="B",AX335,MAX(AX335,G335))))</f>
        <v>18</v>
      </c>
      <c r="AU335" s="57" t="n">
        <f aca="false">IF(BR335=1,0,ROUNDUP(AT335/BQ335,0))</f>
        <v>1</v>
      </c>
      <c r="AV335" s="59" t="n">
        <f aca="false">IF(CD335&gt;0,CD335*MAX(1,AT335/V335),IF(BR335=1,IF(AT335&lt;=0,0,BS335*MAX(1,IF(G335&gt;0,AT335/G335,1))),IF(Q335&gt;0,AU335/Q335,0))/MAX(0.1,N(Parameter!$M$21)))</f>
        <v>0.0151515151515152</v>
      </c>
      <c r="AW335" s="57" t="n">
        <f aca="false">AT335*F335</f>
        <v>782.46</v>
      </c>
      <c r="AX335" s="57" t="n">
        <f aca="false">ROUNDUP(MAX(I335/IF(BV335&gt;0,BV335,MAX(0.1,N(Cockpit!$O$6))),BY335)/BQ335,0)*BQ335</f>
        <v>18</v>
      </c>
      <c r="AY335" s="58" t="n">
        <f aca="false">IF(AV335&gt;0,I335/AV335,-1)</f>
        <v>396</v>
      </c>
      <c r="AZ335" s="58" t="n">
        <f aca="false">IF(AND(OR(BU335="L1",BU335="L23"),AV335&gt;0),SUMIFS($AV$7:$AV$1576,$BU$7:$BU$1576,BU335,$AY$7:$AY$1576,"&gt;"&amp;AY335)+SUMIFS($AV$7:$AV$1576,$BU$7:$BU$1576,BU335,$AY$7:$AY$1576,AY335,$BO$7:$BO$1576,"&lt;="&amp;BO335),"")</f>
        <v>35.9032509160882</v>
      </c>
      <c r="BA335" s="65" t="n">
        <f aca="false">IF(AZ335="",0,MAX(0,MIN(1,(IF(BU335="L1",Parameter!$E$5,Parameter!$E$6+Parameter!$E$7)-(AZ335-AV335))/AV335)))</f>
        <v>1</v>
      </c>
      <c r="BB335" s="55" t="str">
        <f aca="false">IF(AF335&lt;=0,"",IF(BU335="Aussen","Aussenlager",IF(BU335="-","Nicht im Lift",IF(AK335&gt;=1,"Lift",IF(AK335&lt;=0,"Aussenlager","teilweise")))))</f>
        <v>Lift</v>
      </c>
      <c r="BC335" s="55" t="str">
        <f aca="false">IF(AN335&lt;=0,"",IF(BU335="Aussen","Aussenlager",IF(BU335="-","Nicht im Lift",IF(AS335&gt;=1,"Lift",IF(AS335&lt;=0,"Aussenlager","teilweise")))))</f>
        <v>Lift</v>
      </c>
      <c r="BD335" s="55" t="str">
        <f aca="false">IF(AV335&lt;=0,"",IF(BU335="Aussen","Aussenlager",IF(BU335="-","Nicht im Lift",IF(BA335&gt;=1,"Lift",IF(BA335&lt;=0,"Aussenlager","teilweise")))))</f>
        <v>Lift</v>
      </c>
      <c r="BE335" s="55" t="str">
        <f aca="false">IF(A335="","",IF(BN335=1,"Neu; ","")&amp;IF(AND(BN335=0,BI335&lt;0),"negativer Bestand (Export "&amp;BI335&amp;"); ","")&amp;IF(I335&lt;=0,"Kein Verbrauch; ","")&amp;IF(CD335&gt;0,"Lift "&amp;U335&amp;" lt. Liftbericht (Fach "&amp;V335&amp;" Stk); ",IF(BR335=1,"Lose – Fläche geschätzt; ",""))&amp;IF(G335&gt;AP335,"Überbestand "&amp;ROUND(G335-AP335,0)&amp;" Stk / CHF "&amp;ROUND((G335-AP335)*F335,0)&amp;"; ","")&amp;IF(AND(BW335=1,BX335&lt;BY335),"MAX &lt; MB+LG; ","")&amp;IF(AND(CC335&gt;0,CB335*10&gt;CC335),"zu hoch für Tablar; ","")&amp;IF(AND(BN335=0,OR(BW335=1,Y335&lt;&gt;"",S335&lt;&gt;"",T335&lt;&gt;"",Z335&lt;&gt;"")),"manuell übersteuert; ","")&amp;IF(AND(BR335=0,Q335=0),"Gebinde unbekannt / Stellmass fehlt; ","")&amp;IF(AND(BR335=0,N(T335)&lt;=0,N(P335)&lt;=0),"Menge pro Gebinde fehlt (Ist = 1 Gebinde); ","")&amp;BM335)</f>
        <v/>
      </c>
      <c r="BF335" s="55"/>
      <c r="BG335" s="55"/>
      <c r="BH335" s="62"/>
      <c r="BI335" s="57" t="n">
        <v>4</v>
      </c>
      <c r="BJ335" s="57" t="n">
        <v>11</v>
      </c>
      <c r="BK335" s="56" t="n">
        <v>213.81</v>
      </c>
      <c r="BL335" s="57" t="n">
        <v>6</v>
      </c>
      <c r="BM335" s="55"/>
      <c r="BN335" s="60" t="n">
        <v>0</v>
      </c>
      <c r="BO335" s="60" t="n">
        <v>335</v>
      </c>
      <c r="BP335" s="55" t="str">
        <f aca="false">IF(S335&lt;&gt;"",UPPER(TRIM(S335)),IF(O335="","LOSE",O335))</f>
        <v>S33</v>
      </c>
      <c r="BQ335" s="57" t="n">
        <f aca="false">IF(BP335="LOSE",1,IF(N(T335)&gt;0,T335,IF(N(P335)&gt;0,P335,MAX(1,G335))))</f>
        <v>18</v>
      </c>
      <c r="BR335" s="60" t="n">
        <f aca="false">IF(BP335="LOSE",1,0)</f>
        <v>0</v>
      </c>
      <c r="BS335" s="59" t="n">
        <f aca="false">IF(BR335=0,0,IF(N(R335)&gt;0,R335,IFERROR(VLOOKUP(D335,Parameter!$A$35:$C$64,3,0)+0,0)))</f>
        <v>0</v>
      </c>
      <c r="BT335" s="55" t="n">
        <f aca="false">IF(Y335&lt;&gt;"",Y335,X335)</f>
        <v>3</v>
      </c>
      <c r="BU335" s="55" t="str">
        <f aca="false">IF(BT335=1,"L1",IF(OR(BT335=2,BT335=3),"L23",IF(BT335="Aussen","Aussen","-")))</f>
        <v>L23</v>
      </c>
      <c r="BV335" s="66" t="n">
        <f aca="false">IF(N(Z335)&gt;0,Z335,0)</f>
        <v>0</v>
      </c>
      <c r="BW335" s="60" t="n">
        <f aca="false">IF(ISNUMBER(AC335),1,0)</f>
        <v>0</v>
      </c>
      <c r="BX335" s="57" t="n">
        <f aca="false">N(AC335)</f>
        <v>0</v>
      </c>
      <c r="BY335" s="57" t="n">
        <f aca="false">N(L335)+N(M335)</f>
        <v>5</v>
      </c>
      <c r="BZ335" s="57" t="n">
        <f aca="false">ROUNDUP(G335/BQ335,0)</f>
        <v>1</v>
      </c>
      <c r="CA335" s="57" t="n">
        <f aca="false">ROUNDUP(BX335/BQ335,0)</f>
        <v>0</v>
      </c>
      <c r="CB335" s="60" t="n">
        <f aca="false">IF(BR335=1,0,IFERROR(VLOOKUP(BP335,'Gebinde-Kategorie'!$A$5:$M$45,5,0)+0,0))</f>
        <v>8</v>
      </c>
      <c r="CC335" s="60" t="n">
        <f aca="false">IFERROR(IF(OR(BT335=1,BT335=2,BT335=3),N(INDEX(Parameter!$I$5:$I$7,BT335)),0),0)</f>
        <v>0</v>
      </c>
      <c r="CD335" s="59" t="n">
        <f aca="false">IF(AND(Parameter!$B$21="Ja",ISNUMBER(U335),N(V335)&gt;0),IFERROR(N(INDEX(Parameter!$L$5:$L$7,U335))*INDEX(Parameter!$E$5:$E$7,U335)*V335/SUMIFS($V$7:$V$1576,$U$7:$U$1576,U335),0),0)</f>
        <v>0</v>
      </c>
    </row>
    <row r="336" customFormat="false" ht="15" hidden="false" customHeight="false" outlineLevel="0" collapsed="false">
      <c r="A336" s="55" t="s">
        <v>821</v>
      </c>
      <c r="B336" s="55" t="s">
        <v>496</v>
      </c>
      <c r="C336" s="55" t="s">
        <v>160</v>
      </c>
      <c r="D336" s="55" t="s">
        <v>178</v>
      </c>
      <c r="E336" s="55" t="s">
        <v>210</v>
      </c>
      <c r="F336" s="56" t="n">
        <v>4.65</v>
      </c>
      <c r="G336" s="57" t="n">
        <f aca="false">MAX(0,IF(AND(Parameter!$B$21="Ja",ISNUMBER(W336)),W336,IF(Parameter!$B$20="Jahresanfang 2025 + Export",BJ336+BI336,BI336)))</f>
        <v>46</v>
      </c>
      <c r="H336" s="57" t="n">
        <f aca="false">G336*F336</f>
        <v>213.9</v>
      </c>
      <c r="I336" s="57" t="n">
        <f aca="false">BL336*Parameter!$B$18</f>
        <v>127</v>
      </c>
      <c r="J336" s="58" t="n">
        <v>60</v>
      </c>
      <c r="K336" s="59" t="n">
        <v>2.11666666666667</v>
      </c>
      <c r="L336" s="57" t="n">
        <v>7</v>
      </c>
      <c r="M336" s="57" t="n">
        <v>125</v>
      </c>
      <c r="N336" s="60" t="n">
        <v>21</v>
      </c>
      <c r="O336" s="55" t="s">
        <v>465</v>
      </c>
      <c r="P336" s="57" t="n">
        <v>61</v>
      </c>
      <c r="Q336" s="60" t="n">
        <f aca="false">IF(BR336=1,0,IFERROR(VLOOKUP(BP336,'Gebinde-Kategorie'!$A$5:$M$45,13,0)+0,0))</f>
        <v>66</v>
      </c>
      <c r="R336" s="61"/>
      <c r="S336" s="62"/>
      <c r="T336" s="62"/>
      <c r="U336" s="55"/>
      <c r="V336" s="57"/>
      <c r="W336" s="57"/>
      <c r="X336" s="55" t="n">
        <f aca="false">IF(A336="","",IF(AND(Parameter!$B$21="Ja",ISNUMBER(U336)),U336,IF(IFERROR(VLOOKUP(D336,Parameter!$A$35:$C$64,2,0),"Nein")="2+3",IF(ISNUMBER(SEARCH("grosser Artikel",BM336)),2,IFERROR(VLOOKUP(BP336,Parameter!$F$35:$G$64,2,0),2)),IF(OR(IFERROR(VLOOKUP(D336,Parameter!$A$35:$C$64,2,0),"Nein")="Nein",IFERROR(VLOOKUP(D336,Parameter!$A$35:$C$64,2,0),"Nein")=""),"-",VLOOKUP(D336,Parameter!$A$35:$C$64,2,0)))))</f>
        <v>3</v>
      </c>
      <c r="Y336" s="62"/>
      <c r="Z336" s="63"/>
      <c r="AA336" s="57" t="n">
        <f aca="false">AP336</f>
        <v>183</v>
      </c>
      <c r="AB336" s="57" t="n">
        <f aca="false">MAX(AP336,G336)</f>
        <v>183</v>
      </c>
      <c r="AC336" s="64"/>
      <c r="AD336" s="57" t="n">
        <f aca="false">IF(LEFT(Cockpit!$C$5,1)="A",G336,IF(BW336=1,BX336,IF(LEFT(Cockpit!$C$5,1)="B",AH336,MAX(AH336,G336))))</f>
        <v>46</v>
      </c>
      <c r="AE336" s="57" t="n">
        <f aca="false">IF(BR336=1,0,ROUNDUP(AD336/BQ336,0))</f>
        <v>1</v>
      </c>
      <c r="AF336" s="59" t="n">
        <f aca="false">IF(CD336&gt;0,CD336*MAX(1,AD336/V336),IF(BR336=1,IF(AD336&lt;=0,0,BS336*MAX(1,IF(G336&gt;0,AD336/G336,1))),IF(Q336&gt;0,AE336/Q336,0))/MAX(0.1,N(Parameter!$M$21)))</f>
        <v>0.0151515151515152</v>
      </c>
      <c r="AG336" s="57" t="n">
        <f aca="false">AD336*F336</f>
        <v>213.9</v>
      </c>
      <c r="AH336" s="57" t="n">
        <f aca="false">ROUNDUP(MAX(I336/IF(BV336&gt;0,BV336,MAX(0.1,N(Cockpit!$C$6))),BY336)/BQ336,0)*BQ336</f>
        <v>183</v>
      </c>
      <c r="AI336" s="58" t="n">
        <f aca="false">IF(AF336&gt;0,I336/AF336,-1)</f>
        <v>8382</v>
      </c>
      <c r="AJ336" s="58" t="n">
        <f aca="false">IF(AND(OR(BU336="L1",BU336="L23"),AF336&gt;0),SUMIFS($AF$7:$AF$1576,$BU$7:$BU$1576,BU336,$AI$7:$AI$1576,"&gt;"&amp;AI336)+SUMIFS($AF$7:$AF$1576,$BU$7:$BU$1576,BU336,$AI$7:$AI$1576,AI336,$BO$7:$BO$1576,"&lt;="&amp;BO336),"")</f>
        <v>2.86962433701564</v>
      </c>
      <c r="AK336" s="65" t="n">
        <f aca="false">IF(AJ336="",0,MAX(0,MIN(1,(IF(BU336="L1",Parameter!$E$5,Parameter!$E$6+Parameter!$E$7)-(AJ336-AF336))/AF336)))</f>
        <v>1</v>
      </c>
      <c r="AL336" s="57" t="n">
        <f aca="false">IF(LEFT(Cockpit!$I$5,1)="A",G336,IF(BW336=1,BX336,IF(LEFT(Cockpit!$I$5,1)="B",AP336,MAX(AP336,G336))))</f>
        <v>183</v>
      </c>
      <c r="AM336" s="57" t="n">
        <f aca="false">IF(BR336=1,0,ROUNDUP(AL336/BQ336,0))</f>
        <v>3</v>
      </c>
      <c r="AN336" s="59" t="n">
        <f aca="false">IF(CD336&gt;0,CD336*MAX(1,AL336/V336),IF(BR336=1,IF(AL336&lt;=0,0,BS336*MAX(1,IF(G336&gt;0,AL336/G336,1))),IF(Q336&gt;0,AM336/Q336,0))/MAX(0.1,N(Parameter!$M$21)))</f>
        <v>0.0454545454545455</v>
      </c>
      <c r="AO336" s="57" t="n">
        <f aca="false">AL336*F336</f>
        <v>850.95</v>
      </c>
      <c r="AP336" s="57" t="n">
        <f aca="false">ROUNDUP(MAX(I336/IF(BV336&gt;0,BV336,MAX(0.1,N(Cockpit!$I$6))),BY336)/BQ336,0)*BQ336</f>
        <v>183</v>
      </c>
      <c r="AQ336" s="58" t="n">
        <f aca="false">IF(AN336&gt;0,I336/AN336,-1)</f>
        <v>2794</v>
      </c>
      <c r="AR336" s="58" t="n">
        <f aca="false">IF(AND(OR(BU336="L1",BU336="L23"),AN336&gt;0),SUMIFS($AN$7:$AN$1576,$BU$7:$BU$1576,BU336,$AQ$7:$AQ$1576,"&gt;"&amp;AQ336)+SUMIFS($AN$7:$AN$1576,$BU$7:$BU$1576,BU336,$AQ$7:$AQ$1576,AQ336,$BO$7:$BO$1576,"&lt;="&amp;BO336),"")</f>
        <v>14.636584889024</v>
      </c>
      <c r="AS336" s="65" t="n">
        <f aca="false">IF(AR336="",0,MAX(0,MIN(1,(IF(BU336="L1",Parameter!$E$5,Parameter!$E$6+Parameter!$E$7)-(AR336-AN336))/AN336)))</f>
        <v>1</v>
      </c>
      <c r="AT336" s="57" t="n">
        <f aca="false">IF(LEFT(Cockpit!$O$5,1)="A",G336,IF(BW336=1,BX336,IF(LEFT(Cockpit!$O$5,1)="B",AX336,MAX(AX336,G336))))</f>
        <v>183</v>
      </c>
      <c r="AU336" s="57" t="n">
        <f aca="false">IF(BR336=1,0,ROUNDUP(AT336/BQ336,0))</f>
        <v>3</v>
      </c>
      <c r="AV336" s="59" t="n">
        <f aca="false">IF(CD336&gt;0,CD336*MAX(1,AT336/V336),IF(BR336=1,IF(AT336&lt;=0,0,BS336*MAX(1,IF(G336&gt;0,AT336/G336,1))),IF(Q336&gt;0,AU336/Q336,0))/MAX(0.1,N(Parameter!$M$21)))</f>
        <v>0.0454545454545455</v>
      </c>
      <c r="AW336" s="57" t="n">
        <f aca="false">AT336*F336</f>
        <v>850.95</v>
      </c>
      <c r="AX336" s="57" t="n">
        <f aca="false">ROUNDUP(MAX(I336/IF(BV336&gt;0,BV336,MAX(0.1,N(Cockpit!$O$6))),BY336)/BQ336,0)*BQ336</f>
        <v>183</v>
      </c>
      <c r="AY336" s="58" t="n">
        <f aca="false">IF(AV336&gt;0,I336/AV336,-1)</f>
        <v>2794</v>
      </c>
      <c r="AZ336" s="58" t="n">
        <f aca="false">IF(AND(OR(BU336="L1",BU336="L23"),AV336&gt;0),SUMIFS($AV$7:$AV$1576,$BU$7:$BU$1576,BU336,$AY$7:$AY$1576,"&gt;"&amp;AY336)+SUMIFS($AV$7:$AV$1576,$BU$7:$BU$1576,BU336,$AY$7:$AY$1576,AY336,$BO$7:$BO$1576,"&lt;="&amp;BO336),"")</f>
        <v>13.3574473598865</v>
      </c>
      <c r="BA336" s="65" t="n">
        <f aca="false">IF(AZ336="",0,MAX(0,MIN(1,(IF(BU336="L1",Parameter!$E$5,Parameter!$E$6+Parameter!$E$7)-(AZ336-AV336))/AV336)))</f>
        <v>1</v>
      </c>
      <c r="BB336" s="55" t="str">
        <f aca="false">IF(AF336&lt;=0,"",IF(BU336="Aussen","Aussenlager",IF(BU336="-","Nicht im Lift",IF(AK336&gt;=1,"Lift",IF(AK336&lt;=0,"Aussenlager","teilweise")))))</f>
        <v>Lift</v>
      </c>
      <c r="BC336" s="55" t="str">
        <f aca="false">IF(AN336&lt;=0,"",IF(BU336="Aussen","Aussenlager",IF(BU336="-","Nicht im Lift",IF(AS336&gt;=1,"Lift",IF(AS336&lt;=0,"Aussenlager","teilweise")))))</f>
        <v>Lift</v>
      </c>
      <c r="BD336" s="55" t="str">
        <f aca="false">IF(AV336&lt;=0,"",IF(BU336="Aussen","Aussenlager",IF(BU336="-","Nicht im Lift",IF(BA336&gt;=1,"Lift",IF(BA336&lt;=0,"Aussenlager","teilweise")))))</f>
        <v>Lift</v>
      </c>
      <c r="BE336" s="55" t="str">
        <f aca="false">IF(A336="","",IF(BN336=1,"Neu; ","")&amp;IF(AND(BN336=0,BI336&lt;0),"negativer Bestand (Export "&amp;BI336&amp;"); ","")&amp;IF(I336&lt;=0,"Kein Verbrauch; ","")&amp;IF(CD336&gt;0,"Lift "&amp;U336&amp;" lt. Liftbericht (Fach "&amp;V336&amp;" Stk); ",IF(BR336=1,"Lose – Fläche geschätzt; ",""))&amp;IF(G336&gt;AP336,"Überbestand "&amp;ROUND(G336-AP336,0)&amp;" Stk / CHF "&amp;ROUND((G336-AP336)*F336,0)&amp;"; ","")&amp;IF(AND(BW336=1,BX336&lt;BY336),"MAX &lt; MB+LG; ","")&amp;IF(AND(CC336&gt;0,CB336*10&gt;CC336),"zu hoch für Tablar; ","")&amp;IF(AND(BN336=0,OR(BW336=1,Y336&lt;&gt;"",S336&lt;&gt;"",T336&lt;&gt;"",Z336&lt;&gt;"")),"manuell übersteuert; ","")&amp;IF(AND(BR336=0,Q336=0),"Gebinde unbekannt / Stellmass fehlt; ","")&amp;IF(AND(BR336=0,N(T336)&lt;=0,N(P336)&lt;=0),"Menge pro Gebinde fehlt (Ist = 1 Gebinde); ","")&amp;BM336)</f>
        <v/>
      </c>
      <c r="BF336" s="55"/>
      <c r="BG336" s="55"/>
      <c r="BH336" s="62"/>
      <c r="BI336" s="57" t="n">
        <v>46</v>
      </c>
      <c r="BJ336" s="57" t="n">
        <v>63</v>
      </c>
      <c r="BK336" s="56" t="n">
        <v>212.640000000001</v>
      </c>
      <c r="BL336" s="57" t="n">
        <v>127</v>
      </c>
      <c r="BM336" s="55"/>
      <c r="BN336" s="60" t="n">
        <v>0</v>
      </c>
      <c r="BO336" s="60" t="n">
        <v>336</v>
      </c>
      <c r="BP336" s="55" t="str">
        <f aca="false">IF(S336&lt;&gt;"",UPPER(TRIM(S336)),IF(O336="","LOSE",O336))</f>
        <v>S33</v>
      </c>
      <c r="BQ336" s="57" t="n">
        <f aca="false">IF(BP336="LOSE",1,IF(N(T336)&gt;0,T336,IF(N(P336)&gt;0,P336,MAX(1,G336))))</f>
        <v>61</v>
      </c>
      <c r="BR336" s="60" t="n">
        <f aca="false">IF(BP336="LOSE",1,0)</f>
        <v>0</v>
      </c>
      <c r="BS336" s="59" t="n">
        <f aca="false">IF(BR336=0,0,IF(N(R336)&gt;0,R336,IFERROR(VLOOKUP(D336,Parameter!$A$35:$C$64,3,0)+0,0)))</f>
        <v>0</v>
      </c>
      <c r="BT336" s="55" t="n">
        <f aca="false">IF(Y336&lt;&gt;"",Y336,X336)</f>
        <v>3</v>
      </c>
      <c r="BU336" s="55" t="str">
        <f aca="false">IF(BT336=1,"L1",IF(OR(BT336=2,BT336=3),"L23",IF(BT336="Aussen","Aussen","-")))</f>
        <v>L23</v>
      </c>
      <c r="BV336" s="66" t="n">
        <f aca="false">IF(N(Z336)&gt;0,Z336,0)</f>
        <v>0</v>
      </c>
      <c r="BW336" s="60" t="n">
        <f aca="false">IF(ISNUMBER(AC336),1,0)</f>
        <v>0</v>
      </c>
      <c r="BX336" s="57" t="n">
        <f aca="false">N(AC336)</f>
        <v>0</v>
      </c>
      <c r="BY336" s="57" t="n">
        <f aca="false">N(L336)+N(M336)</f>
        <v>132</v>
      </c>
      <c r="BZ336" s="57" t="n">
        <f aca="false">ROUNDUP(G336/BQ336,0)</f>
        <v>1</v>
      </c>
      <c r="CA336" s="57" t="n">
        <f aca="false">ROUNDUP(BX336/BQ336,0)</f>
        <v>0</v>
      </c>
      <c r="CB336" s="60" t="n">
        <f aca="false">IF(BR336=1,0,IFERROR(VLOOKUP(BP336,'Gebinde-Kategorie'!$A$5:$M$45,5,0)+0,0))</f>
        <v>8</v>
      </c>
      <c r="CC336" s="60" t="n">
        <f aca="false">IFERROR(IF(OR(BT336=1,BT336=2,BT336=3),N(INDEX(Parameter!$I$5:$I$7,BT336)),0),0)</f>
        <v>0</v>
      </c>
      <c r="CD336" s="59" t="n">
        <f aca="false">IF(AND(Parameter!$B$21="Ja",ISNUMBER(U336),N(V336)&gt;0),IFERROR(N(INDEX(Parameter!$L$5:$L$7,U336))*INDEX(Parameter!$E$5:$E$7,U336)*V336/SUMIFS($V$7:$V$1576,$U$7:$U$1576,U336),0),0)</f>
        <v>0</v>
      </c>
    </row>
    <row r="337" customFormat="false" ht="15" hidden="false" customHeight="false" outlineLevel="0" collapsed="false">
      <c r="A337" s="55" t="s">
        <v>822</v>
      </c>
      <c r="B337" s="55" t="s">
        <v>752</v>
      </c>
      <c r="C337" s="55" t="s">
        <v>160</v>
      </c>
      <c r="D337" s="55" t="s">
        <v>178</v>
      </c>
      <c r="E337" s="55" t="s">
        <v>210</v>
      </c>
      <c r="F337" s="56" t="n">
        <v>8.48</v>
      </c>
      <c r="G337" s="57" t="n">
        <f aca="false">MAX(0,IF(AND(Parameter!$B$21="Ja",ISNUMBER(W337)),W337,IF(Parameter!$B$20="Jahresanfang 2025 + Export",BJ337+BI337,BI337)))</f>
        <v>25</v>
      </c>
      <c r="H337" s="57" t="n">
        <f aca="false">G337*F337</f>
        <v>212</v>
      </c>
      <c r="I337" s="57" t="n">
        <f aca="false">BL337*Parameter!$B$18</f>
        <v>0</v>
      </c>
      <c r="J337" s="58" t="n">
        <v>0</v>
      </c>
      <c r="K337" s="59" t="n">
        <v>0</v>
      </c>
      <c r="L337" s="57" t="n">
        <v>0</v>
      </c>
      <c r="M337" s="57" t="n">
        <v>1</v>
      </c>
      <c r="N337" s="60" t="n">
        <v>9999</v>
      </c>
      <c r="O337" s="55" t="s">
        <v>163</v>
      </c>
      <c r="P337" s="57"/>
      <c r="Q337" s="60" t="n">
        <f aca="false">IF(BR337=1,0,IFERROR(VLOOKUP(BP337,'Gebinde-Kategorie'!$A$5:$M$45,13,0)+0,0))</f>
        <v>0</v>
      </c>
      <c r="R337" s="61"/>
      <c r="S337" s="62"/>
      <c r="T337" s="62"/>
      <c r="U337" s="55"/>
      <c r="V337" s="57"/>
      <c r="W337" s="57"/>
      <c r="X337" s="55" t="n">
        <f aca="false">IF(A337="","",IF(AND(Parameter!$B$21="Ja",ISNUMBER(U337)),U337,IF(IFERROR(VLOOKUP(D337,Parameter!$A$35:$C$64,2,0),"Nein")="2+3",IF(ISNUMBER(SEARCH("grosser Artikel",BM337)),2,IFERROR(VLOOKUP(BP337,Parameter!$F$35:$G$64,2,0),2)),IF(OR(IFERROR(VLOOKUP(D337,Parameter!$A$35:$C$64,2,0),"Nein")="Nein",IFERROR(VLOOKUP(D337,Parameter!$A$35:$C$64,2,0),"Nein")=""),"-",VLOOKUP(D337,Parameter!$A$35:$C$64,2,0)))))</f>
        <v>2</v>
      </c>
      <c r="Y337" s="62"/>
      <c r="Z337" s="63"/>
      <c r="AA337" s="57" t="n">
        <f aca="false">AP337</f>
        <v>1</v>
      </c>
      <c r="AB337" s="57" t="n">
        <f aca="false">MAX(AP337,G337)</f>
        <v>25</v>
      </c>
      <c r="AC337" s="64"/>
      <c r="AD337" s="57" t="n">
        <f aca="false">IF(LEFT(Cockpit!$C$5,1)="A",G337,IF(BW337=1,BX337,IF(LEFT(Cockpit!$C$5,1)="B",AH337,MAX(AH337,G337))))</f>
        <v>25</v>
      </c>
      <c r="AE337" s="57" t="n">
        <f aca="false">IF(BR337=1,0,ROUNDUP(AD337/BQ337,0))</f>
        <v>0</v>
      </c>
      <c r="AF337" s="59" t="n">
        <f aca="false">IF(CD337&gt;0,CD337*MAX(1,AD337/V337),IF(BR337=1,IF(AD337&lt;=0,0,BS337*MAX(1,IF(G337&gt;0,AD337/G337,1))),IF(Q337&gt;0,AE337/Q337,0))/MAX(0.1,N(Parameter!$M$21)))</f>
        <v>0.03</v>
      </c>
      <c r="AG337" s="57" t="n">
        <f aca="false">AD337*F337</f>
        <v>212</v>
      </c>
      <c r="AH337" s="57" t="n">
        <f aca="false">ROUNDUP(MAX(I337/IF(BV337&gt;0,BV337,MAX(0.1,N(Cockpit!$C$6))),BY337)/BQ337,0)*BQ337</f>
        <v>1</v>
      </c>
      <c r="AI337" s="58" t="n">
        <f aca="false">IF(AF337&gt;0,I337/AF337,-1)</f>
        <v>0</v>
      </c>
      <c r="AJ337" s="58" t="n">
        <f aca="false">IF(AND(OR(BU337="L1",BU337="L23"),AF337&gt;0),SUMIFS($AF$7:$AF$1576,$BU$7:$BU$1576,BU337,$AI$7:$AI$1576,"&gt;"&amp;AI337)+SUMIFS($AF$7:$AF$1576,$BU$7:$BU$1576,BU337,$AI$7:$AI$1576,AI337,$BO$7:$BO$1576,"&lt;="&amp;BO337),"")</f>
        <v>41.0185645755211</v>
      </c>
      <c r="AK337" s="65" t="n">
        <f aca="false">IF(AJ337="",0,MAX(0,MIN(1,(IF(BU337="L1",Parameter!$E$5,Parameter!$E$6+Parameter!$E$7)-(AJ337-AF337))/AF337)))</f>
        <v>1</v>
      </c>
      <c r="AL337" s="57" t="n">
        <f aca="false">IF(LEFT(Cockpit!$I$5,1)="A",G337,IF(BW337=1,BX337,IF(LEFT(Cockpit!$I$5,1)="B",AP337,MAX(AP337,G337))))</f>
        <v>25</v>
      </c>
      <c r="AM337" s="57" t="n">
        <f aca="false">IF(BR337=1,0,ROUNDUP(AL337/BQ337,0))</f>
        <v>0</v>
      </c>
      <c r="AN337" s="59" t="n">
        <f aca="false">IF(CD337&gt;0,CD337*MAX(1,AL337/V337),IF(BR337=1,IF(AL337&lt;=0,0,BS337*MAX(1,IF(G337&gt;0,AL337/G337,1))),IF(Q337&gt;0,AM337/Q337,0))/MAX(0.1,N(Parameter!$M$21)))</f>
        <v>0.03</v>
      </c>
      <c r="AO337" s="57" t="n">
        <f aca="false">AL337*F337</f>
        <v>212</v>
      </c>
      <c r="AP337" s="57" t="n">
        <f aca="false">ROUNDUP(MAX(I337/IF(BV337&gt;0,BV337,MAX(0.1,N(Cockpit!$I$6))),BY337)/BQ337,0)*BQ337</f>
        <v>1</v>
      </c>
      <c r="AQ337" s="58" t="n">
        <f aca="false">IF(AN337&gt;0,I337/AN337,-1)</f>
        <v>0</v>
      </c>
      <c r="AR337" s="58" t="n">
        <f aca="false">IF(AND(OR(BU337="L1",BU337="L23"),AN337&gt;0),SUMIFS($AN$7:$AN$1576,$BU$7:$BU$1576,BU337,$AQ$7:$AQ$1576,"&gt;"&amp;AQ337)+SUMIFS($AN$7:$AN$1576,$BU$7:$BU$1576,BU337,$AQ$7:$AQ$1576,AQ337,$BO$7:$BO$1576,"&lt;="&amp;BO337),"")</f>
        <v>123.892770325311</v>
      </c>
      <c r="AS337" s="65" t="n">
        <f aca="false">IF(AR337="",0,MAX(0,MIN(1,(IF(BU337="L1",Parameter!$E$5,Parameter!$E$6+Parameter!$E$7)-(AR337-AN337))/AN337)))</f>
        <v>0</v>
      </c>
      <c r="AT337" s="57" t="n">
        <f aca="false">IF(LEFT(Cockpit!$O$5,1)="A",G337,IF(BW337=1,BX337,IF(LEFT(Cockpit!$O$5,1)="B",AX337,MAX(AX337,G337))))</f>
        <v>25</v>
      </c>
      <c r="AU337" s="57" t="n">
        <f aca="false">IF(BR337=1,0,ROUNDUP(AT337/BQ337,0))</f>
        <v>0</v>
      </c>
      <c r="AV337" s="59" t="n">
        <f aca="false">IF(CD337&gt;0,CD337*MAX(1,AT337/V337),IF(BR337=1,IF(AT337&lt;=0,0,BS337*MAX(1,IF(G337&gt;0,AT337/G337,1))),IF(Q337&gt;0,AU337/Q337,0))/MAX(0.1,N(Parameter!$M$21)))</f>
        <v>0.03</v>
      </c>
      <c r="AW337" s="57" t="n">
        <f aca="false">AT337*F337</f>
        <v>212</v>
      </c>
      <c r="AX337" s="57" t="n">
        <f aca="false">ROUNDUP(MAX(I337/IF(BV337&gt;0,BV337,MAX(0.1,N(Cockpit!$O$6))),BY337)/BQ337,0)*BQ337</f>
        <v>1</v>
      </c>
      <c r="AY337" s="58" t="n">
        <f aca="false">IF(AV337&gt;0,I337/AV337,-1)</f>
        <v>0</v>
      </c>
      <c r="AZ337" s="58" t="n">
        <f aca="false">IF(AND(OR(BU337="L1",BU337="L23"),AV337&gt;0),SUMIFS($AV$7:$AV$1576,$BU$7:$BU$1576,BU337,$AY$7:$AY$1576,"&gt;"&amp;AY337)+SUMIFS($AV$7:$AV$1576,$BU$7:$BU$1576,BU337,$AY$7:$AY$1576,AY337,$BO$7:$BO$1576,"&lt;="&amp;BO337),"")</f>
        <v>113.952320774861</v>
      </c>
      <c r="BA337" s="65" t="n">
        <f aca="false">IF(AZ337="",0,MAX(0,MIN(1,(IF(BU337="L1",Parameter!$E$5,Parameter!$E$6+Parameter!$E$7)-(AZ337-AV337))/AV337)))</f>
        <v>0</v>
      </c>
      <c r="BB337" s="55" t="str">
        <f aca="false">IF(AF337&lt;=0,"",IF(BU337="Aussen","Aussenlager",IF(BU337="-","Nicht im Lift",IF(AK337&gt;=1,"Lift",IF(AK337&lt;=0,"Aussenlager","teilweise")))))</f>
        <v>Lift</v>
      </c>
      <c r="BC337" s="55" t="str">
        <f aca="false">IF(AN337&lt;=0,"",IF(BU337="Aussen","Aussenlager",IF(BU337="-","Nicht im Lift",IF(AS337&gt;=1,"Lift",IF(AS337&lt;=0,"Aussenlager","teilweise")))))</f>
        <v>Aussenlager</v>
      </c>
      <c r="BD337" s="55" t="str">
        <f aca="false">IF(AV337&lt;=0,"",IF(BU337="Aussen","Aussenlager",IF(BU337="-","Nicht im Lift",IF(BA337&gt;=1,"Lift",IF(BA337&lt;=0,"Aussenlager","teilweise")))))</f>
        <v>Aussenlager</v>
      </c>
      <c r="BE337" s="55" t="str">
        <f aca="false">IF(A337="","",IF(BN337=1,"Neu; ","")&amp;IF(AND(BN337=0,BI337&lt;0),"negativer Bestand (Export "&amp;BI337&amp;"); ","")&amp;IF(I337&lt;=0,"Kein Verbrauch; ","")&amp;IF(CD337&gt;0,"Lift "&amp;U337&amp;" lt. Liftbericht (Fach "&amp;V337&amp;" Stk); ",IF(BR337=1,"Lose – Fläche geschätzt; ",""))&amp;IF(G337&gt;AP337,"Überbestand "&amp;ROUND(G337-AP337,0)&amp;" Stk / CHF "&amp;ROUND((G337-AP337)*F337,0)&amp;"; ","")&amp;IF(AND(BW337=1,BX337&lt;BY337),"MAX &lt; MB+LG; ","")&amp;IF(AND(CC337&gt;0,CB337*10&gt;CC337),"zu hoch für Tablar; ","")&amp;IF(AND(BN337=0,OR(BW337=1,Y337&lt;&gt;"",S337&lt;&gt;"",T337&lt;&gt;"",Z337&lt;&gt;"")),"manuell übersteuert; ","")&amp;IF(AND(BR337=0,Q337=0),"Gebinde unbekannt / Stellmass fehlt; ","")&amp;IF(AND(BR337=0,N(T337)&lt;=0,N(P337)&lt;=0),"Menge pro Gebinde fehlt (Ist = 1 Gebinde); ","")&amp;BM337)</f>
        <v>Kein Verbrauch; Lose – Fläche geschätzt; Überbestand 24 Stk / CHF 204; </v>
      </c>
      <c r="BF337" s="55"/>
      <c r="BG337" s="55"/>
      <c r="BH337" s="62"/>
      <c r="BI337" s="57" t="n">
        <v>25</v>
      </c>
      <c r="BJ337" s="57" t="n">
        <v>0</v>
      </c>
      <c r="BK337" s="56" t="n">
        <v>212</v>
      </c>
      <c r="BL337" s="57" t="n">
        <v>0</v>
      </c>
      <c r="BM337" s="55"/>
      <c r="BN337" s="60" t="n">
        <v>0</v>
      </c>
      <c r="BO337" s="60" t="n">
        <v>337</v>
      </c>
      <c r="BP337" s="55" t="str">
        <f aca="false">IF(S337&lt;&gt;"",UPPER(TRIM(S337)),IF(O337="","LOSE",O337))</f>
        <v>LOSE</v>
      </c>
      <c r="BQ337" s="57" t="n">
        <f aca="false">IF(BP337="LOSE",1,IF(N(T337)&gt;0,T337,IF(N(P337)&gt;0,P337,MAX(1,G337))))</f>
        <v>1</v>
      </c>
      <c r="BR337" s="60" t="n">
        <f aca="false">IF(BP337="LOSE",1,0)</f>
        <v>1</v>
      </c>
      <c r="BS337" s="59" t="n">
        <f aca="false">IF(BR337=0,0,IF(N(R337)&gt;0,R337,IFERROR(VLOOKUP(D337,Parameter!$A$35:$C$64,3,0)+0,0)))</f>
        <v>0.03</v>
      </c>
      <c r="BT337" s="55" t="n">
        <f aca="false">IF(Y337&lt;&gt;"",Y337,X337)</f>
        <v>2</v>
      </c>
      <c r="BU337" s="55" t="str">
        <f aca="false">IF(BT337=1,"L1",IF(OR(BT337=2,BT337=3),"L23",IF(BT337="Aussen","Aussen","-")))</f>
        <v>L23</v>
      </c>
      <c r="BV337" s="66" t="n">
        <f aca="false">IF(N(Z337)&gt;0,Z337,0)</f>
        <v>0</v>
      </c>
      <c r="BW337" s="60" t="n">
        <f aca="false">IF(ISNUMBER(AC337),1,0)</f>
        <v>0</v>
      </c>
      <c r="BX337" s="57" t="n">
        <f aca="false">N(AC337)</f>
        <v>0</v>
      </c>
      <c r="BY337" s="57" t="n">
        <f aca="false">N(L337)+N(M337)</f>
        <v>1</v>
      </c>
      <c r="BZ337" s="57" t="n">
        <f aca="false">ROUNDUP(G337/BQ337,0)</f>
        <v>25</v>
      </c>
      <c r="CA337" s="57" t="n">
        <f aca="false">ROUNDUP(BX337/BQ337,0)</f>
        <v>0</v>
      </c>
      <c r="CB337" s="60" t="n">
        <f aca="false">IF(BR337=1,0,IFERROR(VLOOKUP(BP337,'Gebinde-Kategorie'!$A$5:$M$45,5,0)+0,0))</f>
        <v>0</v>
      </c>
      <c r="CC337" s="60" t="n">
        <f aca="false">IFERROR(IF(OR(BT337=1,BT337=2,BT337=3),N(INDEX(Parameter!$I$5:$I$7,BT337)),0),0)</f>
        <v>0</v>
      </c>
      <c r="CD337" s="59" t="n">
        <f aca="false">IF(AND(Parameter!$B$21="Ja",ISNUMBER(U337),N(V337)&gt;0),IFERROR(N(INDEX(Parameter!$L$5:$L$7,U337))*INDEX(Parameter!$E$5:$E$7,U337)*V337/SUMIFS($V$7:$V$1576,$U$7:$U$1576,U337),0),0)</f>
        <v>0</v>
      </c>
    </row>
    <row r="338" customFormat="false" ht="15" hidden="false" customHeight="false" outlineLevel="0" collapsed="false">
      <c r="A338" s="55" t="s">
        <v>823</v>
      </c>
      <c r="B338" s="55" t="s">
        <v>824</v>
      </c>
      <c r="C338" s="55" t="s">
        <v>160</v>
      </c>
      <c r="D338" s="55" t="s">
        <v>178</v>
      </c>
      <c r="E338" s="55" t="s">
        <v>210</v>
      </c>
      <c r="F338" s="56" t="n">
        <v>6.13</v>
      </c>
      <c r="G338" s="57" t="n">
        <f aca="false">MAX(0,IF(AND(Parameter!$B$21="Ja",ISNUMBER(W338)),W338,IF(Parameter!$B$20="Jahresanfang 2025 + Export",BJ338+BI338,BI338)))</f>
        <v>35</v>
      </c>
      <c r="H338" s="57" t="n">
        <f aca="false">G338*F338</f>
        <v>214.55</v>
      </c>
      <c r="I338" s="57" t="n">
        <f aca="false">BL338*Parameter!$B$18</f>
        <v>0</v>
      </c>
      <c r="J338" s="58" t="n">
        <v>5.5</v>
      </c>
      <c r="K338" s="59" t="n">
        <v>0</v>
      </c>
      <c r="L338" s="57" t="n">
        <v>0</v>
      </c>
      <c r="M338" s="57" t="n">
        <v>1</v>
      </c>
      <c r="N338" s="60" t="n">
        <v>14</v>
      </c>
      <c r="O338" s="55" t="s">
        <v>293</v>
      </c>
      <c r="P338" s="57" t="n">
        <v>15</v>
      </c>
      <c r="Q338" s="60" t="n">
        <f aca="false">IF(BR338=1,0,IFERROR(VLOOKUP(BP338,'Gebinde-Kategorie'!$A$5:$M$45,13,0)+0,0))</f>
        <v>26</v>
      </c>
      <c r="R338" s="61"/>
      <c r="S338" s="62"/>
      <c r="T338" s="62"/>
      <c r="U338" s="55"/>
      <c r="V338" s="57"/>
      <c r="W338" s="57"/>
      <c r="X338" s="55" t="n">
        <f aca="false">IF(A338="","",IF(AND(Parameter!$B$21="Ja",ISNUMBER(U338)),U338,IF(IFERROR(VLOOKUP(D338,Parameter!$A$35:$C$64,2,0),"Nein")="2+3",IF(ISNUMBER(SEARCH("grosser Artikel",BM338)),2,IFERROR(VLOOKUP(BP338,Parameter!$F$35:$G$64,2,0),2)),IF(OR(IFERROR(VLOOKUP(D338,Parameter!$A$35:$C$64,2,0),"Nein")="Nein",IFERROR(VLOOKUP(D338,Parameter!$A$35:$C$64,2,0),"Nein")=""),"-",VLOOKUP(D338,Parameter!$A$35:$C$64,2,0)))))</f>
        <v>3</v>
      </c>
      <c r="Y338" s="62"/>
      <c r="Z338" s="63"/>
      <c r="AA338" s="57" t="n">
        <f aca="false">AP338</f>
        <v>15</v>
      </c>
      <c r="AB338" s="57" t="n">
        <f aca="false">MAX(AP338,G338)</f>
        <v>35</v>
      </c>
      <c r="AC338" s="64"/>
      <c r="AD338" s="57" t="n">
        <f aca="false">IF(LEFT(Cockpit!$C$5,1)="A",G338,IF(BW338=1,BX338,IF(LEFT(Cockpit!$C$5,1)="B",AH338,MAX(AH338,G338))))</f>
        <v>35</v>
      </c>
      <c r="AE338" s="57" t="n">
        <f aca="false">IF(BR338=1,0,ROUNDUP(AD338/BQ338,0))</f>
        <v>3</v>
      </c>
      <c r="AF338" s="59" t="n">
        <f aca="false">IF(CD338&gt;0,CD338*MAX(1,AD338/V338),IF(BR338=1,IF(AD338&lt;=0,0,BS338*MAX(1,IF(G338&gt;0,AD338/G338,1))),IF(Q338&gt;0,AE338/Q338,0))/MAX(0.1,N(Parameter!$M$21)))</f>
        <v>0.115384615384615</v>
      </c>
      <c r="AG338" s="57" t="n">
        <f aca="false">AD338*F338</f>
        <v>214.55</v>
      </c>
      <c r="AH338" s="57" t="n">
        <f aca="false">ROUNDUP(MAX(I338/IF(BV338&gt;0,BV338,MAX(0.1,N(Cockpit!$C$6))),BY338)/BQ338,0)*BQ338</f>
        <v>15</v>
      </c>
      <c r="AI338" s="58" t="n">
        <f aca="false">IF(AF338&gt;0,I338/AF338,-1)</f>
        <v>0</v>
      </c>
      <c r="AJ338" s="58" t="n">
        <f aca="false">IF(AND(OR(BU338="L1",BU338="L23"),AF338&gt;0),SUMIFS($AF$7:$AF$1576,$BU$7:$BU$1576,BU338,$AI$7:$AI$1576,"&gt;"&amp;AI338)+SUMIFS($AF$7:$AF$1576,$BU$7:$BU$1576,BU338,$AI$7:$AI$1576,AI338,$BO$7:$BO$1576,"&lt;="&amp;BO338),"")</f>
        <v>41.1339491909057</v>
      </c>
      <c r="AK338" s="65" t="n">
        <f aca="false">IF(AJ338="",0,MAX(0,MIN(1,(IF(BU338="L1",Parameter!$E$5,Parameter!$E$6+Parameter!$E$7)-(AJ338-AF338))/AF338)))</f>
        <v>1</v>
      </c>
      <c r="AL338" s="57" t="n">
        <f aca="false">IF(LEFT(Cockpit!$I$5,1)="A",G338,IF(BW338=1,BX338,IF(LEFT(Cockpit!$I$5,1)="B",AP338,MAX(AP338,G338))))</f>
        <v>35</v>
      </c>
      <c r="AM338" s="57" t="n">
        <f aca="false">IF(BR338=1,0,ROUNDUP(AL338/BQ338,0))</f>
        <v>3</v>
      </c>
      <c r="AN338" s="59" t="n">
        <f aca="false">IF(CD338&gt;0,CD338*MAX(1,AL338/V338),IF(BR338=1,IF(AL338&lt;=0,0,BS338*MAX(1,IF(G338&gt;0,AL338/G338,1))),IF(Q338&gt;0,AM338/Q338,0))/MAX(0.1,N(Parameter!$M$21)))</f>
        <v>0.115384615384615</v>
      </c>
      <c r="AO338" s="57" t="n">
        <f aca="false">AL338*F338</f>
        <v>214.55</v>
      </c>
      <c r="AP338" s="57" t="n">
        <f aca="false">ROUNDUP(MAX(I338/IF(BV338&gt;0,BV338,MAX(0.1,N(Cockpit!$I$6))),BY338)/BQ338,0)*BQ338</f>
        <v>15</v>
      </c>
      <c r="AQ338" s="58" t="n">
        <f aca="false">IF(AN338&gt;0,I338/AN338,-1)</f>
        <v>0</v>
      </c>
      <c r="AR338" s="58" t="n">
        <f aca="false">IF(AND(OR(BU338="L1",BU338="L23"),AN338&gt;0),SUMIFS($AN$7:$AN$1576,$BU$7:$BU$1576,BU338,$AQ$7:$AQ$1576,"&gt;"&amp;AQ338)+SUMIFS($AN$7:$AN$1576,$BU$7:$BU$1576,BU338,$AQ$7:$AQ$1576,AQ338,$BO$7:$BO$1576,"&lt;="&amp;BO338),"")</f>
        <v>124.008154940695</v>
      </c>
      <c r="AS338" s="65" t="n">
        <f aca="false">IF(AR338="",0,MAX(0,MIN(1,(IF(BU338="L1",Parameter!$E$5,Parameter!$E$6+Parameter!$E$7)-(AR338-AN338))/AN338)))</f>
        <v>0</v>
      </c>
      <c r="AT338" s="57" t="n">
        <f aca="false">IF(LEFT(Cockpit!$O$5,1)="A",G338,IF(BW338=1,BX338,IF(LEFT(Cockpit!$O$5,1)="B",AX338,MAX(AX338,G338))))</f>
        <v>35</v>
      </c>
      <c r="AU338" s="57" t="n">
        <f aca="false">IF(BR338=1,0,ROUNDUP(AT338/BQ338,0))</f>
        <v>3</v>
      </c>
      <c r="AV338" s="59" t="n">
        <f aca="false">IF(CD338&gt;0,CD338*MAX(1,AT338/V338),IF(BR338=1,IF(AT338&lt;=0,0,BS338*MAX(1,IF(G338&gt;0,AT338/G338,1))),IF(Q338&gt;0,AU338/Q338,0))/MAX(0.1,N(Parameter!$M$21)))</f>
        <v>0.115384615384615</v>
      </c>
      <c r="AW338" s="57" t="n">
        <f aca="false">AT338*F338</f>
        <v>214.55</v>
      </c>
      <c r="AX338" s="57" t="n">
        <f aca="false">ROUNDUP(MAX(I338/IF(BV338&gt;0,BV338,MAX(0.1,N(Cockpit!$O$6))),BY338)/BQ338,0)*BQ338</f>
        <v>15</v>
      </c>
      <c r="AY338" s="58" t="n">
        <f aca="false">IF(AV338&gt;0,I338/AV338,-1)</f>
        <v>0</v>
      </c>
      <c r="AZ338" s="58" t="n">
        <f aca="false">IF(AND(OR(BU338="L1",BU338="L23"),AV338&gt;0),SUMIFS($AV$7:$AV$1576,$BU$7:$BU$1576,BU338,$AY$7:$AY$1576,"&gt;"&amp;AY338)+SUMIFS($AV$7:$AV$1576,$BU$7:$BU$1576,BU338,$AY$7:$AY$1576,AY338,$BO$7:$BO$1576,"&lt;="&amp;BO338),"")</f>
        <v>114.067705390246</v>
      </c>
      <c r="BA338" s="65" t="n">
        <f aca="false">IF(AZ338="",0,MAX(0,MIN(1,(IF(BU338="L1",Parameter!$E$5,Parameter!$E$6+Parameter!$E$7)-(AZ338-AV338))/AV338)))</f>
        <v>0</v>
      </c>
      <c r="BB338" s="55" t="str">
        <f aca="false">IF(AF338&lt;=0,"",IF(BU338="Aussen","Aussenlager",IF(BU338="-","Nicht im Lift",IF(AK338&gt;=1,"Lift",IF(AK338&lt;=0,"Aussenlager","teilweise")))))</f>
        <v>Lift</v>
      </c>
      <c r="BC338" s="55" t="str">
        <f aca="false">IF(AN338&lt;=0,"",IF(BU338="Aussen","Aussenlager",IF(BU338="-","Nicht im Lift",IF(AS338&gt;=1,"Lift",IF(AS338&lt;=0,"Aussenlager","teilweise")))))</f>
        <v>Aussenlager</v>
      </c>
      <c r="BD338" s="55" t="str">
        <f aca="false">IF(AV338&lt;=0,"",IF(BU338="Aussen","Aussenlager",IF(BU338="-","Nicht im Lift",IF(BA338&gt;=1,"Lift",IF(BA338&lt;=0,"Aussenlager","teilweise")))))</f>
        <v>Aussenlager</v>
      </c>
      <c r="BE338" s="55" t="str">
        <f aca="false">IF(A338="","",IF(BN338=1,"Neu; ","")&amp;IF(AND(BN338=0,BI338&lt;0),"negativer Bestand (Export "&amp;BI338&amp;"); ","")&amp;IF(I338&lt;=0,"Kein Verbrauch; ","")&amp;IF(CD338&gt;0,"Lift "&amp;U338&amp;" lt. Liftbericht (Fach "&amp;V338&amp;" Stk); ",IF(BR338=1,"Lose – Fläche geschätzt; ",""))&amp;IF(G338&gt;AP338,"Überbestand "&amp;ROUND(G338-AP338,0)&amp;" Stk / CHF "&amp;ROUND((G338-AP338)*F338,0)&amp;"; ","")&amp;IF(AND(BW338=1,BX338&lt;BY338),"MAX &lt; MB+LG; ","")&amp;IF(AND(CC338&gt;0,CB338*10&gt;CC338),"zu hoch für Tablar; ","")&amp;IF(AND(BN338=0,OR(BW338=1,Y338&lt;&gt;"",S338&lt;&gt;"",T338&lt;&gt;"",Z338&lt;&gt;"")),"manuell übersteuert; ","")&amp;IF(AND(BR338=0,Q338=0),"Gebinde unbekannt / Stellmass fehlt; ","")&amp;IF(AND(BR338=0,N(T338)&lt;=0,N(P338)&lt;=0),"Menge pro Gebinde fehlt (Ist = 1 Gebinde); ","")&amp;BM338)</f>
        <v>Kein Verbrauch; Überbestand 20 Stk / CHF 123; </v>
      </c>
      <c r="BF338" s="55"/>
      <c r="BG338" s="55"/>
      <c r="BH338" s="62"/>
      <c r="BI338" s="57" t="n">
        <v>35</v>
      </c>
      <c r="BJ338" s="57" t="n">
        <v>9</v>
      </c>
      <c r="BK338" s="56" t="n">
        <v>204.92</v>
      </c>
      <c r="BL338" s="57" t="n">
        <v>0</v>
      </c>
      <c r="BM338" s="55"/>
      <c r="BN338" s="60" t="n">
        <v>0</v>
      </c>
      <c r="BO338" s="60" t="n">
        <v>338</v>
      </c>
      <c r="BP338" s="55" t="str">
        <f aca="false">IF(S338&lt;&gt;"",UPPER(TRIM(S338)),IF(O338="","LOSE",O338))</f>
        <v>S51</v>
      </c>
      <c r="BQ338" s="57" t="n">
        <f aca="false">IF(BP338="LOSE",1,IF(N(T338)&gt;0,T338,IF(N(P338)&gt;0,P338,MAX(1,G338))))</f>
        <v>15</v>
      </c>
      <c r="BR338" s="60" t="n">
        <f aca="false">IF(BP338="LOSE",1,0)</f>
        <v>0</v>
      </c>
      <c r="BS338" s="59" t="n">
        <f aca="false">IF(BR338=0,0,IF(N(R338)&gt;0,R338,IFERROR(VLOOKUP(D338,Parameter!$A$35:$C$64,3,0)+0,0)))</f>
        <v>0</v>
      </c>
      <c r="BT338" s="55" t="n">
        <f aca="false">IF(Y338&lt;&gt;"",Y338,X338)</f>
        <v>3</v>
      </c>
      <c r="BU338" s="55" t="str">
        <f aca="false">IF(BT338=1,"L1",IF(OR(BT338=2,BT338=3),"L23",IF(BT338="Aussen","Aussen","-")))</f>
        <v>L23</v>
      </c>
      <c r="BV338" s="66" t="n">
        <f aca="false">IF(N(Z338)&gt;0,Z338,0)</f>
        <v>0</v>
      </c>
      <c r="BW338" s="60" t="n">
        <f aca="false">IF(ISNUMBER(AC338),1,0)</f>
        <v>0</v>
      </c>
      <c r="BX338" s="57" t="n">
        <f aca="false">N(AC338)</f>
        <v>0</v>
      </c>
      <c r="BY338" s="57" t="n">
        <f aca="false">N(L338)+N(M338)</f>
        <v>1</v>
      </c>
      <c r="BZ338" s="57" t="n">
        <f aca="false">ROUNDUP(G338/BQ338,0)</f>
        <v>3</v>
      </c>
      <c r="CA338" s="57" t="n">
        <f aca="false">ROUNDUP(BX338/BQ338,0)</f>
        <v>0</v>
      </c>
      <c r="CB338" s="60" t="n">
        <f aca="false">IF(BR338=1,0,IFERROR(VLOOKUP(BP338,'Gebinde-Kategorie'!$A$5:$M$45,5,0)+0,0))</f>
        <v>11</v>
      </c>
      <c r="CC338" s="60" t="n">
        <f aca="false">IFERROR(IF(OR(BT338=1,BT338=2,BT338=3),N(INDEX(Parameter!$I$5:$I$7,BT338)),0),0)</f>
        <v>0</v>
      </c>
      <c r="CD338" s="59" t="n">
        <f aca="false">IF(AND(Parameter!$B$21="Ja",ISNUMBER(U338),N(V338)&gt;0),IFERROR(N(INDEX(Parameter!$L$5:$L$7,U338))*INDEX(Parameter!$E$5:$E$7,U338)*V338/SUMIFS($V$7:$V$1576,$U$7:$U$1576,U338),0),0)</f>
        <v>0</v>
      </c>
    </row>
    <row r="339" customFormat="false" ht="15" hidden="false" customHeight="false" outlineLevel="0" collapsed="false">
      <c r="A339" s="55" t="s">
        <v>825</v>
      </c>
      <c r="B339" s="55" t="s">
        <v>677</v>
      </c>
      <c r="C339" s="55" t="s">
        <v>160</v>
      </c>
      <c r="D339" s="55" t="s">
        <v>178</v>
      </c>
      <c r="E339" s="55" t="s">
        <v>210</v>
      </c>
      <c r="F339" s="56" t="n">
        <v>21.28</v>
      </c>
      <c r="G339" s="57" t="n">
        <f aca="false">MAX(0,IF(AND(Parameter!$B$21="Ja",ISNUMBER(W339)),W339,IF(Parameter!$B$20="Jahresanfang 2025 + Export",BJ339+BI339,BI339)))</f>
        <v>11</v>
      </c>
      <c r="H339" s="57" t="n">
        <f aca="false">G339*F339</f>
        <v>234.08</v>
      </c>
      <c r="I339" s="57" t="n">
        <f aca="false">BL339*Parameter!$B$18</f>
        <v>26</v>
      </c>
      <c r="J339" s="58" t="n">
        <v>13</v>
      </c>
      <c r="K339" s="59" t="n">
        <v>2</v>
      </c>
      <c r="L339" s="57" t="n">
        <v>2</v>
      </c>
      <c r="M339" s="57" t="n">
        <v>25</v>
      </c>
      <c r="N339" s="60" t="n">
        <v>35</v>
      </c>
      <c r="O339" s="55" t="s">
        <v>225</v>
      </c>
      <c r="P339" s="57" t="n">
        <v>17</v>
      </c>
      <c r="Q339" s="60" t="n">
        <f aca="false">IF(BR339=1,0,IFERROR(VLOOKUP(BP339,'Gebinde-Kategorie'!$A$5:$M$45,13,0)+0,0))</f>
        <v>26</v>
      </c>
      <c r="R339" s="61"/>
      <c r="S339" s="62"/>
      <c r="T339" s="62"/>
      <c r="U339" s="55"/>
      <c r="V339" s="57"/>
      <c r="W339" s="57"/>
      <c r="X339" s="55" t="n">
        <f aca="false">IF(A339="","",IF(AND(Parameter!$B$21="Ja",ISNUMBER(U339)),U339,IF(IFERROR(VLOOKUP(D339,Parameter!$A$35:$C$64,2,0),"Nein")="2+3",IF(ISNUMBER(SEARCH("grosser Artikel",BM339)),2,IFERROR(VLOOKUP(BP339,Parameter!$F$35:$G$64,2,0),2)),IF(OR(IFERROR(VLOOKUP(D339,Parameter!$A$35:$C$64,2,0),"Nein")="Nein",IFERROR(VLOOKUP(D339,Parameter!$A$35:$C$64,2,0),"Nein")=""),"-",VLOOKUP(D339,Parameter!$A$35:$C$64,2,0)))))</f>
        <v>3</v>
      </c>
      <c r="Y339" s="62"/>
      <c r="Z339" s="63"/>
      <c r="AA339" s="57" t="n">
        <f aca="false">AP339</f>
        <v>34</v>
      </c>
      <c r="AB339" s="57" t="n">
        <f aca="false">MAX(AP339,G339)</f>
        <v>34</v>
      </c>
      <c r="AC339" s="64"/>
      <c r="AD339" s="57" t="n">
        <f aca="false">IF(LEFT(Cockpit!$C$5,1)="A",G339,IF(BW339=1,BX339,IF(LEFT(Cockpit!$C$5,1)="B",AH339,MAX(AH339,G339))))</f>
        <v>11</v>
      </c>
      <c r="AE339" s="57" t="n">
        <f aca="false">IF(BR339=1,0,ROUNDUP(AD339/BQ339,0))</f>
        <v>1</v>
      </c>
      <c r="AF339" s="59" t="n">
        <f aca="false">IF(CD339&gt;0,CD339*MAX(1,AD339/V339),IF(BR339=1,IF(AD339&lt;=0,0,BS339*MAX(1,IF(G339&gt;0,AD339/G339,1))),IF(Q339&gt;0,AE339/Q339,0))/MAX(0.1,N(Parameter!$M$21)))</f>
        <v>0.0384615384615385</v>
      </c>
      <c r="AG339" s="57" t="n">
        <f aca="false">AD339*F339</f>
        <v>234.08</v>
      </c>
      <c r="AH339" s="57" t="n">
        <f aca="false">ROUNDUP(MAX(I339/IF(BV339&gt;0,BV339,MAX(0.1,N(Cockpit!$C$6))),BY339)/BQ339,0)*BQ339</f>
        <v>34</v>
      </c>
      <c r="AI339" s="58" t="n">
        <f aca="false">IF(AF339&gt;0,I339/AF339,-1)</f>
        <v>676</v>
      </c>
      <c r="AJ339" s="58" t="n">
        <f aca="false">IF(AND(OR(BU339="L1",BU339="L23"),AF339&gt;0),SUMIFS($AF$7:$AF$1576,$BU$7:$BU$1576,BU339,$AI$7:$AI$1576,"&gt;"&amp;AI339)+SUMIFS($AF$7:$AF$1576,$BU$7:$BU$1576,BU339,$AI$7:$AI$1576,AI339,$BO$7:$BO$1576,"&lt;="&amp;BO339),"")</f>
        <v>11.5559707442316</v>
      </c>
      <c r="AK339" s="65" t="n">
        <f aca="false">IF(AJ339="",0,MAX(0,MIN(1,(IF(BU339="L1",Parameter!$E$5,Parameter!$E$6+Parameter!$E$7)-(AJ339-AF339))/AF339)))</f>
        <v>1</v>
      </c>
      <c r="AL339" s="57" t="n">
        <f aca="false">IF(LEFT(Cockpit!$I$5,1)="A",G339,IF(BW339=1,BX339,IF(LEFT(Cockpit!$I$5,1)="B",AP339,MAX(AP339,G339))))</f>
        <v>34</v>
      </c>
      <c r="AM339" s="57" t="n">
        <f aca="false">IF(BR339=1,0,ROUNDUP(AL339/BQ339,0))</f>
        <v>2</v>
      </c>
      <c r="AN339" s="59" t="n">
        <f aca="false">IF(CD339&gt;0,CD339*MAX(1,AL339/V339),IF(BR339=1,IF(AL339&lt;=0,0,BS339*MAX(1,IF(G339&gt;0,AL339/G339,1))),IF(Q339&gt;0,AM339/Q339,0))/MAX(0.1,N(Parameter!$M$21)))</f>
        <v>0.0769230769230769</v>
      </c>
      <c r="AO339" s="57" t="n">
        <f aca="false">AL339*F339</f>
        <v>723.52</v>
      </c>
      <c r="AP339" s="57" t="n">
        <f aca="false">ROUNDUP(MAX(I339/IF(BV339&gt;0,BV339,MAX(0.1,N(Cockpit!$I$6))),BY339)/BQ339,0)*BQ339</f>
        <v>34</v>
      </c>
      <c r="AQ339" s="58" t="n">
        <f aca="false">IF(AN339&gt;0,I339/AN339,-1)</f>
        <v>338</v>
      </c>
      <c r="AR339" s="58" t="n">
        <f aca="false">IF(AND(OR(BU339="L1",BU339="L23"),AN339&gt;0),SUMIFS($AN$7:$AN$1576,$BU$7:$BU$1576,BU339,$AQ$7:$AQ$1576,"&gt;"&amp;AQ339)+SUMIFS($AN$7:$AN$1576,$BU$7:$BU$1576,BU339,$AQ$7:$AQ$1576,AQ339,$BO$7:$BO$1576,"&lt;="&amp;BO339),"")</f>
        <v>41.3757239985613</v>
      </c>
      <c r="AS339" s="65" t="n">
        <f aca="false">IF(AR339="",0,MAX(0,MIN(1,(IF(BU339="L1",Parameter!$E$5,Parameter!$E$6+Parameter!$E$7)-(AR339-AN339))/AN339)))</f>
        <v>1</v>
      </c>
      <c r="AT339" s="57" t="n">
        <f aca="false">IF(LEFT(Cockpit!$O$5,1)="A",G339,IF(BW339=1,BX339,IF(LEFT(Cockpit!$O$5,1)="B",AX339,MAX(AX339,G339))))</f>
        <v>34</v>
      </c>
      <c r="AU339" s="57" t="n">
        <f aca="false">IF(BR339=1,0,ROUNDUP(AT339/BQ339,0))</f>
        <v>2</v>
      </c>
      <c r="AV339" s="59" t="n">
        <f aca="false">IF(CD339&gt;0,CD339*MAX(1,AT339/V339),IF(BR339=1,IF(AT339&lt;=0,0,BS339*MAX(1,IF(G339&gt;0,AT339/G339,1))),IF(Q339&gt;0,AU339/Q339,0))/MAX(0.1,N(Parameter!$M$21)))</f>
        <v>0.0769230769230769</v>
      </c>
      <c r="AW339" s="57" t="n">
        <f aca="false">AT339*F339</f>
        <v>723.52</v>
      </c>
      <c r="AX339" s="57" t="n">
        <f aca="false">ROUNDUP(MAX(I339/IF(BV339&gt;0,BV339,MAX(0.1,N(Cockpit!$O$6))),BY339)/BQ339,0)*BQ339</f>
        <v>34</v>
      </c>
      <c r="AY339" s="58" t="n">
        <f aca="false">IF(AV339&gt;0,I339/AV339,-1)</f>
        <v>338</v>
      </c>
      <c r="AZ339" s="58" t="n">
        <f aca="false">IF(AND(OR(BU339="L1",BU339="L23"),AV339&gt;0),SUMIFS($AV$7:$AV$1576,$BU$7:$BU$1576,BU339,$AY$7:$AY$1576,"&gt;"&amp;AY339)+SUMIFS($AV$7:$AV$1576,$BU$7:$BU$1576,BU339,$AY$7:$AY$1576,AY339,$BO$7:$BO$1576,"&lt;="&amp;BO339),"")</f>
        <v>38.1238025866398</v>
      </c>
      <c r="BA339" s="65" t="n">
        <f aca="false">IF(AZ339="",0,MAX(0,MIN(1,(IF(BU339="L1",Parameter!$E$5,Parameter!$E$6+Parameter!$E$7)-(AZ339-AV339))/AV339)))</f>
        <v>1</v>
      </c>
      <c r="BB339" s="55" t="str">
        <f aca="false">IF(AF339&lt;=0,"",IF(BU339="Aussen","Aussenlager",IF(BU339="-","Nicht im Lift",IF(AK339&gt;=1,"Lift",IF(AK339&lt;=0,"Aussenlager","teilweise")))))</f>
        <v>Lift</v>
      </c>
      <c r="BC339" s="55" t="str">
        <f aca="false">IF(AN339&lt;=0,"",IF(BU339="Aussen","Aussenlager",IF(BU339="-","Nicht im Lift",IF(AS339&gt;=1,"Lift",IF(AS339&lt;=0,"Aussenlager","teilweise")))))</f>
        <v>Lift</v>
      </c>
      <c r="BD339" s="55" t="str">
        <f aca="false">IF(AV339&lt;=0,"",IF(BU339="Aussen","Aussenlager",IF(BU339="-","Nicht im Lift",IF(BA339&gt;=1,"Lift",IF(BA339&lt;=0,"Aussenlager","teilweise")))))</f>
        <v>Lift</v>
      </c>
      <c r="BE339" s="55" t="str">
        <f aca="false">IF(A339="","",IF(BN339=1,"Neu; ","")&amp;IF(AND(BN339=0,BI339&lt;0),"negativer Bestand (Export "&amp;BI339&amp;"); ","")&amp;IF(I339&lt;=0,"Kein Verbrauch; ","")&amp;IF(CD339&gt;0,"Lift "&amp;U339&amp;" lt. Liftbericht (Fach "&amp;V339&amp;" Stk); ",IF(BR339=1,"Lose – Fläche geschätzt; ",""))&amp;IF(G339&gt;AP339,"Überbestand "&amp;ROUND(G339-AP339,0)&amp;" Stk / CHF "&amp;ROUND((G339-AP339)*F339,0)&amp;"; ","")&amp;IF(AND(BW339=1,BX339&lt;BY339),"MAX &lt; MB+LG; ","")&amp;IF(AND(CC339&gt;0,CB339*10&gt;CC339),"zu hoch für Tablar; ","")&amp;IF(AND(BN339=0,OR(BW339=1,Y339&lt;&gt;"",S339&lt;&gt;"",T339&lt;&gt;"",Z339&lt;&gt;"")),"manuell übersteuert; ","")&amp;IF(AND(BR339=0,Q339=0),"Gebinde unbekannt / Stellmass fehlt; ","")&amp;IF(AND(BR339=0,N(T339)&lt;=0,N(P339)&lt;=0),"Menge pro Gebinde fehlt (Ist = 1 Gebinde); ","")&amp;BM339)</f>
        <v/>
      </c>
      <c r="BF339" s="55"/>
      <c r="BG339" s="55"/>
      <c r="BH339" s="62"/>
      <c r="BI339" s="57" t="n">
        <v>11</v>
      </c>
      <c r="BJ339" s="57" t="n">
        <v>11</v>
      </c>
      <c r="BK339" s="56" t="n">
        <v>202.73</v>
      </c>
      <c r="BL339" s="57" t="n">
        <v>26</v>
      </c>
      <c r="BM339" s="55"/>
      <c r="BN339" s="60" t="n">
        <v>0</v>
      </c>
      <c r="BO339" s="60" t="n">
        <v>339</v>
      </c>
      <c r="BP339" s="55" t="str">
        <f aca="false">IF(S339&lt;&gt;"",UPPER(TRIM(S339)),IF(O339="","LOSE",O339))</f>
        <v>S52</v>
      </c>
      <c r="BQ339" s="57" t="n">
        <f aca="false">IF(BP339="LOSE",1,IF(N(T339)&gt;0,T339,IF(N(P339)&gt;0,P339,MAX(1,G339))))</f>
        <v>17</v>
      </c>
      <c r="BR339" s="60" t="n">
        <f aca="false">IF(BP339="LOSE",1,0)</f>
        <v>0</v>
      </c>
      <c r="BS339" s="59" t="n">
        <f aca="false">IF(BR339=0,0,IF(N(R339)&gt;0,R339,IFERROR(VLOOKUP(D339,Parameter!$A$35:$C$64,3,0)+0,0)))</f>
        <v>0</v>
      </c>
      <c r="BT339" s="55" t="n">
        <f aca="false">IF(Y339&lt;&gt;"",Y339,X339)</f>
        <v>3</v>
      </c>
      <c r="BU339" s="55" t="str">
        <f aca="false">IF(BT339=1,"L1",IF(OR(BT339=2,BT339=3),"L23",IF(BT339="Aussen","Aussen","-")))</f>
        <v>L23</v>
      </c>
      <c r="BV339" s="66" t="n">
        <f aca="false">IF(N(Z339)&gt;0,Z339,0)</f>
        <v>0</v>
      </c>
      <c r="BW339" s="60" t="n">
        <f aca="false">IF(ISNUMBER(AC339),1,0)</f>
        <v>0</v>
      </c>
      <c r="BX339" s="57" t="n">
        <f aca="false">N(AC339)</f>
        <v>0</v>
      </c>
      <c r="BY339" s="57" t="n">
        <f aca="false">N(L339)+N(M339)</f>
        <v>27</v>
      </c>
      <c r="BZ339" s="57" t="n">
        <f aca="false">ROUNDUP(G339/BQ339,0)</f>
        <v>1</v>
      </c>
      <c r="CA339" s="57" t="n">
        <f aca="false">ROUNDUP(BX339/BQ339,0)</f>
        <v>0</v>
      </c>
      <c r="CB339" s="60" t="n">
        <f aca="false">IF(BR339=1,0,IFERROR(VLOOKUP(BP339,'Gebinde-Kategorie'!$A$5:$M$45,5,0)+0,0))</f>
        <v>21</v>
      </c>
      <c r="CC339" s="60" t="n">
        <f aca="false">IFERROR(IF(OR(BT339=1,BT339=2,BT339=3),N(INDEX(Parameter!$I$5:$I$7,BT339)),0),0)</f>
        <v>0</v>
      </c>
      <c r="CD339" s="59" t="n">
        <f aca="false">IF(AND(Parameter!$B$21="Ja",ISNUMBER(U339),N(V339)&gt;0),IFERROR(N(INDEX(Parameter!$L$5:$L$7,U339))*INDEX(Parameter!$E$5:$E$7,U339)*V339/SUMIFS($V$7:$V$1576,$U$7:$U$1576,U339),0),0)</f>
        <v>0</v>
      </c>
    </row>
    <row r="340" customFormat="false" ht="15" hidden="false" customHeight="false" outlineLevel="0" collapsed="false">
      <c r="A340" s="55" t="s">
        <v>826</v>
      </c>
      <c r="B340" s="55" t="s">
        <v>457</v>
      </c>
      <c r="C340" s="55" t="s">
        <v>160</v>
      </c>
      <c r="D340" s="55" t="s">
        <v>178</v>
      </c>
      <c r="E340" s="55" t="s">
        <v>210</v>
      </c>
      <c r="F340" s="56" t="n">
        <v>1.22</v>
      </c>
      <c r="G340" s="57" t="n">
        <f aca="false">MAX(0,IF(AND(Parameter!$B$21="Ja",ISNUMBER(W340)),W340,IF(Parameter!$B$20="Jahresanfang 2025 + Export",BJ340+BI340,BI340)))</f>
        <v>174</v>
      </c>
      <c r="H340" s="57" t="n">
        <f aca="false">G340*F340</f>
        <v>212.28</v>
      </c>
      <c r="I340" s="57" t="n">
        <f aca="false">BL340*Parameter!$B$18</f>
        <v>142</v>
      </c>
      <c r="J340" s="58" t="n">
        <v>92</v>
      </c>
      <c r="K340" s="59" t="n">
        <v>1.54347826086957</v>
      </c>
      <c r="L340" s="57" t="n">
        <v>5</v>
      </c>
      <c r="M340" s="57" t="n">
        <v>140</v>
      </c>
      <c r="N340" s="60" t="n">
        <v>14</v>
      </c>
      <c r="O340" s="55" t="s">
        <v>293</v>
      </c>
      <c r="P340" s="57" t="n">
        <v>264</v>
      </c>
      <c r="Q340" s="60" t="n">
        <f aca="false">IF(BR340=1,0,IFERROR(VLOOKUP(BP340,'Gebinde-Kategorie'!$A$5:$M$45,13,0)+0,0))</f>
        <v>26</v>
      </c>
      <c r="R340" s="61"/>
      <c r="S340" s="62"/>
      <c r="T340" s="62"/>
      <c r="U340" s="55"/>
      <c r="V340" s="57"/>
      <c r="W340" s="57"/>
      <c r="X340" s="55" t="n">
        <f aca="false">IF(A340="","",IF(AND(Parameter!$B$21="Ja",ISNUMBER(U340)),U340,IF(IFERROR(VLOOKUP(D340,Parameter!$A$35:$C$64,2,0),"Nein")="2+3",IF(ISNUMBER(SEARCH("grosser Artikel",BM340)),2,IFERROR(VLOOKUP(BP340,Parameter!$F$35:$G$64,2,0),2)),IF(OR(IFERROR(VLOOKUP(D340,Parameter!$A$35:$C$64,2,0),"Nein")="Nein",IFERROR(VLOOKUP(D340,Parameter!$A$35:$C$64,2,0),"Nein")=""),"-",VLOOKUP(D340,Parameter!$A$35:$C$64,2,0)))))</f>
        <v>3</v>
      </c>
      <c r="Y340" s="62"/>
      <c r="Z340" s="63"/>
      <c r="AA340" s="57" t="n">
        <f aca="false">AP340</f>
        <v>264</v>
      </c>
      <c r="AB340" s="57" t="n">
        <f aca="false">MAX(AP340,G340)</f>
        <v>264</v>
      </c>
      <c r="AC340" s="64"/>
      <c r="AD340" s="57" t="n">
        <f aca="false">IF(LEFT(Cockpit!$C$5,1)="A",G340,IF(BW340=1,BX340,IF(LEFT(Cockpit!$C$5,1)="B",AH340,MAX(AH340,G340))))</f>
        <v>174</v>
      </c>
      <c r="AE340" s="57" t="n">
        <f aca="false">IF(BR340=1,0,ROUNDUP(AD340/BQ340,0))</f>
        <v>1</v>
      </c>
      <c r="AF340" s="59" t="n">
        <f aca="false">IF(CD340&gt;0,CD340*MAX(1,AD340/V340),IF(BR340=1,IF(AD340&lt;=0,0,BS340*MAX(1,IF(G340&gt;0,AD340/G340,1))),IF(Q340&gt;0,AE340/Q340,0))/MAX(0.1,N(Parameter!$M$21)))</f>
        <v>0.0384615384615385</v>
      </c>
      <c r="AG340" s="57" t="n">
        <f aca="false">AD340*F340</f>
        <v>212.28</v>
      </c>
      <c r="AH340" s="57" t="n">
        <f aca="false">ROUNDUP(MAX(I340/IF(BV340&gt;0,BV340,MAX(0.1,N(Cockpit!$C$6))),BY340)/BQ340,0)*BQ340</f>
        <v>264</v>
      </c>
      <c r="AI340" s="58" t="n">
        <f aca="false">IF(AF340&gt;0,I340/AF340,-1)</f>
        <v>3692</v>
      </c>
      <c r="AJ340" s="58" t="n">
        <f aca="false">IF(AND(OR(BU340="L1",BU340="L23"),AF340&gt;0),SUMIFS($AF$7:$AF$1576,$BU$7:$BU$1576,BU340,$AI$7:$AI$1576,"&gt;"&amp;AI340)+SUMIFS($AF$7:$AF$1576,$BU$7:$BU$1576,BU340,$AI$7:$AI$1576,AI340,$BO$7:$BO$1576,"&lt;="&amp;BO340),"")</f>
        <v>4.38498158845985</v>
      </c>
      <c r="AK340" s="65" t="n">
        <f aca="false">IF(AJ340="",0,MAX(0,MIN(1,(IF(BU340="L1",Parameter!$E$5,Parameter!$E$6+Parameter!$E$7)-(AJ340-AF340))/AF340)))</f>
        <v>1</v>
      </c>
      <c r="AL340" s="57" t="n">
        <f aca="false">IF(LEFT(Cockpit!$I$5,1)="A",G340,IF(BW340=1,BX340,IF(LEFT(Cockpit!$I$5,1)="B",AP340,MAX(AP340,G340))))</f>
        <v>264</v>
      </c>
      <c r="AM340" s="57" t="n">
        <f aca="false">IF(BR340=1,0,ROUNDUP(AL340/BQ340,0))</f>
        <v>1</v>
      </c>
      <c r="AN340" s="59" t="n">
        <f aca="false">IF(CD340&gt;0,CD340*MAX(1,AL340/V340),IF(BR340=1,IF(AL340&lt;=0,0,BS340*MAX(1,IF(G340&gt;0,AL340/G340,1))),IF(Q340&gt;0,AM340/Q340,0))/MAX(0.1,N(Parameter!$M$21)))</f>
        <v>0.0384615384615385</v>
      </c>
      <c r="AO340" s="57" t="n">
        <f aca="false">AL340*F340</f>
        <v>322.08</v>
      </c>
      <c r="AP340" s="57" t="n">
        <f aca="false">ROUNDUP(MAX(I340/IF(BV340&gt;0,BV340,MAX(0.1,N(Cockpit!$I$6))),BY340)/BQ340,0)*BQ340</f>
        <v>264</v>
      </c>
      <c r="AQ340" s="58" t="n">
        <f aca="false">IF(AN340&gt;0,I340/AN340,-1)</f>
        <v>3692</v>
      </c>
      <c r="AR340" s="58" t="n">
        <f aca="false">IF(AND(OR(BU340="L1",BU340="L23"),AN340&gt;0),SUMIFS($AN$7:$AN$1576,$BU$7:$BU$1576,BU340,$AQ$7:$AQ$1576,"&gt;"&amp;AQ340)+SUMIFS($AN$7:$AN$1576,$BU$7:$BU$1576,BU340,$AQ$7:$AQ$1576,AQ340,$BO$7:$BO$1576,"&lt;="&amp;BO340),"")</f>
        <v>13.4636876896051</v>
      </c>
      <c r="AS340" s="65" t="n">
        <f aca="false">IF(AR340="",0,MAX(0,MIN(1,(IF(BU340="L1",Parameter!$E$5,Parameter!$E$6+Parameter!$E$7)-(AR340-AN340))/AN340)))</f>
        <v>1</v>
      </c>
      <c r="AT340" s="57" t="n">
        <f aca="false">IF(LEFT(Cockpit!$O$5,1)="A",G340,IF(BW340=1,BX340,IF(LEFT(Cockpit!$O$5,1)="B",AX340,MAX(AX340,G340))))</f>
        <v>264</v>
      </c>
      <c r="AU340" s="57" t="n">
        <f aca="false">IF(BR340=1,0,ROUNDUP(AT340/BQ340,0))</f>
        <v>1</v>
      </c>
      <c r="AV340" s="59" t="n">
        <f aca="false">IF(CD340&gt;0,CD340*MAX(1,AT340/V340),IF(BR340=1,IF(AT340&lt;=0,0,BS340*MAX(1,IF(G340&gt;0,AT340/G340,1))),IF(Q340&gt;0,AU340/Q340,0))/MAX(0.1,N(Parameter!$M$21)))</f>
        <v>0.0384615384615385</v>
      </c>
      <c r="AW340" s="57" t="n">
        <f aca="false">AT340*F340</f>
        <v>322.08</v>
      </c>
      <c r="AX340" s="57" t="n">
        <f aca="false">ROUNDUP(MAX(I340/IF(BV340&gt;0,BV340,MAX(0.1,N(Cockpit!$O$6))),BY340)/BQ340,0)*BQ340</f>
        <v>264</v>
      </c>
      <c r="AY340" s="58" t="n">
        <f aca="false">IF(AV340&gt;0,I340/AV340,-1)</f>
        <v>3692</v>
      </c>
      <c r="AZ340" s="58" t="n">
        <f aca="false">IF(AND(OR(BU340="L1",BU340="L23"),AV340&gt;0),SUMIFS($AV$7:$AV$1576,$BU$7:$BU$1576,BU340,$AY$7:$AY$1576,"&gt;"&amp;AY340)+SUMIFS($AV$7:$AV$1576,$BU$7:$BU$1576,BU340,$AY$7:$AY$1576,AY340,$BO$7:$BO$1576,"&lt;="&amp;BO340),"")</f>
        <v>12.1845501604676</v>
      </c>
      <c r="BA340" s="65" t="n">
        <f aca="false">IF(AZ340="",0,MAX(0,MIN(1,(IF(BU340="L1",Parameter!$E$5,Parameter!$E$6+Parameter!$E$7)-(AZ340-AV340))/AV340)))</f>
        <v>1</v>
      </c>
      <c r="BB340" s="55" t="str">
        <f aca="false">IF(AF340&lt;=0,"",IF(BU340="Aussen","Aussenlager",IF(BU340="-","Nicht im Lift",IF(AK340&gt;=1,"Lift",IF(AK340&lt;=0,"Aussenlager","teilweise")))))</f>
        <v>Lift</v>
      </c>
      <c r="BC340" s="55" t="str">
        <f aca="false">IF(AN340&lt;=0,"",IF(BU340="Aussen","Aussenlager",IF(BU340="-","Nicht im Lift",IF(AS340&gt;=1,"Lift",IF(AS340&lt;=0,"Aussenlager","teilweise")))))</f>
        <v>Lift</v>
      </c>
      <c r="BD340" s="55" t="str">
        <f aca="false">IF(AV340&lt;=0,"",IF(BU340="Aussen","Aussenlager",IF(BU340="-","Nicht im Lift",IF(BA340&gt;=1,"Lift",IF(BA340&lt;=0,"Aussenlager","teilweise")))))</f>
        <v>Lift</v>
      </c>
      <c r="BE340" s="55" t="str">
        <f aca="false">IF(A340="","",IF(BN340=1,"Neu; ","")&amp;IF(AND(BN340=0,BI340&lt;0),"negativer Bestand (Export "&amp;BI340&amp;"); ","")&amp;IF(I340&lt;=0,"Kein Verbrauch; ","")&amp;IF(CD340&gt;0,"Lift "&amp;U340&amp;" lt. Liftbericht (Fach "&amp;V340&amp;" Stk); ",IF(BR340=1,"Lose – Fläche geschätzt; ",""))&amp;IF(G340&gt;AP340,"Überbestand "&amp;ROUND(G340-AP340,0)&amp;" Stk / CHF "&amp;ROUND((G340-AP340)*F340,0)&amp;"; ","")&amp;IF(AND(BW340=1,BX340&lt;BY340),"MAX &lt; MB+LG; ","")&amp;IF(AND(CC340&gt;0,CB340*10&gt;CC340),"zu hoch für Tablar; ","")&amp;IF(AND(BN340=0,OR(BW340=1,Y340&lt;&gt;"",S340&lt;&gt;"",T340&lt;&gt;"",Z340&lt;&gt;"")),"manuell übersteuert; ","")&amp;IF(AND(BR340=0,Q340=0),"Gebinde unbekannt / Stellmass fehlt; ","")&amp;IF(AND(BR340=0,N(T340)&lt;=0,N(P340)&lt;=0),"Menge pro Gebinde fehlt (Ist = 1 Gebinde); ","")&amp;BM340)</f>
        <v>Überbestand</v>
      </c>
      <c r="BF340" s="55"/>
      <c r="BG340" s="55"/>
      <c r="BH340" s="62"/>
      <c r="BI340" s="57" t="n">
        <v>174</v>
      </c>
      <c r="BJ340" s="57" t="n">
        <v>108</v>
      </c>
      <c r="BK340" s="56" t="n">
        <v>201.17</v>
      </c>
      <c r="BL340" s="57" t="n">
        <v>142</v>
      </c>
      <c r="BM340" s="55" t="s">
        <v>382</v>
      </c>
      <c r="BN340" s="60" t="n">
        <v>0</v>
      </c>
      <c r="BO340" s="60" t="n">
        <v>340</v>
      </c>
      <c r="BP340" s="55" t="str">
        <f aca="false">IF(S340&lt;&gt;"",UPPER(TRIM(S340)),IF(O340="","LOSE",O340))</f>
        <v>S51</v>
      </c>
      <c r="BQ340" s="57" t="n">
        <f aca="false">IF(BP340="LOSE",1,IF(N(T340)&gt;0,T340,IF(N(P340)&gt;0,P340,MAX(1,G340))))</f>
        <v>264</v>
      </c>
      <c r="BR340" s="60" t="n">
        <f aca="false">IF(BP340="LOSE",1,0)</f>
        <v>0</v>
      </c>
      <c r="BS340" s="59" t="n">
        <f aca="false">IF(BR340=0,0,IF(N(R340)&gt;0,R340,IFERROR(VLOOKUP(D340,Parameter!$A$35:$C$64,3,0)+0,0)))</f>
        <v>0</v>
      </c>
      <c r="BT340" s="55" t="n">
        <f aca="false">IF(Y340&lt;&gt;"",Y340,X340)</f>
        <v>3</v>
      </c>
      <c r="BU340" s="55" t="str">
        <f aca="false">IF(BT340=1,"L1",IF(OR(BT340=2,BT340=3),"L23",IF(BT340="Aussen","Aussen","-")))</f>
        <v>L23</v>
      </c>
      <c r="BV340" s="66" t="n">
        <f aca="false">IF(N(Z340)&gt;0,Z340,0)</f>
        <v>0</v>
      </c>
      <c r="BW340" s="60" t="n">
        <f aca="false">IF(ISNUMBER(AC340),1,0)</f>
        <v>0</v>
      </c>
      <c r="BX340" s="57" t="n">
        <f aca="false">N(AC340)</f>
        <v>0</v>
      </c>
      <c r="BY340" s="57" t="n">
        <f aca="false">N(L340)+N(M340)</f>
        <v>145</v>
      </c>
      <c r="BZ340" s="57" t="n">
        <f aca="false">ROUNDUP(G340/BQ340,0)</f>
        <v>1</v>
      </c>
      <c r="CA340" s="57" t="n">
        <f aca="false">ROUNDUP(BX340/BQ340,0)</f>
        <v>0</v>
      </c>
      <c r="CB340" s="60" t="n">
        <f aca="false">IF(BR340=1,0,IFERROR(VLOOKUP(BP340,'Gebinde-Kategorie'!$A$5:$M$45,5,0)+0,0))</f>
        <v>11</v>
      </c>
      <c r="CC340" s="60" t="n">
        <f aca="false">IFERROR(IF(OR(BT340=1,BT340=2,BT340=3),N(INDEX(Parameter!$I$5:$I$7,BT340)),0),0)</f>
        <v>0</v>
      </c>
      <c r="CD340" s="59" t="n">
        <f aca="false">IF(AND(Parameter!$B$21="Ja",ISNUMBER(U340),N(V340)&gt;0),IFERROR(N(INDEX(Parameter!$L$5:$L$7,U340))*INDEX(Parameter!$E$5:$E$7,U340)*V340/SUMIFS($V$7:$V$1576,$U$7:$U$1576,U340),0),0)</f>
        <v>0</v>
      </c>
    </row>
    <row r="341" customFormat="false" ht="15" hidden="false" customHeight="false" outlineLevel="0" collapsed="false">
      <c r="A341" s="55" t="s">
        <v>827</v>
      </c>
      <c r="B341" s="55" t="s">
        <v>828</v>
      </c>
      <c r="C341" s="55" t="s">
        <v>160</v>
      </c>
      <c r="D341" s="55" t="s">
        <v>178</v>
      </c>
      <c r="E341" s="55" t="s">
        <v>210</v>
      </c>
      <c r="F341" s="56" t="n">
        <v>33.5</v>
      </c>
      <c r="G341" s="57" t="n">
        <f aca="false">MAX(0,IF(AND(Parameter!$B$21="Ja",ISNUMBER(W341)),W341,IF(Parameter!$B$20="Jahresanfang 2025 + Export",BJ341+BI341,BI341)))</f>
        <v>6</v>
      </c>
      <c r="H341" s="57" t="n">
        <f aca="false">G341*F341</f>
        <v>201</v>
      </c>
      <c r="I341" s="57" t="n">
        <f aca="false">BL341*Parameter!$B$18</f>
        <v>7</v>
      </c>
      <c r="J341" s="58" t="n">
        <v>2.5</v>
      </c>
      <c r="K341" s="59" t="n">
        <v>2.8</v>
      </c>
      <c r="L341" s="57" t="n">
        <v>0</v>
      </c>
      <c r="M341" s="57" t="n">
        <v>5</v>
      </c>
      <c r="N341" s="60" t="n">
        <v>14</v>
      </c>
      <c r="O341" s="55" t="s">
        <v>465</v>
      </c>
      <c r="P341" s="57" t="n">
        <v>5</v>
      </c>
      <c r="Q341" s="60" t="n">
        <f aca="false">IF(BR341=1,0,IFERROR(VLOOKUP(BP341,'Gebinde-Kategorie'!$A$5:$M$45,13,0)+0,0))</f>
        <v>66</v>
      </c>
      <c r="R341" s="61"/>
      <c r="S341" s="62"/>
      <c r="T341" s="62"/>
      <c r="U341" s="55"/>
      <c r="V341" s="57"/>
      <c r="W341" s="57"/>
      <c r="X341" s="55" t="n">
        <f aca="false">IF(A341="","",IF(AND(Parameter!$B$21="Ja",ISNUMBER(U341)),U341,IF(IFERROR(VLOOKUP(D341,Parameter!$A$35:$C$64,2,0),"Nein")="2+3",IF(ISNUMBER(SEARCH("grosser Artikel",BM341)),2,IFERROR(VLOOKUP(BP341,Parameter!$F$35:$G$64,2,0),2)),IF(OR(IFERROR(VLOOKUP(D341,Parameter!$A$35:$C$64,2,0),"Nein")="Nein",IFERROR(VLOOKUP(D341,Parameter!$A$35:$C$64,2,0),"Nein")=""),"-",VLOOKUP(D341,Parameter!$A$35:$C$64,2,0)))))</f>
        <v>3</v>
      </c>
      <c r="Y341" s="62"/>
      <c r="Z341" s="63"/>
      <c r="AA341" s="57" t="n">
        <f aca="false">AP341</f>
        <v>5</v>
      </c>
      <c r="AB341" s="57" t="n">
        <f aca="false">MAX(AP341,G341)</f>
        <v>6</v>
      </c>
      <c r="AC341" s="64"/>
      <c r="AD341" s="57" t="n">
        <f aca="false">IF(LEFT(Cockpit!$C$5,1)="A",G341,IF(BW341=1,BX341,IF(LEFT(Cockpit!$C$5,1)="B",AH341,MAX(AH341,G341))))</f>
        <v>6</v>
      </c>
      <c r="AE341" s="57" t="n">
        <f aca="false">IF(BR341=1,0,ROUNDUP(AD341/BQ341,0))</f>
        <v>2</v>
      </c>
      <c r="AF341" s="59" t="n">
        <f aca="false">IF(CD341&gt;0,CD341*MAX(1,AD341/V341),IF(BR341=1,IF(AD341&lt;=0,0,BS341*MAX(1,IF(G341&gt;0,AD341/G341,1))),IF(Q341&gt;0,AE341/Q341,0))/MAX(0.1,N(Parameter!$M$21)))</f>
        <v>0.0303030303030303</v>
      </c>
      <c r="AG341" s="57" t="n">
        <f aca="false">AD341*F341</f>
        <v>201</v>
      </c>
      <c r="AH341" s="57" t="n">
        <f aca="false">ROUNDUP(MAX(I341/IF(BV341&gt;0,BV341,MAX(0.1,N(Cockpit!$C$6))),BY341)/BQ341,0)*BQ341</f>
        <v>5</v>
      </c>
      <c r="AI341" s="58" t="n">
        <f aca="false">IF(AF341&gt;0,I341/AF341,-1)</f>
        <v>231</v>
      </c>
      <c r="AJ341" s="58" t="n">
        <f aca="false">IF(AND(OR(BU341="L1",BU341="L23"),AF341&gt;0),SUMIFS($AF$7:$AF$1576,$BU$7:$BU$1576,BU341,$AI$7:$AI$1576,"&gt;"&amp;AI341)+SUMIFS($AF$7:$AF$1576,$BU$7:$BU$1576,BU341,$AI$7:$AI$1576,AI341,$BO$7:$BO$1576,"&lt;="&amp;BO341),"")</f>
        <v>16.2553869801696</v>
      </c>
      <c r="AK341" s="65" t="n">
        <f aca="false">IF(AJ341="",0,MAX(0,MIN(1,(IF(BU341="L1",Parameter!$E$5,Parameter!$E$6+Parameter!$E$7)-(AJ341-AF341))/AF341)))</f>
        <v>1</v>
      </c>
      <c r="AL341" s="57" t="n">
        <f aca="false">IF(LEFT(Cockpit!$I$5,1)="A",G341,IF(BW341=1,BX341,IF(LEFT(Cockpit!$I$5,1)="B",AP341,MAX(AP341,G341))))</f>
        <v>6</v>
      </c>
      <c r="AM341" s="57" t="n">
        <f aca="false">IF(BR341=1,0,ROUNDUP(AL341/BQ341,0))</f>
        <v>2</v>
      </c>
      <c r="AN341" s="59" t="n">
        <f aca="false">IF(CD341&gt;0,CD341*MAX(1,AL341/V341),IF(BR341=1,IF(AL341&lt;=0,0,BS341*MAX(1,IF(G341&gt;0,AL341/G341,1))),IF(Q341&gt;0,AM341/Q341,0))/MAX(0.1,N(Parameter!$M$21)))</f>
        <v>0.0303030303030303</v>
      </c>
      <c r="AO341" s="57" t="n">
        <f aca="false">AL341*F341</f>
        <v>201</v>
      </c>
      <c r="AP341" s="57" t="n">
        <f aca="false">ROUNDUP(MAX(I341/IF(BV341&gt;0,BV341,MAX(0.1,N(Cockpit!$I$6))),BY341)/BQ341,0)*BQ341</f>
        <v>5</v>
      </c>
      <c r="AQ341" s="58" t="n">
        <f aca="false">IF(AN341&gt;0,I341/AN341,-1)</f>
        <v>231</v>
      </c>
      <c r="AR341" s="58" t="n">
        <f aca="false">IF(AND(OR(BU341="L1",BU341="L23"),AN341&gt;0),SUMIFS($AN$7:$AN$1576,$BU$7:$BU$1576,BU341,$AQ$7:$AQ$1576,"&gt;"&amp;AQ341)+SUMIFS($AN$7:$AN$1576,$BU$7:$BU$1576,BU341,$AQ$7:$AQ$1576,AQ341,$BO$7:$BO$1576,"&lt;="&amp;BO341),"")</f>
        <v>47.3496400824773</v>
      </c>
      <c r="AS341" s="65" t="n">
        <f aca="false">IF(AR341="",0,MAX(0,MIN(1,(IF(BU341="L1",Parameter!$E$5,Parameter!$E$6+Parameter!$E$7)-(AR341-AN341))/AN341)))</f>
        <v>1</v>
      </c>
      <c r="AT341" s="57" t="n">
        <f aca="false">IF(LEFT(Cockpit!$O$5,1)="A",G341,IF(BW341=1,BX341,IF(LEFT(Cockpit!$O$5,1)="B",AX341,MAX(AX341,G341))))</f>
        <v>6</v>
      </c>
      <c r="AU341" s="57" t="n">
        <f aca="false">IF(BR341=1,0,ROUNDUP(AT341/BQ341,0))</f>
        <v>2</v>
      </c>
      <c r="AV341" s="59" t="n">
        <f aca="false">IF(CD341&gt;0,CD341*MAX(1,AT341/V341),IF(BR341=1,IF(AT341&lt;=0,0,BS341*MAX(1,IF(G341&gt;0,AT341/G341,1))),IF(Q341&gt;0,AU341/Q341,0))/MAX(0.1,N(Parameter!$M$21)))</f>
        <v>0.0303030303030303</v>
      </c>
      <c r="AW341" s="57" t="n">
        <f aca="false">AT341*F341</f>
        <v>201</v>
      </c>
      <c r="AX341" s="57" t="n">
        <f aca="false">ROUNDUP(MAX(I341/IF(BV341&gt;0,BV341,MAX(0.1,N(Cockpit!$O$6))),BY341)/BQ341,0)*BQ341</f>
        <v>5</v>
      </c>
      <c r="AY341" s="58" t="n">
        <f aca="false">IF(AV341&gt;0,I341/AV341,-1)</f>
        <v>231</v>
      </c>
      <c r="AZ341" s="58" t="n">
        <f aca="false">IF(AND(OR(BU341="L1",BU341="L23"),AV341&gt;0),SUMIFS($AV$7:$AV$1576,$BU$7:$BU$1576,BU341,$AY$7:$AY$1576,"&gt;"&amp;AY341)+SUMIFS($AV$7:$AV$1576,$BU$7:$BU$1576,BU341,$AY$7:$AY$1576,AY341,$BO$7:$BO$1576,"&lt;="&amp;BO341),"")</f>
        <v>43.9610520038893</v>
      </c>
      <c r="BA341" s="65" t="n">
        <f aca="false">IF(AZ341="",0,MAX(0,MIN(1,(IF(BU341="L1",Parameter!$E$5,Parameter!$E$6+Parameter!$E$7)-(AZ341-AV341))/AV341)))</f>
        <v>1</v>
      </c>
      <c r="BB341" s="55" t="str">
        <f aca="false">IF(AF341&lt;=0,"",IF(BU341="Aussen","Aussenlager",IF(BU341="-","Nicht im Lift",IF(AK341&gt;=1,"Lift",IF(AK341&lt;=0,"Aussenlager","teilweise")))))</f>
        <v>Lift</v>
      </c>
      <c r="BC341" s="55" t="str">
        <f aca="false">IF(AN341&lt;=0,"",IF(BU341="Aussen","Aussenlager",IF(BU341="-","Nicht im Lift",IF(AS341&gt;=1,"Lift",IF(AS341&lt;=0,"Aussenlager","teilweise")))))</f>
        <v>Lift</v>
      </c>
      <c r="BD341" s="55" t="str">
        <f aca="false">IF(AV341&lt;=0,"",IF(BU341="Aussen","Aussenlager",IF(BU341="-","Nicht im Lift",IF(BA341&gt;=1,"Lift",IF(BA341&lt;=0,"Aussenlager","teilweise")))))</f>
        <v>Lift</v>
      </c>
      <c r="BE341" s="55" t="str">
        <f aca="false">IF(A341="","",IF(BN341=1,"Neu; ","")&amp;IF(AND(BN341=0,BI341&lt;0),"negativer Bestand (Export "&amp;BI341&amp;"); ","")&amp;IF(I341&lt;=0,"Kein Verbrauch; ","")&amp;IF(CD341&gt;0,"Lift "&amp;U341&amp;" lt. Liftbericht (Fach "&amp;V341&amp;" Stk); ",IF(BR341=1,"Lose – Fläche geschätzt; ",""))&amp;IF(G341&gt;AP341,"Überbestand "&amp;ROUND(G341-AP341,0)&amp;" Stk / CHF "&amp;ROUND((G341-AP341)*F341,0)&amp;"; ","")&amp;IF(AND(BW341=1,BX341&lt;BY341),"MAX &lt; MB+LG; ","")&amp;IF(AND(CC341&gt;0,CB341*10&gt;CC341),"zu hoch für Tablar; ","")&amp;IF(AND(BN341=0,OR(BW341=1,Y341&lt;&gt;"",S341&lt;&gt;"",T341&lt;&gt;"",Z341&lt;&gt;"")),"manuell übersteuert; ","")&amp;IF(AND(BR341=0,Q341=0),"Gebinde unbekannt / Stellmass fehlt; ","")&amp;IF(AND(BR341=0,N(T341)&lt;=0,N(P341)&lt;=0),"Menge pro Gebinde fehlt (Ist = 1 Gebinde); ","")&amp;BM341)</f>
        <v>Überbestand 1 Stk / CHF 34; </v>
      </c>
      <c r="BF341" s="55"/>
      <c r="BG341" s="55"/>
      <c r="BH341" s="62"/>
      <c r="BI341" s="57" t="n">
        <v>6</v>
      </c>
      <c r="BJ341" s="57" t="n">
        <v>3</v>
      </c>
      <c r="BK341" s="56" t="n">
        <v>201</v>
      </c>
      <c r="BL341" s="57" t="n">
        <v>7</v>
      </c>
      <c r="BM341" s="55"/>
      <c r="BN341" s="60" t="n">
        <v>0</v>
      </c>
      <c r="BO341" s="60" t="n">
        <v>341</v>
      </c>
      <c r="BP341" s="55" t="str">
        <f aca="false">IF(S341&lt;&gt;"",UPPER(TRIM(S341)),IF(O341="","LOSE",O341))</f>
        <v>S33</v>
      </c>
      <c r="BQ341" s="57" t="n">
        <f aca="false">IF(BP341="LOSE",1,IF(N(T341)&gt;0,T341,IF(N(P341)&gt;0,P341,MAX(1,G341))))</f>
        <v>5</v>
      </c>
      <c r="BR341" s="60" t="n">
        <f aca="false">IF(BP341="LOSE",1,0)</f>
        <v>0</v>
      </c>
      <c r="BS341" s="59" t="n">
        <f aca="false">IF(BR341=0,0,IF(N(R341)&gt;0,R341,IFERROR(VLOOKUP(D341,Parameter!$A$35:$C$64,3,0)+0,0)))</f>
        <v>0</v>
      </c>
      <c r="BT341" s="55" t="n">
        <f aca="false">IF(Y341&lt;&gt;"",Y341,X341)</f>
        <v>3</v>
      </c>
      <c r="BU341" s="55" t="str">
        <f aca="false">IF(BT341=1,"L1",IF(OR(BT341=2,BT341=3),"L23",IF(BT341="Aussen","Aussen","-")))</f>
        <v>L23</v>
      </c>
      <c r="BV341" s="66" t="n">
        <f aca="false">IF(N(Z341)&gt;0,Z341,0)</f>
        <v>0</v>
      </c>
      <c r="BW341" s="60" t="n">
        <f aca="false">IF(ISNUMBER(AC341),1,0)</f>
        <v>0</v>
      </c>
      <c r="BX341" s="57" t="n">
        <f aca="false">N(AC341)</f>
        <v>0</v>
      </c>
      <c r="BY341" s="57" t="n">
        <f aca="false">N(L341)+N(M341)</f>
        <v>5</v>
      </c>
      <c r="BZ341" s="57" t="n">
        <f aca="false">ROUNDUP(G341/BQ341,0)</f>
        <v>2</v>
      </c>
      <c r="CA341" s="57" t="n">
        <f aca="false">ROUNDUP(BX341/BQ341,0)</f>
        <v>0</v>
      </c>
      <c r="CB341" s="60" t="n">
        <f aca="false">IF(BR341=1,0,IFERROR(VLOOKUP(BP341,'Gebinde-Kategorie'!$A$5:$M$45,5,0)+0,0))</f>
        <v>8</v>
      </c>
      <c r="CC341" s="60" t="n">
        <f aca="false">IFERROR(IF(OR(BT341=1,BT341=2,BT341=3),N(INDEX(Parameter!$I$5:$I$7,BT341)),0),0)</f>
        <v>0</v>
      </c>
      <c r="CD341" s="59" t="n">
        <f aca="false">IF(AND(Parameter!$B$21="Ja",ISNUMBER(U341),N(V341)&gt;0),IFERROR(N(INDEX(Parameter!$L$5:$L$7,U341))*INDEX(Parameter!$E$5:$E$7,U341)*V341/SUMIFS($V$7:$V$1576,$U$7:$U$1576,U341),0),0)</f>
        <v>0</v>
      </c>
    </row>
    <row r="342" customFormat="false" ht="15" hidden="false" customHeight="false" outlineLevel="0" collapsed="false">
      <c r="A342" s="55" t="s">
        <v>829</v>
      </c>
      <c r="B342" s="55" t="s">
        <v>830</v>
      </c>
      <c r="C342" s="55" t="s">
        <v>160</v>
      </c>
      <c r="D342" s="55" t="s">
        <v>178</v>
      </c>
      <c r="E342" s="55" t="s">
        <v>210</v>
      </c>
      <c r="F342" s="56" t="n">
        <v>0.23</v>
      </c>
      <c r="G342" s="57" t="n">
        <f aca="false">MAX(0,IF(AND(Parameter!$B$21="Ja",ISNUMBER(W342)),W342,IF(Parameter!$B$20="Jahresanfang 2025 + Export",BJ342+BI342,BI342)))</f>
        <v>818</v>
      </c>
      <c r="H342" s="57" t="n">
        <f aca="false">G342*F342</f>
        <v>188.14</v>
      </c>
      <c r="I342" s="57" t="n">
        <f aca="false">BL342*Parameter!$B$18</f>
        <v>515</v>
      </c>
      <c r="J342" s="58" t="n">
        <v>467.5</v>
      </c>
      <c r="K342" s="59" t="n">
        <v>1.10160427807487</v>
      </c>
      <c r="L342" s="57" t="n">
        <v>30</v>
      </c>
      <c r="M342" s="57" t="n">
        <v>515</v>
      </c>
      <c r="N342" s="60" t="n">
        <v>21</v>
      </c>
      <c r="O342" s="55" t="s">
        <v>225</v>
      </c>
      <c r="P342" s="57" t="n">
        <v>400</v>
      </c>
      <c r="Q342" s="60" t="n">
        <f aca="false">IF(BR342=1,0,IFERROR(VLOOKUP(BP342,'Gebinde-Kategorie'!$A$5:$M$45,13,0)+0,0))</f>
        <v>26</v>
      </c>
      <c r="R342" s="61"/>
      <c r="S342" s="62"/>
      <c r="T342" s="62"/>
      <c r="U342" s="55"/>
      <c r="V342" s="57"/>
      <c r="W342" s="57"/>
      <c r="X342" s="55" t="n">
        <f aca="false">IF(A342="","",IF(AND(Parameter!$B$21="Ja",ISNUMBER(U342)),U342,IF(IFERROR(VLOOKUP(D342,Parameter!$A$35:$C$64,2,0),"Nein")="2+3",IF(ISNUMBER(SEARCH("grosser Artikel",BM342)),2,IFERROR(VLOOKUP(BP342,Parameter!$F$35:$G$64,2,0),2)),IF(OR(IFERROR(VLOOKUP(D342,Parameter!$A$35:$C$64,2,0),"Nein")="Nein",IFERROR(VLOOKUP(D342,Parameter!$A$35:$C$64,2,0),"Nein")=""),"-",VLOOKUP(D342,Parameter!$A$35:$C$64,2,0)))))</f>
        <v>3</v>
      </c>
      <c r="Y342" s="62"/>
      <c r="Z342" s="63"/>
      <c r="AA342" s="57" t="n">
        <f aca="false">AP342</f>
        <v>800</v>
      </c>
      <c r="AB342" s="57" t="n">
        <f aca="false">MAX(AP342,G342)</f>
        <v>818</v>
      </c>
      <c r="AC342" s="64"/>
      <c r="AD342" s="57" t="n">
        <f aca="false">IF(LEFT(Cockpit!$C$5,1)="A",G342,IF(BW342=1,BX342,IF(LEFT(Cockpit!$C$5,1)="B",AH342,MAX(AH342,G342))))</f>
        <v>818</v>
      </c>
      <c r="AE342" s="57" t="n">
        <f aca="false">IF(BR342=1,0,ROUNDUP(AD342/BQ342,0))</f>
        <v>3</v>
      </c>
      <c r="AF342" s="59" t="n">
        <f aca="false">IF(CD342&gt;0,CD342*MAX(1,AD342/V342),IF(BR342=1,IF(AD342&lt;=0,0,BS342*MAX(1,IF(G342&gt;0,AD342/G342,1))),IF(Q342&gt;0,AE342/Q342,0))/MAX(0.1,N(Parameter!$M$21)))</f>
        <v>0.115384615384615</v>
      </c>
      <c r="AG342" s="57" t="n">
        <f aca="false">AD342*F342</f>
        <v>188.14</v>
      </c>
      <c r="AH342" s="57" t="n">
        <f aca="false">ROUNDUP(MAX(I342/IF(BV342&gt;0,BV342,MAX(0.1,N(Cockpit!$C$6))),BY342)/BQ342,0)*BQ342</f>
        <v>800</v>
      </c>
      <c r="AI342" s="58" t="n">
        <f aca="false">IF(AF342&gt;0,I342/AF342,-1)</f>
        <v>4463.33333333333</v>
      </c>
      <c r="AJ342" s="58" t="n">
        <f aca="false">IF(AND(OR(BU342="L1",BU342="L23"),AF342&gt;0),SUMIFS($AF$7:$AF$1576,$BU$7:$BU$1576,BU342,$AI$7:$AI$1576,"&gt;"&amp;AI342)+SUMIFS($AF$7:$AF$1576,$BU$7:$BU$1576,BU342,$AI$7:$AI$1576,AI342,$BO$7:$BO$1576,"&lt;="&amp;BO342),"")</f>
        <v>4.09205229553056</v>
      </c>
      <c r="AK342" s="65" t="n">
        <f aca="false">IF(AJ342="",0,MAX(0,MIN(1,(IF(BU342="L1",Parameter!$E$5,Parameter!$E$6+Parameter!$E$7)-(AJ342-AF342))/AF342)))</f>
        <v>1</v>
      </c>
      <c r="AL342" s="57" t="n">
        <f aca="false">IF(LEFT(Cockpit!$I$5,1)="A",G342,IF(BW342=1,BX342,IF(LEFT(Cockpit!$I$5,1)="B",AP342,MAX(AP342,G342))))</f>
        <v>818</v>
      </c>
      <c r="AM342" s="57" t="n">
        <f aca="false">IF(BR342=1,0,ROUNDUP(AL342/BQ342,0))</f>
        <v>3</v>
      </c>
      <c r="AN342" s="59" t="n">
        <f aca="false">IF(CD342&gt;0,CD342*MAX(1,AL342/V342),IF(BR342=1,IF(AL342&lt;=0,0,BS342*MAX(1,IF(G342&gt;0,AL342/G342,1))),IF(Q342&gt;0,AM342/Q342,0))/MAX(0.1,N(Parameter!$M$21)))</f>
        <v>0.115384615384615</v>
      </c>
      <c r="AO342" s="57" t="n">
        <f aca="false">AL342*F342</f>
        <v>188.14</v>
      </c>
      <c r="AP342" s="57" t="n">
        <f aca="false">ROUNDUP(MAX(I342/IF(BV342&gt;0,BV342,MAX(0.1,N(Cockpit!$I$6))),BY342)/BQ342,0)*BQ342</f>
        <v>800</v>
      </c>
      <c r="AQ342" s="58" t="n">
        <f aca="false">IF(AN342&gt;0,I342/AN342,-1)</f>
        <v>4463.33333333333</v>
      </c>
      <c r="AR342" s="58" t="n">
        <f aca="false">IF(AND(OR(BU342="L1",BU342="L23"),AN342&gt;0),SUMIFS($AN$7:$AN$1576,$BU$7:$BU$1576,BU342,$AQ$7:$AQ$1576,"&gt;"&amp;AQ342)+SUMIFS($AN$7:$AN$1576,$BU$7:$BU$1576,BU342,$AQ$7:$AQ$1576,AQ342,$BO$7:$BO$1576,"&lt;="&amp;BO342),"")</f>
        <v>12.7275892469849</v>
      </c>
      <c r="AS342" s="65" t="n">
        <f aca="false">IF(AR342="",0,MAX(0,MIN(1,(IF(BU342="L1",Parameter!$E$5,Parameter!$E$6+Parameter!$E$7)-(AR342-AN342))/AN342)))</f>
        <v>1</v>
      </c>
      <c r="AT342" s="57" t="n">
        <f aca="false">IF(LEFT(Cockpit!$O$5,1)="A",G342,IF(BW342=1,BX342,IF(LEFT(Cockpit!$O$5,1)="B",AX342,MAX(AX342,G342))))</f>
        <v>818</v>
      </c>
      <c r="AU342" s="57" t="n">
        <f aca="false">IF(BR342=1,0,ROUNDUP(AT342/BQ342,0))</f>
        <v>3</v>
      </c>
      <c r="AV342" s="59" t="n">
        <f aca="false">IF(CD342&gt;0,CD342*MAX(1,AT342/V342),IF(BR342=1,IF(AT342&lt;=0,0,BS342*MAX(1,IF(G342&gt;0,AT342/G342,1))),IF(Q342&gt;0,AU342/Q342,0))/MAX(0.1,N(Parameter!$M$21)))</f>
        <v>0.115384615384615</v>
      </c>
      <c r="AW342" s="57" t="n">
        <f aca="false">AT342*F342</f>
        <v>188.14</v>
      </c>
      <c r="AX342" s="57" t="n">
        <f aca="false">ROUNDUP(MAX(I342/IF(BV342&gt;0,BV342,MAX(0.1,N(Cockpit!$O$6))),BY342)/BQ342,0)*BQ342</f>
        <v>800</v>
      </c>
      <c r="AY342" s="58" t="n">
        <f aca="false">IF(AV342&gt;0,I342/AV342,-1)</f>
        <v>4463.33333333333</v>
      </c>
      <c r="AZ342" s="58" t="n">
        <f aca="false">IF(AND(OR(BU342="L1",BU342="L23"),AV342&gt;0),SUMIFS($AV$7:$AV$1576,$BU$7:$BU$1576,BU342,$AY$7:$AY$1576,"&gt;"&amp;AY342)+SUMIFS($AV$7:$AV$1576,$BU$7:$BU$1576,BU342,$AY$7:$AY$1576,AY342,$BO$7:$BO$1576,"&lt;="&amp;BO342),"")</f>
        <v>11.4484517178474</v>
      </c>
      <c r="BA342" s="65" t="n">
        <f aca="false">IF(AZ342="",0,MAX(0,MIN(1,(IF(BU342="L1",Parameter!$E$5,Parameter!$E$6+Parameter!$E$7)-(AZ342-AV342))/AV342)))</f>
        <v>1</v>
      </c>
      <c r="BB342" s="55" t="str">
        <f aca="false">IF(AF342&lt;=0,"",IF(BU342="Aussen","Aussenlager",IF(BU342="-","Nicht im Lift",IF(AK342&gt;=1,"Lift",IF(AK342&lt;=0,"Aussenlager","teilweise")))))</f>
        <v>Lift</v>
      </c>
      <c r="BC342" s="55" t="str">
        <f aca="false">IF(AN342&lt;=0,"",IF(BU342="Aussen","Aussenlager",IF(BU342="-","Nicht im Lift",IF(AS342&gt;=1,"Lift",IF(AS342&lt;=0,"Aussenlager","teilweise")))))</f>
        <v>Lift</v>
      </c>
      <c r="BD342" s="55" t="str">
        <f aca="false">IF(AV342&lt;=0,"",IF(BU342="Aussen","Aussenlager",IF(BU342="-","Nicht im Lift",IF(BA342&gt;=1,"Lift",IF(BA342&lt;=0,"Aussenlager","teilweise")))))</f>
        <v>Lift</v>
      </c>
      <c r="BE342" s="55" t="str">
        <f aca="false">IF(A342="","",IF(BN342=1,"Neu; ","")&amp;IF(AND(BN342=0,BI342&lt;0),"negativer Bestand (Export "&amp;BI342&amp;"); ","")&amp;IF(I342&lt;=0,"Kein Verbrauch; ","")&amp;IF(CD342&gt;0,"Lift "&amp;U342&amp;" lt. Liftbericht (Fach "&amp;V342&amp;" Stk); ",IF(BR342=1,"Lose – Fläche geschätzt; ",""))&amp;IF(G342&gt;AP342,"Überbestand "&amp;ROUND(G342-AP342,0)&amp;" Stk / CHF "&amp;ROUND((G342-AP342)*F342,0)&amp;"; ","")&amp;IF(AND(BW342=1,BX342&lt;BY342),"MAX &lt; MB+LG; ","")&amp;IF(AND(CC342&gt;0,CB342*10&gt;CC342),"zu hoch für Tablar; ","")&amp;IF(AND(BN342=0,OR(BW342=1,Y342&lt;&gt;"",S342&lt;&gt;"",T342&lt;&gt;"",Z342&lt;&gt;"")),"manuell übersteuert; ","")&amp;IF(AND(BR342=0,Q342=0),"Gebinde unbekannt / Stellmass fehlt; ","")&amp;IF(AND(BR342=0,N(T342)&lt;=0,N(P342)&lt;=0),"Menge pro Gebinde fehlt (Ist = 1 Gebinde); ","")&amp;BM342)</f>
        <v>Überbestand 18 Stk / CHF 4; </v>
      </c>
      <c r="BF342" s="55"/>
      <c r="BG342" s="55"/>
      <c r="BH342" s="62"/>
      <c r="BI342" s="57" t="n">
        <v>818</v>
      </c>
      <c r="BJ342" s="57" t="n">
        <v>462</v>
      </c>
      <c r="BK342" s="56" t="n">
        <v>197.38</v>
      </c>
      <c r="BL342" s="57" t="n">
        <v>515</v>
      </c>
      <c r="BM342" s="55"/>
      <c r="BN342" s="60" t="n">
        <v>0</v>
      </c>
      <c r="BO342" s="60" t="n">
        <v>342</v>
      </c>
      <c r="BP342" s="55" t="str">
        <f aca="false">IF(S342&lt;&gt;"",UPPER(TRIM(S342)),IF(O342="","LOSE",O342))</f>
        <v>S52</v>
      </c>
      <c r="BQ342" s="57" t="n">
        <f aca="false">IF(BP342="LOSE",1,IF(N(T342)&gt;0,T342,IF(N(P342)&gt;0,P342,MAX(1,G342))))</f>
        <v>400</v>
      </c>
      <c r="BR342" s="60" t="n">
        <f aca="false">IF(BP342="LOSE",1,0)</f>
        <v>0</v>
      </c>
      <c r="BS342" s="59" t="n">
        <f aca="false">IF(BR342=0,0,IF(N(R342)&gt;0,R342,IFERROR(VLOOKUP(D342,Parameter!$A$35:$C$64,3,0)+0,0)))</f>
        <v>0</v>
      </c>
      <c r="BT342" s="55" t="n">
        <f aca="false">IF(Y342&lt;&gt;"",Y342,X342)</f>
        <v>3</v>
      </c>
      <c r="BU342" s="55" t="str">
        <f aca="false">IF(BT342=1,"L1",IF(OR(BT342=2,BT342=3),"L23",IF(BT342="Aussen","Aussen","-")))</f>
        <v>L23</v>
      </c>
      <c r="BV342" s="66" t="n">
        <f aca="false">IF(N(Z342)&gt;0,Z342,0)</f>
        <v>0</v>
      </c>
      <c r="BW342" s="60" t="n">
        <f aca="false">IF(ISNUMBER(AC342),1,0)</f>
        <v>0</v>
      </c>
      <c r="BX342" s="57" t="n">
        <f aca="false">N(AC342)</f>
        <v>0</v>
      </c>
      <c r="BY342" s="57" t="n">
        <f aca="false">N(L342)+N(M342)</f>
        <v>545</v>
      </c>
      <c r="BZ342" s="57" t="n">
        <f aca="false">ROUNDUP(G342/BQ342,0)</f>
        <v>3</v>
      </c>
      <c r="CA342" s="57" t="n">
        <f aca="false">ROUNDUP(BX342/BQ342,0)</f>
        <v>0</v>
      </c>
      <c r="CB342" s="60" t="n">
        <f aca="false">IF(BR342=1,0,IFERROR(VLOOKUP(BP342,'Gebinde-Kategorie'!$A$5:$M$45,5,0)+0,0))</f>
        <v>21</v>
      </c>
      <c r="CC342" s="60" t="n">
        <f aca="false">IFERROR(IF(OR(BT342=1,BT342=2,BT342=3),N(INDEX(Parameter!$I$5:$I$7,BT342)),0),0)</f>
        <v>0</v>
      </c>
      <c r="CD342" s="59" t="n">
        <f aca="false">IF(AND(Parameter!$B$21="Ja",ISNUMBER(U342),N(V342)&gt;0),IFERROR(N(INDEX(Parameter!$L$5:$L$7,U342))*INDEX(Parameter!$E$5:$E$7,U342)*V342/SUMIFS($V$7:$V$1576,$U$7:$U$1576,U342),0),0)</f>
        <v>0</v>
      </c>
    </row>
    <row r="343" customFormat="false" ht="15" hidden="false" customHeight="false" outlineLevel="0" collapsed="false">
      <c r="A343" s="55" t="s">
        <v>831</v>
      </c>
      <c r="B343" s="55" t="s">
        <v>832</v>
      </c>
      <c r="C343" s="55" t="s">
        <v>160</v>
      </c>
      <c r="D343" s="55" t="s">
        <v>178</v>
      </c>
      <c r="E343" s="55" t="s">
        <v>210</v>
      </c>
      <c r="F343" s="56" t="n">
        <v>47.25</v>
      </c>
      <c r="G343" s="57" t="n">
        <f aca="false">MAX(0,IF(AND(Parameter!$B$21="Ja",ISNUMBER(W343)),W343,IF(Parameter!$B$20="Jahresanfang 2025 + Export",BJ343+BI343,BI343)))</f>
        <v>4</v>
      </c>
      <c r="H343" s="57" t="n">
        <f aca="false">G343*F343</f>
        <v>189</v>
      </c>
      <c r="I343" s="57" t="n">
        <f aca="false">BL343*Parameter!$B$18</f>
        <v>7</v>
      </c>
      <c r="J343" s="58" t="n">
        <v>1.5</v>
      </c>
      <c r="K343" s="59" t="n">
        <v>4.66666666666667</v>
      </c>
      <c r="L343" s="57" t="n">
        <v>0</v>
      </c>
      <c r="M343" s="57" t="n">
        <v>5</v>
      </c>
      <c r="N343" s="60" t="n">
        <v>35</v>
      </c>
      <c r="O343" s="55" t="s">
        <v>319</v>
      </c>
      <c r="P343" s="57" t="n">
        <v>6</v>
      </c>
      <c r="Q343" s="60" t="n">
        <f aca="false">IF(BR343=1,0,IFERROR(VLOOKUP(BP343,'Gebinde-Kategorie'!$A$5:$M$45,13,0)+0,0))</f>
        <v>52</v>
      </c>
      <c r="R343" s="61"/>
      <c r="S343" s="62"/>
      <c r="T343" s="62"/>
      <c r="U343" s="55"/>
      <c r="V343" s="57"/>
      <c r="W343" s="57"/>
      <c r="X343" s="55" t="n">
        <f aca="false">IF(A343="","",IF(AND(Parameter!$B$21="Ja",ISNUMBER(U343)),U343,IF(IFERROR(VLOOKUP(D343,Parameter!$A$35:$C$64,2,0),"Nein")="2+3",IF(ISNUMBER(SEARCH("grosser Artikel",BM343)),2,IFERROR(VLOOKUP(BP343,Parameter!$F$35:$G$64,2,0),2)),IF(OR(IFERROR(VLOOKUP(D343,Parameter!$A$35:$C$64,2,0),"Nein")="Nein",IFERROR(VLOOKUP(D343,Parameter!$A$35:$C$64,2,0),"Nein")=""),"-",VLOOKUP(D343,Parameter!$A$35:$C$64,2,0)))))</f>
        <v>3</v>
      </c>
      <c r="Y343" s="62"/>
      <c r="Z343" s="63"/>
      <c r="AA343" s="57" t="n">
        <f aca="false">AP343</f>
        <v>6</v>
      </c>
      <c r="AB343" s="57" t="n">
        <f aca="false">MAX(AP343,G343)</f>
        <v>6</v>
      </c>
      <c r="AC343" s="64"/>
      <c r="AD343" s="57" t="n">
        <f aca="false">IF(LEFT(Cockpit!$C$5,1)="A",G343,IF(BW343=1,BX343,IF(LEFT(Cockpit!$C$5,1)="B",AH343,MAX(AH343,G343))))</f>
        <v>4</v>
      </c>
      <c r="AE343" s="57" t="n">
        <f aca="false">IF(BR343=1,0,ROUNDUP(AD343/BQ343,0))</f>
        <v>1</v>
      </c>
      <c r="AF343" s="59" t="n">
        <f aca="false">IF(CD343&gt;0,CD343*MAX(1,AD343/V343),IF(BR343=1,IF(AD343&lt;=0,0,BS343*MAX(1,IF(G343&gt;0,AD343/G343,1))),IF(Q343&gt;0,AE343/Q343,0))/MAX(0.1,N(Parameter!$M$21)))</f>
        <v>0.0192307692307692</v>
      </c>
      <c r="AG343" s="57" t="n">
        <f aca="false">AD343*F343</f>
        <v>189</v>
      </c>
      <c r="AH343" s="57" t="n">
        <f aca="false">ROUNDUP(MAX(I343/IF(BV343&gt;0,BV343,MAX(0.1,N(Cockpit!$C$6))),BY343)/BQ343,0)*BQ343</f>
        <v>6</v>
      </c>
      <c r="AI343" s="58" t="n">
        <f aca="false">IF(AF343&gt;0,I343/AF343,-1)</f>
        <v>364</v>
      </c>
      <c r="AJ343" s="58" t="n">
        <f aca="false">IF(AND(OR(BU343="L1",BU343="L23"),AF343&gt;0),SUMIFS($AF$7:$AF$1576,$BU$7:$BU$1576,BU343,$AI$7:$AI$1576,"&gt;"&amp;AI343)+SUMIFS($AF$7:$AF$1576,$BU$7:$BU$1576,BU343,$AI$7:$AI$1576,AI343,$BO$7:$BO$1576,"&lt;="&amp;BO343),"")</f>
        <v>13.7741282389108</v>
      </c>
      <c r="AK343" s="65" t="n">
        <f aca="false">IF(AJ343="",0,MAX(0,MIN(1,(IF(BU343="L1",Parameter!$E$5,Parameter!$E$6+Parameter!$E$7)-(AJ343-AF343))/AF343)))</f>
        <v>1</v>
      </c>
      <c r="AL343" s="57" t="n">
        <f aca="false">IF(LEFT(Cockpit!$I$5,1)="A",G343,IF(BW343=1,BX343,IF(LEFT(Cockpit!$I$5,1)="B",AP343,MAX(AP343,G343))))</f>
        <v>6</v>
      </c>
      <c r="AM343" s="57" t="n">
        <f aca="false">IF(BR343=1,0,ROUNDUP(AL343/BQ343,0))</f>
        <v>1</v>
      </c>
      <c r="AN343" s="59" t="n">
        <f aca="false">IF(CD343&gt;0,CD343*MAX(1,AL343/V343),IF(BR343=1,IF(AL343&lt;=0,0,BS343*MAX(1,IF(G343&gt;0,AL343/G343,1))),IF(Q343&gt;0,AM343/Q343,0))/MAX(0.1,N(Parameter!$M$21)))</f>
        <v>0.0192307692307692</v>
      </c>
      <c r="AO343" s="57" t="n">
        <f aca="false">AL343*F343</f>
        <v>283.5</v>
      </c>
      <c r="AP343" s="57" t="n">
        <f aca="false">ROUNDUP(MAX(I343/IF(BV343&gt;0,BV343,MAX(0.1,N(Cockpit!$I$6))),BY343)/BQ343,0)*BQ343</f>
        <v>6</v>
      </c>
      <c r="AQ343" s="58" t="n">
        <f aca="false">IF(AN343&gt;0,I343/AN343,-1)</f>
        <v>364</v>
      </c>
      <c r="AR343" s="58" t="n">
        <f aca="false">IF(AND(OR(BU343="L1",BU343="L23"),AN343&gt;0),SUMIFS($AN$7:$AN$1576,$BU$7:$BU$1576,BU343,$AQ$7:$AQ$1576,"&gt;"&amp;AQ343)+SUMIFS($AN$7:$AN$1576,$BU$7:$BU$1576,BU343,$AQ$7:$AQ$1576,AQ343,$BO$7:$BO$1576,"&lt;="&amp;BO343),"")</f>
        <v>37.8475188703561</v>
      </c>
      <c r="AS343" s="65" t="n">
        <f aca="false">IF(AR343="",0,MAX(0,MIN(1,(IF(BU343="L1",Parameter!$E$5,Parameter!$E$6+Parameter!$E$7)-(AR343-AN343))/AN343)))</f>
        <v>1</v>
      </c>
      <c r="AT343" s="57" t="n">
        <f aca="false">IF(LEFT(Cockpit!$O$5,1)="A",G343,IF(BW343=1,BX343,IF(LEFT(Cockpit!$O$5,1)="B",AX343,MAX(AX343,G343))))</f>
        <v>6</v>
      </c>
      <c r="AU343" s="57" t="n">
        <f aca="false">IF(BR343=1,0,ROUNDUP(AT343/BQ343,0))</f>
        <v>1</v>
      </c>
      <c r="AV343" s="59" t="n">
        <f aca="false">IF(CD343&gt;0,CD343*MAX(1,AT343/V343),IF(BR343=1,IF(AT343&lt;=0,0,BS343*MAX(1,IF(G343&gt;0,AT343/G343,1))),IF(Q343&gt;0,AU343/Q343,0))/MAX(0.1,N(Parameter!$M$21)))</f>
        <v>0.0192307692307692</v>
      </c>
      <c r="AW343" s="57" t="n">
        <f aca="false">AT343*F343</f>
        <v>283.5</v>
      </c>
      <c r="AX343" s="57" t="n">
        <f aca="false">ROUNDUP(MAX(I343/IF(BV343&gt;0,BV343,MAX(0.1,N(Cockpit!$O$6))),BY343)/BQ343,0)*BQ343</f>
        <v>6</v>
      </c>
      <c r="AY343" s="58" t="n">
        <f aca="false">IF(AV343&gt;0,I343/AV343,-1)</f>
        <v>364</v>
      </c>
      <c r="AZ343" s="58" t="n">
        <f aca="false">IF(AND(OR(BU343="L1",BU343="L23"),AV343&gt;0),SUMIFS($AV$7:$AV$1576,$BU$7:$BU$1576,BU343,$AY$7:$AY$1576,"&gt;"&amp;AY343)+SUMIFS($AV$7:$AV$1576,$BU$7:$BU$1576,BU343,$AY$7:$AY$1576,AY343,$BO$7:$BO$1576,"&lt;="&amp;BO343),"")</f>
        <v>36.678930791768</v>
      </c>
      <c r="BA343" s="65" t="n">
        <f aca="false">IF(AZ343="",0,MAX(0,MIN(1,(IF(BU343="L1",Parameter!$E$5,Parameter!$E$6+Parameter!$E$7)-(AZ343-AV343))/AV343)))</f>
        <v>1</v>
      </c>
      <c r="BB343" s="55" t="str">
        <f aca="false">IF(AF343&lt;=0,"",IF(BU343="Aussen","Aussenlager",IF(BU343="-","Nicht im Lift",IF(AK343&gt;=1,"Lift",IF(AK343&lt;=0,"Aussenlager","teilweise")))))</f>
        <v>Lift</v>
      </c>
      <c r="BC343" s="55" t="str">
        <f aca="false">IF(AN343&lt;=0,"",IF(BU343="Aussen","Aussenlager",IF(BU343="-","Nicht im Lift",IF(AS343&gt;=1,"Lift",IF(AS343&lt;=0,"Aussenlager","teilweise")))))</f>
        <v>Lift</v>
      </c>
      <c r="BD343" s="55" t="str">
        <f aca="false">IF(AV343&lt;=0,"",IF(BU343="Aussen","Aussenlager",IF(BU343="-","Nicht im Lift",IF(BA343&gt;=1,"Lift",IF(BA343&lt;=0,"Aussenlager","teilweise")))))</f>
        <v>Lift</v>
      </c>
      <c r="BE343" s="55" t="str">
        <f aca="false">IF(A343="","",IF(BN343=1,"Neu; ","")&amp;IF(AND(BN343=0,BI343&lt;0),"negativer Bestand (Export "&amp;BI343&amp;"); ","")&amp;IF(I343&lt;=0,"Kein Verbrauch; ","")&amp;IF(CD343&gt;0,"Lift "&amp;U343&amp;" lt. Liftbericht (Fach "&amp;V343&amp;" Stk); ",IF(BR343=1,"Lose – Fläche geschätzt; ",""))&amp;IF(G343&gt;AP343,"Überbestand "&amp;ROUND(G343-AP343,0)&amp;" Stk / CHF "&amp;ROUND((G343-AP343)*F343,0)&amp;"; ","")&amp;IF(AND(BW343=1,BX343&lt;BY343),"MAX &lt; MB+LG; ","")&amp;IF(AND(CC343&gt;0,CB343*10&gt;CC343),"zu hoch für Tablar; ","")&amp;IF(AND(BN343=0,OR(BW343=1,Y343&lt;&gt;"",S343&lt;&gt;"",T343&lt;&gt;"",Z343&lt;&gt;"")),"manuell übersteuert; ","")&amp;IF(AND(BR343=0,Q343=0),"Gebinde unbekannt / Stellmass fehlt; ","")&amp;IF(AND(BR343=0,N(T343)&lt;=0,N(P343)&lt;=0),"Menge pro Gebinde fehlt (Ist = 1 Gebinde); ","")&amp;BM343)</f>
        <v/>
      </c>
      <c r="BF343" s="55"/>
      <c r="BG343" s="55"/>
      <c r="BH343" s="62"/>
      <c r="BI343" s="57" t="n">
        <v>4</v>
      </c>
      <c r="BJ343" s="57" t="n">
        <v>2</v>
      </c>
      <c r="BK343" s="56" t="n">
        <v>197.18</v>
      </c>
      <c r="BL343" s="57" t="n">
        <v>7</v>
      </c>
      <c r="BM343" s="55"/>
      <c r="BN343" s="60" t="n">
        <v>0</v>
      </c>
      <c r="BO343" s="60" t="n">
        <v>343</v>
      </c>
      <c r="BP343" s="55" t="str">
        <f aca="false">IF(S343&lt;&gt;"",UPPER(TRIM(S343)),IF(O343="","LOSE",O343))</f>
        <v>S41</v>
      </c>
      <c r="BQ343" s="57" t="n">
        <f aca="false">IF(BP343="LOSE",1,IF(N(T343)&gt;0,T343,IF(N(P343)&gt;0,P343,MAX(1,G343))))</f>
        <v>6</v>
      </c>
      <c r="BR343" s="60" t="n">
        <f aca="false">IF(BP343="LOSE",1,0)</f>
        <v>0</v>
      </c>
      <c r="BS343" s="59" t="n">
        <f aca="false">IF(BR343=0,0,IF(N(R343)&gt;0,R343,IFERROR(VLOOKUP(D343,Parameter!$A$35:$C$64,3,0)+0,0)))</f>
        <v>0</v>
      </c>
      <c r="BT343" s="55" t="n">
        <f aca="false">IF(Y343&lt;&gt;"",Y343,X343)</f>
        <v>3</v>
      </c>
      <c r="BU343" s="55" t="str">
        <f aca="false">IF(BT343=1,"L1",IF(OR(BT343=2,BT343=3),"L23",IF(BT343="Aussen","Aussen","-")))</f>
        <v>L23</v>
      </c>
      <c r="BV343" s="66" t="n">
        <f aca="false">IF(N(Z343)&gt;0,Z343,0)</f>
        <v>0</v>
      </c>
      <c r="BW343" s="60" t="n">
        <f aca="false">IF(ISNUMBER(AC343),1,0)</f>
        <v>0</v>
      </c>
      <c r="BX343" s="57" t="n">
        <f aca="false">N(AC343)</f>
        <v>0</v>
      </c>
      <c r="BY343" s="57" t="n">
        <f aca="false">N(L343)+N(M343)</f>
        <v>5</v>
      </c>
      <c r="BZ343" s="57" t="n">
        <f aca="false">ROUNDUP(G343/BQ343,0)</f>
        <v>1</v>
      </c>
      <c r="CA343" s="57" t="n">
        <f aca="false">ROUNDUP(BX343/BQ343,0)</f>
        <v>0</v>
      </c>
      <c r="CB343" s="60" t="n">
        <f aca="false">IF(BR343=1,0,IFERROR(VLOOKUP(BP343,'Gebinde-Kategorie'!$A$5:$M$45,5,0)+0,0))</f>
        <v>11</v>
      </c>
      <c r="CC343" s="60" t="n">
        <f aca="false">IFERROR(IF(OR(BT343=1,BT343=2,BT343=3),N(INDEX(Parameter!$I$5:$I$7,BT343)),0),0)</f>
        <v>0</v>
      </c>
      <c r="CD343" s="59" t="n">
        <f aca="false">IF(AND(Parameter!$B$21="Ja",ISNUMBER(U343),N(V343)&gt;0),IFERROR(N(INDEX(Parameter!$L$5:$L$7,U343))*INDEX(Parameter!$E$5:$E$7,U343)*V343/SUMIFS($V$7:$V$1576,$U$7:$U$1576,U343),0),0)</f>
        <v>0</v>
      </c>
    </row>
    <row r="344" customFormat="false" ht="15" hidden="false" customHeight="false" outlineLevel="0" collapsed="false">
      <c r="A344" s="55" t="s">
        <v>833</v>
      </c>
      <c r="B344" s="55" t="s">
        <v>834</v>
      </c>
      <c r="C344" s="55" t="s">
        <v>160</v>
      </c>
      <c r="D344" s="55" t="s">
        <v>178</v>
      </c>
      <c r="E344" s="55" t="s">
        <v>210</v>
      </c>
      <c r="F344" s="56" t="n">
        <v>7.87</v>
      </c>
      <c r="G344" s="57" t="n">
        <f aca="false">MAX(0,IF(AND(Parameter!$B$21="Ja",ISNUMBER(W344)),W344,IF(Parameter!$B$20="Jahresanfang 2025 + Export",BJ344+BI344,BI344)))</f>
        <v>25</v>
      </c>
      <c r="H344" s="57" t="n">
        <f aca="false">G344*F344</f>
        <v>196.75</v>
      </c>
      <c r="I344" s="57" t="n">
        <f aca="false">BL344*Parameter!$B$18</f>
        <v>0</v>
      </c>
      <c r="J344" s="58" t="n">
        <v>0</v>
      </c>
      <c r="K344" s="59" t="n">
        <v>0</v>
      </c>
      <c r="L344" s="57" t="n">
        <v>0</v>
      </c>
      <c r="M344" s="57" t="n">
        <v>5</v>
      </c>
      <c r="N344" s="60" t="n">
        <v>9999</v>
      </c>
      <c r="O344" s="55" t="s">
        <v>163</v>
      </c>
      <c r="P344" s="57"/>
      <c r="Q344" s="60" t="n">
        <f aca="false">IF(BR344=1,0,IFERROR(VLOOKUP(BP344,'Gebinde-Kategorie'!$A$5:$M$45,13,0)+0,0))</f>
        <v>0</v>
      </c>
      <c r="R344" s="61"/>
      <c r="S344" s="62"/>
      <c r="T344" s="62"/>
      <c r="U344" s="55"/>
      <c r="V344" s="57"/>
      <c r="W344" s="57"/>
      <c r="X344" s="55" t="n">
        <f aca="false">IF(A344="","",IF(AND(Parameter!$B$21="Ja",ISNUMBER(U344)),U344,IF(IFERROR(VLOOKUP(D344,Parameter!$A$35:$C$64,2,0),"Nein")="2+3",IF(ISNUMBER(SEARCH("grosser Artikel",BM344)),2,IFERROR(VLOOKUP(BP344,Parameter!$F$35:$G$64,2,0),2)),IF(OR(IFERROR(VLOOKUP(D344,Parameter!$A$35:$C$64,2,0),"Nein")="Nein",IFERROR(VLOOKUP(D344,Parameter!$A$35:$C$64,2,0),"Nein")=""),"-",VLOOKUP(D344,Parameter!$A$35:$C$64,2,0)))))</f>
        <v>2</v>
      </c>
      <c r="Y344" s="62"/>
      <c r="Z344" s="63"/>
      <c r="AA344" s="57" t="n">
        <f aca="false">AP344</f>
        <v>5</v>
      </c>
      <c r="AB344" s="57" t="n">
        <f aca="false">MAX(AP344,G344)</f>
        <v>25</v>
      </c>
      <c r="AC344" s="64"/>
      <c r="AD344" s="57" t="n">
        <f aca="false">IF(LEFT(Cockpit!$C$5,1)="A",G344,IF(BW344=1,BX344,IF(LEFT(Cockpit!$C$5,1)="B",AH344,MAX(AH344,G344))))</f>
        <v>25</v>
      </c>
      <c r="AE344" s="57" t="n">
        <f aca="false">IF(BR344=1,0,ROUNDUP(AD344/BQ344,0))</f>
        <v>0</v>
      </c>
      <c r="AF344" s="59" t="n">
        <f aca="false">IF(CD344&gt;0,CD344*MAX(1,AD344/V344),IF(BR344=1,IF(AD344&lt;=0,0,BS344*MAX(1,IF(G344&gt;0,AD344/G344,1))),IF(Q344&gt;0,AE344/Q344,0))/MAX(0.1,N(Parameter!$M$21)))</f>
        <v>0.03</v>
      </c>
      <c r="AG344" s="57" t="n">
        <f aca="false">AD344*F344</f>
        <v>196.75</v>
      </c>
      <c r="AH344" s="57" t="n">
        <f aca="false">ROUNDUP(MAX(I344/IF(BV344&gt;0,BV344,MAX(0.1,N(Cockpit!$C$6))),BY344)/BQ344,0)*BQ344</f>
        <v>5</v>
      </c>
      <c r="AI344" s="58" t="n">
        <f aca="false">IF(AF344&gt;0,I344/AF344,-1)</f>
        <v>0</v>
      </c>
      <c r="AJ344" s="58" t="n">
        <f aca="false">IF(AND(OR(BU344="L1",BU344="L23"),AF344&gt;0),SUMIFS($AF$7:$AF$1576,$BU$7:$BU$1576,BU344,$AI$7:$AI$1576,"&gt;"&amp;AI344)+SUMIFS($AF$7:$AF$1576,$BU$7:$BU$1576,BU344,$AI$7:$AI$1576,AI344,$BO$7:$BO$1576,"&lt;="&amp;BO344),"")</f>
        <v>41.1639491909057</v>
      </c>
      <c r="AK344" s="65" t="n">
        <f aca="false">IF(AJ344="",0,MAX(0,MIN(1,(IF(BU344="L1",Parameter!$E$5,Parameter!$E$6+Parameter!$E$7)-(AJ344-AF344))/AF344)))</f>
        <v>1</v>
      </c>
      <c r="AL344" s="57" t="n">
        <f aca="false">IF(LEFT(Cockpit!$I$5,1)="A",G344,IF(BW344=1,BX344,IF(LEFT(Cockpit!$I$5,1)="B",AP344,MAX(AP344,G344))))</f>
        <v>25</v>
      </c>
      <c r="AM344" s="57" t="n">
        <f aca="false">IF(BR344=1,0,ROUNDUP(AL344/BQ344,0))</f>
        <v>0</v>
      </c>
      <c r="AN344" s="59" t="n">
        <f aca="false">IF(CD344&gt;0,CD344*MAX(1,AL344/V344),IF(BR344=1,IF(AL344&lt;=0,0,BS344*MAX(1,IF(G344&gt;0,AL344/G344,1))),IF(Q344&gt;0,AM344/Q344,0))/MAX(0.1,N(Parameter!$M$21)))</f>
        <v>0.03</v>
      </c>
      <c r="AO344" s="57" t="n">
        <f aca="false">AL344*F344</f>
        <v>196.75</v>
      </c>
      <c r="AP344" s="57" t="n">
        <f aca="false">ROUNDUP(MAX(I344/IF(BV344&gt;0,BV344,MAX(0.1,N(Cockpit!$I$6))),BY344)/BQ344,0)*BQ344</f>
        <v>5</v>
      </c>
      <c r="AQ344" s="58" t="n">
        <f aca="false">IF(AN344&gt;0,I344/AN344,-1)</f>
        <v>0</v>
      </c>
      <c r="AR344" s="58" t="n">
        <f aca="false">IF(AND(OR(BU344="L1",BU344="L23"),AN344&gt;0),SUMIFS($AN$7:$AN$1576,$BU$7:$BU$1576,BU344,$AQ$7:$AQ$1576,"&gt;"&amp;AQ344)+SUMIFS($AN$7:$AN$1576,$BU$7:$BU$1576,BU344,$AQ$7:$AQ$1576,AQ344,$BO$7:$BO$1576,"&lt;="&amp;BO344),"")</f>
        <v>124.038154940695</v>
      </c>
      <c r="AS344" s="65" t="n">
        <f aca="false">IF(AR344="",0,MAX(0,MIN(1,(IF(BU344="L1",Parameter!$E$5,Parameter!$E$6+Parameter!$E$7)-(AR344-AN344))/AN344)))</f>
        <v>0</v>
      </c>
      <c r="AT344" s="57" t="n">
        <f aca="false">IF(LEFT(Cockpit!$O$5,1)="A",G344,IF(BW344=1,BX344,IF(LEFT(Cockpit!$O$5,1)="B",AX344,MAX(AX344,G344))))</f>
        <v>25</v>
      </c>
      <c r="AU344" s="57" t="n">
        <f aca="false">IF(BR344=1,0,ROUNDUP(AT344/BQ344,0))</f>
        <v>0</v>
      </c>
      <c r="AV344" s="59" t="n">
        <f aca="false">IF(CD344&gt;0,CD344*MAX(1,AT344/V344),IF(BR344=1,IF(AT344&lt;=0,0,BS344*MAX(1,IF(G344&gt;0,AT344/G344,1))),IF(Q344&gt;0,AU344/Q344,0))/MAX(0.1,N(Parameter!$M$21)))</f>
        <v>0.03</v>
      </c>
      <c r="AW344" s="57" t="n">
        <f aca="false">AT344*F344</f>
        <v>196.75</v>
      </c>
      <c r="AX344" s="57" t="n">
        <f aca="false">ROUNDUP(MAX(I344/IF(BV344&gt;0,BV344,MAX(0.1,N(Cockpit!$O$6))),BY344)/BQ344,0)*BQ344</f>
        <v>5</v>
      </c>
      <c r="AY344" s="58" t="n">
        <f aca="false">IF(AV344&gt;0,I344/AV344,-1)</f>
        <v>0</v>
      </c>
      <c r="AZ344" s="58" t="n">
        <f aca="false">IF(AND(OR(BU344="L1",BU344="L23"),AV344&gt;0),SUMIFS($AV$7:$AV$1576,$BU$7:$BU$1576,BU344,$AY$7:$AY$1576,"&gt;"&amp;AY344)+SUMIFS($AV$7:$AV$1576,$BU$7:$BU$1576,BU344,$AY$7:$AY$1576,AY344,$BO$7:$BO$1576,"&lt;="&amp;BO344),"")</f>
        <v>114.097705390246</v>
      </c>
      <c r="BA344" s="65" t="n">
        <f aca="false">IF(AZ344="",0,MAX(0,MIN(1,(IF(BU344="L1",Parameter!$E$5,Parameter!$E$6+Parameter!$E$7)-(AZ344-AV344))/AV344)))</f>
        <v>0</v>
      </c>
      <c r="BB344" s="55" t="str">
        <f aca="false">IF(AF344&lt;=0,"",IF(BU344="Aussen","Aussenlager",IF(BU344="-","Nicht im Lift",IF(AK344&gt;=1,"Lift",IF(AK344&lt;=0,"Aussenlager","teilweise")))))</f>
        <v>Lift</v>
      </c>
      <c r="BC344" s="55" t="str">
        <f aca="false">IF(AN344&lt;=0,"",IF(BU344="Aussen","Aussenlager",IF(BU344="-","Nicht im Lift",IF(AS344&gt;=1,"Lift",IF(AS344&lt;=0,"Aussenlager","teilweise")))))</f>
        <v>Aussenlager</v>
      </c>
      <c r="BD344" s="55" t="str">
        <f aca="false">IF(AV344&lt;=0,"",IF(BU344="Aussen","Aussenlager",IF(BU344="-","Nicht im Lift",IF(BA344&gt;=1,"Lift",IF(BA344&lt;=0,"Aussenlager","teilweise")))))</f>
        <v>Aussenlager</v>
      </c>
      <c r="BE344" s="55" t="str">
        <f aca="false">IF(A344="","",IF(BN344=1,"Neu; ","")&amp;IF(AND(BN344=0,BI344&lt;0),"negativer Bestand (Export "&amp;BI344&amp;"); ","")&amp;IF(I344&lt;=0,"Kein Verbrauch; ","")&amp;IF(CD344&gt;0,"Lift "&amp;U344&amp;" lt. Liftbericht (Fach "&amp;V344&amp;" Stk); ",IF(BR344=1,"Lose – Fläche geschätzt; ",""))&amp;IF(G344&gt;AP344,"Überbestand "&amp;ROUND(G344-AP344,0)&amp;" Stk / CHF "&amp;ROUND((G344-AP344)*F344,0)&amp;"; ","")&amp;IF(AND(BW344=1,BX344&lt;BY344),"MAX &lt; MB+LG; ","")&amp;IF(AND(CC344&gt;0,CB344*10&gt;CC344),"zu hoch für Tablar; ","")&amp;IF(AND(BN344=0,OR(BW344=1,Y344&lt;&gt;"",S344&lt;&gt;"",T344&lt;&gt;"",Z344&lt;&gt;"")),"manuell übersteuert; ","")&amp;IF(AND(BR344=0,Q344=0),"Gebinde unbekannt / Stellmass fehlt; ","")&amp;IF(AND(BR344=0,N(T344)&lt;=0,N(P344)&lt;=0),"Menge pro Gebinde fehlt (Ist = 1 Gebinde); ","")&amp;BM344)</f>
        <v>Kein Verbrauch; Lose – Fläche geschätzt; Überbestand 20 Stk / CHF 157; </v>
      </c>
      <c r="BF344" s="55"/>
      <c r="BG344" s="55"/>
      <c r="BH344" s="62"/>
      <c r="BI344" s="57" t="n">
        <v>25</v>
      </c>
      <c r="BJ344" s="57" t="n">
        <v>0</v>
      </c>
      <c r="BK344" s="56" t="n">
        <v>196.75</v>
      </c>
      <c r="BL344" s="57" t="n">
        <v>0</v>
      </c>
      <c r="BM344" s="55"/>
      <c r="BN344" s="60" t="n">
        <v>0</v>
      </c>
      <c r="BO344" s="60" t="n">
        <v>344</v>
      </c>
      <c r="BP344" s="55" t="str">
        <f aca="false">IF(S344&lt;&gt;"",UPPER(TRIM(S344)),IF(O344="","LOSE",O344))</f>
        <v>LOSE</v>
      </c>
      <c r="BQ344" s="57" t="n">
        <f aca="false">IF(BP344="LOSE",1,IF(N(T344)&gt;0,T344,IF(N(P344)&gt;0,P344,MAX(1,G344))))</f>
        <v>1</v>
      </c>
      <c r="BR344" s="60" t="n">
        <f aca="false">IF(BP344="LOSE",1,0)</f>
        <v>1</v>
      </c>
      <c r="BS344" s="59" t="n">
        <f aca="false">IF(BR344=0,0,IF(N(R344)&gt;0,R344,IFERROR(VLOOKUP(D344,Parameter!$A$35:$C$64,3,0)+0,0)))</f>
        <v>0.03</v>
      </c>
      <c r="BT344" s="55" t="n">
        <f aca="false">IF(Y344&lt;&gt;"",Y344,X344)</f>
        <v>2</v>
      </c>
      <c r="BU344" s="55" t="str">
        <f aca="false">IF(BT344=1,"L1",IF(OR(BT344=2,BT344=3),"L23",IF(BT344="Aussen","Aussen","-")))</f>
        <v>L23</v>
      </c>
      <c r="BV344" s="66" t="n">
        <f aca="false">IF(N(Z344)&gt;0,Z344,0)</f>
        <v>0</v>
      </c>
      <c r="BW344" s="60" t="n">
        <f aca="false">IF(ISNUMBER(AC344),1,0)</f>
        <v>0</v>
      </c>
      <c r="BX344" s="57" t="n">
        <f aca="false">N(AC344)</f>
        <v>0</v>
      </c>
      <c r="BY344" s="57" t="n">
        <f aca="false">N(L344)+N(M344)</f>
        <v>5</v>
      </c>
      <c r="BZ344" s="57" t="n">
        <f aca="false">ROUNDUP(G344/BQ344,0)</f>
        <v>25</v>
      </c>
      <c r="CA344" s="57" t="n">
        <f aca="false">ROUNDUP(BX344/BQ344,0)</f>
        <v>0</v>
      </c>
      <c r="CB344" s="60" t="n">
        <f aca="false">IF(BR344=1,0,IFERROR(VLOOKUP(BP344,'Gebinde-Kategorie'!$A$5:$M$45,5,0)+0,0))</f>
        <v>0</v>
      </c>
      <c r="CC344" s="60" t="n">
        <f aca="false">IFERROR(IF(OR(BT344=1,BT344=2,BT344=3),N(INDEX(Parameter!$I$5:$I$7,BT344)),0),0)</f>
        <v>0</v>
      </c>
      <c r="CD344" s="59" t="n">
        <f aca="false">IF(AND(Parameter!$B$21="Ja",ISNUMBER(U344),N(V344)&gt;0),IFERROR(N(INDEX(Parameter!$L$5:$L$7,U344))*INDEX(Parameter!$E$5:$E$7,U344)*V344/SUMIFS($V$7:$V$1576,$U$7:$U$1576,U344),0),0)</f>
        <v>0</v>
      </c>
    </row>
    <row r="345" customFormat="false" ht="15" hidden="false" customHeight="false" outlineLevel="0" collapsed="false">
      <c r="A345" s="55" t="s">
        <v>835</v>
      </c>
      <c r="B345" s="55" t="s">
        <v>836</v>
      </c>
      <c r="C345" s="55" t="s">
        <v>160</v>
      </c>
      <c r="D345" s="55" t="s">
        <v>178</v>
      </c>
      <c r="E345" s="55" t="s">
        <v>210</v>
      </c>
      <c r="F345" s="56" t="n">
        <v>32.53</v>
      </c>
      <c r="G345" s="57" t="n">
        <f aca="false">MAX(0,IF(AND(Parameter!$B$21="Ja",ISNUMBER(W345)),W345,IF(Parameter!$B$20="Jahresanfang 2025 + Export",BJ345+BI345,BI345)))</f>
        <v>6</v>
      </c>
      <c r="H345" s="57" t="n">
        <f aca="false">G345*F345</f>
        <v>195.18</v>
      </c>
      <c r="I345" s="57" t="n">
        <f aca="false">BL345*Parameter!$B$18</f>
        <v>20</v>
      </c>
      <c r="J345" s="58" t="n">
        <v>10</v>
      </c>
      <c r="K345" s="59" t="n">
        <v>2</v>
      </c>
      <c r="L345" s="57" t="n">
        <v>0</v>
      </c>
      <c r="M345" s="57" t="n">
        <v>20</v>
      </c>
      <c r="N345" s="60" t="n">
        <v>14</v>
      </c>
      <c r="O345" s="55" t="s">
        <v>293</v>
      </c>
      <c r="P345" s="57" t="n">
        <v>37</v>
      </c>
      <c r="Q345" s="60" t="n">
        <f aca="false">IF(BR345=1,0,IFERROR(VLOOKUP(BP345,'Gebinde-Kategorie'!$A$5:$M$45,13,0)+0,0))</f>
        <v>26</v>
      </c>
      <c r="R345" s="61"/>
      <c r="S345" s="62"/>
      <c r="T345" s="62"/>
      <c r="U345" s="55"/>
      <c r="V345" s="57"/>
      <c r="W345" s="57"/>
      <c r="X345" s="55" t="n">
        <f aca="false">IF(A345="","",IF(AND(Parameter!$B$21="Ja",ISNUMBER(U345)),U345,IF(IFERROR(VLOOKUP(D345,Parameter!$A$35:$C$64,2,0),"Nein")="2+3",IF(ISNUMBER(SEARCH("grosser Artikel",BM345)),2,IFERROR(VLOOKUP(BP345,Parameter!$F$35:$G$64,2,0),2)),IF(OR(IFERROR(VLOOKUP(D345,Parameter!$A$35:$C$64,2,0),"Nein")="Nein",IFERROR(VLOOKUP(D345,Parameter!$A$35:$C$64,2,0),"Nein")=""),"-",VLOOKUP(D345,Parameter!$A$35:$C$64,2,0)))))</f>
        <v>3</v>
      </c>
      <c r="Y345" s="62"/>
      <c r="Z345" s="63"/>
      <c r="AA345" s="57" t="n">
        <f aca="false">AP345</f>
        <v>37</v>
      </c>
      <c r="AB345" s="57" t="n">
        <f aca="false">MAX(AP345,G345)</f>
        <v>37</v>
      </c>
      <c r="AC345" s="64"/>
      <c r="AD345" s="57" t="n">
        <f aca="false">IF(LEFT(Cockpit!$C$5,1)="A",G345,IF(BW345=1,BX345,IF(LEFT(Cockpit!$C$5,1)="B",AH345,MAX(AH345,G345))))</f>
        <v>6</v>
      </c>
      <c r="AE345" s="57" t="n">
        <f aca="false">IF(BR345=1,0,ROUNDUP(AD345/BQ345,0))</f>
        <v>1</v>
      </c>
      <c r="AF345" s="59" t="n">
        <f aca="false">IF(CD345&gt;0,CD345*MAX(1,AD345/V345),IF(BR345=1,IF(AD345&lt;=0,0,BS345*MAX(1,IF(G345&gt;0,AD345/G345,1))),IF(Q345&gt;0,AE345/Q345,0))/MAX(0.1,N(Parameter!$M$21)))</f>
        <v>0.0384615384615385</v>
      </c>
      <c r="AG345" s="57" t="n">
        <f aca="false">AD345*F345</f>
        <v>195.18</v>
      </c>
      <c r="AH345" s="57" t="n">
        <f aca="false">ROUNDUP(MAX(I345/IF(BV345&gt;0,BV345,MAX(0.1,N(Cockpit!$C$6))),BY345)/BQ345,0)*BQ345</f>
        <v>37</v>
      </c>
      <c r="AI345" s="58" t="n">
        <f aca="false">IF(AF345&gt;0,I345/AF345,-1)</f>
        <v>520</v>
      </c>
      <c r="AJ345" s="58" t="n">
        <f aca="false">IF(AND(OR(BU345="L1",BU345="L23"),AF345&gt;0),SUMIFS($AF$7:$AF$1576,$BU$7:$BU$1576,BU345,$AI$7:$AI$1576,"&gt;"&amp;AI345)+SUMIFS($AF$7:$AF$1576,$BU$7:$BU$1576,BU345,$AI$7:$AI$1576,AI345,$BO$7:$BO$1576,"&lt;="&amp;BO345),"")</f>
        <v>12.3627306509915</v>
      </c>
      <c r="AK345" s="65" t="n">
        <f aca="false">IF(AJ345="",0,MAX(0,MIN(1,(IF(BU345="L1",Parameter!$E$5,Parameter!$E$6+Parameter!$E$7)-(AJ345-AF345))/AF345)))</f>
        <v>1</v>
      </c>
      <c r="AL345" s="57" t="n">
        <f aca="false">IF(LEFT(Cockpit!$I$5,1)="A",G345,IF(BW345=1,BX345,IF(LEFT(Cockpit!$I$5,1)="B",AP345,MAX(AP345,G345))))</f>
        <v>37</v>
      </c>
      <c r="AM345" s="57" t="n">
        <f aca="false">IF(BR345=1,0,ROUNDUP(AL345/BQ345,0))</f>
        <v>1</v>
      </c>
      <c r="AN345" s="59" t="n">
        <f aca="false">IF(CD345&gt;0,CD345*MAX(1,AL345/V345),IF(BR345=1,IF(AL345&lt;=0,0,BS345*MAX(1,IF(G345&gt;0,AL345/G345,1))),IF(Q345&gt;0,AM345/Q345,0))/MAX(0.1,N(Parameter!$M$21)))</f>
        <v>0.0384615384615385</v>
      </c>
      <c r="AO345" s="57" t="n">
        <f aca="false">AL345*F345</f>
        <v>1203.61</v>
      </c>
      <c r="AP345" s="57" t="n">
        <f aca="false">ROUNDUP(MAX(I345/IF(BV345&gt;0,BV345,MAX(0.1,N(Cockpit!$I$6))),BY345)/BQ345,0)*BQ345</f>
        <v>37</v>
      </c>
      <c r="AQ345" s="58" t="n">
        <f aca="false">IF(AN345&gt;0,I345/AN345,-1)</f>
        <v>520</v>
      </c>
      <c r="AR345" s="58" t="n">
        <f aca="false">IF(AND(OR(BU345="L1",BU345="L23"),AN345&gt;0),SUMIFS($AN$7:$AN$1576,$BU$7:$BU$1576,BU345,$AQ$7:$AQ$1576,"&gt;"&amp;AQ345)+SUMIFS($AN$7:$AN$1576,$BU$7:$BU$1576,BU345,$AQ$7:$AQ$1576,AQ345,$BO$7:$BO$1576,"&lt;="&amp;BO345),"")</f>
        <v>33.1852970824822</v>
      </c>
      <c r="AS345" s="65" t="n">
        <f aca="false">IF(AR345="",0,MAX(0,MIN(1,(IF(BU345="L1",Parameter!$E$5,Parameter!$E$6+Parameter!$E$7)-(AR345-AN345))/AN345)))</f>
        <v>1</v>
      </c>
      <c r="AT345" s="57" t="n">
        <f aca="false">IF(LEFT(Cockpit!$O$5,1)="A",G345,IF(BW345=1,BX345,IF(LEFT(Cockpit!$O$5,1)="B",AX345,MAX(AX345,G345))))</f>
        <v>37</v>
      </c>
      <c r="AU345" s="57" t="n">
        <f aca="false">IF(BR345=1,0,ROUNDUP(AT345/BQ345,0))</f>
        <v>1</v>
      </c>
      <c r="AV345" s="59" t="n">
        <f aca="false">IF(CD345&gt;0,CD345*MAX(1,AT345/V345),IF(BR345=1,IF(AT345&lt;=0,0,BS345*MAX(1,IF(G345&gt;0,AT345/G345,1))),IF(Q345&gt;0,AU345/Q345,0))/MAX(0.1,N(Parameter!$M$21)))</f>
        <v>0.0384615384615385</v>
      </c>
      <c r="AW345" s="57" t="n">
        <f aca="false">AT345*F345</f>
        <v>1203.61</v>
      </c>
      <c r="AX345" s="57" t="n">
        <f aca="false">ROUNDUP(MAX(I345/IF(BV345&gt;0,BV345,MAX(0.1,N(Cockpit!$O$6))),BY345)/BQ345,0)*BQ345</f>
        <v>37</v>
      </c>
      <c r="AY345" s="58" t="n">
        <f aca="false">IF(AV345&gt;0,I345/AV345,-1)</f>
        <v>520</v>
      </c>
      <c r="AZ345" s="58" t="n">
        <f aca="false">IF(AND(OR(BU345="L1",BU345="L23"),AV345&gt;0),SUMIFS($AV$7:$AV$1576,$BU$7:$BU$1576,BU345,$AY$7:$AY$1576,"&gt;"&amp;AY345)+SUMIFS($AV$7:$AV$1576,$BU$7:$BU$1576,BU345,$AY$7:$AY$1576,AY345,$BO$7:$BO$1576,"&lt;="&amp;BO345),"")</f>
        <v>31.2619837291688</v>
      </c>
      <c r="BA345" s="65" t="n">
        <f aca="false">IF(AZ345="",0,MAX(0,MIN(1,(IF(BU345="L1",Parameter!$E$5,Parameter!$E$6+Parameter!$E$7)-(AZ345-AV345))/AV345)))</f>
        <v>1</v>
      </c>
      <c r="BB345" s="55" t="str">
        <f aca="false">IF(AF345&lt;=0,"",IF(BU345="Aussen","Aussenlager",IF(BU345="-","Nicht im Lift",IF(AK345&gt;=1,"Lift",IF(AK345&lt;=0,"Aussenlager","teilweise")))))</f>
        <v>Lift</v>
      </c>
      <c r="BC345" s="55" t="str">
        <f aca="false">IF(AN345&lt;=0,"",IF(BU345="Aussen","Aussenlager",IF(BU345="-","Nicht im Lift",IF(AS345&gt;=1,"Lift",IF(AS345&lt;=0,"Aussenlager","teilweise")))))</f>
        <v>Lift</v>
      </c>
      <c r="BD345" s="55" t="str">
        <f aca="false">IF(AV345&lt;=0,"",IF(BU345="Aussen","Aussenlager",IF(BU345="-","Nicht im Lift",IF(BA345&gt;=1,"Lift",IF(BA345&lt;=0,"Aussenlager","teilweise")))))</f>
        <v>Lift</v>
      </c>
      <c r="BE345" s="55" t="str">
        <f aca="false">IF(A345="","",IF(BN345=1,"Neu; ","")&amp;IF(AND(BN345=0,BI345&lt;0),"negativer Bestand (Export "&amp;BI345&amp;"); ","")&amp;IF(I345&lt;=0,"Kein Verbrauch; ","")&amp;IF(CD345&gt;0,"Lift "&amp;U345&amp;" lt. Liftbericht (Fach "&amp;V345&amp;" Stk); ",IF(BR345=1,"Lose – Fläche geschätzt; ",""))&amp;IF(G345&gt;AP345,"Überbestand "&amp;ROUND(G345-AP345,0)&amp;" Stk / CHF "&amp;ROUND((G345-AP345)*F345,0)&amp;"; ","")&amp;IF(AND(BW345=1,BX345&lt;BY345),"MAX &lt; MB+LG; ","")&amp;IF(AND(CC345&gt;0,CB345*10&gt;CC345),"zu hoch für Tablar; ","")&amp;IF(AND(BN345=0,OR(BW345=1,Y345&lt;&gt;"",S345&lt;&gt;"",T345&lt;&gt;"",Z345&lt;&gt;"")),"manuell übersteuert; ","")&amp;IF(AND(BR345=0,Q345=0),"Gebinde unbekannt / Stellmass fehlt; ","")&amp;IF(AND(BR345=0,N(T345)&lt;=0,N(P345)&lt;=0),"Menge pro Gebinde fehlt (Ist = 1 Gebinde); ","")&amp;BM345)</f>
        <v/>
      </c>
      <c r="BF345" s="55"/>
      <c r="BG345" s="55"/>
      <c r="BH345" s="62"/>
      <c r="BI345" s="57" t="n">
        <v>6</v>
      </c>
      <c r="BJ345" s="57" t="n">
        <v>10</v>
      </c>
      <c r="BK345" s="56" t="n">
        <v>195.58</v>
      </c>
      <c r="BL345" s="57" t="n">
        <v>20</v>
      </c>
      <c r="BM345" s="55"/>
      <c r="BN345" s="60" t="n">
        <v>0</v>
      </c>
      <c r="BO345" s="60" t="n">
        <v>345</v>
      </c>
      <c r="BP345" s="55" t="str">
        <f aca="false">IF(S345&lt;&gt;"",UPPER(TRIM(S345)),IF(O345="","LOSE",O345))</f>
        <v>S51</v>
      </c>
      <c r="BQ345" s="57" t="n">
        <f aca="false">IF(BP345="LOSE",1,IF(N(T345)&gt;0,T345,IF(N(P345)&gt;0,P345,MAX(1,G345))))</f>
        <v>37</v>
      </c>
      <c r="BR345" s="60" t="n">
        <f aca="false">IF(BP345="LOSE",1,0)</f>
        <v>0</v>
      </c>
      <c r="BS345" s="59" t="n">
        <f aca="false">IF(BR345=0,0,IF(N(R345)&gt;0,R345,IFERROR(VLOOKUP(D345,Parameter!$A$35:$C$64,3,0)+0,0)))</f>
        <v>0</v>
      </c>
      <c r="BT345" s="55" t="n">
        <f aca="false">IF(Y345&lt;&gt;"",Y345,X345)</f>
        <v>3</v>
      </c>
      <c r="BU345" s="55" t="str">
        <f aca="false">IF(BT345=1,"L1",IF(OR(BT345=2,BT345=3),"L23",IF(BT345="Aussen","Aussen","-")))</f>
        <v>L23</v>
      </c>
      <c r="BV345" s="66" t="n">
        <f aca="false">IF(N(Z345)&gt;0,Z345,0)</f>
        <v>0</v>
      </c>
      <c r="BW345" s="60" t="n">
        <f aca="false">IF(ISNUMBER(AC345),1,0)</f>
        <v>0</v>
      </c>
      <c r="BX345" s="57" t="n">
        <f aca="false">N(AC345)</f>
        <v>0</v>
      </c>
      <c r="BY345" s="57" t="n">
        <f aca="false">N(L345)+N(M345)</f>
        <v>20</v>
      </c>
      <c r="BZ345" s="57" t="n">
        <f aca="false">ROUNDUP(G345/BQ345,0)</f>
        <v>1</v>
      </c>
      <c r="CA345" s="57" t="n">
        <f aca="false">ROUNDUP(BX345/BQ345,0)</f>
        <v>0</v>
      </c>
      <c r="CB345" s="60" t="n">
        <f aca="false">IF(BR345=1,0,IFERROR(VLOOKUP(BP345,'Gebinde-Kategorie'!$A$5:$M$45,5,0)+0,0))</f>
        <v>11</v>
      </c>
      <c r="CC345" s="60" t="n">
        <f aca="false">IFERROR(IF(OR(BT345=1,BT345=2,BT345=3),N(INDEX(Parameter!$I$5:$I$7,BT345)),0),0)</f>
        <v>0</v>
      </c>
      <c r="CD345" s="59" t="n">
        <f aca="false">IF(AND(Parameter!$B$21="Ja",ISNUMBER(U345),N(V345)&gt;0),IFERROR(N(INDEX(Parameter!$L$5:$L$7,U345))*INDEX(Parameter!$E$5:$E$7,U345)*V345/SUMIFS($V$7:$V$1576,$U$7:$U$1576,U345),0),0)</f>
        <v>0</v>
      </c>
    </row>
    <row r="346" customFormat="false" ht="15" hidden="false" customHeight="false" outlineLevel="0" collapsed="false">
      <c r="A346" s="55" t="s">
        <v>837</v>
      </c>
      <c r="B346" s="55" t="s">
        <v>838</v>
      </c>
      <c r="C346" s="55" t="s">
        <v>160</v>
      </c>
      <c r="D346" s="55" t="s">
        <v>839</v>
      </c>
      <c r="E346" s="55" t="s">
        <v>210</v>
      </c>
      <c r="F346" s="56" t="n">
        <v>32.1</v>
      </c>
      <c r="G346" s="57" t="n">
        <f aca="false">MAX(0,IF(AND(Parameter!$B$21="Ja",ISNUMBER(W346)),W346,IF(Parameter!$B$20="Jahresanfang 2025 + Export",BJ346+BI346,BI346)))</f>
        <v>6</v>
      </c>
      <c r="H346" s="57" t="n">
        <f aca="false">G346*F346</f>
        <v>192.6</v>
      </c>
      <c r="I346" s="57" t="n">
        <f aca="false">BL346*Parameter!$B$18</f>
        <v>6</v>
      </c>
      <c r="J346" s="58" t="n">
        <v>0</v>
      </c>
      <c r="K346" s="59" t="n">
        <v>0</v>
      </c>
      <c r="L346" s="57" t="n">
        <v>0</v>
      </c>
      <c r="M346" s="57" t="n">
        <v>6</v>
      </c>
      <c r="N346" s="60" t="n">
        <v>14</v>
      </c>
      <c r="O346" s="55" t="s">
        <v>163</v>
      </c>
      <c r="P346" s="57"/>
      <c r="Q346" s="60" t="n">
        <f aca="false">IF(BR346=1,0,IFERROR(VLOOKUP(BP346,'Gebinde-Kategorie'!$A$5:$M$45,13,0)+0,0))</f>
        <v>0</v>
      </c>
      <c r="R346" s="61"/>
      <c r="S346" s="62"/>
      <c r="T346" s="62"/>
      <c r="U346" s="55"/>
      <c r="V346" s="57"/>
      <c r="W346" s="57"/>
      <c r="X346" s="55" t="str">
        <f aca="false">IF(A346="","",IF(AND(Parameter!$B$21="Ja",ISNUMBER(U346)),U346,IF(IFERROR(VLOOKUP(D346,Parameter!$A$35:$C$64,2,0),"Nein")="2+3",IF(ISNUMBER(SEARCH("grosser Artikel",BM346)),2,IFERROR(VLOOKUP(BP346,Parameter!$F$35:$G$64,2,0),2)),IF(OR(IFERROR(VLOOKUP(D346,Parameter!$A$35:$C$64,2,0),"Nein")="Nein",IFERROR(VLOOKUP(D346,Parameter!$A$35:$C$64,2,0),"Nein")=""),"-",VLOOKUP(D346,Parameter!$A$35:$C$64,2,0)))))</f>
        <v>-</v>
      </c>
      <c r="Y346" s="62"/>
      <c r="Z346" s="63"/>
      <c r="AA346" s="57" t="n">
        <f aca="false">AP346</f>
        <v>6</v>
      </c>
      <c r="AB346" s="57" t="n">
        <f aca="false">MAX(AP346,G346)</f>
        <v>6</v>
      </c>
      <c r="AC346" s="64"/>
      <c r="AD346" s="57" t="n">
        <f aca="false">IF(LEFT(Cockpit!$C$5,1)="A",G346,IF(BW346=1,BX346,IF(LEFT(Cockpit!$C$5,1)="B",AH346,MAX(AH346,G346))))</f>
        <v>6</v>
      </c>
      <c r="AE346" s="57" t="n">
        <f aca="false">IF(BR346=1,0,ROUNDUP(AD346/BQ346,0))</f>
        <v>0</v>
      </c>
      <c r="AF346" s="59" t="n">
        <f aca="false">IF(CD346&gt;0,CD346*MAX(1,AD346/V346),IF(BR346=1,IF(AD346&lt;=0,0,BS346*MAX(1,IF(G346&gt;0,AD346/G346,1))),IF(Q346&gt;0,AE346/Q346,0))/MAX(0.1,N(Parameter!$M$21)))</f>
        <v>0.15</v>
      </c>
      <c r="AG346" s="57" t="n">
        <f aca="false">AD346*F346</f>
        <v>192.6</v>
      </c>
      <c r="AH346" s="57" t="n">
        <f aca="false">ROUNDUP(MAX(I346/IF(BV346&gt;0,BV346,MAX(0.1,N(Cockpit!$C$6))),BY346)/BQ346,0)*BQ346</f>
        <v>6</v>
      </c>
      <c r="AI346" s="58" t="n">
        <f aca="false">IF(AF346&gt;0,I346/AF346,-1)</f>
        <v>40</v>
      </c>
      <c r="AJ346" s="58" t="str">
        <f aca="false">IF(AND(OR(BU346="L1",BU346="L23"),AF346&gt;0),SUMIFS($AF$7:$AF$1576,$BU$7:$BU$1576,BU346,$AI$7:$AI$1576,"&gt;"&amp;AI346)+SUMIFS($AF$7:$AF$1576,$BU$7:$BU$1576,BU346,$AI$7:$AI$1576,AI346,$BO$7:$BO$1576,"&lt;="&amp;BO346),"")</f>
        <v/>
      </c>
      <c r="AK346" s="65" t="n">
        <f aca="false">IF(AJ346="",0,MAX(0,MIN(1,(IF(BU346="L1",Parameter!$E$5,Parameter!$E$6+Parameter!$E$7)-(AJ346-AF346))/AF346)))</f>
        <v>0</v>
      </c>
      <c r="AL346" s="57" t="n">
        <f aca="false">IF(LEFT(Cockpit!$I$5,1)="A",G346,IF(BW346=1,BX346,IF(LEFT(Cockpit!$I$5,1)="B",AP346,MAX(AP346,G346))))</f>
        <v>6</v>
      </c>
      <c r="AM346" s="57" t="n">
        <f aca="false">IF(BR346=1,0,ROUNDUP(AL346/BQ346,0))</f>
        <v>0</v>
      </c>
      <c r="AN346" s="59" t="n">
        <f aca="false">IF(CD346&gt;0,CD346*MAX(1,AL346/V346),IF(BR346=1,IF(AL346&lt;=0,0,BS346*MAX(1,IF(G346&gt;0,AL346/G346,1))),IF(Q346&gt;0,AM346/Q346,0))/MAX(0.1,N(Parameter!$M$21)))</f>
        <v>0.15</v>
      </c>
      <c r="AO346" s="57" t="n">
        <f aca="false">AL346*F346</f>
        <v>192.6</v>
      </c>
      <c r="AP346" s="57" t="n">
        <f aca="false">ROUNDUP(MAX(I346/IF(BV346&gt;0,BV346,MAX(0.1,N(Cockpit!$I$6))),BY346)/BQ346,0)*BQ346</f>
        <v>6</v>
      </c>
      <c r="AQ346" s="58" t="n">
        <f aca="false">IF(AN346&gt;0,I346/AN346,-1)</f>
        <v>40</v>
      </c>
      <c r="AR346" s="58" t="str">
        <f aca="false">IF(AND(OR(BU346="L1",BU346="L23"),AN346&gt;0),SUMIFS($AN$7:$AN$1576,$BU$7:$BU$1576,BU346,$AQ$7:$AQ$1576,"&gt;"&amp;AQ346)+SUMIFS($AN$7:$AN$1576,$BU$7:$BU$1576,BU346,$AQ$7:$AQ$1576,AQ346,$BO$7:$BO$1576,"&lt;="&amp;BO346),"")</f>
        <v/>
      </c>
      <c r="AS346" s="65" t="n">
        <f aca="false">IF(AR346="",0,MAX(0,MIN(1,(IF(BU346="L1",Parameter!$E$5,Parameter!$E$6+Parameter!$E$7)-(AR346-AN346))/AN346)))</f>
        <v>0</v>
      </c>
      <c r="AT346" s="57" t="n">
        <f aca="false">IF(LEFT(Cockpit!$O$5,1)="A",G346,IF(BW346=1,BX346,IF(LEFT(Cockpit!$O$5,1)="B",AX346,MAX(AX346,G346))))</f>
        <v>6</v>
      </c>
      <c r="AU346" s="57" t="n">
        <f aca="false">IF(BR346=1,0,ROUNDUP(AT346/BQ346,0))</f>
        <v>0</v>
      </c>
      <c r="AV346" s="59" t="n">
        <f aca="false">IF(CD346&gt;0,CD346*MAX(1,AT346/V346),IF(BR346=1,IF(AT346&lt;=0,0,BS346*MAX(1,IF(G346&gt;0,AT346/G346,1))),IF(Q346&gt;0,AU346/Q346,0))/MAX(0.1,N(Parameter!$M$21)))</f>
        <v>0.15</v>
      </c>
      <c r="AW346" s="57" t="n">
        <f aca="false">AT346*F346</f>
        <v>192.6</v>
      </c>
      <c r="AX346" s="57" t="n">
        <f aca="false">ROUNDUP(MAX(I346/IF(BV346&gt;0,BV346,MAX(0.1,N(Cockpit!$O$6))),BY346)/BQ346,0)*BQ346</f>
        <v>6</v>
      </c>
      <c r="AY346" s="58" t="n">
        <f aca="false">IF(AV346&gt;0,I346/AV346,-1)</f>
        <v>40</v>
      </c>
      <c r="AZ346" s="58" t="str">
        <f aca="false">IF(AND(OR(BU346="L1",BU346="L23"),AV346&gt;0),SUMIFS($AV$7:$AV$1576,$BU$7:$BU$1576,BU346,$AY$7:$AY$1576,"&gt;"&amp;AY346)+SUMIFS($AV$7:$AV$1576,$BU$7:$BU$1576,BU346,$AY$7:$AY$1576,AY346,$BO$7:$BO$1576,"&lt;="&amp;BO346),"")</f>
        <v/>
      </c>
      <c r="BA346" s="65" t="n">
        <f aca="false">IF(AZ346="",0,MAX(0,MIN(1,(IF(BU346="L1",Parameter!$E$5,Parameter!$E$6+Parameter!$E$7)-(AZ346-AV346))/AV346)))</f>
        <v>0</v>
      </c>
      <c r="BB346" s="55" t="str">
        <f aca="false">IF(AF346&lt;=0,"",IF(BU346="Aussen","Aussenlager",IF(BU346="-","Nicht im Lift",IF(AK346&gt;=1,"Lift",IF(AK346&lt;=0,"Aussenlager","teilweise")))))</f>
        <v>Nicht im Lift</v>
      </c>
      <c r="BC346" s="55" t="str">
        <f aca="false">IF(AN346&lt;=0,"",IF(BU346="Aussen","Aussenlager",IF(BU346="-","Nicht im Lift",IF(AS346&gt;=1,"Lift",IF(AS346&lt;=0,"Aussenlager","teilweise")))))</f>
        <v>Nicht im Lift</v>
      </c>
      <c r="BD346" s="55" t="str">
        <f aca="false">IF(AV346&lt;=0,"",IF(BU346="Aussen","Aussenlager",IF(BU346="-","Nicht im Lift",IF(BA346&gt;=1,"Lift",IF(BA346&lt;=0,"Aussenlager","teilweise")))))</f>
        <v>Nicht im Lift</v>
      </c>
      <c r="BE346" s="55" t="str">
        <f aca="false">IF(A346="","",IF(BN346=1,"Neu; ","")&amp;IF(AND(BN346=0,BI346&lt;0),"negativer Bestand (Export "&amp;BI346&amp;"); ","")&amp;IF(I346&lt;=0,"Kein Verbrauch; ","")&amp;IF(CD346&gt;0,"Lift "&amp;U346&amp;" lt. Liftbericht (Fach "&amp;V346&amp;" Stk); ",IF(BR346=1,"Lose – Fläche geschätzt; ",""))&amp;IF(G346&gt;AP346,"Überbestand "&amp;ROUND(G346-AP346,0)&amp;" Stk / CHF "&amp;ROUND((G346-AP346)*F346,0)&amp;"; ","")&amp;IF(AND(BW346=1,BX346&lt;BY346),"MAX &lt; MB+LG; ","")&amp;IF(AND(CC346&gt;0,CB346*10&gt;CC346),"zu hoch für Tablar; ","")&amp;IF(AND(BN346=0,OR(BW346=1,Y346&lt;&gt;"",S346&lt;&gt;"",T346&lt;&gt;"",Z346&lt;&gt;"")),"manuell übersteuert; ","")&amp;IF(AND(BR346=0,Q346=0),"Gebinde unbekannt / Stellmass fehlt; ","")&amp;IF(AND(BR346=0,N(T346)&lt;=0,N(P346)&lt;=0),"Menge pro Gebinde fehlt (Ist = 1 Gebinde); ","")&amp;BM346)</f>
        <v>Lose – Fläche geschätzt; </v>
      </c>
      <c r="BF346" s="55"/>
      <c r="BG346" s="55"/>
      <c r="BH346" s="62"/>
      <c r="BI346" s="57" t="n">
        <v>6</v>
      </c>
      <c r="BJ346" s="57" t="n">
        <v>0</v>
      </c>
      <c r="BK346" s="56" t="n">
        <v>192.6</v>
      </c>
      <c r="BL346" s="57" t="n">
        <v>6</v>
      </c>
      <c r="BM346" s="55"/>
      <c r="BN346" s="60" t="n">
        <v>0</v>
      </c>
      <c r="BO346" s="60" t="n">
        <v>346</v>
      </c>
      <c r="BP346" s="55" t="str">
        <f aca="false">IF(S346&lt;&gt;"",UPPER(TRIM(S346)),IF(O346="","LOSE",O346))</f>
        <v>LOSE</v>
      </c>
      <c r="BQ346" s="57" t="n">
        <f aca="false">IF(BP346="LOSE",1,IF(N(T346)&gt;0,T346,IF(N(P346)&gt;0,P346,MAX(1,G346))))</f>
        <v>1</v>
      </c>
      <c r="BR346" s="60" t="n">
        <f aca="false">IF(BP346="LOSE",1,0)</f>
        <v>1</v>
      </c>
      <c r="BS346" s="59" t="n">
        <f aca="false">IF(BR346=0,0,IF(N(R346)&gt;0,R346,IFERROR(VLOOKUP(D346,Parameter!$A$35:$C$64,3,0)+0,0)))</f>
        <v>0.15</v>
      </c>
      <c r="BT346" s="55" t="str">
        <f aca="false">IF(Y346&lt;&gt;"",Y346,X346)</f>
        <v>-</v>
      </c>
      <c r="BU346" s="55" t="str">
        <f aca="false">IF(BT346=1,"L1",IF(OR(BT346=2,BT346=3),"L23",IF(BT346="Aussen","Aussen","-")))</f>
        <v>-</v>
      </c>
      <c r="BV346" s="66" t="n">
        <f aca="false">IF(N(Z346)&gt;0,Z346,0)</f>
        <v>0</v>
      </c>
      <c r="BW346" s="60" t="n">
        <f aca="false">IF(ISNUMBER(AC346),1,0)</f>
        <v>0</v>
      </c>
      <c r="BX346" s="57" t="n">
        <f aca="false">N(AC346)</f>
        <v>0</v>
      </c>
      <c r="BY346" s="57" t="n">
        <f aca="false">N(L346)+N(M346)</f>
        <v>6</v>
      </c>
      <c r="BZ346" s="57" t="n">
        <f aca="false">ROUNDUP(G346/BQ346,0)</f>
        <v>6</v>
      </c>
      <c r="CA346" s="57" t="n">
        <f aca="false">ROUNDUP(BX346/BQ346,0)</f>
        <v>0</v>
      </c>
      <c r="CB346" s="60" t="n">
        <f aca="false">IF(BR346=1,0,IFERROR(VLOOKUP(BP346,'Gebinde-Kategorie'!$A$5:$M$45,5,0)+0,0))</f>
        <v>0</v>
      </c>
      <c r="CC346" s="60" t="n">
        <f aca="false">IFERROR(IF(OR(BT346=1,BT346=2,BT346=3),N(INDEX(Parameter!$I$5:$I$7,BT346)),0),0)</f>
        <v>0</v>
      </c>
      <c r="CD346" s="59" t="n">
        <f aca="false">IF(AND(Parameter!$B$21="Ja",ISNUMBER(U346),N(V346)&gt;0),IFERROR(N(INDEX(Parameter!$L$5:$L$7,U346))*INDEX(Parameter!$E$5:$E$7,U346)*V346/SUMIFS($V$7:$V$1576,$U$7:$U$1576,U346),0),0)</f>
        <v>0</v>
      </c>
    </row>
    <row r="347" customFormat="false" ht="15" hidden="false" customHeight="false" outlineLevel="0" collapsed="false">
      <c r="A347" s="55" t="s">
        <v>840</v>
      </c>
      <c r="B347" s="55" t="s">
        <v>841</v>
      </c>
      <c r="C347" s="55" t="s">
        <v>160</v>
      </c>
      <c r="D347" s="55" t="s">
        <v>178</v>
      </c>
      <c r="E347" s="55" t="s">
        <v>210</v>
      </c>
      <c r="F347" s="56" t="n">
        <v>5.4</v>
      </c>
      <c r="G347" s="57" t="n">
        <f aca="false">MAX(0,IF(AND(Parameter!$B$21="Ja",ISNUMBER(W347)),W347,IF(Parameter!$B$20="Jahresanfang 2025 + Export",BJ347+BI347,BI347)))</f>
        <v>35</v>
      </c>
      <c r="H347" s="57" t="n">
        <f aca="false">G347*F347</f>
        <v>189</v>
      </c>
      <c r="I347" s="57" t="n">
        <f aca="false">BL347*Parameter!$B$18</f>
        <v>50</v>
      </c>
      <c r="J347" s="58" t="n">
        <v>11</v>
      </c>
      <c r="K347" s="59" t="n">
        <v>4.54545454545455</v>
      </c>
      <c r="L347" s="57" t="n">
        <v>1</v>
      </c>
      <c r="M347" s="57" t="n">
        <v>50</v>
      </c>
      <c r="N347" s="60" t="n">
        <v>14</v>
      </c>
      <c r="O347" s="55" t="s">
        <v>293</v>
      </c>
      <c r="P347" s="57" t="n">
        <v>30</v>
      </c>
      <c r="Q347" s="60" t="n">
        <f aca="false">IF(BR347=1,0,IFERROR(VLOOKUP(BP347,'Gebinde-Kategorie'!$A$5:$M$45,13,0)+0,0))</f>
        <v>26</v>
      </c>
      <c r="R347" s="61"/>
      <c r="S347" s="62"/>
      <c r="T347" s="62"/>
      <c r="U347" s="55"/>
      <c r="V347" s="57"/>
      <c r="W347" s="57"/>
      <c r="X347" s="55" t="n">
        <f aca="false">IF(A347="","",IF(AND(Parameter!$B$21="Ja",ISNUMBER(U347)),U347,IF(IFERROR(VLOOKUP(D347,Parameter!$A$35:$C$64,2,0),"Nein")="2+3",IF(ISNUMBER(SEARCH("grosser Artikel",BM347)),2,IFERROR(VLOOKUP(BP347,Parameter!$F$35:$G$64,2,0),2)),IF(OR(IFERROR(VLOOKUP(D347,Parameter!$A$35:$C$64,2,0),"Nein")="Nein",IFERROR(VLOOKUP(D347,Parameter!$A$35:$C$64,2,0),"Nein")=""),"-",VLOOKUP(D347,Parameter!$A$35:$C$64,2,0)))))</f>
        <v>3</v>
      </c>
      <c r="Y347" s="62"/>
      <c r="Z347" s="63"/>
      <c r="AA347" s="57" t="n">
        <f aca="false">AP347</f>
        <v>60</v>
      </c>
      <c r="AB347" s="57" t="n">
        <f aca="false">MAX(AP347,G347)</f>
        <v>60</v>
      </c>
      <c r="AC347" s="64"/>
      <c r="AD347" s="57" t="n">
        <f aca="false">IF(LEFT(Cockpit!$C$5,1)="A",G347,IF(BW347=1,BX347,IF(LEFT(Cockpit!$C$5,1)="B",AH347,MAX(AH347,G347))))</f>
        <v>35</v>
      </c>
      <c r="AE347" s="57" t="n">
        <f aca="false">IF(BR347=1,0,ROUNDUP(AD347/BQ347,0))</f>
        <v>2</v>
      </c>
      <c r="AF347" s="59" t="n">
        <f aca="false">IF(CD347&gt;0,CD347*MAX(1,AD347/V347),IF(BR347=1,IF(AD347&lt;=0,0,BS347*MAX(1,IF(G347&gt;0,AD347/G347,1))),IF(Q347&gt;0,AE347/Q347,0))/MAX(0.1,N(Parameter!$M$21)))</f>
        <v>0.0769230769230769</v>
      </c>
      <c r="AG347" s="57" t="n">
        <f aca="false">AD347*F347</f>
        <v>189</v>
      </c>
      <c r="AH347" s="57" t="n">
        <f aca="false">ROUNDUP(MAX(I347/IF(BV347&gt;0,BV347,MAX(0.1,N(Cockpit!$C$6))),BY347)/BQ347,0)*BQ347</f>
        <v>60</v>
      </c>
      <c r="AI347" s="58" t="n">
        <f aca="false">IF(AF347&gt;0,I347/AF347,-1)</f>
        <v>650</v>
      </c>
      <c r="AJ347" s="58" t="n">
        <f aca="false">IF(AND(OR(BU347="L1",BU347="L23"),AF347&gt;0),SUMIFS($AF$7:$AF$1576,$BU$7:$BU$1576,BU347,$AI$7:$AI$1576,"&gt;"&amp;AI347)+SUMIFS($AF$7:$AF$1576,$BU$7:$BU$1576,BU347,$AI$7:$AI$1576,AI347,$BO$7:$BO$1576,"&lt;="&amp;BO347),"")</f>
        <v>11.7016583899193</v>
      </c>
      <c r="AK347" s="65" t="n">
        <f aca="false">IF(AJ347="",0,MAX(0,MIN(1,(IF(BU347="L1",Parameter!$E$5,Parameter!$E$6+Parameter!$E$7)-(AJ347-AF347))/AF347)))</f>
        <v>1</v>
      </c>
      <c r="AL347" s="57" t="n">
        <f aca="false">IF(LEFT(Cockpit!$I$5,1)="A",G347,IF(BW347=1,BX347,IF(LEFT(Cockpit!$I$5,1)="B",AP347,MAX(AP347,G347))))</f>
        <v>60</v>
      </c>
      <c r="AM347" s="57" t="n">
        <f aca="false">IF(BR347=1,0,ROUNDUP(AL347/BQ347,0))</f>
        <v>2</v>
      </c>
      <c r="AN347" s="59" t="n">
        <f aca="false">IF(CD347&gt;0,CD347*MAX(1,AL347/V347),IF(BR347=1,IF(AL347&lt;=0,0,BS347*MAX(1,IF(G347&gt;0,AL347/G347,1))),IF(Q347&gt;0,AM347/Q347,0))/MAX(0.1,N(Parameter!$M$21)))</f>
        <v>0.0769230769230769</v>
      </c>
      <c r="AO347" s="57" t="n">
        <f aca="false">AL347*F347</f>
        <v>324</v>
      </c>
      <c r="AP347" s="57" t="n">
        <f aca="false">ROUNDUP(MAX(I347/IF(BV347&gt;0,BV347,MAX(0.1,N(Cockpit!$I$6))),BY347)/BQ347,0)*BQ347</f>
        <v>60</v>
      </c>
      <c r="AQ347" s="58" t="n">
        <f aca="false">IF(AN347&gt;0,I347/AN347,-1)</f>
        <v>650</v>
      </c>
      <c r="AR347" s="58" t="n">
        <f aca="false">IF(AND(OR(BU347="L1",BU347="L23"),AN347&gt;0),SUMIFS($AN$7:$AN$1576,$BU$7:$BU$1576,BU347,$AQ$7:$AQ$1576,"&gt;"&amp;AQ347)+SUMIFS($AN$7:$AN$1576,$BU$7:$BU$1576,BU347,$AQ$7:$AQ$1576,AQ347,$BO$7:$BO$1576,"&lt;="&amp;BO347),"")</f>
        <v>30.1190810762661</v>
      </c>
      <c r="AS347" s="65" t="n">
        <f aca="false">IF(AR347="",0,MAX(0,MIN(1,(IF(BU347="L1",Parameter!$E$5,Parameter!$E$6+Parameter!$E$7)-(AR347-AN347))/AN347)))</f>
        <v>1</v>
      </c>
      <c r="AT347" s="57" t="n">
        <f aca="false">IF(LEFT(Cockpit!$O$5,1)="A",G347,IF(BW347=1,BX347,IF(LEFT(Cockpit!$O$5,1)="B",AX347,MAX(AX347,G347))))</f>
        <v>60</v>
      </c>
      <c r="AU347" s="57" t="n">
        <f aca="false">IF(BR347=1,0,ROUNDUP(AT347/BQ347,0))</f>
        <v>2</v>
      </c>
      <c r="AV347" s="59" t="n">
        <f aca="false">IF(CD347&gt;0,CD347*MAX(1,AT347/V347),IF(BR347=1,IF(AT347&lt;=0,0,BS347*MAX(1,IF(G347&gt;0,AT347/G347,1))),IF(Q347&gt;0,AU347/Q347,0))/MAX(0.1,N(Parameter!$M$21)))</f>
        <v>0.0769230769230769</v>
      </c>
      <c r="AW347" s="57" t="n">
        <f aca="false">AT347*F347</f>
        <v>324</v>
      </c>
      <c r="AX347" s="57" t="n">
        <f aca="false">ROUNDUP(MAX(I347/IF(BV347&gt;0,BV347,MAX(0.1,N(Cockpit!$O$6))),BY347)/BQ347,0)*BQ347</f>
        <v>60</v>
      </c>
      <c r="AY347" s="58" t="n">
        <f aca="false">IF(AV347&gt;0,I347/AV347,-1)</f>
        <v>650</v>
      </c>
      <c r="AZ347" s="58" t="n">
        <f aca="false">IF(AND(OR(BU347="L1",BU347="L23"),AV347&gt;0),SUMIFS($AV$7:$AV$1576,$BU$7:$BU$1576,BU347,$AY$7:$AY$1576,"&gt;"&amp;AY347)+SUMIFS($AV$7:$AV$1576,$BU$7:$BU$1576,BU347,$AY$7:$AY$1576,AY347,$BO$7:$BO$1576,"&lt;="&amp;BO347),"")</f>
        <v>29.8303831075682</v>
      </c>
      <c r="BA347" s="65" t="n">
        <f aca="false">IF(AZ347="",0,MAX(0,MIN(1,(IF(BU347="L1",Parameter!$E$5,Parameter!$E$6+Parameter!$E$7)-(AZ347-AV347))/AV347)))</f>
        <v>1</v>
      </c>
      <c r="BB347" s="55" t="str">
        <f aca="false">IF(AF347&lt;=0,"",IF(BU347="Aussen","Aussenlager",IF(BU347="-","Nicht im Lift",IF(AK347&gt;=1,"Lift",IF(AK347&lt;=0,"Aussenlager","teilweise")))))</f>
        <v>Lift</v>
      </c>
      <c r="BC347" s="55" t="str">
        <f aca="false">IF(AN347&lt;=0,"",IF(BU347="Aussen","Aussenlager",IF(BU347="-","Nicht im Lift",IF(AS347&gt;=1,"Lift",IF(AS347&lt;=0,"Aussenlager","teilweise")))))</f>
        <v>Lift</v>
      </c>
      <c r="BD347" s="55" t="str">
        <f aca="false">IF(AV347&lt;=0,"",IF(BU347="Aussen","Aussenlager",IF(BU347="-","Nicht im Lift",IF(BA347&gt;=1,"Lift",IF(BA347&lt;=0,"Aussenlager","teilweise")))))</f>
        <v>Lift</v>
      </c>
      <c r="BE347" s="55" t="str">
        <f aca="false">IF(A347="","",IF(BN347=1,"Neu; ","")&amp;IF(AND(BN347=0,BI347&lt;0),"negativer Bestand (Export "&amp;BI347&amp;"); ","")&amp;IF(I347&lt;=0,"Kein Verbrauch; ","")&amp;IF(CD347&gt;0,"Lift "&amp;U347&amp;" lt. Liftbericht (Fach "&amp;V347&amp;" Stk); ",IF(BR347=1,"Lose – Fläche geschätzt; ",""))&amp;IF(G347&gt;AP347,"Überbestand "&amp;ROUND(G347-AP347,0)&amp;" Stk / CHF "&amp;ROUND((G347-AP347)*F347,0)&amp;"; ","")&amp;IF(AND(BW347=1,BX347&lt;BY347),"MAX &lt; MB+LG; ","")&amp;IF(AND(CC347&gt;0,CB347*10&gt;CC347),"zu hoch für Tablar; ","")&amp;IF(AND(BN347=0,OR(BW347=1,Y347&lt;&gt;"",S347&lt;&gt;"",T347&lt;&gt;"",Z347&lt;&gt;"")),"manuell übersteuert; ","")&amp;IF(AND(BR347=0,Q347=0),"Gebinde unbekannt / Stellmass fehlt; ","")&amp;IF(AND(BR347=0,N(T347)&lt;=0,N(P347)&lt;=0),"Menge pro Gebinde fehlt (Ist = 1 Gebinde); ","")&amp;BM347)</f>
        <v/>
      </c>
      <c r="BF347" s="55"/>
      <c r="BG347" s="55"/>
      <c r="BH347" s="62"/>
      <c r="BI347" s="57" t="n">
        <v>35</v>
      </c>
      <c r="BJ347" s="57" t="n">
        <v>12</v>
      </c>
      <c r="BK347" s="56" t="n">
        <v>185.4</v>
      </c>
      <c r="BL347" s="57" t="n">
        <v>50</v>
      </c>
      <c r="BM347" s="55"/>
      <c r="BN347" s="60" t="n">
        <v>0</v>
      </c>
      <c r="BO347" s="60" t="n">
        <v>347</v>
      </c>
      <c r="BP347" s="55" t="str">
        <f aca="false">IF(S347&lt;&gt;"",UPPER(TRIM(S347)),IF(O347="","LOSE",O347))</f>
        <v>S51</v>
      </c>
      <c r="BQ347" s="57" t="n">
        <f aca="false">IF(BP347="LOSE",1,IF(N(T347)&gt;0,T347,IF(N(P347)&gt;0,P347,MAX(1,G347))))</f>
        <v>30</v>
      </c>
      <c r="BR347" s="60" t="n">
        <f aca="false">IF(BP347="LOSE",1,0)</f>
        <v>0</v>
      </c>
      <c r="BS347" s="59" t="n">
        <f aca="false">IF(BR347=0,0,IF(N(R347)&gt;0,R347,IFERROR(VLOOKUP(D347,Parameter!$A$35:$C$64,3,0)+0,0)))</f>
        <v>0</v>
      </c>
      <c r="BT347" s="55" t="n">
        <f aca="false">IF(Y347&lt;&gt;"",Y347,X347)</f>
        <v>3</v>
      </c>
      <c r="BU347" s="55" t="str">
        <f aca="false">IF(BT347=1,"L1",IF(OR(BT347=2,BT347=3),"L23",IF(BT347="Aussen","Aussen","-")))</f>
        <v>L23</v>
      </c>
      <c r="BV347" s="66" t="n">
        <f aca="false">IF(N(Z347)&gt;0,Z347,0)</f>
        <v>0</v>
      </c>
      <c r="BW347" s="60" t="n">
        <f aca="false">IF(ISNUMBER(AC347),1,0)</f>
        <v>0</v>
      </c>
      <c r="BX347" s="57" t="n">
        <f aca="false">N(AC347)</f>
        <v>0</v>
      </c>
      <c r="BY347" s="57" t="n">
        <f aca="false">N(L347)+N(M347)</f>
        <v>51</v>
      </c>
      <c r="BZ347" s="57" t="n">
        <f aca="false">ROUNDUP(G347/BQ347,0)</f>
        <v>2</v>
      </c>
      <c r="CA347" s="57" t="n">
        <f aca="false">ROUNDUP(BX347/BQ347,0)</f>
        <v>0</v>
      </c>
      <c r="CB347" s="60" t="n">
        <f aca="false">IF(BR347=1,0,IFERROR(VLOOKUP(BP347,'Gebinde-Kategorie'!$A$5:$M$45,5,0)+0,0))</f>
        <v>11</v>
      </c>
      <c r="CC347" s="60" t="n">
        <f aca="false">IFERROR(IF(OR(BT347=1,BT347=2,BT347=3),N(INDEX(Parameter!$I$5:$I$7,BT347)),0),0)</f>
        <v>0</v>
      </c>
      <c r="CD347" s="59" t="n">
        <f aca="false">IF(AND(Parameter!$B$21="Ja",ISNUMBER(U347),N(V347)&gt;0),IFERROR(N(INDEX(Parameter!$L$5:$L$7,U347))*INDEX(Parameter!$E$5:$E$7,U347)*V347/SUMIFS($V$7:$V$1576,$U$7:$U$1576,U347),0),0)</f>
        <v>0</v>
      </c>
    </row>
    <row r="348" customFormat="false" ht="15" hidden="false" customHeight="false" outlineLevel="0" collapsed="false">
      <c r="A348" s="55" t="s">
        <v>842</v>
      </c>
      <c r="B348" s="55" t="s">
        <v>752</v>
      </c>
      <c r="C348" s="55" t="s">
        <v>160</v>
      </c>
      <c r="D348" s="55" t="s">
        <v>178</v>
      </c>
      <c r="E348" s="55" t="s">
        <v>210</v>
      </c>
      <c r="F348" s="56" t="n">
        <v>7.4</v>
      </c>
      <c r="G348" s="57" t="n">
        <f aca="false">MAX(0,IF(AND(Parameter!$B$21="Ja",ISNUMBER(W348)),W348,IF(Parameter!$B$20="Jahresanfang 2025 + Export",BJ348+BI348,BI348)))</f>
        <v>25</v>
      </c>
      <c r="H348" s="57" t="n">
        <f aca="false">G348*F348</f>
        <v>185</v>
      </c>
      <c r="I348" s="57" t="n">
        <f aca="false">BL348*Parameter!$B$18</f>
        <v>0</v>
      </c>
      <c r="J348" s="58" t="n">
        <v>0</v>
      </c>
      <c r="K348" s="59" t="n">
        <v>0</v>
      </c>
      <c r="L348" s="57" t="n">
        <v>0</v>
      </c>
      <c r="M348" s="57" t="n">
        <v>1</v>
      </c>
      <c r="N348" s="60" t="n">
        <v>9999</v>
      </c>
      <c r="O348" s="55" t="s">
        <v>163</v>
      </c>
      <c r="P348" s="57"/>
      <c r="Q348" s="60" t="n">
        <f aca="false">IF(BR348=1,0,IFERROR(VLOOKUP(BP348,'Gebinde-Kategorie'!$A$5:$M$45,13,0)+0,0))</f>
        <v>0</v>
      </c>
      <c r="R348" s="61"/>
      <c r="S348" s="62"/>
      <c r="T348" s="62"/>
      <c r="U348" s="55"/>
      <c r="V348" s="57"/>
      <c r="W348" s="57"/>
      <c r="X348" s="55" t="n">
        <f aca="false">IF(A348="","",IF(AND(Parameter!$B$21="Ja",ISNUMBER(U348)),U348,IF(IFERROR(VLOOKUP(D348,Parameter!$A$35:$C$64,2,0),"Nein")="2+3",IF(ISNUMBER(SEARCH("grosser Artikel",BM348)),2,IFERROR(VLOOKUP(BP348,Parameter!$F$35:$G$64,2,0),2)),IF(OR(IFERROR(VLOOKUP(D348,Parameter!$A$35:$C$64,2,0),"Nein")="Nein",IFERROR(VLOOKUP(D348,Parameter!$A$35:$C$64,2,0),"Nein")=""),"-",VLOOKUP(D348,Parameter!$A$35:$C$64,2,0)))))</f>
        <v>2</v>
      </c>
      <c r="Y348" s="62"/>
      <c r="Z348" s="63"/>
      <c r="AA348" s="57" t="n">
        <f aca="false">AP348</f>
        <v>1</v>
      </c>
      <c r="AB348" s="57" t="n">
        <f aca="false">MAX(AP348,G348)</f>
        <v>25</v>
      </c>
      <c r="AC348" s="64"/>
      <c r="AD348" s="57" t="n">
        <f aca="false">IF(LEFT(Cockpit!$C$5,1)="A",G348,IF(BW348=1,BX348,IF(LEFT(Cockpit!$C$5,1)="B",AH348,MAX(AH348,G348))))</f>
        <v>25</v>
      </c>
      <c r="AE348" s="57" t="n">
        <f aca="false">IF(BR348=1,0,ROUNDUP(AD348/BQ348,0))</f>
        <v>0</v>
      </c>
      <c r="AF348" s="59" t="n">
        <f aca="false">IF(CD348&gt;0,CD348*MAX(1,AD348/V348),IF(BR348=1,IF(AD348&lt;=0,0,BS348*MAX(1,IF(G348&gt;0,AD348/G348,1))),IF(Q348&gt;0,AE348/Q348,0))/MAX(0.1,N(Parameter!$M$21)))</f>
        <v>0.03</v>
      </c>
      <c r="AG348" s="57" t="n">
        <f aca="false">AD348*F348</f>
        <v>185</v>
      </c>
      <c r="AH348" s="57" t="n">
        <f aca="false">ROUNDUP(MAX(I348/IF(BV348&gt;0,BV348,MAX(0.1,N(Cockpit!$C$6))),BY348)/BQ348,0)*BQ348</f>
        <v>1</v>
      </c>
      <c r="AI348" s="58" t="n">
        <f aca="false">IF(AF348&gt;0,I348/AF348,-1)</f>
        <v>0</v>
      </c>
      <c r="AJ348" s="58" t="n">
        <f aca="false">IF(AND(OR(BU348="L1",BU348="L23"),AF348&gt;0),SUMIFS($AF$7:$AF$1576,$BU$7:$BU$1576,BU348,$AI$7:$AI$1576,"&gt;"&amp;AI348)+SUMIFS($AF$7:$AF$1576,$BU$7:$BU$1576,BU348,$AI$7:$AI$1576,AI348,$BO$7:$BO$1576,"&lt;="&amp;BO348),"")</f>
        <v>41.1939491909057</v>
      </c>
      <c r="AK348" s="65" t="n">
        <f aca="false">IF(AJ348="",0,MAX(0,MIN(1,(IF(BU348="L1",Parameter!$E$5,Parameter!$E$6+Parameter!$E$7)-(AJ348-AF348))/AF348)))</f>
        <v>1</v>
      </c>
      <c r="AL348" s="57" t="n">
        <f aca="false">IF(LEFT(Cockpit!$I$5,1)="A",G348,IF(BW348=1,BX348,IF(LEFT(Cockpit!$I$5,1)="B",AP348,MAX(AP348,G348))))</f>
        <v>25</v>
      </c>
      <c r="AM348" s="57" t="n">
        <f aca="false">IF(BR348=1,0,ROUNDUP(AL348/BQ348,0))</f>
        <v>0</v>
      </c>
      <c r="AN348" s="59" t="n">
        <f aca="false">IF(CD348&gt;0,CD348*MAX(1,AL348/V348),IF(BR348=1,IF(AL348&lt;=0,0,BS348*MAX(1,IF(G348&gt;0,AL348/G348,1))),IF(Q348&gt;0,AM348/Q348,0))/MAX(0.1,N(Parameter!$M$21)))</f>
        <v>0.03</v>
      </c>
      <c r="AO348" s="57" t="n">
        <f aca="false">AL348*F348</f>
        <v>185</v>
      </c>
      <c r="AP348" s="57" t="n">
        <f aca="false">ROUNDUP(MAX(I348/IF(BV348&gt;0,BV348,MAX(0.1,N(Cockpit!$I$6))),BY348)/BQ348,0)*BQ348</f>
        <v>1</v>
      </c>
      <c r="AQ348" s="58" t="n">
        <f aca="false">IF(AN348&gt;0,I348/AN348,-1)</f>
        <v>0</v>
      </c>
      <c r="AR348" s="58" t="n">
        <f aca="false">IF(AND(OR(BU348="L1",BU348="L23"),AN348&gt;0),SUMIFS($AN$7:$AN$1576,$BU$7:$BU$1576,BU348,$AQ$7:$AQ$1576,"&gt;"&amp;AQ348)+SUMIFS($AN$7:$AN$1576,$BU$7:$BU$1576,BU348,$AQ$7:$AQ$1576,AQ348,$BO$7:$BO$1576,"&lt;="&amp;BO348),"")</f>
        <v>124.068154940695</v>
      </c>
      <c r="AS348" s="65" t="n">
        <f aca="false">IF(AR348="",0,MAX(0,MIN(1,(IF(BU348="L1",Parameter!$E$5,Parameter!$E$6+Parameter!$E$7)-(AR348-AN348))/AN348)))</f>
        <v>0</v>
      </c>
      <c r="AT348" s="57" t="n">
        <f aca="false">IF(LEFT(Cockpit!$O$5,1)="A",G348,IF(BW348=1,BX348,IF(LEFT(Cockpit!$O$5,1)="B",AX348,MAX(AX348,G348))))</f>
        <v>25</v>
      </c>
      <c r="AU348" s="57" t="n">
        <f aca="false">IF(BR348=1,0,ROUNDUP(AT348/BQ348,0))</f>
        <v>0</v>
      </c>
      <c r="AV348" s="59" t="n">
        <f aca="false">IF(CD348&gt;0,CD348*MAX(1,AT348/V348),IF(BR348=1,IF(AT348&lt;=0,0,BS348*MAX(1,IF(G348&gt;0,AT348/G348,1))),IF(Q348&gt;0,AU348/Q348,0))/MAX(0.1,N(Parameter!$M$21)))</f>
        <v>0.03</v>
      </c>
      <c r="AW348" s="57" t="n">
        <f aca="false">AT348*F348</f>
        <v>185</v>
      </c>
      <c r="AX348" s="57" t="n">
        <f aca="false">ROUNDUP(MAX(I348/IF(BV348&gt;0,BV348,MAX(0.1,N(Cockpit!$O$6))),BY348)/BQ348,0)*BQ348</f>
        <v>1</v>
      </c>
      <c r="AY348" s="58" t="n">
        <f aca="false">IF(AV348&gt;0,I348/AV348,-1)</f>
        <v>0</v>
      </c>
      <c r="AZ348" s="58" t="n">
        <f aca="false">IF(AND(OR(BU348="L1",BU348="L23"),AV348&gt;0),SUMIFS($AV$7:$AV$1576,$BU$7:$BU$1576,BU348,$AY$7:$AY$1576,"&gt;"&amp;AY348)+SUMIFS($AV$7:$AV$1576,$BU$7:$BU$1576,BU348,$AY$7:$AY$1576,AY348,$BO$7:$BO$1576,"&lt;="&amp;BO348),"")</f>
        <v>114.127705390246</v>
      </c>
      <c r="BA348" s="65" t="n">
        <f aca="false">IF(AZ348="",0,MAX(0,MIN(1,(IF(BU348="L1",Parameter!$E$5,Parameter!$E$6+Parameter!$E$7)-(AZ348-AV348))/AV348)))</f>
        <v>0</v>
      </c>
      <c r="BB348" s="55" t="str">
        <f aca="false">IF(AF348&lt;=0,"",IF(BU348="Aussen","Aussenlager",IF(BU348="-","Nicht im Lift",IF(AK348&gt;=1,"Lift",IF(AK348&lt;=0,"Aussenlager","teilweise")))))</f>
        <v>Lift</v>
      </c>
      <c r="BC348" s="55" t="str">
        <f aca="false">IF(AN348&lt;=0,"",IF(BU348="Aussen","Aussenlager",IF(BU348="-","Nicht im Lift",IF(AS348&gt;=1,"Lift",IF(AS348&lt;=0,"Aussenlager","teilweise")))))</f>
        <v>Aussenlager</v>
      </c>
      <c r="BD348" s="55" t="str">
        <f aca="false">IF(AV348&lt;=0,"",IF(BU348="Aussen","Aussenlager",IF(BU348="-","Nicht im Lift",IF(BA348&gt;=1,"Lift",IF(BA348&lt;=0,"Aussenlager","teilweise")))))</f>
        <v>Aussenlager</v>
      </c>
      <c r="BE348" s="55" t="str">
        <f aca="false">IF(A348="","",IF(BN348=1,"Neu; ","")&amp;IF(AND(BN348=0,BI348&lt;0),"negativer Bestand (Export "&amp;BI348&amp;"); ","")&amp;IF(I348&lt;=0,"Kein Verbrauch; ","")&amp;IF(CD348&gt;0,"Lift "&amp;U348&amp;" lt. Liftbericht (Fach "&amp;V348&amp;" Stk); ",IF(BR348=1,"Lose – Fläche geschätzt; ",""))&amp;IF(G348&gt;AP348,"Überbestand "&amp;ROUND(G348-AP348,0)&amp;" Stk / CHF "&amp;ROUND((G348-AP348)*F348,0)&amp;"; ","")&amp;IF(AND(BW348=1,BX348&lt;BY348),"MAX &lt; MB+LG; ","")&amp;IF(AND(CC348&gt;0,CB348*10&gt;CC348),"zu hoch für Tablar; ","")&amp;IF(AND(BN348=0,OR(BW348=1,Y348&lt;&gt;"",S348&lt;&gt;"",T348&lt;&gt;"",Z348&lt;&gt;"")),"manuell übersteuert; ","")&amp;IF(AND(BR348=0,Q348=0),"Gebinde unbekannt / Stellmass fehlt; ","")&amp;IF(AND(BR348=0,N(T348)&lt;=0,N(P348)&lt;=0),"Menge pro Gebinde fehlt (Ist = 1 Gebinde); ","")&amp;BM348)</f>
        <v>Kein Verbrauch; Lose – Fläche geschätzt; Überbestand 24 Stk / CHF 178; </v>
      </c>
      <c r="BF348" s="55"/>
      <c r="BG348" s="55"/>
      <c r="BH348" s="62"/>
      <c r="BI348" s="57" t="n">
        <v>25</v>
      </c>
      <c r="BJ348" s="57" t="n">
        <v>0</v>
      </c>
      <c r="BK348" s="56" t="n">
        <v>185</v>
      </c>
      <c r="BL348" s="57" t="n">
        <v>0</v>
      </c>
      <c r="BM348" s="55"/>
      <c r="BN348" s="60" t="n">
        <v>0</v>
      </c>
      <c r="BO348" s="60" t="n">
        <v>348</v>
      </c>
      <c r="BP348" s="55" t="str">
        <f aca="false">IF(S348&lt;&gt;"",UPPER(TRIM(S348)),IF(O348="","LOSE",O348))</f>
        <v>LOSE</v>
      </c>
      <c r="BQ348" s="57" t="n">
        <f aca="false">IF(BP348="LOSE",1,IF(N(T348)&gt;0,T348,IF(N(P348)&gt;0,P348,MAX(1,G348))))</f>
        <v>1</v>
      </c>
      <c r="BR348" s="60" t="n">
        <f aca="false">IF(BP348="LOSE",1,0)</f>
        <v>1</v>
      </c>
      <c r="BS348" s="59" t="n">
        <f aca="false">IF(BR348=0,0,IF(N(R348)&gt;0,R348,IFERROR(VLOOKUP(D348,Parameter!$A$35:$C$64,3,0)+0,0)))</f>
        <v>0.03</v>
      </c>
      <c r="BT348" s="55" t="n">
        <f aca="false">IF(Y348&lt;&gt;"",Y348,X348)</f>
        <v>2</v>
      </c>
      <c r="BU348" s="55" t="str">
        <f aca="false">IF(BT348=1,"L1",IF(OR(BT348=2,BT348=3),"L23",IF(BT348="Aussen","Aussen","-")))</f>
        <v>L23</v>
      </c>
      <c r="BV348" s="66" t="n">
        <f aca="false">IF(N(Z348)&gt;0,Z348,0)</f>
        <v>0</v>
      </c>
      <c r="BW348" s="60" t="n">
        <f aca="false">IF(ISNUMBER(AC348),1,0)</f>
        <v>0</v>
      </c>
      <c r="BX348" s="57" t="n">
        <f aca="false">N(AC348)</f>
        <v>0</v>
      </c>
      <c r="BY348" s="57" t="n">
        <f aca="false">N(L348)+N(M348)</f>
        <v>1</v>
      </c>
      <c r="BZ348" s="57" t="n">
        <f aca="false">ROUNDUP(G348/BQ348,0)</f>
        <v>25</v>
      </c>
      <c r="CA348" s="57" t="n">
        <f aca="false">ROUNDUP(BX348/BQ348,0)</f>
        <v>0</v>
      </c>
      <c r="CB348" s="60" t="n">
        <f aca="false">IF(BR348=1,0,IFERROR(VLOOKUP(BP348,'Gebinde-Kategorie'!$A$5:$M$45,5,0)+0,0))</f>
        <v>0</v>
      </c>
      <c r="CC348" s="60" t="n">
        <f aca="false">IFERROR(IF(OR(BT348=1,BT348=2,BT348=3),N(INDEX(Parameter!$I$5:$I$7,BT348)),0),0)</f>
        <v>0</v>
      </c>
      <c r="CD348" s="59" t="n">
        <f aca="false">IF(AND(Parameter!$B$21="Ja",ISNUMBER(U348),N(V348)&gt;0),IFERROR(N(INDEX(Parameter!$L$5:$L$7,U348))*INDEX(Parameter!$E$5:$E$7,U348)*V348/SUMIFS($V$7:$V$1576,$U$7:$U$1576,U348),0),0)</f>
        <v>0</v>
      </c>
    </row>
    <row r="349" customFormat="false" ht="15" hidden="false" customHeight="false" outlineLevel="0" collapsed="false">
      <c r="A349" s="55" t="s">
        <v>843</v>
      </c>
      <c r="B349" s="55" t="s">
        <v>844</v>
      </c>
      <c r="C349" s="55" t="s">
        <v>160</v>
      </c>
      <c r="D349" s="55" t="s">
        <v>178</v>
      </c>
      <c r="E349" s="55" t="s">
        <v>210</v>
      </c>
      <c r="F349" s="56" t="n">
        <v>0.05</v>
      </c>
      <c r="G349" s="57" t="n">
        <f aca="false">MAX(0,IF(AND(Parameter!$B$21="Ja",ISNUMBER(W349)),W349,IF(Parameter!$B$20="Jahresanfang 2025 + Export",BJ349+BI349,BI349)))</f>
        <v>3601</v>
      </c>
      <c r="H349" s="57" t="n">
        <f aca="false">G349*F349</f>
        <v>180.05</v>
      </c>
      <c r="I349" s="57" t="n">
        <f aca="false">BL349*Parameter!$B$18</f>
        <v>7399</v>
      </c>
      <c r="J349" s="58" t="n">
        <v>1074.5</v>
      </c>
      <c r="K349" s="59" t="n">
        <v>6.88599348534202</v>
      </c>
      <c r="L349" s="57" t="n">
        <v>750</v>
      </c>
      <c r="M349" s="57" t="n">
        <v>2500</v>
      </c>
      <c r="N349" s="60" t="n">
        <v>14</v>
      </c>
      <c r="O349" s="55" t="s">
        <v>179</v>
      </c>
      <c r="P349" s="57" t="n">
        <v>3500</v>
      </c>
      <c r="Q349" s="60" t="n">
        <f aca="false">IF(BR349=1,0,IFERROR(VLOOKUP(BP349,'Gebinde-Kategorie'!$A$5:$M$45,13,0)+0,0))</f>
        <v>12</v>
      </c>
      <c r="R349" s="61"/>
      <c r="S349" s="62"/>
      <c r="T349" s="62"/>
      <c r="U349" s="55"/>
      <c r="V349" s="57"/>
      <c r="W349" s="57"/>
      <c r="X349" s="55" t="n">
        <f aca="false">IF(A349="","",IF(AND(Parameter!$B$21="Ja",ISNUMBER(U349)),U349,IF(IFERROR(VLOOKUP(D349,Parameter!$A$35:$C$64,2,0),"Nein")="2+3",IF(ISNUMBER(SEARCH("grosser Artikel",BM349)),2,IFERROR(VLOOKUP(BP349,Parameter!$F$35:$G$64,2,0),2)),IF(OR(IFERROR(VLOOKUP(D349,Parameter!$A$35:$C$64,2,0),"Nein")="Nein",IFERROR(VLOOKUP(D349,Parameter!$A$35:$C$64,2,0),"Nein")=""),"-",VLOOKUP(D349,Parameter!$A$35:$C$64,2,0)))))</f>
        <v>2</v>
      </c>
      <c r="Y349" s="62"/>
      <c r="Z349" s="63"/>
      <c r="AA349" s="57" t="n">
        <f aca="false">AP349</f>
        <v>7000</v>
      </c>
      <c r="AB349" s="57" t="n">
        <f aca="false">MAX(AP349,G349)</f>
        <v>7000</v>
      </c>
      <c r="AC349" s="64"/>
      <c r="AD349" s="57" t="n">
        <f aca="false">IF(LEFT(Cockpit!$C$5,1)="A",G349,IF(BW349=1,BX349,IF(LEFT(Cockpit!$C$5,1)="B",AH349,MAX(AH349,G349))))</f>
        <v>3601</v>
      </c>
      <c r="AE349" s="57" t="n">
        <f aca="false">IF(BR349=1,0,ROUNDUP(AD349/BQ349,0))</f>
        <v>2</v>
      </c>
      <c r="AF349" s="59" t="n">
        <f aca="false">IF(CD349&gt;0,CD349*MAX(1,AD349/V349),IF(BR349=1,IF(AD349&lt;=0,0,BS349*MAX(1,IF(G349&gt;0,AD349/G349,1))),IF(Q349&gt;0,AE349/Q349,0))/MAX(0.1,N(Parameter!$M$21)))</f>
        <v>0.166666666666667</v>
      </c>
      <c r="AG349" s="57" t="n">
        <f aca="false">AD349*F349</f>
        <v>180.05</v>
      </c>
      <c r="AH349" s="57" t="n">
        <f aca="false">ROUNDUP(MAX(I349/IF(BV349&gt;0,BV349,MAX(0.1,N(Cockpit!$C$6))),BY349)/BQ349,0)*BQ349</f>
        <v>7000</v>
      </c>
      <c r="AI349" s="58" t="n">
        <f aca="false">IF(AF349&gt;0,I349/AF349,-1)</f>
        <v>44394</v>
      </c>
      <c r="AJ349" s="58" t="n">
        <f aca="false">IF(AND(OR(BU349="L1",BU349="L23"),AF349&gt;0),SUMIFS($AF$7:$AF$1576,$BU$7:$BU$1576,BU349,$AI$7:$AI$1576,"&gt;"&amp;AI349)+SUMIFS($AF$7:$AF$1576,$BU$7:$BU$1576,BU349,$AI$7:$AI$1576,AI349,$BO$7:$BO$1576,"&lt;="&amp;BO349),"")</f>
        <v>1.04069119286511</v>
      </c>
      <c r="AK349" s="65" t="n">
        <f aca="false">IF(AJ349="",0,MAX(0,MIN(1,(IF(BU349="L1",Parameter!$E$5,Parameter!$E$6+Parameter!$E$7)-(AJ349-AF349))/AF349)))</f>
        <v>1</v>
      </c>
      <c r="AL349" s="57" t="n">
        <f aca="false">IF(LEFT(Cockpit!$I$5,1)="A",G349,IF(BW349=1,BX349,IF(LEFT(Cockpit!$I$5,1)="B",AP349,MAX(AP349,G349))))</f>
        <v>7000</v>
      </c>
      <c r="AM349" s="57" t="n">
        <f aca="false">IF(BR349=1,0,ROUNDUP(AL349/BQ349,0))</f>
        <v>2</v>
      </c>
      <c r="AN349" s="59" t="n">
        <f aca="false">IF(CD349&gt;0,CD349*MAX(1,AL349/V349),IF(BR349=1,IF(AL349&lt;=0,0,BS349*MAX(1,IF(G349&gt;0,AL349/G349,1))),IF(Q349&gt;0,AM349/Q349,0))/MAX(0.1,N(Parameter!$M$21)))</f>
        <v>0.166666666666667</v>
      </c>
      <c r="AO349" s="57" t="n">
        <f aca="false">AL349*F349</f>
        <v>350</v>
      </c>
      <c r="AP349" s="57" t="n">
        <f aca="false">ROUNDUP(MAX(I349/IF(BV349&gt;0,BV349,MAX(0.1,N(Cockpit!$I$6))),BY349)/BQ349,0)*BQ349</f>
        <v>7000</v>
      </c>
      <c r="AQ349" s="58" t="n">
        <f aca="false">IF(AN349&gt;0,I349/AN349,-1)</f>
        <v>44394</v>
      </c>
      <c r="AR349" s="58" t="n">
        <f aca="false">IF(AND(OR(BU349="L1",BU349="L23"),AN349&gt;0),SUMIFS($AN$7:$AN$1576,$BU$7:$BU$1576,BU349,$AQ$7:$AQ$1576,"&gt;"&amp;AQ349)+SUMIFS($AN$7:$AN$1576,$BU$7:$BU$1576,BU349,$AQ$7:$AQ$1576,AQ349,$BO$7:$BO$1576,"&lt;="&amp;BO349),"")</f>
        <v>1.56616938616939</v>
      </c>
      <c r="AS349" s="65" t="n">
        <f aca="false">IF(AR349="",0,MAX(0,MIN(1,(IF(BU349="L1",Parameter!$E$5,Parameter!$E$6+Parameter!$E$7)-(AR349-AN349))/AN349)))</f>
        <v>1</v>
      </c>
      <c r="AT349" s="57" t="n">
        <f aca="false">IF(LEFT(Cockpit!$O$5,1)="A",G349,IF(BW349=1,BX349,IF(LEFT(Cockpit!$O$5,1)="B",AX349,MAX(AX349,G349))))</f>
        <v>3601</v>
      </c>
      <c r="AU349" s="57" t="n">
        <f aca="false">IF(BR349=1,0,ROUNDUP(AT349/BQ349,0))</f>
        <v>2</v>
      </c>
      <c r="AV349" s="59" t="n">
        <f aca="false">IF(CD349&gt;0,CD349*MAX(1,AT349/V349),IF(BR349=1,IF(AT349&lt;=0,0,BS349*MAX(1,IF(G349&gt;0,AT349/G349,1))),IF(Q349&gt;0,AU349/Q349,0))/MAX(0.1,N(Parameter!$M$21)))</f>
        <v>0.166666666666667</v>
      </c>
      <c r="AW349" s="57" t="n">
        <f aca="false">AT349*F349</f>
        <v>180.05</v>
      </c>
      <c r="AX349" s="57" t="n">
        <f aca="false">ROUNDUP(MAX(I349/IF(BV349&gt;0,BV349,MAX(0.1,N(Cockpit!$O$6))),BY349)/BQ349,0)*BQ349</f>
        <v>3500</v>
      </c>
      <c r="AY349" s="58" t="n">
        <f aca="false">IF(AV349&gt;0,I349/AV349,-1)</f>
        <v>44394</v>
      </c>
      <c r="AZ349" s="58" t="n">
        <f aca="false">IF(AND(OR(BU349="L1",BU349="L23"),AV349&gt;0),SUMIFS($AV$7:$AV$1576,$BU$7:$BU$1576,BU349,$AY$7:$AY$1576,"&gt;"&amp;AY349)+SUMIFS($AV$7:$AV$1576,$BU$7:$BU$1576,BU349,$AY$7:$AY$1576,AY349,$BO$7:$BO$1576,"&lt;="&amp;BO349),"")</f>
        <v>1.89542346542347</v>
      </c>
      <c r="BA349" s="65" t="n">
        <f aca="false">IF(AZ349="",0,MAX(0,MIN(1,(IF(BU349="L1",Parameter!$E$5,Parameter!$E$6+Parameter!$E$7)-(AZ349-AV349))/AV349)))</f>
        <v>1</v>
      </c>
      <c r="BB349" s="55" t="str">
        <f aca="false">IF(AF349&lt;=0,"",IF(BU349="Aussen","Aussenlager",IF(BU349="-","Nicht im Lift",IF(AK349&gt;=1,"Lift",IF(AK349&lt;=0,"Aussenlager","teilweise")))))</f>
        <v>Lift</v>
      </c>
      <c r="BC349" s="55" t="str">
        <f aca="false">IF(AN349&lt;=0,"",IF(BU349="Aussen","Aussenlager",IF(BU349="-","Nicht im Lift",IF(AS349&gt;=1,"Lift",IF(AS349&lt;=0,"Aussenlager","teilweise")))))</f>
        <v>Lift</v>
      </c>
      <c r="BD349" s="55" t="str">
        <f aca="false">IF(AV349&lt;=0,"",IF(BU349="Aussen","Aussenlager",IF(BU349="-","Nicht im Lift",IF(BA349&gt;=1,"Lift",IF(BA349&lt;=0,"Aussenlager","teilweise")))))</f>
        <v>Lift</v>
      </c>
      <c r="BE349" s="55" t="str">
        <f aca="false">IF(A349="","",IF(BN349=1,"Neu; ","")&amp;IF(AND(BN349=0,BI349&lt;0),"negativer Bestand (Export "&amp;BI349&amp;"); ","")&amp;IF(I349&lt;=0,"Kein Verbrauch; ","")&amp;IF(CD349&gt;0,"Lift "&amp;U349&amp;" lt. Liftbericht (Fach "&amp;V349&amp;" Stk); ",IF(BR349=1,"Lose – Fläche geschätzt; ",""))&amp;IF(G349&gt;AP349,"Überbestand "&amp;ROUND(G349-AP349,0)&amp;" Stk / CHF "&amp;ROUND((G349-AP349)*F349,0)&amp;"; ","")&amp;IF(AND(BW349=1,BX349&lt;BY349),"MAX &lt; MB+LG; ","")&amp;IF(AND(CC349&gt;0,CB349*10&gt;CC349),"zu hoch für Tablar; ","")&amp;IF(AND(BN349=0,OR(BW349=1,Y349&lt;&gt;"",S349&lt;&gt;"",T349&lt;&gt;"",Z349&lt;&gt;"")),"manuell übersteuert; ","")&amp;IF(AND(BR349=0,Q349=0),"Gebinde unbekannt / Stellmass fehlt; ","")&amp;IF(AND(BR349=0,N(T349)&lt;=0,N(P349)&lt;=0),"Menge pro Gebinde fehlt (Ist = 1 Gebinde); ","")&amp;BM349)</f>
        <v/>
      </c>
      <c r="BF349" s="55"/>
      <c r="BG349" s="55"/>
      <c r="BH349" s="62"/>
      <c r="BI349" s="57" t="n">
        <v>3601</v>
      </c>
      <c r="BJ349" s="57" t="n">
        <v>899</v>
      </c>
      <c r="BK349" s="56" t="n">
        <v>184.04</v>
      </c>
      <c r="BL349" s="57" t="n">
        <v>7399</v>
      </c>
      <c r="BM349" s="55"/>
      <c r="BN349" s="60" t="n">
        <v>0</v>
      </c>
      <c r="BO349" s="60" t="n">
        <v>349</v>
      </c>
      <c r="BP349" s="55" t="str">
        <f aca="false">IF(S349&lt;&gt;"",UPPER(TRIM(S349)),IF(O349="","LOSE",O349))</f>
        <v>S61</v>
      </c>
      <c r="BQ349" s="57" t="n">
        <f aca="false">IF(BP349="LOSE",1,IF(N(T349)&gt;0,T349,IF(N(P349)&gt;0,P349,MAX(1,G349))))</f>
        <v>3500</v>
      </c>
      <c r="BR349" s="60" t="n">
        <f aca="false">IF(BP349="LOSE",1,0)</f>
        <v>0</v>
      </c>
      <c r="BS349" s="59" t="n">
        <f aca="false">IF(BR349=0,0,IF(N(R349)&gt;0,R349,IFERROR(VLOOKUP(D349,Parameter!$A$35:$C$64,3,0)+0,0)))</f>
        <v>0</v>
      </c>
      <c r="BT349" s="55" t="n">
        <f aca="false">IF(Y349&lt;&gt;"",Y349,X349)</f>
        <v>2</v>
      </c>
      <c r="BU349" s="55" t="str">
        <f aca="false">IF(BT349=1,"L1",IF(OR(BT349=2,BT349=3),"L23",IF(BT349="Aussen","Aussen","-")))</f>
        <v>L23</v>
      </c>
      <c r="BV349" s="66" t="n">
        <f aca="false">IF(N(Z349)&gt;0,Z349,0)</f>
        <v>0</v>
      </c>
      <c r="BW349" s="60" t="n">
        <f aca="false">IF(ISNUMBER(AC349),1,0)</f>
        <v>0</v>
      </c>
      <c r="BX349" s="57" t="n">
        <f aca="false">N(AC349)</f>
        <v>0</v>
      </c>
      <c r="BY349" s="57" t="n">
        <f aca="false">N(L349)+N(M349)</f>
        <v>3250</v>
      </c>
      <c r="BZ349" s="57" t="n">
        <f aca="false">ROUNDUP(G349/BQ349,0)</f>
        <v>2</v>
      </c>
      <c r="CA349" s="57" t="n">
        <f aca="false">ROUNDUP(BX349/BQ349,0)</f>
        <v>0</v>
      </c>
      <c r="CB349" s="60" t="n">
        <f aca="false">IF(BR349=1,0,IFERROR(VLOOKUP(BP349,'Gebinde-Kategorie'!$A$5:$M$45,5,0)+0,0))</f>
        <v>11</v>
      </c>
      <c r="CC349" s="60" t="n">
        <f aca="false">IFERROR(IF(OR(BT349=1,BT349=2,BT349=3),N(INDEX(Parameter!$I$5:$I$7,BT349)),0),0)</f>
        <v>0</v>
      </c>
      <c r="CD349" s="59" t="n">
        <f aca="false">IF(AND(Parameter!$B$21="Ja",ISNUMBER(U349),N(V349)&gt;0),IFERROR(N(INDEX(Parameter!$L$5:$L$7,U349))*INDEX(Parameter!$E$5:$E$7,U349)*V349/SUMIFS($V$7:$V$1576,$U$7:$U$1576,U349),0),0)</f>
        <v>0</v>
      </c>
    </row>
    <row r="350" customFormat="false" ht="15" hidden="false" customHeight="false" outlineLevel="0" collapsed="false">
      <c r="A350" s="55" t="s">
        <v>845</v>
      </c>
      <c r="B350" s="55" t="s">
        <v>846</v>
      </c>
      <c r="C350" s="55" t="s">
        <v>160</v>
      </c>
      <c r="D350" s="55" t="s">
        <v>178</v>
      </c>
      <c r="E350" s="55" t="s">
        <v>210</v>
      </c>
      <c r="F350" s="56" t="n">
        <v>42.95</v>
      </c>
      <c r="G350" s="57" t="n">
        <f aca="false">MAX(0,IF(AND(Parameter!$B$21="Ja",ISNUMBER(W350)),W350,IF(Parameter!$B$20="Jahresanfang 2025 + Export",BJ350+BI350,BI350)))</f>
        <v>4</v>
      </c>
      <c r="H350" s="57" t="n">
        <f aca="false">G350*F350</f>
        <v>171.8</v>
      </c>
      <c r="I350" s="57" t="n">
        <f aca="false">BL350*Parameter!$B$18</f>
        <v>10</v>
      </c>
      <c r="J350" s="58" t="n">
        <v>15.5</v>
      </c>
      <c r="K350" s="59" t="n">
        <v>0.645161290322581</v>
      </c>
      <c r="L350" s="57" t="n">
        <v>0</v>
      </c>
      <c r="M350" s="57" t="n">
        <v>10</v>
      </c>
      <c r="N350" s="60" t="n">
        <v>35</v>
      </c>
      <c r="O350" s="55" t="s">
        <v>411</v>
      </c>
      <c r="P350" s="57" t="n">
        <v>18</v>
      </c>
      <c r="Q350" s="60" t="n">
        <f aca="false">IF(BR350=1,0,IFERROR(VLOOKUP(BP350,'Gebinde-Kategorie'!$A$5:$M$45,13,0)+0,0))</f>
        <v>132</v>
      </c>
      <c r="R350" s="61"/>
      <c r="S350" s="62"/>
      <c r="T350" s="62"/>
      <c r="U350" s="55"/>
      <c r="V350" s="57"/>
      <c r="W350" s="57"/>
      <c r="X350" s="55" t="n">
        <f aca="false">IF(A350="","",IF(AND(Parameter!$B$21="Ja",ISNUMBER(U350)),U350,IF(IFERROR(VLOOKUP(D350,Parameter!$A$35:$C$64,2,0),"Nein")="2+3",IF(ISNUMBER(SEARCH("grosser Artikel",BM350)),2,IFERROR(VLOOKUP(BP350,Parameter!$F$35:$G$64,2,0),2)),IF(OR(IFERROR(VLOOKUP(D350,Parameter!$A$35:$C$64,2,0),"Nein")="Nein",IFERROR(VLOOKUP(D350,Parameter!$A$35:$C$64,2,0),"Nein")=""),"-",VLOOKUP(D350,Parameter!$A$35:$C$64,2,0)))))</f>
        <v>3</v>
      </c>
      <c r="Y350" s="62"/>
      <c r="Z350" s="63"/>
      <c r="AA350" s="57" t="n">
        <f aca="false">AP350</f>
        <v>18</v>
      </c>
      <c r="AB350" s="57" t="n">
        <f aca="false">MAX(AP350,G350)</f>
        <v>18</v>
      </c>
      <c r="AC350" s="64"/>
      <c r="AD350" s="57" t="n">
        <f aca="false">IF(LEFT(Cockpit!$C$5,1)="A",G350,IF(BW350=1,BX350,IF(LEFT(Cockpit!$C$5,1)="B",AH350,MAX(AH350,G350))))</f>
        <v>4</v>
      </c>
      <c r="AE350" s="57" t="n">
        <f aca="false">IF(BR350=1,0,ROUNDUP(AD350/BQ350,0))</f>
        <v>1</v>
      </c>
      <c r="AF350" s="59" t="n">
        <f aca="false">IF(CD350&gt;0,CD350*MAX(1,AD350/V350),IF(BR350=1,IF(AD350&lt;=0,0,BS350*MAX(1,IF(G350&gt;0,AD350/G350,1))),IF(Q350&gt;0,AE350/Q350,0))/MAX(0.1,N(Parameter!$M$21)))</f>
        <v>0.00757575757575758</v>
      </c>
      <c r="AG350" s="57" t="n">
        <f aca="false">AD350*F350</f>
        <v>171.8</v>
      </c>
      <c r="AH350" s="57" t="n">
        <f aca="false">ROUNDUP(MAX(I350/IF(BV350&gt;0,BV350,MAX(0.1,N(Cockpit!$C$6))),BY350)/BQ350,0)*BQ350</f>
        <v>18</v>
      </c>
      <c r="AI350" s="58" t="n">
        <f aca="false">IF(AF350&gt;0,I350/AF350,-1)</f>
        <v>1320</v>
      </c>
      <c r="AJ350" s="58" t="n">
        <f aca="false">IF(AND(OR(BU350="L1",BU350="L23"),AF350&gt;0),SUMIFS($AF$7:$AF$1576,$BU$7:$BU$1576,BU350,$AI$7:$AI$1576,"&gt;"&amp;AI350)+SUMIFS($AF$7:$AF$1576,$BU$7:$BU$1576,BU350,$AI$7:$AI$1576,AI350,$BO$7:$BO$1576,"&lt;="&amp;BO350),"")</f>
        <v>8.28499003412047</v>
      </c>
      <c r="AK350" s="65" t="n">
        <f aca="false">IF(AJ350="",0,MAX(0,MIN(1,(IF(BU350="L1",Parameter!$E$5,Parameter!$E$6+Parameter!$E$7)-(AJ350-AF350))/AF350)))</f>
        <v>1</v>
      </c>
      <c r="AL350" s="57" t="n">
        <f aca="false">IF(LEFT(Cockpit!$I$5,1)="A",G350,IF(BW350=1,BX350,IF(LEFT(Cockpit!$I$5,1)="B",AP350,MAX(AP350,G350))))</f>
        <v>18</v>
      </c>
      <c r="AM350" s="57" t="n">
        <f aca="false">IF(BR350=1,0,ROUNDUP(AL350/BQ350,0))</f>
        <v>1</v>
      </c>
      <c r="AN350" s="59" t="n">
        <f aca="false">IF(CD350&gt;0,CD350*MAX(1,AL350/V350),IF(BR350=1,IF(AL350&lt;=0,0,BS350*MAX(1,IF(G350&gt;0,AL350/G350,1))),IF(Q350&gt;0,AM350/Q350,0))/MAX(0.1,N(Parameter!$M$21)))</f>
        <v>0.00757575757575758</v>
      </c>
      <c r="AO350" s="57" t="n">
        <f aca="false">AL350*F350</f>
        <v>773.1</v>
      </c>
      <c r="AP350" s="57" t="n">
        <f aca="false">ROUNDUP(MAX(I350/IF(BV350&gt;0,BV350,MAX(0.1,N(Cockpit!$I$6))),BY350)/BQ350,0)*BQ350</f>
        <v>18</v>
      </c>
      <c r="AQ350" s="58" t="n">
        <f aca="false">IF(AN350&gt;0,I350/AN350,-1)</f>
        <v>1320</v>
      </c>
      <c r="AR350" s="58" t="n">
        <f aca="false">IF(AND(OR(BU350="L1",BU350="L23"),AN350&gt;0),SUMIFS($AN$7:$AN$1576,$BU$7:$BU$1576,BU350,$AQ$7:$AQ$1576,"&gt;"&amp;AQ350)+SUMIFS($AN$7:$AN$1576,$BU$7:$BU$1576,BU350,$AQ$7:$AQ$1576,AQ350,$BO$7:$BO$1576,"&lt;="&amp;BO350),"")</f>
        <v>20.2311225613511</v>
      </c>
      <c r="AS350" s="65" t="n">
        <f aca="false">IF(AR350="",0,MAX(0,MIN(1,(IF(BU350="L1",Parameter!$E$5,Parameter!$E$6+Parameter!$E$7)-(AR350-AN350))/AN350)))</f>
        <v>1</v>
      </c>
      <c r="AT350" s="57" t="n">
        <f aca="false">IF(LEFT(Cockpit!$O$5,1)="A",G350,IF(BW350=1,BX350,IF(LEFT(Cockpit!$O$5,1)="B",AX350,MAX(AX350,G350))))</f>
        <v>18</v>
      </c>
      <c r="AU350" s="57" t="n">
        <f aca="false">IF(BR350=1,0,ROUNDUP(AT350/BQ350,0))</f>
        <v>1</v>
      </c>
      <c r="AV350" s="59" t="n">
        <f aca="false">IF(CD350&gt;0,CD350*MAX(1,AT350/V350),IF(BR350=1,IF(AT350&lt;=0,0,BS350*MAX(1,IF(G350&gt;0,AT350/G350,1))),IF(Q350&gt;0,AU350/Q350,0))/MAX(0.1,N(Parameter!$M$21)))</f>
        <v>0.00757575757575758</v>
      </c>
      <c r="AW350" s="57" t="n">
        <f aca="false">AT350*F350</f>
        <v>773.1</v>
      </c>
      <c r="AX350" s="57" t="n">
        <f aca="false">ROUNDUP(MAX(I350/IF(BV350&gt;0,BV350,MAX(0.1,N(Cockpit!$O$6))),BY350)/BQ350,0)*BQ350</f>
        <v>18</v>
      </c>
      <c r="AY350" s="58" t="n">
        <f aca="false">IF(AV350&gt;0,I350/AV350,-1)</f>
        <v>1320</v>
      </c>
      <c r="AZ350" s="58" t="n">
        <f aca="false">IF(AND(OR(BU350="L1",BU350="L23"),AV350&gt;0),SUMIFS($AV$7:$AV$1576,$BU$7:$BU$1576,BU350,$AY$7:$AY$1576,"&gt;"&amp;AY350)+SUMIFS($AV$7:$AV$1576,$BU$7:$BU$1576,BU350,$AY$7:$AY$1576,AY350,$BO$7:$BO$1576,"&lt;="&amp;BO350),"")</f>
        <v>19.2917286219572</v>
      </c>
      <c r="BA350" s="65" t="n">
        <f aca="false">IF(AZ350="",0,MAX(0,MIN(1,(IF(BU350="L1",Parameter!$E$5,Parameter!$E$6+Parameter!$E$7)-(AZ350-AV350))/AV350)))</f>
        <v>1</v>
      </c>
      <c r="BB350" s="55" t="str">
        <f aca="false">IF(AF350&lt;=0,"",IF(BU350="Aussen","Aussenlager",IF(BU350="-","Nicht im Lift",IF(AK350&gt;=1,"Lift",IF(AK350&lt;=0,"Aussenlager","teilweise")))))</f>
        <v>Lift</v>
      </c>
      <c r="BC350" s="55" t="str">
        <f aca="false">IF(AN350&lt;=0,"",IF(BU350="Aussen","Aussenlager",IF(BU350="-","Nicht im Lift",IF(AS350&gt;=1,"Lift",IF(AS350&lt;=0,"Aussenlager","teilweise")))))</f>
        <v>Lift</v>
      </c>
      <c r="BD350" s="55" t="str">
        <f aca="false">IF(AV350&lt;=0,"",IF(BU350="Aussen","Aussenlager",IF(BU350="-","Nicht im Lift",IF(BA350&gt;=1,"Lift",IF(BA350&lt;=0,"Aussenlager","teilweise")))))</f>
        <v>Lift</v>
      </c>
      <c r="BE350" s="55" t="str">
        <f aca="false">IF(A350="","",IF(BN350=1,"Neu; ","")&amp;IF(AND(BN350=0,BI350&lt;0),"negativer Bestand (Export "&amp;BI350&amp;"); ","")&amp;IF(I350&lt;=0,"Kein Verbrauch; ","")&amp;IF(CD350&gt;0,"Lift "&amp;U350&amp;" lt. Liftbericht (Fach "&amp;V350&amp;" Stk); ",IF(BR350=1,"Lose – Fläche geschätzt; ",""))&amp;IF(G350&gt;AP350,"Überbestand "&amp;ROUND(G350-AP350,0)&amp;" Stk / CHF "&amp;ROUND((G350-AP350)*F350,0)&amp;"; ","")&amp;IF(AND(BW350=1,BX350&lt;BY350),"MAX &lt; MB+LG; ","")&amp;IF(AND(CC350&gt;0,CB350*10&gt;CC350),"zu hoch für Tablar; ","")&amp;IF(AND(BN350=0,OR(BW350=1,Y350&lt;&gt;"",S350&lt;&gt;"",T350&lt;&gt;"",Z350&lt;&gt;"")),"manuell übersteuert; ","")&amp;IF(AND(BR350=0,Q350=0),"Gebinde unbekannt / Stellmass fehlt; ","")&amp;IF(AND(BR350=0,N(T350)&lt;=0,N(P350)&lt;=0),"Menge pro Gebinde fehlt (Ist = 1 Gebinde); ","")&amp;BM350)</f>
        <v/>
      </c>
      <c r="BF350" s="55"/>
      <c r="BG350" s="55"/>
      <c r="BH350" s="62"/>
      <c r="BI350" s="57" t="n">
        <v>4</v>
      </c>
      <c r="BJ350" s="57" t="n">
        <v>11</v>
      </c>
      <c r="BK350" s="56" t="n">
        <v>178.84</v>
      </c>
      <c r="BL350" s="57" t="n">
        <v>10</v>
      </c>
      <c r="BM350" s="55"/>
      <c r="BN350" s="60" t="n">
        <v>0</v>
      </c>
      <c r="BO350" s="60" t="n">
        <v>350</v>
      </c>
      <c r="BP350" s="55" t="str">
        <f aca="false">IF(S350&lt;&gt;"",UPPER(TRIM(S350)),IF(O350="","LOSE",O350))</f>
        <v>S32</v>
      </c>
      <c r="BQ350" s="57" t="n">
        <f aca="false">IF(BP350="LOSE",1,IF(N(T350)&gt;0,T350,IF(N(P350)&gt;0,P350,MAX(1,G350))))</f>
        <v>18</v>
      </c>
      <c r="BR350" s="60" t="n">
        <f aca="false">IF(BP350="LOSE",1,0)</f>
        <v>0</v>
      </c>
      <c r="BS350" s="59" t="n">
        <f aca="false">IF(BR350=0,0,IF(N(R350)&gt;0,R350,IFERROR(VLOOKUP(D350,Parameter!$A$35:$C$64,3,0)+0,0)))</f>
        <v>0</v>
      </c>
      <c r="BT350" s="55" t="n">
        <f aca="false">IF(Y350&lt;&gt;"",Y350,X350)</f>
        <v>3</v>
      </c>
      <c r="BU350" s="55" t="str">
        <f aca="false">IF(BT350=1,"L1",IF(OR(BT350=2,BT350=3),"L23",IF(BT350="Aussen","Aussen","-")))</f>
        <v>L23</v>
      </c>
      <c r="BV350" s="66" t="n">
        <f aca="false">IF(N(Z350)&gt;0,Z350,0)</f>
        <v>0</v>
      </c>
      <c r="BW350" s="60" t="n">
        <f aca="false">IF(ISNUMBER(AC350),1,0)</f>
        <v>0</v>
      </c>
      <c r="BX350" s="57" t="n">
        <f aca="false">N(AC350)</f>
        <v>0</v>
      </c>
      <c r="BY350" s="57" t="n">
        <f aca="false">N(L350)+N(M350)</f>
        <v>10</v>
      </c>
      <c r="BZ350" s="57" t="n">
        <f aca="false">ROUNDUP(G350/BQ350,0)</f>
        <v>1</v>
      </c>
      <c r="CA350" s="57" t="n">
        <f aca="false">ROUNDUP(BX350/BQ350,0)</f>
        <v>0</v>
      </c>
      <c r="CB350" s="60" t="n">
        <f aca="false">IF(BR350=1,0,IFERROR(VLOOKUP(BP350,'Gebinde-Kategorie'!$A$5:$M$45,5,0)+0,0))</f>
        <v>8</v>
      </c>
      <c r="CC350" s="60" t="n">
        <f aca="false">IFERROR(IF(OR(BT350=1,BT350=2,BT350=3),N(INDEX(Parameter!$I$5:$I$7,BT350)),0),0)</f>
        <v>0</v>
      </c>
      <c r="CD350" s="59" t="n">
        <f aca="false">IF(AND(Parameter!$B$21="Ja",ISNUMBER(U350),N(V350)&gt;0),IFERROR(N(INDEX(Parameter!$L$5:$L$7,U350))*INDEX(Parameter!$E$5:$E$7,U350)*V350/SUMIFS($V$7:$V$1576,$U$7:$U$1576,U350),0),0)</f>
        <v>0</v>
      </c>
    </row>
    <row r="351" customFormat="false" ht="15" hidden="false" customHeight="false" outlineLevel="0" collapsed="false">
      <c r="A351" s="55" t="s">
        <v>847</v>
      </c>
      <c r="B351" s="55" t="s">
        <v>848</v>
      </c>
      <c r="C351" s="55" t="s">
        <v>160</v>
      </c>
      <c r="D351" s="55" t="s">
        <v>178</v>
      </c>
      <c r="E351" s="55" t="s">
        <v>210</v>
      </c>
      <c r="F351" s="56" t="n">
        <v>6.12</v>
      </c>
      <c r="G351" s="57" t="n">
        <f aca="false">MAX(0,IF(AND(Parameter!$B$21="Ja",ISNUMBER(W351)),W351,IF(Parameter!$B$20="Jahresanfang 2025 + Export",BJ351+BI351,BI351)))</f>
        <v>29</v>
      </c>
      <c r="H351" s="57" t="n">
        <f aca="false">G351*F351</f>
        <v>177.48</v>
      </c>
      <c r="I351" s="57" t="n">
        <f aca="false">BL351*Parameter!$B$18</f>
        <v>11</v>
      </c>
      <c r="J351" s="58" t="n">
        <v>142</v>
      </c>
      <c r="K351" s="59" t="n">
        <v>0.0774647887323944</v>
      </c>
      <c r="L351" s="57" t="n">
        <v>1</v>
      </c>
      <c r="M351" s="57" t="n">
        <v>10</v>
      </c>
      <c r="N351" s="60" t="n">
        <v>56</v>
      </c>
      <c r="O351" s="55" t="s">
        <v>179</v>
      </c>
      <c r="P351" s="57" t="n">
        <v>155</v>
      </c>
      <c r="Q351" s="60" t="n">
        <f aca="false">IF(BR351=1,0,IFERROR(VLOOKUP(BP351,'Gebinde-Kategorie'!$A$5:$M$45,13,0)+0,0))</f>
        <v>12</v>
      </c>
      <c r="R351" s="61"/>
      <c r="S351" s="62"/>
      <c r="T351" s="62"/>
      <c r="U351" s="55"/>
      <c r="V351" s="57"/>
      <c r="W351" s="57"/>
      <c r="X351" s="55" t="n">
        <f aca="false">IF(A351="","",IF(AND(Parameter!$B$21="Ja",ISNUMBER(U351)),U351,IF(IFERROR(VLOOKUP(D351,Parameter!$A$35:$C$64,2,0),"Nein")="2+3",IF(ISNUMBER(SEARCH("grosser Artikel",BM351)),2,IFERROR(VLOOKUP(BP351,Parameter!$F$35:$G$64,2,0),2)),IF(OR(IFERROR(VLOOKUP(D351,Parameter!$A$35:$C$64,2,0),"Nein")="Nein",IFERROR(VLOOKUP(D351,Parameter!$A$35:$C$64,2,0),"Nein")=""),"-",VLOOKUP(D351,Parameter!$A$35:$C$64,2,0)))))</f>
        <v>2</v>
      </c>
      <c r="Y351" s="62"/>
      <c r="Z351" s="63"/>
      <c r="AA351" s="57" t="n">
        <f aca="false">AP351</f>
        <v>155</v>
      </c>
      <c r="AB351" s="57" t="n">
        <f aca="false">MAX(AP351,G351)</f>
        <v>155</v>
      </c>
      <c r="AC351" s="64"/>
      <c r="AD351" s="57" t="n">
        <f aca="false">IF(LEFT(Cockpit!$C$5,1)="A",G351,IF(BW351=1,BX351,IF(LEFT(Cockpit!$C$5,1)="B",AH351,MAX(AH351,G351))))</f>
        <v>29</v>
      </c>
      <c r="AE351" s="57" t="n">
        <f aca="false">IF(BR351=1,0,ROUNDUP(AD351/BQ351,0))</f>
        <v>1</v>
      </c>
      <c r="AF351" s="59" t="n">
        <f aca="false">IF(CD351&gt;0,CD351*MAX(1,AD351/V351),IF(BR351=1,IF(AD351&lt;=0,0,BS351*MAX(1,IF(G351&gt;0,AD351/G351,1))),IF(Q351&gt;0,AE351/Q351,0))/MAX(0.1,N(Parameter!$M$21)))</f>
        <v>0.0833333333333333</v>
      </c>
      <c r="AG351" s="57" t="n">
        <f aca="false">AD351*F351</f>
        <v>177.48</v>
      </c>
      <c r="AH351" s="57" t="n">
        <f aca="false">ROUNDUP(MAX(I351/IF(BV351&gt;0,BV351,MAX(0.1,N(Cockpit!$C$6))),BY351)/BQ351,0)*BQ351</f>
        <v>155</v>
      </c>
      <c r="AI351" s="58" t="n">
        <f aca="false">IF(AF351&gt;0,I351/AF351,-1)</f>
        <v>132</v>
      </c>
      <c r="AJ351" s="58" t="n">
        <f aca="false">IF(AND(OR(BU351="L1",BU351="L23"),AF351&gt;0),SUMIFS($AF$7:$AF$1576,$BU$7:$BU$1576,BU351,$AI$7:$AI$1576,"&gt;"&amp;AI351)+SUMIFS($AF$7:$AF$1576,$BU$7:$BU$1576,BU351,$AI$7:$AI$1576,AI351,$BO$7:$BO$1576,"&lt;="&amp;BO351),"")</f>
        <v>20.5297689267254</v>
      </c>
      <c r="AK351" s="65" t="n">
        <f aca="false">IF(AJ351="",0,MAX(0,MIN(1,(IF(BU351="L1",Parameter!$E$5,Parameter!$E$6+Parameter!$E$7)-(AJ351-AF351))/AF351)))</f>
        <v>1</v>
      </c>
      <c r="AL351" s="57" t="n">
        <f aca="false">IF(LEFT(Cockpit!$I$5,1)="A",G351,IF(BW351=1,BX351,IF(LEFT(Cockpit!$I$5,1)="B",AP351,MAX(AP351,G351))))</f>
        <v>155</v>
      </c>
      <c r="AM351" s="57" t="n">
        <f aca="false">IF(BR351=1,0,ROUNDUP(AL351/BQ351,0))</f>
        <v>1</v>
      </c>
      <c r="AN351" s="59" t="n">
        <f aca="false">IF(CD351&gt;0,CD351*MAX(1,AL351/V351),IF(BR351=1,IF(AL351&lt;=0,0,BS351*MAX(1,IF(G351&gt;0,AL351/G351,1))),IF(Q351&gt;0,AM351/Q351,0))/MAX(0.1,N(Parameter!$M$21)))</f>
        <v>0.0833333333333333</v>
      </c>
      <c r="AO351" s="57" t="n">
        <f aca="false">AL351*F351</f>
        <v>948.6</v>
      </c>
      <c r="AP351" s="57" t="n">
        <f aca="false">ROUNDUP(MAX(I351/IF(BV351&gt;0,BV351,MAX(0.1,N(Cockpit!$I$6))),BY351)/BQ351,0)*BQ351</f>
        <v>155</v>
      </c>
      <c r="AQ351" s="58" t="n">
        <f aca="false">IF(AN351&gt;0,I351/AN351,-1)</f>
        <v>132</v>
      </c>
      <c r="AR351" s="58" t="n">
        <f aca="false">IF(AND(OR(BU351="L1",BU351="L23"),AN351&gt;0),SUMIFS($AN$7:$AN$1576,$BU$7:$BU$1576,BU351,$AQ$7:$AQ$1576,"&gt;"&amp;AQ351)+SUMIFS($AN$7:$AN$1576,$BU$7:$BU$1576,BU351,$AQ$7:$AQ$1576,AQ351,$BO$7:$BO$1576,"&lt;="&amp;BO351),"")</f>
        <v>60.1616177666289</v>
      </c>
      <c r="AS351" s="65" t="n">
        <f aca="false">IF(AR351="",0,MAX(0,MIN(1,(IF(BU351="L1",Parameter!$E$5,Parameter!$E$6+Parameter!$E$7)-(AR351-AN351))/AN351)))</f>
        <v>1</v>
      </c>
      <c r="AT351" s="57" t="n">
        <f aca="false">IF(LEFT(Cockpit!$O$5,1)="A",G351,IF(BW351=1,BX351,IF(LEFT(Cockpit!$O$5,1)="B",AX351,MAX(AX351,G351))))</f>
        <v>155</v>
      </c>
      <c r="AU351" s="57" t="n">
        <f aca="false">IF(BR351=1,0,ROUNDUP(AT351/BQ351,0))</f>
        <v>1</v>
      </c>
      <c r="AV351" s="59" t="n">
        <f aca="false">IF(CD351&gt;0,CD351*MAX(1,AT351/V351),IF(BR351=1,IF(AT351&lt;=0,0,BS351*MAX(1,IF(G351&gt;0,AT351/G351,1))),IF(Q351&gt;0,AU351/Q351,0))/MAX(0.1,N(Parameter!$M$21)))</f>
        <v>0.0833333333333333</v>
      </c>
      <c r="AW351" s="57" t="n">
        <f aca="false">AT351*F351</f>
        <v>948.6</v>
      </c>
      <c r="AX351" s="57" t="n">
        <f aca="false">ROUNDUP(MAX(I351/IF(BV351&gt;0,BV351,MAX(0.1,N(Cockpit!$O$6))),BY351)/BQ351,0)*BQ351</f>
        <v>155</v>
      </c>
      <c r="AY351" s="58" t="n">
        <f aca="false">IF(AV351&gt;0,I351/AV351,-1)</f>
        <v>132</v>
      </c>
      <c r="AZ351" s="58" t="n">
        <f aca="false">IF(AND(OR(BU351="L1",BU351="L23"),AV351&gt;0),SUMIFS($AV$7:$AV$1576,$BU$7:$BU$1576,BU351,$AY$7:$AY$1576,"&gt;"&amp;AY351)+SUMIFS($AV$7:$AV$1576,$BU$7:$BU$1576,BU351,$AY$7:$AY$1576,AY351,$BO$7:$BO$1576,"&lt;="&amp;BO351),"")</f>
        <v>54.824084882846</v>
      </c>
      <c r="BA351" s="65" t="n">
        <f aca="false">IF(AZ351="",0,MAX(0,MIN(1,(IF(BU351="L1",Parameter!$E$5,Parameter!$E$6+Parameter!$E$7)-(AZ351-AV351))/AV351)))</f>
        <v>1</v>
      </c>
      <c r="BB351" s="55" t="str">
        <f aca="false">IF(AF351&lt;=0,"",IF(BU351="Aussen","Aussenlager",IF(BU351="-","Nicht im Lift",IF(AK351&gt;=1,"Lift",IF(AK351&lt;=0,"Aussenlager","teilweise")))))</f>
        <v>Lift</v>
      </c>
      <c r="BC351" s="55" t="str">
        <f aca="false">IF(AN351&lt;=0,"",IF(BU351="Aussen","Aussenlager",IF(BU351="-","Nicht im Lift",IF(AS351&gt;=1,"Lift",IF(AS351&lt;=0,"Aussenlager","teilweise")))))</f>
        <v>Lift</v>
      </c>
      <c r="BD351" s="55" t="str">
        <f aca="false">IF(AV351&lt;=0,"",IF(BU351="Aussen","Aussenlager",IF(BU351="-","Nicht im Lift",IF(BA351&gt;=1,"Lift",IF(BA351&lt;=0,"Aussenlager","teilweise")))))</f>
        <v>Lift</v>
      </c>
      <c r="BE351" s="55" t="str">
        <f aca="false">IF(A351="","",IF(BN351=1,"Neu; ","")&amp;IF(AND(BN351=0,BI351&lt;0),"negativer Bestand (Export "&amp;BI351&amp;"); ","")&amp;IF(I351&lt;=0,"Kein Verbrauch; ","")&amp;IF(CD351&gt;0,"Lift "&amp;U351&amp;" lt. Liftbericht (Fach "&amp;V351&amp;" Stk); ",IF(BR351=1,"Lose – Fläche geschätzt; ",""))&amp;IF(G351&gt;AP351,"Überbestand "&amp;ROUND(G351-AP351,0)&amp;" Stk / CHF "&amp;ROUND((G351-AP351)*F351,0)&amp;"; ","")&amp;IF(AND(BW351=1,BX351&lt;BY351),"MAX &lt; MB+LG; ","")&amp;IF(AND(CC351&gt;0,CB351*10&gt;CC351),"zu hoch für Tablar; ","")&amp;IF(AND(BN351=0,OR(BW351=1,Y351&lt;&gt;"",S351&lt;&gt;"",T351&lt;&gt;"",Z351&lt;&gt;"")),"manuell übersteuert; ","")&amp;IF(AND(BR351=0,Q351=0),"Gebinde unbekannt / Stellmass fehlt; ","")&amp;IF(AND(BR351=0,N(T351)&lt;=0,N(P351)&lt;=0),"Menge pro Gebinde fehlt (Ist = 1 Gebinde); ","")&amp;BM351)</f>
        <v>Neuer Art.</v>
      </c>
      <c r="BF351" s="55"/>
      <c r="BG351" s="55"/>
      <c r="BH351" s="62"/>
      <c r="BI351" s="57" t="n">
        <v>29</v>
      </c>
      <c r="BJ351" s="57" t="n">
        <v>126</v>
      </c>
      <c r="BK351" s="56" t="n">
        <v>177.48</v>
      </c>
      <c r="BL351" s="57" t="n">
        <v>11</v>
      </c>
      <c r="BM351" s="55" t="s">
        <v>501</v>
      </c>
      <c r="BN351" s="60" t="n">
        <v>0</v>
      </c>
      <c r="BO351" s="60" t="n">
        <v>351</v>
      </c>
      <c r="BP351" s="55" t="str">
        <f aca="false">IF(S351&lt;&gt;"",UPPER(TRIM(S351)),IF(O351="","LOSE",O351))</f>
        <v>S61</v>
      </c>
      <c r="BQ351" s="57" t="n">
        <f aca="false">IF(BP351="LOSE",1,IF(N(T351)&gt;0,T351,IF(N(P351)&gt;0,P351,MAX(1,G351))))</f>
        <v>155</v>
      </c>
      <c r="BR351" s="60" t="n">
        <f aca="false">IF(BP351="LOSE",1,0)</f>
        <v>0</v>
      </c>
      <c r="BS351" s="59" t="n">
        <f aca="false">IF(BR351=0,0,IF(N(R351)&gt;0,R351,IFERROR(VLOOKUP(D351,Parameter!$A$35:$C$64,3,0)+0,0)))</f>
        <v>0</v>
      </c>
      <c r="BT351" s="55" t="n">
        <f aca="false">IF(Y351&lt;&gt;"",Y351,X351)</f>
        <v>2</v>
      </c>
      <c r="BU351" s="55" t="str">
        <f aca="false">IF(BT351=1,"L1",IF(OR(BT351=2,BT351=3),"L23",IF(BT351="Aussen","Aussen","-")))</f>
        <v>L23</v>
      </c>
      <c r="BV351" s="66" t="n">
        <f aca="false">IF(N(Z351)&gt;0,Z351,0)</f>
        <v>0</v>
      </c>
      <c r="BW351" s="60" t="n">
        <f aca="false">IF(ISNUMBER(AC351),1,0)</f>
        <v>0</v>
      </c>
      <c r="BX351" s="57" t="n">
        <f aca="false">N(AC351)</f>
        <v>0</v>
      </c>
      <c r="BY351" s="57" t="n">
        <f aca="false">N(L351)+N(M351)</f>
        <v>11</v>
      </c>
      <c r="BZ351" s="57" t="n">
        <f aca="false">ROUNDUP(G351/BQ351,0)</f>
        <v>1</v>
      </c>
      <c r="CA351" s="57" t="n">
        <f aca="false">ROUNDUP(BX351/BQ351,0)</f>
        <v>0</v>
      </c>
      <c r="CB351" s="60" t="n">
        <f aca="false">IF(BR351=1,0,IFERROR(VLOOKUP(BP351,'Gebinde-Kategorie'!$A$5:$M$45,5,0)+0,0))</f>
        <v>11</v>
      </c>
      <c r="CC351" s="60" t="n">
        <f aca="false">IFERROR(IF(OR(BT351=1,BT351=2,BT351=3),N(INDEX(Parameter!$I$5:$I$7,BT351)),0),0)</f>
        <v>0</v>
      </c>
      <c r="CD351" s="59" t="n">
        <f aca="false">IF(AND(Parameter!$B$21="Ja",ISNUMBER(U351),N(V351)&gt;0),IFERROR(N(INDEX(Parameter!$L$5:$L$7,U351))*INDEX(Parameter!$E$5:$E$7,U351)*V351/SUMIFS($V$7:$V$1576,$U$7:$U$1576,U351),0),0)</f>
        <v>0</v>
      </c>
    </row>
    <row r="352" customFormat="false" ht="15" hidden="false" customHeight="false" outlineLevel="0" collapsed="false">
      <c r="A352" s="55" t="s">
        <v>849</v>
      </c>
      <c r="B352" s="55" t="s">
        <v>850</v>
      </c>
      <c r="C352" s="55" t="s">
        <v>160</v>
      </c>
      <c r="D352" s="55" t="s">
        <v>178</v>
      </c>
      <c r="E352" s="55" t="s">
        <v>210</v>
      </c>
      <c r="F352" s="56" t="n">
        <v>6.79</v>
      </c>
      <c r="G352" s="57" t="n">
        <f aca="false">MAX(0,IF(AND(Parameter!$B$21="Ja",ISNUMBER(W352)),W352,IF(Parameter!$B$20="Jahresanfang 2025 + Export",BJ352+BI352,BI352)))</f>
        <v>26</v>
      </c>
      <c r="H352" s="57" t="n">
        <f aca="false">G352*F352</f>
        <v>176.54</v>
      </c>
      <c r="I352" s="57" t="n">
        <f aca="false">BL352*Parameter!$B$18</f>
        <v>9</v>
      </c>
      <c r="J352" s="58" t="n">
        <v>22</v>
      </c>
      <c r="K352" s="59" t="n">
        <v>0.409090909090909</v>
      </c>
      <c r="L352" s="57" t="n">
        <v>0</v>
      </c>
      <c r="M352" s="57" t="n">
        <v>10</v>
      </c>
      <c r="N352" s="60" t="n">
        <v>21</v>
      </c>
      <c r="O352" s="55" t="s">
        <v>411</v>
      </c>
      <c r="P352" s="57" t="n">
        <v>60</v>
      </c>
      <c r="Q352" s="60" t="n">
        <f aca="false">IF(BR352=1,0,IFERROR(VLOOKUP(BP352,'Gebinde-Kategorie'!$A$5:$M$45,13,0)+0,0))</f>
        <v>132</v>
      </c>
      <c r="R352" s="61"/>
      <c r="S352" s="62"/>
      <c r="T352" s="62"/>
      <c r="U352" s="55"/>
      <c r="V352" s="57"/>
      <c r="W352" s="57"/>
      <c r="X352" s="55" t="n">
        <f aca="false">IF(A352="","",IF(AND(Parameter!$B$21="Ja",ISNUMBER(U352)),U352,IF(IFERROR(VLOOKUP(D352,Parameter!$A$35:$C$64,2,0),"Nein")="2+3",IF(ISNUMBER(SEARCH("grosser Artikel",BM352)),2,IFERROR(VLOOKUP(BP352,Parameter!$F$35:$G$64,2,0),2)),IF(OR(IFERROR(VLOOKUP(D352,Parameter!$A$35:$C$64,2,0),"Nein")="Nein",IFERROR(VLOOKUP(D352,Parameter!$A$35:$C$64,2,0),"Nein")=""),"-",VLOOKUP(D352,Parameter!$A$35:$C$64,2,0)))))</f>
        <v>3</v>
      </c>
      <c r="Y352" s="62"/>
      <c r="Z352" s="63"/>
      <c r="AA352" s="57" t="n">
        <f aca="false">AP352</f>
        <v>60</v>
      </c>
      <c r="AB352" s="57" t="n">
        <f aca="false">MAX(AP352,G352)</f>
        <v>60</v>
      </c>
      <c r="AC352" s="64"/>
      <c r="AD352" s="57" t="n">
        <f aca="false">IF(LEFT(Cockpit!$C$5,1)="A",G352,IF(BW352=1,BX352,IF(LEFT(Cockpit!$C$5,1)="B",AH352,MAX(AH352,G352))))</f>
        <v>26</v>
      </c>
      <c r="AE352" s="57" t="n">
        <f aca="false">IF(BR352=1,0,ROUNDUP(AD352/BQ352,0))</f>
        <v>1</v>
      </c>
      <c r="AF352" s="59" t="n">
        <f aca="false">IF(CD352&gt;0,CD352*MAX(1,AD352/V352),IF(BR352=1,IF(AD352&lt;=0,0,BS352*MAX(1,IF(G352&gt;0,AD352/G352,1))),IF(Q352&gt;0,AE352/Q352,0))/MAX(0.1,N(Parameter!$M$21)))</f>
        <v>0.00757575757575758</v>
      </c>
      <c r="AG352" s="57" t="n">
        <f aca="false">AD352*F352</f>
        <v>176.54</v>
      </c>
      <c r="AH352" s="57" t="n">
        <f aca="false">ROUNDUP(MAX(I352/IF(BV352&gt;0,BV352,MAX(0.1,N(Cockpit!$C$6))),BY352)/BQ352,0)*BQ352</f>
        <v>60</v>
      </c>
      <c r="AI352" s="58" t="n">
        <f aca="false">IF(AF352&gt;0,I352/AF352,-1)</f>
        <v>1188</v>
      </c>
      <c r="AJ352" s="58" t="n">
        <f aca="false">IF(AND(OR(BU352="L1",BU352="L23"),AF352&gt;0),SUMIFS($AF$7:$AF$1576,$BU$7:$BU$1576,BU352,$AI$7:$AI$1576,"&gt;"&amp;AI352)+SUMIFS($AF$7:$AF$1576,$BU$7:$BU$1576,BU352,$AI$7:$AI$1576,AI352,$BO$7:$BO$1576,"&lt;="&amp;BO352),"")</f>
        <v>8.34209959123003</v>
      </c>
      <c r="AK352" s="65" t="n">
        <f aca="false">IF(AJ352="",0,MAX(0,MIN(1,(IF(BU352="L1",Parameter!$E$5,Parameter!$E$6+Parameter!$E$7)-(AJ352-AF352))/AF352)))</f>
        <v>1</v>
      </c>
      <c r="AL352" s="57" t="n">
        <f aca="false">IF(LEFT(Cockpit!$I$5,1)="A",G352,IF(BW352=1,BX352,IF(LEFT(Cockpit!$I$5,1)="B",AP352,MAX(AP352,G352))))</f>
        <v>60</v>
      </c>
      <c r="AM352" s="57" t="n">
        <f aca="false">IF(BR352=1,0,ROUNDUP(AL352/BQ352,0))</f>
        <v>1</v>
      </c>
      <c r="AN352" s="59" t="n">
        <f aca="false">IF(CD352&gt;0,CD352*MAX(1,AL352/V352),IF(BR352=1,IF(AL352&lt;=0,0,BS352*MAX(1,IF(G352&gt;0,AL352/G352,1))),IF(Q352&gt;0,AM352/Q352,0))/MAX(0.1,N(Parameter!$M$21)))</f>
        <v>0.00757575757575758</v>
      </c>
      <c r="AO352" s="57" t="n">
        <f aca="false">AL352*F352</f>
        <v>407.4</v>
      </c>
      <c r="AP352" s="57" t="n">
        <f aca="false">ROUNDUP(MAX(I352/IF(BV352&gt;0,BV352,MAX(0.1,N(Cockpit!$I$6))),BY352)/BQ352,0)*BQ352</f>
        <v>60</v>
      </c>
      <c r="AQ352" s="58" t="n">
        <f aca="false">IF(AN352&gt;0,I352/AN352,-1)</f>
        <v>1188</v>
      </c>
      <c r="AR352" s="58" t="n">
        <f aca="false">IF(AND(OR(BU352="L1",BU352="L23"),AN352&gt;0),SUMIFS($AN$7:$AN$1576,$BU$7:$BU$1576,BU352,$AQ$7:$AQ$1576,"&gt;"&amp;AQ352)+SUMIFS($AN$7:$AN$1576,$BU$7:$BU$1576,BU352,$AQ$7:$AQ$1576,AQ352,$BO$7:$BO$1576,"&lt;="&amp;BO352),"")</f>
        <v>21.0799773297711</v>
      </c>
      <c r="AS352" s="65" t="n">
        <f aca="false">IF(AR352="",0,MAX(0,MIN(1,(IF(BU352="L1",Parameter!$E$5,Parameter!$E$6+Parameter!$E$7)-(AR352-AN352))/AN352)))</f>
        <v>1</v>
      </c>
      <c r="AT352" s="57" t="n">
        <f aca="false">IF(LEFT(Cockpit!$O$5,1)="A",G352,IF(BW352=1,BX352,IF(LEFT(Cockpit!$O$5,1)="B",AX352,MAX(AX352,G352))))</f>
        <v>60</v>
      </c>
      <c r="AU352" s="57" t="n">
        <f aca="false">IF(BR352=1,0,ROUNDUP(AT352/BQ352,0))</f>
        <v>1</v>
      </c>
      <c r="AV352" s="59" t="n">
        <f aca="false">IF(CD352&gt;0,CD352*MAX(1,AT352/V352),IF(BR352=1,IF(AT352&lt;=0,0,BS352*MAX(1,IF(G352&gt;0,AT352/G352,1))),IF(Q352&gt;0,AU352/Q352,0))/MAX(0.1,N(Parameter!$M$21)))</f>
        <v>0.00757575757575758</v>
      </c>
      <c r="AW352" s="57" t="n">
        <f aca="false">AT352*F352</f>
        <v>407.4</v>
      </c>
      <c r="AX352" s="57" t="n">
        <f aca="false">ROUNDUP(MAX(I352/IF(BV352&gt;0,BV352,MAX(0.1,N(Cockpit!$O$6))),BY352)/BQ352,0)*BQ352</f>
        <v>60</v>
      </c>
      <c r="AY352" s="58" t="n">
        <f aca="false">IF(AV352&gt;0,I352/AV352,-1)</f>
        <v>1188</v>
      </c>
      <c r="AZ352" s="58" t="n">
        <f aca="false">IF(AND(OR(BU352="L1",BU352="L23"),AV352&gt;0),SUMIFS($AV$7:$AV$1576,$BU$7:$BU$1576,BU352,$AY$7:$AY$1576,"&gt;"&amp;AY352)+SUMIFS($AV$7:$AV$1576,$BU$7:$BU$1576,BU352,$AY$7:$AY$1576,AY352,$BO$7:$BO$1576,"&lt;="&amp;BO352),"")</f>
        <v>20.3905833903772</v>
      </c>
      <c r="BA352" s="65" t="n">
        <f aca="false">IF(AZ352="",0,MAX(0,MIN(1,(IF(BU352="L1",Parameter!$E$5,Parameter!$E$6+Parameter!$E$7)-(AZ352-AV352))/AV352)))</f>
        <v>1</v>
      </c>
      <c r="BB352" s="55" t="str">
        <f aca="false">IF(AF352&lt;=0,"",IF(BU352="Aussen","Aussenlager",IF(BU352="-","Nicht im Lift",IF(AK352&gt;=1,"Lift",IF(AK352&lt;=0,"Aussenlager","teilweise")))))</f>
        <v>Lift</v>
      </c>
      <c r="BC352" s="55" t="str">
        <f aca="false">IF(AN352&lt;=0,"",IF(BU352="Aussen","Aussenlager",IF(BU352="-","Nicht im Lift",IF(AS352&gt;=1,"Lift",IF(AS352&lt;=0,"Aussenlager","teilweise")))))</f>
        <v>Lift</v>
      </c>
      <c r="BD352" s="55" t="str">
        <f aca="false">IF(AV352&lt;=0,"",IF(BU352="Aussen","Aussenlager",IF(BU352="-","Nicht im Lift",IF(BA352&gt;=1,"Lift",IF(BA352&lt;=0,"Aussenlager","teilweise")))))</f>
        <v>Lift</v>
      </c>
      <c r="BE352" s="55" t="str">
        <f aca="false">IF(A352="","",IF(BN352=1,"Neu; ","")&amp;IF(AND(BN352=0,BI352&lt;0),"negativer Bestand (Export "&amp;BI352&amp;"); ","")&amp;IF(I352&lt;=0,"Kein Verbrauch; ","")&amp;IF(CD352&gt;0,"Lift "&amp;U352&amp;" lt. Liftbericht (Fach "&amp;V352&amp;" Stk); ",IF(BR352=1,"Lose – Fläche geschätzt; ",""))&amp;IF(G352&gt;AP352,"Überbestand "&amp;ROUND(G352-AP352,0)&amp;" Stk / CHF "&amp;ROUND((G352-AP352)*F352,0)&amp;"; ","")&amp;IF(AND(BW352=1,BX352&lt;BY352),"MAX &lt; MB+LG; ","")&amp;IF(AND(CC352&gt;0,CB352*10&gt;CC352),"zu hoch für Tablar; ","")&amp;IF(AND(BN352=0,OR(BW352=1,Y352&lt;&gt;"",S352&lt;&gt;"",T352&lt;&gt;"",Z352&lt;&gt;"")),"manuell übersteuert; ","")&amp;IF(AND(BR352=0,Q352=0),"Gebinde unbekannt / Stellmass fehlt; ","")&amp;IF(AND(BR352=0,N(T352)&lt;=0,N(P352)&lt;=0),"Menge pro Gebinde fehlt (Ist = 1 Gebinde); ","")&amp;BM352)</f>
        <v/>
      </c>
      <c r="BF352" s="55"/>
      <c r="BG352" s="55"/>
      <c r="BH352" s="62"/>
      <c r="BI352" s="57" t="n">
        <v>26</v>
      </c>
      <c r="BJ352" s="57" t="n">
        <v>17</v>
      </c>
      <c r="BK352" s="56" t="n">
        <v>176.54</v>
      </c>
      <c r="BL352" s="57" t="n">
        <v>9</v>
      </c>
      <c r="BM352" s="55"/>
      <c r="BN352" s="60" t="n">
        <v>0</v>
      </c>
      <c r="BO352" s="60" t="n">
        <v>352</v>
      </c>
      <c r="BP352" s="55" t="str">
        <f aca="false">IF(S352&lt;&gt;"",UPPER(TRIM(S352)),IF(O352="","LOSE",O352))</f>
        <v>S32</v>
      </c>
      <c r="BQ352" s="57" t="n">
        <f aca="false">IF(BP352="LOSE",1,IF(N(T352)&gt;0,T352,IF(N(P352)&gt;0,P352,MAX(1,G352))))</f>
        <v>60</v>
      </c>
      <c r="BR352" s="60" t="n">
        <f aca="false">IF(BP352="LOSE",1,0)</f>
        <v>0</v>
      </c>
      <c r="BS352" s="59" t="n">
        <f aca="false">IF(BR352=0,0,IF(N(R352)&gt;0,R352,IFERROR(VLOOKUP(D352,Parameter!$A$35:$C$64,3,0)+0,0)))</f>
        <v>0</v>
      </c>
      <c r="BT352" s="55" t="n">
        <f aca="false">IF(Y352&lt;&gt;"",Y352,X352)</f>
        <v>3</v>
      </c>
      <c r="BU352" s="55" t="str">
        <f aca="false">IF(BT352=1,"L1",IF(OR(BT352=2,BT352=3),"L23",IF(BT352="Aussen","Aussen","-")))</f>
        <v>L23</v>
      </c>
      <c r="BV352" s="66" t="n">
        <f aca="false">IF(N(Z352)&gt;0,Z352,0)</f>
        <v>0</v>
      </c>
      <c r="BW352" s="60" t="n">
        <f aca="false">IF(ISNUMBER(AC352),1,0)</f>
        <v>0</v>
      </c>
      <c r="BX352" s="57" t="n">
        <f aca="false">N(AC352)</f>
        <v>0</v>
      </c>
      <c r="BY352" s="57" t="n">
        <f aca="false">N(L352)+N(M352)</f>
        <v>10</v>
      </c>
      <c r="BZ352" s="57" t="n">
        <f aca="false">ROUNDUP(G352/BQ352,0)</f>
        <v>1</v>
      </c>
      <c r="CA352" s="57" t="n">
        <f aca="false">ROUNDUP(BX352/BQ352,0)</f>
        <v>0</v>
      </c>
      <c r="CB352" s="60" t="n">
        <f aca="false">IF(BR352=1,0,IFERROR(VLOOKUP(BP352,'Gebinde-Kategorie'!$A$5:$M$45,5,0)+0,0))</f>
        <v>8</v>
      </c>
      <c r="CC352" s="60" t="n">
        <f aca="false">IFERROR(IF(OR(BT352=1,BT352=2,BT352=3),N(INDEX(Parameter!$I$5:$I$7,BT352)),0),0)</f>
        <v>0</v>
      </c>
      <c r="CD352" s="59" t="n">
        <f aca="false">IF(AND(Parameter!$B$21="Ja",ISNUMBER(U352),N(V352)&gt;0),IFERROR(N(INDEX(Parameter!$L$5:$L$7,U352))*INDEX(Parameter!$E$5:$E$7,U352)*V352/SUMIFS($V$7:$V$1576,$U$7:$U$1576,U352),0),0)</f>
        <v>0</v>
      </c>
    </row>
    <row r="353" customFormat="false" ht="15" hidden="false" customHeight="false" outlineLevel="0" collapsed="false">
      <c r="A353" s="55" t="s">
        <v>851</v>
      </c>
      <c r="B353" s="55" t="s">
        <v>358</v>
      </c>
      <c r="C353" s="55" t="s">
        <v>160</v>
      </c>
      <c r="D353" s="55" t="s">
        <v>178</v>
      </c>
      <c r="E353" s="55" t="s">
        <v>210</v>
      </c>
      <c r="F353" s="56" t="n">
        <v>10.47</v>
      </c>
      <c r="G353" s="57" t="n">
        <f aca="false">MAX(0,IF(AND(Parameter!$B$21="Ja",ISNUMBER(W353)),W353,IF(Parameter!$B$20="Jahresanfang 2025 + Export",BJ353+BI353,BI353)))</f>
        <v>15</v>
      </c>
      <c r="H353" s="57" t="n">
        <f aca="false">G353*F353</f>
        <v>157.05</v>
      </c>
      <c r="I353" s="57" t="n">
        <f aca="false">BL353*Parameter!$B$18</f>
        <v>0</v>
      </c>
      <c r="J353" s="58" t="n">
        <v>18.5</v>
      </c>
      <c r="K353" s="59" t="n">
        <v>0</v>
      </c>
      <c r="L353" s="57" t="n">
        <v>0</v>
      </c>
      <c r="M353" s="57" t="n">
        <v>10</v>
      </c>
      <c r="N353" s="60" t="n">
        <v>21</v>
      </c>
      <c r="O353" s="55" t="s">
        <v>319</v>
      </c>
      <c r="P353" s="57" t="n">
        <v>50</v>
      </c>
      <c r="Q353" s="60" t="n">
        <f aca="false">IF(BR353=1,0,IFERROR(VLOOKUP(BP353,'Gebinde-Kategorie'!$A$5:$M$45,13,0)+0,0))</f>
        <v>52</v>
      </c>
      <c r="R353" s="61"/>
      <c r="S353" s="62"/>
      <c r="T353" s="62"/>
      <c r="U353" s="55"/>
      <c r="V353" s="57"/>
      <c r="W353" s="57"/>
      <c r="X353" s="55" t="n">
        <f aca="false">IF(A353="","",IF(AND(Parameter!$B$21="Ja",ISNUMBER(U353)),U353,IF(IFERROR(VLOOKUP(D353,Parameter!$A$35:$C$64,2,0),"Nein")="2+3",IF(ISNUMBER(SEARCH("grosser Artikel",BM353)),2,IFERROR(VLOOKUP(BP353,Parameter!$F$35:$G$64,2,0),2)),IF(OR(IFERROR(VLOOKUP(D353,Parameter!$A$35:$C$64,2,0),"Nein")="Nein",IFERROR(VLOOKUP(D353,Parameter!$A$35:$C$64,2,0),"Nein")=""),"-",VLOOKUP(D353,Parameter!$A$35:$C$64,2,0)))))</f>
        <v>3</v>
      </c>
      <c r="Y353" s="62"/>
      <c r="Z353" s="63"/>
      <c r="AA353" s="57" t="n">
        <f aca="false">AP353</f>
        <v>50</v>
      </c>
      <c r="AB353" s="57" t="n">
        <f aca="false">MAX(AP353,G353)</f>
        <v>50</v>
      </c>
      <c r="AC353" s="64"/>
      <c r="AD353" s="57" t="n">
        <f aca="false">IF(LEFT(Cockpit!$C$5,1)="A",G353,IF(BW353=1,BX353,IF(LEFT(Cockpit!$C$5,1)="B",AH353,MAX(AH353,G353))))</f>
        <v>15</v>
      </c>
      <c r="AE353" s="57" t="n">
        <f aca="false">IF(BR353=1,0,ROUNDUP(AD353/BQ353,0))</f>
        <v>1</v>
      </c>
      <c r="AF353" s="59" t="n">
        <f aca="false">IF(CD353&gt;0,CD353*MAX(1,AD353/V353),IF(BR353=1,IF(AD353&lt;=0,0,BS353*MAX(1,IF(G353&gt;0,AD353/G353,1))),IF(Q353&gt;0,AE353/Q353,0))/MAX(0.1,N(Parameter!$M$21)))</f>
        <v>0.0192307692307692</v>
      </c>
      <c r="AG353" s="57" t="n">
        <f aca="false">AD353*F353</f>
        <v>157.05</v>
      </c>
      <c r="AH353" s="57" t="n">
        <f aca="false">ROUNDUP(MAX(I353/IF(BV353&gt;0,BV353,MAX(0.1,N(Cockpit!$C$6))),BY353)/BQ353,0)*BQ353</f>
        <v>50</v>
      </c>
      <c r="AI353" s="58" t="n">
        <f aca="false">IF(AF353&gt;0,I353/AF353,-1)</f>
        <v>0</v>
      </c>
      <c r="AJ353" s="58" t="n">
        <f aca="false">IF(AND(OR(BU353="L1",BU353="L23"),AF353&gt;0),SUMIFS($AF$7:$AF$1576,$BU$7:$BU$1576,BU353,$AI$7:$AI$1576,"&gt;"&amp;AI353)+SUMIFS($AF$7:$AF$1576,$BU$7:$BU$1576,BU353,$AI$7:$AI$1576,AI353,$BO$7:$BO$1576,"&lt;="&amp;BO353),"")</f>
        <v>41.2131799601365</v>
      </c>
      <c r="AK353" s="65" t="n">
        <f aca="false">IF(AJ353="",0,MAX(0,MIN(1,(IF(BU353="L1",Parameter!$E$5,Parameter!$E$6+Parameter!$E$7)-(AJ353-AF353))/AF353)))</f>
        <v>1</v>
      </c>
      <c r="AL353" s="57" t="n">
        <f aca="false">IF(LEFT(Cockpit!$I$5,1)="A",G353,IF(BW353=1,BX353,IF(LEFT(Cockpit!$I$5,1)="B",AP353,MAX(AP353,G353))))</f>
        <v>50</v>
      </c>
      <c r="AM353" s="57" t="n">
        <f aca="false">IF(BR353=1,0,ROUNDUP(AL353/BQ353,0))</f>
        <v>1</v>
      </c>
      <c r="AN353" s="59" t="n">
        <f aca="false">IF(CD353&gt;0,CD353*MAX(1,AL353/V353),IF(BR353=1,IF(AL353&lt;=0,0,BS353*MAX(1,IF(G353&gt;0,AL353/G353,1))),IF(Q353&gt;0,AM353/Q353,0))/MAX(0.1,N(Parameter!$M$21)))</f>
        <v>0.0192307692307692</v>
      </c>
      <c r="AO353" s="57" t="n">
        <f aca="false">AL353*F353</f>
        <v>523.5</v>
      </c>
      <c r="AP353" s="57" t="n">
        <f aca="false">ROUNDUP(MAX(I353/IF(BV353&gt;0,BV353,MAX(0.1,N(Cockpit!$I$6))),BY353)/BQ353,0)*BQ353</f>
        <v>50</v>
      </c>
      <c r="AQ353" s="58" t="n">
        <f aca="false">IF(AN353&gt;0,I353/AN353,-1)</f>
        <v>0</v>
      </c>
      <c r="AR353" s="58" t="n">
        <f aca="false">IF(AND(OR(BU353="L1",BU353="L23"),AN353&gt;0),SUMIFS($AN$7:$AN$1576,$BU$7:$BU$1576,BU353,$AQ$7:$AQ$1576,"&gt;"&amp;AQ353)+SUMIFS($AN$7:$AN$1576,$BU$7:$BU$1576,BU353,$AQ$7:$AQ$1576,AQ353,$BO$7:$BO$1576,"&lt;="&amp;BO353),"")</f>
        <v>124.087385709926</v>
      </c>
      <c r="AS353" s="65" t="n">
        <f aca="false">IF(AR353="",0,MAX(0,MIN(1,(IF(BU353="L1",Parameter!$E$5,Parameter!$E$6+Parameter!$E$7)-(AR353-AN353))/AN353)))</f>
        <v>0</v>
      </c>
      <c r="AT353" s="57" t="n">
        <f aca="false">IF(LEFT(Cockpit!$O$5,1)="A",G353,IF(BW353=1,BX353,IF(LEFT(Cockpit!$O$5,1)="B",AX353,MAX(AX353,G353))))</f>
        <v>50</v>
      </c>
      <c r="AU353" s="57" t="n">
        <f aca="false">IF(BR353=1,0,ROUNDUP(AT353/BQ353,0))</f>
        <v>1</v>
      </c>
      <c r="AV353" s="59" t="n">
        <f aca="false">IF(CD353&gt;0,CD353*MAX(1,AT353/V353),IF(BR353=1,IF(AT353&lt;=0,0,BS353*MAX(1,IF(G353&gt;0,AT353/G353,1))),IF(Q353&gt;0,AU353/Q353,0))/MAX(0.1,N(Parameter!$M$21)))</f>
        <v>0.0192307692307692</v>
      </c>
      <c r="AW353" s="57" t="n">
        <f aca="false">AT353*F353</f>
        <v>523.5</v>
      </c>
      <c r="AX353" s="57" t="n">
        <f aca="false">ROUNDUP(MAX(I353/IF(BV353&gt;0,BV353,MAX(0.1,N(Cockpit!$O$6))),BY353)/BQ353,0)*BQ353</f>
        <v>50</v>
      </c>
      <c r="AY353" s="58" t="n">
        <f aca="false">IF(AV353&gt;0,I353/AV353,-1)</f>
        <v>0</v>
      </c>
      <c r="AZ353" s="58" t="n">
        <f aca="false">IF(AND(OR(BU353="L1",BU353="L23"),AV353&gt;0),SUMIFS($AV$7:$AV$1576,$BU$7:$BU$1576,BU353,$AY$7:$AY$1576,"&gt;"&amp;AY353)+SUMIFS($AV$7:$AV$1576,$BU$7:$BU$1576,BU353,$AY$7:$AY$1576,AY353,$BO$7:$BO$1576,"&lt;="&amp;BO353),"")</f>
        <v>114.146936159476</v>
      </c>
      <c r="BA353" s="65" t="n">
        <f aca="false">IF(AZ353="",0,MAX(0,MIN(1,(IF(BU353="L1",Parameter!$E$5,Parameter!$E$6+Parameter!$E$7)-(AZ353-AV353))/AV353)))</f>
        <v>0</v>
      </c>
      <c r="BB353" s="55" t="str">
        <f aca="false">IF(AF353&lt;=0,"",IF(BU353="Aussen","Aussenlager",IF(BU353="-","Nicht im Lift",IF(AK353&gt;=1,"Lift",IF(AK353&lt;=0,"Aussenlager","teilweise")))))</f>
        <v>Lift</v>
      </c>
      <c r="BC353" s="55" t="str">
        <f aca="false">IF(AN353&lt;=0,"",IF(BU353="Aussen","Aussenlager",IF(BU353="-","Nicht im Lift",IF(AS353&gt;=1,"Lift",IF(AS353&lt;=0,"Aussenlager","teilweise")))))</f>
        <v>Aussenlager</v>
      </c>
      <c r="BD353" s="55" t="str">
        <f aca="false">IF(AV353&lt;=0,"",IF(BU353="Aussen","Aussenlager",IF(BU353="-","Nicht im Lift",IF(BA353&gt;=1,"Lift",IF(BA353&lt;=0,"Aussenlager","teilweise")))))</f>
        <v>Aussenlager</v>
      </c>
      <c r="BE353" s="55" t="str">
        <f aca="false">IF(A353="","",IF(BN353=1,"Neu; ","")&amp;IF(AND(BN353=0,BI353&lt;0),"negativer Bestand (Export "&amp;BI353&amp;"); ","")&amp;IF(I353&lt;=0,"Kein Verbrauch; ","")&amp;IF(CD353&gt;0,"Lift "&amp;U353&amp;" lt. Liftbericht (Fach "&amp;V353&amp;" Stk); ",IF(BR353=1,"Lose – Fläche geschätzt; ",""))&amp;IF(G353&gt;AP353,"Überbestand "&amp;ROUND(G353-AP353,0)&amp;" Stk / CHF "&amp;ROUND((G353-AP353)*F353,0)&amp;"; ","")&amp;IF(AND(BW353=1,BX353&lt;BY353),"MAX &lt; MB+LG; ","")&amp;IF(AND(CC353&gt;0,CB353*10&gt;CC353),"zu hoch für Tablar; ","")&amp;IF(AND(BN353=0,OR(BW353=1,Y353&lt;&gt;"",S353&lt;&gt;"",T353&lt;&gt;"",Z353&lt;&gt;"")),"manuell übersteuert; ","")&amp;IF(AND(BR353=0,Q353=0),"Gebinde unbekannt / Stellmass fehlt; ","")&amp;IF(AND(BR353=0,N(T353)&lt;=0,N(P353)&lt;=0),"Menge pro Gebinde fehlt (Ist = 1 Gebinde); ","")&amp;BM353)</f>
        <v>Kein Verbrauch; </v>
      </c>
      <c r="BF353" s="55"/>
      <c r="BG353" s="55"/>
      <c r="BH353" s="62"/>
      <c r="BI353" s="57" t="n">
        <v>15</v>
      </c>
      <c r="BJ353" s="57" t="n">
        <v>11</v>
      </c>
      <c r="BK353" s="56" t="n">
        <v>175.2</v>
      </c>
      <c r="BL353" s="57" t="n">
        <v>0</v>
      </c>
      <c r="BM353" s="55"/>
      <c r="BN353" s="60" t="n">
        <v>0</v>
      </c>
      <c r="BO353" s="60" t="n">
        <v>353</v>
      </c>
      <c r="BP353" s="55" t="str">
        <f aca="false">IF(S353&lt;&gt;"",UPPER(TRIM(S353)),IF(O353="","LOSE",O353))</f>
        <v>S41</v>
      </c>
      <c r="BQ353" s="57" t="n">
        <f aca="false">IF(BP353="LOSE",1,IF(N(T353)&gt;0,T353,IF(N(P353)&gt;0,P353,MAX(1,G353))))</f>
        <v>50</v>
      </c>
      <c r="BR353" s="60" t="n">
        <f aca="false">IF(BP353="LOSE",1,0)</f>
        <v>0</v>
      </c>
      <c r="BS353" s="59" t="n">
        <f aca="false">IF(BR353=0,0,IF(N(R353)&gt;0,R353,IFERROR(VLOOKUP(D353,Parameter!$A$35:$C$64,3,0)+0,0)))</f>
        <v>0</v>
      </c>
      <c r="BT353" s="55" t="n">
        <f aca="false">IF(Y353&lt;&gt;"",Y353,X353)</f>
        <v>3</v>
      </c>
      <c r="BU353" s="55" t="str">
        <f aca="false">IF(BT353=1,"L1",IF(OR(BT353=2,BT353=3),"L23",IF(BT353="Aussen","Aussen","-")))</f>
        <v>L23</v>
      </c>
      <c r="BV353" s="66" t="n">
        <f aca="false">IF(N(Z353)&gt;0,Z353,0)</f>
        <v>0</v>
      </c>
      <c r="BW353" s="60" t="n">
        <f aca="false">IF(ISNUMBER(AC353),1,0)</f>
        <v>0</v>
      </c>
      <c r="BX353" s="57" t="n">
        <f aca="false">N(AC353)</f>
        <v>0</v>
      </c>
      <c r="BY353" s="57" t="n">
        <f aca="false">N(L353)+N(M353)</f>
        <v>10</v>
      </c>
      <c r="BZ353" s="57" t="n">
        <f aca="false">ROUNDUP(G353/BQ353,0)</f>
        <v>1</v>
      </c>
      <c r="CA353" s="57" t="n">
        <f aca="false">ROUNDUP(BX353/BQ353,0)</f>
        <v>0</v>
      </c>
      <c r="CB353" s="60" t="n">
        <f aca="false">IF(BR353=1,0,IFERROR(VLOOKUP(BP353,'Gebinde-Kategorie'!$A$5:$M$45,5,0)+0,0))</f>
        <v>11</v>
      </c>
      <c r="CC353" s="60" t="n">
        <f aca="false">IFERROR(IF(OR(BT353=1,BT353=2,BT353=3),N(INDEX(Parameter!$I$5:$I$7,BT353)),0),0)</f>
        <v>0</v>
      </c>
      <c r="CD353" s="59" t="n">
        <f aca="false">IF(AND(Parameter!$B$21="Ja",ISNUMBER(U353),N(V353)&gt;0),IFERROR(N(INDEX(Parameter!$L$5:$L$7,U353))*INDEX(Parameter!$E$5:$E$7,U353)*V353/SUMIFS($V$7:$V$1576,$U$7:$U$1576,U353),0),0)</f>
        <v>0</v>
      </c>
    </row>
    <row r="354" customFormat="false" ht="15" hidden="false" customHeight="false" outlineLevel="0" collapsed="false">
      <c r="A354" s="55" t="s">
        <v>852</v>
      </c>
      <c r="B354" s="55" t="s">
        <v>853</v>
      </c>
      <c r="C354" s="55" t="s">
        <v>160</v>
      </c>
      <c r="D354" s="55" t="s">
        <v>178</v>
      </c>
      <c r="E354" s="55" t="s">
        <v>210</v>
      </c>
      <c r="F354" s="56" t="n">
        <v>35</v>
      </c>
      <c r="G354" s="57" t="n">
        <f aca="false">MAX(0,IF(AND(Parameter!$B$21="Ja",ISNUMBER(W354)),W354,IF(Parameter!$B$20="Jahresanfang 2025 + Export",BJ354+BI354,BI354)))</f>
        <v>5</v>
      </c>
      <c r="H354" s="57" t="n">
        <f aca="false">G354*F354</f>
        <v>175</v>
      </c>
      <c r="I354" s="57" t="n">
        <f aca="false">BL354*Parameter!$B$18</f>
        <v>0</v>
      </c>
      <c r="J354" s="58" t="n">
        <v>2.5</v>
      </c>
      <c r="K354" s="59" t="n">
        <v>0</v>
      </c>
      <c r="L354" s="57" t="n">
        <v>0</v>
      </c>
      <c r="M354" s="57" t="n">
        <v>1</v>
      </c>
      <c r="N354" s="60" t="n">
        <v>28</v>
      </c>
      <c r="O354" s="55" t="s">
        <v>319</v>
      </c>
      <c r="P354" s="57" t="n">
        <v>10</v>
      </c>
      <c r="Q354" s="60" t="n">
        <f aca="false">IF(BR354=1,0,IFERROR(VLOOKUP(BP354,'Gebinde-Kategorie'!$A$5:$M$45,13,0)+0,0))</f>
        <v>52</v>
      </c>
      <c r="R354" s="61"/>
      <c r="S354" s="62"/>
      <c r="T354" s="62"/>
      <c r="U354" s="55"/>
      <c r="V354" s="57"/>
      <c r="W354" s="57"/>
      <c r="X354" s="55" t="n">
        <f aca="false">IF(A354="","",IF(AND(Parameter!$B$21="Ja",ISNUMBER(U354)),U354,IF(IFERROR(VLOOKUP(D354,Parameter!$A$35:$C$64,2,0),"Nein")="2+3",IF(ISNUMBER(SEARCH("grosser Artikel",BM354)),2,IFERROR(VLOOKUP(BP354,Parameter!$F$35:$G$64,2,0),2)),IF(OR(IFERROR(VLOOKUP(D354,Parameter!$A$35:$C$64,2,0),"Nein")="Nein",IFERROR(VLOOKUP(D354,Parameter!$A$35:$C$64,2,0),"Nein")=""),"-",VLOOKUP(D354,Parameter!$A$35:$C$64,2,0)))))</f>
        <v>3</v>
      </c>
      <c r="Y354" s="62"/>
      <c r="Z354" s="63"/>
      <c r="AA354" s="57" t="n">
        <f aca="false">AP354</f>
        <v>10</v>
      </c>
      <c r="AB354" s="57" t="n">
        <f aca="false">MAX(AP354,G354)</f>
        <v>10</v>
      </c>
      <c r="AC354" s="64"/>
      <c r="AD354" s="57" t="n">
        <f aca="false">IF(LEFT(Cockpit!$C$5,1)="A",G354,IF(BW354=1,BX354,IF(LEFT(Cockpit!$C$5,1)="B",AH354,MAX(AH354,G354))))</f>
        <v>5</v>
      </c>
      <c r="AE354" s="57" t="n">
        <f aca="false">IF(BR354=1,0,ROUNDUP(AD354/BQ354,0))</f>
        <v>1</v>
      </c>
      <c r="AF354" s="59" t="n">
        <f aca="false">IF(CD354&gt;0,CD354*MAX(1,AD354/V354),IF(BR354=1,IF(AD354&lt;=0,0,BS354*MAX(1,IF(G354&gt;0,AD354/G354,1))),IF(Q354&gt;0,AE354/Q354,0))/MAX(0.1,N(Parameter!$M$21)))</f>
        <v>0.0192307692307692</v>
      </c>
      <c r="AG354" s="57" t="n">
        <f aca="false">AD354*F354</f>
        <v>175</v>
      </c>
      <c r="AH354" s="57" t="n">
        <f aca="false">ROUNDUP(MAX(I354/IF(BV354&gt;0,BV354,MAX(0.1,N(Cockpit!$C$6))),BY354)/BQ354,0)*BQ354</f>
        <v>10</v>
      </c>
      <c r="AI354" s="58" t="n">
        <f aca="false">IF(AF354&gt;0,I354/AF354,-1)</f>
        <v>0</v>
      </c>
      <c r="AJ354" s="58" t="n">
        <f aca="false">IF(AND(OR(BU354="L1",BU354="L23"),AF354&gt;0),SUMIFS($AF$7:$AF$1576,$BU$7:$BU$1576,BU354,$AI$7:$AI$1576,"&gt;"&amp;AI354)+SUMIFS($AF$7:$AF$1576,$BU$7:$BU$1576,BU354,$AI$7:$AI$1576,AI354,$BO$7:$BO$1576,"&lt;="&amp;BO354),"")</f>
        <v>41.2324107293672</v>
      </c>
      <c r="AK354" s="65" t="n">
        <f aca="false">IF(AJ354="",0,MAX(0,MIN(1,(IF(BU354="L1",Parameter!$E$5,Parameter!$E$6+Parameter!$E$7)-(AJ354-AF354))/AF354)))</f>
        <v>1</v>
      </c>
      <c r="AL354" s="57" t="n">
        <f aca="false">IF(LEFT(Cockpit!$I$5,1)="A",G354,IF(BW354=1,BX354,IF(LEFT(Cockpit!$I$5,1)="B",AP354,MAX(AP354,G354))))</f>
        <v>10</v>
      </c>
      <c r="AM354" s="57" t="n">
        <f aca="false">IF(BR354=1,0,ROUNDUP(AL354/BQ354,0))</f>
        <v>1</v>
      </c>
      <c r="AN354" s="59" t="n">
        <f aca="false">IF(CD354&gt;0,CD354*MAX(1,AL354/V354),IF(BR354=1,IF(AL354&lt;=0,0,BS354*MAX(1,IF(G354&gt;0,AL354/G354,1))),IF(Q354&gt;0,AM354/Q354,0))/MAX(0.1,N(Parameter!$M$21)))</f>
        <v>0.0192307692307692</v>
      </c>
      <c r="AO354" s="57" t="n">
        <f aca="false">AL354*F354</f>
        <v>350</v>
      </c>
      <c r="AP354" s="57" t="n">
        <f aca="false">ROUNDUP(MAX(I354/IF(BV354&gt;0,BV354,MAX(0.1,N(Cockpit!$I$6))),BY354)/BQ354,0)*BQ354</f>
        <v>10</v>
      </c>
      <c r="AQ354" s="58" t="n">
        <f aca="false">IF(AN354&gt;0,I354/AN354,-1)</f>
        <v>0</v>
      </c>
      <c r="AR354" s="58" t="n">
        <f aca="false">IF(AND(OR(BU354="L1",BU354="L23"),AN354&gt;0),SUMIFS($AN$7:$AN$1576,$BU$7:$BU$1576,BU354,$AQ$7:$AQ$1576,"&gt;"&amp;AQ354)+SUMIFS($AN$7:$AN$1576,$BU$7:$BU$1576,BU354,$AQ$7:$AQ$1576,AQ354,$BO$7:$BO$1576,"&lt;="&amp;BO354),"")</f>
        <v>124.106616479157</v>
      </c>
      <c r="AS354" s="65" t="n">
        <f aca="false">IF(AR354="",0,MAX(0,MIN(1,(IF(BU354="L1",Parameter!$E$5,Parameter!$E$6+Parameter!$E$7)-(AR354-AN354))/AN354)))</f>
        <v>0</v>
      </c>
      <c r="AT354" s="57" t="n">
        <f aca="false">IF(LEFT(Cockpit!$O$5,1)="A",G354,IF(BW354=1,BX354,IF(LEFT(Cockpit!$O$5,1)="B",AX354,MAX(AX354,G354))))</f>
        <v>10</v>
      </c>
      <c r="AU354" s="57" t="n">
        <f aca="false">IF(BR354=1,0,ROUNDUP(AT354/BQ354,0))</f>
        <v>1</v>
      </c>
      <c r="AV354" s="59" t="n">
        <f aca="false">IF(CD354&gt;0,CD354*MAX(1,AT354/V354),IF(BR354=1,IF(AT354&lt;=0,0,BS354*MAX(1,IF(G354&gt;0,AT354/G354,1))),IF(Q354&gt;0,AU354/Q354,0))/MAX(0.1,N(Parameter!$M$21)))</f>
        <v>0.0192307692307692</v>
      </c>
      <c r="AW354" s="57" t="n">
        <f aca="false">AT354*F354</f>
        <v>350</v>
      </c>
      <c r="AX354" s="57" t="n">
        <f aca="false">ROUNDUP(MAX(I354/IF(BV354&gt;0,BV354,MAX(0.1,N(Cockpit!$O$6))),BY354)/BQ354,0)*BQ354</f>
        <v>10</v>
      </c>
      <c r="AY354" s="58" t="n">
        <f aca="false">IF(AV354&gt;0,I354/AV354,-1)</f>
        <v>0</v>
      </c>
      <c r="AZ354" s="58" t="n">
        <f aca="false">IF(AND(OR(BU354="L1",BU354="L23"),AV354&gt;0),SUMIFS($AV$7:$AV$1576,$BU$7:$BU$1576,BU354,$AY$7:$AY$1576,"&gt;"&amp;AY354)+SUMIFS($AV$7:$AV$1576,$BU$7:$BU$1576,BU354,$AY$7:$AY$1576,AY354,$BO$7:$BO$1576,"&lt;="&amp;BO354),"")</f>
        <v>114.166166928707</v>
      </c>
      <c r="BA354" s="65" t="n">
        <f aca="false">IF(AZ354="",0,MAX(0,MIN(1,(IF(BU354="L1",Parameter!$E$5,Parameter!$E$6+Parameter!$E$7)-(AZ354-AV354))/AV354)))</f>
        <v>0</v>
      </c>
      <c r="BB354" s="55" t="str">
        <f aca="false">IF(AF354&lt;=0,"",IF(BU354="Aussen","Aussenlager",IF(BU354="-","Nicht im Lift",IF(AK354&gt;=1,"Lift",IF(AK354&lt;=0,"Aussenlager","teilweise")))))</f>
        <v>Lift</v>
      </c>
      <c r="BC354" s="55" t="str">
        <f aca="false">IF(AN354&lt;=0,"",IF(BU354="Aussen","Aussenlager",IF(BU354="-","Nicht im Lift",IF(AS354&gt;=1,"Lift",IF(AS354&lt;=0,"Aussenlager","teilweise")))))</f>
        <v>Aussenlager</v>
      </c>
      <c r="BD354" s="55" t="str">
        <f aca="false">IF(AV354&lt;=0,"",IF(BU354="Aussen","Aussenlager",IF(BU354="-","Nicht im Lift",IF(BA354&gt;=1,"Lift",IF(BA354&lt;=0,"Aussenlager","teilweise")))))</f>
        <v>Aussenlager</v>
      </c>
      <c r="BE354" s="55" t="str">
        <f aca="false">IF(A354="","",IF(BN354=1,"Neu; ","")&amp;IF(AND(BN354=0,BI354&lt;0),"negativer Bestand (Export "&amp;BI354&amp;"); ","")&amp;IF(I354&lt;=0,"Kein Verbrauch; ","")&amp;IF(CD354&gt;0,"Lift "&amp;U354&amp;" lt. Liftbericht (Fach "&amp;V354&amp;" Stk); ",IF(BR354=1,"Lose – Fläche geschätzt; ",""))&amp;IF(G354&gt;AP354,"Überbestand "&amp;ROUND(G354-AP354,0)&amp;" Stk / CHF "&amp;ROUND((G354-AP354)*F354,0)&amp;"; ","")&amp;IF(AND(BW354=1,BX354&lt;BY354),"MAX &lt; MB+LG; ","")&amp;IF(AND(CC354&gt;0,CB354*10&gt;CC354),"zu hoch für Tablar; ","")&amp;IF(AND(BN354=0,OR(BW354=1,Y354&lt;&gt;"",S354&lt;&gt;"",T354&lt;&gt;"",Z354&lt;&gt;"")),"manuell übersteuert; ","")&amp;IF(AND(BR354=0,Q354=0),"Gebinde unbekannt / Stellmass fehlt; ","")&amp;IF(AND(BR354=0,N(T354)&lt;=0,N(P354)&lt;=0),"Menge pro Gebinde fehlt (Ist = 1 Gebinde); ","")&amp;BM354)</f>
        <v>Kein Verbrauch; </v>
      </c>
      <c r="BF354" s="55"/>
      <c r="BG354" s="55"/>
      <c r="BH354" s="62"/>
      <c r="BI354" s="57" t="n">
        <v>5</v>
      </c>
      <c r="BJ354" s="57" t="n">
        <v>0</v>
      </c>
      <c r="BK354" s="56" t="n">
        <v>175</v>
      </c>
      <c r="BL354" s="57" t="n">
        <v>0</v>
      </c>
      <c r="BM354" s="55"/>
      <c r="BN354" s="60" t="n">
        <v>0</v>
      </c>
      <c r="BO354" s="60" t="n">
        <v>354</v>
      </c>
      <c r="BP354" s="55" t="str">
        <f aca="false">IF(S354&lt;&gt;"",UPPER(TRIM(S354)),IF(O354="","LOSE",O354))</f>
        <v>S41</v>
      </c>
      <c r="BQ354" s="57" t="n">
        <f aca="false">IF(BP354="LOSE",1,IF(N(T354)&gt;0,T354,IF(N(P354)&gt;0,P354,MAX(1,G354))))</f>
        <v>10</v>
      </c>
      <c r="BR354" s="60" t="n">
        <f aca="false">IF(BP354="LOSE",1,0)</f>
        <v>0</v>
      </c>
      <c r="BS354" s="59" t="n">
        <f aca="false">IF(BR354=0,0,IF(N(R354)&gt;0,R354,IFERROR(VLOOKUP(D354,Parameter!$A$35:$C$64,3,0)+0,0)))</f>
        <v>0</v>
      </c>
      <c r="BT354" s="55" t="n">
        <f aca="false">IF(Y354&lt;&gt;"",Y354,X354)</f>
        <v>3</v>
      </c>
      <c r="BU354" s="55" t="str">
        <f aca="false">IF(BT354=1,"L1",IF(OR(BT354=2,BT354=3),"L23",IF(BT354="Aussen","Aussen","-")))</f>
        <v>L23</v>
      </c>
      <c r="BV354" s="66" t="n">
        <f aca="false">IF(N(Z354)&gt;0,Z354,0)</f>
        <v>0</v>
      </c>
      <c r="BW354" s="60" t="n">
        <f aca="false">IF(ISNUMBER(AC354),1,0)</f>
        <v>0</v>
      </c>
      <c r="BX354" s="57" t="n">
        <f aca="false">N(AC354)</f>
        <v>0</v>
      </c>
      <c r="BY354" s="57" t="n">
        <f aca="false">N(L354)+N(M354)</f>
        <v>1</v>
      </c>
      <c r="BZ354" s="57" t="n">
        <f aca="false">ROUNDUP(G354/BQ354,0)</f>
        <v>1</v>
      </c>
      <c r="CA354" s="57" t="n">
        <f aca="false">ROUNDUP(BX354/BQ354,0)</f>
        <v>0</v>
      </c>
      <c r="CB354" s="60" t="n">
        <f aca="false">IF(BR354=1,0,IFERROR(VLOOKUP(BP354,'Gebinde-Kategorie'!$A$5:$M$45,5,0)+0,0))</f>
        <v>11</v>
      </c>
      <c r="CC354" s="60" t="n">
        <f aca="false">IFERROR(IF(OR(BT354=1,BT354=2,BT354=3),N(INDEX(Parameter!$I$5:$I$7,BT354)),0),0)</f>
        <v>0</v>
      </c>
      <c r="CD354" s="59" t="n">
        <f aca="false">IF(AND(Parameter!$B$21="Ja",ISNUMBER(U354),N(V354)&gt;0),IFERROR(N(INDEX(Parameter!$L$5:$L$7,U354))*INDEX(Parameter!$E$5:$E$7,U354)*V354/SUMIFS($V$7:$V$1576,$U$7:$U$1576,U354),0),0)</f>
        <v>0</v>
      </c>
    </row>
    <row r="355" customFormat="false" ht="15" hidden="false" customHeight="false" outlineLevel="0" collapsed="false">
      <c r="A355" s="55" t="s">
        <v>854</v>
      </c>
      <c r="B355" s="55" t="s">
        <v>578</v>
      </c>
      <c r="C355" s="55" t="s">
        <v>160</v>
      </c>
      <c r="D355" s="55" t="s">
        <v>178</v>
      </c>
      <c r="E355" s="55" t="s">
        <v>210</v>
      </c>
      <c r="F355" s="56" t="n">
        <v>17.2</v>
      </c>
      <c r="G355" s="57" t="n">
        <f aca="false">MAX(0,IF(AND(Parameter!$B$21="Ja",ISNUMBER(W355)),W355,IF(Parameter!$B$20="Jahresanfang 2025 + Export",BJ355+BI355,BI355)))</f>
        <v>10</v>
      </c>
      <c r="H355" s="57" t="n">
        <f aca="false">G355*F355</f>
        <v>172</v>
      </c>
      <c r="I355" s="57" t="n">
        <f aca="false">BL355*Parameter!$B$18</f>
        <v>0</v>
      </c>
      <c r="J355" s="58" t="n">
        <v>73</v>
      </c>
      <c r="K355" s="59" t="n">
        <v>0</v>
      </c>
      <c r="L355" s="57" t="n">
        <v>0</v>
      </c>
      <c r="M355" s="57" t="n">
        <v>1</v>
      </c>
      <c r="N355" s="60" t="n">
        <v>35</v>
      </c>
      <c r="O355" s="55" t="s">
        <v>416</v>
      </c>
      <c r="P355" s="57" t="n">
        <v>114</v>
      </c>
      <c r="Q355" s="60" t="n">
        <f aca="false">IF(BR355=1,0,IFERROR(VLOOKUP(BP355,'Gebinde-Kategorie'!$A$5:$M$45,13,0)+0,0))</f>
        <v>198</v>
      </c>
      <c r="R355" s="61"/>
      <c r="S355" s="62"/>
      <c r="T355" s="62"/>
      <c r="U355" s="55"/>
      <c r="V355" s="57"/>
      <c r="W355" s="57"/>
      <c r="X355" s="55" t="n">
        <f aca="false">IF(A355="","",IF(AND(Parameter!$B$21="Ja",ISNUMBER(U355)),U355,IF(IFERROR(VLOOKUP(D355,Parameter!$A$35:$C$64,2,0),"Nein")="2+3",IF(ISNUMBER(SEARCH("grosser Artikel",BM355)),2,IFERROR(VLOOKUP(BP355,Parameter!$F$35:$G$64,2,0),2)),IF(OR(IFERROR(VLOOKUP(D355,Parameter!$A$35:$C$64,2,0),"Nein")="Nein",IFERROR(VLOOKUP(D355,Parameter!$A$35:$C$64,2,0),"Nein")=""),"-",VLOOKUP(D355,Parameter!$A$35:$C$64,2,0)))))</f>
        <v>3</v>
      </c>
      <c r="Y355" s="62"/>
      <c r="Z355" s="63"/>
      <c r="AA355" s="57" t="n">
        <f aca="false">AP355</f>
        <v>114</v>
      </c>
      <c r="AB355" s="57" t="n">
        <f aca="false">MAX(AP355,G355)</f>
        <v>114</v>
      </c>
      <c r="AC355" s="64"/>
      <c r="AD355" s="57" t="n">
        <f aca="false">IF(LEFT(Cockpit!$C$5,1)="A",G355,IF(BW355=1,BX355,IF(LEFT(Cockpit!$C$5,1)="B",AH355,MAX(AH355,G355))))</f>
        <v>10</v>
      </c>
      <c r="AE355" s="57" t="n">
        <f aca="false">IF(BR355=1,0,ROUNDUP(AD355/BQ355,0))</f>
        <v>1</v>
      </c>
      <c r="AF355" s="59" t="n">
        <f aca="false">IF(CD355&gt;0,CD355*MAX(1,AD355/V355),IF(BR355=1,IF(AD355&lt;=0,0,BS355*MAX(1,IF(G355&gt;0,AD355/G355,1))),IF(Q355&gt;0,AE355/Q355,0))/MAX(0.1,N(Parameter!$M$21)))</f>
        <v>0.00505050505050505</v>
      </c>
      <c r="AG355" s="57" t="n">
        <f aca="false">AD355*F355</f>
        <v>172</v>
      </c>
      <c r="AH355" s="57" t="n">
        <f aca="false">ROUNDUP(MAX(I355/IF(BV355&gt;0,BV355,MAX(0.1,N(Cockpit!$C$6))),BY355)/BQ355,0)*BQ355</f>
        <v>114</v>
      </c>
      <c r="AI355" s="58" t="n">
        <f aca="false">IF(AF355&gt;0,I355/AF355,-1)</f>
        <v>0</v>
      </c>
      <c r="AJ355" s="58" t="n">
        <f aca="false">IF(AND(OR(BU355="L1",BU355="L23"),AF355&gt;0),SUMIFS($AF$7:$AF$1576,$BU$7:$BU$1576,BU355,$AI$7:$AI$1576,"&gt;"&amp;AI355)+SUMIFS($AF$7:$AF$1576,$BU$7:$BU$1576,BU355,$AI$7:$AI$1576,AI355,$BO$7:$BO$1576,"&lt;="&amp;BO355),"")</f>
        <v>41.2374612344178</v>
      </c>
      <c r="AK355" s="65" t="n">
        <f aca="false">IF(AJ355="",0,MAX(0,MIN(1,(IF(BU355="L1",Parameter!$E$5,Parameter!$E$6+Parameter!$E$7)-(AJ355-AF355))/AF355)))</f>
        <v>1</v>
      </c>
      <c r="AL355" s="57" t="n">
        <f aca="false">IF(LEFT(Cockpit!$I$5,1)="A",G355,IF(BW355=1,BX355,IF(LEFT(Cockpit!$I$5,1)="B",AP355,MAX(AP355,G355))))</f>
        <v>114</v>
      </c>
      <c r="AM355" s="57" t="n">
        <f aca="false">IF(BR355=1,0,ROUNDUP(AL355/BQ355,0))</f>
        <v>1</v>
      </c>
      <c r="AN355" s="59" t="n">
        <f aca="false">IF(CD355&gt;0,CD355*MAX(1,AL355/V355),IF(BR355=1,IF(AL355&lt;=0,0,BS355*MAX(1,IF(G355&gt;0,AL355/G355,1))),IF(Q355&gt;0,AM355/Q355,0))/MAX(0.1,N(Parameter!$M$21)))</f>
        <v>0.00505050505050505</v>
      </c>
      <c r="AO355" s="57" t="n">
        <f aca="false">AL355*F355</f>
        <v>1960.8</v>
      </c>
      <c r="AP355" s="57" t="n">
        <f aca="false">ROUNDUP(MAX(I355/IF(BV355&gt;0,BV355,MAX(0.1,N(Cockpit!$I$6))),BY355)/BQ355,0)*BQ355</f>
        <v>114</v>
      </c>
      <c r="AQ355" s="58" t="n">
        <f aca="false">IF(AN355&gt;0,I355/AN355,-1)</f>
        <v>0</v>
      </c>
      <c r="AR355" s="58" t="n">
        <f aca="false">IF(AND(OR(BU355="L1",BU355="L23"),AN355&gt;0),SUMIFS($AN$7:$AN$1576,$BU$7:$BU$1576,BU355,$AQ$7:$AQ$1576,"&gt;"&amp;AQ355)+SUMIFS($AN$7:$AN$1576,$BU$7:$BU$1576,BU355,$AQ$7:$AQ$1576,AQ355,$BO$7:$BO$1576,"&lt;="&amp;BO355),"")</f>
        <v>124.111666984207</v>
      </c>
      <c r="AS355" s="65" t="n">
        <f aca="false">IF(AR355="",0,MAX(0,MIN(1,(IF(BU355="L1",Parameter!$E$5,Parameter!$E$6+Parameter!$E$7)-(AR355-AN355))/AN355)))</f>
        <v>0</v>
      </c>
      <c r="AT355" s="57" t="n">
        <f aca="false">IF(LEFT(Cockpit!$O$5,1)="A",G355,IF(BW355=1,BX355,IF(LEFT(Cockpit!$O$5,1)="B",AX355,MAX(AX355,G355))))</f>
        <v>114</v>
      </c>
      <c r="AU355" s="57" t="n">
        <f aca="false">IF(BR355=1,0,ROUNDUP(AT355/BQ355,0))</f>
        <v>1</v>
      </c>
      <c r="AV355" s="59" t="n">
        <f aca="false">IF(CD355&gt;0,CD355*MAX(1,AT355/V355),IF(BR355=1,IF(AT355&lt;=0,0,BS355*MAX(1,IF(G355&gt;0,AT355/G355,1))),IF(Q355&gt;0,AU355/Q355,0))/MAX(0.1,N(Parameter!$M$21)))</f>
        <v>0.00505050505050505</v>
      </c>
      <c r="AW355" s="57" t="n">
        <f aca="false">AT355*F355</f>
        <v>1960.8</v>
      </c>
      <c r="AX355" s="57" t="n">
        <f aca="false">ROUNDUP(MAX(I355/IF(BV355&gt;0,BV355,MAX(0.1,N(Cockpit!$O$6))),BY355)/BQ355,0)*BQ355</f>
        <v>114</v>
      </c>
      <c r="AY355" s="58" t="n">
        <f aca="false">IF(AV355&gt;0,I355/AV355,-1)</f>
        <v>0</v>
      </c>
      <c r="AZ355" s="58" t="n">
        <f aca="false">IF(AND(OR(BU355="L1",BU355="L23"),AV355&gt;0),SUMIFS($AV$7:$AV$1576,$BU$7:$BU$1576,BU355,$AY$7:$AY$1576,"&gt;"&amp;AY355)+SUMIFS($AV$7:$AV$1576,$BU$7:$BU$1576,BU355,$AY$7:$AY$1576,AY355,$BO$7:$BO$1576,"&lt;="&amp;BO355),"")</f>
        <v>114.171217433758</v>
      </c>
      <c r="BA355" s="65" t="n">
        <f aca="false">IF(AZ355="",0,MAX(0,MIN(1,(IF(BU355="L1",Parameter!$E$5,Parameter!$E$6+Parameter!$E$7)-(AZ355-AV355))/AV355)))</f>
        <v>0</v>
      </c>
      <c r="BB355" s="55" t="str">
        <f aca="false">IF(AF355&lt;=0,"",IF(BU355="Aussen","Aussenlager",IF(BU355="-","Nicht im Lift",IF(AK355&gt;=1,"Lift",IF(AK355&lt;=0,"Aussenlager","teilweise")))))</f>
        <v>Lift</v>
      </c>
      <c r="BC355" s="55" t="str">
        <f aca="false">IF(AN355&lt;=0,"",IF(BU355="Aussen","Aussenlager",IF(BU355="-","Nicht im Lift",IF(AS355&gt;=1,"Lift",IF(AS355&lt;=0,"Aussenlager","teilweise")))))</f>
        <v>Aussenlager</v>
      </c>
      <c r="BD355" s="55" t="str">
        <f aca="false">IF(AV355&lt;=0,"",IF(BU355="Aussen","Aussenlager",IF(BU355="-","Nicht im Lift",IF(BA355&gt;=1,"Lift",IF(BA355&lt;=0,"Aussenlager","teilweise")))))</f>
        <v>Aussenlager</v>
      </c>
      <c r="BE355" s="55" t="str">
        <f aca="false">IF(A355="","",IF(BN355=1,"Neu; ","")&amp;IF(AND(BN355=0,BI355&lt;0),"negativer Bestand (Export "&amp;BI355&amp;"); ","")&amp;IF(I355&lt;=0,"Kein Verbrauch; ","")&amp;IF(CD355&gt;0,"Lift "&amp;U355&amp;" lt. Liftbericht (Fach "&amp;V355&amp;" Stk); ",IF(BR355=1,"Lose – Fläche geschätzt; ",""))&amp;IF(G355&gt;AP355,"Überbestand "&amp;ROUND(G355-AP355,0)&amp;" Stk / CHF "&amp;ROUND((G355-AP355)*F355,0)&amp;"; ","")&amp;IF(AND(BW355=1,BX355&lt;BY355),"MAX &lt; MB+LG; ","")&amp;IF(AND(CC355&gt;0,CB355*10&gt;CC355),"zu hoch für Tablar; ","")&amp;IF(AND(BN355=0,OR(BW355=1,Y355&lt;&gt;"",S355&lt;&gt;"",T355&lt;&gt;"",Z355&lt;&gt;"")),"manuell übersteuert; ","")&amp;IF(AND(BR355=0,Q355=0),"Gebinde unbekannt / Stellmass fehlt; ","")&amp;IF(AND(BR355=0,N(T355)&lt;=0,N(P355)&lt;=0),"Menge pro Gebinde fehlt (Ist = 1 Gebinde); ","")&amp;BM355)</f>
        <v>Kein Verbrauch; Überbestand</v>
      </c>
      <c r="BF355" s="55"/>
      <c r="BG355" s="55"/>
      <c r="BH355" s="62"/>
      <c r="BI355" s="57" t="n">
        <v>10</v>
      </c>
      <c r="BJ355" s="57" t="n">
        <v>68</v>
      </c>
      <c r="BK355" s="56" t="n">
        <v>172</v>
      </c>
      <c r="BL355" s="57" t="n">
        <v>0</v>
      </c>
      <c r="BM355" s="55" t="s">
        <v>382</v>
      </c>
      <c r="BN355" s="60" t="n">
        <v>0</v>
      </c>
      <c r="BO355" s="60" t="n">
        <v>355</v>
      </c>
      <c r="BP355" s="55" t="str">
        <f aca="false">IF(S355&lt;&gt;"",UPPER(TRIM(S355)),IF(O355="","LOSE",O355))</f>
        <v>S22</v>
      </c>
      <c r="BQ355" s="57" t="n">
        <f aca="false">IF(BP355="LOSE",1,IF(N(T355)&gt;0,T355,IF(N(P355)&gt;0,P355,MAX(1,G355))))</f>
        <v>114</v>
      </c>
      <c r="BR355" s="60" t="n">
        <f aca="false">IF(BP355="LOSE",1,0)</f>
        <v>0</v>
      </c>
      <c r="BS355" s="59" t="n">
        <f aca="false">IF(BR355=0,0,IF(N(R355)&gt;0,R355,IFERROR(VLOOKUP(D355,Parameter!$A$35:$C$64,3,0)+0,0)))</f>
        <v>0</v>
      </c>
      <c r="BT355" s="55" t="n">
        <f aca="false">IF(Y355&lt;&gt;"",Y355,X355)</f>
        <v>3</v>
      </c>
      <c r="BU355" s="55" t="str">
        <f aca="false">IF(BT355=1,"L1",IF(OR(BT355=2,BT355=3),"L23",IF(BT355="Aussen","Aussen","-")))</f>
        <v>L23</v>
      </c>
      <c r="BV355" s="66" t="n">
        <f aca="false">IF(N(Z355)&gt;0,Z355,0)</f>
        <v>0</v>
      </c>
      <c r="BW355" s="60" t="n">
        <f aca="false">IF(ISNUMBER(AC355),1,0)</f>
        <v>0</v>
      </c>
      <c r="BX355" s="57" t="n">
        <f aca="false">N(AC355)</f>
        <v>0</v>
      </c>
      <c r="BY355" s="57" t="n">
        <f aca="false">N(L355)+N(M355)</f>
        <v>1</v>
      </c>
      <c r="BZ355" s="57" t="n">
        <f aca="false">ROUNDUP(G355/BQ355,0)</f>
        <v>1</v>
      </c>
      <c r="CA355" s="57" t="n">
        <f aca="false">ROUNDUP(BX355/BQ355,0)</f>
        <v>0</v>
      </c>
      <c r="CB355" s="60" t="n">
        <f aca="false">IF(BR355=1,0,IFERROR(VLOOKUP(BP355,'Gebinde-Kategorie'!$A$5:$M$45,5,0)+0,0))</f>
        <v>8</v>
      </c>
      <c r="CC355" s="60" t="n">
        <f aca="false">IFERROR(IF(OR(BT355=1,BT355=2,BT355=3),N(INDEX(Parameter!$I$5:$I$7,BT355)),0),0)</f>
        <v>0</v>
      </c>
      <c r="CD355" s="59" t="n">
        <f aca="false">IF(AND(Parameter!$B$21="Ja",ISNUMBER(U355),N(V355)&gt;0),IFERROR(N(INDEX(Parameter!$L$5:$L$7,U355))*INDEX(Parameter!$E$5:$E$7,U355)*V355/SUMIFS($V$7:$V$1576,$U$7:$U$1576,U355),0),0)</f>
        <v>0</v>
      </c>
    </row>
    <row r="356" customFormat="false" ht="15" hidden="false" customHeight="false" outlineLevel="0" collapsed="false">
      <c r="A356" s="55" t="s">
        <v>855</v>
      </c>
      <c r="B356" s="55" t="s">
        <v>856</v>
      </c>
      <c r="C356" s="55" t="s">
        <v>160</v>
      </c>
      <c r="D356" s="55" t="s">
        <v>178</v>
      </c>
      <c r="E356" s="55" t="s">
        <v>210</v>
      </c>
      <c r="F356" s="56" t="n">
        <v>19.05</v>
      </c>
      <c r="G356" s="57" t="n">
        <f aca="false">MAX(0,IF(AND(Parameter!$B$21="Ja",ISNUMBER(W356)),W356,IF(Parameter!$B$20="Jahresanfang 2025 + Export",BJ356+BI356,BI356)))</f>
        <v>9</v>
      </c>
      <c r="H356" s="57" t="n">
        <f aca="false">G356*F356</f>
        <v>171.45</v>
      </c>
      <c r="I356" s="57" t="n">
        <f aca="false">BL356*Parameter!$B$18</f>
        <v>6</v>
      </c>
      <c r="J356" s="58" t="n">
        <v>4.5</v>
      </c>
      <c r="K356" s="59" t="n">
        <v>1.33333333333333</v>
      </c>
      <c r="L356" s="57" t="n">
        <v>0</v>
      </c>
      <c r="M356" s="57" t="n">
        <v>5</v>
      </c>
      <c r="N356" s="60" t="n">
        <v>14</v>
      </c>
      <c r="O356" s="55" t="s">
        <v>163</v>
      </c>
      <c r="P356" s="57"/>
      <c r="Q356" s="60" t="n">
        <f aca="false">IF(BR356=1,0,IFERROR(VLOOKUP(BP356,'Gebinde-Kategorie'!$A$5:$M$45,13,0)+0,0))</f>
        <v>0</v>
      </c>
      <c r="R356" s="61"/>
      <c r="S356" s="62"/>
      <c r="T356" s="62"/>
      <c r="U356" s="55"/>
      <c r="V356" s="57"/>
      <c r="W356" s="57"/>
      <c r="X356" s="55" t="n">
        <f aca="false">IF(A356="","",IF(AND(Parameter!$B$21="Ja",ISNUMBER(U356)),U356,IF(IFERROR(VLOOKUP(D356,Parameter!$A$35:$C$64,2,0),"Nein")="2+3",IF(ISNUMBER(SEARCH("grosser Artikel",BM356)),2,IFERROR(VLOOKUP(BP356,Parameter!$F$35:$G$64,2,0),2)),IF(OR(IFERROR(VLOOKUP(D356,Parameter!$A$35:$C$64,2,0),"Nein")="Nein",IFERROR(VLOOKUP(D356,Parameter!$A$35:$C$64,2,0),"Nein")=""),"-",VLOOKUP(D356,Parameter!$A$35:$C$64,2,0)))))</f>
        <v>2</v>
      </c>
      <c r="Y356" s="62"/>
      <c r="Z356" s="63"/>
      <c r="AA356" s="57" t="n">
        <f aca="false">AP356</f>
        <v>5</v>
      </c>
      <c r="AB356" s="57" t="n">
        <f aca="false">MAX(AP356,G356)</f>
        <v>9</v>
      </c>
      <c r="AC356" s="64"/>
      <c r="AD356" s="57" t="n">
        <f aca="false">IF(LEFT(Cockpit!$C$5,1)="A",G356,IF(BW356=1,BX356,IF(LEFT(Cockpit!$C$5,1)="B",AH356,MAX(AH356,G356))))</f>
        <v>9</v>
      </c>
      <c r="AE356" s="57" t="n">
        <f aca="false">IF(BR356=1,0,ROUNDUP(AD356/BQ356,0))</f>
        <v>0</v>
      </c>
      <c r="AF356" s="59" t="n">
        <f aca="false">IF(CD356&gt;0,CD356*MAX(1,AD356/V356),IF(BR356=1,IF(AD356&lt;=0,0,BS356*MAX(1,IF(G356&gt;0,AD356/G356,1))),IF(Q356&gt;0,AE356/Q356,0))/MAX(0.1,N(Parameter!$M$21)))</f>
        <v>0.03</v>
      </c>
      <c r="AG356" s="57" t="n">
        <f aca="false">AD356*F356</f>
        <v>171.45</v>
      </c>
      <c r="AH356" s="57" t="n">
        <f aca="false">ROUNDUP(MAX(I356/IF(BV356&gt;0,BV356,MAX(0.1,N(Cockpit!$C$6))),BY356)/BQ356,0)*BQ356</f>
        <v>5</v>
      </c>
      <c r="AI356" s="58" t="n">
        <f aca="false">IF(AF356&gt;0,I356/AF356,-1)</f>
        <v>200</v>
      </c>
      <c r="AJ356" s="58" t="n">
        <f aca="false">IF(AND(OR(BU356="L1",BU356="L23"),AF356&gt;0),SUMIFS($AF$7:$AF$1576,$BU$7:$BU$1576,BU356,$AI$7:$AI$1576,"&gt;"&amp;AI356)+SUMIFS($AF$7:$AF$1576,$BU$7:$BU$1576,BU356,$AI$7:$AI$1576,AI356,$BO$7:$BO$1576,"&lt;="&amp;BO356),"")</f>
        <v>17.1557596027161</v>
      </c>
      <c r="AK356" s="65" t="n">
        <f aca="false">IF(AJ356="",0,MAX(0,MIN(1,(IF(BU356="L1",Parameter!$E$5,Parameter!$E$6+Parameter!$E$7)-(AJ356-AF356))/AF356)))</f>
        <v>1</v>
      </c>
      <c r="AL356" s="57" t="n">
        <f aca="false">IF(LEFT(Cockpit!$I$5,1)="A",G356,IF(BW356=1,BX356,IF(LEFT(Cockpit!$I$5,1)="B",AP356,MAX(AP356,G356))))</f>
        <v>9</v>
      </c>
      <c r="AM356" s="57" t="n">
        <f aca="false">IF(BR356=1,0,ROUNDUP(AL356/BQ356,0))</f>
        <v>0</v>
      </c>
      <c r="AN356" s="59" t="n">
        <f aca="false">IF(CD356&gt;0,CD356*MAX(1,AL356/V356),IF(BR356=1,IF(AL356&lt;=0,0,BS356*MAX(1,IF(G356&gt;0,AL356/G356,1))),IF(Q356&gt;0,AM356/Q356,0))/MAX(0.1,N(Parameter!$M$21)))</f>
        <v>0.03</v>
      </c>
      <c r="AO356" s="57" t="n">
        <f aca="false">AL356*F356</f>
        <v>171.45</v>
      </c>
      <c r="AP356" s="57" t="n">
        <f aca="false">ROUNDUP(MAX(I356/IF(BV356&gt;0,BV356,MAX(0.1,N(Cockpit!$I$6))),BY356)/BQ356,0)*BQ356</f>
        <v>5</v>
      </c>
      <c r="AQ356" s="58" t="n">
        <f aca="false">IF(AN356&gt;0,I356/AN356,-1)</f>
        <v>200</v>
      </c>
      <c r="AR356" s="58" t="n">
        <f aca="false">IF(AND(OR(BU356="L1",BU356="L23"),AN356&gt;0),SUMIFS($AN$7:$AN$1576,$BU$7:$BU$1576,BU356,$AQ$7:$AQ$1576,"&gt;"&amp;AQ356)+SUMIFS($AN$7:$AN$1576,$BU$7:$BU$1576,BU356,$AQ$7:$AQ$1576,AQ356,$BO$7:$BO$1576,"&lt;="&amp;BO356),"")</f>
        <v>50.829499884511</v>
      </c>
      <c r="AS356" s="65" t="n">
        <f aca="false">IF(AR356="",0,MAX(0,MIN(1,(IF(BU356="L1",Parameter!$E$5,Parameter!$E$6+Parameter!$E$7)-(AR356-AN356))/AN356)))</f>
        <v>1</v>
      </c>
      <c r="AT356" s="57" t="n">
        <f aca="false">IF(LEFT(Cockpit!$O$5,1)="A",G356,IF(BW356=1,BX356,IF(LEFT(Cockpit!$O$5,1)="B",AX356,MAX(AX356,G356))))</f>
        <v>9</v>
      </c>
      <c r="AU356" s="57" t="n">
        <f aca="false">IF(BR356=1,0,ROUNDUP(AT356/BQ356,0))</f>
        <v>0</v>
      </c>
      <c r="AV356" s="59" t="n">
        <f aca="false">IF(CD356&gt;0,CD356*MAX(1,AT356/V356),IF(BR356=1,IF(AT356&lt;=0,0,BS356*MAX(1,IF(G356&gt;0,AT356/G356,1))),IF(Q356&gt;0,AU356/Q356,0))/MAX(0.1,N(Parameter!$M$21)))</f>
        <v>0.03</v>
      </c>
      <c r="AW356" s="57" t="n">
        <f aca="false">AT356*F356</f>
        <v>171.45</v>
      </c>
      <c r="AX356" s="57" t="n">
        <f aca="false">ROUNDUP(MAX(I356/IF(BV356&gt;0,BV356,MAX(0.1,N(Cockpit!$O$6))),BY356)/BQ356,0)*BQ356</f>
        <v>5</v>
      </c>
      <c r="AY356" s="58" t="n">
        <f aca="false">IF(AV356&gt;0,I356/AV356,-1)</f>
        <v>200</v>
      </c>
      <c r="AZ356" s="58" t="n">
        <f aca="false">IF(AND(OR(BU356="L1",BU356="L23"),AV356&gt;0),SUMIFS($AV$7:$AV$1576,$BU$7:$BU$1576,BU356,$AY$7:$AY$1576,"&gt;"&amp;AY356)+SUMIFS($AV$7:$AV$1576,$BU$7:$BU$1576,BU356,$AY$7:$AY$1576,AY356,$BO$7:$BO$1576,"&lt;="&amp;BO356),"")</f>
        <v>47.0257602907715</v>
      </c>
      <c r="BA356" s="65" t="n">
        <f aca="false">IF(AZ356="",0,MAX(0,MIN(1,(IF(BU356="L1",Parameter!$E$5,Parameter!$E$6+Parameter!$E$7)-(AZ356-AV356))/AV356)))</f>
        <v>1</v>
      </c>
      <c r="BB356" s="55" t="str">
        <f aca="false">IF(AF356&lt;=0,"",IF(BU356="Aussen","Aussenlager",IF(BU356="-","Nicht im Lift",IF(AK356&gt;=1,"Lift",IF(AK356&lt;=0,"Aussenlager","teilweise")))))</f>
        <v>Lift</v>
      </c>
      <c r="BC356" s="55" t="str">
        <f aca="false">IF(AN356&lt;=0,"",IF(BU356="Aussen","Aussenlager",IF(BU356="-","Nicht im Lift",IF(AS356&gt;=1,"Lift",IF(AS356&lt;=0,"Aussenlager","teilweise")))))</f>
        <v>Lift</v>
      </c>
      <c r="BD356" s="55" t="str">
        <f aca="false">IF(AV356&lt;=0,"",IF(BU356="Aussen","Aussenlager",IF(BU356="-","Nicht im Lift",IF(BA356&gt;=1,"Lift",IF(BA356&lt;=0,"Aussenlager","teilweise")))))</f>
        <v>Lift</v>
      </c>
      <c r="BE356" s="55" t="str">
        <f aca="false">IF(A356="","",IF(BN356=1,"Neu; ","")&amp;IF(AND(BN356=0,BI356&lt;0),"negativer Bestand (Export "&amp;BI356&amp;"); ","")&amp;IF(I356&lt;=0,"Kein Verbrauch; ","")&amp;IF(CD356&gt;0,"Lift "&amp;U356&amp;" lt. Liftbericht (Fach "&amp;V356&amp;" Stk); ",IF(BR356=1,"Lose – Fläche geschätzt; ",""))&amp;IF(G356&gt;AP356,"Überbestand "&amp;ROUND(G356-AP356,0)&amp;" Stk / CHF "&amp;ROUND((G356-AP356)*F356,0)&amp;"; ","")&amp;IF(AND(BW356=1,BX356&lt;BY356),"MAX &lt; MB+LG; ","")&amp;IF(AND(CC356&gt;0,CB356*10&gt;CC356),"zu hoch für Tablar; ","")&amp;IF(AND(BN356=0,OR(BW356=1,Y356&lt;&gt;"",S356&lt;&gt;"",T356&lt;&gt;"",Z356&lt;&gt;"")),"manuell übersteuert; ","")&amp;IF(AND(BR356=0,Q356=0),"Gebinde unbekannt / Stellmass fehlt; ","")&amp;IF(AND(BR356=0,N(T356)&lt;=0,N(P356)&lt;=0),"Menge pro Gebinde fehlt (Ist = 1 Gebinde); ","")&amp;BM356)</f>
        <v>Lose – Fläche geschätzt; Überbestand 4 Stk / CHF 76; nicht im KTL vorhanden</v>
      </c>
      <c r="BF356" s="55"/>
      <c r="BG356" s="55"/>
      <c r="BH356" s="62"/>
      <c r="BI356" s="57" t="n">
        <v>9</v>
      </c>
      <c r="BJ356" s="57" t="n">
        <v>0</v>
      </c>
      <c r="BK356" s="56" t="n">
        <v>171.45</v>
      </c>
      <c r="BL356" s="57" t="n">
        <v>6</v>
      </c>
      <c r="BM356" s="55" t="s">
        <v>222</v>
      </c>
      <c r="BN356" s="60" t="n">
        <v>0</v>
      </c>
      <c r="BO356" s="60" t="n">
        <v>356</v>
      </c>
      <c r="BP356" s="55" t="str">
        <f aca="false">IF(S356&lt;&gt;"",UPPER(TRIM(S356)),IF(O356="","LOSE",O356))</f>
        <v>LOSE</v>
      </c>
      <c r="BQ356" s="57" t="n">
        <f aca="false">IF(BP356="LOSE",1,IF(N(T356)&gt;0,T356,IF(N(P356)&gt;0,P356,MAX(1,G356))))</f>
        <v>1</v>
      </c>
      <c r="BR356" s="60" t="n">
        <f aca="false">IF(BP356="LOSE",1,0)</f>
        <v>1</v>
      </c>
      <c r="BS356" s="59" t="n">
        <f aca="false">IF(BR356=0,0,IF(N(R356)&gt;0,R356,IFERROR(VLOOKUP(D356,Parameter!$A$35:$C$64,3,0)+0,0)))</f>
        <v>0.03</v>
      </c>
      <c r="BT356" s="55" t="n">
        <f aca="false">IF(Y356&lt;&gt;"",Y356,X356)</f>
        <v>2</v>
      </c>
      <c r="BU356" s="55" t="str">
        <f aca="false">IF(BT356=1,"L1",IF(OR(BT356=2,BT356=3),"L23",IF(BT356="Aussen","Aussen","-")))</f>
        <v>L23</v>
      </c>
      <c r="BV356" s="66" t="n">
        <f aca="false">IF(N(Z356)&gt;0,Z356,0)</f>
        <v>0</v>
      </c>
      <c r="BW356" s="60" t="n">
        <f aca="false">IF(ISNUMBER(AC356),1,0)</f>
        <v>0</v>
      </c>
      <c r="BX356" s="57" t="n">
        <f aca="false">N(AC356)</f>
        <v>0</v>
      </c>
      <c r="BY356" s="57" t="n">
        <f aca="false">N(L356)+N(M356)</f>
        <v>5</v>
      </c>
      <c r="BZ356" s="57" t="n">
        <f aca="false">ROUNDUP(G356/BQ356,0)</f>
        <v>9</v>
      </c>
      <c r="CA356" s="57" t="n">
        <f aca="false">ROUNDUP(BX356/BQ356,0)</f>
        <v>0</v>
      </c>
      <c r="CB356" s="60" t="n">
        <f aca="false">IF(BR356=1,0,IFERROR(VLOOKUP(BP356,'Gebinde-Kategorie'!$A$5:$M$45,5,0)+0,0))</f>
        <v>0</v>
      </c>
      <c r="CC356" s="60" t="n">
        <f aca="false">IFERROR(IF(OR(BT356=1,BT356=2,BT356=3),N(INDEX(Parameter!$I$5:$I$7,BT356)),0),0)</f>
        <v>0</v>
      </c>
      <c r="CD356" s="59" t="n">
        <f aca="false">IF(AND(Parameter!$B$21="Ja",ISNUMBER(U356),N(V356)&gt;0),IFERROR(N(INDEX(Parameter!$L$5:$L$7,U356))*INDEX(Parameter!$E$5:$E$7,U356)*V356/SUMIFS($V$7:$V$1576,$U$7:$U$1576,U356),0),0)</f>
        <v>0</v>
      </c>
    </row>
    <row r="357" customFormat="false" ht="15" hidden="false" customHeight="false" outlineLevel="0" collapsed="false">
      <c r="A357" s="55" t="s">
        <v>857</v>
      </c>
      <c r="B357" s="55" t="s">
        <v>560</v>
      </c>
      <c r="C357" s="55" t="s">
        <v>160</v>
      </c>
      <c r="D357" s="55" t="s">
        <v>178</v>
      </c>
      <c r="E357" s="55" t="s">
        <v>210</v>
      </c>
      <c r="F357" s="56" t="n">
        <v>8.04</v>
      </c>
      <c r="G357" s="57" t="n">
        <f aca="false">MAX(0,IF(AND(Parameter!$B$21="Ja",ISNUMBER(W357)),W357,IF(Parameter!$B$20="Jahresanfang 2025 + Export",BJ357+BI357,BI357)))</f>
        <v>25</v>
      </c>
      <c r="H357" s="57" t="n">
        <f aca="false">G357*F357</f>
        <v>201</v>
      </c>
      <c r="I357" s="57" t="n">
        <f aca="false">BL357*Parameter!$B$18</f>
        <v>672</v>
      </c>
      <c r="J357" s="58" t="n">
        <v>128</v>
      </c>
      <c r="K357" s="59" t="n">
        <v>5.25</v>
      </c>
      <c r="L357" s="57" t="n">
        <v>39</v>
      </c>
      <c r="M357" s="57" t="n">
        <v>150</v>
      </c>
      <c r="N357" s="60" t="n">
        <v>21</v>
      </c>
      <c r="O357" s="55" t="s">
        <v>293</v>
      </c>
      <c r="P357" s="57" t="n">
        <v>266</v>
      </c>
      <c r="Q357" s="60" t="n">
        <f aca="false">IF(BR357=1,0,IFERROR(VLOOKUP(BP357,'Gebinde-Kategorie'!$A$5:$M$45,13,0)+0,0))</f>
        <v>26</v>
      </c>
      <c r="R357" s="61"/>
      <c r="S357" s="62"/>
      <c r="T357" s="62"/>
      <c r="U357" s="55"/>
      <c r="V357" s="57"/>
      <c r="W357" s="57"/>
      <c r="X357" s="55" t="n">
        <f aca="false">IF(A357="","",IF(AND(Parameter!$B$21="Ja",ISNUMBER(U357)),U357,IF(IFERROR(VLOOKUP(D357,Parameter!$A$35:$C$64,2,0),"Nein")="2+3",IF(ISNUMBER(SEARCH("grosser Artikel",BM357)),2,IFERROR(VLOOKUP(BP357,Parameter!$F$35:$G$64,2,0),2)),IF(OR(IFERROR(VLOOKUP(D357,Parameter!$A$35:$C$64,2,0),"Nein")="Nein",IFERROR(VLOOKUP(D357,Parameter!$A$35:$C$64,2,0),"Nein")=""),"-",VLOOKUP(D357,Parameter!$A$35:$C$64,2,0)))))</f>
        <v>3</v>
      </c>
      <c r="Y357" s="62"/>
      <c r="Z357" s="63"/>
      <c r="AA357" s="57" t="n">
        <f aca="false">AP357</f>
        <v>532</v>
      </c>
      <c r="AB357" s="57" t="n">
        <f aca="false">MAX(AP357,G357)</f>
        <v>532</v>
      </c>
      <c r="AC357" s="64"/>
      <c r="AD357" s="57" t="n">
        <f aca="false">IF(LEFT(Cockpit!$C$5,1)="A",G357,IF(BW357=1,BX357,IF(LEFT(Cockpit!$C$5,1)="B",AH357,MAX(AH357,G357))))</f>
        <v>25</v>
      </c>
      <c r="AE357" s="57" t="n">
        <f aca="false">IF(BR357=1,0,ROUNDUP(AD357/BQ357,0))</f>
        <v>1</v>
      </c>
      <c r="AF357" s="59" t="n">
        <f aca="false">IF(CD357&gt;0,CD357*MAX(1,AD357/V357),IF(BR357=1,IF(AD357&lt;=0,0,BS357*MAX(1,IF(G357&gt;0,AD357/G357,1))),IF(Q357&gt;0,AE357/Q357,0))/MAX(0.1,N(Parameter!$M$21)))</f>
        <v>0.0384615384615385</v>
      </c>
      <c r="AG357" s="57" t="n">
        <f aca="false">AD357*F357</f>
        <v>201</v>
      </c>
      <c r="AH357" s="57" t="n">
        <f aca="false">ROUNDUP(MAX(I357/IF(BV357&gt;0,BV357,MAX(0.1,N(Cockpit!$C$6))),BY357)/BQ357,0)*BQ357</f>
        <v>532</v>
      </c>
      <c r="AI357" s="58" t="n">
        <f aca="false">IF(AF357&gt;0,I357/AF357,-1)</f>
        <v>17472</v>
      </c>
      <c r="AJ357" s="58" t="n">
        <f aca="false">IF(AND(OR(BU357="L1",BU357="L23"),AF357&gt;0),SUMIFS($AF$7:$AF$1576,$BU$7:$BU$1576,BU357,$AI$7:$AI$1576,"&gt;"&amp;AI357)+SUMIFS($AF$7:$AF$1576,$BU$7:$BU$1576,BU357,$AI$7:$AI$1576,AI357,$BO$7:$BO$1576,"&lt;="&amp;BO357),"")</f>
        <v>2.1093797506841</v>
      </c>
      <c r="AK357" s="65" t="n">
        <f aca="false">IF(AJ357="",0,MAX(0,MIN(1,(IF(BU357="L1",Parameter!$E$5,Parameter!$E$6+Parameter!$E$7)-(AJ357-AF357))/AF357)))</f>
        <v>1</v>
      </c>
      <c r="AL357" s="57" t="n">
        <f aca="false">IF(LEFT(Cockpit!$I$5,1)="A",G357,IF(BW357=1,BX357,IF(LEFT(Cockpit!$I$5,1)="B",AP357,MAX(AP357,G357))))</f>
        <v>532</v>
      </c>
      <c r="AM357" s="57" t="n">
        <f aca="false">IF(BR357=1,0,ROUNDUP(AL357/BQ357,0))</f>
        <v>2</v>
      </c>
      <c r="AN357" s="59" t="n">
        <f aca="false">IF(CD357&gt;0,CD357*MAX(1,AL357/V357),IF(BR357=1,IF(AL357&lt;=0,0,BS357*MAX(1,IF(G357&gt;0,AL357/G357,1))),IF(Q357&gt;0,AM357/Q357,0))/MAX(0.1,N(Parameter!$M$21)))</f>
        <v>0.0769230769230769</v>
      </c>
      <c r="AO357" s="57" t="n">
        <f aca="false">AL357*F357</f>
        <v>4277.28</v>
      </c>
      <c r="AP357" s="57" t="n">
        <f aca="false">ROUNDUP(MAX(I357/IF(BV357&gt;0,BV357,MAX(0.1,N(Cockpit!$I$6))),BY357)/BQ357,0)*BQ357</f>
        <v>532</v>
      </c>
      <c r="AQ357" s="58" t="n">
        <f aca="false">IF(AN357&gt;0,I357/AN357,-1)</f>
        <v>8736</v>
      </c>
      <c r="AR357" s="58" t="n">
        <f aca="false">IF(AND(OR(BU357="L1",BU357="L23"),AN357&gt;0),SUMIFS($AN$7:$AN$1576,$BU$7:$BU$1576,BU357,$AQ$7:$AQ$1576,"&gt;"&amp;AQ357)+SUMIFS($AN$7:$AN$1576,$BU$7:$BU$1576,BU357,$AQ$7:$AQ$1576,AQ357,$BO$7:$BO$1576,"&lt;="&amp;BO357),"")</f>
        <v>7.84347893652241</v>
      </c>
      <c r="AS357" s="65" t="n">
        <f aca="false">IF(AR357="",0,MAX(0,MIN(1,(IF(BU357="L1",Parameter!$E$5,Parameter!$E$6+Parameter!$E$7)-(AR357-AN357))/AN357)))</f>
        <v>1</v>
      </c>
      <c r="AT357" s="57" t="n">
        <f aca="false">IF(LEFT(Cockpit!$O$5,1)="A",G357,IF(BW357=1,BX357,IF(LEFT(Cockpit!$O$5,1)="B",AX357,MAX(AX357,G357))))</f>
        <v>266</v>
      </c>
      <c r="AU357" s="57" t="n">
        <f aca="false">IF(BR357=1,0,ROUNDUP(AT357/BQ357,0))</f>
        <v>1</v>
      </c>
      <c r="AV357" s="59" t="n">
        <f aca="false">IF(CD357&gt;0,CD357*MAX(1,AT357/V357),IF(BR357=1,IF(AT357&lt;=0,0,BS357*MAX(1,IF(G357&gt;0,AT357/G357,1))),IF(Q357&gt;0,AU357/Q357,0))/MAX(0.1,N(Parameter!$M$21)))</f>
        <v>0.0384615384615385</v>
      </c>
      <c r="AW357" s="57" t="n">
        <f aca="false">AT357*F357</f>
        <v>2138.64</v>
      </c>
      <c r="AX357" s="57" t="n">
        <f aca="false">ROUNDUP(MAX(I357/IF(BV357&gt;0,BV357,MAX(0.1,N(Cockpit!$O$6))),BY357)/BQ357,0)*BQ357</f>
        <v>266</v>
      </c>
      <c r="AY357" s="58" t="n">
        <f aca="false">IF(AV357&gt;0,I357/AV357,-1)</f>
        <v>17472</v>
      </c>
      <c r="AZ357" s="58" t="n">
        <f aca="false">IF(AND(OR(BU357="L1",BU357="L23"),AV357&gt;0),SUMIFS($AV$7:$AV$1576,$BU$7:$BU$1576,BU357,$AY$7:$AY$1576,"&gt;"&amp;AY357)+SUMIFS($AV$7:$AV$1576,$BU$7:$BU$1576,BU357,$AY$7:$AY$1576,AY357,$BO$7:$BO$1576,"&lt;="&amp;BO357),"")</f>
        <v>4.73718928414581</v>
      </c>
      <c r="BA357" s="65" t="n">
        <f aca="false">IF(AZ357="",0,MAX(0,MIN(1,(IF(BU357="L1",Parameter!$E$5,Parameter!$E$6+Parameter!$E$7)-(AZ357-AV357))/AV357)))</f>
        <v>1</v>
      </c>
      <c r="BB357" s="55" t="str">
        <f aca="false">IF(AF357&lt;=0,"",IF(BU357="Aussen","Aussenlager",IF(BU357="-","Nicht im Lift",IF(AK357&gt;=1,"Lift",IF(AK357&lt;=0,"Aussenlager","teilweise")))))</f>
        <v>Lift</v>
      </c>
      <c r="BC357" s="55" t="str">
        <f aca="false">IF(AN357&lt;=0,"",IF(BU357="Aussen","Aussenlager",IF(BU357="-","Nicht im Lift",IF(AS357&gt;=1,"Lift",IF(AS357&lt;=0,"Aussenlager","teilweise")))))</f>
        <v>Lift</v>
      </c>
      <c r="BD357" s="55" t="str">
        <f aca="false">IF(AV357&lt;=0,"",IF(BU357="Aussen","Aussenlager",IF(BU357="-","Nicht im Lift",IF(BA357&gt;=1,"Lift",IF(BA357&lt;=0,"Aussenlager","teilweise")))))</f>
        <v>Lift</v>
      </c>
      <c r="BE357" s="55" t="str">
        <f aca="false">IF(A357="","",IF(BN357=1,"Neu; ","")&amp;IF(AND(BN357=0,BI357&lt;0),"negativer Bestand (Export "&amp;BI357&amp;"); ","")&amp;IF(I357&lt;=0,"Kein Verbrauch; ","")&amp;IF(CD357&gt;0,"Lift "&amp;U357&amp;" lt. Liftbericht (Fach "&amp;V357&amp;" Stk); ",IF(BR357=1,"Lose – Fläche geschätzt; ",""))&amp;IF(G357&gt;AP357,"Überbestand "&amp;ROUND(G357-AP357,0)&amp;" Stk / CHF "&amp;ROUND((G357-AP357)*F357,0)&amp;"; ","")&amp;IF(AND(BW357=1,BX357&lt;BY357),"MAX &lt; MB+LG; ","")&amp;IF(AND(CC357&gt;0,CB357*10&gt;CC357),"zu hoch für Tablar; ","")&amp;IF(AND(BN357=0,OR(BW357=1,Y357&lt;&gt;"",S357&lt;&gt;"",T357&lt;&gt;"",Z357&lt;&gt;"")),"manuell übersteuert; ","")&amp;IF(AND(BR357=0,Q357=0),"Gebinde unbekannt / Stellmass fehlt; ","")&amp;IF(AND(BR357=0,N(T357)&lt;=0,N(P357)&lt;=0),"Menge pro Gebinde fehlt (Ist = 1 Gebinde); ","")&amp;BM357)</f>
        <v/>
      </c>
      <c r="BF357" s="55"/>
      <c r="BG357" s="55"/>
      <c r="BH357" s="62"/>
      <c r="BI357" s="57" t="n">
        <v>25</v>
      </c>
      <c r="BJ357" s="57" t="n">
        <v>92</v>
      </c>
      <c r="BK357" s="56" t="n">
        <v>170.599999999999</v>
      </c>
      <c r="BL357" s="57" t="n">
        <v>672</v>
      </c>
      <c r="BM357" s="55"/>
      <c r="BN357" s="60" t="n">
        <v>0</v>
      </c>
      <c r="BO357" s="60" t="n">
        <v>357</v>
      </c>
      <c r="BP357" s="55" t="str">
        <f aca="false">IF(S357&lt;&gt;"",UPPER(TRIM(S357)),IF(O357="","LOSE",O357))</f>
        <v>S51</v>
      </c>
      <c r="BQ357" s="57" t="n">
        <f aca="false">IF(BP357="LOSE",1,IF(N(T357)&gt;0,T357,IF(N(P357)&gt;0,P357,MAX(1,G357))))</f>
        <v>266</v>
      </c>
      <c r="BR357" s="60" t="n">
        <f aca="false">IF(BP357="LOSE",1,0)</f>
        <v>0</v>
      </c>
      <c r="BS357" s="59" t="n">
        <f aca="false">IF(BR357=0,0,IF(N(R357)&gt;0,R357,IFERROR(VLOOKUP(D357,Parameter!$A$35:$C$64,3,0)+0,0)))</f>
        <v>0</v>
      </c>
      <c r="BT357" s="55" t="n">
        <f aca="false">IF(Y357&lt;&gt;"",Y357,X357)</f>
        <v>3</v>
      </c>
      <c r="BU357" s="55" t="str">
        <f aca="false">IF(BT357=1,"L1",IF(OR(BT357=2,BT357=3),"L23",IF(BT357="Aussen","Aussen","-")))</f>
        <v>L23</v>
      </c>
      <c r="BV357" s="66" t="n">
        <f aca="false">IF(N(Z357)&gt;0,Z357,0)</f>
        <v>0</v>
      </c>
      <c r="BW357" s="60" t="n">
        <f aca="false">IF(ISNUMBER(AC357),1,0)</f>
        <v>0</v>
      </c>
      <c r="BX357" s="57" t="n">
        <f aca="false">N(AC357)</f>
        <v>0</v>
      </c>
      <c r="BY357" s="57" t="n">
        <f aca="false">N(L357)+N(M357)</f>
        <v>189</v>
      </c>
      <c r="BZ357" s="57" t="n">
        <f aca="false">ROUNDUP(G357/BQ357,0)</f>
        <v>1</v>
      </c>
      <c r="CA357" s="57" t="n">
        <f aca="false">ROUNDUP(BX357/BQ357,0)</f>
        <v>0</v>
      </c>
      <c r="CB357" s="60" t="n">
        <f aca="false">IF(BR357=1,0,IFERROR(VLOOKUP(BP357,'Gebinde-Kategorie'!$A$5:$M$45,5,0)+0,0))</f>
        <v>11</v>
      </c>
      <c r="CC357" s="60" t="n">
        <f aca="false">IFERROR(IF(OR(BT357=1,BT357=2,BT357=3),N(INDEX(Parameter!$I$5:$I$7,BT357)),0),0)</f>
        <v>0</v>
      </c>
      <c r="CD357" s="59" t="n">
        <f aca="false">IF(AND(Parameter!$B$21="Ja",ISNUMBER(U357),N(V357)&gt;0),IFERROR(N(INDEX(Parameter!$L$5:$L$7,U357))*INDEX(Parameter!$E$5:$E$7,U357)*V357/SUMIFS($V$7:$V$1576,$U$7:$U$1576,U357),0),0)</f>
        <v>0</v>
      </c>
    </row>
    <row r="358" customFormat="false" ht="15" hidden="false" customHeight="false" outlineLevel="0" collapsed="false">
      <c r="A358" s="55" t="s">
        <v>858</v>
      </c>
      <c r="B358" s="55" t="s">
        <v>626</v>
      </c>
      <c r="C358" s="55" t="s">
        <v>160</v>
      </c>
      <c r="D358" s="55" t="s">
        <v>178</v>
      </c>
      <c r="E358" s="55" t="s">
        <v>210</v>
      </c>
      <c r="F358" s="56" t="n">
        <v>5.65</v>
      </c>
      <c r="G358" s="57" t="n">
        <f aca="false">MAX(0,IF(AND(Parameter!$B$21="Ja",ISNUMBER(W358)),W358,IF(Parameter!$B$20="Jahresanfang 2025 + Export",BJ358+BI358,BI358)))</f>
        <v>30</v>
      </c>
      <c r="H358" s="57" t="n">
        <f aca="false">G358*F358</f>
        <v>169.5</v>
      </c>
      <c r="I358" s="57" t="n">
        <f aca="false">BL358*Parameter!$B$18</f>
        <v>18</v>
      </c>
      <c r="J358" s="58" t="n">
        <v>122.5</v>
      </c>
      <c r="K358" s="59" t="n">
        <v>0.146938775510204</v>
      </c>
      <c r="L358" s="57" t="n">
        <v>3</v>
      </c>
      <c r="M358" s="57" t="n">
        <v>20</v>
      </c>
      <c r="N358" s="60" t="n">
        <v>63</v>
      </c>
      <c r="O358" s="55" t="s">
        <v>225</v>
      </c>
      <c r="P358" s="57" t="n">
        <v>110</v>
      </c>
      <c r="Q358" s="60" t="n">
        <f aca="false">IF(BR358=1,0,IFERROR(VLOOKUP(BP358,'Gebinde-Kategorie'!$A$5:$M$45,13,0)+0,0))</f>
        <v>26</v>
      </c>
      <c r="R358" s="61"/>
      <c r="S358" s="62"/>
      <c r="T358" s="62"/>
      <c r="U358" s="55"/>
      <c r="V358" s="57"/>
      <c r="W358" s="57"/>
      <c r="X358" s="55" t="n">
        <f aca="false">IF(A358="","",IF(AND(Parameter!$B$21="Ja",ISNUMBER(U358)),U358,IF(IFERROR(VLOOKUP(D358,Parameter!$A$35:$C$64,2,0),"Nein")="2+3",IF(ISNUMBER(SEARCH("grosser Artikel",BM358)),2,IFERROR(VLOOKUP(BP358,Parameter!$F$35:$G$64,2,0),2)),IF(OR(IFERROR(VLOOKUP(D358,Parameter!$A$35:$C$64,2,0),"Nein")="Nein",IFERROR(VLOOKUP(D358,Parameter!$A$35:$C$64,2,0),"Nein")=""),"-",VLOOKUP(D358,Parameter!$A$35:$C$64,2,0)))))</f>
        <v>3</v>
      </c>
      <c r="Y358" s="62"/>
      <c r="Z358" s="63"/>
      <c r="AA358" s="57" t="n">
        <f aca="false">AP358</f>
        <v>110</v>
      </c>
      <c r="AB358" s="57" t="n">
        <f aca="false">MAX(AP358,G358)</f>
        <v>110</v>
      </c>
      <c r="AC358" s="64"/>
      <c r="AD358" s="57" t="n">
        <f aca="false">IF(LEFT(Cockpit!$C$5,1)="A",G358,IF(BW358=1,BX358,IF(LEFT(Cockpit!$C$5,1)="B",AH358,MAX(AH358,G358))))</f>
        <v>30</v>
      </c>
      <c r="AE358" s="57" t="n">
        <f aca="false">IF(BR358=1,0,ROUNDUP(AD358/BQ358,0))</f>
        <v>1</v>
      </c>
      <c r="AF358" s="59" t="n">
        <f aca="false">IF(CD358&gt;0,CD358*MAX(1,AD358/V358),IF(BR358=1,IF(AD358&lt;=0,0,BS358*MAX(1,IF(G358&gt;0,AD358/G358,1))),IF(Q358&gt;0,AE358/Q358,0))/MAX(0.1,N(Parameter!$M$21)))</f>
        <v>0.0384615384615385</v>
      </c>
      <c r="AG358" s="57" t="n">
        <f aca="false">AD358*F358</f>
        <v>169.5</v>
      </c>
      <c r="AH358" s="57" t="n">
        <f aca="false">ROUNDUP(MAX(I358/IF(BV358&gt;0,BV358,MAX(0.1,N(Cockpit!$C$6))),BY358)/BQ358,0)*BQ358</f>
        <v>110</v>
      </c>
      <c r="AI358" s="58" t="n">
        <f aca="false">IF(AF358&gt;0,I358/AF358,-1)</f>
        <v>468</v>
      </c>
      <c r="AJ358" s="58" t="n">
        <f aca="false">IF(AND(OR(BU358="L1",BU358="L23"),AF358&gt;0),SUMIFS($AF$7:$AF$1576,$BU$7:$BU$1576,BU358,$AI$7:$AI$1576,"&gt;"&amp;AI358)+SUMIFS($AF$7:$AF$1576,$BU$7:$BU$1576,BU358,$AI$7:$AI$1576,AI358,$BO$7:$BO$1576,"&lt;="&amp;BO358),"")</f>
        <v>12.6383716766325</v>
      </c>
      <c r="AK358" s="65" t="n">
        <f aca="false">IF(AJ358="",0,MAX(0,MIN(1,(IF(BU358="L1",Parameter!$E$5,Parameter!$E$6+Parameter!$E$7)-(AJ358-AF358))/AF358)))</f>
        <v>1</v>
      </c>
      <c r="AL358" s="57" t="n">
        <f aca="false">IF(LEFT(Cockpit!$I$5,1)="A",G358,IF(BW358=1,BX358,IF(LEFT(Cockpit!$I$5,1)="B",AP358,MAX(AP358,G358))))</f>
        <v>110</v>
      </c>
      <c r="AM358" s="57" t="n">
        <f aca="false">IF(BR358=1,0,ROUNDUP(AL358/BQ358,0))</f>
        <v>1</v>
      </c>
      <c r="AN358" s="59" t="n">
        <f aca="false">IF(CD358&gt;0,CD358*MAX(1,AL358/V358),IF(BR358=1,IF(AL358&lt;=0,0,BS358*MAX(1,IF(G358&gt;0,AL358/G358,1))),IF(Q358&gt;0,AM358/Q358,0))/MAX(0.1,N(Parameter!$M$21)))</f>
        <v>0.0384615384615385</v>
      </c>
      <c r="AO358" s="57" t="n">
        <f aca="false">AL358*F358</f>
        <v>621.5</v>
      </c>
      <c r="AP358" s="57" t="n">
        <f aca="false">ROUNDUP(MAX(I358/IF(BV358&gt;0,BV358,MAX(0.1,N(Cockpit!$I$6))),BY358)/BQ358,0)*BQ358</f>
        <v>110</v>
      </c>
      <c r="AQ358" s="58" t="n">
        <f aca="false">IF(AN358&gt;0,I358/AN358,-1)</f>
        <v>468</v>
      </c>
      <c r="AR358" s="58" t="n">
        <f aca="false">IF(AND(OR(BU358="L1",BU358="L23"),AN358&gt;0),SUMIFS($AN$7:$AN$1576,$BU$7:$BU$1576,BU358,$AQ$7:$AQ$1576,"&gt;"&amp;AQ358)+SUMIFS($AN$7:$AN$1576,$BU$7:$BU$1576,BU358,$AQ$7:$AQ$1576,AQ358,$BO$7:$BO$1576,"&lt;="&amp;BO358),"")</f>
        <v>34.531450928636</v>
      </c>
      <c r="AS358" s="65" t="n">
        <f aca="false">IF(AR358="",0,MAX(0,MIN(1,(IF(BU358="L1",Parameter!$E$5,Parameter!$E$6+Parameter!$E$7)-(AR358-AN358))/AN358)))</f>
        <v>1</v>
      </c>
      <c r="AT358" s="57" t="n">
        <f aca="false">IF(LEFT(Cockpit!$O$5,1)="A",G358,IF(BW358=1,BX358,IF(LEFT(Cockpit!$O$5,1)="B",AX358,MAX(AX358,G358))))</f>
        <v>110</v>
      </c>
      <c r="AU358" s="57" t="n">
        <f aca="false">IF(BR358=1,0,ROUNDUP(AT358/BQ358,0))</f>
        <v>1</v>
      </c>
      <c r="AV358" s="59" t="n">
        <f aca="false">IF(CD358&gt;0,CD358*MAX(1,AT358/V358),IF(BR358=1,IF(AT358&lt;=0,0,BS358*MAX(1,IF(G358&gt;0,AT358/G358,1))),IF(Q358&gt;0,AU358/Q358,0))/MAX(0.1,N(Parameter!$M$21)))</f>
        <v>0.0384615384615385</v>
      </c>
      <c r="AW358" s="57" t="n">
        <f aca="false">AT358*F358</f>
        <v>621.5</v>
      </c>
      <c r="AX358" s="57" t="n">
        <f aca="false">ROUNDUP(MAX(I358/IF(BV358&gt;0,BV358,MAX(0.1,N(Cockpit!$O$6))),BY358)/BQ358,0)*BQ358</f>
        <v>110</v>
      </c>
      <c r="AY358" s="58" t="n">
        <f aca="false">IF(AV358&gt;0,I358/AV358,-1)</f>
        <v>468</v>
      </c>
      <c r="AZ358" s="58" t="n">
        <f aca="false">IF(AND(OR(BU358="L1",BU358="L23"),AV358&gt;0),SUMIFS($AV$7:$AV$1576,$BU$7:$BU$1576,BU358,$AY$7:$AY$1576,"&gt;"&amp;AY358)+SUMIFS($AV$7:$AV$1576,$BU$7:$BU$1576,BU358,$AY$7:$AY$1576,AY358,$BO$7:$BO$1576,"&lt;="&amp;BO358),"")</f>
        <v>34.2748042419893</v>
      </c>
      <c r="BA358" s="65" t="n">
        <f aca="false">IF(AZ358="",0,MAX(0,MIN(1,(IF(BU358="L1",Parameter!$E$5,Parameter!$E$6+Parameter!$E$7)-(AZ358-AV358))/AV358)))</f>
        <v>1</v>
      </c>
      <c r="BB358" s="55" t="str">
        <f aca="false">IF(AF358&lt;=0,"",IF(BU358="Aussen","Aussenlager",IF(BU358="-","Nicht im Lift",IF(AK358&gt;=1,"Lift",IF(AK358&lt;=0,"Aussenlager","teilweise")))))</f>
        <v>Lift</v>
      </c>
      <c r="BC358" s="55" t="str">
        <f aca="false">IF(AN358&lt;=0,"",IF(BU358="Aussen","Aussenlager",IF(BU358="-","Nicht im Lift",IF(AS358&gt;=1,"Lift",IF(AS358&lt;=0,"Aussenlager","teilweise")))))</f>
        <v>Lift</v>
      </c>
      <c r="BD358" s="55" t="str">
        <f aca="false">IF(AV358&lt;=0,"",IF(BU358="Aussen","Aussenlager",IF(BU358="-","Nicht im Lift",IF(BA358&gt;=1,"Lift",IF(BA358&lt;=0,"Aussenlager","teilweise")))))</f>
        <v>Lift</v>
      </c>
      <c r="BE358" s="55" t="str">
        <f aca="false">IF(A358="","",IF(BN358=1,"Neu; ","")&amp;IF(AND(BN358=0,BI358&lt;0),"negativer Bestand (Export "&amp;BI358&amp;"); ","")&amp;IF(I358&lt;=0,"Kein Verbrauch; ","")&amp;IF(CD358&gt;0,"Lift "&amp;U358&amp;" lt. Liftbericht (Fach "&amp;V358&amp;" Stk); ",IF(BR358=1,"Lose – Fläche geschätzt; ",""))&amp;IF(G358&gt;AP358,"Überbestand "&amp;ROUND(G358-AP358,0)&amp;" Stk / CHF "&amp;ROUND((G358-AP358)*F358,0)&amp;"; ","")&amp;IF(AND(BW358=1,BX358&lt;BY358),"MAX &lt; MB+LG; ","")&amp;IF(AND(CC358&gt;0,CB358*10&gt;CC358),"zu hoch für Tablar; ","")&amp;IF(AND(BN358=0,OR(BW358=1,Y358&lt;&gt;"",S358&lt;&gt;"",T358&lt;&gt;"",Z358&lt;&gt;"")),"manuell übersteuert; ","")&amp;IF(AND(BR358=0,Q358=0),"Gebinde unbekannt / Stellmass fehlt; ","")&amp;IF(AND(BR358=0,N(T358)&lt;=0,N(P358)&lt;=0),"Menge pro Gebinde fehlt (Ist = 1 Gebinde); ","")&amp;BM358)</f>
        <v/>
      </c>
      <c r="BF358" s="55"/>
      <c r="BG358" s="55"/>
      <c r="BH358" s="62"/>
      <c r="BI358" s="57" t="n">
        <v>30</v>
      </c>
      <c r="BJ358" s="57" t="n">
        <v>103</v>
      </c>
      <c r="BK358" s="56" t="n">
        <v>169.5</v>
      </c>
      <c r="BL358" s="57" t="n">
        <v>18</v>
      </c>
      <c r="BM358" s="55"/>
      <c r="BN358" s="60" t="n">
        <v>0</v>
      </c>
      <c r="BO358" s="60" t="n">
        <v>358</v>
      </c>
      <c r="BP358" s="55" t="str">
        <f aca="false">IF(S358&lt;&gt;"",UPPER(TRIM(S358)),IF(O358="","LOSE",O358))</f>
        <v>S52</v>
      </c>
      <c r="BQ358" s="57" t="n">
        <f aca="false">IF(BP358="LOSE",1,IF(N(T358)&gt;0,T358,IF(N(P358)&gt;0,P358,MAX(1,G358))))</f>
        <v>110</v>
      </c>
      <c r="BR358" s="60" t="n">
        <f aca="false">IF(BP358="LOSE",1,0)</f>
        <v>0</v>
      </c>
      <c r="BS358" s="59" t="n">
        <f aca="false">IF(BR358=0,0,IF(N(R358)&gt;0,R358,IFERROR(VLOOKUP(D358,Parameter!$A$35:$C$64,3,0)+0,0)))</f>
        <v>0</v>
      </c>
      <c r="BT358" s="55" t="n">
        <f aca="false">IF(Y358&lt;&gt;"",Y358,X358)</f>
        <v>3</v>
      </c>
      <c r="BU358" s="55" t="str">
        <f aca="false">IF(BT358=1,"L1",IF(OR(BT358=2,BT358=3),"L23",IF(BT358="Aussen","Aussen","-")))</f>
        <v>L23</v>
      </c>
      <c r="BV358" s="66" t="n">
        <f aca="false">IF(N(Z358)&gt;0,Z358,0)</f>
        <v>0</v>
      </c>
      <c r="BW358" s="60" t="n">
        <f aca="false">IF(ISNUMBER(AC358),1,0)</f>
        <v>0</v>
      </c>
      <c r="BX358" s="57" t="n">
        <f aca="false">N(AC358)</f>
        <v>0</v>
      </c>
      <c r="BY358" s="57" t="n">
        <f aca="false">N(L358)+N(M358)</f>
        <v>23</v>
      </c>
      <c r="BZ358" s="57" t="n">
        <f aca="false">ROUNDUP(G358/BQ358,0)</f>
        <v>1</v>
      </c>
      <c r="CA358" s="57" t="n">
        <f aca="false">ROUNDUP(BX358/BQ358,0)</f>
        <v>0</v>
      </c>
      <c r="CB358" s="60" t="n">
        <f aca="false">IF(BR358=1,0,IFERROR(VLOOKUP(BP358,'Gebinde-Kategorie'!$A$5:$M$45,5,0)+0,0))</f>
        <v>21</v>
      </c>
      <c r="CC358" s="60" t="n">
        <f aca="false">IFERROR(IF(OR(BT358=1,BT358=2,BT358=3),N(INDEX(Parameter!$I$5:$I$7,BT358)),0),0)</f>
        <v>0</v>
      </c>
      <c r="CD358" s="59" t="n">
        <f aca="false">IF(AND(Parameter!$B$21="Ja",ISNUMBER(U358),N(V358)&gt;0),IFERROR(N(INDEX(Parameter!$L$5:$L$7,U358))*INDEX(Parameter!$E$5:$E$7,U358)*V358/SUMIFS($V$7:$V$1576,$U$7:$U$1576,U358),0),0)</f>
        <v>0</v>
      </c>
    </row>
    <row r="359" customFormat="false" ht="15" hidden="false" customHeight="false" outlineLevel="0" collapsed="false">
      <c r="A359" s="55" t="s">
        <v>859</v>
      </c>
      <c r="B359" s="55" t="s">
        <v>860</v>
      </c>
      <c r="C359" s="55" t="s">
        <v>160</v>
      </c>
      <c r="D359" s="55" t="s">
        <v>178</v>
      </c>
      <c r="E359" s="55" t="s">
        <v>210</v>
      </c>
      <c r="F359" s="56" t="n">
        <v>11.4</v>
      </c>
      <c r="G359" s="57" t="n">
        <f aca="false">MAX(0,IF(AND(Parameter!$B$21="Ja",ISNUMBER(W359)),W359,IF(Parameter!$B$20="Jahresanfang 2025 + Export",BJ359+BI359,BI359)))</f>
        <v>14</v>
      </c>
      <c r="H359" s="57" t="n">
        <f aca="false">G359*F359</f>
        <v>159.6</v>
      </c>
      <c r="I359" s="57" t="n">
        <f aca="false">BL359*Parameter!$B$18</f>
        <v>57</v>
      </c>
      <c r="J359" s="58" t="n">
        <v>48</v>
      </c>
      <c r="K359" s="59" t="n">
        <v>1.1875</v>
      </c>
      <c r="L359" s="57" t="n">
        <v>4</v>
      </c>
      <c r="M359" s="57" t="n">
        <v>55</v>
      </c>
      <c r="N359" s="60" t="n">
        <v>28</v>
      </c>
      <c r="O359" s="55" t="s">
        <v>284</v>
      </c>
      <c r="P359" s="57" t="n">
        <v>26</v>
      </c>
      <c r="Q359" s="60" t="n">
        <f aca="false">IF(BR359=1,0,IFERROR(VLOOKUP(BP359,'Gebinde-Kategorie'!$A$5:$M$45,13,0)+0,0))</f>
        <v>12</v>
      </c>
      <c r="R359" s="61"/>
      <c r="S359" s="62"/>
      <c r="T359" s="62"/>
      <c r="U359" s="55"/>
      <c r="V359" s="57"/>
      <c r="W359" s="57"/>
      <c r="X359" s="55" t="n">
        <f aca="false">IF(A359="","",IF(AND(Parameter!$B$21="Ja",ISNUMBER(U359)),U359,IF(IFERROR(VLOOKUP(D359,Parameter!$A$35:$C$64,2,0),"Nein")="2+3",IF(ISNUMBER(SEARCH("grosser Artikel",BM359)),2,IFERROR(VLOOKUP(BP359,Parameter!$F$35:$G$64,2,0),2)),IF(OR(IFERROR(VLOOKUP(D359,Parameter!$A$35:$C$64,2,0),"Nein")="Nein",IFERROR(VLOOKUP(D359,Parameter!$A$35:$C$64,2,0),"Nein")=""),"-",VLOOKUP(D359,Parameter!$A$35:$C$64,2,0)))))</f>
        <v>2</v>
      </c>
      <c r="Y359" s="62"/>
      <c r="Z359" s="63"/>
      <c r="AA359" s="57" t="n">
        <f aca="false">AP359</f>
        <v>78</v>
      </c>
      <c r="AB359" s="57" t="n">
        <f aca="false">MAX(AP359,G359)</f>
        <v>78</v>
      </c>
      <c r="AC359" s="64"/>
      <c r="AD359" s="57" t="n">
        <f aca="false">IF(LEFT(Cockpit!$C$5,1)="A",G359,IF(BW359=1,BX359,IF(LEFT(Cockpit!$C$5,1)="B",AH359,MAX(AH359,G359))))</f>
        <v>14</v>
      </c>
      <c r="AE359" s="57" t="n">
        <f aca="false">IF(BR359=1,0,ROUNDUP(AD359/BQ359,0))</f>
        <v>1</v>
      </c>
      <c r="AF359" s="59" t="n">
        <f aca="false">IF(CD359&gt;0,CD359*MAX(1,AD359/V359),IF(BR359=1,IF(AD359&lt;=0,0,BS359*MAX(1,IF(G359&gt;0,AD359/G359,1))),IF(Q359&gt;0,AE359/Q359,0))/MAX(0.1,N(Parameter!$M$21)))</f>
        <v>0.0833333333333333</v>
      </c>
      <c r="AG359" s="57" t="n">
        <f aca="false">AD359*F359</f>
        <v>159.6</v>
      </c>
      <c r="AH359" s="57" t="n">
        <f aca="false">ROUNDUP(MAX(I359/IF(BV359&gt;0,BV359,MAX(0.1,N(Cockpit!$C$6))),BY359)/BQ359,0)*BQ359</f>
        <v>78</v>
      </c>
      <c r="AI359" s="58" t="n">
        <f aca="false">IF(AF359&gt;0,I359/AF359,-1)</f>
        <v>684</v>
      </c>
      <c r="AJ359" s="58" t="n">
        <f aca="false">IF(AND(OR(BU359="L1",BU359="L23"),AF359&gt;0),SUMIFS($AF$7:$AF$1576,$BU$7:$BU$1576,BU359,$AI$7:$AI$1576,"&gt;"&amp;AI359)+SUMIFS($AF$7:$AF$1576,$BU$7:$BU$1576,BU359,$AI$7:$AI$1576,AI359,$BO$7:$BO$1576,"&lt;="&amp;BO359),"")</f>
        <v>11.5175092057701</v>
      </c>
      <c r="AK359" s="65" t="n">
        <f aca="false">IF(AJ359="",0,MAX(0,MIN(1,(IF(BU359="L1",Parameter!$E$5,Parameter!$E$6+Parameter!$E$7)-(AJ359-AF359))/AF359)))</f>
        <v>1</v>
      </c>
      <c r="AL359" s="57" t="n">
        <f aca="false">IF(LEFT(Cockpit!$I$5,1)="A",G359,IF(BW359=1,BX359,IF(LEFT(Cockpit!$I$5,1)="B",AP359,MAX(AP359,G359))))</f>
        <v>78</v>
      </c>
      <c r="AM359" s="57" t="n">
        <f aca="false">IF(BR359=1,0,ROUNDUP(AL359/BQ359,0))</f>
        <v>3</v>
      </c>
      <c r="AN359" s="59" t="n">
        <f aca="false">IF(CD359&gt;0,CD359*MAX(1,AL359/V359),IF(BR359=1,IF(AL359&lt;=0,0,BS359*MAX(1,IF(G359&gt;0,AL359/G359,1))),IF(Q359&gt;0,AM359/Q359,0))/MAX(0.1,N(Parameter!$M$21)))</f>
        <v>0.25</v>
      </c>
      <c r="AO359" s="57" t="n">
        <f aca="false">AL359*F359</f>
        <v>889.2</v>
      </c>
      <c r="AP359" s="57" t="n">
        <f aca="false">ROUNDUP(MAX(I359/IF(BV359&gt;0,BV359,MAX(0.1,N(Cockpit!$I$6))),BY359)/BQ359,0)*BQ359</f>
        <v>78</v>
      </c>
      <c r="AQ359" s="58" t="n">
        <f aca="false">IF(AN359&gt;0,I359/AN359,-1)</f>
        <v>228</v>
      </c>
      <c r="AR359" s="58" t="n">
        <f aca="false">IF(AND(OR(BU359="L1",BU359="L23"),AN359&gt;0),SUMIFS($AN$7:$AN$1576,$BU$7:$BU$1576,BU359,$AQ$7:$AQ$1576,"&gt;"&amp;AQ359)+SUMIFS($AN$7:$AN$1576,$BU$7:$BU$1576,BU359,$AQ$7:$AQ$1576,AQ359,$BO$7:$BO$1576,"&lt;="&amp;BO359),"")</f>
        <v>47.6299431127804</v>
      </c>
      <c r="AS359" s="65" t="n">
        <f aca="false">IF(AR359="",0,MAX(0,MIN(1,(IF(BU359="L1",Parameter!$E$5,Parameter!$E$6+Parameter!$E$7)-(AR359-AN359))/AN359)))</f>
        <v>1</v>
      </c>
      <c r="AT359" s="57" t="n">
        <f aca="false">IF(LEFT(Cockpit!$O$5,1)="A",G359,IF(BW359=1,BX359,IF(LEFT(Cockpit!$O$5,1)="B",AX359,MAX(AX359,G359))))</f>
        <v>78</v>
      </c>
      <c r="AU359" s="57" t="n">
        <f aca="false">IF(BR359=1,0,ROUNDUP(AT359/BQ359,0))</f>
        <v>3</v>
      </c>
      <c r="AV359" s="59" t="n">
        <f aca="false">IF(CD359&gt;0,CD359*MAX(1,AT359/V359),IF(BR359=1,IF(AT359&lt;=0,0,BS359*MAX(1,IF(G359&gt;0,AT359/G359,1))),IF(Q359&gt;0,AU359/Q359,0))/MAX(0.1,N(Parameter!$M$21)))</f>
        <v>0.25</v>
      </c>
      <c r="AW359" s="57" t="n">
        <f aca="false">AT359*F359</f>
        <v>889.2</v>
      </c>
      <c r="AX359" s="57" t="n">
        <f aca="false">ROUNDUP(MAX(I359/IF(BV359&gt;0,BV359,MAX(0.1,N(Cockpit!$O$6))),BY359)/BQ359,0)*BQ359</f>
        <v>78</v>
      </c>
      <c r="AY359" s="58" t="n">
        <f aca="false">IF(AV359&gt;0,I359/AV359,-1)</f>
        <v>228</v>
      </c>
      <c r="AZ359" s="58" t="n">
        <f aca="false">IF(AND(OR(BU359="L1",BU359="L23"),AV359&gt;0),SUMIFS($AV$7:$AV$1576,$BU$7:$BU$1576,BU359,$AY$7:$AY$1576,"&gt;"&amp;AY359)+SUMIFS($AV$7:$AV$1576,$BU$7:$BU$1576,BU359,$AY$7:$AY$1576,AY359,$BO$7:$BO$1576,"&lt;="&amp;BO359),"")</f>
        <v>44.2413550341923</v>
      </c>
      <c r="BA359" s="65" t="n">
        <f aca="false">IF(AZ359="",0,MAX(0,MIN(1,(IF(BU359="L1",Parameter!$E$5,Parameter!$E$6+Parameter!$E$7)-(AZ359-AV359))/AV359)))</f>
        <v>1</v>
      </c>
      <c r="BB359" s="55" t="str">
        <f aca="false">IF(AF359&lt;=0,"",IF(BU359="Aussen","Aussenlager",IF(BU359="-","Nicht im Lift",IF(AK359&gt;=1,"Lift",IF(AK359&lt;=0,"Aussenlager","teilweise")))))</f>
        <v>Lift</v>
      </c>
      <c r="BC359" s="55" t="str">
        <f aca="false">IF(AN359&lt;=0,"",IF(BU359="Aussen","Aussenlager",IF(BU359="-","Nicht im Lift",IF(AS359&gt;=1,"Lift",IF(AS359&lt;=0,"Aussenlager","teilweise")))))</f>
        <v>Lift</v>
      </c>
      <c r="BD359" s="55" t="str">
        <f aca="false">IF(AV359&lt;=0,"",IF(BU359="Aussen","Aussenlager",IF(BU359="-","Nicht im Lift",IF(BA359&gt;=1,"Lift",IF(BA359&lt;=0,"Aussenlager","teilweise")))))</f>
        <v>Lift</v>
      </c>
      <c r="BE359" s="55" t="str">
        <f aca="false">IF(A359="","",IF(BN359=1,"Neu; ","")&amp;IF(AND(BN359=0,BI359&lt;0),"negativer Bestand (Export "&amp;BI359&amp;"); ","")&amp;IF(I359&lt;=0,"Kein Verbrauch; ","")&amp;IF(CD359&gt;0,"Lift "&amp;U359&amp;" lt. Liftbericht (Fach "&amp;V359&amp;" Stk); ",IF(BR359=1,"Lose – Fläche geschätzt; ",""))&amp;IF(G359&gt;AP359,"Überbestand "&amp;ROUND(G359-AP359,0)&amp;" Stk / CHF "&amp;ROUND((G359-AP359)*F359,0)&amp;"; ","")&amp;IF(AND(BW359=1,BX359&lt;BY359),"MAX &lt; MB+LG; ","")&amp;IF(AND(CC359&gt;0,CB359*10&gt;CC359),"zu hoch für Tablar; ","")&amp;IF(AND(BN359=0,OR(BW359=1,Y359&lt;&gt;"",S359&lt;&gt;"",T359&lt;&gt;"",Z359&lt;&gt;"")),"manuell übersteuert; ","")&amp;IF(AND(BR359=0,Q359=0),"Gebinde unbekannt / Stellmass fehlt; ","")&amp;IF(AND(BR359=0,N(T359)&lt;=0,N(P359)&lt;=0),"Menge pro Gebinde fehlt (Ist = 1 Gebinde); ","")&amp;BM359)</f>
        <v/>
      </c>
      <c r="BF359" s="55"/>
      <c r="BG359" s="55"/>
      <c r="BH359" s="62"/>
      <c r="BI359" s="57" t="n">
        <v>14</v>
      </c>
      <c r="BJ359" s="57" t="n">
        <v>35</v>
      </c>
      <c r="BK359" s="56" t="n">
        <v>168.35</v>
      </c>
      <c r="BL359" s="57" t="n">
        <v>57</v>
      </c>
      <c r="BM359" s="55"/>
      <c r="BN359" s="60" t="n">
        <v>0</v>
      </c>
      <c r="BO359" s="60" t="n">
        <v>359</v>
      </c>
      <c r="BP359" s="55" t="str">
        <f aca="false">IF(S359&lt;&gt;"",UPPER(TRIM(S359)),IF(O359="","LOSE",O359))</f>
        <v>S62</v>
      </c>
      <c r="BQ359" s="57" t="n">
        <f aca="false">IF(BP359="LOSE",1,IF(N(T359)&gt;0,T359,IF(N(P359)&gt;0,P359,MAX(1,G359))))</f>
        <v>26</v>
      </c>
      <c r="BR359" s="60" t="n">
        <f aca="false">IF(BP359="LOSE",1,0)</f>
        <v>0</v>
      </c>
      <c r="BS359" s="59" t="n">
        <f aca="false">IF(BR359=0,0,IF(N(R359)&gt;0,R359,IFERROR(VLOOKUP(D359,Parameter!$A$35:$C$64,3,0)+0,0)))</f>
        <v>0</v>
      </c>
      <c r="BT359" s="55" t="n">
        <f aca="false">IF(Y359&lt;&gt;"",Y359,X359)</f>
        <v>2</v>
      </c>
      <c r="BU359" s="55" t="str">
        <f aca="false">IF(BT359=1,"L1",IF(OR(BT359=2,BT359=3),"L23",IF(BT359="Aussen","Aussen","-")))</f>
        <v>L23</v>
      </c>
      <c r="BV359" s="66" t="n">
        <f aca="false">IF(N(Z359)&gt;0,Z359,0)</f>
        <v>0</v>
      </c>
      <c r="BW359" s="60" t="n">
        <f aca="false">IF(ISNUMBER(AC359),1,0)</f>
        <v>0</v>
      </c>
      <c r="BX359" s="57" t="n">
        <f aca="false">N(AC359)</f>
        <v>0</v>
      </c>
      <c r="BY359" s="57" t="n">
        <f aca="false">N(L359)+N(M359)</f>
        <v>59</v>
      </c>
      <c r="BZ359" s="57" t="n">
        <f aca="false">ROUNDUP(G359/BQ359,0)</f>
        <v>1</v>
      </c>
      <c r="CA359" s="57" t="n">
        <f aca="false">ROUNDUP(BX359/BQ359,0)</f>
        <v>0</v>
      </c>
      <c r="CB359" s="60" t="n">
        <f aca="false">IF(BR359=1,0,IFERROR(VLOOKUP(BP359,'Gebinde-Kategorie'!$A$5:$M$45,5,0)+0,0))</f>
        <v>21</v>
      </c>
      <c r="CC359" s="60" t="n">
        <f aca="false">IFERROR(IF(OR(BT359=1,BT359=2,BT359=3),N(INDEX(Parameter!$I$5:$I$7,BT359)),0),0)</f>
        <v>0</v>
      </c>
      <c r="CD359" s="59" t="n">
        <f aca="false">IF(AND(Parameter!$B$21="Ja",ISNUMBER(U359),N(V359)&gt;0),IFERROR(N(INDEX(Parameter!$L$5:$L$7,U359))*INDEX(Parameter!$E$5:$E$7,U359)*V359/SUMIFS($V$7:$V$1576,$U$7:$U$1576,U359),0),0)</f>
        <v>0</v>
      </c>
    </row>
    <row r="360" customFormat="false" ht="15" hidden="false" customHeight="false" outlineLevel="0" collapsed="false">
      <c r="A360" s="55" t="s">
        <v>861</v>
      </c>
      <c r="B360" s="55" t="s">
        <v>457</v>
      </c>
      <c r="C360" s="55" t="s">
        <v>160</v>
      </c>
      <c r="D360" s="55" t="s">
        <v>178</v>
      </c>
      <c r="E360" s="55" t="s">
        <v>210</v>
      </c>
      <c r="F360" s="56" t="n">
        <v>0.28</v>
      </c>
      <c r="G360" s="57" t="n">
        <f aca="false">MAX(0,IF(AND(Parameter!$B$21="Ja",ISNUMBER(W360)),W360,IF(Parameter!$B$20="Jahresanfang 2025 + Export",BJ360+BI360,BI360)))</f>
        <v>688</v>
      </c>
      <c r="H360" s="57" t="n">
        <f aca="false">G360*F360</f>
        <v>192.64</v>
      </c>
      <c r="I360" s="57" t="n">
        <f aca="false">BL360*Parameter!$B$18</f>
        <v>1232</v>
      </c>
      <c r="J360" s="58" t="n">
        <v>530</v>
      </c>
      <c r="K360" s="59" t="n">
        <v>2.32452830188679</v>
      </c>
      <c r="L360" s="57" t="n">
        <v>47</v>
      </c>
      <c r="M360" s="57" t="n">
        <v>1235</v>
      </c>
      <c r="N360" s="60" t="n">
        <v>14</v>
      </c>
      <c r="O360" s="55" t="s">
        <v>319</v>
      </c>
      <c r="P360" s="57" t="n">
        <v>534</v>
      </c>
      <c r="Q360" s="60" t="n">
        <f aca="false">IF(BR360=1,0,IFERROR(VLOOKUP(BP360,'Gebinde-Kategorie'!$A$5:$M$45,13,0)+0,0))</f>
        <v>52</v>
      </c>
      <c r="R360" s="61"/>
      <c r="S360" s="62"/>
      <c r="T360" s="62"/>
      <c r="U360" s="55"/>
      <c r="V360" s="57"/>
      <c r="W360" s="57"/>
      <c r="X360" s="55" t="n">
        <f aca="false">IF(A360="","",IF(AND(Parameter!$B$21="Ja",ISNUMBER(U360)),U360,IF(IFERROR(VLOOKUP(D360,Parameter!$A$35:$C$64,2,0),"Nein")="2+3",IF(ISNUMBER(SEARCH("grosser Artikel",BM360)),2,IFERROR(VLOOKUP(BP360,Parameter!$F$35:$G$64,2,0),2)),IF(OR(IFERROR(VLOOKUP(D360,Parameter!$A$35:$C$64,2,0),"Nein")="Nein",IFERROR(VLOOKUP(D360,Parameter!$A$35:$C$64,2,0),"Nein")=""),"-",VLOOKUP(D360,Parameter!$A$35:$C$64,2,0)))))</f>
        <v>3</v>
      </c>
      <c r="Y360" s="62"/>
      <c r="Z360" s="63"/>
      <c r="AA360" s="57" t="n">
        <f aca="false">AP360</f>
        <v>1602</v>
      </c>
      <c r="AB360" s="57" t="n">
        <f aca="false">MAX(AP360,G360)</f>
        <v>1602</v>
      </c>
      <c r="AC360" s="64"/>
      <c r="AD360" s="57" t="n">
        <f aca="false">IF(LEFT(Cockpit!$C$5,1)="A",G360,IF(BW360=1,BX360,IF(LEFT(Cockpit!$C$5,1)="B",AH360,MAX(AH360,G360))))</f>
        <v>688</v>
      </c>
      <c r="AE360" s="57" t="n">
        <f aca="false">IF(BR360=1,0,ROUNDUP(AD360/BQ360,0))</f>
        <v>2</v>
      </c>
      <c r="AF360" s="59" t="n">
        <f aca="false">IF(CD360&gt;0,CD360*MAX(1,AD360/V360),IF(BR360=1,IF(AD360&lt;=0,0,BS360*MAX(1,IF(G360&gt;0,AD360/G360,1))),IF(Q360&gt;0,AE360/Q360,0))/MAX(0.1,N(Parameter!$M$21)))</f>
        <v>0.0384615384615385</v>
      </c>
      <c r="AG360" s="57" t="n">
        <f aca="false">AD360*F360</f>
        <v>192.64</v>
      </c>
      <c r="AH360" s="57" t="n">
        <f aca="false">ROUNDUP(MAX(I360/IF(BV360&gt;0,BV360,MAX(0.1,N(Cockpit!$C$6))),BY360)/BQ360,0)*BQ360</f>
        <v>1602</v>
      </c>
      <c r="AI360" s="58" t="n">
        <f aca="false">IF(AF360&gt;0,I360/AF360,-1)</f>
        <v>32032</v>
      </c>
      <c r="AJ360" s="58" t="n">
        <f aca="false">IF(AND(OR(BU360="L1",BU360="L23"),AF360&gt;0),SUMIFS($AF$7:$AF$1576,$BU$7:$BU$1576,BU360,$AI$7:$AI$1576,"&gt;"&amp;AI360)+SUMIFS($AF$7:$AF$1576,$BU$7:$BU$1576,BU360,$AI$7:$AI$1576,AI360,$BO$7:$BO$1576,"&lt;="&amp;BO360),"")</f>
        <v>1.40335630553022</v>
      </c>
      <c r="AK360" s="65" t="n">
        <f aca="false">IF(AJ360="",0,MAX(0,MIN(1,(IF(BU360="L1",Parameter!$E$5,Parameter!$E$6+Parameter!$E$7)-(AJ360-AF360))/AF360)))</f>
        <v>1</v>
      </c>
      <c r="AL360" s="57" t="n">
        <f aca="false">IF(LEFT(Cockpit!$I$5,1)="A",G360,IF(BW360=1,BX360,IF(LEFT(Cockpit!$I$5,1)="B",AP360,MAX(AP360,G360))))</f>
        <v>1602</v>
      </c>
      <c r="AM360" s="57" t="n">
        <f aca="false">IF(BR360=1,0,ROUNDUP(AL360/BQ360,0))</f>
        <v>3</v>
      </c>
      <c r="AN360" s="59" t="n">
        <f aca="false">IF(CD360&gt;0,CD360*MAX(1,AL360/V360),IF(BR360=1,IF(AL360&lt;=0,0,BS360*MAX(1,IF(G360&gt;0,AL360/G360,1))),IF(Q360&gt;0,AM360/Q360,0))/MAX(0.1,N(Parameter!$M$21)))</f>
        <v>0.0576923076923077</v>
      </c>
      <c r="AO360" s="57" t="n">
        <f aca="false">AL360*F360</f>
        <v>448.56</v>
      </c>
      <c r="AP360" s="57" t="n">
        <f aca="false">ROUNDUP(MAX(I360/IF(BV360&gt;0,BV360,MAX(0.1,N(Cockpit!$I$6))),BY360)/BQ360,0)*BQ360</f>
        <v>1602</v>
      </c>
      <c r="AQ360" s="58" t="n">
        <f aca="false">IF(AN360&gt;0,I360/AN360,-1)</f>
        <v>21354.6666666667</v>
      </c>
      <c r="AR360" s="58" t="n">
        <f aca="false">IF(AND(OR(BU360="L1",BU360="L23"),AN360&gt;0),SUMIFS($AN$7:$AN$1576,$BU$7:$BU$1576,BU360,$AQ$7:$AQ$1576,"&gt;"&amp;AQ360)+SUMIFS($AN$7:$AN$1576,$BU$7:$BU$1576,BU360,$AQ$7:$AQ$1576,AQ360,$BO$7:$BO$1576,"&lt;="&amp;BO360),"")</f>
        <v>3.83055606229519</v>
      </c>
      <c r="AS360" s="65" t="n">
        <f aca="false">IF(AR360="",0,MAX(0,MIN(1,(IF(BU360="L1",Parameter!$E$5,Parameter!$E$6+Parameter!$E$7)-(AR360-AN360))/AN360)))</f>
        <v>1</v>
      </c>
      <c r="AT360" s="57" t="n">
        <f aca="false">IF(LEFT(Cockpit!$O$5,1)="A",G360,IF(BW360=1,BX360,IF(LEFT(Cockpit!$O$5,1)="B",AX360,MAX(AX360,G360))))</f>
        <v>1602</v>
      </c>
      <c r="AU360" s="57" t="n">
        <f aca="false">IF(BR360=1,0,ROUNDUP(AT360/BQ360,0))</f>
        <v>3</v>
      </c>
      <c r="AV360" s="59" t="n">
        <f aca="false">IF(CD360&gt;0,CD360*MAX(1,AT360/V360),IF(BR360=1,IF(AT360&lt;=0,0,BS360*MAX(1,IF(G360&gt;0,AT360/G360,1))),IF(Q360&gt;0,AU360/Q360,0))/MAX(0.1,N(Parameter!$M$21)))</f>
        <v>0.0576923076923077</v>
      </c>
      <c r="AW360" s="57" t="n">
        <f aca="false">AT360*F360</f>
        <v>448.56</v>
      </c>
      <c r="AX360" s="57" t="n">
        <f aca="false">ROUNDUP(MAX(I360/IF(BV360&gt;0,BV360,MAX(0.1,N(Cockpit!$O$6))),BY360)/BQ360,0)*BQ360</f>
        <v>1602</v>
      </c>
      <c r="AY360" s="58" t="n">
        <f aca="false">IF(AV360&gt;0,I360/AV360,-1)</f>
        <v>21354.6666666667</v>
      </c>
      <c r="AZ360" s="58" t="n">
        <f aca="false">IF(AND(OR(BU360="L1",BU360="L23"),AV360&gt;0),SUMIFS($AV$7:$AV$1576,$BU$7:$BU$1576,BU360,$AY$7:$AY$1576,"&gt;"&amp;AY360)+SUMIFS($AV$7:$AV$1576,$BU$7:$BU$1576,BU360,$AY$7:$AY$1576,AY360,$BO$7:$BO$1576,"&lt;="&amp;BO360),"")</f>
        <v>4.17321340495254</v>
      </c>
      <c r="BA360" s="65" t="n">
        <f aca="false">IF(AZ360="",0,MAX(0,MIN(1,(IF(BU360="L1",Parameter!$E$5,Parameter!$E$6+Parameter!$E$7)-(AZ360-AV360))/AV360)))</f>
        <v>1</v>
      </c>
      <c r="BB360" s="55" t="str">
        <f aca="false">IF(AF360&lt;=0,"",IF(BU360="Aussen","Aussenlager",IF(BU360="-","Nicht im Lift",IF(AK360&gt;=1,"Lift",IF(AK360&lt;=0,"Aussenlager","teilweise")))))</f>
        <v>Lift</v>
      </c>
      <c r="BC360" s="55" t="str">
        <f aca="false">IF(AN360&lt;=0,"",IF(BU360="Aussen","Aussenlager",IF(BU360="-","Nicht im Lift",IF(AS360&gt;=1,"Lift",IF(AS360&lt;=0,"Aussenlager","teilweise")))))</f>
        <v>Lift</v>
      </c>
      <c r="BD360" s="55" t="str">
        <f aca="false">IF(AV360&lt;=0,"",IF(BU360="Aussen","Aussenlager",IF(BU360="-","Nicht im Lift",IF(BA360&gt;=1,"Lift",IF(BA360&lt;=0,"Aussenlager","teilweise")))))</f>
        <v>Lift</v>
      </c>
      <c r="BE360" s="55" t="str">
        <f aca="false">IF(A360="","",IF(BN360=1,"Neu; ","")&amp;IF(AND(BN360=0,BI360&lt;0),"negativer Bestand (Export "&amp;BI360&amp;"); ","")&amp;IF(I360&lt;=0,"Kein Verbrauch; ","")&amp;IF(CD360&gt;0,"Lift "&amp;U360&amp;" lt. Liftbericht (Fach "&amp;V360&amp;" Stk); ",IF(BR360=1,"Lose – Fläche geschätzt; ",""))&amp;IF(G360&gt;AP360,"Überbestand "&amp;ROUND(G360-AP360,0)&amp;" Stk / CHF "&amp;ROUND((G360-AP360)*F360,0)&amp;"; ","")&amp;IF(AND(BW360=1,BX360&lt;BY360),"MAX &lt; MB+LG; ","")&amp;IF(AND(CC360&gt;0,CB360*10&gt;CC360),"zu hoch für Tablar; ","")&amp;IF(AND(BN360=0,OR(BW360=1,Y360&lt;&gt;"",S360&lt;&gt;"",T360&lt;&gt;"",Z360&lt;&gt;"")),"manuell übersteuert; ","")&amp;IF(AND(BR360=0,Q360=0),"Gebinde unbekannt / Stellmass fehlt; ","")&amp;IF(AND(BR360=0,N(T360)&lt;=0,N(P360)&lt;=0),"Menge pro Gebinde fehlt (Ist = 1 Gebinde); ","")&amp;BM360)</f>
        <v/>
      </c>
      <c r="BF360" s="55"/>
      <c r="BG360" s="55"/>
      <c r="BH360" s="62"/>
      <c r="BI360" s="57" t="n">
        <v>688</v>
      </c>
      <c r="BJ360" s="57" t="n">
        <v>429</v>
      </c>
      <c r="BK360" s="56" t="n">
        <v>167.5</v>
      </c>
      <c r="BL360" s="57" t="n">
        <v>1232</v>
      </c>
      <c r="BM360" s="55"/>
      <c r="BN360" s="60" t="n">
        <v>0</v>
      </c>
      <c r="BO360" s="60" t="n">
        <v>360</v>
      </c>
      <c r="BP360" s="55" t="str">
        <f aca="false">IF(S360&lt;&gt;"",UPPER(TRIM(S360)),IF(O360="","LOSE",O360))</f>
        <v>S41</v>
      </c>
      <c r="BQ360" s="57" t="n">
        <f aca="false">IF(BP360="LOSE",1,IF(N(T360)&gt;0,T360,IF(N(P360)&gt;0,P360,MAX(1,G360))))</f>
        <v>534</v>
      </c>
      <c r="BR360" s="60" t="n">
        <f aca="false">IF(BP360="LOSE",1,0)</f>
        <v>0</v>
      </c>
      <c r="BS360" s="59" t="n">
        <f aca="false">IF(BR360=0,0,IF(N(R360)&gt;0,R360,IFERROR(VLOOKUP(D360,Parameter!$A$35:$C$64,3,0)+0,0)))</f>
        <v>0</v>
      </c>
      <c r="BT360" s="55" t="n">
        <f aca="false">IF(Y360&lt;&gt;"",Y360,X360)</f>
        <v>3</v>
      </c>
      <c r="BU360" s="55" t="str">
        <f aca="false">IF(BT360=1,"L1",IF(OR(BT360=2,BT360=3),"L23",IF(BT360="Aussen","Aussen","-")))</f>
        <v>L23</v>
      </c>
      <c r="BV360" s="66" t="n">
        <f aca="false">IF(N(Z360)&gt;0,Z360,0)</f>
        <v>0</v>
      </c>
      <c r="BW360" s="60" t="n">
        <f aca="false">IF(ISNUMBER(AC360),1,0)</f>
        <v>0</v>
      </c>
      <c r="BX360" s="57" t="n">
        <f aca="false">N(AC360)</f>
        <v>0</v>
      </c>
      <c r="BY360" s="57" t="n">
        <f aca="false">N(L360)+N(M360)</f>
        <v>1282</v>
      </c>
      <c r="BZ360" s="57" t="n">
        <f aca="false">ROUNDUP(G360/BQ360,0)</f>
        <v>2</v>
      </c>
      <c r="CA360" s="57" t="n">
        <f aca="false">ROUNDUP(BX360/BQ360,0)</f>
        <v>0</v>
      </c>
      <c r="CB360" s="60" t="n">
        <f aca="false">IF(BR360=1,0,IFERROR(VLOOKUP(BP360,'Gebinde-Kategorie'!$A$5:$M$45,5,0)+0,0))</f>
        <v>11</v>
      </c>
      <c r="CC360" s="60" t="n">
        <f aca="false">IFERROR(IF(OR(BT360=1,BT360=2,BT360=3),N(INDEX(Parameter!$I$5:$I$7,BT360)),0),0)</f>
        <v>0</v>
      </c>
      <c r="CD360" s="59" t="n">
        <f aca="false">IF(AND(Parameter!$B$21="Ja",ISNUMBER(U360),N(V360)&gt;0),IFERROR(N(INDEX(Parameter!$L$5:$L$7,U360))*INDEX(Parameter!$E$5:$E$7,U360)*V360/SUMIFS($V$7:$V$1576,$U$7:$U$1576,U360),0),0)</f>
        <v>0</v>
      </c>
    </row>
    <row r="361" customFormat="false" ht="15" hidden="false" customHeight="false" outlineLevel="0" collapsed="false">
      <c r="A361" s="55" t="s">
        <v>862</v>
      </c>
      <c r="B361" s="55" t="s">
        <v>834</v>
      </c>
      <c r="C361" s="55" t="s">
        <v>160</v>
      </c>
      <c r="D361" s="55" t="s">
        <v>178</v>
      </c>
      <c r="E361" s="55" t="s">
        <v>210</v>
      </c>
      <c r="F361" s="56" t="n">
        <v>6.7</v>
      </c>
      <c r="G361" s="57" t="n">
        <f aca="false">MAX(0,IF(AND(Parameter!$B$21="Ja",ISNUMBER(W361)),W361,IF(Parameter!$B$20="Jahresanfang 2025 + Export",BJ361+BI361,BI361)))</f>
        <v>25</v>
      </c>
      <c r="H361" s="57" t="n">
        <f aca="false">G361*F361</f>
        <v>167.5</v>
      </c>
      <c r="I361" s="57" t="n">
        <f aca="false">BL361*Parameter!$B$18</f>
        <v>0</v>
      </c>
      <c r="J361" s="58" t="n">
        <v>0</v>
      </c>
      <c r="K361" s="59" t="n">
        <v>0</v>
      </c>
      <c r="L361" s="57" t="n">
        <v>0</v>
      </c>
      <c r="M361" s="57" t="n">
        <v>5</v>
      </c>
      <c r="N361" s="60" t="n">
        <v>9999</v>
      </c>
      <c r="O361" s="55" t="s">
        <v>163</v>
      </c>
      <c r="P361" s="57"/>
      <c r="Q361" s="60" t="n">
        <f aca="false">IF(BR361=1,0,IFERROR(VLOOKUP(BP361,'Gebinde-Kategorie'!$A$5:$M$45,13,0)+0,0))</f>
        <v>0</v>
      </c>
      <c r="R361" s="61"/>
      <c r="S361" s="62"/>
      <c r="T361" s="62"/>
      <c r="U361" s="55"/>
      <c r="V361" s="57"/>
      <c r="W361" s="57"/>
      <c r="X361" s="55" t="n">
        <f aca="false">IF(A361="","",IF(AND(Parameter!$B$21="Ja",ISNUMBER(U361)),U361,IF(IFERROR(VLOOKUP(D361,Parameter!$A$35:$C$64,2,0),"Nein")="2+3",IF(ISNUMBER(SEARCH("grosser Artikel",BM361)),2,IFERROR(VLOOKUP(BP361,Parameter!$F$35:$G$64,2,0),2)),IF(OR(IFERROR(VLOOKUP(D361,Parameter!$A$35:$C$64,2,0),"Nein")="Nein",IFERROR(VLOOKUP(D361,Parameter!$A$35:$C$64,2,0),"Nein")=""),"-",VLOOKUP(D361,Parameter!$A$35:$C$64,2,0)))))</f>
        <v>2</v>
      </c>
      <c r="Y361" s="62"/>
      <c r="Z361" s="63"/>
      <c r="AA361" s="57" t="n">
        <f aca="false">AP361</f>
        <v>5</v>
      </c>
      <c r="AB361" s="57" t="n">
        <f aca="false">MAX(AP361,G361)</f>
        <v>25</v>
      </c>
      <c r="AC361" s="64"/>
      <c r="AD361" s="57" t="n">
        <f aca="false">IF(LEFT(Cockpit!$C$5,1)="A",G361,IF(BW361=1,BX361,IF(LEFT(Cockpit!$C$5,1)="B",AH361,MAX(AH361,G361))))</f>
        <v>25</v>
      </c>
      <c r="AE361" s="57" t="n">
        <f aca="false">IF(BR361=1,0,ROUNDUP(AD361/BQ361,0))</f>
        <v>0</v>
      </c>
      <c r="AF361" s="59" t="n">
        <f aca="false">IF(CD361&gt;0,CD361*MAX(1,AD361/V361),IF(BR361=1,IF(AD361&lt;=0,0,BS361*MAX(1,IF(G361&gt;0,AD361/G361,1))),IF(Q361&gt;0,AE361/Q361,0))/MAX(0.1,N(Parameter!$M$21)))</f>
        <v>0.03</v>
      </c>
      <c r="AG361" s="57" t="n">
        <f aca="false">AD361*F361</f>
        <v>167.5</v>
      </c>
      <c r="AH361" s="57" t="n">
        <f aca="false">ROUNDUP(MAX(I361/IF(BV361&gt;0,BV361,MAX(0.1,N(Cockpit!$C$6))),BY361)/BQ361,0)*BQ361</f>
        <v>5</v>
      </c>
      <c r="AI361" s="58" t="n">
        <f aca="false">IF(AF361&gt;0,I361/AF361,-1)</f>
        <v>0</v>
      </c>
      <c r="AJ361" s="58" t="n">
        <f aca="false">IF(AND(OR(BU361="L1",BU361="L23"),AF361&gt;0),SUMIFS($AF$7:$AF$1576,$BU$7:$BU$1576,BU361,$AI$7:$AI$1576,"&gt;"&amp;AI361)+SUMIFS($AF$7:$AF$1576,$BU$7:$BU$1576,BU361,$AI$7:$AI$1576,AI361,$BO$7:$BO$1576,"&lt;="&amp;BO361),"")</f>
        <v>41.2674612344178</v>
      </c>
      <c r="AK361" s="65" t="n">
        <f aca="false">IF(AJ361="",0,MAX(0,MIN(1,(IF(BU361="L1",Parameter!$E$5,Parameter!$E$6+Parameter!$E$7)-(AJ361-AF361))/AF361)))</f>
        <v>1</v>
      </c>
      <c r="AL361" s="57" t="n">
        <f aca="false">IF(LEFT(Cockpit!$I$5,1)="A",G361,IF(BW361=1,BX361,IF(LEFT(Cockpit!$I$5,1)="B",AP361,MAX(AP361,G361))))</f>
        <v>25</v>
      </c>
      <c r="AM361" s="57" t="n">
        <f aca="false">IF(BR361=1,0,ROUNDUP(AL361/BQ361,0))</f>
        <v>0</v>
      </c>
      <c r="AN361" s="59" t="n">
        <f aca="false">IF(CD361&gt;0,CD361*MAX(1,AL361/V361),IF(BR361=1,IF(AL361&lt;=0,0,BS361*MAX(1,IF(G361&gt;0,AL361/G361,1))),IF(Q361&gt;0,AM361/Q361,0))/MAX(0.1,N(Parameter!$M$21)))</f>
        <v>0.03</v>
      </c>
      <c r="AO361" s="57" t="n">
        <f aca="false">AL361*F361</f>
        <v>167.5</v>
      </c>
      <c r="AP361" s="57" t="n">
        <f aca="false">ROUNDUP(MAX(I361/IF(BV361&gt;0,BV361,MAX(0.1,N(Cockpit!$I$6))),BY361)/BQ361,0)*BQ361</f>
        <v>5</v>
      </c>
      <c r="AQ361" s="58" t="n">
        <f aca="false">IF(AN361&gt;0,I361/AN361,-1)</f>
        <v>0</v>
      </c>
      <c r="AR361" s="58" t="n">
        <f aca="false">IF(AND(OR(BU361="L1",BU361="L23"),AN361&gt;0),SUMIFS($AN$7:$AN$1576,$BU$7:$BU$1576,BU361,$AQ$7:$AQ$1576,"&gt;"&amp;AQ361)+SUMIFS($AN$7:$AN$1576,$BU$7:$BU$1576,BU361,$AQ$7:$AQ$1576,AQ361,$BO$7:$BO$1576,"&lt;="&amp;BO361),"")</f>
        <v>124.141666984207</v>
      </c>
      <c r="AS361" s="65" t="n">
        <f aca="false">IF(AR361="",0,MAX(0,MIN(1,(IF(BU361="L1",Parameter!$E$5,Parameter!$E$6+Parameter!$E$7)-(AR361-AN361))/AN361)))</f>
        <v>0</v>
      </c>
      <c r="AT361" s="57" t="n">
        <f aca="false">IF(LEFT(Cockpit!$O$5,1)="A",G361,IF(BW361=1,BX361,IF(LEFT(Cockpit!$O$5,1)="B",AX361,MAX(AX361,G361))))</f>
        <v>25</v>
      </c>
      <c r="AU361" s="57" t="n">
        <f aca="false">IF(BR361=1,0,ROUNDUP(AT361/BQ361,0))</f>
        <v>0</v>
      </c>
      <c r="AV361" s="59" t="n">
        <f aca="false">IF(CD361&gt;0,CD361*MAX(1,AT361/V361),IF(BR361=1,IF(AT361&lt;=0,0,BS361*MAX(1,IF(G361&gt;0,AT361/G361,1))),IF(Q361&gt;0,AU361/Q361,0))/MAX(0.1,N(Parameter!$M$21)))</f>
        <v>0.03</v>
      </c>
      <c r="AW361" s="57" t="n">
        <f aca="false">AT361*F361</f>
        <v>167.5</v>
      </c>
      <c r="AX361" s="57" t="n">
        <f aca="false">ROUNDUP(MAX(I361/IF(BV361&gt;0,BV361,MAX(0.1,N(Cockpit!$O$6))),BY361)/BQ361,0)*BQ361</f>
        <v>5</v>
      </c>
      <c r="AY361" s="58" t="n">
        <f aca="false">IF(AV361&gt;0,I361/AV361,-1)</f>
        <v>0</v>
      </c>
      <c r="AZ361" s="58" t="n">
        <f aca="false">IF(AND(OR(BU361="L1",BU361="L23"),AV361&gt;0),SUMIFS($AV$7:$AV$1576,$BU$7:$BU$1576,BU361,$AY$7:$AY$1576,"&gt;"&amp;AY361)+SUMIFS($AV$7:$AV$1576,$BU$7:$BU$1576,BU361,$AY$7:$AY$1576,AY361,$BO$7:$BO$1576,"&lt;="&amp;BO361),"")</f>
        <v>114.201217433758</v>
      </c>
      <c r="BA361" s="65" t="n">
        <f aca="false">IF(AZ361="",0,MAX(0,MIN(1,(IF(BU361="L1",Parameter!$E$5,Parameter!$E$6+Parameter!$E$7)-(AZ361-AV361))/AV361)))</f>
        <v>0</v>
      </c>
      <c r="BB361" s="55" t="str">
        <f aca="false">IF(AF361&lt;=0,"",IF(BU361="Aussen","Aussenlager",IF(BU361="-","Nicht im Lift",IF(AK361&gt;=1,"Lift",IF(AK361&lt;=0,"Aussenlager","teilweise")))))</f>
        <v>Lift</v>
      </c>
      <c r="BC361" s="55" t="str">
        <f aca="false">IF(AN361&lt;=0,"",IF(BU361="Aussen","Aussenlager",IF(BU361="-","Nicht im Lift",IF(AS361&gt;=1,"Lift",IF(AS361&lt;=0,"Aussenlager","teilweise")))))</f>
        <v>Aussenlager</v>
      </c>
      <c r="BD361" s="55" t="str">
        <f aca="false">IF(AV361&lt;=0,"",IF(BU361="Aussen","Aussenlager",IF(BU361="-","Nicht im Lift",IF(BA361&gt;=1,"Lift",IF(BA361&lt;=0,"Aussenlager","teilweise")))))</f>
        <v>Aussenlager</v>
      </c>
      <c r="BE361" s="55" t="str">
        <f aca="false">IF(A361="","",IF(BN361=1,"Neu; ","")&amp;IF(AND(BN361=0,BI361&lt;0),"negativer Bestand (Export "&amp;BI361&amp;"); ","")&amp;IF(I361&lt;=0,"Kein Verbrauch; ","")&amp;IF(CD361&gt;0,"Lift "&amp;U361&amp;" lt. Liftbericht (Fach "&amp;V361&amp;" Stk); ",IF(BR361=1,"Lose – Fläche geschätzt; ",""))&amp;IF(G361&gt;AP361,"Überbestand "&amp;ROUND(G361-AP361,0)&amp;" Stk / CHF "&amp;ROUND((G361-AP361)*F361,0)&amp;"; ","")&amp;IF(AND(BW361=1,BX361&lt;BY361),"MAX &lt; MB+LG; ","")&amp;IF(AND(CC361&gt;0,CB361*10&gt;CC361),"zu hoch für Tablar; ","")&amp;IF(AND(BN361=0,OR(BW361=1,Y361&lt;&gt;"",S361&lt;&gt;"",T361&lt;&gt;"",Z361&lt;&gt;"")),"manuell übersteuert; ","")&amp;IF(AND(BR361=0,Q361=0),"Gebinde unbekannt / Stellmass fehlt; ","")&amp;IF(AND(BR361=0,N(T361)&lt;=0,N(P361)&lt;=0),"Menge pro Gebinde fehlt (Ist = 1 Gebinde); ","")&amp;BM361)</f>
        <v>Kein Verbrauch; Lose – Fläche geschätzt; Überbestand 20 Stk / CHF 134; </v>
      </c>
      <c r="BF361" s="55"/>
      <c r="BG361" s="55"/>
      <c r="BH361" s="62"/>
      <c r="BI361" s="57" t="n">
        <v>25</v>
      </c>
      <c r="BJ361" s="57" t="n">
        <v>0</v>
      </c>
      <c r="BK361" s="56" t="n">
        <v>167.5</v>
      </c>
      <c r="BL361" s="57" t="n">
        <v>0</v>
      </c>
      <c r="BM361" s="55"/>
      <c r="BN361" s="60" t="n">
        <v>0</v>
      </c>
      <c r="BO361" s="60" t="n">
        <v>361</v>
      </c>
      <c r="BP361" s="55" t="str">
        <f aca="false">IF(S361&lt;&gt;"",UPPER(TRIM(S361)),IF(O361="","LOSE",O361))</f>
        <v>LOSE</v>
      </c>
      <c r="BQ361" s="57" t="n">
        <f aca="false">IF(BP361="LOSE",1,IF(N(T361)&gt;0,T361,IF(N(P361)&gt;0,P361,MAX(1,G361))))</f>
        <v>1</v>
      </c>
      <c r="BR361" s="60" t="n">
        <f aca="false">IF(BP361="LOSE",1,0)</f>
        <v>1</v>
      </c>
      <c r="BS361" s="59" t="n">
        <f aca="false">IF(BR361=0,0,IF(N(R361)&gt;0,R361,IFERROR(VLOOKUP(D361,Parameter!$A$35:$C$64,3,0)+0,0)))</f>
        <v>0.03</v>
      </c>
      <c r="BT361" s="55" t="n">
        <f aca="false">IF(Y361&lt;&gt;"",Y361,X361)</f>
        <v>2</v>
      </c>
      <c r="BU361" s="55" t="str">
        <f aca="false">IF(BT361=1,"L1",IF(OR(BT361=2,BT361=3),"L23",IF(BT361="Aussen","Aussen","-")))</f>
        <v>L23</v>
      </c>
      <c r="BV361" s="66" t="n">
        <f aca="false">IF(N(Z361)&gt;0,Z361,0)</f>
        <v>0</v>
      </c>
      <c r="BW361" s="60" t="n">
        <f aca="false">IF(ISNUMBER(AC361),1,0)</f>
        <v>0</v>
      </c>
      <c r="BX361" s="57" t="n">
        <f aca="false">N(AC361)</f>
        <v>0</v>
      </c>
      <c r="BY361" s="57" t="n">
        <f aca="false">N(L361)+N(M361)</f>
        <v>5</v>
      </c>
      <c r="BZ361" s="57" t="n">
        <f aca="false">ROUNDUP(G361/BQ361,0)</f>
        <v>25</v>
      </c>
      <c r="CA361" s="57" t="n">
        <f aca="false">ROUNDUP(BX361/BQ361,0)</f>
        <v>0</v>
      </c>
      <c r="CB361" s="60" t="n">
        <f aca="false">IF(BR361=1,0,IFERROR(VLOOKUP(BP361,'Gebinde-Kategorie'!$A$5:$M$45,5,0)+0,0))</f>
        <v>0</v>
      </c>
      <c r="CC361" s="60" t="n">
        <f aca="false">IFERROR(IF(OR(BT361=1,BT361=2,BT361=3),N(INDEX(Parameter!$I$5:$I$7,BT361)),0),0)</f>
        <v>0</v>
      </c>
      <c r="CD361" s="59" t="n">
        <f aca="false">IF(AND(Parameter!$B$21="Ja",ISNUMBER(U361),N(V361)&gt;0),IFERROR(N(INDEX(Parameter!$L$5:$L$7,U361))*INDEX(Parameter!$E$5:$E$7,U361)*V361/SUMIFS($V$7:$V$1576,$U$7:$U$1576,U361),0),0)</f>
        <v>0</v>
      </c>
    </row>
    <row r="362" customFormat="false" ht="15" hidden="false" customHeight="false" outlineLevel="0" collapsed="false">
      <c r="A362" s="55" t="s">
        <v>863</v>
      </c>
      <c r="B362" s="55" t="s">
        <v>864</v>
      </c>
      <c r="C362" s="55" t="s">
        <v>160</v>
      </c>
      <c r="D362" s="55" t="s">
        <v>168</v>
      </c>
      <c r="E362" s="55" t="s">
        <v>210</v>
      </c>
      <c r="F362" s="56" t="n">
        <v>33.5</v>
      </c>
      <c r="G362" s="57" t="n">
        <f aca="false">MAX(0,IF(AND(Parameter!$B$21="Ja",ISNUMBER(W362)),W362,IF(Parameter!$B$20="Jahresanfang 2025 + Export",BJ362+BI362,BI362)))</f>
        <v>5</v>
      </c>
      <c r="H362" s="57" t="n">
        <f aca="false">G362*F362</f>
        <v>167.5</v>
      </c>
      <c r="I362" s="57" t="n">
        <f aca="false">BL362*Parameter!$B$18</f>
        <v>21</v>
      </c>
      <c r="J362" s="58" t="n">
        <v>9.5</v>
      </c>
      <c r="K362" s="59" t="n">
        <v>2.21052631578947</v>
      </c>
      <c r="L362" s="57" t="n">
        <v>3</v>
      </c>
      <c r="M362" s="57" t="n">
        <v>20</v>
      </c>
      <c r="N362" s="60" t="n">
        <v>56</v>
      </c>
      <c r="O362" s="55" t="s">
        <v>215</v>
      </c>
      <c r="P362" s="57" t="n">
        <v>24</v>
      </c>
      <c r="Q362" s="60" t="n">
        <f aca="false">IF(BR362=1,0,IFERROR(VLOOKUP(BP362,'Gebinde-Kategorie'!$A$5:$M$45,13,0)+0,0))</f>
        <v>3</v>
      </c>
      <c r="R362" s="61"/>
      <c r="S362" s="62"/>
      <c r="T362" s="62"/>
      <c r="U362" s="55"/>
      <c r="V362" s="57"/>
      <c r="W362" s="57"/>
      <c r="X362" s="55" t="n">
        <f aca="false">IF(A362="","",IF(AND(Parameter!$B$21="Ja",ISNUMBER(U362)),U362,IF(IFERROR(VLOOKUP(D362,Parameter!$A$35:$C$64,2,0),"Nein")="2+3",IF(ISNUMBER(SEARCH("grosser Artikel",BM362)),2,IFERROR(VLOOKUP(BP362,Parameter!$F$35:$G$64,2,0),2)),IF(OR(IFERROR(VLOOKUP(D362,Parameter!$A$35:$C$64,2,0),"Nein")="Nein",IFERROR(VLOOKUP(D362,Parameter!$A$35:$C$64,2,0),"Nein")=""),"-",VLOOKUP(D362,Parameter!$A$35:$C$64,2,0)))))</f>
        <v>2</v>
      </c>
      <c r="Y362" s="62"/>
      <c r="Z362" s="63"/>
      <c r="AA362" s="57" t="n">
        <f aca="false">AP362</f>
        <v>24</v>
      </c>
      <c r="AB362" s="57" t="n">
        <f aca="false">MAX(AP362,G362)</f>
        <v>24</v>
      </c>
      <c r="AC362" s="64"/>
      <c r="AD362" s="57" t="n">
        <f aca="false">IF(LEFT(Cockpit!$C$5,1)="A",G362,IF(BW362=1,BX362,IF(LEFT(Cockpit!$C$5,1)="B",AH362,MAX(AH362,G362))))</f>
        <v>5</v>
      </c>
      <c r="AE362" s="57" t="n">
        <f aca="false">IF(BR362=1,0,ROUNDUP(AD362/BQ362,0))</f>
        <v>1</v>
      </c>
      <c r="AF362" s="59" t="n">
        <f aca="false">IF(CD362&gt;0,CD362*MAX(1,AD362/V362),IF(BR362=1,IF(AD362&lt;=0,0,BS362*MAX(1,IF(G362&gt;0,AD362/G362,1))),IF(Q362&gt;0,AE362/Q362,0))/MAX(0.1,N(Parameter!$M$21)))</f>
        <v>0.333333333333333</v>
      </c>
      <c r="AG362" s="57" t="n">
        <f aca="false">AD362*F362</f>
        <v>167.5</v>
      </c>
      <c r="AH362" s="57" t="n">
        <f aca="false">ROUNDUP(MAX(I362/IF(BV362&gt;0,BV362,MAX(0.1,N(Cockpit!$C$6))),BY362)/BQ362,0)*BQ362</f>
        <v>24</v>
      </c>
      <c r="AI362" s="58" t="n">
        <f aca="false">IF(AF362&gt;0,I362/AF362,-1)</f>
        <v>63</v>
      </c>
      <c r="AJ362" s="58" t="n">
        <f aca="false">IF(AND(OR(BU362="L1",BU362="L23"),AF362&gt;0),SUMIFS($AF$7:$AF$1576,$BU$7:$BU$1576,BU362,$AI$7:$AI$1576,"&gt;"&amp;AI362)+SUMIFS($AF$7:$AF$1576,$BU$7:$BU$1576,BU362,$AI$7:$AI$1576,AI362,$BO$7:$BO$1576,"&lt;="&amp;BO362),"")</f>
        <v>25.0315560285125</v>
      </c>
      <c r="AK362" s="65" t="n">
        <f aca="false">IF(AJ362="",0,MAX(0,MIN(1,(IF(BU362="L1",Parameter!$E$5,Parameter!$E$6+Parameter!$E$7)-(AJ362-AF362))/AF362)))</f>
        <v>1</v>
      </c>
      <c r="AL362" s="57" t="n">
        <f aca="false">IF(LEFT(Cockpit!$I$5,1)="A",G362,IF(BW362=1,BX362,IF(LEFT(Cockpit!$I$5,1)="B",AP362,MAX(AP362,G362))))</f>
        <v>24</v>
      </c>
      <c r="AM362" s="57" t="n">
        <f aca="false">IF(BR362=1,0,ROUNDUP(AL362/BQ362,0))</f>
        <v>1</v>
      </c>
      <c r="AN362" s="59" t="n">
        <f aca="false">IF(CD362&gt;0,CD362*MAX(1,AL362/V362),IF(BR362=1,IF(AL362&lt;=0,0,BS362*MAX(1,IF(G362&gt;0,AL362/G362,1))),IF(Q362&gt;0,AM362/Q362,0))/MAX(0.1,N(Parameter!$M$21)))</f>
        <v>0.333333333333333</v>
      </c>
      <c r="AO362" s="57" t="n">
        <f aca="false">AL362*F362</f>
        <v>804</v>
      </c>
      <c r="AP362" s="57" t="n">
        <f aca="false">ROUNDUP(MAX(I362/IF(BV362&gt;0,BV362,MAX(0.1,N(Cockpit!$I$6))),BY362)/BQ362,0)*BQ362</f>
        <v>24</v>
      </c>
      <c r="AQ362" s="58" t="n">
        <f aca="false">IF(AN362&gt;0,I362/AN362,-1)</f>
        <v>63</v>
      </c>
      <c r="AR362" s="58" t="n">
        <f aca="false">IF(AND(OR(BU362="L1",BU362="L23"),AN362&gt;0),SUMIFS($AN$7:$AN$1576,$BU$7:$BU$1576,BU362,$AQ$7:$AQ$1576,"&gt;"&amp;AQ362)+SUMIFS($AN$7:$AN$1576,$BU$7:$BU$1576,BU362,$AQ$7:$AQ$1576,AQ362,$BO$7:$BO$1576,"&lt;="&amp;BO362),"")</f>
        <v>77.1465371527983</v>
      </c>
      <c r="AS362" s="65" t="n">
        <f aca="false">IF(AR362="",0,MAX(0,MIN(1,(IF(BU362="L1",Parameter!$E$5,Parameter!$E$6+Parameter!$E$7)-(AR362-AN362))/AN362)))</f>
        <v>1</v>
      </c>
      <c r="AT362" s="57" t="n">
        <f aca="false">IF(LEFT(Cockpit!$O$5,1)="A",G362,IF(BW362=1,BX362,IF(LEFT(Cockpit!$O$5,1)="B",AX362,MAX(AX362,G362))))</f>
        <v>24</v>
      </c>
      <c r="AU362" s="57" t="n">
        <f aca="false">IF(BR362=1,0,ROUNDUP(AT362/BQ362,0))</f>
        <v>1</v>
      </c>
      <c r="AV362" s="59" t="n">
        <f aca="false">IF(CD362&gt;0,CD362*MAX(1,AT362/V362),IF(BR362=1,IF(AT362&lt;=0,0,BS362*MAX(1,IF(G362&gt;0,AT362/G362,1))),IF(Q362&gt;0,AU362/Q362,0))/MAX(0.1,N(Parameter!$M$21)))</f>
        <v>0.333333333333333</v>
      </c>
      <c r="AW362" s="57" t="n">
        <f aca="false">AT362*F362</f>
        <v>804</v>
      </c>
      <c r="AX362" s="57" t="n">
        <f aca="false">ROUNDUP(MAX(I362/IF(BV362&gt;0,BV362,MAX(0.1,N(Cockpit!$O$6))),BY362)/BQ362,0)*BQ362</f>
        <v>24</v>
      </c>
      <c r="AY362" s="58" t="n">
        <f aca="false">IF(AV362&gt;0,I362/AV362,-1)</f>
        <v>63</v>
      </c>
      <c r="AZ362" s="58" t="n">
        <f aca="false">IF(AND(OR(BU362="L1",BU362="L23"),AV362&gt;0),SUMIFS($AV$7:$AV$1576,$BU$7:$BU$1576,BU362,$AY$7:$AY$1576,"&gt;"&amp;AY362)+SUMIFS($AV$7:$AV$1576,$BU$7:$BU$1576,BU362,$AY$7:$AY$1576,AY362,$BO$7:$BO$1576,"&lt;="&amp;BO362),"")</f>
        <v>75.3477542690154</v>
      </c>
      <c r="BA362" s="65" t="n">
        <f aca="false">IF(AZ362="",0,MAX(0,MIN(1,(IF(BU362="L1",Parameter!$E$5,Parameter!$E$6+Parameter!$E$7)-(AZ362-AV362))/AV362)))</f>
        <v>1</v>
      </c>
      <c r="BB362" s="55" t="str">
        <f aca="false">IF(AF362&lt;=0,"",IF(BU362="Aussen","Aussenlager",IF(BU362="-","Nicht im Lift",IF(AK362&gt;=1,"Lift",IF(AK362&lt;=0,"Aussenlager","teilweise")))))</f>
        <v>Lift</v>
      </c>
      <c r="BC362" s="55" t="str">
        <f aca="false">IF(AN362&lt;=0,"",IF(BU362="Aussen","Aussenlager",IF(BU362="-","Nicht im Lift",IF(AS362&gt;=1,"Lift",IF(AS362&lt;=0,"Aussenlager","teilweise")))))</f>
        <v>Lift</v>
      </c>
      <c r="BD362" s="55" t="str">
        <f aca="false">IF(AV362&lt;=0,"",IF(BU362="Aussen","Aussenlager",IF(BU362="-","Nicht im Lift",IF(BA362&gt;=1,"Lift",IF(BA362&lt;=0,"Aussenlager","teilweise")))))</f>
        <v>Lift</v>
      </c>
      <c r="BE362" s="55" t="str">
        <f aca="false">IF(A362="","",IF(BN362=1,"Neu; ","")&amp;IF(AND(BN362=0,BI362&lt;0),"negativer Bestand (Export "&amp;BI362&amp;"); ","")&amp;IF(I362&lt;=0,"Kein Verbrauch; ","")&amp;IF(CD362&gt;0,"Lift "&amp;U362&amp;" lt. Liftbericht (Fach "&amp;V362&amp;" Stk); ",IF(BR362=1,"Lose – Fläche geschätzt; ",""))&amp;IF(G362&gt;AP362,"Überbestand "&amp;ROUND(G362-AP362,0)&amp;" Stk / CHF "&amp;ROUND((G362-AP362)*F362,0)&amp;"; ","")&amp;IF(AND(BW362=1,BX362&lt;BY362),"MAX &lt; MB+LG; ","")&amp;IF(AND(CC362&gt;0,CB362*10&gt;CC362),"zu hoch für Tablar; ","")&amp;IF(AND(BN362=0,OR(BW362=1,Y362&lt;&gt;"",S362&lt;&gt;"",T362&lt;&gt;"",Z362&lt;&gt;"")),"manuell übersteuert; ","")&amp;IF(AND(BR362=0,Q362=0),"Gebinde unbekannt / Stellmass fehlt; ","")&amp;IF(AND(BR362=0,N(T362)&lt;=0,N(P362)&lt;=0),"Menge pro Gebinde fehlt (Ist = 1 Gebinde); ","")&amp;BM362)</f>
        <v/>
      </c>
      <c r="BF362" s="55"/>
      <c r="BG362" s="55"/>
      <c r="BH362" s="62"/>
      <c r="BI362" s="57" t="n">
        <v>5</v>
      </c>
      <c r="BJ362" s="57" t="n">
        <v>9</v>
      </c>
      <c r="BK362" s="56" t="n">
        <v>167.5</v>
      </c>
      <c r="BL362" s="57" t="n">
        <v>21</v>
      </c>
      <c r="BM362" s="55"/>
      <c r="BN362" s="60" t="n">
        <v>0</v>
      </c>
      <c r="BO362" s="60" t="n">
        <v>362</v>
      </c>
      <c r="BP362" s="55" t="str">
        <f aca="false">IF(S362&lt;&gt;"",UPPER(TRIM(S362)),IF(O362="","LOSE",O362))</f>
        <v>S81</v>
      </c>
      <c r="BQ362" s="57" t="n">
        <f aca="false">IF(BP362="LOSE",1,IF(N(T362)&gt;0,T362,IF(N(P362)&gt;0,P362,MAX(1,G362))))</f>
        <v>24</v>
      </c>
      <c r="BR362" s="60" t="n">
        <f aca="false">IF(BP362="LOSE",1,0)</f>
        <v>0</v>
      </c>
      <c r="BS362" s="59" t="n">
        <f aca="false">IF(BR362=0,0,IF(N(R362)&gt;0,R362,IFERROR(VLOOKUP(D362,Parameter!$A$35:$C$64,3,0)+0,0)))</f>
        <v>0</v>
      </c>
      <c r="BT362" s="55" t="n">
        <f aca="false">IF(Y362&lt;&gt;"",Y362,X362)</f>
        <v>2</v>
      </c>
      <c r="BU362" s="55" t="str">
        <f aca="false">IF(BT362=1,"L1",IF(OR(BT362=2,BT362=3),"L23",IF(BT362="Aussen","Aussen","-")))</f>
        <v>L23</v>
      </c>
      <c r="BV362" s="66" t="n">
        <f aca="false">IF(N(Z362)&gt;0,Z362,0)</f>
        <v>0</v>
      </c>
      <c r="BW362" s="60" t="n">
        <f aca="false">IF(ISNUMBER(AC362),1,0)</f>
        <v>0</v>
      </c>
      <c r="BX362" s="57" t="n">
        <f aca="false">N(AC362)</f>
        <v>0</v>
      </c>
      <c r="BY362" s="57" t="n">
        <f aca="false">N(L362)+N(M362)</f>
        <v>23</v>
      </c>
      <c r="BZ362" s="57" t="n">
        <f aca="false">ROUNDUP(G362/BQ362,0)</f>
        <v>1</v>
      </c>
      <c r="CA362" s="57" t="n">
        <f aca="false">ROUNDUP(BX362/BQ362,0)</f>
        <v>0</v>
      </c>
      <c r="CB362" s="60" t="n">
        <f aca="false">IF(BR362=1,0,IFERROR(VLOOKUP(BP362,'Gebinde-Kategorie'!$A$5:$M$45,5,0)+0,0))</f>
        <v>20</v>
      </c>
      <c r="CC362" s="60" t="n">
        <f aca="false">IFERROR(IF(OR(BT362=1,BT362=2,BT362=3),N(INDEX(Parameter!$I$5:$I$7,BT362)),0),0)</f>
        <v>0</v>
      </c>
      <c r="CD362" s="59" t="n">
        <f aca="false">IF(AND(Parameter!$B$21="Ja",ISNUMBER(U362),N(V362)&gt;0),IFERROR(N(INDEX(Parameter!$L$5:$L$7,U362))*INDEX(Parameter!$E$5:$E$7,U362)*V362/SUMIFS($V$7:$V$1576,$U$7:$U$1576,U362),0),0)</f>
        <v>0</v>
      </c>
    </row>
    <row r="363" customFormat="false" ht="15" hidden="false" customHeight="false" outlineLevel="0" collapsed="false">
      <c r="A363" s="55" t="s">
        <v>865</v>
      </c>
      <c r="B363" s="55" t="s">
        <v>846</v>
      </c>
      <c r="C363" s="55" t="s">
        <v>160</v>
      </c>
      <c r="D363" s="55" t="s">
        <v>178</v>
      </c>
      <c r="E363" s="55" t="s">
        <v>210</v>
      </c>
      <c r="F363" s="56" t="n">
        <v>138.25</v>
      </c>
      <c r="G363" s="57" t="n">
        <f aca="false">MAX(0,IF(AND(Parameter!$B$21="Ja",ISNUMBER(W363)),W363,IF(Parameter!$B$20="Jahresanfang 2025 + Export",BJ363+BI363,BI363)))</f>
        <v>1</v>
      </c>
      <c r="H363" s="57" t="n">
        <f aca="false">G363*F363</f>
        <v>138.25</v>
      </c>
      <c r="I363" s="57" t="n">
        <f aca="false">BL363*Parameter!$B$18</f>
        <v>2</v>
      </c>
      <c r="J363" s="58" t="n">
        <v>5</v>
      </c>
      <c r="K363" s="59" t="n">
        <v>0.4</v>
      </c>
      <c r="L363" s="57" t="n">
        <v>0</v>
      </c>
      <c r="M363" s="57" t="n">
        <v>1</v>
      </c>
      <c r="N363" s="60" t="n">
        <v>35</v>
      </c>
      <c r="O363" s="55" t="s">
        <v>416</v>
      </c>
      <c r="P363" s="57" t="n">
        <v>5</v>
      </c>
      <c r="Q363" s="60" t="n">
        <f aca="false">IF(BR363=1,0,IFERROR(VLOOKUP(BP363,'Gebinde-Kategorie'!$A$5:$M$45,13,0)+0,0))</f>
        <v>198</v>
      </c>
      <c r="R363" s="61"/>
      <c r="S363" s="62"/>
      <c r="T363" s="62"/>
      <c r="U363" s="55"/>
      <c r="V363" s="57"/>
      <c r="W363" s="57"/>
      <c r="X363" s="55" t="n">
        <f aca="false">IF(A363="","",IF(AND(Parameter!$B$21="Ja",ISNUMBER(U363)),U363,IF(IFERROR(VLOOKUP(D363,Parameter!$A$35:$C$64,2,0),"Nein")="2+3",IF(ISNUMBER(SEARCH("grosser Artikel",BM363)),2,IFERROR(VLOOKUP(BP363,Parameter!$F$35:$G$64,2,0),2)),IF(OR(IFERROR(VLOOKUP(D363,Parameter!$A$35:$C$64,2,0),"Nein")="Nein",IFERROR(VLOOKUP(D363,Parameter!$A$35:$C$64,2,0),"Nein")=""),"-",VLOOKUP(D363,Parameter!$A$35:$C$64,2,0)))))</f>
        <v>3</v>
      </c>
      <c r="Y363" s="62"/>
      <c r="Z363" s="63"/>
      <c r="AA363" s="57" t="n">
        <f aca="false">AP363</f>
        <v>5</v>
      </c>
      <c r="AB363" s="57" t="n">
        <f aca="false">MAX(AP363,G363)</f>
        <v>5</v>
      </c>
      <c r="AC363" s="64"/>
      <c r="AD363" s="57" t="n">
        <f aca="false">IF(LEFT(Cockpit!$C$5,1)="A",G363,IF(BW363=1,BX363,IF(LEFT(Cockpit!$C$5,1)="B",AH363,MAX(AH363,G363))))</f>
        <v>1</v>
      </c>
      <c r="AE363" s="57" t="n">
        <f aca="false">IF(BR363=1,0,ROUNDUP(AD363/BQ363,0))</f>
        <v>1</v>
      </c>
      <c r="AF363" s="59" t="n">
        <f aca="false">IF(CD363&gt;0,CD363*MAX(1,AD363/V363),IF(BR363=1,IF(AD363&lt;=0,0,BS363*MAX(1,IF(G363&gt;0,AD363/G363,1))),IF(Q363&gt;0,AE363/Q363,0))/MAX(0.1,N(Parameter!$M$21)))</f>
        <v>0.00505050505050505</v>
      </c>
      <c r="AG363" s="57" t="n">
        <f aca="false">AD363*F363</f>
        <v>138.25</v>
      </c>
      <c r="AH363" s="57" t="n">
        <f aca="false">ROUNDUP(MAX(I363/IF(BV363&gt;0,BV363,MAX(0.1,N(Cockpit!$C$6))),BY363)/BQ363,0)*BQ363</f>
        <v>5</v>
      </c>
      <c r="AI363" s="58" t="n">
        <f aca="false">IF(AF363&gt;0,I363/AF363,-1)</f>
        <v>396</v>
      </c>
      <c r="AJ363" s="58" t="n">
        <f aca="false">IF(AND(OR(BU363="L1",BU363="L23"),AF363&gt;0),SUMIFS($AF$7:$AF$1576,$BU$7:$BU$1576,BU363,$AI$7:$AI$1576,"&gt;"&amp;AI363)+SUMIFS($AF$7:$AF$1576,$BU$7:$BU$1576,BU363,$AI$7:$AI$1576,AI363,$BO$7:$BO$1576,"&lt;="&amp;BO363),"")</f>
        <v>13.4532269180095</v>
      </c>
      <c r="AK363" s="65" t="n">
        <f aca="false">IF(AJ363="",0,MAX(0,MIN(1,(IF(BU363="L1",Parameter!$E$5,Parameter!$E$6+Parameter!$E$7)-(AJ363-AF363))/AF363)))</f>
        <v>1</v>
      </c>
      <c r="AL363" s="57" t="n">
        <f aca="false">IF(LEFT(Cockpit!$I$5,1)="A",G363,IF(BW363=1,BX363,IF(LEFT(Cockpit!$I$5,1)="B",AP363,MAX(AP363,G363))))</f>
        <v>5</v>
      </c>
      <c r="AM363" s="57" t="n">
        <f aca="false">IF(BR363=1,0,ROUNDUP(AL363/BQ363,0))</f>
        <v>1</v>
      </c>
      <c r="AN363" s="59" t="n">
        <f aca="false">IF(CD363&gt;0,CD363*MAX(1,AL363/V363),IF(BR363=1,IF(AL363&lt;=0,0,BS363*MAX(1,IF(G363&gt;0,AL363/G363,1))),IF(Q363&gt;0,AM363/Q363,0))/MAX(0.1,N(Parameter!$M$21)))</f>
        <v>0.00505050505050505</v>
      </c>
      <c r="AO363" s="57" t="n">
        <f aca="false">AL363*F363</f>
        <v>691.25</v>
      </c>
      <c r="AP363" s="57" t="n">
        <f aca="false">ROUNDUP(MAX(I363/IF(BV363&gt;0,BV363,MAX(0.1,N(Cockpit!$I$6))),BY363)/BQ363,0)*BQ363</f>
        <v>5</v>
      </c>
      <c r="AQ363" s="58" t="n">
        <f aca="false">IF(AN363&gt;0,I363/AN363,-1)</f>
        <v>396</v>
      </c>
      <c r="AR363" s="58" t="n">
        <f aca="false">IF(AND(OR(BU363="L1",BU363="L23"),AN363&gt;0),SUMIFS($AN$7:$AN$1576,$BU$7:$BU$1576,BU363,$AQ$7:$AQ$1576,"&gt;"&amp;AQ363)+SUMIFS($AN$7:$AN$1576,$BU$7:$BU$1576,BU363,$AQ$7:$AQ$1576,AQ363,$BO$7:$BO$1576,"&lt;="&amp;BO363),"")</f>
        <v>36.7435561663934</v>
      </c>
      <c r="AS363" s="65" t="n">
        <f aca="false">IF(AR363="",0,MAX(0,MIN(1,(IF(BU363="L1",Parameter!$E$5,Parameter!$E$6+Parameter!$E$7)-(AR363-AN363))/AN363)))</f>
        <v>1</v>
      </c>
      <c r="AT363" s="57" t="n">
        <f aca="false">IF(LEFT(Cockpit!$O$5,1)="A",G363,IF(BW363=1,BX363,IF(LEFT(Cockpit!$O$5,1)="B",AX363,MAX(AX363,G363))))</f>
        <v>5</v>
      </c>
      <c r="AU363" s="57" t="n">
        <f aca="false">IF(BR363=1,0,ROUNDUP(AT363/BQ363,0))</f>
        <v>1</v>
      </c>
      <c r="AV363" s="59" t="n">
        <f aca="false">IF(CD363&gt;0,CD363*MAX(1,AT363/V363),IF(BR363=1,IF(AT363&lt;=0,0,BS363*MAX(1,IF(G363&gt;0,AT363/G363,1))),IF(Q363&gt;0,AU363/Q363,0))/MAX(0.1,N(Parameter!$M$21)))</f>
        <v>0.00505050505050505</v>
      </c>
      <c r="AW363" s="57" t="n">
        <f aca="false">AT363*F363</f>
        <v>691.25</v>
      </c>
      <c r="AX363" s="57" t="n">
        <f aca="false">ROUNDUP(MAX(I363/IF(BV363&gt;0,BV363,MAX(0.1,N(Cockpit!$O$6))),BY363)/BQ363,0)*BQ363</f>
        <v>5</v>
      </c>
      <c r="AY363" s="58" t="n">
        <f aca="false">IF(AV363&gt;0,I363/AV363,-1)</f>
        <v>396</v>
      </c>
      <c r="AZ363" s="58" t="n">
        <f aca="false">IF(AND(OR(BU363="L1",BU363="L23"),AV363&gt;0),SUMIFS($AV$7:$AV$1576,$BU$7:$BU$1576,BU363,$AY$7:$AY$1576,"&gt;"&amp;AY363)+SUMIFS($AV$7:$AV$1576,$BU$7:$BU$1576,BU363,$AY$7:$AY$1576,AY363,$BO$7:$BO$1576,"&lt;="&amp;BO363),"")</f>
        <v>35.9083014211387</v>
      </c>
      <c r="BA363" s="65" t="n">
        <f aca="false">IF(AZ363="",0,MAX(0,MIN(1,(IF(BU363="L1",Parameter!$E$5,Parameter!$E$6+Parameter!$E$7)-(AZ363-AV363))/AV363)))</f>
        <v>1</v>
      </c>
      <c r="BB363" s="55" t="str">
        <f aca="false">IF(AF363&lt;=0,"",IF(BU363="Aussen","Aussenlager",IF(BU363="-","Nicht im Lift",IF(AK363&gt;=1,"Lift",IF(AK363&lt;=0,"Aussenlager","teilweise")))))</f>
        <v>Lift</v>
      </c>
      <c r="BC363" s="55" t="str">
        <f aca="false">IF(AN363&lt;=0,"",IF(BU363="Aussen","Aussenlager",IF(BU363="-","Nicht im Lift",IF(AS363&gt;=1,"Lift",IF(AS363&lt;=0,"Aussenlager","teilweise")))))</f>
        <v>Lift</v>
      </c>
      <c r="BD363" s="55" t="str">
        <f aca="false">IF(AV363&lt;=0,"",IF(BU363="Aussen","Aussenlager",IF(BU363="-","Nicht im Lift",IF(BA363&gt;=1,"Lift",IF(BA363&lt;=0,"Aussenlager","teilweise")))))</f>
        <v>Lift</v>
      </c>
      <c r="BE363" s="55" t="str">
        <f aca="false">IF(A363="","",IF(BN363=1,"Neu; ","")&amp;IF(AND(BN363=0,BI363&lt;0),"negativer Bestand (Export "&amp;BI363&amp;"); ","")&amp;IF(I363&lt;=0,"Kein Verbrauch; ","")&amp;IF(CD363&gt;0,"Lift "&amp;U363&amp;" lt. Liftbericht (Fach "&amp;V363&amp;" Stk); ",IF(BR363=1,"Lose – Fläche geschätzt; ",""))&amp;IF(G363&gt;AP363,"Überbestand "&amp;ROUND(G363-AP363,0)&amp;" Stk / CHF "&amp;ROUND((G363-AP363)*F363,0)&amp;"; ","")&amp;IF(AND(BW363=1,BX363&lt;BY363),"MAX &lt; MB+LG; ","")&amp;IF(AND(CC363&gt;0,CB363*10&gt;CC363),"zu hoch für Tablar; ","")&amp;IF(AND(BN363=0,OR(BW363=1,Y363&lt;&gt;"",S363&lt;&gt;"",T363&lt;&gt;"",Z363&lt;&gt;"")),"manuell übersteuert; ","")&amp;IF(AND(BR363=0,Q363=0),"Gebinde unbekannt / Stellmass fehlt; ","")&amp;IF(AND(BR363=0,N(T363)&lt;=0,N(P363)&lt;=0),"Menge pro Gebinde fehlt (Ist = 1 Gebinde); ","")&amp;BM363)</f>
        <v/>
      </c>
      <c r="BF363" s="55"/>
      <c r="BG363" s="55"/>
      <c r="BH363" s="62"/>
      <c r="BI363" s="57" t="n">
        <v>1</v>
      </c>
      <c r="BJ363" s="57" t="n">
        <v>4</v>
      </c>
      <c r="BK363" s="56" t="n">
        <v>160.93</v>
      </c>
      <c r="BL363" s="57" t="n">
        <v>2</v>
      </c>
      <c r="BM363" s="55"/>
      <c r="BN363" s="60" t="n">
        <v>0</v>
      </c>
      <c r="BO363" s="60" t="n">
        <v>363</v>
      </c>
      <c r="BP363" s="55" t="str">
        <f aca="false">IF(S363&lt;&gt;"",UPPER(TRIM(S363)),IF(O363="","LOSE",O363))</f>
        <v>S22</v>
      </c>
      <c r="BQ363" s="57" t="n">
        <f aca="false">IF(BP363="LOSE",1,IF(N(T363)&gt;0,T363,IF(N(P363)&gt;0,P363,MAX(1,G363))))</f>
        <v>5</v>
      </c>
      <c r="BR363" s="60" t="n">
        <f aca="false">IF(BP363="LOSE",1,0)</f>
        <v>0</v>
      </c>
      <c r="BS363" s="59" t="n">
        <f aca="false">IF(BR363=0,0,IF(N(R363)&gt;0,R363,IFERROR(VLOOKUP(D363,Parameter!$A$35:$C$64,3,0)+0,0)))</f>
        <v>0</v>
      </c>
      <c r="BT363" s="55" t="n">
        <f aca="false">IF(Y363&lt;&gt;"",Y363,X363)</f>
        <v>3</v>
      </c>
      <c r="BU363" s="55" t="str">
        <f aca="false">IF(BT363=1,"L1",IF(OR(BT363=2,BT363=3),"L23",IF(BT363="Aussen","Aussen","-")))</f>
        <v>L23</v>
      </c>
      <c r="BV363" s="66" t="n">
        <f aca="false">IF(N(Z363)&gt;0,Z363,0)</f>
        <v>0</v>
      </c>
      <c r="BW363" s="60" t="n">
        <f aca="false">IF(ISNUMBER(AC363),1,0)</f>
        <v>0</v>
      </c>
      <c r="BX363" s="57" t="n">
        <f aca="false">N(AC363)</f>
        <v>0</v>
      </c>
      <c r="BY363" s="57" t="n">
        <f aca="false">N(L363)+N(M363)</f>
        <v>1</v>
      </c>
      <c r="BZ363" s="57" t="n">
        <f aca="false">ROUNDUP(G363/BQ363,0)</f>
        <v>1</v>
      </c>
      <c r="CA363" s="57" t="n">
        <f aca="false">ROUNDUP(BX363/BQ363,0)</f>
        <v>0</v>
      </c>
      <c r="CB363" s="60" t="n">
        <f aca="false">IF(BR363=1,0,IFERROR(VLOOKUP(BP363,'Gebinde-Kategorie'!$A$5:$M$45,5,0)+0,0))</f>
        <v>8</v>
      </c>
      <c r="CC363" s="60" t="n">
        <f aca="false">IFERROR(IF(OR(BT363=1,BT363=2,BT363=3),N(INDEX(Parameter!$I$5:$I$7,BT363)),0),0)</f>
        <v>0</v>
      </c>
      <c r="CD363" s="59" t="n">
        <f aca="false">IF(AND(Parameter!$B$21="Ja",ISNUMBER(U363),N(V363)&gt;0),IFERROR(N(INDEX(Parameter!$L$5:$L$7,U363))*INDEX(Parameter!$E$5:$E$7,U363)*V363/SUMIFS($V$7:$V$1576,$U$7:$U$1576,U363),0),0)</f>
        <v>0</v>
      </c>
    </row>
    <row r="364" customFormat="false" ht="15" hidden="false" customHeight="false" outlineLevel="0" collapsed="false">
      <c r="A364" s="55" t="s">
        <v>866</v>
      </c>
      <c r="B364" s="55" t="s">
        <v>752</v>
      </c>
      <c r="C364" s="55" t="s">
        <v>160</v>
      </c>
      <c r="D364" s="55" t="s">
        <v>178</v>
      </c>
      <c r="E364" s="55" t="s">
        <v>210</v>
      </c>
      <c r="F364" s="56" t="n">
        <v>6.23</v>
      </c>
      <c r="G364" s="57" t="n">
        <f aca="false">MAX(0,IF(AND(Parameter!$B$21="Ja",ISNUMBER(W364)),W364,IF(Parameter!$B$20="Jahresanfang 2025 + Export",BJ364+BI364,BI364)))</f>
        <v>25</v>
      </c>
      <c r="H364" s="57" t="n">
        <f aca="false">G364*F364</f>
        <v>155.75</v>
      </c>
      <c r="I364" s="57" t="n">
        <f aca="false">BL364*Parameter!$B$18</f>
        <v>0</v>
      </c>
      <c r="J364" s="58" t="n">
        <v>0</v>
      </c>
      <c r="K364" s="59" t="n">
        <v>0</v>
      </c>
      <c r="L364" s="57" t="n">
        <v>0</v>
      </c>
      <c r="M364" s="57" t="n">
        <v>1</v>
      </c>
      <c r="N364" s="60" t="n">
        <v>9999</v>
      </c>
      <c r="O364" s="55" t="s">
        <v>163</v>
      </c>
      <c r="P364" s="57"/>
      <c r="Q364" s="60" t="n">
        <f aca="false">IF(BR364=1,0,IFERROR(VLOOKUP(BP364,'Gebinde-Kategorie'!$A$5:$M$45,13,0)+0,0))</f>
        <v>0</v>
      </c>
      <c r="R364" s="61"/>
      <c r="S364" s="62"/>
      <c r="T364" s="62"/>
      <c r="U364" s="55"/>
      <c r="V364" s="57"/>
      <c r="W364" s="57"/>
      <c r="X364" s="55" t="n">
        <f aca="false">IF(A364="","",IF(AND(Parameter!$B$21="Ja",ISNUMBER(U364)),U364,IF(IFERROR(VLOOKUP(D364,Parameter!$A$35:$C$64,2,0),"Nein")="2+3",IF(ISNUMBER(SEARCH("grosser Artikel",BM364)),2,IFERROR(VLOOKUP(BP364,Parameter!$F$35:$G$64,2,0),2)),IF(OR(IFERROR(VLOOKUP(D364,Parameter!$A$35:$C$64,2,0),"Nein")="Nein",IFERROR(VLOOKUP(D364,Parameter!$A$35:$C$64,2,0),"Nein")=""),"-",VLOOKUP(D364,Parameter!$A$35:$C$64,2,0)))))</f>
        <v>2</v>
      </c>
      <c r="Y364" s="62"/>
      <c r="Z364" s="63"/>
      <c r="AA364" s="57" t="n">
        <f aca="false">AP364</f>
        <v>1</v>
      </c>
      <c r="AB364" s="57" t="n">
        <f aca="false">MAX(AP364,G364)</f>
        <v>25</v>
      </c>
      <c r="AC364" s="64"/>
      <c r="AD364" s="57" t="n">
        <f aca="false">IF(LEFT(Cockpit!$C$5,1)="A",G364,IF(BW364=1,BX364,IF(LEFT(Cockpit!$C$5,1)="B",AH364,MAX(AH364,G364))))</f>
        <v>25</v>
      </c>
      <c r="AE364" s="57" t="n">
        <f aca="false">IF(BR364=1,0,ROUNDUP(AD364/BQ364,0))</f>
        <v>0</v>
      </c>
      <c r="AF364" s="59" t="n">
        <f aca="false">IF(CD364&gt;0,CD364*MAX(1,AD364/V364),IF(BR364=1,IF(AD364&lt;=0,0,BS364*MAX(1,IF(G364&gt;0,AD364/G364,1))),IF(Q364&gt;0,AE364/Q364,0))/MAX(0.1,N(Parameter!$M$21)))</f>
        <v>0.03</v>
      </c>
      <c r="AG364" s="57" t="n">
        <f aca="false">AD364*F364</f>
        <v>155.75</v>
      </c>
      <c r="AH364" s="57" t="n">
        <f aca="false">ROUNDUP(MAX(I364/IF(BV364&gt;0,BV364,MAX(0.1,N(Cockpit!$C$6))),BY364)/BQ364,0)*BQ364</f>
        <v>1</v>
      </c>
      <c r="AI364" s="58" t="n">
        <f aca="false">IF(AF364&gt;0,I364/AF364,-1)</f>
        <v>0</v>
      </c>
      <c r="AJ364" s="58" t="n">
        <f aca="false">IF(AND(OR(BU364="L1",BU364="L23"),AF364&gt;0),SUMIFS($AF$7:$AF$1576,$BU$7:$BU$1576,BU364,$AI$7:$AI$1576,"&gt;"&amp;AI364)+SUMIFS($AF$7:$AF$1576,$BU$7:$BU$1576,BU364,$AI$7:$AI$1576,AI364,$BO$7:$BO$1576,"&lt;="&amp;BO364),"")</f>
        <v>41.2974612344178</v>
      </c>
      <c r="AK364" s="65" t="n">
        <f aca="false">IF(AJ364="",0,MAX(0,MIN(1,(IF(BU364="L1",Parameter!$E$5,Parameter!$E$6+Parameter!$E$7)-(AJ364-AF364))/AF364)))</f>
        <v>1</v>
      </c>
      <c r="AL364" s="57" t="n">
        <f aca="false">IF(LEFT(Cockpit!$I$5,1)="A",G364,IF(BW364=1,BX364,IF(LEFT(Cockpit!$I$5,1)="B",AP364,MAX(AP364,G364))))</f>
        <v>25</v>
      </c>
      <c r="AM364" s="57" t="n">
        <f aca="false">IF(BR364=1,0,ROUNDUP(AL364/BQ364,0))</f>
        <v>0</v>
      </c>
      <c r="AN364" s="59" t="n">
        <f aca="false">IF(CD364&gt;0,CD364*MAX(1,AL364/V364),IF(BR364=1,IF(AL364&lt;=0,0,BS364*MAX(1,IF(G364&gt;0,AL364/G364,1))),IF(Q364&gt;0,AM364/Q364,0))/MAX(0.1,N(Parameter!$M$21)))</f>
        <v>0.03</v>
      </c>
      <c r="AO364" s="57" t="n">
        <f aca="false">AL364*F364</f>
        <v>155.75</v>
      </c>
      <c r="AP364" s="57" t="n">
        <f aca="false">ROUNDUP(MAX(I364/IF(BV364&gt;0,BV364,MAX(0.1,N(Cockpit!$I$6))),BY364)/BQ364,0)*BQ364</f>
        <v>1</v>
      </c>
      <c r="AQ364" s="58" t="n">
        <f aca="false">IF(AN364&gt;0,I364/AN364,-1)</f>
        <v>0</v>
      </c>
      <c r="AR364" s="58" t="n">
        <f aca="false">IF(AND(OR(BU364="L1",BU364="L23"),AN364&gt;0),SUMIFS($AN$7:$AN$1576,$BU$7:$BU$1576,BU364,$AQ$7:$AQ$1576,"&gt;"&amp;AQ364)+SUMIFS($AN$7:$AN$1576,$BU$7:$BU$1576,BU364,$AQ$7:$AQ$1576,AQ364,$BO$7:$BO$1576,"&lt;="&amp;BO364),"")</f>
        <v>124.171666984207</v>
      </c>
      <c r="AS364" s="65" t="n">
        <f aca="false">IF(AR364="",0,MAX(0,MIN(1,(IF(BU364="L1",Parameter!$E$5,Parameter!$E$6+Parameter!$E$7)-(AR364-AN364))/AN364)))</f>
        <v>0</v>
      </c>
      <c r="AT364" s="57" t="n">
        <f aca="false">IF(LEFT(Cockpit!$O$5,1)="A",G364,IF(BW364=1,BX364,IF(LEFT(Cockpit!$O$5,1)="B",AX364,MAX(AX364,G364))))</f>
        <v>25</v>
      </c>
      <c r="AU364" s="57" t="n">
        <f aca="false">IF(BR364=1,0,ROUNDUP(AT364/BQ364,0))</f>
        <v>0</v>
      </c>
      <c r="AV364" s="59" t="n">
        <f aca="false">IF(CD364&gt;0,CD364*MAX(1,AT364/V364),IF(BR364=1,IF(AT364&lt;=0,0,BS364*MAX(1,IF(G364&gt;0,AT364/G364,1))),IF(Q364&gt;0,AU364/Q364,0))/MAX(0.1,N(Parameter!$M$21)))</f>
        <v>0.03</v>
      </c>
      <c r="AW364" s="57" t="n">
        <f aca="false">AT364*F364</f>
        <v>155.75</v>
      </c>
      <c r="AX364" s="57" t="n">
        <f aca="false">ROUNDUP(MAX(I364/IF(BV364&gt;0,BV364,MAX(0.1,N(Cockpit!$O$6))),BY364)/BQ364,0)*BQ364</f>
        <v>1</v>
      </c>
      <c r="AY364" s="58" t="n">
        <f aca="false">IF(AV364&gt;0,I364/AV364,-1)</f>
        <v>0</v>
      </c>
      <c r="AZ364" s="58" t="n">
        <f aca="false">IF(AND(OR(BU364="L1",BU364="L23"),AV364&gt;0),SUMIFS($AV$7:$AV$1576,$BU$7:$BU$1576,BU364,$AY$7:$AY$1576,"&gt;"&amp;AY364)+SUMIFS($AV$7:$AV$1576,$BU$7:$BU$1576,BU364,$AY$7:$AY$1576,AY364,$BO$7:$BO$1576,"&lt;="&amp;BO364),"")</f>
        <v>114.231217433758</v>
      </c>
      <c r="BA364" s="65" t="n">
        <f aca="false">IF(AZ364="",0,MAX(0,MIN(1,(IF(BU364="L1",Parameter!$E$5,Parameter!$E$6+Parameter!$E$7)-(AZ364-AV364))/AV364)))</f>
        <v>0</v>
      </c>
      <c r="BB364" s="55" t="str">
        <f aca="false">IF(AF364&lt;=0,"",IF(BU364="Aussen","Aussenlager",IF(BU364="-","Nicht im Lift",IF(AK364&gt;=1,"Lift",IF(AK364&lt;=0,"Aussenlager","teilweise")))))</f>
        <v>Lift</v>
      </c>
      <c r="BC364" s="55" t="str">
        <f aca="false">IF(AN364&lt;=0,"",IF(BU364="Aussen","Aussenlager",IF(BU364="-","Nicht im Lift",IF(AS364&gt;=1,"Lift",IF(AS364&lt;=0,"Aussenlager","teilweise")))))</f>
        <v>Aussenlager</v>
      </c>
      <c r="BD364" s="55" t="str">
        <f aca="false">IF(AV364&lt;=0,"",IF(BU364="Aussen","Aussenlager",IF(BU364="-","Nicht im Lift",IF(BA364&gt;=1,"Lift",IF(BA364&lt;=0,"Aussenlager","teilweise")))))</f>
        <v>Aussenlager</v>
      </c>
      <c r="BE364" s="55" t="str">
        <f aca="false">IF(A364="","",IF(BN364=1,"Neu; ","")&amp;IF(AND(BN364=0,BI364&lt;0),"negativer Bestand (Export "&amp;BI364&amp;"); ","")&amp;IF(I364&lt;=0,"Kein Verbrauch; ","")&amp;IF(CD364&gt;0,"Lift "&amp;U364&amp;" lt. Liftbericht (Fach "&amp;V364&amp;" Stk); ",IF(BR364=1,"Lose – Fläche geschätzt; ",""))&amp;IF(G364&gt;AP364,"Überbestand "&amp;ROUND(G364-AP364,0)&amp;" Stk / CHF "&amp;ROUND((G364-AP364)*F364,0)&amp;"; ","")&amp;IF(AND(BW364=1,BX364&lt;BY364),"MAX &lt; MB+LG; ","")&amp;IF(AND(CC364&gt;0,CB364*10&gt;CC364),"zu hoch für Tablar; ","")&amp;IF(AND(BN364=0,OR(BW364=1,Y364&lt;&gt;"",S364&lt;&gt;"",T364&lt;&gt;"",Z364&lt;&gt;"")),"manuell übersteuert; ","")&amp;IF(AND(BR364=0,Q364=0),"Gebinde unbekannt / Stellmass fehlt; ","")&amp;IF(AND(BR364=0,N(T364)&lt;=0,N(P364)&lt;=0),"Menge pro Gebinde fehlt (Ist = 1 Gebinde); ","")&amp;BM364)</f>
        <v>Kein Verbrauch; Lose – Fläche geschätzt; Überbestand 24 Stk / CHF 150; </v>
      </c>
      <c r="BF364" s="55"/>
      <c r="BG364" s="55"/>
      <c r="BH364" s="62"/>
      <c r="BI364" s="57" t="n">
        <v>25</v>
      </c>
      <c r="BJ364" s="57" t="n">
        <v>0</v>
      </c>
      <c r="BK364" s="56" t="n">
        <v>155.75</v>
      </c>
      <c r="BL364" s="57" t="n">
        <v>0</v>
      </c>
      <c r="BM364" s="55"/>
      <c r="BN364" s="60" t="n">
        <v>0</v>
      </c>
      <c r="BO364" s="60" t="n">
        <v>364</v>
      </c>
      <c r="BP364" s="55" t="str">
        <f aca="false">IF(S364&lt;&gt;"",UPPER(TRIM(S364)),IF(O364="","LOSE",O364))</f>
        <v>LOSE</v>
      </c>
      <c r="BQ364" s="57" t="n">
        <f aca="false">IF(BP364="LOSE",1,IF(N(T364)&gt;0,T364,IF(N(P364)&gt;0,P364,MAX(1,G364))))</f>
        <v>1</v>
      </c>
      <c r="BR364" s="60" t="n">
        <f aca="false">IF(BP364="LOSE",1,0)</f>
        <v>1</v>
      </c>
      <c r="BS364" s="59" t="n">
        <f aca="false">IF(BR364=0,0,IF(N(R364)&gt;0,R364,IFERROR(VLOOKUP(D364,Parameter!$A$35:$C$64,3,0)+0,0)))</f>
        <v>0.03</v>
      </c>
      <c r="BT364" s="55" t="n">
        <f aca="false">IF(Y364&lt;&gt;"",Y364,X364)</f>
        <v>2</v>
      </c>
      <c r="BU364" s="55" t="str">
        <f aca="false">IF(BT364=1,"L1",IF(OR(BT364=2,BT364=3),"L23",IF(BT364="Aussen","Aussen","-")))</f>
        <v>L23</v>
      </c>
      <c r="BV364" s="66" t="n">
        <f aca="false">IF(N(Z364)&gt;0,Z364,0)</f>
        <v>0</v>
      </c>
      <c r="BW364" s="60" t="n">
        <f aca="false">IF(ISNUMBER(AC364),1,0)</f>
        <v>0</v>
      </c>
      <c r="BX364" s="57" t="n">
        <f aca="false">N(AC364)</f>
        <v>0</v>
      </c>
      <c r="BY364" s="57" t="n">
        <f aca="false">N(L364)+N(M364)</f>
        <v>1</v>
      </c>
      <c r="BZ364" s="57" t="n">
        <f aca="false">ROUNDUP(G364/BQ364,0)</f>
        <v>25</v>
      </c>
      <c r="CA364" s="57" t="n">
        <f aca="false">ROUNDUP(BX364/BQ364,0)</f>
        <v>0</v>
      </c>
      <c r="CB364" s="60" t="n">
        <f aca="false">IF(BR364=1,0,IFERROR(VLOOKUP(BP364,'Gebinde-Kategorie'!$A$5:$M$45,5,0)+0,0))</f>
        <v>0</v>
      </c>
      <c r="CC364" s="60" t="n">
        <f aca="false">IFERROR(IF(OR(BT364=1,BT364=2,BT364=3),N(INDEX(Parameter!$I$5:$I$7,BT364)),0),0)</f>
        <v>0</v>
      </c>
      <c r="CD364" s="59" t="n">
        <f aca="false">IF(AND(Parameter!$B$21="Ja",ISNUMBER(U364),N(V364)&gt;0),IFERROR(N(INDEX(Parameter!$L$5:$L$7,U364))*INDEX(Parameter!$E$5:$E$7,U364)*V364/SUMIFS($V$7:$V$1576,$U$7:$U$1576,U364),0),0)</f>
        <v>0</v>
      </c>
    </row>
    <row r="365" customFormat="false" ht="15" hidden="false" customHeight="false" outlineLevel="0" collapsed="false">
      <c r="A365" s="55" t="s">
        <v>867</v>
      </c>
      <c r="B365" s="55" t="s">
        <v>868</v>
      </c>
      <c r="C365" s="55" t="s">
        <v>160</v>
      </c>
      <c r="D365" s="55" t="s">
        <v>178</v>
      </c>
      <c r="E365" s="55" t="s">
        <v>210</v>
      </c>
      <c r="F365" s="56" t="n">
        <v>15.5</v>
      </c>
      <c r="G365" s="57" t="n">
        <f aca="false">MAX(0,IF(AND(Parameter!$B$21="Ja",ISNUMBER(W365)),W365,IF(Parameter!$B$20="Jahresanfang 2025 + Export",BJ365+BI365,BI365)))</f>
        <v>10</v>
      </c>
      <c r="H365" s="57" t="n">
        <f aca="false">G365*F365</f>
        <v>155</v>
      </c>
      <c r="I365" s="57" t="n">
        <f aca="false">BL365*Parameter!$B$18</f>
        <v>9</v>
      </c>
      <c r="J365" s="58" t="n">
        <v>15.5</v>
      </c>
      <c r="K365" s="59" t="n">
        <v>0.580645161290323</v>
      </c>
      <c r="L365" s="57" t="n">
        <v>0</v>
      </c>
      <c r="M365" s="57" t="n">
        <v>10</v>
      </c>
      <c r="N365" s="60" t="n">
        <v>28</v>
      </c>
      <c r="O365" s="55" t="s">
        <v>319</v>
      </c>
      <c r="P365" s="57" t="n">
        <v>24</v>
      </c>
      <c r="Q365" s="60" t="n">
        <f aca="false">IF(BR365=1,0,IFERROR(VLOOKUP(BP365,'Gebinde-Kategorie'!$A$5:$M$45,13,0)+0,0))</f>
        <v>52</v>
      </c>
      <c r="R365" s="61"/>
      <c r="S365" s="62"/>
      <c r="T365" s="62"/>
      <c r="U365" s="55"/>
      <c r="V365" s="57"/>
      <c r="W365" s="57"/>
      <c r="X365" s="55" t="n">
        <f aca="false">IF(A365="","",IF(AND(Parameter!$B$21="Ja",ISNUMBER(U365)),U365,IF(IFERROR(VLOOKUP(D365,Parameter!$A$35:$C$64,2,0),"Nein")="2+3",IF(ISNUMBER(SEARCH("grosser Artikel",BM365)),2,IFERROR(VLOOKUP(BP365,Parameter!$F$35:$G$64,2,0),2)),IF(OR(IFERROR(VLOOKUP(D365,Parameter!$A$35:$C$64,2,0),"Nein")="Nein",IFERROR(VLOOKUP(D365,Parameter!$A$35:$C$64,2,0),"Nein")=""),"-",VLOOKUP(D365,Parameter!$A$35:$C$64,2,0)))))</f>
        <v>3</v>
      </c>
      <c r="Y365" s="62"/>
      <c r="Z365" s="63"/>
      <c r="AA365" s="57" t="n">
        <f aca="false">AP365</f>
        <v>24</v>
      </c>
      <c r="AB365" s="57" t="n">
        <f aca="false">MAX(AP365,G365)</f>
        <v>24</v>
      </c>
      <c r="AC365" s="64"/>
      <c r="AD365" s="57" t="n">
        <f aca="false">IF(LEFT(Cockpit!$C$5,1)="A",G365,IF(BW365=1,BX365,IF(LEFT(Cockpit!$C$5,1)="B",AH365,MAX(AH365,G365))))</f>
        <v>10</v>
      </c>
      <c r="AE365" s="57" t="n">
        <f aca="false">IF(BR365=1,0,ROUNDUP(AD365/BQ365,0))</f>
        <v>1</v>
      </c>
      <c r="AF365" s="59" t="n">
        <f aca="false">IF(CD365&gt;0,CD365*MAX(1,AD365/V365),IF(BR365=1,IF(AD365&lt;=0,0,BS365*MAX(1,IF(G365&gt;0,AD365/G365,1))),IF(Q365&gt;0,AE365/Q365,0))/MAX(0.1,N(Parameter!$M$21)))</f>
        <v>0.0192307692307692</v>
      </c>
      <c r="AG365" s="57" t="n">
        <f aca="false">AD365*F365</f>
        <v>155</v>
      </c>
      <c r="AH365" s="57" t="n">
        <f aca="false">ROUNDUP(MAX(I365/IF(BV365&gt;0,BV365,MAX(0.1,N(Cockpit!$C$6))),BY365)/BQ365,0)*BQ365</f>
        <v>24</v>
      </c>
      <c r="AI365" s="58" t="n">
        <f aca="false">IF(AF365&gt;0,I365/AF365,-1)</f>
        <v>468</v>
      </c>
      <c r="AJ365" s="58" t="n">
        <f aca="false">IF(AND(OR(BU365="L1",BU365="L23"),AF365&gt;0),SUMIFS($AF$7:$AF$1576,$BU$7:$BU$1576,BU365,$AI$7:$AI$1576,"&gt;"&amp;AI365)+SUMIFS($AF$7:$AF$1576,$BU$7:$BU$1576,BU365,$AI$7:$AI$1576,AI365,$BO$7:$BO$1576,"&lt;="&amp;BO365),"")</f>
        <v>12.6576024458633</v>
      </c>
      <c r="AK365" s="65" t="n">
        <f aca="false">IF(AJ365="",0,MAX(0,MIN(1,(IF(BU365="L1",Parameter!$E$5,Parameter!$E$6+Parameter!$E$7)-(AJ365-AF365))/AF365)))</f>
        <v>1</v>
      </c>
      <c r="AL365" s="57" t="n">
        <f aca="false">IF(LEFT(Cockpit!$I$5,1)="A",G365,IF(BW365=1,BX365,IF(LEFT(Cockpit!$I$5,1)="B",AP365,MAX(AP365,G365))))</f>
        <v>24</v>
      </c>
      <c r="AM365" s="57" t="n">
        <f aca="false">IF(BR365=1,0,ROUNDUP(AL365/BQ365,0))</f>
        <v>1</v>
      </c>
      <c r="AN365" s="59" t="n">
        <f aca="false">IF(CD365&gt;0,CD365*MAX(1,AL365/V365),IF(BR365=1,IF(AL365&lt;=0,0,BS365*MAX(1,IF(G365&gt;0,AL365/G365,1))),IF(Q365&gt;0,AM365/Q365,0))/MAX(0.1,N(Parameter!$M$21)))</f>
        <v>0.0192307692307692</v>
      </c>
      <c r="AO365" s="57" t="n">
        <f aca="false">AL365*F365</f>
        <v>372</v>
      </c>
      <c r="AP365" s="57" t="n">
        <f aca="false">ROUNDUP(MAX(I365/IF(BV365&gt;0,BV365,MAX(0.1,N(Cockpit!$I$6))),BY365)/BQ365,0)*BQ365</f>
        <v>24</v>
      </c>
      <c r="AQ365" s="58" t="n">
        <f aca="false">IF(AN365&gt;0,I365/AN365,-1)</f>
        <v>468</v>
      </c>
      <c r="AR365" s="58" t="n">
        <f aca="false">IF(AND(OR(BU365="L1",BU365="L23"),AN365&gt;0),SUMIFS($AN$7:$AN$1576,$BU$7:$BU$1576,BU365,$AQ$7:$AQ$1576,"&gt;"&amp;AQ365)+SUMIFS($AN$7:$AN$1576,$BU$7:$BU$1576,BU365,$AQ$7:$AQ$1576,AQ365,$BO$7:$BO$1576,"&lt;="&amp;BO365),"")</f>
        <v>34.5506816978668</v>
      </c>
      <c r="AS365" s="65" t="n">
        <f aca="false">IF(AR365="",0,MAX(0,MIN(1,(IF(BU365="L1",Parameter!$E$5,Parameter!$E$6+Parameter!$E$7)-(AR365-AN365))/AN365)))</f>
        <v>1</v>
      </c>
      <c r="AT365" s="57" t="n">
        <f aca="false">IF(LEFT(Cockpit!$O$5,1)="A",G365,IF(BW365=1,BX365,IF(LEFT(Cockpit!$O$5,1)="B",AX365,MAX(AX365,G365))))</f>
        <v>24</v>
      </c>
      <c r="AU365" s="57" t="n">
        <f aca="false">IF(BR365=1,0,ROUNDUP(AT365/BQ365,0))</f>
        <v>1</v>
      </c>
      <c r="AV365" s="59" t="n">
        <f aca="false">IF(CD365&gt;0,CD365*MAX(1,AT365/V365),IF(BR365=1,IF(AT365&lt;=0,0,BS365*MAX(1,IF(G365&gt;0,AT365/G365,1))),IF(Q365&gt;0,AU365/Q365,0))/MAX(0.1,N(Parameter!$M$21)))</f>
        <v>0.0192307692307692</v>
      </c>
      <c r="AW365" s="57" t="n">
        <f aca="false">AT365*F365</f>
        <v>372</v>
      </c>
      <c r="AX365" s="57" t="n">
        <f aca="false">ROUNDUP(MAX(I365/IF(BV365&gt;0,BV365,MAX(0.1,N(Cockpit!$O$6))),BY365)/BQ365,0)*BQ365</f>
        <v>24</v>
      </c>
      <c r="AY365" s="58" t="n">
        <f aca="false">IF(AV365&gt;0,I365/AV365,-1)</f>
        <v>468</v>
      </c>
      <c r="AZ365" s="58" t="n">
        <f aca="false">IF(AND(OR(BU365="L1",BU365="L23"),AV365&gt;0),SUMIFS($AV$7:$AV$1576,$BU$7:$BU$1576,BU365,$AY$7:$AY$1576,"&gt;"&amp;AY365)+SUMIFS($AV$7:$AV$1576,$BU$7:$BU$1576,BU365,$AY$7:$AY$1576,AY365,$BO$7:$BO$1576,"&lt;="&amp;BO365),"")</f>
        <v>34.2940350112201</v>
      </c>
      <c r="BA365" s="65" t="n">
        <f aca="false">IF(AZ365="",0,MAX(0,MIN(1,(IF(BU365="L1",Parameter!$E$5,Parameter!$E$6+Parameter!$E$7)-(AZ365-AV365))/AV365)))</f>
        <v>1</v>
      </c>
      <c r="BB365" s="55" t="str">
        <f aca="false">IF(AF365&lt;=0,"",IF(BU365="Aussen","Aussenlager",IF(BU365="-","Nicht im Lift",IF(AK365&gt;=1,"Lift",IF(AK365&lt;=0,"Aussenlager","teilweise")))))</f>
        <v>Lift</v>
      </c>
      <c r="BC365" s="55" t="str">
        <f aca="false">IF(AN365&lt;=0,"",IF(BU365="Aussen","Aussenlager",IF(BU365="-","Nicht im Lift",IF(AS365&gt;=1,"Lift",IF(AS365&lt;=0,"Aussenlager","teilweise")))))</f>
        <v>Lift</v>
      </c>
      <c r="BD365" s="55" t="str">
        <f aca="false">IF(AV365&lt;=0,"",IF(BU365="Aussen","Aussenlager",IF(BU365="-","Nicht im Lift",IF(BA365&gt;=1,"Lift",IF(BA365&lt;=0,"Aussenlager","teilweise")))))</f>
        <v>Lift</v>
      </c>
      <c r="BE365" s="55" t="str">
        <f aca="false">IF(A365="","",IF(BN365=1,"Neu; ","")&amp;IF(AND(BN365=0,BI365&lt;0),"negativer Bestand (Export "&amp;BI365&amp;"); ","")&amp;IF(I365&lt;=0,"Kein Verbrauch; ","")&amp;IF(CD365&gt;0,"Lift "&amp;U365&amp;" lt. Liftbericht (Fach "&amp;V365&amp;" Stk); ",IF(BR365=1,"Lose – Fläche geschätzt; ",""))&amp;IF(G365&gt;AP365,"Überbestand "&amp;ROUND(G365-AP365,0)&amp;" Stk / CHF "&amp;ROUND((G365-AP365)*F365,0)&amp;"; ","")&amp;IF(AND(BW365=1,BX365&lt;BY365),"MAX &lt; MB+LG; ","")&amp;IF(AND(CC365&gt;0,CB365*10&gt;CC365),"zu hoch für Tablar; ","")&amp;IF(AND(BN365=0,OR(BW365=1,Y365&lt;&gt;"",S365&lt;&gt;"",T365&lt;&gt;"",Z365&lt;&gt;"")),"manuell übersteuert; ","")&amp;IF(AND(BR365=0,Q365=0),"Gebinde unbekannt / Stellmass fehlt; ","")&amp;IF(AND(BR365=0,N(T365)&lt;=0,N(P365)&lt;=0),"Menge pro Gebinde fehlt (Ist = 1 Gebinde); ","")&amp;BM365)</f>
        <v/>
      </c>
      <c r="BF365" s="55"/>
      <c r="BG365" s="55"/>
      <c r="BH365" s="62"/>
      <c r="BI365" s="57" t="n">
        <v>10</v>
      </c>
      <c r="BJ365" s="57" t="n">
        <v>10</v>
      </c>
      <c r="BK365" s="56" t="n">
        <v>155</v>
      </c>
      <c r="BL365" s="57" t="n">
        <v>9</v>
      </c>
      <c r="BM365" s="55"/>
      <c r="BN365" s="60" t="n">
        <v>0</v>
      </c>
      <c r="BO365" s="60" t="n">
        <v>365</v>
      </c>
      <c r="BP365" s="55" t="str">
        <f aca="false">IF(S365&lt;&gt;"",UPPER(TRIM(S365)),IF(O365="","LOSE",O365))</f>
        <v>S41</v>
      </c>
      <c r="BQ365" s="57" t="n">
        <f aca="false">IF(BP365="LOSE",1,IF(N(T365)&gt;0,T365,IF(N(P365)&gt;0,P365,MAX(1,G365))))</f>
        <v>24</v>
      </c>
      <c r="BR365" s="60" t="n">
        <f aca="false">IF(BP365="LOSE",1,0)</f>
        <v>0</v>
      </c>
      <c r="BS365" s="59" t="n">
        <f aca="false">IF(BR365=0,0,IF(N(R365)&gt;0,R365,IFERROR(VLOOKUP(D365,Parameter!$A$35:$C$64,3,0)+0,0)))</f>
        <v>0</v>
      </c>
      <c r="BT365" s="55" t="n">
        <f aca="false">IF(Y365&lt;&gt;"",Y365,X365)</f>
        <v>3</v>
      </c>
      <c r="BU365" s="55" t="str">
        <f aca="false">IF(BT365=1,"L1",IF(OR(BT365=2,BT365=3),"L23",IF(BT365="Aussen","Aussen","-")))</f>
        <v>L23</v>
      </c>
      <c r="BV365" s="66" t="n">
        <f aca="false">IF(N(Z365)&gt;0,Z365,0)</f>
        <v>0</v>
      </c>
      <c r="BW365" s="60" t="n">
        <f aca="false">IF(ISNUMBER(AC365),1,0)</f>
        <v>0</v>
      </c>
      <c r="BX365" s="57" t="n">
        <f aca="false">N(AC365)</f>
        <v>0</v>
      </c>
      <c r="BY365" s="57" t="n">
        <f aca="false">N(L365)+N(M365)</f>
        <v>10</v>
      </c>
      <c r="BZ365" s="57" t="n">
        <f aca="false">ROUNDUP(G365/BQ365,0)</f>
        <v>1</v>
      </c>
      <c r="CA365" s="57" t="n">
        <f aca="false">ROUNDUP(BX365/BQ365,0)</f>
        <v>0</v>
      </c>
      <c r="CB365" s="60" t="n">
        <f aca="false">IF(BR365=1,0,IFERROR(VLOOKUP(BP365,'Gebinde-Kategorie'!$A$5:$M$45,5,0)+0,0))</f>
        <v>11</v>
      </c>
      <c r="CC365" s="60" t="n">
        <f aca="false">IFERROR(IF(OR(BT365=1,BT365=2,BT365=3),N(INDEX(Parameter!$I$5:$I$7,BT365)),0),0)</f>
        <v>0</v>
      </c>
      <c r="CD365" s="59" t="n">
        <f aca="false">IF(AND(Parameter!$B$21="Ja",ISNUMBER(U365),N(V365)&gt;0),IFERROR(N(INDEX(Parameter!$L$5:$L$7,U365))*INDEX(Parameter!$E$5:$E$7,U365)*V365/SUMIFS($V$7:$V$1576,$U$7:$U$1576,U365),0),0)</f>
        <v>0</v>
      </c>
    </row>
    <row r="366" customFormat="false" ht="15" hidden="false" customHeight="false" outlineLevel="0" collapsed="false">
      <c r="A366" s="55" t="s">
        <v>869</v>
      </c>
      <c r="B366" s="55" t="s">
        <v>870</v>
      </c>
      <c r="C366" s="55" t="s">
        <v>160</v>
      </c>
      <c r="D366" s="55" t="s">
        <v>178</v>
      </c>
      <c r="E366" s="55" t="s">
        <v>210</v>
      </c>
      <c r="F366" s="56" t="n">
        <v>38</v>
      </c>
      <c r="G366" s="57" t="n">
        <f aca="false">MAX(0,IF(AND(Parameter!$B$21="Ja",ISNUMBER(W366)),W366,IF(Parameter!$B$20="Jahresanfang 2025 + Export",BJ366+BI366,BI366)))</f>
        <v>4</v>
      </c>
      <c r="H366" s="57" t="n">
        <f aca="false">G366*F366</f>
        <v>152</v>
      </c>
      <c r="I366" s="57" t="n">
        <f aca="false">BL366*Parameter!$B$18</f>
        <v>2</v>
      </c>
      <c r="J366" s="58" t="n">
        <v>3</v>
      </c>
      <c r="K366" s="59" t="n">
        <v>0.666666666666667</v>
      </c>
      <c r="L366" s="57" t="n">
        <v>0</v>
      </c>
      <c r="M366" s="57" t="n">
        <v>1</v>
      </c>
      <c r="N366" s="60" t="n">
        <v>31</v>
      </c>
      <c r="O366" s="55" t="s">
        <v>391</v>
      </c>
      <c r="P366" s="57" t="n">
        <v>4</v>
      </c>
      <c r="Q366" s="60" t="n">
        <f aca="false">IF(BR366=1,0,IFERROR(VLOOKUP(BP366,'Gebinde-Kategorie'!$A$5:$M$45,13,0)+0,0))</f>
        <v>414</v>
      </c>
      <c r="R366" s="61"/>
      <c r="S366" s="62"/>
      <c r="T366" s="62"/>
      <c r="U366" s="55"/>
      <c r="V366" s="57"/>
      <c r="W366" s="57"/>
      <c r="X366" s="55" t="n">
        <f aca="false">IF(A366="","",IF(AND(Parameter!$B$21="Ja",ISNUMBER(U366)),U366,IF(IFERROR(VLOOKUP(D366,Parameter!$A$35:$C$64,2,0),"Nein")="2+3",IF(ISNUMBER(SEARCH("grosser Artikel",BM366)),2,IFERROR(VLOOKUP(BP366,Parameter!$F$35:$G$64,2,0),2)),IF(OR(IFERROR(VLOOKUP(D366,Parameter!$A$35:$C$64,2,0),"Nein")="Nein",IFERROR(VLOOKUP(D366,Parameter!$A$35:$C$64,2,0),"Nein")=""),"-",VLOOKUP(D366,Parameter!$A$35:$C$64,2,0)))))</f>
        <v>3</v>
      </c>
      <c r="Y366" s="62"/>
      <c r="Z366" s="63"/>
      <c r="AA366" s="57" t="n">
        <f aca="false">AP366</f>
        <v>4</v>
      </c>
      <c r="AB366" s="57" t="n">
        <f aca="false">MAX(AP366,G366)</f>
        <v>4</v>
      </c>
      <c r="AC366" s="64"/>
      <c r="AD366" s="57" t="n">
        <f aca="false">IF(LEFT(Cockpit!$C$5,1)="A",G366,IF(BW366=1,BX366,IF(LEFT(Cockpit!$C$5,1)="B",AH366,MAX(AH366,G366))))</f>
        <v>4</v>
      </c>
      <c r="AE366" s="57" t="n">
        <f aca="false">IF(BR366=1,0,ROUNDUP(AD366/BQ366,0))</f>
        <v>1</v>
      </c>
      <c r="AF366" s="59" t="n">
        <f aca="false">IF(CD366&gt;0,CD366*MAX(1,AD366/V366),IF(BR366=1,IF(AD366&lt;=0,0,BS366*MAX(1,IF(G366&gt;0,AD366/G366,1))),IF(Q366&gt;0,AE366/Q366,0))/MAX(0.1,N(Parameter!$M$21)))</f>
        <v>0.00241545893719807</v>
      </c>
      <c r="AG366" s="57" t="n">
        <f aca="false">AD366*F366</f>
        <v>152</v>
      </c>
      <c r="AH366" s="57" t="n">
        <f aca="false">ROUNDUP(MAX(I366/IF(BV366&gt;0,BV366,MAX(0.1,N(Cockpit!$C$6))),BY366)/BQ366,0)*BQ366</f>
        <v>4</v>
      </c>
      <c r="AI366" s="58" t="n">
        <f aca="false">IF(AF366&gt;0,I366/AF366,-1)</f>
        <v>828</v>
      </c>
      <c r="AJ366" s="58" t="n">
        <f aca="false">IF(AND(OR(BU366="L1",BU366="L23"),AF366&gt;0),SUMIFS($AF$7:$AF$1576,$BU$7:$BU$1576,BU366,$AI$7:$AI$1576,"&gt;"&amp;AI366)+SUMIFS($AF$7:$AF$1576,$BU$7:$BU$1576,BU366,$AI$7:$AI$1576,AI366,$BO$7:$BO$1576,"&lt;="&amp;BO366),"")</f>
        <v>10.4787098408838</v>
      </c>
      <c r="AK366" s="65" t="n">
        <f aca="false">IF(AJ366="",0,MAX(0,MIN(1,(IF(BU366="L1",Parameter!$E$5,Parameter!$E$6+Parameter!$E$7)-(AJ366-AF366))/AF366)))</f>
        <v>1</v>
      </c>
      <c r="AL366" s="57" t="n">
        <f aca="false">IF(LEFT(Cockpit!$I$5,1)="A",G366,IF(BW366=1,BX366,IF(LEFT(Cockpit!$I$5,1)="B",AP366,MAX(AP366,G366))))</f>
        <v>4</v>
      </c>
      <c r="AM366" s="57" t="n">
        <f aca="false">IF(BR366=1,0,ROUNDUP(AL366/BQ366,0))</f>
        <v>1</v>
      </c>
      <c r="AN366" s="59" t="n">
        <f aca="false">IF(CD366&gt;0,CD366*MAX(1,AL366/V366),IF(BR366=1,IF(AL366&lt;=0,0,BS366*MAX(1,IF(G366&gt;0,AL366/G366,1))),IF(Q366&gt;0,AM366/Q366,0))/MAX(0.1,N(Parameter!$M$21)))</f>
        <v>0.00241545893719807</v>
      </c>
      <c r="AO366" s="57" t="n">
        <f aca="false">AL366*F366</f>
        <v>152</v>
      </c>
      <c r="AP366" s="57" t="n">
        <f aca="false">ROUNDUP(MAX(I366/IF(BV366&gt;0,BV366,MAX(0.1,N(Cockpit!$I$6))),BY366)/BQ366,0)*BQ366</f>
        <v>4</v>
      </c>
      <c r="AQ366" s="58" t="n">
        <f aca="false">IF(AN366&gt;0,I366/AN366,-1)</f>
        <v>828</v>
      </c>
      <c r="AR366" s="58" t="n">
        <f aca="false">IF(AND(OR(BU366="L1",BU366="L23"),AN366&gt;0),SUMIFS($AN$7:$AN$1576,$BU$7:$BU$1576,BU366,$AQ$7:$AQ$1576,"&gt;"&amp;AQ366)+SUMIFS($AN$7:$AN$1576,$BU$7:$BU$1576,BU366,$AQ$7:$AQ$1576,AQ366,$BO$7:$BO$1576,"&lt;="&amp;BO366),"")</f>
        <v>25.5885280544088</v>
      </c>
      <c r="AS366" s="65" t="n">
        <f aca="false">IF(AR366="",0,MAX(0,MIN(1,(IF(BU366="L1",Parameter!$E$5,Parameter!$E$6+Parameter!$E$7)-(AR366-AN366))/AN366)))</f>
        <v>1</v>
      </c>
      <c r="AT366" s="57" t="n">
        <f aca="false">IF(LEFT(Cockpit!$O$5,1)="A",G366,IF(BW366=1,BX366,IF(LEFT(Cockpit!$O$5,1)="B",AX366,MAX(AX366,G366))))</f>
        <v>4</v>
      </c>
      <c r="AU366" s="57" t="n">
        <f aca="false">IF(BR366=1,0,ROUNDUP(AT366/BQ366,0))</f>
        <v>1</v>
      </c>
      <c r="AV366" s="59" t="n">
        <f aca="false">IF(CD366&gt;0,CD366*MAX(1,AT366/V366),IF(BR366=1,IF(AT366&lt;=0,0,BS366*MAX(1,IF(G366&gt;0,AT366/G366,1))),IF(Q366&gt;0,AU366/Q366,0))/MAX(0.1,N(Parameter!$M$21)))</f>
        <v>0.00241545893719807</v>
      </c>
      <c r="AW366" s="57" t="n">
        <f aca="false">AT366*F366</f>
        <v>152</v>
      </c>
      <c r="AX366" s="57" t="n">
        <f aca="false">ROUNDUP(MAX(I366/IF(BV366&gt;0,BV366,MAX(0.1,N(Cockpit!$O$6))),BY366)/BQ366,0)*BQ366</f>
        <v>4</v>
      </c>
      <c r="AY366" s="58" t="n">
        <f aca="false">IF(AV366&gt;0,I366/AV366,-1)</f>
        <v>828</v>
      </c>
      <c r="AZ366" s="58" t="n">
        <f aca="false">IF(AND(OR(BU366="L1",BU366="L23"),AV366&gt;0),SUMIFS($AV$7:$AV$1576,$BU$7:$BU$1576,BU366,$AY$7:$AY$1576,"&gt;"&amp;AY366)+SUMIFS($AV$7:$AV$1576,$BU$7:$BU$1576,BU366,$AY$7:$AY$1576,AY366,$BO$7:$BO$1576,"&lt;="&amp;BO366),"")</f>
        <v>25.9055443714251</v>
      </c>
      <c r="BA366" s="65" t="n">
        <f aca="false">IF(AZ366="",0,MAX(0,MIN(1,(IF(BU366="L1",Parameter!$E$5,Parameter!$E$6+Parameter!$E$7)-(AZ366-AV366))/AV366)))</f>
        <v>1</v>
      </c>
      <c r="BB366" s="55" t="str">
        <f aca="false">IF(AF366&lt;=0,"",IF(BU366="Aussen","Aussenlager",IF(BU366="-","Nicht im Lift",IF(AK366&gt;=1,"Lift",IF(AK366&lt;=0,"Aussenlager","teilweise")))))</f>
        <v>Lift</v>
      </c>
      <c r="BC366" s="55" t="str">
        <f aca="false">IF(AN366&lt;=0,"",IF(BU366="Aussen","Aussenlager",IF(BU366="-","Nicht im Lift",IF(AS366&gt;=1,"Lift",IF(AS366&lt;=0,"Aussenlager","teilweise")))))</f>
        <v>Lift</v>
      </c>
      <c r="BD366" s="55" t="str">
        <f aca="false">IF(AV366&lt;=0,"",IF(BU366="Aussen","Aussenlager",IF(BU366="-","Nicht im Lift",IF(BA366&gt;=1,"Lift",IF(BA366&lt;=0,"Aussenlager","teilweise")))))</f>
        <v>Lift</v>
      </c>
      <c r="BE366" s="55" t="str">
        <f aca="false">IF(A366="","",IF(BN366=1,"Neu; ","")&amp;IF(AND(BN366=0,BI366&lt;0),"negativer Bestand (Export "&amp;BI366&amp;"); ","")&amp;IF(I366&lt;=0,"Kein Verbrauch; ","")&amp;IF(CD366&gt;0,"Lift "&amp;U366&amp;" lt. Liftbericht (Fach "&amp;V366&amp;" Stk); ",IF(BR366=1,"Lose – Fläche geschätzt; ",""))&amp;IF(G366&gt;AP366,"Überbestand "&amp;ROUND(G366-AP366,0)&amp;" Stk / CHF "&amp;ROUND((G366-AP366)*F366,0)&amp;"; ","")&amp;IF(AND(BW366=1,BX366&lt;BY366),"MAX &lt; MB+LG; ","")&amp;IF(AND(CC366&gt;0,CB366*10&gt;CC366),"zu hoch für Tablar; ","")&amp;IF(AND(BN366=0,OR(BW366=1,Y366&lt;&gt;"",S366&lt;&gt;"",T366&lt;&gt;"",Z366&lt;&gt;"")),"manuell übersteuert; ","")&amp;IF(AND(BR366=0,Q366=0),"Gebinde unbekannt / Stellmass fehlt; ","")&amp;IF(AND(BR366=0,N(T366)&lt;=0,N(P366)&lt;=0),"Menge pro Gebinde fehlt (Ist = 1 Gebinde); ","")&amp;BM366)</f>
        <v/>
      </c>
      <c r="BF366" s="55"/>
      <c r="BG366" s="55"/>
      <c r="BH366" s="62"/>
      <c r="BI366" s="57" t="n">
        <v>4</v>
      </c>
      <c r="BJ366" s="57" t="n">
        <v>0</v>
      </c>
      <c r="BK366" s="56" t="n">
        <v>152</v>
      </c>
      <c r="BL366" s="57" t="n">
        <v>2</v>
      </c>
      <c r="BM366" s="55"/>
      <c r="BN366" s="60" t="n">
        <v>0</v>
      </c>
      <c r="BO366" s="60" t="n">
        <v>366</v>
      </c>
      <c r="BP366" s="55" t="str">
        <f aca="false">IF(S366&lt;&gt;"",UPPER(TRIM(S366)),IF(O366="","LOSE",O366))</f>
        <v>S21</v>
      </c>
      <c r="BQ366" s="57" t="n">
        <f aca="false">IF(BP366="LOSE",1,IF(N(T366)&gt;0,T366,IF(N(P366)&gt;0,P366,MAX(1,G366))))</f>
        <v>4</v>
      </c>
      <c r="BR366" s="60" t="n">
        <f aca="false">IF(BP366="LOSE",1,0)</f>
        <v>0</v>
      </c>
      <c r="BS366" s="59" t="n">
        <f aca="false">IF(BR366=0,0,IF(N(R366)&gt;0,R366,IFERROR(VLOOKUP(D366,Parameter!$A$35:$C$64,3,0)+0,0)))</f>
        <v>0</v>
      </c>
      <c r="BT366" s="55" t="n">
        <f aca="false">IF(Y366&lt;&gt;"",Y366,X366)</f>
        <v>3</v>
      </c>
      <c r="BU366" s="55" t="str">
        <f aca="false">IF(BT366=1,"L1",IF(OR(BT366=2,BT366=3),"L23",IF(BT366="Aussen","Aussen","-")))</f>
        <v>L23</v>
      </c>
      <c r="BV366" s="66" t="n">
        <f aca="false">IF(N(Z366)&gt;0,Z366,0)</f>
        <v>0</v>
      </c>
      <c r="BW366" s="60" t="n">
        <f aca="false">IF(ISNUMBER(AC366),1,0)</f>
        <v>0</v>
      </c>
      <c r="BX366" s="57" t="n">
        <f aca="false">N(AC366)</f>
        <v>0</v>
      </c>
      <c r="BY366" s="57" t="n">
        <f aca="false">N(L366)+N(M366)</f>
        <v>1</v>
      </c>
      <c r="BZ366" s="57" t="n">
        <f aca="false">ROUNDUP(G366/BQ366,0)</f>
        <v>1</v>
      </c>
      <c r="CA366" s="57" t="n">
        <f aca="false">ROUNDUP(BX366/BQ366,0)</f>
        <v>0</v>
      </c>
      <c r="CB366" s="60" t="n">
        <f aca="false">IF(BR366=1,0,IFERROR(VLOOKUP(BP366,'Gebinde-Kategorie'!$A$5:$M$45,5,0)+0,0))</f>
        <v>8</v>
      </c>
      <c r="CC366" s="60" t="n">
        <f aca="false">IFERROR(IF(OR(BT366=1,BT366=2,BT366=3),N(INDEX(Parameter!$I$5:$I$7,BT366)),0),0)</f>
        <v>0</v>
      </c>
      <c r="CD366" s="59" t="n">
        <f aca="false">IF(AND(Parameter!$B$21="Ja",ISNUMBER(U366),N(V366)&gt;0),IFERROR(N(INDEX(Parameter!$L$5:$L$7,U366))*INDEX(Parameter!$E$5:$E$7,U366)*V366/SUMIFS($V$7:$V$1576,$U$7:$U$1576,U366),0),0)</f>
        <v>0</v>
      </c>
    </row>
    <row r="367" customFormat="false" ht="15" hidden="false" customHeight="false" outlineLevel="0" collapsed="false">
      <c r="A367" s="55" t="s">
        <v>871</v>
      </c>
      <c r="B367" s="55" t="s">
        <v>872</v>
      </c>
      <c r="C367" s="55" t="s">
        <v>160</v>
      </c>
      <c r="D367" s="55" t="s">
        <v>178</v>
      </c>
      <c r="E367" s="55" t="s">
        <v>210</v>
      </c>
      <c r="F367" s="56" t="n">
        <v>49.23</v>
      </c>
      <c r="G367" s="57" t="n">
        <f aca="false">MAX(0,IF(AND(Parameter!$B$21="Ja",ISNUMBER(W367)),W367,IF(Parameter!$B$20="Jahresanfang 2025 + Export",BJ367+BI367,BI367)))</f>
        <v>3</v>
      </c>
      <c r="H367" s="57" t="n">
        <f aca="false">G367*F367</f>
        <v>147.69</v>
      </c>
      <c r="I367" s="57" t="n">
        <f aca="false">BL367*Parameter!$B$18</f>
        <v>1</v>
      </c>
      <c r="J367" s="58" t="n">
        <v>5</v>
      </c>
      <c r="K367" s="59" t="n">
        <v>0.2</v>
      </c>
      <c r="L367" s="57" t="n">
        <v>0</v>
      </c>
      <c r="M367" s="57" t="n">
        <v>1</v>
      </c>
      <c r="N367" s="60" t="n">
        <v>14</v>
      </c>
      <c r="O367" s="55" t="s">
        <v>225</v>
      </c>
      <c r="P367" s="57" t="n">
        <v>10</v>
      </c>
      <c r="Q367" s="60" t="n">
        <f aca="false">IF(BR367=1,0,IFERROR(VLOOKUP(BP367,'Gebinde-Kategorie'!$A$5:$M$45,13,0)+0,0))</f>
        <v>26</v>
      </c>
      <c r="R367" s="61"/>
      <c r="S367" s="62"/>
      <c r="T367" s="62"/>
      <c r="U367" s="55"/>
      <c r="V367" s="57"/>
      <c r="W367" s="57"/>
      <c r="X367" s="55" t="n">
        <f aca="false">IF(A367="","",IF(AND(Parameter!$B$21="Ja",ISNUMBER(U367)),U367,IF(IFERROR(VLOOKUP(D367,Parameter!$A$35:$C$64,2,0),"Nein")="2+3",IF(ISNUMBER(SEARCH("grosser Artikel",BM367)),2,IFERROR(VLOOKUP(BP367,Parameter!$F$35:$G$64,2,0),2)),IF(OR(IFERROR(VLOOKUP(D367,Parameter!$A$35:$C$64,2,0),"Nein")="Nein",IFERROR(VLOOKUP(D367,Parameter!$A$35:$C$64,2,0),"Nein")=""),"-",VLOOKUP(D367,Parameter!$A$35:$C$64,2,0)))))</f>
        <v>3</v>
      </c>
      <c r="Y367" s="62"/>
      <c r="Z367" s="63"/>
      <c r="AA367" s="57" t="n">
        <f aca="false">AP367</f>
        <v>10</v>
      </c>
      <c r="AB367" s="57" t="n">
        <f aca="false">MAX(AP367,G367)</f>
        <v>10</v>
      </c>
      <c r="AC367" s="64"/>
      <c r="AD367" s="57" t="n">
        <f aca="false">IF(LEFT(Cockpit!$C$5,1)="A",G367,IF(BW367=1,BX367,IF(LEFT(Cockpit!$C$5,1)="B",AH367,MAX(AH367,G367))))</f>
        <v>3</v>
      </c>
      <c r="AE367" s="57" t="n">
        <f aca="false">IF(BR367=1,0,ROUNDUP(AD367/BQ367,0))</f>
        <v>1</v>
      </c>
      <c r="AF367" s="59" t="n">
        <f aca="false">IF(CD367&gt;0,CD367*MAX(1,AD367/V367),IF(BR367=1,IF(AD367&lt;=0,0,BS367*MAX(1,IF(G367&gt;0,AD367/G367,1))),IF(Q367&gt;0,AE367/Q367,0))/MAX(0.1,N(Parameter!$M$21)))</f>
        <v>0.0384615384615385</v>
      </c>
      <c r="AG367" s="57" t="n">
        <f aca="false">AD367*F367</f>
        <v>147.69</v>
      </c>
      <c r="AH367" s="57" t="n">
        <f aca="false">ROUNDUP(MAX(I367/IF(BV367&gt;0,BV367,MAX(0.1,N(Cockpit!$C$6))),BY367)/BQ367,0)*BQ367</f>
        <v>10</v>
      </c>
      <c r="AI367" s="58" t="n">
        <f aca="false">IF(AF367&gt;0,I367/AF367,-1)</f>
        <v>26</v>
      </c>
      <c r="AJ367" s="58" t="n">
        <f aca="false">IF(AND(OR(BU367="L1",BU367="L23"),AF367&gt;0),SUMIFS($AF$7:$AF$1576,$BU$7:$BU$1576,BU367,$AI$7:$AI$1576,"&gt;"&amp;AI367)+SUMIFS($AF$7:$AF$1576,$BU$7:$BU$1576,BU367,$AI$7:$AI$1576,AI367,$BO$7:$BO$1576,"&lt;="&amp;BO367),"")</f>
        <v>28.2620688490254</v>
      </c>
      <c r="AK367" s="65" t="n">
        <f aca="false">IF(AJ367="",0,MAX(0,MIN(1,(IF(BU367="L1",Parameter!$E$5,Parameter!$E$6+Parameter!$E$7)-(AJ367-AF367))/AF367)))</f>
        <v>1</v>
      </c>
      <c r="AL367" s="57" t="n">
        <f aca="false">IF(LEFT(Cockpit!$I$5,1)="A",G367,IF(BW367=1,BX367,IF(LEFT(Cockpit!$I$5,1)="B",AP367,MAX(AP367,G367))))</f>
        <v>10</v>
      </c>
      <c r="AM367" s="57" t="n">
        <f aca="false">IF(BR367=1,0,ROUNDUP(AL367/BQ367,0))</f>
        <v>1</v>
      </c>
      <c r="AN367" s="59" t="n">
        <f aca="false">IF(CD367&gt;0,CD367*MAX(1,AL367/V367),IF(BR367=1,IF(AL367&lt;=0,0,BS367*MAX(1,IF(G367&gt;0,AL367/G367,1))),IF(Q367&gt;0,AM367/Q367,0))/MAX(0.1,N(Parameter!$M$21)))</f>
        <v>0.0384615384615385</v>
      </c>
      <c r="AO367" s="57" t="n">
        <f aca="false">AL367*F367</f>
        <v>492.3</v>
      </c>
      <c r="AP367" s="57" t="n">
        <f aca="false">ROUNDUP(MAX(I367/IF(BV367&gt;0,BV367,MAX(0.1,N(Cockpit!$I$6))),BY367)/BQ367,0)*BQ367</f>
        <v>10</v>
      </c>
      <c r="AQ367" s="58" t="n">
        <f aca="false">IF(AN367&gt;0,I367/AN367,-1)</f>
        <v>26</v>
      </c>
      <c r="AR367" s="58" t="n">
        <f aca="false">IF(AND(OR(BU367="L1",BU367="L23"),AN367&gt;0),SUMIFS($AN$7:$AN$1576,$BU$7:$BU$1576,BU367,$AQ$7:$AQ$1576,"&gt;"&amp;AQ367)+SUMIFS($AN$7:$AN$1576,$BU$7:$BU$1576,BU367,$AQ$7:$AQ$1576,AQ367,$BO$7:$BO$1576,"&lt;="&amp;BO367),"")</f>
        <v>96.9308961271573</v>
      </c>
      <c r="AS367" s="65" t="n">
        <f aca="false">IF(AR367="",0,MAX(0,MIN(1,(IF(BU367="L1",Parameter!$E$5,Parameter!$E$6+Parameter!$E$7)-(AR367-AN367))/AN367)))</f>
        <v>1</v>
      </c>
      <c r="AT367" s="57" t="n">
        <f aca="false">IF(LEFT(Cockpit!$O$5,1)="A",G367,IF(BW367=1,BX367,IF(LEFT(Cockpit!$O$5,1)="B",AX367,MAX(AX367,G367))))</f>
        <v>10</v>
      </c>
      <c r="AU367" s="57" t="n">
        <f aca="false">IF(BR367=1,0,ROUNDUP(AT367/BQ367,0))</f>
        <v>1</v>
      </c>
      <c r="AV367" s="59" t="n">
        <f aca="false">IF(CD367&gt;0,CD367*MAX(1,AT367/V367),IF(BR367=1,IF(AT367&lt;=0,0,BS367*MAX(1,IF(G367&gt;0,AT367/G367,1))),IF(Q367&gt;0,AU367/Q367,0))/MAX(0.1,N(Parameter!$M$21)))</f>
        <v>0.0384615384615385</v>
      </c>
      <c r="AW367" s="57" t="n">
        <f aca="false">AT367*F367</f>
        <v>492.3</v>
      </c>
      <c r="AX367" s="57" t="n">
        <f aca="false">ROUNDUP(MAX(I367/IF(BV367&gt;0,BV367,MAX(0.1,N(Cockpit!$O$6))),BY367)/BQ367,0)*BQ367</f>
        <v>10</v>
      </c>
      <c r="AY367" s="58" t="n">
        <f aca="false">IF(AV367&gt;0,I367/AV367,-1)</f>
        <v>26</v>
      </c>
      <c r="AZ367" s="58" t="n">
        <f aca="false">IF(AND(OR(BU367="L1",BU367="L23"),AV367&gt;0),SUMIFS($AV$7:$AV$1576,$BU$7:$BU$1576,BU367,$AY$7:$AY$1576,"&gt;"&amp;AY367)+SUMIFS($AV$7:$AV$1576,$BU$7:$BU$1576,BU367,$AY$7:$AY$1576,AY367,$BO$7:$BO$1576,"&lt;="&amp;BO367),"")</f>
        <v>87.7404465767077</v>
      </c>
      <c r="BA367" s="65" t="n">
        <f aca="false">IF(AZ367="",0,MAX(0,MIN(1,(IF(BU367="L1",Parameter!$E$5,Parameter!$E$6+Parameter!$E$7)-(AZ367-AV367))/AV367)))</f>
        <v>1</v>
      </c>
      <c r="BB367" s="55" t="str">
        <f aca="false">IF(AF367&lt;=0,"",IF(BU367="Aussen","Aussenlager",IF(BU367="-","Nicht im Lift",IF(AK367&gt;=1,"Lift",IF(AK367&lt;=0,"Aussenlager","teilweise")))))</f>
        <v>Lift</v>
      </c>
      <c r="BC367" s="55" t="str">
        <f aca="false">IF(AN367&lt;=0,"",IF(BU367="Aussen","Aussenlager",IF(BU367="-","Nicht im Lift",IF(AS367&gt;=1,"Lift",IF(AS367&lt;=0,"Aussenlager","teilweise")))))</f>
        <v>Lift</v>
      </c>
      <c r="BD367" s="55" t="str">
        <f aca="false">IF(AV367&lt;=0,"",IF(BU367="Aussen","Aussenlager",IF(BU367="-","Nicht im Lift",IF(BA367&gt;=1,"Lift",IF(BA367&lt;=0,"Aussenlager","teilweise")))))</f>
        <v>Lift</v>
      </c>
      <c r="BE367" s="55" t="str">
        <f aca="false">IF(A367="","",IF(BN367=1,"Neu; ","")&amp;IF(AND(BN367=0,BI367&lt;0),"negativer Bestand (Export "&amp;BI367&amp;"); ","")&amp;IF(I367&lt;=0,"Kein Verbrauch; ","")&amp;IF(CD367&gt;0,"Lift "&amp;U367&amp;" lt. Liftbericht (Fach "&amp;V367&amp;" Stk); ",IF(BR367=1,"Lose – Fläche geschätzt; ",""))&amp;IF(G367&gt;AP367,"Überbestand "&amp;ROUND(G367-AP367,0)&amp;" Stk / CHF "&amp;ROUND((G367-AP367)*F367,0)&amp;"; ","")&amp;IF(AND(BW367=1,BX367&lt;BY367),"MAX &lt; MB+LG; ","")&amp;IF(AND(CC367&gt;0,CB367*10&gt;CC367),"zu hoch für Tablar; ","")&amp;IF(AND(BN367=0,OR(BW367=1,Y367&lt;&gt;"",S367&lt;&gt;"",T367&lt;&gt;"",Z367&lt;&gt;"")),"manuell übersteuert; ","")&amp;IF(AND(BR367=0,Q367=0),"Gebinde unbekannt / Stellmass fehlt; ","")&amp;IF(AND(BR367=0,N(T367)&lt;=0,N(P367)&lt;=0),"Menge pro Gebinde fehlt (Ist = 1 Gebinde); ","")&amp;BM367)</f>
        <v/>
      </c>
      <c r="BF367" s="55"/>
      <c r="BG367" s="55"/>
      <c r="BH367" s="62"/>
      <c r="BI367" s="57" t="n">
        <v>3</v>
      </c>
      <c r="BJ367" s="57" t="n">
        <v>4</v>
      </c>
      <c r="BK367" s="56" t="n">
        <v>151.81</v>
      </c>
      <c r="BL367" s="57" t="n">
        <v>1</v>
      </c>
      <c r="BM367" s="55"/>
      <c r="BN367" s="60" t="n">
        <v>0</v>
      </c>
      <c r="BO367" s="60" t="n">
        <v>367</v>
      </c>
      <c r="BP367" s="55" t="str">
        <f aca="false">IF(S367&lt;&gt;"",UPPER(TRIM(S367)),IF(O367="","LOSE",O367))</f>
        <v>S52</v>
      </c>
      <c r="BQ367" s="57" t="n">
        <f aca="false">IF(BP367="LOSE",1,IF(N(T367)&gt;0,T367,IF(N(P367)&gt;0,P367,MAX(1,G367))))</f>
        <v>10</v>
      </c>
      <c r="BR367" s="60" t="n">
        <f aca="false">IF(BP367="LOSE",1,0)</f>
        <v>0</v>
      </c>
      <c r="BS367" s="59" t="n">
        <f aca="false">IF(BR367=0,0,IF(N(R367)&gt;0,R367,IFERROR(VLOOKUP(D367,Parameter!$A$35:$C$64,3,0)+0,0)))</f>
        <v>0</v>
      </c>
      <c r="BT367" s="55" t="n">
        <f aca="false">IF(Y367&lt;&gt;"",Y367,X367)</f>
        <v>3</v>
      </c>
      <c r="BU367" s="55" t="str">
        <f aca="false">IF(BT367=1,"L1",IF(OR(BT367=2,BT367=3),"L23",IF(BT367="Aussen","Aussen","-")))</f>
        <v>L23</v>
      </c>
      <c r="BV367" s="66" t="n">
        <f aca="false">IF(N(Z367)&gt;0,Z367,0)</f>
        <v>0</v>
      </c>
      <c r="BW367" s="60" t="n">
        <f aca="false">IF(ISNUMBER(AC367),1,0)</f>
        <v>0</v>
      </c>
      <c r="BX367" s="57" t="n">
        <f aca="false">N(AC367)</f>
        <v>0</v>
      </c>
      <c r="BY367" s="57" t="n">
        <f aca="false">N(L367)+N(M367)</f>
        <v>1</v>
      </c>
      <c r="BZ367" s="57" t="n">
        <f aca="false">ROUNDUP(G367/BQ367,0)</f>
        <v>1</v>
      </c>
      <c r="CA367" s="57" t="n">
        <f aca="false">ROUNDUP(BX367/BQ367,0)</f>
        <v>0</v>
      </c>
      <c r="CB367" s="60" t="n">
        <f aca="false">IF(BR367=1,0,IFERROR(VLOOKUP(BP367,'Gebinde-Kategorie'!$A$5:$M$45,5,0)+0,0))</f>
        <v>21</v>
      </c>
      <c r="CC367" s="60" t="n">
        <f aca="false">IFERROR(IF(OR(BT367=1,BT367=2,BT367=3),N(INDEX(Parameter!$I$5:$I$7,BT367)),0),0)</f>
        <v>0</v>
      </c>
      <c r="CD367" s="59" t="n">
        <f aca="false">IF(AND(Parameter!$B$21="Ja",ISNUMBER(U367),N(V367)&gt;0),IFERROR(N(INDEX(Parameter!$L$5:$L$7,U367))*INDEX(Parameter!$E$5:$E$7,U367)*V367/SUMIFS($V$7:$V$1576,$U$7:$U$1576,U367),0),0)</f>
        <v>0</v>
      </c>
    </row>
    <row r="368" customFormat="false" ht="15" hidden="false" customHeight="false" outlineLevel="0" collapsed="false">
      <c r="A368" s="55" t="s">
        <v>873</v>
      </c>
      <c r="B368" s="55" t="s">
        <v>603</v>
      </c>
      <c r="C368" s="55" t="s">
        <v>160</v>
      </c>
      <c r="D368" s="55" t="s">
        <v>178</v>
      </c>
      <c r="E368" s="55" t="s">
        <v>210</v>
      </c>
      <c r="F368" s="56" t="n">
        <v>3.89</v>
      </c>
      <c r="G368" s="57" t="n">
        <f aca="false">MAX(0,IF(AND(Parameter!$B$21="Ja",ISNUMBER(W368)),W368,IF(Parameter!$B$20="Jahresanfang 2025 + Export",BJ368+BI368,BI368)))</f>
        <v>37</v>
      </c>
      <c r="H368" s="57" t="n">
        <f aca="false">G368*F368</f>
        <v>143.93</v>
      </c>
      <c r="I368" s="57" t="n">
        <f aca="false">BL368*Parameter!$B$18</f>
        <v>21</v>
      </c>
      <c r="J368" s="58" t="n">
        <v>70.5</v>
      </c>
      <c r="K368" s="59" t="n">
        <v>0.297872340425532</v>
      </c>
      <c r="L368" s="57" t="n">
        <v>3</v>
      </c>
      <c r="M368" s="57" t="n">
        <v>20</v>
      </c>
      <c r="N368" s="60" t="n">
        <v>56</v>
      </c>
      <c r="O368" s="55" t="s">
        <v>391</v>
      </c>
      <c r="P368" s="57" t="n">
        <v>69</v>
      </c>
      <c r="Q368" s="60" t="n">
        <f aca="false">IF(BR368=1,0,IFERROR(VLOOKUP(BP368,'Gebinde-Kategorie'!$A$5:$M$45,13,0)+0,0))</f>
        <v>414</v>
      </c>
      <c r="R368" s="61"/>
      <c r="S368" s="62"/>
      <c r="T368" s="62"/>
      <c r="U368" s="55"/>
      <c r="V368" s="57"/>
      <c r="W368" s="57"/>
      <c r="X368" s="55" t="n">
        <f aca="false">IF(A368="","",IF(AND(Parameter!$B$21="Ja",ISNUMBER(U368)),U368,IF(IFERROR(VLOOKUP(D368,Parameter!$A$35:$C$64,2,0),"Nein")="2+3",IF(ISNUMBER(SEARCH("grosser Artikel",BM368)),2,IFERROR(VLOOKUP(BP368,Parameter!$F$35:$G$64,2,0),2)),IF(OR(IFERROR(VLOOKUP(D368,Parameter!$A$35:$C$64,2,0),"Nein")="Nein",IFERROR(VLOOKUP(D368,Parameter!$A$35:$C$64,2,0),"Nein")=""),"-",VLOOKUP(D368,Parameter!$A$35:$C$64,2,0)))))</f>
        <v>3</v>
      </c>
      <c r="Y368" s="62"/>
      <c r="Z368" s="63"/>
      <c r="AA368" s="57" t="n">
        <f aca="false">AP368</f>
        <v>69</v>
      </c>
      <c r="AB368" s="57" t="n">
        <f aca="false">MAX(AP368,G368)</f>
        <v>69</v>
      </c>
      <c r="AC368" s="64"/>
      <c r="AD368" s="57" t="n">
        <f aca="false">IF(LEFT(Cockpit!$C$5,1)="A",G368,IF(BW368=1,BX368,IF(LEFT(Cockpit!$C$5,1)="B",AH368,MAX(AH368,G368))))</f>
        <v>37</v>
      </c>
      <c r="AE368" s="57" t="n">
        <f aca="false">IF(BR368=1,0,ROUNDUP(AD368/BQ368,0))</f>
        <v>1</v>
      </c>
      <c r="AF368" s="59" t="n">
        <f aca="false">IF(CD368&gt;0,CD368*MAX(1,AD368/V368),IF(BR368=1,IF(AD368&lt;=0,0,BS368*MAX(1,IF(G368&gt;0,AD368/G368,1))),IF(Q368&gt;0,AE368/Q368,0))/MAX(0.1,N(Parameter!$M$21)))</f>
        <v>0.00241545893719807</v>
      </c>
      <c r="AG368" s="57" t="n">
        <f aca="false">AD368*F368</f>
        <v>143.93</v>
      </c>
      <c r="AH368" s="57" t="n">
        <f aca="false">ROUNDUP(MAX(I368/IF(BV368&gt;0,BV368,MAX(0.1,N(Cockpit!$C$6))),BY368)/BQ368,0)*BQ368</f>
        <v>69</v>
      </c>
      <c r="AI368" s="58" t="n">
        <f aca="false">IF(AF368&gt;0,I368/AF368,-1)</f>
        <v>8694</v>
      </c>
      <c r="AJ368" s="58" t="n">
        <f aca="false">IF(AND(OR(BU368="L1",BU368="L23"),AF368&gt;0),SUMIFS($AF$7:$AF$1576,$BU$7:$BU$1576,BU368,$AI$7:$AI$1576,"&gt;"&amp;AI368)+SUMIFS($AF$7:$AF$1576,$BU$7:$BU$1576,BU368,$AI$7:$AI$1576,AI368,$BO$7:$BO$1576,"&lt;="&amp;BO368),"")</f>
        <v>2.85447282186413</v>
      </c>
      <c r="AK368" s="65" t="n">
        <f aca="false">IF(AJ368="",0,MAX(0,MIN(1,(IF(BU368="L1",Parameter!$E$5,Parameter!$E$6+Parameter!$E$7)-(AJ368-AF368))/AF368)))</f>
        <v>1</v>
      </c>
      <c r="AL368" s="57" t="n">
        <f aca="false">IF(LEFT(Cockpit!$I$5,1)="A",G368,IF(BW368=1,BX368,IF(LEFT(Cockpit!$I$5,1)="B",AP368,MAX(AP368,G368))))</f>
        <v>69</v>
      </c>
      <c r="AM368" s="57" t="n">
        <f aca="false">IF(BR368=1,0,ROUNDUP(AL368/BQ368,0))</f>
        <v>1</v>
      </c>
      <c r="AN368" s="59" t="n">
        <f aca="false">IF(CD368&gt;0,CD368*MAX(1,AL368/V368),IF(BR368=1,IF(AL368&lt;=0,0,BS368*MAX(1,IF(G368&gt;0,AL368/G368,1))),IF(Q368&gt;0,AM368/Q368,0))/MAX(0.1,N(Parameter!$M$21)))</f>
        <v>0.00241545893719807</v>
      </c>
      <c r="AO368" s="57" t="n">
        <f aca="false">AL368*F368</f>
        <v>268.41</v>
      </c>
      <c r="AP368" s="57" t="n">
        <f aca="false">ROUNDUP(MAX(I368/IF(BV368&gt;0,BV368,MAX(0.1,N(Cockpit!$I$6))),BY368)/BQ368,0)*BQ368</f>
        <v>69</v>
      </c>
      <c r="AQ368" s="58" t="n">
        <f aca="false">IF(AN368&gt;0,I368/AN368,-1)</f>
        <v>8694</v>
      </c>
      <c r="AR368" s="58" t="n">
        <f aca="false">IF(AND(OR(BU368="L1",BU368="L23"),AN368&gt;0),SUMIFS($AN$7:$AN$1576,$BU$7:$BU$1576,BU368,$AQ$7:$AQ$1576,"&gt;"&amp;AQ368)+SUMIFS($AN$7:$AN$1576,$BU$7:$BU$1576,BU368,$AQ$7:$AQ$1576,AQ368,$BO$7:$BO$1576,"&lt;="&amp;BO368),"")</f>
        <v>7.84589439545961</v>
      </c>
      <c r="AS368" s="65" t="n">
        <f aca="false">IF(AR368="",0,MAX(0,MIN(1,(IF(BU368="L1",Parameter!$E$5,Parameter!$E$6+Parameter!$E$7)-(AR368-AN368))/AN368)))</f>
        <v>1</v>
      </c>
      <c r="AT368" s="57" t="n">
        <f aca="false">IF(LEFT(Cockpit!$O$5,1)="A",G368,IF(BW368=1,BX368,IF(LEFT(Cockpit!$O$5,1)="B",AX368,MAX(AX368,G368))))</f>
        <v>69</v>
      </c>
      <c r="AU368" s="57" t="n">
        <f aca="false">IF(BR368=1,0,ROUNDUP(AT368/BQ368,0))</f>
        <v>1</v>
      </c>
      <c r="AV368" s="59" t="n">
        <f aca="false">IF(CD368&gt;0,CD368*MAX(1,AT368/V368),IF(BR368=1,IF(AT368&lt;=0,0,BS368*MAX(1,IF(G368&gt;0,AT368/G368,1))),IF(Q368&gt;0,AU368/Q368,0))/MAX(0.1,N(Parameter!$M$21)))</f>
        <v>0.00241545893719807</v>
      </c>
      <c r="AW368" s="57" t="n">
        <f aca="false">AT368*F368</f>
        <v>268.41</v>
      </c>
      <c r="AX368" s="57" t="n">
        <f aca="false">ROUNDUP(MAX(I368/IF(BV368&gt;0,BV368,MAX(0.1,N(Cockpit!$O$6))),BY368)/BQ368,0)*BQ368</f>
        <v>69</v>
      </c>
      <c r="AY368" s="58" t="n">
        <f aca="false">IF(AV368&gt;0,I368/AV368,-1)</f>
        <v>8694</v>
      </c>
      <c r="AZ368" s="58" t="n">
        <f aca="false">IF(AND(OR(BU368="L1",BU368="L23"),AV368&gt;0),SUMIFS($AV$7:$AV$1576,$BU$7:$BU$1576,BU368,$AY$7:$AY$1576,"&gt;"&amp;AY368)+SUMIFS($AV$7:$AV$1576,$BU$7:$BU$1576,BU368,$AY$7:$AY$1576,AY368,$BO$7:$BO$1576,"&lt;="&amp;BO368),"")</f>
        <v>7.86162866119388</v>
      </c>
      <c r="BA368" s="65" t="n">
        <f aca="false">IF(AZ368="",0,MAX(0,MIN(1,(IF(BU368="L1",Parameter!$E$5,Parameter!$E$6+Parameter!$E$7)-(AZ368-AV368))/AV368)))</f>
        <v>1</v>
      </c>
      <c r="BB368" s="55" t="str">
        <f aca="false">IF(AF368&lt;=0,"",IF(BU368="Aussen","Aussenlager",IF(BU368="-","Nicht im Lift",IF(AK368&gt;=1,"Lift",IF(AK368&lt;=0,"Aussenlager","teilweise")))))</f>
        <v>Lift</v>
      </c>
      <c r="BC368" s="55" t="str">
        <f aca="false">IF(AN368&lt;=0,"",IF(BU368="Aussen","Aussenlager",IF(BU368="-","Nicht im Lift",IF(AS368&gt;=1,"Lift",IF(AS368&lt;=0,"Aussenlager","teilweise")))))</f>
        <v>Lift</v>
      </c>
      <c r="BD368" s="55" t="str">
        <f aca="false">IF(AV368&lt;=0,"",IF(BU368="Aussen","Aussenlager",IF(BU368="-","Nicht im Lift",IF(BA368&gt;=1,"Lift",IF(BA368&lt;=0,"Aussenlager","teilweise")))))</f>
        <v>Lift</v>
      </c>
      <c r="BE368" s="55" t="str">
        <f aca="false">IF(A368="","",IF(BN368=1,"Neu; ","")&amp;IF(AND(BN368=0,BI368&lt;0),"negativer Bestand (Export "&amp;BI368&amp;"); ","")&amp;IF(I368&lt;=0,"Kein Verbrauch; ","")&amp;IF(CD368&gt;0,"Lift "&amp;U368&amp;" lt. Liftbericht (Fach "&amp;V368&amp;" Stk); ",IF(BR368=1,"Lose – Fläche geschätzt; ",""))&amp;IF(G368&gt;AP368,"Überbestand "&amp;ROUND(G368-AP368,0)&amp;" Stk / CHF "&amp;ROUND((G368-AP368)*F368,0)&amp;"; ","")&amp;IF(AND(BW368=1,BX368&lt;BY368),"MAX &lt; MB+LG; ","")&amp;IF(AND(CC368&gt;0,CB368*10&gt;CC368),"zu hoch für Tablar; ","")&amp;IF(AND(BN368=0,OR(BW368=1,Y368&lt;&gt;"",S368&lt;&gt;"",T368&lt;&gt;"",Z368&lt;&gt;"")),"manuell übersteuert; ","")&amp;IF(AND(BR368=0,Q368=0),"Gebinde unbekannt / Stellmass fehlt; ","")&amp;IF(AND(BR368=0,N(T368)&lt;=0,N(P368)&lt;=0),"Menge pro Gebinde fehlt (Ist = 1 Gebinde); ","")&amp;BM368)</f>
        <v/>
      </c>
      <c r="BF368" s="55"/>
      <c r="BG368" s="55"/>
      <c r="BH368" s="62"/>
      <c r="BI368" s="57" t="n">
        <v>37</v>
      </c>
      <c r="BJ368" s="57" t="n">
        <v>38</v>
      </c>
      <c r="BK368" s="56" t="n">
        <v>151.28</v>
      </c>
      <c r="BL368" s="57" t="n">
        <v>21</v>
      </c>
      <c r="BM368" s="55"/>
      <c r="BN368" s="60" t="n">
        <v>0</v>
      </c>
      <c r="BO368" s="60" t="n">
        <v>368</v>
      </c>
      <c r="BP368" s="55" t="str">
        <f aca="false">IF(S368&lt;&gt;"",UPPER(TRIM(S368)),IF(O368="","LOSE",O368))</f>
        <v>S21</v>
      </c>
      <c r="BQ368" s="57" t="n">
        <f aca="false">IF(BP368="LOSE",1,IF(N(T368)&gt;0,T368,IF(N(P368)&gt;0,P368,MAX(1,G368))))</f>
        <v>69</v>
      </c>
      <c r="BR368" s="60" t="n">
        <f aca="false">IF(BP368="LOSE",1,0)</f>
        <v>0</v>
      </c>
      <c r="BS368" s="59" t="n">
        <f aca="false">IF(BR368=0,0,IF(N(R368)&gt;0,R368,IFERROR(VLOOKUP(D368,Parameter!$A$35:$C$64,3,0)+0,0)))</f>
        <v>0</v>
      </c>
      <c r="BT368" s="55" t="n">
        <f aca="false">IF(Y368&lt;&gt;"",Y368,X368)</f>
        <v>3</v>
      </c>
      <c r="BU368" s="55" t="str">
        <f aca="false">IF(BT368=1,"L1",IF(OR(BT368=2,BT368=3),"L23",IF(BT368="Aussen","Aussen","-")))</f>
        <v>L23</v>
      </c>
      <c r="BV368" s="66" t="n">
        <f aca="false">IF(N(Z368)&gt;0,Z368,0)</f>
        <v>0</v>
      </c>
      <c r="BW368" s="60" t="n">
        <f aca="false">IF(ISNUMBER(AC368),1,0)</f>
        <v>0</v>
      </c>
      <c r="BX368" s="57" t="n">
        <f aca="false">N(AC368)</f>
        <v>0</v>
      </c>
      <c r="BY368" s="57" t="n">
        <f aca="false">N(L368)+N(M368)</f>
        <v>23</v>
      </c>
      <c r="BZ368" s="57" t="n">
        <f aca="false">ROUNDUP(G368/BQ368,0)</f>
        <v>1</v>
      </c>
      <c r="CA368" s="57" t="n">
        <f aca="false">ROUNDUP(BX368/BQ368,0)</f>
        <v>0</v>
      </c>
      <c r="CB368" s="60" t="n">
        <f aca="false">IF(BR368=1,0,IFERROR(VLOOKUP(BP368,'Gebinde-Kategorie'!$A$5:$M$45,5,0)+0,0))</f>
        <v>8</v>
      </c>
      <c r="CC368" s="60" t="n">
        <f aca="false">IFERROR(IF(OR(BT368=1,BT368=2,BT368=3),N(INDEX(Parameter!$I$5:$I$7,BT368)),0),0)</f>
        <v>0</v>
      </c>
      <c r="CD368" s="59" t="n">
        <f aca="false">IF(AND(Parameter!$B$21="Ja",ISNUMBER(U368),N(V368)&gt;0),IFERROR(N(INDEX(Parameter!$L$5:$L$7,U368))*INDEX(Parameter!$E$5:$E$7,U368)*V368/SUMIFS($V$7:$V$1576,$U$7:$U$1576,U368),0),0)</f>
        <v>0</v>
      </c>
    </row>
    <row r="369" customFormat="false" ht="15" hidden="false" customHeight="false" outlineLevel="0" collapsed="false">
      <c r="A369" s="55" t="s">
        <v>874</v>
      </c>
      <c r="B369" s="55" t="s">
        <v>875</v>
      </c>
      <c r="C369" s="55" t="s">
        <v>160</v>
      </c>
      <c r="D369" s="55" t="s">
        <v>178</v>
      </c>
      <c r="E369" s="55" t="s">
        <v>210</v>
      </c>
      <c r="F369" s="56" t="n">
        <v>12.66</v>
      </c>
      <c r="G369" s="57" t="n">
        <f aca="false">MAX(0,IF(AND(Parameter!$B$21="Ja",ISNUMBER(W369)),W369,IF(Parameter!$B$20="Jahresanfang 2025 + Export",BJ369+BI369,BI369)))</f>
        <v>12</v>
      </c>
      <c r="H369" s="57" t="n">
        <f aca="false">G369*F369</f>
        <v>151.92</v>
      </c>
      <c r="I369" s="57" t="n">
        <f aca="false">BL369*Parameter!$B$18</f>
        <v>7</v>
      </c>
      <c r="J369" s="58" t="n">
        <v>3.5</v>
      </c>
      <c r="K369" s="59" t="n">
        <v>2</v>
      </c>
      <c r="L369" s="57" t="n">
        <v>0</v>
      </c>
      <c r="M369" s="57" t="n">
        <v>5</v>
      </c>
      <c r="N369" s="60" t="n">
        <v>18</v>
      </c>
      <c r="O369" s="55" t="s">
        <v>411</v>
      </c>
      <c r="P369" s="57" t="n">
        <v>10</v>
      </c>
      <c r="Q369" s="60" t="n">
        <f aca="false">IF(BR369=1,0,IFERROR(VLOOKUP(BP369,'Gebinde-Kategorie'!$A$5:$M$45,13,0)+0,0))</f>
        <v>132</v>
      </c>
      <c r="R369" s="61"/>
      <c r="S369" s="62"/>
      <c r="T369" s="62"/>
      <c r="U369" s="55"/>
      <c r="V369" s="57"/>
      <c r="W369" s="57"/>
      <c r="X369" s="55" t="n">
        <f aca="false">IF(A369="","",IF(AND(Parameter!$B$21="Ja",ISNUMBER(U369)),U369,IF(IFERROR(VLOOKUP(D369,Parameter!$A$35:$C$64,2,0),"Nein")="2+3",IF(ISNUMBER(SEARCH("grosser Artikel",BM369)),2,IFERROR(VLOOKUP(BP369,Parameter!$F$35:$G$64,2,0),2)),IF(OR(IFERROR(VLOOKUP(D369,Parameter!$A$35:$C$64,2,0),"Nein")="Nein",IFERROR(VLOOKUP(D369,Parameter!$A$35:$C$64,2,0),"Nein")=""),"-",VLOOKUP(D369,Parameter!$A$35:$C$64,2,0)))))</f>
        <v>3</v>
      </c>
      <c r="Y369" s="62"/>
      <c r="Z369" s="63"/>
      <c r="AA369" s="57" t="n">
        <f aca="false">AP369</f>
        <v>10</v>
      </c>
      <c r="AB369" s="57" t="n">
        <f aca="false">MAX(AP369,G369)</f>
        <v>12</v>
      </c>
      <c r="AC369" s="64"/>
      <c r="AD369" s="57" t="n">
        <f aca="false">IF(LEFT(Cockpit!$C$5,1)="A",G369,IF(BW369=1,BX369,IF(LEFT(Cockpit!$C$5,1)="B",AH369,MAX(AH369,G369))))</f>
        <v>12</v>
      </c>
      <c r="AE369" s="57" t="n">
        <f aca="false">IF(BR369=1,0,ROUNDUP(AD369/BQ369,0))</f>
        <v>2</v>
      </c>
      <c r="AF369" s="59" t="n">
        <f aca="false">IF(CD369&gt;0,CD369*MAX(1,AD369/V369),IF(BR369=1,IF(AD369&lt;=0,0,BS369*MAX(1,IF(G369&gt;0,AD369/G369,1))),IF(Q369&gt;0,AE369/Q369,0))/MAX(0.1,N(Parameter!$M$21)))</f>
        <v>0.0151515151515152</v>
      </c>
      <c r="AG369" s="57" t="n">
        <f aca="false">AD369*F369</f>
        <v>151.92</v>
      </c>
      <c r="AH369" s="57" t="n">
        <f aca="false">ROUNDUP(MAX(I369/IF(BV369&gt;0,BV369,MAX(0.1,N(Cockpit!$C$6))),BY369)/BQ369,0)*BQ369</f>
        <v>10</v>
      </c>
      <c r="AI369" s="58" t="n">
        <f aca="false">IF(AF369&gt;0,I369/AF369,-1)</f>
        <v>462</v>
      </c>
      <c r="AJ369" s="58" t="n">
        <f aca="false">IF(AND(OR(BU369="L1",BU369="L23"),AF369&gt;0),SUMIFS($AF$7:$AF$1576,$BU$7:$BU$1576,BU369,$AI$7:$AI$1576,"&gt;"&amp;AI369)+SUMIFS($AF$7:$AF$1576,$BU$7:$BU$1576,BU369,$AI$7:$AI$1576,AI369,$BO$7:$BO$1576,"&lt;="&amp;BO369),"")</f>
        <v>12.8394206276815</v>
      </c>
      <c r="AK369" s="65" t="n">
        <f aca="false">IF(AJ369="",0,MAX(0,MIN(1,(IF(BU369="L1",Parameter!$E$5,Parameter!$E$6+Parameter!$E$7)-(AJ369-AF369))/AF369)))</f>
        <v>1</v>
      </c>
      <c r="AL369" s="57" t="n">
        <f aca="false">IF(LEFT(Cockpit!$I$5,1)="A",G369,IF(BW369=1,BX369,IF(LEFT(Cockpit!$I$5,1)="B",AP369,MAX(AP369,G369))))</f>
        <v>12</v>
      </c>
      <c r="AM369" s="57" t="n">
        <f aca="false">IF(BR369=1,0,ROUNDUP(AL369/BQ369,0))</f>
        <v>2</v>
      </c>
      <c r="AN369" s="59" t="n">
        <f aca="false">IF(CD369&gt;0,CD369*MAX(1,AL369/V369),IF(BR369=1,IF(AL369&lt;=0,0,BS369*MAX(1,IF(G369&gt;0,AL369/G369,1))),IF(Q369&gt;0,AM369/Q369,0))/MAX(0.1,N(Parameter!$M$21)))</f>
        <v>0.0151515151515152</v>
      </c>
      <c r="AO369" s="57" t="n">
        <f aca="false">AL369*F369</f>
        <v>151.92</v>
      </c>
      <c r="AP369" s="57" t="n">
        <f aca="false">ROUNDUP(MAX(I369/IF(BV369&gt;0,BV369,MAX(0.1,N(Cockpit!$I$6))),BY369)/BQ369,0)*BQ369</f>
        <v>10</v>
      </c>
      <c r="AQ369" s="58" t="n">
        <f aca="false">IF(AN369&gt;0,I369/AN369,-1)</f>
        <v>462</v>
      </c>
      <c r="AR369" s="58" t="n">
        <f aca="false">IF(AND(OR(BU369="L1",BU369="L23"),AN369&gt;0),SUMIFS($AN$7:$AN$1576,$BU$7:$BU$1576,BU369,$AQ$7:$AQ$1576,"&gt;"&amp;AQ369)+SUMIFS($AN$7:$AN$1576,$BU$7:$BU$1576,BU369,$AQ$7:$AQ$1576,AQ369,$BO$7:$BO$1576,"&lt;="&amp;BO369),"")</f>
        <v>35.2172617844469</v>
      </c>
      <c r="AS369" s="65" t="n">
        <f aca="false">IF(AR369="",0,MAX(0,MIN(1,(IF(BU369="L1",Parameter!$E$5,Parameter!$E$6+Parameter!$E$7)-(AR369-AN369))/AN369)))</f>
        <v>1</v>
      </c>
      <c r="AT369" s="57" t="n">
        <f aca="false">IF(LEFT(Cockpit!$O$5,1)="A",G369,IF(BW369=1,BX369,IF(LEFT(Cockpit!$O$5,1)="B",AX369,MAX(AX369,G369))))</f>
        <v>12</v>
      </c>
      <c r="AU369" s="57" t="n">
        <f aca="false">IF(BR369=1,0,ROUNDUP(AT369/BQ369,0))</f>
        <v>2</v>
      </c>
      <c r="AV369" s="59" t="n">
        <f aca="false">IF(CD369&gt;0,CD369*MAX(1,AT369/V369),IF(BR369=1,IF(AT369&lt;=0,0,BS369*MAX(1,IF(G369&gt;0,AT369/G369,1))),IF(Q369&gt;0,AU369/Q369,0))/MAX(0.1,N(Parameter!$M$21)))</f>
        <v>0.0151515151515152</v>
      </c>
      <c r="AW369" s="57" t="n">
        <f aca="false">AT369*F369</f>
        <v>151.92</v>
      </c>
      <c r="AX369" s="57" t="n">
        <f aca="false">ROUNDUP(MAX(I369/IF(BV369&gt;0,BV369,MAX(0.1,N(Cockpit!$O$6))),BY369)/BQ369,0)*BQ369</f>
        <v>10</v>
      </c>
      <c r="AY369" s="58" t="n">
        <f aca="false">IF(AV369&gt;0,I369/AV369,-1)</f>
        <v>462</v>
      </c>
      <c r="AZ369" s="58" t="n">
        <f aca="false">IF(AND(OR(BU369="L1",BU369="L23"),AV369&gt;0),SUMIFS($AV$7:$AV$1576,$BU$7:$BU$1576,BU369,$AY$7:$AY$1576,"&gt;"&amp;AY369)+SUMIFS($AV$7:$AV$1576,$BU$7:$BU$1576,BU369,$AY$7:$AY$1576,AY369,$BO$7:$BO$1576,"&lt;="&amp;BO369),"")</f>
        <v>34.3691865263716</v>
      </c>
      <c r="BA369" s="65" t="n">
        <f aca="false">IF(AZ369="",0,MAX(0,MIN(1,(IF(BU369="L1",Parameter!$E$5,Parameter!$E$6+Parameter!$E$7)-(AZ369-AV369))/AV369)))</f>
        <v>1</v>
      </c>
      <c r="BB369" s="55" t="str">
        <f aca="false">IF(AF369&lt;=0,"",IF(BU369="Aussen","Aussenlager",IF(BU369="-","Nicht im Lift",IF(AK369&gt;=1,"Lift",IF(AK369&lt;=0,"Aussenlager","teilweise")))))</f>
        <v>Lift</v>
      </c>
      <c r="BC369" s="55" t="str">
        <f aca="false">IF(AN369&lt;=0,"",IF(BU369="Aussen","Aussenlager",IF(BU369="-","Nicht im Lift",IF(AS369&gt;=1,"Lift",IF(AS369&lt;=0,"Aussenlager","teilweise")))))</f>
        <v>Lift</v>
      </c>
      <c r="BD369" s="55" t="str">
        <f aca="false">IF(AV369&lt;=0,"",IF(BU369="Aussen","Aussenlager",IF(BU369="-","Nicht im Lift",IF(BA369&gt;=1,"Lift",IF(BA369&lt;=0,"Aussenlager","teilweise")))))</f>
        <v>Lift</v>
      </c>
      <c r="BE369" s="55" t="str">
        <f aca="false">IF(A369="","",IF(BN369=1,"Neu; ","")&amp;IF(AND(BN369=0,BI369&lt;0),"negativer Bestand (Export "&amp;BI369&amp;"); ","")&amp;IF(I369&lt;=0,"Kein Verbrauch; ","")&amp;IF(CD369&gt;0,"Lift "&amp;U369&amp;" lt. Liftbericht (Fach "&amp;V369&amp;" Stk); ",IF(BR369=1,"Lose – Fläche geschätzt; ",""))&amp;IF(G369&gt;AP369,"Überbestand "&amp;ROUND(G369-AP369,0)&amp;" Stk / CHF "&amp;ROUND((G369-AP369)*F369,0)&amp;"; ","")&amp;IF(AND(BW369=1,BX369&lt;BY369),"MAX &lt; MB+LG; ","")&amp;IF(AND(CC369&gt;0,CB369*10&gt;CC369),"zu hoch für Tablar; ","")&amp;IF(AND(BN369=0,OR(BW369=1,Y369&lt;&gt;"",S369&lt;&gt;"",T369&lt;&gt;"",Z369&lt;&gt;"")),"manuell übersteuert; ","")&amp;IF(AND(BR369=0,Q369=0),"Gebinde unbekannt / Stellmass fehlt; ","")&amp;IF(AND(BR369=0,N(T369)&lt;=0,N(P369)&lt;=0),"Menge pro Gebinde fehlt (Ist = 1 Gebinde); ","")&amp;BM369)</f>
        <v>Überbestand 2 Stk / CHF 25; </v>
      </c>
      <c r="BF369" s="55"/>
      <c r="BG369" s="55"/>
      <c r="BH369" s="62"/>
      <c r="BI369" s="57" t="n">
        <v>12</v>
      </c>
      <c r="BJ369" s="57" t="n">
        <v>2</v>
      </c>
      <c r="BK369" s="56" t="n">
        <v>151.28</v>
      </c>
      <c r="BL369" s="57" t="n">
        <v>7</v>
      </c>
      <c r="BM369" s="55"/>
      <c r="BN369" s="60" t="n">
        <v>0</v>
      </c>
      <c r="BO369" s="60" t="n">
        <v>369</v>
      </c>
      <c r="BP369" s="55" t="str">
        <f aca="false">IF(S369&lt;&gt;"",UPPER(TRIM(S369)),IF(O369="","LOSE",O369))</f>
        <v>S32</v>
      </c>
      <c r="BQ369" s="57" t="n">
        <f aca="false">IF(BP369="LOSE",1,IF(N(T369)&gt;0,T369,IF(N(P369)&gt;0,P369,MAX(1,G369))))</f>
        <v>10</v>
      </c>
      <c r="BR369" s="60" t="n">
        <f aca="false">IF(BP369="LOSE",1,0)</f>
        <v>0</v>
      </c>
      <c r="BS369" s="59" t="n">
        <f aca="false">IF(BR369=0,0,IF(N(R369)&gt;0,R369,IFERROR(VLOOKUP(D369,Parameter!$A$35:$C$64,3,0)+0,0)))</f>
        <v>0</v>
      </c>
      <c r="BT369" s="55" t="n">
        <f aca="false">IF(Y369&lt;&gt;"",Y369,X369)</f>
        <v>3</v>
      </c>
      <c r="BU369" s="55" t="str">
        <f aca="false">IF(BT369=1,"L1",IF(OR(BT369=2,BT369=3),"L23",IF(BT369="Aussen","Aussen","-")))</f>
        <v>L23</v>
      </c>
      <c r="BV369" s="66" t="n">
        <f aca="false">IF(N(Z369)&gt;0,Z369,0)</f>
        <v>0</v>
      </c>
      <c r="BW369" s="60" t="n">
        <f aca="false">IF(ISNUMBER(AC369),1,0)</f>
        <v>0</v>
      </c>
      <c r="BX369" s="57" t="n">
        <f aca="false">N(AC369)</f>
        <v>0</v>
      </c>
      <c r="BY369" s="57" t="n">
        <f aca="false">N(L369)+N(M369)</f>
        <v>5</v>
      </c>
      <c r="BZ369" s="57" t="n">
        <f aca="false">ROUNDUP(G369/BQ369,0)</f>
        <v>2</v>
      </c>
      <c r="CA369" s="57" t="n">
        <f aca="false">ROUNDUP(BX369/BQ369,0)</f>
        <v>0</v>
      </c>
      <c r="CB369" s="60" t="n">
        <f aca="false">IF(BR369=1,0,IFERROR(VLOOKUP(BP369,'Gebinde-Kategorie'!$A$5:$M$45,5,0)+0,0))</f>
        <v>8</v>
      </c>
      <c r="CC369" s="60" t="n">
        <f aca="false">IFERROR(IF(OR(BT369=1,BT369=2,BT369=3),N(INDEX(Parameter!$I$5:$I$7,BT369)),0),0)</f>
        <v>0</v>
      </c>
      <c r="CD369" s="59" t="n">
        <f aca="false">IF(AND(Parameter!$B$21="Ja",ISNUMBER(U369),N(V369)&gt;0),IFERROR(N(INDEX(Parameter!$L$5:$L$7,U369))*INDEX(Parameter!$E$5:$E$7,U369)*V369/SUMIFS($V$7:$V$1576,$U$7:$U$1576,U369),0),0)</f>
        <v>0</v>
      </c>
    </row>
    <row r="370" customFormat="false" ht="15" hidden="false" customHeight="false" outlineLevel="0" collapsed="false">
      <c r="A370" s="55" t="s">
        <v>876</v>
      </c>
      <c r="B370" s="55" t="s">
        <v>877</v>
      </c>
      <c r="C370" s="55" t="s">
        <v>160</v>
      </c>
      <c r="D370" s="55" t="s">
        <v>178</v>
      </c>
      <c r="E370" s="55" t="s">
        <v>210</v>
      </c>
      <c r="F370" s="56" t="n">
        <v>7.44</v>
      </c>
      <c r="G370" s="57" t="n">
        <f aca="false">MAX(0,IF(AND(Parameter!$B$21="Ja",ISNUMBER(W370)),W370,IF(Parameter!$B$20="Jahresanfang 2025 + Export",BJ370+BI370,BI370)))</f>
        <v>20</v>
      </c>
      <c r="H370" s="57" t="n">
        <f aca="false">G370*F370</f>
        <v>148.8</v>
      </c>
      <c r="I370" s="57" t="n">
        <f aca="false">BL370*Parameter!$B$18</f>
        <v>0</v>
      </c>
      <c r="J370" s="58" t="n">
        <v>12</v>
      </c>
      <c r="K370" s="59" t="n">
        <v>0</v>
      </c>
      <c r="L370" s="57" t="n">
        <v>0</v>
      </c>
      <c r="M370" s="57" t="n">
        <v>1</v>
      </c>
      <c r="N370" s="60" t="n">
        <v>28</v>
      </c>
      <c r="O370" s="55" t="s">
        <v>163</v>
      </c>
      <c r="P370" s="57"/>
      <c r="Q370" s="60" t="n">
        <f aca="false">IF(BR370=1,0,IFERROR(VLOOKUP(BP370,'Gebinde-Kategorie'!$A$5:$M$45,13,0)+0,0))</f>
        <v>0</v>
      </c>
      <c r="R370" s="61"/>
      <c r="S370" s="62"/>
      <c r="T370" s="62"/>
      <c r="U370" s="55"/>
      <c r="V370" s="57"/>
      <c r="W370" s="57"/>
      <c r="X370" s="55" t="n">
        <f aca="false">IF(A370="","",IF(AND(Parameter!$B$21="Ja",ISNUMBER(U370)),U370,IF(IFERROR(VLOOKUP(D370,Parameter!$A$35:$C$64,2,0),"Nein")="2+3",IF(ISNUMBER(SEARCH("grosser Artikel",BM370)),2,IFERROR(VLOOKUP(BP370,Parameter!$F$35:$G$64,2,0),2)),IF(OR(IFERROR(VLOOKUP(D370,Parameter!$A$35:$C$64,2,0),"Nein")="Nein",IFERROR(VLOOKUP(D370,Parameter!$A$35:$C$64,2,0),"Nein")=""),"-",VLOOKUP(D370,Parameter!$A$35:$C$64,2,0)))))</f>
        <v>2</v>
      </c>
      <c r="Y370" s="62"/>
      <c r="Z370" s="63"/>
      <c r="AA370" s="57" t="n">
        <f aca="false">AP370</f>
        <v>1</v>
      </c>
      <c r="AB370" s="57" t="n">
        <f aca="false">MAX(AP370,G370)</f>
        <v>20</v>
      </c>
      <c r="AC370" s="64"/>
      <c r="AD370" s="57" t="n">
        <f aca="false">IF(LEFT(Cockpit!$C$5,1)="A",G370,IF(BW370=1,BX370,IF(LEFT(Cockpit!$C$5,1)="B",AH370,MAX(AH370,G370))))</f>
        <v>20</v>
      </c>
      <c r="AE370" s="57" t="n">
        <f aca="false">IF(BR370=1,0,ROUNDUP(AD370/BQ370,0))</f>
        <v>0</v>
      </c>
      <c r="AF370" s="59" t="n">
        <f aca="false">IF(CD370&gt;0,CD370*MAX(1,AD370/V370),IF(BR370=1,IF(AD370&lt;=0,0,BS370*MAX(1,IF(G370&gt;0,AD370/G370,1))),IF(Q370&gt;0,AE370/Q370,0))/MAX(0.1,N(Parameter!$M$21)))</f>
        <v>0.03</v>
      </c>
      <c r="AG370" s="57" t="n">
        <f aca="false">AD370*F370</f>
        <v>148.8</v>
      </c>
      <c r="AH370" s="57" t="n">
        <f aca="false">ROUNDUP(MAX(I370/IF(BV370&gt;0,BV370,MAX(0.1,N(Cockpit!$C$6))),BY370)/BQ370,0)*BQ370</f>
        <v>1</v>
      </c>
      <c r="AI370" s="58" t="n">
        <f aca="false">IF(AF370&gt;0,I370/AF370,-1)</f>
        <v>0</v>
      </c>
      <c r="AJ370" s="58" t="n">
        <f aca="false">IF(AND(OR(BU370="L1",BU370="L23"),AF370&gt;0),SUMIFS($AF$7:$AF$1576,$BU$7:$BU$1576,BU370,$AI$7:$AI$1576,"&gt;"&amp;AI370)+SUMIFS($AF$7:$AF$1576,$BU$7:$BU$1576,BU370,$AI$7:$AI$1576,AI370,$BO$7:$BO$1576,"&lt;="&amp;BO370),"")</f>
        <v>41.3274612344178</v>
      </c>
      <c r="AK370" s="65" t="n">
        <f aca="false">IF(AJ370="",0,MAX(0,MIN(1,(IF(BU370="L1",Parameter!$E$5,Parameter!$E$6+Parameter!$E$7)-(AJ370-AF370))/AF370)))</f>
        <v>1</v>
      </c>
      <c r="AL370" s="57" t="n">
        <f aca="false">IF(LEFT(Cockpit!$I$5,1)="A",G370,IF(BW370=1,BX370,IF(LEFT(Cockpit!$I$5,1)="B",AP370,MAX(AP370,G370))))</f>
        <v>20</v>
      </c>
      <c r="AM370" s="57" t="n">
        <f aca="false">IF(BR370=1,0,ROUNDUP(AL370/BQ370,0))</f>
        <v>0</v>
      </c>
      <c r="AN370" s="59" t="n">
        <f aca="false">IF(CD370&gt;0,CD370*MAX(1,AL370/V370),IF(BR370=1,IF(AL370&lt;=0,0,BS370*MAX(1,IF(G370&gt;0,AL370/G370,1))),IF(Q370&gt;0,AM370/Q370,0))/MAX(0.1,N(Parameter!$M$21)))</f>
        <v>0.03</v>
      </c>
      <c r="AO370" s="57" t="n">
        <f aca="false">AL370*F370</f>
        <v>148.8</v>
      </c>
      <c r="AP370" s="57" t="n">
        <f aca="false">ROUNDUP(MAX(I370/IF(BV370&gt;0,BV370,MAX(0.1,N(Cockpit!$I$6))),BY370)/BQ370,0)*BQ370</f>
        <v>1</v>
      </c>
      <c r="AQ370" s="58" t="n">
        <f aca="false">IF(AN370&gt;0,I370/AN370,-1)</f>
        <v>0</v>
      </c>
      <c r="AR370" s="58" t="n">
        <f aca="false">IF(AND(OR(BU370="L1",BU370="L23"),AN370&gt;0),SUMIFS($AN$7:$AN$1576,$BU$7:$BU$1576,BU370,$AQ$7:$AQ$1576,"&gt;"&amp;AQ370)+SUMIFS($AN$7:$AN$1576,$BU$7:$BU$1576,BU370,$AQ$7:$AQ$1576,AQ370,$BO$7:$BO$1576,"&lt;="&amp;BO370),"")</f>
        <v>124.201666984207</v>
      </c>
      <c r="AS370" s="65" t="n">
        <f aca="false">IF(AR370="",0,MAX(0,MIN(1,(IF(BU370="L1",Parameter!$E$5,Parameter!$E$6+Parameter!$E$7)-(AR370-AN370))/AN370)))</f>
        <v>0</v>
      </c>
      <c r="AT370" s="57" t="n">
        <f aca="false">IF(LEFT(Cockpit!$O$5,1)="A",G370,IF(BW370=1,BX370,IF(LEFT(Cockpit!$O$5,1)="B",AX370,MAX(AX370,G370))))</f>
        <v>20</v>
      </c>
      <c r="AU370" s="57" t="n">
        <f aca="false">IF(BR370=1,0,ROUNDUP(AT370/BQ370,0))</f>
        <v>0</v>
      </c>
      <c r="AV370" s="59" t="n">
        <f aca="false">IF(CD370&gt;0,CD370*MAX(1,AT370/V370),IF(BR370=1,IF(AT370&lt;=0,0,BS370*MAX(1,IF(G370&gt;0,AT370/G370,1))),IF(Q370&gt;0,AU370/Q370,0))/MAX(0.1,N(Parameter!$M$21)))</f>
        <v>0.03</v>
      </c>
      <c r="AW370" s="57" t="n">
        <f aca="false">AT370*F370</f>
        <v>148.8</v>
      </c>
      <c r="AX370" s="57" t="n">
        <f aca="false">ROUNDUP(MAX(I370/IF(BV370&gt;0,BV370,MAX(0.1,N(Cockpit!$O$6))),BY370)/BQ370,0)*BQ370</f>
        <v>1</v>
      </c>
      <c r="AY370" s="58" t="n">
        <f aca="false">IF(AV370&gt;0,I370/AV370,-1)</f>
        <v>0</v>
      </c>
      <c r="AZ370" s="58" t="n">
        <f aca="false">IF(AND(OR(BU370="L1",BU370="L23"),AV370&gt;0),SUMIFS($AV$7:$AV$1576,$BU$7:$BU$1576,BU370,$AY$7:$AY$1576,"&gt;"&amp;AY370)+SUMIFS($AV$7:$AV$1576,$BU$7:$BU$1576,BU370,$AY$7:$AY$1576,AY370,$BO$7:$BO$1576,"&lt;="&amp;BO370),"")</f>
        <v>114.261217433758</v>
      </c>
      <c r="BA370" s="65" t="n">
        <f aca="false">IF(AZ370="",0,MAX(0,MIN(1,(IF(BU370="L1",Parameter!$E$5,Parameter!$E$6+Parameter!$E$7)-(AZ370-AV370))/AV370)))</f>
        <v>0</v>
      </c>
      <c r="BB370" s="55" t="str">
        <f aca="false">IF(AF370&lt;=0,"",IF(BU370="Aussen","Aussenlager",IF(BU370="-","Nicht im Lift",IF(AK370&gt;=1,"Lift",IF(AK370&lt;=0,"Aussenlager","teilweise")))))</f>
        <v>Lift</v>
      </c>
      <c r="BC370" s="55" t="str">
        <f aca="false">IF(AN370&lt;=0,"",IF(BU370="Aussen","Aussenlager",IF(BU370="-","Nicht im Lift",IF(AS370&gt;=1,"Lift",IF(AS370&lt;=0,"Aussenlager","teilweise")))))</f>
        <v>Aussenlager</v>
      </c>
      <c r="BD370" s="55" t="str">
        <f aca="false">IF(AV370&lt;=0,"",IF(BU370="Aussen","Aussenlager",IF(BU370="-","Nicht im Lift",IF(BA370&gt;=1,"Lift",IF(BA370&lt;=0,"Aussenlager","teilweise")))))</f>
        <v>Aussenlager</v>
      </c>
      <c r="BE370" s="55" t="str">
        <f aca="false">IF(A370="","",IF(BN370=1,"Neu; ","")&amp;IF(AND(BN370=0,BI370&lt;0),"negativer Bestand (Export "&amp;BI370&amp;"); ","")&amp;IF(I370&lt;=0,"Kein Verbrauch; ","")&amp;IF(CD370&gt;0,"Lift "&amp;U370&amp;" lt. Liftbericht (Fach "&amp;V370&amp;" Stk); ",IF(BR370=1,"Lose – Fläche geschätzt; ",""))&amp;IF(G370&gt;AP370,"Überbestand "&amp;ROUND(G370-AP370,0)&amp;" Stk / CHF "&amp;ROUND((G370-AP370)*F370,0)&amp;"; ","")&amp;IF(AND(BW370=1,BX370&lt;BY370),"MAX &lt; MB+LG; ","")&amp;IF(AND(CC370&gt;0,CB370*10&gt;CC370),"zu hoch für Tablar; ","")&amp;IF(AND(BN370=0,OR(BW370=1,Y370&lt;&gt;"",S370&lt;&gt;"",T370&lt;&gt;"",Z370&lt;&gt;"")),"manuell übersteuert; ","")&amp;IF(AND(BR370=0,Q370=0),"Gebinde unbekannt / Stellmass fehlt; ","")&amp;IF(AND(BR370=0,N(T370)&lt;=0,N(P370)&lt;=0),"Menge pro Gebinde fehlt (Ist = 1 Gebinde); ","")&amp;BM370)</f>
        <v>Kein Verbrauch; Lose – Fläche geschätzt; Überbestand 19 Stk / CHF 141; </v>
      </c>
      <c r="BF370" s="55"/>
      <c r="BG370" s="55"/>
      <c r="BH370" s="62"/>
      <c r="BI370" s="57" t="n">
        <v>20</v>
      </c>
      <c r="BJ370" s="57" t="n">
        <v>12</v>
      </c>
      <c r="BK370" s="56" t="n">
        <v>148.8</v>
      </c>
      <c r="BL370" s="57" t="n">
        <v>0</v>
      </c>
      <c r="BM370" s="55"/>
      <c r="BN370" s="60" t="n">
        <v>0</v>
      </c>
      <c r="BO370" s="60" t="n">
        <v>370</v>
      </c>
      <c r="BP370" s="55" t="str">
        <f aca="false">IF(S370&lt;&gt;"",UPPER(TRIM(S370)),IF(O370="","LOSE",O370))</f>
        <v>LOSE</v>
      </c>
      <c r="BQ370" s="57" t="n">
        <f aca="false">IF(BP370="LOSE",1,IF(N(T370)&gt;0,T370,IF(N(P370)&gt;0,P370,MAX(1,G370))))</f>
        <v>1</v>
      </c>
      <c r="BR370" s="60" t="n">
        <f aca="false">IF(BP370="LOSE",1,0)</f>
        <v>1</v>
      </c>
      <c r="BS370" s="59" t="n">
        <f aca="false">IF(BR370=0,0,IF(N(R370)&gt;0,R370,IFERROR(VLOOKUP(D370,Parameter!$A$35:$C$64,3,0)+0,0)))</f>
        <v>0.03</v>
      </c>
      <c r="BT370" s="55" t="n">
        <f aca="false">IF(Y370&lt;&gt;"",Y370,X370)</f>
        <v>2</v>
      </c>
      <c r="BU370" s="55" t="str">
        <f aca="false">IF(BT370=1,"L1",IF(OR(BT370=2,BT370=3),"L23",IF(BT370="Aussen","Aussen","-")))</f>
        <v>L23</v>
      </c>
      <c r="BV370" s="66" t="n">
        <f aca="false">IF(N(Z370)&gt;0,Z370,0)</f>
        <v>0</v>
      </c>
      <c r="BW370" s="60" t="n">
        <f aca="false">IF(ISNUMBER(AC370),1,0)</f>
        <v>0</v>
      </c>
      <c r="BX370" s="57" t="n">
        <f aca="false">N(AC370)</f>
        <v>0</v>
      </c>
      <c r="BY370" s="57" t="n">
        <f aca="false">N(L370)+N(M370)</f>
        <v>1</v>
      </c>
      <c r="BZ370" s="57" t="n">
        <f aca="false">ROUNDUP(G370/BQ370,0)</f>
        <v>20</v>
      </c>
      <c r="CA370" s="57" t="n">
        <f aca="false">ROUNDUP(BX370/BQ370,0)</f>
        <v>0</v>
      </c>
      <c r="CB370" s="60" t="n">
        <f aca="false">IF(BR370=1,0,IFERROR(VLOOKUP(BP370,'Gebinde-Kategorie'!$A$5:$M$45,5,0)+0,0))</f>
        <v>0</v>
      </c>
      <c r="CC370" s="60" t="n">
        <f aca="false">IFERROR(IF(OR(BT370=1,BT370=2,BT370=3),N(INDEX(Parameter!$I$5:$I$7,BT370)),0),0)</f>
        <v>0</v>
      </c>
      <c r="CD370" s="59" t="n">
        <f aca="false">IF(AND(Parameter!$B$21="Ja",ISNUMBER(U370),N(V370)&gt;0),IFERROR(N(INDEX(Parameter!$L$5:$L$7,U370))*INDEX(Parameter!$E$5:$E$7,U370)*V370/SUMIFS($V$7:$V$1576,$U$7:$U$1576,U370),0),0)</f>
        <v>0</v>
      </c>
    </row>
    <row r="371" customFormat="false" ht="15" hidden="false" customHeight="false" outlineLevel="0" collapsed="false">
      <c r="A371" s="55" t="s">
        <v>878</v>
      </c>
      <c r="B371" s="55" t="s">
        <v>571</v>
      </c>
      <c r="C371" s="55" t="s">
        <v>160</v>
      </c>
      <c r="D371" s="55" t="s">
        <v>178</v>
      </c>
      <c r="E371" s="55" t="s">
        <v>210</v>
      </c>
      <c r="F371" s="56" t="n">
        <v>28.04</v>
      </c>
      <c r="G371" s="57" t="n">
        <f aca="false">MAX(0,IF(AND(Parameter!$B$21="Ja",ISNUMBER(W371)),W371,IF(Parameter!$B$20="Jahresanfang 2025 + Export",BJ371+BI371,BI371)))</f>
        <v>0</v>
      </c>
      <c r="H371" s="57" t="n">
        <f aca="false">G371*F371</f>
        <v>0</v>
      </c>
      <c r="I371" s="57" t="n">
        <f aca="false">BL371*Parameter!$B$18</f>
        <v>218</v>
      </c>
      <c r="J371" s="58" t="n">
        <v>130.5</v>
      </c>
      <c r="K371" s="59" t="n">
        <v>1.67049808429119</v>
      </c>
      <c r="L371" s="57" t="n">
        <v>55</v>
      </c>
      <c r="M371" s="57" t="n">
        <v>130</v>
      </c>
      <c r="N371" s="60" t="n">
        <v>84</v>
      </c>
      <c r="O371" s="55" t="s">
        <v>411</v>
      </c>
      <c r="P371" s="57" t="n">
        <v>189</v>
      </c>
      <c r="Q371" s="60" t="n">
        <f aca="false">IF(BR371=1,0,IFERROR(VLOOKUP(BP371,'Gebinde-Kategorie'!$A$5:$M$45,13,0)+0,0))</f>
        <v>132</v>
      </c>
      <c r="R371" s="61"/>
      <c r="S371" s="62"/>
      <c r="T371" s="62"/>
      <c r="U371" s="55"/>
      <c r="V371" s="57"/>
      <c r="W371" s="57"/>
      <c r="X371" s="55" t="n">
        <f aca="false">IF(A371="","",IF(AND(Parameter!$B$21="Ja",ISNUMBER(U371)),U371,IF(IFERROR(VLOOKUP(D371,Parameter!$A$35:$C$64,2,0),"Nein")="2+3",IF(ISNUMBER(SEARCH("grosser Artikel",BM371)),2,IFERROR(VLOOKUP(BP371,Parameter!$F$35:$G$64,2,0),2)),IF(OR(IFERROR(VLOOKUP(D371,Parameter!$A$35:$C$64,2,0),"Nein")="Nein",IFERROR(VLOOKUP(D371,Parameter!$A$35:$C$64,2,0),"Nein")=""),"-",VLOOKUP(D371,Parameter!$A$35:$C$64,2,0)))))</f>
        <v>3</v>
      </c>
      <c r="Y371" s="62"/>
      <c r="Z371" s="63"/>
      <c r="AA371" s="57" t="n">
        <f aca="false">AP371</f>
        <v>189</v>
      </c>
      <c r="AB371" s="57" t="n">
        <f aca="false">MAX(AP371,G371)</f>
        <v>189</v>
      </c>
      <c r="AC371" s="64"/>
      <c r="AD371" s="57" t="n">
        <f aca="false">IF(LEFT(Cockpit!$C$5,1)="A",G371,IF(BW371=1,BX371,IF(LEFT(Cockpit!$C$5,1)="B",AH371,MAX(AH371,G371))))</f>
        <v>0</v>
      </c>
      <c r="AE371" s="57" t="n">
        <f aca="false">IF(BR371=1,0,ROUNDUP(AD371/BQ371,0))</f>
        <v>0</v>
      </c>
      <c r="AF371" s="59" t="n">
        <f aca="false">IF(CD371&gt;0,CD371*MAX(1,AD371/V371),IF(BR371=1,IF(AD371&lt;=0,0,BS371*MAX(1,IF(G371&gt;0,AD371/G371,1))),IF(Q371&gt;0,AE371/Q371,0))/MAX(0.1,N(Parameter!$M$21)))</f>
        <v>0</v>
      </c>
      <c r="AG371" s="57" t="n">
        <f aca="false">AD371*F371</f>
        <v>0</v>
      </c>
      <c r="AH371" s="57" t="n">
        <f aca="false">ROUNDUP(MAX(I371/IF(BV371&gt;0,BV371,MAX(0.1,N(Cockpit!$C$6))),BY371)/BQ371,0)*BQ371</f>
        <v>189</v>
      </c>
      <c r="AI371" s="58" t="n">
        <f aca="false">IF(AF371&gt;0,I371/AF371,-1)</f>
        <v>-1</v>
      </c>
      <c r="AJ371" s="58" t="str">
        <f aca="false">IF(AND(OR(BU371="L1",BU371="L23"),AF371&gt;0),SUMIFS($AF$7:$AF$1576,$BU$7:$BU$1576,BU371,$AI$7:$AI$1576,"&gt;"&amp;AI371)+SUMIFS($AF$7:$AF$1576,$BU$7:$BU$1576,BU371,$AI$7:$AI$1576,AI371,$BO$7:$BO$1576,"&lt;="&amp;BO371),"")</f>
        <v/>
      </c>
      <c r="AK371" s="65" t="n">
        <f aca="false">IF(AJ371="",0,MAX(0,MIN(1,(IF(BU371="L1",Parameter!$E$5,Parameter!$E$6+Parameter!$E$7)-(AJ371-AF371))/AF371)))</f>
        <v>0</v>
      </c>
      <c r="AL371" s="57" t="n">
        <f aca="false">IF(LEFT(Cockpit!$I$5,1)="A",G371,IF(BW371=1,BX371,IF(LEFT(Cockpit!$I$5,1)="B",AP371,MAX(AP371,G371))))</f>
        <v>189</v>
      </c>
      <c r="AM371" s="57" t="n">
        <f aca="false">IF(BR371=1,0,ROUNDUP(AL371/BQ371,0))</f>
        <v>1</v>
      </c>
      <c r="AN371" s="59" t="n">
        <f aca="false">IF(CD371&gt;0,CD371*MAX(1,AL371/V371),IF(BR371=1,IF(AL371&lt;=0,0,BS371*MAX(1,IF(G371&gt;0,AL371/G371,1))),IF(Q371&gt;0,AM371/Q371,0))/MAX(0.1,N(Parameter!$M$21)))</f>
        <v>0.00757575757575758</v>
      </c>
      <c r="AO371" s="57" t="n">
        <f aca="false">AL371*F371</f>
        <v>5299.56</v>
      </c>
      <c r="AP371" s="57" t="n">
        <f aca="false">ROUNDUP(MAX(I371/IF(BV371&gt;0,BV371,MAX(0.1,N(Cockpit!$I$6))),BY371)/BQ371,0)*BQ371</f>
        <v>189</v>
      </c>
      <c r="AQ371" s="58" t="n">
        <f aca="false">IF(AN371&gt;0,I371/AN371,-1)</f>
        <v>28776</v>
      </c>
      <c r="AR371" s="58" t="n">
        <f aca="false">IF(AND(OR(BU371="L1",BU371="L23"),AN371&gt;0),SUMIFS($AN$7:$AN$1576,$BU$7:$BU$1576,BU371,$AQ$7:$AQ$1576,"&gt;"&amp;AQ371)+SUMIFS($AN$7:$AN$1576,$BU$7:$BU$1576,BU371,$AQ$7:$AQ$1576,AQ371,$BO$7:$BO$1576,"&lt;="&amp;BO371),"")</f>
        <v>3.05672477281173</v>
      </c>
      <c r="AS371" s="65" t="n">
        <f aca="false">IF(AR371="",0,MAX(0,MIN(1,(IF(BU371="L1",Parameter!$E$5,Parameter!$E$6+Parameter!$E$7)-(AR371-AN371))/AN371)))</f>
        <v>1</v>
      </c>
      <c r="AT371" s="57" t="n">
        <f aca="false">IF(LEFT(Cockpit!$O$5,1)="A",G371,IF(BW371=1,BX371,IF(LEFT(Cockpit!$O$5,1)="B",AX371,MAX(AX371,G371))))</f>
        <v>189</v>
      </c>
      <c r="AU371" s="57" t="n">
        <f aca="false">IF(BR371=1,0,ROUNDUP(AT371/BQ371,0))</f>
        <v>1</v>
      </c>
      <c r="AV371" s="59" t="n">
        <f aca="false">IF(CD371&gt;0,CD371*MAX(1,AT371/V371),IF(BR371=1,IF(AT371&lt;=0,0,BS371*MAX(1,IF(G371&gt;0,AT371/G371,1))),IF(Q371&gt;0,AU371/Q371,0))/MAX(0.1,N(Parameter!$M$21)))</f>
        <v>0.00757575757575758</v>
      </c>
      <c r="AW371" s="57" t="n">
        <f aca="false">AT371*F371</f>
        <v>5299.56</v>
      </c>
      <c r="AX371" s="57" t="n">
        <f aca="false">ROUNDUP(MAX(I371/IF(BV371&gt;0,BV371,MAX(0.1,N(Cockpit!$O$6))),BY371)/BQ371,0)*BQ371</f>
        <v>189</v>
      </c>
      <c r="AY371" s="58" t="n">
        <f aca="false">IF(AV371&gt;0,I371/AV371,-1)</f>
        <v>28776</v>
      </c>
      <c r="AZ371" s="58" t="n">
        <f aca="false">IF(AND(OR(BU371="L1",BU371="L23"),AV371&gt;0),SUMIFS($AV$7:$AV$1576,$BU$7:$BU$1576,BU371,$AY$7:$AY$1576,"&gt;"&amp;AY371)+SUMIFS($AV$7:$AV$1576,$BU$7:$BU$1576,BU371,$AY$7:$AY$1576,AY371,$BO$7:$BO$1576,"&lt;="&amp;BO371),"")</f>
        <v>2.824790040877</v>
      </c>
      <c r="BA371" s="65" t="n">
        <f aca="false">IF(AZ371="",0,MAX(0,MIN(1,(IF(BU371="L1",Parameter!$E$5,Parameter!$E$6+Parameter!$E$7)-(AZ371-AV371))/AV371)))</f>
        <v>1</v>
      </c>
      <c r="BB371" s="55" t="str">
        <f aca="false">IF(AF371&lt;=0,"",IF(BU371="Aussen","Aussenlager",IF(BU371="-","Nicht im Lift",IF(AK371&gt;=1,"Lift",IF(AK371&lt;=0,"Aussenlager","teilweise")))))</f>
        <v/>
      </c>
      <c r="BC371" s="55" t="str">
        <f aca="false">IF(AN371&lt;=0,"",IF(BU371="Aussen","Aussenlager",IF(BU371="-","Nicht im Lift",IF(AS371&gt;=1,"Lift",IF(AS371&lt;=0,"Aussenlager","teilweise")))))</f>
        <v>Lift</v>
      </c>
      <c r="BD371" s="55" t="str">
        <f aca="false">IF(AV371&lt;=0,"",IF(BU371="Aussen","Aussenlager",IF(BU371="-","Nicht im Lift",IF(BA371&gt;=1,"Lift",IF(BA371&lt;=0,"Aussenlager","teilweise")))))</f>
        <v>Lift</v>
      </c>
      <c r="BE371" s="55" t="str">
        <f aca="false">IF(A371="","",IF(BN371=1,"Neu; ","")&amp;IF(AND(BN371=0,BI371&lt;0),"negativer Bestand (Export "&amp;BI371&amp;"); ","")&amp;IF(I371&lt;=0,"Kein Verbrauch; ","")&amp;IF(CD371&gt;0,"Lift "&amp;U371&amp;" lt. Liftbericht (Fach "&amp;V371&amp;" Stk); ",IF(BR371=1,"Lose – Fläche geschätzt; ",""))&amp;IF(G371&gt;AP371,"Überbestand "&amp;ROUND(G371-AP371,0)&amp;" Stk / CHF "&amp;ROUND((G371-AP371)*F371,0)&amp;"; ","")&amp;IF(AND(BW371=1,BX371&lt;BY371),"MAX &lt; MB+LG; ","")&amp;IF(AND(CC371&gt;0,CB371*10&gt;CC371),"zu hoch für Tablar; ","")&amp;IF(AND(BN371=0,OR(BW371=1,Y371&lt;&gt;"",S371&lt;&gt;"",T371&lt;&gt;"",Z371&lt;&gt;"")),"manuell übersteuert; ","")&amp;IF(AND(BR371=0,Q371=0),"Gebinde unbekannt / Stellmass fehlt; ","")&amp;IF(AND(BR371=0,N(T371)&lt;=0,N(P371)&lt;=0),"Menge pro Gebinde fehlt (Ist = 1 Gebinde); ","")&amp;BM371)</f>
        <v>negativer Bestand (Export -20); </v>
      </c>
      <c r="BF371" s="55"/>
      <c r="BG371" s="55"/>
      <c r="BH371" s="62"/>
      <c r="BI371" s="57" t="n">
        <v>-20</v>
      </c>
      <c r="BJ371" s="57" t="n">
        <v>179</v>
      </c>
      <c r="BK371" s="56" t="n">
        <v>148.479999999999</v>
      </c>
      <c r="BL371" s="57" t="n">
        <v>218</v>
      </c>
      <c r="BM371" s="55"/>
      <c r="BN371" s="60" t="n">
        <v>0</v>
      </c>
      <c r="BO371" s="60" t="n">
        <v>371</v>
      </c>
      <c r="BP371" s="55" t="str">
        <f aca="false">IF(S371&lt;&gt;"",UPPER(TRIM(S371)),IF(O371="","LOSE",O371))</f>
        <v>S32</v>
      </c>
      <c r="BQ371" s="57" t="n">
        <f aca="false">IF(BP371="LOSE",1,IF(N(T371)&gt;0,T371,IF(N(P371)&gt;0,P371,MAX(1,G371))))</f>
        <v>189</v>
      </c>
      <c r="BR371" s="60" t="n">
        <f aca="false">IF(BP371="LOSE",1,0)</f>
        <v>0</v>
      </c>
      <c r="BS371" s="59" t="n">
        <f aca="false">IF(BR371=0,0,IF(N(R371)&gt;0,R371,IFERROR(VLOOKUP(D371,Parameter!$A$35:$C$64,3,0)+0,0)))</f>
        <v>0</v>
      </c>
      <c r="BT371" s="55" t="n">
        <f aca="false">IF(Y371&lt;&gt;"",Y371,X371)</f>
        <v>3</v>
      </c>
      <c r="BU371" s="55" t="str">
        <f aca="false">IF(BT371=1,"L1",IF(OR(BT371=2,BT371=3),"L23",IF(BT371="Aussen","Aussen","-")))</f>
        <v>L23</v>
      </c>
      <c r="BV371" s="66" t="n">
        <f aca="false">IF(N(Z371)&gt;0,Z371,0)</f>
        <v>0</v>
      </c>
      <c r="BW371" s="60" t="n">
        <f aca="false">IF(ISNUMBER(AC371),1,0)</f>
        <v>0</v>
      </c>
      <c r="BX371" s="57" t="n">
        <f aca="false">N(AC371)</f>
        <v>0</v>
      </c>
      <c r="BY371" s="57" t="n">
        <f aca="false">N(L371)+N(M371)</f>
        <v>185</v>
      </c>
      <c r="BZ371" s="57" t="n">
        <f aca="false">ROUNDUP(G371/BQ371,0)</f>
        <v>0</v>
      </c>
      <c r="CA371" s="57" t="n">
        <f aca="false">ROUNDUP(BX371/BQ371,0)</f>
        <v>0</v>
      </c>
      <c r="CB371" s="60" t="n">
        <f aca="false">IF(BR371=1,0,IFERROR(VLOOKUP(BP371,'Gebinde-Kategorie'!$A$5:$M$45,5,0)+0,0))</f>
        <v>8</v>
      </c>
      <c r="CC371" s="60" t="n">
        <f aca="false">IFERROR(IF(OR(BT371=1,BT371=2,BT371=3),N(INDEX(Parameter!$I$5:$I$7,BT371)),0),0)</f>
        <v>0</v>
      </c>
      <c r="CD371" s="59" t="n">
        <f aca="false">IF(AND(Parameter!$B$21="Ja",ISNUMBER(U371),N(V371)&gt;0),IFERROR(N(INDEX(Parameter!$L$5:$L$7,U371))*INDEX(Parameter!$E$5:$E$7,U371)*V371/SUMIFS($V$7:$V$1576,$U$7:$U$1576,U371),0),0)</f>
        <v>0</v>
      </c>
    </row>
    <row r="372" customFormat="false" ht="15" hidden="false" customHeight="false" outlineLevel="0" collapsed="false">
      <c r="A372" s="55" t="s">
        <v>879</v>
      </c>
      <c r="B372" s="55" t="s">
        <v>395</v>
      </c>
      <c r="C372" s="55" t="s">
        <v>160</v>
      </c>
      <c r="D372" s="55" t="s">
        <v>178</v>
      </c>
      <c r="E372" s="55" t="s">
        <v>210</v>
      </c>
      <c r="F372" s="56" t="n">
        <v>0.22</v>
      </c>
      <c r="G372" s="57" t="n">
        <f aca="false">MAX(0,IF(AND(Parameter!$B$21="Ja",ISNUMBER(W372)),W372,IF(Parameter!$B$20="Jahresanfang 2025 + Export",BJ372+BI372,BI372)))</f>
        <v>671</v>
      </c>
      <c r="H372" s="57" t="n">
        <f aca="false">G372*F372</f>
        <v>147.62</v>
      </c>
      <c r="I372" s="57" t="n">
        <f aca="false">BL372*Parameter!$B$18</f>
        <v>1248</v>
      </c>
      <c r="J372" s="58" t="n">
        <v>405</v>
      </c>
      <c r="K372" s="59" t="n">
        <v>3.08148148148148</v>
      </c>
      <c r="L372" s="57" t="n">
        <v>72</v>
      </c>
      <c r="M372" s="57" t="n">
        <v>1300</v>
      </c>
      <c r="N372" s="60" t="n">
        <v>21</v>
      </c>
      <c r="O372" s="55" t="s">
        <v>293</v>
      </c>
      <c r="P372" s="57" t="n">
        <v>496</v>
      </c>
      <c r="Q372" s="60" t="n">
        <f aca="false">IF(BR372=1,0,IFERROR(VLOOKUP(BP372,'Gebinde-Kategorie'!$A$5:$M$45,13,0)+0,0))</f>
        <v>26</v>
      </c>
      <c r="R372" s="61"/>
      <c r="S372" s="62"/>
      <c r="T372" s="62"/>
      <c r="U372" s="55"/>
      <c r="V372" s="57"/>
      <c r="W372" s="57"/>
      <c r="X372" s="55" t="n">
        <f aca="false">IF(A372="","",IF(AND(Parameter!$B$21="Ja",ISNUMBER(U372)),U372,IF(IFERROR(VLOOKUP(D372,Parameter!$A$35:$C$64,2,0),"Nein")="2+3",IF(ISNUMBER(SEARCH("grosser Artikel",BM372)),2,IFERROR(VLOOKUP(BP372,Parameter!$F$35:$G$64,2,0),2)),IF(OR(IFERROR(VLOOKUP(D372,Parameter!$A$35:$C$64,2,0),"Nein")="Nein",IFERROR(VLOOKUP(D372,Parameter!$A$35:$C$64,2,0),"Nein")=""),"-",VLOOKUP(D372,Parameter!$A$35:$C$64,2,0)))))</f>
        <v>3</v>
      </c>
      <c r="Y372" s="62"/>
      <c r="Z372" s="63"/>
      <c r="AA372" s="57" t="n">
        <f aca="false">AP372</f>
        <v>1488</v>
      </c>
      <c r="AB372" s="57" t="n">
        <f aca="false">MAX(AP372,G372)</f>
        <v>1488</v>
      </c>
      <c r="AC372" s="64"/>
      <c r="AD372" s="57" t="n">
        <f aca="false">IF(LEFT(Cockpit!$C$5,1)="A",G372,IF(BW372=1,BX372,IF(LEFT(Cockpit!$C$5,1)="B",AH372,MAX(AH372,G372))))</f>
        <v>671</v>
      </c>
      <c r="AE372" s="57" t="n">
        <f aca="false">IF(BR372=1,0,ROUNDUP(AD372/BQ372,0))</f>
        <v>2</v>
      </c>
      <c r="AF372" s="59" t="n">
        <f aca="false">IF(CD372&gt;0,CD372*MAX(1,AD372/V372),IF(BR372=1,IF(AD372&lt;=0,0,BS372*MAX(1,IF(G372&gt;0,AD372/G372,1))),IF(Q372&gt;0,AE372/Q372,0))/MAX(0.1,N(Parameter!$M$21)))</f>
        <v>0.0769230769230769</v>
      </c>
      <c r="AG372" s="57" t="n">
        <f aca="false">AD372*F372</f>
        <v>147.62</v>
      </c>
      <c r="AH372" s="57" t="n">
        <f aca="false">ROUNDUP(MAX(I372/IF(BV372&gt;0,BV372,MAX(0.1,N(Cockpit!$C$6))),BY372)/BQ372,0)*BQ372</f>
        <v>1488</v>
      </c>
      <c r="AI372" s="58" t="n">
        <f aca="false">IF(AF372&gt;0,I372/AF372,-1)</f>
        <v>16224</v>
      </c>
      <c r="AJ372" s="58" t="n">
        <f aca="false">IF(AND(OR(BU372="L1",BU372="L23"),AF372&gt;0),SUMIFS($AF$7:$AF$1576,$BU$7:$BU$1576,BU372,$AI$7:$AI$1576,"&gt;"&amp;AI372)+SUMIFS($AF$7:$AF$1576,$BU$7:$BU$1576,BU372,$AI$7:$AI$1576,AI372,$BO$7:$BO$1576,"&lt;="&amp;BO372),"")</f>
        <v>2.23417283199892</v>
      </c>
      <c r="AK372" s="65" t="n">
        <f aca="false">IF(AJ372="",0,MAX(0,MIN(1,(IF(BU372="L1",Parameter!$E$5,Parameter!$E$6+Parameter!$E$7)-(AJ372-AF372))/AF372)))</f>
        <v>1</v>
      </c>
      <c r="AL372" s="57" t="n">
        <f aca="false">IF(LEFT(Cockpit!$I$5,1)="A",G372,IF(BW372=1,BX372,IF(LEFT(Cockpit!$I$5,1)="B",AP372,MAX(AP372,G372))))</f>
        <v>1488</v>
      </c>
      <c r="AM372" s="57" t="n">
        <f aca="false">IF(BR372=1,0,ROUNDUP(AL372/BQ372,0))</f>
        <v>3</v>
      </c>
      <c r="AN372" s="59" t="n">
        <f aca="false">IF(CD372&gt;0,CD372*MAX(1,AL372/V372),IF(BR372=1,IF(AL372&lt;=0,0,BS372*MAX(1,IF(G372&gt;0,AL372/G372,1))),IF(Q372&gt;0,AM372/Q372,0))/MAX(0.1,N(Parameter!$M$21)))</f>
        <v>0.115384615384615</v>
      </c>
      <c r="AO372" s="57" t="n">
        <f aca="false">AL372*F372</f>
        <v>327.36</v>
      </c>
      <c r="AP372" s="57" t="n">
        <f aca="false">ROUNDUP(MAX(I372/IF(BV372&gt;0,BV372,MAX(0.1,N(Cockpit!$I$6))),BY372)/BQ372,0)*BQ372</f>
        <v>1488</v>
      </c>
      <c r="AQ372" s="58" t="n">
        <f aca="false">IF(AN372&gt;0,I372/AN372,-1)</f>
        <v>10816</v>
      </c>
      <c r="AR372" s="58" t="n">
        <f aca="false">IF(AND(OR(BU372="L1",BU372="L23"),AN372&gt;0),SUMIFS($AN$7:$AN$1576,$BU$7:$BU$1576,BU372,$AQ$7:$AQ$1576,"&gt;"&amp;AQ372)+SUMIFS($AN$7:$AN$1576,$BU$7:$BU$1576,BU372,$AQ$7:$AQ$1576,AQ372,$BO$7:$BO$1576,"&lt;="&amp;BO372),"")</f>
        <v>6.96199689199689</v>
      </c>
      <c r="AS372" s="65" t="n">
        <f aca="false">IF(AR372="",0,MAX(0,MIN(1,(IF(BU372="L1",Parameter!$E$5,Parameter!$E$6+Parameter!$E$7)-(AR372-AN372))/AN372)))</f>
        <v>1</v>
      </c>
      <c r="AT372" s="57" t="n">
        <f aca="false">IF(LEFT(Cockpit!$O$5,1)="A",G372,IF(BW372=1,BX372,IF(LEFT(Cockpit!$O$5,1)="B",AX372,MAX(AX372,G372))))</f>
        <v>1488</v>
      </c>
      <c r="AU372" s="57" t="n">
        <f aca="false">IF(BR372=1,0,ROUNDUP(AT372/BQ372,0))</f>
        <v>3</v>
      </c>
      <c r="AV372" s="59" t="n">
        <f aca="false">IF(CD372&gt;0,CD372*MAX(1,AT372/V372),IF(BR372=1,IF(AT372&lt;=0,0,BS372*MAX(1,IF(G372&gt;0,AT372/G372,1))),IF(Q372&gt;0,AU372/Q372,0))/MAX(0.1,N(Parameter!$M$21)))</f>
        <v>0.115384615384615</v>
      </c>
      <c r="AW372" s="57" t="n">
        <f aca="false">AT372*F372</f>
        <v>327.36</v>
      </c>
      <c r="AX372" s="57" t="n">
        <f aca="false">ROUNDUP(MAX(I372/IF(BV372&gt;0,BV372,MAX(0.1,N(Cockpit!$O$6))),BY372)/BQ372,0)*BQ372</f>
        <v>1488</v>
      </c>
      <c r="AY372" s="58" t="n">
        <f aca="false">IF(AV372&gt;0,I372/AV372,-1)</f>
        <v>10816</v>
      </c>
      <c r="AZ372" s="58" t="n">
        <f aca="false">IF(AND(OR(BU372="L1",BU372="L23"),AV372&gt;0),SUMIFS($AV$7:$AV$1576,$BU$7:$BU$1576,BU372,$AY$7:$AY$1576,"&gt;"&amp;AY372)+SUMIFS($AV$7:$AV$1576,$BU$7:$BU$1576,BU372,$AY$7:$AY$1576,AY372,$BO$7:$BO$1576,"&lt;="&amp;BO372),"")</f>
        <v>6.66362859362859</v>
      </c>
      <c r="BA372" s="65" t="n">
        <f aca="false">IF(AZ372="",0,MAX(0,MIN(1,(IF(BU372="L1",Parameter!$E$5,Parameter!$E$6+Parameter!$E$7)-(AZ372-AV372))/AV372)))</f>
        <v>1</v>
      </c>
      <c r="BB372" s="55" t="str">
        <f aca="false">IF(AF372&lt;=0,"",IF(BU372="Aussen","Aussenlager",IF(BU372="-","Nicht im Lift",IF(AK372&gt;=1,"Lift",IF(AK372&lt;=0,"Aussenlager","teilweise")))))</f>
        <v>Lift</v>
      </c>
      <c r="BC372" s="55" t="str">
        <f aca="false">IF(AN372&lt;=0,"",IF(BU372="Aussen","Aussenlager",IF(BU372="-","Nicht im Lift",IF(AS372&gt;=1,"Lift",IF(AS372&lt;=0,"Aussenlager","teilweise")))))</f>
        <v>Lift</v>
      </c>
      <c r="BD372" s="55" t="str">
        <f aca="false">IF(AV372&lt;=0,"",IF(BU372="Aussen","Aussenlager",IF(BU372="-","Nicht im Lift",IF(BA372&gt;=1,"Lift",IF(BA372&lt;=0,"Aussenlager","teilweise")))))</f>
        <v>Lift</v>
      </c>
      <c r="BE372" s="55" t="str">
        <f aca="false">IF(A372="","",IF(BN372=1,"Neu; ","")&amp;IF(AND(BN372=0,BI372&lt;0),"negativer Bestand (Export "&amp;BI372&amp;"); ","")&amp;IF(I372&lt;=0,"Kein Verbrauch; ","")&amp;IF(CD372&gt;0,"Lift "&amp;U372&amp;" lt. Liftbericht (Fach "&amp;V372&amp;" Stk); ",IF(BR372=1,"Lose – Fläche geschätzt; ",""))&amp;IF(G372&gt;AP372,"Überbestand "&amp;ROUND(G372-AP372,0)&amp;" Stk / CHF "&amp;ROUND((G372-AP372)*F372,0)&amp;"; ","")&amp;IF(AND(BW372=1,BX372&lt;BY372),"MAX &lt; MB+LG; ","")&amp;IF(AND(CC372&gt;0,CB372*10&gt;CC372),"zu hoch für Tablar; ","")&amp;IF(AND(BN372=0,OR(BW372=1,Y372&lt;&gt;"",S372&lt;&gt;"",T372&lt;&gt;"",Z372&lt;&gt;"")),"manuell übersteuert; ","")&amp;IF(AND(BR372=0,Q372=0),"Gebinde unbekannt / Stellmass fehlt; ","")&amp;IF(AND(BR372=0,N(T372)&lt;=0,N(P372)&lt;=0),"Menge pro Gebinde fehlt (Ist = 1 Gebinde); ","")&amp;BM372)</f>
        <v/>
      </c>
      <c r="BF372" s="55"/>
      <c r="BG372" s="55"/>
      <c r="BH372" s="62"/>
      <c r="BI372" s="57" t="n">
        <v>671</v>
      </c>
      <c r="BJ372" s="57" t="n">
        <v>478</v>
      </c>
      <c r="BK372" s="56" t="n">
        <v>147.62</v>
      </c>
      <c r="BL372" s="57" t="n">
        <v>1248</v>
      </c>
      <c r="BM372" s="55"/>
      <c r="BN372" s="60" t="n">
        <v>0</v>
      </c>
      <c r="BO372" s="60" t="n">
        <v>372</v>
      </c>
      <c r="BP372" s="55" t="str">
        <f aca="false">IF(S372&lt;&gt;"",UPPER(TRIM(S372)),IF(O372="","LOSE",O372))</f>
        <v>S51</v>
      </c>
      <c r="BQ372" s="57" t="n">
        <f aca="false">IF(BP372="LOSE",1,IF(N(T372)&gt;0,T372,IF(N(P372)&gt;0,P372,MAX(1,G372))))</f>
        <v>496</v>
      </c>
      <c r="BR372" s="60" t="n">
        <f aca="false">IF(BP372="LOSE",1,0)</f>
        <v>0</v>
      </c>
      <c r="BS372" s="59" t="n">
        <f aca="false">IF(BR372=0,0,IF(N(R372)&gt;0,R372,IFERROR(VLOOKUP(D372,Parameter!$A$35:$C$64,3,0)+0,0)))</f>
        <v>0</v>
      </c>
      <c r="BT372" s="55" t="n">
        <f aca="false">IF(Y372&lt;&gt;"",Y372,X372)</f>
        <v>3</v>
      </c>
      <c r="BU372" s="55" t="str">
        <f aca="false">IF(BT372=1,"L1",IF(OR(BT372=2,BT372=3),"L23",IF(BT372="Aussen","Aussen","-")))</f>
        <v>L23</v>
      </c>
      <c r="BV372" s="66" t="n">
        <f aca="false">IF(N(Z372)&gt;0,Z372,0)</f>
        <v>0</v>
      </c>
      <c r="BW372" s="60" t="n">
        <f aca="false">IF(ISNUMBER(AC372),1,0)</f>
        <v>0</v>
      </c>
      <c r="BX372" s="57" t="n">
        <f aca="false">N(AC372)</f>
        <v>0</v>
      </c>
      <c r="BY372" s="57" t="n">
        <f aca="false">N(L372)+N(M372)</f>
        <v>1372</v>
      </c>
      <c r="BZ372" s="57" t="n">
        <f aca="false">ROUNDUP(G372/BQ372,0)</f>
        <v>2</v>
      </c>
      <c r="CA372" s="57" t="n">
        <f aca="false">ROUNDUP(BX372/BQ372,0)</f>
        <v>0</v>
      </c>
      <c r="CB372" s="60" t="n">
        <f aca="false">IF(BR372=1,0,IFERROR(VLOOKUP(BP372,'Gebinde-Kategorie'!$A$5:$M$45,5,0)+0,0))</f>
        <v>11</v>
      </c>
      <c r="CC372" s="60" t="n">
        <f aca="false">IFERROR(IF(OR(BT372=1,BT372=2,BT372=3),N(INDEX(Parameter!$I$5:$I$7,BT372)),0),0)</f>
        <v>0</v>
      </c>
      <c r="CD372" s="59" t="n">
        <f aca="false">IF(AND(Parameter!$B$21="Ja",ISNUMBER(U372),N(V372)&gt;0),IFERROR(N(INDEX(Parameter!$L$5:$L$7,U372))*INDEX(Parameter!$E$5:$E$7,U372)*V372/SUMIFS($V$7:$V$1576,$U$7:$U$1576,U372),0),0)</f>
        <v>0</v>
      </c>
    </row>
    <row r="373" customFormat="false" ht="15" hidden="false" customHeight="false" outlineLevel="0" collapsed="false">
      <c r="A373" s="55" t="s">
        <v>880</v>
      </c>
      <c r="B373" s="55" t="s">
        <v>881</v>
      </c>
      <c r="C373" s="55" t="s">
        <v>160</v>
      </c>
      <c r="D373" s="55" t="s">
        <v>178</v>
      </c>
      <c r="E373" s="55" t="s">
        <v>210</v>
      </c>
      <c r="F373" s="56" t="n">
        <v>16.45</v>
      </c>
      <c r="G373" s="57" t="n">
        <f aca="false">MAX(0,IF(AND(Parameter!$B$21="Ja",ISNUMBER(W373)),W373,IF(Parameter!$B$20="Jahresanfang 2025 + Export",BJ373+BI373,BI373)))</f>
        <v>9</v>
      </c>
      <c r="H373" s="57" t="n">
        <f aca="false">G373*F373</f>
        <v>148.05</v>
      </c>
      <c r="I373" s="57" t="n">
        <f aca="false">BL373*Parameter!$B$18</f>
        <v>20</v>
      </c>
      <c r="J373" s="58" t="n">
        <v>8.5</v>
      </c>
      <c r="K373" s="59" t="n">
        <v>2.35294117647059</v>
      </c>
      <c r="L373" s="57" t="n">
        <v>0</v>
      </c>
      <c r="M373" s="57" t="n">
        <v>20</v>
      </c>
      <c r="N373" s="60" t="n">
        <v>14</v>
      </c>
      <c r="O373" s="55" t="s">
        <v>319</v>
      </c>
      <c r="P373" s="57" t="n">
        <v>16</v>
      </c>
      <c r="Q373" s="60" t="n">
        <f aca="false">IF(BR373=1,0,IFERROR(VLOOKUP(BP373,'Gebinde-Kategorie'!$A$5:$M$45,13,0)+0,0))</f>
        <v>52</v>
      </c>
      <c r="R373" s="61"/>
      <c r="S373" s="62"/>
      <c r="T373" s="62"/>
      <c r="U373" s="55"/>
      <c r="V373" s="57"/>
      <c r="W373" s="57"/>
      <c r="X373" s="55" t="n">
        <f aca="false">IF(A373="","",IF(AND(Parameter!$B$21="Ja",ISNUMBER(U373)),U373,IF(IFERROR(VLOOKUP(D373,Parameter!$A$35:$C$64,2,0),"Nein")="2+3",IF(ISNUMBER(SEARCH("grosser Artikel",BM373)),2,IFERROR(VLOOKUP(BP373,Parameter!$F$35:$G$64,2,0),2)),IF(OR(IFERROR(VLOOKUP(D373,Parameter!$A$35:$C$64,2,0),"Nein")="Nein",IFERROR(VLOOKUP(D373,Parameter!$A$35:$C$64,2,0),"Nein")=""),"-",VLOOKUP(D373,Parameter!$A$35:$C$64,2,0)))))</f>
        <v>3</v>
      </c>
      <c r="Y373" s="62"/>
      <c r="Z373" s="63"/>
      <c r="AA373" s="57" t="n">
        <f aca="false">AP373</f>
        <v>32</v>
      </c>
      <c r="AB373" s="57" t="n">
        <f aca="false">MAX(AP373,G373)</f>
        <v>32</v>
      </c>
      <c r="AC373" s="64"/>
      <c r="AD373" s="57" t="n">
        <f aca="false">IF(LEFT(Cockpit!$C$5,1)="A",G373,IF(BW373=1,BX373,IF(LEFT(Cockpit!$C$5,1)="B",AH373,MAX(AH373,G373))))</f>
        <v>9</v>
      </c>
      <c r="AE373" s="57" t="n">
        <f aca="false">IF(BR373=1,0,ROUNDUP(AD373/BQ373,0))</f>
        <v>1</v>
      </c>
      <c r="AF373" s="59" t="n">
        <f aca="false">IF(CD373&gt;0,CD373*MAX(1,AD373/V373),IF(BR373=1,IF(AD373&lt;=0,0,BS373*MAX(1,IF(G373&gt;0,AD373/G373,1))),IF(Q373&gt;0,AE373/Q373,0))/MAX(0.1,N(Parameter!$M$21)))</f>
        <v>0.0192307692307692</v>
      </c>
      <c r="AG373" s="57" t="n">
        <f aca="false">AD373*F373</f>
        <v>148.05</v>
      </c>
      <c r="AH373" s="57" t="n">
        <f aca="false">ROUNDUP(MAX(I373/IF(BV373&gt;0,BV373,MAX(0.1,N(Cockpit!$C$6))),BY373)/BQ373,0)*BQ373</f>
        <v>32</v>
      </c>
      <c r="AI373" s="58" t="n">
        <f aca="false">IF(AF373&gt;0,I373/AF373,-1)</f>
        <v>1040</v>
      </c>
      <c r="AJ373" s="58" t="n">
        <f aca="false">IF(AND(OR(BU373="L1",BU373="L23"),AF373&gt;0),SUMIFS($AF$7:$AF$1576,$BU$7:$BU$1576,BU373,$AI$7:$AI$1576,"&gt;"&amp;AI373)+SUMIFS($AF$7:$AF$1576,$BU$7:$BU$1576,BU373,$AI$7:$AI$1576,AI373,$BO$7:$BO$1576,"&lt;="&amp;BO373),"")</f>
        <v>8.94621769534813</v>
      </c>
      <c r="AK373" s="65" t="n">
        <f aca="false">IF(AJ373="",0,MAX(0,MIN(1,(IF(BU373="L1",Parameter!$E$5,Parameter!$E$6+Parameter!$E$7)-(AJ373-AF373))/AF373)))</f>
        <v>1</v>
      </c>
      <c r="AL373" s="57" t="n">
        <f aca="false">IF(LEFT(Cockpit!$I$5,1)="A",G373,IF(BW373=1,BX373,IF(LEFT(Cockpit!$I$5,1)="B",AP373,MAX(AP373,G373))))</f>
        <v>32</v>
      </c>
      <c r="AM373" s="57" t="n">
        <f aca="false">IF(BR373=1,0,ROUNDUP(AL373/BQ373,0))</f>
        <v>2</v>
      </c>
      <c r="AN373" s="59" t="n">
        <f aca="false">IF(CD373&gt;0,CD373*MAX(1,AL373/V373),IF(BR373=1,IF(AL373&lt;=0,0,BS373*MAX(1,IF(G373&gt;0,AL373/G373,1))),IF(Q373&gt;0,AM373/Q373,0))/MAX(0.1,N(Parameter!$M$21)))</f>
        <v>0.0384615384615385</v>
      </c>
      <c r="AO373" s="57" t="n">
        <f aca="false">AL373*F373</f>
        <v>526.4</v>
      </c>
      <c r="AP373" s="57" t="n">
        <f aca="false">ROUNDUP(MAX(I373/IF(BV373&gt;0,BV373,MAX(0.1,N(Cockpit!$I$6))),BY373)/BQ373,0)*BQ373</f>
        <v>32</v>
      </c>
      <c r="AQ373" s="58" t="n">
        <f aca="false">IF(AN373&gt;0,I373/AN373,-1)</f>
        <v>520</v>
      </c>
      <c r="AR373" s="58" t="n">
        <f aca="false">IF(AND(OR(BU373="L1",BU373="L23"),AN373&gt;0),SUMIFS($AN$7:$AN$1576,$BU$7:$BU$1576,BU373,$AQ$7:$AQ$1576,"&gt;"&amp;AQ373)+SUMIFS($AN$7:$AN$1576,$BU$7:$BU$1576,BU373,$AQ$7:$AQ$1576,AQ373,$BO$7:$BO$1576,"&lt;="&amp;BO373),"")</f>
        <v>33.2237586209437</v>
      </c>
      <c r="AS373" s="65" t="n">
        <f aca="false">IF(AR373="",0,MAX(0,MIN(1,(IF(BU373="L1",Parameter!$E$5,Parameter!$E$6+Parameter!$E$7)-(AR373-AN373))/AN373)))</f>
        <v>1</v>
      </c>
      <c r="AT373" s="57" t="n">
        <f aca="false">IF(LEFT(Cockpit!$O$5,1)="A",G373,IF(BW373=1,BX373,IF(LEFT(Cockpit!$O$5,1)="B",AX373,MAX(AX373,G373))))</f>
        <v>32</v>
      </c>
      <c r="AU373" s="57" t="n">
        <f aca="false">IF(BR373=1,0,ROUNDUP(AT373/BQ373,0))</f>
        <v>2</v>
      </c>
      <c r="AV373" s="59" t="n">
        <f aca="false">IF(CD373&gt;0,CD373*MAX(1,AT373/V373),IF(BR373=1,IF(AT373&lt;=0,0,BS373*MAX(1,IF(G373&gt;0,AT373/G373,1))),IF(Q373&gt;0,AU373/Q373,0))/MAX(0.1,N(Parameter!$M$21)))</f>
        <v>0.0384615384615385</v>
      </c>
      <c r="AW373" s="57" t="n">
        <f aca="false">AT373*F373</f>
        <v>526.4</v>
      </c>
      <c r="AX373" s="57" t="n">
        <f aca="false">ROUNDUP(MAX(I373/IF(BV373&gt;0,BV373,MAX(0.1,N(Cockpit!$O$6))),BY373)/BQ373,0)*BQ373</f>
        <v>32</v>
      </c>
      <c r="AY373" s="58" t="n">
        <f aca="false">IF(AV373&gt;0,I373/AV373,-1)</f>
        <v>520</v>
      </c>
      <c r="AZ373" s="58" t="n">
        <f aca="false">IF(AND(OR(BU373="L1",BU373="L23"),AV373&gt;0),SUMIFS($AV$7:$AV$1576,$BU$7:$BU$1576,BU373,$AY$7:$AY$1576,"&gt;"&amp;AY373)+SUMIFS($AV$7:$AV$1576,$BU$7:$BU$1576,BU373,$AY$7:$AY$1576,AY373,$BO$7:$BO$1576,"&lt;="&amp;BO373),"")</f>
        <v>31.3004452676303</v>
      </c>
      <c r="BA373" s="65" t="n">
        <f aca="false">IF(AZ373="",0,MAX(0,MIN(1,(IF(BU373="L1",Parameter!$E$5,Parameter!$E$6+Parameter!$E$7)-(AZ373-AV373))/AV373)))</f>
        <v>1</v>
      </c>
      <c r="BB373" s="55" t="str">
        <f aca="false">IF(AF373&lt;=0,"",IF(BU373="Aussen","Aussenlager",IF(BU373="-","Nicht im Lift",IF(AK373&gt;=1,"Lift",IF(AK373&lt;=0,"Aussenlager","teilweise")))))</f>
        <v>Lift</v>
      </c>
      <c r="BC373" s="55" t="str">
        <f aca="false">IF(AN373&lt;=0,"",IF(BU373="Aussen","Aussenlager",IF(BU373="-","Nicht im Lift",IF(AS373&gt;=1,"Lift",IF(AS373&lt;=0,"Aussenlager","teilweise")))))</f>
        <v>Lift</v>
      </c>
      <c r="BD373" s="55" t="str">
        <f aca="false">IF(AV373&lt;=0,"",IF(BU373="Aussen","Aussenlager",IF(BU373="-","Nicht im Lift",IF(BA373&gt;=1,"Lift",IF(BA373&lt;=0,"Aussenlager","teilweise")))))</f>
        <v>Lift</v>
      </c>
      <c r="BE373" s="55" t="str">
        <f aca="false">IF(A373="","",IF(BN373=1,"Neu; ","")&amp;IF(AND(BN373=0,BI373&lt;0),"negativer Bestand (Export "&amp;BI373&amp;"); ","")&amp;IF(I373&lt;=0,"Kein Verbrauch; ","")&amp;IF(CD373&gt;0,"Lift "&amp;U373&amp;" lt. Liftbericht (Fach "&amp;V373&amp;" Stk); ",IF(BR373=1,"Lose – Fläche geschätzt; ",""))&amp;IF(G373&gt;AP373,"Überbestand "&amp;ROUND(G373-AP373,0)&amp;" Stk / CHF "&amp;ROUND((G373-AP373)*F373,0)&amp;"; ","")&amp;IF(AND(BW373=1,BX373&lt;BY373),"MAX &lt; MB+LG; ","")&amp;IF(AND(CC373&gt;0,CB373*10&gt;CC373),"zu hoch für Tablar; ","")&amp;IF(AND(BN373=0,OR(BW373=1,Y373&lt;&gt;"",S373&lt;&gt;"",T373&lt;&gt;"",Z373&lt;&gt;"")),"manuell übersteuert; ","")&amp;IF(AND(BR373=0,Q373=0),"Gebinde unbekannt / Stellmass fehlt; ","")&amp;IF(AND(BR373=0,N(T373)&lt;=0,N(P373)&lt;=0),"Menge pro Gebinde fehlt (Ist = 1 Gebinde); ","")&amp;BM373)</f>
        <v/>
      </c>
      <c r="BF373" s="55"/>
      <c r="BG373" s="55"/>
      <c r="BH373" s="62"/>
      <c r="BI373" s="57" t="n">
        <v>9</v>
      </c>
      <c r="BJ373" s="57" t="n">
        <v>6</v>
      </c>
      <c r="BK373" s="56" t="n">
        <v>146.07</v>
      </c>
      <c r="BL373" s="57" t="n">
        <v>20</v>
      </c>
      <c r="BM373" s="55"/>
      <c r="BN373" s="60" t="n">
        <v>0</v>
      </c>
      <c r="BO373" s="60" t="n">
        <v>373</v>
      </c>
      <c r="BP373" s="55" t="str">
        <f aca="false">IF(S373&lt;&gt;"",UPPER(TRIM(S373)),IF(O373="","LOSE",O373))</f>
        <v>S41</v>
      </c>
      <c r="BQ373" s="57" t="n">
        <f aca="false">IF(BP373="LOSE",1,IF(N(T373)&gt;0,T373,IF(N(P373)&gt;0,P373,MAX(1,G373))))</f>
        <v>16</v>
      </c>
      <c r="BR373" s="60" t="n">
        <f aca="false">IF(BP373="LOSE",1,0)</f>
        <v>0</v>
      </c>
      <c r="BS373" s="59" t="n">
        <f aca="false">IF(BR373=0,0,IF(N(R373)&gt;0,R373,IFERROR(VLOOKUP(D373,Parameter!$A$35:$C$64,3,0)+0,0)))</f>
        <v>0</v>
      </c>
      <c r="BT373" s="55" t="n">
        <f aca="false">IF(Y373&lt;&gt;"",Y373,X373)</f>
        <v>3</v>
      </c>
      <c r="BU373" s="55" t="str">
        <f aca="false">IF(BT373=1,"L1",IF(OR(BT373=2,BT373=3),"L23",IF(BT373="Aussen","Aussen","-")))</f>
        <v>L23</v>
      </c>
      <c r="BV373" s="66" t="n">
        <f aca="false">IF(N(Z373)&gt;0,Z373,0)</f>
        <v>0</v>
      </c>
      <c r="BW373" s="60" t="n">
        <f aca="false">IF(ISNUMBER(AC373),1,0)</f>
        <v>0</v>
      </c>
      <c r="BX373" s="57" t="n">
        <f aca="false">N(AC373)</f>
        <v>0</v>
      </c>
      <c r="BY373" s="57" t="n">
        <f aca="false">N(L373)+N(M373)</f>
        <v>20</v>
      </c>
      <c r="BZ373" s="57" t="n">
        <f aca="false">ROUNDUP(G373/BQ373,0)</f>
        <v>1</v>
      </c>
      <c r="CA373" s="57" t="n">
        <f aca="false">ROUNDUP(BX373/BQ373,0)</f>
        <v>0</v>
      </c>
      <c r="CB373" s="60" t="n">
        <f aca="false">IF(BR373=1,0,IFERROR(VLOOKUP(BP373,'Gebinde-Kategorie'!$A$5:$M$45,5,0)+0,0))</f>
        <v>11</v>
      </c>
      <c r="CC373" s="60" t="n">
        <f aca="false">IFERROR(IF(OR(BT373=1,BT373=2,BT373=3),N(INDEX(Parameter!$I$5:$I$7,BT373)),0),0)</f>
        <v>0</v>
      </c>
      <c r="CD373" s="59" t="n">
        <f aca="false">IF(AND(Parameter!$B$21="Ja",ISNUMBER(U373),N(V373)&gt;0),IFERROR(N(INDEX(Parameter!$L$5:$L$7,U373))*INDEX(Parameter!$E$5:$E$7,U373)*V373/SUMIFS($V$7:$V$1576,$U$7:$U$1576,U373),0),0)</f>
        <v>0</v>
      </c>
    </row>
    <row r="374" customFormat="false" ht="15" hidden="false" customHeight="false" outlineLevel="0" collapsed="false">
      <c r="A374" s="55" t="s">
        <v>882</v>
      </c>
      <c r="B374" s="55" t="s">
        <v>883</v>
      </c>
      <c r="C374" s="55" t="s">
        <v>160</v>
      </c>
      <c r="D374" s="55" t="s">
        <v>178</v>
      </c>
      <c r="E374" s="55" t="s">
        <v>210</v>
      </c>
      <c r="F374" s="56" t="n">
        <v>1.38</v>
      </c>
      <c r="G374" s="57" t="n">
        <f aca="false">MAX(0,IF(AND(Parameter!$B$21="Ja",ISNUMBER(W374)),W374,IF(Parameter!$B$20="Jahresanfang 2025 + Export",BJ374+BI374,BI374)))</f>
        <v>102</v>
      </c>
      <c r="H374" s="57" t="n">
        <f aca="false">G374*F374</f>
        <v>140.76</v>
      </c>
      <c r="I374" s="57" t="n">
        <f aca="false">BL374*Parameter!$B$18</f>
        <v>2</v>
      </c>
      <c r="J374" s="58" t="n">
        <v>296.5</v>
      </c>
      <c r="K374" s="59" t="n">
        <v>0.00674536256323777</v>
      </c>
      <c r="L374" s="57" t="n">
        <v>0</v>
      </c>
      <c r="M374" s="57" t="n">
        <v>1</v>
      </c>
      <c r="N374" s="60" t="n">
        <v>21</v>
      </c>
      <c r="O374" s="55" t="s">
        <v>411</v>
      </c>
      <c r="P374" s="57" t="n">
        <v>169</v>
      </c>
      <c r="Q374" s="60" t="n">
        <f aca="false">IF(BR374=1,0,IFERROR(VLOOKUP(BP374,'Gebinde-Kategorie'!$A$5:$M$45,13,0)+0,0))</f>
        <v>132</v>
      </c>
      <c r="R374" s="61"/>
      <c r="S374" s="62"/>
      <c r="T374" s="62"/>
      <c r="U374" s="55"/>
      <c r="V374" s="57"/>
      <c r="W374" s="57"/>
      <c r="X374" s="55" t="n">
        <f aca="false">IF(A374="","",IF(AND(Parameter!$B$21="Ja",ISNUMBER(U374)),U374,IF(IFERROR(VLOOKUP(D374,Parameter!$A$35:$C$64,2,0),"Nein")="2+3",IF(ISNUMBER(SEARCH("grosser Artikel",BM374)),2,IFERROR(VLOOKUP(BP374,Parameter!$F$35:$G$64,2,0),2)),IF(OR(IFERROR(VLOOKUP(D374,Parameter!$A$35:$C$64,2,0),"Nein")="Nein",IFERROR(VLOOKUP(D374,Parameter!$A$35:$C$64,2,0),"Nein")=""),"-",VLOOKUP(D374,Parameter!$A$35:$C$64,2,0)))))</f>
        <v>3</v>
      </c>
      <c r="Y374" s="62"/>
      <c r="Z374" s="63"/>
      <c r="AA374" s="57" t="n">
        <f aca="false">AP374</f>
        <v>169</v>
      </c>
      <c r="AB374" s="57" t="n">
        <f aca="false">MAX(AP374,G374)</f>
        <v>169</v>
      </c>
      <c r="AC374" s="64"/>
      <c r="AD374" s="57" t="n">
        <f aca="false">IF(LEFT(Cockpit!$C$5,1)="A",G374,IF(BW374=1,BX374,IF(LEFT(Cockpit!$C$5,1)="B",AH374,MAX(AH374,G374))))</f>
        <v>102</v>
      </c>
      <c r="AE374" s="57" t="n">
        <f aca="false">IF(BR374=1,0,ROUNDUP(AD374/BQ374,0))</f>
        <v>1</v>
      </c>
      <c r="AF374" s="59" t="n">
        <f aca="false">IF(CD374&gt;0,CD374*MAX(1,AD374/V374),IF(BR374=1,IF(AD374&lt;=0,0,BS374*MAX(1,IF(G374&gt;0,AD374/G374,1))),IF(Q374&gt;0,AE374/Q374,0))/MAX(0.1,N(Parameter!$M$21)))</f>
        <v>0.00757575757575758</v>
      </c>
      <c r="AG374" s="57" t="n">
        <f aca="false">AD374*F374</f>
        <v>140.76</v>
      </c>
      <c r="AH374" s="57" t="n">
        <f aca="false">ROUNDUP(MAX(I374/IF(BV374&gt;0,BV374,MAX(0.1,N(Cockpit!$C$6))),BY374)/BQ374,0)*BQ374</f>
        <v>169</v>
      </c>
      <c r="AI374" s="58" t="n">
        <f aca="false">IF(AF374&gt;0,I374/AF374,-1)</f>
        <v>264</v>
      </c>
      <c r="AJ374" s="58" t="n">
        <f aca="false">IF(AND(OR(BU374="L1",BU374="L23"),AF374&gt;0),SUMIFS($AF$7:$AF$1576,$BU$7:$BU$1576,BU374,$AI$7:$AI$1576,"&gt;"&amp;AI374)+SUMIFS($AF$7:$AF$1576,$BU$7:$BU$1576,BU374,$AI$7:$AI$1576,AI374,$BO$7:$BO$1576,"&lt;="&amp;BO374),"")</f>
        <v>15.6907016654843</v>
      </c>
      <c r="AK374" s="65" t="n">
        <f aca="false">IF(AJ374="",0,MAX(0,MIN(1,(IF(BU374="L1",Parameter!$E$5,Parameter!$E$6+Parameter!$E$7)-(AJ374-AF374))/AF374)))</f>
        <v>1</v>
      </c>
      <c r="AL374" s="57" t="n">
        <f aca="false">IF(LEFT(Cockpit!$I$5,1)="A",G374,IF(BW374=1,BX374,IF(LEFT(Cockpit!$I$5,1)="B",AP374,MAX(AP374,G374))))</f>
        <v>169</v>
      </c>
      <c r="AM374" s="57" t="n">
        <f aca="false">IF(BR374=1,0,ROUNDUP(AL374/BQ374,0))</f>
        <v>1</v>
      </c>
      <c r="AN374" s="59" t="n">
        <f aca="false">IF(CD374&gt;0,CD374*MAX(1,AL374/V374),IF(BR374=1,IF(AL374&lt;=0,0,BS374*MAX(1,IF(G374&gt;0,AL374/G374,1))),IF(Q374&gt;0,AM374/Q374,0))/MAX(0.1,N(Parameter!$M$21)))</f>
        <v>0.00757575757575758</v>
      </c>
      <c r="AO374" s="57" t="n">
        <f aca="false">AL374*F374</f>
        <v>233.22</v>
      </c>
      <c r="AP374" s="57" t="n">
        <f aca="false">ROUNDUP(MAX(I374/IF(BV374&gt;0,BV374,MAX(0.1,N(Cockpit!$I$6))),BY374)/BQ374,0)*BQ374</f>
        <v>169</v>
      </c>
      <c r="AQ374" s="58" t="n">
        <f aca="false">IF(AN374&gt;0,I374/AN374,-1)</f>
        <v>264</v>
      </c>
      <c r="AR374" s="58" t="n">
        <f aca="false">IF(AND(OR(BU374="L1",BU374="L23"),AN374&gt;0),SUMIFS($AN$7:$AN$1576,$BU$7:$BU$1576,BU374,$AQ$7:$AQ$1576,"&gt;"&amp;AQ374)+SUMIFS($AN$7:$AN$1576,$BU$7:$BU$1576,BU374,$AQ$7:$AQ$1576,AQ374,$BO$7:$BO$1576,"&lt;="&amp;BO374),"")</f>
        <v>45.3200596628969</v>
      </c>
      <c r="AS374" s="65" t="n">
        <f aca="false">IF(AR374="",0,MAX(0,MIN(1,(IF(BU374="L1",Parameter!$E$5,Parameter!$E$6+Parameter!$E$7)-(AR374-AN374))/AN374)))</f>
        <v>1</v>
      </c>
      <c r="AT374" s="57" t="n">
        <f aca="false">IF(LEFT(Cockpit!$O$5,1)="A",G374,IF(BW374=1,BX374,IF(LEFT(Cockpit!$O$5,1)="B",AX374,MAX(AX374,G374))))</f>
        <v>169</v>
      </c>
      <c r="AU374" s="57" t="n">
        <f aca="false">IF(BR374=1,0,ROUNDUP(AT374/BQ374,0))</f>
        <v>1</v>
      </c>
      <c r="AV374" s="59" t="n">
        <f aca="false">IF(CD374&gt;0,CD374*MAX(1,AT374/V374),IF(BR374=1,IF(AT374&lt;=0,0,BS374*MAX(1,IF(G374&gt;0,AT374/G374,1))),IF(Q374&gt;0,AU374/Q374,0))/MAX(0.1,N(Parameter!$M$21)))</f>
        <v>0.00757575757575758</v>
      </c>
      <c r="AW374" s="57" t="n">
        <f aca="false">AT374*F374</f>
        <v>233.22</v>
      </c>
      <c r="AX374" s="57" t="n">
        <f aca="false">ROUNDUP(MAX(I374/IF(BV374&gt;0,BV374,MAX(0.1,N(Cockpit!$O$6))),BY374)/BQ374,0)*BQ374</f>
        <v>169</v>
      </c>
      <c r="AY374" s="58" t="n">
        <f aca="false">IF(AV374&gt;0,I374/AV374,-1)</f>
        <v>264</v>
      </c>
      <c r="AZ374" s="58" t="n">
        <f aca="false">IF(AND(OR(BU374="L1",BU374="L23"),AV374&gt;0),SUMIFS($AV$7:$AV$1576,$BU$7:$BU$1576,BU374,$AY$7:$AY$1576,"&gt;"&amp;AY374)+SUMIFS($AV$7:$AV$1576,$BU$7:$BU$1576,BU374,$AY$7:$AY$1576,AY374,$BO$7:$BO$1576,"&lt;="&amp;BO374),"")</f>
        <v>41.5981382509755</v>
      </c>
      <c r="BA374" s="65" t="n">
        <f aca="false">IF(AZ374="",0,MAX(0,MIN(1,(IF(BU374="L1",Parameter!$E$5,Parameter!$E$6+Parameter!$E$7)-(AZ374-AV374))/AV374)))</f>
        <v>1</v>
      </c>
      <c r="BB374" s="55" t="str">
        <f aca="false">IF(AF374&lt;=0,"",IF(BU374="Aussen","Aussenlager",IF(BU374="-","Nicht im Lift",IF(AK374&gt;=1,"Lift",IF(AK374&lt;=0,"Aussenlager","teilweise")))))</f>
        <v>Lift</v>
      </c>
      <c r="BC374" s="55" t="str">
        <f aca="false">IF(AN374&lt;=0,"",IF(BU374="Aussen","Aussenlager",IF(BU374="-","Nicht im Lift",IF(AS374&gt;=1,"Lift",IF(AS374&lt;=0,"Aussenlager","teilweise")))))</f>
        <v>Lift</v>
      </c>
      <c r="BD374" s="55" t="str">
        <f aca="false">IF(AV374&lt;=0,"",IF(BU374="Aussen","Aussenlager",IF(BU374="-","Nicht im Lift",IF(BA374&gt;=1,"Lift",IF(BA374&lt;=0,"Aussenlager","teilweise")))))</f>
        <v>Lift</v>
      </c>
      <c r="BE374" s="55" t="str">
        <f aca="false">IF(A374="","",IF(BN374=1,"Neu; ","")&amp;IF(AND(BN374=0,BI374&lt;0),"negativer Bestand (Export "&amp;BI374&amp;"); ","")&amp;IF(I374&lt;=0,"Kein Verbrauch; ","")&amp;IF(CD374&gt;0,"Lift "&amp;U374&amp;" lt. Liftbericht (Fach "&amp;V374&amp;" Stk); ",IF(BR374=1,"Lose – Fläche geschätzt; ",""))&amp;IF(G374&gt;AP374,"Überbestand "&amp;ROUND(G374-AP374,0)&amp;" Stk / CHF "&amp;ROUND((G374-AP374)*F374,0)&amp;"; ","")&amp;IF(AND(BW374=1,BX374&lt;BY374),"MAX &lt; MB+LG; ","")&amp;IF(AND(CC374&gt;0,CB374*10&gt;CC374),"zu hoch für Tablar; ","")&amp;IF(AND(BN374=0,OR(BW374=1,Y374&lt;&gt;"",S374&lt;&gt;"",T374&lt;&gt;"",Z374&lt;&gt;"")),"manuell übersteuert; ","")&amp;IF(AND(BR374=0,Q374=0),"Gebinde unbekannt / Stellmass fehlt; ","")&amp;IF(AND(BR374=0,N(T374)&lt;=0,N(P374)&lt;=0),"Menge pro Gebinde fehlt (Ist = 1 Gebinde); ","")&amp;BM374)</f>
        <v>Handlager</v>
      </c>
      <c r="BF374" s="55"/>
      <c r="BG374" s="55"/>
      <c r="BH374" s="62"/>
      <c r="BI374" s="57" t="n">
        <v>102</v>
      </c>
      <c r="BJ374" s="57" t="n">
        <v>264</v>
      </c>
      <c r="BK374" s="56" t="n">
        <v>140.76</v>
      </c>
      <c r="BL374" s="57" t="n">
        <v>2</v>
      </c>
      <c r="BM374" s="55" t="s">
        <v>884</v>
      </c>
      <c r="BN374" s="60" t="n">
        <v>0</v>
      </c>
      <c r="BO374" s="60" t="n">
        <v>374</v>
      </c>
      <c r="BP374" s="55" t="str">
        <f aca="false">IF(S374&lt;&gt;"",UPPER(TRIM(S374)),IF(O374="","LOSE",O374))</f>
        <v>S32</v>
      </c>
      <c r="BQ374" s="57" t="n">
        <f aca="false">IF(BP374="LOSE",1,IF(N(T374)&gt;0,T374,IF(N(P374)&gt;0,P374,MAX(1,G374))))</f>
        <v>169</v>
      </c>
      <c r="BR374" s="60" t="n">
        <f aca="false">IF(BP374="LOSE",1,0)</f>
        <v>0</v>
      </c>
      <c r="BS374" s="59" t="n">
        <f aca="false">IF(BR374=0,0,IF(N(R374)&gt;0,R374,IFERROR(VLOOKUP(D374,Parameter!$A$35:$C$64,3,0)+0,0)))</f>
        <v>0</v>
      </c>
      <c r="BT374" s="55" t="n">
        <f aca="false">IF(Y374&lt;&gt;"",Y374,X374)</f>
        <v>3</v>
      </c>
      <c r="BU374" s="55" t="str">
        <f aca="false">IF(BT374=1,"L1",IF(OR(BT374=2,BT374=3),"L23",IF(BT374="Aussen","Aussen","-")))</f>
        <v>L23</v>
      </c>
      <c r="BV374" s="66" t="n">
        <f aca="false">IF(N(Z374)&gt;0,Z374,0)</f>
        <v>0</v>
      </c>
      <c r="BW374" s="60" t="n">
        <f aca="false">IF(ISNUMBER(AC374),1,0)</f>
        <v>0</v>
      </c>
      <c r="BX374" s="57" t="n">
        <f aca="false">N(AC374)</f>
        <v>0</v>
      </c>
      <c r="BY374" s="57" t="n">
        <f aca="false">N(L374)+N(M374)</f>
        <v>1</v>
      </c>
      <c r="BZ374" s="57" t="n">
        <f aca="false">ROUNDUP(G374/BQ374,0)</f>
        <v>1</v>
      </c>
      <c r="CA374" s="57" t="n">
        <f aca="false">ROUNDUP(BX374/BQ374,0)</f>
        <v>0</v>
      </c>
      <c r="CB374" s="60" t="n">
        <f aca="false">IF(BR374=1,0,IFERROR(VLOOKUP(BP374,'Gebinde-Kategorie'!$A$5:$M$45,5,0)+0,0))</f>
        <v>8</v>
      </c>
      <c r="CC374" s="60" t="n">
        <f aca="false">IFERROR(IF(OR(BT374=1,BT374=2,BT374=3),N(INDEX(Parameter!$I$5:$I$7,BT374)),0),0)</f>
        <v>0</v>
      </c>
      <c r="CD374" s="59" t="n">
        <f aca="false">IF(AND(Parameter!$B$21="Ja",ISNUMBER(U374),N(V374)&gt;0),IFERROR(N(INDEX(Parameter!$L$5:$L$7,U374))*INDEX(Parameter!$E$5:$E$7,U374)*V374/SUMIFS($V$7:$V$1576,$U$7:$U$1576,U374),0),0)</f>
        <v>0</v>
      </c>
    </row>
    <row r="375" customFormat="false" ht="15" hidden="false" customHeight="false" outlineLevel="0" collapsed="false">
      <c r="A375" s="55" t="s">
        <v>885</v>
      </c>
      <c r="B375" s="55" t="s">
        <v>393</v>
      </c>
      <c r="C375" s="55" t="s">
        <v>160</v>
      </c>
      <c r="D375" s="55" t="s">
        <v>178</v>
      </c>
      <c r="E375" s="55" t="s">
        <v>210</v>
      </c>
      <c r="F375" s="56" t="n">
        <v>0.6</v>
      </c>
      <c r="G375" s="57" t="n">
        <f aca="false">MAX(0,IF(AND(Parameter!$B$21="Ja",ISNUMBER(W375)),W375,IF(Parameter!$B$20="Jahresanfang 2025 + Export",BJ375+BI375,BI375)))</f>
        <v>229</v>
      </c>
      <c r="H375" s="57" t="n">
        <f aca="false">G375*F375</f>
        <v>137.4</v>
      </c>
      <c r="I375" s="57" t="n">
        <f aca="false">BL375*Parameter!$B$18</f>
        <v>561</v>
      </c>
      <c r="J375" s="58" t="n">
        <v>360</v>
      </c>
      <c r="K375" s="59" t="n">
        <v>1.55833333333333</v>
      </c>
      <c r="L375" s="57" t="n">
        <v>33</v>
      </c>
      <c r="M375" s="57" t="n">
        <v>600</v>
      </c>
      <c r="N375" s="60" t="n">
        <v>21</v>
      </c>
      <c r="O375" s="55" t="s">
        <v>284</v>
      </c>
      <c r="P375" s="57" t="n">
        <v>449</v>
      </c>
      <c r="Q375" s="60" t="n">
        <f aca="false">IF(BR375=1,0,IFERROR(VLOOKUP(BP375,'Gebinde-Kategorie'!$A$5:$M$45,13,0)+0,0))</f>
        <v>12</v>
      </c>
      <c r="R375" s="61"/>
      <c r="S375" s="62"/>
      <c r="T375" s="62"/>
      <c r="U375" s="55"/>
      <c r="V375" s="57"/>
      <c r="W375" s="57"/>
      <c r="X375" s="55" t="n">
        <f aca="false">IF(A375="","",IF(AND(Parameter!$B$21="Ja",ISNUMBER(U375)),U375,IF(IFERROR(VLOOKUP(D375,Parameter!$A$35:$C$64,2,0),"Nein")="2+3",IF(ISNUMBER(SEARCH("grosser Artikel",BM375)),2,IFERROR(VLOOKUP(BP375,Parameter!$F$35:$G$64,2,0),2)),IF(OR(IFERROR(VLOOKUP(D375,Parameter!$A$35:$C$64,2,0),"Nein")="Nein",IFERROR(VLOOKUP(D375,Parameter!$A$35:$C$64,2,0),"Nein")=""),"-",VLOOKUP(D375,Parameter!$A$35:$C$64,2,0)))))</f>
        <v>2</v>
      </c>
      <c r="Y375" s="62"/>
      <c r="Z375" s="63"/>
      <c r="AA375" s="57" t="n">
        <f aca="false">AP375</f>
        <v>898</v>
      </c>
      <c r="AB375" s="57" t="n">
        <f aca="false">MAX(AP375,G375)</f>
        <v>898</v>
      </c>
      <c r="AC375" s="64"/>
      <c r="AD375" s="57" t="n">
        <f aca="false">IF(LEFT(Cockpit!$C$5,1)="A",G375,IF(BW375=1,BX375,IF(LEFT(Cockpit!$C$5,1)="B",AH375,MAX(AH375,G375))))</f>
        <v>229</v>
      </c>
      <c r="AE375" s="57" t="n">
        <f aca="false">IF(BR375=1,0,ROUNDUP(AD375/BQ375,0))</f>
        <v>1</v>
      </c>
      <c r="AF375" s="59" t="n">
        <f aca="false">IF(CD375&gt;0,CD375*MAX(1,AD375/V375),IF(BR375=1,IF(AD375&lt;=0,0,BS375*MAX(1,IF(G375&gt;0,AD375/G375,1))),IF(Q375&gt;0,AE375/Q375,0))/MAX(0.1,N(Parameter!$M$21)))</f>
        <v>0.0833333333333333</v>
      </c>
      <c r="AG375" s="57" t="n">
        <f aca="false">AD375*F375</f>
        <v>137.4</v>
      </c>
      <c r="AH375" s="57" t="n">
        <f aca="false">ROUNDUP(MAX(I375/IF(BV375&gt;0,BV375,MAX(0.1,N(Cockpit!$C$6))),BY375)/BQ375,0)*BQ375</f>
        <v>898</v>
      </c>
      <c r="AI375" s="58" t="n">
        <f aca="false">IF(AF375&gt;0,I375/AF375,-1)</f>
        <v>6732</v>
      </c>
      <c r="AJ375" s="58" t="n">
        <f aca="false">IF(AND(OR(BU375="L1",BU375="L23"),AF375&gt;0),SUMIFS($AF$7:$AF$1576,$BU$7:$BU$1576,BU375,$AI$7:$AI$1576,"&gt;"&amp;AI375)+SUMIFS($AF$7:$AF$1576,$BU$7:$BU$1576,BU375,$AI$7:$AI$1576,AI375,$BO$7:$BO$1576,"&lt;="&amp;BO375),"")</f>
        <v>3.35239620283099</v>
      </c>
      <c r="AK375" s="65" t="n">
        <f aca="false">IF(AJ375="",0,MAX(0,MIN(1,(IF(BU375="L1",Parameter!$E$5,Parameter!$E$6+Parameter!$E$7)-(AJ375-AF375))/AF375)))</f>
        <v>1</v>
      </c>
      <c r="AL375" s="57" t="n">
        <f aca="false">IF(LEFT(Cockpit!$I$5,1)="A",G375,IF(BW375=1,BX375,IF(LEFT(Cockpit!$I$5,1)="B",AP375,MAX(AP375,G375))))</f>
        <v>898</v>
      </c>
      <c r="AM375" s="57" t="n">
        <f aca="false">IF(BR375=1,0,ROUNDUP(AL375/BQ375,0))</f>
        <v>2</v>
      </c>
      <c r="AN375" s="59" t="n">
        <f aca="false">IF(CD375&gt;0,CD375*MAX(1,AL375/V375),IF(BR375=1,IF(AL375&lt;=0,0,BS375*MAX(1,IF(G375&gt;0,AL375/G375,1))),IF(Q375&gt;0,AM375/Q375,0))/MAX(0.1,N(Parameter!$M$21)))</f>
        <v>0.166666666666667</v>
      </c>
      <c r="AO375" s="57" t="n">
        <f aca="false">AL375*F375</f>
        <v>538.8</v>
      </c>
      <c r="AP375" s="57" t="n">
        <f aca="false">ROUNDUP(MAX(I375/IF(BV375&gt;0,BV375,MAX(0.1,N(Cockpit!$I$6))),BY375)/BQ375,0)*BQ375</f>
        <v>898</v>
      </c>
      <c r="AQ375" s="58" t="n">
        <f aca="false">IF(AN375&gt;0,I375/AN375,-1)</f>
        <v>3366</v>
      </c>
      <c r="AR375" s="58" t="n">
        <f aca="false">IF(AND(OR(BU375="L1",BU375="L23"),AN375&gt;0),SUMIFS($AN$7:$AN$1576,$BU$7:$BU$1576,BU375,$AQ$7:$AQ$1576,"&gt;"&amp;AQ375)+SUMIFS($AN$7:$AN$1576,$BU$7:$BU$1576,BU375,$AQ$7:$AQ$1576,AQ375,$BO$7:$BO$1576,"&lt;="&amp;BO375),"")</f>
        <v>13.9205641464815</v>
      </c>
      <c r="AS375" s="65" t="n">
        <f aca="false">IF(AR375="",0,MAX(0,MIN(1,(IF(BU375="L1",Parameter!$E$5,Parameter!$E$6+Parameter!$E$7)-(AR375-AN375))/AN375)))</f>
        <v>1</v>
      </c>
      <c r="AT375" s="57" t="n">
        <f aca="false">IF(LEFT(Cockpit!$O$5,1)="A",G375,IF(BW375=1,BX375,IF(LEFT(Cockpit!$O$5,1)="B",AX375,MAX(AX375,G375))))</f>
        <v>898</v>
      </c>
      <c r="AU375" s="57" t="n">
        <f aca="false">IF(BR375=1,0,ROUNDUP(AT375/BQ375,0))</f>
        <v>2</v>
      </c>
      <c r="AV375" s="59" t="n">
        <f aca="false">IF(CD375&gt;0,CD375*MAX(1,AT375/V375),IF(BR375=1,IF(AT375&lt;=0,0,BS375*MAX(1,IF(G375&gt;0,AT375/G375,1))),IF(Q375&gt;0,AU375/Q375,0))/MAX(0.1,N(Parameter!$M$21)))</f>
        <v>0.166666666666667</v>
      </c>
      <c r="AW375" s="57" t="n">
        <f aca="false">AT375*F375</f>
        <v>538.8</v>
      </c>
      <c r="AX375" s="57" t="n">
        <f aca="false">ROUNDUP(MAX(I375/IF(BV375&gt;0,BV375,MAX(0.1,N(Cockpit!$O$6))),BY375)/BQ375,0)*BQ375</f>
        <v>898</v>
      </c>
      <c r="AY375" s="58" t="n">
        <f aca="false">IF(AV375&gt;0,I375/AV375,-1)</f>
        <v>3366</v>
      </c>
      <c r="AZ375" s="58" t="n">
        <f aca="false">IF(AND(OR(BU375="L1",BU375="L23"),AV375&gt;0),SUMIFS($AV$7:$AV$1576,$BU$7:$BU$1576,BU375,$AY$7:$AY$1576,"&gt;"&amp;AY375)+SUMIFS($AV$7:$AV$1576,$BU$7:$BU$1576,BU375,$AY$7:$AY$1576,AY375,$BO$7:$BO$1576,"&lt;="&amp;BO375),"")</f>
        <v>12.641426617344</v>
      </c>
      <c r="BA375" s="65" t="n">
        <f aca="false">IF(AZ375="",0,MAX(0,MIN(1,(IF(BU375="L1",Parameter!$E$5,Parameter!$E$6+Parameter!$E$7)-(AZ375-AV375))/AV375)))</f>
        <v>1</v>
      </c>
      <c r="BB375" s="55" t="str">
        <f aca="false">IF(AF375&lt;=0,"",IF(BU375="Aussen","Aussenlager",IF(BU375="-","Nicht im Lift",IF(AK375&gt;=1,"Lift",IF(AK375&lt;=0,"Aussenlager","teilweise")))))</f>
        <v>Lift</v>
      </c>
      <c r="BC375" s="55" t="str">
        <f aca="false">IF(AN375&lt;=0,"",IF(BU375="Aussen","Aussenlager",IF(BU375="-","Nicht im Lift",IF(AS375&gt;=1,"Lift",IF(AS375&lt;=0,"Aussenlager","teilweise")))))</f>
        <v>Lift</v>
      </c>
      <c r="BD375" s="55" t="str">
        <f aca="false">IF(AV375&lt;=0,"",IF(BU375="Aussen","Aussenlager",IF(BU375="-","Nicht im Lift",IF(BA375&gt;=1,"Lift",IF(BA375&lt;=0,"Aussenlager","teilweise")))))</f>
        <v>Lift</v>
      </c>
      <c r="BE375" s="55" t="str">
        <f aca="false">IF(A375="","",IF(BN375=1,"Neu; ","")&amp;IF(AND(BN375=0,BI375&lt;0),"negativer Bestand (Export "&amp;BI375&amp;"); ","")&amp;IF(I375&lt;=0,"Kein Verbrauch; ","")&amp;IF(CD375&gt;0,"Lift "&amp;U375&amp;" lt. Liftbericht (Fach "&amp;V375&amp;" Stk); ",IF(BR375=1,"Lose – Fläche geschätzt; ",""))&amp;IF(G375&gt;AP375,"Überbestand "&amp;ROUND(G375-AP375,0)&amp;" Stk / CHF "&amp;ROUND((G375-AP375)*F375,0)&amp;"; ","")&amp;IF(AND(BW375=1,BX375&lt;BY375),"MAX &lt; MB+LG; ","")&amp;IF(AND(CC375&gt;0,CB375*10&gt;CC375),"zu hoch für Tablar; ","")&amp;IF(AND(BN375=0,OR(BW375=1,Y375&lt;&gt;"",S375&lt;&gt;"",T375&lt;&gt;"",Z375&lt;&gt;"")),"manuell übersteuert; ","")&amp;IF(AND(BR375=0,Q375=0),"Gebinde unbekannt / Stellmass fehlt; ","")&amp;IF(AND(BR375=0,N(T375)&lt;=0,N(P375)&lt;=0),"Menge pro Gebinde fehlt (Ist = 1 Gebinde); ","")&amp;BM375)</f>
        <v/>
      </c>
      <c r="BF375" s="55"/>
      <c r="BG375" s="55"/>
      <c r="BH375" s="62"/>
      <c r="BI375" s="57" t="n">
        <v>229</v>
      </c>
      <c r="BJ375" s="57" t="n">
        <v>221</v>
      </c>
      <c r="BK375" s="56" t="n">
        <v>139.61</v>
      </c>
      <c r="BL375" s="57" t="n">
        <v>561</v>
      </c>
      <c r="BM375" s="55"/>
      <c r="BN375" s="60" t="n">
        <v>0</v>
      </c>
      <c r="BO375" s="60" t="n">
        <v>375</v>
      </c>
      <c r="BP375" s="55" t="str">
        <f aca="false">IF(S375&lt;&gt;"",UPPER(TRIM(S375)),IF(O375="","LOSE",O375))</f>
        <v>S62</v>
      </c>
      <c r="BQ375" s="57" t="n">
        <f aca="false">IF(BP375="LOSE",1,IF(N(T375)&gt;0,T375,IF(N(P375)&gt;0,P375,MAX(1,G375))))</f>
        <v>449</v>
      </c>
      <c r="BR375" s="60" t="n">
        <f aca="false">IF(BP375="LOSE",1,0)</f>
        <v>0</v>
      </c>
      <c r="BS375" s="59" t="n">
        <f aca="false">IF(BR375=0,0,IF(N(R375)&gt;0,R375,IFERROR(VLOOKUP(D375,Parameter!$A$35:$C$64,3,0)+0,0)))</f>
        <v>0</v>
      </c>
      <c r="BT375" s="55" t="n">
        <f aca="false">IF(Y375&lt;&gt;"",Y375,X375)</f>
        <v>2</v>
      </c>
      <c r="BU375" s="55" t="str">
        <f aca="false">IF(BT375=1,"L1",IF(OR(BT375=2,BT375=3),"L23",IF(BT375="Aussen","Aussen","-")))</f>
        <v>L23</v>
      </c>
      <c r="BV375" s="66" t="n">
        <f aca="false">IF(N(Z375)&gt;0,Z375,0)</f>
        <v>0</v>
      </c>
      <c r="BW375" s="60" t="n">
        <f aca="false">IF(ISNUMBER(AC375),1,0)</f>
        <v>0</v>
      </c>
      <c r="BX375" s="57" t="n">
        <f aca="false">N(AC375)</f>
        <v>0</v>
      </c>
      <c r="BY375" s="57" t="n">
        <f aca="false">N(L375)+N(M375)</f>
        <v>633</v>
      </c>
      <c r="BZ375" s="57" t="n">
        <f aca="false">ROUNDUP(G375/BQ375,0)</f>
        <v>1</v>
      </c>
      <c r="CA375" s="57" t="n">
        <f aca="false">ROUNDUP(BX375/BQ375,0)</f>
        <v>0</v>
      </c>
      <c r="CB375" s="60" t="n">
        <f aca="false">IF(BR375=1,0,IFERROR(VLOOKUP(BP375,'Gebinde-Kategorie'!$A$5:$M$45,5,0)+0,0))</f>
        <v>21</v>
      </c>
      <c r="CC375" s="60" t="n">
        <f aca="false">IFERROR(IF(OR(BT375=1,BT375=2,BT375=3),N(INDEX(Parameter!$I$5:$I$7,BT375)),0),0)</f>
        <v>0</v>
      </c>
      <c r="CD375" s="59" t="n">
        <f aca="false">IF(AND(Parameter!$B$21="Ja",ISNUMBER(U375),N(V375)&gt;0),IFERROR(N(INDEX(Parameter!$L$5:$L$7,U375))*INDEX(Parameter!$E$5:$E$7,U375)*V375/SUMIFS($V$7:$V$1576,$U$7:$U$1576,U375),0),0)</f>
        <v>0</v>
      </c>
    </row>
    <row r="376" customFormat="false" ht="15" hidden="false" customHeight="false" outlineLevel="0" collapsed="false">
      <c r="A376" s="55" t="s">
        <v>886</v>
      </c>
      <c r="B376" s="55" t="s">
        <v>887</v>
      </c>
      <c r="C376" s="55" t="s">
        <v>160</v>
      </c>
      <c r="D376" s="55" t="s">
        <v>178</v>
      </c>
      <c r="E376" s="55" t="s">
        <v>210</v>
      </c>
      <c r="F376" s="56" t="n">
        <v>2.5</v>
      </c>
      <c r="G376" s="57" t="n">
        <f aca="false">MAX(0,IF(AND(Parameter!$B$21="Ja",ISNUMBER(W376)),W376,IF(Parameter!$B$20="Jahresanfang 2025 + Export",BJ376+BI376,BI376)))</f>
        <v>56</v>
      </c>
      <c r="H376" s="57" t="n">
        <f aca="false">G376*F376</f>
        <v>140</v>
      </c>
      <c r="I376" s="57" t="n">
        <f aca="false">BL376*Parameter!$B$18</f>
        <v>69</v>
      </c>
      <c r="J376" s="58" t="n">
        <v>61.5</v>
      </c>
      <c r="K376" s="59" t="n">
        <v>1.1219512195122</v>
      </c>
      <c r="L376" s="57" t="n">
        <v>4</v>
      </c>
      <c r="M376" s="57" t="n">
        <v>100</v>
      </c>
      <c r="N376" s="60" t="n">
        <v>21</v>
      </c>
      <c r="O376" s="55" t="s">
        <v>411</v>
      </c>
      <c r="P376" s="57" t="n">
        <v>102</v>
      </c>
      <c r="Q376" s="60" t="n">
        <f aca="false">IF(BR376=1,0,IFERROR(VLOOKUP(BP376,'Gebinde-Kategorie'!$A$5:$M$45,13,0)+0,0))</f>
        <v>132</v>
      </c>
      <c r="R376" s="61"/>
      <c r="S376" s="62"/>
      <c r="T376" s="62"/>
      <c r="U376" s="55"/>
      <c r="V376" s="57"/>
      <c r="W376" s="57"/>
      <c r="X376" s="55" t="n">
        <f aca="false">IF(A376="","",IF(AND(Parameter!$B$21="Ja",ISNUMBER(U376)),U376,IF(IFERROR(VLOOKUP(D376,Parameter!$A$35:$C$64,2,0),"Nein")="2+3",IF(ISNUMBER(SEARCH("grosser Artikel",BM376)),2,IFERROR(VLOOKUP(BP376,Parameter!$F$35:$G$64,2,0),2)),IF(OR(IFERROR(VLOOKUP(D376,Parameter!$A$35:$C$64,2,0),"Nein")="Nein",IFERROR(VLOOKUP(D376,Parameter!$A$35:$C$64,2,0),"Nein")=""),"-",VLOOKUP(D376,Parameter!$A$35:$C$64,2,0)))))</f>
        <v>3</v>
      </c>
      <c r="Y376" s="62"/>
      <c r="Z376" s="63"/>
      <c r="AA376" s="57" t="n">
        <f aca="false">AP376</f>
        <v>204</v>
      </c>
      <c r="AB376" s="57" t="n">
        <f aca="false">MAX(AP376,G376)</f>
        <v>204</v>
      </c>
      <c r="AC376" s="64"/>
      <c r="AD376" s="57" t="n">
        <f aca="false">IF(LEFT(Cockpit!$C$5,1)="A",G376,IF(BW376=1,BX376,IF(LEFT(Cockpit!$C$5,1)="B",AH376,MAX(AH376,G376))))</f>
        <v>56</v>
      </c>
      <c r="AE376" s="57" t="n">
        <f aca="false">IF(BR376=1,0,ROUNDUP(AD376/BQ376,0))</f>
        <v>1</v>
      </c>
      <c r="AF376" s="59" t="n">
        <f aca="false">IF(CD376&gt;0,CD376*MAX(1,AD376/V376),IF(BR376=1,IF(AD376&lt;=0,0,BS376*MAX(1,IF(G376&gt;0,AD376/G376,1))),IF(Q376&gt;0,AE376/Q376,0))/MAX(0.1,N(Parameter!$M$21)))</f>
        <v>0.00757575757575758</v>
      </c>
      <c r="AG376" s="57" t="n">
        <f aca="false">AD376*F376</f>
        <v>140</v>
      </c>
      <c r="AH376" s="57" t="n">
        <f aca="false">ROUNDUP(MAX(I376/IF(BV376&gt;0,BV376,MAX(0.1,N(Cockpit!$C$6))),BY376)/BQ376,0)*BQ376</f>
        <v>204</v>
      </c>
      <c r="AI376" s="58" t="n">
        <f aca="false">IF(AF376&gt;0,I376/AF376,-1)</f>
        <v>9108</v>
      </c>
      <c r="AJ376" s="58" t="n">
        <f aca="false">IF(AND(OR(BU376="L1",BU376="L23"),AF376&gt;0),SUMIFS($AF$7:$AF$1576,$BU$7:$BU$1576,BU376,$AI$7:$AI$1576,"&gt;"&amp;AI376)+SUMIFS($AF$7:$AF$1576,$BU$7:$BU$1576,BU376,$AI$7:$AI$1576,AI376,$BO$7:$BO$1576,"&lt;="&amp;BO376),"")</f>
        <v>2.75998277085234</v>
      </c>
      <c r="AK376" s="65" t="n">
        <f aca="false">IF(AJ376="",0,MAX(0,MIN(1,(IF(BU376="L1",Parameter!$E$5,Parameter!$E$6+Parameter!$E$7)-(AJ376-AF376))/AF376)))</f>
        <v>1</v>
      </c>
      <c r="AL376" s="57" t="n">
        <f aca="false">IF(LEFT(Cockpit!$I$5,1)="A",G376,IF(BW376=1,BX376,IF(LEFT(Cockpit!$I$5,1)="B",AP376,MAX(AP376,G376))))</f>
        <v>204</v>
      </c>
      <c r="AM376" s="57" t="n">
        <f aca="false">IF(BR376=1,0,ROUNDUP(AL376/BQ376,0))</f>
        <v>2</v>
      </c>
      <c r="AN376" s="59" t="n">
        <f aca="false">IF(CD376&gt;0,CD376*MAX(1,AL376/V376),IF(BR376=1,IF(AL376&lt;=0,0,BS376*MAX(1,IF(G376&gt;0,AL376/G376,1))),IF(Q376&gt;0,AM376/Q376,0))/MAX(0.1,N(Parameter!$M$21)))</f>
        <v>0.0151515151515152</v>
      </c>
      <c r="AO376" s="57" t="n">
        <f aca="false">AL376*F376</f>
        <v>510</v>
      </c>
      <c r="AP376" s="57" t="n">
        <f aca="false">ROUNDUP(MAX(I376/IF(BV376&gt;0,BV376,MAX(0.1,N(Cockpit!$I$6))),BY376)/BQ376,0)*BQ376</f>
        <v>204</v>
      </c>
      <c r="AQ376" s="58" t="n">
        <f aca="false">IF(AN376&gt;0,I376/AN376,-1)</f>
        <v>4554</v>
      </c>
      <c r="AR376" s="58" t="n">
        <f aca="false">IF(AND(OR(BU376="L1",BU376="L23"),AN376&gt;0),SUMIFS($AN$7:$AN$1576,$BU$7:$BU$1576,BU376,$AQ$7:$AQ$1576,"&gt;"&amp;AQ376)+SUMIFS($AN$7:$AN$1576,$BU$7:$BU$1576,BU376,$AQ$7:$AQ$1576,AQ376,$BO$7:$BO$1576,"&lt;="&amp;BO376),"")</f>
        <v>12.0946376575116</v>
      </c>
      <c r="AS376" s="65" t="n">
        <f aca="false">IF(AR376="",0,MAX(0,MIN(1,(IF(BU376="L1",Parameter!$E$5,Parameter!$E$6+Parameter!$E$7)-(AR376-AN376))/AN376)))</f>
        <v>1</v>
      </c>
      <c r="AT376" s="57" t="n">
        <f aca="false">IF(LEFT(Cockpit!$O$5,1)="A",G376,IF(BW376=1,BX376,IF(LEFT(Cockpit!$O$5,1)="B",AX376,MAX(AX376,G376))))</f>
        <v>204</v>
      </c>
      <c r="AU376" s="57" t="n">
        <f aca="false">IF(BR376=1,0,ROUNDUP(AT376/BQ376,0))</f>
        <v>2</v>
      </c>
      <c r="AV376" s="59" t="n">
        <f aca="false">IF(CD376&gt;0,CD376*MAX(1,AT376/V376),IF(BR376=1,IF(AT376&lt;=0,0,BS376*MAX(1,IF(G376&gt;0,AT376/G376,1))),IF(Q376&gt;0,AU376/Q376,0))/MAX(0.1,N(Parameter!$M$21)))</f>
        <v>0.0151515151515152</v>
      </c>
      <c r="AW376" s="57" t="n">
        <f aca="false">AT376*F376</f>
        <v>510</v>
      </c>
      <c r="AX376" s="57" t="n">
        <f aca="false">ROUNDUP(MAX(I376/IF(BV376&gt;0,BV376,MAX(0.1,N(Cockpit!$O$6))),BY376)/BQ376,0)*BQ376</f>
        <v>204</v>
      </c>
      <c r="AY376" s="58" t="n">
        <f aca="false">IF(AV376&gt;0,I376/AV376,-1)</f>
        <v>4554</v>
      </c>
      <c r="AZ376" s="58" t="n">
        <f aca="false">IF(AND(OR(BU376="L1",BU376="L23"),AV376&gt;0),SUMIFS($AV$7:$AV$1576,$BU$7:$BU$1576,BU376,$AY$7:$AY$1576,"&gt;"&amp;AY376)+SUMIFS($AV$7:$AV$1576,$BU$7:$BU$1576,BU376,$AY$7:$AY$1576,AY376,$BO$7:$BO$1576,"&lt;="&amp;BO376),"")</f>
        <v>11.315500128374</v>
      </c>
      <c r="BA376" s="65" t="n">
        <f aca="false">IF(AZ376="",0,MAX(0,MIN(1,(IF(BU376="L1",Parameter!$E$5,Parameter!$E$6+Parameter!$E$7)-(AZ376-AV376))/AV376)))</f>
        <v>1</v>
      </c>
      <c r="BB376" s="55" t="str">
        <f aca="false">IF(AF376&lt;=0,"",IF(BU376="Aussen","Aussenlager",IF(BU376="-","Nicht im Lift",IF(AK376&gt;=1,"Lift",IF(AK376&lt;=0,"Aussenlager","teilweise")))))</f>
        <v>Lift</v>
      </c>
      <c r="BC376" s="55" t="str">
        <f aca="false">IF(AN376&lt;=0,"",IF(BU376="Aussen","Aussenlager",IF(BU376="-","Nicht im Lift",IF(AS376&gt;=1,"Lift",IF(AS376&lt;=0,"Aussenlager","teilweise")))))</f>
        <v>Lift</v>
      </c>
      <c r="BD376" s="55" t="str">
        <f aca="false">IF(AV376&lt;=0,"",IF(BU376="Aussen","Aussenlager",IF(BU376="-","Nicht im Lift",IF(BA376&gt;=1,"Lift",IF(BA376&lt;=0,"Aussenlager","teilweise")))))</f>
        <v>Lift</v>
      </c>
      <c r="BE376" s="55" t="str">
        <f aca="false">IF(A376="","",IF(BN376=1,"Neu; ","")&amp;IF(AND(BN376=0,BI376&lt;0),"negativer Bestand (Export "&amp;BI376&amp;"); ","")&amp;IF(I376&lt;=0,"Kein Verbrauch; ","")&amp;IF(CD376&gt;0,"Lift "&amp;U376&amp;" lt. Liftbericht (Fach "&amp;V376&amp;" Stk); ",IF(BR376=1,"Lose – Fläche geschätzt; ",""))&amp;IF(G376&gt;AP376,"Überbestand "&amp;ROUND(G376-AP376,0)&amp;" Stk / CHF "&amp;ROUND((G376-AP376)*F376,0)&amp;"; ","")&amp;IF(AND(BW376=1,BX376&lt;BY376),"MAX &lt; MB+LG; ","")&amp;IF(AND(CC376&gt;0,CB376*10&gt;CC376),"zu hoch für Tablar; ","")&amp;IF(AND(BN376=0,OR(BW376=1,Y376&lt;&gt;"",S376&lt;&gt;"",T376&lt;&gt;"",Z376&lt;&gt;"")),"manuell übersteuert; ","")&amp;IF(AND(BR376=0,Q376=0),"Gebinde unbekannt / Stellmass fehlt; ","")&amp;IF(AND(BR376=0,N(T376)&lt;=0,N(P376)&lt;=0),"Menge pro Gebinde fehlt (Ist = 1 Gebinde); ","")&amp;BM376)</f>
        <v>Neu</v>
      </c>
      <c r="BF376" s="55"/>
      <c r="BG376" s="55"/>
      <c r="BH376" s="62"/>
      <c r="BI376" s="57" t="n">
        <v>56</v>
      </c>
      <c r="BJ376" s="57" t="n">
        <v>42</v>
      </c>
      <c r="BK376" s="56" t="n">
        <v>137.9</v>
      </c>
      <c r="BL376" s="57" t="n">
        <v>69</v>
      </c>
      <c r="BM376" s="55" t="s">
        <v>615</v>
      </c>
      <c r="BN376" s="60" t="n">
        <v>0</v>
      </c>
      <c r="BO376" s="60" t="n">
        <v>376</v>
      </c>
      <c r="BP376" s="55" t="str">
        <f aca="false">IF(S376&lt;&gt;"",UPPER(TRIM(S376)),IF(O376="","LOSE",O376))</f>
        <v>S32</v>
      </c>
      <c r="BQ376" s="57" t="n">
        <f aca="false">IF(BP376="LOSE",1,IF(N(T376)&gt;0,T376,IF(N(P376)&gt;0,P376,MAX(1,G376))))</f>
        <v>102</v>
      </c>
      <c r="BR376" s="60" t="n">
        <f aca="false">IF(BP376="LOSE",1,0)</f>
        <v>0</v>
      </c>
      <c r="BS376" s="59" t="n">
        <f aca="false">IF(BR376=0,0,IF(N(R376)&gt;0,R376,IFERROR(VLOOKUP(D376,Parameter!$A$35:$C$64,3,0)+0,0)))</f>
        <v>0</v>
      </c>
      <c r="BT376" s="55" t="n">
        <f aca="false">IF(Y376&lt;&gt;"",Y376,X376)</f>
        <v>3</v>
      </c>
      <c r="BU376" s="55" t="str">
        <f aca="false">IF(BT376=1,"L1",IF(OR(BT376=2,BT376=3),"L23",IF(BT376="Aussen","Aussen","-")))</f>
        <v>L23</v>
      </c>
      <c r="BV376" s="66" t="n">
        <f aca="false">IF(N(Z376)&gt;0,Z376,0)</f>
        <v>0</v>
      </c>
      <c r="BW376" s="60" t="n">
        <f aca="false">IF(ISNUMBER(AC376),1,0)</f>
        <v>0</v>
      </c>
      <c r="BX376" s="57" t="n">
        <f aca="false">N(AC376)</f>
        <v>0</v>
      </c>
      <c r="BY376" s="57" t="n">
        <f aca="false">N(L376)+N(M376)</f>
        <v>104</v>
      </c>
      <c r="BZ376" s="57" t="n">
        <f aca="false">ROUNDUP(G376/BQ376,0)</f>
        <v>1</v>
      </c>
      <c r="CA376" s="57" t="n">
        <f aca="false">ROUNDUP(BX376/BQ376,0)</f>
        <v>0</v>
      </c>
      <c r="CB376" s="60" t="n">
        <f aca="false">IF(BR376=1,0,IFERROR(VLOOKUP(BP376,'Gebinde-Kategorie'!$A$5:$M$45,5,0)+0,0))</f>
        <v>8</v>
      </c>
      <c r="CC376" s="60" t="n">
        <f aca="false">IFERROR(IF(OR(BT376=1,BT376=2,BT376=3),N(INDEX(Parameter!$I$5:$I$7,BT376)),0),0)</f>
        <v>0</v>
      </c>
      <c r="CD376" s="59" t="n">
        <f aca="false">IF(AND(Parameter!$B$21="Ja",ISNUMBER(U376),N(V376)&gt;0),IFERROR(N(INDEX(Parameter!$L$5:$L$7,U376))*INDEX(Parameter!$E$5:$E$7,U376)*V376/SUMIFS($V$7:$V$1576,$U$7:$U$1576,U376),0),0)</f>
        <v>0</v>
      </c>
    </row>
    <row r="377" customFormat="false" ht="15" hidden="false" customHeight="false" outlineLevel="0" collapsed="false">
      <c r="A377" s="55" t="s">
        <v>888</v>
      </c>
      <c r="B377" s="55" t="s">
        <v>889</v>
      </c>
      <c r="C377" s="55" t="s">
        <v>160</v>
      </c>
      <c r="D377" s="55" t="s">
        <v>178</v>
      </c>
      <c r="E377" s="55" t="s">
        <v>210</v>
      </c>
      <c r="F377" s="56" t="n">
        <v>56.62</v>
      </c>
      <c r="G377" s="57" t="n">
        <f aca="false">MAX(0,IF(AND(Parameter!$B$21="Ja",ISNUMBER(W377)),W377,IF(Parameter!$B$20="Jahresanfang 2025 + Export",BJ377+BI377,BI377)))</f>
        <v>2</v>
      </c>
      <c r="H377" s="57" t="n">
        <f aca="false">G377*F377</f>
        <v>113.24</v>
      </c>
      <c r="I377" s="57" t="n">
        <f aca="false">BL377*Parameter!$B$18</f>
        <v>5</v>
      </c>
      <c r="J377" s="58" t="n">
        <v>4.5</v>
      </c>
      <c r="K377" s="59" t="n">
        <v>1.11111111111111</v>
      </c>
      <c r="L377" s="57" t="n">
        <v>0</v>
      </c>
      <c r="M377" s="57" t="n">
        <v>5</v>
      </c>
      <c r="N377" s="60" t="n">
        <v>21</v>
      </c>
      <c r="O377" s="55" t="s">
        <v>411</v>
      </c>
      <c r="P377" s="57" t="n">
        <v>9</v>
      </c>
      <c r="Q377" s="60" t="n">
        <f aca="false">IF(BR377=1,0,IFERROR(VLOOKUP(BP377,'Gebinde-Kategorie'!$A$5:$M$45,13,0)+0,0))</f>
        <v>132</v>
      </c>
      <c r="R377" s="61"/>
      <c r="S377" s="62"/>
      <c r="T377" s="62"/>
      <c r="U377" s="55"/>
      <c r="V377" s="57"/>
      <c r="W377" s="57"/>
      <c r="X377" s="55" t="n">
        <f aca="false">IF(A377="","",IF(AND(Parameter!$B$21="Ja",ISNUMBER(U377)),U377,IF(IFERROR(VLOOKUP(D377,Parameter!$A$35:$C$64,2,0),"Nein")="2+3",IF(ISNUMBER(SEARCH("grosser Artikel",BM377)),2,IFERROR(VLOOKUP(BP377,Parameter!$F$35:$G$64,2,0),2)),IF(OR(IFERROR(VLOOKUP(D377,Parameter!$A$35:$C$64,2,0),"Nein")="Nein",IFERROR(VLOOKUP(D377,Parameter!$A$35:$C$64,2,0),"Nein")=""),"-",VLOOKUP(D377,Parameter!$A$35:$C$64,2,0)))))</f>
        <v>3</v>
      </c>
      <c r="Y377" s="62"/>
      <c r="Z377" s="63"/>
      <c r="AA377" s="57" t="n">
        <f aca="false">AP377</f>
        <v>9</v>
      </c>
      <c r="AB377" s="57" t="n">
        <f aca="false">MAX(AP377,G377)</f>
        <v>9</v>
      </c>
      <c r="AC377" s="64"/>
      <c r="AD377" s="57" t="n">
        <f aca="false">IF(LEFT(Cockpit!$C$5,1)="A",G377,IF(BW377=1,BX377,IF(LEFT(Cockpit!$C$5,1)="B",AH377,MAX(AH377,G377))))</f>
        <v>2</v>
      </c>
      <c r="AE377" s="57" t="n">
        <f aca="false">IF(BR377=1,0,ROUNDUP(AD377/BQ377,0))</f>
        <v>1</v>
      </c>
      <c r="AF377" s="59" t="n">
        <f aca="false">IF(CD377&gt;0,CD377*MAX(1,AD377/V377),IF(BR377=1,IF(AD377&lt;=0,0,BS377*MAX(1,IF(G377&gt;0,AD377/G377,1))),IF(Q377&gt;0,AE377/Q377,0))/MAX(0.1,N(Parameter!$M$21)))</f>
        <v>0.00757575757575758</v>
      </c>
      <c r="AG377" s="57" t="n">
        <f aca="false">AD377*F377</f>
        <v>113.24</v>
      </c>
      <c r="AH377" s="57" t="n">
        <f aca="false">ROUNDUP(MAX(I377/IF(BV377&gt;0,BV377,MAX(0.1,N(Cockpit!$C$6))),BY377)/BQ377,0)*BQ377</f>
        <v>9</v>
      </c>
      <c r="AI377" s="58" t="n">
        <f aca="false">IF(AF377&gt;0,I377/AF377,-1)</f>
        <v>660</v>
      </c>
      <c r="AJ377" s="58" t="n">
        <f aca="false">IF(AND(OR(BU377="L1",BU377="L23"),AF377&gt;0),SUMIFS($AF$7:$AF$1576,$BU$7:$BU$1576,BU377,$AI$7:$AI$1576,"&gt;"&amp;AI377)+SUMIFS($AF$7:$AF$1576,$BU$7:$BU$1576,BU377,$AI$7:$AI$1576,AI377,$BO$7:$BO$1576,"&lt;="&amp;BO377),"")</f>
        <v>11.5786980169589</v>
      </c>
      <c r="AK377" s="65" t="n">
        <f aca="false">IF(AJ377="",0,MAX(0,MIN(1,(IF(BU377="L1",Parameter!$E$5,Parameter!$E$6+Parameter!$E$7)-(AJ377-AF377))/AF377)))</f>
        <v>1</v>
      </c>
      <c r="AL377" s="57" t="n">
        <f aca="false">IF(LEFT(Cockpit!$I$5,1)="A",G377,IF(BW377=1,BX377,IF(LEFT(Cockpit!$I$5,1)="B",AP377,MAX(AP377,G377))))</f>
        <v>9</v>
      </c>
      <c r="AM377" s="57" t="n">
        <f aca="false">IF(BR377=1,0,ROUNDUP(AL377/BQ377,0))</f>
        <v>1</v>
      </c>
      <c r="AN377" s="59" t="n">
        <f aca="false">IF(CD377&gt;0,CD377*MAX(1,AL377/V377),IF(BR377=1,IF(AL377&lt;=0,0,BS377*MAX(1,IF(G377&gt;0,AL377/G377,1))),IF(Q377&gt;0,AM377/Q377,0))/MAX(0.1,N(Parameter!$M$21)))</f>
        <v>0.00757575757575758</v>
      </c>
      <c r="AO377" s="57" t="n">
        <f aca="false">AL377*F377</f>
        <v>509.58</v>
      </c>
      <c r="AP377" s="57" t="n">
        <f aca="false">ROUNDUP(MAX(I377/IF(BV377&gt;0,BV377,MAX(0.1,N(Cockpit!$I$6))),BY377)/BQ377,0)*BQ377</f>
        <v>9</v>
      </c>
      <c r="AQ377" s="58" t="n">
        <f aca="false">IF(AN377&gt;0,I377/AN377,-1)</f>
        <v>660</v>
      </c>
      <c r="AR377" s="58" t="n">
        <f aca="false">IF(AND(OR(BU377="L1",BU377="L23"),AN377&gt;0),SUMIFS($AN$7:$AN$1576,$BU$7:$BU$1576,BU377,$AQ$7:$AQ$1576,"&gt;"&amp;AQ377)+SUMIFS($AN$7:$AN$1576,$BU$7:$BU$1576,BU377,$AQ$7:$AQ$1576,AQ377,$BO$7:$BO$1576,"&lt;="&amp;BO377),"")</f>
        <v>29.7470531042382</v>
      </c>
      <c r="AS377" s="65" t="n">
        <f aca="false">IF(AR377="",0,MAX(0,MIN(1,(IF(BU377="L1",Parameter!$E$5,Parameter!$E$6+Parameter!$E$7)-(AR377-AN377))/AN377)))</f>
        <v>1</v>
      </c>
      <c r="AT377" s="57" t="n">
        <f aca="false">IF(LEFT(Cockpit!$O$5,1)="A",G377,IF(BW377=1,BX377,IF(LEFT(Cockpit!$O$5,1)="B",AX377,MAX(AX377,G377))))</f>
        <v>9</v>
      </c>
      <c r="AU377" s="57" t="n">
        <f aca="false">IF(BR377=1,0,ROUNDUP(AT377/BQ377,0))</f>
        <v>1</v>
      </c>
      <c r="AV377" s="59" t="n">
        <f aca="false">IF(CD377&gt;0,CD377*MAX(1,AT377/V377),IF(BR377=1,IF(AT377&lt;=0,0,BS377*MAX(1,IF(G377&gt;0,AT377/G377,1))),IF(Q377&gt;0,AU377/Q377,0))/MAX(0.1,N(Parameter!$M$21)))</f>
        <v>0.00757575757575758</v>
      </c>
      <c r="AW377" s="57" t="n">
        <f aca="false">AT377*F377</f>
        <v>509.58</v>
      </c>
      <c r="AX377" s="57" t="n">
        <f aca="false">ROUNDUP(MAX(I377/IF(BV377&gt;0,BV377,MAX(0.1,N(Cockpit!$O$6))),BY377)/BQ377,0)*BQ377</f>
        <v>9</v>
      </c>
      <c r="AY377" s="58" t="n">
        <f aca="false">IF(AV377&gt;0,I377/AV377,-1)</f>
        <v>660</v>
      </c>
      <c r="AZ377" s="58" t="n">
        <f aca="false">IF(AND(OR(BU377="L1",BU377="L23"),AV377&gt;0),SUMIFS($AV$7:$AV$1576,$BU$7:$BU$1576,BU377,$AY$7:$AY$1576,"&gt;"&amp;AY377)+SUMIFS($AV$7:$AV$1576,$BU$7:$BU$1576,BU377,$AY$7:$AY$1576,AY377,$BO$7:$BO$1576,"&lt;="&amp;BO377),"")</f>
        <v>29.4583551355402</v>
      </c>
      <c r="BA377" s="65" t="n">
        <f aca="false">IF(AZ377="",0,MAX(0,MIN(1,(IF(BU377="L1",Parameter!$E$5,Parameter!$E$6+Parameter!$E$7)-(AZ377-AV377))/AV377)))</f>
        <v>1</v>
      </c>
      <c r="BB377" s="55" t="str">
        <f aca="false">IF(AF377&lt;=0,"",IF(BU377="Aussen","Aussenlager",IF(BU377="-","Nicht im Lift",IF(AK377&gt;=1,"Lift",IF(AK377&lt;=0,"Aussenlager","teilweise")))))</f>
        <v>Lift</v>
      </c>
      <c r="BC377" s="55" t="str">
        <f aca="false">IF(AN377&lt;=0,"",IF(BU377="Aussen","Aussenlager",IF(BU377="-","Nicht im Lift",IF(AS377&gt;=1,"Lift",IF(AS377&lt;=0,"Aussenlager","teilweise")))))</f>
        <v>Lift</v>
      </c>
      <c r="BD377" s="55" t="str">
        <f aca="false">IF(AV377&lt;=0,"",IF(BU377="Aussen","Aussenlager",IF(BU377="-","Nicht im Lift",IF(BA377&gt;=1,"Lift",IF(BA377&lt;=0,"Aussenlager","teilweise")))))</f>
        <v>Lift</v>
      </c>
      <c r="BE377" s="55" t="str">
        <f aca="false">IF(A377="","",IF(BN377=1,"Neu; ","")&amp;IF(AND(BN377=0,BI377&lt;0),"negativer Bestand (Export "&amp;BI377&amp;"); ","")&amp;IF(I377&lt;=0,"Kein Verbrauch; ","")&amp;IF(CD377&gt;0,"Lift "&amp;U377&amp;" lt. Liftbericht (Fach "&amp;V377&amp;" Stk); ",IF(BR377=1,"Lose – Fläche geschätzt; ",""))&amp;IF(G377&gt;AP377,"Überbestand "&amp;ROUND(G377-AP377,0)&amp;" Stk / CHF "&amp;ROUND((G377-AP377)*F377,0)&amp;"; ","")&amp;IF(AND(BW377=1,BX377&lt;BY377),"MAX &lt; MB+LG; ","")&amp;IF(AND(CC377&gt;0,CB377*10&gt;CC377),"zu hoch für Tablar; ","")&amp;IF(AND(BN377=0,OR(BW377=1,Y377&lt;&gt;"",S377&lt;&gt;"",T377&lt;&gt;"",Z377&lt;&gt;"")),"manuell übersteuert; ","")&amp;IF(AND(BR377=0,Q377=0),"Gebinde unbekannt / Stellmass fehlt; ","")&amp;IF(AND(BR377=0,N(T377)&lt;=0,N(P377)&lt;=0),"Menge pro Gebinde fehlt (Ist = 1 Gebinde); ","")&amp;BM377)</f>
        <v/>
      </c>
      <c r="BF377" s="55"/>
      <c r="BG377" s="55"/>
      <c r="BH377" s="62"/>
      <c r="BI377" s="57" t="n">
        <v>2</v>
      </c>
      <c r="BJ377" s="57" t="n">
        <v>3</v>
      </c>
      <c r="BK377" s="56" t="n">
        <v>136.34</v>
      </c>
      <c r="BL377" s="57" t="n">
        <v>5</v>
      </c>
      <c r="BM377" s="55"/>
      <c r="BN377" s="60" t="n">
        <v>0</v>
      </c>
      <c r="BO377" s="60" t="n">
        <v>377</v>
      </c>
      <c r="BP377" s="55" t="str">
        <f aca="false">IF(S377&lt;&gt;"",UPPER(TRIM(S377)),IF(O377="","LOSE",O377))</f>
        <v>S32</v>
      </c>
      <c r="BQ377" s="57" t="n">
        <f aca="false">IF(BP377="LOSE",1,IF(N(T377)&gt;0,T377,IF(N(P377)&gt;0,P377,MAX(1,G377))))</f>
        <v>9</v>
      </c>
      <c r="BR377" s="60" t="n">
        <f aca="false">IF(BP377="LOSE",1,0)</f>
        <v>0</v>
      </c>
      <c r="BS377" s="59" t="n">
        <f aca="false">IF(BR377=0,0,IF(N(R377)&gt;0,R377,IFERROR(VLOOKUP(D377,Parameter!$A$35:$C$64,3,0)+0,0)))</f>
        <v>0</v>
      </c>
      <c r="BT377" s="55" t="n">
        <f aca="false">IF(Y377&lt;&gt;"",Y377,X377)</f>
        <v>3</v>
      </c>
      <c r="BU377" s="55" t="str">
        <f aca="false">IF(BT377=1,"L1",IF(OR(BT377=2,BT377=3),"L23",IF(BT377="Aussen","Aussen","-")))</f>
        <v>L23</v>
      </c>
      <c r="BV377" s="66" t="n">
        <f aca="false">IF(N(Z377)&gt;0,Z377,0)</f>
        <v>0</v>
      </c>
      <c r="BW377" s="60" t="n">
        <f aca="false">IF(ISNUMBER(AC377),1,0)</f>
        <v>0</v>
      </c>
      <c r="BX377" s="57" t="n">
        <f aca="false">N(AC377)</f>
        <v>0</v>
      </c>
      <c r="BY377" s="57" t="n">
        <f aca="false">N(L377)+N(M377)</f>
        <v>5</v>
      </c>
      <c r="BZ377" s="57" t="n">
        <f aca="false">ROUNDUP(G377/BQ377,0)</f>
        <v>1</v>
      </c>
      <c r="CA377" s="57" t="n">
        <f aca="false">ROUNDUP(BX377/BQ377,0)</f>
        <v>0</v>
      </c>
      <c r="CB377" s="60" t="n">
        <f aca="false">IF(BR377=1,0,IFERROR(VLOOKUP(BP377,'Gebinde-Kategorie'!$A$5:$M$45,5,0)+0,0))</f>
        <v>8</v>
      </c>
      <c r="CC377" s="60" t="n">
        <f aca="false">IFERROR(IF(OR(BT377=1,BT377=2,BT377=3),N(INDEX(Parameter!$I$5:$I$7,BT377)),0),0)</f>
        <v>0</v>
      </c>
      <c r="CD377" s="59" t="n">
        <f aca="false">IF(AND(Parameter!$B$21="Ja",ISNUMBER(U377),N(V377)&gt;0),IFERROR(N(INDEX(Parameter!$L$5:$L$7,U377))*INDEX(Parameter!$E$5:$E$7,U377)*V377/SUMIFS($V$7:$V$1576,$U$7:$U$1576,U377),0),0)</f>
        <v>0</v>
      </c>
    </row>
    <row r="378" customFormat="false" ht="15" hidden="false" customHeight="false" outlineLevel="0" collapsed="false">
      <c r="A378" s="55" t="s">
        <v>890</v>
      </c>
      <c r="B378" s="55" t="s">
        <v>891</v>
      </c>
      <c r="C378" s="55" t="s">
        <v>160</v>
      </c>
      <c r="D378" s="55" t="s">
        <v>168</v>
      </c>
      <c r="E378" s="55" t="s">
        <v>210</v>
      </c>
      <c r="F378" s="56" t="n">
        <v>136</v>
      </c>
      <c r="G378" s="57" t="n">
        <f aca="false">MAX(0,IF(AND(Parameter!$B$21="Ja",ISNUMBER(W378)),W378,IF(Parameter!$B$20="Jahresanfang 2025 + Export",BJ378+BI378,BI378)))</f>
        <v>1</v>
      </c>
      <c r="H378" s="57" t="n">
        <f aca="false">G378*F378</f>
        <v>136</v>
      </c>
      <c r="I378" s="57" t="n">
        <f aca="false">BL378*Parameter!$B$18</f>
        <v>0</v>
      </c>
      <c r="J378" s="58" t="n">
        <v>0</v>
      </c>
      <c r="K378" s="59" t="n">
        <v>0</v>
      </c>
      <c r="L378" s="57" t="n">
        <v>0</v>
      </c>
      <c r="M378" s="57" t="n">
        <v>1</v>
      </c>
      <c r="N378" s="60" t="n">
        <v>28</v>
      </c>
      <c r="O378" s="55" t="s">
        <v>163</v>
      </c>
      <c r="P378" s="57"/>
      <c r="Q378" s="60" t="n">
        <f aca="false">IF(BR378=1,0,IFERROR(VLOOKUP(BP378,'Gebinde-Kategorie'!$A$5:$M$45,13,0)+0,0))</f>
        <v>0</v>
      </c>
      <c r="R378" s="61"/>
      <c r="S378" s="62"/>
      <c r="T378" s="62"/>
      <c r="U378" s="55"/>
      <c r="V378" s="57"/>
      <c r="W378" s="57"/>
      <c r="X378" s="55" t="n">
        <f aca="false">IF(A378="","",IF(AND(Parameter!$B$21="Ja",ISNUMBER(U378)),U378,IF(IFERROR(VLOOKUP(D378,Parameter!$A$35:$C$64,2,0),"Nein")="2+3",IF(ISNUMBER(SEARCH("grosser Artikel",BM378)),2,IFERROR(VLOOKUP(BP378,Parameter!$F$35:$G$64,2,0),2)),IF(OR(IFERROR(VLOOKUP(D378,Parameter!$A$35:$C$64,2,0),"Nein")="Nein",IFERROR(VLOOKUP(D378,Parameter!$A$35:$C$64,2,0),"Nein")=""),"-",VLOOKUP(D378,Parameter!$A$35:$C$64,2,0)))))</f>
        <v>2</v>
      </c>
      <c r="Y378" s="62"/>
      <c r="Z378" s="63"/>
      <c r="AA378" s="57" t="n">
        <f aca="false">AP378</f>
        <v>1</v>
      </c>
      <c r="AB378" s="57" t="n">
        <f aca="false">MAX(AP378,G378)</f>
        <v>1</v>
      </c>
      <c r="AC378" s="64"/>
      <c r="AD378" s="57" t="n">
        <f aca="false">IF(LEFT(Cockpit!$C$5,1)="A",G378,IF(BW378=1,BX378,IF(LEFT(Cockpit!$C$5,1)="B",AH378,MAX(AH378,G378))))</f>
        <v>1</v>
      </c>
      <c r="AE378" s="57" t="n">
        <f aca="false">IF(BR378=1,0,ROUNDUP(AD378/BQ378,0))</f>
        <v>0</v>
      </c>
      <c r="AF378" s="59" t="n">
        <f aca="false">IF(CD378&gt;0,CD378*MAX(1,AD378/V378),IF(BR378=1,IF(AD378&lt;=0,0,BS378*MAX(1,IF(G378&gt;0,AD378/G378,1))),IF(Q378&gt;0,AE378/Q378,0))/MAX(0.1,N(Parameter!$M$21)))</f>
        <v>0.15</v>
      </c>
      <c r="AG378" s="57" t="n">
        <f aca="false">AD378*F378</f>
        <v>136</v>
      </c>
      <c r="AH378" s="57" t="n">
        <f aca="false">ROUNDUP(MAX(I378/IF(BV378&gt;0,BV378,MAX(0.1,N(Cockpit!$C$6))),BY378)/BQ378,0)*BQ378</f>
        <v>1</v>
      </c>
      <c r="AI378" s="58" t="n">
        <f aca="false">IF(AF378&gt;0,I378/AF378,-1)</f>
        <v>0</v>
      </c>
      <c r="AJ378" s="58" t="n">
        <f aca="false">IF(AND(OR(BU378="L1",BU378="L23"),AF378&gt;0),SUMIFS($AF$7:$AF$1576,$BU$7:$BU$1576,BU378,$AI$7:$AI$1576,"&gt;"&amp;AI378)+SUMIFS($AF$7:$AF$1576,$BU$7:$BU$1576,BU378,$AI$7:$AI$1576,AI378,$BO$7:$BO$1576,"&lt;="&amp;BO378),"")</f>
        <v>41.4774612344178</v>
      </c>
      <c r="AK378" s="65" t="n">
        <f aca="false">IF(AJ378="",0,MAX(0,MIN(1,(IF(BU378="L1",Parameter!$E$5,Parameter!$E$6+Parameter!$E$7)-(AJ378-AF378))/AF378)))</f>
        <v>1</v>
      </c>
      <c r="AL378" s="57" t="n">
        <f aca="false">IF(LEFT(Cockpit!$I$5,1)="A",G378,IF(BW378=1,BX378,IF(LEFT(Cockpit!$I$5,1)="B",AP378,MAX(AP378,G378))))</f>
        <v>1</v>
      </c>
      <c r="AM378" s="57" t="n">
        <f aca="false">IF(BR378=1,0,ROUNDUP(AL378/BQ378,0))</f>
        <v>0</v>
      </c>
      <c r="AN378" s="59" t="n">
        <f aca="false">IF(CD378&gt;0,CD378*MAX(1,AL378/V378),IF(BR378=1,IF(AL378&lt;=0,0,BS378*MAX(1,IF(G378&gt;0,AL378/G378,1))),IF(Q378&gt;0,AM378/Q378,0))/MAX(0.1,N(Parameter!$M$21)))</f>
        <v>0.15</v>
      </c>
      <c r="AO378" s="57" t="n">
        <f aca="false">AL378*F378</f>
        <v>136</v>
      </c>
      <c r="AP378" s="57" t="n">
        <f aca="false">ROUNDUP(MAX(I378/IF(BV378&gt;0,BV378,MAX(0.1,N(Cockpit!$I$6))),BY378)/BQ378,0)*BQ378</f>
        <v>1</v>
      </c>
      <c r="AQ378" s="58" t="n">
        <f aca="false">IF(AN378&gt;0,I378/AN378,-1)</f>
        <v>0</v>
      </c>
      <c r="AR378" s="58" t="n">
        <f aca="false">IF(AND(OR(BU378="L1",BU378="L23"),AN378&gt;0),SUMIFS($AN$7:$AN$1576,$BU$7:$BU$1576,BU378,$AQ$7:$AQ$1576,"&gt;"&amp;AQ378)+SUMIFS($AN$7:$AN$1576,$BU$7:$BU$1576,BU378,$AQ$7:$AQ$1576,AQ378,$BO$7:$BO$1576,"&lt;="&amp;BO378),"")</f>
        <v>124.351666984207</v>
      </c>
      <c r="AS378" s="65" t="n">
        <f aca="false">IF(AR378="",0,MAX(0,MIN(1,(IF(BU378="L1",Parameter!$E$5,Parameter!$E$6+Parameter!$E$7)-(AR378-AN378))/AN378)))</f>
        <v>0</v>
      </c>
      <c r="AT378" s="57" t="n">
        <f aca="false">IF(LEFT(Cockpit!$O$5,1)="A",G378,IF(BW378=1,BX378,IF(LEFT(Cockpit!$O$5,1)="B",AX378,MAX(AX378,G378))))</f>
        <v>1</v>
      </c>
      <c r="AU378" s="57" t="n">
        <f aca="false">IF(BR378=1,0,ROUNDUP(AT378/BQ378,0))</f>
        <v>0</v>
      </c>
      <c r="AV378" s="59" t="n">
        <f aca="false">IF(CD378&gt;0,CD378*MAX(1,AT378/V378),IF(BR378=1,IF(AT378&lt;=0,0,BS378*MAX(1,IF(G378&gt;0,AT378/G378,1))),IF(Q378&gt;0,AU378/Q378,0))/MAX(0.1,N(Parameter!$M$21)))</f>
        <v>0.15</v>
      </c>
      <c r="AW378" s="57" t="n">
        <f aca="false">AT378*F378</f>
        <v>136</v>
      </c>
      <c r="AX378" s="57" t="n">
        <f aca="false">ROUNDUP(MAX(I378/IF(BV378&gt;0,BV378,MAX(0.1,N(Cockpit!$O$6))),BY378)/BQ378,0)*BQ378</f>
        <v>1</v>
      </c>
      <c r="AY378" s="58" t="n">
        <f aca="false">IF(AV378&gt;0,I378/AV378,-1)</f>
        <v>0</v>
      </c>
      <c r="AZ378" s="58" t="n">
        <f aca="false">IF(AND(OR(BU378="L1",BU378="L23"),AV378&gt;0),SUMIFS($AV$7:$AV$1576,$BU$7:$BU$1576,BU378,$AY$7:$AY$1576,"&gt;"&amp;AY378)+SUMIFS($AV$7:$AV$1576,$BU$7:$BU$1576,BU378,$AY$7:$AY$1576,AY378,$BO$7:$BO$1576,"&lt;="&amp;BO378),"")</f>
        <v>114.411217433758</v>
      </c>
      <c r="BA378" s="65" t="n">
        <f aca="false">IF(AZ378="",0,MAX(0,MIN(1,(IF(BU378="L1",Parameter!$E$5,Parameter!$E$6+Parameter!$E$7)-(AZ378-AV378))/AV378)))</f>
        <v>0</v>
      </c>
      <c r="BB378" s="55" t="str">
        <f aca="false">IF(AF378&lt;=0,"",IF(BU378="Aussen","Aussenlager",IF(BU378="-","Nicht im Lift",IF(AK378&gt;=1,"Lift",IF(AK378&lt;=0,"Aussenlager","teilweise")))))</f>
        <v>Lift</v>
      </c>
      <c r="BC378" s="55" t="str">
        <f aca="false">IF(AN378&lt;=0,"",IF(BU378="Aussen","Aussenlager",IF(BU378="-","Nicht im Lift",IF(AS378&gt;=1,"Lift",IF(AS378&lt;=0,"Aussenlager","teilweise")))))</f>
        <v>Aussenlager</v>
      </c>
      <c r="BD378" s="55" t="str">
        <f aca="false">IF(AV378&lt;=0,"",IF(BU378="Aussen","Aussenlager",IF(BU378="-","Nicht im Lift",IF(BA378&gt;=1,"Lift",IF(BA378&lt;=0,"Aussenlager","teilweise")))))</f>
        <v>Aussenlager</v>
      </c>
      <c r="BE378" s="55" t="str">
        <f aca="false">IF(A378="","",IF(BN378=1,"Neu; ","")&amp;IF(AND(BN378=0,BI378&lt;0),"negativer Bestand (Export "&amp;BI378&amp;"); ","")&amp;IF(I378&lt;=0,"Kein Verbrauch; ","")&amp;IF(CD378&gt;0,"Lift "&amp;U378&amp;" lt. Liftbericht (Fach "&amp;V378&amp;" Stk); ",IF(BR378=1,"Lose – Fläche geschätzt; ",""))&amp;IF(G378&gt;AP378,"Überbestand "&amp;ROUND(G378-AP378,0)&amp;" Stk / CHF "&amp;ROUND((G378-AP378)*F378,0)&amp;"; ","")&amp;IF(AND(BW378=1,BX378&lt;BY378),"MAX &lt; MB+LG; ","")&amp;IF(AND(CC378&gt;0,CB378*10&gt;CC378),"zu hoch für Tablar; ","")&amp;IF(AND(BN378=0,OR(BW378=1,Y378&lt;&gt;"",S378&lt;&gt;"",T378&lt;&gt;"",Z378&lt;&gt;"")),"manuell übersteuert; ","")&amp;IF(AND(BR378=0,Q378=0),"Gebinde unbekannt / Stellmass fehlt; ","")&amp;IF(AND(BR378=0,N(T378)&lt;=0,N(P378)&lt;=0),"Menge pro Gebinde fehlt (Ist = 1 Gebinde); ","")&amp;BM378)</f>
        <v>Kein Verbrauch; Lose – Fläche geschätzt; </v>
      </c>
      <c r="BF378" s="55"/>
      <c r="BG378" s="55"/>
      <c r="BH378" s="62"/>
      <c r="BI378" s="57" t="n">
        <v>1</v>
      </c>
      <c r="BJ378" s="57" t="n">
        <v>0</v>
      </c>
      <c r="BK378" s="56" t="n">
        <v>136</v>
      </c>
      <c r="BL378" s="57" t="n">
        <v>0</v>
      </c>
      <c r="BM378" s="55"/>
      <c r="BN378" s="60" t="n">
        <v>0</v>
      </c>
      <c r="BO378" s="60" t="n">
        <v>378</v>
      </c>
      <c r="BP378" s="55" t="str">
        <f aca="false">IF(S378&lt;&gt;"",UPPER(TRIM(S378)),IF(O378="","LOSE",O378))</f>
        <v>LOSE</v>
      </c>
      <c r="BQ378" s="57" t="n">
        <f aca="false">IF(BP378="LOSE",1,IF(N(T378)&gt;0,T378,IF(N(P378)&gt;0,P378,MAX(1,G378))))</f>
        <v>1</v>
      </c>
      <c r="BR378" s="60" t="n">
        <f aca="false">IF(BP378="LOSE",1,0)</f>
        <v>1</v>
      </c>
      <c r="BS378" s="59" t="n">
        <f aca="false">IF(BR378=0,0,IF(N(R378)&gt;0,R378,IFERROR(VLOOKUP(D378,Parameter!$A$35:$C$64,3,0)+0,0)))</f>
        <v>0.15</v>
      </c>
      <c r="BT378" s="55" t="n">
        <f aca="false">IF(Y378&lt;&gt;"",Y378,X378)</f>
        <v>2</v>
      </c>
      <c r="BU378" s="55" t="str">
        <f aca="false">IF(BT378=1,"L1",IF(OR(BT378=2,BT378=3),"L23",IF(BT378="Aussen","Aussen","-")))</f>
        <v>L23</v>
      </c>
      <c r="BV378" s="66" t="n">
        <f aca="false">IF(N(Z378)&gt;0,Z378,0)</f>
        <v>0</v>
      </c>
      <c r="BW378" s="60" t="n">
        <f aca="false">IF(ISNUMBER(AC378),1,0)</f>
        <v>0</v>
      </c>
      <c r="BX378" s="57" t="n">
        <f aca="false">N(AC378)</f>
        <v>0</v>
      </c>
      <c r="BY378" s="57" t="n">
        <f aca="false">N(L378)+N(M378)</f>
        <v>1</v>
      </c>
      <c r="BZ378" s="57" t="n">
        <f aca="false">ROUNDUP(G378/BQ378,0)</f>
        <v>1</v>
      </c>
      <c r="CA378" s="57" t="n">
        <f aca="false">ROUNDUP(BX378/BQ378,0)</f>
        <v>0</v>
      </c>
      <c r="CB378" s="60" t="n">
        <f aca="false">IF(BR378=1,0,IFERROR(VLOOKUP(BP378,'Gebinde-Kategorie'!$A$5:$M$45,5,0)+0,0))</f>
        <v>0</v>
      </c>
      <c r="CC378" s="60" t="n">
        <f aca="false">IFERROR(IF(OR(BT378=1,BT378=2,BT378=3),N(INDEX(Parameter!$I$5:$I$7,BT378)),0),0)</f>
        <v>0</v>
      </c>
      <c r="CD378" s="59" t="n">
        <f aca="false">IF(AND(Parameter!$B$21="Ja",ISNUMBER(U378),N(V378)&gt;0),IFERROR(N(INDEX(Parameter!$L$5:$L$7,U378))*INDEX(Parameter!$E$5:$E$7,U378)*V378/SUMIFS($V$7:$V$1576,$U$7:$U$1576,U378),0),0)</f>
        <v>0</v>
      </c>
    </row>
    <row r="379" customFormat="false" ht="15" hidden="false" customHeight="false" outlineLevel="0" collapsed="false">
      <c r="A379" s="55" t="s">
        <v>892</v>
      </c>
      <c r="B379" s="55" t="s">
        <v>578</v>
      </c>
      <c r="C379" s="55" t="s">
        <v>160</v>
      </c>
      <c r="D379" s="55" t="s">
        <v>178</v>
      </c>
      <c r="E379" s="55" t="s">
        <v>210</v>
      </c>
      <c r="F379" s="56" t="n">
        <v>21.9</v>
      </c>
      <c r="G379" s="57" t="n">
        <f aca="false">MAX(0,IF(AND(Parameter!$B$21="Ja",ISNUMBER(W379)),W379,IF(Parameter!$B$20="Jahresanfang 2025 + Export",BJ379+BI379,BI379)))</f>
        <v>1</v>
      </c>
      <c r="H379" s="57" t="n">
        <f aca="false">G379*F379</f>
        <v>21.9</v>
      </c>
      <c r="I379" s="57" t="n">
        <f aca="false">BL379*Parameter!$B$18</f>
        <v>25</v>
      </c>
      <c r="J379" s="58" t="n">
        <v>48</v>
      </c>
      <c r="K379" s="59" t="n">
        <v>0.520833333333333</v>
      </c>
      <c r="L379" s="57" t="n">
        <v>3</v>
      </c>
      <c r="M379" s="57" t="n">
        <v>25</v>
      </c>
      <c r="N379" s="60" t="n">
        <v>56</v>
      </c>
      <c r="O379" s="55" t="s">
        <v>391</v>
      </c>
      <c r="P379" s="57" t="n">
        <v>65</v>
      </c>
      <c r="Q379" s="60" t="n">
        <f aca="false">IF(BR379=1,0,IFERROR(VLOOKUP(BP379,'Gebinde-Kategorie'!$A$5:$M$45,13,0)+0,0))</f>
        <v>414</v>
      </c>
      <c r="R379" s="61"/>
      <c r="S379" s="62"/>
      <c r="T379" s="62"/>
      <c r="U379" s="55"/>
      <c r="V379" s="57"/>
      <c r="W379" s="57"/>
      <c r="X379" s="55" t="n">
        <f aca="false">IF(A379="","",IF(AND(Parameter!$B$21="Ja",ISNUMBER(U379)),U379,IF(IFERROR(VLOOKUP(D379,Parameter!$A$35:$C$64,2,0),"Nein")="2+3",IF(ISNUMBER(SEARCH("grosser Artikel",BM379)),2,IFERROR(VLOOKUP(BP379,Parameter!$F$35:$G$64,2,0),2)),IF(OR(IFERROR(VLOOKUP(D379,Parameter!$A$35:$C$64,2,0),"Nein")="Nein",IFERROR(VLOOKUP(D379,Parameter!$A$35:$C$64,2,0),"Nein")=""),"-",VLOOKUP(D379,Parameter!$A$35:$C$64,2,0)))))</f>
        <v>3</v>
      </c>
      <c r="Y379" s="62"/>
      <c r="Z379" s="63"/>
      <c r="AA379" s="57" t="n">
        <f aca="false">AP379</f>
        <v>65</v>
      </c>
      <c r="AB379" s="57" t="n">
        <f aca="false">MAX(AP379,G379)</f>
        <v>65</v>
      </c>
      <c r="AC379" s="64"/>
      <c r="AD379" s="57" t="n">
        <f aca="false">IF(LEFT(Cockpit!$C$5,1)="A",G379,IF(BW379=1,BX379,IF(LEFT(Cockpit!$C$5,1)="B",AH379,MAX(AH379,G379))))</f>
        <v>1</v>
      </c>
      <c r="AE379" s="57" t="n">
        <f aca="false">IF(BR379=1,0,ROUNDUP(AD379/BQ379,0))</f>
        <v>1</v>
      </c>
      <c r="AF379" s="59" t="n">
        <f aca="false">IF(CD379&gt;0,CD379*MAX(1,AD379/V379),IF(BR379=1,IF(AD379&lt;=0,0,BS379*MAX(1,IF(G379&gt;0,AD379/G379,1))),IF(Q379&gt;0,AE379/Q379,0))/MAX(0.1,N(Parameter!$M$21)))</f>
        <v>0.00241545893719807</v>
      </c>
      <c r="AG379" s="57" t="n">
        <f aca="false">AD379*F379</f>
        <v>21.9</v>
      </c>
      <c r="AH379" s="57" t="n">
        <f aca="false">ROUNDUP(MAX(I379/IF(BV379&gt;0,BV379,MAX(0.1,N(Cockpit!$C$6))),BY379)/BQ379,0)*BQ379</f>
        <v>65</v>
      </c>
      <c r="AI379" s="58" t="n">
        <f aca="false">IF(AF379&gt;0,I379/AF379,-1)</f>
        <v>10350</v>
      </c>
      <c r="AJ379" s="58" t="n">
        <f aca="false">IF(AND(OR(BU379="L1",BU379="L23"),AF379&gt;0),SUMIFS($AF$7:$AF$1576,$BU$7:$BU$1576,BU379,$AI$7:$AI$1576,"&gt;"&amp;AI379)+SUMIFS($AF$7:$AF$1576,$BU$7:$BU$1576,BU379,$AI$7:$AI$1576,AI379,$BO$7:$BO$1576,"&lt;="&amp;BO379),"")</f>
        <v>2.43169994256951</v>
      </c>
      <c r="AK379" s="65" t="n">
        <f aca="false">IF(AJ379="",0,MAX(0,MIN(1,(IF(BU379="L1",Parameter!$E$5,Parameter!$E$6+Parameter!$E$7)-(AJ379-AF379))/AF379)))</f>
        <v>1</v>
      </c>
      <c r="AL379" s="57" t="n">
        <f aca="false">IF(LEFT(Cockpit!$I$5,1)="A",G379,IF(BW379=1,BX379,IF(LEFT(Cockpit!$I$5,1)="B",AP379,MAX(AP379,G379))))</f>
        <v>65</v>
      </c>
      <c r="AM379" s="57" t="n">
        <f aca="false">IF(BR379=1,0,ROUNDUP(AL379/BQ379,0))</f>
        <v>1</v>
      </c>
      <c r="AN379" s="59" t="n">
        <f aca="false">IF(CD379&gt;0,CD379*MAX(1,AL379/V379),IF(BR379=1,IF(AL379&lt;=0,0,BS379*MAX(1,IF(G379&gt;0,AL379/G379,1))),IF(Q379&gt;0,AM379/Q379,0))/MAX(0.1,N(Parameter!$M$21)))</f>
        <v>0.00241545893719807</v>
      </c>
      <c r="AO379" s="57" t="n">
        <f aca="false">AL379*F379</f>
        <v>1423.5</v>
      </c>
      <c r="AP379" s="57" t="n">
        <f aca="false">ROUNDUP(MAX(I379/IF(BV379&gt;0,BV379,MAX(0.1,N(Cockpit!$I$6))),BY379)/BQ379,0)*BQ379</f>
        <v>65</v>
      </c>
      <c r="AQ379" s="58" t="n">
        <f aca="false">IF(AN379&gt;0,I379/AN379,-1)</f>
        <v>10350</v>
      </c>
      <c r="AR379" s="58" t="n">
        <f aca="false">IF(AND(OR(BU379="L1",BU379="L23"),AN379&gt;0),SUMIFS($AN$7:$AN$1576,$BU$7:$BU$1576,BU379,$AQ$7:$AQ$1576,"&gt;"&amp;AQ379)+SUMIFS($AN$7:$AN$1576,$BU$7:$BU$1576,BU379,$AQ$7:$AQ$1576,AQ379,$BO$7:$BO$1576,"&lt;="&amp;BO379),"")</f>
        <v>6.9819793250228</v>
      </c>
      <c r="AS379" s="65" t="n">
        <f aca="false">IF(AR379="",0,MAX(0,MIN(1,(IF(BU379="L1",Parameter!$E$5,Parameter!$E$6+Parameter!$E$7)-(AR379-AN379))/AN379)))</f>
        <v>1</v>
      </c>
      <c r="AT379" s="57" t="n">
        <f aca="false">IF(LEFT(Cockpit!$O$5,1)="A",G379,IF(BW379=1,BX379,IF(LEFT(Cockpit!$O$5,1)="B",AX379,MAX(AX379,G379))))</f>
        <v>65</v>
      </c>
      <c r="AU379" s="57" t="n">
        <f aca="false">IF(BR379=1,0,ROUNDUP(AT379/BQ379,0))</f>
        <v>1</v>
      </c>
      <c r="AV379" s="59" t="n">
        <f aca="false">IF(CD379&gt;0,CD379*MAX(1,AT379/V379),IF(BR379=1,IF(AT379&lt;=0,0,BS379*MAX(1,IF(G379&gt;0,AT379/G379,1))),IF(Q379&gt;0,AU379/Q379,0))/MAX(0.1,N(Parameter!$M$21)))</f>
        <v>0.00241545893719807</v>
      </c>
      <c r="AW379" s="57" t="n">
        <f aca="false">AT379*F379</f>
        <v>1423.5</v>
      </c>
      <c r="AX379" s="57" t="n">
        <f aca="false">ROUNDUP(MAX(I379/IF(BV379&gt;0,BV379,MAX(0.1,N(Cockpit!$O$6))),BY379)/BQ379,0)*BQ379</f>
        <v>65</v>
      </c>
      <c r="AY379" s="58" t="n">
        <f aca="false">IF(AV379&gt;0,I379/AV379,-1)</f>
        <v>10350</v>
      </c>
      <c r="AZ379" s="58" t="n">
        <f aca="false">IF(AND(OR(BU379="L1",BU379="L23"),AV379&gt;0),SUMIFS($AV$7:$AV$1576,$BU$7:$BU$1576,BU379,$AY$7:$AY$1576,"&gt;"&amp;AY379)+SUMIFS($AV$7:$AV$1576,$BU$7:$BU$1576,BU379,$AY$7:$AY$1576,AY379,$BO$7:$BO$1576,"&lt;="&amp;BO379),"")</f>
        <v>6.6836110266545</v>
      </c>
      <c r="BA379" s="65" t="n">
        <f aca="false">IF(AZ379="",0,MAX(0,MIN(1,(IF(BU379="L1",Parameter!$E$5,Parameter!$E$6+Parameter!$E$7)-(AZ379-AV379))/AV379)))</f>
        <v>1</v>
      </c>
      <c r="BB379" s="55" t="str">
        <f aca="false">IF(AF379&lt;=0,"",IF(BU379="Aussen","Aussenlager",IF(BU379="-","Nicht im Lift",IF(AK379&gt;=1,"Lift",IF(AK379&lt;=0,"Aussenlager","teilweise")))))</f>
        <v>Lift</v>
      </c>
      <c r="BC379" s="55" t="str">
        <f aca="false">IF(AN379&lt;=0,"",IF(BU379="Aussen","Aussenlager",IF(BU379="-","Nicht im Lift",IF(AS379&gt;=1,"Lift",IF(AS379&lt;=0,"Aussenlager","teilweise")))))</f>
        <v>Lift</v>
      </c>
      <c r="BD379" s="55" t="str">
        <f aca="false">IF(AV379&lt;=0,"",IF(BU379="Aussen","Aussenlager",IF(BU379="-","Nicht im Lift",IF(BA379&gt;=1,"Lift",IF(BA379&lt;=0,"Aussenlager","teilweise")))))</f>
        <v>Lift</v>
      </c>
      <c r="BE379" s="55" t="str">
        <f aca="false">IF(A379="","",IF(BN379=1,"Neu; ","")&amp;IF(AND(BN379=0,BI379&lt;0),"negativer Bestand (Export "&amp;BI379&amp;"); ","")&amp;IF(I379&lt;=0,"Kein Verbrauch; ","")&amp;IF(CD379&gt;0,"Lift "&amp;U379&amp;" lt. Liftbericht (Fach "&amp;V379&amp;" Stk); ",IF(BR379=1,"Lose – Fläche geschätzt; ",""))&amp;IF(G379&gt;AP379,"Überbestand "&amp;ROUND(G379-AP379,0)&amp;" Stk / CHF "&amp;ROUND((G379-AP379)*F379,0)&amp;"; ","")&amp;IF(AND(BW379=1,BX379&lt;BY379),"MAX &lt; MB+LG; ","")&amp;IF(AND(CC379&gt;0,CB379*10&gt;CC379),"zu hoch für Tablar; ","")&amp;IF(AND(BN379=0,OR(BW379=1,Y379&lt;&gt;"",S379&lt;&gt;"",T379&lt;&gt;"",Z379&lt;&gt;"")),"manuell übersteuert; ","")&amp;IF(AND(BR379=0,Q379=0),"Gebinde unbekannt / Stellmass fehlt; ","")&amp;IF(AND(BR379=0,N(T379)&lt;=0,N(P379)&lt;=0),"Menge pro Gebinde fehlt (Ist = 1 Gebinde); ","")&amp;BM379)</f>
        <v/>
      </c>
      <c r="BF379" s="55"/>
      <c r="BG379" s="55"/>
      <c r="BH379" s="62"/>
      <c r="BI379" s="57" t="n">
        <v>1</v>
      </c>
      <c r="BJ379" s="57" t="n">
        <v>33</v>
      </c>
      <c r="BK379" s="56" t="n">
        <v>135.75</v>
      </c>
      <c r="BL379" s="57" t="n">
        <v>25</v>
      </c>
      <c r="BM379" s="55"/>
      <c r="BN379" s="60" t="n">
        <v>0</v>
      </c>
      <c r="BO379" s="60" t="n">
        <v>379</v>
      </c>
      <c r="BP379" s="55" t="str">
        <f aca="false">IF(S379&lt;&gt;"",UPPER(TRIM(S379)),IF(O379="","LOSE",O379))</f>
        <v>S21</v>
      </c>
      <c r="BQ379" s="57" t="n">
        <f aca="false">IF(BP379="LOSE",1,IF(N(T379)&gt;0,T379,IF(N(P379)&gt;0,P379,MAX(1,G379))))</f>
        <v>65</v>
      </c>
      <c r="BR379" s="60" t="n">
        <f aca="false">IF(BP379="LOSE",1,0)</f>
        <v>0</v>
      </c>
      <c r="BS379" s="59" t="n">
        <f aca="false">IF(BR379=0,0,IF(N(R379)&gt;0,R379,IFERROR(VLOOKUP(D379,Parameter!$A$35:$C$64,3,0)+0,0)))</f>
        <v>0</v>
      </c>
      <c r="BT379" s="55" t="n">
        <f aca="false">IF(Y379&lt;&gt;"",Y379,X379)</f>
        <v>3</v>
      </c>
      <c r="BU379" s="55" t="str">
        <f aca="false">IF(BT379=1,"L1",IF(OR(BT379=2,BT379=3),"L23",IF(BT379="Aussen","Aussen","-")))</f>
        <v>L23</v>
      </c>
      <c r="BV379" s="66" t="n">
        <f aca="false">IF(N(Z379)&gt;0,Z379,0)</f>
        <v>0</v>
      </c>
      <c r="BW379" s="60" t="n">
        <f aca="false">IF(ISNUMBER(AC379),1,0)</f>
        <v>0</v>
      </c>
      <c r="BX379" s="57" t="n">
        <f aca="false">N(AC379)</f>
        <v>0</v>
      </c>
      <c r="BY379" s="57" t="n">
        <f aca="false">N(L379)+N(M379)</f>
        <v>28</v>
      </c>
      <c r="BZ379" s="57" t="n">
        <f aca="false">ROUNDUP(G379/BQ379,0)</f>
        <v>1</v>
      </c>
      <c r="CA379" s="57" t="n">
        <f aca="false">ROUNDUP(BX379/BQ379,0)</f>
        <v>0</v>
      </c>
      <c r="CB379" s="60" t="n">
        <f aca="false">IF(BR379=1,0,IFERROR(VLOOKUP(BP379,'Gebinde-Kategorie'!$A$5:$M$45,5,0)+0,0))</f>
        <v>8</v>
      </c>
      <c r="CC379" s="60" t="n">
        <f aca="false">IFERROR(IF(OR(BT379=1,BT379=2,BT379=3),N(INDEX(Parameter!$I$5:$I$7,BT379)),0),0)</f>
        <v>0</v>
      </c>
      <c r="CD379" s="59" t="n">
        <f aca="false">IF(AND(Parameter!$B$21="Ja",ISNUMBER(U379),N(V379)&gt;0),IFERROR(N(INDEX(Parameter!$L$5:$L$7,U379))*INDEX(Parameter!$E$5:$E$7,U379)*V379/SUMIFS($V$7:$V$1576,$U$7:$U$1576,U379),0),0)</f>
        <v>0</v>
      </c>
    </row>
    <row r="380" customFormat="false" ht="15" hidden="false" customHeight="false" outlineLevel="0" collapsed="false">
      <c r="A380" s="55" t="s">
        <v>893</v>
      </c>
      <c r="B380" s="55" t="s">
        <v>894</v>
      </c>
      <c r="C380" s="55" t="s">
        <v>160</v>
      </c>
      <c r="D380" s="55" t="s">
        <v>178</v>
      </c>
      <c r="E380" s="55" t="s">
        <v>210</v>
      </c>
      <c r="F380" s="56" t="n">
        <v>5.43</v>
      </c>
      <c r="G380" s="57" t="n">
        <f aca="false">MAX(0,IF(AND(Parameter!$B$21="Ja",ISNUMBER(W380)),W380,IF(Parameter!$B$20="Jahresanfang 2025 + Export",BJ380+BI380,BI380)))</f>
        <v>25</v>
      </c>
      <c r="H380" s="57" t="n">
        <f aca="false">G380*F380</f>
        <v>135.75</v>
      </c>
      <c r="I380" s="57" t="n">
        <f aca="false">BL380*Parameter!$B$18</f>
        <v>0</v>
      </c>
      <c r="J380" s="58" t="n">
        <v>0</v>
      </c>
      <c r="K380" s="59" t="n">
        <v>0</v>
      </c>
      <c r="L380" s="57" t="n">
        <v>0</v>
      </c>
      <c r="M380" s="57" t="n">
        <v>1</v>
      </c>
      <c r="N380" s="60" t="n">
        <v>9999</v>
      </c>
      <c r="O380" s="55" t="s">
        <v>163</v>
      </c>
      <c r="P380" s="57"/>
      <c r="Q380" s="60" t="n">
        <f aca="false">IF(BR380=1,0,IFERROR(VLOOKUP(BP380,'Gebinde-Kategorie'!$A$5:$M$45,13,0)+0,0))</f>
        <v>0</v>
      </c>
      <c r="R380" s="61"/>
      <c r="S380" s="62"/>
      <c r="T380" s="62"/>
      <c r="U380" s="55"/>
      <c r="V380" s="57"/>
      <c r="W380" s="57"/>
      <c r="X380" s="55" t="n">
        <f aca="false">IF(A380="","",IF(AND(Parameter!$B$21="Ja",ISNUMBER(U380)),U380,IF(IFERROR(VLOOKUP(D380,Parameter!$A$35:$C$64,2,0),"Nein")="2+3",IF(ISNUMBER(SEARCH("grosser Artikel",BM380)),2,IFERROR(VLOOKUP(BP380,Parameter!$F$35:$G$64,2,0),2)),IF(OR(IFERROR(VLOOKUP(D380,Parameter!$A$35:$C$64,2,0),"Nein")="Nein",IFERROR(VLOOKUP(D380,Parameter!$A$35:$C$64,2,0),"Nein")=""),"-",VLOOKUP(D380,Parameter!$A$35:$C$64,2,0)))))</f>
        <v>2</v>
      </c>
      <c r="Y380" s="62"/>
      <c r="Z380" s="63"/>
      <c r="AA380" s="57" t="n">
        <f aca="false">AP380</f>
        <v>1</v>
      </c>
      <c r="AB380" s="57" t="n">
        <f aca="false">MAX(AP380,G380)</f>
        <v>25</v>
      </c>
      <c r="AC380" s="64"/>
      <c r="AD380" s="57" t="n">
        <f aca="false">IF(LEFT(Cockpit!$C$5,1)="A",G380,IF(BW380=1,BX380,IF(LEFT(Cockpit!$C$5,1)="B",AH380,MAX(AH380,G380))))</f>
        <v>25</v>
      </c>
      <c r="AE380" s="57" t="n">
        <f aca="false">IF(BR380=1,0,ROUNDUP(AD380/BQ380,0))</f>
        <v>0</v>
      </c>
      <c r="AF380" s="59" t="n">
        <f aca="false">IF(CD380&gt;0,CD380*MAX(1,AD380/V380),IF(BR380=1,IF(AD380&lt;=0,0,BS380*MAX(1,IF(G380&gt;0,AD380/G380,1))),IF(Q380&gt;0,AE380/Q380,0))/MAX(0.1,N(Parameter!$M$21)))</f>
        <v>0.03</v>
      </c>
      <c r="AG380" s="57" t="n">
        <f aca="false">AD380*F380</f>
        <v>135.75</v>
      </c>
      <c r="AH380" s="57" t="n">
        <f aca="false">ROUNDUP(MAX(I380/IF(BV380&gt;0,BV380,MAX(0.1,N(Cockpit!$C$6))),BY380)/BQ380,0)*BQ380</f>
        <v>1</v>
      </c>
      <c r="AI380" s="58" t="n">
        <f aca="false">IF(AF380&gt;0,I380/AF380,-1)</f>
        <v>0</v>
      </c>
      <c r="AJ380" s="58" t="n">
        <f aca="false">IF(AND(OR(BU380="L1",BU380="L23"),AF380&gt;0),SUMIFS($AF$7:$AF$1576,$BU$7:$BU$1576,BU380,$AI$7:$AI$1576,"&gt;"&amp;AI380)+SUMIFS($AF$7:$AF$1576,$BU$7:$BU$1576,BU380,$AI$7:$AI$1576,AI380,$BO$7:$BO$1576,"&lt;="&amp;BO380),"")</f>
        <v>41.5074612344178</v>
      </c>
      <c r="AK380" s="65" t="n">
        <f aca="false">IF(AJ380="",0,MAX(0,MIN(1,(IF(BU380="L1",Parameter!$E$5,Parameter!$E$6+Parameter!$E$7)-(AJ380-AF380))/AF380)))</f>
        <v>1</v>
      </c>
      <c r="AL380" s="57" t="n">
        <f aca="false">IF(LEFT(Cockpit!$I$5,1)="A",G380,IF(BW380=1,BX380,IF(LEFT(Cockpit!$I$5,1)="B",AP380,MAX(AP380,G380))))</f>
        <v>25</v>
      </c>
      <c r="AM380" s="57" t="n">
        <f aca="false">IF(BR380=1,0,ROUNDUP(AL380/BQ380,0))</f>
        <v>0</v>
      </c>
      <c r="AN380" s="59" t="n">
        <f aca="false">IF(CD380&gt;0,CD380*MAX(1,AL380/V380),IF(BR380=1,IF(AL380&lt;=0,0,BS380*MAX(1,IF(G380&gt;0,AL380/G380,1))),IF(Q380&gt;0,AM380/Q380,0))/MAX(0.1,N(Parameter!$M$21)))</f>
        <v>0.03</v>
      </c>
      <c r="AO380" s="57" t="n">
        <f aca="false">AL380*F380</f>
        <v>135.75</v>
      </c>
      <c r="AP380" s="57" t="n">
        <f aca="false">ROUNDUP(MAX(I380/IF(BV380&gt;0,BV380,MAX(0.1,N(Cockpit!$I$6))),BY380)/BQ380,0)*BQ380</f>
        <v>1</v>
      </c>
      <c r="AQ380" s="58" t="n">
        <f aca="false">IF(AN380&gt;0,I380/AN380,-1)</f>
        <v>0</v>
      </c>
      <c r="AR380" s="58" t="n">
        <f aca="false">IF(AND(OR(BU380="L1",BU380="L23"),AN380&gt;0),SUMIFS($AN$7:$AN$1576,$BU$7:$BU$1576,BU380,$AQ$7:$AQ$1576,"&gt;"&amp;AQ380)+SUMIFS($AN$7:$AN$1576,$BU$7:$BU$1576,BU380,$AQ$7:$AQ$1576,AQ380,$BO$7:$BO$1576,"&lt;="&amp;BO380),"")</f>
        <v>124.381666984207</v>
      </c>
      <c r="AS380" s="65" t="n">
        <f aca="false">IF(AR380="",0,MAX(0,MIN(1,(IF(BU380="L1",Parameter!$E$5,Parameter!$E$6+Parameter!$E$7)-(AR380-AN380))/AN380)))</f>
        <v>0</v>
      </c>
      <c r="AT380" s="57" t="n">
        <f aca="false">IF(LEFT(Cockpit!$O$5,1)="A",G380,IF(BW380=1,BX380,IF(LEFT(Cockpit!$O$5,1)="B",AX380,MAX(AX380,G380))))</f>
        <v>25</v>
      </c>
      <c r="AU380" s="57" t="n">
        <f aca="false">IF(BR380=1,0,ROUNDUP(AT380/BQ380,0))</f>
        <v>0</v>
      </c>
      <c r="AV380" s="59" t="n">
        <f aca="false">IF(CD380&gt;0,CD380*MAX(1,AT380/V380),IF(BR380=1,IF(AT380&lt;=0,0,BS380*MAX(1,IF(G380&gt;0,AT380/G380,1))),IF(Q380&gt;0,AU380/Q380,0))/MAX(0.1,N(Parameter!$M$21)))</f>
        <v>0.03</v>
      </c>
      <c r="AW380" s="57" t="n">
        <f aca="false">AT380*F380</f>
        <v>135.75</v>
      </c>
      <c r="AX380" s="57" t="n">
        <f aca="false">ROUNDUP(MAX(I380/IF(BV380&gt;0,BV380,MAX(0.1,N(Cockpit!$O$6))),BY380)/BQ380,0)*BQ380</f>
        <v>1</v>
      </c>
      <c r="AY380" s="58" t="n">
        <f aca="false">IF(AV380&gt;0,I380/AV380,-1)</f>
        <v>0</v>
      </c>
      <c r="AZ380" s="58" t="n">
        <f aca="false">IF(AND(OR(BU380="L1",BU380="L23"),AV380&gt;0),SUMIFS($AV$7:$AV$1576,$BU$7:$BU$1576,BU380,$AY$7:$AY$1576,"&gt;"&amp;AY380)+SUMIFS($AV$7:$AV$1576,$BU$7:$BU$1576,BU380,$AY$7:$AY$1576,AY380,$BO$7:$BO$1576,"&lt;="&amp;BO380),"")</f>
        <v>114.441217433758</v>
      </c>
      <c r="BA380" s="65" t="n">
        <f aca="false">IF(AZ380="",0,MAX(0,MIN(1,(IF(BU380="L1",Parameter!$E$5,Parameter!$E$6+Parameter!$E$7)-(AZ380-AV380))/AV380)))</f>
        <v>0</v>
      </c>
      <c r="BB380" s="55" t="str">
        <f aca="false">IF(AF380&lt;=0,"",IF(BU380="Aussen","Aussenlager",IF(BU380="-","Nicht im Lift",IF(AK380&gt;=1,"Lift",IF(AK380&lt;=0,"Aussenlager","teilweise")))))</f>
        <v>Lift</v>
      </c>
      <c r="BC380" s="55" t="str">
        <f aca="false">IF(AN380&lt;=0,"",IF(BU380="Aussen","Aussenlager",IF(BU380="-","Nicht im Lift",IF(AS380&gt;=1,"Lift",IF(AS380&lt;=0,"Aussenlager","teilweise")))))</f>
        <v>Aussenlager</v>
      </c>
      <c r="BD380" s="55" t="str">
        <f aca="false">IF(AV380&lt;=0,"",IF(BU380="Aussen","Aussenlager",IF(BU380="-","Nicht im Lift",IF(BA380&gt;=1,"Lift",IF(BA380&lt;=0,"Aussenlager","teilweise")))))</f>
        <v>Aussenlager</v>
      </c>
      <c r="BE380" s="55" t="str">
        <f aca="false">IF(A380="","",IF(BN380=1,"Neu; ","")&amp;IF(AND(BN380=0,BI380&lt;0),"negativer Bestand (Export "&amp;BI380&amp;"); ","")&amp;IF(I380&lt;=0,"Kein Verbrauch; ","")&amp;IF(CD380&gt;0,"Lift "&amp;U380&amp;" lt. Liftbericht (Fach "&amp;V380&amp;" Stk); ",IF(BR380=1,"Lose – Fläche geschätzt; ",""))&amp;IF(G380&gt;AP380,"Überbestand "&amp;ROUND(G380-AP380,0)&amp;" Stk / CHF "&amp;ROUND((G380-AP380)*F380,0)&amp;"; ","")&amp;IF(AND(BW380=1,BX380&lt;BY380),"MAX &lt; MB+LG; ","")&amp;IF(AND(CC380&gt;0,CB380*10&gt;CC380),"zu hoch für Tablar; ","")&amp;IF(AND(BN380=0,OR(BW380=1,Y380&lt;&gt;"",S380&lt;&gt;"",T380&lt;&gt;"",Z380&lt;&gt;"")),"manuell übersteuert; ","")&amp;IF(AND(BR380=0,Q380=0),"Gebinde unbekannt / Stellmass fehlt; ","")&amp;IF(AND(BR380=0,N(T380)&lt;=0,N(P380)&lt;=0),"Menge pro Gebinde fehlt (Ist = 1 Gebinde); ","")&amp;BM380)</f>
        <v>Kein Verbrauch; Lose – Fläche geschätzt; Überbestand 24 Stk / CHF 130; </v>
      </c>
      <c r="BF380" s="55"/>
      <c r="BG380" s="55"/>
      <c r="BH380" s="62"/>
      <c r="BI380" s="57" t="n">
        <v>25</v>
      </c>
      <c r="BJ380" s="57" t="n">
        <v>0</v>
      </c>
      <c r="BK380" s="56" t="n">
        <v>135.75</v>
      </c>
      <c r="BL380" s="57" t="n">
        <v>0</v>
      </c>
      <c r="BM380" s="55"/>
      <c r="BN380" s="60" t="n">
        <v>0</v>
      </c>
      <c r="BO380" s="60" t="n">
        <v>380</v>
      </c>
      <c r="BP380" s="55" t="str">
        <f aca="false">IF(S380&lt;&gt;"",UPPER(TRIM(S380)),IF(O380="","LOSE",O380))</f>
        <v>LOSE</v>
      </c>
      <c r="BQ380" s="57" t="n">
        <f aca="false">IF(BP380="LOSE",1,IF(N(T380)&gt;0,T380,IF(N(P380)&gt;0,P380,MAX(1,G380))))</f>
        <v>1</v>
      </c>
      <c r="BR380" s="60" t="n">
        <f aca="false">IF(BP380="LOSE",1,0)</f>
        <v>1</v>
      </c>
      <c r="BS380" s="59" t="n">
        <f aca="false">IF(BR380=0,0,IF(N(R380)&gt;0,R380,IFERROR(VLOOKUP(D380,Parameter!$A$35:$C$64,3,0)+0,0)))</f>
        <v>0.03</v>
      </c>
      <c r="BT380" s="55" t="n">
        <f aca="false">IF(Y380&lt;&gt;"",Y380,X380)</f>
        <v>2</v>
      </c>
      <c r="BU380" s="55" t="str">
        <f aca="false">IF(BT380=1,"L1",IF(OR(BT380=2,BT380=3),"L23",IF(BT380="Aussen","Aussen","-")))</f>
        <v>L23</v>
      </c>
      <c r="BV380" s="66" t="n">
        <f aca="false">IF(N(Z380)&gt;0,Z380,0)</f>
        <v>0</v>
      </c>
      <c r="BW380" s="60" t="n">
        <f aca="false">IF(ISNUMBER(AC380),1,0)</f>
        <v>0</v>
      </c>
      <c r="BX380" s="57" t="n">
        <f aca="false">N(AC380)</f>
        <v>0</v>
      </c>
      <c r="BY380" s="57" t="n">
        <f aca="false">N(L380)+N(M380)</f>
        <v>1</v>
      </c>
      <c r="BZ380" s="57" t="n">
        <f aca="false">ROUNDUP(G380/BQ380,0)</f>
        <v>25</v>
      </c>
      <c r="CA380" s="57" t="n">
        <f aca="false">ROUNDUP(BX380/BQ380,0)</f>
        <v>0</v>
      </c>
      <c r="CB380" s="60" t="n">
        <f aca="false">IF(BR380=1,0,IFERROR(VLOOKUP(BP380,'Gebinde-Kategorie'!$A$5:$M$45,5,0)+0,0))</f>
        <v>0</v>
      </c>
      <c r="CC380" s="60" t="n">
        <f aca="false">IFERROR(IF(OR(BT380=1,BT380=2,BT380=3),N(INDEX(Parameter!$I$5:$I$7,BT380)),0),0)</f>
        <v>0</v>
      </c>
      <c r="CD380" s="59" t="n">
        <f aca="false">IF(AND(Parameter!$B$21="Ja",ISNUMBER(U380),N(V380)&gt;0),IFERROR(N(INDEX(Parameter!$L$5:$L$7,U380))*INDEX(Parameter!$E$5:$E$7,U380)*V380/SUMIFS($V$7:$V$1576,$U$7:$U$1576,U380),0),0)</f>
        <v>0</v>
      </c>
    </row>
    <row r="381" customFormat="false" ht="15" hidden="false" customHeight="false" outlineLevel="0" collapsed="false">
      <c r="A381" s="55" t="s">
        <v>895</v>
      </c>
      <c r="B381" s="55" t="s">
        <v>896</v>
      </c>
      <c r="C381" s="55" t="s">
        <v>160</v>
      </c>
      <c r="D381" s="55" t="s">
        <v>178</v>
      </c>
      <c r="E381" s="55" t="s">
        <v>210</v>
      </c>
      <c r="F381" s="56" t="n">
        <v>0.8</v>
      </c>
      <c r="G381" s="57" t="n">
        <f aca="false">MAX(0,IF(AND(Parameter!$B$21="Ja",ISNUMBER(W381)),W381,IF(Parameter!$B$20="Jahresanfang 2025 + Export",BJ381+BI381,BI381)))</f>
        <v>216</v>
      </c>
      <c r="H381" s="57" t="n">
        <f aca="false">G381*F381</f>
        <v>172.8</v>
      </c>
      <c r="I381" s="57" t="n">
        <f aca="false">BL381*Parameter!$B$18</f>
        <v>206</v>
      </c>
      <c r="J381" s="58" t="n">
        <v>264.5</v>
      </c>
      <c r="K381" s="59" t="n">
        <v>0.77882797731569</v>
      </c>
      <c r="L381" s="57" t="n">
        <v>12</v>
      </c>
      <c r="M381" s="57" t="n">
        <v>250</v>
      </c>
      <c r="N381" s="60" t="n">
        <v>21</v>
      </c>
      <c r="O381" s="55" t="s">
        <v>163</v>
      </c>
      <c r="P381" s="57"/>
      <c r="Q381" s="60" t="n">
        <f aca="false">IF(BR381=1,0,IFERROR(VLOOKUP(BP381,'Gebinde-Kategorie'!$A$5:$M$45,13,0)+0,0))</f>
        <v>0</v>
      </c>
      <c r="R381" s="61"/>
      <c r="S381" s="62"/>
      <c r="T381" s="62"/>
      <c r="U381" s="55"/>
      <c r="V381" s="57"/>
      <c r="W381" s="57"/>
      <c r="X381" s="55" t="n">
        <f aca="false">IF(A381="","",IF(AND(Parameter!$B$21="Ja",ISNUMBER(U381)),U381,IF(IFERROR(VLOOKUP(D381,Parameter!$A$35:$C$64,2,0),"Nein")="2+3",IF(ISNUMBER(SEARCH("grosser Artikel",BM381)),2,IFERROR(VLOOKUP(BP381,Parameter!$F$35:$G$64,2,0),2)),IF(OR(IFERROR(VLOOKUP(D381,Parameter!$A$35:$C$64,2,0),"Nein")="Nein",IFERROR(VLOOKUP(D381,Parameter!$A$35:$C$64,2,0),"Nein")=""),"-",VLOOKUP(D381,Parameter!$A$35:$C$64,2,0)))))</f>
        <v>2</v>
      </c>
      <c r="Y381" s="62"/>
      <c r="Z381" s="63"/>
      <c r="AA381" s="57" t="n">
        <f aca="false">AP381</f>
        <v>262</v>
      </c>
      <c r="AB381" s="57" t="n">
        <f aca="false">MAX(AP381,G381)</f>
        <v>262</v>
      </c>
      <c r="AC381" s="64"/>
      <c r="AD381" s="57" t="n">
        <f aca="false">IF(LEFT(Cockpit!$C$5,1)="A",G381,IF(BW381=1,BX381,IF(LEFT(Cockpit!$C$5,1)="B",AH381,MAX(AH381,G381))))</f>
        <v>216</v>
      </c>
      <c r="AE381" s="57" t="n">
        <f aca="false">IF(BR381=1,0,ROUNDUP(AD381/BQ381,0))</f>
        <v>0</v>
      </c>
      <c r="AF381" s="59" t="n">
        <f aca="false">IF(CD381&gt;0,CD381*MAX(1,AD381/V381),IF(BR381=1,IF(AD381&lt;=0,0,BS381*MAX(1,IF(G381&gt;0,AD381/G381,1))),IF(Q381&gt;0,AE381/Q381,0))/MAX(0.1,N(Parameter!$M$21)))</f>
        <v>0.03</v>
      </c>
      <c r="AG381" s="57" t="n">
        <f aca="false">AD381*F381</f>
        <v>172.8</v>
      </c>
      <c r="AH381" s="57" t="n">
        <f aca="false">ROUNDUP(MAX(I381/IF(BV381&gt;0,BV381,MAX(0.1,N(Cockpit!$C$6))),BY381)/BQ381,0)*BQ381</f>
        <v>262</v>
      </c>
      <c r="AI381" s="58" t="n">
        <f aca="false">IF(AF381&gt;0,I381/AF381,-1)</f>
        <v>6866.66666666667</v>
      </c>
      <c r="AJ381" s="58" t="n">
        <f aca="false">IF(AND(OR(BU381="L1",BU381="L23"),AF381&gt;0),SUMIFS($AF$7:$AF$1576,$BU$7:$BU$1576,BU381,$AI$7:$AI$1576,"&gt;"&amp;AI381)+SUMIFS($AF$7:$AF$1576,$BU$7:$BU$1576,BU381,$AI$7:$AI$1576,AI381,$BO$7:$BO$1576,"&lt;="&amp;BO381),"")</f>
        <v>3.19213979257458</v>
      </c>
      <c r="AK381" s="65" t="n">
        <f aca="false">IF(AJ381="",0,MAX(0,MIN(1,(IF(BU381="L1",Parameter!$E$5,Parameter!$E$6+Parameter!$E$7)-(AJ381-AF381))/AF381)))</f>
        <v>1</v>
      </c>
      <c r="AL381" s="57" t="n">
        <f aca="false">IF(LEFT(Cockpit!$I$5,1)="A",G381,IF(BW381=1,BX381,IF(LEFT(Cockpit!$I$5,1)="B",AP381,MAX(AP381,G381))))</f>
        <v>262</v>
      </c>
      <c r="AM381" s="57" t="n">
        <f aca="false">IF(BR381=1,0,ROUNDUP(AL381/BQ381,0))</f>
        <v>0</v>
      </c>
      <c r="AN381" s="59" t="n">
        <f aca="false">IF(CD381&gt;0,CD381*MAX(1,AL381/V381),IF(BR381=1,IF(AL381&lt;=0,0,BS381*MAX(1,IF(G381&gt;0,AL381/G381,1))),IF(Q381&gt;0,AM381/Q381,0))/MAX(0.1,N(Parameter!$M$21)))</f>
        <v>0.0363888888888889</v>
      </c>
      <c r="AO381" s="57" t="n">
        <f aca="false">AL381*F381</f>
        <v>209.6</v>
      </c>
      <c r="AP381" s="57" t="n">
        <f aca="false">ROUNDUP(MAX(I381/IF(BV381&gt;0,BV381,MAX(0.1,N(Cockpit!$I$6))),BY381)/BQ381,0)*BQ381</f>
        <v>262</v>
      </c>
      <c r="AQ381" s="58" t="n">
        <f aca="false">IF(AN381&gt;0,I381/AN381,-1)</f>
        <v>5661.06870229008</v>
      </c>
      <c r="AR381" s="58" t="n">
        <f aca="false">IF(AND(OR(BU381="L1",BU381="L23"),AN381&gt;0),SUMIFS($AN$7:$AN$1576,$BU$7:$BU$1576,BU381,$AQ$7:$AQ$1576,"&gt;"&amp;AQ381)+SUMIFS($AN$7:$AN$1576,$BU$7:$BU$1576,BU381,$AQ$7:$AQ$1576,AQ381,$BO$7:$BO$1576,"&lt;="&amp;BO381),"")</f>
        <v>10.9424552988075</v>
      </c>
      <c r="AS381" s="65" t="n">
        <f aca="false">IF(AR381="",0,MAX(0,MIN(1,(IF(BU381="L1",Parameter!$E$5,Parameter!$E$6+Parameter!$E$7)-(AR381-AN381))/AN381)))</f>
        <v>1</v>
      </c>
      <c r="AT381" s="57" t="n">
        <f aca="false">IF(LEFT(Cockpit!$O$5,1)="A",G381,IF(BW381=1,BX381,IF(LEFT(Cockpit!$O$5,1)="B",AX381,MAX(AX381,G381))))</f>
        <v>262</v>
      </c>
      <c r="AU381" s="57" t="n">
        <f aca="false">IF(BR381=1,0,ROUNDUP(AT381/BQ381,0))</f>
        <v>0</v>
      </c>
      <c r="AV381" s="59" t="n">
        <f aca="false">IF(CD381&gt;0,CD381*MAX(1,AT381/V381),IF(BR381=1,IF(AT381&lt;=0,0,BS381*MAX(1,IF(G381&gt;0,AT381/G381,1))),IF(Q381&gt;0,AU381/Q381,0))/MAX(0.1,N(Parameter!$M$21)))</f>
        <v>0.0363888888888889</v>
      </c>
      <c r="AW381" s="57" t="n">
        <f aca="false">AT381*F381</f>
        <v>209.6</v>
      </c>
      <c r="AX381" s="57" t="n">
        <f aca="false">ROUNDUP(MAX(I381/IF(BV381&gt;0,BV381,MAX(0.1,N(Cockpit!$O$6))),BY381)/BQ381,0)*BQ381</f>
        <v>262</v>
      </c>
      <c r="AY381" s="58" t="n">
        <f aca="false">IF(AV381&gt;0,I381/AV381,-1)</f>
        <v>5661.06870229008</v>
      </c>
      <c r="AZ381" s="58" t="n">
        <f aca="false">IF(AND(OR(BU381="L1",BU381="L23"),AV381&gt;0),SUMIFS($AV$7:$AV$1576,$BU$7:$BU$1576,BU381,$AY$7:$AY$1576,"&gt;"&amp;AY381)+SUMIFS($AV$7:$AV$1576,$BU$7:$BU$1576,BU381,$AY$7:$AY$1576,AY381,$BO$7:$BO$1576,"&lt;="&amp;BO381),"")</f>
        <v>10.1633177696699</v>
      </c>
      <c r="BA381" s="65" t="n">
        <f aca="false">IF(AZ381="",0,MAX(0,MIN(1,(IF(BU381="L1",Parameter!$E$5,Parameter!$E$6+Parameter!$E$7)-(AZ381-AV381))/AV381)))</f>
        <v>1</v>
      </c>
      <c r="BB381" s="55" t="str">
        <f aca="false">IF(AF381&lt;=0,"",IF(BU381="Aussen","Aussenlager",IF(BU381="-","Nicht im Lift",IF(AK381&gt;=1,"Lift",IF(AK381&lt;=0,"Aussenlager","teilweise")))))</f>
        <v>Lift</v>
      </c>
      <c r="BC381" s="55" t="str">
        <f aca="false">IF(AN381&lt;=0,"",IF(BU381="Aussen","Aussenlager",IF(BU381="-","Nicht im Lift",IF(AS381&gt;=1,"Lift",IF(AS381&lt;=0,"Aussenlager","teilweise")))))</f>
        <v>Lift</v>
      </c>
      <c r="BD381" s="55" t="str">
        <f aca="false">IF(AV381&lt;=0,"",IF(BU381="Aussen","Aussenlager",IF(BU381="-","Nicht im Lift",IF(BA381&gt;=1,"Lift",IF(BA381&lt;=0,"Aussenlager","teilweise")))))</f>
        <v>Lift</v>
      </c>
      <c r="BE381" s="55" t="str">
        <f aca="false">IF(A381="","",IF(BN381=1,"Neu; ","")&amp;IF(AND(BN381=0,BI381&lt;0),"negativer Bestand (Export "&amp;BI381&amp;"); ","")&amp;IF(I381&lt;=0,"Kein Verbrauch; ","")&amp;IF(CD381&gt;0,"Lift "&amp;U381&amp;" lt. Liftbericht (Fach "&amp;V381&amp;" Stk); ",IF(BR381=1,"Lose – Fläche geschätzt; ",""))&amp;IF(G381&gt;AP381,"Überbestand "&amp;ROUND(G381-AP381,0)&amp;" Stk / CHF "&amp;ROUND((G381-AP381)*F381,0)&amp;"; ","")&amp;IF(AND(BW381=1,BX381&lt;BY381),"MAX &lt; MB+LG; ","")&amp;IF(AND(CC381&gt;0,CB381*10&gt;CC381),"zu hoch für Tablar; ","")&amp;IF(AND(BN381=0,OR(BW381=1,Y381&lt;&gt;"",S381&lt;&gt;"",T381&lt;&gt;"",Z381&lt;&gt;"")),"manuell übersteuert; ","")&amp;IF(AND(BR381=0,Q381=0),"Gebinde unbekannt / Stellmass fehlt; ","")&amp;IF(AND(BR381=0,N(T381)&lt;=0,N(P381)&lt;=0),"Menge pro Gebinde fehlt (Ist = 1 Gebinde); ","")&amp;BM381)</f>
        <v>Lose – Fläche geschätzt; </v>
      </c>
      <c r="BF381" s="55"/>
      <c r="BG381" s="55"/>
      <c r="BH381" s="62"/>
      <c r="BI381" s="57" t="n">
        <v>216</v>
      </c>
      <c r="BJ381" s="57" t="n">
        <v>233</v>
      </c>
      <c r="BK381" s="56" t="n">
        <v>133.19</v>
      </c>
      <c r="BL381" s="57" t="n">
        <v>206</v>
      </c>
      <c r="BM381" s="55"/>
      <c r="BN381" s="60" t="n">
        <v>0</v>
      </c>
      <c r="BO381" s="60" t="n">
        <v>381</v>
      </c>
      <c r="BP381" s="55" t="str">
        <f aca="false">IF(S381&lt;&gt;"",UPPER(TRIM(S381)),IF(O381="","LOSE",O381))</f>
        <v>LOSE</v>
      </c>
      <c r="BQ381" s="57" t="n">
        <f aca="false">IF(BP381="LOSE",1,IF(N(T381)&gt;0,T381,IF(N(P381)&gt;0,P381,MAX(1,G381))))</f>
        <v>1</v>
      </c>
      <c r="BR381" s="60" t="n">
        <f aca="false">IF(BP381="LOSE",1,0)</f>
        <v>1</v>
      </c>
      <c r="BS381" s="59" t="n">
        <f aca="false">IF(BR381=0,0,IF(N(R381)&gt;0,R381,IFERROR(VLOOKUP(D381,Parameter!$A$35:$C$64,3,0)+0,0)))</f>
        <v>0.03</v>
      </c>
      <c r="BT381" s="55" t="n">
        <f aca="false">IF(Y381&lt;&gt;"",Y381,X381)</f>
        <v>2</v>
      </c>
      <c r="BU381" s="55" t="str">
        <f aca="false">IF(BT381=1,"L1",IF(OR(BT381=2,BT381=3),"L23",IF(BT381="Aussen","Aussen","-")))</f>
        <v>L23</v>
      </c>
      <c r="BV381" s="66" t="n">
        <f aca="false">IF(N(Z381)&gt;0,Z381,0)</f>
        <v>0</v>
      </c>
      <c r="BW381" s="60" t="n">
        <f aca="false">IF(ISNUMBER(AC381),1,0)</f>
        <v>0</v>
      </c>
      <c r="BX381" s="57" t="n">
        <f aca="false">N(AC381)</f>
        <v>0</v>
      </c>
      <c r="BY381" s="57" t="n">
        <f aca="false">N(L381)+N(M381)</f>
        <v>262</v>
      </c>
      <c r="BZ381" s="57" t="n">
        <f aca="false">ROUNDUP(G381/BQ381,0)</f>
        <v>216</v>
      </c>
      <c r="CA381" s="57" t="n">
        <f aca="false">ROUNDUP(BX381/BQ381,0)</f>
        <v>0</v>
      </c>
      <c r="CB381" s="60" t="n">
        <f aca="false">IF(BR381=1,0,IFERROR(VLOOKUP(BP381,'Gebinde-Kategorie'!$A$5:$M$45,5,0)+0,0))</f>
        <v>0</v>
      </c>
      <c r="CC381" s="60" t="n">
        <f aca="false">IFERROR(IF(OR(BT381=1,BT381=2,BT381=3),N(INDEX(Parameter!$I$5:$I$7,BT381)),0),0)</f>
        <v>0</v>
      </c>
      <c r="CD381" s="59" t="n">
        <f aca="false">IF(AND(Parameter!$B$21="Ja",ISNUMBER(U381),N(V381)&gt;0),IFERROR(N(INDEX(Parameter!$L$5:$L$7,U381))*INDEX(Parameter!$E$5:$E$7,U381)*V381/SUMIFS($V$7:$V$1576,$U$7:$U$1576,U381),0),0)</f>
        <v>0</v>
      </c>
    </row>
    <row r="382" customFormat="false" ht="15" hidden="false" customHeight="false" outlineLevel="0" collapsed="false">
      <c r="A382" s="55" t="s">
        <v>897</v>
      </c>
      <c r="B382" s="55" t="s">
        <v>898</v>
      </c>
      <c r="C382" s="55" t="s">
        <v>160</v>
      </c>
      <c r="D382" s="55" t="s">
        <v>178</v>
      </c>
      <c r="E382" s="55" t="s">
        <v>210</v>
      </c>
      <c r="F382" s="56" t="n">
        <v>0.99</v>
      </c>
      <c r="G382" s="57" t="n">
        <f aca="false">MAX(0,IF(AND(Parameter!$B$21="Ja",ISNUMBER(W382)),W382,IF(Parameter!$B$20="Jahresanfang 2025 + Export",BJ382+BI382,BI382)))</f>
        <v>134</v>
      </c>
      <c r="H382" s="57" t="n">
        <f aca="false">G382*F382</f>
        <v>132.66</v>
      </c>
      <c r="I382" s="57" t="n">
        <f aca="false">BL382*Parameter!$B$18</f>
        <v>302</v>
      </c>
      <c r="J382" s="58" t="n">
        <v>86</v>
      </c>
      <c r="K382" s="59" t="n">
        <v>3.51162790697674</v>
      </c>
      <c r="L382" s="57" t="n">
        <v>23</v>
      </c>
      <c r="M382" s="57" t="n">
        <v>300</v>
      </c>
      <c r="N382" s="60" t="n">
        <v>28</v>
      </c>
      <c r="O382" s="55" t="s">
        <v>465</v>
      </c>
      <c r="P382" s="57" t="n">
        <v>176</v>
      </c>
      <c r="Q382" s="60" t="n">
        <f aca="false">IF(BR382=1,0,IFERROR(VLOOKUP(BP382,'Gebinde-Kategorie'!$A$5:$M$45,13,0)+0,0))</f>
        <v>66</v>
      </c>
      <c r="R382" s="61"/>
      <c r="S382" s="62"/>
      <c r="T382" s="62"/>
      <c r="U382" s="55"/>
      <c r="V382" s="57"/>
      <c r="W382" s="57"/>
      <c r="X382" s="55" t="n">
        <f aca="false">IF(A382="","",IF(AND(Parameter!$B$21="Ja",ISNUMBER(U382)),U382,IF(IFERROR(VLOOKUP(D382,Parameter!$A$35:$C$64,2,0),"Nein")="2+3",IF(ISNUMBER(SEARCH("grosser Artikel",BM382)),2,IFERROR(VLOOKUP(BP382,Parameter!$F$35:$G$64,2,0),2)),IF(OR(IFERROR(VLOOKUP(D382,Parameter!$A$35:$C$64,2,0),"Nein")="Nein",IFERROR(VLOOKUP(D382,Parameter!$A$35:$C$64,2,0),"Nein")=""),"-",VLOOKUP(D382,Parameter!$A$35:$C$64,2,0)))))</f>
        <v>3</v>
      </c>
      <c r="Y382" s="62"/>
      <c r="Z382" s="63"/>
      <c r="AA382" s="57" t="n">
        <f aca="false">AP382</f>
        <v>352</v>
      </c>
      <c r="AB382" s="57" t="n">
        <f aca="false">MAX(AP382,G382)</f>
        <v>352</v>
      </c>
      <c r="AC382" s="64"/>
      <c r="AD382" s="57" t="n">
        <f aca="false">IF(LEFT(Cockpit!$C$5,1)="A",G382,IF(BW382=1,BX382,IF(LEFT(Cockpit!$C$5,1)="B",AH382,MAX(AH382,G382))))</f>
        <v>134</v>
      </c>
      <c r="AE382" s="57" t="n">
        <f aca="false">IF(BR382=1,0,ROUNDUP(AD382/BQ382,0))</f>
        <v>1</v>
      </c>
      <c r="AF382" s="59" t="n">
        <f aca="false">IF(CD382&gt;0,CD382*MAX(1,AD382/V382),IF(BR382=1,IF(AD382&lt;=0,0,BS382*MAX(1,IF(G382&gt;0,AD382/G382,1))),IF(Q382&gt;0,AE382/Q382,0))/MAX(0.1,N(Parameter!$M$21)))</f>
        <v>0.0151515151515152</v>
      </c>
      <c r="AG382" s="57" t="n">
        <f aca="false">AD382*F382</f>
        <v>132.66</v>
      </c>
      <c r="AH382" s="57" t="n">
        <f aca="false">ROUNDUP(MAX(I382/IF(BV382&gt;0,BV382,MAX(0.1,N(Cockpit!$C$6))),BY382)/BQ382,0)*BQ382</f>
        <v>352</v>
      </c>
      <c r="AI382" s="58" t="n">
        <f aca="false">IF(AF382&gt;0,I382/AF382,-1)</f>
        <v>19932</v>
      </c>
      <c r="AJ382" s="58" t="n">
        <f aca="false">IF(AND(OR(BU382="L1",BU382="L23"),AF382&gt;0),SUMIFS($AF$7:$AF$1576,$BU$7:$BU$1576,BU382,$AI$7:$AI$1576,"&gt;"&amp;AI382)+SUMIFS($AF$7:$AF$1576,$BU$7:$BU$1576,BU382,$AI$7:$AI$1576,AI382,$BO$7:$BO$1576,"&lt;="&amp;BO382),"")</f>
        <v>1.81161953988041</v>
      </c>
      <c r="AK382" s="65" t="n">
        <f aca="false">IF(AJ382="",0,MAX(0,MIN(1,(IF(BU382="L1",Parameter!$E$5,Parameter!$E$6+Parameter!$E$7)-(AJ382-AF382))/AF382)))</f>
        <v>1</v>
      </c>
      <c r="AL382" s="57" t="n">
        <f aca="false">IF(LEFT(Cockpit!$I$5,1)="A",G382,IF(BW382=1,BX382,IF(LEFT(Cockpit!$I$5,1)="B",AP382,MAX(AP382,G382))))</f>
        <v>352</v>
      </c>
      <c r="AM382" s="57" t="n">
        <f aca="false">IF(BR382=1,0,ROUNDUP(AL382/BQ382,0))</f>
        <v>2</v>
      </c>
      <c r="AN382" s="59" t="n">
        <f aca="false">IF(CD382&gt;0,CD382*MAX(1,AL382/V382),IF(BR382=1,IF(AL382&lt;=0,0,BS382*MAX(1,IF(G382&gt;0,AL382/G382,1))),IF(Q382&gt;0,AM382/Q382,0))/MAX(0.1,N(Parameter!$M$21)))</f>
        <v>0.0303030303030303</v>
      </c>
      <c r="AO382" s="57" t="n">
        <f aca="false">AL382*F382</f>
        <v>348.48</v>
      </c>
      <c r="AP382" s="57" t="n">
        <f aca="false">ROUNDUP(MAX(I382/IF(BV382&gt;0,BV382,MAX(0.1,N(Cockpit!$I$6))),BY382)/BQ382,0)*BQ382</f>
        <v>352</v>
      </c>
      <c r="AQ382" s="58" t="n">
        <f aca="false">IF(AN382&gt;0,I382/AN382,-1)</f>
        <v>9966</v>
      </c>
      <c r="AR382" s="58" t="n">
        <f aca="false">IF(AND(OR(BU382="L1",BU382="L23"),AN382&gt;0),SUMIFS($AN$7:$AN$1576,$BU$7:$BU$1576,BU382,$AQ$7:$AQ$1576,"&gt;"&amp;AQ382)+SUMIFS($AN$7:$AN$1576,$BU$7:$BU$1576,BU382,$AQ$7:$AQ$1576,AQ382,$BO$7:$BO$1576,"&lt;="&amp;BO382),"")</f>
        <v>7.15330799635148</v>
      </c>
      <c r="AS382" s="65" t="n">
        <f aca="false">IF(AR382="",0,MAX(0,MIN(1,(IF(BU382="L1",Parameter!$E$5,Parameter!$E$6+Parameter!$E$7)-(AR382-AN382))/AN382)))</f>
        <v>1</v>
      </c>
      <c r="AT382" s="57" t="n">
        <f aca="false">IF(LEFT(Cockpit!$O$5,1)="A",G382,IF(BW382=1,BX382,IF(LEFT(Cockpit!$O$5,1)="B",AX382,MAX(AX382,G382))))</f>
        <v>352</v>
      </c>
      <c r="AU382" s="57" t="n">
        <f aca="false">IF(BR382=1,0,ROUNDUP(AT382/BQ382,0))</f>
        <v>2</v>
      </c>
      <c r="AV382" s="59" t="n">
        <f aca="false">IF(CD382&gt;0,CD382*MAX(1,AT382/V382),IF(BR382=1,IF(AT382&lt;=0,0,BS382*MAX(1,IF(G382&gt;0,AT382/G382,1))),IF(Q382&gt;0,AU382/Q382,0))/MAX(0.1,N(Parameter!$M$21)))</f>
        <v>0.0303030303030303</v>
      </c>
      <c r="AW382" s="57" t="n">
        <f aca="false">AT382*F382</f>
        <v>348.48</v>
      </c>
      <c r="AX382" s="57" t="n">
        <f aca="false">ROUNDUP(MAX(I382/IF(BV382&gt;0,BV382,MAX(0.1,N(Cockpit!$O$6))),BY382)/BQ382,0)*BQ382</f>
        <v>352</v>
      </c>
      <c r="AY382" s="58" t="n">
        <f aca="false">IF(AV382&gt;0,I382/AV382,-1)</f>
        <v>9966</v>
      </c>
      <c r="AZ382" s="58" t="n">
        <f aca="false">IF(AND(OR(BU382="L1",BU382="L23"),AV382&gt;0),SUMIFS($AV$7:$AV$1576,$BU$7:$BU$1576,BU382,$AY$7:$AY$1576,"&gt;"&amp;AY382)+SUMIFS($AV$7:$AV$1576,$BU$7:$BU$1576,BU382,$AY$7:$AY$1576,AY382,$BO$7:$BO$1576,"&lt;="&amp;BO382),"")</f>
        <v>6.85493969798318</v>
      </c>
      <c r="BA382" s="65" t="n">
        <f aca="false">IF(AZ382="",0,MAX(0,MIN(1,(IF(BU382="L1",Parameter!$E$5,Parameter!$E$6+Parameter!$E$7)-(AZ382-AV382))/AV382)))</f>
        <v>1</v>
      </c>
      <c r="BB382" s="55" t="str">
        <f aca="false">IF(AF382&lt;=0,"",IF(BU382="Aussen","Aussenlager",IF(BU382="-","Nicht im Lift",IF(AK382&gt;=1,"Lift",IF(AK382&lt;=0,"Aussenlager","teilweise")))))</f>
        <v>Lift</v>
      </c>
      <c r="BC382" s="55" t="str">
        <f aca="false">IF(AN382&lt;=0,"",IF(BU382="Aussen","Aussenlager",IF(BU382="-","Nicht im Lift",IF(AS382&gt;=1,"Lift",IF(AS382&lt;=0,"Aussenlager","teilweise")))))</f>
        <v>Lift</v>
      </c>
      <c r="BD382" s="55" t="str">
        <f aca="false">IF(AV382&lt;=0,"",IF(BU382="Aussen","Aussenlager",IF(BU382="-","Nicht im Lift",IF(BA382&gt;=1,"Lift",IF(BA382&lt;=0,"Aussenlager","teilweise")))))</f>
        <v>Lift</v>
      </c>
      <c r="BE382" s="55" t="str">
        <f aca="false">IF(A382="","",IF(BN382=1,"Neu; ","")&amp;IF(AND(BN382=0,BI382&lt;0),"negativer Bestand (Export "&amp;BI382&amp;"); ","")&amp;IF(I382&lt;=0,"Kein Verbrauch; ","")&amp;IF(CD382&gt;0,"Lift "&amp;U382&amp;" lt. Liftbericht (Fach "&amp;V382&amp;" Stk); ",IF(BR382=1,"Lose – Fläche geschätzt; ",""))&amp;IF(G382&gt;AP382,"Überbestand "&amp;ROUND(G382-AP382,0)&amp;" Stk / CHF "&amp;ROUND((G382-AP382)*F382,0)&amp;"; ","")&amp;IF(AND(BW382=1,BX382&lt;BY382),"MAX &lt; MB+LG; ","")&amp;IF(AND(CC382&gt;0,CB382*10&gt;CC382),"zu hoch für Tablar; ","")&amp;IF(AND(BN382=0,OR(BW382=1,Y382&lt;&gt;"",S382&lt;&gt;"",T382&lt;&gt;"",Z382&lt;&gt;"")),"manuell übersteuert; ","")&amp;IF(AND(BR382=0,Q382=0),"Gebinde unbekannt / Stellmass fehlt; ","")&amp;IF(AND(BR382=0,N(T382)&lt;=0,N(P382)&lt;=0),"Menge pro Gebinde fehlt (Ist = 1 Gebinde); ","")&amp;BM382)</f>
        <v/>
      </c>
      <c r="BF382" s="55"/>
      <c r="BG382" s="55"/>
      <c r="BH382" s="62"/>
      <c r="BI382" s="57" t="n">
        <v>134</v>
      </c>
      <c r="BJ382" s="57" t="n">
        <v>89</v>
      </c>
      <c r="BK382" s="56" t="n">
        <v>132.66</v>
      </c>
      <c r="BL382" s="57" t="n">
        <v>302</v>
      </c>
      <c r="BM382" s="55"/>
      <c r="BN382" s="60" t="n">
        <v>0</v>
      </c>
      <c r="BO382" s="60" t="n">
        <v>382</v>
      </c>
      <c r="BP382" s="55" t="str">
        <f aca="false">IF(S382&lt;&gt;"",UPPER(TRIM(S382)),IF(O382="","LOSE",O382))</f>
        <v>S33</v>
      </c>
      <c r="BQ382" s="57" t="n">
        <f aca="false">IF(BP382="LOSE",1,IF(N(T382)&gt;0,T382,IF(N(P382)&gt;0,P382,MAX(1,G382))))</f>
        <v>176</v>
      </c>
      <c r="BR382" s="60" t="n">
        <f aca="false">IF(BP382="LOSE",1,0)</f>
        <v>0</v>
      </c>
      <c r="BS382" s="59" t="n">
        <f aca="false">IF(BR382=0,0,IF(N(R382)&gt;0,R382,IFERROR(VLOOKUP(D382,Parameter!$A$35:$C$64,3,0)+0,0)))</f>
        <v>0</v>
      </c>
      <c r="BT382" s="55" t="n">
        <f aca="false">IF(Y382&lt;&gt;"",Y382,X382)</f>
        <v>3</v>
      </c>
      <c r="BU382" s="55" t="str">
        <f aca="false">IF(BT382=1,"L1",IF(OR(BT382=2,BT382=3),"L23",IF(BT382="Aussen","Aussen","-")))</f>
        <v>L23</v>
      </c>
      <c r="BV382" s="66" t="n">
        <f aca="false">IF(N(Z382)&gt;0,Z382,0)</f>
        <v>0</v>
      </c>
      <c r="BW382" s="60" t="n">
        <f aca="false">IF(ISNUMBER(AC382),1,0)</f>
        <v>0</v>
      </c>
      <c r="BX382" s="57" t="n">
        <f aca="false">N(AC382)</f>
        <v>0</v>
      </c>
      <c r="BY382" s="57" t="n">
        <f aca="false">N(L382)+N(M382)</f>
        <v>323</v>
      </c>
      <c r="BZ382" s="57" t="n">
        <f aca="false">ROUNDUP(G382/BQ382,0)</f>
        <v>1</v>
      </c>
      <c r="CA382" s="57" t="n">
        <f aca="false">ROUNDUP(BX382/BQ382,0)</f>
        <v>0</v>
      </c>
      <c r="CB382" s="60" t="n">
        <f aca="false">IF(BR382=1,0,IFERROR(VLOOKUP(BP382,'Gebinde-Kategorie'!$A$5:$M$45,5,0)+0,0))</f>
        <v>8</v>
      </c>
      <c r="CC382" s="60" t="n">
        <f aca="false">IFERROR(IF(OR(BT382=1,BT382=2,BT382=3),N(INDEX(Parameter!$I$5:$I$7,BT382)),0),0)</f>
        <v>0</v>
      </c>
      <c r="CD382" s="59" t="n">
        <f aca="false">IF(AND(Parameter!$B$21="Ja",ISNUMBER(U382),N(V382)&gt;0),IFERROR(N(INDEX(Parameter!$L$5:$L$7,U382))*INDEX(Parameter!$E$5:$E$7,U382)*V382/SUMIFS($V$7:$V$1576,$U$7:$U$1576,U382),0),0)</f>
        <v>0</v>
      </c>
    </row>
    <row r="383" customFormat="false" ht="15" hidden="false" customHeight="false" outlineLevel="0" collapsed="false">
      <c r="A383" s="55" t="s">
        <v>899</v>
      </c>
      <c r="B383" s="55" t="s">
        <v>900</v>
      </c>
      <c r="C383" s="55" t="s">
        <v>160</v>
      </c>
      <c r="D383" s="55" t="s">
        <v>178</v>
      </c>
      <c r="E383" s="55" t="s">
        <v>210</v>
      </c>
      <c r="F383" s="56" t="n">
        <v>64.76</v>
      </c>
      <c r="G383" s="57" t="n">
        <f aca="false">MAX(0,IF(AND(Parameter!$B$21="Ja",ISNUMBER(W383)),W383,IF(Parameter!$B$20="Jahresanfang 2025 + Export",BJ383+BI383,BI383)))</f>
        <v>1</v>
      </c>
      <c r="H383" s="57" t="n">
        <f aca="false">G383*F383</f>
        <v>64.76</v>
      </c>
      <c r="I383" s="57" t="n">
        <f aca="false">BL383*Parameter!$B$18</f>
        <v>22</v>
      </c>
      <c r="J383" s="58" t="n">
        <v>11.5</v>
      </c>
      <c r="K383" s="59" t="n">
        <v>1.91304347826087</v>
      </c>
      <c r="L383" s="57" t="n">
        <v>1</v>
      </c>
      <c r="M383" s="57" t="n">
        <v>20</v>
      </c>
      <c r="N383" s="60" t="n">
        <v>28</v>
      </c>
      <c r="O383" s="55" t="s">
        <v>319</v>
      </c>
      <c r="P383" s="57" t="n">
        <v>27</v>
      </c>
      <c r="Q383" s="60" t="n">
        <f aca="false">IF(BR383=1,0,IFERROR(VLOOKUP(BP383,'Gebinde-Kategorie'!$A$5:$M$45,13,0)+0,0))</f>
        <v>52</v>
      </c>
      <c r="R383" s="61"/>
      <c r="S383" s="62"/>
      <c r="T383" s="62"/>
      <c r="U383" s="55"/>
      <c r="V383" s="57"/>
      <c r="W383" s="57"/>
      <c r="X383" s="55" t="n">
        <f aca="false">IF(A383="","",IF(AND(Parameter!$B$21="Ja",ISNUMBER(U383)),U383,IF(IFERROR(VLOOKUP(D383,Parameter!$A$35:$C$64,2,0),"Nein")="2+3",IF(ISNUMBER(SEARCH("grosser Artikel",BM383)),2,IFERROR(VLOOKUP(BP383,Parameter!$F$35:$G$64,2,0),2)),IF(OR(IFERROR(VLOOKUP(D383,Parameter!$A$35:$C$64,2,0),"Nein")="Nein",IFERROR(VLOOKUP(D383,Parameter!$A$35:$C$64,2,0),"Nein")=""),"-",VLOOKUP(D383,Parameter!$A$35:$C$64,2,0)))))</f>
        <v>3</v>
      </c>
      <c r="Y383" s="62"/>
      <c r="Z383" s="63"/>
      <c r="AA383" s="57" t="n">
        <f aca="false">AP383</f>
        <v>27</v>
      </c>
      <c r="AB383" s="57" t="n">
        <f aca="false">MAX(AP383,G383)</f>
        <v>27</v>
      </c>
      <c r="AC383" s="64"/>
      <c r="AD383" s="57" t="n">
        <f aca="false">IF(LEFT(Cockpit!$C$5,1)="A",G383,IF(BW383=1,BX383,IF(LEFT(Cockpit!$C$5,1)="B",AH383,MAX(AH383,G383))))</f>
        <v>1</v>
      </c>
      <c r="AE383" s="57" t="n">
        <f aca="false">IF(BR383=1,0,ROUNDUP(AD383/BQ383,0))</f>
        <v>1</v>
      </c>
      <c r="AF383" s="59" t="n">
        <f aca="false">IF(CD383&gt;0,CD383*MAX(1,AD383/V383),IF(BR383=1,IF(AD383&lt;=0,0,BS383*MAX(1,IF(G383&gt;0,AD383/G383,1))),IF(Q383&gt;0,AE383/Q383,0))/MAX(0.1,N(Parameter!$M$21)))</f>
        <v>0.0192307692307692</v>
      </c>
      <c r="AG383" s="57" t="n">
        <f aca="false">AD383*F383</f>
        <v>64.76</v>
      </c>
      <c r="AH383" s="57" t="n">
        <f aca="false">ROUNDUP(MAX(I383/IF(BV383&gt;0,BV383,MAX(0.1,N(Cockpit!$C$6))),BY383)/BQ383,0)*BQ383</f>
        <v>27</v>
      </c>
      <c r="AI383" s="58" t="n">
        <f aca="false">IF(AF383&gt;0,I383/AF383,-1)</f>
        <v>1144</v>
      </c>
      <c r="AJ383" s="58" t="n">
        <f aca="false">IF(AND(OR(BU383="L1",BU383="L23"),AF383&gt;0),SUMIFS($AF$7:$AF$1576,$BU$7:$BU$1576,BU383,$AI$7:$AI$1576,"&gt;"&amp;AI383)+SUMIFS($AF$7:$AF$1576,$BU$7:$BU$1576,BU383,$AI$7:$AI$1576,AI383,$BO$7:$BO$1576,"&lt;="&amp;BO383),"")</f>
        <v>8.52799702712746</v>
      </c>
      <c r="AK383" s="65" t="n">
        <f aca="false">IF(AJ383="",0,MAX(0,MIN(1,(IF(BU383="L1",Parameter!$E$5,Parameter!$E$6+Parameter!$E$7)-(AJ383-AF383))/AF383)))</f>
        <v>1</v>
      </c>
      <c r="AL383" s="57" t="n">
        <f aca="false">IF(LEFT(Cockpit!$I$5,1)="A",G383,IF(BW383=1,BX383,IF(LEFT(Cockpit!$I$5,1)="B",AP383,MAX(AP383,G383))))</f>
        <v>27</v>
      </c>
      <c r="AM383" s="57" t="n">
        <f aca="false">IF(BR383=1,0,ROUNDUP(AL383/BQ383,0))</f>
        <v>1</v>
      </c>
      <c r="AN383" s="59" t="n">
        <f aca="false">IF(CD383&gt;0,CD383*MAX(1,AL383/V383),IF(BR383=1,IF(AL383&lt;=0,0,BS383*MAX(1,IF(G383&gt;0,AL383/G383,1))),IF(Q383&gt;0,AM383/Q383,0))/MAX(0.1,N(Parameter!$M$21)))</f>
        <v>0.0192307692307692</v>
      </c>
      <c r="AO383" s="57" t="n">
        <f aca="false">AL383*F383</f>
        <v>1748.52</v>
      </c>
      <c r="AP383" s="57" t="n">
        <f aca="false">ROUNDUP(MAX(I383/IF(BV383&gt;0,BV383,MAX(0.1,N(Cockpit!$I$6))),BY383)/BQ383,0)*BQ383</f>
        <v>27</v>
      </c>
      <c r="AQ383" s="58" t="n">
        <f aca="false">IF(AN383&gt;0,I383/AN383,-1)</f>
        <v>1144</v>
      </c>
      <c r="AR383" s="58" t="n">
        <f aca="false">IF(AND(OR(BU383="L1",BU383="L23"),AN383&gt;0),SUMIFS($AN$7:$AN$1576,$BU$7:$BU$1576,BU383,$AQ$7:$AQ$1576,"&gt;"&amp;AQ383)+SUMIFS($AN$7:$AN$1576,$BU$7:$BU$1576,BU383,$AQ$7:$AQ$1576,AQ383,$BO$7:$BO$1576,"&lt;="&amp;BO383),"")</f>
        <v>21.7884077882016</v>
      </c>
      <c r="AS383" s="65" t="n">
        <f aca="false">IF(AR383="",0,MAX(0,MIN(1,(IF(BU383="L1",Parameter!$E$5,Parameter!$E$6+Parameter!$E$7)-(AR383-AN383))/AN383)))</f>
        <v>1</v>
      </c>
      <c r="AT383" s="57" t="n">
        <f aca="false">IF(LEFT(Cockpit!$O$5,1)="A",G383,IF(BW383=1,BX383,IF(LEFT(Cockpit!$O$5,1)="B",AX383,MAX(AX383,G383))))</f>
        <v>27</v>
      </c>
      <c r="AU383" s="57" t="n">
        <f aca="false">IF(BR383=1,0,ROUNDUP(AT383/BQ383,0))</f>
        <v>1</v>
      </c>
      <c r="AV383" s="59" t="n">
        <f aca="false">IF(CD383&gt;0,CD383*MAX(1,AT383/V383),IF(BR383=1,IF(AT383&lt;=0,0,BS383*MAX(1,IF(G383&gt;0,AT383/G383,1))),IF(Q383&gt;0,AU383/Q383,0))/MAX(0.1,N(Parameter!$M$21)))</f>
        <v>0.0192307692307692</v>
      </c>
      <c r="AW383" s="57" t="n">
        <f aca="false">AT383*F383</f>
        <v>1748.52</v>
      </c>
      <c r="AX383" s="57" t="n">
        <f aca="false">ROUNDUP(MAX(I383/IF(BV383&gt;0,BV383,MAX(0.1,N(Cockpit!$O$6))),BY383)/BQ383,0)*BQ383</f>
        <v>27</v>
      </c>
      <c r="AY383" s="58" t="n">
        <f aca="false">IF(AV383&gt;0,I383/AV383,-1)</f>
        <v>1144</v>
      </c>
      <c r="AZ383" s="58" t="n">
        <f aca="false">IF(AND(OR(BU383="L1",BU383="L23"),AV383&gt;0),SUMIFS($AV$7:$AV$1576,$BU$7:$BU$1576,BU383,$AY$7:$AY$1576,"&gt;"&amp;AY383)+SUMIFS($AV$7:$AV$1576,$BU$7:$BU$1576,BU383,$AY$7:$AY$1576,AY383,$BO$7:$BO$1576,"&lt;="&amp;BO383),"")</f>
        <v>21.0990138488076</v>
      </c>
      <c r="BA383" s="65" t="n">
        <f aca="false">IF(AZ383="",0,MAX(0,MIN(1,(IF(BU383="L1",Parameter!$E$5,Parameter!$E$6+Parameter!$E$7)-(AZ383-AV383))/AV383)))</f>
        <v>1</v>
      </c>
      <c r="BB383" s="55" t="str">
        <f aca="false">IF(AF383&lt;=0,"",IF(BU383="Aussen","Aussenlager",IF(BU383="-","Nicht im Lift",IF(AK383&gt;=1,"Lift",IF(AK383&lt;=0,"Aussenlager","teilweise")))))</f>
        <v>Lift</v>
      </c>
      <c r="BC383" s="55" t="str">
        <f aca="false">IF(AN383&lt;=0,"",IF(BU383="Aussen","Aussenlager",IF(BU383="-","Nicht im Lift",IF(AS383&gt;=1,"Lift",IF(AS383&lt;=0,"Aussenlager","teilweise")))))</f>
        <v>Lift</v>
      </c>
      <c r="BD383" s="55" t="str">
        <f aca="false">IF(AV383&lt;=0,"",IF(BU383="Aussen","Aussenlager",IF(BU383="-","Nicht im Lift",IF(BA383&gt;=1,"Lift",IF(BA383&lt;=0,"Aussenlager","teilweise")))))</f>
        <v>Lift</v>
      </c>
      <c r="BE383" s="55" t="str">
        <f aca="false">IF(A383="","",IF(BN383=1,"Neu; ","")&amp;IF(AND(BN383=0,BI383&lt;0),"negativer Bestand (Export "&amp;BI383&amp;"); ","")&amp;IF(I383&lt;=0,"Kein Verbrauch; ","")&amp;IF(CD383&gt;0,"Lift "&amp;U383&amp;" lt. Liftbericht (Fach "&amp;V383&amp;" Stk); ",IF(BR383=1,"Lose – Fläche geschätzt; ",""))&amp;IF(G383&gt;AP383,"Überbestand "&amp;ROUND(G383-AP383,0)&amp;" Stk / CHF "&amp;ROUND((G383-AP383)*F383,0)&amp;"; ","")&amp;IF(AND(BW383=1,BX383&lt;BY383),"MAX &lt; MB+LG; ","")&amp;IF(AND(CC383&gt;0,CB383*10&gt;CC383),"zu hoch für Tablar; ","")&amp;IF(AND(BN383=0,OR(BW383=1,Y383&lt;&gt;"",S383&lt;&gt;"",T383&lt;&gt;"",Z383&lt;&gt;"")),"manuell übersteuert; ","")&amp;IF(AND(BR383=0,Q383=0),"Gebinde unbekannt / Stellmass fehlt; ","")&amp;IF(AND(BR383=0,N(T383)&lt;=0,N(P383)&lt;=0),"Menge pro Gebinde fehlt (Ist = 1 Gebinde); ","")&amp;BM383)</f>
        <v/>
      </c>
      <c r="BF383" s="55"/>
      <c r="BG383" s="55"/>
      <c r="BH383" s="62"/>
      <c r="BI383" s="57" t="n">
        <v>1</v>
      </c>
      <c r="BJ383" s="57" t="n">
        <v>8</v>
      </c>
      <c r="BK383" s="56" t="n">
        <v>132.6</v>
      </c>
      <c r="BL383" s="57" t="n">
        <v>22</v>
      </c>
      <c r="BM383" s="55"/>
      <c r="BN383" s="60" t="n">
        <v>0</v>
      </c>
      <c r="BO383" s="60" t="n">
        <v>383</v>
      </c>
      <c r="BP383" s="55" t="str">
        <f aca="false">IF(S383&lt;&gt;"",UPPER(TRIM(S383)),IF(O383="","LOSE",O383))</f>
        <v>S41</v>
      </c>
      <c r="BQ383" s="57" t="n">
        <f aca="false">IF(BP383="LOSE",1,IF(N(T383)&gt;0,T383,IF(N(P383)&gt;0,P383,MAX(1,G383))))</f>
        <v>27</v>
      </c>
      <c r="BR383" s="60" t="n">
        <f aca="false">IF(BP383="LOSE",1,0)</f>
        <v>0</v>
      </c>
      <c r="BS383" s="59" t="n">
        <f aca="false">IF(BR383=0,0,IF(N(R383)&gt;0,R383,IFERROR(VLOOKUP(D383,Parameter!$A$35:$C$64,3,0)+0,0)))</f>
        <v>0</v>
      </c>
      <c r="BT383" s="55" t="n">
        <f aca="false">IF(Y383&lt;&gt;"",Y383,X383)</f>
        <v>3</v>
      </c>
      <c r="BU383" s="55" t="str">
        <f aca="false">IF(BT383=1,"L1",IF(OR(BT383=2,BT383=3),"L23",IF(BT383="Aussen","Aussen","-")))</f>
        <v>L23</v>
      </c>
      <c r="BV383" s="66" t="n">
        <f aca="false">IF(N(Z383)&gt;0,Z383,0)</f>
        <v>0</v>
      </c>
      <c r="BW383" s="60" t="n">
        <f aca="false">IF(ISNUMBER(AC383),1,0)</f>
        <v>0</v>
      </c>
      <c r="BX383" s="57" t="n">
        <f aca="false">N(AC383)</f>
        <v>0</v>
      </c>
      <c r="BY383" s="57" t="n">
        <f aca="false">N(L383)+N(M383)</f>
        <v>21</v>
      </c>
      <c r="BZ383" s="57" t="n">
        <f aca="false">ROUNDUP(G383/BQ383,0)</f>
        <v>1</v>
      </c>
      <c r="CA383" s="57" t="n">
        <f aca="false">ROUNDUP(BX383/BQ383,0)</f>
        <v>0</v>
      </c>
      <c r="CB383" s="60" t="n">
        <f aca="false">IF(BR383=1,0,IFERROR(VLOOKUP(BP383,'Gebinde-Kategorie'!$A$5:$M$45,5,0)+0,0))</f>
        <v>11</v>
      </c>
      <c r="CC383" s="60" t="n">
        <f aca="false">IFERROR(IF(OR(BT383=1,BT383=2,BT383=3),N(INDEX(Parameter!$I$5:$I$7,BT383)),0),0)</f>
        <v>0</v>
      </c>
      <c r="CD383" s="59" t="n">
        <f aca="false">IF(AND(Parameter!$B$21="Ja",ISNUMBER(U383),N(V383)&gt;0),IFERROR(N(INDEX(Parameter!$L$5:$L$7,U383))*INDEX(Parameter!$E$5:$E$7,U383)*V383/SUMIFS($V$7:$V$1576,$U$7:$U$1576,U383),0),0)</f>
        <v>0</v>
      </c>
    </row>
    <row r="384" customFormat="false" ht="15" hidden="false" customHeight="false" outlineLevel="0" collapsed="false">
      <c r="A384" s="55" t="s">
        <v>901</v>
      </c>
      <c r="B384" s="55" t="s">
        <v>902</v>
      </c>
      <c r="C384" s="55" t="s">
        <v>160</v>
      </c>
      <c r="D384" s="55" t="s">
        <v>178</v>
      </c>
      <c r="E384" s="55" t="s">
        <v>210</v>
      </c>
      <c r="F384" s="56" t="n">
        <v>22.61</v>
      </c>
      <c r="G384" s="57" t="n">
        <f aca="false">MAX(0,IF(AND(Parameter!$B$21="Ja",ISNUMBER(W384)),W384,IF(Parameter!$B$20="Jahresanfang 2025 + Export",BJ384+BI384,BI384)))</f>
        <v>5</v>
      </c>
      <c r="H384" s="57" t="n">
        <f aca="false">G384*F384</f>
        <v>113.05</v>
      </c>
      <c r="I384" s="57" t="n">
        <f aca="false">BL384*Parameter!$B$18</f>
        <v>6</v>
      </c>
      <c r="J384" s="58" t="n">
        <v>3.5</v>
      </c>
      <c r="K384" s="59" t="n">
        <v>1.71428571428571</v>
      </c>
      <c r="L384" s="57" t="n">
        <v>0</v>
      </c>
      <c r="M384" s="57" t="n">
        <v>5</v>
      </c>
      <c r="N384" s="60" t="n">
        <v>21</v>
      </c>
      <c r="O384" s="55" t="s">
        <v>465</v>
      </c>
      <c r="P384" s="57" t="n">
        <v>10</v>
      </c>
      <c r="Q384" s="60" t="n">
        <f aca="false">IF(BR384=1,0,IFERROR(VLOOKUP(BP384,'Gebinde-Kategorie'!$A$5:$M$45,13,0)+0,0))</f>
        <v>66</v>
      </c>
      <c r="R384" s="61"/>
      <c r="S384" s="62"/>
      <c r="T384" s="62"/>
      <c r="U384" s="55"/>
      <c r="V384" s="57"/>
      <c r="W384" s="57"/>
      <c r="X384" s="55" t="n">
        <f aca="false">IF(A384="","",IF(AND(Parameter!$B$21="Ja",ISNUMBER(U384)),U384,IF(IFERROR(VLOOKUP(D384,Parameter!$A$35:$C$64,2,0),"Nein")="2+3",IF(ISNUMBER(SEARCH("grosser Artikel",BM384)),2,IFERROR(VLOOKUP(BP384,Parameter!$F$35:$G$64,2,0),2)),IF(OR(IFERROR(VLOOKUP(D384,Parameter!$A$35:$C$64,2,0),"Nein")="Nein",IFERROR(VLOOKUP(D384,Parameter!$A$35:$C$64,2,0),"Nein")=""),"-",VLOOKUP(D384,Parameter!$A$35:$C$64,2,0)))))</f>
        <v>3</v>
      </c>
      <c r="Y384" s="62"/>
      <c r="Z384" s="63"/>
      <c r="AA384" s="57" t="n">
        <f aca="false">AP384</f>
        <v>10</v>
      </c>
      <c r="AB384" s="57" t="n">
        <f aca="false">MAX(AP384,G384)</f>
        <v>10</v>
      </c>
      <c r="AC384" s="64"/>
      <c r="AD384" s="57" t="n">
        <f aca="false">IF(LEFT(Cockpit!$C$5,1)="A",G384,IF(BW384=1,BX384,IF(LEFT(Cockpit!$C$5,1)="B",AH384,MAX(AH384,G384))))</f>
        <v>5</v>
      </c>
      <c r="AE384" s="57" t="n">
        <f aca="false">IF(BR384=1,0,ROUNDUP(AD384/BQ384,0))</f>
        <v>1</v>
      </c>
      <c r="AF384" s="59" t="n">
        <f aca="false">IF(CD384&gt;0,CD384*MAX(1,AD384/V384),IF(BR384=1,IF(AD384&lt;=0,0,BS384*MAX(1,IF(G384&gt;0,AD384/G384,1))),IF(Q384&gt;0,AE384/Q384,0))/MAX(0.1,N(Parameter!$M$21)))</f>
        <v>0.0151515151515152</v>
      </c>
      <c r="AG384" s="57" t="n">
        <f aca="false">AD384*F384</f>
        <v>113.05</v>
      </c>
      <c r="AH384" s="57" t="n">
        <f aca="false">ROUNDUP(MAX(I384/IF(BV384&gt;0,BV384,MAX(0.1,N(Cockpit!$C$6))),BY384)/BQ384,0)*BQ384</f>
        <v>10</v>
      </c>
      <c r="AI384" s="58" t="n">
        <f aca="false">IF(AF384&gt;0,I384/AF384,-1)</f>
        <v>396</v>
      </c>
      <c r="AJ384" s="58" t="n">
        <f aca="false">IF(AND(OR(BU384="L1",BU384="L23"),AF384&gt;0),SUMIFS($AF$7:$AF$1576,$BU$7:$BU$1576,BU384,$AI$7:$AI$1576,"&gt;"&amp;AI384)+SUMIFS($AF$7:$AF$1576,$BU$7:$BU$1576,BU384,$AI$7:$AI$1576,AI384,$BO$7:$BO$1576,"&lt;="&amp;BO384),"")</f>
        <v>13.468378433161</v>
      </c>
      <c r="AK384" s="65" t="n">
        <f aca="false">IF(AJ384="",0,MAX(0,MIN(1,(IF(BU384="L1",Parameter!$E$5,Parameter!$E$6+Parameter!$E$7)-(AJ384-AF384))/AF384)))</f>
        <v>1</v>
      </c>
      <c r="AL384" s="57" t="n">
        <f aca="false">IF(LEFT(Cockpit!$I$5,1)="A",G384,IF(BW384=1,BX384,IF(LEFT(Cockpit!$I$5,1)="B",AP384,MAX(AP384,G384))))</f>
        <v>10</v>
      </c>
      <c r="AM384" s="57" t="n">
        <f aca="false">IF(BR384=1,0,ROUNDUP(AL384/BQ384,0))</f>
        <v>1</v>
      </c>
      <c r="AN384" s="59" t="n">
        <f aca="false">IF(CD384&gt;0,CD384*MAX(1,AL384/V384),IF(BR384=1,IF(AL384&lt;=0,0,BS384*MAX(1,IF(G384&gt;0,AL384/G384,1))),IF(Q384&gt;0,AM384/Q384,0))/MAX(0.1,N(Parameter!$M$21)))</f>
        <v>0.0151515151515152</v>
      </c>
      <c r="AO384" s="57" t="n">
        <f aca="false">AL384*F384</f>
        <v>226.1</v>
      </c>
      <c r="AP384" s="57" t="n">
        <f aca="false">ROUNDUP(MAX(I384/IF(BV384&gt;0,BV384,MAX(0.1,N(Cockpit!$I$6))),BY384)/BQ384,0)*BQ384</f>
        <v>10</v>
      </c>
      <c r="AQ384" s="58" t="n">
        <f aca="false">IF(AN384&gt;0,I384/AN384,-1)</f>
        <v>396</v>
      </c>
      <c r="AR384" s="58" t="n">
        <f aca="false">IF(AND(OR(BU384="L1",BU384="L23"),AN384&gt;0),SUMIFS($AN$7:$AN$1576,$BU$7:$BU$1576,BU384,$AQ$7:$AQ$1576,"&gt;"&amp;AQ384)+SUMIFS($AN$7:$AN$1576,$BU$7:$BU$1576,BU384,$AQ$7:$AQ$1576,AQ384,$BO$7:$BO$1576,"&lt;="&amp;BO384),"")</f>
        <v>36.7587076815449</v>
      </c>
      <c r="AS384" s="65" t="n">
        <f aca="false">IF(AR384="",0,MAX(0,MIN(1,(IF(BU384="L1",Parameter!$E$5,Parameter!$E$6+Parameter!$E$7)-(AR384-AN384))/AN384)))</f>
        <v>1</v>
      </c>
      <c r="AT384" s="57" t="n">
        <f aca="false">IF(LEFT(Cockpit!$O$5,1)="A",G384,IF(BW384=1,BX384,IF(LEFT(Cockpit!$O$5,1)="B",AX384,MAX(AX384,G384))))</f>
        <v>10</v>
      </c>
      <c r="AU384" s="57" t="n">
        <f aca="false">IF(BR384=1,0,ROUNDUP(AT384/BQ384,0))</f>
        <v>1</v>
      </c>
      <c r="AV384" s="59" t="n">
        <f aca="false">IF(CD384&gt;0,CD384*MAX(1,AT384/V384),IF(BR384=1,IF(AT384&lt;=0,0,BS384*MAX(1,IF(G384&gt;0,AT384/G384,1))),IF(Q384&gt;0,AU384/Q384,0))/MAX(0.1,N(Parameter!$M$21)))</f>
        <v>0.0151515151515152</v>
      </c>
      <c r="AW384" s="57" t="n">
        <f aca="false">AT384*F384</f>
        <v>226.1</v>
      </c>
      <c r="AX384" s="57" t="n">
        <f aca="false">ROUNDUP(MAX(I384/IF(BV384&gt;0,BV384,MAX(0.1,N(Cockpit!$O$6))),BY384)/BQ384,0)*BQ384</f>
        <v>10</v>
      </c>
      <c r="AY384" s="58" t="n">
        <f aca="false">IF(AV384&gt;0,I384/AV384,-1)</f>
        <v>396</v>
      </c>
      <c r="AZ384" s="58" t="n">
        <f aca="false">IF(AND(OR(BU384="L1",BU384="L23"),AV384&gt;0),SUMIFS($AV$7:$AV$1576,$BU$7:$BU$1576,BU384,$AY$7:$AY$1576,"&gt;"&amp;AY384)+SUMIFS($AV$7:$AV$1576,$BU$7:$BU$1576,BU384,$AY$7:$AY$1576,AY384,$BO$7:$BO$1576,"&lt;="&amp;BO384),"")</f>
        <v>35.9234529362902</v>
      </c>
      <c r="BA384" s="65" t="n">
        <f aca="false">IF(AZ384="",0,MAX(0,MIN(1,(IF(BU384="L1",Parameter!$E$5,Parameter!$E$6+Parameter!$E$7)-(AZ384-AV384))/AV384)))</f>
        <v>1</v>
      </c>
      <c r="BB384" s="55" t="str">
        <f aca="false">IF(AF384&lt;=0,"",IF(BU384="Aussen","Aussenlager",IF(BU384="-","Nicht im Lift",IF(AK384&gt;=1,"Lift",IF(AK384&lt;=0,"Aussenlager","teilweise")))))</f>
        <v>Lift</v>
      </c>
      <c r="BC384" s="55" t="str">
        <f aca="false">IF(AN384&lt;=0,"",IF(BU384="Aussen","Aussenlager",IF(BU384="-","Nicht im Lift",IF(AS384&gt;=1,"Lift",IF(AS384&lt;=0,"Aussenlager","teilweise")))))</f>
        <v>Lift</v>
      </c>
      <c r="BD384" s="55" t="str">
        <f aca="false">IF(AV384&lt;=0,"",IF(BU384="Aussen","Aussenlager",IF(BU384="-","Nicht im Lift",IF(BA384&gt;=1,"Lift",IF(BA384&lt;=0,"Aussenlager","teilweise")))))</f>
        <v>Lift</v>
      </c>
      <c r="BE384" s="55" t="str">
        <f aca="false">IF(A384="","",IF(BN384=1,"Neu; ","")&amp;IF(AND(BN384=0,BI384&lt;0),"negativer Bestand (Export "&amp;BI384&amp;"); ","")&amp;IF(I384&lt;=0,"Kein Verbrauch; ","")&amp;IF(CD384&gt;0,"Lift "&amp;U384&amp;" lt. Liftbericht (Fach "&amp;V384&amp;" Stk); ",IF(BR384=1,"Lose – Fläche geschätzt; ",""))&amp;IF(G384&gt;AP384,"Überbestand "&amp;ROUND(G384-AP384,0)&amp;" Stk / CHF "&amp;ROUND((G384-AP384)*F384,0)&amp;"; ","")&amp;IF(AND(BW384=1,BX384&lt;BY384),"MAX &lt; MB+LG; ","")&amp;IF(AND(CC384&gt;0,CB384*10&gt;CC384),"zu hoch für Tablar; ","")&amp;IF(AND(BN384=0,OR(BW384=1,Y384&lt;&gt;"",S384&lt;&gt;"",T384&lt;&gt;"",Z384&lt;&gt;"")),"manuell übersteuert; ","")&amp;IF(AND(BR384=0,Q384=0),"Gebinde unbekannt / Stellmass fehlt; ","")&amp;IF(AND(BR384=0,N(T384)&lt;=0,N(P384)&lt;=0),"Menge pro Gebinde fehlt (Ist = 1 Gebinde); ","")&amp;BM384)</f>
        <v/>
      </c>
      <c r="BF384" s="55"/>
      <c r="BG384" s="55"/>
      <c r="BH384" s="62"/>
      <c r="BI384" s="57" t="n">
        <v>5</v>
      </c>
      <c r="BJ384" s="57" t="n">
        <v>4</v>
      </c>
      <c r="BK384" s="56" t="n">
        <v>130.89</v>
      </c>
      <c r="BL384" s="57" t="n">
        <v>6</v>
      </c>
      <c r="BM384" s="55"/>
      <c r="BN384" s="60" t="n">
        <v>0</v>
      </c>
      <c r="BO384" s="60" t="n">
        <v>384</v>
      </c>
      <c r="BP384" s="55" t="str">
        <f aca="false">IF(S384&lt;&gt;"",UPPER(TRIM(S384)),IF(O384="","LOSE",O384))</f>
        <v>S33</v>
      </c>
      <c r="BQ384" s="57" t="n">
        <f aca="false">IF(BP384="LOSE",1,IF(N(T384)&gt;0,T384,IF(N(P384)&gt;0,P384,MAX(1,G384))))</f>
        <v>10</v>
      </c>
      <c r="BR384" s="60" t="n">
        <f aca="false">IF(BP384="LOSE",1,0)</f>
        <v>0</v>
      </c>
      <c r="BS384" s="59" t="n">
        <f aca="false">IF(BR384=0,0,IF(N(R384)&gt;0,R384,IFERROR(VLOOKUP(D384,Parameter!$A$35:$C$64,3,0)+0,0)))</f>
        <v>0</v>
      </c>
      <c r="BT384" s="55" t="n">
        <f aca="false">IF(Y384&lt;&gt;"",Y384,X384)</f>
        <v>3</v>
      </c>
      <c r="BU384" s="55" t="str">
        <f aca="false">IF(BT384=1,"L1",IF(OR(BT384=2,BT384=3),"L23",IF(BT384="Aussen","Aussen","-")))</f>
        <v>L23</v>
      </c>
      <c r="BV384" s="66" t="n">
        <f aca="false">IF(N(Z384)&gt;0,Z384,0)</f>
        <v>0</v>
      </c>
      <c r="BW384" s="60" t="n">
        <f aca="false">IF(ISNUMBER(AC384),1,0)</f>
        <v>0</v>
      </c>
      <c r="BX384" s="57" t="n">
        <f aca="false">N(AC384)</f>
        <v>0</v>
      </c>
      <c r="BY384" s="57" t="n">
        <f aca="false">N(L384)+N(M384)</f>
        <v>5</v>
      </c>
      <c r="BZ384" s="57" t="n">
        <f aca="false">ROUNDUP(G384/BQ384,0)</f>
        <v>1</v>
      </c>
      <c r="CA384" s="57" t="n">
        <f aca="false">ROUNDUP(BX384/BQ384,0)</f>
        <v>0</v>
      </c>
      <c r="CB384" s="60" t="n">
        <f aca="false">IF(BR384=1,0,IFERROR(VLOOKUP(BP384,'Gebinde-Kategorie'!$A$5:$M$45,5,0)+0,0))</f>
        <v>8</v>
      </c>
      <c r="CC384" s="60" t="n">
        <f aca="false">IFERROR(IF(OR(BT384=1,BT384=2,BT384=3),N(INDEX(Parameter!$I$5:$I$7,BT384)),0),0)</f>
        <v>0</v>
      </c>
      <c r="CD384" s="59" t="n">
        <f aca="false">IF(AND(Parameter!$B$21="Ja",ISNUMBER(U384),N(V384)&gt;0),IFERROR(N(INDEX(Parameter!$L$5:$L$7,U384))*INDEX(Parameter!$E$5:$E$7,U384)*V384/SUMIFS($V$7:$V$1576,$U$7:$U$1576,U384),0),0)</f>
        <v>0</v>
      </c>
    </row>
    <row r="385" customFormat="false" ht="15" hidden="false" customHeight="false" outlineLevel="0" collapsed="false">
      <c r="A385" s="55" t="s">
        <v>903</v>
      </c>
      <c r="B385" s="55" t="s">
        <v>397</v>
      </c>
      <c r="C385" s="55" t="s">
        <v>160</v>
      </c>
      <c r="D385" s="55" t="s">
        <v>178</v>
      </c>
      <c r="E385" s="55" t="s">
        <v>210</v>
      </c>
      <c r="F385" s="56" t="n">
        <v>0.51</v>
      </c>
      <c r="G385" s="57" t="n">
        <f aca="false">MAX(0,IF(AND(Parameter!$B$21="Ja",ISNUMBER(W385)),W385,IF(Parameter!$B$20="Jahresanfang 2025 + Export",BJ385+BI385,BI385)))</f>
        <v>257</v>
      </c>
      <c r="H385" s="57" t="n">
        <f aca="false">G385*F385</f>
        <v>131.07</v>
      </c>
      <c r="I385" s="57" t="n">
        <f aca="false">BL385*Parameter!$B$18</f>
        <v>309</v>
      </c>
      <c r="J385" s="58" t="n">
        <v>146</v>
      </c>
      <c r="K385" s="59" t="n">
        <v>2.11643835616438</v>
      </c>
      <c r="L385" s="57" t="n">
        <v>18</v>
      </c>
      <c r="M385" s="57" t="n">
        <v>400</v>
      </c>
      <c r="N385" s="60" t="n">
        <v>21</v>
      </c>
      <c r="O385" s="55" t="s">
        <v>416</v>
      </c>
      <c r="P385" s="57" t="n">
        <v>118</v>
      </c>
      <c r="Q385" s="60" t="n">
        <f aca="false">IF(BR385=1,0,IFERROR(VLOOKUP(BP385,'Gebinde-Kategorie'!$A$5:$M$45,13,0)+0,0))</f>
        <v>198</v>
      </c>
      <c r="R385" s="61"/>
      <c r="S385" s="62"/>
      <c r="T385" s="62"/>
      <c r="U385" s="55"/>
      <c r="V385" s="57"/>
      <c r="W385" s="57"/>
      <c r="X385" s="55" t="n">
        <f aca="false">IF(A385="","",IF(AND(Parameter!$B$21="Ja",ISNUMBER(U385)),U385,IF(IFERROR(VLOOKUP(D385,Parameter!$A$35:$C$64,2,0),"Nein")="2+3",IF(ISNUMBER(SEARCH("grosser Artikel",BM385)),2,IFERROR(VLOOKUP(BP385,Parameter!$F$35:$G$64,2,0),2)),IF(OR(IFERROR(VLOOKUP(D385,Parameter!$A$35:$C$64,2,0),"Nein")="Nein",IFERROR(VLOOKUP(D385,Parameter!$A$35:$C$64,2,0),"Nein")=""),"-",VLOOKUP(D385,Parameter!$A$35:$C$64,2,0)))))</f>
        <v>3</v>
      </c>
      <c r="Y385" s="62"/>
      <c r="Z385" s="63"/>
      <c r="AA385" s="57" t="n">
        <f aca="false">AP385</f>
        <v>472</v>
      </c>
      <c r="AB385" s="57" t="n">
        <f aca="false">MAX(AP385,G385)</f>
        <v>472</v>
      </c>
      <c r="AC385" s="64"/>
      <c r="AD385" s="57" t="n">
        <f aca="false">IF(LEFT(Cockpit!$C$5,1)="A",G385,IF(BW385=1,BX385,IF(LEFT(Cockpit!$C$5,1)="B",AH385,MAX(AH385,G385))))</f>
        <v>257</v>
      </c>
      <c r="AE385" s="57" t="n">
        <f aca="false">IF(BR385=1,0,ROUNDUP(AD385/BQ385,0))</f>
        <v>3</v>
      </c>
      <c r="AF385" s="59" t="n">
        <f aca="false">IF(CD385&gt;0,CD385*MAX(1,AD385/V385),IF(BR385=1,IF(AD385&lt;=0,0,BS385*MAX(1,IF(G385&gt;0,AD385/G385,1))),IF(Q385&gt;0,AE385/Q385,0))/MAX(0.1,N(Parameter!$M$21)))</f>
        <v>0.0151515151515152</v>
      </c>
      <c r="AG385" s="57" t="n">
        <f aca="false">AD385*F385</f>
        <v>131.07</v>
      </c>
      <c r="AH385" s="57" t="n">
        <f aca="false">ROUNDUP(MAX(I385/IF(BV385&gt;0,BV385,MAX(0.1,N(Cockpit!$C$6))),BY385)/BQ385,0)*BQ385</f>
        <v>472</v>
      </c>
      <c r="AI385" s="58" t="n">
        <f aca="false">IF(AF385&gt;0,I385/AF385,-1)</f>
        <v>20394</v>
      </c>
      <c r="AJ385" s="58" t="n">
        <f aca="false">IF(AND(OR(BU385="L1",BU385="L23"),AF385&gt;0),SUMIFS($AF$7:$AF$1576,$BU$7:$BU$1576,BU385,$AI$7:$AI$1576,"&gt;"&amp;AI385)+SUMIFS($AF$7:$AF$1576,$BU$7:$BU$1576,BU385,$AI$7:$AI$1576,AI385,$BO$7:$BO$1576,"&lt;="&amp;BO385),"")</f>
        <v>1.79646802472889</v>
      </c>
      <c r="AK385" s="65" t="n">
        <f aca="false">IF(AJ385="",0,MAX(0,MIN(1,(IF(BU385="L1",Parameter!$E$5,Parameter!$E$6+Parameter!$E$7)-(AJ385-AF385))/AF385)))</f>
        <v>1</v>
      </c>
      <c r="AL385" s="57" t="n">
        <f aca="false">IF(LEFT(Cockpit!$I$5,1)="A",G385,IF(BW385=1,BX385,IF(LEFT(Cockpit!$I$5,1)="B",AP385,MAX(AP385,G385))))</f>
        <v>472</v>
      </c>
      <c r="AM385" s="57" t="n">
        <f aca="false">IF(BR385=1,0,ROUNDUP(AL385/BQ385,0))</f>
        <v>4</v>
      </c>
      <c r="AN385" s="59" t="n">
        <f aca="false">IF(CD385&gt;0,CD385*MAX(1,AL385/V385),IF(BR385=1,IF(AL385&lt;=0,0,BS385*MAX(1,IF(G385&gt;0,AL385/G385,1))),IF(Q385&gt;0,AM385/Q385,0))/MAX(0.1,N(Parameter!$M$21)))</f>
        <v>0.0202020202020202</v>
      </c>
      <c r="AO385" s="57" t="n">
        <f aca="false">AL385*F385</f>
        <v>240.72</v>
      </c>
      <c r="AP385" s="57" t="n">
        <f aca="false">ROUNDUP(MAX(I385/IF(BV385&gt;0,BV385,MAX(0.1,N(Cockpit!$I$6))),BY385)/BQ385,0)*BQ385</f>
        <v>472</v>
      </c>
      <c r="AQ385" s="58" t="n">
        <f aca="false">IF(AN385&gt;0,I385/AN385,-1)</f>
        <v>15295.5</v>
      </c>
      <c r="AR385" s="58" t="n">
        <f aca="false">IF(AND(OR(BU385="L1",BU385="L23"),AN385&gt;0),SUMIFS($AN$7:$AN$1576,$BU$7:$BU$1576,BU385,$AQ$7:$AQ$1576,"&gt;"&amp;AQ385)+SUMIFS($AN$7:$AN$1576,$BU$7:$BU$1576,BU385,$AQ$7:$AQ$1576,AQ385,$BO$7:$BO$1576,"&lt;="&amp;BO385),"")</f>
        <v>5.62799533799534</v>
      </c>
      <c r="AS385" s="65" t="n">
        <f aca="false">IF(AR385="",0,MAX(0,MIN(1,(IF(BU385="L1",Parameter!$E$5,Parameter!$E$6+Parameter!$E$7)-(AR385-AN385))/AN385)))</f>
        <v>1</v>
      </c>
      <c r="AT385" s="57" t="n">
        <f aca="false">IF(LEFT(Cockpit!$O$5,1)="A",G385,IF(BW385=1,BX385,IF(LEFT(Cockpit!$O$5,1)="B",AX385,MAX(AX385,G385))))</f>
        <v>472</v>
      </c>
      <c r="AU385" s="57" t="n">
        <f aca="false">IF(BR385=1,0,ROUNDUP(AT385/BQ385,0))</f>
        <v>4</v>
      </c>
      <c r="AV385" s="59" t="n">
        <f aca="false">IF(CD385&gt;0,CD385*MAX(1,AT385/V385),IF(BR385=1,IF(AT385&lt;=0,0,BS385*MAX(1,IF(G385&gt;0,AT385/G385,1))),IF(Q385&gt;0,AU385/Q385,0))/MAX(0.1,N(Parameter!$M$21)))</f>
        <v>0.0202020202020202</v>
      </c>
      <c r="AW385" s="57" t="n">
        <f aca="false">AT385*F385</f>
        <v>240.72</v>
      </c>
      <c r="AX385" s="57" t="n">
        <f aca="false">ROUNDUP(MAX(I385/IF(BV385&gt;0,BV385,MAX(0.1,N(Cockpit!$O$6))),BY385)/BQ385,0)*BQ385</f>
        <v>472</v>
      </c>
      <c r="AY385" s="58" t="n">
        <f aca="false">IF(AV385&gt;0,I385/AV385,-1)</f>
        <v>15295.5</v>
      </c>
      <c r="AZ385" s="58" t="n">
        <f aca="false">IF(AND(OR(BU385="L1",BU385="L23"),AV385&gt;0),SUMIFS($AV$7:$AV$1576,$BU$7:$BU$1576,BU385,$AY$7:$AY$1576,"&gt;"&amp;AY385)+SUMIFS($AV$7:$AV$1576,$BU$7:$BU$1576,BU385,$AY$7:$AY$1576,AY385,$BO$7:$BO$1576,"&lt;="&amp;BO385),"")</f>
        <v>5.00911421911422</v>
      </c>
      <c r="BA385" s="65" t="n">
        <f aca="false">IF(AZ385="",0,MAX(0,MIN(1,(IF(BU385="L1",Parameter!$E$5,Parameter!$E$6+Parameter!$E$7)-(AZ385-AV385))/AV385)))</f>
        <v>1</v>
      </c>
      <c r="BB385" s="55" t="str">
        <f aca="false">IF(AF385&lt;=0,"",IF(BU385="Aussen","Aussenlager",IF(BU385="-","Nicht im Lift",IF(AK385&gt;=1,"Lift",IF(AK385&lt;=0,"Aussenlager","teilweise")))))</f>
        <v>Lift</v>
      </c>
      <c r="BC385" s="55" t="str">
        <f aca="false">IF(AN385&lt;=0,"",IF(BU385="Aussen","Aussenlager",IF(BU385="-","Nicht im Lift",IF(AS385&gt;=1,"Lift",IF(AS385&lt;=0,"Aussenlager","teilweise")))))</f>
        <v>Lift</v>
      </c>
      <c r="BD385" s="55" t="str">
        <f aca="false">IF(AV385&lt;=0,"",IF(BU385="Aussen","Aussenlager",IF(BU385="-","Nicht im Lift",IF(BA385&gt;=1,"Lift",IF(BA385&lt;=0,"Aussenlager","teilweise")))))</f>
        <v>Lift</v>
      </c>
      <c r="BE385" s="55" t="str">
        <f aca="false">IF(A385="","",IF(BN385=1,"Neu; ","")&amp;IF(AND(BN385=0,BI385&lt;0),"negativer Bestand (Export "&amp;BI385&amp;"); ","")&amp;IF(I385&lt;=0,"Kein Verbrauch; ","")&amp;IF(CD385&gt;0,"Lift "&amp;U385&amp;" lt. Liftbericht (Fach "&amp;V385&amp;" Stk); ",IF(BR385=1,"Lose – Fläche geschätzt; ",""))&amp;IF(G385&gt;AP385,"Überbestand "&amp;ROUND(G385-AP385,0)&amp;" Stk / CHF "&amp;ROUND((G385-AP385)*F385,0)&amp;"; ","")&amp;IF(AND(BW385=1,BX385&lt;BY385),"MAX &lt; MB+LG; ","")&amp;IF(AND(CC385&gt;0,CB385*10&gt;CC385),"zu hoch für Tablar; ","")&amp;IF(AND(BN385=0,OR(BW385=1,Y385&lt;&gt;"",S385&lt;&gt;"",T385&lt;&gt;"",Z385&lt;&gt;"")),"manuell übersteuert; ","")&amp;IF(AND(BR385=0,Q385=0),"Gebinde unbekannt / Stellmass fehlt; ","")&amp;IF(AND(BR385=0,N(T385)&lt;=0,N(P385)&lt;=0),"Menge pro Gebinde fehlt (Ist = 1 Gebinde); ","")&amp;BM385)</f>
        <v/>
      </c>
      <c r="BF385" s="55"/>
      <c r="BG385" s="55"/>
      <c r="BH385" s="62"/>
      <c r="BI385" s="57" t="n">
        <v>257</v>
      </c>
      <c r="BJ385" s="57" t="n">
        <v>150</v>
      </c>
      <c r="BK385" s="56" t="n">
        <v>129.57</v>
      </c>
      <c r="BL385" s="57" t="n">
        <v>309</v>
      </c>
      <c r="BM385" s="55"/>
      <c r="BN385" s="60" t="n">
        <v>0</v>
      </c>
      <c r="BO385" s="60" t="n">
        <v>385</v>
      </c>
      <c r="BP385" s="55" t="str">
        <f aca="false">IF(S385&lt;&gt;"",UPPER(TRIM(S385)),IF(O385="","LOSE",O385))</f>
        <v>S22</v>
      </c>
      <c r="BQ385" s="57" t="n">
        <f aca="false">IF(BP385="LOSE",1,IF(N(T385)&gt;0,T385,IF(N(P385)&gt;0,P385,MAX(1,G385))))</f>
        <v>118</v>
      </c>
      <c r="BR385" s="60" t="n">
        <f aca="false">IF(BP385="LOSE",1,0)</f>
        <v>0</v>
      </c>
      <c r="BS385" s="59" t="n">
        <f aca="false">IF(BR385=0,0,IF(N(R385)&gt;0,R385,IFERROR(VLOOKUP(D385,Parameter!$A$35:$C$64,3,0)+0,0)))</f>
        <v>0</v>
      </c>
      <c r="BT385" s="55" t="n">
        <f aca="false">IF(Y385&lt;&gt;"",Y385,X385)</f>
        <v>3</v>
      </c>
      <c r="BU385" s="55" t="str">
        <f aca="false">IF(BT385=1,"L1",IF(OR(BT385=2,BT385=3),"L23",IF(BT385="Aussen","Aussen","-")))</f>
        <v>L23</v>
      </c>
      <c r="BV385" s="66" t="n">
        <f aca="false">IF(N(Z385)&gt;0,Z385,0)</f>
        <v>0</v>
      </c>
      <c r="BW385" s="60" t="n">
        <f aca="false">IF(ISNUMBER(AC385),1,0)</f>
        <v>0</v>
      </c>
      <c r="BX385" s="57" t="n">
        <f aca="false">N(AC385)</f>
        <v>0</v>
      </c>
      <c r="BY385" s="57" t="n">
        <f aca="false">N(L385)+N(M385)</f>
        <v>418</v>
      </c>
      <c r="BZ385" s="57" t="n">
        <f aca="false">ROUNDUP(G385/BQ385,0)</f>
        <v>3</v>
      </c>
      <c r="CA385" s="57" t="n">
        <f aca="false">ROUNDUP(BX385/BQ385,0)</f>
        <v>0</v>
      </c>
      <c r="CB385" s="60" t="n">
        <f aca="false">IF(BR385=1,0,IFERROR(VLOOKUP(BP385,'Gebinde-Kategorie'!$A$5:$M$45,5,0)+0,0))</f>
        <v>8</v>
      </c>
      <c r="CC385" s="60" t="n">
        <f aca="false">IFERROR(IF(OR(BT385=1,BT385=2,BT385=3),N(INDEX(Parameter!$I$5:$I$7,BT385)),0),0)</f>
        <v>0</v>
      </c>
      <c r="CD385" s="59" t="n">
        <f aca="false">IF(AND(Parameter!$B$21="Ja",ISNUMBER(U385),N(V385)&gt;0),IFERROR(N(INDEX(Parameter!$L$5:$L$7,U385))*INDEX(Parameter!$E$5:$E$7,U385)*V385/SUMIFS($V$7:$V$1576,$U$7:$U$1576,U385),0),0)</f>
        <v>0</v>
      </c>
    </row>
    <row r="386" customFormat="false" ht="15" hidden="false" customHeight="false" outlineLevel="0" collapsed="false">
      <c r="A386" s="55" t="s">
        <v>904</v>
      </c>
      <c r="B386" s="55" t="s">
        <v>292</v>
      </c>
      <c r="C386" s="55" t="s">
        <v>160</v>
      </c>
      <c r="D386" s="55" t="s">
        <v>178</v>
      </c>
      <c r="E386" s="55" t="s">
        <v>210</v>
      </c>
      <c r="F386" s="56" t="n">
        <v>512.66</v>
      </c>
      <c r="G386" s="57" t="n">
        <f aca="false">MAX(0,IF(AND(Parameter!$B$21="Ja",ISNUMBER(W386)),W386,IF(Parameter!$B$20="Jahresanfang 2025 + Export",BJ386+BI386,BI386)))</f>
        <v>0</v>
      </c>
      <c r="H386" s="57" t="n">
        <f aca="false">G386*F386</f>
        <v>0</v>
      </c>
      <c r="I386" s="57" t="n">
        <f aca="false">BL386*Parameter!$B$18</f>
        <v>9</v>
      </c>
      <c r="J386" s="58" t="n">
        <v>4.5</v>
      </c>
      <c r="K386" s="59" t="n">
        <v>2</v>
      </c>
      <c r="L386" s="57" t="n">
        <v>0</v>
      </c>
      <c r="M386" s="57" t="n">
        <v>5</v>
      </c>
      <c r="N386" s="60" t="n">
        <v>35</v>
      </c>
      <c r="O386" s="55" t="s">
        <v>163</v>
      </c>
      <c r="P386" s="57"/>
      <c r="Q386" s="60" t="n">
        <f aca="false">IF(BR386=1,0,IFERROR(VLOOKUP(BP386,'Gebinde-Kategorie'!$A$5:$M$45,13,0)+0,0))</f>
        <v>0</v>
      </c>
      <c r="R386" s="61"/>
      <c r="S386" s="62"/>
      <c r="T386" s="62"/>
      <c r="U386" s="55"/>
      <c r="V386" s="57"/>
      <c r="W386" s="57"/>
      <c r="X386" s="55" t="n">
        <f aca="false">IF(A386="","",IF(AND(Parameter!$B$21="Ja",ISNUMBER(U386)),U386,IF(IFERROR(VLOOKUP(D386,Parameter!$A$35:$C$64,2,0),"Nein")="2+3",IF(ISNUMBER(SEARCH("grosser Artikel",BM386)),2,IFERROR(VLOOKUP(BP386,Parameter!$F$35:$G$64,2,0),2)),IF(OR(IFERROR(VLOOKUP(D386,Parameter!$A$35:$C$64,2,0),"Nein")="Nein",IFERROR(VLOOKUP(D386,Parameter!$A$35:$C$64,2,0),"Nein")=""),"-",VLOOKUP(D386,Parameter!$A$35:$C$64,2,0)))))</f>
        <v>2</v>
      </c>
      <c r="Y386" s="62"/>
      <c r="Z386" s="63"/>
      <c r="AA386" s="57" t="n">
        <f aca="false">AP386</f>
        <v>5</v>
      </c>
      <c r="AB386" s="57" t="n">
        <f aca="false">MAX(AP386,G386)</f>
        <v>5</v>
      </c>
      <c r="AC386" s="64"/>
      <c r="AD386" s="57" t="n">
        <f aca="false">IF(LEFT(Cockpit!$C$5,1)="A",G386,IF(BW386=1,BX386,IF(LEFT(Cockpit!$C$5,1)="B",AH386,MAX(AH386,G386))))</f>
        <v>0</v>
      </c>
      <c r="AE386" s="57" t="n">
        <f aca="false">IF(BR386=1,0,ROUNDUP(AD386/BQ386,0))</f>
        <v>0</v>
      </c>
      <c r="AF386" s="59" t="n">
        <f aca="false">IF(CD386&gt;0,CD386*MAX(1,AD386/V386),IF(BR386=1,IF(AD386&lt;=0,0,BS386*MAX(1,IF(G386&gt;0,AD386/G386,1))),IF(Q386&gt;0,AE386/Q386,0))/MAX(0.1,N(Parameter!$M$21)))</f>
        <v>0</v>
      </c>
      <c r="AG386" s="57" t="n">
        <f aca="false">AD386*F386</f>
        <v>0</v>
      </c>
      <c r="AH386" s="57" t="n">
        <f aca="false">ROUNDUP(MAX(I386/IF(BV386&gt;0,BV386,MAX(0.1,N(Cockpit!$C$6))),BY386)/BQ386,0)*BQ386</f>
        <v>5</v>
      </c>
      <c r="AI386" s="58" t="n">
        <f aca="false">IF(AF386&gt;0,I386/AF386,-1)</f>
        <v>-1</v>
      </c>
      <c r="AJ386" s="58" t="str">
        <f aca="false">IF(AND(OR(BU386="L1",BU386="L23"),AF386&gt;0),SUMIFS($AF$7:$AF$1576,$BU$7:$BU$1576,BU386,$AI$7:$AI$1576,"&gt;"&amp;AI386)+SUMIFS($AF$7:$AF$1576,$BU$7:$BU$1576,BU386,$AI$7:$AI$1576,AI386,$BO$7:$BO$1576,"&lt;="&amp;BO386),"")</f>
        <v/>
      </c>
      <c r="AK386" s="65" t="n">
        <f aca="false">IF(AJ386="",0,MAX(0,MIN(1,(IF(BU386="L1",Parameter!$E$5,Parameter!$E$6+Parameter!$E$7)-(AJ386-AF386))/AF386)))</f>
        <v>0</v>
      </c>
      <c r="AL386" s="57" t="n">
        <f aca="false">IF(LEFT(Cockpit!$I$5,1)="A",G386,IF(BW386=1,BX386,IF(LEFT(Cockpit!$I$5,1)="B",AP386,MAX(AP386,G386))))</f>
        <v>5</v>
      </c>
      <c r="AM386" s="57" t="n">
        <f aca="false">IF(BR386=1,0,ROUNDUP(AL386/BQ386,0))</f>
        <v>0</v>
      </c>
      <c r="AN386" s="59" t="n">
        <f aca="false">IF(CD386&gt;0,CD386*MAX(1,AL386/V386),IF(BR386=1,IF(AL386&lt;=0,0,BS386*MAX(1,IF(G386&gt;0,AL386/G386,1))),IF(Q386&gt;0,AM386/Q386,0))/MAX(0.1,N(Parameter!$M$21)))</f>
        <v>0.03</v>
      </c>
      <c r="AO386" s="57" t="n">
        <f aca="false">AL386*F386</f>
        <v>2563.3</v>
      </c>
      <c r="AP386" s="57" t="n">
        <f aca="false">ROUNDUP(MAX(I386/IF(BV386&gt;0,BV386,MAX(0.1,N(Cockpit!$I$6))),BY386)/BQ386,0)*BQ386</f>
        <v>5</v>
      </c>
      <c r="AQ386" s="58" t="n">
        <f aca="false">IF(AN386&gt;0,I386/AN386,-1)</f>
        <v>300</v>
      </c>
      <c r="AR386" s="58" t="n">
        <f aca="false">IF(AND(OR(BU386="L1",BU386="L23"),AN386&gt;0),SUMIFS($AN$7:$AN$1576,$BU$7:$BU$1576,BU386,$AQ$7:$AQ$1576,"&gt;"&amp;AQ386)+SUMIFS($AN$7:$AN$1576,$BU$7:$BU$1576,BU386,$AQ$7:$AQ$1576,AQ386,$BO$7:$BO$1576,"&lt;="&amp;BO386),"")</f>
        <v>43.7839990568363</v>
      </c>
      <c r="AS386" s="65" t="n">
        <f aca="false">IF(AR386="",0,MAX(0,MIN(1,(IF(BU386="L1",Parameter!$E$5,Parameter!$E$6+Parameter!$E$7)-(AR386-AN386))/AN386)))</f>
        <v>1</v>
      </c>
      <c r="AT386" s="57" t="n">
        <f aca="false">IF(LEFT(Cockpit!$O$5,1)="A",G386,IF(BW386=1,BX386,IF(LEFT(Cockpit!$O$5,1)="B",AX386,MAX(AX386,G386))))</f>
        <v>5</v>
      </c>
      <c r="AU386" s="57" t="n">
        <f aca="false">IF(BR386=1,0,ROUNDUP(AT386/BQ386,0))</f>
        <v>0</v>
      </c>
      <c r="AV386" s="59" t="n">
        <f aca="false">IF(CD386&gt;0,CD386*MAX(1,AT386/V386),IF(BR386=1,IF(AT386&lt;=0,0,BS386*MAX(1,IF(G386&gt;0,AT386/G386,1))),IF(Q386&gt;0,AU386/Q386,0))/MAX(0.1,N(Parameter!$M$21)))</f>
        <v>0.03</v>
      </c>
      <c r="AW386" s="57" t="n">
        <f aca="false">AT386*F386</f>
        <v>2563.3</v>
      </c>
      <c r="AX386" s="57" t="n">
        <f aca="false">ROUNDUP(MAX(I386/IF(BV386&gt;0,BV386,MAX(0.1,N(Cockpit!$O$6))),BY386)/BQ386,0)*BQ386</f>
        <v>5</v>
      </c>
      <c r="AY386" s="58" t="n">
        <f aca="false">IF(AV386&gt;0,I386/AV386,-1)</f>
        <v>300</v>
      </c>
      <c r="AZ386" s="58" t="n">
        <f aca="false">IF(AND(OR(BU386="L1",BU386="L23"),AV386&gt;0),SUMIFS($AV$7:$AV$1576,$BU$7:$BU$1576,BU386,$AY$7:$AY$1576,"&gt;"&amp;AY386)+SUMIFS($AV$7:$AV$1576,$BU$7:$BU$1576,BU386,$AY$7:$AY$1576,AY386,$BO$7:$BO$1576,"&lt;="&amp;BO386),"")</f>
        <v>40.0320776449149</v>
      </c>
      <c r="BA386" s="65" t="n">
        <f aca="false">IF(AZ386="",0,MAX(0,MIN(1,(IF(BU386="L1",Parameter!$E$5,Parameter!$E$6+Parameter!$E$7)-(AZ386-AV386))/AV386)))</f>
        <v>1</v>
      </c>
      <c r="BB386" s="55" t="str">
        <f aca="false">IF(AF386&lt;=0,"",IF(BU386="Aussen","Aussenlager",IF(BU386="-","Nicht im Lift",IF(AK386&gt;=1,"Lift",IF(AK386&lt;=0,"Aussenlager","teilweise")))))</f>
        <v/>
      </c>
      <c r="BC386" s="55" t="str">
        <f aca="false">IF(AN386&lt;=0,"",IF(BU386="Aussen","Aussenlager",IF(BU386="-","Nicht im Lift",IF(AS386&gt;=1,"Lift",IF(AS386&lt;=0,"Aussenlager","teilweise")))))</f>
        <v>Lift</v>
      </c>
      <c r="BD386" s="55" t="str">
        <f aca="false">IF(AV386&lt;=0,"",IF(BU386="Aussen","Aussenlager",IF(BU386="-","Nicht im Lift",IF(BA386&gt;=1,"Lift",IF(BA386&lt;=0,"Aussenlager","teilweise")))))</f>
        <v>Lift</v>
      </c>
      <c r="BE386" s="55" t="str">
        <f aca="false">IF(A386="","",IF(BN386=1,"Neu; ","")&amp;IF(AND(BN386=0,BI386&lt;0),"negativer Bestand (Export "&amp;BI386&amp;"); ","")&amp;IF(I386&lt;=0,"Kein Verbrauch; ","")&amp;IF(CD386&gt;0,"Lift "&amp;U386&amp;" lt. Liftbericht (Fach "&amp;V386&amp;" Stk); ",IF(BR386=1,"Lose – Fläche geschätzt; ",""))&amp;IF(G386&gt;AP386,"Überbestand "&amp;ROUND(G386-AP386,0)&amp;" Stk / CHF "&amp;ROUND((G386-AP386)*F386,0)&amp;"; ","")&amp;IF(AND(BW386=1,BX386&lt;BY386),"MAX &lt; MB+LG; ","")&amp;IF(AND(CC386&gt;0,CB386*10&gt;CC386),"zu hoch für Tablar; ","")&amp;IF(AND(BN386=0,OR(BW386=1,Y386&lt;&gt;"",S386&lt;&gt;"",T386&lt;&gt;"",Z386&lt;&gt;"")),"manuell übersteuert; ","")&amp;IF(AND(BR386=0,Q386=0),"Gebinde unbekannt / Stellmass fehlt; ","")&amp;IF(AND(BR386=0,N(T386)&lt;=0,N(P386)&lt;=0),"Menge pro Gebinde fehlt (Ist = 1 Gebinde); ","")&amp;BM386)</f>
        <v>Lose – Fläche geschätzt; </v>
      </c>
      <c r="BF386" s="55"/>
      <c r="BG386" s="55"/>
      <c r="BH386" s="62"/>
      <c r="BI386" s="57" t="n">
        <v>0</v>
      </c>
      <c r="BJ386" s="57" t="n">
        <v>4</v>
      </c>
      <c r="BK386" s="56" t="n">
        <v>129.360000000001</v>
      </c>
      <c r="BL386" s="57" t="n">
        <v>9</v>
      </c>
      <c r="BM386" s="55"/>
      <c r="BN386" s="60" t="n">
        <v>0</v>
      </c>
      <c r="BO386" s="60" t="n">
        <v>386</v>
      </c>
      <c r="BP386" s="55" t="str">
        <f aca="false">IF(S386&lt;&gt;"",UPPER(TRIM(S386)),IF(O386="","LOSE",O386))</f>
        <v>LOSE</v>
      </c>
      <c r="BQ386" s="57" t="n">
        <f aca="false">IF(BP386="LOSE",1,IF(N(T386)&gt;0,T386,IF(N(P386)&gt;0,P386,MAX(1,G386))))</f>
        <v>1</v>
      </c>
      <c r="BR386" s="60" t="n">
        <f aca="false">IF(BP386="LOSE",1,0)</f>
        <v>1</v>
      </c>
      <c r="BS386" s="59" t="n">
        <f aca="false">IF(BR386=0,0,IF(N(R386)&gt;0,R386,IFERROR(VLOOKUP(D386,Parameter!$A$35:$C$64,3,0)+0,0)))</f>
        <v>0.03</v>
      </c>
      <c r="BT386" s="55" t="n">
        <f aca="false">IF(Y386&lt;&gt;"",Y386,X386)</f>
        <v>2</v>
      </c>
      <c r="BU386" s="55" t="str">
        <f aca="false">IF(BT386=1,"L1",IF(OR(BT386=2,BT386=3),"L23",IF(BT386="Aussen","Aussen","-")))</f>
        <v>L23</v>
      </c>
      <c r="BV386" s="66" t="n">
        <f aca="false">IF(N(Z386)&gt;0,Z386,0)</f>
        <v>0</v>
      </c>
      <c r="BW386" s="60" t="n">
        <f aca="false">IF(ISNUMBER(AC386),1,0)</f>
        <v>0</v>
      </c>
      <c r="BX386" s="57" t="n">
        <f aca="false">N(AC386)</f>
        <v>0</v>
      </c>
      <c r="BY386" s="57" t="n">
        <f aca="false">N(L386)+N(M386)</f>
        <v>5</v>
      </c>
      <c r="BZ386" s="57" t="n">
        <f aca="false">ROUNDUP(G386/BQ386,0)</f>
        <v>0</v>
      </c>
      <c r="CA386" s="57" t="n">
        <f aca="false">ROUNDUP(BX386/BQ386,0)</f>
        <v>0</v>
      </c>
      <c r="CB386" s="60" t="n">
        <f aca="false">IF(BR386=1,0,IFERROR(VLOOKUP(BP386,'Gebinde-Kategorie'!$A$5:$M$45,5,0)+0,0))</f>
        <v>0</v>
      </c>
      <c r="CC386" s="60" t="n">
        <f aca="false">IFERROR(IF(OR(BT386=1,BT386=2,BT386=3),N(INDEX(Parameter!$I$5:$I$7,BT386)),0),0)</f>
        <v>0</v>
      </c>
      <c r="CD386" s="59" t="n">
        <f aca="false">IF(AND(Parameter!$B$21="Ja",ISNUMBER(U386),N(V386)&gt;0),IFERROR(N(INDEX(Parameter!$L$5:$L$7,U386))*INDEX(Parameter!$E$5:$E$7,U386)*V386/SUMIFS($V$7:$V$1576,$U$7:$U$1576,U386),0),0)</f>
        <v>0</v>
      </c>
    </row>
    <row r="387" customFormat="false" ht="15" hidden="false" customHeight="false" outlineLevel="0" collapsed="false">
      <c r="A387" s="55" t="s">
        <v>905</v>
      </c>
      <c r="B387" s="55" t="s">
        <v>906</v>
      </c>
      <c r="C387" s="55" t="s">
        <v>160</v>
      </c>
      <c r="D387" s="55" t="s">
        <v>178</v>
      </c>
      <c r="E387" s="55" t="s">
        <v>210</v>
      </c>
      <c r="F387" s="56" t="n">
        <v>1.54</v>
      </c>
      <c r="G387" s="57" t="n">
        <f aca="false">MAX(0,IF(AND(Parameter!$B$21="Ja",ISNUMBER(W387)),W387,IF(Parameter!$B$20="Jahresanfang 2025 + Export",BJ387+BI387,BI387)))</f>
        <v>84</v>
      </c>
      <c r="H387" s="57" t="n">
        <f aca="false">G387*F387</f>
        <v>129.36</v>
      </c>
      <c r="I387" s="57" t="n">
        <f aca="false">BL387*Parameter!$B$18</f>
        <v>129</v>
      </c>
      <c r="J387" s="58" t="n">
        <v>42</v>
      </c>
      <c r="K387" s="59" t="n">
        <v>3.07142857142857</v>
      </c>
      <c r="L387" s="57" t="n">
        <v>7</v>
      </c>
      <c r="M387" s="57" t="n">
        <v>130</v>
      </c>
      <c r="N387" s="60" t="n">
        <v>21</v>
      </c>
      <c r="O387" s="55" t="s">
        <v>411</v>
      </c>
      <c r="P387" s="57" t="n">
        <v>131</v>
      </c>
      <c r="Q387" s="60" t="n">
        <f aca="false">IF(BR387=1,0,IFERROR(VLOOKUP(BP387,'Gebinde-Kategorie'!$A$5:$M$45,13,0)+0,0))</f>
        <v>132</v>
      </c>
      <c r="R387" s="61"/>
      <c r="S387" s="62"/>
      <c r="T387" s="62"/>
      <c r="U387" s="55"/>
      <c r="V387" s="57"/>
      <c r="W387" s="57"/>
      <c r="X387" s="55" t="n">
        <f aca="false">IF(A387="","",IF(AND(Parameter!$B$21="Ja",ISNUMBER(U387)),U387,IF(IFERROR(VLOOKUP(D387,Parameter!$A$35:$C$64,2,0),"Nein")="2+3",IF(ISNUMBER(SEARCH("grosser Artikel",BM387)),2,IFERROR(VLOOKUP(BP387,Parameter!$F$35:$G$64,2,0),2)),IF(OR(IFERROR(VLOOKUP(D387,Parameter!$A$35:$C$64,2,0),"Nein")="Nein",IFERROR(VLOOKUP(D387,Parameter!$A$35:$C$64,2,0),"Nein")=""),"-",VLOOKUP(D387,Parameter!$A$35:$C$64,2,0)))))</f>
        <v>3</v>
      </c>
      <c r="Y387" s="62"/>
      <c r="Z387" s="63"/>
      <c r="AA387" s="57" t="n">
        <f aca="false">AP387</f>
        <v>262</v>
      </c>
      <c r="AB387" s="57" t="n">
        <f aca="false">MAX(AP387,G387)</f>
        <v>262</v>
      </c>
      <c r="AC387" s="64"/>
      <c r="AD387" s="57" t="n">
        <f aca="false">IF(LEFT(Cockpit!$C$5,1)="A",G387,IF(BW387=1,BX387,IF(LEFT(Cockpit!$C$5,1)="B",AH387,MAX(AH387,G387))))</f>
        <v>84</v>
      </c>
      <c r="AE387" s="57" t="n">
        <f aca="false">IF(BR387=1,0,ROUNDUP(AD387/BQ387,0))</f>
        <v>1</v>
      </c>
      <c r="AF387" s="59" t="n">
        <f aca="false">IF(CD387&gt;0,CD387*MAX(1,AD387/V387),IF(BR387=1,IF(AD387&lt;=0,0,BS387*MAX(1,IF(G387&gt;0,AD387/G387,1))),IF(Q387&gt;0,AE387/Q387,0))/MAX(0.1,N(Parameter!$M$21)))</f>
        <v>0.00757575757575758</v>
      </c>
      <c r="AG387" s="57" t="n">
        <f aca="false">AD387*F387</f>
        <v>129.36</v>
      </c>
      <c r="AH387" s="57" t="n">
        <f aca="false">ROUNDUP(MAX(I387/IF(BV387&gt;0,BV387,MAX(0.1,N(Cockpit!$C$6))),BY387)/BQ387,0)*BQ387</f>
        <v>262</v>
      </c>
      <c r="AI387" s="58" t="n">
        <f aca="false">IF(AF387&gt;0,I387/AF387,-1)</f>
        <v>17028</v>
      </c>
      <c r="AJ387" s="58" t="n">
        <f aca="false">IF(AND(OR(BU387="L1",BU387="L23"),AF387&gt;0),SUMIFS($AF$7:$AF$1576,$BU$7:$BU$1576,BU387,$AI$7:$AI$1576,"&gt;"&amp;AI387)+SUMIFS($AF$7:$AF$1576,$BU$7:$BU$1576,BU387,$AI$7:$AI$1576,AI387,$BO$7:$BO$1576,"&lt;="&amp;BO387),"")</f>
        <v>2.15483429613864</v>
      </c>
      <c r="AK387" s="65" t="n">
        <f aca="false">IF(AJ387="",0,MAX(0,MIN(1,(IF(BU387="L1",Parameter!$E$5,Parameter!$E$6+Parameter!$E$7)-(AJ387-AF387))/AF387)))</f>
        <v>1</v>
      </c>
      <c r="AL387" s="57" t="n">
        <f aca="false">IF(LEFT(Cockpit!$I$5,1)="A",G387,IF(BW387=1,BX387,IF(LEFT(Cockpit!$I$5,1)="B",AP387,MAX(AP387,G387))))</f>
        <v>262</v>
      </c>
      <c r="AM387" s="57" t="n">
        <f aca="false">IF(BR387=1,0,ROUNDUP(AL387/BQ387,0))</f>
        <v>2</v>
      </c>
      <c r="AN387" s="59" t="n">
        <f aca="false">IF(CD387&gt;0,CD387*MAX(1,AL387/V387),IF(BR387=1,IF(AL387&lt;=0,0,BS387*MAX(1,IF(G387&gt;0,AL387/G387,1))),IF(Q387&gt;0,AM387/Q387,0))/MAX(0.1,N(Parameter!$M$21)))</f>
        <v>0.0151515151515152</v>
      </c>
      <c r="AO387" s="57" t="n">
        <f aca="false">AL387*F387</f>
        <v>403.48</v>
      </c>
      <c r="AP387" s="57" t="n">
        <f aca="false">ROUNDUP(MAX(I387/IF(BV387&gt;0,BV387,MAX(0.1,N(Cockpit!$I$6))),BY387)/BQ387,0)*BQ387</f>
        <v>262</v>
      </c>
      <c r="AQ387" s="58" t="n">
        <f aca="false">IF(AN387&gt;0,I387/AN387,-1)</f>
        <v>8514</v>
      </c>
      <c r="AR387" s="58" t="n">
        <f aca="false">IF(AND(OR(BU387="L1",BU387="L23"),AN387&gt;0),SUMIFS($AN$7:$AN$1576,$BU$7:$BU$1576,BU387,$AQ$7:$AQ$1576,"&gt;"&amp;AQ387)+SUMIFS($AN$7:$AN$1576,$BU$7:$BU$1576,BU387,$AQ$7:$AQ$1576,AQ387,$BO$7:$BO$1576,"&lt;="&amp;BO387),"")</f>
        <v>7.87619742576264</v>
      </c>
      <c r="AS387" s="65" t="n">
        <f aca="false">IF(AR387="",0,MAX(0,MIN(1,(IF(BU387="L1",Parameter!$E$5,Parameter!$E$6+Parameter!$E$7)-(AR387-AN387))/AN387)))</f>
        <v>1</v>
      </c>
      <c r="AT387" s="57" t="n">
        <f aca="false">IF(LEFT(Cockpit!$O$5,1)="A",G387,IF(BW387=1,BX387,IF(LEFT(Cockpit!$O$5,1)="B",AX387,MAX(AX387,G387))))</f>
        <v>262</v>
      </c>
      <c r="AU387" s="57" t="n">
        <f aca="false">IF(BR387=1,0,ROUNDUP(AT387/BQ387,0))</f>
        <v>2</v>
      </c>
      <c r="AV387" s="59" t="n">
        <f aca="false">IF(CD387&gt;0,CD387*MAX(1,AT387/V387),IF(BR387=1,IF(AT387&lt;=0,0,BS387*MAX(1,IF(G387&gt;0,AT387/G387,1))),IF(Q387&gt;0,AU387/Q387,0))/MAX(0.1,N(Parameter!$M$21)))</f>
        <v>0.0151515151515152</v>
      </c>
      <c r="AW387" s="57" t="n">
        <f aca="false">AT387*F387</f>
        <v>403.48</v>
      </c>
      <c r="AX387" s="57" t="n">
        <f aca="false">ROUNDUP(MAX(I387/IF(BV387&gt;0,BV387,MAX(0.1,N(Cockpit!$O$6))),BY387)/BQ387,0)*BQ387</f>
        <v>262</v>
      </c>
      <c r="AY387" s="58" t="n">
        <f aca="false">IF(AV387&gt;0,I387/AV387,-1)</f>
        <v>8514</v>
      </c>
      <c r="AZ387" s="58" t="n">
        <f aca="false">IF(AND(OR(BU387="L1",BU387="L23"),AV387&gt;0),SUMIFS($AV$7:$AV$1576,$BU$7:$BU$1576,BU387,$AY$7:$AY$1576,"&gt;"&amp;AY387)+SUMIFS($AV$7:$AV$1576,$BU$7:$BU$1576,BU387,$AY$7:$AY$1576,AY387,$BO$7:$BO$1576,"&lt;="&amp;BO387),"")</f>
        <v>7.89193169149691</v>
      </c>
      <c r="BA387" s="65" t="n">
        <f aca="false">IF(AZ387="",0,MAX(0,MIN(1,(IF(BU387="L1",Parameter!$E$5,Parameter!$E$6+Parameter!$E$7)-(AZ387-AV387))/AV387)))</f>
        <v>1</v>
      </c>
      <c r="BB387" s="55" t="str">
        <f aca="false">IF(AF387&lt;=0,"",IF(BU387="Aussen","Aussenlager",IF(BU387="-","Nicht im Lift",IF(AK387&gt;=1,"Lift",IF(AK387&lt;=0,"Aussenlager","teilweise")))))</f>
        <v>Lift</v>
      </c>
      <c r="BC387" s="55" t="str">
        <f aca="false">IF(AN387&lt;=0,"",IF(BU387="Aussen","Aussenlager",IF(BU387="-","Nicht im Lift",IF(AS387&gt;=1,"Lift",IF(AS387&lt;=0,"Aussenlager","teilweise")))))</f>
        <v>Lift</v>
      </c>
      <c r="BD387" s="55" t="str">
        <f aca="false">IF(AV387&lt;=0,"",IF(BU387="Aussen","Aussenlager",IF(BU387="-","Nicht im Lift",IF(BA387&gt;=1,"Lift",IF(BA387&lt;=0,"Aussenlager","teilweise")))))</f>
        <v>Lift</v>
      </c>
      <c r="BE387" s="55" t="str">
        <f aca="false">IF(A387="","",IF(BN387=1,"Neu; ","")&amp;IF(AND(BN387=0,BI387&lt;0),"negativer Bestand (Export "&amp;BI387&amp;"); ","")&amp;IF(I387&lt;=0,"Kein Verbrauch; ","")&amp;IF(CD387&gt;0,"Lift "&amp;U387&amp;" lt. Liftbericht (Fach "&amp;V387&amp;" Stk); ",IF(BR387=1,"Lose – Fläche geschätzt; ",""))&amp;IF(G387&gt;AP387,"Überbestand "&amp;ROUND(G387-AP387,0)&amp;" Stk / CHF "&amp;ROUND((G387-AP387)*F387,0)&amp;"; ","")&amp;IF(AND(BW387=1,BX387&lt;BY387),"MAX &lt; MB+LG; ","")&amp;IF(AND(CC387&gt;0,CB387*10&gt;CC387),"zu hoch für Tablar; ","")&amp;IF(AND(BN387=0,OR(BW387=1,Y387&lt;&gt;"",S387&lt;&gt;"",T387&lt;&gt;"",Z387&lt;&gt;"")),"manuell übersteuert; ","")&amp;IF(AND(BR387=0,Q387=0),"Gebinde unbekannt / Stellmass fehlt; ","")&amp;IF(AND(BR387=0,N(T387)&lt;=0,N(P387)&lt;=0),"Menge pro Gebinde fehlt (Ist = 1 Gebinde); ","")&amp;BM387)</f>
        <v/>
      </c>
      <c r="BF387" s="55"/>
      <c r="BG387" s="55"/>
      <c r="BH387" s="62"/>
      <c r="BI387" s="57" t="n">
        <v>84</v>
      </c>
      <c r="BJ387" s="57" t="n">
        <v>46</v>
      </c>
      <c r="BK387" s="56" t="n">
        <v>129.36</v>
      </c>
      <c r="BL387" s="57" t="n">
        <v>129</v>
      </c>
      <c r="BM387" s="55"/>
      <c r="BN387" s="60" t="n">
        <v>0</v>
      </c>
      <c r="BO387" s="60" t="n">
        <v>387</v>
      </c>
      <c r="BP387" s="55" t="str">
        <f aca="false">IF(S387&lt;&gt;"",UPPER(TRIM(S387)),IF(O387="","LOSE",O387))</f>
        <v>S32</v>
      </c>
      <c r="BQ387" s="57" t="n">
        <f aca="false">IF(BP387="LOSE",1,IF(N(T387)&gt;0,T387,IF(N(P387)&gt;0,P387,MAX(1,G387))))</f>
        <v>131</v>
      </c>
      <c r="BR387" s="60" t="n">
        <f aca="false">IF(BP387="LOSE",1,0)</f>
        <v>0</v>
      </c>
      <c r="BS387" s="59" t="n">
        <f aca="false">IF(BR387=0,0,IF(N(R387)&gt;0,R387,IFERROR(VLOOKUP(D387,Parameter!$A$35:$C$64,3,0)+0,0)))</f>
        <v>0</v>
      </c>
      <c r="BT387" s="55" t="n">
        <f aca="false">IF(Y387&lt;&gt;"",Y387,X387)</f>
        <v>3</v>
      </c>
      <c r="BU387" s="55" t="str">
        <f aca="false">IF(BT387=1,"L1",IF(OR(BT387=2,BT387=3),"L23",IF(BT387="Aussen","Aussen","-")))</f>
        <v>L23</v>
      </c>
      <c r="BV387" s="66" t="n">
        <f aca="false">IF(N(Z387)&gt;0,Z387,0)</f>
        <v>0</v>
      </c>
      <c r="BW387" s="60" t="n">
        <f aca="false">IF(ISNUMBER(AC387),1,0)</f>
        <v>0</v>
      </c>
      <c r="BX387" s="57" t="n">
        <f aca="false">N(AC387)</f>
        <v>0</v>
      </c>
      <c r="BY387" s="57" t="n">
        <f aca="false">N(L387)+N(M387)</f>
        <v>137</v>
      </c>
      <c r="BZ387" s="57" t="n">
        <f aca="false">ROUNDUP(G387/BQ387,0)</f>
        <v>1</v>
      </c>
      <c r="CA387" s="57" t="n">
        <f aca="false">ROUNDUP(BX387/BQ387,0)</f>
        <v>0</v>
      </c>
      <c r="CB387" s="60" t="n">
        <f aca="false">IF(BR387=1,0,IFERROR(VLOOKUP(BP387,'Gebinde-Kategorie'!$A$5:$M$45,5,0)+0,0))</f>
        <v>8</v>
      </c>
      <c r="CC387" s="60" t="n">
        <f aca="false">IFERROR(IF(OR(BT387=1,BT387=2,BT387=3),N(INDEX(Parameter!$I$5:$I$7,BT387)),0),0)</f>
        <v>0</v>
      </c>
      <c r="CD387" s="59" t="n">
        <f aca="false">IF(AND(Parameter!$B$21="Ja",ISNUMBER(U387),N(V387)&gt;0),IFERROR(N(INDEX(Parameter!$L$5:$L$7,U387))*INDEX(Parameter!$E$5:$E$7,U387)*V387/SUMIFS($V$7:$V$1576,$U$7:$U$1576,U387),0),0)</f>
        <v>0</v>
      </c>
    </row>
    <row r="388" customFormat="false" ht="15" hidden="false" customHeight="false" outlineLevel="0" collapsed="false">
      <c r="A388" s="55" t="s">
        <v>907</v>
      </c>
      <c r="B388" s="55" t="s">
        <v>395</v>
      </c>
      <c r="C388" s="55" t="s">
        <v>160</v>
      </c>
      <c r="D388" s="55" t="s">
        <v>178</v>
      </c>
      <c r="E388" s="55" t="s">
        <v>210</v>
      </c>
      <c r="F388" s="56" t="n">
        <v>0.6</v>
      </c>
      <c r="G388" s="57" t="n">
        <f aca="false">MAX(0,IF(AND(Parameter!$B$21="Ja",ISNUMBER(W388)),W388,IF(Parameter!$B$20="Jahresanfang 2025 + Export",BJ388+BI388,BI388)))</f>
        <v>210</v>
      </c>
      <c r="H388" s="57" t="n">
        <f aca="false">G388*F388</f>
        <v>126</v>
      </c>
      <c r="I388" s="57" t="n">
        <f aca="false">BL388*Parameter!$B$18</f>
        <v>605</v>
      </c>
      <c r="J388" s="58" t="n">
        <v>279</v>
      </c>
      <c r="K388" s="59" t="n">
        <v>2.16845878136201</v>
      </c>
      <c r="L388" s="57" t="n">
        <v>35</v>
      </c>
      <c r="M388" s="57" t="n">
        <v>500</v>
      </c>
      <c r="N388" s="60" t="n">
        <v>21</v>
      </c>
      <c r="O388" s="55" t="s">
        <v>319</v>
      </c>
      <c r="P388" s="57" t="n">
        <v>620</v>
      </c>
      <c r="Q388" s="60" t="n">
        <f aca="false">IF(BR388=1,0,IFERROR(VLOOKUP(BP388,'Gebinde-Kategorie'!$A$5:$M$45,13,0)+0,0))</f>
        <v>52</v>
      </c>
      <c r="R388" s="61"/>
      <c r="S388" s="62"/>
      <c r="T388" s="62"/>
      <c r="U388" s="55"/>
      <c r="V388" s="57"/>
      <c r="W388" s="57"/>
      <c r="X388" s="55" t="n">
        <f aca="false">IF(A388="","",IF(AND(Parameter!$B$21="Ja",ISNUMBER(U388)),U388,IF(IFERROR(VLOOKUP(D388,Parameter!$A$35:$C$64,2,0),"Nein")="2+3",IF(ISNUMBER(SEARCH("grosser Artikel",BM388)),2,IFERROR(VLOOKUP(BP388,Parameter!$F$35:$G$64,2,0),2)),IF(OR(IFERROR(VLOOKUP(D388,Parameter!$A$35:$C$64,2,0),"Nein")="Nein",IFERROR(VLOOKUP(D388,Parameter!$A$35:$C$64,2,0),"Nein")=""),"-",VLOOKUP(D388,Parameter!$A$35:$C$64,2,0)))))</f>
        <v>3</v>
      </c>
      <c r="Y388" s="62"/>
      <c r="Z388" s="63"/>
      <c r="AA388" s="57" t="n">
        <f aca="false">AP388</f>
        <v>620</v>
      </c>
      <c r="AB388" s="57" t="n">
        <f aca="false">MAX(AP388,G388)</f>
        <v>620</v>
      </c>
      <c r="AC388" s="64"/>
      <c r="AD388" s="57" t="n">
        <f aca="false">IF(LEFT(Cockpit!$C$5,1)="A",G388,IF(BW388=1,BX388,IF(LEFT(Cockpit!$C$5,1)="B",AH388,MAX(AH388,G388))))</f>
        <v>210</v>
      </c>
      <c r="AE388" s="57" t="n">
        <f aca="false">IF(BR388=1,0,ROUNDUP(AD388/BQ388,0))</f>
        <v>1</v>
      </c>
      <c r="AF388" s="59" t="n">
        <f aca="false">IF(CD388&gt;0,CD388*MAX(1,AD388/V388),IF(BR388=1,IF(AD388&lt;=0,0,BS388*MAX(1,IF(G388&gt;0,AD388/G388,1))),IF(Q388&gt;0,AE388/Q388,0))/MAX(0.1,N(Parameter!$M$21)))</f>
        <v>0.0192307692307692</v>
      </c>
      <c r="AG388" s="57" t="n">
        <f aca="false">AD388*F388</f>
        <v>126</v>
      </c>
      <c r="AH388" s="57" t="n">
        <f aca="false">ROUNDUP(MAX(I388/IF(BV388&gt;0,BV388,MAX(0.1,N(Cockpit!$C$6))),BY388)/BQ388,0)*BQ388</f>
        <v>620</v>
      </c>
      <c r="AI388" s="58" t="n">
        <f aca="false">IF(AF388&gt;0,I388/AF388,-1)</f>
        <v>31460</v>
      </c>
      <c r="AJ388" s="58" t="n">
        <f aca="false">IF(AND(OR(BU388="L1",BU388="L23"),AF388&gt;0),SUMIFS($AF$7:$AF$1576,$BU$7:$BU$1576,BU388,$AI$7:$AI$1576,"&gt;"&amp;AI388)+SUMIFS($AF$7:$AF$1576,$BU$7:$BU$1576,BU388,$AI$7:$AI$1576,AI388,$BO$7:$BO$1576,"&lt;="&amp;BO388),"")</f>
        <v>1.43224891050978</v>
      </c>
      <c r="AK388" s="65" t="n">
        <f aca="false">IF(AJ388="",0,MAX(0,MIN(1,(IF(BU388="L1",Parameter!$E$5,Parameter!$E$6+Parameter!$E$7)-(AJ388-AF388))/AF388)))</f>
        <v>1</v>
      </c>
      <c r="AL388" s="57" t="n">
        <f aca="false">IF(LEFT(Cockpit!$I$5,1)="A",G388,IF(BW388=1,BX388,IF(LEFT(Cockpit!$I$5,1)="B",AP388,MAX(AP388,G388))))</f>
        <v>620</v>
      </c>
      <c r="AM388" s="57" t="n">
        <f aca="false">IF(BR388=1,0,ROUNDUP(AL388/BQ388,0))</f>
        <v>1</v>
      </c>
      <c r="AN388" s="59" t="n">
        <f aca="false">IF(CD388&gt;0,CD388*MAX(1,AL388/V388),IF(BR388=1,IF(AL388&lt;=0,0,BS388*MAX(1,IF(G388&gt;0,AL388/G388,1))),IF(Q388&gt;0,AM388/Q388,0))/MAX(0.1,N(Parameter!$M$21)))</f>
        <v>0.0192307692307692</v>
      </c>
      <c r="AO388" s="57" t="n">
        <f aca="false">AL388*F388</f>
        <v>372</v>
      </c>
      <c r="AP388" s="57" t="n">
        <f aca="false">ROUNDUP(MAX(I388/IF(BV388&gt;0,BV388,MAX(0.1,N(Cockpit!$I$6))),BY388)/BQ388,0)*BQ388</f>
        <v>620</v>
      </c>
      <c r="AQ388" s="58" t="n">
        <f aca="false">IF(AN388&gt;0,I388/AN388,-1)</f>
        <v>31460</v>
      </c>
      <c r="AR388" s="58" t="n">
        <f aca="false">IF(AND(OR(BU388="L1",BU388="L23"),AN388&gt;0),SUMIFS($AN$7:$AN$1576,$BU$7:$BU$1576,BU388,$AQ$7:$AQ$1576,"&gt;"&amp;AQ388)+SUMIFS($AN$7:$AN$1576,$BU$7:$BU$1576,BU388,$AQ$7:$AQ$1576,AQ388,$BO$7:$BO$1576,"&lt;="&amp;BO388),"")</f>
        <v>2.70221816830512</v>
      </c>
      <c r="AS388" s="65" t="n">
        <f aca="false">IF(AR388="",0,MAX(0,MIN(1,(IF(BU388="L1",Parameter!$E$5,Parameter!$E$6+Parameter!$E$7)-(AR388-AN388))/AN388)))</f>
        <v>1</v>
      </c>
      <c r="AT388" s="57" t="n">
        <f aca="false">IF(LEFT(Cockpit!$O$5,1)="A",G388,IF(BW388=1,BX388,IF(LEFT(Cockpit!$O$5,1)="B",AX388,MAX(AX388,G388))))</f>
        <v>620</v>
      </c>
      <c r="AU388" s="57" t="n">
        <f aca="false">IF(BR388=1,0,ROUNDUP(AT388/BQ388,0))</f>
        <v>1</v>
      </c>
      <c r="AV388" s="59" t="n">
        <f aca="false">IF(CD388&gt;0,CD388*MAX(1,AT388/V388),IF(BR388=1,IF(AT388&lt;=0,0,BS388*MAX(1,IF(G388&gt;0,AT388/G388,1))),IF(Q388&gt;0,AU388/Q388,0))/MAX(0.1,N(Parameter!$M$21)))</f>
        <v>0.0192307692307692</v>
      </c>
      <c r="AW388" s="57" t="n">
        <f aca="false">AT388*F388</f>
        <v>372</v>
      </c>
      <c r="AX388" s="57" t="n">
        <f aca="false">ROUNDUP(MAX(I388/IF(BV388&gt;0,BV388,MAX(0.1,N(Cockpit!$O$6))),BY388)/BQ388,0)*BQ388</f>
        <v>620</v>
      </c>
      <c r="AY388" s="58" t="n">
        <f aca="false">IF(AV388&gt;0,I388/AV388,-1)</f>
        <v>31460</v>
      </c>
      <c r="AZ388" s="58" t="n">
        <f aca="false">IF(AND(OR(BU388="L1",BU388="L23"),AV388&gt;0),SUMIFS($AV$7:$AV$1576,$BU$7:$BU$1576,BU388,$AY$7:$AY$1576,"&gt;"&amp;AY388)+SUMIFS($AV$7:$AV$1576,$BU$7:$BU$1576,BU388,$AY$7:$AY$1576,AY388,$BO$7:$BO$1576,"&lt;="&amp;BO388),"")</f>
        <v>2.50874497483193</v>
      </c>
      <c r="BA388" s="65" t="n">
        <f aca="false">IF(AZ388="",0,MAX(0,MIN(1,(IF(BU388="L1",Parameter!$E$5,Parameter!$E$6+Parameter!$E$7)-(AZ388-AV388))/AV388)))</f>
        <v>1</v>
      </c>
      <c r="BB388" s="55" t="str">
        <f aca="false">IF(AF388&lt;=0,"",IF(BU388="Aussen","Aussenlager",IF(BU388="-","Nicht im Lift",IF(AK388&gt;=1,"Lift",IF(AK388&lt;=0,"Aussenlager","teilweise")))))</f>
        <v>Lift</v>
      </c>
      <c r="BC388" s="55" t="str">
        <f aca="false">IF(AN388&lt;=0,"",IF(BU388="Aussen","Aussenlager",IF(BU388="-","Nicht im Lift",IF(AS388&gt;=1,"Lift",IF(AS388&lt;=0,"Aussenlager","teilweise")))))</f>
        <v>Lift</v>
      </c>
      <c r="BD388" s="55" t="str">
        <f aca="false">IF(AV388&lt;=0,"",IF(BU388="Aussen","Aussenlager",IF(BU388="-","Nicht im Lift",IF(BA388&gt;=1,"Lift",IF(BA388&lt;=0,"Aussenlager","teilweise")))))</f>
        <v>Lift</v>
      </c>
      <c r="BE388" s="55" t="str">
        <f aca="false">IF(A388="","",IF(BN388=1,"Neu; ","")&amp;IF(AND(BN388=0,BI388&lt;0),"negativer Bestand (Export "&amp;BI388&amp;"); ","")&amp;IF(I388&lt;=0,"Kein Verbrauch; ","")&amp;IF(CD388&gt;0,"Lift "&amp;U388&amp;" lt. Liftbericht (Fach "&amp;V388&amp;" Stk); ",IF(BR388=1,"Lose – Fläche geschätzt; ",""))&amp;IF(G388&gt;AP388,"Überbestand "&amp;ROUND(G388-AP388,0)&amp;" Stk / CHF "&amp;ROUND((G388-AP388)*F388,0)&amp;"; ","")&amp;IF(AND(BW388=1,BX388&lt;BY388),"MAX &lt; MB+LG; ","")&amp;IF(AND(CC388&gt;0,CB388*10&gt;CC388),"zu hoch für Tablar; ","")&amp;IF(AND(BN388=0,OR(BW388=1,Y388&lt;&gt;"",S388&lt;&gt;"",T388&lt;&gt;"",Z388&lt;&gt;"")),"manuell übersteuert; ","")&amp;IF(AND(BR388=0,Q388=0),"Gebinde unbekannt / Stellmass fehlt; ","")&amp;IF(AND(BR388=0,N(T388)&lt;=0,N(P388)&lt;=0),"Menge pro Gebinde fehlt (Ist = 1 Gebinde); ","")&amp;BM388)</f>
        <v/>
      </c>
      <c r="BF388" s="55"/>
      <c r="BG388" s="55"/>
      <c r="BH388" s="62"/>
      <c r="BI388" s="57" t="n">
        <v>210</v>
      </c>
      <c r="BJ388" s="57" t="n">
        <v>204</v>
      </c>
      <c r="BK388" s="56" t="n">
        <v>128.04</v>
      </c>
      <c r="BL388" s="57" t="n">
        <v>605</v>
      </c>
      <c r="BM388" s="55"/>
      <c r="BN388" s="60" t="n">
        <v>0</v>
      </c>
      <c r="BO388" s="60" t="n">
        <v>388</v>
      </c>
      <c r="BP388" s="55" t="str">
        <f aca="false">IF(S388&lt;&gt;"",UPPER(TRIM(S388)),IF(O388="","LOSE",O388))</f>
        <v>S41</v>
      </c>
      <c r="BQ388" s="57" t="n">
        <f aca="false">IF(BP388="LOSE",1,IF(N(T388)&gt;0,T388,IF(N(P388)&gt;0,P388,MAX(1,G388))))</f>
        <v>620</v>
      </c>
      <c r="BR388" s="60" t="n">
        <f aca="false">IF(BP388="LOSE",1,0)</f>
        <v>0</v>
      </c>
      <c r="BS388" s="59" t="n">
        <f aca="false">IF(BR388=0,0,IF(N(R388)&gt;0,R388,IFERROR(VLOOKUP(D388,Parameter!$A$35:$C$64,3,0)+0,0)))</f>
        <v>0</v>
      </c>
      <c r="BT388" s="55" t="n">
        <f aca="false">IF(Y388&lt;&gt;"",Y388,X388)</f>
        <v>3</v>
      </c>
      <c r="BU388" s="55" t="str">
        <f aca="false">IF(BT388=1,"L1",IF(OR(BT388=2,BT388=3),"L23",IF(BT388="Aussen","Aussen","-")))</f>
        <v>L23</v>
      </c>
      <c r="BV388" s="66" t="n">
        <f aca="false">IF(N(Z388)&gt;0,Z388,0)</f>
        <v>0</v>
      </c>
      <c r="BW388" s="60" t="n">
        <f aca="false">IF(ISNUMBER(AC388),1,0)</f>
        <v>0</v>
      </c>
      <c r="BX388" s="57" t="n">
        <f aca="false">N(AC388)</f>
        <v>0</v>
      </c>
      <c r="BY388" s="57" t="n">
        <f aca="false">N(L388)+N(M388)</f>
        <v>535</v>
      </c>
      <c r="BZ388" s="57" t="n">
        <f aca="false">ROUNDUP(G388/BQ388,0)</f>
        <v>1</v>
      </c>
      <c r="CA388" s="57" t="n">
        <f aca="false">ROUNDUP(BX388/BQ388,0)</f>
        <v>0</v>
      </c>
      <c r="CB388" s="60" t="n">
        <f aca="false">IF(BR388=1,0,IFERROR(VLOOKUP(BP388,'Gebinde-Kategorie'!$A$5:$M$45,5,0)+0,0))</f>
        <v>11</v>
      </c>
      <c r="CC388" s="60" t="n">
        <f aca="false">IFERROR(IF(OR(BT388=1,BT388=2,BT388=3),N(INDEX(Parameter!$I$5:$I$7,BT388)),0),0)</f>
        <v>0</v>
      </c>
      <c r="CD388" s="59" t="n">
        <f aca="false">IF(AND(Parameter!$B$21="Ja",ISNUMBER(U388),N(V388)&gt;0),IFERROR(N(INDEX(Parameter!$L$5:$L$7,U388))*INDEX(Parameter!$E$5:$E$7,U388)*V388/SUMIFS($V$7:$V$1576,$U$7:$U$1576,U388),0),0)</f>
        <v>0</v>
      </c>
    </row>
    <row r="389" customFormat="false" ht="15" hidden="false" customHeight="false" outlineLevel="0" collapsed="false">
      <c r="A389" s="55" t="s">
        <v>908</v>
      </c>
      <c r="B389" s="55" t="s">
        <v>490</v>
      </c>
      <c r="C389" s="55" t="s">
        <v>160</v>
      </c>
      <c r="D389" s="55" t="s">
        <v>178</v>
      </c>
      <c r="E389" s="55" t="s">
        <v>210</v>
      </c>
      <c r="F389" s="56" t="n">
        <v>8.3</v>
      </c>
      <c r="G389" s="57" t="n">
        <f aca="false">MAX(0,IF(AND(Parameter!$B$21="Ja",ISNUMBER(W389)),W389,IF(Parameter!$B$20="Jahresanfang 2025 + Export",BJ389+BI389,BI389)))</f>
        <v>22</v>
      </c>
      <c r="H389" s="57" t="n">
        <f aca="false">G389*F389</f>
        <v>182.6</v>
      </c>
      <c r="I389" s="57" t="n">
        <f aca="false">BL389*Parameter!$B$18</f>
        <v>46</v>
      </c>
      <c r="J389" s="58" t="n">
        <v>14</v>
      </c>
      <c r="K389" s="59" t="n">
        <v>3.28571428571429</v>
      </c>
      <c r="L389" s="57" t="n">
        <v>3</v>
      </c>
      <c r="M389" s="57" t="n">
        <v>50</v>
      </c>
      <c r="N389" s="60" t="n">
        <v>28</v>
      </c>
      <c r="O389" s="55" t="s">
        <v>319</v>
      </c>
      <c r="P389" s="57" t="n">
        <v>27</v>
      </c>
      <c r="Q389" s="60" t="n">
        <f aca="false">IF(BR389=1,0,IFERROR(VLOOKUP(BP389,'Gebinde-Kategorie'!$A$5:$M$45,13,0)+0,0))</f>
        <v>52</v>
      </c>
      <c r="R389" s="61"/>
      <c r="S389" s="62"/>
      <c r="T389" s="62"/>
      <c r="U389" s="55"/>
      <c r="V389" s="57"/>
      <c r="W389" s="57"/>
      <c r="X389" s="55" t="n">
        <f aca="false">IF(A389="","",IF(AND(Parameter!$B$21="Ja",ISNUMBER(U389)),U389,IF(IFERROR(VLOOKUP(D389,Parameter!$A$35:$C$64,2,0),"Nein")="2+3",IF(ISNUMBER(SEARCH("grosser Artikel",BM389)),2,IFERROR(VLOOKUP(BP389,Parameter!$F$35:$G$64,2,0),2)),IF(OR(IFERROR(VLOOKUP(D389,Parameter!$A$35:$C$64,2,0),"Nein")="Nein",IFERROR(VLOOKUP(D389,Parameter!$A$35:$C$64,2,0),"Nein")=""),"-",VLOOKUP(D389,Parameter!$A$35:$C$64,2,0)))))</f>
        <v>3</v>
      </c>
      <c r="Y389" s="62"/>
      <c r="Z389" s="63"/>
      <c r="AA389" s="57" t="n">
        <f aca="false">AP389</f>
        <v>54</v>
      </c>
      <c r="AB389" s="57" t="n">
        <f aca="false">MAX(AP389,G389)</f>
        <v>54</v>
      </c>
      <c r="AC389" s="64"/>
      <c r="AD389" s="57" t="n">
        <f aca="false">IF(LEFT(Cockpit!$C$5,1)="A",G389,IF(BW389=1,BX389,IF(LEFT(Cockpit!$C$5,1)="B",AH389,MAX(AH389,G389))))</f>
        <v>22</v>
      </c>
      <c r="AE389" s="57" t="n">
        <f aca="false">IF(BR389=1,0,ROUNDUP(AD389/BQ389,0))</f>
        <v>1</v>
      </c>
      <c r="AF389" s="59" t="n">
        <f aca="false">IF(CD389&gt;0,CD389*MAX(1,AD389/V389),IF(BR389=1,IF(AD389&lt;=0,0,BS389*MAX(1,IF(G389&gt;0,AD389/G389,1))),IF(Q389&gt;0,AE389/Q389,0))/MAX(0.1,N(Parameter!$M$21)))</f>
        <v>0.0192307692307692</v>
      </c>
      <c r="AG389" s="57" t="n">
        <f aca="false">AD389*F389</f>
        <v>182.6</v>
      </c>
      <c r="AH389" s="57" t="n">
        <f aca="false">ROUNDUP(MAX(I389/IF(BV389&gt;0,BV389,MAX(0.1,N(Cockpit!$C$6))),BY389)/BQ389,0)*BQ389</f>
        <v>54</v>
      </c>
      <c r="AI389" s="58" t="n">
        <f aca="false">IF(AF389&gt;0,I389/AF389,-1)</f>
        <v>2392</v>
      </c>
      <c r="AJ389" s="58" t="n">
        <f aca="false">IF(AND(OR(BU389="L1",BU389="L23"),AF389&gt;0),SUMIFS($AF$7:$AF$1576,$BU$7:$BU$1576,BU389,$AI$7:$AI$1576,"&gt;"&amp;AI389)+SUMIFS($AF$7:$AF$1576,$BU$7:$BU$1576,BU389,$AI$7:$AI$1576,AI389,$BO$7:$BO$1576,"&lt;="&amp;BO389),"")</f>
        <v>5.89896760244586</v>
      </c>
      <c r="AK389" s="65" t="n">
        <f aca="false">IF(AJ389="",0,MAX(0,MIN(1,(IF(BU389="L1",Parameter!$E$5,Parameter!$E$6+Parameter!$E$7)-(AJ389-AF389))/AF389)))</f>
        <v>1</v>
      </c>
      <c r="AL389" s="57" t="n">
        <f aca="false">IF(LEFT(Cockpit!$I$5,1)="A",G389,IF(BW389=1,BX389,IF(LEFT(Cockpit!$I$5,1)="B",AP389,MAX(AP389,G389))))</f>
        <v>54</v>
      </c>
      <c r="AM389" s="57" t="n">
        <f aca="false">IF(BR389=1,0,ROUNDUP(AL389/BQ389,0))</f>
        <v>2</v>
      </c>
      <c r="AN389" s="59" t="n">
        <f aca="false">IF(CD389&gt;0,CD389*MAX(1,AL389/V389),IF(BR389=1,IF(AL389&lt;=0,0,BS389*MAX(1,IF(G389&gt;0,AL389/G389,1))),IF(Q389&gt;0,AM389/Q389,0))/MAX(0.1,N(Parameter!$M$21)))</f>
        <v>0.0384615384615385</v>
      </c>
      <c r="AO389" s="57" t="n">
        <f aca="false">AL389*F389</f>
        <v>448.2</v>
      </c>
      <c r="AP389" s="57" t="n">
        <f aca="false">ROUNDUP(MAX(I389/IF(BV389&gt;0,BV389,MAX(0.1,N(Cockpit!$I$6))),BY389)/BQ389,0)*BQ389</f>
        <v>54</v>
      </c>
      <c r="AQ389" s="58" t="n">
        <f aca="false">IF(AN389&gt;0,I389/AN389,-1)</f>
        <v>1196</v>
      </c>
      <c r="AR389" s="58" t="n">
        <f aca="false">IF(AND(OR(BU389="L1",BU389="L23"),AN389&gt;0),SUMIFS($AN$7:$AN$1576,$BU$7:$BU$1576,BU389,$AQ$7:$AQ$1576,"&gt;"&amp;AQ389)+SUMIFS($AN$7:$AN$1576,$BU$7:$BU$1576,BU389,$AQ$7:$AQ$1576,AQ389,$BO$7:$BO$1576,"&lt;="&amp;BO389),"")</f>
        <v>21.0724015721953</v>
      </c>
      <c r="AS389" s="65" t="n">
        <f aca="false">IF(AR389="",0,MAX(0,MIN(1,(IF(BU389="L1",Parameter!$E$5,Parameter!$E$6+Parameter!$E$7)-(AR389-AN389))/AN389)))</f>
        <v>1</v>
      </c>
      <c r="AT389" s="57" t="n">
        <f aca="false">IF(LEFT(Cockpit!$O$5,1)="A",G389,IF(BW389=1,BX389,IF(LEFT(Cockpit!$O$5,1)="B",AX389,MAX(AX389,G389))))</f>
        <v>54</v>
      </c>
      <c r="AU389" s="57" t="n">
        <f aca="false">IF(BR389=1,0,ROUNDUP(AT389/BQ389,0))</f>
        <v>2</v>
      </c>
      <c r="AV389" s="59" t="n">
        <f aca="false">IF(CD389&gt;0,CD389*MAX(1,AT389/V389),IF(BR389=1,IF(AT389&lt;=0,0,BS389*MAX(1,IF(G389&gt;0,AT389/G389,1))),IF(Q389&gt;0,AU389/Q389,0))/MAX(0.1,N(Parameter!$M$21)))</f>
        <v>0.0384615384615385</v>
      </c>
      <c r="AW389" s="57" t="n">
        <f aca="false">AT389*F389</f>
        <v>448.2</v>
      </c>
      <c r="AX389" s="57" t="n">
        <f aca="false">ROUNDUP(MAX(I389/IF(BV389&gt;0,BV389,MAX(0.1,N(Cockpit!$O$6))),BY389)/BQ389,0)*BQ389</f>
        <v>54</v>
      </c>
      <c r="AY389" s="58" t="n">
        <f aca="false">IF(AV389&gt;0,I389/AV389,-1)</f>
        <v>1196</v>
      </c>
      <c r="AZ389" s="58" t="n">
        <f aca="false">IF(AND(OR(BU389="L1",BU389="L23"),AV389&gt;0),SUMIFS($AV$7:$AV$1576,$BU$7:$BU$1576,BU389,$AY$7:$AY$1576,"&gt;"&amp;AY389)+SUMIFS($AV$7:$AV$1576,$BU$7:$BU$1576,BU389,$AY$7:$AY$1576,AY389,$BO$7:$BO$1576,"&lt;="&amp;BO389),"")</f>
        <v>20.1330076328014</v>
      </c>
      <c r="BA389" s="65" t="n">
        <f aca="false">IF(AZ389="",0,MAX(0,MIN(1,(IF(BU389="L1",Parameter!$E$5,Parameter!$E$6+Parameter!$E$7)-(AZ389-AV389))/AV389)))</f>
        <v>1</v>
      </c>
      <c r="BB389" s="55" t="str">
        <f aca="false">IF(AF389&lt;=0,"",IF(BU389="Aussen","Aussenlager",IF(BU389="-","Nicht im Lift",IF(AK389&gt;=1,"Lift",IF(AK389&lt;=0,"Aussenlager","teilweise")))))</f>
        <v>Lift</v>
      </c>
      <c r="BC389" s="55" t="str">
        <f aca="false">IF(AN389&lt;=0,"",IF(BU389="Aussen","Aussenlager",IF(BU389="-","Nicht im Lift",IF(AS389&gt;=1,"Lift",IF(AS389&lt;=0,"Aussenlager","teilweise")))))</f>
        <v>Lift</v>
      </c>
      <c r="BD389" s="55" t="str">
        <f aca="false">IF(AV389&lt;=0,"",IF(BU389="Aussen","Aussenlager",IF(BU389="-","Nicht im Lift",IF(BA389&gt;=1,"Lift",IF(BA389&lt;=0,"Aussenlager","teilweise")))))</f>
        <v>Lift</v>
      </c>
      <c r="BE389" s="55" t="str">
        <f aca="false">IF(A389="","",IF(BN389=1,"Neu; ","")&amp;IF(AND(BN389=0,BI389&lt;0),"negativer Bestand (Export "&amp;BI389&amp;"); ","")&amp;IF(I389&lt;=0,"Kein Verbrauch; ","")&amp;IF(CD389&gt;0,"Lift "&amp;U389&amp;" lt. Liftbericht (Fach "&amp;V389&amp;" Stk); ",IF(BR389=1,"Lose – Fläche geschätzt; ",""))&amp;IF(G389&gt;AP389,"Überbestand "&amp;ROUND(G389-AP389,0)&amp;" Stk / CHF "&amp;ROUND((G389-AP389)*F389,0)&amp;"; ","")&amp;IF(AND(BW389=1,BX389&lt;BY389),"MAX &lt; MB+LG; ","")&amp;IF(AND(CC389&gt;0,CB389*10&gt;CC389),"zu hoch für Tablar; ","")&amp;IF(AND(BN389=0,OR(BW389=1,Y389&lt;&gt;"",S389&lt;&gt;"",T389&lt;&gt;"",Z389&lt;&gt;"")),"manuell übersteuert; ","")&amp;IF(AND(BR389=0,Q389=0),"Gebinde unbekannt / Stellmass fehlt; ","")&amp;IF(AND(BR389=0,N(T389)&lt;=0,N(P389)&lt;=0),"Menge pro Gebinde fehlt (Ist = 1 Gebinde); ","")&amp;BM389)</f>
        <v/>
      </c>
      <c r="BF389" s="55"/>
      <c r="BG389" s="55"/>
      <c r="BH389" s="62"/>
      <c r="BI389" s="57" t="n">
        <v>22</v>
      </c>
      <c r="BJ389" s="57" t="n">
        <v>12</v>
      </c>
      <c r="BK389" s="56" t="n">
        <v>127.28</v>
      </c>
      <c r="BL389" s="57" t="n">
        <v>46</v>
      </c>
      <c r="BM389" s="55"/>
      <c r="BN389" s="60" t="n">
        <v>0</v>
      </c>
      <c r="BO389" s="60" t="n">
        <v>389</v>
      </c>
      <c r="BP389" s="55" t="str">
        <f aca="false">IF(S389&lt;&gt;"",UPPER(TRIM(S389)),IF(O389="","LOSE",O389))</f>
        <v>S41</v>
      </c>
      <c r="BQ389" s="57" t="n">
        <f aca="false">IF(BP389="LOSE",1,IF(N(T389)&gt;0,T389,IF(N(P389)&gt;0,P389,MAX(1,G389))))</f>
        <v>27</v>
      </c>
      <c r="BR389" s="60" t="n">
        <f aca="false">IF(BP389="LOSE",1,0)</f>
        <v>0</v>
      </c>
      <c r="BS389" s="59" t="n">
        <f aca="false">IF(BR389=0,0,IF(N(R389)&gt;0,R389,IFERROR(VLOOKUP(D389,Parameter!$A$35:$C$64,3,0)+0,0)))</f>
        <v>0</v>
      </c>
      <c r="BT389" s="55" t="n">
        <f aca="false">IF(Y389&lt;&gt;"",Y389,X389)</f>
        <v>3</v>
      </c>
      <c r="BU389" s="55" t="str">
        <f aca="false">IF(BT389=1,"L1",IF(OR(BT389=2,BT389=3),"L23",IF(BT389="Aussen","Aussen","-")))</f>
        <v>L23</v>
      </c>
      <c r="BV389" s="66" t="n">
        <f aca="false">IF(N(Z389)&gt;0,Z389,0)</f>
        <v>0</v>
      </c>
      <c r="BW389" s="60" t="n">
        <f aca="false">IF(ISNUMBER(AC389),1,0)</f>
        <v>0</v>
      </c>
      <c r="BX389" s="57" t="n">
        <f aca="false">N(AC389)</f>
        <v>0</v>
      </c>
      <c r="BY389" s="57" t="n">
        <f aca="false">N(L389)+N(M389)</f>
        <v>53</v>
      </c>
      <c r="BZ389" s="57" t="n">
        <f aca="false">ROUNDUP(G389/BQ389,0)</f>
        <v>1</v>
      </c>
      <c r="CA389" s="57" t="n">
        <f aca="false">ROUNDUP(BX389/BQ389,0)</f>
        <v>0</v>
      </c>
      <c r="CB389" s="60" t="n">
        <f aca="false">IF(BR389=1,0,IFERROR(VLOOKUP(BP389,'Gebinde-Kategorie'!$A$5:$M$45,5,0)+0,0))</f>
        <v>11</v>
      </c>
      <c r="CC389" s="60" t="n">
        <f aca="false">IFERROR(IF(OR(BT389=1,BT389=2,BT389=3),N(INDEX(Parameter!$I$5:$I$7,BT389)),0),0)</f>
        <v>0</v>
      </c>
      <c r="CD389" s="59" t="n">
        <f aca="false">IF(AND(Parameter!$B$21="Ja",ISNUMBER(U389),N(V389)&gt;0),IFERROR(N(INDEX(Parameter!$L$5:$L$7,U389))*INDEX(Parameter!$E$5:$E$7,U389)*V389/SUMIFS($V$7:$V$1576,$U$7:$U$1576,U389),0),0)</f>
        <v>0</v>
      </c>
    </row>
    <row r="390" customFormat="false" ht="15" hidden="false" customHeight="false" outlineLevel="0" collapsed="false">
      <c r="A390" s="55" t="s">
        <v>909</v>
      </c>
      <c r="B390" s="55" t="s">
        <v>910</v>
      </c>
      <c r="C390" s="55" t="s">
        <v>160</v>
      </c>
      <c r="D390" s="55" t="s">
        <v>178</v>
      </c>
      <c r="E390" s="55" t="s">
        <v>210</v>
      </c>
      <c r="F390" s="56" t="n">
        <v>3.81</v>
      </c>
      <c r="G390" s="57" t="n">
        <f aca="false">MAX(0,IF(AND(Parameter!$B$21="Ja",ISNUMBER(W390)),W390,IF(Parameter!$B$20="Jahresanfang 2025 + Export",BJ390+BI390,BI390)))</f>
        <v>32</v>
      </c>
      <c r="H390" s="57" t="n">
        <f aca="false">G390*F390</f>
        <v>121.92</v>
      </c>
      <c r="I390" s="57" t="n">
        <f aca="false">BL390*Parameter!$B$18</f>
        <v>29</v>
      </c>
      <c r="J390" s="58" t="n">
        <v>74.5</v>
      </c>
      <c r="K390" s="59" t="n">
        <v>0.389261744966443</v>
      </c>
      <c r="L390" s="57" t="n">
        <v>2</v>
      </c>
      <c r="M390" s="57" t="n">
        <v>100</v>
      </c>
      <c r="N390" s="60" t="n">
        <v>28</v>
      </c>
      <c r="O390" s="55" t="s">
        <v>319</v>
      </c>
      <c r="P390" s="57" t="n">
        <v>128</v>
      </c>
      <c r="Q390" s="60" t="n">
        <f aca="false">IF(BR390=1,0,IFERROR(VLOOKUP(BP390,'Gebinde-Kategorie'!$A$5:$M$45,13,0)+0,0))</f>
        <v>52</v>
      </c>
      <c r="R390" s="61"/>
      <c r="S390" s="62"/>
      <c r="T390" s="62"/>
      <c r="U390" s="55"/>
      <c r="V390" s="57"/>
      <c r="W390" s="57"/>
      <c r="X390" s="55" t="n">
        <f aca="false">IF(A390="","",IF(AND(Parameter!$B$21="Ja",ISNUMBER(U390)),U390,IF(IFERROR(VLOOKUP(D390,Parameter!$A$35:$C$64,2,0),"Nein")="2+3",IF(ISNUMBER(SEARCH("grosser Artikel",BM390)),2,IFERROR(VLOOKUP(BP390,Parameter!$F$35:$G$64,2,0),2)),IF(OR(IFERROR(VLOOKUP(D390,Parameter!$A$35:$C$64,2,0),"Nein")="Nein",IFERROR(VLOOKUP(D390,Parameter!$A$35:$C$64,2,0),"Nein")=""),"-",VLOOKUP(D390,Parameter!$A$35:$C$64,2,0)))))</f>
        <v>3</v>
      </c>
      <c r="Y390" s="62"/>
      <c r="Z390" s="63"/>
      <c r="AA390" s="57" t="n">
        <f aca="false">AP390</f>
        <v>128</v>
      </c>
      <c r="AB390" s="57" t="n">
        <f aca="false">MAX(AP390,G390)</f>
        <v>128</v>
      </c>
      <c r="AC390" s="64"/>
      <c r="AD390" s="57" t="n">
        <f aca="false">IF(LEFT(Cockpit!$C$5,1)="A",G390,IF(BW390=1,BX390,IF(LEFT(Cockpit!$C$5,1)="B",AH390,MAX(AH390,G390))))</f>
        <v>32</v>
      </c>
      <c r="AE390" s="57" t="n">
        <f aca="false">IF(BR390=1,0,ROUNDUP(AD390/BQ390,0))</f>
        <v>1</v>
      </c>
      <c r="AF390" s="59" t="n">
        <f aca="false">IF(CD390&gt;0,CD390*MAX(1,AD390/V390),IF(BR390=1,IF(AD390&lt;=0,0,BS390*MAX(1,IF(G390&gt;0,AD390/G390,1))),IF(Q390&gt;0,AE390/Q390,0))/MAX(0.1,N(Parameter!$M$21)))</f>
        <v>0.0192307692307692</v>
      </c>
      <c r="AG390" s="57" t="n">
        <f aca="false">AD390*F390</f>
        <v>121.92</v>
      </c>
      <c r="AH390" s="57" t="n">
        <f aca="false">ROUNDUP(MAX(I390/IF(BV390&gt;0,BV390,MAX(0.1,N(Cockpit!$C$6))),BY390)/BQ390,0)*BQ390</f>
        <v>128</v>
      </c>
      <c r="AI390" s="58" t="n">
        <f aca="false">IF(AF390&gt;0,I390/AF390,-1)</f>
        <v>1508</v>
      </c>
      <c r="AJ390" s="58" t="n">
        <f aca="false">IF(AND(OR(BU390="L1",BU390="L23"),AF390&gt;0),SUMIFS($AF$7:$AF$1576,$BU$7:$BU$1576,BU390,$AI$7:$AI$1576,"&gt;"&amp;AI390)+SUMIFS($AF$7:$AF$1576,$BU$7:$BU$1576,BU390,$AI$7:$AI$1576,AI390,$BO$7:$BO$1576,"&lt;="&amp;BO390),"")</f>
        <v>7.79081753994798</v>
      </c>
      <c r="AK390" s="65" t="n">
        <f aca="false">IF(AJ390="",0,MAX(0,MIN(1,(IF(BU390="L1",Parameter!$E$5,Parameter!$E$6+Parameter!$E$7)-(AJ390-AF390))/AF390)))</f>
        <v>1</v>
      </c>
      <c r="AL390" s="57" t="n">
        <f aca="false">IF(LEFT(Cockpit!$I$5,1)="A",G390,IF(BW390=1,BX390,IF(LEFT(Cockpit!$I$5,1)="B",AP390,MAX(AP390,G390))))</f>
        <v>128</v>
      </c>
      <c r="AM390" s="57" t="n">
        <f aca="false">IF(BR390=1,0,ROUNDUP(AL390/BQ390,0))</f>
        <v>1</v>
      </c>
      <c r="AN390" s="59" t="n">
        <f aca="false">IF(CD390&gt;0,CD390*MAX(1,AL390/V390),IF(BR390=1,IF(AL390&lt;=0,0,BS390*MAX(1,IF(G390&gt;0,AL390/G390,1))),IF(Q390&gt;0,AM390/Q390,0))/MAX(0.1,N(Parameter!$M$21)))</f>
        <v>0.0192307692307692</v>
      </c>
      <c r="AO390" s="57" t="n">
        <f aca="false">AL390*F390</f>
        <v>487.68</v>
      </c>
      <c r="AP390" s="57" t="n">
        <f aca="false">ROUNDUP(MAX(I390/IF(BV390&gt;0,BV390,MAX(0.1,N(Cockpit!$I$6))),BY390)/BQ390,0)*BQ390</f>
        <v>128</v>
      </c>
      <c r="AQ390" s="58" t="n">
        <f aca="false">IF(AN390&gt;0,I390/AN390,-1)</f>
        <v>1508</v>
      </c>
      <c r="AR390" s="58" t="n">
        <f aca="false">IF(AND(OR(BU390="L1",BU390="L23"),AN390&gt;0),SUMIFS($AN$7:$AN$1576,$BU$7:$BU$1576,BU390,$AQ$7:$AQ$1576,"&gt;"&amp;AQ390)+SUMIFS($AN$7:$AN$1576,$BU$7:$BU$1576,BU390,$AQ$7:$AQ$1576,AQ390,$BO$7:$BO$1576,"&lt;="&amp;BO390),"")</f>
        <v>18.9589780392066</v>
      </c>
      <c r="AS390" s="65" t="n">
        <f aca="false">IF(AR390="",0,MAX(0,MIN(1,(IF(BU390="L1",Parameter!$E$5,Parameter!$E$6+Parameter!$E$7)-(AR390-AN390))/AN390)))</f>
        <v>1</v>
      </c>
      <c r="AT390" s="57" t="n">
        <f aca="false">IF(LEFT(Cockpit!$O$5,1)="A",G390,IF(BW390=1,BX390,IF(LEFT(Cockpit!$O$5,1)="B",AX390,MAX(AX390,G390))))</f>
        <v>128</v>
      </c>
      <c r="AU390" s="57" t="n">
        <f aca="false">IF(BR390=1,0,ROUNDUP(AT390/BQ390,0))</f>
        <v>1</v>
      </c>
      <c r="AV390" s="59" t="n">
        <f aca="false">IF(CD390&gt;0,CD390*MAX(1,AT390/V390),IF(BR390=1,IF(AT390&lt;=0,0,BS390*MAX(1,IF(G390&gt;0,AT390/G390,1))),IF(Q390&gt;0,AU390/Q390,0))/MAX(0.1,N(Parameter!$M$21)))</f>
        <v>0.0192307692307692</v>
      </c>
      <c r="AW390" s="57" t="n">
        <f aca="false">AT390*F390</f>
        <v>487.68</v>
      </c>
      <c r="AX390" s="57" t="n">
        <f aca="false">ROUNDUP(MAX(I390/IF(BV390&gt;0,BV390,MAX(0.1,N(Cockpit!$O$6))),BY390)/BQ390,0)*BQ390</f>
        <v>128</v>
      </c>
      <c r="AY390" s="58" t="n">
        <f aca="false">IF(AV390&gt;0,I390/AV390,-1)</f>
        <v>1508</v>
      </c>
      <c r="AZ390" s="58" t="n">
        <f aca="false">IF(AND(OR(BU390="L1",BU390="L23"),AV390&gt;0),SUMIFS($AV$7:$AV$1576,$BU$7:$BU$1576,BU390,$AY$7:$AY$1576,"&gt;"&amp;AY390)+SUMIFS($AV$7:$AV$1576,$BU$7:$BU$1576,BU390,$AY$7:$AY$1576,AY390,$BO$7:$BO$1576,"&lt;="&amp;BO390),"")</f>
        <v>17.9362507664793</v>
      </c>
      <c r="BA390" s="65" t="n">
        <f aca="false">IF(AZ390="",0,MAX(0,MIN(1,(IF(BU390="L1",Parameter!$E$5,Parameter!$E$6+Parameter!$E$7)-(AZ390-AV390))/AV390)))</f>
        <v>1</v>
      </c>
      <c r="BB390" s="55" t="str">
        <f aca="false">IF(AF390&lt;=0,"",IF(BU390="Aussen","Aussenlager",IF(BU390="-","Nicht im Lift",IF(AK390&gt;=1,"Lift",IF(AK390&lt;=0,"Aussenlager","teilweise")))))</f>
        <v>Lift</v>
      </c>
      <c r="BC390" s="55" t="str">
        <f aca="false">IF(AN390&lt;=0,"",IF(BU390="Aussen","Aussenlager",IF(BU390="-","Nicht im Lift",IF(AS390&gt;=1,"Lift",IF(AS390&lt;=0,"Aussenlager","teilweise")))))</f>
        <v>Lift</v>
      </c>
      <c r="BD390" s="55" t="str">
        <f aca="false">IF(AV390&lt;=0,"",IF(BU390="Aussen","Aussenlager",IF(BU390="-","Nicht im Lift",IF(BA390&gt;=1,"Lift",IF(BA390&lt;=0,"Aussenlager","teilweise")))))</f>
        <v>Lift</v>
      </c>
      <c r="BE390" s="55" t="str">
        <f aca="false">IF(A390="","",IF(BN390=1,"Neu; ","")&amp;IF(AND(BN390=0,BI390&lt;0),"negativer Bestand (Export "&amp;BI390&amp;"); ","")&amp;IF(I390&lt;=0,"Kein Verbrauch; ","")&amp;IF(CD390&gt;0,"Lift "&amp;U390&amp;" lt. Liftbericht (Fach "&amp;V390&amp;" Stk); ",IF(BR390=1,"Lose – Fläche geschätzt; ",""))&amp;IF(G390&gt;AP390,"Überbestand "&amp;ROUND(G390-AP390,0)&amp;" Stk / CHF "&amp;ROUND((G390-AP390)*F390,0)&amp;"; ","")&amp;IF(AND(BW390=1,BX390&lt;BY390),"MAX &lt; MB+LG; ","")&amp;IF(AND(CC390&gt;0,CB390*10&gt;CC390),"zu hoch für Tablar; ","")&amp;IF(AND(BN390=0,OR(BW390=1,Y390&lt;&gt;"",S390&lt;&gt;"",T390&lt;&gt;"",Z390&lt;&gt;"")),"manuell übersteuert; ","")&amp;IF(AND(BR390=0,Q390=0),"Gebinde unbekannt / Stellmass fehlt; ","")&amp;IF(AND(BR390=0,N(T390)&lt;=0,N(P390)&lt;=0),"Menge pro Gebinde fehlt (Ist = 1 Gebinde); ","")&amp;BM390)</f>
        <v/>
      </c>
      <c r="BF390" s="55"/>
      <c r="BG390" s="55"/>
      <c r="BH390" s="62"/>
      <c r="BI390" s="57" t="n">
        <v>32</v>
      </c>
      <c r="BJ390" s="57" t="n">
        <v>34</v>
      </c>
      <c r="BK390" s="56" t="n">
        <v>122.94</v>
      </c>
      <c r="BL390" s="57" t="n">
        <v>29</v>
      </c>
      <c r="BM390" s="55"/>
      <c r="BN390" s="60" t="n">
        <v>0</v>
      </c>
      <c r="BO390" s="60" t="n">
        <v>390</v>
      </c>
      <c r="BP390" s="55" t="str">
        <f aca="false">IF(S390&lt;&gt;"",UPPER(TRIM(S390)),IF(O390="","LOSE",O390))</f>
        <v>S41</v>
      </c>
      <c r="BQ390" s="57" t="n">
        <f aca="false">IF(BP390="LOSE",1,IF(N(T390)&gt;0,T390,IF(N(P390)&gt;0,P390,MAX(1,G390))))</f>
        <v>128</v>
      </c>
      <c r="BR390" s="60" t="n">
        <f aca="false">IF(BP390="LOSE",1,0)</f>
        <v>0</v>
      </c>
      <c r="BS390" s="59" t="n">
        <f aca="false">IF(BR390=0,0,IF(N(R390)&gt;0,R390,IFERROR(VLOOKUP(D390,Parameter!$A$35:$C$64,3,0)+0,0)))</f>
        <v>0</v>
      </c>
      <c r="BT390" s="55" t="n">
        <f aca="false">IF(Y390&lt;&gt;"",Y390,X390)</f>
        <v>3</v>
      </c>
      <c r="BU390" s="55" t="str">
        <f aca="false">IF(BT390=1,"L1",IF(OR(BT390=2,BT390=3),"L23",IF(BT390="Aussen","Aussen","-")))</f>
        <v>L23</v>
      </c>
      <c r="BV390" s="66" t="n">
        <f aca="false">IF(N(Z390)&gt;0,Z390,0)</f>
        <v>0</v>
      </c>
      <c r="BW390" s="60" t="n">
        <f aca="false">IF(ISNUMBER(AC390),1,0)</f>
        <v>0</v>
      </c>
      <c r="BX390" s="57" t="n">
        <f aca="false">N(AC390)</f>
        <v>0</v>
      </c>
      <c r="BY390" s="57" t="n">
        <f aca="false">N(L390)+N(M390)</f>
        <v>102</v>
      </c>
      <c r="BZ390" s="57" t="n">
        <f aca="false">ROUNDUP(G390/BQ390,0)</f>
        <v>1</v>
      </c>
      <c r="CA390" s="57" t="n">
        <f aca="false">ROUNDUP(BX390/BQ390,0)</f>
        <v>0</v>
      </c>
      <c r="CB390" s="60" t="n">
        <f aca="false">IF(BR390=1,0,IFERROR(VLOOKUP(BP390,'Gebinde-Kategorie'!$A$5:$M$45,5,0)+0,0))</f>
        <v>11</v>
      </c>
      <c r="CC390" s="60" t="n">
        <f aca="false">IFERROR(IF(OR(BT390=1,BT390=2,BT390=3),N(INDEX(Parameter!$I$5:$I$7,BT390)),0),0)</f>
        <v>0</v>
      </c>
      <c r="CD390" s="59" t="n">
        <f aca="false">IF(AND(Parameter!$B$21="Ja",ISNUMBER(U390),N(V390)&gt;0),IFERROR(N(INDEX(Parameter!$L$5:$L$7,U390))*INDEX(Parameter!$E$5:$E$7,U390)*V390/SUMIFS($V$7:$V$1576,$U$7:$U$1576,U390),0),0)</f>
        <v>0</v>
      </c>
    </row>
    <row r="391" customFormat="false" ht="15" hidden="false" customHeight="false" outlineLevel="0" collapsed="false">
      <c r="A391" s="55" t="s">
        <v>911</v>
      </c>
      <c r="B391" s="55" t="s">
        <v>912</v>
      </c>
      <c r="C391" s="55" t="s">
        <v>160</v>
      </c>
      <c r="D391" s="55" t="s">
        <v>178</v>
      </c>
      <c r="E391" s="55" t="s">
        <v>210</v>
      </c>
      <c r="F391" s="56" t="n">
        <v>203.54</v>
      </c>
      <c r="G391" s="57" t="n">
        <f aca="false">MAX(0,IF(AND(Parameter!$B$21="Ja",ISNUMBER(W391)),W391,IF(Parameter!$B$20="Jahresanfang 2025 + Export",BJ391+BI391,BI391)))</f>
        <v>0</v>
      </c>
      <c r="H391" s="57" t="n">
        <f aca="false">G391*F391</f>
        <v>0</v>
      </c>
      <c r="I391" s="57" t="n">
        <f aca="false">BL391*Parameter!$B$18</f>
        <v>2</v>
      </c>
      <c r="J391" s="58" t="n">
        <v>8</v>
      </c>
      <c r="K391" s="59" t="n">
        <v>0.25</v>
      </c>
      <c r="L391" s="57" t="n">
        <v>0</v>
      </c>
      <c r="M391" s="57" t="n">
        <v>1</v>
      </c>
      <c r="N391" s="60" t="n">
        <v>14</v>
      </c>
      <c r="O391" s="55" t="s">
        <v>225</v>
      </c>
      <c r="P391" s="57" t="n">
        <v>14</v>
      </c>
      <c r="Q391" s="60" t="n">
        <f aca="false">IF(BR391=1,0,IFERROR(VLOOKUP(BP391,'Gebinde-Kategorie'!$A$5:$M$45,13,0)+0,0))</f>
        <v>26</v>
      </c>
      <c r="R391" s="61"/>
      <c r="S391" s="62"/>
      <c r="T391" s="62"/>
      <c r="U391" s="55"/>
      <c r="V391" s="57"/>
      <c r="W391" s="57"/>
      <c r="X391" s="55" t="n">
        <f aca="false">IF(A391="","",IF(AND(Parameter!$B$21="Ja",ISNUMBER(U391)),U391,IF(IFERROR(VLOOKUP(D391,Parameter!$A$35:$C$64,2,0),"Nein")="2+3",IF(ISNUMBER(SEARCH("grosser Artikel",BM391)),2,IFERROR(VLOOKUP(BP391,Parameter!$F$35:$G$64,2,0),2)),IF(OR(IFERROR(VLOOKUP(D391,Parameter!$A$35:$C$64,2,0),"Nein")="Nein",IFERROR(VLOOKUP(D391,Parameter!$A$35:$C$64,2,0),"Nein")=""),"-",VLOOKUP(D391,Parameter!$A$35:$C$64,2,0)))))</f>
        <v>3</v>
      </c>
      <c r="Y391" s="62"/>
      <c r="Z391" s="63"/>
      <c r="AA391" s="57" t="n">
        <f aca="false">AP391</f>
        <v>14</v>
      </c>
      <c r="AB391" s="57" t="n">
        <f aca="false">MAX(AP391,G391)</f>
        <v>14</v>
      </c>
      <c r="AC391" s="64"/>
      <c r="AD391" s="57" t="n">
        <f aca="false">IF(LEFT(Cockpit!$C$5,1)="A",G391,IF(BW391=1,BX391,IF(LEFT(Cockpit!$C$5,1)="B",AH391,MAX(AH391,G391))))</f>
        <v>0</v>
      </c>
      <c r="AE391" s="57" t="n">
        <f aca="false">IF(BR391=1,0,ROUNDUP(AD391/BQ391,0))</f>
        <v>0</v>
      </c>
      <c r="AF391" s="59" t="n">
        <f aca="false">IF(CD391&gt;0,CD391*MAX(1,AD391/V391),IF(BR391=1,IF(AD391&lt;=0,0,BS391*MAX(1,IF(G391&gt;0,AD391/G391,1))),IF(Q391&gt;0,AE391/Q391,0))/MAX(0.1,N(Parameter!$M$21)))</f>
        <v>0</v>
      </c>
      <c r="AG391" s="57" t="n">
        <f aca="false">AD391*F391</f>
        <v>0</v>
      </c>
      <c r="AH391" s="57" t="n">
        <f aca="false">ROUNDUP(MAX(I391/IF(BV391&gt;0,BV391,MAX(0.1,N(Cockpit!$C$6))),BY391)/BQ391,0)*BQ391</f>
        <v>14</v>
      </c>
      <c r="AI391" s="58" t="n">
        <f aca="false">IF(AF391&gt;0,I391/AF391,-1)</f>
        <v>-1</v>
      </c>
      <c r="AJ391" s="58" t="str">
        <f aca="false">IF(AND(OR(BU391="L1",BU391="L23"),AF391&gt;0),SUMIFS($AF$7:$AF$1576,$BU$7:$BU$1576,BU391,$AI$7:$AI$1576,"&gt;"&amp;AI391)+SUMIFS($AF$7:$AF$1576,$BU$7:$BU$1576,BU391,$AI$7:$AI$1576,AI391,$BO$7:$BO$1576,"&lt;="&amp;BO391),"")</f>
        <v/>
      </c>
      <c r="AK391" s="65" t="n">
        <f aca="false">IF(AJ391="",0,MAX(0,MIN(1,(IF(BU391="L1",Parameter!$E$5,Parameter!$E$6+Parameter!$E$7)-(AJ391-AF391))/AF391)))</f>
        <v>0</v>
      </c>
      <c r="AL391" s="57" t="n">
        <f aca="false">IF(LEFT(Cockpit!$I$5,1)="A",G391,IF(BW391=1,BX391,IF(LEFT(Cockpit!$I$5,1)="B",AP391,MAX(AP391,G391))))</f>
        <v>14</v>
      </c>
      <c r="AM391" s="57" t="n">
        <f aca="false">IF(BR391=1,0,ROUNDUP(AL391/BQ391,0))</f>
        <v>1</v>
      </c>
      <c r="AN391" s="59" t="n">
        <f aca="false">IF(CD391&gt;0,CD391*MAX(1,AL391/V391),IF(BR391=1,IF(AL391&lt;=0,0,BS391*MAX(1,IF(G391&gt;0,AL391/G391,1))),IF(Q391&gt;0,AM391/Q391,0))/MAX(0.1,N(Parameter!$M$21)))</f>
        <v>0.0384615384615385</v>
      </c>
      <c r="AO391" s="57" t="n">
        <f aca="false">AL391*F391</f>
        <v>2849.56</v>
      </c>
      <c r="AP391" s="57" t="n">
        <f aca="false">ROUNDUP(MAX(I391/IF(BV391&gt;0,BV391,MAX(0.1,N(Cockpit!$I$6))),BY391)/BQ391,0)*BQ391</f>
        <v>14</v>
      </c>
      <c r="AQ391" s="58" t="n">
        <f aca="false">IF(AN391&gt;0,I391/AN391,-1)</f>
        <v>52</v>
      </c>
      <c r="AR391" s="58" t="n">
        <f aca="false">IF(AND(OR(BU391="L1",BU391="L23"),AN391&gt;0),SUMIFS($AN$7:$AN$1576,$BU$7:$BU$1576,BU391,$AQ$7:$AQ$1576,"&gt;"&amp;AQ391)+SUMIFS($AN$7:$AN$1576,$BU$7:$BU$1576,BU391,$AQ$7:$AQ$1576,AQ391,$BO$7:$BO$1576,"&lt;="&amp;BO391),"")</f>
        <v>82.0221781784393</v>
      </c>
      <c r="AS391" s="65" t="n">
        <f aca="false">IF(AR391="",0,MAX(0,MIN(1,(IF(BU391="L1",Parameter!$E$5,Parameter!$E$6+Parameter!$E$7)-(AR391-AN391))/AN391)))</f>
        <v>1</v>
      </c>
      <c r="AT391" s="57" t="n">
        <f aca="false">IF(LEFT(Cockpit!$O$5,1)="A",G391,IF(BW391=1,BX391,IF(LEFT(Cockpit!$O$5,1)="B",AX391,MAX(AX391,G391))))</f>
        <v>14</v>
      </c>
      <c r="AU391" s="57" t="n">
        <f aca="false">IF(BR391=1,0,ROUNDUP(AT391/BQ391,0))</f>
        <v>1</v>
      </c>
      <c r="AV391" s="59" t="n">
        <f aca="false">IF(CD391&gt;0,CD391*MAX(1,AT391/V391),IF(BR391=1,IF(AT391&lt;=0,0,BS391*MAX(1,IF(G391&gt;0,AT391/G391,1))),IF(Q391&gt;0,AU391/Q391,0))/MAX(0.1,N(Parameter!$M$21)))</f>
        <v>0.0384615384615385</v>
      </c>
      <c r="AW391" s="57" t="n">
        <f aca="false">AT391*F391</f>
        <v>2849.56</v>
      </c>
      <c r="AX391" s="57" t="n">
        <f aca="false">ROUNDUP(MAX(I391/IF(BV391&gt;0,BV391,MAX(0.1,N(Cockpit!$O$6))),BY391)/BQ391,0)*BQ391</f>
        <v>14</v>
      </c>
      <c r="AY391" s="58" t="n">
        <f aca="false">IF(AV391&gt;0,I391/AV391,-1)</f>
        <v>52</v>
      </c>
      <c r="AZ391" s="58" t="n">
        <f aca="false">IF(AND(OR(BU391="L1",BU391="L23"),AV391&gt;0),SUMIFS($AV$7:$AV$1576,$BU$7:$BU$1576,BU391,$AY$7:$AY$1576,"&gt;"&amp;AY391)+SUMIFS($AV$7:$AV$1576,$BU$7:$BU$1576,BU391,$AY$7:$AY$1576,AY391,$BO$7:$BO$1576,"&lt;="&amp;BO391),"")</f>
        <v>78.4400619613231</v>
      </c>
      <c r="BA391" s="65" t="n">
        <f aca="false">IF(AZ391="",0,MAX(0,MIN(1,(IF(BU391="L1",Parameter!$E$5,Parameter!$E$6+Parameter!$E$7)-(AZ391-AV391))/AV391)))</f>
        <v>1</v>
      </c>
      <c r="BB391" s="55" t="str">
        <f aca="false">IF(AF391&lt;=0,"",IF(BU391="Aussen","Aussenlager",IF(BU391="-","Nicht im Lift",IF(AK391&gt;=1,"Lift",IF(AK391&lt;=0,"Aussenlager","teilweise")))))</f>
        <v/>
      </c>
      <c r="BC391" s="55" t="str">
        <f aca="false">IF(AN391&lt;=0,"",IF(BU391="Aussen","Aussenlager",IF(BU391="-","Nicht im Lift",IF(AS391&gt;=1,"Lift",IF(AS391&lt;=0,"Aussenlager","teilweise")))))</f>
        <v>Lift</v>
      </c>
      <c r="BD391" s="55" t="str">
        <f aca="false">IF(AV391&lt;=0,"",IF(BU391="Aussen","Aussenlager",IF(BU391="-","Nicht im Lift",IF(BA391&gt;=1,"Lift",IF(BA391&lt;=0,"Aussenlager","teilweise")))))</f>
        <v>Lift</v>
      </c>
      <c r="BE391" s="55" t="str">
        <f aca="false">IF(A391="","",IF(BN391=1,"Neu; ","")&amp;IF(AND(BN391=0,BI391&lt;0),"negativer Bestand (Export "&amp;BI391&amp;"); ","")&amp;IF(I391&lt;=0,"Kein Verbrauch; ","")&amp;IF(CD391&gt;0,"Lift "&amp;U391&amp;" lt. Liftbericht (Fach "&amp;V391&amp;" Stk); ",IF(BR391=1,"Lose – Fläche geschätzt; ",""))&amp;IF(G391&gt;AP391,"Überbestand "&amp;ROUND(G391-AP391,0)&amp;" Stk / CHF "&amp;ROUND((G391-AP391)*F391,0)&amp;"; ","")&amp;IF(AND(BW391=1,BX391&lt;BY391),"MAX &lt; MB+LG; ","")&amp;IF(AND(CC391&gt;0,CB391*10&gt;CC391),"zu hoch für Tablar; ","")&amp;IF(AND(BN391=0,OR(BW391=1,Y391&lt;&gt;"",S391&lt;&gt;"",T391&lt;&gt;"",Z391&lt;&gt;"")),"manuell übersteuert; ","")&amp;IF(AND(BR391=0,Q391=0),"Gebinde unbekannt / Stellmass fehlt; ","")&amp;IF(AND(BR391=0,N(T391)&lt;=0,N(P391)&lt;=0),"Menge pro Gebinde fehlt (Ist = 1 Gebinde); ","")&amp;BM391)</f>
        <v/>
      </c>
      <c r="BF391" s="55"/>
      <c r="BG391" s="55"/>
      <c r="BH391" s="62"/>
      <c r="BI391" s="57" t="n">
        <v>0</v>
      </c>
      <c r="BJ391" s="57" t="n">
        <v>8</v>
      </c>
      <c r="BK391" s="56" t="n">
        <v>122.72</v>
      </c>
      <c r="BL391" s="57" t="n">
        <v>2</v>
      </c>
      <c r="BM391" s="55"/>
      <c r="BN391" s="60" t="n">
        <v>0</v>
      </c>
      <c r="BO391" s="60" t="n">
        <v>391</v>
      </c>
      <c r="BP391" s="55" t="str">
        <f aca="false">IF(S391&lt;&gt;"",UPPER(TRIM(S391)),IF(O391="","LOSE",O391))</f>
        <v>S52</v>
      </c>
      <c r="BQ391" s="57" t="n">
        <f aca="false">IF(BP391="LOSE",1,IF(N(T391)&gt;0,T391,IF(N(P391)&gt;0,P391,MAX(1,G391))))</f>
        <v>14</v>
      </c>
      <c r="BR391" s="60" t="n">
        <f aca="false">IF(BP391="LOSE",1,0)</f>
        <v>0</v>
      </c>
      <c r="BS391" s="59" t="n">
        <f aca="false">IF(BR391=0,0,IF(N(R391)&gt;0,R391,IFERROR(VLOOKUP(D391,Parameter!$A$35:$C$64,3,0)+0,0)))</f>
        <v>0</v>
      </c>
      <c r="BT391" s="55" t="n">
        <f aca="false">IF(Y391&lt;&gt;"",Y391,X391)</f>
        <v>3</v>
      </c>
      <c r="BU391" s="55" t="str">
        <f aca="false">IF(BT391=1,"L1",IF(OR(BT391=2,BT391=3),"L23",IF(BT391="Aussen","Aussen","-")))</f>
        <v>L23</v>
      </c>
      <c r="BV391" s="66" t="n">
        <f aca="false">IF(N(Z391)&gt;0,Z391,0)</f>
        <v>0</v>
      </c>
      <c r="BW391" s="60" t="n">
        <f aca="false">IF(ISNUMBER(AC391),1,0)</f>
        <v>0</v>
      </c>
      <c r="BX391" s="57" t="n">
        <f aca="false">N(AC391)</f>
        <v>0</v>
      </c>
      <c r="BY391" s="57" t="n">
        <f aca="false">N(L391)+N(M391)</f>
        <v>1</v>
      </c>
      <c r="BZ391" s="57" t="n">
        <f aca="false">ROUNDUP(G391/BQ391,0)</f>
        <v>0</v>
      </c>
      <c r="CA391" s="57" t="n">
        <f aca="false">ROUNDUP(BX391/BQ391,0)</f>
        <v>0</v>
      </c>
      <c r="CB391" s="60" t="n">
        <f aca="false">IF(BR391=1,0,IFERROR(VLOOKUP(BP391,'Gebinde-Kategorie'!$A$5:$M$45,5,0)+0,0))</f>
        <v>21</v>
      </c>
      <c r="CC391" s="60" t="n">
        <f aca="false">IFERROR(IF(OR(BT391=1,BT391=2,BT391=3),N(INDEX(Parameter!$I$5:$I$7,BT391)),0),0)</f>
        <v>0</v>
      </c>
      <c r="CD391" s="59" t="n">
        <f aca="false">IF(AND(Parameter!$B$21="Ja",ISNUMBER(U391),N(V391)&gt;0),IFERROR(N(INDEX(Parameter!$L$5:$L$7,U391))*INDEX(Parameter!$E$5:$E$7,U391)*V391/SUMIFS($V$7:$V$1576,$U$7:$U$1576,U391),0),0)</f>
        <v>0</v>
      </c>
    </row>
    <row r="392" customFormat="false" ht="15" hidden="false" customHeight="false" outlineLevel="0" collapsed="false">
      <c r="A392" s="55" t="s">
        <v>913</v>
      </c>
      <c r="B392" s="55" t="s">
        <v>650</v>
      </c>
      <c r="C392" s="55" t="s">
        <v>160</v>
      </c>
      <c r="D392" s="55" t="s">
        <v>178</v>
      </c>
      <c r="E392" s="55" t="s">
        <v>210</v>
      </c>
      <c r="F392" s="56" t="n">
        <v>5.28</v>
      </c>
      <c r="G392" s="57" t="n">
        <f aca="false">MAX(0,IF(AND(Parameter!$B$21="Ja",ISNUMBER(W392)),W392,IF(Parameter!$B$20="Jahresanfang 2025 + Export",BJ392+BI392,BI392)))</f>
        <v>23</v>
      </c>
      <c r="H392" s="57" t="n">
        <f aca="false">G392*F392</f>
        <v>121.44</v>
      </c>
      <c r="I392" s="57" t="n">
        <f aca="false">BL392*Parameter!$B$18</f>
        <v>585</v>
      </c>
      <c r="J392" s="58" t="n">
        <v>130.5</v>
      </c>
      <c r="K392" s="59" t="n">
        <v>4.48275862068966</v>
      </c>
      <c r="L392" s="57" t="n">
        <v>15</v>
      </c>
      <c r="M392" s="57" t="n">
        <v>200</v>
      </c>
      <c r="N392" s="60" t="n">
        <v>7</v>
      </c>
      <c r="O392" s="55" t="s">
        <v>411</v>
      </c>
      <c r="P392" s="57" t="n">
        <v>231</v>
      </c>
      <c r="Q392" s="60" t="n">
        <f aca="false">IF(BR392=1,0,IFERROR(VLOOKUP(BP392,'Gebinde-Kategorie'!$A$5:$M$45,13,0)+0,0))</f>
        <v>132</v>
      </c>
      <c r="R392" s="61"/>
      <c r="S392" s="62"/>
      <c r="T392" s="62"/>
      <c r="U392" s="55"/>
      <c r="V392" s="57"/>
      <c r="W392" s="57"/>
      <c r="X392" s="55" t="n">
        <f aca="false">IF(A392="","",IF(AND(Parameter!$B$21="Ja",ISNUMBER(U392)),U392,IF(IFERROR(VLOOKUP(D392,Parameter!$A$35:$C$64,2,0),"Nein")="2+3",IF(ISNUMBER(SEARCH("grosser Artikel",BM392)),2,IFERROR(VLOOKUP(BP392,Parameter!$F$35:$G$64,2,0),2)),IF(OR(IFERROR(VLOOKUP(D392,Parameter!$A$35:$C$64,2,0),"Nein")="Nein",IFERROR(VLOOKUP(D392,Parameter!$A$35:$C$64,2,0),"Nein")=""),"-",VLOOKUP(D392,Parameter!$A$35:$C$64,2,0)))))</f>
        <v>3</v>
      </c>
      <c r="Y392" s="62"/>
      <c r="Z392" s="63"/>
      <c r="AA392" s="57" t="n">
        <f aca="false">AP392</f>
        <v>462</v>
      </c>
      <c r="AB392" s="57" t="n">
        <f aca="false">MAX(AP392,G392)</f>
        <v>462</v>
      </c>
      <c r="AC392" s="64"/>
      <c r="AD392" s="57" t="n">
        <f aca="false">IF(LEFT(Cockpit!$C$5,1)="A",G392,IF(BW392=1,BX392,IF(LEFT(Cockpit!$C$5,1)="B",AH392,MAX(AH392,G392))))</f>
        <v>23</v>
      </c>
      <c r="AE392" s="57" t="n">
        <f aca="false">IF(BR392=1,0,ROUNDUP(AD392/BQ392,0))</f>
        <v>1</v>
      </c>
      <c r="AF392" s="59" t="n">
        <f aca="false">IF(CD392&gt;0,CD392*MAX(1,AD392/V392),IF(BR392=1,IF(AD392&lt;=0,0,BS392*MAX(1,IF(G392&gt;0,AD392/G392,1))),IF(Q392&gt;0,AE392/Q392,0))/MAX(0.1,N(Parameter!$M$21)))</f>
        <v>0.00757575757575758</v>
      </c>
      <c r="AG392" s="57" t="n">
        <f aca="false">AD392*F392</f>
        <v>121.44</v>
      </c>
      <c r="AH392" s="57" t="n">
        <f aca="false">ROUNDUP(MAX(I392/IF(BV392&gt;0,BV392,MAX(0.1,N(Cockpit!$C$6))),BY392)/BQ392,0)*BQ392</f>
        <v>462</v>
      </c>
      <c r="AI392" s="58" t="n">
        <f aca="false">IF(AF392&gt;0,I392/AF392,-1)</f>
        <v>77220</v>
      </c>
      <c r="AJ392" s="58" t="n">
        <f aca="false">IF(AND(OR(BU392="L1",BU392="L23"),AF392&gt;0),SUMIFS($AF$7:$AF$1576,$BU$7:$BU$1576,BU392,$AI$7:$AI$1576,"&gt;"&amp;AI392)+SUMIFS($AF$7:$AF$1576,$BU$7:$BU$1576,BU392,$AI$7:$AI$1576,AI392,$BO$7:$BO$1576,"&lt;="&amp;BO392),"")</f>
        <v>0.473531299618256</v>
      </c>
      <c r="AK392" s="65" t="n">
        <f aca="false">IF(AJ392="",0,MAX(0,MIN(1,(IF(BU392="L1",Parameter!$E$5,Parameter!$E$6+Parameter!$E$7)-(AJ392-AF392))/AF392)))</f>
        <v>1</v>
      </c>
      <c r="AL392" s="57" t="n">
        <f aca="false">IF(LEFT(Cockpit!$I$5,1)="A",G392,IF(BW392=1,BX392,IF(LEFT(Cockpit!$I$5,1)="B",AP392,MAX(AP392,G392))))</f>
        <v>462</v>
      </c>
      <c r="AM392" s="57" t="n">
        <f aca="false">IF(BR392=1,0,ROUNDUP(AL392/BQ392,0))</f>
        <v>2</v>
      </c>
      <c r="AN392" s="59" t="n">
        <f aca="false">IF(CD392&gt;0,CD392*MAX(1,AL392/V392),IF(BR392=1,IF(AL392&lt;=0,0,BS392*MAX(1,IF(G392&gt;0,AL392/G392,1))),IF(Q392&gt;0,AM392/Q392,0))/MAX(0.1,N(Parameter!$M$21)))</f>
        <v>0.0151515151515152</v>
      </c>
      <c r="AO392" s="57" t="n">
        <f aca="false">AL392*F392</f>
        <v>2439.36</v>
      </c>
      <c r="AP392" s="57" t="n">
        <f aca="false">ROUNDUP(MAX(I392/IF(BV392&gt;0,BV392,MAX(0.1,N(Cockpit!$I$6))),BY392)/BQ392,0)*BQ392</f>
        <v>462</v>
      </c>
      <c r="AQ392" s="58" t="n">
        <f aca="false">IF(AN392&gt;0,I392/AN392,-1)</f>
        <v>38610</v>
      </c>
      <c r="AR392" s="58" t="n">
        <f aca="false">IF(AND(OR(BU392="L1",BU392="L23"),AN392&gt;0),SUMIFS($AN$7:$AN$1576,$BU$7:$BU$1576,BU392,$AQ$7:$AQ$1576,"&gt;"&amp;AQ392)+SUMIFS($AN$7:$AN$1576,$BU$7:$BU$1576,BU392,$AQ$7:$AQ$1576,AQ392,$BO$7:$BO$1576,"&lt;="&amp;BO392),"")</f>
        <v>1.86793790750312</v>
      </c>
      <c r="AS392" s="65" t="n">
        <f aca="false">IF(AR392="",0,MAX(0,MIN(1,(IF(BU392="L1",Parameter!$E$5,Parameter!$E$6+Parameter!$E$7)-(AR392-AN392))/AN392)))</f>
        <v>1</v>
      </c>
      <c r="AT392" s="57" t="n">
        <f aca="false">IF(LEFT(Cockpit!$O$5,1)="A",G392,IF(BW392=1,BX392,IF(LEFT(Cockpit!$O$5,1)="B",AX392,MAX(AX392,G392))))</f>
        <v>231</v>
      </c>
      <c r="AU392" s="57" t="n">
        <f aca="false">IF(BR392=1,0,ROUNDUP(AT392/BQ392,0))</f>
        <v>1</v>
      </c>
      <c r="AV392" s="59" t="n">
        <f aca="false">IF(CD392&gt;0,CD392*MAX(1,AT392/V392),IF(BR392=1,IF(AT392&lt;=0,0,BS392*MAX(1,IF(G392&gt;0,AT392/G392,1))),IF(Q392&gt;0,AU392/Q392,0))/MAX(0.1,N(Parameter!$M$21)))</f>
        <v>0.00757575757575758</v>
      </c>
      <c r="AW392" s="57" t="n">
        <f aca="false">AT392*F392</f>
        <v>1219.68</v>
      </c>
      <c r="AX392" s="57" t="n">
        <f aca="false">ROUNDUP(MAX(I392/IF(BV392&gt;0,BV392,MAX(0.1,N(Cockpit!$O$6))),BY392)/BQ392,0)*BQ392</f>
        <v>231</v>
      </c>
      <c r="AY392" s="58" t="n">
        <f aca="false">IF(AV392&gt;0,I392/AV392,-1)</f>
        <v>77220</v>
      </c>
      <c r="AZ392" s="58" t="n">
        <f aca="false">IF(AND(OR(BU392="L1",BU392="L23"),AV392&gt;0),SUMIFS($AV$7:$AV$1576,$BU$7:$BU$1576,BU392,$AY$7:$AY$1576,"&gt;"&amp;AY392)+SUMIFS($AV$7:$AV$1576,$BU$7:$BU$1576,BU392,$AY$7:$AY$1576,AY392,$BO$7:$BO$1576,"&lt;="&amp;BO392),"")</f>
        <v>0.885025843721496</v>
      </c>
      <c r="BA392" s="65" t="n">
        <f aca="false">IF(AZ392="",0,MAX(0,MIN(1,(IF(BU392="L1",Parameter!$E$5,Parameter!$E$6+Parameter!$E$7)-(AZ392-AV392))/AV392)))</f>
        <v>1</v>
      </c>
      <c r="BB392" s="55" t="str">
        <f aca="false">IF(AF392&lt;=0,"",IF(BU392="Aussen","Aussenlager",IF(BU392="-","Nicht im Lift",IF(AK392&gt;=1,"Lift",IF(AK392&lt;=0,"Aussenlager","teilweise")))))</f>
        <v>Lift</v>
      </c>
      <c r="BC392" s="55" t="str">
        <f aca="false">IF(AN392&lt;=0,"",IF(BU392="Aussen","Aussenlager",IF(BU392="-","Nicht im Lift",IF(AS392&gt;=1,"Lift",IF(AS392&lt;=0,"Aussenlager","teilweise")))))</f>
        <v>Lift</v>
      </c>
      <c r="BD392" s="55" t="str">
        <f aca="false">IF(AV392&lt;=0,"",IF(BU392="Aussen","Aussenlager",IF(BU392="-","Nicht im Lift",IF(BA392&gt;=1,"Lift",IF(BA392&lt;=0,"Aussenlager","teilweise")))))</f>
        <v>Lift</v>
      </c>
      <c r="BE392" s="55" t="str">
        <f aca="false">IF(A392="","",IF(BN392=1,"Neu; ","")&amp;IF(AND(BN392=0,BI392&lt;0),"negativer Bestand (Export "&amp;BI392&amp;"); ","")&amp;IF(I392&lt;=0,"Kein Verbrauch; ","")&amp;IF(CD392&gt;0,"Lift "&amp;U392&amp;" lt. Liftbericht (Fach "&amp;V392&amp;" Stk); ",IF(BR392=1,"Lose – Fläche geschätzt; ",""))&amp;IF(G392&gt;AP392,"Überbestand "&amp;ROUND(G392-AP392,0)&amp;" Stk / CHF "&amp;ROUND((G392-AP392)*F392,0)&amp;"; ","")&amp;IF(AND(BW392=1,BX392&lt;BY392),"MAX &lt; MB+LG; ","")&amp;IF(AND(CC392&gt;0,CB392*10&gt;CC392),"zu hoch für Tablar; ","")&amp;IF(AND(BN392=0,OR(BW392=1,Y392&lt;&gt;"",S392&lt;&gt;"",T392&lt;&gt;"",Z392&lt;&gt;"")),"manuell übersteuert; ","")&amp;IF(AND(BR392=0,Q392=0),"Gebinde unbekannt / Stellmass fehlt; ","")&amp;IF(AND(BR392=0,N(T392)&lt;=0,N(P392)&lt;=0),"Menge pro Gebinde fehlt (Ist = 1 Gebinde); ","")&amp;BM392)</f>
        <v/>
      </c>
      <c r="BF392" s="55"/>
      <c r="BG392" s="55"/>
      <c r="BH392" s="62"/>
      <c r="BI392" s="57" t="n">
        <v>23</v>
      </c>
      <c r="BJ392" s="57" t="n">
        <v>127</v>
      </c>
      <c r="BK392" s="56" t="n">
        <v>120.28</v>
      </c>
      <c r="BL392" s="57" t="n">
        <v>585</v>
      </c>
      <c r="BM392" s="55"/>
      <c r="BN392" s="60" t="n">
        <v>0</v>
      </c>
      <c r="BO392" s="60" t="n">
        <v>392</v>
      </c>
      <c r="BP392" s="55" t="str">
        <f aca="false">IF(S392&lt;&gt;"",UPPER(TRIM(S392)),IF(O392="","LOSE",O392))</f>
        <v>S32</v>
      </c>
      <c r="BQ392" s="57" t="n">
        <f aca="false">IF(BP392="LOSE",1,IF(N(T392)&gt;0,T392,IF(N(P392)&gt;0,P392,MAX(1,G392))))</f>
        <v>231</v>
      </c>
      <c r="BR392" s="60" t="n">
        <f aca="false">IF(BP392="LOSE",1,0)</f>
        <v>0</v>
      </c>
      <c r="BS392" s="59" t="n">
        <f aca="false">IF(BR392=0,0,IF(N(R392)&gt;0,R392,IFERROR(VLOOKUP(D392,Parameter!$A$35:$C$64,3,0)+0,0)))</f>
        <v>0</v>
      </c>
      <c r="BT392" s="55" t="n">
        <f aca="false">IF(Y392&lt;&gt;"",Y392,X392)</f>
        <v>3</v>
      </c>
      <c r="BU392" s="55" t="str">
        <f aca="false">IF(BT392=1,"L1",IF(OR(BT392=2,BT392=3),"L23",IF(BT392="Aussen","Aussen","-")))</f>
        <v>L23</v>
      </c>
      <c r="BV392" s="66" t="n">
        <f aca="false">IF(N(Z392)&gt;0,Z392,0)</f>
        <v>0</v>
      </c>
      <c r="BW392" s="60" t="n">
        <f aca="false">IF(ISNUMBER(AC392),1,0)</f>
        <v>0</v>
      </c>
      <c r="BX392" s="57" t="n">
        <f aca="false">N(AC392)</f>
        <v>0</v>
      </c>
      <c r="BY392" s="57" t="n">
        <f aca="false">N(L392)+N(M392)</f>
        <v>215</v>
      </c>
      <c r="BZ392" s="57" t="n">
        <f aca="false">ROUNDUP(G392/BQ392,0)</f>
        <v>1</v>
      </c>
      <c r="CA392" s="57" t="n">
        <f aca="false">ROUNDUP(BX392/BQ392,0)</f>
        <v>0</v>
      </c>
      <c r="CB392" s="60" t="n">
        <f aca="false">IF(BR392=1,0,IFERROR(VLOOKUP(BP392,'Gebinde-Kategorie'!$A$5:$M$45,5,0)+0,0))</f>
        <v>8</v>
      </c>
      <c r="CC392" s="60" t="n">
        <f aca="false">IFERROR(IF(OR(BT392=1,BT392=2,BT392=3),N(INDEX(Parameter!$I$5:$I$7,BT392)),0),0)</f>
        <v>0</v>
      </c>
      <c r="CD392" s="59" t="n">
        <f aca="false">IF(AND(Parameter!$B$21="Ja",ISNUMBER(U392),N(V392)&gt;0),IFERROR(N(INDEX(Parameter!$L$5:$L$7,U392))*INDEX(Parameter!$E$5:$E$7,U392)*V392/SUMIFS($V$7:$V$1576,$U$7:$U$1576,U392),0),0)</f>
        <v>0</v>
      </c>
    </row>
    <row r="393" customFormat="false" ht="15" hidden="false" customHeight="false" outlineLevel="0" collapsed="false">
      <c r="A393" s="55" t="s">
        <v>914</v>
      </c>
      <c r="B393" s="55" t="s">
        <v>915</v>
      </c>
      <c r="C393" s="55" t="s">
        <v>160</v>
      </c>
      <c r="D393" s="55" t="s">
        <v>178</v>
      </c>
      <c r="E393" s="55" t="s">
        <v>210</v>
      </c>
      <c r="F393" s="56" t="n">
        <v>3.4</v>
      </c>
      <c r="G393" s="57" t="n">
        <f aca="false">MAX(0,IF(AND(Parameter!$B$21="Ja",ISNUMBER(W393)),W393,IF(Parameter!$B$20="Jahresanfang 2025 + Export",BJ393+BI393,BI393)))</f>
        <v>34</v>
      </c>
      <c r="H393" s="57" t="n">
        <f aca="false">G393*F393</f>
        <v>115.6</v>
      </c>
      <c r="I393" s="57" t="n">
        <f aca="false">BL393*Parameter!$B$18</f>
        <v>44</v>
      </c>
      <c r="J393" s="58" t="n">
        <v>11</v>
      </c>
      <c r="K393" s="59" t="n">
        <v>4</v>
      </c>
      <c r="L393" s="57" t="n">
        <v>2</v>
      </c>
      <c r="M393" s="57" t="n">
        <v>45</v>
      </c>
      <c r="N393" s="60" t="n">
        <v>20</v>
      </c>
      <c r="O393" s="55" t="s">
        <v>319</v>
      </c>
      <c r="P393" s="57" t="n">
        <v>42</v>
      </c>
      <c r="Q393" s="60" t="n">
        <f aca="false">IF(BR393=1,0,IFERROR(VLOOKUP(BP393,'Gebinde-Kategorie'!$A$5:$M$45,13,0)+0,0))</f>
        <v>52</v>
      </c>
      <c r="R393" s="61"/>
      <c r="S393" s="62"/>
      <c r="T393" s="62"/>
      <c r="U393" s="55"/>
      <c r="V393" s="57"/>
      <c r="W393" s="57"/>
      <c r="X393" s="55" t="n">
        <f aca="false">IF(A393="","",IF(AND(Parameter!$B$21="Ja",ISNUMBER(U393)),U393,IF(IFERROR(VLOOKUP(D393,Parameter!$A$35:$C$64,2,0),"Nein")="2+3",IF(ISNUMBER(SEARCH("grosser Artikel",BM393)),2,IFERROR(VLOOKUP(BP393,Parameter!$F$35:$G$64,2,0),2)),IF(OR(IFERROR(VLOOKUP(D393,Parameter!$A$35:$C$64,2,0),"Nein")="Nein",IFERROR(VLOOKUP(D393,Parameter!$A$35:$C$64,2,0),"Nein")=""),"-",VLOOKUP(D393,Parameter!$A$35:$C$64,2,0)))))</f>
        <v>3</v>
      </c>
      <c r="Y393" s="62"/>
      <c r="Z393" s="63"/>
      <c r="AA393" s="57" t="n">
        <f aca="false">AP393</f>
        <v>84</v>
      </c>
      <c r="AB393" s="57" t="n">
        <f aca="false">MAX(AP393,G393)</f>
        <v>84</v>
      </c>
      <c r="AC393" s="64"/>
      <c r="AD393" s="57" t="n">
        <f aca="false">IF(LEFT(Cockpit!$C$5,1)="A",G393,IF(BW393=1,BX393,IF(LEFT(Cockpit!$C$5,1)="B",AH393,MAX(AH393,G393))))</f>
        <v>34</v>
      </c>
      <c r="AE393" s="57" t="n">
        <f aca="false">IF(BR393=1,0,ROUNDUP(AD393/BQ393,0))</f>
        <v>1</v>
      </c>
      <c r="AF393" s="59" t="n">
        <f aca="false">IF(CD393&gt;0,CD393*MAX(1,AD393/V393),IF(BR393=1,IF(AD393&lt;=0,0,BS393*MAX(1,IF(G393&gt;0,AD393/G393,1))),IF(Q393&gt;0,AE393/Q393,0))/MAX(0.1,N(Parameter!$M$21)))</f>
        <v>0.0192307692307692</v>
      </c>
      <c r="AG393" s="57" t="n">
        <f aca="false">AD393*F393</f>
        <v>115.6</v>
      </c>
      <c r="AH393" s="57" t="n">
        <f aca="false">ROUNDUP(MAX(I393/IF(BV393&gt;0,BV393,MAX(0.1,N(Cockpit!$C$6))),BY393)/BQ393,0)*BQ393</f>
        <v>84</v>
      </c>
      <c r="AI393" s="58" t="n">
        <f aca="false">IF(AF393&gt;0,I393/AF393,-1)</f>
        <v>2288</v>
      </c>
      <c r="AJ393" s="58" t="n">
        <f aca="false">IF(AND(OR(BU393="L1",BU393="L23"),AF393&gt;0),SUMIFS($AF$7:$AF$1576,$BU$7:$BU$1576,BU393,$AI$7:$AI$1576,"&gt;"&amp;AI393)+SUMIFS($AF$7:$AF$1576,$BU$7:$BU$1576,BU393,$AI$7:$AI$1576,AI393,$BO$7:$BO$1576,"&lt;="&amp;BO393),"")</f>
        <v>6.24512144859971</v>
      </c>
      <c r="AK393" s="65" t="n">
        <f aca="false">IF(AJ393="",0,MAX(0,MIN(1,(IF(BU393="L1",Parameter!$E$5,Parameter!$E$6+Parameter!$E$7)-(AJ393-AF393))/AF393)))</f>
        <v>1</v>
      </c>
      <c r="AL393" s="57" t="n">
        <f aca="false">IF(LEFT(Cockpit!$I$5,1)="A",G393,IF(BW393=1,BX393,IF(LEFT(Cockpit!$I$5,1)="B",AP393,MAX(AP393,G393))))</f>
        <v>84</v>
      </c>
      <c r="AM393" s="57" t="n">
        <f aca="false">IF(BR393=1,0,ROUNDUP(AL393/BQ393,0))</f>
        <v>2</v>
      </c>
      <c r="AN393" s="59" t="n">
        <f aca="false">IF(CD393&gt;0,CD393*MAX(1,AL393/V393),IF(BR393=1,IF(AL393&lt;=0,0,BS393*MAX(1,IF(G393&gt;0,AL393/G393,1))),IF(Q393&gt;0,AM393/Q393,0))/MAX(0.1,N(Parameter!$M$21)))</f>
        <v>0.0384615384615385</v>
      </c>
      <c r="AO393" s="57" t="n">
        <f aca="false">AL393*F393</f>
        <v>285.6</v>
      </c>
      <c r="AP393" s="57" t="n">
        <f aca="false">ROUNDUP(MAX(I393/IF(BV393&gt;0,BV393,MAX(0.1,N(Cockpit!$I$6))),BY393)/BQ393,0)*BQ393</f>
        <v>84</v>
      </c>
      <c r="AQ393" s="58" t="n">
        <f aca="false">IF(AN393&gt;0,I393/AN393,-1)</f>
        <v>1144</v>
      </c>
      <c r="AR393" s="58" t="n">
        <f aca="false">IF(AND(OR(BU393="L1",BU393="L23"),AN393&gt;0),SUMIFS($AN$7:$AN$1576,$BU$7:$BU$1576,BU393,$AQ$7:$AQ$1576,"&gt;"&amp;AQ393)+SUMIFS($AN$7:$AN$1576,$BU$7:$BU$1576,BU393,$AQ$7:$AQ$1576,AQ393,$BO$7:$BO$1576,"&lt;="&amp;BO393),"")</f>
        <v>21.8268693266631</v>
      </c>
      <c r="AS393" s="65" t="n">
        <f aca="false">IF(AR393="",0,MAX(0,MIN(1,(IF(BU393="L1",Parameter!$E$5,Parameter!$E$6+Parameter!$E$7)-(AR393-AN393))/AN393)))</f>
        <v>1</v>
      </c>
      <c r="AT393" s="57" t="n">
        <f aca="false">IF(LEFT(Cockpit!$O$5,1)="A",G393,IF(BW393=1,BX393,IF(LEFT(Cockpit!$O$5,1)="B",AX393,MAX(AX393,G393))))</f>
        <v>84</v>
      </c>
      <c r="AU393" s="57" t="n">
        <f aca="false">IF(BR393=1,0,ROUNDUP(AT393/BQ393,0))</f>
        <v>2</v>
      </c>
      <c r="AV393" s="59" t="n">
        <f aca="false">IF(CD393&gt;0,CD393*MAX(1,AT393/V393),IF(BR393=1,IF(AT393&lt;=0,0,BS393*MAX(1,IF(G393&gt;0,AT393/G393,1))),IF(Q393&gt;0,AU393/Q393,0))/MAX(0.1,N(Parameter!$M$21)))</f>
        <v>0.0384615384615385</v>
      </c>
      <c r="AW393" s="57" t="n">
        <f aca="false">AT393*F393</f>
        <v>285.6</v>
      </c>
      <c r="AX393" s="57" t="n">
        <f aca="false">ROUNDUP(MAX(I393/IF(BV393&gt;0,BV393,MAX(0.1,N(Cockpit!$O$6))),BY393)/BQ393,0)*BQ393</f>
        <v>84</v>
      </c>
      <c r="AY393" s="58" t="n">
        <f aca="false">IF(AV393&gt;0,I393/AV393,-1)</f>
        <v>1144</v>
      </c>
      <c r="AZ393" s="58" t="n">
        <f aca="false">IF(AND(OR(BU393="L1",BU393="L23"),AV393&gt;0),SUMIFS($AV$7:$AV$1576,$BU$7:$BU$1576,BU393,$AY$7:$AY$1576,"&gt;"&amp;AY393)+SUMIFS($AV$7:$AV$1576,$BU$7:$BU$1576,BU393,$AY$7:$AY$1576,AY393,$BO$7:$BO$1576,"&lt;="&amp;BO393),"")</f>
        <v>21.1374753872692</v>
      </c>
      <c r="BA393" s="65" t="n">
        <f aca="false">IF(AZ393="",0,MAX(0,MIN(1,(IF(BU393="L1",Parameter!$E$5,Parameter!$E$6+Parameter!$E$7)-(AZ393-AV393))/AV393)))</f>
        <v>1</v>
      </c>
      <c r="BB393" s="55" t="str">
        <f aca="false">IF(AF393&lt;=0,"",IF(BU393="Aussen","Aussenlager",IF(BU393="-","Nicht im Lift",IF(AK393&gt;=1,"Lift",IF(AK393&lt;=0,"Aussenlager","teilweise")))))</f>
        <v>Lift</v>
      </c>
      <c r="BC393" s="55" t="str">
        <f aca="false">IF(AN393&lt;=0,"",IF(BU393="Aussen","Aussenlager",IF(BU393="-","Nicht im Lift",IF(AS393&gt;=1,"Lift",IF(AS393&lt;=0,"Aussenlager","teilweise")))))</f>
        <v>Lift</v>
      </c>
      <c r="BD393" s="55" t="str">
        <f aca="false">IF(AV393&lt;=0,"",IF(BU393="Aussen","Aussenlager",IF(BU393="-","Nicht im Lift",IF(BA393&gt;=1,"Lift",IF(BA393&lt;=0,"Aussenlager","teilweise")))))</f>
        <v>Lift</v>
      </c>
      <c r="BE393" s="55" t="str">
        <f aca="false">IF(A393="","",IF(BN393=1,"Neu; ","")&amp;IF(AND(BN393=0,BI393&lt;0),"negativer Bestand (Export "&amp;BI393&amp;"); ","")&amp;IF(I393&lt;=0,"Kein Verbrauch; ","")&amp;IF(CD393&gt;0,"Lift "&amp;U393&amp;" lt. Liftbericht (Fach "&amp;V393&amp;" Stk); ",IF(BR393=1,"Lose – Fläche geschätzt; ",""))&amp;IF(G393&gt;AP393,"Überbestand "&amp;ROUND(G393-AP393,0)&amp;" Stk / CHF "&amp;ROUND((G393-AP393)*F393,0)&amp;"; ","")&amp;IF(AND(BW393=1,BX393&lt;BY393),"MAX &lt; MB+LG; ","")&amp;IF(AND(CC393&gt;0,CB393*10&gt;CC393),"zu hoch für Tablar; ","")&amp;IF(AND(BN393=0,OR(BW393=1,Y393&lt;&gt;"",S393&lt;&gt;"",T393&lt;&gt;"",Z393&lt;&gt;"")),"manuell übersteuert; ","")&amp;IF(AND(BR393=0,Q393=0),"Gebinde unbekannt / Stellmass fehlt; ","")&amp;IF(AND(BR393=0,N(T393)&lt;=0,N(P393)&lt;=0),"Menge pro Gebinde fehlt (Ist = 1 Gebinde); ","")&amp;BM393)</f>
        <v/>
      </c>
      <c r="BF393" s="55"/>
      <c r="BG393" s="55"/>
      <c r="BH393" s="62"/>
      <c r="BI393" s="57" t="n">
        <v>34</v>
      </c>
      <c r="BJ393" s="57" t="n">
        <v>6</v>
      </c>
      <c r="BK393" s="56" t="n">
        <v>116.32</v>
      </c>
      <c r="BL393" s="57" t="n">
        <v>44</v>
      </c>
      <c r="BM393" s="55"/>
      <c r="BN393" s="60" t="n">
        <v>0</v>
      </c>
      <c r="BO393" s="60" t="n">
        <v>393</v>
      </c>
      <c r="BP393" s="55" t="str">
        <f aca="false">IF(S393&lt;&gt;"",UPPER(TRIM(S393)),IF(O393="","LOSE",O393))</f>
        <v>S41</v>
      </c>
      <c r="BQ393" s="57" t="n">
        <f aca="false">IF(BP393="LOSE",1,IF(N(T393)&gt;0,T393,IF(N(P393)&gt;0,P393,MAX(1,G393))))</f>
        <v>42</v>
      </c>
      <c r="BR393" s="60" t="n">
        <f aca="false">IF(BP393="LOSE",1,0)</f>
        <v>0</v>
      </c>
      <c r="BS393" s="59" t="n">
        <f aca="false">IF(BR393=0,0,IF(N(R393)&gt;0,R393,IFERROR(VLOOKUP(D393,Parameter!$A$35:$C$64,3,0)+0,0)))</f>
        <v>0</v>
      </c>
      <c r="BT393" s="55" t="n">
        <f aca="false">IF(Y393&lt;&gt;"",Y393,X393)</f>
        <v>3</v>
      </c>
      <c r="BU393" s="55" t="str">
        <f aca="false">IF(BT393=1,"L1",IF(OR(BT393=2,BT393=3),"L23",IF(BT393="Aussen","Aussen","-")))</f>
        <v>L23</v>
      </c>
      <c r="BV393" s="66" t="n">
        <f aca="false">IF(N(Z393)&gt;0,Z393,0)</f>
        <v>0</v>
      </c>
      <c r="BW393" s="60" t="n">
        <f aca="false">IF(ISNUMBER(AC393),1,0)</f>
        <v>0</v>
      </c>
      <c r="BX393" s="57" t="n">
        <f aca="false">N(AC393)</f>
        <v>0</v>
      </c>
      <c r="BY393" s="57" t="n">
        <f aca="false">N(L393)+N(M393)</f>
        <v>47</v>
      </c>
      <c r="BZ393" s="57" t="n">
        <f aca="false">ROUNDUP(G393/BQ393,0)</f>
        <v>1</v>
      </c>
      <c r="CA393" s="57" t="n">
        <f aca="false">ROUNDUP(BX393/BQ393,0)</f>
        <v>0</v>
      </c>
      <c r="CB393" s="60" t="n">
        <f aca="false">IF(BR393=1,0,IFERROR(VLOOKUP(BP393,'Gebinde-Kategorie'!$A$5:$M$45,5,0)+0,0))</f>
        <v>11</v>
      </c>
      <c r="CC393" s="60" t="n">
        <f aca="false">IFERROR(IF(OR(BT393=1,BT393=2,BT393=3),N(INDEX(Parameter!$I$5:$I$7,BT393)),0),0)</f>
        <v>0</v>
      </c>
      <c r="CD393" s="59" t="n">
        <f aca="false">IF(AND(Parameter!$B$21="Ja",ISNUMBER(U393),N(V393)&gt;0),IFERROR(N(INDEX(Parameter!$L$5:$L$7,U393))*INDEX(Parameter!$E$5:$E$7,U393)*V393/SUMIFS($V$7:$V$1576,$U$7:$U$1576,U393),0),0)</f>
        <v>0</v>
      </c>
    </row>
    <row r="394" customFormat="false" ht="15" hidden="false" customHeight="false" outlineLevel="0" collapsed="false">
      <c r="A394" s="55" t="s">
        <v>916</v>
      </c>
      <c r="B394" s="55" t="s">
        <v>917</v>
      </c>
      <c r="C394" s="55" t="s">
        <v>160</v>
      </c>
      <c r="D394" s="55" t="s">
        <v>178</v>
      </c>
      <c r="E394" s="55" t="s">
        <v>210</v>
      </c>
      <c r="F394" s="56" t="n">
        <v>2.18</v>
      </c>
      <c r="G394" s="57" t="n">
        <f aca="false">MAX(0,IF(AND(Parameter!$B$21="Ja",ISNUMBER(W394)),W394,IF(Parameter!$B$20="Jahresanfang 2025 + Export",BJ394+BI394,BI394)))</f>
        <v>54</v>
      </c>
      <c r="H394" s="57" t="n">
        <f aca="false">G394*F394</f>
        <v>117.72</v>
      </c>
      <c r="I394" s="57" t="n">
        <f aca="false">BL394*Parameter!$B$18</f>
        <v>126</v>
      </c>
      <c r="J394" s="58" t="n">
        <v>41.5</v>
      </c>
      <c r="K394" s="59" t="n">
        <v>3.03614457831325</v>
      </c>
      <c r="L394" s="57" t="n">
        <v>4</v>
      </c>
      <c r="M394" s="57" t="n">
        <v>125</v>
      </c>
      <c r="N394" s="60" t="n">
        <v>14</v>
      </c>
      <c r="O394" s="55" t="s">
        <v>465</v>
      </c>
      <c r="P394" s="57" t="n">
        <v>79</v>
      </c>
      <c r="Q394" s="60" t="n">
        <f aca="false">IF(BR394=1,0,IFERROR(VLOOKUP(BP394,'Gebinde-Kategorie'!$A$5:$M$45,13,0)+0,0))</f>
        <v>66</v>
      </c>
      <c r="R394" s="61"/>
      <c r="S394" s="62"/>
      <c r="T394" s="62"/>
      <c r="U394" s="55"/>
      <c r="V394" s="57"/>
      <c r="W394" s="57"/>
      <c r="X394" s="55" t="n">
        <f aca="false">IF(A394="","",IF(AND(Parameter!$B$21="Ja",ISNUMBER(U394)),U394,IF(IFERROR(VLOOKUP(D394,Parameter!$A$35:$C$64,2,0),"Nein")="2+3",IF(ISNUMBER(SEARCH("grosser Artikel",BM394)),2,IFERROR(VLOOKUP(BP394,Parameter!$F$35:$G$64,2,0),2)),IF(OR(IFERROR(VLOOKUP(D394,Parameter!$A$35:$C$64,2,0),"Nein")="Nein",IFERROR(VLOOKUP(D394,Parameter!$A$35:$C$64,2,0),"Nein")=""),"-",VLOOKUP(D394,Parameter!$A$35:$C$64,2,0)))))</f>
        <v>3</v>
      </c>
      <c r="Y394" s="62"/>
      <c r="Z394" s="63"/>
      <c r="AA394" s="57" t="n">
        <f aca="false">AP394</f>
        <v>158</v>
      </c>
      <c r="AB394" s="57" t="n">
        <f aca="false">MAX(AP394,G394)</f>
        <v>158</v>
      </c>
      <c r="AC394" s="64"/>
      <c r="AD394" s="57" t="n">
        <f aca="false">IF(LEFT(Cockpit!$C$5,1)="A",G394,IF(BW394=1,BX394,IF(LEFT(Cockpit!$C$5,1)="B",AH394,MAX(AH394,G394))))</f>
        <v>54</v>
      </c>
      <c r="AE394" s="57" t="n">
        <f aca="false">IF(BR394=1,0,ROUNDUP(AD394/BQ394,0))</f>
        <v>1</v>
      </c>
      <c r="AF394" s="59" t="n">
        <f aca="false">IF(CD394&gt;0,CD394*MAX(1,AD394/V394),IF(BR394=1,IF(AD394&lt;=0,0,BS394*MAX(1,IF(G394&gt;0,AD394/G394,1))),IF(Q394&gt;0,AE394/Q394,0))/MAX(0.1,N(Parameter!$M$21)))</f>
        <v>0.0151515151515152</v>
      </c>
      <c r="AG394" s="57" t="n">
        <f aca="false">AD394*F394</f>
        <v>117.72</v>
      </c>
      <c r="AH394" s="57" t="n">
        <f aca="false">ROUNDUP(MAX(I394/IF(BV394&gt;0,BV394,MAX(0.1,N(Cockpit!$C$6))),BY394)/BQ394,0)*BQ394</f>
        <v>158</v>
      </c>
      <c r="AI394" s="58" t="n">
        <f aca="false">IF(AF394&gt;0,I394/AF394,-1)</f>
        <v>8316</v>
      </c>
      <c r="AJ394" s="58" t="n">
        <f aca="false">IF(AND(OR(BU394="L1",BU394="L23"),AF394&gt;0),SUMIFS($AF$7:$AF$1576,$BU$7:$BU$1576,BU394,$AI$7:$AI$1576,"&gt;"&amp;AI394)+SUMIFS($AF$7:$AF$1576,$BU$7:$BU$1576,BU394,$AI$7:$AI$1576,AI394,$BO$7:$BO$1576,"&lt;="&amp;BO394),"")</f>
        <v>2.88477585216716</v>
      </c>
      <c r="AK394" s="65" t="n">
        <f aca="false">IF(AJ394="",0,MAX(0,MIN(1,(IF(BU394="L1",Parameter!$E$5,Parameter!$E$6+Parameter!$E$7)-(AJ394-AF394))/AF394)))</f>
        <v>1</v>
      </c>
      <c r="AL394" s="57" t="n">
        <f aca="false">IF(LEFT(Cockpit!$I$5,1)="A",G394,IF(BW394=1,BX394,IF(LEFT(Cockpit!$I$5,1)="B",AP394,MAX(AP394,G394))))</f>
        <v>158</v>
      </c>
      <c r="AM394" s="57" t="n">
        <f aca="false">IF(BR394=1,0,ROUNDUP(AL394/BQ394,0))</f>
        <v>2</v>
      </c>
      <c r="AN394" s="59" t="n">
        <f aca="false">IF(CD394&gt;0,CD394*MAX(1,AL394/V394),IF(BR394=1,IF(AL394&lt;=0,0,BS394*MAX(1,IF(G394&gt;0,AL394/G394,1))),IF(Q394&gt;0,AM394/Q394,0))/MAX(0.1,N(Parameter!$M$21)))</f>
        <v>0.0303030303030303</v>
      </c>
      <c r="AO394" s="57" t="n">
        <f aca="false">AL394*F394</f>
        <v>344.44</v>
      </c>
      <c r="AP394" s="57" t="n">
        <f aca="false">ROUNDUP(MAX(I394/IF(BV394&gt;0,BV394,MAX(0.1,N(Cockpit!$I$6))),BY394)/BQ394,0)*BQ394</f>
        <v>158</v>
      </c>
      <c r="AQ394" s="58" t="n">
        <f aca="false">IF(AN394&gt;0,I394/AN394,-1)</f>
        <v>4158</v>
      </c>
      <c r="AR394" s="58" t="n">
        <f aca="false">IF(AND(OR(BU394="L1",BU394="L23"),AN394&gt;0),SUMIFS($AN$7:$AN$1576,$BU$7:$BU$1576,BU394,$AQ$7:$AQ$1576,"&gt;"&amp;AQ394)+SUMIFS($AN$7:$AN$1576,$BU$7:$BU$1576,BU394,$AQ$7:$AQ$1576,AQ394,$BO$7:$BO$1576,"&lt;="&amp;BO394),"")</f>
        <v>12.7679932873889</v>
      </c>
      <c r="AS394" s="65" t="n">
        <f aca="false">IF(AR394="",0,MAX(0,MIN(1,(IF(BU394="L1",Parameter!$E$5,Parameter!$E$6+Parameter!$E$7)-(AR394-AN394))/AN394)))</f>
        <v>1</v>
      </c>
      <c r="AT394" s="57" t="n">
        <f aca="false">IF(LEFT(Cockpit!$O$5,1)="A",G394,IF(BW394=1,BX394,IF(LEFT(Cockpit!$O$5,1)="B",AX394,MAX(AX394,G394))))</f>
        <v>158</v>
      </c>
      <c r="AU394" s="57" t="n">
        <f aca="false">IF(BR394=1,0,ROUNDUP(AT394/BQ394,0))</f>
        <v>2</v>
      </c>
      <c r="AV394" s="59" t="n">
        <f aca="false">IF(CD394&gt;0,CD394*MAX(1,AT394/V394),IF(BR394=1,IF(AT394&lt;=0,0,BS394*MAX(1,IF(G394&gt;0,AT394/G394,1))),IF(Q394&gt;0,AU394/Q394,0))/MAX(0.1,N(Parameter!$M$21)))</f>
        <v>0.0303030303030303</v>
      </c>
      <c r="AW394" s="57" t="n">
        <f aca="false">AT394*F394</f>
        <v>344.44</v>
      </c>
      <c r="AX394" s="57" t="n">
        <f aca="false">ROUNDUP(MAX(I394/IF(BV394&gt;0,BV394,MAX(0.1,N(Cockpit!$O$6))),BY394)/BQ394,0)*BQ394</f>
        <v>158</v>
      </c>
      <c r="AY394" s="58" t="n">
        <f aca="false">IF(AV394&gt;0,I394/AV394,-1)</f>
        <v>4158</v>
      </c>
      <c r="AZ394" s="58" t="n">
        <f aca="false">IF(AND(OR(BU394="L1",BU394="L23"),AV394&gt;0),SUMIFS($AV$7:$AV$1576,$BU$7:$BU$1576,BU394,$AY$7:$AY$1576,"&gt;"&amp;AY394)+SUMIFS($AV$7:$AV$1576,$BU$7:$BU$1576,BU394,$AY$7:$AY$1576,AY394,$BO$7:$BO$1576,"&lt;="&amp;BO394),"")</f>
        <v>11.4888557582514</v>
      </c>
      <c r="BA394" s="65" t="n">
        <f aca="false">IF(AZ394="",0,MAX(0,MIN(1,(IF(BU394="L1",Parameter!$E$5,Parameter!$E$6+Parameter!$E$7)-(AZ394-AV394))/AV394)))</f>
        <v>1</v>
      </c>
      <c r="BB394" s="55" t="str">
        <f aca="false">IF(AF394&lt;=0,"",IF(BU394="Aussen","Aussenlager",IF(BU394="-","Nicht im Lift",IF(AK394&gt;=1,"Lift",IF(AK394&lt;=0,"Aussenlager","teilweise")))))</f>
        <v>Lift</v>
      </c>
      <c r="BC394" s="55" t="str">
        <f aca="false">IF(AN394&lt;=0,"",IF(BU394="Aussen","Aussenlager",IF(BU394="-","Nicht im Lift",IF(AS394&gt;=1,"Lift",IF(AS394&lt;=0,"Aussenlager","teilweise")))))</f>
        <v>Lift</v>
      </c>
      <c r="BD394" s="55" t="str">
        <f aca="false">IF(AV394&lt;=0,"",IF(BU394="Aussen","Aussenlager",IF(BU394="-","Nicht im Lift",IF(BA394&gt;=1,"Lift",IF(BA394&lt;=0,"Aussenlager","teilweise")))))</f>
        <v>Lift</v>
      </c>
      <c r="BE394" s="55" t="str">
        <f aca="false">IF(A394="","",IF(BN394=1,"Neu; ","")&amp;IF(AND(BN394=0,BI394&lt;0),"negativer Bestand (Export "&amp;BI394&amp;"); ","")&amp;IF(I394&lt;=0,"Kein Verbrauch; ","")&amp;IF(CD394&gt;0,"Lift "&amp;U394&amp;" lt. Liftbericht (Fach "&amp;V394&amp;" Stk); ",IF(BR394=1,"Lose – Fläche geschätzt; ",""))&amp;IF(G394&gt;AP394,"Überbestand "&amp;ROUND(G394-AP394,0)&amp;" Stk / CHF "&amp;ROUND((G394-AP394)*F394,0)&amp;"; ","")&amp;IF(AND(BW394=1,BX394&lt;BY394),"MAX &lt; MB+LG; ","")&amp;IF(AND(CC394&gt;0,CB394*10&gt;CC394),"zu hoch für Tablar; ","")&amp;IF(AND(BN394=0,OR(BW394=1,Y394&lt;&gt;"",S394&lt;&gt;"",T394&lt;&gt;"",Z394&lt;&gt;"")),"manuell übersteuert; ","")&amp;IF(AND(BR394=0,Q394=0),"Gebinde unbekannt / Stellmass fehlt; ","")&amp;IF(AND(BR394=0,N(T394)&lt;=0,N(P394)&lt;=0),"Menge pro Gebinde fehlt (Ist = 1 Gebinde); ","")&amp;BM394)</f>
        <v/>
      </c>
      <c r="BF394" s="55"/>
      <c r="BG394" s="55"/>
      <c r="BH394" s="62"/>
      <c r="BI394" s="57" t="n">
        <v>54</v>
      </c>
      <c r="BJ394" s="57" t="n">
        <v>57</v>
      </c>
      <c r="BK394" s="56" t="n">
        <v>115.44</v>
      </c>
      <c r="BL394" s="57" t="n">
        <v>126</v>
      </c>
      <c r="BM394" s="55"/>
      <c r="BN394" s="60" t="n">
        <v>0</v>
      </c>
      <c r="BO394" s="60" t="n">
        <v>394</v>
      </c>
      <c r="BP394" s="55" t="str">
        <f aca="false">IF(S394&lt;&gt;"",UPPER(TRIM(S394)),IF(O394="","LOSE",O394))</f>
        <v>S33</v>
      </c>
      <c r="BQ394" s="57" t="n">
        <f aca="false">IF(BP394="LOSE",1,IF(N(T394)&gt;0,T394,IF(N(P394)&gt;0,P394,MAX(1,G394))))</f>
        <v>79</v>
      </c>
      <c r="BR394" s="60" t="n">
        <f aca="false">IF(BP394="LOSE",1,0)</f>
        <v>0</v>
      </c>
      <c r="BS394" s="59" t="n">
        <f aca="false">IF(BR394=0,0,IF(N(R394)&gt;0,R394,IFERROR(VLOOKUP(D394,Parameter!$A$35:$C$64,3,0)+0,0)))</f>
        <v>0</v>
      </c>
      <c r="BT394" s="55" t="n">
        <f aca="false">IF(Y394&lt;&gt;"",Y394,X394)</f>
        <v>3</v>
      </c>
      <c r="BU394" s="55" t="str">
        <f aca="false">IF(BT394=1,"L1",IF(OR(BT394=2,BT394=3),"L23",IF(BT394="Aussen","Aussen","-")))</f>
        <v>L23</v>
      </c>
      <c r="BV394" s="66" t="n">
        <f aca="false">IF(N(Z394)&gt;0,Z394,0)</f>
        <v>0</v>
      </c>
      <c r="BW394" s="60" t="n">
        <f aca="false">IF(ISNUMBER(AC394),1,0)</f>
        <v>0</v>
      </c>
      <c r="BX394" s="57" t="n">
        <f aca="false">N(AC394)</f>
        <v>0</v>
      </c>
      <c r="BY394" s="57" t="n">
        <f aca="false">N(L394)+N(M394)</f>
        <v>129</v>
      </c>
      <c r="BZ394" s="57" t="n">
        <f aca="false">ROUNDUP(G394/BQ394,0)</f>
        <v>1</v>
      </c>
      <c r="CA394" s="57" t="n">
        <f aca="false">ROUNDUP(BX394/BQ394,0)</f>
        <v>0</v>
      </c>
      <c r="CB394" s="60" t="n">
        <f aca="false">IF(BR394=1,0,IFERROR(VLOOKUP(BP394,'Gebinde-Kategorie'!$A$5:$M$45,5,0)+0,0))</f>
        <v>8</v>
      </c>
      <c r="CC394" s="60" t="n">
        <f aca="false">IFERROR(IF(OR(BT394=1,BT394=2,BT394=3),N(INDEX(Parameter!$I$5:$I$7,BT394)),0),0)</f>
        <v>0</v>
      </c>
      <c r="CD394" s="59" t="n">
        <f aca="false">IF(AND(Parameter!$B$21="Ja",ISNUMBER(U394),N(V394)&gt;0),IFERROR(N(INDEX(Parameter!$L$5:$L$7,U394))*INDEX(Parameter!$E$5:$E$7,U394)*V394/SUMIFS($V$7:$V$1576,$U$7:$U$1576,U394),0),0)</f>
        <v>0</v>
      </c>
    </row>
    <row r="395" customFormat="false" ht="15" hidden="false" customHeight="false" outlineLevel="0" collapsed="false">
      <c r="A395" s="55" t="s">
        <v>918</v>
      </c>
      <c r="B395" s="55" t="s">
        <v>850</v>
      </c>
      <c r="C395" s="55" t="s">
        <v>160</v>
      </c>
      <c r="D395" s="55" t="s">
        <v>168</v>
      </c>
      <c r="E395" s="55" t="s">
        <v>210</v>
      </c>
      <c r="F395" s="56" t="n">
        <v>12.74</v>
      </c>
      <c r="G395" s="57" t="n">
        <f aca="false">MAX(0,IF(AND(Parameter!$B$21="Ja",ISNUMBER(W395)),W395,IF(Parameter!$B$20="Jahresanfang 2025 + Export",BJ395+BI395,BI395)))</f>
        <v>9</v>
      </c>
      <c r="H395" s="57" t="n">
        <f aca="false">G395*F395</f>
        <v>114.66</v>
      </c>
      <c r="I395" s="57" t="n">
        <f aca="false">BL395*Parameter!$B$18</f>
        <v>10</v>
      </c>
      <c r="J395" s="58" t="n">
        <v>0</v>
      </c>
      <c r="K395" s="59" t="n">
        <v>0</v>
      </c>
      <c r="L395" s="57" t="n">
        <v>0</v>
      </c>
      <c r="M395" s="57" t="n">
        <v>10</v>
      </c>
      <c r="N395" s="60" t="n">
        <v>14</v>
      </c>
      <c r="O395" s="55" t="s">
        <v>163</v>
      </c>
      <c r="P395" s="57"/>
      <c r="Q395" s="60" t="n">
        <f aca="false">IF(BR395=1,0,IFERROR(VLOOKUP(BP395,'Gebinde-Kategorie'!$A$5:$M$45,13,0)+0,0))</f>
        <v>0</v>
      </c>
      <c r="R395" s="61"/>
      <c r="S395" s="62"/>
      <c r="T395" s="62"/>
      <c r="U395" s="55"/>
      <c r="V395" s="57"/>
      <c r="W395" s="57"/>
      <c r="X395" s="55" t="n">
        <f aca="false">IF(A395="","",IF(AND(Parameter!$B$21="Ja",ISNUMBER(U395)),U395,IF(IFERROR(VLOOKUP(D395,Parameter!$A$35:$C$64,2,0),"Nein")="2+3",IF(ISNUMBER(SEARCH("grosser Artikel",BM395)),2,IFERROR(VLOOKUP(BP395,Parameter!$F$35:$G$64,2,0),2)),IF(OR(IFERROR(VLOOKUP(D395,Parameter!$A$35:$C$64,2,0),"Nein")="Nein",IFERROR(VLOOKUP(D395,Parameter!$A$35:$C$64,2,0),"Nein")=""),"-",VLOOKUP(D395,Parameter!$A$35:$C$64,2,0)))))</f>
        <v>2</v>
      </c>
      <c r="Y395" s="62"/>
      <c r="Z395" s="63"/>
      <c r="AA395" s="57" t="n">
        <f aca="false">AP395</f>
        <v>10</v>
      </c>
      <c r="AB395" s="57" t="n">
        <f aca="false">MAX(AP395,G395)</f>
        <v>10</v>
      </c>
      <c r="AC395" s="64"/>
      <c r="AD395" s="57" t="n">
        <f aca="false">IF(LEFT(Cockpit!$C$5,1)="A",G395,IF(BW395=1,BX395,IF(LEFT(Cockpit!$C$5,1)="B",AH395,MAX(AH395,G395))))</f>
        <v>9</v>
      </c>
      <c r="AE395" s="57" t="n">
        <f aca="false">IF(BR395=1,0,ROUNDUP(AD395/BQ395,0))</f>
        <v>0</v>
      </c>
      <c r="AF395" s="59" t="n">
        <f aca="false">IF(CD395&gt;0,CD395*MAX(1,AD395/V395),IF(BR395=1,IF(AD395&lt;=0,0,BS395*MAX(1,IF(G395&gt;0,AD395/G395,1))),IF(Q395&gt;0,AE395/Q395,0))/MAX(0.1,N(Parameter!$M$21)))</f>
        <v>0.15</v>
      </c>
      <c r="AG395" s="57" t="n">
        <f aca="false">AD395*F395</f>
        <v>114.66</v>
      </c>
      <c r="AH395" s="57" t="n">
        <f aca="false">ROUNDUP(MAX(I395/IF(BV395&gt;0,BV395,MAX(0.1,N(Cockpit!$C$6))),BY395)/BQ395,0)*BQ395</f>
        <v>10</v>
      </c>
      <c r="AI395" s="58" t="n">
        <f aca="false">IF(AF395&gt;0,I395/AF395,-1)</f>
        <v>66.6666666666667</v>
      </c>
      <c r="AJ395" s="58" t="n">
        <f aca="false">IF(AND(OR(BU395="L1",BU395="L23"),AF395&gt;0),SUMIFS($AF$7:$AF$1576,$BU$7:$BU$1576,BU395,$AI$7:$AI$1576,"&gt;"&amp;AI395)+SUMIFS($AF$7:$AF$1576,$BU$7:$BU$1576,BU395,$AI$7:$AI$1576,AI395,$BO$7:$BO$1576,"&lt;="&amp;BO395),"")</f>
        <v>24.6679196648762</v>
      </c>
      <c r="AK395" s="65" t="n">
        <f aca="false">IF(AJ395="",0,MAX(0,MIN(1,(IF(BU395="L1",Parameter!$E$5,Parameter!$E$6+Parameter!$E$7)-(AJ395-AF395))/AF395)))</f>
        <v>1</v>
      </c>
      <c r="AL395" s="57" t="n">
        <f aca="false">IF(LEFT(Cockpit!$I$5,1)="A",G395,IF(BW395=1,BX395,IF(LEFT(Cockpit!$I$5,1)="B",AP395,MAX(AP395,G395))))</f>
        <v>10</v>
      </c>
      <c r="AM395" s="57" t="n">
        <f aca="false">IF(BR395=1,0,ROUNDUP(AL395/BQ395,0))</f>
        <v>0</v>
      </c>
      <c r="AN395" s="59" t="n">
        <f aca="false">IF(CD395&gt;0,CD395*MAX(1,AL395/V395),IF(BR395=1,IF(AL395&lt;=0,0,BS395*MAX(1,IF(G395&gt;0,AL395/G395,1))),IF(Q395&gt;0,AM395/Q395,0))/MAX(0.1,N(Parameter!$M$21)))</f>
        <v>0.166666666666667</v>
      </c>
      <c r="AO395" s="57" t="n">
        <f aca="false">AL395*F395</f>
        <v>127.4</v>
      </c>
      <c r="AP395" s="57" t="n">
        <f aca="false">ROUNDUP(MAX(I395/IF(BV395&gt;0,BV395,MAX(0.1,N(Cockpit!$I$6))),BY395)/BQ395,0)*BQ395</f>
        <v>10</v>
      </c>
      <c r="AQ395" s="58" t="n">
        <f aca="false">IF(AN395&gt;0,I395/AN395,-1)</f>
        <v>60</v>
      </c>
      <c r="AR395" s="58" t="n">
        <f aca="false">IF(AND(OR(BU395="L1",BU395="L23"),AN395&gt;0),SUMIFS($AN$7:$AN$1576,$BU$7:$BU$1576,BU395,$AQ$7:$AQ$1576,"&gt;"&amp;AQ395)+SUMIFS($AN$7:$AN$1576,$BU$7:$BU$1576,BU395,$AQ$7:$AQ$1576,AQ395,$BO$7:$BO$1576,"&lt;="&amp;BO395),"")</f>
        <v>77.4093576656188</v>
      </c>
      <c r="AS395" s="65" t="n">
        <f aca="false">IF(AR395="",0,MAX(0,MIN(1,(IF(BU395="L1",Parameter!$E$5,Parameter!$E$6+Parameter!$E$7)-(AR395-AN395))/AN395)))</f>
        <v>1</v>
      </c>
      <c r="AT395" s="57" t="n">
        <f aca="false">IF(LEFT(Cockpit!$O$5,1)="A",G395,IF(BW395=1,BX395,IF(LEFT(Cockpit!$O$5,1)="B",AX395,MAX(AX395,G395))))</f>
        <v>10</v>
      </c>
      <c r="AU395" s="57" t="n">
        <f aca="false">IF(BR395=1,0,ROUNDUP(AT395/BQ395,0))</f>
        <v>0</v>
      </c>
      <c r="AV395" s="59" t="n">
        <f aca="false">IF(CD395&gt;0,CD395*MAX(1,AT395/V395),IF(BR395=1,IF(AT395&lt;=0,0,BS395*MAX(1,IF(G395&gt;0,AT395/G395,1))),IF(Q395&gt;0,AU395/Q395,0))/MAX(0.1,N(Parameter!$M$21)))</f>
        <v>0.166666666666667</v>
      </c>
      <c r="AW395" s="57" t="n">
        <f aca="false">AT395*F395</f>
        <v>127.4</v>
      </c>
      <c r="AX395" s="57" t="n">
        <f aca="false">ROUNDUP(MAX(I395/IF(BV395&gt;0,BV395,MAX(0.1,N(Cockpit!$O$6))),BY395)/BQ395,0)*BQ395</f>
        <v>10</v>
      </c>
      <c r="AY395" s="58" t="n">
        <f aca="false">IF(AV395&gt;0,I395/AV395,-1)</f>
        <v>60</v>
      </c>
      <c r="AZ395" s="58" t="n">
        <f aca="false">IF(AND(OR(BU395="L1",BU395="L23"),AV395&gt;0),SUMIFS($AV$7:$AV$1576,$BU$7:$BU$1576,BU395,$AY$7:$AY$1576,"&gt;"&amp;AY395)+SUMIFS($AV$7:$AV$1576,$BU$7:$BU$1576,BU395,$AY$7:$AY$1576,AY395,$BO$7:$BO$1576,"&lt;="&amp;BO395),"")</f>
        <v>75.610574781836</v>
      </c>
      <c r="BA395" s="65" t="n">
        <f aca="false">IF(AZ395="",0,MAX(0,MIN(1,(IF(BU395="L1",Parameter!$E$5,Parameter!$E$6+Parameter!$E$7)-(AZ395-AV395))/AV395)))</f>
        <v>1</v>
      </c>
      <c r="BB395" s="55" t="str">
        <f aca="false">IF(AF395&lt;=0,"",IF(BU395="Aussen","Aussenlager",IF(BU395="-","Nicht im Lift",IF(AK395&gt;=1,"Lift",IF(AK395&lt;=0,"Aussenlager","teilweise")))))</f>
        <v>Lift</v>
      </c>
      <c r="BC395" s="55" t="str">
        <f aca="false">IF(AN395&lt;=0,"",IF(BU395="Aussen","Aussenlager",IF(BU395="-","Nicht im Lift",IF(AS395&gt;=1,"Lift",IF(AS395&lt;=0,"Aussenlager","teilweise")))))</f>
        <v>Lift</v>
      </c>
      <c r="BD395" s="55" t="str">
        <f aca="false">IF(AV395&lt;=0,"",IF(BU395="Aussen","Aussenlager",IF(BU395="-","Nicht im Lift",IF(BA395&gt;=1,"Lift",IF(BA395&lt;=0,"Aussenlager","teilweise")))))</f>
        <v>Lift</v>
      </c>
      <c r="BE395" s="55" t="str">
        <f aca="false">IF(A395="","",IF(BN395=1,"Neu; ","")&amp;IF(AND(BN395=0,BI395&lt;0),"negativer Bestand (Export "&amp;BI395&amp;"); ","")&amp;IF(I395&lt;=0,"Kein Verbrauch; ","")&amp;IF(CD395&gt;0,"Lift "&amp;U395&amp;" lt. Liftbericht (Fach "&amp;V395&amp;" Stk); ",IF(BR395=1,"Lose – Fläche geschätzt; ",""))&amp;IF(G395&gt;AP395,"Überbestand "&amp;ROUND(G395-AP395,0)&amp;" Stk / CHF "&amp;ROUND((G395-AP395)*F395,0)&amp;"; ","")&amp;IF(AND(BW395=1,BX395&lt;BY395),"MAX &lt; MB+LG; ","")&amp;IF(AND(CC395&gt;0,CB395*10&gt;CC395),"zu hoch für Tablar; ","")&amp;IF(AND(BN395=0,OR(BW395=1,Y395&lt;&gt;"",S395&lt;&gt;"",T395&lt;&gt;"",Z395&lt;&gt;"")),"manuell übersteuert; ","")&amp;IF(AND(BR395=0,Q395=0),"Gebinde unbekannt / Stellmass fehlt; ","")&amp;IF(AND(BR395=0,N(T395)&lt;=0,N(P395)&lt;=0),"Menge pro Gebinde fehlt (Ist = 1 Gebinde); ","")&amp;BM395)</f>
        <v>Lose – Fläche geschätzt; </v>
      </c>
      <c r="BF395" s="55"/>
      <c r="BG395" s="55"/>
      <c r="BH395" s="62"/>
      <c r="BI395" s="57" t="n">
        <v>9</v>
      </c>
      <c r="BJ395" s="57" t="n">
        <v>0</v>
      </c>
      <c r="BK395" s="56" t="n">
        <v>114.66</v>
      </c>
      <c r="BL395" s="57" t="n">
        <v>10</v>
      </c>
      <c r="BM395" s="55"/>
      <c r="BN395" s="60" t="n">
        <v>0</v>
      </c>
      <c r="BO395" s="60" t="n">
        <v>395</v>
      </c>
      <c r="BP395" s="55" t="str">
        <f aca="false">IF(S395&lt;&gt;"",UPPER(TRIM(S395)),IF(O395="","LOSE",O395))</f>
        <v>LOSE</v>
      </c>
      <c r="BQ395" s="57" t="n">
        <f aca="false">IF(BP395="LOSE",1,IF(N(T395)&gt;0,T395,IF(N(P395)&gt;0,P395,MAX(1,G395))))</f>
        <v>1</v>
      </c>
      <c r="BR395" s="60" t="n">
        <f aca="false">IF(BP395="LOSE",1,0)</f>
        <v>1</v>
      </c>
      <c r="BS395" s="59" t="n">
        <f aca="false">IF(BR395=0,0,IF(N(R395)&gt;0,R395,IFERROR(VLOOKUP(D395,Parameter!$A$35:$C$64,3,0)+0,0)))</f>
        <v>0.15</v>
      </c>
      <c r="BT395" s="55" t="n">
        <f aca="false">IF(Y395&lt;&gt;"",Y395,X395)</f>
        <v>2</v>
      </c>
      <c r="BU395" s="55" t="str">
        <f aca="false">IF(BT395=1,"L1",IF(OR(BT395=2,BT395=3),"L23",IF(BT395="Aussen","Aussen","-")))</f>
        <v>L23</v>
      </c>
      <c r="BV395" s="66" t="n">
        <f aca="false">IF(N(Z395)&gt;0,Z395,0)</f>
        <v>0</v>
      </c>
      <c r="BW395" s="60" t="n">
        <f aca="false">IF(ISNUMBER(AC395),1,0)</f>
        <v>0</v>
      </c>
      <c r="BX395" s="57" t="n">
        <f aca="false">N(AC395)</f>
        <v>0</v>
      </c>
      <c r="BY395" s="57" t="n">
        <f aca="false">N(L395)+N(M395)</f>
        <v>10</v>
      </c>
      <c r="BZ395" s="57" t="n">
        <f aca="false">ROUNDUP(G395/BQ395,0)</f>
        <v>9</v>
      </c>
      <c r="CA395" s="57" t="n">
        <f aca="false">ROUNDUP(BX395/BQ395,0)</f>
        <v>0</v>
      </c>
      <c r="CB395" s="60" t="n">
        <f aca="false">IF(BR395=1,0,IFERROR(VLOOKUP(BP395,'Gebinde-Kategorie'!$A$5:$M$45,5,0)+0,0))</f>
        <v>0</v>
      </c>
      <c r="CC395" s="60" t="n">
        <f aca="false">IFERROR(IF(OR(BT395=1,BT395=2,BT395=3),N(INDEX(Parameter!$I$5:$I$7,BT395)),0),0)</f>
        <v>0</v>
      </c>
      <c r="CD395" s="59" t="n">
        <f aca="false">IF(AND(Parameter!$B$21="Ja",ISNUMBER(U395),N(V395)&gt;0),IFERROR(N(INDEX(Parameter!$L$5:$L$7,U395))*INDEX(Parameter!$E$5:$E$7,U395)*V395/SUMIFS($V$7:$V$1576,$U$7:$U$1576,U395),0),0)</f>
        <v>0</v>
      </c>
    </row>
    <row r="396" customFormat="false" ht="15" hidden="false" customHeight="false" outlineLevel="0" collapsed="false">
      <c r="A396" s="55" t="s">
        <v>919</v>
      </c>
      <c r="B396" s="55" t="s">
        <v>578</v>
      </c>
      <c r="C396" s="55" t="s">
        <v>160</v>
      </c>
      <c r="D396" s="55" t="s">
        <v>178</v>
      </c>
      <c r="E396" s="55" t="s">
        <v>210</v>
      </c>
      <c r="F396" s="56" t="n">
        <v>18.24</v>
      </c>
      <c r="G396" s="57" t="n">
        <f aca="false">MAX(0,IF(AND(Parameter!$B$21="Ja",ISNUMBER(W396)),W396,IF(Parameter!$B$20="Jahresanfang 2025 + Export",BJ396+BI396,BI396)))</f>
        <v>4</v>
      </c>
      <c r="H396" s="57" t="n">
        <f aca="false">G396*F396</f>
        <v>72.96</v>
      </c>
      <c r="I396" s="57" t="n">
        <f aca="false">BL396*Parameter!$B$18</f>
        <v>40</v>
      </c>
      <c r="J396" s="58" t="n">
        <v>39</v>
      </c>
      <c r="K396" s="59" t="n">
        <v>1.02564102564103</v>
      </c>
      <c r="L396" s="57" t="n">
        <v>3</v>
      </c>
      <c r="M396" s="57" t="n">
        <v>40</v>
      </c>
      <c r="N396" s="60" t="n">
        <v>35</v>
      </c>
      <c r="O396" s="55" t="s">
        <v>391</v>
      </c>
      <c r="P396" s="57" t="n">
        <v>52</v>
      </c>
      <c r="Q396" s="60" t="n">
        <f aca="false">IF(BR396=1,0,IFERROR(VLOOKUP(BP396,'Gebinde-Kategorie'!$A$5:$M$45,13,0)+0,0))</f>
        <v>414</v>
      </c>
      <c r="R396" s="61"/>
      <c r="S396" s="62"/>
      <c r="T396" s="62"/>
      <c r="U396" s="55"/>
      <c r="V396" s="57"/>
      <c r="W396" s="57"/>
      <c r="X396" s="55" t="n">
        <f aca="false">IF(A396="","",IF(AND(Parameter!$B$21="Ja",ISNUMBER(U396)),U396,IF(IFERROR(VLOOKUP(D396,Parameter!$A$35:$C$64,2,0),"Nein")="2+3",IF(ISNUMBER(SEARCH("grosser Artikel",BM396)),2,IFERROR(VLOOKUP(BP396,Parameter!$F$35:$G$64,2,0),2)),IF(OR(IFERROR(VLOOKUP(D396,Parameter!$A$35:$C$64,2,0),"Nein")="Nein",IFERROR(VLOOKUP(D396,Parameter!$A$35:$C$64,2,0),"Nein")=""),"-",VLOOKUP(D396,Parameter!$A$35:$C$64,2,0)))))</f>
        <v>3</v>
      </c>
      <c r="Y396" s="62"/>
      <c r="Z396" s="63"/>
      <c r="AA396" s="57" t="n">
        <f aca="false">AP396</f>
        <v>52</v>
      </c>
      <c r="AB396" s="57" t="n">
        <f aca="false">MAX(AP396,G396)</f>
        <v>52</v>
      </c>
      <c r="AC396" s="64"/>
      <c r="AD396" s="57" t="n">
        <f aca="false">IF(LEFT(Cockpit!$C$5,1)="A",G396,IF(BW396=1,BX396,IF(LEFT(Cockpit!$C$5,1)="B",AH396,MAX(AH396,G396))))</f>
        <v>4</v>
      </c>
      <c r="AE396" s="57" t="n">
        <f aca="false">IF(BR396=1,0,ROUNDUP(AD396/BQ396,0))</f>
        <v>1</v>
      </c>
      <c r="AF396" s="59" t="n">
        <f aca="false">IF(CD396&gt;0,CD396*MAX(1,AD396/V396),IF(BR396=1,IF(AD396&lt;=0,0,BS396*MAX(1,IF(G396&gt;0,AD396/G396,1))),IF(Q396&gt;0,AE396/Q396,0))/MAX(0.1,N(Parameter!$M$21)))</f>
        <v>0.00241545893719807</v>
      </c>
      <c r="AG396" s="57" t="n">
        <f aca="false">AD396*F396</f>
        <v>72.96</v>
      </c>
      <c r="AH396" s="57" t="n">
        <f aca="false">ROUNDUP(MAX(I396/IF(BV396&gt;0,BV396,MAX(0.1,N(Cockpit!$C$6))),BY396)/BQ396,0)*BQ396</f>
        <v>52</v>
      </c>
      <c r="AI396" s="58" t="n">
        <f aca="false">IF(AF396&gt;0,I396/AF396,-1)</f>
        <v>16560</v>
      </c>
      <c r="AJ396" s="58" t="n">
        <f aca="false">IF(AND(OR(BU396="L1",BU396="L23"),AF396&gt;0),SUMIFS($AF$7:$AF$1576,$BU$7:$BU$1576,BU396,$AI$7:$AI$1576,"&gt;"&amp;AI396)+SUMIFS($AF$7:$AF$1576,$BU$7:$BU$1576,BU396,$AI$7:$AI$1576,AI396,$BO$7:$BO$1576,"&lt;="&amp;BO396),"")</f>
        <v>2.15724975507584</v>
      </c>
      <c r="AK396" s="65" t="n">
        <f aca="false">IF(AJ396="",0,MAX(0,MIN(1,(IF(BU396="L1",Parameter!$E$5,Parameter!$E$6+Parameter!$E$7)-(AJ396-AF396))/AF396)))</f>
        <v>1</v>
      </c>
      <c r="AL396" s="57" t="n">
        <f aca="false">IF(LEFT(Cockpit!$I$5,1)="A",G396,IF(BW396=1,BX396,IF(LEFT(Cockpit!$I$5,1)="B",AP396,MAX(AP396,G396))))</f>
        <v>52</v>
      </c>
      <c r="AM396" s="57" t="n">
        <f aca="false">IF(BR396=1,0,ROUNDUP(AL396/BQ396,0))</f>
        <v>1</v>
      </c>
      <c r="AN396" s="59" t="n">
        <f aca="false">IF(CD396&gt;0,CD396*MAX(1,AL396/V396),IF(BR396=1,IF(AL396&lt;=0,0,BS396*MAX(1,IF(G396&gt;0,AL396/G396,1))),IF(Q396&gt;0,AM396/Q396,0))/MAX(0.1,N(Parameter!$M$21)))</f>
        <v>0.00241545893719807</v>
      </c>
      <c r="AO396" s="57" t="n">
        <f aca="false">AL396*F396</f>
        <v>948.48</v>
      </c>
      <c r="AP396" s="57" t="n">
        <f aca="false">ROUNDUP(MAX(I396/IF(BV396&gt;0,BV396,MAX(0.1,N(Cockpit!$I$6))),BY396)/BQ396,0)*BQ396</f>
        <v>52</v>
      </c>
      <c r="AQ396" s="58" t="n">
        <f aca="false">IF(AN396&gt;0,I396/AN396,-1)</f>
        <v>16560</v>
      </c>
      <c r="AR396" s="58" t="n">
        <f aca="false">IF(AND(OR(BU396="L1",BU396="L23"),AN396&gt;0),SUMIFS($AN$7:$AN$1576,$BU$7:$BU$1576,BU396,$AQ$7:$AQ$1576,"&gt;"&amp;AQ396)+SUMIFS($AN$7:$AN$1576,$BU$7:$BU$1576,BU396,$AQ$7:$AQ$1576,AQ396,$BO$7:$BO$1576,"&lt;="&amp;BO396),"")</f>
        <v>5.44648119995946</v>
      </c>
      <c r="AS396" s="65" t="n">
        <f aca="false">IF(AR396="",0,MAX(0,MIN(1,(IF(BU396="L1",Parameter!$E$5,Parameter!$E$6+Parameter!$E$7)-(AR396-AN396))/AN396)))</f>
        <v>1</v>
      </c>
      <c r="AT396" s="57" t="n">
        <f aca="false">IF(LEFT(Cockpit!$O$5,1)="A",G396,IF(BW396=1,BX396,IF(LEFT(Cockpit!$O$5,1)="B",AX396,MAX(AX396,G396))))</f>
        <v>52</v>
      </c>
      <c r="AU396" s="57" t="n">
        <f aca="false">IF(BR396=1,0,ROUNDUP(AT396/BQ396,0))</f>
        <v>1</v>
      </c>
      <c r="AV396" s="59" t="n">
        <f aca="false">IF(CD396&gt;0,CD396*MAX(1,AT396/V396),IF(BR396=1,IF(AT396&lt;=0,0,BS396*MAX(1,IF(G396&gt;0,AT396/G396,1))),IF(Q396&gt;0,AU396/Q396,0))/MAX(0.1,N(Parameter!$M$21)))</f>
        <v>0.00241545893719807</v>
      </c>
      <c r="AW396" s="57" t="n">
        <f aca="false">AT396*F396</f>
        <v>948.48</v>
      </c>
      <c r="AX396" s="57" t="n">
        <f aca="false">ROUNDUP(MAX(I396/IF(BV396&gt;0,BV396,MAX(0.1,N(Cockpit!$O$6))),BY396)/BQ396,0)*BQ396</f>
        <v>52</v>
      </c>
      <c r="AY396" s="58" t="n">
        <f aca="false">IF(AV396&gt;0,I396/AV396,-1)</f>
        <v>16560</v>
      </c>
      <c r="AZ396" s="58" t="n">
        <f aca="false">IF(AND(OR(BU396="L1",BU396="L23"),AV396&gt;0),SUMIFS($AV$7:$AV$1576,$BU$7:$BU$1576,BU396,$AY$7:$AY$1576,"&gt;"&amp;AY396)+SUMIFS($AV$7:$AV$1576,$BU$7:$BU$1576,BU396,$AY$7:$AY$1576,AY396,$BO$7:$BO$1576,"&lt;="&amp;BO396),"")</f>
        <v>4.82760008107834</v>
      </c>
      <c r="BA396" s="65" t="n">
        <f aca="false">IF(AZ396="",0,MAX(0,MIN(1,(IF(BU396="L1",Parameter!$E$5,Parameter!$E$6+Parameter!$E$7)-(AZ396-AV396))/AV396)))</f>
        <v>1</v>
      </c>
      <c r="BB396" s="55" t="str">
        <f aca="false">IF(AF396&lt;=0,"",IF(BU396="Aussen","Aussenlager",IF(BU396="-","Nicht im Lift",IF(AK396&gt;=1,"Lift",IF(AK396&lt;=0,"Aussenlager","teilweise")))))</f>
        <v>Lift</v>
      </c>
      <c r="BC396" s="55" t="str">
        <f aca="false">IF(AN396&lt;=0,"",IF(BU396="Aussen","Aussenlager",IF(BU396="-","Nicht im Lift",IF(AS396&gt;=1,"Lift",IF(AS396&lt;=0,"Aussenlager","teilweise")))))</f>
        <v>Lift</v>
      </c>
      <c r="BD396" s="55" t="str">
        <f aca="false">IF(AV396&lt;=0,"",IF(BU396="Aussen","Aussenlager",IF(BU396="-","Nicht im Lift",IF(BA396&gt;=1,"Lift",IF(BA396&lt;=0,"Aussenlager","teilweise")))))</f>
        <v>Lift</v>
      </c>
      <c r="BE396" s="55" t="str">
        <f aca="false">IF(A396="","",IF(BN396=1,"Neu; ","")&amp;IF(AND(BN396=0,BI396&lt;0),"negativer Bestand (Export "&amp;BI396&amp;"); ","")&amp;IF(I396&lt;=0,"Kein Verbrauch; ","")&amp;IF(CD396&gt;0,"Lift "&amp;U396&amp;" lt. Liftbericht (Fach "&amp;V396&amp;" Stk); ",IF(BR396=1,"Lose – Fläche geschätzt; ",""))&amp;IF(G396&gt;AP396,"Überbestand "&amp;ROUND(G396-AP396,0)&amp;" Stk / CHF "&amp;ROUND((G396-AP396)*F396,0)&amp;"; ","")&amp;IF(AND(BW396=1,BX396&lt;BY396),"MAX &lt; MB+LG; ","")&amp;IF(AND(CC396&gt;0,CB396*10&gt;CC396),"zu hoch für Tablar; ","")&amp;IF(AND(BN396=0,OR(BW396=1,Y396&lt;&gt;"",S396&lt;&gt;"",T396&lt;&gt;"",Z396&lt;&gt;"")),"manuell übersteuert; ","")&amp;IF(AND(BR396=0,Q396=0),"Gebinde unbekannt / Stellmass fehlt; ","")&amp;IF(AND(BR396=0,N(T396)&lt;=0,N(P396)&lt;=0),"Menge pro Gebinde fehlt (Ist = 1 Gebinde); ","")&amp;BM396)</f>
        <v/>
      </c>
      <c r="BF396" s="55"/>
      <c r="BG396" s="55"/>
      <c r="BH396" s="62"/>
      <c r="BI396" s="57" t="n">
        <v>4</v>
      </c>
      <c r="BJ396" s="57" t="n">
        <v>52</v>
      </c>
      <c r="BK396" s="56" t="n">
        <v>114.04</v>
      </c>
      <c r="BL396" s="57" t="n">
        <v>40</v>
      </c>
      <c r="BM396" s="55"/>
      <c r="BN396" s="60" t="n">
        <v>0</v>
      </c>
      <c r="BO396" s="60" t="n">
        <v>396</v>
      </c>
      <c r="BP396" s="55" t="str">
        <f aca="false">IF(S396&lt;&gt;"",UPPER(TRIM(S396)),IF(O396="","LOSE",O396))</f>
        <v>S21</v>
      </c>
      <c r="BQ396" s="57" t="n">
        <f aca="false">IF(BP396="LOSE",1,IF(N(T396)&gt;0,T396,IF(N(P396)&gt;0,P396,MAX(1,G396))))</f>
        <v>52</v>
      </c>
      <c r="BR396" s="60" t="n">
        <f aca="false">IF(BP396="LOSE",1,0)</f>
        <v>0</v>
      </c>
      <c r="BS396" s="59" t="n">
        <f aca="false">IF(BR396=0,0,IF(N(R396)&gt;0,R396,IFERROR(VLOOKUP(D396,Parameter!$A$35:$C$64,3,0)+0,0)))</f>
        <v>0</v>
      </c>
      <c r="BT396" s="55" t="n">
        <f aca="false">IF(Y396&lt;&gt;"",Y396,X396)</f>
        <v>3</v>
      </c>
      <c r="BU396" s="55" t="str">
        <f aca="false">IF(BT396=1,"L1",IF(OR(BT396=2,BT396=3),"L23",IF(BT396="Aussen","Aussen","-")))</f>
        <v>L23</v>
      </c>
      <c r="BV396" s="66" t="n">
        <f aca="false">IF(N(Z396)&gt;0,Z396,0)</f>
        <v>0</v>
      </c>
      <c r="BW396" s="60" t="n">
        <f aca="false">IF(ISNUMBER(AC396),1,0)</f>
        <v>0</v>
      </c>
      <c r="BX396" s="57" t="n">
        <f aca="false">N(AC396)</f>
        <v>0</v>
      </c>
      <c r="BY396" s="57" t="n">
        <f aca="false">N(L396)+N(M396)</f>
        <v>43</v>
      </c>
      <c r="BZ396" s="57" t="n">
        <f aca="false">ROUNDUP(G396/BQ396,0)</f>
        <v>1</v>
      </c>
      <c r="CA396" s="57" t="n">
        <f aca="false">ROUNDUP(BX396/BQ396,0)</f>
        <v>0</v>
      </c>
      <c r="CB396" s="60" t="n">
        <f aca="false">IF(BR396=1,0,IFERROR(VLOOKUP(BP396,'Gebinde-Kategorie'!$A$5:$M$45,5,0)+0,0))</f>
        <v>8</v>
      </c>
      <c r="CC396" s="60" t="n">
        <f aca="false">IFERROR(IF(OR(BT396=1,BT396=2,BT396=3),N(INDEX(Parameter!$I$5:$I$7,BT396)),0),0)</f>
        <v>0</v>
      </c>
      <c r="CD396" s="59" t="n">
        <f aca="false">IF(AND(Parameter!$B$21="Ja",ISNUMBER(U396),N(V396)&gt;0),IFERROR(N(INDEX(Parameter!$L$5:$L$7,U396))*INDEX(Parameter!$E$5:$E$7,U396)*V396/SUMIFS($V$7:$V$1576,$U$7:$U$1576,U396),0),0)</f>
        <v>0</v>
      </c>
    </row>
    <row r="397" customFormat="false" ht="15" hidden="false" customHeight="false" outlineLevel="0" collapsed="false">
      <c r="A397" s="55" t="s">
        <v>920</v>
      </c>
      <c r="B397" s="55" t="s">
        <v>397</v>
      </c>
      <c r="C397" s="55" t="s">
        <v>160</v>
      </c>
      <c r="D397" s="55" t="s">
        <v>178</v>
      </c>
      <c r="E397" s="55" t="s">
        <v>210</v>
      </c>
      <c r="F397" s="56" t="n">
        <v>0.15</v>
      </c>
      <c r="G397" s="57" t="n">
        <f aca="false">MAX(0,IF(AND(Parameter!$B$21="Ja",ISNUMBER(W397)),W397,IF(Parameter!$B$20="Jahresanfang 2025 + Export",BJ397+BI397,BI397)))</f>
        <v>708</v>
      </c>
      <c r="H397" s="57" t="n">
        <f aca="false">G397*F397</f>
        <v>106.2</v>
      </c>
      <c r="I397" s="57" t="n">
        <f aca="false">BL397*Parameter!$B$18</f>
        <v>2706</v>
      </c>
      <c r="J397" s="58" t="n">
        <v>656</v>
      </c>
      <c r="K397" s="59" t="n">
        <v>4.125</v>
      </c>
      <c r="L397" s="57" t="n">
        <v>157</v>
      </c>
      <c r="M397" s="57" t="n">
        <v>1000</v>
      </c>
      <c r="N397" s="60" t="n">
        <v>21</v>
      </c>
      <c r="O397" s="55" t="s">
        <v>411</v>
      </c>
      <c r="P397" s="57" t="n">
        <v>783</v>
      </c>
      <c r="Q397" s="60" t="n">
        <f aca="false">IF(BR397=1,0,IFERROR(VLOOKUP(BP397,'Gebinde-Kategorie'!$A$5:$M$45,13,0)+0,0))</f>
        <v>132</v>
      </c>
      <c r="R397" s="61"/>
      <c r="S397" s="62"/>
      <c r="T397" s="62"/>
      <c r="U397" s="55"/>
      <c r="V397" s="57"/>
      <c r="W397" s="57"/>
      <c r="X397" s="55" t="n">
        <f aca="false">IF(A397="","",IF(AND(Parameter!$B$21="Ja",ISNUMBER(U397)),U397,IF(IFERROR(VLOOKUP(D397,Parameter!$A$35:$C$64,2,0),"Nein")="2+3",IF(ISNUMBER(SEARCH("grosser Artikel",BM397)),2,IFERROR(VLOOKUP(BP397,Parameter!$F$35:$G$64,2,0),2)),IF(OR(IFERROR(VLOOKUP(D397,Parameter!$A$35:$C$64,2,0),"Nein")="Nein",IFERROR(VLOOKUP(D397,Parameter!$A$35:$C$64,2,0),"Nein")=""),"-",VLOOKUP(D397,Parameter!$A$35:$C$64,2,0)))))</f>
        <v>3</v>
      </c>
      <c r="Y397" s="62"/>
      <c r="Z397" s="63"/>
      <c r="AA397" s="57" t="n">
        <f aca="false">AP397</f>
        <v>1566</v>
      </c>
      <c r="AB397" s="57" t="n">
        <f aca="false">MAX(AP397,G397)</f>
        <v>1566</v>
      </c>
      <c r="AC397" s="64"/>
      <c r="AD397" s="57" t="n">
        <f aca="false">IF(LEFT(Cockpit!$C$5,1)="A",G397,IF(BW397=1,BX397,IF(LEFT(Cockpit!$C$5,1)="B",AH397,MAX(AH397,G397))))</f>
        <v>708</v>
      </c>
      <c r="AE397" s="57" t="n">
        <f aca="false">IF(BR397=1,0,ROUNDUP(AD397/BQ397,0))</f>
        <v>1</v>
      </c>
      <c r="AF397" s="59" t="n">
        <f aca="false">IF(CD397&gt;0,CD397*MAX(1,AD397/V397),IF(BR397=1,IF(AD397&lt;=0,0,BS397*MAX(1,IF(G397&gt;0,AD397/G397,1))),IF(Q397&gt;0,AE397/Q397,0))/MAX(0.1,N(Parameter!$M$21)))</f>
        <v>0.00757575757575758</v>
      </c>
      <c r="AG397" s="57" t="n">
        <f aca="false">AD397*F397</f>
        <v>106.2</v>
      </c>
      <c r="AH397" s="57" t="n">
        <f aca="false">ROUNDUP(MAX(I397/IF(BV397&gt;0,BV397,MAX(0.1,N(Cockpit!$C$6))),BY397)/BQ397,0)*BQ397</f>
        <v>1566</v>
      </c>
      <c r="AI397" s="58" t="n">
        <f aca="false">IF(AF397&gt;0,I397/AF397,-1)</f>
        <v>357192</v>
      </c>
      <c r="AJ397" s="58" t="n">
        <f aca="false">IF(AND(OR(BU397="L1",BU397="L23"),AF397&gt;0),SUMIFS($AF$7:$AF$1576,$BU$7:$BU$1576,BU397,$AI$7:$AI$1576,"&gt;"&amp;AI397)+SUMIFS($AF$7:$AF$1576,$BU$7:$BU$1576,BU397,$AI$7:$AI$1576,AI397,$BO$7:$BO$1576,"&lt;="&amp;BO397),"")</f>
        <v>0.00757575757575758</v>
      </c>
      <c r="AK397" s="65" t="n">
        <f aca="false">IF(AJ397="",0,MAX(0,MIN(1,(IF(BU397="L1",Parameter!$E$5,Parameter!$E$6+Parameter!$E$7)-(AJ397-AF397))/AF397)))</f>
        <v>1</v>
      </c>
      <c r="AL397" s="57" t="n">
        <f aca="false">IF(LEFT(Cockpit!$I$5,1)="A",G397,IF(BW397=1,BX397,IF(LEFT(Cockpit!$I$5,1)="B",AP397,MAX(AP397,G397))))</f>
        <v>1566</v>
      </c>
      <c r="AM397" s="57" t="n">
        <f aca="false">IF(BR397=1,0,ROUNDUP(AL397/BQ397,0))</f>
        <v>2</v>
      </c>
      <c r="AN397" s="59" t="n">
        <f aca="false">IF(CD397&gt;0,CD397*MAX(1,AL397/V397),IF(BR397=1,IF(AL397&lt;=0,0,BS397*MAX(1,IF(G397&gt;0,AL397/G397,1))),IF(Q397&gt;0,AM397/Q397,0))/MAX(0.1,N(Parameter!$M$21)))</f>
        <v>0.0151515151515152</v>
      </c>
      <c r="AO397" s="57" t="n">
        <f aca="false">AL397*F397</f>
        <v>234.9</v>
      </c>
      <c r="AP397" s="57" t="n">
        <f aca="false">ROUNDUP(MAX(I397/IF(BV397&gt;0,BV397,MAX(0.1,N(Cockpit!$I$6))),BY397)/BQ397,0)*BQ397</f>
        <v>1566</v>
      </c>
      <c r="AQ397" s="58" t="n">
        <f aca="false">IF(AN397&gt;0,I397/AN397,-1)</f>
        <v>178596</v>
      </c>
      <c r="AR397" s="58" t="n">
        <f aca="false">IF(AND(OR(BU397="L1",BU397="L23"),AN397&gt;0),SUMIFS($AN$7:$AN$1576,$BU$7:$BU$1576,BU397,$AQ$7:$AQ$1576,"&gt;"&amp;AQ397)+SUMIFS($AN$7:$AN$1576,$BU$7:$BU$1576,BU397,$AQ$7:$AQ$1576,AQ397,$BO$7:$BO$1576,"&lt;="&amp;BO397),"")</f>
        <v>0.137698050741529</v>
      </c>
      <c r="AS397" s="65" t="n">
        <f aca="false">IF(AR397="",0,MAX(0,MIN(1,(IF(BU397="L1",Parameter!$E$5,Parameter!$E$6+Parameter!$E$7)-(AR397-AN397))/AN397)))</f>
        <v>1</v>
      </c>
      <c r="AT397" s="57" t="n">
        <f aca="false">IF(LEFT(Cockpit!$O$5,1)="A",G397,IF(BW397=1,BX397,IF(LEFT(Cockpit!$O$5,1)="B",AX397,MAX(AX397,G397))))</f>
        <v>1566</v>
      </c>
      <c r="AU397" s="57" t="n">
        <f aca="false">IF(BR397=1,0,ROUNDUP(AT397/BQ397,0))</f>
        <v>2</v>
      </c>
      <c r="AV397" s="59" t="n">
        <f aca="false">IF(CD397&gt;0,CD397*MAX(1,AT397/V397),IF(BR397=1,IF(AT397&lt;=0,0,BS397*MAX(1,IF(G397&gt;0,AT397/G397,1))),IF(Q397&gt;0,AU397/Q397,0))/MAX(0.1,N(Parameter!$M$21)))</f>
        <v>0.0151515151515152</v>
      </c>
      <c r="AW397" s="57" t="n">
        <f aca="false">AT397*F397</f>
        <v>234.9</v>
      </c>
      <c r="AX397" s="57" t="n">
        <f aca="false">ROUNDUP(MAX(I397/IF(BV397&gt;0,BV397,MAX(0.1,N(Cockpit!$O$6))),BY397)/BQ397,0)*BQ397</f>
        <v>1566</v>
      </c>
      <c r="AY397" s="58" t="n">
        <f aca="false">IF(AV397&gt;0,I397/AV397,-1)</f>
        <v>178596</v>
      </c>
      <c r="AZ397" s="58" t="n">
        <f aca="false">IF(AND(OR(BU397="L1",BU397="L23"),AV397&gt;0),SUMIFS($AV$7:$AV$1576,$BU$7:$BU$1576,BU397,$AY$7:$AY$1576,"&gt;"&amp;AY397)+SUMIFS($AV$7:$AV$1576,$BU$7:$BU$1576,BU397,$AY$7:$AY$1576,AY397,$BO$7:$BO$1576,"&lt;="&amp;BO397),"")</f>
        <v>0.137698050741529</v>
      </c>
      <c r="BA397" s="65" t="n">
        <f aca="false">IF(AZ397="",0,MAX(0,MIN(1,(IF(BU397="L1",Parameter!$E$5,Parameter!$E$6+Parameter!$E$7)-(AZ397-AV397))/AV397)))</f>
        <v>1</v>
      </c>
      <c r="BB397" s="55" t="str">
        <f aca="false">IF(AF397&lt;=0,"",IF(BU397="Aussen","Aussenlager",IF(BU397="-","Nicht im Lift",IF(AK397&gt;=1,"Lift",IF(AK397&lt;=0,"Aussenlager","teilweise")))))</f>
        <v>Lift</v>
      </c>
      <c r="BC397" s="55" t="str">
        <f aca="false">IF(AN397&lt;=0,"",IF(BU397="Aussen","Aussenlager",IF(BU397="-","Nicht im Lift",IF(AS397&gt;=1,"Lift",IF(AS397&lt;=0,"Aussenlager","teilweise")))))</f>
        <v>Lift</v>
      </c>
      <c r="BD397" s="55" t="str">
        <f aca="false">IF(AV397&lt;=0,"",IF(BU397="Aussen","Aussenlager",IF(BU397="-","Nicht im Lift",IF(BA397&gt;=1,"Lift",IF(BA397&lt;=0,"Aussenlager","teilweise")))))</f>
        <v>Lift</v>
      </c>
      <c r="BE397" s="55" t="str">
        <f aca="false">IF(A397="","",IF(BN397=1,"Neu; ","")&amp;IF(AND(BN397=0,BI397&lt;0),"negativer Bestand (Export "&amp;BI397&amp;"); ","")&amp;IF(I397&lt;=0,"Kein Verbrauch; ","")&amp;IF(CD397&gt;0,"Lift "&amp;U397&amp;" lt. Liftbericht (Fach "&amp;V397&amp;" Stk); ",IF(BR397=1,"Lose – Fläche geschätzt; ",""))&amp;IF(G397&gt;AP397,"Überbestand "&amp;ROUND(G397-AP397,0)&amp;" Stk / CHF "&amp;ROUND((G397-AP397)*F397,0)&amp;"; ","")&amp;IF(AND(BW397=1,BX397&lt;BY397),"MAX &lt; MB+LG; ","")&amp;IF(AND(CC397&gt;0,CB397*10&gt;CC397),"zu hoch für Tablar; ","")&amp;IF(AND(BN397=0,OR(BW397=1,Y397&lt;&gt;"",S397&lt;&gt;"",T397&lt;&gt;"",Z397&lt;&gt;"")),"manuell übersteuert; ","")&amp;IF(AND(BR397=0,Q397=0),"Gebinde unbekannt / Stellmass fehlt; ","")&amp;IF(AND(BR397=0,N(T397)&lt;=0,N(P397)&lt;=0),"Menge pro Gebinde fehlt (Ist = 1 Gebinde); ","")&amp;BM397)</f>
        <v/>
      </c>
      <c r="BF397" s="55"/>
      <c r="BG397" s="55"/>
      <c r="BH397" s="62"/>
      <c r="BI397" s="57" t="n">
        <v>708</v>
      </c>
      <c r="BJ397" s="57" t="n">
        <v>695</v>
      </c>
      <c r="BK397" s="56" t="n">
        <v>113.07</v>
      </c>
      <c r="BL397" s="57" t="n">
        <v>2706</v>
      </c>
      <c r="BM397" s="55"/>
      <c r="BN397" s="60" t="n">
        <v>0</v>
      </c>
      <c r="BO397" s="60" t="n">
        <v>397</v>
      </c>
      <c r="BP397" s="55" t="str">
        <f aca="false">IF(S397&lt;&gt;"",UPPER(TRIM(S397)),IF(O397="","LOSE",O397))</f>
        <v>S32</v>
      </c>
      <c r="BQ397" s="57" t="n">
        <f aca="false">IF(BP397="LOSE",1,IF(N(T397)&gt;0,T397,IF(N(P397)&gt;0,P397,MAX(1,G397))))</f>
        <v>783</v>
      </c>
      <c r="BR397" s="60" t="n">
        <f aca="false">IF(BP397="LOSE",1,0)</f>
        <v>0</v>
      </c>
      <c r="BS397" s="59" t="n">
        <f aca="false">IF(BR397=0,0,IF(N(R397)&gt;0,R397,IFERROR(VLOOKUP(D397,Parameter!$A$35:$C$64,3,0)+0,0)))</f>
        <v>0</v>
      </c>
      <c r="BT397" s="55" t="n">
        <f aca="false">IF(Y397&lt;&gt;"",Y397,X397)</f>
        <v>3</v>
      </c>
      <c r="BU397" s="55" t="str">
        <f aca="false">IF(BT397=1,"L1",IF(OR(BT397=2,BT397=3),"L23",IF(BT397="Aussen","Aussen","-")))</f>
        <v>L23</v>
      </c>
      <c r="BV397" s="66" t="n">
        <f aca="false">IF(N(Z397)&gt;0,Z397,0)</f>
        <v>0</v>
      </c>
      <c r="BW397" s="60" t="n">
        <f aca="false">IF(ISNUMBER(AC397),1,0)</f>
        <v>0</v>
      </c>
      <c r="BX397" s="57" t="n">
        <f aca="false">N(AC397)</f>
        <v>0</v>
      </c>
      <c r="BY397" s="57" t="n">
        <f aca="false">N(L397)+N(M397)</f>
        <v>1157</v>
      </c>
      <c r="BZ397" s="57" t="n">
        <f aca="false">ROUNDUP(G397/BQ397,0)</f>
        <v>1</v>
      </c>
      <c r="CA397" s="57" t="n">
        <f aca="false">ROUNDUP(BX397/BQ397,0)</f>
        <v>0</v>
      </c>
      <c r="CB397" s="60" t="n">
        <f aca="false">IF(BR397=1,0,IFERROR(VLOOKUP(BP397,'Gebinde-Kategorie'!$A$5:$M$45,5,0)+0,0))</f>
        <v>8</v>
      </c>
      <c r="CC397" s="60" t="n">
        <f aca="false">IFERROR(IF(OR(BT397=1,BT397=2,BT397=3),N(INDEX(Parameter!$I$5:$I$7,BT397)),0),0)</f>
        <v>0</v>
      </c>
      <c r="CD397" s="59" t="n">
        <f aca="false">IF(AND(Parameter!$B$21="Ja",ISNUMBER(U397),N(V397)&gt;0),IFERROR(N(INDEX(Parameter!$L$5:$L$7,U397))*INDEX(Parameter!$E$5:$E$7,U397)*V397/SUMIFS($V$7:$V$1576,$U$7:$U$1576,U397),0),0)</f>
        <v>0</v>
      </c>
    </row>
    <row r="398" customFormat="false" ht="15" hidden="false" customHeight="false" outlineLevel="0" collapsed="false">
      <c r="A398" s="55" t="s">
        <v>921</v>
      </c>
      <c r="B398" s="55" t="s">
        <v>922</v>
      </c>
      <c r="C398" s="55" t="s">
        <v>160</v>
      </c>
      <c r="D398" s="55" t="s">
        <v>178</v>
      </c>
      <c r="E398" s="55" t="s">
        <v>210</v>
      </c>
      <c r="F398" s="56" t="n">
        <v>28.08</v>
      </c>
      <c r="G398" s="57" t="n">
        <f aca="false">MAX(0,IF(AND(Parameter!$B$21="Ja",ISNUMBER(W398)),W398,IF(Parameter!$B$20="Jahresanfang 2025 + Export",BJ398+BI398,BI398)))</f>
        <v>4</v>
      </c>
      <c r="H398" s="57" t="n">
        <f aca="false">G398*F398</f>
        <v>112.32</v>
      </c>
      <c r="I398" s="57" t="n">
        <f aca="false">BL398*Parameter!$B$18</f>
        <v>0</v>
      </c>
      <c r="J398" s="58" t="n">
        <v>2</v>
      </c>
      <c r="K398" s="59" t="n">
        <v>0</v>
      </c>
      <c r="L398" s="57" t="n">
        <v>1</v>
      </c>
      <c r="M398" s="57" t="n">
        <v>4</v>
      </c>
      <c r="N398" s="60" t="n">
        <v>14</v>
      </c>
      <c r="O398" s="55" t="s">
        <v>163</v>
      </c>
      <c r="P398" s="57"/>
      <c r="Q398" s="60" t="n">
        <f aca="false">IF(BR398=1,0,IFERROR(VLOOKUP(BP398,'Gebinde-Kategorie'!$A$5:$M$45,13,0)+0,0))</f>
        <v>0</v>
      </c>
      <c r="R398" s="61"/>
      <c r="S398" s="62"/>
      <c r="T398" s="62"/>
      <c r="U398" s="55"/>
      <c r="V398" s="57"/>
      <c r="W398" s="57"/>
      <c r="X398" s="55" t="n">
        <f aca="false">IF(A398="","",IF(AND(Parameter!$B$21="Ja",ISNUMBER(U398)),U398,IF(IFERROR(VLOOKUP(D398,Parameter!$A$35:$C$64,2,0),"Nein")="2+3",IF(ISNUMBER(SEARCH("grosser Artikel",BM398)),2,IFERROR(VLOOKUP(BP398,Parameter!$F$35:$G$64,2,0),2)),IF(OR(IFERROR(VLOOKUP(D398,Parameter!$A$35:$C$64,2,0),"Nein")="Nein",IFERROR(VLOOKUP(D398,Parameter!$A$35:$C$64,2,0),"Nein")=""),"-",VLOOKUP(D398,Parameter!$A$35:$C$64,2,0)))))</f>
        <v>2</v>
      </c>
      <c r="Y398" s="62"/>
      <c r="Z398" s="63"/>
      <c r="AA398" s="57" t="n">
        <f aca="false">AP398</f>
        <v>5</v>
      </c>
      <c r="AB398" s="57" t="n">
        <f aca="false">MAX(AP398,G398)</f>
        <v>5</v>
      </c>
      <c r="AC398" s="64"/>
      <c r="AD398" s="57" t="n">
        <f aca="false">IF(LEFT(Cockpit!$C$5,1)="A",G398,IF(BW398=1,BX398,IF(LEFT(Cockpit!$C$5,1)="B",AH398,MAX(AH398,G398))))</f>
        <v>4</v>
      </c>
      <c r="AE398" s="57" t="n">
        <f aca="false">IF(BR398=1,0,ROUNDUP(AD398/BQ398,0))</f>
        <v>0</v>
      </c>
      <c r="AF398" s="59" t="n">
        <f aca="false">IF(CD398&gt;0,CD398*MAX(1,AD398/V398),IF(BR398=1,IF(AD398&lt;=0,0,BS398*MAX(1,IF(G398&gt;0,AD398/G398,1))),IF(Q398&gt;0,AE398/Q398,0))/MAX(0.1,N(Parameter!$M$21)))</f>
        <v>0.03</v>
      </c>
      <c r="AG398" s="57" t="n">
        <f aca="false">AD398*F398</f>
        <v>112.32</v>
      </c>
      <c r="AH398" s="57" t="n">
        <f aca="false">ROUNDUP(MAX(I398/IF(BV398&gt;0,BV398,MAX(0.1,N(Cockpit!$C$6))),BY398)/BQ398,0)*BQ398</f>
        <v>5</v>
      </c>
      <c r="AI398" s="58" t="n">
        <f aca="false">IF(AF398&gt;0,I398/AF398,-1)</f>
        <v>0</v>
      </c>
      <c r="AJ398" s="58" t="n">
        <f aca="false">IF(AND(OR(BU398="L1",BU398="L23"),AF398&gt;0),SUMIFS($AF$7:$AF$1576,$BU$7:$BU$1576,BU398,$AI$7:$AI$1576,"&gt;"&amp;AI398)+SUMIFS($AF$7:$AF$1576,$BU$7:$BU$1576,BU398,$AI$7:$AI$1576,AI398,$BO$7:$BO$1576,"&lt;="&amp;BO398),"")</f>
        <v>41.5374612344178</v>
      </c>
      <c r="AK398" s="65" t="n">
        <f aca="false">IF(AJ398="",0,MAX(0,MIN(1,(IF(BU398="L1",Parameter!$E$5,Parameter!$E$6+Parameter!$E$7)-(AJ398-AF398))/AF398)))</f>
        <v>1</v>
      </c>
      <c r="AL398" s="57" t="n">
        <f aca="false">IF(LEFT(Cockpit!$I$5,1)="A",G398,IF(BW398=1,BX398,IF(LEFT(Cockpit!$I$5,1)="B",AP398,MAX(AP398,G398))))</f>
        <v>5</v>
      </c>
      <c r="AM398" s="57" t="n">
        <f aca="false">IF(BR398=1,0,ROUNDUP(AL398/BQ398,0))</f>
        <v>0</v>
      </c>
      <c r="AN398" s="59" t="n">
        <f aca="false">IF(CD398&gt;0,CD398*MAX(1,AL398/V398),IF(BR398=1,IF(AL398&lt;=0,0,BS398*MAX(1,IF(G398&gt;0,AL398/G398,1))),IF(Q398&gt;0,AM398/Q398,0))/MAX(0.1,N(Parameter!$M$21)))</f>
        <v>0.0375</v>
      </c>
      <c r="AO398" s="57" t="n">
        <f aca="false">AL398*F398</f>
        <v>140.4</v>
      </c>
      <c r="AP398" s="57" t="n">
        <f aca="false">ROUNDUP(MAX(I398/IF(BV398&gt;0,BV398,MAX(0.1,N(Cockpit!$I$6))),BY398)/BQ398,0)*BQ398</f>
        <v>5</v>
      </c>
      <c r="AQ398" s="58" t="n">
        <f aca="false">IF(AN398&gt;0,I398/AN398,-1)</f>
        <v>0</v>
      </c>
      <c r="AR398" s="58" t="n">
        <f aca="false">IF(AND(OR(BU398="L1",BU398="L23"),AN398&gt;0),SUMIFS($AN$7:$AN$1576,$BU$7:$BU$1576,BU398,$AQ$7:$AQ$1576,"&gt;"&amp;AQ398)+SUMIFS($AN$7:$AN$1576,$BU$7:$BU$1576,BU398,$AQ$7:$AQ$1576,AQ398,$BO$7:$BO$1576,"&lt;="&amp;BO398),"")</f>
        <v>124.419166984207</v>
      </c>
      <c r="AS398" s="65" t="n">
        <f aca="false">IF(AR398="",0,MAX(0,MIN(1,(IF(BU398="L1",Parameter!$E$5,Parameter!$E$6+Parameter!$E$7)-(AR398-AN398))/AN398)))</f>
        <v>0</v>
      </c>
      <c r="AT398" s="57" t="n">
        <f aca="false">IF(LEFT(Cockpit!$O$5,1)="A",G398,IF(BW398=1,BX398,IF(LEFT(Cockpit!$O$5,1)="B",AX398,MAX(AX398,G398))))</f>
        <v>5</v>
      </c>
      <c r="AU398" s="57" t="n">
        <f aca="false">IF(BR398=1,0,ROUNDUP(AT398/BQ398,0))</f>
        <v>0</v>
      </c>
      <c r="AV398" s="59" t="n">
        <f aca="false">IF(CD398&gt;0,CD398*MAX(1,AT398/V398),IF(BR398=1,IF(AT398&lt;=0,0,BS398*MAX(1,IF(G398&gt;0,AT398/G398,1))),IF(Q398&gt;0,AU398/Q398,0))/MAX(0.1,N(Parameter!$M$21)))</f>
        <v>0.0375</v>
      </c>
      <c r="AW398" s="57" t="n">
        <f aca="false">AT398*F398</f>
        <v>140.4</v>
      </c>
      <c r="AX398" s="57" t="n">
        <f aca="false">ROUNDUP(MAX(I398/IF(BV398&gt;0,BV398,MAX(0.1,N(Cockpit!$O$6))),BY398)/BQ398,0)*BQ398</f>
        <v>5</v>
      </c>
      <c r="AY398" s="58" t="n">
        <f aca="false">IF(AV398&gt;0,I398/AV398,-1)</f>
        <v>0</v>
      </c>
      <c r="AZ398" s="58" t="n">
        <f aca="false">IF(AND(OR(BU398="L1",BU398="L23"),AV398&gt;0),SUMIFS($AV$7:$AV$1576,$BU$7:$BU$1576,BU398,$AY$7:$AY$1576,"&gt;"&amp;AY398)+SUMIFS($AV$7:$AV$1576,$BU$7:$BU$1576,BU398,$AY$7:$AY$1576,AY398,$BO$7:$BO$1576,"&lt;="&amp;BO398),"")</f>
        <v>114.478717433758</v>
      </c>
      <c r="BA398" s="65" t="n">
        <f aca="false">IF(AZ398="",0,MAX(0,MIN(1,(IF(BU398="L1",Parameter!$E$5,Parameter!$E$6+Parameter!$E$7)-(AZ398-AV398))/AV398)))</f>
        <v>0</v>
      </c>
      <c r="BB398" s="55" t="str">
        <f aca="false">IF(AF398&lt;=0,"",IF(BU398="Aussen","Aussenlager",IF(BU398="-","Nicht im Lift",IF(AK398&gt;=1,"Lift",IF(AK398&lt;=0,"Aussenlager","teilweise")))))</f>
        <v>Lift</v>
      </c>
      <c r="BC398" s="55" t="str">
        <f aca="false">IF(AN398&lt;=0,"",IF(BU398="Aussen","Aussenlager",IF(BU398="-","Nicht im Lift",IF(AS398&gt;=1,"Lift",IF(AS398&lt;=0,"Aussenlager","teilweise")))))</f>
        <v>Aussenlager</v>
      </c>
      <c r="BD398" s="55" t="str">
        <f aca="false">IF(AV398&lt;=0,"",IF(BU398="Aussen","Aussenlager",IF(BU398="-","Nicht im Lift",IF(BA398&gt;=1,"Lift",IF(BA398&lt;=0,"Aussenlager","teilweise")))))</f>
        <v>Aussenlager</v>
      </c>
      <c r="BE398" s="55" t="str">
        <f aca="false">IF(A398="","",IF(BN398=1,"Neu; ","")&amp;IF(AND(BN398=0,BI398&lt;0),"negativer Bestand (Export "&amp;BI398&amp;"); ","")&amp;IF(I398&lt;=0,"Kein Verbrauch; ","")&amp;IF(CD398&gt;0,"Lift "&amp;U398&amp;" lt. Liftbericht (Fach "&amp;V398&amp;" Stk); ",IF(BR398=1,"Lose – Fläche geschätzt; ",""))&amp;IF(G398&gt;AP398,"Überbestand "&amp;ROUND(G398-AP398,0)&amp;" Stk / CHF "&amp;ROUND((G398-AP398)*F398,0)&amp;"; ","")&amp;IF(AND(BW398=1,BX398&lt;BY398),"MAX &lt; MB+LG; ","")&amp;IF(AND(CC398&gt;0,CB398*10&gt;CC398),"zu hoch für Tablar; ","")&amp;IF(AND(BN398=0,OR(BW398=1,Y398&lt;&gt;"",S398&lt;&gt;"",T398&lt;&gt;"",Z398&lt;&gt;"")),"manuell übersteuert; ","")&amp;IF(AND(BR398=0,Q398=0),"Gebinde unbekannt / Stellmass fehlt; ","")&amp;IF(AND(BR398=0,N(T398)&lt;=0,N(P398)&lt;=0),"Menge pro Gebinde fehlt (Ist = 1 Gebinde); ","")&amp;BM398)</f>
        <v>Kein Verbrauch; Lose – Fläche geschätzt; </v>
      </c>
      <c r="BF398" s="55"/>
      <c r="BG398" s="55"/>
      <c r="BH398" s="62"/>
      <c r="BI398" s="57" t="n">
        <v>4</v>
      </c>
      <c r="BJ398" s="57" t="n">
        <v>0</v>
      </c>
      <c r="BK398" s="56" t="n">
        <v>112.32</v>
      </c>
      <c r="BL398" s="57" t="n">
        <v>0</v>
      </c>
      <c r="BM398" s="55"/>
      <c r="BN398" s="60" t="n">
        <v>0</v>
      </c>
      <c r="BO398" s="60" t="n">
        <v>398</v>
      </c>
      <c r="BP398" s="55" t="str">
        <f aca="false">IF(S398&lt;&gt;"",UPPER(TRIM(S398)),IF(O398="","LOSE",O398))</f>
        <v>LOSE</v>
      </c>
      <c r="BQ398" s="57" t="n">
        <f aca="false">IF(BP398="LOSE",1,IF(N(T398)&gt;0,T398,IF(N(P398)&gt;0,P398,MAX(1,G398))))</f>
        <v>1</v>
      </c>
      <c r="BR398" s="60" t="n">
        <f aca="false">IF(BP398="LOSE",1,0)</f>
        <v>1</v>
      </c>
      <c r="BS398" s="59" t="n">
        <f aca="false">IF(BR398=0,0,IF(N(R398)&gt;0,R398,IFERROR(VLOOKUP(D398,Parameter!$A$35:$C$64,3,0)+0,0)))</f>
        <v>0.03</v>
      </c>
      <c r="BT398" s="55" t="n">
        <f aca="false">IF(Y398&lt;&gt;"",Y398,X398)</f>
        <v>2</v>
      </c>
      <c r="BU398" s="55" t="str">
        <f aca="false">IF(BT398=1,"L1",IF(OR(BT398=2,BT398=3),"L23",IF(BT398="Aussen","Aussen","-")))</f>
        <v>L23</v>
      </c>
      <c r="BV398" s="66" t="n">
        <f aca="false">IF(N(Z398)&gt;0,Z398,0)</f>
        <v>0</v>
      </c>
      <c r="BW398" s="60" t="n">
        <f aca="false">IF(ISNUMBER(AC398),1,0)</f>
        <v>0</v>
      </c>
      <c r="BX398" s="57" t="n">
        <f aca="false">N(AC398)</f>
        <v>0</v>
      </c>
      <c r="BY398" s="57" t="n">
        <f aca="false">N(L398)+N(M398)</f>
        <v>5</v>
      </c>
      <c r="BZ398" s="57" t="n">
        <f aca="false">ROUNDUP(G398/BQ398,0)</f>
        <v>4</v>
      </c>
      <c r="CA398" s="57" t="n">
        <f aca="false">ROUNDUP(BX398/BQ398,0)</f>
        <v>0</v>
      </c>
      <c r="CB398" s="60" t="n">
        <f aca="false">IF(BR398=1,0,IFERROR(VLOOKUP(BP398,'Gebinde-Kategorie'!$A$5:$M$45,5,0)+0,0))</f>
        <v>0</v>
      </c>
      <c r="CC398" s="60" t="n">
        <f aca="false">IFERROR(IF(OR(BT398=1,BT398=2,BT398=3),N(INDEX(Parameter!$I$5:$I$7,BT398)),0),0)</f>
        <v>0</v>
      </c>
      <c r="CD398" s="59" t="n">
        <f aca="false">IF(AND(Parameter!$B$21="Ja",ISNUMBER(U398),N(V398)&gt;0),IFERROR(N(INDEX(Parameter!$L$5:$L$7,U398))*INDEX(Parameter!$E$5:$E$7,U398)*V398/SUMIFS($V$7:$V$1576,$U$7:$U$1576,U398),0),0)</f>
        <v>0</v>
      </c>
    </row>
    <row r="399" customFormat="false" ht="15" hidden="false" customHeight="false" outlineLevel="0" collapsed="false">
      <c r="A399" s="55" t="s">
        <v>923</v>
      </c>
      <c r="B399" s="55" t="s">
        <v>725</v>
      </c>
      <c r="C399" s="55" t="s">
        <v>160</v>
      </c>
      <c r="D399" s="55" t="s">
        <v>168</v>
      </c>
      <c r="E399" s="55" t="s">
        <v>210</v>
      </c>
      <c r="F399" s="56" t="n">
        <v>37.2</v>
      </c>
      <c r="G399" s="57" t="n">
        <f aca="false">MAX(0,IF(AND(Parameter!$B$21="Ja",ISNUMBER(W399)),W399,IF(Parameter!$B$20="Jahresanfang 2025 + Export",BJ399+BI399,BI399)))</f>
        <v>3</v>
      </c>
      <c r="H399" s="57" t="n">
        <f aca="false">G399*F399</f>
        <v>111.6</v>
      </c>
      <c r="I399" s="57" t="n">
        <f aca="false">BL399*Parameter!$B$18</f>
        <v>0</v>
      </c>
      <c r="J399" s="58" t="n">
        <v>5.5</v>
      </c>
      <c r="K399" s="59" t="n">
        <v>0</v>
      </c>
      <c r="L399" s="57" t="n">
        <v>4</v>
      </c>
      <c r="M399" s="57" t="n">
        <v>1</v>
      </c>
      <c r="N399" s="60" t="n">
        <v>35</v>
      </c>
      <c r="O399" s="55" t="s">
        <v>163</v>
      </c>
      <c r="P399" s="57"/>
      <c r="Q399" s="60" t="n">
        <f aca="false">IF(BR399=1,0,IFERROR(VLOOKUP(BP399,'Gebinde-Kategorie'!$A$5:$M$45,13,0)+0,0))</f>
        <v>0</v>
      </c>
      <c r="R399" s="61"/>
      <c r="S399" s="62"/>
      <c r="T399" s="62"/>
      <c r="U399" s="55"/>
      <c r="V399" s="57"/>
      <c r="W399" s="57"/>
      <c r="X399" s="55" t="n">
        <f aca="false">IF(A399="","",IF(AND(Parameter!$B$21="Ja",ISNUMBER(U399)),U399,IF(IFERROR(VLOOKUP(D399,Parameter!$A$35:$C$64,2,0),"Nein")="2+3",IF(ISNUMBER(SEARCH("grosser Artikel",BM399)),2,IFERROR(VLOOKUP(BP399,Parameter!$F$35:$G$64,2,0),2)),IF(OR(IFERROR(VLOOKUP(D399,Parameter!$A$35:$C$64,2,0),"Nein")="Nein",IFERROR(VLOOKUP(D399,Parameter!$A$35:$C$64,2,0),"Nein")=""),"-",VLOOKUP(D399,Parameter!$A$35:$C$64,2,0)))))</f>
        <v>2</v>
      </c>
      <c r="Y399" s="62"/>
      <c r="Z399" s="63"/>
      <c r="AA399" s="57" t="n">
        <f aca="false">AP399</f>
        <v>5</v>
      </c>
      <c r="AB399" s="57" t="n">
        <f aca="false">MAX(AP399,G399)</f>
        <v>5</v>
      </c>
      <c r="AC399" s="64"/>
      <c r="AD399" s="57" t="n">
        <f aca="false">IF(LEFT(Cockpit!$C$5,1)="A",G399,IF(BW399=1,BX399,IF(LEFT(Cockpit!$C$5,1)="B",AH399,MAX(AH399,G399))))</f>
        <v>3</v>
      </c>
      <c r="AE399" s="57" t="n">
        <f aca="false">IF(BR399=1,0,ROUNDUP(AD399/BQ399,0))</f>
        <v>0</v>
      </c>
      <c r="AF399" s="59" t="n">
        <f aca="false">IF(CD399&gt;0,CD399*MAX(1,AD399/V399),IF(BR399=1,IF(AD399&lt;=0,0,BS399*MAX(1,IF(G399&gt;0,AD399/G399,1))),IF(Q399&gt;0,AE399/Q399,0))/MAX(0.1,N(Parameter!$M$21)))</f>
        <v>0.15</v>
      </c>
      <c r="AG399" s="57" t="n">
        <f aca="false">AD399*F399</f>
        <v>111.6</v>
      </c>
      <c r="AH399" s="57" t="n">
        <f aca="false">ROUNDUP(MAX(I399/IF(BV399&gt;0,BV399,MAX(0.1,N(Cockpit!$C$6))),BY399)/BQ399,0)*BQ399</f>
        <v>5</v>
      </c>
      <c r="AI399" s="58" t="n">
        <f aca="false">IF(AF399&gt;0,I399/AF399,-1)</f>
        <v>0</v>
      </c>
      <c r="AJ399" s="58" t="n">
        <f aca="false">IF(AND(OR(BU399="L1",BU399="L23"),AF399&gt;0),SUMIFS($AF$7:$AF$1576,$BU$7:$BU$1576,BU399,$AI$7:$AI$1576,"&gt;"&amp;AI399)+SUMIFS($AF$7:$AF$1576,$BU$7:$BU$1576,BU399,$AI$7:$AI$1576,AI399,$BO$7:$BO$1576,"&lt;="&amp;BO399),"")</f>
        <v>41.6874612344178</v>
      </c>
      <c r="AK399" s="65" t="n">
        <f aca="false">IF(AJ399="",0,MAX(0,MIN(1,(IF(BU399="L1",Parameter!$E$5,Parameter!$E$6+Parameter!$E$7)-(AJ399-AF399))/AF399)))</f>
        <v>1</v>
      </c>
      <c r="AL399" s="57" t="n">
        <f aca="false">IF(LEFT(Cockpit!$I$5,1)="A",G399,IF(BW399=1,BX399,IF(LEFT(Cockpit!$I$5,1)="B",AP399,MAX(AP399,G399))))</f>
        <v>5</v>
      </c>
      <c r="AM399" s="57" t="n">
        <f aca="false">IF(BR399=1,0,ROUNDUP(AL399/BQ399,0))</f>
        <v>0</v>
      </c>
      <c r="AN399" s="59" t="n">
        <f aca="false">IF(CD399&gt;0,CD399*MAX(1,AL399/V399),IF(BR399=1,IF(AL399&lt;=0,0,BS399*MAX(1,IF(G399&gt;0,AL399/G399,1))),IF(Q399&gt;0,AM399/Q399,0))/MAX(0.1,N(Parameter!$M$21)))</f>
        <v>0.25</v>
      </c>
      <c r="AO399" s="57" t="n">
        <f aca="false">AL399*F399</f>
        <v>186</v>
      </c>
      <c r="AP399" s="57" t="n">
        <f aca="false">ROUNDUP(MAX(I399/IF(BV399&gt;0,BV399,MAX(0.1,N(Cockpit!$I$6))),BY399)/BQ399,0)*BQ399</f>
        <v>5</v>
      </c>
      <c r="AQ399" s="58" t="n">
        <f aca="false">IF(AN399&gt;0,I399/AN399,-1)</f>
        <v>0</v>
      </c>
      <c r="AR399" s="58" t="n">
        <f aca="false">IF(AND(OR(BU399="L1",BU399="L23"),AN399&gt;0),SUMIFS($AN$7:$AN$1576,$BU$7:$BU$1576,BU399,$AQ$7:$AQ$1576,"&gt;"&amp;AQ399)+SUMIFS($AN$7:$AN$1576,$BU$7:$BU$1576,BU399,$AQ$7:$AQ$1576,AQ399,$BO$7:$BO$1576,"&lt;="&amp;BO399),"")</f>
        <v>124.669166984207</v>
      </c>
      <c r="AS399" s="65" t="n">
        <f aca="false">IF(AR399="",0,MAX(0,MIN(1,(IF(BU399="L1",Parameter!$E$5,Parameter!$E$6+Parameter!$E$7)-(AR399-AN399))/AN399)))</f>
        <v>0</v>
      </c>
      <c r="AT399" s="57" t="n">
        <f aca="false">IF(LEFT(Cockpit!$O$5,1)="A",G399,IF(BW399=1,BX399,IF(LEFT(Cockpit!$O$5,1)="B",AX399,MAX(AX399,G399))))</f>
        <v>5</v>
      </c>
      <c r="AU399" s="57" t="n">
        <f aca="false">IF(BR399=1,0,ROUNDUP(AT399/BQ399,0))</f>
        <v>0</v>
      </c>
      <c r="AV399" s="59" t="n">
        <f aca="false">IF(CD399&gt;0,CD399*MAX(1,AT399/V399),IF(BR399=1,IF(AT399&lt;=0,0,BS399*MAX(1,IF(G399&gt;0,AT399/G399,1))),IF(Q399&gt;0,AU399/Q399,0))/MAX(0.1,N(Parameter!$M$21)))</f>
        <v>0.25</v>
      </c>
      <c r="AW399" s="57" t="n">
        <f aca="false">AT399*F399</f>
        <v>186</v>
      </c>
      <c r="AX399" s="57" t="n">
        <f aca="false">ROUNDUP(MAX(I399/IF(BV399&gt;0,BV399,MAX(0.1,N(Cockpit!$O$6))),BY399)/BQ399,0)*BQ399</f>
        <v>5</v>
      </c>
      <c r="AY399" s="58" t="n">
        <f aca="false">IF(AV399&gt;0,I399/AV399,-1)</f>
        <v>0</v>
      </c>
      <c r="AZ399" s="58" t="n">
        <f aca="false">IF(AND(OR(BU399="L1",BU399="L23"),AV399&gt;0),SUMIFS($AV$7:$AV$1576,$BU$7:$BU$1576,BU399,$AY$7:$AY$1576,"&gt;"&amp;AY399)+SUMIFS($AV$7:$AV$1576,$BU$7:$BU$1576,BU399,$AY$7:$AY$1576,AY399,$BO$7:$BO$1576,"&lt;="&amp;BO399),"")</f>
        <v>114.728717433758</v>
      </c>
      <c r="BA399" s="65" t="n">
        <f aca="false">IF(AZ399="",0,MAX(0,MIN(1,(IF(BU399="L1",Parameter!$E$5,Parameter!$E$6+Parameter!$E$7)-(AZ399-AV399))/AV399)))</f>
        <v>0</v>
      </c>
      <c r="BB399" s="55" t="str">
        <f aca="false">IF(AF399&lt;=0,"",IF(BU399="Aussen","Aussenlager",IF(BU399="-","Nicht im Lift",IF(AK399&gt;=1,"Lift",IF(AK399&lt;=0,"Aussenlager","teilweise")))))</f>
        <v>Lift</v>
      </c>
      <c r="BC399" s="55" t="str">
        <f aca="false">IF(AN399&lt;=0,"",IF(BU399="Aussen","Aussenlager",IF(BU399="-","Nicht im Lift",IF(AS399&gt;=1,"Lift",IF(AS399&lt;=0,"Aussenlager","teilweise")))))</f>
        <v>Aussenlager</v>
      </c>
      <c r="BD399" s="55" t="str">
        <f aca="false">IF(AV399&lt;=0,"",IF(BU399="Aussen","Aussenlager",IF(BU399="-","Nicht im Lift",IF(BA399&gt;=1,"Lift",IF(BA399&lt;=0,"Aussenlager","teilweise")))))</f>
        <v>Aussenlager</v>
      </c>
      <c r="BE399" s="55" t="str">
        <f aca="false">IF(A399="","",IF(BN399=1,"Neu; ","")&amp;IF(AND(BN399=0,BI399&lt;0),"negativer Bestand (Export "&amp;BI399&amp;"); ","")&amp;IF(I399&lt;=0,"Kein Verbrauch; ","")&amp;IF(CD399&gt;0,"Lift "&amp;U399&amp;" lt. Liftbericht (Fach "&amp;V399&amp;" Stk); ",IF(BR399=1,"Lose – Fläche geschätzt; ",""))&amp;IF(G399&gt;AP399,"Überbestand "&amp;ROUND(G399-AP399,0)&amp;" Stk / CHF "&amp;ROUND((G399-AP399)*F399,0)&amp;"; ","")&amp;IF(AND(BW399=1,BX399&lt;BY399),"MAX &lt; MB+LG; ","")&amp;IF(AND(CC399&gt;0,CB399*10&gt;CC399),"zu hoch für Tablar; ","")&amp;IF(AND(BN399=0,OR(BW399=1,Y399&lt;&gt;"",S399&lt;&gt;"",T399&lt;&gt;"",Z399&lt;&gt;"")),"manuell übersteuert; ","")&amp;IF(AND(BR399=0,Q399=0),"Gebinde unbekannt / Stellmass fehlt; ","")&amp;IF(AND(BR399=0,N(T399)&lt;=0,N(P399)&lt;=0),"Menge pro Gebinde fehlt (Ist = 1 Gebinde); ","")&amp;BM399)</f>
        <v>Kein Verbrauch; Lose – Fläche geschätzt; </v>
      </c>
      <c r="BF399" s="55"/>
      <c r="BG399" s="55"/>
      <c r="BH399" s="62"/>
      <c r="BI399" s="57" t="n">
        <v>3</v>
      </c>
      <c r="BJ399" s="57" t="n">
        <v>4</v>
      </c>
      <c r="BK399" s="56" t="n">
        <v>111.6</v>
      </c>
      <c r="BL399" s="57" t="n">
        <v>0</v>
      </c>
      <c r="BM399" s="55"/>
      <c r="BN399" s="60" t="n">
        <v>0</v>
      </c>
      <c r="BO399" s="60" t="n">
        <v>399</v>
      </c>
      <c r="BP399" s="55" t="str">
        <f aca="false">IF(S399&lt;&gt;"",UPPER(TRIM(S399)),IF(O399="","LOSE",O399))</f>
        <v>LOSE</v>
      </c>
      <c r="BQ399" s="57" t="n">
        <f aca="false">IF(BP399="LOSE",1,IF(N(T399)&gt;0,T399,IF(N(P399)&gt;0,P399,MAX(1,G399))))</f>
        <v>1</v>
      </c>
      <c r="BR399" s="60" t="n">
        <f aca="false">IF(BP399="LOSE",1,0)</f>
        <v>1</v>
      </c>
      <c r="BS399" s="59" t="n">
        <f aca="false">IF(BR399=0,0,IF(N(R399)&gt;0,R399,IFERROR(VLOOKUP(D399,Parameter!$A$35:$C$64,3,0)+0,0)))</f>
        <v>0.15</v>
      </c>
      <c r="BT399" s="55" t="n">
        <f aca="false">IF(Y399&lt;&gt;"",Y399,X399)</f>
        <v>2</v>
      </c>
      <c r="BU399" s="55" t="str">
        <f aca="false">IF(BT399=1,"L1",IF(OR(BT399=2,BT399=3),"L23",IF(BT399="Aussen","Aussen","-")))</f>
        <v>L23</v>
      </c>
      <c r="BV399" s="66" t="n">
        <f aca="false">IF(N(Z399)&gt;0,Z399,0)</f>
        <v>0</v>
      </c>
      <c r="BW399" s="60" t="n">
        <f aca="false">IF(ISNUMBER(AC399),1,0)</f>
        <v>0</v>
      </c>
      <c r="BX399" s="57" t="n">
        <f aca="false">N(AC399)</f>
        <v>0</v>
      </c>
      <c r="BY399" s="57" t="n">
        <f aca="false">N(L399)+N(M399)</f>
        <v>5</v>
      </c>
      <c r="BZ399" s="57" t="n">
        <f aca="false">ROUNDUP(G399/BQ399,0)</f>
        <v>3</v>
      </c>
      <c r="CA399" s="57" t="n">
        <f aca="false">ROUNDUP(BX399/BQ399,0)</f>
        <v>0</v>
      </c>
      <c r="CB399" s="60" t="n">
        <f aca="false">IF(BR399=1,0,IFERROR(VLOOKUP(BP399,'Gebinde-Kategorie'!$A$5:$M$45,5,0)+0,0))</f>
        <v>0</v>
      </c>
      <c r="CC399" s="60" t="n">
        <f aca="false">IFERROR(IF(OR(BT399=1,BT399=2,BT399=3),N(INDEX(Parameter!$I$5:$I$7,BT399)),0),0)</f>
        <v>0</v>
      </c>
      <c r="CD399" s="59" t="n">
        <f aca="false">IF(AND(Parameter!$B$21="Ja",ISNUMBER(U399),N(V399)&gt;0),IFERROR(N(INDEX(Parameter!$L$5:$L$7,U399))*INDEX(Parameter!$E$5:$E$7,U399)*V399/SUMIFS($V$7:$V$1576,$U$7:$U$1576,U399),0),0)</f>
        <v>0</v>
      </c>
    </row>
    <row r="400" customFormat="false" ht="15" hidden="false" customHeight="false" outlineLevel="0" collapsed="false">
      <c r="A400" s="55" t="s">
        <v>924</v>
      </c>
      <c r="B400" s="55" t="s">
        <v>713</v>
      </c>
      <c r="C400" s="55" t="s">
        <v>160</v>
      </c>
      <c r="D400" s="55" t="s">
        <v>178</v>
      </c>
      <c r="E400" s="55" t="s">
        <v>210</v>
      </c>
      <c r="F400" s="56" t="n">
        <v>10.97</v>
      </c>
      <c r="G400" s="57" t="n">
        <f aca="false">MAX(0,IF(AND(Parameter!$B$21="Ja",ISNUMBER(W400)),W400,IF(Parameter!$B$20="Jahresanfang 2025 + Export",BJ400+BI400,BI400)))</f>
        <v>10</v>
      </c>
      <c r="H400" s="57" t="n">
        <f aca="false">G400*F400</f>
        <v>109.7</v>
      </c>
      <c r="I400" s="57" t="n">
        <f aca="false">BL400*Parameter!$B$18</f>
        <v>8</v>
      </c>
      <c r="J400" s="58" t="n">
        <v>2.5</v>
      </c>
      <c r="K400" s="59" t="n">
        <v>3.2</v>
      </c>
      <c r="L400" s="57" t="n">
        <v>0</v>
      </c>
      <c r="M400" s="57" t="n">
        <v>10</v>
      </c>
      <c r="N400" s="60" t="n">
        <v>14</v>
      </c>
      <c r="O400" s="55" t="s">
        <v>416</v>
      </c>
      <c r="P400" s="57" t="n">
        <v>12</v>
      </c>
      <c r="Q400" s="60" t="n">
        <f aca="false">IF(BR400=1,0,IFERROR(VLOOKUP(BP400,'Gebinde-Kategorie'!$A$5:$M$45,13,0)+0,0))</f>
        <v>198</v>
      </c>
      <c r="R400" s="61"/>
      <c r="S400" s="62"/>
      <c r="T400" s="62"/>
      <c r="U400" s="55"/>
      <c r="V400" s="57"/>
      <c r="W400" s="57"/>
      <c r="X400" s="55" t="n">
        <f aca="false">IF(A400="","",IF(AND(Parameter!$B$21="Ja",ISNUMBER(U400)),U400,IF(IFERROR(VLOOKUP(D400,Parameter!$A$35:$C$64,2,0),"Nein")="2+3",IF(ISNUMBER(SEARCH("grosser Artikel",BM400)),2,IFERROR(VLOOKUP(BP400,Parameter!$F$35:$G$64,2,0),2)),IF(OR(IFERROR(VLOOKUP(D400,Parameter!$A$35:$C$64,2,0),"Nein")="Nein",IFERROR(VLOOKUP(D400,Parameter!$A$35:$C$64,2,0),"Nein")=""),"-",VLOOKUP(D400,Parameter!$A$35:$C$64,2,0)))))</f>
        <v>3</v>
      </c>
      <c r="Y400" s="62"/>
      <c r="Z400" s="63"/>
      <c r="AA400" s="57" t="n">
        <f aca="false">AP400</f>
        <v>12</v>
      </c>
      <c r="AB400" s="57" t="n">
        <f aca="false">MAX(AP400,G400)</f>
        <v>12</v>
      </c>
      <c r="AC400" s="64"/>
      <c r="AD400" s="57" t="n">
        <f aca="false">IF(LEFT(Cockpit!$C$5,1)="A",G400,IF(BW400=1,BX400,IF(LEFT(Cockpit!$C$5,1)="B",AH400,MAX(AH400,G400))))</f>
        <v>10</v>
      </c>
      <c r="AE400" s="57" t="n">
        <f aca="false">IF(BR400=1,0,ROUNDUP(AD400/BQ400,0))</f>
        <v>1</v>
      </c>
      <c r="AF400" s="59" t="n">
        <f aca="false">IF(CD400&gt;0,CD400*MAX(1,AD400/V400),IF(BR400=1,IF(AD400&lt;=0,0,BS400*MAX(1,IF(G400&gt;0,AD400/G400,1))),IF(Q400&gt;0,AE400/Q400,0))/MAX(0.1,N(Parameter!$M$21)))</f>
        <v>0.00505050505050505</v>
      </c>
      <c r="AG400" s="57" t="n">
        <f aca="false">AD400*F400</f>
        <v>109.7</v>
      </c>
      <c r="AH400" s="57" t="n">
        <f aca="false">ROUNDUP(MAX(I400/IF(BV400&gt;0,BV400,MAX(0.1,N(Cockpit!$C$6))),BY400)/BQ400,0)*BQ400</f>
        <v>12</v>
      </c>
      <c r="AI400" s="58" t="n">
        <f aca="false">IF(AF400&gt;0,I400/AF400,-1)</f>
        <v>1584</v>
      </c>
      <c r="AJ400" s="58" t="n">
        <f aca="false">IF(AND(OR(BU400="L1",BU400="L23"),AF400&gt;0),SUMIFS($AF$7:$AF$1576,$BU$7:$BU$1576,BU400,$AI$7:$AI$1576,"&gt;"&amp;AI400)+SUMIFS($AF$7:$AF$1576,$BU$7:$BU$1576,BU400,$AI$7:$AI$1576,AI400,$BO$7:$BO$1576,"&lt;="&amp;BO400),"")</f>
        <v>7.64474139387183</v>
      </c>
      <c r="AK400" s="65" t="n">
        <f aca="false">IF(AJ400="",0,MAX(0,MIN(1,(IF(BU400="L1",Parameter!$E$5,Parameter!$E$6+Parameter!$E$7)-(AJ400-AF400))/AF400)))</f>
        <v>1</v>
      </c>
      <c r="AL400" s="57" t="n">
        <f aca="false">IF(LEFT(Cockpit!$I$5,1)="A",G400,IF(BW400=1,BX400,IF(LEFT(Cockpit!$I$5,1)="B",AP400,MAX(AP400,G400))))</f>
        <v>12</v>
      </c>
      <c r="AM400" s="57" t="n">
        <f aca="false">IF(BR400=1,0,ROUNDUP(AL400/BQ400,0))</f>
        <v>1</v>
      </c>
      <c r="AN400" s="59" t="n">
        <f aca="false">IF(CD400&gt;0,CD400*MAX(1,AL400/V400),IF(BR400=1,IF(AL400&lt;=0,0,BS400*MAX(1,IF(G400&gt;0,AL400/G400,1))),IF(Q400&gt;0,AM400/Q400,0))/MAX(0.1,N(Parameter!$M$21)))</f>
        <v>0.00505050505050505</v>
      </c>
      <c r="AO400" s="57" t="n">
        <f aca="false">AL400*F400</f>
        <v>131.64</v>
      </c>
      <c r="AP400" s="57" t="n">
        <f aca="false">ROUNDUP(MAX(I400/IF(BV400&gt;0,BV400,MAX(0.1,N(Cockpit!$I$6))),BY400)/BQ400,0)*BQ400</f>
        <v>12</v>
      </c>
      <c r="AQ400" s="58" t="n">
        <f aca="false">IF(AN400&gt;0,I400/AN400,-1)</f>
        <v>1584</v>
      </c>
      <c r="AR400" s="58" t="n">
        <f aca="false">IF(AND(OR(BU400="L1",BU400="L23"),AN400&gt;0),SUMIFS($AN$7:$AN$1576,$BU$7:$BU$1576,BU400,$AQ$7:$AQ$1576,"&gt;"&amp;AQ400)+SUMIFS($AN$7:$AN$1576,$BU$7:$BU$1576,BU400,$AQ$7:$AQ$1576,AQ400,$BO$7:$BO$1576,"&lt;="&amp;BO400),"")</f>
        <v>18.8608816911102</v>
      </c>
      <c r="AS400" s="65" t="n">
        <f aca="false">IF(AR400="",0,MAX(0,MIN(1,(IF(BU400="L1",Parameter!$E$5,Parameter!$E$6+Parameter!$E$7)-(AR400-AN400))/AN400)))</f>
        <v>1</v>
      </c>
      <c r="AT400" s="57" t="n">
        <f aca="false">IF(LEFT(Cockpit!$O$5,1)="A",G400,IF(BW400=1,BX400,IF(LEFT(Cockpit!$O$5,1)="B",AX400,MAX(AX400,G400))))</f>
        <v>12</v>
      </c>
      <c r="AU400" s="57" t="n">
        <f aca="false">IF(BR400=1,0,ROUNDUP(AT400/BQ400,0))</f>
        <v>1</v>
      </c>
      <c r="AV400" s="59" t="n">
        <f aca="false">IF(CD400&gt;0,CD400*MAX(1,AT400/V400),IF(BR400=1,IF(AT400&lt;=0,0,BS400*MAX(1,IF(G400&gt;0,AT400/G400,1))),IF(Q400&gt;0,AU400/Q400,0))/MAX(0.1,N(Parameter!$M$21)))</f>
        <v>0.00505050505050505</v>
      </c>
      <c r="AW400" s="57" t="n">
        <f aca="false">AT400*F400</f>
        <v>131.64</v>
      </c>
      <c r="AX400" s="57" t="n">
        <f aca="false">ROUNDUP(MAX(I400/IF(BV400&gt;0,BV400,MAX(0.1,N(Cockpit!$O$6))),BY400)/BQ400,0)*BQ400</f>
        <v>12</v>
      </c>
      <c r="AY400" s="58" t="n">
        <f aca="false">IF(AV400&gt;0,I400/AV400,-1)</f>
        <v>1584</v>
      </c>
      <c r="AZ400" s="58" t="n">
        <f aca="false">IF(AND(OR(BU400="L1",BU400="L23"),AV400&gt;0),SUMIFS($AV$7:$AV$1576,$BU$7:$BU$1576,BU400,$AY$7:$AY$1576,"&gt;"&amp;AY400)+SUMIFS($AV$7:$AV$1576,$BU$7:$BU$1576,BU400,$AY$7:$AY$1576,AY400,$BO$7:$BO$1576,"&lt;="&amp;BO400),"")</f>
        <v>17.838154418383</v>
      </c>
      <c r="BA400" s="65" t="n">
        <f aca="false">IF(AZ400="",0,MAX(0,MIN(1,(IF(BU400="L1",Parameter!$E$5,Parameter!$E$6+Parameter!$E$7)-(AZ400-AV400))/AV400)))</f>
        <v>1</v>
      </c>
      <c r="BB400" s="55" t="str">
        <f aca="false">IF(AF400&lt;=0,"",IF(BU400="Aussen","Aussenlager",IF(BU400="-","Nicht im Lift",IF(AK400&gt;=1,"Lift",IF(AK400&lt;=0,"Aussenlager","teilweise")))))</f>
        <v>Lift</v>
      </c>
      <c r="BC400" s="55" t="str">
        <f aca="false">IF(AN400&lt;=0,"",IF(BU400="Aussen","Aussenlager",IF(BU400="-","Nicht im Lift",IF(AS400&gt;=1,"Lift",IF(AS400&lt;=0,"Aussenlager","teilweise")))))</f>
        <v>Lift</v>
      </c>
      <c r="BD400" s="55" t="str">
        <f aca="false">IF(AV400&lt;=0,"",IF(BU400="Aussen","Aussenlager",IF(BU400="-","Nicht im Lift",IF(BA400&gt;=1,"Lift",IF(BA400&lt;=0,"Aussenlager","teilweise")))))</f>
        <v>Lift</v>
      </c>
      <c r="BE400" s="55" t="str">
        <f aca="false">IF(A400="","",IF(BN400=1,"Neu; ","")&amp;IF(AND(BN400=0,BI400&lt;0),"negativer Bestand (Export "&amp;BI400&amp;"); ","")&amp;IF(I400&lt;=0,"Kein Verbrauch; ","")&amp;IF(CD400&gt;0,"Lift "&amp;U400&amp;" lt. Liftbericht (Fach "&amp;V400&amp;" Stk); ",IF(BR400=1,"Lose – Fläche geschätzt; ",""))&amp;IF(G400&gt;AP400,"Überbestand "&amp;ROUND(G400-AP400,0)&amp;" Stk / CHF "&amp;ROUND((G400-AP400)*F400,0)&amp;"; ","")&amp;IF(AND(BW400=1,BX400&lt;BY400),"MAX &lt; MB+LG; ","")&amp;IF(AND(CC400&gt;0,CB400*10&gt;CC400),"zu hoch für Tablar; ","")&amp;IF(AND(BN400=0,OR(BW400=1,Y400&lt;&gt;"",S400&lt;&gt;"",T400&lt;&gt;"",Z400&lt;&gt;"")),"manuell übersteuert; ","")&amp;IF(AND(BR400=0,Q400=0),"Gebinde unbekannt / Stellmass fehlt; ","")&amp;IF(AND(BR400=0,N(T400)&lt;=0,N(P400)&lt;=0),"Menge pro Gebinde fehlt (Ist = 1 Gebinde); ","")&amp;BM400)</f>
        <v/>
      </c>
      <c r="BF400" s="55"/>
      <c r="BG400" s="55"/>
      <c r="BH400" s="62"/>
      <c r="BI400" s="57" t="n">
        <v>10</v>
      </c>
      <c r="BJ400" s="57" t="n">
        <v>3</v>
      </c>
      <c r="BK400" s="56" t="n">
        <v>110.9</v>
      </c>
      <c r="BL400" s="57" t="n">
        <v>8</v>
      </c>
      <c r="BM400" s="55"/>
      <c r="BN400" s="60" t="n">
        <v>0</v>
      </c>
      <c r="BO400" s="60" t="n">
        <v>400</v>
      </c>
      <c r="BP400" s="55" t="str">
        <f aca="false">IF(S400&lt;&gt;"",UPPER(TRIM(S400)),IF(O400="","LOSE",O400))</f>
        <v>S22</v>
      </c>
      <c r="BQ400" s="57" t="n">
        <f aca="false">IF(BP400="LOSE",1,IF(N(T400)&gt;0,T400,IF(N(P400)&gt;0,P400,MAX(1,G400))))</f>
        <v>12</v>
      </c>
      <c r="BR400" s="60" t="n">
        <f aca="false">IF(BP400="LOSE",1,0)</f>
        <v>0</v>
      </c>
      <c r="BS400" s="59" t="n">
        <f aca="false">IF(BR400=0,0,IF(N(R400)&gt;0,R400,IFERROR(VLOOKUP(D400,Parameter!$A$35:$C$64,3,0)+0,0)))</f>
        <v>0</v>
      </c>
      <c r="BT400" s="55" t="n">
        <f aca="false">IF(Y400&lt;&gt;"",Y400,X400)</f>
        <v>3</v>
      </c>
      <c r="BU400" s="55" t="str">
        <f aca="false">IF(BT400=1,"L1",IF(OR(BT400=2,BT400=3),"L23",IF(BT400="Aussen","Aussen","-")))</f>
        <v>L23</v>
      </c>
      <c r="BV400" s="66" t="n">
        <f aca="false">IF(N(Z400)&gt;0,Z400,0)</f>
        <v>0</v>
      </c>
      <c r="BW400" s="60" t="n">
        <f aca="false">IF(ISNUMBER(AC400),1,0)</f>
        <v>0</v>
      </c>
      <c r="BX400" s="57" t="n">
        <f aca="false">N(AC400)</f>
        <v>0</v>
      </c>
      <c r="BY400" s="57" t="n">
        <f aca="false">N(L400)+N(M400)</f>
        <v>10</v>
      </c>
      <c r="BZ400" s="57" t="n">
        <f aca="false">ROUNDUP(G400/BQ400,0)</f>
        <v>1</v>
      </c>
      <c r="CA400" s="57" t="n">
        <f aca="false">ROUNDUP(BX400/BQ400,0)</f>
        <v>0</v>
      </c>
      <c r="CB400" s="60" t="n">
        <f aca="false">IF(BR400=1,0,IFERROR(VLOOKUP(BP400,'Gebinde-Kategorie'!$A$5:$M$45,5,0)+0,0))</f>
        <v>8</v>
      </c>
      <c r="CC400" s="60" t="n">
        <f aca="false">IFERROR(IF(OR(BT400=1,BT400=2,BT400=3),N(INDEX(Parameter!$I$5:$I$7,BT400)),0),0)</f>
        <v>0</v>
      </c>
      <c r="CD400" s="59" t="n">
        <f aca="false">IF(AND(Parameter!$B$21="Ja",ISNUMBER(U400),N(V400)&gt;0),IFERROR(N(INDEX(Parameter!$L$5:$L$7,U400))*INDEX(Parameter!$E$5:$E$7,U400)*V400/SUMIFS($V$7:$V$1576,$U$7:$U$1576,U400),0),0)</f>
        <v>0</v>
      </c>
    </row>
    <row r="401" customFormat="false" ht="15" hidden="false" customHeight="false" outlineLevel="0" collapsed="false">
      <c r="A401" s="55" t="s">
        <v>925</v>
      </c>
      <c r="B401" s="55" t="s">
        <v>926</v>
      </c>
      <c r="C401" s="55" t="s">
        <v>160</v>
      </c>
      <c r="D401" s="55" t="s">
        <v>178</v>
      </c>
      <c r="E401" s="55" t="s">
        <v>210</v>
      </c>
      <c r="F401" s="56" t="n">
        <v>0.08</v>
      </c>
      <c r="G401" s="57" t="n">
        <f aca="false">MAX(0,IF(AND(Parameter!$B$21="Ja",ISNUMBER(W401)),W401,IF(Parameter!$B$20="Jahresanfang 2025 + Export",BJ401+BI401,BI401)))</f>
        <v>1384</v>
      </c>
      <c r="H401" s="57" t="n">
        <f aca="false">G401*F401</f>
        <v>110.72</v>
      </c>
      <c r="I401" s="57" t="n">
        <f aca="false">BL401*Parameter!$B$18</f>
        <v>2732</v>
      </c>
      <c r="J401" s="58" t="n">
        <v>1000</v>
      </c>
      <c r="K401" s="59" t="n">
        <v>2.732</v>
      </c>
      <c r="L401" s="57" t="n">
        <v>159</v>
      </c>
      <c r="M401" s="57" t="n">
        <v>3000</v>
      </c>
      <c r="N401" s="60" t="n">
        <v>21</v>
      </c>
      <c r="O401" s="55" t="s">
        <v>293</v>
      </c>
      <c r="P401" s="57" t="n">
        <v>2000</v>
      </c>
      <c r="Q401" s="60" t="n">
        <f aca="false">IF(BR401=1,0,IFERROR(VLOOKUP(BP401,'Gebinde-Kategorie'!$A$5:$M$45,13,0)+0,0))</f>
        <v>26</v>
      </c>
      <c r="R401" s="61"/>
      <c r="S401" s="62"/>
      <c r="T401" s="62"/>
      <c r="U401" s="55"/>
      <c r="V401" s="57"/>
      <c r="W401" s="57"/>
      <c r="X401" s="55" t="n">
        <f aca="false">IF(A401="","",IF(AND(Parameter!$B$21="Ja",ISNUMBER(U401)),U401,IF(IFERROR(VLOOKUP(D401,Parameter!$A$35:$C$64,2,0),"Nein")="2+3",IF(ISNUMBER(SEARCH("grosser Artikel",BM401)),2,IFERROR(VLOOKUP(BP401,Parameter!$F$35:$G$64,2,0),2)),IF(OR(IFERROR(VLOOKUP(D401,Parameter!$A$35:$C$64,2,0),"Nein")="Nein",IFERROR(VLOOKUP(D401,Parameter!$A$35:$C$64,2,0),"Nein")=""),"-",VLOOKUP(D401,Parameter!$A$35:$C$64,2,0)))))</f>
        <v>3</v>
      </c>
      <c r="Y401" s="62"/>
      <c r="Z401" s="63"/>
      <c r="AA401" s="57" t="n">
        <f aca="false">AP401</f>
        <v>4000</v>
      </c>
      <c r="AB401" s="57" t="n">
        <f aca="false">MAX(AP401,G401)</f>
        <v>4000</v>
      </c>
      <c r="AC401" s="64"/>
      <c r="AD401" s="57" t="n">
        <f aca="false">IF(LEFT(Cockpit!$C$5,1)="A",G401,IF(BW401=1,BX401,IF(LEFT(Cockpit!$C$5,1)="B",AH401,MAX(AH401,G401))))</f>
        <v>1384</v>
      </c>
      <c r="AE401" s="57" t="n">
        <f aca="false">IF(BR401=1,0,ROUNDUP(AD401/BQ401,0))</f>
        <v>1</v>
      </c>
      <c r="AF401" s="59" t="n">
        <f aca="false">IF(CD401&gt;0,CD401*MAX(1,AD401/V401),IF(BR401=1,IF(AD401&lt;=0,0,BS401*MAX(1,IF(G401&gt;0,AD401/G401,1))),IF(Q401&gt;0,AE401/Q401,0))/MAX(0.1,N(Parameter!$M$21)))</f>
        <v>0.0384615384615385</v>
      </c>
      <c r="AG401" s="57" t="n">
        <f aca="false">AD401*F401</f>
        <v>110.72</v>
      </c>
      <c r="AH401" s="57" t="n">
        <f aca="false">ROUNDUP(MAX(I401/IF(BV401&gt;0,BV401,MAX(0.1,N(Cockpit!$C$6))),BY401)/BQ401,0)*BQ401</f>
        <v>4000</v>
      </c>
      <c r="AI401" s="58" t="n">
        <f aca="false">IF(AF401&gt;0,I401/AF401,-1)</f>
        <v>71032</v>
      </c>
      <c r="AJ401" s="58" t="n">
        <f aca="false">IF(AND(OR(BU401="L1",BU401="L23"),AF401&gt;0),SUMIFS($AF$7:$AF$1576,$BU$7:$BU$1576,BU401,$AI$7:$AI$1576,"&gt;"&amp;AI401)+SUMIFS($AF$7:$AF$1576,$BU$7:$BU$1576,BU401,$AI$7:$AI$1576,AI401,$BO$7:$BO$1576,"&lt;="&amp;BO401),"")</f>
        <v>0.542295868382825</v>
      </c>
      <c r="AK401" s="65" t="n">
        <f aca="false">IF(AJ401="",0,MAX(0,MIN(1,(IF(BU401="L1",Parameter!$E$5,Parameter!$E$6+Parameter!$E$7)-(AJ401-AF401))/AF401)))</f>
        <v>1</v>
      </c>
      <c r="AL401" s="57" t="n">
        <f aca="false">IF(LEFT(Cockpit!$I$5,1)="A",G401,IF(BW401=1,BX401,IF(LEFT(Cockpit!$I$5,1)="B",AP401,MAX(AP401,G401))))</f>
        <v>4000</v>
      </c>
      <c r="AM401" s="57" t="n">
        <f aca="false">IF(BR401=1,0,ROUNDUP(AL401/BQ401,0))</f>
        <v>2</v>
      </c>
      <c r="AN401" s="59" t="n">
        <f aca="false">IF(CD401&gt;0,CD401*MAX(1,AL401/V401),IF(BR401=1,IF(AL401&lt;=0,0,BS401*MAX(1,IF(G401&gt;0,AL401/G401,1))),IF(Q401&gt;0,AM401/Q401,0))/MAX(0.1,N(Parameter!$M$21)))</f>
        <v>0.0769230769230769</v>
      </c>
      <c r="AO401" s="57" t="n">
        <f aca="false">AL401*F401</f>
        <v>320</v>
      </c>
      <c r="AP401" s="57" t="n">
        <f aca="false">ROUNDUP(MAX(I401/IF(BV401&gt;0,BV401,MAX(0.1,N(Cockpit!$I$6))),BY401)/BQ401,0)*BQ401</f>
        <v>4000</v>
      </c>
      <c r="AQ401" s="58" t="n">
        <f aca="false">IF(AN401&gt;0,I401/AN401,-1)</f>
        <v>35516</v>
      </c>
      <c r="AR401" s="58" t="n">
        <f aca="false">IF(AND(OR(BU401="L1",BU401="L23"),AN401&gt;0),SUMIFS($AN$7:$AN$1576,$BU$7:$BU$1576,BU401,$AQ$7:$AQ$1576,"&gt;"&amp;AQ401)+SUMIFS($AN$7:$AN$1576,$BU$7:$BU$1576,BU401,$AQ$7:$AQ$1576,AQ401,$BO$7:$BO$1576,"&lt;="&amp;BO401),"")</f>
        <v>2.49536603493125</v>
      </c>
      <c r="AS401" s="65" t="n">
        <f aca="false">IF(AR401="",0,MAX(0,MIN(1,(IF(BU401="L1",Parameter!$E$5,Parameter!$E$6+Parameter!$E$7)-(AR401-AN401))/AN401)))</f>
        <v>1</v>
      </c>
      <c r="AT401" s="57" t="n">
        <f aca="false">IF(LEFT(Cockpit!$O$5,1)="A",G401,IF(BW401=1,BX401,IF(LEFT(Cockpit!$O$5,1)="B",AX401,MAX(AX401,G401))))</f>
        <v>4000</v>
      </c>
      <c r="AU401" s="57" t="n">
        <f aca="false">IF(BR401=1,0,ROUNDUP(AT401/BQ401,0))</f>
        <v>2</v>
      </c>
      <c r="AV401" s="59" t="n">
        <f aca="false">IF(CD401&gt;0,CD401*MAX(1,AT401/V401),IF(BR401=1,IF(AT401&lt;=0,0,BS401*MAX(1,IF(G401&gt;0,AT401/G401,1))),IF(Q401&gt;0,AU401/Q401,0))/MAX(0.1,N(Parameter!$M$21)))</f>
        <v>0.0769230769230769</v>
      </c>
      <c r="AW401" s="57" t="n">
        <f aca="false">AT401*F401</f>
        <v>320</v>
      </c>
      <c r="AX401" s="57" t="n">
        <f aca="false">ROUNDUP(MAX(I401/IF(BV401&gt;0,BV401,MAX(0.1,N(Cockpit!$O$6))),BY401)/BQ401,0)*BQ401</f>
        <v>4000</v>
      </c>
      <c r="AY401" s="58" t="n">
        <f aca="false">IF(AV401&gt;0,I401/AV401,-1)</f>
        <v>35516</v>
      </c>
      <c r="AZ401" s="58" t="n">
        <f aca="false">IF(AND(OR(BU401="L1",BU401="L23"),AV401&gt;0),SUMIFS($AV$7:$AV$1576,$BU$7:$BU$1576,BU401,$AY$7:$AY$1576,"&gt;"&amp;AY401)+SUMIFS($AV$7:$AV$1576,$BU$7:$BU$1576,BU401,$AY$7:$AY$1576,AY401,$BO$7:$BO$1576,"&lt;="&amp;BO401),"")</f>
        <v>2.30189284145806</v>
      </c>
      <c r="BA401" s="65" t="n">
        <f aca="false">IF(AZ401="",0,MAX(0,MIN(1,(IF(BU401="L1",Parameter!$E$5,Parameter!$E$6+Parameter!$E$7)-(AZ401-AV401))/AV401)))</f>
        <v>1</v>
      </c>
      <c r="BB401" s="55" t="str">
        <f aca="false">IF(AF401&lt;=0,"",IF(BU401="Aussen","Aussenlager",IF(BU401="-","Nicht im Lift",IF(AK401&gt;=1,"Lift",IF(AK401&lt;=0,"Aussenlager","teilweise")))))</f>
        <v>Lift</v>
      </c>
      <c r="BC401" s="55" t="str">
        <f aca="false">IF(AN401&lt;=0,"",IF(BU401="Aussen","Aussenlager",IF(BU401="-","Nicht im Lift",IF(AS401&gt;=1,"Lift",IF(AS401&lt;=0,"Aussenlager","teilweise")))))</f>
        <v>Lift</v>
      </c>
      <c r="BD401" s="55" t="str">
        <f aca="false">IF(AV401&lt;=0,"",IF(BU401="Aussen","Aussenlager",IF(BU401="-","Nicht im Lift",IF(BA401&gt;=1,"Lift",IF(BA401&lt;=0,"Aussenlager","teilweise")))))</f>
        <v>Lift</v>
      </c>
      <c r="BE401" s="55" t="str">
        <f aca="false">IF(A401="","",IF(BN401=1,"Neu; ","")&amp;IF(AND(BN401=0,BI401&lt;0),"negativer Bestand (Export "&amp;BI401&amp;"); ","")&amp;IF(I401&lt;=0,"Kein Verbrauch; ","")&amp;IF(CD401&gt;0,"Lift "&amp;U401&amp;" lt. Liftbericht (Fach "&amp;V401&amp;" Stk); ",IF(BR401=1,"Lose – Fläche geschätzt; ",""))&amp;IF(G401&gt;AP401,"Überbestand "&amp;ROUND(G401-AP401,0)&amp;" Stk / CHF "&amp;ROUND((G401-AP401)*F401,0)&amp;"; ","")&amp;IF(AND(BW401=1,BX401&lt;BY401),"MAX &lt; MB+LG; ","")&amp;IF(AND(CC401&gt;0,CB401*10&gt;CC401),"zu hoch für Tablar; ","")&amp;IF(AND(BN401=0,OR(BW401=1,Y401&lt;&gt;"",S401&lt;&gt;"",T401&lt;&gt;"",Z401&lt;&gt;"")),"manuell übersteuert; ","")&amp;IF(AND(BR401=0,Q401=0),"Gebinde unbekannt / Stellmass fehlt; ","")&amp;IF(AND(BR401=0,N(T401)&lt;=0,N(P401)&lt;=0),"Menge pro Gebinde fehlt (Ist = 1 Gebinde); ","")&amp;BM401)</f>
        <v/>
      </c>
      <c r="BF401" s="55"/>
      <c r="BG401" s="55"/>
      <c r="BH401" s="62"/>
      <c r="BI401" s="57" t="n">
        <v>1384</v>
      </c>
      <c r="BJ401" s="57" t="n">
        <v>400</v>
      </c>
      <c r="BK401" s="56" t="n">
        <v>110.72</v>
      </c>
      <c r="BL401" s="57" t="n">
        <v>2732</v>
      </c>
      <c r="BM401" s="55"/>
      <c r="BN401" s="60" t="n">
        <v>0</v>
      </c>
      <c r="BO401" s="60" t="n">
        <v>401</v>
      </c>
      <c r="BP401" s="55" t="str">
        <f aca="false">IF(S401&lt;&gt;"",UPPER(TRIM(S401)),IF(O401="","LOSE",O401))</f>
        <v>S51</v>
      </c>
      <c r="BQ401" s="57" t="n">
        <f aca="false">IF(BP401="LOSE",1,IF(N(T401)&gt;0,T401,IF(N(P401)&gt;0,P401,MAX(1,G401))))</f>
        <v>2000</v>
      </c>
      <c r="BR401" s="60" t="n">
        <f aca="false">IF(BP401="LOSE",1,0)</f>
        <v>0</v>
      </c>
      <c r="BS401" s="59" t="n">
        <f aca="false">IF(BR401=0,0,IF(N(R401)&gt;0,R401,IFERROR(VLOOKUP(D401,Parameter!$A$35:$C$64,3,0)+0,0)))</f>
        <v>0</v>
      </c>
      <c r="BT401" s="55" t="n">
        <f aca="false">IF(Y401&lt;&gt;"",Y401,X401)</f>
        <v>3</v>
      </c>
      <c r="BU401" s="55" t="str">
        <f aca="false">IF(BT401=1,"L1",IF(OR(BT401=2,BT401=3),"L23",IF(BT401="Aussen","Aussen","-")))</f>
        <v>L23</v>
      </c>
      <c r="BV401" s="66" t="n">
        <f aca="false">IF(N(Z401)&gt;0,Z401,0)</f>
        <v>0</v>
      </c>
      <c r="BW401" s="60" t="n">
        <f aca="false">IF(ISNUMBER(AC401),1,0)</f>
        <v>0</v>
      </c>
      <c r="BX401" s="57" t="n">
        <f aca="false">N(AC401)</f>
        <v>0</v>
      </c>
      <c r="BY401" s="57" t="n">
        <f aca="false">N(L401)+N(M401)</f>
        <v>3159</v>
      </c>
      <c r="BZ401" s="57" t="n">
        <f aca="false">ROUNDUP(G401/BQ401,0)</f>
        <v>1</v>
      </c>
      <c r="CA401" s="57" t="n">
        <f aca="false">ROUNDUP(BX401/BQ401,0)</f>
        <v>0</v>
      </c>
      <c r="CB401" s="60" t="n">
        <f aca="false">IF(BR401=1,0,IFERROR(VLOOKUP(BP401,'Gebinde-Kategorie'!$A$5:$M$45,5,0)+0,0))</f>
        <v>11</v>
      </c>
      <c r="CC401" s="60" t="n">
        <f aca="false">IFERROR(IF(OR(BT401=1,BT401=2,BT401=3),N(INDEX(Parameter!$I$5:$I$7,BT401)),0),0)</f>
        <v>0</v>
      </c>
      <c r="CD401" s="59" t="n">
        <f aca="false">IF(AND(Parameter!$B$21="Ja",ISNUMBER(U401),N(V401)&gt;0),IFERROR(N(INDEX(Parameter!$L$5:$L$7,U401))*INDEX(Parameter!$E$5:$E$7,U401)*V401/SUMIFS($V$7:$V$1576,$U$7:$U$1576,U401),0),0)</f>
        <v>0</v>
      </c>
    </row>
    <row r="402" customFormat="false" ht="15" hidden="false" customHeight="false" outlineLevel="0" collapsed="false">
      <c r="A402" s="55" t="s">
        <v>927</v>
      </c>
      <c r="B402" s="55" t="s">
        <v>928</v>
      </c>
      <c r="C402" s="55" t="s">
        <v>160</v>
      </c>
      <c r="D402" s="55" t="s">
        <v>168</v>
      </c>
      <c r="E402" s="55" t="s">
        <v>210</v>
      </c>
      <c r="F402" s="56" t="n">
        <v>43</v>
      </c>
      <c r="G402" s="57" t="n">
        <f aca="false">MAX(0,IF(AND(Parameter!$B$21="Ja",ISNUMBER(W402)),W402,IF(Parameter!$B$20="Jahresanfang 2025 + Export",BJ402+BI402,BI402)))</f>
        <v>6</v>
      </c>
      <c r="H402" s="57" t="n">
        <f aca="false">G402*F402</f>
        <v>258</v>
      </c>
      <c r="I402" s="57" t="n">
        <f aca="false">BL402*Parameter!$B$18</f>
        <v>12</v>
      </c>
      <c r="J402" s="58" t="n">
        <v>2</v>
      </c>
      <c r="K402" s="59" t="n">
        <v>6</v>
      </c>
      <c r="L402" s="57" t="n">
        <v>1</v>
      </c>
      <c r="M402" s="57" t="n">
        <v>10</v>
      </c>
      <c r="N402" s="60" t="n">
        <v>42</v>
      </c>
      <c r="O402" s="55" t="s">
        <v>163</v>
      </c>
      <c r="P402" s="57"/>
      <c r="Q402" s="60" t="n">
        <f aca="false">IF(BR402=1,0,IFERROR(VLOOKUP(BP402,'Gebinde-Kategorie'!$A$5:$M$45,13,0)+0,0))</f>
        <v>0</v>
      </c>
      <c r="R402" s="61"/>
      <c r="S402" s="62"/>
      <c r="T402" s="62"/>
      <c r="U402" s="55"/>
      <c r="V402" s="57"/>
      <c r="W402" s="57"/>
      <c r="X402" s="55" t="n">
        <f aca="false">IF(A402="","",IF(AND(Parameter!$B$21="Ja",ISNUMBER(U402)),U402,IF(IFERROR(VLOOKUP(D402,Parameter!$A$35:$C$64,2,0),"Nein")="2+3",IF(ISNUMBER(SEARCH("grosser Artikel",BM402)),2,IFERROR(VLOOKUP(BP402,Parameter!$F$35:$G$64,2,0),2)),IF(OR(IFERROR(VLOOKUP(D402,Parameter!$A$35:$C$64,2,0),"Nein")="Nein",IFERROR(VLOOKUP(D402,Parameter!$A$35:$C$64,2,0),"Nein")=""),"-",VLOOKUP(D402,Parameter!$A$35:$C$64,2,0)))))</f>
        <v>2</v>
      </c>
      <c r="Y402" s="62"/>
      <c r="Z402" s="63"/>
      <c r="AA402" s="57" t="n">
        <f aca="false">AP402</f>
        <v>11</v>
      </c>
      <c r="AB402" s="57" t="n">
        <f aca="false">MAX(AP402,G402)</f>
        <v>11</v>
      </c>
      <c r="AC402" s="64"/>
      <c r="AD402" s="57" t="n">
        <f aca="false">IF(LEFT(Cockpit!$C$5,1)="A",G402,IF(BW402=1,BX402,IF(LEFT(Cockpit!$C$5,1)="B",AH402,MAX(AH402,G402))))</f>
        <v>6</v>
      </c>
      <c r="AE402" s="57" t="n">
        <f aca="false">IF(BR402=1,0,ROUNDUP(AD402/BQ402,0))</f>
        <v>0</v>
      </c>
      <c r="AF402" s="59" t="n">
        <f aca="false">IF(CD402&gt;0,CD402*MAX(1,AD402/V402),IF(BR402=1,IF(AD402&lt;=0,0,BS402*MAX(1,IF(G402&gt;0,AD402/G402,1))),IF(Q402&gt;0,AE402/Q402,0))/MAX(0.1,N(Parameter!$M$21)))</f>
        <v>0.15</v>
      </c>
      <c r="AG402" s="57" t="n">
        <f aca="false">AD402*F402</f>
        <v>258</v>
      </c>
      <c r="AH402" s="57" t="n">
        <f aca="false">ROUNDUP(MAX(I402/IF(BV402&gt;0,BV402,MAX(0.1,N(Cockpit!$C$6))),BY402)/BQ402,0)*BQ402</f>
        <v>11</v>
      </c>
      <c r="AI402" s="58" t="n">
        <f aca="false">IF(AF402&gt;0,I402/AF402,-1)</f>
        <v>80</v>
      </c>
      <c r="AJ402" s="58" t="n">
        <f aca="false">IF(AND(OR(BU402="L1",BU402="L23"),AF402&gt;0),SUMIFS($AF$7:$AF$1576,$BU$7:$BU$1576,BU402,$AI$7:$AI$1576,"&gt;"&amp;AI402)+SUMIFS($AF$7:$AF$1576,$BU$7:$BU$1576,BU402,$AI$7:$AI$1576,AI402,$BO$7:$BO$1576,"&lt;="&amp;BO402),"")</f>
        <v>23.0679196648762</v>
      </c>
      <c r="AK402" s="65" t="n">
        <f aca="false">IF(AJ402="",0,MAX(0,MIN(1,(IF(BU402="L1",Parameter!$E$5,Parameter!$E$6+Parameter!$E$7)-(AJ402-AF402))/AF402)))</f>
        <v>1</v>
      </c>
      <c r="AL402" s="57" t="n">
        <f aca="false">IF(LEFT(Cockpit!$I$5,1)="A",G402,IF(BW402=1,BX402,IF(LEFT(Cockpit!$I$5,1)="B",AP402,MAX(AP402,G402))))</f>
        <v>11</v>
      </c>
      <c r="AM402" s="57" t="n">
        <f aca="false">IF(BR402=1,0,ROUNDUP(AL402/BQ402,0))</f>
        <v>0</v>
      </c>
      <c r="AN402" s="59" t="n">
        <f aca="false">IF(CD402&gt;0,CD402*MAX(1,AL402/V402),IF(BR402=1,IF(AL402&lt;=0,0,BS402*MAX(1,IF(G402&gt;0,AL402/G402,1))),IF(Q402&gt;0,AM402/Q402,0))/MAX(0.1,N(Parameter!$M$21)))</f>
        <v>0.275</v>
      </c>
      <c r="AO402" s="57" t="n">
        <f aca="false">AL402*F402</f>
        <v>473</v>
      </c>
      <c r="AP402" s="57" t="n">
        <f aca="false">ROUNDUP(MAX(I402/IF(BV402&gt;0,BV402,MAX(0.1,N(Cockpit!$I$6))),BY402)/BQ402,0)*BQ402</f>
        <v>11</v>
      </c>
      <c r="AQ402" s="58" t="n">
        <f aca="false">IF(AN402&gt;0,I402/AN402,-1)</f>
        <v>43.6363636363636</v>
      </c>
      <c r="AR402" s="58" t="n">
        <f aca="false">IF(AND(OR(BU402="L1",BU402="L23"),AN402&gt;0),SUMIFS($AN$7:$AN$1576,$BU$7:$BU$1576,BU402,$AQ$7:$AQ$1576,"&gt;"&amp;AQ402)+SUMIFS($AN$7:$AN$1576,$BU$7:$BU$1576,BU402,$AQ$7:$AQ$1576,AQ402,$BO$7:$BO$1576,"&lt;="&amp;BO402),"")</f>
        <v>88.0619217681829</v>
      </c>
      <c r="AS402" s="65" t="n">
        <f aca="false">IF(AR402="",0,MAX(0,MIN(1,(IF(BU402="L1",Parameter!$E$5,Parameter!$E$6+Parameter!$E$7)-(AR402-AN402))/AN402)))</f>
        <v>1</v>
      </c>
      <c r="AT402" s="57" t="n">
        <f aca="false">IF(LEFT(Cockpit!$O$5,1)="A",G402,IF(BW402=1,BX402,IF(LEFT(Cockpit!$O$5,1)="B",AX402,MAX(AX402,G402))))</f>
        <v>11</v>
      </c>
      <c r="AU402" s="57" t="n">
        <f aca="false">IF(BR402=1,0,ROUNDUP(AT402/BQ402,0))</f>
        <v>0</v>
      </c>
      <c r="AV402" s="59" t="n">
        <f aca="false">IF(CD402&gt;0,CD402*MAX(1,AT402/V402),IF(BR402=1,IF(AT402&lt;=0,0,BS402*MAX(1,IF(G402&gt;0,AT402/G402,1))),IF(Q402&gt;0,AU402/Q402,0))/MAX(0.1,N(Parameter!$M$21)))</f>
        <v>0.275</v>
      </c>
      <c r="AW402" s="57" t="n">
        <f aca="false">AT402*F402</f>
        <v>473</v>
      </c>
      <c r="AX402" s="57" t="n">
        <f aca="false">ROUNDUP(MAX(I402/IF(BV402&gt;0,BV402,MAX(0.1,N(Cockpit!$O$6))),BY402)/BQ402,0)*BQ402</f>
        <v>11</v>
      </c>
      <c r="AY402" s="58" t="n">
        <f aca="false">IF(AV402&gt;0,I402/AV402,-1)</f>
        <v>43.6363636363636</v>
      </c>
      <c r="AZ402" s="58" t="n">
        <f aca="false">IF(AND(OR(BU402="L1",BU402="L23"),AV402&gt;0),SUMIFS($AV$7:$AV$1576,$BU$7:$BU$1576,BU402,$AY$7:$AY$1576,"&gt;"&amp;AY402)+SUMIFS($AV$7:$AV$1576,$BU$7:$BU$1576,BU402,$AY$7:$AY$1576,AY402,$BO$7:$BO$1576,"&lt;="&amp;BO402),"")</f>
        <v>81.2881388844</v>
      </c>
      <c r="BA402" s="65" t="n">
        <f aca="false">IF(AZ402="",0,MAX(0,MIN(1,(IF(BU402="L1",Parameter!$E$5,Parameter!$E$6+Parameter!$E$7)-(AZ402-AV402))/AV402)))</f>
        <v>1</v>
      </c>
      <c r="BB402" s="55" t="str">
        <f aca="false">IF(AF402&lt;=0,"",IF(BU402="Aussen","Aussenlager",IF(BU402="-","Nicht im Lift",IF(AK402&gt;=1,"Lift",IF(AK402&lt;=0,"Aussenlager","teilweise")))))</f>
        <v>Lift</v>
      </c>
      <c r="BC402" s="55" t="str">
        <f aca="false">IF(AN402&lt;=0,"",IF(BU402="Aussen","Aussenlager",IF(BU402="-","Nicht im Lift",IF(AS402&gt;=1,"Lift",IF(AS402&lt;=0,"Aussenlager","teilweise")))))</f>
        <v>Lift</v>
      </c>
      <c r="BD402" s="55" t="str">
        <f aca="false">IF(AV402&lt;=0,"",IF(BU402="Aussen","Aussenlager",IF(BU402="-","Nicht im Lift",IF(BA402&gt;=1,"Lift",IF(BA402&lt;=0,"Aussenlager","teilweise")))))</f>
        <v>Lift</v>
      </c>
      <c r="BE402" s="55" t="str">
        <f aca="false">IF(A402="","",IF(BN402=1,"Neu; ","")&amp;IF(AND(BN402=0,BI402&lt;0),"negativer Bestand (Export "&amp;BI402&amp;"); ","")&amp;IF(I402&lt;=0,"Kein Verbrauch; ","")&amp;IF(CD402&gt;0,"Lift "&amp;U402&amp;" lt. Liftbericht (Fach "&amp;V402&amp;" Stk); ",IF(BR402=1,"Lose – Fläche geschätzt; ",""))&amp;IF(G402&gt;AP402,"Überbestand "&amp;ROUND(G402-AP402,0)&amp;" Stk / CHF "&amp;ROUND((G402-AP402)*F402,0)&amp;"; ","")&amp;IF(AND(BW402=1,BX402&lt;BY402),"MAX &lt; MB+LG; ","")&amp;IF(AND(CC402&gt;0,CB402*10&gt;CC402),"zu hoch für Tablar; ","")&amp;IF(AND(BN402=0,OR(BW402=1,Y402&lt;&gt;"",S402&lt;&gt;"",T402&lt;&gt;"",Z402&lt;&gt;"")),"manuell übersteuert; ","")&amp;IF(AND(BR402=0,Q402=0),"Gebinde unbekannt / Stellmass fehlt; ","")&amp;IF(AND(BR402=0,N(T402)&lt;=0,N(P402)&lt;=0),"Menge pro Gebinde fehlt (Ist = 1 Gebinde); ","")&amp;BM402)</f>
        <v>Lose – Fläche geschätzt; </v>
      </c>
      <c r="BF402" s="55"/>
      <c r="BG402" s="55"/>
      <c r="BH402" s="62"/>
      <c r="BI402" s="57" t="n">
        <v>6</v>
      </c>
      <c r="BJ402" s="57" t="n">
        <v>4</v>
      </c>
      <c r="BK402" s="56" t="n">
        <v>110</v>
      </c>
      <c r="BL402" s="57" t="n">
        <v>12</v>
      </c>
      <c r="BM402" s="55"/>
      <c r="BN402" s="60" t="n">
        <v>0</v>
      </c>
      <c r="BO402" s="60" t="n">
        <v>402</v>
      </c>
      <c r="BP402" s="55" t="str">
        <f aca="false">IF(S402&lt;&gt;"",UPPER(TRIM(S402)),IF(O402="","LOSE",O402))</f>
        <v>LOSE</v>
      </c>
      <c r="BQ402" s="57" t="n">
        <f aca="false">IF(BP402="LOSE",1,IF(N(T402)&gt;0,T402,IF(N(P402)&gt;0,P402,MAX(1,G402))))</f>
        <v>1</v>
      </c>
      <c r="BR402" s="60" t="n">
        <f aca="false">IF(BP402="LOSE",1,0)</f>
        <v>1</v>
      </c>
      <c r="BS402" s="59" t="n">
        <f aca="false">IF(BR402=0,0,IF(N(R402)&gt;0,R402,IFERROR(VLOOKUP(D402,Parameter!$A$35:$C$64,3,0)+0,0)))</f>
        <v>0.15</v>
      </c>
      <c r="BT402" s="55" t="n">
        <f aca="false">IF(Y402&lt;&gt;"",Y402,X402)</f>
        <v>2</v>
      </c>
      <c r="BU402" s="55" t="str">
        <f aca="false">IF(BT402=1,"L1",IF(OR(BT402=2,BT402=3),"L23",IF(BT402="Aussen","Aussen","-")))</f>
        <v>L23</v>
      </c>
      <c r="BV402" s="66" t="n">
        <f aca="false">IF(N(Z402)&gt;0,Z402,0)</f>
        <v>0</v>
      </c>
      <c r="BW402" s="60" t="n">
        <f aca="false">IF(ISNUMBER(AC402),1,0)</f>
        <v>0</v>
      </c>
      <c r="BX402" s="57" t="n">
        <f aca="false">N(AC402)</f>
        <v>0</v>
      </c>
      <c r="BY402" s="57" t="n">
        <f aca="false">N(L402)+N(M402)</f>
        <v>11</v>
      </c>
      <c r="BZ402" s="57" t="n">
        <f aca="false">ROUNDUP(G402/BQ402,0)</f>
        <v>6</v>
      </c>
      <c r="CA402" s="57" t="n">
        <f aca="false">ROUNDUP(BX402/BQ402,0)</f>
        <v>0</v>
      </c>
      <c r="CB402" s="60" t="n">
        <f aca="false">IF(BR402=1,0,IFERROR(VLOOKUP(BP402,'Gebinde-Kategorie'!$A$5:$M$45,5,0)+0,0))</f>
        <v>0</v>
      </c>
      <c r="CC402" s="60" t="n">
        <f aca="false">IFERROR(IF(OR(BT402=1,BT402=2,BT402=3),N(INDEX(Parameter!$I$5:$I$7,BT402)),0),0)</f>
        <v>0</v>
      </c>
      <c r="CD402" s="59" t="n">
        <f aca="false">IF(AND(Parameter!$B$21="Ja",ISNUMBER(U402),N(V402)&gt;0),IFERROR(N(INDEX(Parameter!$L$5:$L$7,U402))*INDEX(Parameter!$E$5:$E$7,U402)*V402/SUMIFS($V$7:$V$1576,$U$7:$U$1576,U402),0),0)</f>
        <v>0</v>
      </c>
    </row>
    <row r="403" customFormat="false" ht="15" hidden="false" customHeight="false" outlineLevel="0" collapsed="false">
      <c r="A403" s="55" t="s">
        <v>929</v>
      </c>
      <c r="B403" s="55" t="s">
        <v>930</v>
      </c>
      <c r="C403" s="55" t="s">
        <v>160</v>
      </c>
      <c r="D403" s="55" t="s">
        <v>168</v>
      </c>
      <c r="E403" s="55" t="s">
        <v>210</v>
      </c>
      <c r="F403" s="56" t="n">
        <v>406.5</v>
      </c>
      <c r="G403" s="57" t="n">
        <f aca="false">MAX(0,IF(AND(Parameter!$B$21="Ja",ISNUMBER(W403)),W403,IF(Parameter!$B$20="Jahresanfang 2025 + Export",BJ403+BI403,BI403)))</f>
        <v>0</v>
      </c>
      <c r="H403" s="57" t="n">
        <f aca="false">G403*F403</f>
        <v>0</v>
      </c>
      <c r="I403" s="57" t="n">
        <f aca="false">BL403*Parameter!$B$18</f>
        <v>12</v>
      </c>
      <c r="J403" s="58" t="n">
        <v>0.5</v>
      </c>
      <c r="K403" s="59" t="n">
        <v>24</v>
      </c>
      <c r="L403" s="57" t="n">
        <v>0</v>
      </c>
      <c r="M403" s="57" t="n">
        <v>1</v>
      </c>
      <c r="N403" s="60" t="n">
        <v>14</v>
      </c>
      <c r="O403" s="55" t="s">
        <v>163</v>
      </c>
      <c r="P403" s="57"/>
      <c r="Q403" s="60" t="n">
        <f aca="false">IF(BR403=1,0,IFERROR(VLOOKUP(BP403,'Gebinde-Kategorie'!$A$5:$M$45,13,0)+0,0))</f>
        <v>0</v>
      </c>
      <c r="R403" s="61"/>
      <c r="S403" s="62"/>
      <c r="T403" s="62"/>
      <c r="U403" s="55"/>
      <c r="V403" s="57"/>
      <c r="W403" s="57"/>
      <c r="X403" s="55" t="n">
        <f aca="false">IF(A403="","",IF(AND(Parameter!$B$21="Ja",ISNUMBER(U403)),U403,IF(IFERROR(VLOOKUP(D403,Parameter!$A$35:$C$64,2,0),"Nein")="2+3",IF(ISNUMBER(SEARCH("grosser Artikel",BM403)),2,IFERROR(VLOOKUP(BP403,Parameter!$F$35:$G$64,2,0),2)),IF(OR(IFERROR(VLOOKUP(D403,Parameter!$A$35:$C$64,2,0),"Nein")="Nein",IFERROR(VLOOKUP(D403,Parameter!$A$35:$C$64,2,0),"Nein")=""),"-",VLOOKUP(D403,Parameter!$A$35:$C$64,2,0)))))</f>
        <v>2</v>
      </c>
      <c r="Y403" s="62"/>
      <c r="Z403" s="63"/>
      <c r="AA403" s="57" t="n">
        <f aca="false">AP403</f>
        <v>6</v>
      </c>
      <c r="AB403" s="57" t="n">
        <f aca="false">MAX(AP403,G403)</f>
        <v>6</v>
      </c>
      <c r="AC403" s="64"/>
      <c r="AD403" s="57" t="n">
        <f aca="false">IF(LEFT(Cockpit!$C$5,1)="A",G403,IF(BW403=1,BX403,IF(LEFT(Cockpit!$C$5,1)="B",AH403,MAX(AH403,G403))))</f>
        <v>0</v>
      </c>
      <c r="AE403" s="57" t="n">
        <f aca="false">IF(BR403=1,0,ROUNDUP(AD403/BQ403,0))</f>
        <v>0</v>
      </c>
      <c r="AF403" s="59" t="n">
        <f aca="false">IF(CD403&gt;0,CD403*MAX(1,AD403/V403),IF(BR403=1,IF(AD403&lt;=0,0,BS403*MAX(1,IF(G403&gt;0,AD403/G403,1))),IF(Q403&gt;0,AE403/Q403,0))/MAX(0.1,N(Parameter!$M$21)))</f>
        <v>0</v>
      </c>
      <c r="AG403" s="57" t="n">
        <f aca="false">AD403*F403</f>
        <v>0</v>
      </c>
      <c r="AH403" s="57" t="n">
        <f aca="false">ROUNDUP(MAX(I403/IF(BV403&gt;0,BV403,MAX(0.1,N(Cockpit!$C$6))),BY403)/BQ403,0)*BQ403</f>
        <v>6</v>
      </c>
      <c r="AI403" s="58" t="n">
        <f aca="false">IF(AF403&gt;0,I403/AF403,-1)</f>
        <v>-1</v>
      </c>
      <c r="AJ403" s="58" t="str">
        <f aca="false">IF(AND(OR(BU403="L1",BU403="L23"),AF403&gt;0),SUMIFS($AF$7:$AF$1576,$BU$7:$BU$1576,BU403,$AI$7:$AI$1576,"&gt;"&amp;AI403)+SUMIFS($AF$7:$AF$1576,$BU$7:$BU$1576,BU403,$AI$7:$AI$1576,AI403,$BO$7:$BO$1576,"&lt;="&amp;BO403),"")</f>
        <v/>
      </c>
      <c r="AK403" s="65" t="n">
        <f aca="false">IF(AJ403="",0,MAX(0,MIN(1,(IF(BU403="L1",Parameter!$E$5,Parameter!$E$6+Parameter!$E$7)-(AJ403-AF403))/AF403)))</f>
        <v>0</v>
      </c>
      <c r="AL403" s="57" t="n">
        <f aca="false">IF(LEFT(Cockpit!$I$5,1)="A",G403,IF(BW403=1,BX403,IF(LEFT(Cockpit!$I$5,1)="B",AP403,MAX(AP403,G403))))</f>
        <v>6</v>
      </c>
      <c r="AM403" s="57" t="n">
        <f aca="false">IF(BR403=1,0,ROUNDUP(AL403/BQ403,0))</f>
        <v>0</v>
      </c>
      <c r="AN403" s="59" t="n">
        <f aca="false">IF(CD403&gt;0,CD403*MAX(1,AL403/V403),IF(BR403=1,IF(AL403&lt;=0,0,BS403*MAX(1,IF(G403&gt;0,AL403/G403,1))),IF(Q403&gt;0,AM403/Q403,0))/MAX(0.1,N(Parameter!$M$21)))</f>
        <v>0.15</v>
      </c>
      <c r="AO403" s="57" t="n">
        <f aca="false">AL403*F403</f>
        <v>2439</v>
      </c>
      <c r="AP403" s="57" t="n">
        <f aca="false">ROUNDUP(MAX(I403/IF(BV403&gt;0,BV403,MAX(0.1,N(Cockpit!$I$6))),BY403)/BQ403,0)*BQ403</f>
        <v>6</v>
      </c>
      <c r="AQ403" s="58" t="n">
        <f aca="false">IF(AN403&gt;0,I403/AN403,-1)</f>
        <v>80</v>
      </c>
      <c r="AR403" s="58" t="n">
        <f aca="false">IF(AND(OR(BU403="L1",BU403="L23"),AN403&gt;0),SUMIFS($AN$7:$AN$1576,$BU$7:$BU$1576,BU403,$AQ$7:$AQ$1576,"&gt;"&amp;AQ403)+SUMIFS($AN$7:$AN$1576,$BU$7:$BU$1576,BU403,$AQ$7:$AQ$1576,AQ403,$BO$7:$BO$1576,"&lt;="&amp;BO403),"")</f>
        <v>74.2808261970874</v>
      </c>
      <c r="AS403" s="65" t="n">
        <f aca="false">IF(AR403="",0,MAX(0,MIN(1,(IF(BU403="L1",Parameter!$E$5,Parameter!$E$6+Parameter!$E$7)-(AR403-AN403))/AN403)))</f>
        <v>1</v>
      </c>
      <c r="AT403" s="57" t="n">
        <f aca="false">IF(LEFT(Cockpit!$O$5,1)="A",G403,IF(BW403=1,BX403,IF(LEFT(Cockpit!$O$5,1)="B",AX403,MAX(AX403,G403))))</f>
        <v>4</v>
      </c>
      <c r="AU403" s="57" t="n">
        <f aca="false">IF(BR403=1,0,ROUNDUP(AT403/BQ403,0))</f>
        <v>0</v>
      </c>
      <c r="AV403" s="59" t="n">
        <f aca="false">IF(CD403&gt;0,CD403*MAX(1,AT403/V403),IF(BR403=1,IF(AT403&lt;=0,0,BS403*MAX(1,IF(G403&gt;0,AT403/G403,1))),IF(Q403&gt;0,AU403/Q403,0))/MAX(0.1,N(Parameter!$M$21)))</f>
        <v>0.15</v>
      </c>
      <c r="AW403" s="57" t="n">
        <f aca="false">AT403*F403</f>
        <v>1626</v>
      </c>
      <c r="AX403" s="57" t="n">
        <f aca="false">ROUNDUP(MAX(I403/IF(BV403&gt;0,BV403,MAX(0.1,N(Cockpit!$O$6))),BY403)/BQ403,0)*BQ403</f>
        <v>4</v>
      </c>
      <c r="AY403" s="58" t="n">
        <f aca="false">IF(AV403&gt;0,I403/AV403,-1)</f>
        <v>80</v>
      </c>
      <c r="AZ403" s="58" t="n">
        <f aca="false">IF(AND(OR(BU403="L1",BU403="L23"),AV403&gt;0),SUMIFS($AV$7:$AV$1576,$BU$7:$BU$1576,BU403,$AY$7:$AY$1576,"&gt;"&amp;AY403)+SUMIFS($AV$7:$AV$1576,$BU$7:$BU$1576,BU403,$AY$7:$AY$1576,AY403,$BO$7:$BO$1576,"&lt;="&amp;BO403),"")</f>
        <v>68.4537099799711</v>
      </c>
      <c r="BA403" s="65" t="n">
        <f aca="false">IF(AZ403="",0,MAX(0,MIN(1,(IF(BU403="L1",Parameter!$E$5,Parameter!$E$6+Parameter!$E$7)-(AZ403-AV403))/AV403)))</f>
        <v>1</v>
      </c>
      <c r="BB403" s="55" t="str">
        <f aca="false">IF(AF403&lt;=0,"",IF(BU403="Aussen","Aussenlager",IF(BU403="-","Nicht im Lift",IF(AK403&gt;=1,"Lift",IF(AK403&lt;=0,"Aussenlager","teilweise")))))</f>
        <v/>
      </c>
      <c r="BC403" s="55" t="str">
        <f aca="false">IF(AN403&lt;=0,"",IF(BU403="Aussen","Aussenlager",IF(BU403="-","Nicht im Lift",IF(AS403&gt;=1,"Lift",IF(AS403&lt;=0,"Aussenlager","teilweise")))))</f>
        <v>Lift</v>
      </c>
      <c r="BD403" s="55" t="str">
        <f aca="false">IF(AV403&lt;=0,"",IF(BU403="Aussen","Aussenlager",IF(BU403="-","Nicht im Lift",IF(BA403&gt;=1,"Lift",IF(BA403&lt;=0,"Aussenlager","teilweise")))))</f>
        <v>Lift</v>
      </c>
      <c r="BE403" s="55" t="str">
        <f aca="false">IF(A403="","",IF(BN403=1,"Neu; ","")&amp;IF(AND(BN403=0,BI403&lt;0),"negativer Bestand (Export "&amp;BI403&amp;"); ","")&amp;IF(I403&lt;=0,"Kein Verbrauch; ","")&amp;IF(CD403&gt;0,"Lift "&amp;U403&amp;" lt. Liftbericht (Fach "&amp;V403&amp;" Stk); ",IF(BR403=1,"Lose – Fläche geschätzt; ",""))&amp;IF(G403&gt;AP403,"Überbestand "&amp;ROUND(G403-AP403,0)&amp;" Stk / CHF "&amp;ROUND((G403-AP403)*F403,0)&amp;"; ","")&amp;IF(AND(BW403=1,BX403&lt;BY403),"MAX &lt; MB+LG; ","")&amp;IF(AND(CC403&gt;0,CB403*10&gt;CC403),"zu hoch für Tablar; ","")&amp;IF(AND(BN403=0,OR(BW403=1,Y403&lt;&gt;"",S403&lt;&gt;"",T403&lt;&gt;"",Z403&lt;&gt;"")),"manuell übersteuert; ","")&amp;IF(AND(BR403=0,Q403=0),"Gebinde unbekannt / Stellmass fehlt; ","")&amp;IF(AND(BR403=0,N(T403)&lt;=0,N(P403)&lt;=0),"Menge pro Gebinde fehlt (Ist = 1 Gebinde); ","")&amp;BM403)</f>
        <v>Lose – Fläche geschätzt; </v>
      </c>
      <c r="BF403" s="55"/>
      <c r="BG403" s="55"/>
      <c r="BH403" s="62"/>
      <c r="BI403" s="57" t="n">
        <v>0</v>
      </c>
      <c r="BJ403" s="57" t="n">
        <v>1</v>
      </c>
      <c r="BK403" s="56" t="n">
        <v>108.3</v>
      </c>
      <c r="BL403" s="57" t="n">
        <v>12</v>
      </c>
      <c r="BM403" s="55"/>
      <c r="BN403" s="60" t="n">
        <v>0</v>
      </c>
      <c r="BO403" s="60" t="n">
        <v>403</v>
      </c>
      <c r="BP403" s="55" t="str">
        <f aca="false">IF(S403&lt;&gt;"",UPPER(TRIM(S403)),IF(O403="","LOSE",O403))</f>
        <v>LOSE</v>
      </c>
      <c r="BQ403" s="57" t="n">
        <f aca="false">IF(BP403="LOSE",1,IF(N(T403)&gt;0,T403,IF(N(P403)&gt;0,P403,MAX(1,G403))))</f>
        <v>1</v>
      </c>
      <c r="BR403" s="60" t="n">
        <f aca="false">IF(BP403="LOSE",1,0)</f>
        <v>1</v>
      </c>
      <c r="BS403" s="59" t="n">
        <f aca="false">IF(BR403=0,0,IF(N(R403)&gt;0,R403,IFERROR(VLOOKUP(D403,Parameter!$A$35:$C$64,3,0)+0,0)))</f>
        <v>0.15</v>
      </c>
      <c r="BT403" s="55" t="n">
        <f aca="false">IF(Y403&lt;&gt;"",Y403,X403)</f>
        <v>2</v>
      </c>
      <c r="BU403" s="55" t="str">
        <f aca="false">IF(BT403=1,"L1",IF(OR(BT403=2,BT403=3),"L23",IF(BT403="Aussen","Aussen","-")))</f>
        <v>L23</v>
      </c>
      <c r="BV403" s="66" t="n">
        <f aca="false">IF(N(Z403)&gt;0,Z403,0)</f>
        <v>0</v>
      </c>
      <c r="BW403" s="60" t="n">
        <f aca="false">IF(ISNUMBER(AC403),1,0)</f>
        <v>0</v>
      </c>
      <c r="BX403" s="57" t="n">
        <f aca="false">N(AC403)</f>
        <v>0</v>
      </c>
      <c r="BY403" s="57" t="n">
        <f aca="false">N(L403)+N(M403)</f>
        <v>1</v>
      </c>
      <c r="BZ403" s="57" t="n">
        <f aca="false">ROUNDUP(G403/BQ403,0)</f>
        <v>0</v>
      </c>
      <c r="CA403" s="57" t="n">
        <f aca="false">ROUNDUP(BX403/BQ403,0)</f>
        <v>0</v>
      </c>
      <c r="CB403" s="60" t="n">
        <f aca="false">IF(BR403=1,0,IFERROR(VLOOKUP(BP403,'Gebinde-Kategorie'!$A$5:$M$45,5,0)+0,0))</f>
        <v>0</v>
      </c>
      <c r="CC403" s="60" t="n">
        <f aca="false">IFERROR(IF(OR(BT403=1,BT403=2,BT403=3),N(INDEX(Parameter!$I$5:$I$7,BT403)),0),0)</f>
        <v>0</v>
      </c>
      <c r="CD403" s="59" t="n">
        <f aca="false">IF(AND(Parameter!$B$21="Ja",ISNUMBER(U403),N(V403)&gt;0),IFERROR(N(INDEX(Parameter!$L$5:$L$7,U403))*INDEX(Parameter!$E$5:$E$7,U403)*V403/SUMIFS($V$7:$V$1576,$U$7:$U$1576,U403),0),0)</f>
        <v>0</v>
      </c>
    </row>
    <row r="404" customFormat="false" ht="15" hidden="false" customHeight="false" outlineLevel="0" collapsed="false">
      <c r="A404" s="55" t="s">
        <v>931</v>
      </c>
      <c r="B404" s="55" t="s">
        <v>932</v>
      </c>
      <c r="C404" s="55" t="s">
        <v>160</v>
      </c>
      <c r="D404" s="55" t="s">
        <v>178</v>
      </c>
      <c r="E404" s="55" t="s">
        <v>210</v>
      </c>
      <c r="F404" s="56" t="n">
        <v>10.8</v>
      </c>
      <c r="G404" s="57" t="n">
        <f aca="false">MAX(0,IF(AND(Parameter!$B$21="Ja",ISNUMBER(W404)),W404,IF(Parameter!$B$20="Jahresanfang 2025 + Export",BJ404+BI404,BI404)))</f>
        <v>10</v>
      </c>
      <c r="H404" s="57" t="n">
        <f aca="false">G404*F404</f>
        <v>108</v>
      </c>
      <c r="I404" s="57" t="n">
        <f aca="false">BL404*Parameter!$B$18</f>
        <v>7</v>
      </c>
      <c r="J404" s="58" t="n">
        <v>2</v>
      </c>
      <c r="K404" s="59" t="n">
        <v>3.5</v>
      </c>
      <c r="L404" s="57" t="n">
        <v>0</v>
      </c>
      <c r="M404" s="57" t="n">
        <v>5</v>
      </c>
      <c r="N404" s="60" t="n">
        <v>28</v>
      </c>
      <c r="O404" s="55" t="s">
        <v>465</v>
      </c>
      <c r="P404" s="57" t="n">
        <v>5</v>
      </c>
      <c r="Q404" s="60" t="n">
        <f aca="false">IF(BR404=1,0,IFERROR(VLOOKUP(BP404,'Gebinde-Kategorie'!$A$5:$M$45,13,0)+0,0))</f>
        <v>66</v>
      </c>
      <c r="R404" s="61"/>
      <c r="S404" s="62"/>
      <c r="T404" s="62"/>
      <c r="U404" s="55"/>
      <c r="V404" s="57"/>
      <c r="W404" s="57"/>
      <c r="X404" s="55" t="n">
        <f aca="false">IF(A404="","",IF(AND(Parameter!$B$21="Ja",ISNUMBER(U404)),U404,IF(IFERROR(VLOOKUP(D404,Parameter!$A$35:$C$64,2,0),"Nein")="2+3",IF(ISNUMBER(SEARCH("grosser Artikel",BM404)),2,IFERROR(VLOOKUP(BP404,Parameter!$F$35:$G$64,2,0),2)),IF(OR(IFERROR(VLOOKUP(D404,Parameter!$A$35:$C$64,2,0),"Nein")="Nein",IFERROR(VLOOKUP(D404,Parameter!$A$35:$C$64,2,0),"Nein")=""),"-",VLOOKUP(D404,Parameter!$A$35:$C$64,2,0)))))</f>
        <v>3</v>
      </c>
      <c r="Y404" s="62"/>
      <c r="Z404" s="63"/>
      <c r="AA404" s="57" t="n">
        <f aca="false">AP404</f>
        <v>5</v>
      </c>
      <c r="AB404" s="57" t="n">
        <f aca="false">MAX(AP404,G404)</f>
        <v>10</v>
      </c>
      <c r="AC404" s="64"/>
      <c r="AD404" s="57" t="n">
        <f aca="false">IF(LEFT(Cockpit!$C$5,1)="A",G404,IF(BW404=1,BX404,IF(LEFT(Cockpit!$C$5,1)="B",AH404,MAX(AH404,G404))))</f>
        <v>10</v>
      </c>
      <c r="AE404" s="57" t="n">
        <f aca="false">IF(BR404=1,0,ROUNDUP(AD404/BQ404,0))</f>
        <v>2</v>
      </c>
      <c r="AF404" s="59" t="n">
        <f aca="false">IF(CD404&gt;0,CD404*MAX(1,AD404/V404),IF(BR404=1,IF(AD404&lt;=0,0,BS404*MAX(1,IF(G404&gt;0,AD404/G404,1))),IF(Q404&gt;0,AE404/Q404,0))/MAX(0.1,N(Parameter!$M$21)))</f>
        <v>0.0303030303030303</v>
      </c>
      <c r="AG404" s="57" t="n">
        <f aca="false">AD404*F404</f>
        <v>108</v>
      </c>
      <c r="AH404" s="57" t="n">
        <f aca="false">ROUNDUP(MAX(I404/IF(BV404&gt;0,BV404,MAX(0.1,N(Cockpit!$C$6))),BY404)/BQ404,0)*BQ404</f>
        <v>5</v>
      </c>
      <c r="AI404" s="58" t="n">
        <f aca="false">IF(AF404&gt;0,I404/AF404,-1)</f>
        <v>231</v>
      </c>
      <c r="AJ404" s="58" t="n">
        <f aca="false">IF(AND(OR(BU404="L1",BU404="L23"),AF404&gt;0),SUMIFS($AF$7:$AF$1576,$BU$7:$BU$1576,BU404,$AI$7:$AI$1576,"&gt;"&amp;AI404)+SUMIFS($AF$7:$AF$1576,$BU$7:$BU$1576,BU404,$AI$7:$AI$1576,AI404,$BO$7:$BO$1576,"&lt;="&amp;BO404),"")</f>
        <v>16.2856900104726</v>
      </c>
      <c r="AK404" s="65" t="n">
        <f aca="false">IF(AJ404="",0,MAX(0,MIN(1,(IF(BU404="L1",Parameter!$E$5,Parameter!$E$6+Parameter!$E$7)-(AJ404-AF404))/AF404)))</f>
        <v>1</v>
      </c>
      <c r="AL404" s="57" t="n">
        <f aca="false">IF(LEFT(Cockpit!$I$5,1)="A",G404,IF(BW404=1,BX404,IF(LEFT(Cockpit!$I$5,1)="B",AP404,MAX(AP404,G404))))</f>
        <v>10</v>
      </c>
      <c r="AM404" s="57" t="n">
        <f aca="false">IF(BR404=1,0,ROUNDUP(AL404/BQ404,0))</f>
        <v>2</v>
      </c>
      <c r="AN404" s="59" t="n">
        <f aca="false">IF(CD404&gt;0,CD404*MAX(1,AL404/V404),IF(BR404=1,IF(AL404&lt;=0,0,BS404*MAX(1,IF(G404&gt;0,AL404/G404,1))),IF(Q404&gt;0,AM404/Q404,0))/MAX(0.1,N(Parameter!$M$21)))</f>
        <v>0.0303030303030303</v>
      </c>
      <c r="AO404" s="57" t="n">
        <f aca="false">AL404*F404</f>
        <v>108</v>
      </c>
      <c r="AP404" s="57" t="n">
        <f aca="false">ROUNDUP(MAX(I404/IF(BV404&gt;0,BV404,MAX(0.1,N(Cockpit!$I$6))),BY404)/BQ404,0)*BQ404</f>
        <v>5</v>
      </c>
      <c r="AQ404" s="58" t="n">
        <f aca="false">IF(AN404&gt;0,I404/AN404,-1)</f>
        <v>231</v>
      </c>
      <c r="AR404" s="58" t="n">
        <f aca="false">IF(AND(OR(BU404="L1",BU404="L23"),AN404&gt;0),SUMIFS($AN$7:$AN$1576,$BU$7:$BU$1576,BU404,$AQ$7:$AQ$1576,"&gt;"&amp;AQ404)+SUMIFS($AN$7:$AN$1576,$BU$7:$BU$1576,BU404,$AQ$7:$AQ$1576,AQ404,$BO$7:$BO$1576,"&lt;="&amp;BO404),"")</f>
        <v>47.3799431127804</v>
      </c>
      <c r="AS404" s="65" t="n">
        <f aca="false">IF(AR404="",0,MAX(0,MIN(1,(IF(BU404="L1",Parameter!$E$5,Parameter!$E$6+Parameter!$E$7)-(AR404-AN404))/AN404)))</f>
        <v>1</v>
      </c>
      <c r="AT404" s="57" t="n">
        <f aca="false">IF(LEFT(Cockpit!$O$5,1)="A",G404,IF(BW404=1,BX404,IF(LEFT(Cockpit!$O$5,1)="B",AX404,MAX(AX404,G404))))</f>
        <v>10</v>
      </c>
      <c r="AU404" s="57" t="n">
        <f aca="false">IF(BR404=1,0,ROUNDUP(AT404/BQ404,0))</f>
        <v>2</v>
      </c>
      <c r="AV404" s="59" t="n">
        <f aca="false">IF(CD404&gt;0,CD404*MAX(1,AT404/V404),IF(BR404=1,IF(AT404&lt;=0,0,BS404*MAX(1,IF(G404&gt;0,AT404/G404,1))),IF(Q404&gt;0,AU404/Q404,0))/MAX(0.1,N(Parameter!$M$21)))</f>
        <v>0.0303030303030303</v>
      </c>
      <c r="AW404" s="57" t="n">
        <f aca="false">AT404*F404</f>
        <v>108</v>
      </c>
      <c r="AX404" s="57" t="n">
        <f aca="false">ROUNDUP(MAX(I404/IF(BV404&gt;0,BV404,MAX(0.1,N(Cockpit!$O$6))),BY404)/BQ404,0)*BQ404</f>
        <v>5</v>
      </c>
      <c r="AY404" s="58" t="n">
        <f aca="false">IF(AV404&gt;0,I404/AV404,-1)</f>
        <v>231</v>
      </c>
      <c r="AZ404" s="58" t="n">
        <f aca="false">IF(AND(OR(BU404="L1",BU404="L23"),AV404&gt;0),SUMIFS($AV$7:$AV$1576,$BU$7:$BU$1576,BU404,$AY$7:$AY$1576,"&gt;"&amp;AY404)+SUMIFS($AV$7:$AV$1576,$BU$7:$BU$1576,BU404,$AY$7:$AY$1576,AY404,$BO$7:$BO$1576,"&lt;="&amp;BO404),"")</f>
        <v>43.9913550341923</v>
      </c>
      <c r="BA404" s="65" t="n">
        <f aca="false">IF(AZ404="",0,MAX(0,MIN(1,(IF(BU404="L1",Parameter!$E$5,Parameter!$E$6+Parameter!$E$7)-(AZ404-AV404))/AV404)))</f>
        <v>1</v>
      </c>
      <c r="BB404" s="55" t="str">
        <f aca="false">IF(AF404&lt;=0,"",IF(BU404="Aussen","Aussenlager",IF(BU404="-","Nicht im Lift",IF(AK404&gt;=1,"Lift",IF(AK404&lt;=0,"Aussenlager","teilweise")))))</f>
        <v>Lift</v>
      </c>
      <c r="BC404" s="55" t="str">
        <f aca="false">IF(AN404&lt;=0,"",IF(BU404="Aussen","Aussenlager",IF(BU404="-","Nicht im Lift",IF(AS404&gt;=1,"Lift",IF(AS404&lt;=0,"Aussenlager","teilweise")))))</f>
        <v>Lift</v>
      </c>
      <c r="BD404" s="55" t="str">
        <f aca="false">IF(AV404&lt;=0,"",IF(BU404="Aussen","Aussenlager",IF(BU404="-","Nicht im Lift",IF(BA404&gt;=1,"Lift",IF(BA404&lt;=0,"Aussenlager","teilweise")))))</f>
        <v>Lift</v>
      </c>
      <c r="BE404" s="55" t="str">
        <f aca="false">IF(A404="","",IF(BN404=1,"Neu; ","")&amp;IF(AND(BN404=0,BI404&lt;0),"negativer Bestand (Export "&amp;BI404&amp;"); ","")&amp;IF(I404&lt;=0,"Kein Verbrauch; ","")&amp;IF(CD404&gt;0,"Lift "&amp;U404&amp;" lt. Liftbericht (Fach "&amp;V404&amp;" Stk); ",IF(BR404=1,"Lose – Fläche geschätzt; ",""))&amp;IF(G404&gt;AP404,"Überbestand "&amp;ROUND(G404-AP404,0)&amp;" Stk / CHF "&amp;ROUND((G404-AP404)*F404,0)&amp;"; ","")&amp;IF(AND(BW404=1,BX404&lt;BY404),"MAX &lt; MB+LG; ","")&amp;IF(AND(CC404&gt;0,CB404*10&gt;CC404),"zu hoch für Tablar; ","")&amp;IF(AND(BN404=0,OR(BW404=1,Y404&lt;&gt;"",S404&lt;&gt;"",T404&lt;&gt;"",Z404&lt;&gt;"")),"manuell übersteuert; ","")&amp;IF(AND(BR404=0,Q404=0),"Gebinde unbekannt / Stellmass fehlt; ","")&amp;IF(AND(BR404=0,N(T404)&lt;=0,N(P404)&lt;=0),"Menge pro Gebinde fehlt (Ist = 1 Gebinde); ","")&amp;BM404)</f>
        <v>Überbestand 5 Stk / CHF 54; </v>
      </c>
      <c r="BF404" s="55"/>
      <c r="BG404" s="55"/>
      <c r="BH404" s="62"/>
      <c r="BI404" s="57" t="n">
        <v>10</v>
      </c>
      <c r="BJ404" s="57" t="n">
        <v>2</v>
      </c>
      <c r="BK404" s="56" t="n">
        <v>108</v>
      </c>
      <c r="BL404" s="57" t="n">
        <v>7</v>
      </c>
      <c r="BM404" s="55"/>
      <c r="BN404" s="60" t="n">
        <v>0</v>
      </c>
      <c r="BO404" s="60" t="n">
        <v>404</v>
      </c>
      <c r="BP404" s="55" t="str">
        <f aca="false">IF(S404&lt;&gt;"",UPPER(TRIM(S404)),IF(O404="","LOSE",O404))</f>
        <v>S33</v>
      </c>
      <c r="BQ404" s="57" t="n">
        <f aca="false">IF(BP404="LOSE",1,IF(N(T404)&gt;0,T404,IF(N(P404)&gt;0,P404,MAX(1,G404))))</f>
        <v>5</v>
      </c>
      <c r="BR404" s="60" t="n">
        <f aca="false">IF(BP404="LOSE",1,0)</f>
        <v>0</v>
      </c>
      <c r="BS404" s="59" t="n">
        <f aca="false">IF(BR404=0,0,IF(N(R404)&gt;0,R404,IFERROR(VLOOKUP(D404,Parameter!$A$35:$C$64,3,0)+0,0)))</f>
        <v>0</v>
      </c>
      <c r="BT404" s="55" t="n">
        <f aca="false">IF(Y404&lt;&gt;"",Y404,X404)</f>
        <v>3</v>
      </c>
      <c r="BU404" s="55" t="str">
        <f aca="false">IF(BT404=1,"L1",IF(OR(BT404=2,BT404=3),"L23",IF(BT404="Aussen","Aussen","-")))</f>
        <v>L23</v>
      </c>
      <c r="BV404" s="66" t="n">
        <f aca="false">IF(N(Z404)&gt;0,Z404,0)</f>
        <v>0</v>
      </c>
      <c r="BW404" s="60" t="n">
        <f aca="false">IF(ISNUMBER(AC404),1,0)</f>
        <v>0</v>
      </c>
      <c r="BX404" s="57" t="n">
        <f aca="false">N(AC404)</f>
        <v>0</v>
      </c>
      <c r="BY404" s="57" t="n">
        <f aca="false">N(L404)+N(M404)</f>
        <v>5</v>
      </c>
      <c r="BZ404" s="57" t="n">
        <f aca="false">ROUNDUP(G404/BQ404,0)</f>
        <v>2</v>
      </c>
      <c r="CA404" s="57" t="n">
        <f aca="false">ROUNDUP(BX404/BQ404,0)</f>
        <v>0</v>
      </c>
      <c r="CB404" s="60" t="n">
        <f aca="false">IF(BR404=1,0,IFERROR(VLOOKUP(BP404,'Gebinde-Kategorie'!$A$5:$M$45,5,0)+0,0))</f>
        <v>8</v>
      </c>
      <c r="CC404" s="60" t="n">
        <f aca="false">IFERROR(IF(OR(BT404=1,BT404=2,BT404=3),N(INDEX(Parameter!$I$5:$I$7,BT404)),0),0)</f>
        <v>0</v>
      </c>
      <c r="CD404" s="59" t="n">
        <f aca="false">IF(AND(Parameter!$B$21="Ja",ISNUMBER(U404),N(V404)&gt;0),IFERROR(N(INDEX(Parameter!$L$5:$L$7,U404))*INDEX(Parameter!$E$5:$E$7,U404)*V404/SUMIFS($V$7:$V$1576,$U$7:$U$1576,U404),0),0)</f>
        <v>0</v>
      </c>
    </row>
    <row r="405" customFormat="false" ht="15" hidden="false" customHeight="false" outlineLevel="0" collapsed="false">
      <c r="A405" s="55" t="s">
        <v>933</v>
      </c>
      <c r="B405" s="55" t="s">
        <v>934</v>
      </c>
      <c r="C405" s="55" t="s">
        <v>160</v>
      </c>
      <c r="D405" s="55" t="s">
        <v>178</v>
      </c>
      <c r="E405" s="55" t="s">
        <v>210</v>
      </c>
      <c r="F405" s="56" t="n">
        <v>22.9</v>
      </c>
      <c r="G405" s="57" t="n">
        <f aca="false">MAX(0,IF(AND(Parameter!$B$21="Ja",ISNUMBER(W405)),W405,IF(Parameter!$B$20="Jahresanfang 2025 + Export",BJ405+BI405,BI405)))</f>
        <v>4.685</v>
      </c>
      <c r="H405" s="57" t="n">
        <f aca="false">G405*F405</f>
        <v>107.2865</v>
      </c>
      <c r="I405" s="57" t="n">
        <f aca="false">BL405*Parameter!$B$18</f>
        <v>0</v>
      </c>
      <c r="J405" s="58" t="n">
        <v>0</v>
      </c>
      <c r="K405" s="59" t="n">
        <v>0</v>
      </c>
      <c r="L405" s="57" t="n">
        <v>1</v>
      </c>
      <c r="M405" s="57" t="n">
        <v>5</v>
      </c>
      <c r="N405" s="60" t="n">
        <v>0</v>
      </c>
      <c r="O405" s="55" t="s">
        <v>163</v>
      </c>
      <c r="P405" s="57"/>
      <c r="Q405" s="60" t="n">
        <f aca="false">IF(BR405=1,0,IFERROR(VLOOKUP(BP405,'Gebinde-Kategorie'!$A$5:$M$45,13,0)+0,0))</f>
        <v>0</v>
      </c>
      <c r="R405" s="61"/>
      <c r="S405" s="62"/>
      <c r="T405" s="62"/>
      <c r="U405" s="55"/>
      <c r="V405" s="57"/>
      <c r="W405" s="57"/>
      <c r="X405" s="55" t="n">
        <f aca="false">IF(A405="","",IF(AND(Parameter!$B$21="Ja",ISNUMBER(U405)),U405,IF(IFERROR(VLOOKUP(D405,Parameter!$A$35:$C$64,2,0),"Nein")="2+3",IF(ISNUMBER(SEARCH("grosser Artikel",BM405)),2,IFERROR(VLOOKUP(BP405,Parameter!$F$35:$G$64,2,0),2)),IF(OR(IFERROR(VLOOKUP(D405,Parameter!$A$35:$C$64,2,0),"Nein")="Nein",IFERROR(VLOOKUP(D405,Parameter!$A$35:$C$64,2,0),"Nein")=""),"-",VLOOKUP(D405,Parameter!$A$35:$C$64,2,0)))))</f>
        <v>2</v>
      </c>
      <c r="Y405" s="62"/>
      <c r="Z405" s="63"/>
      <c r="AA405" s="57" t="n">
        <f aca="false">AP405</f>
        <v>6</v>
      </c>
      <c r="AB405" s="57" t="n">
        <f aca="false">MAX(AP405,G405)</f>
        <v>6</v>
      </c>
      <c r="AC405" s="64"/>
      <c r="AD405" s="57" t="n">
        <f aca="false">IF(LEFT(Cockpit!$C$5,1)="A",G405,IF(BW405=1,BX405,IF(LEFT(Cockpit!$C$5,1)="B",AH405,MAX(AH405,G405))))</f>
        <v>4.685</v>
      </c>
      <c r="AE405" s="57" t="n">
        <f aca="false">IF(BR405=1,0,ROUNDUP(AD405/BQ405,0))</f>
        <v>0</v>
      </c>
      <c r="AF405" s="59" t="n">
        <f aca="false">IF(CD405&gt;0,CD405*MAX(1,AD405/V405),IF(BR405=1,IF(AD405&lt;=0,0,BS405*MAX(1,IF(G405&gt;0,AD405/G405,1))),IF(Q405&gt;0,AE405/Q405,0))/MAX(0.1,N(Parameter!$M$21)))</f>
        <v>0.03</v>
      </c>
      <c r="AG405" s="57" t="n">
        <f aca="false">AD405*F405</f>
        <v>107.2865</v>
      </c>
      <c r="AH405" s="57" t="n">
        <f aca="false">ROUNDUP(MAX(I405/IF(BV405&gt;0,BV405,MAX(0.1,N(Cockpit!$C$6))),BY405)/BQ405,0)*BQ405</f>
        <v>6</v>
      </c>
      <c r="AI405" s="58" t="n">
        <f aca="false">IF(AF405&gt;0,I405/AF405,-1)</f>
        <v>0</v>
      </c>
      <c r="AJ405" s="58" t="n">
        <f aca="false">IF(AND(OR(BU405="L1",BU405="L23"),AF405&gt;0),SUMIFS($AF$7:$AF$1576,$BU$7:$BU$1576,BU405,$AI$7:$AI$1576,"&gt;"&amp;AI405)+SUMIFS($AF$7:$AF$1576,$BU$7:$BU$1576,BU405,$AI$7:$AI$1576,AI405,$BO$7:$BO$1576,"&lt;="&amp;BO405),"")</f>
        <v>41.7174612344178</v>
      </c>
      <c r="AK405" s="65" t="n">
        <f aca="false">IF(AJ405="",0,MAX(0,MIN(1,(IF(BU405="L1",Parameter!$E$5,Parameter!$E$6+Parameter!$E$7)-(AJ405-AF405))/AF405)))</f>
        <v>1</v>
      </c>
      <c r="AL405" s="57" t="n">
        <f aca="false">IF(LEFT(Cockpit!$I$5,1)="A",G405,IF(BW405=1,BX405,IF(LEFT(Cockpit!$I$5,1)="B",AP405,MAX(AP405,G405))))</f>
        <v>6</v>
      </c>
      <c r="AM405" s="57" t="n">
        <f aca="false">IF(BR405=1,0,ROUNDUP(AL405/BQ405,0))</f>
        <v>0</v>
      </c>
      <c r="AN405" s="59" t="n">
        <f aca="false">IF(CD405&gt;0,CD405*MAX(1,AL405/V405),IF(BR405=1,IF(AL405&lt;=0,0,BS405*MAX(1,IF(G405&gt;0,AL405/G405,1))),IF(Q405&gt;0,AM405/Q405,0))/MAX(0.1,N(Parameter!$M$21)))</f>
        <v>0.0384204909284952</v>
      </c>
      <c r="AO405" s="57" t="n">
        <f aca="false">AL405*F405</f>
        <v>137.4</v>
      </c>
      <c r="AP405" s="57" t="n">
        <f aca="false">ROUNDUP(MAX(I405/IF(BV405&gt;0,BV405,MAX(0.1,N(Cockpit!$I$6))),BY405)/BQ405,0)*BQ405</f>
        <v>6</v>
      </c>
      <c r="AQ405" s="58" t="n">
        <f aca="false">IF(AN405&gt;0,I405/AN405,-1)</f>
        <v>0</v>
      </c>
      <c r="AR405" s="58" t="n">
        <f aca="false">IF(AND(OR(BU405="L1",BU405="L23"),AN405&gt;0),SUMIFS($AN$7:$AN$1576,$BU$7:$BU$1576,BU405,$AQ$7:$AQ$1576,"&gt;"&amp;AQ405)+SUMIFS($AN$7:$AN$1576,$BU$7:$BU$1576,BU405,$AQ$7:$AQ$1576,AQ405,$BO$7:$BO$1576,"&lt;="&amp;BO405),"")</f>
        <v>124.707587475136</v>
      </c>
      <c r="AS405" s="65" t="n">
        <f aca="false">IF(AR405="",0,MAX(0,MIN(1,(IF(BU405="L1",Parameter!$E$5,Parameter!$E$6+Parameter!$E$7)-(AR405-AN405))/AN405)))</f>
        <v>0</v>
      </c>
      <c r="AT405" s="57" t="n">
        <f aca="false">IF(LEFT(Cockpit!$O$5,1)="A",G405,IF(BW405=1,BX405,IF(LEFT(Cockpit!$O$5,1)="B",AX405,MAX(AX405,G405))))</f>
        <v>6</v>
      </c>
      <c r="AU405" s="57" t="n">
        <f aca="false">IF(BR405=1,0,ROUNDUP(AT405/BQ405,0))</f>
        <v>0</v>
      </c>
      <c r="AV405" s="59" t="n">
        <f aca="false">IF(CD405&gt;0,CD405*MAX(1,AT405/V405),IF(BR405=1,IF(AT405&lt;=0,0,BS405*MAX(1,IF(G405&gt;0,AT405/G405,1))),IF(Q405&gt;0,AU405/Q405,0))/MAX(0.1,N(Parameter!$M$21)))</f>
        <v>0.0384204909284952</v>
      </c>
      <c r="AW405" s="57" t="n">
        <f aca="false">AT405*F405</f>
        <v>137.4</v>
      </c>
      <c r="AX405" s="57" t="n">
        <f aca="false">ROUNDUP(MAX(I405/IF(BV405&gt;0,BV405,MAX(0.1,N(Cockpit!$O$6))),BY405)/BQ405,0)*BQ405</f>
        <v>6</v>
      </c>
      <c r="AY405" s="58" t="n">
        <f aca="false">IF(AV405&gt;0,I405/AV405,-1)</f>
        <v>0</v>
      </c>
      <c r="AZ405" s="58" t="n">
        <f aca="false">IF(AND(OR(BU405="L1",BU405="L23"),AV405&gt;0),SUMIFS($AV$7:$AV$1576,$BU$7:$BU$1576,BU405,$AY$7:$AY$1576,"&gt;"&amp;AY405)+SUMIFS($AV$7:$AV$1576,$BU$7:$BU$1576,BU405,$AY$7:$AY$1576,AY405,$BO$7:$BO$1576,"&lt;="&amp;BO405),"")</f>
        <v>114.767137924686</v>
      </c>
      <c r="BA405" s="65" t="n">
        <f aca="false">IF(AZ405="",0,MAX(0,MIN(1,(IF(BU405="L1",Parameter!$E$5,Parameter!$E$6+Parameter!$E$7)-(AZ405-AV405))/AV405)))</f>
        <v>0</v>
      </c>
      <c r="BB405" s="55" t="str">
        <f aca="false">IF(AF405&lt;=0,"",IF(BU405="Aussen","Aussenlager",IF(BU405="-","Nicht im Lift",IF(AK405&gt;=1,"Lift",IF(AK405&lt;=0,"Aussenlager","teilweise")))))</f>
        <v>Lift</v>
      </c>
      <c r="BC405" s="55" t="str">
        <f aca="false">IF(AN405&lt;=0,"",IF(BU405="Aussen","Aussenlager",IF(BU405="-","Nicht im Lift",IF(AS405&gt;=1,"Lift",IF(AS405&lt;=0,"Aussenlager","teilweise")))))</f>
        <v>Aussenlager</v>
      </c>
      <c r="BD405" s="55" t="str">
        <f aca="false">IF(AV405&lt;=0,"",IF(BU405="Aussen","Aussenlager",IF(BU405="-","Nicht im Lift",IF(BA405&gt;=1,"Lift",IF(BA405&lt;=0,"Aussenlager","teilweise")))))</f>
        <v>Aussenlager</v>
      </c>
      <c r="BE405" s="55" t="str">
        <f aca="false">IF(A405="","",IF(BN405=1,"Neu; ","")&amp;IF(AND(BN405=0,BI405&lt;0),"negativer Bestand (Export "&amp;BI405&amp;"); ","")&amp;IF(I405&lt;=0,"Kein Verbrauch; ","")&amp;IF(CD405&gt;0,"Lift "&amp;U405&amp;" lt. Liftbericht (Fach "&amp;V405&amp;" Stk); ",IF(BR405=1,"Lose – Fläche geschätzt; ",""))&amp;IF(G405&gt;AP405,"Überbestand "&amp;ROUND(G405-AP405,0)&amp;" Stk / CHF "&amp;ROUND((G405-AP405)*F405,0)&amp;"; ","")&amp;IF(AND(BW405=1,BX405&lt;BY405),"MAX &lt; MB+LG; ","")&amp;IF(AND(CC405&gt;0,CB405*10&gt;CC405),"zu hoch für Tablar; ","")&amp;IF(AND(BN405=0,OR(BW405=1,Y405&lt;&gt;"",S405&lt;&gt;"",T405&lt;&gt;"",Z405&lt;&gt;"")),"manuell übersteuert; ","")&amp;IF(AND(BR405=0,Q405=0),"Gebinde unbekannt / Stellmass fehlt; ","")&amp;IF(AND(BR405=0,N(T405)&lt;=0,N(P405)&lt;=0),"Menge pro Gebinde fehlt (Ist = 1 Gebinde); ","")&amp;BM405)</f>
        <v>Kein Verbrauch; Lose – Fläche geschätzt; </v>
      </c>
      <c r="BF405" s="55"/>
      <c r="BG405" s="55"/>
      <c r="BH405" s="62"/>
      <c r="BI405" s="57" t="n">
        <v>4.685</v>
      </c>
      <c r="BJ405" s="57" t="n">
        <v>0</v>
      </c>
      <c r="BK405" s="56" t="n">
        <v>107.29</v>
      </c>
      <c r="BL405" s="57" t="n">
        <v>0</v>
      </c>
      <c r="BM405" s="55"/>
      <c r="BN405" s="60" t="n">
        <v>0</v>
      </c>
      <c r="BO405" s="60" t="n">
        <v>405</v>
      </c>
      <c r="BP405" s="55" t="str">
        <f aca="false">IF(S405&lt;&gt;"",UPPER(TRIM(S405)),IF(O405="","LOSE",O405))</f>
        <v>LOSE</v>
      </c>
      <c r="BQ405" s="57" t="n">
        <f aca="false">IF(BP405="LOSE",1,IF(N(T405)&gt;0,T405,IF(N(P405)&gt;0,P405,MAX(1,G405))))</f>
        <v>1</v>
      </c>
      <c r="BR405" s="60" t="n">
        <f aca="false">IF(BP405="LOSE",1,0)</f>
        <v>1</v>
      </c>
      <c r="BS405" s="59" t="n">
        <f aca="false">IF(BR405=0,0,IF(N(R405)&gt;0,R405,IFERROR(VLOOKUP(D405,Parameter!$A$35:$C$64,3,0)+0,0)))</f>
        <v>0.03</v>
      </c>
      <c r="BT405" s="55" t="n">
        <f aca="false">IF(Y405&lt;&gt;"",Y405,X405)</f>
        <v>2</v>
      </c>
      <c r="BU405" s="55" t="str">
        <f aca="false">IF(BT405=1,"L1",IF(OR(BT405=2,BT405=3),"L23",IF(BT405="Aussen","Aussen","-")))</f>
        <v>L23</v>
      </c>
      <c r="BV405" s="66" t="n">
        <f aca="false">IF(N(Z405)&gt;0,Z405,0)</f>
        <v>0</v>
      </c>
      <c r="BW405" s="60" t="n">
        <f aca="false">IF(ISNUMBER(AC405),1,0)</f>
        <v>0</v>
      </c>
      <c r="BX405" s="57" t="n">
        <f aca="false">N(AC405)</f>
        <v>0</v>
      </c>
      <c r="BY405" s="57" t="n">
        <f aca="false">N(L405)+N(M405)</f>
        <v>6</v>
      </c>
      <c r="BZ405" s="57" t="n">
        <f aca="false">ROUNDUP(G405/BQ405,0)</f>
        <v>5</v>
      </c>
      <c r="CA405" s="57" t="n">
        <f aca="false">ROUNDUP(BX405/BQ405,0)</f>
        <v>0</v>
      </c>
      <c r="CB405" s="60" t="n">
        <f aca="false">IF(BR405=1,0,IFERROR(VLOOKUP(BP405,'Gebinde-Kategorie'!$A$5:$M$45,5,0)+0,0))</f>
        <v>0</v>
      </c>
      <c r="CC405" s="60" t="n">
        <f aca="false">IFERROR(IF(OR(BT405=1,BT405=2,BT405=3),N(INDEX(Parameter!$I$5:$I$7,BT405)),0),0)</f>
        <v>0</v>
      </c>
      <c r="CD405" s="59" t="n">
        <f aca="false">IF(AND(Parameter!$B$21="Ja",ISNUMBER(U405),N(V405)&gt;0),IFERROR(N(INDEX(Parameter!$L$5:$L$7,U405))*INDEX(Parameter!$E$5:$E$7,U405)*V405/SUMIFS($V$7:$V$1576,$U$7:$U$1576,U405),0),0)</f>
        <v>0</v>
      </c>
    </row>
    <row r="406" customFormat="false" ht="15" hidden="false" customHeight="false" outlineLevel="0" collapsed="false">
      <c r="A406" s="55" t="s">
        <v>935</v>
      </c>
      <c r="B406" s="55" t="s">
        <v>936</v>
      </c>
      <c r="C406" s="55" t="s">
        <v>160</v>
      </c>
      <c r="D406" s="55" t="s">
        <v>178</v>
      </c>
      <c r="E406" s="55" t="s">
        <v>210</v>
      </c>
      <c r="F406" s="56" t="n">
        <v>4.65</v>
      </c>
      <c r="G406" s="57" t="n">
        <f aca="false">MAX(0,IF(AND(Parameter!$B$21="Ja",ISNUMBER(W406)),W406,IF(Parameter!$B$20="Jahresanfang 2025 + Export",BJ406+BI406,BI406)))</f>
        <v>23</v>
      </c>
      <c r="H406" s="57" t="n">
        <f aca="false">G406*F406</f>
        <v>106.95</v>
      </c>
      <c r="I406" s="57" t="n">
        <f aca="false">BL406*Parameter!$B$18</f>
        <v>0</v>
      </c>
      <c r="J406" s="58" t="n">
        <v>0</v>
      </c>
      <c r="K406" s="59" t="n">
        <v>0</v>
      </c>
      <c r="L406" s="57" t="n">
        <v>0</v>
      </c>
      <c r="M406" s="57" t="n">
        <v>5</v>
      </c>
      <c r="N406" s="60" t="n">
        <v>9999</v>
      </c>
      <c r="O406" s="55" t="s">
        <v>163</v>
      </c>
      <c r="P406" s="57"/>
      <c r="Q406" s="60" t="n">
        <f aca="false">IF(BR406=1,0,IFERROR(VLOOKUP(BP406,'Gebinde-Kategorie'!$A$5:$M$45,13,0)+0,0))</f>
        <v>0</v>
      </c>
      <c r="R406" s="61"/>
      <c r="S406" s="62"/>
      <c r="T406" s="62"/>
      <c r="U406" s="55"/>
      <c r="V406" s="57"/>
      <c r="W406" s="57"/>
      <c r="X406" s="55" t="n">
        <f aca="false">IF(A406="","",IF(AND(Parameter!$B$21="Ja",ISNUMBER(U406)),U406,IF(IFERROR(VLOOKUP(D406,Parameter!$A$35:$C$64,2,0),"Nein")="2+3",IF(ISNUMBER(SEARCH("grosser Artikel",BM406)),2,IFERROR(VLOOKUP(BP406,Parameter!$F$35:$G$64,2,0),2)),IF(OR(IFERROR(VLOOKUP(D406,Parameter!$A$35:$C$64,2,0),"Nein")="Nein",IFERROR(VLOOKUP(D406,Parameter!$A$35:$C$64,2,0),"Nein")=""),"-",VLOOKUP(D406,Parameter!$A$35:$C$64,2,0)))))</f>
        <v>2</v>
      </c>
      <c r="Y406" s="62"/>
      <c r="Z406" s="63"/>
      <c r="AA406" s="57" t="n">
        <f aca="false">AP406</f>
        <v>5</v>
      </c>
      <c r="AB406" s="57" t="n">
        <f aca="false">MAX(AP406,G406)</f>
        <v>23</v>
      </c>
      <c r="AC406" s="64"/>
      <c r="AD406" s="57" t="n">
        <f aca="false">IF(LEFT(Cockpit!$C$5,1)="A",G406,IF(BW406=1,BX406,IF(LEFT(Cockpit!$C$5,1)="B",AH406,MAX(AH406,G406))))</f>
        <v>23</v>
      </c>
      <c r="AE406" s="57" t="n">
        <f aca="false">IF(BR406=1,0,ROUNDUP(AD406/BQ406,0))</f>
        <v>0</v>
      </c>
      <c r="AF406" s="59" t="n">
        <f aca="false">IF(CD406&gt;0,CD406*MAX(1,AD406/V406),IF(BR406=1,IF(AD406&lt;=0,0,BS406*MAX(1,IF(G406&gt;0,AD406/G406,1))),IF(Q406&gt;0,AE406/Q406,0))/MAX(0.1,N(Parameter!$M$21)))</f>
        <v>0.03</v>
      </c>
      <c r="AG406" s="57" t="n">
        <f aca="false">AD406*F406</f>
        <v>106.95</v>
      </c>
      <c r="AH406" s="57" t="n">
        <f aca="false">ROUNDUP(MAX(I406/IF(BV406&gt;0,BV406,MAX(0.1,N(Cockpit!$C$6))),BY406)/BQ406,0)*BQ406</f>
        <v>5</v>
      </c>
      <c r="AI406" s="58" t="n">
        <f aca="false">IF(AF406&gt;0,I406/AF406,-1)</f>
        <v>0</v>
      </c>
      <c r="AJ406" s="58" t="n">
        <f aca="false">IF(AND(OR(BU406="L1",BU406="L23"),AF406&gt;0),SUMIFS($AF$7:$AF$1576,$BU$7:$BU$1576,BU406,$AI$7:$AI$1576,"&gt;"&amp;AI406)+SUMIFS($AF$7:$AF$1576,$BU$7:$BU$1576,BU406,$AI$7:$AI$1576,AI406,$BO$7:$BO$1576,"&lt;="&amp;BO406),"")</f>
        <v>41.7474612344178</v>
      </c>
      <c r="AK406" s="65" t="n">
        <f aca="false">IF(AJ406="",0,MAX(0,MIN(1,(IF(BU406="L1",Parameter!$E$5,Parameter!$E$6+Parameter!$E$7)-(AJ406-AF406))/AF406)))</f>
        <v>1</v>
      </c>
      <c r="AL406" s="57" t="n">
        <f aca="false">IF(LEFT(Cockpit!$I$5,1)="A",G406,IF(BW406=1,BX406,IF(LEFT(Cockpit!$I$5,1)="B",AP406,MAX(AP406,G406))))</f>
        <v>23</v>
      </c>
      <c r="AM406" s="57" t="n">
        <f aca="false">IF(BR406=1,0,ROUNDUP(AL406/BQ406,0))</f>
        <v>0</v>
      </c>
      <c r="AN406" s="59" t="n">
        <f aca="false">IF(CD406&gt;0,CD406*MAX(1,AL406/V406),IF(BR406=1,IF(AL406&lt;=0,0,BS406*MAX(1,IF(G406&gt;0,AL406/G406,1))),IF(Q406&gt;0,AM406/Q406,0))/MAX(0.1,N(Parameter!$M$21)))</f>
        <v>0.03</v>
      </c>
      <c r="AO406" s="57" t="n">
        <f aca="false">AL406*F406</f>
        <v>106.95</v>
      </c>
      <c r="AP406" s="57" t="n">
        <f aca="false">ROUNDUP(MAX(I406/IF(BV406&gt;0,BV406,MAX(0.1,N(Cockpit!$I$6))),BY406)/BQ406,0)*BQ406</f>
        <v>5</v>
      </c>
      <c r="AQ406" s="58" t="n">
        <f aca="false">IF(AN406&gt;0,I406/AN406,-1)</f>
        <v>0</v>
      </c>
      <c r="AR406" s="58" t="n">
        <f aca="false">IF(AND(OR(BU406="L1",BU406="L23"),AN406&gt;0),SUMIFS($AN$7:$AN$1576,$BU$7:$BU$1576,BU406,$AQ$7:$AQ$1576,"&gt;"&amp;AQ406)+SUMIFS($AN$7:$AN$1576,$BU$7:$BU$1576,BU406,$AQ$7:$AQ$1576,AQ406,$BO$7:$BO$1576,"&lt;="&amp;BO406),"")</f>
        <v>124.737587475136</v>
      </c>
      <c r="AS406" s="65" t="n">
        <f aca="false">IF(AR406="",0,MAX(0,MIN(1,(IF(BU406="L1",Parameter!$E$5,Parameter!$E$6+Parameter!$E$7)-(AR406-AN406))/AN406)))</f>
        <v>0</v>
      </c>
      <c r="AT406" s="57" t="n">
        <f aca="false">IF(LEFT(Cockpit!$O$5,1)="A",G406,IF(BW406=1,BX406,IF(LEFT(Cockpit!$O$5,1)="B",AX406,MAX(AX406,G406))))</f>
        <v>23</v>
      </c>
      <c r="AU406" s="57" t="n">
        <f aca="false">IF(BR406=1,0,ROUNDUP(AT406/BQ406,0))</f>
        <v>0</v>
      </c>
      <c r="AV406" s="59" t="n">
        <f aca="false">IF(CD406&gt;0,CD406*MAX(1,AT406/V406),IF(BR406=1,IF(AT406&lt;=0,0,BS406*MAX(1,IF(G406&gt;0,AT406/G406,1))),IF(Q406&gt;0,AU406/Q406,0))/MAX(0.1,N(Parameter!$M$21)))</f>
        <v>0.03</v>
      </c>
      <c r="AW406" s="57" t="n">
        <f aca="false">AT406*F406</f>
        <v>106.95</v>
      </c>
      <c r="AX406" s="57" t="n">
        <f aca="false">ROUNDUP(MAX(I406/IF(BV406&gt;0,BV406,MAX(0.1,N(Cockpit!$O$6))),BY406)/BQ406,0)*BQ406</f>
        <v>5</v>
      </c>
      <c r="AY406" s="58" t="n">
        <f aca="false">IF(AV406&gt;0,I406/AV406,-1)</f>
        <v>0</v>
      </c>
      <c r="AZ406" s="58" t="n">
        <f aca="false">IF(AND(OR(BU406="L1",BU406="L23"),AV406&gt;0),SUMIFS($AV$7:$AV$1576,$BU$7:$BU$1576,BU406,$AY$7:$AY$1576,"&gt;"&amp;AY406)+SUMIFS($AV$7:$AV$1576,$BU$7:$BU$1576,BU406,$AY$7:$AY$1576,AY406,$BO$7:$BO$1576,"&lt;="&amp;BO406),"")</f>
        <v>114.797137924686</v>
      </c>
      <c r="BA406" s="65" t="n">
        <f aca="false">IF(AZ406="",0,MAX(0,MIN(1,(IF(BU406="L1",Parameter!$E$5,Parameter!$E$6+Parameter!$E$7)-(AZ406-AV406))/AV406)))</f>
        <v>0</v>
      </c>
      <c r="BB406" s="55" t="str">
        <f aca="false">IF(AF406&lt;=0,"",IF(BU406="Aussen","Aussenlager",IF(BU406="-","Nicht im Lift",IF(AK406&gt;=1,"Lift",IF(AK406&lt;=0,"Aussenlager","teilweise")))))</f>
        <v>Lift</v>
      </c>
      <c r="BC406" s="55" t="str">
        <f aca="false">IF(AN406&lt;=0,"",IF(BU406="Aussen","Aussenlager",IF(BU406="-","Nicht im Lift",IF(AS406&gt;=1,"Lift",IF(AS406&lt;=0,"Aussenlager","teilweise")))))</f>
        <v>Aussenlager</v>
      </c>
      <c r="BD406" s="55" t="str">
        <f aca="false">IF(AV406&lt;=0,"",IF(BU406="Aussen","Aussenlager",IF(BU406="-","Nicht im Lift",IF(BA406&gt;=1,"Lift",IF(BA406&lt;=0,"Aussenlager","teilweise")))))</f>
        <v>Aussenlager</v>
      </c>
      <c r="BE406" s="55" t="str">
        <f aca="false">IF(A406="","",IF(BN406=1,"Neu; ","")&amp;IF(AND(BN406=0,BI406&lt;0),"negativer Bestand (Export "&amp;BI406&amp;"); ","")&amp;IF(I406&lt;=0,"Kein Verbrauch; ","")&amp;IF(CD406&gt;0,"Lift "&amp;U406&amp;" lt. Liftbericht (Fach "&amp;V406&amp;" Stk); ",IF(BR406=1,"Lose – Fläche geschätzt; ",""))&amp;IF(G406&gt;AP406,"Überbestand "&amp;ROUND(G406-AP406,0)&amp;" Stk / CHF "&amp;ROUND((G406-AP406)*F406,0)&amp;"; ","")&amp;IF(AND(BW406=1,BX406&lt;BY406),"MAX &lt; MB+LG; ","")&amp;IF(AND(CC406&gt;0,CB406*10&gt;CC406),"zu hoch für Tablar; ","")&amp;IF(AND(BN406=0,OR(BW406=1,Y406&lt;&gt;"",S406&lt;&gt;"",T406&lt;&gt;"",Z406&lt;&gt;"")),"manuell übersteuert; ","")&amp;IF(AND(BR406=0,Q406=0),"Gebinde unbekannt / Stellmass fehlt; ","")&amp;IF(AND(BR406=0,N(T406)&lt;=0,N(P406)&lt;=0),"Menge pro Gebinde fehlt (Ist = 1 Gebinde); ","")&amp;BM406)</f>
        <v>Kein Verbrauch; Lose – Fläche geschätzt; Überbestand 18 Stk / CHF 84; </v>
      </c>
      <c r="BF406" s="55"/>
      <c r="BG406" s="55"/>
      <c r="BH406" s="62"/>
      <c r="BI406" s="57" t="n">
        <v>23</v>
      </c>
      <c r="BJ406" s="57" t="n">
        <v>0</v>
      </c>
      <c r="BK406" s="56" t="n">
        <v>106.95</v>
      </c>
      <c r="BL406" s="57" t="n">
        <v>0</v>
      </c>
      <c r="BM406" s="55"/>
      <c r="BN406" s="60" t="n">
        <v>0</v>
      </c>
      <c r="BO406" s="60" t="n">
        <v>406</v>
      </c>
      <c r="BP406" s="55" t="str">
        <f aca="false">IF(S406&lt;&gt;"",UPPER(TRIM(S406)),IF(O406="","LOSE",O406))</f>
        <v>LOSE</v>
      </c>
      <c r="BQ406" s="57" t="n">
        <f aca="false">IF(BP406="LOSE",1,IF(N(T406)&gt;0,T406,IF(N(P406)&gt;0,P406,MAX(1,G406))))</f>
        <v>1</v>
      </c>
      <c r="BR406" s="60" t="n">
        <f aca="false">IF(BP406="LOSE",1,0)</f>
        <v>1</v>
      </c>
      <c r="BS406" s="59" t="n">
        <f aca="false">IF(BR406=0,0,IF(N(R406)&gt;0,R406,IFERROR(VLOOKUP(D406,Parameter!$A$35:$C$64,3,0)+0,0)))</f>
        <v>0.03</v>
      </c>
      <c r="BT406" s="55" t="n">
        <f aca="false">IF(Y406&lt;&gt;"",Y406,X406)</f>
        <v>2</v>
      </c>
      <c r="BU406" s="55" t="str">
        <f aca="false">IF(BT406=1,"L1",IF(OR(BT406=2,BT406=3),"L23",IF(BT406="Aussen","Aussen","-")))</f>
        <v>L23</v>
      </c>
      <c r="BV406" s="66" t="n">
        <f aca="false">IF(N(Z406)&gt;0,Z406,0)</f>
        <v>0</v>
      </c>
      <c r="BW406" s="60" t="n">
        <f aca="false">IF(ISNUMBER(AC406),1,0)</f>
        <v>0</v>
      </c>
      <c r="BX406" s="57" t="n">
        <f aca="false">N(AC406)</f>
        <v>0</v>
      </c>
      <c r="BY406" s="57" t="n">
        <f aca="false">N(L406)+N(M406)</f>
        <v>5</v>
      </c>
      <c r="BZ406" s="57" t="n">
        <f aca="false">ROUNDUP(G406/BQ406,0)</f>
        <v>23</v>
      </c>
      <c r="CA406" s="57" t="n">
        <f aca="false">ROUNDUP(BX406/BQ406,0)</f>
        <v>0</v>
      </c>
      <c r="CB406" s="60" t="n">
        <f aca="false">IF(BR406=1,0,IFERROR(VLOOKUP(BP406,'Gebinde-Kategorie'!$A$5:$M$45,5,0)+0,0))</f>
        <v>0</v>
      </c>
      <c r="CC406" s="60" t="n">
        <f aca="false">IFERROR(IF(OR(BT406=1,BT406=2,BT406=3),N(INDEX(Parameter!$I$5:$I$7,BT406)),0),0)</f>
        <v>0</v>
      </c>
      <c r="CD406" s="59" t="n">
        <f aca="false">IF(AND(Parameter!$B$21="Ja",ISNUMBER(U406),N(V406)&gt;0),IFERROR(N(INDEX(Parameter!$L$5:$L$7,U406))*INDEX(Parameter!$E$5:$E$7,U406)*V406/SUMIFS($V$7:$V$1576,$U$7:$U$1576,U406),0),0)</f>
        <v>0</v>
      </c>
    </row>
    <row r="407" customFormat="false" ht="15" hidden="false" customHeight="false" outlineLevel="0" collapsed="false">
      <c r="A407" s="55" t="s">
        <v>937</v>
      </c>
      <c r="B407" s="55" t="s">
        <v>938</v>
      </c>
      <c r="C407" s="55" t="s">
        <v>160</v>
      </c>
      <c r="D407" s="55" t="s">
        <v>178</v>
      </c>
      <c r="E407" s="55" t="s">
        <v>210</v>
      </c>
      <c r="F407" s="56" t="n">
        <v>0.13</v>
      </c>
      <c r="G407" s="57" t="n">
        <f aca="false">MAX(0,IF(AND(Parameter!$B$21="Ja",ISNUMBER(W407)),W407,IF(Parameter!$B$20="Jahresanfang 2025 + Export",BJ407+BI407,BI407)))</f>
        <v>786</v>
      </c>
      <c r="H407" s="57" t="n">
        <f aca="false">G407*F407</f>
        <v>102.18</v>
      </c>
      <c r="I407" s="57" t="n">
        <f aca="false">BL407*Parameter!$B$18</f>
        <v>678</v>
      </c>
      <c r="J407" s="58" t="n">
        <v>181</v>
      </c>
      <c r="K407" s="59" t="n">
        <v>3.74585635359116</v>
      </c>
      <c r="L407" s="57" t="n">
        <v>39</v>
      </c>
      <c r="M407" s="57" t="n">
        <v>680</v>
      </c>
      <c r="N407" s="60" t="n">
        <v>21</v>
      </c>
      <c r="O407" s="55" t="s">
        <v>465</v>
      </c>
      <c r="P407" s="57" t="n">
        <v>598</v>
      </c>
      <c r="Q407" s="60" t="n">
        <f aca="false">IF(BR407=1,0,IFERROR(VLOOKUP(BP407,'Gebinde-Kategorie'!$A$5:$M$45,13,0)+0,0))</f>
        <v>66</v>
      </c>
      <c r="R407" s="61"/>
      <c r="S407" s="62"/>
      <c r="T407" s="62"/>
      <c r="U407" s="55"/>
      <c r="V407" s="57"/>
      <c r="W407" s="57"/>
      <c r="X407" s="55" t="n">
        <f aca="false">IF(A407="","",IF(AND(Parameter!$B$21="Ja",ISNUMBER(U407)),U407,IF(IFERROR(VLOOKUP(D407,Parameter!$A$35:$C$64,2,0),"Nein")="2+3",IF(ISNUMBER(SEARCH("grosser Artikel",BM407)),2,IFERROR(VLOOKUP(BP407,Parameter!$F$35:$G$64,2,0),2)),IF(OR(IFERROR(VLOOKUP(D407,Parameter!$A$35:$C$64,2,0),"Nein")="Nein",IFERROR(VLOOKUP(D407,Parameter!$A$35:$C$64,2,0),"Nein")=""),"-",VLOOKUP(D407,Parameter!$A$35:$C$64,2,0)))))</f>
        <v>3</v>
      </c>
      <c r="Y407" s="62"/>
      <c r="Z407" s="63"/>
      <c r="AA407" s="57" t="n">
        <f aca="false">AP407</f>
        <v>1196</v>
      </c>
      <c r="AB407" s="57" t="n">
        <f aca="false">MAX(AP407,G407)</f>
        <v>1196</v>
      </c>
      <c r="AC407" s="64"/>
      <c r="AD407" s="57" t="n">
        <f aca="false">IF(LEFT(Cockpit!$C$5,1)="A",G407,IF(BW407=1,BX407,IF(LEFT(Cockpit!$C$5,1)="B",AH407,MAX(AH407,G407))))</f>
        <v>786</v>
      </c>
      <c r="AE407" s="57" t="n">
        <f aca="false">IF(BR407=1,0,ROUNDUP(AD407/BQ407,0))</f>
        <v>2</v>
      </c>
      <c r="AF407" s="59" t="n">
        <f aca="false">IF(CD407&gt;0,CD407*MAX(1,AD407/V407),IF(BR407=1,IF(AD407&lt;=0,0,BS407*MAX(1,IF(G407&gt;0,AD407/G407,1))),IF(Q407&gt;0,AE407/Q407,0))/MAX(0.1,N(Parameter!$M$21)))</f>
        <v>0.0303030303030303</v>
      </c>
      <c r="AG407" s="57" t="n">
        <f aca="false">AD407*F407</f>
        <v>102.18</v>
      </c>
      <c r="AH407" s="57" t="n">
        <f aca="false">ROUNDUP(MAX(I407/IF(BV407&gt;0,BV407,MAX(0.1,N(Cockpit!$C$6))),BY407)/BQ407,0)*BQ407</f>
        <v>1196</v>
      </c>
      <c r="AI407" s="58" t="n">
        <f aca="false">IF(AF407&gt;0,I407/AF407,-1)</f>
        <v>22374</v>
      </c>
      <c r="AJ407" s="58" t="n">
        <f aca="false">IF(AND(OR(BU407="L1",BU407="L23"),AF407&gt;0),SUMIFS($AF$7:$AF$1576,$BU$7:$BU$1576,BU407,$AI$7:$AI$1576,"&gt;"&amp;AI407)+SUMIFS($AF$7:$AF$1576,$BU$7:$BU$1576,BU407,$AI$7:$AI$1576,AI407,$BO$7:$BO$1576,"&lt;="&amp;BO407),"")</f>
        <v>1.74693422519509</v>
      </c>
      <c r="AK407" s="65" t="n">
        <f aca="false">IF(AJ407="",0,MAX(0,MIN(1,(IF(BU407="L1",Parameter!$E$5,Parameter!$E$6+Parameter!$E$7)-(AJ407-AF407))/AF407)))</f>
        <v>1</v>
      </c>
      <c r="AL407" s="57" t="n">
        <f aca="false">IF(LEFT(Cockpit!$I$5,1)="A",G407,IF(BW407=1,BX407,IF(LEFT(Cockpit!$I$5,1)="B",AP407,MAX(AP407,G407))))</f>
        <v>1196</v>
      </c>
      <c r="AM407" s="57" t="n">
        <f aca="false">IF(BR407=1,0,ROUNDUP(AL407/BQ407,0))</f>
        <v>2</v>
      </c>
      <c r="AN407" s="59" t="n">
        <f aca="false">IF(CD407&gt;0,CD407*MAX(1,AL407/V407),IF(BR407=1,IF(AL407&lt;=0,0,BS407*MAX(1,IF(G407&gt;0,AL407/G407,1))),IF(Q407&gt;0,AM407/Q407,0))/MAX(0.1,N(Parameter!$M$21)))</f>
        <v>0.0303030303030303</v>
      </c>
      <c r="AO407" s="57" t="n">
        <f aca="false">AL407*F407</f>
        <v>155.48</v>
      </c>
      <c r="AP407" s="57" t="n">
        <f aca="false">ROUNDUP(MAX(I407/IF(BV407&gt;0,BV407,MAX(0.1,N(Cockpit!$I$6))),BY407)/BQ407,0)*BQ407</f>
        <v>1196</v>
      </c>
      <c r="AQ407" s="58" t="n">
        <f aca="false">IF(AN407&gt;0,I407/AN407,-1)</f>
        <v>22374</v>
      </c>
      <c r="AR407" s="58" t="n">
        <f aca="false">IF(AND(OR(BU407="L1",BU407="L23"),AN407&gt;0),SUMIFS($AN$7:$AN$1576,$BU$7:$BU$1576,BU407,$AQ$7:$AQ$1576,"&gt;"&amp;AQ407)+SUMIFS($AN$7:$AN$1576,$BU$7:$BU$1576,BU407,$AQ$7:$AQ$1576,AQ407,$BO$7:$BO$1576,"&lt;="&amp;BO407),"")</f>
        <v>3.5859950677342</v>
      </c>
      <c r="AS407" s="65" t="n">
        <f aca="false">IF(AR407="",0,MAX(0,MIN(1,(IF(BU407="L1",Parameter!$E$5,Parameter!$E$6+Parameter!$E$7)-(AR407-AN407))/AN407)))</f>
        <v>1</v>
      </c>
      <c r="AT407" s="57" t="n">
        <f aca="false">IF(LEFT(Cockpit!$O$5,1)="A",G407,IF(BW407=1,BX407,IF(LEFT(Cockpit!$O$5,1)="B",AX407,MAX(AX407,G407))))</f>
        <v>1196</v>
      </c>
      <c r="AU407" s="57" t="n">
        <f aca="false">IF(BR407=1,0,ROUNDUP(AT407/BQ407,0))</f>
        <v>2</v>
      </c>
      <c r="AV407" s="59" t="n">
        <f aca="false">IF(CD407&gt;0,CD407*MAX(1,AT407/V407),IF(BR407=1,IF(AT407&lt;=0,0,BS407*MAX(1,IF(G407&gt;0,AT407/G407,1))),IF(Q407&gt;0,AU407/Q407,0))/MAX(0.1,N(Parameter!$M$21)))</f>
        <v>0.0303030303030303</v>
      </c>
      <c r="AW407" s="57" t="n">
        <f aca="false">AT407*F407</f>
        <v>155.48</v>
      </c>
      <c r="AX407" s="57" t="n">
        <f aca="false">ROUNDUP(MAX(I407/IF(BV407&gt;0,BV407,MAX(0.1,N(Cockpit!$O$6))),BY407)/BQ407,0)*BQ407</f>
        <v>1196</v>
      </c>
      <c r="AY407" s="58" t="n">
        <f aca="false">IF(AV407&gt;0,I407/AV407,-1)</f>
        <v>22374</v>
      </c>
      <c r="AZ407" s="58" t="n">
        <f aca="false">IF(AND(OR(BU407="L1",BU407="L23"),AV407&gt;0),SUMIFS($AV$7:$AV$1576,$BU$7:$BU$1576,BU407,$AY$7:$AY$1576,"&gt;"&amp;AY407)+SUMIFS($AV$7:$AV$1576,$BU$7:$BU$1576,BU407,$AY$7:$AY$1576,AY407,$BO$7:$BO$1576,"&lt;="&amp;BO407),"")</f>
        <v>3.94380392554306</v>
      </c>
      <c r="BA407" s="65" t="n">
        <f aca="false">IF(AZ407="",0,MAX(0,MIN(1,(IF(BU407="L1",Parameter!$E$5,Parameter!$E$6+Parameter!$E$7)-(AZ407-AV407))/AV407)))</f>
        <v>1</v>
      </c>
      <c r="BB407" s="55" t="str">
        <f aca="false">IF(AF407&lt;=0,"",IF(BU407="Aussen","Aussenlager",IF(BU407="-","Nicht im Lift",IF(AK407&gt;=1,"Lift",IF(AK407&lt;=0,"Aussenlager","teilweise")))))</f>
        <v>Lift</v>
      </c>
      <c r="BC407" s="55" t="str">
        <f aca="false">IF(AN407&lt;=0,"",IF(BU407="Aussen","Aussenlager",IF(BU407="-","Nicht im Lift",IF(AS407&gt;=1,"Lift",IF(AS407&lt;=0,"Aussenlager","teilweise")))))</f>
        <v>Lift</v>
      </c>
      <c r="BD407" s="55" t="str">
        <f aca="false">IF(AV407&lt;=0,"",IF(BU407="Aussen","Aussenlager",IF(BU407="-","Nicht im Lift",IF(BA407&gt;=1,"Lift",IF(BA407&lt;=0,"Aussenlager","teilweise")))))</f>
        <v>Lift</v>
      </c>
      <c r="BE407" s="55" t="str">
        <f aca="false">IF(A407="","",IF(BN407=1,"Neu; ","")&amp;IF(AND(BN407=0,BI407&lt;0),"negativer Bestand (Export "&amp;BI407&amp;"); ","")&amp;IF(I407&lt;=0,"Kein Verbrauch; ","")&amp;IF(CD407&gt;0,"Lift "&amp;U407&amp;" lt. Liftbericht (Fach "&amp;V407&amp;" Stk); ",IF(BR407=1,"Lose – Fläche geschätzt; ",""))&amp;IF(G407&gt;AP407,"Überbestand "&amp;ROUND(G407-AP407,0)&amp;" Stk / CHF "&amp;ROUND((G407-AP407)*F407,0)&amp;"; ","")&amp;IF(AND(BW407=1,BX407&lt;BY407),"MAX &lt; MB+LG; ","")&amp;IF(AND(CC407&gt;0,CB407*10&gt;CC407),"zu hoch für Tablar; ","")&amp;IF(AND(BN407=0,OR(BW407=1,Y407&lt;&gt;"",S407&lt;&gt;"",T407&lt;&gt;"",Z407&lt;&gt;"")),"manuell übersteuert; ","")&amp;IF(AND(BR407=0,Q407=0),"Gebinde unbekannt / Stellmass fehlt; ","")&amp;IF(AND(BR407=0,N(T407)&lt;=0,N(P407)&lt;=0),"Menge pro Gebinde fehlt (Ist = 1 Gebinde); ","")&amp;BM407)</f>
        <v/>
      </c>
      <c r="BF407" s="55"/>
      <c r="BG407" s="55"/>
      <c r="BH407" s="62"/>
      <c r="BI407" s="57" t="n">
        <v>786</v>
      </c>
      <c r="BJ407" s="57" t="n">
        <v>143</v>
      </c>
      <c r="BK407" s="56" t="n">
        <v>106.47</v>
      </c>
      <c r="BL407" s="57" t="n">
        <v>678</v>
      </c>
      <c r="BM407" s="55"/>
      <c r="BN407" s="60" t="n">
        <v>0</v>
      </c>
      <c r="BO407" s="60" t="n">
        <v>407</v>
      </c>
      <c r="BP407" s="55" t="str">
        <f aca="false">IF(S407&lt;&gt;"",UPPER(TRIM(S407)),IF(O407="","LOSE",O407))</f>
        <v>S33</v>
      </c>
      <c r="BQ407" s="57" t="n">
        <f aca="false">IF(BP407="LOSE",1,IF(N(T407)&gt;0,T407,IF(N(P407)&gt;0,P407,MAX(1,G407))))</f>
        <v>598</v>
      </c>
      <c r="BR407" s="60" t="n">
        <f aca="false">IF(BP407="LOSE",1,0)</f>
        <v>0</v>
      </c>
      <c r="BS407" s="59" t="n">
        <f aca="false">IF(BR407=0,0,IF(N(R407)&gt;0,R407,IFERROR(VLOOKUP(D407,Parameter!$A$35:$C$64,3,0)+0,0)))</f>
        <v>0</v>
      </c>
      <c r="BT407" s="55" t="n">
        <f aca="false">IF(Y407&lt;&gt;"",Y407,X407)</f>
        <v>3</v>
      </c>
      <c r="BU407" s="55" t="str">
        <f aca="false">IF(BT407=1,"L1",IF(OR(BT407=2,BT407=3),"L23",IF(BT407="Aussen","Aussen","-")))</f>
        <v>L23</v>
      </c>
      <c r="BV407" s="66" t="n">
        <f aca="false">IF(N(Z407)&gt;0,Z407,0)</f>
        <v>0</v>
      </c>
      <c r="BW407" s="60" t="n">
        <f aca="false">IF(ISNUMBER(AC407),1,0)</f>
        <v>0</v>
      </c>
      <c r="BX407" s="57" t="n">
        <f aca="false">N(AC407)</f>
        <v>0</v>
      </c>
      <c r="BY407" s="57" t="n">
        <f aca="false">N(L407)+N(M407)</f>
        <v>719</v>
      </c>
      <c r="BZ407" s="57" t="n">
        <f aca="false">ROUNDUP(G407/BQ407,0)</f>
        <v>2</v>
      </c>
      <c r="CA407" s="57" t="n">
        <f aca="false">ROUNDUP(BX407/BQ407,0)</f>
        <v>0</v>
      </c>
      <c r="CB407" s="60" t="n">
        <f aca="false">IF(BR407=1,0,IFERROR(VLOOKUP(BP407,'Gebinde-Kategorie'!$A$5:$M$45,5,0)+0,0))</f>
        <v>8</v>
      </c>
      <c r="CC407" s="60" t="n">
        <f aca="false">IFERROR(IF(OR(BT407=1,BT407=2,BT407=3),N(INDEX(Parameter!$I$5:$I$7,BT407)),0),0)</f>
        <v>0</v>
      </c>
      <c r="CD407" s="59" t="n">
        <f aca="false">IF(AND(Parameter!$B$21="Ja",ISNUMBER(U407),N(V407)&gt;0),IFERROR(N(INDEX(Parameter!$L$5:$L$7,U407))*INDEX(Parameter!$E$5:$E$7,U407)*V407/SUMIFS($V$7:$V$1576,$U$7:$U$1576,U407),0),0)</f>
        <v>0</v>
      </c>
    </row>
    <row r="408" customFormat="false" ht="15" hidden="false" customHeight="false" outlineLevel="0" collapsed="false">
      <c r="A408" s="55" t="s">
        <v>939</v>
      </c>
      <c r="B408" s="55" t="s">
        <v>940</v>
      </c>
      <c r="C408" s="55" t="s">
        <v>160</v>
      </c>
      <c r="D408" s="55" t="s">
        <v>178</v>
      </c>
      <c r="E408" s="55" t="s">
        <v>210</v>
      </c>
      <c r="F408" s="56" t="n">
        <v>2.38</v>
      </c>
      <c r="G408" s="57" t="n">
        <f aca="false">MAX(0,IF(AND(Parameter!$B$21="Ja",ISNUMBER(W408)),W408,IF(Parameter!$B$20="Jahresanfang 2025 + Export",BJ408+BI408,BI408)))</f>
        <v>44</v>
      </c>
      <c r="H408" s="57" t="n">
        <f aca="false">G408*F408</f>
        <v>104.72</v>
      </c>
      <c r="I408" s="57" t="n">
        <f aca="false">BL408*Parameter!$B$18</f>
        <v>35</v>
      </c>
      <c r="J408" s="58" t="n">
        <v>35.5</v>
      </c>
      <c r="K408" s="59" t="n">
        <v>0.985915492957747</v>
      </c>
      <c r="L408" s="57" t="n">
        <v>2</v>
      </c>
      <c r="M408" s="57" t="n">
        <v>50</v>
      </c>
      <c r="N408" s="60" t="n">
        <v>28</v>
      </c>
      <c r="O408" s="55" t="s">
        <v>319</v>
      </c>
      <c r="P408" s="57" t="n">
        <v>101</v>
      </c>
      <c r="Q408" s="60" t="n">
        <f aca="false">IF(BR408=1,0,IFERROR(VLOOKUP(BP408,'Gebinde-Kategorie'!$A$5:$M$45,13,0)+0,0))</f>
        <v>52</v>
      </c>
      <c r="R408" s="61"/>
      <c r="S408" s="62"/>
      <c r="T408" s="62"/>
      <c r="U408" s="55"/>
      <c r="V408" s="57"/>
      <c r="W408" s="57"/>
      <c r="X408" s="55" t="n">
        <f aca="false">IF(A408="","",IF(AND(Parameter!$B$21="Ja",ISNUMBER(U408)),U408,IF(IFERROR(VLOOKUP(D408,Parameter!$A$35:$C$64,2,0),"Nein")="2+3",IF(ISNUMBER(SEARCH("grosser Artikel",BM408)),2,IFERROR(VLOOKUP(BP408,Parameter!$F$35:$G$64,2,0),2)),IF(OR(IFERROR(VLOOKUP(D408,Parameter!$A$35:$C$64,2,0),"Nein")="Nein",IFERROR(VLOOKUP(D408,Parameter!$A$35:$C$64,2,0),"Nein")=""),"-",VLOOKUP(D408,Parameter!$A$35:$C$64,2,0)))))</f>
        <v>3</v>
      </c>
      <c r="Y408" s="62"/>
      <c r="Z408" s="63"/>
      <c r="AA408" s="57" t="n">
        <f aca="false">AP408</f>
        <v>101</v>
      </c>
      <c r="AB408" s="57" t="n">
        <f aca="false">MAX(AP408,G408)</f>
        <v>101</v>
      </c>
      <c r="AC408" s="64"/>
      <c r="AD408" s="57" t="n">
        <f aca="false">IF(LEFT(Cockpit!$C$5,1)="A",G408,IF(BW408=1,BX408,IF(LEFT(Cockpit!$C$5,1)="B",AH408,MAX(AH408,G408))))</f>
        <v>44</v>
      </c>
      <c r="AE408" s="57" t="n">
        <f aca="false">IF(BR408=1,0,ROUNDUP(AD408/BQ408,0))</f>
        <v>1</v>
      </c>
      <c r="AF408" s="59" t="n">
        <f aca="false">IF(CD408&gt;0,CD408*MAX(1,AD408/V408),IF(BR408=1,IF(AD408&lt;=0,0,BS408*MAX(1,IF(G408&gt;0,AD408/G408,1))),IF(Q408&gt;0,AE408/Q408,0))/MAX(0.1,N(Parameter!$M$21)))</f>
        <v>0.0192307692307692</v>
      </c>
      <c r="AG408" s="57" t="n">
        <f aca="false">AD408*F408</f>
        <v>104.72</v>
      </c>
      <c r="AH408" s="57" t="n">
        <f aca="false">ROUNDUP(MAX(I408/IF(BV408&gt;0,BV408,MAX(0.1,N(Cockpit!$C$6))),BY408)/BQ408,0)*BQ408</f>
        <v>101</v>
      </c>
      <c r="AI408" s="58" t="n">
        <f aca="false">IF(AF408&gt;0,I408/AF408,-1)</f>
        <v>1820</v>
      </c>
      <c r="AJ408" s="58" t="n">
        <f aca="false">IF(AND(OR(BU408="L1",BU408="L23"),AF408&gt;0),SUMIFS($AF$7:$AF$1576,$BU$7:$BU$1576,BU408,$AI$7:$AI$1576,"&gt;"&amp;AI408)+SUMIFS($AF$7:$AF$1576,$BU$7:$BU$1576,BU408,$AI$7:$AI$1576,AI408,$BO$7:$BO$1576,"&lt;="&amp;BO408),"")</f>
        <v>7.19862470862471</v>
      </c>
      <c r="AK408" s="65" t="n">
        <f aca="false">IF(AJ408="",0,MAX(0,MIN(1,(IF(BU408="L1",Parameter!$E$5,Parameter!$E$6+Parameter!$E$7)-(AJ408-AF408))/AF408)))</f>
        <v>1</v>
      </c>
      <c r="AL408" s="57" t="n">
        <f aca="false">IF(LEFT(Cockpit!$I$5,1)="A",G408,IF(BW408=1,BX408,IF(LEFT(Cockpit!$I$5,1)="B",AP408,MAX(AP408,G408))))</f>
        <v>101</v>
      </c>
      <c r="AM408" s="57" t="n">
        <f aca="false">IF(BR408=1,0,ROUNDUP(AL408/BQ408,0))</f>
        <v>1</v>
      </c>
      <c r="AN408" s="59" t="n">
        <f aca="false">IF(CD408&gt;0,CD408*MAX(1,AL408/V408),IF(BR408=1,IF(AL408&lt;=0,0,BS408*MAX(1,IF(G408&gt;0,AL408/G408,1))),IF(Q408&gt;0,AM408/Q408,0))/MAX(0.1,N(Parameter!$M$21)))</f>
        <v>0.0192307692307692</v>
      </c>
      <c r="AO408" s="57" t="n">
        <f aca="false">AL408*F408</f>
        <v>240.38</v>
      </c>
      <c r="AP408" s="57" t="n">
        <f aca="false">ROUNDUP(MAX(I408/IF(BV408&gt;0,BV408,MAX(0.1,N(Cockpit!$I$6))),BY408)/BQ408,0)*BQ408</f>
        <v>101</v>
      </c>
      <c r="AQ408" s="58" t="n">
        <f aca="false">IF(AN408&gt;0,I408/AN408,-1)</f>
        <v>1820</v>
      </c>
      <c r="AR408" s="58" t="n">
        <f aca="false">IF(AND(OR(BU408="L1",BU408="L23"),AN408&gt;0),SUMIFS($AN$7:$AN$1576,$BU$7:$BU$1576,BU408,$AQ$7:$AQ$1576,"&gt;"&amp;AQ408)+SUMIFS($AN$7:$AN$1576,$BU$7:$BU$1576,BU408,$AQ$7:$AQ$1576,AQ408,$BO$7:$BO$1576,"&lt;="&amp;BO408),"")</f>
        <v>17.8864635971269</v>
      </c>
      <c r="AS408" s="65" t="n">
        <f aca="false">IF(AR408="",0,MAX(0,MIN(1,(IF(BU408="L1",Parameter!$E$5,Parameter!$E$6+Parameter!$E$7)-(AR408-AN408))/AN408)))</f>
        <v>1</v>
      </c>
      <c r="AT408" s="57" t="n">
        <f aca="false">IF(LEFT(Cockpit!$O$5,1)="A",G408,IF(BW408=1,BX408,IF(LEFT(Cockpit!$O$5,1)="B",AX408,MAX(AX408,G408))))</f>
        <v>101</v>
      </c>
      <c r="AU408" s="57" t="n">
        <f aca="false">IF(BR408=1,0,ROUNDUP(AT408/BQ408,0))</f>
        <v>1</v>
      </c>
      <c r="AV408" s="59" t="n">
        <f aca="false">IF(CD408&gt;0,CD408*MAX(1,AT408/V408),IF(BR408=1,IF(AT408&lt;=0,0,BS408*MAX(1,IF(G408&gt;0,AT408/G408,1))),IF(Q408&gt;0,AU408/Q408,0))/MAX(0.1,N(Parameter!$M$21)))</f>
        <v>0.0192307692307692</v>
      </c>
      <c r="AW408" s="57" t="n">
        <f aca="false">AT408*F408</f>
        <v>240.38</v>
      </c>
      <c r="AX408" s="57" t="n">
        <f aca="false">ROUNDUP(MAX(I408/IF(BV408&gt;0,BV408,MAX(0.1,N(Cockpit!$O$6))),BY408)/BQ408,0)*BQ408</f>
        <v>101</v>
      </c>
      <c r="AY408" s="58" t="n">
        <f aca="false">IF(AV408&gt;0,I408/AV408,-1)</f>
        <v>1820</v>
      </c>
      <c r="AZ408" s="58" t="n">
        <f aca="false">IF(AND(OR(BU408="L1",BU408="L23"),AV408&gt;0),SUMIFS($AV$7:$AV$1576,$BU$7:$BU$1576,BU408,$AY$7:$AY$1576,"&gt;"&amp;AY408)+SUMIFS($AV$7:$AV$1576,$BU$7:$BU$1576,BU408,$AY$7:$AY$1576,AY408,$BO$7:$BO$1576,"&lt;="&amp;BO408),"")</f>
        <v>16.8637363243997</v>
      </c>
      <c r="BA408" s="65" t="n">
        <f aca="false">IF(AZ408="",0,MAX(0,MIN(1,(IF(BU408="L1",Parameter!$E$5,Parameter!$E$6+Parameter!$E$7)-(AZ408-AV408))/AV408)))</f>
        <v>1</v>
      </c>
      <c r="BB408" s="55" t="str">
        <f aca="false">IF(AF408&lt;=0,"",IF(BU408="Aussen","Aussenlager",IF(BU408="-","Nicht im Lift",IF(AK408&gt;=1,"Lift",IF(AK408&lt;=0,"Aussenlager","teilweise")))))</f>
        <v>Lift</v>
      </c>
      <c r="BC408" s="55" t="str">
        <f aca="false">IF(AN408&lt;=0,"",IF(BU408="Aussen","Aussenlager",IF(BU408="-","Nicht im Lift",IF(AS408&gt;=1,"Lift",IF(AS408&lt;=0,"Aussenlager","teilweise")))))</f>
        <v>Lift</v>
      </c>
      <c r="BD408" s="55" t="str">
        <f aca="false">IF(AV408&lt;=0,"",IF(BU408="Aussen","Aussenlager",IF(BU408="-","Nicht im Lift",IF(BA408&gt;=1,"Lift",IF(BA408&lt;=0,"Aussenlager","teilweise")))))</f>
        <v>Lift</v>
      </c>
      <c r="BE408" s="55" t="str">
        <f aca="false">IF(A408="","",IF(BN408=1,"Neu; ","")&amp;IF(AND(BN408=0,BI408&lt;0),"negativer Bestand (Export "&amp;BI408&amp;"); ","")&amp;IF(I408&lt;=0,"Kein Verbrauch; ","")&amp;IF(CD408&gt;0,"Lift "&amp;U408&amp;" lt. Liftbericht (Fach "&amp;V408&amp;" Stk); ",IF(BR408=1,"Lose – Fläche geschätzt; ",""))&amp;IF(G408&gt;AP408,"Überbestand "&amp;ROUND(G408-AP408,0)&amp;" Stk / CHF "&amp;ROUND((G408-AP408)*F408,0)&amp;"; ","")&amp;IF(AND(BW408=1,BX408&lt;BY408),"MAX &lt; MB+LG; ","")&amp;IF(AND(CC408&gt;0,CB408*10&gt;CC408),"zu hoch für Tablar; ","")&amp;IF(AND(BN408=0,OR(BW408=1,Y408&lt;&gt;"",S408&lt;&gt;"",T408&lt;&gt;"",Z408&lt;&gt;"")),"manuell übersteuert; ","")&amp;IF(AND(BR408=0,Q408=0),"Gebinde unbekannt / Stellmass fehlt; ","")&amp;IF(AND(BR408=0,N(T408)&lt;=0,N(P408)&lt;=0),"Menge pro Gebinde fehlt (Ist = 1 Gebinde); ","")&amp;BM408)</f>
        <v>Neu</v>
      </c>
      <c r="BF408" s="55"/>
      <c r="BG408" s="55"/>
      <c r="BH408" s="62"/>
      <c r="BI408" s="57" t="n">
        <v>44</v>
      </c>
      <c r="BJ408" s="57" t="n">
        <v>53</v>
      </c>
      <c r="BK408" s="56" t="n">
        <v>104.72</v>
      </c>
      <c r="BL408" s="57" t="n">
        <v>35</v>
      </c>
      <c r="BM408" s="55" t="s">
        <v>615</v>
      </c>
      <c r="BN408" s="60" t="n">
        <v>0</v>
      </c>
      <c r="BO408" s="60" t="n">
        <v>408</v>
      </c>
      <c r="BP408" s="55" t="str">
        <f aca="false">IF(S408&lt;&gt;"",UPPER(TRIM(S408)),IF(O408="","LOSE",O408))</f>
        <v>S41</v>
      </c>
      <c r="BQ408" s="57" t="n">
        <f aca="false">IF(BP408="LOSE",1,IF(N(T408)&gt;0,T408,IF(N(P408)&gt;0,P408,MAX(1,G408))))</f>
        <v>101</v>
      </c>
      <c r="BR408" s="60" t="n">
        <f aca="false">IF(BP408="LOSE",1,0)</f>
        <v>0</v>
      </c>
      <c r="BS408" s="59" t="n">
        <f aca="false">IF(BR408=0,0,IF(N(R408)&gt;0,R408,IFERROR(VLOOKUP(D408,Parameter!$A$35:$C$64,3,0)+0,0)))</f>
        <v>0</v>
      </c>
      <c r="BT408" s="55" t="n">
        <f aca="false">IF(Y408&lt;&gt;"",Y408,X408)</f>
        <v>3</v>
      </c>
      <c r="BU408" s="55" t="str">
        <f aca="false">IF(BT408=1,"L1",IF(OR(BT408=2,BT408=3),"L23",IF(BT408="Aussen","Aussen","-")))</f>
        <v>L23</v>
      </c>
      <c r="BV408" s="66" t="n">
        <f aca="false">IF(N(Z408)&gt;0,Z408,0)</f>
        <v>0</v>
      </c>
      <c r="BW408" s="60" t="n">
        <f aca="false">IF(ISNUMBER(AC408),1,0)</f>
        <v>0</v>
      </c>
      <c r="BX408" s="57" t="n">
        <f aca="false">N(AC408)</f>
        <v>0</v>
      </c>
      <c r="BY408" s="57" t="n">
        <f aca="false">N(L408)+N(M408)</f>
        <v>52</v>
      </c>
      <c r="BZ408" s="57" t="n">
        <f aca="false">ROUNDUP(G408/BQ408,0)</f>
        <v>1</v>
      </c>
      <c r="CA408" s="57" t="n">
        <f aca="false">ROUNDUP(BX408/BQ408,0)</f>
        <v>0</v>
      </c>
      <c r="CB408" s="60" t="n">
        <f aca="false">IF(BR408=1,0,IFERROR(VLOOKUP(BP408,'Gebinde-Kategorie'!$A$5:$M$45,5,0)+0,0))</f>
        <v>11</v>
      </c>
      <c r="CC408" s="60" t="n">
        <f aca="false">IFERROR(IF(OR(BT408=1,BT408=2,BT408=3),N(INDEX(Parameter!$I$5:$I$7,BT408)),0),0)</f>
        <v>0</v>
      </c>
      <c r="CD408" s="59" t="n">
        <f aca="false">IF(AND(Parameter!$B$21="Ja",ISNUMBER(U408),N(V408)&gt;0),IFERROR(N(INDEX(Parameter!$L$5:$L$7,U408))*INDEX(Parameter!$E$5:$E$7,U408)*V408/SUMIFS($V$7:$V$1576,$U$7:$U$1576,U408),0),0)</f>
        <v>0</v>
      </c>
    </row>
    <row r="409" customFormat="false" ht="15" hidden="false" customHeight="false" outlineLevel="0" collapsed="false">
      <c r="A409" s="55" t="s">
        <v>941</v>
      </c>
      <c r="B409" s="55" t="s">
        <v>942</v>
      </c>
      <c r="C409" s="55" t="s">
        <v>160</v>
      </c>
      <c r="D409" s="55" t="s">
        <v>178</v>
      </c>
      <c r="E409" s="55" t="s">
        <v>210</v>
      </c>
      <c r="F409" s="56" t="n">
        <v>0.35</v>
      </c>
      <c r="G409" s="57" t="n">
        <f aca="false">MAX(0,IF(AND(Parameter!$B$21="Ja",ISNUMBER(W409)),W409,IF(Parameter!$B$20="Jahresanfang 2025 + Export",BJ409+BI409,BI409)))</f>
        <v>294</v>
      </c>
      <c r="H409" s="57" t="n">
        <f aca="false">G409*F409</f>
        <v>102.9</v>
      </c>
      <c r="I409" s="57" t="n">
        <f aca="false">BL409*Parameter!$B$18</f>
        <v>356</v>
      </c>
      <c r="J409" s="58" t="n">
        <v>94</v>
      </c>
      <c r="K409" s="59" t="n">
        <v>3.78723404255319</v>
      </c>
      <c r="L409" s="57" t="n">
        <v>13</v>
      </c>
      <c r="M409" s="57" t="n">
        <v>400</v>
      </c>
      <c r="N409" s="60" t="n">
        <v>14</v>
      </c>
      <c r="O409" s="55" t="s">
        <v>411</v>
      </c>
      <c r="P409" s="57" t="n">
        <v>122</v>
      </c>
      <c r="Q409" s="60" t="n">
        <f aca="false">IF(BR409=1,0,IFERROR(VLOOKUP(BP409,'Gebinde-Kategorie'!$A$5:$M$45,13,0)+0,0))</f>
        <v>132</v>
      </c>
      <c r="R409" s="61"/>
      <c r="S409" s="62"/>
      <c r="T409" s="62"/>
      <c r="U409" s="55"/>
      <c r="V409" s="57"/>
      <c r="W409" s="57"/>
      <c r="X409" s="55" t="n">
        <f aca="false">IF(A409="","",IF(AND(Parameter!$B$21="Ja",ISNUMBER(U409)),U409,IF(IFERROR(VLOOKUP(D409,Parameter!$A$35:$C$64,2,0),"Nein")="2+3",IF(ISNUMBER(SEARCH("grosser Artikel",BM409)),2,IFERROR(VLOOKUP(BP409,Parameter!$F$35:$G$64,2,0),2)),IF(OR(IFERROR(VLOOKUP(D409,Parameter!$A$35:$C$64,2,0),"Nein")="Nein",IFERROR(VLOOKUP(D409,Parameter!$A$35:$C$64,2,0),"Nein")=""),"-",VLOOKUP(D409,Parameter!$A$35:$C$64,2,0)))))</f>
        <v>3</v>
      </c>
      <c r="Y409" s="62"/>
      <c r="Z409" s="63"/>
      <c r="AA409" s="57" t="n">
        <f aca="false">AP409</f>
        <v>488</v>
      </c>
      <c r="AB409" s="57" t="n">
        <f aca="false">MAX(AP409,G409)</f>
        <v>488</v>
      </c>
      <c r="AC409" s="64"/>
      <c r="AD409" s="57" t="n">
        <f aca="false">IF(LEFT(Cockpit!$C$5,1)="A",G409,IF(BW409=1,BX409,IF(LEFT(Cockpit!$C$5,1)="B",AH409,MAX(AH409,G409))))</f>
        <v>294</v>
      </c>
      <c r="AE409" s="57" t="n">
        <f aca="false">IF(BR409=1,0,ROUNDUP(AD409/BQ409,0))</f>
        <v>3</v>
      </c>
      <c r="AF409" s="59" t="n">
        <f aca="false">IF(CD409&gt;0,CD409*MAX(1,AD409/V409),IF(BR409=1,IF(AD409&lt;=0,0,BS409*MAX(1,IF(G409&gt;0,AD409/G409,1))),IF(Q409&gt;0,AE409/Q409,0))/MAX(0.1,N(Parameter!$M$21)))</f>
        <v>0.0227272727272727</v>
      </c>
      <c r="AG409" s="57" t="n">
        <f aca="false">AD409*F409</f>
        <v>102.9</v>
      </c>
      <c r="AH409" s="57" t="n">
        <f aca="false">ROUNDUP(MAX(I409/IF(BV409&gt;0,BV409,MAX(0.1,N(Cockpit!$C$6))),BY409)/BQ409,0)*BQ409</f>
        <v>488</v>
      </c>
      <c r="AI409" s="58" t="n">
        <f aca="false">IF(AF409&gt;0,I409/AF409,-1)</f>
        <v>15664</v>
      </c>
      <c r="AJ409" s="58" t="n">
        <f aca="false">IF(AND(OR(BU409="L1",BU409="L23"),AF409&gt;0),SUMIFS($AF$7:$AF$1576,$BU$7:$BU$1576,BU409,$AI$7:$AI$1576,"&gt;"&amp;AI409)+SUMIFS($AF$7:$AF$1576,$BU$7:$BU$1576,BU409,$AI$7:$AI$1576,AI409,$BO$7:$BO$1576,"&lt;="&amp;BO409),"")</f>
        <v>2.25931556366339</v>
      </c>
      <c r="AK409" s="65" t="n">
        <f aca="false">IF(AJ409="",0,MAX(0,MIN(1,(IF(BU409="L1",Parameter!$E$5,Parameter!$E$6+Parameter!$E$7)-(AJ409-AF409))/AF409)))</f>
        <v>1</v>
      </c>
      <c r="AL409" s="57" t="n">
        <f aca="false">IF(LEFT(Cockpit!$I$5,1)="A",G409,IF(BW409=1,BX409,IF(LEFT(Cockpit!$I$5,1)="B",AP409,MAX(AP409,G409))))</f>
        <v>488</v>
      </c>
      <c r="AM409" s="57" t="n">
        <f aca="false">IF(BR409=1,0,ROUNDUP(AL409/BQ409,0))</f>
        <v>4</v>
      </c>
      <c r="AN409" s="59" t="n">
        <f aca="false">IF(CD409&gt;0,CD409*MAX(1,AL409/V409),IF(BR409=1,IF(AL409&lt;=0,0,BS409*MAX(1,IF(G409&gt;0,AL409/G409,1))),IF(Q409&gt;0,AM409/Q409,0))/MAX(0.1,N(Parameter!$M$21)))</f>
        <v>0.0303030303030303</v>
      </c>
      <c r="AO409" s="57" t="n">
        <f aca="false">AL409*F409</f>
        <v>170.8</v>
      </c>
      <c r="AP409" s="57" t="n">
        <f aca="false">ROUNDUP(MAX(I409/IF(BV409&gt;0,BV409,MAX(0.1,N(Cockpit!$I$6))),BY409)/BQ409,0)*BQ409</f>
        <v>488</v>
      </c>
      <c r="AQ409" s="58" t="n">
        <f aca="false">IF(AN409&gt;0,I409/AN409,-1)</f>
        <v>11748</v>
      </c>
      <c r="AR409" s="58" t="n">
        <f aca="false">IF(AND(OR(BU409="L1",BU409="L23"),AN409&gt;0),SUMIFS($AN$7:$AN$1576,$BU$7:$BU$1576,BU409,$AQ$7:$AQ$1576,"&gt;"&amp;AQ409)+SUMIFS($AN$7:$AN$1576,$BU$7:$BU$1576,BU409,$AQ$7:$AQ$1576,AQ409,$BO$7:$BO$1576,"&lt;="&amp;BO409),"")</f>
        <v>6.31331002331002</v>
      </c>
      <c r="AS409" s="65" t="n">
        <f aca="false">IF(AR409="",0,MAX(0,MIN(1,(IF(BU409="L1",Parameter!$E$5,Parameter!$E$6+Parameter!$E$7)-(AR409-AN409))/AN409)))</f>
        <v>1</v>
      </c>
      <c r="AT409" s="57" t="n">
        <f aca="false">IF(LEFT(Cockpit!$O$5,1)="A",G409,IF(BW409=1,BX409,IF(LEFT(Cockpit!$O$5,1)="B",AX409,MAX(AX409,G409))))</f>
        <v>488</v>
      </c>
      <c r="AU409" s="57" t="n">
        <f aca="false">IF(BR409=1,0,ROUNDUP(AT409/BQ409,0))</f>
        <v>4</v>
      </c>
      <c r="AV409" s="59" t="n">
        <f aca="false">IF(CD409&gt;0,CD409*MAX(1,AT409/V409),IF(BR409=1,IF(AT409&lt;=0,0,BS409*MAX(1,IF(G409&gt;0,AT409/G409,1))),IF(Q409&gt;0,AU409/Q409,0))/MAX(0.1,N(Parameter!$M$21)))</f>
        <v>0.0303030303030303</v>
      </c>
      <c r="AW409" s="57" t="n">
        <f aca="false">AT409*F409</f>
        <v>170.8</v>
      </c>
      <c r="AX409" s="57" t="n">
        <f aca="false">ROUNDUP(MAX(I409/IF(BV409&gt;0,BV409,MAX(0.1,N(Cockpit!$O$6))),BY409)/BQ409,0)*BQ409</f>
        <v>488</v>
      </c>
      <c r="AY409" s="58" t="n">
        <f aca="false">IF(AV409&gt;0,I409/AV409,-1)</f>
        <v>11748</v>
      </c>
      <c r="AZ409" s="58" t="n">
        <f aca="false">IF(AND(OR(BU409="L1",BU409="L23"),AV409&gt;0),SUMIFS($AV$7:$AV$1576,$BU$7:$BU$1576,BU409,$AY$7:$AY$1576,"&gt;"&amp;AY409)+SUMIFS($AV$7:$AV$1576,$BU$7:$BU$1576,BU409,$AY$7:$AY$1576,AY409,$BO$7:$BO$1576,"&lt;="&amp;BO409),"")</f>
        <v>5.86109557109557</v>
      </c>
      <c r="BA409" s="65" t="n">
        <f aca="false">IF(AZ409="",0,MAX(0,MIN(1,(IF(BU409="L1",Parameter!$E$5,Parameter!$E$6+Parameter!$E$7)-(AZ409-AV409))/AV409)))</f>
        <v>1</v>
      </c>
      <c r="BB409" s="55" t="str">
        <f aca="false">IF(AF409&lt;=0,"",IF(BU409="Aussen","Aussenlager",IF(BU409="-","Nicht im Lift",IF(AK409&gt;=1,"Lift",IF(AK409&lt;=0,"Aussenlager","teilweise")))))</f>
        <v>Lift</v>
      </c>
      <c r="BC409" s="55" t="str">
        <f aca="false">IF(AN409&lt;=0,"",IF(BU409="Aussen","Aussenlager",IF(BU409="-","Nicht im Lift",IF(AS409&gt;=1,"Lift",IF(AS409&lt;=0,"Aussenlager","teilweise")))))</f>
        <v>Lift</v>
      </c>
      <c r="BD409" s="55" t="str">
        <f aca="false">IF(AV409&lt;=0,"",IF(BU409="Aussen","Aussenlager",IF(BU409="-","Nicht im Lift",IF(BA409&gt;=1,"Lift",IF(BA409&lt;=0,"Aussenlager","teilweise")))))</f>
        <v>Lift</v>
      </c>
      <c r="BE409" s="55" t="str">
        <f aca="false">IF(A409="","",IF(BN409=1,"Neu; ","")&amp;IF(AND(BN409=0,BI409&lt;0),"negativer Bestand (Export "&amp;BI409&amp;"); ","")&amp;IF(I409&lt;=0,"Kein Verbrauch; ","")&amp;IF(CD409&gt;0,"Lift "&amp;U409&amp;" lt. Liftbericht (Fach "&amp;V409&amp;" Stk); ",IF(BR409=1,"Lose – Fläche geschätzt; ",""))&amp;IF(G409&gt;AP409,"Überbestand "&amp;ROUND(G409-AP409,0)&amp;" Stk / CHF "&amp;ROUND((G409-AP409)*F409,0)&amp;"; ","")&amp;IF(AND(BW409=1,BX409&lt;BY409),"MAX &lt; MB+LG; ","")&amp;IF(AND(CC409&gt;0,CB409*10&gt;CC409),"zu hoch für Tablar; ","")&amp;IF(AND(BN409=0,OR(BW409=1,Y409&lt;&gt;"",S409&lt;&gt;"",T409&lt;&gt;"",Z409&lt;&gt;"")),"manuell übersteuert; ","")&amp;IF(AND(BR409=0,Q409=0),"Gebinde unbekannt / Stellmass fehlt; ","")&amp;IF(AND(BR409=0,N(T409)&lt;=0,N(P409)&lt;=0),"Menge pro Gebinde fehlt (Ist = 1 Gebinde); ","")&amp;BM409)</f>
        <v/>
      </c>
      <c r="BF409" s="55"/>
      <c r="BG409" s="55"/>
      <c r="BH409" s="62"/>
      <c r="BI409" s="57" t="n">
        <v>294</v>
      </c>
      <c r="BJ409" s="57" t="n">
        <v>93</v>
      </c>
      <c r="BK409" s="56" t="n">
        <v>103.83</v>
      </c>
      <c r="BL409" s="57" t="n">
        <v>356</v>
      </c>
      <c r="BM409" s="55"/>
      <c r="BN409" s="60" t="n">
        <v>0</v>
      </c>
      <c r="BO409" s="60" t="n">
        <v>409</v>
      </c>
      <c r="BP409" s="55" t="str">
        <f aca="false">IF(S409&lt;&gt;"",UPPER(TRIM(S409)),IF(O409="","LOSE",O409))</f>
        <v>S32</v>
      </c>
      <c r="BQ409" s="57" t="n">
        <f aca="false">IF(BP409="LOSE",1,IF(N(T409)&gt;0,T409,IF(N(P409)&gt;0,P409,MAX(1,G409))))</f>
        <v>122</v>
      </c>
      <c r="BR409" s="60" t="n">
        <f aca="false">IF(BP409="LOSE",1,0)</f>
        <v>0</v>
      </c>
      <c r="BS409" s="59" t="n">
        <f aca="false">IF(BR409=0,0,IF(N(R409)&gt;0,R409,IFERROR(VLOOKUP(D409,Parameter!$A$35:$C$64,3,0)+0,0)))</f>
        <v>0</v>
      </c>
      <c r="BT409" s="55" t="n">
        <f aca="false">IF(Y409&lt;&gt;"",Y409,X409)</f>
        <v>3</v>
      </c>
      <c r="BU409" s="55" t="str">
        <f aca="false">IF(BT409=1,"L1",IF(OR(BT409=2,BT409=3),"L23",IF(BT409="Aussen","Aussen","-")))</f>
        <v>L23</v>
      </c>
      <c r="BV409" s="66" t="n">
        <f aca="false">IF(N(Z409)&gt;0,Z409,0)</f>
        <v>0</v>
      </c>
      <c r="BW409" s="60" t="n">
        <f aca="false">IF(ISNUMBER(AC409),1,0)</f>
        <v>0</v>
      </c>
      <c r="BX409" s="57" t="n">
        <f aca="false">N(AC409)</f>
        <v>0</v>
      </c>
      <c r="BY409" s="57" t="n">
        <f aca="false">N(L409)+N(M409)</f>
        <v>413</v>
      </c>
      <c r="BZ409" s="57" t="n">
        <f aca="false">ROUNDUP(G409/BQ409,0)</f>
        <v>3</v>
      </c>
      <c r="CA409" s="57" t="n">
        <f aca="false">ROUNDUP(BX409/BQ409,0)</f>
        <v>0</v>
      </c>
      <c r="CB409" s="60" t="n">
        <f aca="false">IF(BR409=1,0,IFERROR(VLOOKUP(BP409,'Gebinde-Kategorie'!$A$5:$M$45,5,0)+0,0))</f>
        <v>8</v>
      </c>
      <c r="CC409" s="60" t="n">
        <f aca="false">IFERROR(IF(OR(BT409=1,BT409=2,BT409=3),N(INDEX(Parameter!$I$5:$I$7,BT409)),0),0)</f>
        <v>0</v>
      </c>
      <c r="CD409" s="59" t="n">
        <f aca="false">IF(AND(Parameter!$B$21="Ja",ISNUMBER(U409),N(V409)&gt;0),IFERROR(N(INDEX(Parameter!$L$5:$L$7,U409))*INDEX(Parameter!$E$5:$E$7,U409)*V409/SUMIFS($V$7:$V$1576,$U$7:$U$1576,U409),0),0)</f>
        <v>0</v>
      </c>
    </row>
    <row r="410" customFormat="false" ht="15" hidden="false" customHeight="false" outlineLevel="0" collapsed="false">
      <c r="A410" s="55" t="s">
        <v>943</v>
      </c>
      <c r="B410" s="55" t="s">
        <v>944</v>
      </c>
      <c r="C410" s="55" t="s">
        <v>160</v>
      </c>
      <c r="D410" s="55" t="s">
        <v>178</v>
      </c>
      <c r="E410" s="55" t="s">
        <v>210</v>
      </c>
      <c r="F410" s="56" t="n">
        <v>49.6</v>
      </c>
      <c r="G410" s="57" t="n">
        <f aca="false">MAX(0,IF(AND(Parameter!$B$21="Ja",ISNUMBER(W410)),W410,IF(Parameter!$B$20="Jahresanfang 2025 + Export",BJ410+BI410,BI410)))</f>
        <v>2</v>
      </c>
      <c r="H410" s="57" t="n">
        <f aca="false">G410*F410</f>
        <v>99.2</v>
      </c>
      <c r="I410" s="57" t="n">
        <f aca="false">BL410*Parameter!$B$18</f>
        <v>0</v>
      </c>
      <c r="J410" s="58" t="n">
        <v>1</v>
      </c>
      <c r="K410" s="59" t="n">
        <v>0</v>
      </c>
      <c r="L410" s="57" t="n">
        <v>0</v>
      </c>
      <c r="M410" s="57" t="n">
        <v>1</v>
      </c>
      <c r="N410" s="60" t="n">
        <v>42</v>
      </c>
      <c r="O410" s="55" t="s">
        <v>225</v>
      </c>
      <c r="P410" s="57" t="n">
        <v>3</v>
      </c>
      <c r="Q410" s="60" t="n">
        <f aca="false">IF(BR410=1,0,IFERROR(VLOOKUP(BP410,'Gebinde-Kategorie'!$A$5:$M$45,13,0)+0,0))</f>
        <v>26</v>
      </c>
      <c r="R410" s="61"/>
      <c r="S410" s="62"/>
      <c r="T410" s="62"/>
      <c r="U410" s="55"/>
      <c r="V410" s="57"/>
      <c r="W410" s="57"/>
      <c r="X410" s="55" t="n">
        <f aca="false">IF(A410="","",IF(AND(Parameter!$B$21="Ja",ISNUMBER(U410)),U410,IF(IFERROR(VLOOKUP(D410,Parameter!$A$35:$C$64,2,0),"Nein")="2+3",IF(ISNUMBER(SEARCH("grosser Artikel",BM410)),2,IFERROR(VLOOKUP(BP410,Parameter!$F$35:$G$64,2,0),2)),IF(OR(IFERROR(VLOOKUP(D410,Parameter!$A$35:$C$64,2,0),"Nein")="Nein",IFERROR(VLOOKUP(D410,Parameter!$A$35:$C$64,2,0),"Nein")=""),"-",VLOOKUP(D410,Parameter!$A$35:$C$64,2,0)))))</f>
        <v>3</v>
      </c>
      <c r="Y410" s="62"/>
      <c r="Z410" s="63"/>
      <c r="AA410" s="57" t="n">
        <f aca="false">AP410</f>
        <v>3</v>
      </c>
      <c r="AB410" s="57" t="n">
        <f aca="false">MAX(AP410,G410)</f>
        <v>3</v>
      </c>
      <c r="AC410" s="64"/>
      <c r="AD410" s="57" t="n">
        <f aca="false">IF(LEFT(Cockpit!$C$5,1)="A",G410,IF(BW410=1,BX410,IF(LEFT(Cockpit!$C$5,1)="B",AH410,MAX(AH410,G410))))</f>
        <v>2</v>
      </c>
      <c r="AE410" s="57" t="n">
        <f aca="false">IF(BR410=1,0,ROUNDUP(AD410/BQ410,0))</f>
        <v>1</v>
      </c>
      <c r="AF410" s="59" t="n">
        <f aca="false">IF(CD410&gt;0,CD410*MAX(1,AD410/V410),IF(BR410=1,IF(AD410&lt;=0,0,BS410*MAX(1,IF(G410&gt;0,AD410/G410,1))),IF(Q410&gt;0,AE410/Q410,0))/MAX(0.1,N(Parameter!$M$21)))</f>
        <v>0.0384615384615385</v>
      </c>
      <c r="AG410" s="57" t="n">
        <f aca="false">AD410*F410</f>
        <v>99.2</v>
      </c>
      <c r="AH410" s="57" t="n">
        <f aca="false">ROUNDUP(MAX(I410/IF(BV410&gt;0,BV410,MAX(0.1,N(Cockpit!$C$6))),BY410)/BQ410,0)*BQ410</f>
        <v>3</v>
      </c>
      <c r="AI410" s="58" t="n">
        <f aca="false">IF(AF410&gt;0,I410/AF410,-1)</f>
        <v>0</v>
      </c>
      <c r="AJ410" s="58" t="n">
        <f aca="false">IF(AND(OR(BU410="L1",BU410="L23"),AF410&gt;0),SUMIFS($AF$7:$AF$1576,$BU$7:$BU$1576,BU410,$AI$7:$AI$1576,"&gt;"&amp;AI410)+SUMIFS($AF$7:$AF$1576,$BU$7:$BU$1576,BU410,$AI$7:$AI$1576,AI410,$BO$7:$BO$1576,"&lt;="&amp;BO410),"")</f>
        <v>41.7859227728793</v>
      </c>
      <c r="AK410" s="65" t="n">
        <f aca="false">IF(AJ410="",0,MAX(0,MIN(1,(IF(BU410="L1",Parameter!$E$5,Parameter!$E$6+Parameter!$E$7)-(AJ410-AF410))/AF410)))</f>
        <v>1</v>
      </c>
      <c r="AL410" s="57" t="n">
        <f aca="false">IF(LEFT(Cockpit!$I$5,1)="A",G410,IF(BW410=1,BX410,IF(LEFT(Cockpit!$I$5,1)="B",AP410,MAX(AP410,G410))))</f>
        <v>3</v>
      </c>
      <c r="AM410" s="57" t="n">
        <f aca="false">IF(BR410=1,0,ROUNDUP(AL410/BQ410,0))</f>
        <v>1</v>
      </c>
      <c r="AN410" s="59" t="n">
        <f aca="false">IF(CD410&gt;0,CD410*MAX(1,AL410/V410),IF(BR410=1,IF(AL410&lt;=0,0,BS410*MAX(1,IF(G410&gt;0,AL410/G410,1))),IF(Q410&gt;0,AM410/Q410,0))/MAX(0.1,N(Parameter!$M$21)))</f>
        <v>0.0384615384615385</v>
      </c>
      <c r="AO410" s="57" t="n">
        <f aca="false">AL410*F410</f>
        <v>148.8</v>
      </c>
      <c r="AP410" s="57" t="n">
        <f aca="false">ROUNDUP(MAX(I410/IF(BV410&gt;0,BV410,MAX(0.1,N(Cockpit!$I$6))),BY410)/BQ410,0)*BQ410</f>
        <v>3</v>
      </c>
      <c r="AQ410" s="58" t="n">
        <f aca="false">IF(AN410&gt;0,I410/AN410,-1)</f>
        <v>0</v>
      </c>
      <c r="AR410" s="58" t="n">
        <f aca="false">IF(AND(OR(BU410="L1",BU410="L23"),AN410&gt;0),SUMIFS($AN$7:$AN$1576,$BU$7:$BU$1576,BU410,$AQ$7:$AQ$1576,"&gt;"&amp;AQ410)+SUMIFS($AN$7:$AN$1576,$BU$7:$BU$1576,BU410,$AQ$7:$AQ$1576,AQ410,$BO$7:$BO$1576,"&lt;="&amp;BO410),"")</f>
        <v>124.776049013597</v>
      </c>
      <c r="AS410" s="65" t="n">
        <f aca="false">IF(AR410="",0,MAX(0,MIN(1,(IF(BU410="L1",Parameter!$E$5,Parameter!$E$6+Parameter!$E$7)-(AR410-AN410))/AN410)))</f>
        <v>0</v>
      </c>
      <c r="AT410" s="57" t="n">
        <f aca="false">IF(LEFT(Cockpit!$O$5,1)="A",G410,IF(BW410=1,BX410,IF(LEFT(Cockpit!$O$5,1)="B",AX410,MAX(AX410,G410))))</f>
        <v>3</v>
      </c>
      <c r="AU410" s="57" t="n">
        <f aca="false">IF(BR410=1,0,ROUNDUP(AT410/BQ410,0))</f>
        <v>1</v>
      </c>
      <c r="AV410" s="59" t="n">
        <f aca="false">IF(CD410&gt;0,CD410*MAX(1,AT410/V410),IF(BR410=1,IF(AT410&lt;=0,0,BS410*MAX(1,IF(G410&gt;0,AT410/G410,1))),IF(Q410&gt;0,AU410/Q410,0))/MAX(0.1,N(Parameter!$M$21)))</f>
        <v>0.0384615384615385</v>
      </c>
      <c r="AW410" s="57" t="n">
        <f aca="false">AT410*F410</f>
        <v>148.8</v>
      </c>
      <c r="AX410" s="57" t="n">
        <f aca="false">ROUNDUP(MAX(I410/IF(BV410&gt;0,BV410,MAX(0.1,N(Cockpit!$O$6))),BY410)/BQ410,0)*BQ410</f>
        <v>3</v>
      </c>
      <c r="AY410" s="58" t="n">
        <f aca="false">IF(AV410&gt;0,I410/AV410,-1)</f>
        <v>0</v>
      </c>
      <c r="AZ410" s="58" t="n">
        <f aca="false">IF(AND(OR(BU410="L1",BU410="L23"),AV410&gt;0),SUMIFS($AV$7:$AV$1576,$BU$7:$BU$1576,BU410,$AY$7:$AY$1576,"&gt;"&amp;AY410)+SUMIFS($AV$7:$AV$1576,$BU$7:$BU$1576,BU410,$AY$7:$AY$1576,AY410,$BO$7:$BO$1576,"&lt;="&amp;BO410),"")</f>
        <v>114.835599463148</v>
      </c>
      <c r="BA410" s="65" t="n">
        <f aca="false">IF(AZ410="",0,MAX(0,MIN(1,(IF(BU410="L1",Parameter!$E$5,Parameter!$E$6+Parameter!$E$7)-(AZ410-AV410))/AV410)))</f>
        <v>0</v>
      </c>
      <c r="BB410" s="55" t="str">
        <f aca="false">IF(AF410&lt;=0,"",IF(BU410="Aussen","Aussenlager",IF(BU410="-","Nicht im Lift",IF(AK410&gt;=1,"Lift",IF(AK410&lt;=0,"Aussenlager","teilweise")))))</f>
        <v>Lift</v>
      </c>
      <c r="BC410" s="55" t="str">
        <f aca="false">IF(AN410&lt;=0,"",IF(BU410="Aussen","Aussenlager",IF(BU410="-","Nicht im Lift",IF(AS410&gt;=1,"Lift",IF(AS410&lt;=0,"Aussenlager","teilweise")))))</f>
        <v>Aussenlager</v>
      </c>
      <c r="BD410" s="55" t="str">
        <f aca="false">IF(AV410&lt;=0,"",IF(BU410="Aussen","Aussenlager",IF(BU410="-","Nicht im Lift",IF(BA410&gt;=1,"Lift",IF(BA410&lt;=0,"Aussenlager","teilweise")))))</f>
        <v>Aussenlager</v>
      </c>
      <c r="BE410" s="55" t="str">
        <f aca="false">IF(A410="","",IF(BN410=1,"Neu; ","")&amp;IF(AND(BN410=0,BI410&lt;0),"negativer Bestand (Export "&amp;BI410&amp;"); ","")&amp;IF(I410&lt;=0,"Kein Verbrauch; ","")&amp;IF(CD410&gt;0,"Lift "&amp;U410&amp;" lt. Liftbericht (Fach "&amp;V410&amp;" Stk); ",IF(BR410=1,"Lose – Fläche geschätzt; ",""))&amp;IF(G410&gt;AP410,"Überbestand "&amp;ROUND(G410-AP410,0)&amp;" Stk / CHF "&amp;ROUND((G410-AP410)*F410,0)&amp;"; ","")&amp;IF(AND(BW410=1,BX410&lt;BY410),"MAX &lt; MB+LG; ","")&amp;IF(AND(CC410&gt;0,CB410*10&gt;CC410),"zu hoch für Tablar; ","")&amp;IF(AND(BN410=0,OR(BW410=1,Y410&lt;&gt;"",S410&lt;&gt;"",T410&lt;&gt;"",Z410&lt;&gt;"")),"manuell übersteuert; ","")&amp;IF(AND(BR410=0,Q410=0),"Gebinde unbekannt / Stellmass fehlt; ","")&amp;IF(AND(BR410=0,N(T410)&lt;=0,N(P410)&lt;=0),"Menge pro Gebinde fehlt (Ist = 1 Gebinde); ","")&amp;BM410)</f>
        <v>Kein Verbrauch; </v>
      </c>
      <c r="BF410" s="55"/>
      <c r="BG410" s="55"/>
      <c r="BH410" s="62"/>
      <c r="BI410" s="57" t="n">
        <v>2</v>
      </c>
      <c r="BJ410" s="57" t="n">
        <v>1</v>
      </c>
      <c r="BK410" s="56" t="n">
        <v>103.4</v>
      </c>
      <c r="BL410" s="57" t="n">
        <v>0</v>
      </c>
      <c r="BM410" s="55"/>
      <c r="BN410" s="60" t="n">
        <v>0</v>
      </c>
      <c r="BO410" s="60" t="n">
        <v>410</v>
      </c>
      <c r="BP410" s="55" t="str">
        <f aca="false">IF(S410&lt;&gt;"",UPPER(TRIM(S410)),IF(O410="","LOSE",O410))</f>
        <v>S52</v>
      </c>
      <c r="BQ410" s="57" t="n">
        <f aca="false">IF(BP410="LOSE",1,IF(N(T410)&gt;0,T410,IF(N(P410)&gt;0,P410,MAX(1,G410))))</f>
        <v>3</v>
      </c>
      <c r="BR410" s="60" t="n">
        <f aca="false">IF(BP410="LOSE",1,0)</f>
        <v>0</v>
      </c>
      <c r="BS410" s="59" t="n">
        <f aca="false">IF(BR410=0,0,IF(N(R410)&gt;0,R410,IFERROR(VLOOKUP(D410,Parameter!$A$35:$C$64,3,0)+0,0)))</f>
        <v>0</v>
      </c>
      <c r="BT410" s="55" t="n">
        <f aca="false">IF(Y410&lt;&gt;"",Y410,X410)</f>
        <v>3</v>
      </c>
      <c r="BU410" s="55" t="str">
        <f aca="false">IF(BT410=1,"L1",IF(OR(BT410=2,BT410=3),"L23",IF(BT410="Aussen","Aussen","-")))</f>
        <v>L23</v>
      </c>
      <c r="BV410" s="66" t="n">
        <f aca="false">IF(N(Z410)&gt;0,Z410,0)</f>
        <v>0</v>
      </c>
      <c r="BW410" s="60" t="n">
        <f aca="false">IF(ISNUMBER(AC410),1,0)</f>
        <v>0</v>
      </c>
      <c r="BX410" s="57" t="n">
        <f aca="false">N(AC410)</f>
        <v>0</v>
      </c>
      <c r="BY410" s="57" t="n">
        <f aca="false">N(L410)+N(M410)</f>
        <v>1</v>
      </c>
      <c r="BZ410" s="57" t="n">
        <f aca="false">ROUNDUP(G410/BQ410,0)</f>
        <v>1</v>
      </c>
      <c r="CA410" s="57" t="n">
        <f aca="false">ROUNDUP(BX410/BQ410,0)</f>
        <v>0</v>
      </c>
      <c r="CB410" s="60" t="n">
        <f aca="false">IF(BR410=1,0,IFERROR(VLOOKUP(BP410,'Gebinde-Kategorie'!$A$5:$M$45,5,0)+0,0))</f>
        <v>21</v>
      </c>
      <c r="CC410" s="60" t="n">
        <f aca="false">IFERROR(IF(OR(BT410=1,BT410=2,BT410=3),N(INDEX(Parameter!$I$5:$I$7,BT410)),0),0)</f>
        <v>0</v>
      </c>
      <c r="CD410" s="59" t="n">
        <f aca="false">IF(AND(Parameter!$B$21="Ja",ISNUMBER(U410),N(V410)&gt;0),IFERROR(N(INDEX(Parameter!$L$5:$L$7,U410))*INDEX(Parameter!$E$5:$E$7,U410)*V410/SUMIFS($V$7:$V$1576,$U$7:$U$1576,U410),0),0)</f>
        <v>0</v>
      </c>
    </row>
    <row r="411" customFormat="false" ht="15" hidden="false" customHeight="false" outlineLevel="0" collapsed="false">
      <c r="A411" s="55" t="s">
        <v>945</v>
      </c>
      <c r="B411" s="55" t="s">
        <v>946</v>
      </c>
      <c r="C411" s="55" t="s">
        <v>160</v>
      </c>
      <c r="D411" s="55" t="s">
        <v>178</v>
      </c>
      <c r="E411" s="55" t="s">
        <v>210</v>
      </c>
      <c r="F411" s="56" t="n">
        <v>32.65</v>
      </c>
      <c r="G411" s="57" t="n">
        <f aca="false">MAX(0,IF(AND(Parameter!$B$21="Ja",ISNUMBER(W411)),W411,IF(Parameter!$B$20="Jahresanfang 2025 + Export",BJ411+BI411,BI411)))</f>
        <v>3</v>
      </c>
      <c r="H411" s="57" t="n">
        <f aca="false">G411*F411</f>
        <v>97.95</v>
      </c>
      <c r="I411" s="57" t="n">
        <f aca="false">BL411*Parameter!$B$18</f>
        <v>9</v>
      </c>
      <c r="J411" s="58" t="n">
        <v>2.5</v>
      </c>
      <c r="K411" s="59" t="n">
        <v>3.6</v>
      </c>
      <c r="L411" s="57" t="n">
        <v>0</v>
      </c>
      <c r="M411" s="57" t="n">
        <v>3</v>
      </c>
      <c r="N411" s="60" t="n">
        <v>14</v>
      </c>
      <c r="O411" s="55" t="s">
        <v>163</v>
      </c>
      <c r="P411" s="57"/>
      <c r="Q411" s="60" t="n">
        <f aca="false">IF(BR411=1,0,IFERROR(VLOOKUP(BP411,'Gebinde-Kategorie'!$A$5:$M$45,13,0)+0,0))</f>
        <v>0</v>
      </c>
      <c r="R411" s="61"/>
      <c r="S411" s="62"/>
      <c r="T411" s="62"/>
      <c r="U411" s="55"/>
      <c r="V411" s="57"/>
      <c r="W411" s="57"/>
      <c r="X411" s="55" t="n">
        <f aca="false">IF(A411="","",IF(AND(Parameter!$B$21="Ja",ISNUMBER(U411)),U411,IF(IFERROR(VLOOKUP(D411,Parameter!$A$35:$C$64,2,0),"Nein")="2+3",IF(ISNUMBER(SEARCH("grosser Artikel",BM411)),2,IFERROR(VLOOKUP(BP411,Parameter!$F$35:$G$64,2,0),2)),IF(OR(IFERROR(VLOOKUP(D411,Parameter!$A$35:$C$64,2,0),"Nein")="Nein",IFERROR(VLOOKUP(D411,Parameter!$A$35:$C$64,2,0),"Nein")=""),"-",VLOOKUP(D411,Parameter!$A$35:$C$64,2,0)))))</f>
        <v>2</v>
      </c>
      <c r="Y411" s="62"/>
      <c r="Z411" s="63"/>
      <c r="AA411" s="57" t="n">
        <f aca="false">AP411</f>
        <v>5</v>
      </c>
      <c r="AB411" s="57" t="n">
        <f aca="false">MAX(AP411,G411)</f>
        <v>5</v>
      </c>
      <c r="AC411" s="64"/>
      <c r="AD411" s="57" t="n">
        <f aca="false">IF(LEFT(Cockpit!$C$5,1)="A",G411,IF(BW411=1,BX411,IF(LEFT(Cockpit!$C$5,1)="B",AH411,MAX(AH411,G411))))</f>
        <v>3</v>
      </c>
      <c r="AE411" s="57" t="n">
        <f aca="false">IF(BR411=1,0,ROUNDUP(AD411/BQ411,0))</f>
        <v>0</v>
      </c>
      <c r="AF411" s="59" t="n">
        <f aca="false">IF(CD411&gt;0,CD411*MAX(1,AD411/V411),IF(BR411=1,IF(AD411&lt;=0,0,BS411*MAX(1,IF(G411&gt;0,AD411/G411,1))),IF(Q411&gt;0,AE411/Q411,0))/MAX(0.1,N(Parameter!$M$21)))</f>
        <v>0.03</v>
      </c>
      <c r="AG411" s="57" t="n">
        <f aca="false">AD411*F411</f>
        <v>97.95</v>
      </c>
      <c r="AH411" s="57" t="n">
        <f aca="false">ROUNDUP(MAX(I411/IF(BV411&gt;0,BV411,MAX(0.1,N(Cockpit!$C$6))),BY411)/BQ411,0)*BQ411</f>
        <v>5</v>
      </c>
      <c r="AI411" s="58" t="n">
        <f aca="false">IF(AF411&gt;0,I411/AF411,-1)</f>
        <v>300</v>
      </c>
      <c r="AJ411" s="58" t="n">
        <f aca="false">IF(AND(OR(BU411="L1",BU411="L23"),AF411&gt;0),SUMIFS($AF$7:$AF$1576,$BU$7:$BU$1576,BU411,$AI$7:$AI$1576,"&gt;"&amp;AI411)+SUMIFS($AF$7:$AF$1576,$BU$7:$BU$1576,BU411,$AI$7:$AI$1576,AI411,$BO$7:$BO$1576,"&lt;="&amp;BO411),"")</f>
        <v>14.8213077260903</v>
      </c>
      <c r="AK411" s="65" t="n">
        <f aca="false">IF(AJ411="",0,MAX(0,MIN(1,(IF(BU411="L1",Parameter!$E$5,Parameter!$E$6+Parameter!$E$7)-(AJ411-AF411))/AF411)))</f>
        <v>1</v>
      </c>
      <c r="AL411" s="57" t="n">
        <f aca="false">IF(LEFT(Cockpit!$I$5,1)="A",G411,IF(BW411=1,BX411,IF(LEFT(Cockpit!$I$5,1)="B",AP411,MAX(AP411,G411))))</f>
        <v>5</v>
      </c>
      <c r="AM411" s="57" t="n">
        <f aca="false">IF(BR411=1,0,ROUNDUP(AL411/BQ411,0))</f>
        <v>0</v>
      </c>
      <c r="AN411" s="59" t="n">
        <f aca="false">IF(CD411&gt;0,CD411*MAX(1,AL411/V411),IF(BR411=1,IF(AL411&lt;=0,0,BS411*MAX(1,IF(G411&gt;0,AL411/G411,1))),IF(Q411&gt;0,AM411/Q411,0))/MAX(0.1,N(Parameter!$M$21)))</f>
        <v>0.05</v>
      </c>
      <c r="AO411" s="57" t="n">
        <f aca="false">AL411*F411</f>
        <v>163.25</v>
      </c>
      <c r="AP411" s="57" t="n">
        <f aca="false">ROUNDUP(MAX(I411/IF(BV411&gt;0,BV411,MAX(0.1,N(Cockpit!$I$6))),BY411)/BQ411,0)*BQ411</f>
        <v>5</v>
      </c>
      <c r="AQ411" s="58" t="n">
        <f aca="false">IF(AN411&gt;0,I411/AN411,-1)</f>
        <v>180</v>
      </c>
      <c r="AR411" s="58" t="n">
        <f aca="false">IF(AND(OR(BU411="L1",BU411="L23"),AN411&gt;0),SUMIFS($AN$7:$AN$1576,$BU$7:$BU$1576,BU411,$AQ$7:$AQ$1576,"&gt;"&amp;AQ411)+SUMIFS($AN$7:$AN$1576,$BU$7:$BU$1576,BU411,$AQ$7:$AQ$1576,AQ411,$BO$7:$BO$1576,"&lt;="&amp;BO411),"")</f>
        <v>52.7867226617338</v>
      </c>
      <c r="AS411" s="65" t="n">
        <f aca="false">IF(AR411="",0,MAX(0,MIN(1,(IF(BU411="L1",Parameter!$E$5,Parameter!$E$6+Parameter!$E$7)-(AR411-AN411))/AN411)))</f>
        <v>1</v>
      </c>
      <c r="AT411" s="57" t="n">
        <f aca="false">IF(LEFT(Cockpit!$O$5,1)="A",G411,IF(BW411=1,BX411,IF(LEFT(Cockpit!$O$5,1)="B",AX411,MAX(AX411,G411))))</f>
        <v>3</v>
      </c>
      <c r="AU411" s="57" t="n">
        <f aca="false">IF(BR411=1,0,ROUNDUP(AT411/BQ411,0))</f>
        <v>0</v>
      </c>
      <c r="AV411" s="59" t="n">
        <f aca="false">IF(CD411&gt;0,CD411*MAX(1,AT411/V411),IF(BR411=1,IF(AT411&lt;=0,0,BS411*MAX(1,IF(G411&gt;0,AT411/G411,1))),IF(Q411&gt;0,AU411/Q411,0))/MAX(0.1,N(Parameter!$M$21)))</f>
        <v>0.03</v>
      </c>
      <c r="AW411" s="57" t="n">
        <f aca="false">AT411*F411</f>
        <v>97.95</v>
      </c>
      <c r="AX411" s="57" t="n">
        <f aca="false">ROUNDUP(MAX(I411/IF(BV411&gt;0,BV411,MAX(0.1,N(Cockpit!$O$6))),BY411)/BQ411,0)*BQ411</f>
        <v>3</v>
      </c>
      <c r="AY411" s="58" t="n">
        <f aca="false">IF(AV411&gt;0,I411/AV411,-1)</f>
        <v>300</v>
      </c>
      <c r="AZ411" s="58" t="n">
        <f aca="false">IF(AND(OR(BU411="L1",BU411="L23"),AV411&gt;0),SUMIFS($AV$7:$AV$1576,$BU$7:$BU$1576,BU411,$AY$7:$AY$1576,"&gt;"&amp;AY411)+SUMIFS($AV$7:$AV$1576,$BU$7:$BU$1576,BU411,$AY$7:$AY$1576,AY411,$BO$7:$BO$1576,"&lt;="&amp;BO411),"")</f>
        <v>40.0620776449149</v>
      </c>
      <c r="BA411" s="65" t="n">
        <f aca="false">IF(AZ411="",0,MAX(0,MIN(1,(IF(BU411="L1",Parameter!$E$5,Parameter!$E$6+Parameter!$E$7)-(AZ411-AV411))/AV411)))</f>
        <v>1</v>
      </c>
      <c r="BB411" s="55" t="str">
        <f aca="false">IF(AF411&lt;=0,"",IF(BU411="Aussen","Aussenlager",IF(BU411="-","Nicht im Lift",IF(AK411&gt;=1,"Lift",IF(AK411&lt;=0,"Aussenlager","teilweise")))))</f>
        <v>Lift</v>
      </c>
      <c r="BC411" s="55" t="str">
        <f aca="false">IF(AN411&lt;=0,"",IF(BU411="Aussen","Aussenlager",IF(BU411="-","Nicht im Lift",IF(AS411&gt;=1,"Lift",IF(AS411&lt;=0,"Aussenlager","teilweise")))))</f>
        <v>Lift</v>
      </c>
      <c r="BD411" s="55" t="str">
        <f aca="false">IF(AV411&lt;=0,"",IF(BU411="Aussen","Aussenlager",IF(BU411="-","Nicht im Lift",IF(BA411&gt;=1,"Lift",IF(BA411&lt;=0,"Aussenlager","teilweise")))))</f>
        <v>Lift</v>
      </c>
      <c r="BE411" s="55" t="str">
        <f aca="false">IF(A411="","",IF(BN411=1,"Neu; ","")&amp;IF(AND(BN411=0,BI411&lt;0),"negativer Bestand (Export "&amp;BI411&amp;"); ","")&amp;IF(I411&lt;=0,"Kein Verbrauch; ","")&amp;IF(CD411&gt;0,"Lift "&amp;U411&amp;" lt. Liftbericht (Fach "&amp;V411&amp;" Stk); ",IF(BR411=1,"Lose – Fläche geschätzt; ",""))&amp;IF(G411&gt;AP411,"Überbestand "&amp;ROUND(G411-AP411,0)&amp;" Stk / CHF "&amp;ROUND((G411-AP411)*F411,0)&amp;"; ","")&amp;IF(AND(BW411=1,BX411&lt;BY411),"MAX &lt; MB+LG; ","")&amp;IF(AND(CC411&gt;0,CB411*10&gt;CC411),"zu hoch für Tablar; ","")&amp;IF(AND(BN411=0,OR(BW411=1,Y411&lt;&gt;"",S411&lt;&gt;"",T411&lt;&gt;"",Z411&lt;&gt;"")),"manuell übersteuert; ","")&amp;IF(AND(BR411=0,Q411=0),"Gebinde unbekannt / Stellmass fehlt; ","")&amp;IF(AND(BR411=0,N(T411)&lt;=0,N(P411)&lt;=0),"Menge pro Gebinde fehlt (Ist = 1 Gebinde); ","")&amp;BM411)</f>
        <v>Lose – Fläche geschätzt; </v>
      </c>
      <c r="BF411" s="55"/>
      <c r="BG411" s="55"/>
      <c r="BH411" s="62"/>
      <c r="BI411" s="57" t="n">
        <v>3</v>
      </c>
      <c r="BJ411" s="57" t="n">
        <v>3</v>
      </c>
      <c r="BK411" s="56" t="n">
        <v>101.19</v>
      </c>
      <c r="BL411" s="57" t="n">
        <v>9</v>
      </c>
      <c r="BM411" s="55"/>
      <c r="BN411" s="60" t="n">
        <v>0</v>
      </c>
      <c r="BO411" s="60" t="n">
        <v>411</v>
      </c>
      <c r="BP411" s="55" t="str">
        <f aca="false">IF(S411&lt;&gt;"",UPPER(TRIM(S411)),IF(O411="","LOSE",O411))</f>
        <v>LOSE</v>
      </c>
      <c r="BQ411" s="57" t="n">
        <f aca="false">IF(BP411="LOSE",1,IF(N(T411)&gt;0,T411,IF(N(P411)&gt;0,P411,MAX(1,G411))))</f>
        <v>1</v>
      </c>
      <c r="BR411" s="60" t="n">
        <f aca="false">IF(BP411="LOSE",1,0)</f>
        <v>1</v>
      </c>
      <c r="BS411" s="59" t="n">
        <f aca="false">IF(BR411=0,0,IF(N(R411)&gt;0,R411,IFERROR(VLOOKUP(D411,Parameter!$A$35:$C$64,3,0)+0,0)))</f>
        <v>0.03</v>
      </c>
      <c r="BT411" s="55" t="n">
        <f aca="false">IF(Y411&lt;&gt;"",Y411,X411)</f>
        <v>2</v>
      </c>
      <c r="BU411" s="55" t="str">
        <f aca="false">IF(BT411=1,"L1",IF(OR(BT411=2,BT411=3),"L23",IF(BT411="Aussen","Aussen","-")))</f>
        <v>L23</v>
      </c>
      <c r="BV411" s="66" t="n">
        <f aca="false">IF(N(Z411)&gt;0,Z411,0)</f>
        <v>0</v>
      </c>
      <c r="BW411" s="60" t="n">
        <f aca="false">IF(ISNUMBER(AC411),1,0)</f>
        <v>0</v>
      </c>
      <c r="BX411" s="57" t="n">
        <f aca="false">N(AC411)</f>
        <v>0</v>
      </c>
      <c r="BY411" s="57" t="n">
        <f aca="false">N(L411)+N(M411)</f>
        <v>3</v>
      </c>
      <c r="BZ411" s="57" t="n">
        <f aca="false">ROUNDUP(G411/BQ411,0)</f>
        <v>3</v>
      </c>
      <c r="CA411" s="57" t="n">
        <f aca="false">ROUNDUP(BX411/BQ411,0)</f>
        <v>0</v>
      </c>
      <c r="CB411" s="60" t="n">
        <f aca="false">IF(BR411=1,0,IFERROR(VLOOKUP(BP411,'Gebinde-Kategorie'!$A$5:$M$45,5,0)+0,0))</f>
        <v>0</v>
      </c>
      <c r="CC411" s="60" t="n">
        <f aca="false">IFERROR(IF(OR(BT411=1,BT411=2,BT411=3),N(INDEX(Parameter!$I$5:$I$7,BT411)),0),0)</f>
        <v>0</v>
      </c>
      <c r="CD411" s="59" t="n">
        <f aca="false">IF(AND(Parameter!$B$21="Ja",ISNUMBER(U411),N(V411)&gt;0),IFERROR(N(INDEX(Parameter!$L$5:$L$7,U411))*INDEX(Parameter!$E$5:$E$7,U411)*V411/SUMIFS($V$7:$V$1576,$U$7:$U$1576,U411),0),0)</f>
        <v>0</v>
      </c>
    </row>
    <row r="412" customFormat="false" ht="15" hidden="false" customHeight="false" outlineLevel="0" collapsed="false">
      <c r="A412" s="55" t="s">
        <v>947</v>
      </c>
      <c r="B412" s="55" t="s">
        <v>938</v>
      </c>
      <c r="C412" s="55" t="s">
        <v>160</v>
      </c>
      <c r="D412" s="55" t="s">
        <v>178</v>
      </c>
      <c r="E412" s="55" t="s">
        <v>210</v>
      </c>
      <c r="F412" s="56" t="n">
        <v>0.19</v>
      </c>
      <c r="G412" s="57" t="n">
        <f aca="false">MAX(0,IF(AND(Parameter!$B$21="Ja",ISNUMBER(W412)),W412,IF(Parameter!$B$20="Jahresanfang 2025 + Export",BJ412+BI412,BI412)))</f>
        <v>517</v>
      </c>
      <c r="H412" s="57" t="n">
        <f aca="false">G412*F412</f>
        <v>98.23</v>
      </c>
      <c r="I412" s="57" t="n">
        <f aca="false">BL412*Parameter!$B$18</f>
        <v>740</v>
      </c>
      <c r="J412" s="58" t="n">
        <v>252.5</v>
      </c>
      <c r="K412" s="59" t="n">
        <v>2.93069306930693</v>
      </c>
      <c r="L412" s="57" t="n">
        <v>43</v>
      </c>
      <c r="M412" s="57" t="n">
        <v>800</v>
      </c>
      <c r="N412" s="60" t="n">
        <v>21</v>
      </c>
      <c r="O412" s="55" t="s">
        <v>411</v>
      </c>
      <c r="P412" s="57" t="n">
        <v>400</v>
      </c>
      <c r="Q412" s="60" t="n">
        <f aca="false">IF(BR412=1,0,IFERROR(VLOOKUP(BP412,'Gebinde-Kategorie'!$A$5:$M$45,13,0)+0,0))</f>
        <v>132</v>
      </c>
      <c r="R412" s="61"/>
      <c r="S412" s="62"/>
      <c r="T412" s="62"/>
      <c r="U412" s="55"/>
      <c r="V412" s="57"/>
      <c r="W412" s="57"/>
      <c r="X412" s="55" t="n">
        <f aca="false">IF(A412="","",IF(AND(Parameter!$B$21="Ja",ISNUMBER(U412)),U412,IF(IFERROR(VLOOKUP(D412,Parameter!$A$35:$C$64,2,0),"Nein")="2+3",IF(ISNUMBER(SEARCH("grosser Artikel",BM412)),2,IFERROR(VLOOKUP(BP412,Parameter!$F$35:$G$64,2,0),2)),IF(OR(IFERROR(VLOOKUP(D412,Parameter!$A$35:$C$64,2,0),"Nein")="Nein",IFERROR(VLOOKUP(D412,Parameter!$A$35:$C$64,2,0),"Nein")=""),"-",VLOOKUP(D412,Parameter!$A$35:$C$64,2,0)))))</f>
        <v>3</v>
      </c>
      <c r="Y412" s="62"/>
      <c r="Z412" s="63"/>
      <c r="AA412" s="57" t="n">
        <f aca="false">AP412</f>
        <v>1200</v>
      </c>
      <c r="AB412" s="57" t="n">
        <f aca="false">MAX(AP412,G412)</f>
        <v>1200</v>
      </c>
      <c r="AC412" s="64"/>
      <c r="AD412" s="57" t="n">
        <f aca="false">IF(LEFT(Cockpit!$C$5,1)="A",G412,IF(BW412=1,BX412,IF(LEFT(Cockpit!$C$5,1)="B",AH412,MAX(AH412,G412))))</f>
        <v>517</v>
      </c>
      <c r="AE412" s="57" t="n">
        <f aca="false">IF(BR412=1,0,ROUNDUP(AD412/BQ412,0))</f>
        <v>2</v>
      </c>
      <c r="AF412" s="59" t="n">
        <f aca="false">IF(CD412&gt;0,CD412*MAX(1,AD412/V412),IF(BR412=1,IF(AD412&lt;=0,0,BS412*MAX(1,IF(G412&gt;0,AD412/G412,1))),IF(Q412&gt;0,AE412/Q412,0))/MAX(0.1,N(Parameter!$M$21)))</f>
        <v>0.0151515151515152</v>
      </c>
      <c r="AG412" s="57" t="n">
        <f aca="false">AD412*F412</f>
        <v>98.23</v>
      </c>
      <c r="AH412" s="57" t="n">
        <f aca="false">ROUNDUP(MAX(I412/IF(BV412&gt;0,BV412,MAX(0.1,N(Cockpit!$C$6))),BY412)/BQ412,0)*BQ412</f>
        <v>1200</v>
      </c>
      <c r="AI412" s="58" t="n">
        <f aca="false">IF(AF412&gt;0,I412/AF412,-1)</f>
        <v>48840</v>
      </c>
      <c r="AJ412" s="58" t="n">
        <f aca="false">IF(AND(OR(BU412="L1",BU412="L23"),AF412&gt;0),SUMIFS($AF$7:$AF$1576,$BU$7:$BU$1576,BU412,$AI$7:$AI$1576,"&gt;"&amp;AI412)+SUMIFS($AF$7:$AF$1576,$BU$7:$BU$1576,BU412,$AI$7:$AI$1576,AI412,$BO$7:$BO$1576,"&lt;="&amp;BO412),"")</f>
        <v>0.812835715009628</v>
      </c>
      <c r="AK412" s="65" t="n">
        <f aca="false">IF(AJ412="",0,MAX(0,MIN(1,(IF(BU412="L1",Parameter!$E$5,Parameter!$E$6+Parameter!$E$7)-(AJ412-AF412))/AF412)))</f>
        <v>1</v>
      </c>
      <c r="AL412" s="57" t="n">
        <f aca="false">IF(LEFT(Cockpit!$I$5,1)="A",G412,IF(BW412=1,BX412,IF(LEFT(Cockpit!$I$5,1)="B",AP412,MAX(AP412,G412))))</f>
        <v>1200</v>
      </c>
      <c r="AM412" s="57" t="n">
        <f aca="false">IF(BR412=1,0,ROUNDUP(AL412/BQ412,0))</f>
        <v>3</v>
      </c>
      <c r="AN412" s="59" t="n">
        <f aca="false">IF(CD412&gt;0,CD412*MAX(1,AL412/V412),IF(BR412=1,IF(AL412&lt;=0,0,BS412*MAX(1,IF(G412&gt;0,AL412/G412,1))),IF(Q412&gt;0,AM412/Q412,0))/MAX(0.1,N(Parameter!$M$21)))</f>
        <v>0.0227272727272727</v>
      </c>
      <c r="AO412" s="57" t="n">
        <f aca="false">AL412*F412</f>
        <v>228</v>
      </c>
      <c r="AP412" s="57" t="n">
        <f aca="false">ROUNDUP(MAX(I412/IF(BV412&gt;0,BV412,MAX(0.1,N(Cockpit!$I$6))),BY412)/BQ412,0)*BQ412</f>
        <v>1200</v>
      </c>
      <c r="AQ412" s="58" t="n">
        <f aca="false">IF(AN412&gt;0,I412/AN412,-1)</f>
        <v>32560</v>
      </c>
      <c r="AR412" s="58" t="n">
        <f aca="false">IF(AND(OR(BU412="L1",BU412="L23"),AN412&gt;0),SUMIFS($AN$7:$AN$1576,$BU$7:$BU$1576,BU412,$AQ$7:$AQ$1576,"&gt;"&amp;AQ412)+SUMIFS($AN$7:$AN$1576,$BU$7:$BU$1576,BU412,$AQ$7:$AQ$1576,AQ412,$BO$7:$BO$1576,"&lt;="&amp;BO412),"")</f>
        <v>2.65057194013716</v>
      </c>
      <c r="AS412" s="65" t="n">
        <f aca="false">IF(AR412="",0,MAX(0,MIN(1,(IF(BU412="L1",Parameter!$E$5,Parameter!$E$6+Parameter!$E$7)-(AR412-AN412))/AN412)))</f>
        <v>1</v>
      </c>
      <c r="AT412" s="57" t="n">
        <f aca="false">IF(LEFT(Cockpit!$O$5,1)="A",G412,IF(BW412=1,BX412,IF(LEFT(Cockpit!$O$5,1)="B",AX412,MAX(AX412,G412))))</f>
        <v>1200</v>
      </c>
      <c r="AU412" s="57" t="n">
        <f aca="false">IF(BR412=1,0,ROUNDUP(AT412/BQ412,0))</f>
        <v>3</v>
      </c>
      <c r="AV412" s="59" t="n">
        <f aca="false">IF(CD412&gt;0,CD412*MAX(1,AT412/V412),IF(BR412=1,IF(AT412&lt;=0,0,BS412*MAX(1,IF(G412&gt;0,AT412/G412,1))),IF(Q412&gt;0,AU412/Q412,0))/MAX(0.1,N(Parameter!$M$21)))</f>
        <v>0.0227272727272727</v>
      </c>
      <c r="AW412" s="57" t="n">
        <f aca="false">AT412*F412</f>
        <v>228</v>
      </c>
      <c r="AX412" s="57" t="n">
        <f aca="false">ROUNDUP(MAX(I412/IF(BV412&gt;0,BV412,MAX(0.1,N(Cockpit!$O$6))),BY412)/BQ412,0)*BQ412</f>
        <v>1200</v>
      </c>
      <c r="AY412" s="58" t="n">
        <f aca="false">IF(AV412&gt;0,I412/AV412,-1)</f>
        <v>32560</v>
      </c>
      <c r="AZ412" s="58" t="n">
        <f aca="false">IF(AND(OR(BU412="L1",BU412="L23"),AV412&gt;0),SUMIFS($AV$7:$AV$1576,$BU$7:$BU$1576,BU412,$AY$7:$AY$1576,"&gt;"&amp;AY412)+SUMIFS($AV$7:$AV$1576,$BU$7:$BU$1576,BU412,$AY$7:$AY$1576,AY412,$BO$7:$BO$1576,"&lt;="&amp;BO412),"")</f>
        <v>2.45709874666396</v>
      </c>
      <c r="BA412" s="65" t="n">
        <f aca="false">IF(AZ412="",0,MAX(0,MIN(1,(IF(BU412="L1",Parameter!$E$5,Parameter!$E$6+Parameter!$E$7)-(AZ412-AV412))/AV412)))</f>
        <v>1</v>
      </c>
      <c r="BB412" s="55" t="str">
        <f aca="false">IF(AF412&lt;=0,"",IF(BU412="Aussen","Aussenlager",IF(BU412="-","Nicht im Lift",IF(AK412&gt;=1,"Lift",IF(AK412&lt;=0,"Aussenlager","teilweise")))))</f>
        <v>Lift</v>
      </c>
      <c r="BC412" s="55" t="str">
        <f aca="false">IF(AN412&lt;=0,"",IF(BU412="Aussen","Aussenlager",IF(BU412="-","Nicht im Lift",IF(AS412&gt;=1,"Lift",IF(AS412&lt;=0,"Aussenlager","teilweise")))))</f>
        <v>Lift</v>
      </c>
      <c r="BD412" s="55" t="str">
        <f aca="false">IF(AV412&lt;=0,"",IF(BU412="Aussen","Aussenlager",IF(BU412="-","Nicht im Lift",IF(BA412&gt;=1,"Lift",IF(BA412&lt;=0,"Aussenlager","teilweise")))))</f>
        <v>Lift</v>
      </c>
      <c r="BE412" s="55" t="str">
        <f aca="false">IF(A412="","",IF(BN412=1,"Neu; ","")&amp;IF(AND(BN412=0,BI412&lt;0),"negativer Bestand (Export "&amp;BI412&amp;"); ","")&amp;IF(I412&lt;=0,"Kein Verbrauch; ","")&amp;IF(CD412&gt;0,"Lift "&amp;U412&amp;" lt. Liftbericht (Fach "&amp;V412&amp;" Stk); ",IF(BR412=1,"Lose – Fläche geschätzt; ",""))&amp;IF(G412&gt;AP412,"Überbestand "&amp;ROUND(G412-AP412,0)&amp;" Stk / CHF "&amp;ROUND((G412-AP412)*F412,0)&amp;"; ","")&amp;IF(AND(BW412=1,BX412&lt;BY412),"MAX &lt; MB+LG; ","")&amp;IF(AND(CC412&gt;0,CB412*10&gt;CC412),"zu hoch für Tablar; ","")&amp;IF(AND(BN412=0,OR(BW412=1,Y412&lt;&gt;"",S412&lt;&gt;"",T412&lt;&gt;"",Z412&lt;&gt;"")),"manuell übersteuert; ","")&amp;IF(AND(BR412=0,Q412=0),"Gebinde unbekannt / Stellmass fehlt; ","")&amp;IF(AND(BR412=0,N(T412)&lt;=0,N(P412)&lt;=0),"Menge pro Gebinde fehlt (Ist = 1 Gebinde); ","")&amp;BM412)</f>
        <v/>
      </c>
      <c r="BF412" s="55"/>
      <c r="BG412" s="55"/>
      <c r="BH412" s="62"/>
      <c r="BI412" s="57" t="n">
        <v>517</v>
      </c>
      <c r="BJ412" s="57" t="n">
        <v>230</v>
      </c>
      <c r="BK412" s="56" t="n">
        <v>100.53</v>
      </c>
      <c r="BL412" s="57" t="n">
        <v>740</v>
      </c>
      <c r="BM412" s="55"/>
      <c r="BN412" s="60" t="n">
        <v>0</v>
      </c>
      <c r="BO412" s="60" t="n">
        <v>412</v>
      </c>
      <c r="BP412" s="55" t="str">
        <f aca="false">IF(S412&lt;&gt;"",UPPER(TRIM(S412)),IF(O412="","LOSE",O412))</f>
        <v>S32</v>
      </c>
      <c r="BQ412" s="57" t="n">
        <f aca="false">IF(BP412="LOSE",1,IF(N(T412)&gt;0,T412,IF(N(P412)&gt;0,P412,MAX(1,G412))))</f>
        <v>400</v>
      </c>
      <c r="BR412" s="60" t="n">
        <f aca="false">IF(BP412="LOSE",1,0)</f>
        <v>0</v>
      </c>
      <c r="BS412" s="59" t="n">
        <f aca="false">IF(BR412=0,0,IF(N(R412)&gt;0,R412,IFERROR(VLOOKUP(D412,Parameter!$A$35:$C$64,3,0)+0,0)))</f>
        <v>0</v>
      </c>
      <c r="BT412" s="55" t="n">
        <f aca="false">IF(Y412&lt;&gt;"",Y412,X412)</f>
        <v>3</v>
      </c>
      <c r="BU412" s="55" t="str">
        <f aca="false">IF(BT412=1,"L1",IF(OR(BT412=2,BT412=3),"L23",IF(BT412="Aussen","Aussen","-")))</f>
        <v>L23</v>
      </c>
      <c r="BV412" s="66" t="n">
        <f aca="false">IF(N(Z412)&gt;0,Z412,0)</f>
        <v>0</v>
      </c>
      <c r="BW412" s="60" t="n">
        <f aca="false">IF(ISNUMBER(AC412),1,0)</f>
        <v>0</v>
      </c>
      <c r="BX412" s="57" t="n">
        <f aca="false">N(AC412)</f>
        <v>0</v>
      </c>
      <c r="BY412" s="57" t="n">
        <f aca="false">N(L412)+N(M412)</f>
        <v>843</v>
      </c>
      <c r="BZ412" s="57" t="n">
        <f aca="false">ROUNDUP(G412/BQ412,0)</f>
        <v>2</v>
      </c>
      <c r="CA412" s="57" t="n">
        <f aca="false">ROUNDUP(BX412/BQ412,0)</f>
        <v>0</v>
      </c>
      <c r="CB412" s="60" t="n">
        <f aca="false">IF(BR412=1,0,IFERROR(VLOOKUP(BP412,'Gebinde-Kategorie'!$A$5:$M$45,5,0)+0,0))</f>
        <v>8</v>
      </c>
      <c r="CC412" s="60" t="n">
        <f aca="false">IFERROR(IF(OR(BT412=1,BT412=2,BT412=3),N(INDEX(Parameter!$I$5:$I$7,BT412)),0),0)</f>
        <v>0</v>
      </c>
      <c r="CD412" s="59" t="n">
        <f aca="false">IF(AND(Parameter!$B$21="Ja",ISNUMBER(U412),N(V412)&gt;0),IFERROR(N(INDEX(Parameter!$L$5:$L$7,U412))*INDEX(Parameter!$E$5:$E$7,U412)*V412/SUMIFS($V$7:$V$1576,$U$7:$U$1576,U412),0),0)</f>
        <v>0</v>
      </c>
    </row>
    <row r="413" customFormat="false" ht="15" hidden="false" customHeight="false" outlineLevel="0" collapsed="false">
      <c r="A413" s="55" t="s">
        <v>948</v>
      </c>
      <c r="B413" s="55" t="s">
        <v>496</v>
      </c>
      <c r="C413" s="55" t="s">
        <v>160</v>
      </c>
      <c r="D413" s="55" t="s">
        <v>178</v>
      </c>
      <c r="E413" s="55" t="s">
        <v>210</v>
      </c>
      <c r="F413" s="56" t="n">
        <v>2.79</v>
      </c>
      <c r="G413" s="57" t="n">
        <f aca="false">MAX(0,IF(AND(Parameter!$B$21="Ja",ISNUMBER(W413)),W413,IF(Parameter!$B$20="Jahresanfang 2025 + Export",BJ413+BI413,BI413)))</f>
        <v>39</v>
      </c>
      <c r="H413" s="57" t="n">
        <f aca="false">G413*F413</f>
        <v>108.81</v>
      </c>
      <c r="I413" s="57" t="n">
        <f aca="false">BL413*Parameter!$B$18</f>
        <v>30</v>
      </c>
      <c r="J413" s="58" t="n">
        <v>29</v>
      </c>
      <c r="K413" s="59" t="n">
        <v>1.03448275862069</v>
      </c>
      <c r="L413" s="57" t="n">
        <v>1</v>
      </c>
      <c r="M413" s="57" t="n">
        <v>30</v>
      </c>
      <c r="N413" s="60" t="n">
        <v>14</v>
      </c>
      <c r="O413" s="55" t="s">
        <v>465</v>
      </c>
      <c r="P413" s="57" t="n">
        <v>28</v>
      </c>
      <c r="Q413" s="60" t="n">
        <f aca="false">IF(BR413=1,0,IFERROR(VLOOKUP(BP413,'Gebinde-Kategorie'!$A$5:$M$45,13,0)+0,0))</f>
        <v>66</v>
      </c>
      <c r="R413" s="61"/>
      <c r="S413" s="62"/>
      <c r="T413" s="62"/>
      <c r="U413" s="55"/>
      <c r="V413" s="57"/>
      <c r="W413" s="57"/>
      <c r="X413" s="55" t="n">
        <f aca="false">IF(A413="","",IF(AND(Parameter!$B$21="Ja",ISNUMBER(U413)),U413,IF(IFERROR(VLOOKUP(D413,Parameter!$A$35:$C$64,2,0),"Nein")="2+3",IF(ISNUMBER(SEARCH("grosser Artikel",BM413)),2,IFERROR(VLOOKUP(BP413,Parameter!$F$35:$G$64,2,0),2)),IF(OR(IFERROR(VLOOKUP(D413,Parameter!$A$35:$C$64,2,0),"Nein")="Nein",IFERROR(VLOOKUP(D413,Parameter!$A$35:$C$64,2,0),"Nein")=""),"-",VLOOKUP(D413,Parameter!$A$35:$C$64,2,0)))))</f>
        <v>3</v>
      </c>
      <c r="Y413" s="62"/>
      <c r="Z413" s="63"/>
      <c r="AA413" s="57" t="n">
        <f aca="false">AP413</f>
        <v>56</v>
      </c>
      <c r="AB413" s="57" t="n">
        <f aca="false">MAX(AP413,G413)</f>
        <v>56</v>
      </c>
      <c r="AC413" s="64"/>
      <c r="AD413" s="57" t="n">
        <f aca="false">IF(LEFT(Cockpit!$C$5,1)="A",G413,IF(BW413=1,BX413,IF(LEFT(Cockpit!$C$5,1)="B",AH413,MAX(AH413,G413))))</f>
        <v>39</v>
      </c>
      <c r="AE413" s="57" t="n">
        <f aca="false">IF(BR413=1,0,ROUNDUP(AD413/BQ413,0))</f>
        <v>2</v>
      </c>
      <c r="AF413" s="59" t="n">
        <f aca="false">IF(CD413&gt;0,CD413*MAX(1,AD413/V413),IF(BR413=1,IF(AD413&lt;=0,0,BS413*MAX(1,IF(G413&gt;0,AD413/G413,1))),IF(Q413&gt;0,AE413/Q413,0))/MAX(0.1,N(Parameter!$M$21)))</f>
        <v>0.0303030303030303</v>
      </c>
      <c r="AG413" s="57" t="n">
        <f aca="false">AD413*F413</f>
        <v>108.81</v>
      </c>
      <c r="AH413" s="57" t="n">
        <f aca="false">ROUNDUP(MAX(I413/IF(BV413&gt;0,BV413,MAX(0.1,N(Cockpit!$C$6))),BY413)/BQ413,0)*BQ413</f>
        <v>56</v>
      </c>
      <c r="AI413" s="58" t="n">
        <f aca="false">IF(AF413&gt;0,I413/AF413,-1)</f>
        <v>990</v>
      </c>
      <c r="AJ413" s="58" t="n">
        <f aca="false">IF(AND(OR(BU413="L1",BU413="L23"),AF413&gt;0),SUMIFS($AF$7:$AF$1576,$BU$7:$BU$1576,BU413,$AI$7:$AI$1576,"&gt;"&amp;AI413)+SUMIFS($AF$7:$AF$1576,$BU$7:$BU$1576,BU413,$AI$7:$AI$1576,AI413,$BO$7:$BO$1576,"&lt;="&amp;BO413),"")</f>
        <v>9.40216175129219</v>
      </c>
      <c r="AK413" s="65" t="n">
        <f aca="false">IF(AJ413="",0,MAX(0,MIN(1,(IF(BU413="L1",Parameter!$E$5,Parameter!$E$6+Parameter!$E$7)-(AJ413-AF413))/AF413)))</f>
        <v>1</v>
      </c>
      <c r="AL413" s="57" t="n">
        <f aca="false">IF(LEFT(Cockpit!$I$5,1)="A",G413,IF(BW413=1,BX413,IF(LEFT(Cockpit!$I$5,1)="B",AP413,MAX(AP413,G413))))</f>
        <v>56</v>
      </c>
      <c r="AM413" s="57" t="n">
        <f aca="false">IF(BR413=1,0,ROUNDUP(AL413/BQ413,0))</f>
        <v>2</v>
      </c>
      <c r="AN413" s="59" t="n">
        <f aca="false">IF(CD413&gt;0,CD413*MAX(1,AL413/V413),IF(BR413=1,IF(AL413&lt;=0,0,BS413*MAX(1,IF(G413&gt;0,AL413/G413,1))),IF(Q413&gt;0,AM413/Q413,0))/MAX(0.1,N(Parameter!$M$21)))</f>
        <v>0.0303030303030303</v>
      </c>
      <c r="AO413" s="57" t="n">
        <f aca="false">AL413*F413</f>
        <v>156.24</v>
      </c>
      <c r="AP413" s="57" t="n">
        <f aca="false">ROUNDUP(MAX(I413/IF(BV413&gt;0,BV413,MAX(0.1,N(Cockpit!$I$6))),BY413)/BQ413,0)*BQ413</f>
        <v>56</v>
      </c>
      <c r="AQ413" s="58" t="n">
        <f aca="false">IF(AN413&gt;0,I413/AN413,-1)</f>
        <v>990</v>
      </c>
      <c r="AR413" s="58" t="n">
        <f aca="false">IF(AND(OR(BU413="L1",BU413="L23"),AN413&gt;0),SUMIFS($AN$7:$AN$1576,$BU$7:$BU$1576,BU413,$AQ$7:$AQ$1576,"&gt;"&amp;AQ413)+SUMIFS($AN$7:$AN$1576,$BU$7:$BU$1576,BU413,$AQ$7:$AQ$1576,AQ413,$BO$7:$BO$1576,"&lt;="&amp;BO413),"")</f>
        <v>22.9208999337372</v>
      </c>
      <c r="AS413" s="65" t="n">
        <f aca="false">IF(AR413="",0,MAX(0,MIN(1,(IF(BU413="L1",Parameter!$E$5,Parameter!$E$6+Parameter!$E$7)-(AR413-AN413))/AN413)))</f>
        <v>1</v>
      </c>
      <c r="AT413" s="57" t="n">
        <f aca="false">IF(LEFT(Cockpit!$O$5,1)="A",G413,IF(BW413=1,BX413,IF(LEFT(Cockpit!$O$5,1)="B",AX413,MAX(AX413,G413))))</f>
        <v>56</v>
      </c>
      <c r="AU413" s="57" t="n">
        <f aca="false">IF(BR413=1,0,ROUNDUP(AT413/BQ413,0))</f>
        <v>2</v>
      </c>
      <c r="AV413" s="59" t="n">
        <f aca="false">IF(CD413&gt;0,CD413*MAX(1,AT413/V413),IF(BR413=1,IF(AT413&lt;=0,0,BS413*MAX(1,IF(G413&gt;0,AT413/G413,1))),IF(Q413&gt;0,AU413/Q413,0))/MAX(0.1,N(Parameter!$M$21)))</f>
        <v>0.0303030303030303</v>
      </c>
      <c r="AW413" s="57" t="n">
        <f aca="false">AT413*F413</f>
        <v>156.24</v>
      </c>
      <c r="AX413" s="57" t="n">
        <f aca="false">ROUNDUP(MAX(I413/IF(BV413&gt;0,BV413,MAX(0.1,N(Cockpit!$O$6))),BY413)/BQ413,0)*BQ413</f>
        <v>56</v>
      </c>
      <c r="AY413" s="58" t="n">
        <f aca="false">IF(AV413&gt;0,I413/AV413,-1)</f>
        <v>990</v>
      </c>
      <c r="AZ413" s="58" t="n">
        <f aca="false">IF(AND(OR(BU413="L1",BU413="L23"),AV413&gt;0),SUMIFS($AV$7:$AV$1576,$BU$7:$BU$1576,BU413,$AY$7:$AY$1576,"&gt;"&amp;AY413)+SUMIFS($AV$7:$AV$1576,$BU$7:$BU$1576,BU413,$AY$7:$AY$1576,AY413,$BO$7:$BO$1576,"&lt;="&amp;BO413),"")</f>
        <v>22.1545829174202</v>
      </c>
      <c r="BA413" s="65" t="n">
        <f aca="false">IF(AZ413="",0,MAX(0,MIN(1,(IF(BU413="L1",Parameter!$E$5,Parameter!$E$6+Parameter!$E$7)-(AZ413-AV413))/AV413)))</f>
        <v>1</v>
      </c>
      <c r="BB413" s="55" t="str">
        <f aca="false">IF(AF413&lt;=0,"",IF(BU413="Aussen","Aussenlager",IF(BU413="-","Nicht im Lift",IF(AK413&gt;=1,"Lift",IF(AK413&lt;=0,"Aussenlager","teilweise")))))</f>
        <v>Lift</v>
      </c>
      <c r="BC413" s="55" t="str">
        <f aca="false">IF(AN413&lt;=0,"",IF(BU413="Aussen","Aussenlager",IF(BU413="-","Nicht im Lift",IF(AS413&gt;=1,"Lift",IF(AS413&lt;=0,"Aussenlager","teilweise")))))</f>
        <v>Lift</v>
      </c>
      <c r="BD413" s="55" t="str">
        <f aca="false">IF(AV413&lt;=0,"",IF(BU413="Aussen","Aussenlager",IF(BU413="-","Nicht im Lift",IF(BA413&gt;=1,"Lift",IF(BA413&lt;=0,"Aussenlager","teilweise")))))</f>
        <v>Lift</v>
      </c>
      <c r="BE413" s="55" t="str">
        <f aca="false">IF(A413="","",IF(BN413=1,"Neu; ","")&amp;IF(AND(BN413=0,BI413&lt;0),"negativer Bestand (Export "&amp;BI413&amp;"); ","")&amp;IF(I413&lt;=0,"Kein Verbrauch; ","")&amp;IF(CD413&gt;0,"Lift "&amp;U413&amp;" lt. Liftbericht (Fach "&amp;V413&amp;" Stk); ",IF(BR413=1,"Lose – Fläche geschätzt; ",""))&amp;IF(G413&gt;AP413,"Überbestand "&amp;ROUND(G413-AP413,0)&amp;" Stk / CHF "&amp;ROUND((G413-AP413)*F413,0)&amp;"; ","")&amp;IF(AND(BW413=1,BX413&lt;BY413),"MAX &lt; MB+LG; ","")&amp;IF(AND(CC413&gt;0,CB413*10&gt;CC413),"zu hoch für Tablar; ","")&amp;IF(AND(BN413=0,OR(BW413=1,Y413&lt;&gt;"",S413&lt;&gt;"",T413&lt;&gt;"",Z413&lt;&gt;"")),"manuell übersteuert; ","")&amp;IF(AND(BR413=0,Q413=0),"Gebinde unbekannt / Stellmass fehlt; ","")&amp;IF(AND(BR413=0,N(T413)&lt;=0,N(P413)&lt;=0),"Menge pro Gebinde fehlt (Ist = 1 Gebinde); ","")&amp;BM413)</f>
        <v/>
      </c>
      <c r="BF413" s="55"/>
      <c r="BG413" s="55"/>
      <c r="BH413" s="62"/>
      <c r="BI413" s="57" t="n">
        <v>39</v>
      </c>
      <c r="BJ413" s="57" t="n">
        <v>38</v>
      </c>
      <c r="BK413" s="56" t="n">
        <v>100.06</v>
      </c>
      <c r="BL413" s="57" t="n">
        <v>30</v>
      </c>
      <c r="BM413" s="55"/>
      <c r="BN413" s="60" t="n">
        <v>0</v>
      </c>
      <c r="BO413" s="60" t="n">
        <v>413</v>
      </c>
      <c r="BP413" s="55" t="str">
        <f aca="false">IF(S413&lt;&gt;"",UPPER(TRIM(S413)),IF(O413="","LOSE",O413))</f>
        <v>S33</v>
      </c>
      <c r="BQ413" s="57" t="n">
        <f aca="false">IF(BP413="LOSE",1,IF(N(T413)&gt;0,T413,IF(N(P413)&gt;0,P413,MAX(1,G413))))</f>
        <v>28</v>
      </c>
      <c r="BR413" s="60" t="n">
        <f aca="false">IF(BP413="LOSE",1,0)</f>
        <v>0</v>
      </c>
      <c r="BS413" s="59" t="n">
        <f aca="false">IF(BR413=0,0,IF(N(R413)&gt;0,R413,IFERROR(VLOOKUP(D413,Parameter!$A$35:$C$64,3,0)+0,0)))</f>
        <v>0</v>
      </c>
      <c r="BT413" s="55" t="n">
        <f aca="false">IF(Y413&lt;&gt;"",Y413,X413)</f>
        <v>3</v>
      </c>
      <c r="BU413" s="55" t="str">
        <f aca="false">IF(BT413=1,"L1",IF(OR(BT413=2,BT413=3),"L23",IF(BT413="Aussen","Aussen","-")))</f>
        <v>L23</v>
      </c>
      <c r="BV413" s="66" t="n">
        <f aca="false">IF(N(Z413)&gt;0,Z413,0)</f>
        <v>0</v>
      </c>
      <c r="BW413" s="60" t="n">
        <f aca="false">IF(ISNUMBER(AC413),1,0)</f>
        <v>0</v>
      </c>
      <c r="BX413" s="57" t="n">
        <f aca="false">N(AC413)</f>
        <v>0</v>
      </c>
      <c r="BY413" s="57" t="n">
        <f aca="false">N(L413)+N(M413)</f>
        <v>31</v>
      </c>
      <c r="BZ413" s="57" t="n">
        <f aca="false">ROUNDUP(G413/BQ413,0)</f>
        <v>2</v>
      </c>
      <c r="CA413" s="57" t="n">
        <f aca="false">ROUNDUP(BX413/BQ413,0)</f>
        <v>0</v>
      </c>
      <c r="CB413" s="60" t="n">
        <f aca="false">IF(BR413=1,0,IFERROR(VLOOKUP(BP413,'Gebinde-Kategorie'!$A$5:$M$45,5,0)+0,0))</f>
        <v>8</v>
      </c>
      <c r="CC413" s="60" t="n">
        <f aca="false">IFERROR(IF(OR(BT413=1,BT413=2,BT413=3),N(INDEX(Parameter!$I$5:$I$7,BT413)),0),0)</f>
        <v>0</v>
      </c>
      <c r="CD413" s="59" t="n">
        <f aca="false">IF(AND(Parameter!$B$21="Ja",ISNUMBER(U413),N(V413)&gt;0),IFERROR(N(INDEX(Parameter!$L$5:$L$7,U413))*INDEX(Parameter!$E$5:$E$7,U413)*V413/SUMIFS($V$7:$V$1576,$U$7:$U$1576,U413),0),0)</f>
        <v>0</v>
      </c>
    </row>
    <row r="414" customFormat="false" ht="15" hidden="false" customHeight="false" outlineLevel="0" collapsed="false">
      <c r="A414" s="55" t="s">
        <v>949</v>
      </c>
      <c r="B414" s="55" t="s">
        <v>936</v>
      </c>
      <c r="C414" s="55" t="s">
        <v>160</v>
      </c>
      <c r="D414" s="55" t="s">
        <v>178</v>
      </c>
      <c r="E414" s="55" t="s">
        <v>210</v>
      </c>
      <c r="F414" s="56" t="n">
        <v>3.21</v>
      </c>
      <c r="G414" s="57" t="n">
        <f aca="false">MAX(0,IF(AND(Parameter!$B$21="Ja",ISNUMBER(W414)),W414,IF(Parameter!$B$20="Jahresanfang 2025 + Export",BJ414+BI414,BI414)))</f>
        <v>30</v>
      </c>
      <c r="H414" s="57" t="n">
        <f aca="false">G414*F414</f>
        <v>96.3</v>
      </c>
      <c r="I414" s="57" t="n">
        <f aca="false">BL414*Parameter!$B$18</f>
        <v>162</v>
      </c>
      <c r="J414" s="58" t="n">
        <v>52.5</v>
      </c>
      <c r="K414" s="59" t="n">
        <v>3.08571428571429</v>
      </c>
      <c r="L414" s="57" t="n">
        <v>9</v>
      </c>
      <c r="M414" s="57" t="n">
        <v>160</v>
      </c>
      <c r="N414" s="60" t="n">
        <v>21</v>
      </c>
      <c r="O414" s="55" t="s">
        <v>411</v>
      </c>
      <c r="P414" s="57" t="n">
        <v>56</v>
      </c>
      <c r="Q414" s="60" t="n">
        <f aca="false">IF(BR414=1,0,IFERROR(VLOOKUP(BP414,'Gebinde-Kategorie'!$A$5:$M$45,13,0)+0,0))</f>
        <v>132</v>
      </c>
      <c r="R414" s="61"/>
      <c r="S414" s="62"/>
      <c r="T414" s="62"/>
      <c r="U414" s="55"/>
      <c r="V414" s="57"/>
      <c r="W414" s="57"/>
      <c r="X414" s="55" t="n">
        <f aca="false">IF(A414="","",IF(AND(Parameter!$B$21="Ja",ISNUMBER(U414)),U414,IF(IFERROR(VLOOKUP(D414,Parameter!$A$35:$C$64,2,0),"Nein")="2+3",IF(ISNUMBER(SEARCH("grosser Artikel",BM414)),2,IFERROR(VLOOKUP(BP414,Parameter!$F$35:$G$64,2,0),2)),IF(OR(IFERROR(VLOOKUP(D414,Parameter!$A$35:$C$64,2,0),"Nein")="Nein",IFERROR(VLOOKUP(D414,Parameter!$A$35:$C$64,2,0),"Nein")=""),"-",VLOOKUP(D414,Parameter!$A$35:$C$64,2,0)))))</f>
        <v>3</v>
      </c>
      <c r="Y414" s="62"/>
      <c r="Z414" s="63"/>
      <c r="AA414" s="57" t="n">
        <f aca="false">AP414</f>
        <v>224</v>
      </c>
      <c r="AB414" s="57" t="n">
        <f aca="false">MAX(AP414,G414)</f>
        <v>224</v>
      </c>
      <c r="AC414" s="64"/>
      <c r="AD414" s="57" t="n">
        <f aca="false">IF(LEFT(Cockpit!$C$5,1)="A",G414,IF(BW414=1,BX414,IF(LEFT(Cockpit!$C$5,1)="B",AH414,MAX(AH414,G414))))</f>
        <v>30</v>
      </c>
      <c r="AE414" s="57" t="n">
        <f aca="false">IF(BR414=1,0,ROUNDUP(AD414/BQ414,0))</f>
        <v>1</v>
      </c>
      <c r="AF414" s="59" t="n">
        <f aca="false">IF(CD414&gt;0,CD414*MAX(1,AD414/V414),IF(BR414=1,IF(AD414&lt;=0,0,BS414*MAX(1,IF(G414&gt;0,AD414/G414,1))),IF(Q414&gt;0,AE414/Q414,0))/MAX(0.1,N(Parameter!$M$21)))</f>
        <v>0.00757575757575758</v>
      </c>
      <c r="AG414" s="57" t="n">
        <f aca="false">AD414*F414</f>
        <v>96.3</v>
      </c>
      <c r="AH414" s="57" t="n">
        <f aca="false">ROUNDUP(MAX(I414/IF(BV414&gt;0,BV414,MAX(0.1,N(Cockpit!$C$6))),BY414)/BQ414,0)*BQ414</f>
        <v>224</v>
      </c>
      <c r="AI414" s="58" t="n">
        <f aca="false">IF(AF414&gt;0,I414/AF414,-1)</f>
        <v>21384</v>
      </c>
      <c r="AJ414" s="58" t="n">
        <f aca="false">IF(AND(OR(BU414="L1",BU414="L23"),AF414&gt;0),SUMIFS($AF$7:$AF$1576,$BU$7:$BU$1576,BU414,$AI$7:$AI$1576,"&gt;"&amp;AI414)+SUMIFS($AF$7:$AF$1576,$BU$7:$BU$1576,BU414,$AI$7:$AI$1576,AI414,$BO$7:$BO$1576,"&lt;="&amp;BO414),"")</f>
        <v>1.75450998277085</v>
      </c>
      <c r="AK414" s="65" t="n">
        <f aca="false">IF(AJ414="",0,MAX(0,MIN(1,(IF(BU414="L1",Parameter!$E$5,Parameter!$E$6+Parameter!$E$7)-(AJ414-AF414))/AF414)))</f>
        <v>1</v>
      </c>
      <c r="AL414" s="57" t="n">
        <f aca="false">IF(LEFT(Cockpit!$I$5,1)="A",G414,IF(BW414=1,BX414,IF(LEFT(Cockpit!$I$5,1)="B",AP414,MAX(AP414,G414))))</f>
        <v>224</v>
      </c>
      <c r="AM414" s="57" t="n">
        <f aca="false">IF(BR414=1,0,ROUNDUP(AL414/BQ414,0))</f>
        <v>4</v>
      </c>
      <c r="AN414" s="59" t="n">
        <f aca="false">IF(CD414&gt;0,CD414*MAX(1,AL414/V414),IF(BR414=1,IF(AL414&lt;=0,0,BS414*MAX(1,IF(G414&gt;0,AL414/G414,1))),IF(Q414&gt;0,AM414/Q414,0))/MAX(0.1,N(Parameter!$M$21)))</f>
        <v>0.0303030303030303</v>
      </c>
      <c r="AO414" s="57" t="n">
        <f aca="false">AL414*F414</f>
        <v>719.04</v>
      </c>
      <c r="AP414" s="57" t="n">
        <f aca="false">ROUNDUP(MAX(I414/IF(BV414&gt;0,BV414,MAX(0.1,N(Cockpit!$I$6))),BY414)/BQ414,0)*BQ414</f>
        <v>224</v>
      </c>
      <c r="AQ414" s="58" t="n">
        <f aca="false">IF(AN414&gt;0,I414/AN414,-1)</f>
        <v>5346</v>
      </c>
      <c r="AR414" s="58" t="n">
        <f aca="false">IF(AND(OR(BU414="L1",BU414="L23"),AN414&gt;0),SUMIFS($AN$7:$AN$1576,$BU$7:$BU$1576,BU414,$AQ$7:$AQ$1576,"&gt;"&amp;AQ414)+SUMIFS($AN$7:$AN$1576,$BU$7:$BU$1576,BU414,$AQ$7:$AQ$1576,AQ414,$BO$7:$BO$1576,"&lt;="&amp;BO414),"")</f>
        <v>11.1249406878146</v>
      </c>
      <c r="AS414" s="65" t="n">
        <f aca="false">IF(AR414="",0,MAX(0,MIN(1,(IF(BU414="L1",Parameter!$E$5,Parameter!$E$6+Parameter!$E$7)-(AR414-AN414))/AN414)))</f>
        <v>1</v>
      </c>
      <c r="AT414" s="57" t="n">
        <f aca="false">IF(LEFT(Cockpit!$O$5,1)="A",G414,IF(BW414=1,BX414,IF(LEFT(Cockpit!$O$5,1)="B",AX414,MAX(AX414,G414))))</f>
        <v>224</v>
      </c>
      <c r="AU414" s="57" t="n">
        <f aca="false">IF(BR414=1,0,ROUNDUP(AT414/BQ414,0))</f>
        <v>4</v>
      </c>
      <c r="AV414" s="59" t="n">
        <f aca="false">IF(CD414&gt;0,CD414*MAX(1,AT414/V414),IF(BR414=1,IF(AT414&lt;=0,0,BS414*MAX(1,IF(G414&gt;0,AT414/G414,1))),IF(Q414&gt;0,AU414/Q414,0))/MAX(0.1,N(Parameter!$M$21)))</f>
        <v>0.0303030303030303</v>
      </c>
      <c r="AW414" s="57" t="n">
        <f aca="false">AT414*F414</f>
        <v>719.04</v>
      </c>
      <c r="AX414" s="57" t="n">
        <f aca="false">ROUNDUP(MAX(I414/IF(BV414&gt;0,BV414,MAX(0.1,N(Cockpit!$O$6))),BY414)/BQ414,0)*BQ414</f>
        <v>224</v>
      </c>
      <c r="AY414" s="58" t="n">
        <f aca="false">IF(AV414&gt;0,I414/AV414,-1)</f>
        <v>5346</v>
      </c>
      <c r="AZ414" s="58" t="n">
        <f aca="false">IF(AND(OR(BU414="L1",BU414="L23"),AV414&gt;0),SUMIFS($AV$7:$AV$1576,$BU$7:$BU$1576,BU414,$AY$7:$AY$1576,"&gt;"&amp;AY414)+SUMIFS($AV$7:$AV$1576,$BU$7:$BU$1576,BU414,$AY$7:$AY$1576,AY414,$BO$7:$BO$1576,"&lt;="&amp;BO414),"")</f>
        <v>10.3458031586771</v>
      </c>
      <c r="BA414" s="65" t="n">
        <f aca="false">IF(AZ414="",0,MAX(0,MIN(1,(IF(BU414="L1",Parameter!$E$5,Parameter!$E$6+Parameter!$E$7)-(AZ414-AV414))/AV414)))</f>
        <v>1</v>
      </c>
      <c r="BB414" s="55" t="str">
        <f aca="false">IF(AF414&lt;=0,"",IF(BU414="Aussen","Aussenlager",IF(BU414="-","Nicht im Lift",IF(AK414&gt;=1,"Lift",IF(AK414&lt;=0,"Aussenlager","teilweise")))))</f>
        <v>Lift</v>
      </c>
      <c r="BC414" s="55" t="str">
        <f aca="false">IF(AN414&lt;=0,"",IF(BU414="Aussen","Aussenlager",IF(BU414="-","Nicht im Lift",IF(AS414&gt;=1,"Lift",IF(AS414&lt;=0,"Aussenlager","teilweise")))))</f>
        <v>Lift</v>
      </c>
      <c r="BD414" s="55" t="str">
        <f aca="false">IF(AV414&lt;=0,"",IF(BU414="Aussen","Aussenlager",IF(BU414="-","Nicht im Lift",IF(BA414&gt;=1,"Lift",IF(BA414&lt;=0,"Aussenlager","teilweise")))))</f>
        <v>Lift</v>
      </c>
      <c r="BE414" s="55" t="str">
        <f aca="false">IF(A414="","",IF(BN414=1,"Neu; ","")&amp;IF(AND(BN414=0,BI414&lt;0),"negativer Bestand (Export "&amp;BI414&amp;"); ","")&amp;IF(I414&lt;=0,"Kein Verbrauch; ","")&amp;IF(CD414&gt;0,"Lift "&amp;U414&amp;" lt. Liftbericht (Fach "&amp;V414&amp;" Stk); ",IF(BR414=1,"Lose – Fläche geschätzt; ",""))&amp;IF(G414&gt;AP414,"Überbestand "&amp;ROUND(G414-AP414,0)&amp;" Stk / CHF "&amp;ROUND((G414-AP414)*F414,0)&amp;"; ","")&amp;IF(AND(BW414=1,BX414&lt;BY414),"MAX &lt; MB+LG; ","")&amp;IF(AND(CC414&gt;0,CB414*10&gt;CC414),"zu hoch für Tablar; ","")&amp;IF(AND(BN414=0,OR(BW414=1,Y414&lt;&gt;"",S414&lt;&gt;"",T414&lt;&gt;"",Z414&lt;&gt;"")),"manuell übersteuert; ","")&amp;IF(AND(BR414=0,Q414=0),"Gebinde unbekannt / Stellmass fehlt; ","")&amp;IF(AND(BR414=0,N(T414)&lt;=0,N(P414)&lt;=0),"Menge pro Gebinde fehlt (Ist = 1 Gebinde); ","")&amp;BM414)</f>
        <v/>
      </c>
      <c r="BF414" s="55"/>
      <c r="BG414" s="55"/>
      <c r="BH414" s="62"/>
      <c r="BI414" s="57" t="n">
        <v>30</v>
      </c>
      <c r="BJ414" s="57" t="n">
        <v>32</v>
      </c>
      <c r="BK414" s="56" t="n">
        <v>98.5399999999998</v>
      </c>
      <c r="BL414" s="57" t="n">
        <v>162</v>
      </c>
      <c r="BM414" s="55"/>
      <c r="BN414" s="60" t="n">
        <v>0</v>
      </c>
      <c r="BO414" s="60" t="n">
        <v>414</v>
      </c>
      <c r="BP414" s="55" t="str">
        <f aca="false">IF(S414&lt;&gt;"",UPPER(TRIM(S414)),IF(O414="","LOSE",O414))</f>
        <v>S32</v>
      </c>
      <c r="BQ414" s="57" t="n">
        <f aca="false">IF(BP414="LOSE",1,IF(N(T414)&gt;0,T414,IF(N(P414)&gt;0,P414,MAX(1,G414))))</f>
        <v>56</v>
      </c>
      <c r="BR414" s="60" t="n">
        <f aca="false">IF(BP414="LOSE",1,0)</f>
        <v>0</v>
      </c>
      <c r="BS414" s="59" t="n">
        <f aca="false">IF(BR414=0,0,IF(N(R414)&gt;0,R414,IFERROR(VLOOKUP(D414,Parameter!$A$35:$C$64,3,0)+0,0)))</f>
        <v>0</v>
      </c>
      <c r="BT414" s="55" t="n">
        <f aca="false">IF(Y414&lt;&gt;"",Y414,X414)</f>
        <v>3</v>
      </c>
      <c r="BU414" s="55" t="str">
        <f aca="false">IF(BT414=1,"L1",IF(OR(BT414=2,BT414=3),"L23",IF(BT414="Aussen","Aussen","-")))</f>
        <v>L23</v>
      </c>
      <c r="BV414" s="66" t="n">
        <f aca="false">IF(N(Z414)&gt;0,Z414,0)</f>
        <v>0</v>
      </c>
      <c r="BW414" s="60" t="n">
        <f aca="false">IF(ISNUMBER(AC414),1,0)</f>
        <v>0</v>
      </c>
      <c r="BX414" s="57" t="n">
        <f aca="false">N(AC414)</f>
        <v>0</v>
      </c>
      <c r="BY414" s="57" t="n">
        <f aca="false">N(L414)+N(M414)</f>
        <v>169</v>
      </c>
      <c r="BZ414" s="57" t="n">
        <f aca="false">ROUNDUP(G414/BQ414,0)</f>
        <v>1</v>
      </c>
      <c r="CA414" s="57" t="n">
        <f aca="false">ROUNDUP(BX414/BQ414,0)</f>
        <v>0</v>
      </c>
      <c r="CB414" s="60" t="n">
        <f aca="false">IF(BR414=1,0,IFERROR(VLOOKUP(BP414,'Gebinde-Kategorie'!$A$5:$M$45,5,0)+0,0))</f>
        <v>8</v>
      </c>
      <c r="CC414" s="60" t="n">
        <f aca="false">IFERROR(IF(OR(BT414=1,BT414=2,BT414=3),N(INDEX(Parameter!$I$5:$I$7,BT414)),0),0)</f>
        <v>0</v>
      </c>
      <c r="CD414" s="59" t="n">
        <f aca="false">IF(AND(Parameter!$B$21="Ja",ISNUMBER(U414),N(V414)&gt;0),IFERROR(N(INDEX(Parameter!$L$5:$L$7,U414))*INDEX(Parameter!$E$5:$E$7,U414)*V414/SUMIFS($V$7:$V$1576,$U$7:$U$1576,U414),0),0)</f>
        <v>0</v>
      </c>
    </row>
    <row r="415" customFormat="false" ht="15" hidden="false" customHeight="false" outlineLevel="0" collapsed="false">
      <c r="A415" s="55" t="s">
        <v>950</v>
      </c>
      <c r="B415" s="55" t="s">
        <v>397</v>
      </c>
      <c r="C415" s="55" t="s">
        <v>160</v>
      </c>
      <c r="D415" s="55" t="s">
        <v>178</v>
      </c>
      <c r="E415" s="55" t="s">
        <v>210</v>
      </c>
      <c r="F415" s="56" t="n">
        <v>0.12</v>
      </c>
      <c r="G415" s="57" t="n">
        <f aca="false">MAX(0,IF(AND(Parameter!$B$21="Ja",ISNUMBER(W415)),W415,IF(Parameter!$B$20="Jahresanfang 2025 + Export",BJ415+BI415,BI415)))</f>
        <v>771</v>
      </c>
      <c r="H415" s="57" t="n">
        <f aca="false">G415*F415</f>
        <v>92.52</v>
      </c>
      <c r="I415" s="57" t="n">
        <f aca="false">BL415*Parameter!$B$18</f>
        <v>2222</v>
      </c>
      <c r="J415" s="58" t="n">
        <v>530.5</v>
      </c>
      <c r="K415" s="59" t="n">
        <v>4.1885014137606</v>
      </c>
      <c r="L415" s="57" t="n">
        <v>86</v>
      </c>
      <c r="M415" s="57" t="n">
        <v>2000</v>
      </c>
      <c r="N415" s="60" t="n">
        <v>14</v>
      </c>
      <c r="O415" s="55" t="s">
        <v>465</v>
      </c>
      <c r="P415" s="57" t="n">
        <v>432</v>
      </c>
      <c r="Q415" s="60" t="n">
        <f aca="false">IF(BR415=1,0,IFERROR(VLOOKUP(BP415,'Gebinde-Kategorie'!$A$5:$M$45,13,0)+0,0))</f>
        <v>66</v>
      </c>
      <c r="R415" s="61"/>
      <c r="S415" s="62"/>
      <c r="T415" s="62"/>
      <c r="U415" s="55"/>
      <c r="V415" s="57"/>
      <c r="W415" s="57"/>
      <c r="X415" s="55" t="n">
        <f aca="false">IF(A415="","",IF(AND(Parameter!$B$21="Ja",ISNUMBER(U415)),U415,IF(IFERROR(VLOOKUP(D415,Parameter!$A$35:$C$64,2,0),"Nein")="2+3",IF(ISNUMBER(SEARCH("grosser Artikel",BM415)),2,IFERROR(VLOOKUP(BP415,Parameter!$F$35:$G$64,2,0),2)),IF(OR(IFERROR(VLOOKUP(D415,Parameter!$A$35:$C$64,2,0),"Nein")="Nein",IFERROR(VLOOKUP(D415,Parameter!$A$35:$C$64,2,0),"Nein")=""),"-",VLOOKUP(D415,Parameter!$A$35:$C$64,2,0)))))</f>
        <v>3</v>
      </c>
      <c r="Y415" s="62"/>
      <c r="Z415" s="63"/>
      <c r="AA415" s="57" t="n">
        <f aca="false">AP415</f>
        <v>2160</v>
      </c>
      <c r="AB415" s="57" t="n">
        <f aca="false">MAX(AP415,G415)</f>
        <v>2160</v>
      </c>
      <c r="AC415" s="64"/>
      <c r="AD415" s="57" t="n">
        <f aca="false">IF(LEFT(Cockpit!$C$5,1)="A",G415,IF(BW415=1,BX415,IF(LEFT(Cockpit!$C$5,1)="B",AH415,MAX(AH415,G415))))</f>
        <v>771</v>
      </c>
      <c r="AE415" s="57" t="n">
        <f aca="false">IF(BR415=1,0,ROUNDUP(AD415/BQ415,0))</f>
        <v>2</v>
      </c>
      <c r="AF415" s="59" t="n">
        <f aca="false">IF(CD415&gt;0,CD415*MAX(1,AD415/V415),IF(BR415=1,IF(AD415&lt;=0,0,BS415*MAX(1,IF(G415&gt;0,AD415/G415,1))),IF(Q415&gt;0,AE415/Q415,0))/MAX(0.1,N(Parameter!$M$21)))</f>
        <v>0.0303030303030303</v>
      </c>
      <c r="AG415" s="57" t="n">
        <f aca="false">AD415*F415</f>
        <v>92.52</v>
      </c>
      <c r="AH415" s="57" t="n">
        <f aca="false">ROUNDUP(MAX(I415/IF(BV415&gt;0,BV415,MAX(0.1,N(Cockpit!$C$6))),BY415)/BQ415,0)*BQ415</f>
        <v>2160</v>
      </c>
      <c r="AI415" s="58" t="n">
        <f aca="false">IF(AF415&gt;0,I415/AF415,-1)</f>
        <v>73326</v>
      </c>
      <c r="AJ415" s="58" t="n">
        <f aca="false">IF(AND(OR(BU415="L1",BU415="L23"),AF415&gt;0),SUMIFS($AF$7:$AF$1576,$BU$7:$BU$1576,BU415,$AI$7:$AI$1576,"&gt;"&amp;AI415)+SUMIFS($AF$7:$AF$1576,$BU$7:$BU$1576,BU415,$AI$7:$AI$1576,AI415,$BO$7:$BO$1576,"&lt;="&amp;BO415),"")</f>
        <v>0.503834329921286</v>
      </c>
      <c r="AK415" s="65" t="n">
        <f aca="false">IF(AJ415="",0,MAX(0,MIN(1,(IF(BU415="L1",Parameter!$E$5,Parameter!$E$6+Parameter!$E$7)-(AJ415-AF415))/AF415)))</f>
        <v>1</v>
      </c>
      <c r="AL415" s="57" t="n">
        <f aca="false">IF(LEFT(Cockpit!$I$5,1)="A",G415,IF(BW415=1,BX415,IF(LEFT(Cockpit!$I$5,1)="B",AP415,MAX(AP415,G415))))</f>
        <v>2160</v>
      </c>
      <c r="AM415" s="57" t="n">
        <f aca="false">IF(BR415=1,0,ROUNDUP(AL415/BQ415,0))</f>
        <v>5</v>
      </c>
      <c r="AN415" s="59" t="n">
        <f aca="false">IF(CD415&gt;0,CD415*MAX(1,AL415/V415),IF(BR415=1,IF(AL415&lt;=0,0,BS415*MAX(1,IF(G415&gt;0,AL415/G415,1))),IF(Q415&gt;0,AM415/Q415,0))/MAX(0.1,N(Parameter!$M$21)))</f>
        <v>0.0757575757575758</v>
      </c>
      <c r="AO415" s="57" t="n">
        <f aca="false">AL415*F415</f>
        <v>259.2</v>
      </c>
      <c r="AP415" s="57" t="n">
        <f aca="false">ROUNDUP(MAX(I415/IF(BV415&gt;0,BV415,MAX(0.1,N(Cockpit!$I$6))),BY415)/BQ415,0)*BQ415</f>
        <v>2160</v>
      </c>
      <c r="AQ415" s="58" t="n">
        <f aca="false">IF(AN415&gt;0,I415/AN415,-1)</f>
        <v>29330.4</v>
      </c>
      <c r="AR415" s="58" t="n">
        <f aca="false">IF(AND(OR(BU415="L1",BU415="L23"),AN415&gt;0),SUMIFS($AN$7:$AN$1576,$BU$7:$BU$1576,BU415,$AQ$7:$AQ$1576,"&gt;"&amp;AQ415)+SUMIFS($AN$7:$AN$1576,$BU$7:$BU$1576,BU415,$AQ$7:$AQ$1576,AQ415,$BO$7:$BO$1576,"&lt;="&amp;BO415),"")</f>
        <v>2.93376439985136</v>
      </c>
      <c r="AS415" s="65" t="n">
        <f aca="false">IF(AR415="",0,MAX(0,MIN(1,(IF(BU415="L1",Parameter!$E$5,Parameter!$E$6+Parameter!$E$7)-(AR415-AN415))/AN415)))</f>
        <v>1</v>
      </c>
      <c r="AT415" s="57" t="n">
        <f aca="false">IF(LEFT(Cockpit!$O$5,1)="A",G415,IF(BW415=1,BX415,IF(LEFT(Cockpit!$O$5,1)="B",AX415,MAX(AX415,G415))))</f>
        <v>2160</v>
      </c>
      <c r="AU415" s="57" t="n">
        <f aca="false">IF(BR415=1,0,ROUNDUP(AT415/BQ415,0))</f>
        <v>5</v>
      </c>
      <c r="AV415" s="59" t="n">
        <f aca="false">IF(CD415&gt;0,CD415*MAX(1,AT415/V415),IF(BR415=1,IF(AT415&lt;=0,0,BS415*MAX(1,IF(G415&gt;0,AT415/G415,1))),IF(Q415&gt;0,AU415/Q415,0))/MAX(0.1,N(Parameter!$M$21)))</f>
        <v>0.0757575757575758</v>
      </c>
      <c r="AW415" s="57" t="n">
        <f aca="false">AT415*F415</f>
        <v>259.2</v>
      </c>
      <c r="AX415" s="57" t="n">
        <f aca="false">ROUNDUP(MAX(I415/IF(BV415&gt;0,BV415,MAX(0.1,N(Cockpit!$O$6))),BY415)/BQ415,0)*BQ415</f>
        <v>2160</v>
      </c>
      <c r="AY415" s="58" t="n">
        <f aca="false">IF(AV415&gt;0,I415/AV415,-1)</f>
        <v>29330.4</v>
      </c>
      <c r="AZ415" s="58" t="n">
        <f aca="false">IF(AND(OR(BU415="L1",BU415="L23"),AV415&gt;0),SUMIFS($AV$7:$AV$1576,$BU$7:$BU$1576,BU415,$AY$7:$AY$1576,"&gt;"&amp;AY415)+SUMIFS($AV$7:$AV$1576,$BU$7:$BU$1576,BU415,$AY$7:$AY$1576,AY415,$BO$7:$BO$1576,"&lt;="&amp;BO415),"")</f>
        <v>2.70182966791662</v>
      </c>
      <c r="BA415" s="65" t="n">
        <f aca="false">IF(AZ415="",0,MAX(0,MIN(1,(IF(BU415="L1",Parameter!$E$5,Parameter!$E$6+Parameter!$E$7)-(AZ415-AV415))/AV415)))</f>
        <v>1</v>
      </c>
      <c r="BB415" s="55" t="str">
        <f aca="false">IF(AF415&lt;=0,"",IF(BU415="Aussen","Aussenlager",IF(BU415="-","Nicht im Lift",IF(AK415&gt;=1,"Lift",IF(AK415&lt;=0,"Aussenlager","teilweise")))))</f>
        <v>Lift</v>
      </c>
      <c r="BC415" s="55" t="str">
        <f aca="false">IF(AN415&lt;=0,"",IF(BU415="Aussen","Aussenlager",IF(BU415="-","Nicht im Lift",IF(AS415&gt;=1,"Lift",IF(AS415&lt;=0,"Aussenlager","teilweise")))))</f>
        <v>Lift</v>
      </c>
      <c r="BD415" s="55" t="str">
        <f aca="false">IF(AV415&lt;=0,"",IF(BU415="Aussen","Aussenlager",IF(BU415="-","Nicht im Lift",IF(BA415&gt;=1,"Lift",IF(BA415&lt;=0,"Aussenlager","teilweise")))))</f>
        <v>Lift</v>
      </c>
      <c r="BE415" s="55" t="str">
        <f aca="false">IF(A415="","",IF(BN415=1,"Neu; ","")&amp;IF(AND(BN415=0,BI415&lt;0),"negativer Bestand (Export "&amp;BI415&amp;"); ","")&amp;IF(I415&lt;=0,"Kein Verbrauch; ","")&amp;IF(CD415&gt;0,"Lift "&amp;U415&amp;" lt. Liftbericht (Fach "&amp;V415&amp;" Stk); ",IF(BR415=1,"Lose – Fläche geschätzt; ",""))&amp;IF(G415&gt;AP415,"Überbestand "&amp;ROUND(G415-AP415,0)&amp;" Stk / CHF "&amp;ROUND((G415-AP415)*F415,0)&amp;"; ","")&amp;IF(AND(BW415=1,BX415&lt;BY415),"MAX &lt; MB+LG; ","")&amp;IF(AND(CC415&gt;0,CB415*10&gt;CC415),"zu hoch für Tablar; ","")&amp;IF(AND(BN415=0,OR(BW415=1,Y415&lt;&gt;"",S415&lt;&gt;"",T415&lt;&gt;"",Z415&lt;&gt;"")),"manuell übersteuert; ","")&amp;IF(AND(BR415=0,Q415=0),"Gebinde unbekannt / Stellmass fehlt; ","")&amp;IF(AND(BR415=0,N(T415)&lt;=0,N(P415)&lt;=0),"Menge pro Gebinde fehlt (Ist = 1 Gebinde); ","")&amp;BM415)</f>
        <v/>
      </c>
      <c r="BF415" s="55"/>
      <c r="BG415" s="55"/>
      <c r="BH415" s="62"/>
      <c r="BI415" s="57" t="n">
        <v>771</v>
      </c>
      <c r="BJ415" s="57" t="n">
        <v>427</v>
      </c>
      <c r="BK415" s="56" t="n">
        <v>96.7300000000001</v>
      </c>
      <c r="BL415" s="57" t="n">
        <v>2222</v>
      </c>
      <c r="BM415" s="55"/>
      <c r="BN415" s="60" t="n">
        <v>0</v>
      </c>
      <c r="BO415" s="60" t="n">
        <v>415</v>
      </c>
      <c r="BP415" s="55" t="str">
        <f aca="false">IF(S415&lt;&gt;"",UPPER(TRIM(S415)),IF(O415="","LOSE",O415))</f>
        <v>S33</v>
      </c>
      <c r="BQ415" s="57" t="n">
        <f aca="false">IF(BP415="LOSE",1,IF(N(T415)&gt;0,T415,IF(N(P415)&gt;0,P415,MAX(1,G415))))</f>
        <v>432</v>
      </c>
      <c r="BR415" s="60" t="n">
        <f aca="false">IF(BP415="LOSE",1,0)</f>
        <v>0</v>
      </c>
      <c r="BS415" s="59" t="n">
        <f aca="false">IF(BR415=0,0,IF(N(R415)&gt;0,R415,IFERROR(VLOOKUP(D415,Parameter!$A$35:$C$64,3,0)+0,0)))</f>
        <v>0</v>
      </c>
      <c r="BT415" s="55" t="n">
        <f aca="false">IF(Y415&lt;&gt;"",Y415,X415)</f>
        <v>3</v>
      </c>
      <c r="BU415" s="55" t="str">
        <f aca="false">IF(BT415=1,"L1",IF(OR(BT415=2,BT415=3),"L23",IF(BT415="Aussen","Aussen","-")))</f>
        <v>L23</v>
      </c>
      <c r="BV415" s="66" t="n">
        <f aca="false">IF(N(Z415)&gt;0,Z415,0)</f>
        <v>0</v>
      </c>
      <c r="BW415" s="60" t="n">
        <f aca="false">IF(ISNUMBER(AC415),1,0)</f>
        <v>0</v>
      </c>
      <c r="BX415" s="57" t="n">
        <f aca="false">N(AC415)</f>
        <v>0</v>
      </c>
      <c r="BY415" s="57" t="n">
        <f aca="false">N(L415)+N(M415)</f>
        <v>2086</v>
      </c>
      <c r="BZ415" s="57" t="n">
        <f aca="false">ROUNDUP(G415/BQ415,0)</f>
        <v>2</v>
      </c>
      <c r="CA415" s="57" t="n">
        <f aca="false">ROUNDUP(BX415/BQ415,0)</f>
        <v>0</v>
      </c>
      <c r="CB415" s="60" t="n">
        <f aca="false">IF(BR415=1,0,IFERROR(VLOOKUP(BP415,'Gebinde-Kategorie'!$A$5:$M$45,5,0)+0,0))</f>
        <v>8</v>
      </c>
      <c r="CC415" s="60" t="n">
        <f aca="false">IFERROR(IF(OR(BT415=1,BT415=2,BT415=3),N(INDEX(Parameter!$I$5:$I$7,BT415)),0),0)</f>
        <v>0</v>
      </c>
      <c r="CD415" s="59" t="n">
        <f aca="false">IF(AND(Parameter!$B$21="Ja",ISNUMBER(U415),N(V415)&gt;0),IFERROR(N(INDEX(Parameter!$L$5:$L$7,U415))*INDEX(Parameter!$E$5:$E$7,U415)*V415/SUMIFS($V$7:$V$1576,$U$7:$U$1576,U415),0),0)</f>
        <v>0</v>
      </c>
    </row>
    <row r="416" customFormat="false" ht="15" hidden="false" customHeight="false" outlineLevel="0" collapsed="false">
      <c r="A416" s="55" t="s">
        <v>951</v>
      </c>
      <c r="B416" s="55" t="s">
        <v>952</v>
      </c>
      <c r="C416" s="55" t="s">
        <v>160</v>
      </c>
      <c r="D416" s="55" t="s">
        <v>178</v>
      </c>
      <c r="E416" s="55" t="s">
        <v>210</v>
      </c>
      <c r="F416" s="56" t="n">
        <v>0.56</v>
      </c>
      <c r="G416" s="57" t="n">
        <f aca="false">MAX(0,IF(AND(Parameter!$B$21="Ja",ISNUMBER(W416)),W416,IF(Parameter!$B$20="Jahresanfang 2025 + Export",BJ416+BI416,BI416)))</f>
        <v>234</v>
      </c>
      <c r="H416" s="57" t="n">
        <f aca="false">G416*F416</f>
        <v>131.04</v>
      </c>
      <c r="I416" s="57" t="n">
        <f aca="false">BL416*Parameter!$B$18</f>
        <v>383</v>
      </c>
      <c r="J416" s="58" t="n">
        <v>255</v>
      </c>
      <c r="K416" s="59" t="n">
        <v>1.50196078431373</v>
      </c>
      <c r="L416" s="57" t="n">
        <v>22</v>
      </c>
      <c r="M416" s="57" t="n">
        <v>500</v>
      </c>
      <c r="N416" s="60" t="n">
        <v>21</v>
      </c>
      <c r="O416" s="55" t="s">
        <v>319</v>
      </c>
      <c r="P416" s="57" t="n">
        <v>402</v>
      </c>
      <c r="Q416" s="60" t="n">
        <f aca="false">IF(BR416=1,0,IFERROR(VLOOKUP(BP416,'Gebinde-Kategorie'!$A$5:$M$45,13,0)+0,0))</f>
        <v>52</v>
      </c>
      <c r="R416" s="61"/>
      <c r="S416" s="62"/>
      <c r="T416" s="62"/>
      <c r="U416" s="55"/>
      <c r="V416" s="57"/>
      <c r="W416" s="57"/>
      <c r="X416" s="55" t="n">
        <f aca="false">IF(A416="","",IF(AND(Parameter!$B$21="Ja",ISNUMBER(U416)),U416,IF(IFERROR(VLOOKUP(D416,Parameter!$A$35:$C$64,2,0),"Nein")="2+3",IF(ISNUMBER(SEARCH("grosser Artikel",BM416)),2,IFERROR(VLOOKUP(BP416,Parameter!$F$35:$G$64,2,0),2)),IF(OR(IFERROR(VLOOKUP(D416,Parameter!$A$35:$C$64,2,0),"Nein")="Nein",IFERROR(VLOOKUP(D416,Parameter!$A$35:$C$64,2,0),"Nein")=""),"-",VLOOKUP(D416,Parameter!$A$35:$C$64,2,0)))))</f>
        <v>3</v>
      </c>
      <c r="Y416" s="62"/>
      <c r="Z416" s="63"/>
      <c r="AA416" s="57" t="n">
        <f aca="false">AP416</f>
        <v>804</v>
      </c>
      <c r="AB416" s="57" t="n">
        <f aca="false">MAX(AP416,G416)</f>
        <v>804</v>
      </c>
      <c r="AC416" s="64"/>
      <c r="AD416" s="57" t="n">
        <f aca="false">IF(LEFT(Cockpit!$C$5,1)="A",G416,IF(BW416=1,BX416,IF(LEFT(Cockpit!$C$5,1)="B",AH416,MAX(AH416,G416))))</f>
        <v>234</v>
      </c>
      <c r="AE416" s="57" t="n">
        <f aca="false">IF(BR416=1,0,ROUNDUP(AD416/BQ416,0))</f>
        <v>1</v>
      </c>
      <c r="AF416" s="59" t="n">
        <f aca="false">IF(CD416&gt;0,CD416*MAX(1,AD416/V416),IF(BR416=1,IF(AD416&lt;=0,0,BS416*MAX(1,IF(G416&gt;0,AD416/G416,1))),IF(Q416&gt;0,AE416/Q416,0))/MAX(0.1,N(Parameter!$M$21)))</f>
        <v>0.0192307692307692</v>
      </c>
      <c r="AG416" s="57" t="n">
        <f aca="false">AD416*F416</f>
        <v>131.04</v>
      </c>
      <c r="AH416" s="57" t="n">
        <f aca="false">ROUNDUP(MAX(I416/IF(BV416&gt;0,BV416,MAX(0.1,N(Cockpit!$C$6))),BY416)/BQ416,0)*BQ416</f>
        <v>804</v>
      </c>
      <c r="AI416" s="58" t="n">
        <f aca="false">IF(AF416&gt;0,I416/AF416,-1)</f>
        <v>19916</v>
      </c>
      <c r="AJ416" s="58" t="n">
        <f aca="false">IF(AND(OR(BU416="L1",BU416="L23"),AF416&gt;0),SUMIFS($AF$7:$AF$1576,$BU$7:$BU$1576,BU416,$AI$7:$AI$1576,"&gt;"&amp;AI416)+SUMIFS($AF$7:$AF$1576,$BU$7:$BU$1576,BU416,$AI$7:$AI$1576,AI416,$BO$7:$BO$1576,"&lt;="&amp;BO416),"")</f>
        <v>1.83842606668694</v>
      </c>
      <c r="AK416" s="65" t="n">
        <f aca="false">IF(AJ416="",0,MAX(0,MIN(1,(IF(BU416="L1",Parameter!$E$5,Parameter!$E$6+Parameter!$E$7)-(AJ416-AF416))/AF416)))</f>
        <v>1</v>
      </c>
      <c r="AL416" s="57" t="n">
        <f aca="false">IF(LEFT(Cockpit!$I$5,1)="A",G416,IF(BW416=1,BX416,IF(LEFT(Cockpit!$I$5,1)="B",AP416,MAX(AP416,G416))))</f>
        <v>804</v>
      </c>
      <c r="AM416" s="57" t="n">
        <f aca="false">IF(BR416=1,0,ROUNDUP(AL416/BQ416,0))</f>
        <v>2</v>
      </c>
      <c r="AN416" s="59" t="n">
        <f aca="false">IF(CD416&gt;0,CD416*MAX(1,AL416/V416),IF(BR416=1,IF(AL416&lt;=0,0,BS416*MAX(1,IF(G416&gt;0,AL416/G416,1))),IF(Q416&gt;0,AM416/Q416,0))/MAX(0.1,N(Parameter!$M$21)))</f>
        <v>0.0384615384615385</v>
      </c>
      <c r="AO416" s="57" t="n">
        <f aca="false">AL416*F416</f>
        <v>450.24</v>
      </c>
      <c r="AP416" s="57" t="n">
        <f aca="false">ROUNDUP(MAX(I416/IF(BV416&gt;0,BV416,MAX(0.1,N(Cockpit!$I$6))),BY416)/BQ416,0)*BQ416</f>
        <v>804</v>
      </c>
      <c r="AQ416" s="58" t="n">
        <f aca="false">IF(AN416&gt;0,I416/AN416,-1)</f>
        <v>9958</v>
      </c>
      <c r="AR416" s="58" t="n">
        <f aca="false">IF(AND(OR(BU416="L1",BU416="L23"),AN416&gt;0),SUMIFS($AN$7:$AN$1576,$BU$7:$BU$1576,BU416,$AQ$7:$AQ$1576,"&gt;"&amp;AQ416)+SUMIFS($AN$7:$AN$1576,$BU$7:$BU$1576,BU416,$AQ$7:$AQ$1576,AQ416,$BO$7:$BO$1576,"&lt;="&amp;BO416),"")</f>
        <v>7.20692104996453</v>
      </c>
      <c r="AS416" s="65" t="n">
        <f aca="false">IF(AR416="",0,MAX(0,MIN(1,(IF(BU416="L1",Parameter!$E$5,Parameter!$E$6+Parameter!$E$7)-(AR416-AN416))/AN416)))</f>
        <v>1</v>
      </c>
      <c r="AT416" s="57" t="n">
        <f aca="false">IF(LEFT(Cockpit!$O$5,1)="A",G416,IF(BW416=1,BX416,IF(LEFT(Cockpit!$O$5,1)="B",AX416,MAX(AX416,G416))))</f>
        <v>804</v>
      </c>
      <c r="AU416" s="57" t="n">
        <f aca="false">IF(BR416=1,0,ROUNDUP(AT416/BQ416,0))</f>
        <v>2</v>
      </c>
      <c r="AV416" s="59" t="n">
        <f aca="false">IF(CD416&gt;0,CD416*MAX(1,AT416/V416),IF(BR416=1,IF(AT416&lt;=0,0,BS416*MAX(1,IF(G416&gt;0,AT416/G416,1))),IF(Q416&gt;0,AU416/Q416,0))/MAX(0.1,N(Parameter!$M$21)))</f>
        <v>0.0384615384615385</v>
      </c>
      <c r="AW416" s="57" t="n">
        <f aca="false">AT416*F416</f>
        <v>450.24</v>
      </c>
      <c r="AX416" s="57" t="n">
        <f aca="false">ROUNDUP(MAX(I416/IF(BV416&gt;0,BV416,MAX(0.1,N(Cockpit!$O$6))),BY416)/BQ416,0)*BQ416</f>
        <v>804</v>
      </c>
      <c r="AY416" s="58" t="n">
        <f aca="false">IF(AV416&gt;0,I416/AV416,-1)</f>
        <v>9958</v>
      </c>
      <c r="AZ416" s="58" t="n">
        <f aca="false">IF(AND(OR(BU416="L1",BU416="L23"),AV416&gt;0),SUMIFS($AV$7:$AV$1576,$BU$7:$BU$1576,BU416,$AY$7:$AY$1576,"&gt;"&amp;AY416)+SUMIFS($AV$7:$AV$1576,$BU$7:$BU$1576,BU416,$AY$7:$AY$1576,AY416,$BO$7:$BO$1576,"&lt;="&amp;BO416),"")</f>
        <v>6.90855275159623</v>
      </c>
      <c r="BA416" s="65" t="n">
        <f aca="false">IF(AZ416="",0,MAX(0,MIN(1,(IF(BU416="L1",Parameter!$E$5,Parameter!$E$6+Parameter!$E$7)-(AZ416-AV416))/AV416)))</f>
        <v>1</v>
      </c>
      <c r="BB416" s="55" t="str">
        <f aca="false">IF(AF416&lt;=0,"",IF(BU416="Aussen","Aussenlager",IF(BU416="-","Nicht im Lift",IF(AK416&gt;=1,"Lift",IF(AK416&lt;=0,"Aussenlager","teilweise")))))</f>
        <v>Lift</v>
      </c>
      <c r="BC416" s="55" t="str">
        <f aca="false">IF(AN416&lt;=0,"",IF(BU416="Aussen","Aussenlager",IF(BU416="-","Nicht im Lift",IF(AS416&gt;=1,"Lift",IF(AS416&lt;=0,"Aussenlager","teilweise")))))</f>
        <v>Lift</v>
      </c>
      <c r="BD416" s="55" t="str">
        <f aca="false">IF(AV416&lt;=0,"",IF(BU416="Aussen","Aussenlager",IF(BU416="-","Nicht im Lift",IF(BA416&gt;=1,"Lift",IF(BA416&lt;=0,"Aussenlager","teilweise")))))</f>
        <v>Lift</v>
      </c>
      <c r="BE416" s="55" t="str">
        <f aca="false">IF(A416="","",IF(BN416=1,"Neu; ","")&amp;IF(AND(BN416=0,BI416&lt;0),"negativer Bestand (Export "&amp;BI416&amp;"); ","")&amp;IF(I416&lt;=0,"Kein Verbrauch; ","")&amp;IF(CD416&gt;0,"Lift "&amp;U416&amp;" lt. Liftbericht (Fach "&amp;V416&amp;" Stk); ",IF(BR416=1,"Lose – Fläche geschätzt; ",""))&amp;IF(G416&gt;AP416,"Überbestand "&amp;ROUND(G416-AP416,0)&amp;" Stk / CHF "&amp;ROUND((G416-AP416)*F416,0)&amp;"; ","")&amp;IF(AND(BW416=1,BX416&lt;BY416),"MAX &lt; MB+LG; ","")&amp;IF(AND(CC416&gt;0,CB416*10&gt;CC416),"zu hoch für Tablar; ","")&amp;IF(AND(BN416=0,OR(BW416=1,Y416&lt;&gt;"",S416&lt;&gt;"",T416&lt;&gt;"",Z416&lt;&gt;"")),"manuell übersteuert; ","")&amp;IF(AND(BR416=0,Q416=0),"Gebinde unbekannt / Stellmass fehlt; ","")&amp;IF(AND(BR416=0,N(T416)&lt;=0,N(P416)&lt;=0),"Menge pro Gebinde fehlt (Ist = 1 Gebinde); ","")&amp;BM416)</f>
        <v/>
      </c>
      <c r="BF416" s="55"/>
      <c r="BG416" s="55"/>
      <c r="BH416" s="62"/>
      <c r="BI416" s="57" t="n">
        <v>234</v>
      </c>
      <c r="BJ416" s="57" t="n">
        <v>289</v>
      </c>
      <c r="BK416" s="56" t="n">
        <v>95.7399999999999</v>
      </c>
      <c r="BL416" s="57" t="n">
        <v>383</v>
      </c>
      <c r="BM416" s="55"/>
      <c r="BN416" s="60" t="n">
        <v>0</v>
      </c>
      <c r="BO416" s="60" t="n">
        <v>416</v>
      </c>
      <c r="BP416" s="55" t="str">
        <f aca="false">IF(S416&lt;&gt;"",UPPER(TRIM(S416)),IF(O416="","LOSE",O416))</f>
        <v>S41</v>
      </c>
      <c r="BQ416" s="57" t="n">
        <f aca="false">IF(BP416="LOSE",1,IF(N(T416)&gt;0,T416,IF(N(P416)&gt;0,P416,MAX(1,G416))))</f>
        <v>402</v>
      </c>
      <c r="BR416" s="60" t="n">
        <f aca="false">IF(BP416="LOSE",1,0)</f>
        <v>0</v>
      </c>
      <c r="BS416" s="59" t="n">
        <f aca="false">IF(BR416=0,0,IF(N(R416)&gt;0,R416,IFERROR(VLOOKUP(D416,Parameter!$A$35:$C$64,3,0)+0,0)))</f>
        <v>0</v>
      </c>
      <c r="BT416" s="55" t="n">
        <f aca="false">IF(Y416&lt;&gt;"",Y416,X416)</f>
        <v>3</v>
      </c>
      <c r="BU416" s="55" t="str">
        <f aca="false">IF(BT416=1,"L1",IF(OR(BT416=2,BT416=3),"L23",IF(BT416="Aussen","Aussen","-")))</f>
        <v>L23</v>
      </c>
      <c r="BV416" s="66" t="n">
        <f aca="false">IF(N(Z416)&gt;0,Z416,0)</f>
        <v>0</v>
      </c>
      <c r="BW416" s="60" t="n">
        <f aca="false">IF(ISNUMBER(AC416),1,0)</f>
        <v>0</v>
      </c>
      <c r="BX416" s="57" t="n">
        <f aca="false">N(AC416)</f>
        <v>0</v>
      </c>
      <c r="BY416" s="57" t="n">
        <f aca="false">N(L416)+N(M416)</f>
        <v>522</v>
      </c>
      <c r="BZ416" s="57" t="n">
        <f aca="false">ROUNDUP(G416/BQ416,0)</f>
        <v>1</v>
      </c>
      <c r="CA416" s="57" t="n">
        <f aca="false">ROUNDUP(BX416/BQ416,0)</f>
        <v>0</v>
      </c>
      <c r="CB416" s="60" t="n">
        <f aca="false">IF(BR416=1,0,IFERROR(VLOOKUP(BP416,'Gebinde-Kategorie'!$A$5:$M$45,5,0)+0,0))</f>
        <v>11</v>
      </c>
      <c r="CC416" s="60" t="n">
        <f aca="false">IFERROR(IF(OR(BT416=1,BT416=2,BT416=3),N(INDEX(Parameter!$I$5:$I$7,BT416)),0),0)</f>
        <v>0</v>
      </c>
      <c r="CD416" s="59" t="n">
        <f aca="false">IF(AND(Parameter!$B$21="Ja",ISNUMBER(U416),N(V416)&gt;0),IFERROR(N(INDEX(Parameter!$L$5:$L$7,U416))*INDEX(Parameter!$E$5:$E$7,U416)*V416/SUMIFS($V$7:$V$1576,$U$7:$U$1576,U416),0),0)</f>
        <v>0</v>
      </c>
    </row>
    <row r="417" customFormat="false" ht="15" hidden="false" customHeight="false" outlineLevel="0" collapsed="false">
      <c r="A417" s="55" t="s">
        <v>953</v>
      </c>
      <c r="B417" s="55" t="s">
        <v>954</v>
      </c>
      <c r="C417" s="55" t="s">
        <v>160</v>
      </c>
      <c r="D417" s="55" t="s">
        <v>178</v>
      </c>
      <c r="E417" s="55" t="s">
        <v>210</v>
      </c>
      <c r="F417" s="56" t="n">
        <v>19.36</v>
      </c>
      <c r="G417" s="57" t="n">
        <f aca="false">MAX(0,IF(AND(Parameter!$B$21="Ja",ISNUMBER(W417)),W417,IF(Parameter!$B$20="Jahresanfang 2025 + Export",BJ417+BI417,BI417)))</f>
        <v>6</v>
      </c>
      <c r="H417" s="57" t="n">
        <f aca="false">G417*F417</f>
        <v>116.16</v>
      </c>
      <c r="I417" s="57" t="n">
        <f aca="false">BL417*Parameter!$B$18</f>
        <v>20</v>
      </c>
      <c r="J417" s="58" t="n">
        <v>11.5</v>
      </c>
      <c r="K417" s="59" t="n">
        <v>1.73913043478261</v>
      </c>
      <c r="L417" s="57" t="n">
        <v>1</v>
      </c>
      <c r="M417" s="57" t="n">
        <v>20</v>
      </c>
      <c r="N417" s="60" t="n">
        <v>28</v>
      </c>
      <c r="O417" s="55" t="s">
        <v>293</v>
      </c>
      <c r="P417" s="57" t="n">
        <v>15</v>
      </c>
      <c r="Q417" s="60" t="n">
        <f aca="false">IF(BR417=1,0,IFERROR(VLOOKUP(BP417,'Gebinde-Kategorie'!$A$5:$M$45,13,0)+0,0))</f>
        <v>26</v>
      </c>
      <c r="R417" s="61"/>
      <c r="S417" s="62"/>
      <c r="T417" s="62"/>
      <c r="U417" s="55"/>
      <c r="V417" s="57"/>
      <c r="W417" s="57"/>
      <c r="X417" s="55" t="n">
        <f aca="false">IF(A417="","",IF(AND(Parameter!$B$21="Ja",ISNUMBER(U417)),U417,IF(IFERROR(VLOOKUP(D417,Parameter!$A$35:$C$64,2,0),"Nein")="2+3",IF(ISNUMBER(SEARCH("grosser Artikel",BM417)),2,IFERROR(VLOOKUP(BP417,Parameter!$F$35:$G$64,2,0),2)),IF(OR(IFERROR(VLOOKUP(D417,Parameter!$A$35:$C$64,2,0),"Nein")="Nein",IFERROR(VLOOKUP(D417,Parameter!$A$35:$C$64,2,0),"Nein")=""),"-",VLOOKUP(D417,Parameter!$A$35:$C$64,2,0)))))</f>
        <v>3</v>
      </c>
      <c r="Y417" s="62"/>
      <c r="Z417" s="63"/>
      <c r="AA417" s="57" t="n">
        <f aca="false">AP417</f>
        <v>30</v>
      </c>
      <c r="AB417" s="57" t="n">
        <f aca="false">MAX(AP417,G417)</f>
        <v>30</v>
      </c>
      <c r="AC417" s="64"/>
      <c r="AD417" s="57" t="n">
        <f aca="false">IF(LEFT(Cockpit!$C$5,1)="A",G417,IF(BW417=1,BX417,IF(LEFT(Cockpit!$C$5,1)="B",AH417,MAX(AH417,G417))))</f>
        <v>6</v>
      </c>
      <c r="AE417" s="57" t="n">
        <f aca="false">IF(BR417=1,0,ROUNDUP(AD417/BQ417,0))</f>
        <v>1</v>
      </c>
      <c r="AF417" s="59" t="n">
        <f aca="false">IF(CD417&gt;0,CD417*MAX(1,AD417/V417),IF(BR417=1,IF(AD417&lt;=0,0,BS417*MAX(1,IF(G417&gt;0,AD417/G417,1))),IF(Q417&gt;0,AE417/Q417,0))/MAX(0.1,N(Parameter!$M$21)))</f>
        <v>0.0384615384615385</v>
      </c>
      <c r="AG417" s="57" t="n">
        <f aca="false">AD417*F417</f>
        <v>116.16</v>
      </c>
      <c r="AH417" s="57" t="n">
        <f aca="false">ROUNDUP(MAX(I417/IF(BV417&gt;0,BV417,MAX(0.1,N(Cockpit!$C$6))),BY417)/BQ417,0)*BQ417</f>
        <v>30</v>
      </c>
      <c r="AI417" s="58" t="n">
        <f aca="false">IF(AF417&gt;0,I417/AF417,-1)</f>
        <v>520</v>
      </c>
      <c r="AJ417" s="58" t="n">
        <f aca="false">IF(AND(OR(BU417="L1",BU417="L23"),AF417&gt;0),SUMIFS($AF$7:$AF$1576,$BU$7:$BU$1576,BU417,$AI$7:$AI$1576,"&gt;"&amp;AI417)+SUMIFS($AF$7:$AF$1576,$BU$7:$BU$1576,BU417,$AI$7:$AI$1576,AI417,$BO$7:$BO$1576,"&lt;="&amp;BO417),"")</f>
        <v>12.4011921894531</v>
      </c>
      <c r="AK417" s="65" t="n">
        <f aca="false">IF(AJ417="",0,MAX(0,MIN(1,(IF(BU417="L1",Parameter!$E$5,Parameter!$E$6+Parameter!$E$7)-(AJ417-AF417))/AF417)))</f>
        <v>1</v>
      </c>
      <c r="AL417" s="57" t="n">
        <f aca="false">IF(LEFT(Cockpit!$I$5,1)="A",G417,IF(BW417=1,BX417,IF(LEFT(Cockpit!$I$5,1)="B",AP417,MAX(AP417,G417))))</f>
        <v>30</v>
      </c>
      <c r="AM417" s="57" t="n">
        <f aca="false">IF(BR417=1,0,ROUNDUP(AL417/BQ417,0))</f>
        <v>2</v>
      </c>
      <c r="AN417" s="59" t="n">
        <f aca="false">IF(CD417&gt;0,CD417*MAX(1,AL417/V417),IF(BR417=1,IF(AL417&lt;=0,0,BS417*MAX(1,IF(G417&gt;0,AL417/G417,1))),IF(Q417&gt;0,AM417/Q417,0))/MAX(0.1,N(Parameter!$M$21)))</f>
        <v>0.0769230769230769</v>
      </c>
      <c r="AO417" s="57" t="n">
        <f aca="false">AL417*F417</f>
        <v>580.8</v>
      </c>
      <c r="AP417" s="57" t="n">
        <f aca="false">ROUNDUP(MAX(I417/IF(BV417&gt;0,BV417,MAX(0.1,N(Cockpit!$I$6))),BY417)/BQ417,0)*BQ417</f>
        <v>30</v>
      </c>
      <c r="AQ417" s="58" t="n">
        <f aca="false">IF(AN417&gt;0,I417/AN417,-1)</f>
        <v>260</v>
      </c>
      <c r="AR417" s="58" t="n">
        <f aca="false">IF(AND(OR(BU417="L1",BU417="L23"),AN417&gt;0),SUMIFS($AN$7:$AN$1576,$BU$7:$BU$1576,BU417,$AQ$7:$AQ$1576,"&gt;"&amp;AQ417)+SUMIFS($AN$7:$AN$1576,$BU$7:$BU$1576,BU417,$AQ$7:$AQ$1576,AQ417,$BO$7:$BO$1576,"&lt;="&amp;BO417),"")</f>
        <v>45.5106191034564</v>
      </c>
      <c r="AS417" s="65" t="n">
        <f aca="false">IF(AR417="",0,MAX(0,MIN(1,(IF(BU417="L1",Parameter!$E$5,Parameter!$E$6+Parameter!$E$7)-(AR417-AN417))/AN417)))</f>
        <v>1</v>
      </c>
      <c r="AT417" s="57" t="n">
        <f aca="false">IF(LEFT(Cockpit!$O$5,1)="A",G417,IF(BW417=1,BX417,IF(LEFT(Cockpit!$O$5,1)="B",AX417,MAX(AX417,G417))))</f>
        <v>30</v>
      </c>
      <c r="AU417" s="57" t="n">
        <f aca="false">IF(BR417=1,0,ROUNDUP(AT417/BQ417,0))</f>
        <v>2</v>
      </c>
      <c r="AV417" s="59" t="n">
        <f aca="false">IF(CD417&gt;0,CD417*MAX(1,AT417/V417),IF(BR417=1,IF(AT417&lt;=0,0,BS417*MAX(1,IF(G417&gt;0,AT417/G417,1))),IF(Q417&gt;0,AU417/Q417,0))/MAX(0.1,N(Parameter!$M$21)))</f>
        <v>0.0769230769230769</v>
      </c>
      <c r="AW417" s="57" t="n">
        <f aca="false">AT417*F417</f>
        <v>580.8</v>
      </c>
      <c r="AX417" s="57" t="n">
        <f aca="false">ROUNDUP(MAX(I417/IF(BV417&gt;0,BV417,MAX(0.1,N(Cockpit!$O$6))),BY417)/BQ417,0)*BQ417</f>
        <v>30</v>
      </c>
      <c r="AY417" s="58" t="n">
        <f aca="false">IF(AV417&gt;0,I417/AV417,-1)</f>
        <v>260</v>
      </c>
      <c r="AZ417" s="58" t="n">
        <f aca="false">IF(AND(OR(BU417="L1",BU417="L23"),AV417&gt;0),SUMIFS($AV$7:$AV$1576,$BU$7:$BU$1576,BU417,$AY$7:$AY$1576,"&gt;"&amp;AY417)+SUMIFS($AV$7:$AV$1576,$BU$7:$BU$1576,BU417,$AY$7:$AY$1576,AY417,$BO$7:$BO$1576,"&lt;="&amp;BO417),"")</f>
        <v>41.7886976915349</v>
      </c>
      <c r="BA417" s="65" t="n">
        <f aca="false">IF(AZ417="",0,MAX(0,MIN(1,(IF(BU417="L1",Parameter!$E$5,Parameter!$E$6+Parameter!$E$7)-(AZ417-AV417))/AV417)))</f>
        <v>1</v>
      </c>
      <c r="BB417" s="55" t="str">
        <f aca="false">IF(AF417&lt;=0,"",IF(BU417="Aussen","Aussenlager",IF(BU417="-","Nicht im Lift",IF(AK417&gt;=1,"Lift",IF(AK417&lt;=0,"Aussenlager","teilweise")))))</f>
        <v>Lift</v>
      </c>
      <c r="BC417" s="55" t="str">
        <f aca="false">IF(AN417&lt;=0,"",IF(BU417="Aussen","Aussenlager",IF(BU417="-","Nicht im Lift",IF(AS417&gt;=1,"Lift",IF(AS417&lt;=0,"Aussenlager","teilweise")))))</f>
        <v>Lift</v>
      </c>
      <c r="BD417" s="55" t="str">
        <f aca="false">IF(AV417&lt;=0,"",IF(BU417="Aussen","Aussenlager",IF(BU417="-","Nicht im Lift",IF(BA417&gt;=1,"Lift",IF(BA417&lt;=0,"Aussenlager","teilweise")))))</f>
        <v>Lift</v>
      </c>
      <c r="BE417" s="55" t="str">
        <f aca="false">IF(A417="","",IF(BN417=1,"Neu; ","")&amp;IF(AND(BN417=0,BI417&lt;0),"negativer Bestand (Export "&amp;BI417&amp;"); ","")&amp;IF(I417&lt;=0,"Kein Verbrauch; ","")&amp;IF(CD417&gt;0,"Lift "&amp;U417&amp;" lt. Liftbericht (Fach "&amp;V417&amp;" Stk); ",IF(BR417=1,"Lose – Fläche geschätzt; ",""))&amp;IF(G417&gt;AP417,"Überbestand "&amp;ROUND(G417-AP417,0)&amp;" Stk / CHF "&amp;ROUND((G417-AP417)*F417,0)&amp;"; ","")&amp;IF(AND(BW417=1,BX417&lt;BY417),"MAX &lt; MB+LG; ","")&amp;IF(AND(CC417&gt;0,CB417*10&gt;CC417),"zu hoch für Tablar; ","")&amp;IF(AND(BN417=0,OR(BW417=1,Y417&lt;&gt;"",S417&lt;&gt;"",T417&lt;&gt;"",Z417&lt;&gt;"")),"manuell übersteuert; ","")&amp;IF(AND(BR417=0,Q417=0),"Gebinde unbekannt / Stellmass fehlt; ","")&amp;IF(AND(BR417=0,N(T417)&lt;=0,N(P417)&lt;=0),"Menge pro Gebinde fehlt (Ist = 1 Gebinde); ","")&amp;BM417)</f>
        <v/>
      </c>
      <c r="BF417" s="55"/>
      <c r="BG417" s="55"/>
      <c r="BH417" s="62"/>
      <c r="BI417" s="57" t="n">
        <v>6</v>
      </c>
      <c r="BJ417" s="57" t="n">
        <v>7</v>
      </c>
      <c r="BK417" s="56" t="n">
        <v>95.2299999999999</v>
      </c>
      <c r="BL417" s="57" t="n">
        <v>20</v>
      </c>
      <c r="BM417" s="55"/>
      <c r="BN417" s="60" t="n">
        <v>0</v>
      </c>
      <c r="BO417" s="60" t="n">
        <v>417</v>
      </c>
      <c r="BP417" s="55" t="str">
        <f aca="false">IF(S417&lt;&gt;"",UPPER(TRIM(S417)),IF(O417="","LOSE",O417))</f>
        <v>S51</v>
      </c>
      <c r="BQ417" s="57" t="n">
        <f aca="false">IF(BP417="LOSE",1,IF(N(T417)&gt;0,T417,IF(N(P417)&gt;0,P417,MAX(1,G417))))</f>
        <v>15</v>
      </c>
      <c r="BR417" s="60" t="n">
        <f aca="false">IF(BP417="LOSE",1,0)</f>
        <v>0</v>
      </c>
      <c r="BS417" s="59" t="n">
        <f aca="false">IF(BR417=0,0,IF(N(R417)&gt;0,R417,IFERROR(VLOOKUP(D417,Parameter!$A$35:$C$64,3,0)+0,0)))</f>
        <v>0</v>
      </c>
      <c r="BT417" s="55" t="n">
        <f aca="false">IF(Y417&lt;&gt;"",Y417,X417)</f>
        <v>3</v>
      </c>
      <c r="BU417" s="55" t="str">
        <f aca="false">IF(BT417=1,"L1",IF(OR(BT417=2,BT417=3),"L23",IF(BT417="Aussen","Aussen","-")))</f>
        <v>L23</v>
      </c>
      <c r="BV417" s="66" t="n">
        <f aca="false">IF(N(Z417)&gt;0,Z417,0)</f>
        <v>0</v>
      </c>
      <c r="BW417" s="60" t="n">
        <f aca="false">IF(ISNUMBER(AC417),1,0)</f>
        <v>0</v>
      </c>
      <c r="BX417" s="57" t="n">
        <f aca="false">N(AC417)</f>
        <v>0</v>
      </c>
      <c r="BY417" s="57" t="n">
        <f aca="false">N(L417)+N(M417)</f>
        <v>21</v>
      </c>
      <c r="BZ417" s="57" t="n">
        <f aca="false">ROUNDUP(G417/BQ417,0)</f>
        <v>1</v>
      </c>
      <c r="CA417" s="57" t="n">
        <f aca="false">ROUNDUP(BX417/BQ417,0)</f>
        <v>0</v>
      </c>
      <c r="CB417" s="60" t="n">
        <f aca="false">IF(BR417=1,0,IFERROR(VLOOKUP(BP417,'Gebinde-Kategorie'!$A$5:$M$45,5,0)+0,0))</f>
        <v>11</v>
      </c>
      <c r="CC417" s="60" t="n">
        <f aca="false">IFERROR(IF(OR(BT417=1,BT417=2,BT417=3),N(INDEX(Parameter!$I$5:$I$7,BT417)),0),0)</f>
        <v>0</v>
      </c>
      <c r="CD417" s="59" t="n">
        <f aca="false">IF(AND(Parameter!$B$21="Ja",ISNUMBER(U417),N(V417)&gt;0),IFERROR(N(INDEX(Parameter!$L$5:$L$7,U417))*INDEX(Parameter!$E$5:$E$7,U417)*V417/SUMIFS($V$7:$V$1576,$U$7:$U$1576,U417),0),0)</f>
        <v>0</v>
      </c>
    </row>
    <row r="418" customFormat="false" ht="15" hidden="false" customHeight="false" outlineLevel="0" collapsed="false">
      <c r="A418" s="55" t="s">
        <v>955</v>
      </c>
      <c r="B418" s="55" t="s">
        <v>537</v>
      </c>
      <c r="C418" s="55" t="s">
        <v>160</v>
      </c>
      <c r="D418" s="55" t="s">
        <v>178</v>
      </c>
      <c r="E418" s="55" t="s">
        <v>210</v>
      </c>
      <c r="F418" s="56" t="n">
        <v>47.27</v>
      </c>
      <c r="G418" s="57" t="n">
        <f aca="false">MAX(0,IF(AND(Parameter!$B$21="Ja",ISNUMBER(W418)),W418,IF(Parameter!$B$20="Jahresanfang 2025 + Export",BJ418+BI418,BI418)))</f>
        <v>2</v>
      </c>
      <c r="H418" s="57" t="n">
        <f aca="false">G418*F418</f>
        <v>94.54</v>
      </c>
      <c r="I418" s="57" t="n">
        <f aca="false">BL418*Parameter!$B$18</f>
        <v>0</v>
      </c>
      <c r="J418" s="58" t="n">
        <v>3</v>
      </c>
      <c r="K418" s="59" t="n">
        <v>0</v>
      </c>
      <c r="L418" s="57" t="n">
        <v>0</v>
      </c>
      <c r="M418" s="57" t="n">
        <v>1</v>
      </c>
      <c r="N418" s="60" t="n">
        <v>28</v>
      </c>
      <c r="O418" s="55" t="s">
        <v>163</v>
      </c>
      <c r="P418" s="57"/>
      <c r="Q418" s="60" t="n">
        <f aca="false">IF(BR418=1,0,IFERROR(VLOOKUP(BP418,'Gebinde-Kategorie'!$A$5:$M$45,13,0)+0,0))</f>
        <v>0</v>
      </c>
      <c r="R418" s="61"/>
      <c r="S418" s="62"/>
      <c r="T418" s="62"/>
      <c r="U418" s="55"/>
      <c r="V418" s="57"/>
      <c r="W418" s="57"/>
      <c r="X418" s="55" t="n">
        <f aca="false">IF(A418="","",IF(AND(Parameter!$B$21="Ja",ISNUMBER(U418)),U418,IF(IFERROR(VLOOKUP(D418,Parameter!$A$35:$C$64,2,0),"Nein")="2+3",IF(ISNUMBER(SEARCH("grosser Artikel",BM418)),2,IFERROR(VLOOKUP(BP418,Parameter!$F$35:$G$64,2,0),2)),IF(OR(IFERROR(VLOOKUP(D418,Parameter!$A$35:$C$64,2,0),"Nein")="Nein",IFERROR(VLOOKUP(D418,Parameter!$A$35:$C$64,2,0),"Nein")=""),"-",VLOOKUP(D418,Parameter!$A$35:$C$64,2,0)))))</f>
        <v>2</v>
      </c>
      <c r="Y418" s="62"/>
      <c r="Z418" s="63"/>
      <c r="AA418" s="57" t="n">
        <f aca="false">AP418</f>
        <v>1</v>
      </c>
      <c r="AB418" s="57" t="n">
        <f aca="false">MAX(AP418,G418)</f>
        <v>2</v>
      </c>
      <c r="AC418" s="64"/>
      <c r="AD418" s="57" t="n">
        <f aca="false">IF(LEFT(Cockpit!$C$5,1)="A",G418,IF(BW418=1,BX418,IF(LEFT(Cockpit!$C$5,1)="B",AH418,MAX(AH418,G418))))</f>
        <v>2</v>
      </c>
      <c r="AE418" s="57" t="n">
        <f aca="false">IF(BR418=1,0,ROUNDUP(AD418/BQ418,0))</f>
        <v>0</v>
      </c>
      <c r="AF418" s="59" t="n">
        <f aca="false">IF(CD418&gt;0,CD418*MAX(1,AD418/V418),IF(BR418=1,IF(AD418&lt;=0,0,BS418*MAX(1,IF(G418&gt;0,AD418/G418,1))),IF(Q418&gt;0,AE418/Q418,0))/MAX(0.1,N(Parameter!$M$21)))</f>
        <v>0.03</v>
      </c>
      <c r="AG418" s="57" t="n">
        <f aca="false">AD418*F418</f>
        <v>94.54</v>
      </c>
      <c r="AH418" s="57" t="n">
        <f aca="false">ROUNDUP(MAX(I418/IF(BV418&gt;0,BV418,MAX(0.1,N(Cockpit!$C$6))),BY418)/BQ418,0)*BQ418</f>
        <v>1</v>
      </c>
      <c r="AI418" s="58" t="n">
        <f aca="false">IF(AF418&gt;0,I418/AF418,-1)</f>
        <v>0</v>
      </c>
      <c r="AJ418" s="58" t="n">
        <f aca="false">IF(AND(OR(BU418="L1",BU418="L23"),AF418&gt;0),SUMIFS($AF$7:$AF$1576,$BU$7:$BU$1576,BU418,$AI$7:$AI$1576,"&gt;"&amp;AI418)+SUMIFS($AF$7:$AF$1576,$BU$7:$BU$1576,BU418,$AI$7:$AI$1576,AI418,$BO$7:$BO$1576,"&lt;="&amp;BO418),"")</f>
        <v>41.8159227728793</v>
      </c>
      <c r="AK418" s="65" t="n">
        <f aca="false">IF(AJ418="",0,MAX(0,MIN(1,(IF(BU418="L1",Parameter!$E$5,Parameter!$E$6+Parameter!$E$7)-(AJ418-AF418))/AF418)))</f>
        <v>1</v>
      </c>
      <c r="AL418" s="57" t="n">
        <f aca="false">IF(LEFT(Cockpit!$I$5,1)="A",G418,IF(BW418=1,BX418,IF(LEFT(Cockpit!$I$5,1)="B",AP418,MAX(AP418,G418))))</f>
        <v>2</v>
      </c>
      <c r="AM418" s="57" t="n">
        <f aca="false">IF(BR418=1,0,ROUNDUP(AL418/BQ418,0))</f>
        <v>0</v>
      </c>
      <c r="AN418" s="59" t="n">
        <f aca="false">IF(CD418&gt;0,CD418*MAX(1,AL418/V418),IF(BR418=1,IF(AL418&lt;=0,0,BS418*MAX(1,IF(G418&gt;0,AL418/G418,1))),IF(Q418&gt;0,AM418/Q418,0))/MAX(0.1,N(Parameter!$M$21)))</f>
        <v>0.03</v>
      </c>
      <c r="AO418" s="57" t="n">
        <f aca="false">AL418*F418</f>
        <v>94.54</v>
      </c>
      <c r="AP418" s="57" t="n">
        <f aca="false">ROUNDUP(MAX(I418/IF(BV418&gt;0,BV418,MAX(0.1,N(Cockpit!$I$6))),BY418)/BQ418,0)*BQ418</f>
        <v>1</v>
      </c>
      <c r="AQ418" s="58" t="n">
        <f aca="false">IF(AN418&gt;0,I418/AN418,-1)</f>
        <v>0</v>
      </c>
      <c r="AR418" s="58" t="n">
        <f aca="false">IF(AND(OR(BU418="L1",BU418="L23"),AN418&gt;0),SUMIFS($AN$7:$AN$1576,$BU$7:$BU$1576,BU418,$AQ$7:$AQ$1576,"&gt;"&amp;AQ418)+SUMIFS($AN$7:$AN$1576,$BU$7:$BU$1576,BU418,$AQ$7:$AQ$1576,AQ418,$BO$7:$BO$1576,"&lt;="&amp;BO418),"")</f>
        <v>124.806049013597</v>
      </c>
      <c r="AS418" s="65" t="n">
        <f aca="false">IF(AR418="",0,MAX(0,MIN(1,(IF(BU418="L1",Parameter!$E$5,Parameter!$E$6+Parameter!$E$7)-(AR418-AN418))/AN418)))</f>
        <v>0</v>
      </c>
      <c r="AT418" s="57" t="n">
        <f aca="false">IF(LEFT(Cockpit!$O$5,1)="A",G418,IF(BW418=1,BX418,IF(LEFT(Cockpit!$O$5,1)="B",AX418,MAX(AX418,G418))))</f>
        <v>2</v>
      </c>
      <c r="AU418" s="57" t="n">
        <f aca="false">IF(BR418=1,0,ROUNDUP(AT418/BQ418,0))</f>
        <v>0</v>
      </c>
      <c r="AV418" s="59" t="n">
        <f aca="false">IF(CD418&gt;0,CD418*MAX(1,AT418/V418),IF(BR418=1,IF(AT418&lt;=0,0,BS418*MAX(1,IF(G418&gt;0,AT418/G418,1))),IF(Q418&gt;0,AU418/Q418,0))/MAX(0.1,N(Parameter!$M$21)))</f>
        <v>0.03</v>
      </c>
      <c r="AW418" s="57" t="n">
        <f aca="false">AT418*F418</f>
        <v>94.54</v>
      </c>
      <c r="AX418" s="57" t="n">
        <f aca="false">ROUNDUP(MAX(I418/IF(BV418&gt;0,BV418,MAX(0.1,N(Cockpit!$O$6))),BY418)/BQ418,0)*BQ418</f>
        <v>1</v>
      </c>
      <c r="AY418" s="58" t="n">
        <f aca="false">IF(AV418&gt;0,I418/AV418,-1)</f>
        <v>0</v>
      </c>
      <c r="AZ418" s="58" t="n">
        <f aca="false">IF(AND(OR(BU418="L1",BU418="L23"),AV418&gt;0),SUMIFS($AV$7:$AV$1576,$BU$7:$BU$1576,BU418,$AY$7:$AY$1576,"&gt;"&amp;AY418)+SUMIFS($AV$7:$AV$1576,$BU$7:$BU$1576,BU418,$AY$7:$AY$1576,AY418,$BO$7:$BO$1576,"&lt;="&amp;BO418),"")</f>
        <v>114.865599463148</v>
      </c>
      <c r="BA418" s="65" t="n">
        <f aca="false">IF(AZ418="",0,MAX(0,MIN(1,(IF(BU418="L1",Parameter!$E$5,Parameter!$E$6+Parameter!$E$7)-(AZ418-AV418))/AV418)))</f>
        <v>0</v>
      </c>
      <c r="BB418" s="55" t="str">
        <f aca="false">IF(AF418&lt;=0,"",IF(BU418="Aussen","Aussenlager",IF(BU418="-","Nicht im Lift",IF(AK418&gt;=1,"Lift",IF(AK418&lt;=0,"Aussenlager","teilweise")))))</f>
        <v>Lift</v>
      </c>
      <c r="BC418" s="55" t="str">
        <f aca="false">IF(AN418&lt;=0,"",IF(BU418="Aussen","Aussenlager",IF(BU418="-","Nicht im Lift",IF(AS418&gt;=1,"Lift",IF(AS418&lt;=0,"Aussenlager","teilweise")))))</f>
        <v>Aussenlager</v>
      </c>
      <c r="BD418" s="55" t="str">
        <f aca="false">IF(AV418&lt;=0,"",IF(BU418="Aussen","Aussenlager",IF(BU418="-","Nicht im Lift",IF(BA418&gt;=1,"Lift",IF(BA418&lt;=0,"Aussenlager","teilweise")))))</f>
        <v>Aussenlager</v>
      </c>
      <c r="BE418" s="55" t="str">
        <f aca="false">IF(A418="","",IF(BN418=1,"Neu; ","")&amp;IF(AND(BN418=0,BI418&lt;0),"negativer Bestand (Export "&amp;BI418&amp;"); ","")&amp;IF(I418&lt;=0,"Kein Verbrauch; ","")&amp;IF(CD418&gt;0,"Lift "&amp;U418&amp;" lt. Liftbericht (Fach "&amp;V418&amp;" Stk); ",IF(BR418=1,"Lose – Fläche geschätzt; ",""))&amp;IF(G418&gt;AP418,"Überbestand "&amp;ROUND(G418-AP418,0)&amp;" Stk / CHF "&amp;ROUND((G418-AP418)*F418,0)&amp;"; ","")&amp;IF(AND(BW418=1,BX418&lt;BY418),"MAX &lt; MB+LG; ","")&amp;IF(AND(CC418&gt;0,CB418*10&gt;CC418),"zu hoch für Tablar; ","")&amp;IF(AND(BN418=0,OR(BW418=1,Y418&lt;&gt;"",S418&lt;&gt;"",T418&lt;&gt;"",Z418&lt;&gt;"")),"manuell übersteuert; ","")&amp;IF(AND(BR418=0,Q418=0),"Gebinde unbekannt / Stellmass fehlt; ","")&amp;IF(AND(BR418=0,N(T418)&lt;=0,N(P418)&lt;=0),"Menge pro Gebinde fehlt (Ist = 1 Gebinde); ","")&amp;BM418)</f>
        <v>Kein Verbrauch; Lose – Fläche geschätzt; Überbestand 1 Stk / CHF 47; </v>
      </c>
      <c r="BF418" s="55"/>
      <c r="BG418" s="55"/>
      <c r="BH418" s="62"/>
      <c r="BI418" s="57" t="n">
        <v>2</v>
      </c>
      <c r="BJ418" s="57" t="n">
        <v>2</v>
      </c>
      <c r="BK418" s="56" t="n">
        <v>94.54</v>
      </c>
      <c r="BL418" s="57" t="n">
        <v>0</v>
      </c>
      <c r="BM418" s="55"/>
      <c r="BN418" s="60" t="n">
        <v>0</v>
      </c>
      <c r="BO418" s="60" t="n">
        <v>418</v>
      </c>
      <c r="BP418" s="55" t="str">
        <f aca="false">IF(S418&lt;&gt;"",UPPER(TRIM(S418)),IF(O418="","LOSE",O418))</f>
        <v>LOSE</v>
      </c>
      <c r="BQ418" s="57" t="n">
        <f aca="false">IF(BP418="LOSE",1,IF(N(T418)&gt;0,T418,IF(N(P418)&gt;0,P418,MAX(1,G418))))</f>
        <v>1</v>
      </c>
      <c r="BR418" s="60" t="n">
        <f aca="false">IF(BP418="LOSE",1,0)</f>
        <v>1</v>
      </c>
      <c r="BS418" s="59" t="n">
        <f aca="false">IF(BR418=0,0,IF(N(R418)&gt;0,R418,IFERROR(VLOOKUP(D418,Parameter!$A$35:$C$64,3,0)+0,0)))</f>
        <v>0.03</v>
      </c>
      <c r="BT418" s="55" t="n">
        <f aca="false">IF(Y418&lt;&gt;"",Y418,X418)</f>
        <v>2</v>
      </c>
      <c r="BU418" s="55" t="str">
        <f aca="false">IF(BT418=1,"L1",IF(OR(BT418=2,BT418=3),"L23",IF(BT418="Aussen","Aussen","-")))</f>
        <v>L23</v>
      </c>
      <c r="BV418" s="66" t="n">
        <f aca="false">IF(N(Z418)&gt;0,Z418,0)</f>
        <v>0</v>
      </c>
      <c r="BW418" s="60" t="n">
        <f aca="false">IF(ISNUMBER(AC418),1,0)</f>
        <v>0</v>
      </c>
      <c r="BX418" s="57" t="n">
        <f aca="false">N(AC418)</f>
        <v>0</v>
      </c>
      <c r="BY418" s="57" t="n">
        <f aca="false">N(L418)+N(M418)</f>
        <v>1</v>
      </c>
      <c r="BZ418" s="57" t="n">
        <f aca="false">ROUNDUP(G418/BQ418,0)</f>
        <v>2</v>
      </c>
      <c r="CA418" s="57" t="n">
        <f aca="false">ROUNDUP(BX418/BQ418,0)</f>
        <v>0</v>
      </c>
      <c r="CB418" s="60" t="n">
        <f aca="false">IF(BR418=1,0,IFERROR(VLOOKUP(BP418,'Gebinde-Kategorie'!$A$5:$M$45,5,0)+0,0))</f>
        <v>0</v>
      </c>
      <c r="CC418" s="60" t="n">
        <f aca="false">IFERROR(IF(OR(BT418=1,BT418=2,BT418=3),N(INDEX(Parameter!$I$5:$I$7,BT418)),0),0)</f>
        <v>0</v>
      </c>
      <c r="CD418" s="59" t="n">
        <f aca="false">IF(AND(Parameter!$B$21="Ja",ISNUMBER(U418),N(V418)&gt;0),IFERROR(N(INDEX(Parameter!$L$5:$L$7,U418))*INDEX(Parameter!$E$5:$E$7,U418)*V418/SUMIFS($V$7:$V$1576,$U$7:$U$1576,U418),0),0)</f>
        <v>0</v>
      </c>
    </row>
    <row r="419" customFormat="false" ht="15" hidden="false" customHeight="false" outlineLevel="0" collapsed="false">
      <c r="A419" s="55" t="s">
        <v>956</v>
      </c>
      <c r="B419" s="55" t="s">
        <v>457</v>
      </c>
      <c r="C419" s="55" t="s">
        <v>160</v>
      </c>
      <c r="D419" s="55" t="s">
        <v>168</v>
      </c>
      <c r="E419" s="55" t="s">
        <v>210</v>
      </c>
      <c r="F419" s="56" t="n">
        <v>0.45</v>
      </c>
      <c r="G419" s="57" t="n">
        <f aca="false">MAX(0,IF(AND(Parameter!$B$21="Ja",ISNUMBER(W419)),W419,IF(Parameter!$B$20="Jahresanfang 2025 + Export",BJ419+BI419,BI419)))</f>
        <v>210</v>
      </c>
      <c r="H419" s="57" t="n">
        <f aca="false">G419*F419</f>
        <v>94.5</v>
      </c>
      <c r="I419" s="57" t="n">
        <f aca="false">BL419*Parameter!$B$18</f>
        <v>20</v>
      </c>
      <c r="J419" s="58" t="n">
        <v>0</v>
      </c>
      <c r="K419" s="59" t="n">
        <v>0</v>
      </c>
      <c r="L419" s="57" t="n">
        <v>1</v>
      </c>
      <c r="M419" s="57" t="n">
        <v>20</v>
      </c>
      <c r="N419" s="60" t="n">
        <v>31</v>
      </c>
      <c r="O419" s="55" t="s">
        <v>163</v>
      </c>
      <c r="P419" s="57"/>
      <c r="Q419" s="60" t="n">
        <f aca="false">IF(BR419=1,0,IFERROR(VLOOKUP(BP419,'Gebinde-Kategorie'!$A$5:$M$45,13,0)+0,0))</f>
        <v>0</v>
      </c>
      <c r="R419" s="61"/>
      <c r="S419" s="62"/>
      <c r="T419" s="62"/>
      <c r="U419" s="55"/>
      <c r="V419" s="57"/>
      <c r="W419" s="57"/>
      <c r="X419" s="55" t="n">
        <f aca="false">IF(A419="","",IF(AND(Parameter!$B$21="Ja",ISNUMBER(U419)),U419,IF(IFERROR(VLOOKUP(D419,Parameter!$A$35:$C$64,2,0),"Nein")="2+3",IF(ISNUMBER(SEARCH("grosser Artikel",BM419)),2,IFERROR(VLOOKUP(BP419,Parameter!$F$35:$G$64,2,0),2)),IF(OR(IFERROR(VLOOKUP(D419,Parameter!$A$35:$C$64,2,0),"Nein")="Nein",IFERROR(VLOOKUP(D419,Parameter!$A$35:$C$64,2,0),"Nein")=""),"-",VLOOKUP(D419,Parameter!$A$35:$C$64,2,0)))))</f>
        <v>2</v>
      </c>
      <c r="Y419" s="62"/>
      <c r="Z419" s="63"/>
      <c r="AA419" s="57" t="n">
        <f aca="false">AP419</f>
        <v>21</v>
      </c>
      <c r="AB419" s="57" t="n">
        <f aca="false">MAX(AP419,G419)</f>
        <v>210</v>
      </c>
      <c r="AC419" s="64"/>
      <c r="AD419" s="57" t="n">
        <f aca="false">IF(LEFT(Cockpit!$C$5,1)="A",G419,IF(BW419=1,BX419,IF(LEFT(Cockpit!$C$5,1)="B",AH419,MAX(AH419,G419))))</f>
        <v>210</v>
      </c>
      <c r="AE419" s="57" t="n">
        <f aca="false">IF(BR419=1,0,ROUNDUP(AD419/BQ419,0))</f>
        <v>0</v>
      </c>
      <c r="AF419" s="59" t="n">
        <f aca="false">IF(CD419&gt;0,CD419*MAX(1,AD419/V419),IF(BR419=1,IF(AD419&lt;=0,0,BS419*MAX(1,IF(G419&gt;0,AD419/G419,1))),IF(Q419&gt;0,AE419/Q419,0))/MAX(0.1,N(Parameter!$M$21)))</f>
        <v>0.15</v>
      </c>
      <c r="AG419" s="57" t="n">
        <f aca="false">AD419*F419</f>
        <v>94.5</v>
      </c>
      <c r="AH419" s="57" t="n">
        <f aca="false">ROUNDUP(MAX(I419/IF(BV419&gt;0,BV419,MAX(0.1,N(Cockpit!$C$6))),BY419)/BQ419,0)*BQ419</f>
        <v>21</v>
      </c>
      <c r="AI419" s="58" t="n">
        <f aca="false">IF(AF419&gt;0,I419/AF419,-1)</f>
        <v>133.333333333333</v>
      </c>
      <c r="AJ419" s="58" t="n">
        <f aca="false">IF(AND(OR(BU419="L1",BU419="L23"),AF419&gt;0),SUMIFS($AF$7:$AF$1576,$BU$7:$BU$1576,BU419,$AI$7:$AI$1576,"&gt;"&amp;AI419)+SUMIFS($AF$7:$AF$1576,$BU$7:$BU$1576,BU419,$AI$7:$AI$1576,AI419,$BO$7:$BO$1576,"&lt;="&amp;BO419),"")</f>
        <v>20.3403749873315</v>
      </c>
      <c r="AK419" s="65" t="n">
        <f aca="false">IF(AJ419="",0,MAX(0,MIN(1,(IF(BU419="L1",Parameter!$E$5,Parameter!$E$6+Parameter!$E$7)-(AJ419-AF419))/AF419)))</f>
        <v>1</v>
      </c>
      <c r="AL419" s="57" t="n">
        <f aca="false">IF(LEFT(Cockpit!$I$5,1)="A",G419,IF(BW419=1,BX419,IF(LEFT(Cockpit!$I$5,1)="B",AP419,MAX(AP419,G419))))</f>
        <v>210</v>
      </c>
      <c r="AM419" s="57" t="n">
        <f aca="false">IF(BR419=1,0,ROUNDUP(AL419/BQ419,0))</f>
        <v>0</v>
      </c>
      <c r="AN419" s="59" t="n">
        <f aca="false">IF(CD419&gt;0,CD419*MAX(1,AL419/V419),IF(BR419=1,IF(AL419&lt;=0,0,BS419*MAX(1,IF(G419&gt;0,AL419/G419,1))),IF(Q419&gt;0,AM419/Q419,0))/MAX(0.1,N(Parameter!$M$21)))</f>
        <v>0.15</v>
      </c>
      <c r="AO419" s="57" t="n">
        <f aca="false">AL419*F419</f>
        <v>94.5</v>
      </c>
      <c r="AP419" s="57" t="n">
        <f aca="false">ROUNDUP(MAX(I419/IF(BV419&gt;0,BV419,MAX(0.1,N(Cockpit!$I$6))),BY419)/BQ419,0)*BQ419</f>
        <v>21</v>
      </c>
      <c r="AQ419" s="58" t="n">
        <f aca="false">IF(AN419&gt;0,I419/AN419,-1)</f>
        <v>133.333333333333</v>
      </c>
      <c r="AR419" s="58" t="n">
        <f aca="false">IF(AND(OR(BU419="L1",BU419="L23"),AN419&gt;0),SUMIFS($AN$7:$AN$1576,$BU$7:$BU$1576,BU419,$AQ$7:$AQ$1576,"&gt;"&amp;AQ419)+SUMIFS($AN$7:$AN$1576,$BU$7:$BU$1576,BU419,$AQ$7:$AQ$1576,AQ419,$BO$7:$BO$1576,"&lt;="&amp;BO419),"")</f>
        <v>59.732223827235</v>
      </c>
      <c r="AS419" s="65" t="n">
        <f aca="false">IF(AR419="",0,MAX(0,MIN(1,(IF(BU419="L1",Parameter!$E$5,Parameter!$E$6+Parameter!$E$7)-(AR419-AN419))/AN419)))</f>
        <v>1</v>
      </c>
      <c r="AT419" s="57" t="n">
        <f aca="false">IF(LEFT(Cockpit!$O$5,1)="A",G419,IF(BW419=1,BX419,IF(LEFT(Cockpit!$O$5,1)="B",AX419,MAX(AX419,G419))))</f>
        <v>210</v>
      </c>
      <c r="AU419" s="57" t="n">
        <f aca="false">IF(BR419=1,0,ROUNDUP(AT419/BQ419,0))</f>
        <v>0</v>
      </c>
      <c r="AV419" s="59" t="n">
        <f aca="false">IF(CD419&gt;0,CD419*MAX(1,AT419/V419),IF(BR419=1,IF(AT419&lt;=0,0,BS419*MAX(1,IF(G419&gt;0,AT419/G419,1))),IF(Q419&gt;0,AU419/Q419,0))/MAX(0.1,N(Parameter!$M$21)))</f>
        <v>0.15</v>
      </c>
      <c r="AW419" s="57" t="n">
        <f aca="false">AT419*F419</f>
        <v>94.5</v>
      </c>
      <c r="AX419" s="57" t="n">
        <f aca="false">ROUNDUP(MAX(I419/IF(BV419&gt;0,BV419,MAX(0.1,N(Cockpit!$O$6))),BY419)/BQ419,0)*BQ419</f>
        <v>21</v>
      </c>
      <c r="AY419" s="58" t="n">
        <f aca="false">IF(AV419&gt;0,I419/AV419,-1)</f>
        <v>133.333333333333</v>
      </c>
      <c r="AZ419" s="58" t="n">
        <f aca="false">IF(AND(OR(BU419="L1",BU419="L23"),AV419&gt;0),SUMIFS($AV$7:$AV$1576,$BU$7:$BU$1576,BU419,$AY$7:$AY$1576,"&gt;"&amp;AY419)+SUMIFS($AV$7:$AV$1576,$BU$7:$BU$1576,BU419,$AY$7:$AY$1576,AY419,$BO$7:$BO$1576,"&lt;="&amp;BO419),"")</f>
        <v>54.3946909434521</v>
      </c>
      <c r="BA419" s="65" t="n">
        <f aca="false">IF(AZ419="",0,MAX(0,MIN(1,(IF(BU419="L1",Parameter!$E$5,Parameter!$E$6+Parameter!$E$7)-(AZ419-AV419))/AV419)))</f>
        <v>1</v>
      </c>
      <c r="BB419" s="55" t="str">
        <f aca="false">IF(AF419&lt;=0,"",IF(BU419="Aussen","Aussenlager",IF(BU419="-","Nicht im Lift",IF(AK419&gt;=1,"Lift",IF(AK419&lt;=0,"Aussenlager","teilweise")))))</f>
        <v>Lift</v>
      </c>
      <c r="BC419" s="55" t="str">
        <f aca="false">IF(AN419&lt;=0,"",IF(BU419="Aussen","Aussenlager",IF(BU419="-","Nicht im Lift",IF(AS419&gt;=1,"Lift",IF(AS419&lt;=0,"Aussenlager","teilweise")))))</f>
        <v>Lift</v>
      </c>
      <c r="BD419" s="55" t="str">
        <f aca="false">IF(AV419&lt;=0,"",IF(BU419="Aussen","Aussenlager",IF(BU419="-","Nicht im Lift",IF(BA419&gt;=1,"Lift",IF(BA419&lt;=0,"Aussenlager","teilweise")))))</f>
        <v>Lift</v>
      </c>
      <c r="BE419" s="55" t="str">
        <f aca="false">IF(A419="","",IF(BN419=1,"Neu; ","")&amp;IF(AND(BN419=0,BI419&lt;0),"negativer Bestand (Export "&amp;BI419&amp;"); ","")&amp;IF(I419&lt;=0,"Kein Verbrauch; ","")&amp;IF(CD419&gt;0,"Lift "&amp;U419&amp;" lt. Liftbericht (Fach "&amp;V419&amp;" Stk); ",IF(BR419=1,"Lose – Fläche geschätzt; ",""))&amp;IF(G419&gt;AP419,"Überbestand "&amp;ROUND(G419-AP419,0)&amp;" Stk / CHF "&amp;ROUND((G419-AP419)*F419,0)&amp;"; ","")&amp;IF(AND(BW419=1,BX419&lt;BY419),"MAX &lt; MB+LG; ","")&amp;IF(AND(CC419&gt;0,CB419*10&gt;CC419),"zu hoch für Tablar; ","")&amp;IF(AND(BN419=0,OR(BW419=1,Y419&lt;&gt;"",S419&lt;&gt;"",T419&lt;&gt;"",Z419&lt;&gt;"")),"manuell übersteuert; ","")&amp;IF(AND(BR419=0,Q419=0),"Gebinde unbekannt / Stellmass fehlt; ","")&amp;IF(AND(BR419=0,N(T419)&lt;=0,N(P419)&lt;=0),"Menge pro Gebinde fehlt (Ist = 1 Gebinde); ","")&amp;BM419)</f>
        <v>Lose – Fläche geschätzt; Überbestand 189 Stk / CHF 85; </v>
      </c>
      <c r="BF419" s="55"/>
      <c r="BG419" s="55"/>
      <c r="BH419" s="62"/>
      <c r="BI419" s="57" t="n">
        <v>210</v>
      </c>
      <c r="BJ419" s="57" t="n">
        <v>0</v>
      </c>
      <c r="BK419" s="56" t="n">
        <v>94.5</v>
      </c>
      <c r="BL419" s="57" t="n">
        <v>20</v>
      </c>
      <c r="BM419" s="55"/>
      <c r="BN419" s="60" t="n">
        <v>0</v>
      </c>
      <c r="BO419" s="60" t="n">
        <v>419</v>
      </c>
      <c r="BP419" s="55" t="str">
        <f aca="false">IF(S419&lt;&gt;"",UPPER(TRIM(S419)),IF(O419="","LOSE",O419))</f>
        <v>LOSE</v>
      </c>
      <c r="BQ419" s="57" t="n">
        <f aca="false">IF(BP419="LOSE",1,IF(N(T419)&gt;0,T419,IF(N(P419)&gt;0,P419,MAX(1,G419))))</f>
        <v>1</v>
      </c>
      <c r="BR419" s="60" t="n">
        <f aca="false">IF(BP419="LOSE",1,0)</f>
        <v>1</v>
      </c>
      <c r="BS419" s="59" t="n">
        <f aca="false">IF(BR419=0,0,IF(N(R419)&gt;0,R419,IFERROR(VLOOKUP(D419,Parameter!$A$35:$C$64,3,0)+0,0)))</f>
        <v>0.15</v>
      </c>
      <c r="BT419" s="55" t="n">
        <f aca="false">IF(Y419&lt;&gt;"",Y419,X419)</f>
        <v>2</v>
      </c>
      <c r="BU419" s="55" t="str">
        <f aca="false">IF(BT419=1,"L1",IF(OR(BT419=2,BT419=3),"L23",IF(BT419="Aussen","Aussen","-")))</f>
        <v>L23</v>
      </c>
      <c r="BV419" s="66" t="n">
        <f aca="false">IF(N(Z419)&gt;0,Z419,0)</f>
        <v>0</v>
      </c>
      <c r="BW419" s="60" t="n">
        <f aca="false">IF(ISNUMBER(AC419),1,0)</f>
        <v>0</v>
      </c>
      <c r="BX419" s="57" t="n">
        <f aca="false">N(AC419)</f>
        <v>0</v>
      </c>
      <c r="BY419" s="57" t="n">
        <f aca="false">N(L419)+N(M419)</f>
        <v>21</v>
      </c>
      <c r="BZ419" s="57" t="n">
        <f aca="false">ROUNDUP(G419/BQ419,0)</f>
        <v>210</v>
      </c>
      <c r="CA419" s="57" t="n">
        <f aca="false">ROUNDUP(BX419/BQ419,0)</f>
        <v>0</v>
      </c>
      <c r="CB419" s="60" t="n">
        <f aca="false">IF(BR419=1,0,IFERROR(VLOOKUP(BP419,'Gebinde-Kategorie'!$A$5:$M$45,5,0)+0,0))</f>
        <v>0</v>
      </c>
      <c r="CC419" s="60" t="n">
        <f aca="false">IFERROR(IF(OR(BT419=1,BT419=2,BT419=3),N(INDEX(Parameter!$I$5:$I$7,BT419)),0),0)</f>
        <v>0</v>
      </c>
      <c r="CD419" s="59" t="n">
        <f aca="false">IF(AND(Parameter!$B$21="Ja",ISNUMBER(U419),N(V419)&gt;0),IFERROR(N(INDEX(Parameter!$L$5:$L$7,U419))*INDEX(Parameter!$E$5:$E$7,U419)*V419/SUMIFS($V$7:$V$1576,$U$7:$U$1576,U419),0),0)</f>
        <v>0</v>
      </c>
    </row>
    <row r="420" customFormat="false" ht="15" hidden="false" customHeight="false" outlineLevel="0" collapsed="false">
      <c r="A420" s="55" t="s">
        <v>957</v>
      </c>
      <c r="B420" s="55" t="s">
        <v>395</v>
      </c>
      <c r="C420" s="55" t="s">
        <v>160</v>
      </c>
      <c r="D420" s="55" t="s">
        <v>178</v>
      </c>
      <c r="E420" s="55" t="s">
        <v>210</v>
      </c>
      <c r="F420" s="56" t="n">
        <v>0.47</v>
      </c>
      <c r="G420" s="57" t="n">
        <f aca="false">MAX(0,IF(AND(Parameter!$B$21="Ja",ISNUMBER(W420)),W420,IF(Parameter!$B$20="Jahresanfang 2025 + Export",BJ420+BI420,BI420)))</f>
        <v>200</v>
      </c>
      <c r="H420" s="57" t="n">
        <f aca="false">G420*F420</f>
        <v>94</v>
      </c>
      <c r="I420" s="57" t="n">
        <f aca="false">BL420*Parameter!$B$18</f>
        <v>180</v>
      </c>
      <c r="J420" s="58" t="n">
        <v>10</v>
      </c>
      <c r="K420" s="59" t="n">
        <v>18</v>
      </c>
      <c r="L420" s="57" t="n">
        <v>7</v>
      </c>
      <c r="M420" s="57" t="n">
        <v>200</v>
      </c>
      <c r="N420" s="60" t="n">
        <v>14</v>
      </c>
      <c r="O420" s="55" t="s">
        <v>319</v>
      </c>
      <c r="P420" s="57" t="n">
        <v>100</v>
      </c>
      <c r="Q420" s="60" t="n">
        <f aca="false">IF(BR420=1,0,IFERROR(VLOOKUP(BP420,'Gebinde-Kategorie'!$A$5:$M$45,13,0)+0,0))</f>
        <v>52</v>
      </c>
      <c r="R420" s="61"/>
      <c r="S420" s="62"/>
      <c r="T420" s="62"/>
      <c r="U420" s="55"/>
      <c r="V420" s="57"/>
      <c r="W420" s="57"/>
      <c r="X420" s="55" t="n">
        <f aca="false">IF(A420="","",IF(AND(Parameter!$B$21="Ja",ISNUMBER(U420)),U420,IF(IFERROR(VLOOKUP(D420,Parameter!$A$35:$C$64,2,0),"Nein")="2+3",IF(ISNUMBER(SEARCH("grosser Artikel",BM420)),2,IFERROR(VLOOKUP(BP420,Parameter!$F$35:$G$64,2,0),2)),IF(OR(IFERROR(VLOOKUP(D420,Parameter!$A$35:$C$64,2,0),"Nein")="Nein",IFERROR(VLOOKUP(D420,Parameter!$A$35:$C$64,2,0),"Nein")=""),"-",VLOOKUP(D420,Parameter!$A$35:$C$64,2,0)))))</f>
        <v>3</v>
      </c>
      <c r="Y420" s="62"/>
      <c r="Z420" s="63"/>
      <c r="AA420" s="57" t="n">
        <f aca="false">AP420</f>
        <v>300</v>
      </c>
      <c r="AB420" s="57" t="n">
        <f aca="false">MAX(AP420,G420)</f>
        <v>300</v>
      </c>
      <c r="AC420" s="64"/>
      <c r="AD420" s="57" t="n">
        <f aca="false">IF(LEFT(Cockpit!$C$5,1)="A",G420,IF(BW420=1,BX420,IF(LEFT(Cockpit!$C$5,1)="B",AH420,MAX(AH420,G420))))</f>
        <v>200</v>
      </c>
      <c r="AE420" s="57" t="n">
        <f aca="false">IF(BR420=1,0,ROUNDUP(AD420/BQ420,0))</f>
        <v>2</v>
      </c>
      <c r="AF420" s="59" t="n">
        <f aca="false">IF(CD420&gt;0,CD420*MAX(1,AD420/V420),IF(BR420=1,IF(AD420&lt;=0,0,BS420*MAX(1,IF(G420&gt;0,AD420/G420,1))),IF(Q420&gt;0,AE420/Q420,0))/MAX(0.1,N(Parameter!$M$21)))</f>
        <v>0.0384615384615385</v>
      </c>
      <c r="AG420" s="57" t="n">
        <f aca="false">AD420*F420</f>
        <v>94</v>
      </c>
      <c r="AH420" s="57" t="n">
        <f aca="false">ROUNDUP(MAX(I420/IF(BV420&gt;0,BV420,MAX(0.1,N(Cockpit!$C$6))),BY420)/BQ420,0)*BQ420</f>
        <v>300</v>
      </c>
      <c r="AI420" s="58" t="n">
        <f aca="false">IF(AF420&gt;0,I420/AF420,-1)</f>
        <v>4680</v>
      </c>
      <c r="AJ420" s="58" t="n">
        <f aca="false">IF(AND(OR(BU420="L1",BU420="L23"),AF420&gt;0),SUMIFS($AF$7:$AF$1576,$BU$7:$BU$1576,BU420,$AI$7:$AI$1576,"&gt;"&amp;AI420)+SUMIFS($AF$7:$AF$1576,$BU$7:$BU$1576,BU420,$AI$7:$AI$1576,AI420,$BO$7:$BO$1576,"&lt;="&amp;BO420),"")</f>
        <v>3.97425222120874</v>
      </c>
      <c r="AK420" s="65" t="n">
        <f aca="false">IF(AJ420="",0,MAX(0,MIN(1,(IF(BU420="L1",Parameter!$E$5,Parameter!$E$6+Parameter!$E$7)-(AJ420-AF420))/AF420)))</f>
        <v>1</v>
      </c>
      <c r="AL420" s="57" t="n">
        <f aca="false">IF(LEFT(Cockpit!$I$5,1)="A",G420,IF(BW420=1,BX420,IF(LEFT(Cockpit!$I$5,1)="B",AP420,MAX(AP420,G420))))</f>
        <v>300</v>
      </c>
      <c r="AM420" s="57" t="n">
        <f aca="false">IF(BR420=1,0,ROUNDUP(AL420/BQ420,0))</f>
        <v>3</v>
      </c>
      <c r="AN420" s="59" t="n">
        <f aca="false">IF(CD420&gt;0,CD420*MAX(1,AL420/V420),IF(BR420=1,IF(AL420&lt;=0,0,BS420*MAX(1,IF(G420&gt;0,AL420/G420,1))),IF(Q420&gt;0,AM420/Q420,0))/MAX(0.1,N(Parameter!$M$21)))</f>
        <v>0.0576923076923077</v>
      </c>
      <c r="AO420" s="57" t="n">
        <f aca="false">AL420*F420</f>
        <v>141</v>
      </c>
      <c r="AP420" s="57" t="n">
        <f aca="false">ROUNDUP(MAX(I420/IF(BV420&gt;0,BV420,MAX(0.1,N(Cockpit!$I$6))),BY420)/BQ420,0)*BQ420</f>
        <v>300</v>
      </c>
      <c r="AQ420" s="58" t="n">
        <f aca="false">IF(AN420&gt;0,I420/AN420,-1)</f>
        <v>3120</v>
      </c>
      <c r="AR420" s="58" t="n">
        <f aca="false">IF(AND(OR(BU420="L1",BU420="L23"),AN420&gt;0),SUMIFS($AN$7:$AN$1576,$BU$7:$BU$1576,BU420,$AQ$7:$AQ$1576,"&gt;"&amp;AQ420)+SUMIFS($AN$7:$AN$1576,$BU$7:$BU$1576,BU420,$AQ$7:$AQ$1576,AQ420,$BO$7:$BO$1576,"&lt;="&amp;BO420),"")</f>
        <v>14.1765615790007</v>
      </c>
      <c r="AS420" s="65" t="n">
        <f aca="false">IF(AR420="",0,MAX(0,MIN(1,(IF(BU420="L1",Parameter!$E$5,Parameter!$E$6+Parameter!$E$7)-(AR420-AN420))/AN420)))</f>
        <v>1</v>
      </c>
      <c r="AT420" s="57" t="n">
        <f aca="false">IF(LEFT(Cockpit!$O$5,1)="A",G420,IF(BW420=1,BX420,IF(LEFT(Cockpit!$O$5,1)="B",AX420,MAX(AX420,G420))))</f>
        <v>300</v>
      </c>
      <c r="AU420" s="57" t="n">
        <f aca="false">IF(BR420=1,0,ROUNDUP(AT420/BQ420,0))</f>
        <v>3</v>
      </c>
      <c r="AV420" s="59" t="n">
        <f aca="false">IF(CD420&gt;0,CD420*MAX(1,AT420/V420),IF(BR420=1,IF(AT420&lt;=0,0,BS420*MAX(1,IF(G420&gt;0,AT420/G420,1))),IF(Q420&gt;0,AU420/Q420,0))/MAX(0.1,N(Parameter!$M$21)))</f>
        <v>0.0576923076923077</v>
      </c>
      <c r="AW420" s="57" t="n">
        <f aca="false">AT420*F420</f>
        <v>141</v>
      </c>
      <c r="AX420" s="57" t="n">
        <f aca="false">ROUNDUP(MAX(I420/IF(BV420&gt;0,BV420,MAX(0.1,N(Cockpit!$O$6))),BY420)/BQ420,0)*BQ420</f>
        <v>300</v>
      </c>
      <c r="AY420" s="58" t="n">
        <f aca="false">IF(AV420&gt;0,I420/AV420,-1)</f>
        <v>3120</v>
      </c>
      <c r="AZ420" s="58" t="n">
        <f aca="false">IF(AND(OR(BU420="L1",BU420="L23"),AV420&gt;0),SUMIFS($AV$7:$AV$1576,$BU$7:$BU$1576,BU420,$AY$7:$AY$1576,"&gt;"&amp;AY420)+SUMIFS($AV$7:$AV$1576,$BU$7:$BU$1576,BU420,$AY$7:$AY$1576,AY420,$BO$7:$BO$1576,"&lt;="&amp;BO420),"")</f>
        <v>12.9743471267863</v>
      </c>
      <c r="BA420" s="65" t="n">
        <f aca="false">IF(AZ420="",0,MAX(0,MIN(1,(IF(BU420="L1",Parameter!$E$5,Parameter!$E$6+Parameter!$E$7)-(AZ420-AV420))/AV420)))</f>
        <v>1</v>
      </c>
      <c r="BB420" s="55" t="str">
        <f aca="false">IF(AF420&lt;=0,"",IF(BU420="Aussen","Aussenlager",IF(BU420="-","Nicht im Lift",IF(AK420&gt;=1,"Lift",IF(AK420&lt;=0,"Aussenlager","teilweise")))))</f>
        <v>Lift</v>
      </c>
      <c r="BC420" s="55" t="str">
        <f aca="false">IF(AN420&lt;=0,"",IF(BU420="Aussen","Aussenlager",IF(BU420="-","Nicht im Lift",IF(AS420&gt;=1,"Lift",IF(AS420&lt;=0,"Aussenlager","teilweise")))))</f>
        <v>Lift</v>
      </c>
      <c r="BD420" s="55" t="str">
        <f aca="false">IF(AV420&lt;=0,"",IF(BU420="Aussen","Aussenlager",IF(BU420="-","Nicht im Lift",IF(BA420&gt;=1,"Lift",IF(BA420&lt;=0,"Aussenlager","teilweise")))))</f>
        <v>Lift</v>
      </c>
      <c r="BE420" s="55" t="str">
        <f aca="false">IF(A420="","",IF(BN420=1,"Neu; ","")&amp;IF(AND(BN420=0,BI420&lt;0),"negativer Bestand (Export "&amp;BI420&amp;"); ","")&amp;IF(I420&lt;=0,"Kein Verbrauch; ","")&amp;IF(CD420&gt;0,"Lift "&amp;U420&amp;" lt. Liftbericht (Fach "&amp;V420&amp;" Stk); ",IF(BR420=1,"Lose – Fläche geschätzt; ",""))&amp;IF(G420&gt;AP420,"Überbestand "&amp;ROUND(G420-AP420,0)&amp;" Stk / CHF "&amp;ROUND((G420-AP420)*F420,0)&amp;"; ","")&amp;IF(AND(BW420=1,BX420&lt;BY420),"MAX &lt; MB+LG; ","")&amp;IF(AND(CC420&gt;0,CB420*10&gt;CC420),"zu hoch für Tablar; ","")&amp;IF(AND(BN420=0,OR(BW420=1,Y420&lt;&gt;"",S420&lt;&gt;"",T420&lt;&gt;"",Z420&lt;&gt;"")),"manuell übersteuert; ","")&amp;IF(AND(BR420=0,Q420=0),"Gebinde unbekannt / Stellmass fehlt; ","")&amp;IF(AND(BR420=0,N(T420)&lt;=0,N(P420)&lt;=0),"Menge pro Gebinde fehlt (Ist = 1 Gebinde); ","")&amp;BM420)</f>
        <v/>
      </c>
      <c r="BF420" s="55"/>
      <c r="BG420" s="55"/>
      <c r="BH420" s="62"/>
      <c r="BI420" s="57" t="n">
        <v>200</v>
      </c>
      <c r="BJ420" s="57" t="n">
        <v>0</v>
      </c>
      <c r="BK420" s="56" t="n">
        <v>94</v>
      </c>
      <c r="BL420" s="57" t="n">
        <v>180</v>
      </c>
      <c r="BM420" s="55"/>
      <c r="BN420" s="60" t="n">
        <v>0</v>
      </c>
      <c r="BO420" s="60" t="n">
        <v>420</v>
      </c>
      <c r="BP420" s="55" t="str">
        <f aca="false">IF(S420&lt;&gt;"",UPPER(TRIM(S420)),IF(O420="","LOSE",O420))</f>
        <v>S41</v>
      </c>
      <c r="BQ420" s="57" t="n">
        <f aca="false">IF(BP420="LOSE",1,IF(N(T420)&gt;0,T420,IF(N(P420)&gt;0,P420,MAX(1,G420))))</f>
        <v>100</v>
      </c>
      <c r="BR420" s="60" t="n">
        <f aca="false">IF(BP420="LOSE",1,0)</f>
        <v>0</v>
      </c>
      <c r="BS420" s="59" t="n">
        <f aca="false">IF(BR420=0,0,IF(N(R420)&gt;0,R420,IFERROR(VLOOKUP(D420,Parameter!$A$35:$C$64,3,0)+0,0)))</f>
        <v>0</v>
      </c>
      <c r="BT420" s="55" t="n">
        <f aca="false">IF(Y420&lt;&gt;"",Y420,X420)</f>
        <v>3</v>
      </c>
      <c r="BU420" s="55" t="str">
        <f aca="false">IF(BT420=1,"L1",IF(OR(BT420=2,BT420=3),"L23",IF(BT420="Aussen","Aussen","-")))</f>
        <v>L23</v>
      </c>
      <c r="BV420" s="66" t="n">
        <f aca="false">IF(N(Z420)&gt;0,Z420,0)</f>
        <v>0</v>
      </c>
      <c r="BW420" s="60" t="n">
        <f aca="false">IF(ISNUMBER(AC420),1,0)</f>
        <v>0</v>
      </c>
      <c r="BX420" s="57" t="n">
        <f aca="false">N(AC420)</f>
        <v>0</v>
      </c>
      <c r="BY420" s="57" t="n">
        <f aca="false">N(L420)+N(M420)</f>
        <v>207</v>
      </c>
      <c r="BZ420" s="57" t="n">
        <f aca="false">ROUNDUP(G420/BQ420,0)</f>
        <v>2</v>
      </c>
      <c r="CA420" s="57" t="n">
        <f aca="false">ROUNDUP(BX420/BQ420,0)</f>
        <v>0</v>
      </c>
      <c r="CB420" s="60" t="n">
        <f aca="false">IF(BR420=1,0,IFERROR(VLOOKUP(BP420,'Gebinde-Kategorie'!$A$5:$M$45,5,0)+0,0))</f>
        <v>11</v>
      </c>
      <c r="CC420" s="60" t="n">
        <f aca="false">IFERROR(IF(OR(BT420=1,BT420=2,BT420=3),N(INDEX(Parameter!$I$5:$I$7,BT420)),0),0)</f>
        <v>0</v>
      </c>
      <c r="CD420" s="59" t="n">
        <f aca="false">IF(AND(Parameter!$B$21="Ja",ISNUMBER(U420),N(V420)&gt;0),IFERROR(N(INDEX(Parameter!$L$5:$L$7,U420))*INDEX(Parameter!$E$5:$E$7,U420)*V420/SUMIFS($V$7:$V$1576,$U$7:$U$1576,U420),0),0)</f>
        <v>0</v>
      </c>
    </row>
    <row r="421" customFormat="false" ht="15" hidden="false" customHeight="false" outlineLevel="0" collapsed="false">
      <c r="A421" s="55" t="s">
        <v>958</v>
      </c>
      <c r="B421" s="55" t="s">
        <v>959</v>
      </c>
      <c r="C421" s="55" t="s">
        <v>160</v>
      </c>
      <c r="D421" s="55" t="s">
        <v>168</v>
      </c>
      <c r="E421" s="55" t="s">
        <v>210</v>
      </c>
      <c r="F421" s="56" t="n">
        <v>23.5</v>
      </c>
      <c r="G421" s="57" t="n">
        <f aca="false">MAX(0,IF(AND(Parameter!$B$21="Ja",ISNUMBER(W421)),W421,IF(Parameter!$B$20="Jahresanfang 2025 + Export",BJ421+BI421,BI421)))</f>
        <v>4</v>
      </c>
      <c r="H421" s="57" t="n">
        <f aca="false">G421*F421</f>
        <v>94</v>
      </c>
      <c r="I421" s="57" t="n">
        <f aca="false">BL421*Parameter!$B$18</f>
        <v>34</v>
      </c>
      <c r="J421" s="58" t="n">
        <v>19</v>
      </c>
      <c r="K421" s="59" t="n">
        <v>1.78947368421053</v>
      </c>
      <c r="L421" s="57" t="n">
        <v>1</v>
      </c>
      <c r="M421" s="57" t="n">
        <v>35</v>
      </c>
      <c r="N421" s="60" t="n">
        <v>21</v>
      </c>
      <c r="O421" s="55" t="s">
        <v>225</v>
      </c>
      <c r="P421" s="57" t="n">
        <v>28</v>
      </c>
      <c r="Q421" s="60" t="n">
        <f aca="false">IF(BR421=1,0,IFERROR(VLOOKUP(BP421,'Gebinde-Kategorie'!$A$5:$M$45,13,0)+0,0))</f>
        <v>26</v>
      </c>
      <c r="R421" s="61"/>
      <c r="S421" s="62"/>
      <c r="T421" s="62"/>
      <c r="U421" s="55"/>
      <c r="V421" s="57"/>
      <c r="W421" s="57"/>
      <c r="X421" s="55" t="n">
        <f aca="false">IF(A421="","",IF(AND(Parameter!$B$21="Ja",ISNUMBER(U421)),U421,IF(IFERROR(VLOOKUP(D421,Parameter!$A$35:$C$64,2,0),"Nein")="2+3",IF(ISNUMBER(SEARCH("grosser Artikel",BM421)),2,IFERROR(VLOOKUP(BP421,Parameter!$F$35:$G$64,2,0),2)),IF(OR(IFERROR(VLOOKUP(D421,Parameter!$A$35:$C$64,2,0),"Nein")="Nein",IFERROR(VLOOKUP(D421,Parameter!$A$35:$C$64,2,0),"Nein")=""),"-",VLOOKUP(D421,Parameter!$A$35:$C$64,2,0)))))</f>
        <v>3</v>
      </c>
      <c r="Y421" s="62"/>
      <c r="Z421" s="63"/>
      <c r="AA421" s="57" t="n">
        <f aca="false">AP421</f>
        <v>56</v>
      </c>
      <c r="AB421" s="57" t="n">
        <f aca="false">MAX(AP421,G421)</f>
        <v>56</v>
      </c>
      <c r="AC421" s="64"/>
      <c r="AD421" s="57" t="n">
        <f aca="false">IF(LEFT(Cockpit!$C$5,1)="A",G421,IF(BW421=1,BX421,IF(LEFT(Cockpit!$C$5,1)="B",AH421,MAX(AH421,G421))))</f>
        <v>4</v>
      </c>
      <c r="AE421" s="57" t="n">
        <f aca="false">IF(BR421=1,0,ROUNDUP(AD421/BQ421,0))</f>
        <v>1</v>
      </c>
      <c r="AF421" s="59" t="n">
        <f aca="false">IF(CD421&gt;0,CD421*MAX(1,AD421/V421),IF(BR421=1,IF(AD421&lt;=0,0,BS421*MAX(1,IF(G421&gt;0,AD421/G421,1))),IF(Q421&gt;0,AE421/Q421,0))/MAX(0.1,N(Parameter!$M$21)))</f>
        <v>0.0384615384615385</v>
      </c>
      <c r="AG421" s="57" t="n">
        <f aca="false">AD421*F421</f>
        <v>94</v>
      </c>
      <c r="AH421" s="57" t="n">
        <f aca="false">ROUNDUP(MAX(I421/IF(BV421&gt;0,BV421,MAX(0.1,N(Cockpit!$C$6))),BY421)/BQ421,0)*BQ421</f>
        <v>56</v>
      </c>
      <c r="AI421" s="58" t="n">
        <f aca="false">IF(AF421&gt;0,I421/AF421,-1)</f>
        <v>884</v>
      </c>
      <c r="AJ421" s="58" t="n">
        <f aca="false">IF(AND(OR(BU421="L1",BU421="L23"),AF421&gt;0),SUMIFS($AF$7:$AF$1576,$BU$7:$BU$1576,BU421,$AI$7:$AI$1576,"&gt;"&amp;AI421)+SUMIFS($AF$7:$AF$1576,$BU$7:$BU$1576,BU421,$AI$7:$AI$1576,AI421,$BO$7:$BO$1576,"&lt;="&amp;BO421),"")</f>
        <v>10.0443917435222</v>
      </c>
      <c r="AK421" s="65" t="n">
        <f aca="false">IF(AJ421="",0,MAX(0,MIN(1,(IF(BU421="L1",Parameter!$E$5,Parameter!$E$6+Parameter!$E$7)-(AJ421-AF421))/AF421)))</f>
        <v>1</v>
      </c>
      <c r="AL421" s="57" t="n">
        <f aca="false">IF(LEFT(Cockpit!$I$5,1)="A",G421,IF(BW421=1,BX421,IF(LEFT(Cockpit!$I$5,1)="B",AP421,MAX(AP421,G421))))</f>
        <v>56</v>
      </c>
      <c r="AM421" s="57" t="n">
        <f aca="false">IF(BR421=1,0,ROUNDUP(AL421/BQ421,0))</f>
        <v>2</v>
      </c>
      <c r="AN421" s="59" t="n">
        <f aca="false">IF(CD421&gt;0,CD421*MAX(1,AL421/V421),IF(BR421=1,IF(AL421&lt;=0,0,BS421*MAX(1,IF(G421&gt;0,AL421/G421,1))),IF(Q421&gt;0,AM421/Q421,0))/MAX(0.1,N(Parameter!$M$21)))</f>
        <v>0.0769230769230769</v>
      </c>
      <c r="AO421" s="57" t="n">
        <f aca="false">AL421*F421</f>
        <v>1316</v>
      </c>
      <c r="AP421" s="57" t="n">
        <f aca="false">ROUNDUP(MAX(I421/IF(BV421&gt;0,BV421,MAX(0.1,N(Cockpit!$I$6))),BY421)/BQ421,0)*BQ421</f>
        <v>56</v>
      </c>
      <c r="AQ421" s="58" t="n">
        <f aca="false">IF(AN421&gt;0,I421/AN421,-1)</f>
        <v>442</v>
      </c>
      <c r="AR421" s="58" t="n">
        <f aca="false">IF(AND(OR(BU421="L1",BU421="L23"),AN421&gt;0),SUMIFS($AN$7:$AN$1576,$BU$7:$BU$1576,BU421,$AQ$7:$AQ$1576,"&gt;"&amp;AQ421)+SUMIFS($AN$7:$AN$1576,$BU$7:$BU$1576,BU421,$AQ$7:$AQ$1576,AQ421,$BO$7:$BO$1576,"&lt;="&amp;BO421),"")</f>
        <v>35.9783340455191</v>
      </c>
      <c r="AS421" s="65" t="n">
        <f aca="false">IF(AR421="",0,MAX(0,MIN(1,(IF(BU421="L1",Parameter!$E$5,Parameter!$E$6+Parameter!$E$7)-(AR421-AN421))/AN421)))</f>
        <v>1</v>
      </c>
      <c r="AT421" s="57" t="n">
        <f aca="false">IF(LEFT(Cockpit!$O$5,1)="A",G421,IF(BW421=1,BX421,IF(LEFT(Cockpit!$O$5,1)="B",AX421,MAX(AX421,G421))))</f>
        <v>56</v>
      </c>
      <c r="AU421" s="57" t="n">
        <f aca="false">IF(BR421=1,0,ROUNDUP(AT421/BQ421,0))</f>
        <v>2</v>
      </c>
      <c r="AV421" s="59" t="n">
        <f aca="false">IF(CD421&gt;0,CD421*MAX(1,AT421/V421),IF(BR421=1,IF(AT421&lt;=0,0,BS421*MAX(1,IF(G421&gt;0,AT421/G421,1))),IF(Q421&gt;0,AU421/Q421,0))/MAX(0.1,N(Parameter!$M$21)))</f>
        <v>0.0769230769230769</v>
      </c>
      <c r="AW421" s="57" t="n">
        <f aca="false">AT421*F421</f>
        <v>1316</v>
      </c>
      <c r="AX421" s="57" t="n">
        <f aca="false">ROUNDUP(MAX(I421/IF(BV421&gt;0,BV421,MAX(0.1,N(Cockpit!$O$6))),BY421)/BQ421,0)*BQ421</f>
        <v>56</v>
      </c>
      <c r="AY421" s="58" t="n">
        <f aca="false">IF(AV421&gt;0,I421/AV421,-1)</f>
        <v>442</v>
      </c>
      <c r="AZ421" s="58" t="n">
        <f aca="false">IF(AND(OR(BU421="L1",BU421="L23"),AV421&gt;0),SUMIFS($AV$7:$AV$1576,$BU$7:$BU$1576,BU421,$AY$7:$AY$1576,"&gt;"&amp;AY421)+SUMIFS($AV$7:$AV$1576,$BU$7:$BU$1576,BU421,$AY$7:$AY$1576,AY421,$BO$7:$BO$1576,"&lt;="&amp;BO421),"")</f>
        <v>35.309745966931</v>
      </c>
      <c r="BA421" s="65" t="n">
        <f aca="false">IF(AZ421="",0,MAX(0,MIN(1,(IF(BU421="L1",Parameter!$E$5,Parameter!$E$6+Parameter!$E$7)-(AZ421-AV421))/AV421)))</f>
        <v>1</v>
      </c>
      <c r="BB421" s="55" t="str">
        <f aca="false">IF(AF421&lt;=0,"",IF(BU421="Aussen","Aussenlager",IF(BU421="-","Nicht im Lift",IF(AK421&gt;=1,"Lift",IF(AK421&lt;=0,"Aussenlager","teilweise")))))</f>
        <v>Lift</v>
      </c>
      <c r="BC421" s="55" t="str">
        <f aca="false">IF(AN421&lt;=0,"",IF(BU421="Aussen","Aussenlager",IF(BU421="-","Nicht im Lift",IF(AS421&gt;=1,"Lift",IF(AS421&lt;=0,"Aussenlager","teilweise")))))</f>
        <v>Lift</v>
      </c>
      <c r="BD421" s="55" t="str">
        <f aca="false">IF(AV421&lt;=0,"",IF(BU421="Aussen","Aussenlager",IF(BU421="-","Nicht im Lift",IF(BA421&gt;=1,"Lift",IF(BA421&lt;=0,"Aussenlager","teilweise")))))</f>
        <v>Lift</v>
      </c>
      <c r="BE421" s="55" t="str">
        <f aca="false">IF(A421="","",IF(BN421=1,"Neu; ","")&amp;IF(AND(BN421=0,BI421&lt;0),"negativer Bestand (Export "&amp;BI421&amp;"); ","")&amp;IF(I421&lt;=0,"Kein Verbrauch; ","")&amp;IF(CD421&gt;0,"Lift "&amp;U421&amp;" lt. Liftbericht (Fach "&amp;V421&amp;" Stk); ",IF(BR421=1,"Lose – Fläche geschätzt; ",""))&amp;IF(G421&gt;AP421,"Überbestand "&amp;ROUND(G421-AP421,0)&amp;" Stk / CHF "&amp;ROUND((G421-AP421)*F421,0)&amp;"; ","")&amp;IF(AND(BW421=1,BX421&lt;BY421),"MAX &lt; MB+LG; ","")&amp;IF(AND(CC421&gt;0,CB421*10&gt;CC421),"zu hoch für Tablar; ","")&amp;IF(AND(BN421=0,OR(BW421=1,Y421&lt;&gt;"",S421&lt;&gt;"",T421&lt;&gt;"",Z421&lt;&gt;"")),"manuell übersteuert; ","")&amp;IF(AND(BR421=0,Q421=0),"Gebinde unbekannt / Stellmass fehlt; ","")&amp;IF(AND(BR421=0,N(T421)&lt;=0,N(P421)&lt;=0),"Menge pro Gebinde fehlt (Ist = 1 Gebinde); ","")&amp;BM421)</f>
        <v>Neu</v>
      </c>
      <c r="BF421" s="55"/>
      <c r="BG421" s="55"/>
      <c r="BH421" s="62"/>
      <c r="BI421" s="57" t="n">
        <v>4</v>
      </c>
      <c r="BJ421" s="57" t="n">
        <v>6</v>
      </c>
      <c r="BK421" s="56" t="n">
        <v>94</v>
      </c>
      <c r="BL421" s="57" t="n">
        <v>34</v>
      </c>
      <c r="BM421" s="55" t="s">
        <v>615</v>
      </c>
      <c r="BN421" s="60" t="n">
        <v>0</v>
      </c>
      <c r="BO421" s="60" t="n">
        <v>421</v>
      </c>
      <c r="BP421" s="55" t="str">
        <f aca="false">IF(S421&lt;&gt;"",UPPER(TRIM(S421)),IF(O421="","LOSE",O421))</f>
        <v>S52</v>
      </c>
      <c r="BQ421" s="57" t="n">
        <f aca="false">IF(BP421="LOSE",1,IF(N(T421)&gt;0,T421,IF(N(P421)&gt;0,P421,MAX(1,G421))))</f>
        <v>28</v>
      </c>
      <c r="BR421" s="60" t="n">
        <f aca="false">IF(BP421="LOSE",1,0)</f>
        <v>0</v>
      </c>
      <c r="BS421" s="59" t="n">
        <f aca="false">IF(BR421=0,0,IF(N(R421)&gt;0,R421,IFERROR(VLOOKUP(D421,Parameter!$A$35:$C$64,3,0)+0,0)))</f>
        <v>0</v>
      </c>
      <c r="BT421" s="55" t="n">
        <f aca="false">IF(Y421&lt;&gt;"",Y421,X421)</f>
        <v>3</v>
      </c>
      <c r="BU421" s="55" t="str">
        <f aca="false">IF(BT421=1,"L1",IF(OR(BT421=2,BT421=3),"L23",IF(BT421="Aussen","Aussen","-")))</f>
        <v>L23</v>
      </c>
      <c r="BV421" s="66" t="n">
        <f aca="false">IF(N(Z421)&gt;0,Z421,0)</f>
        <v>0</v>
      </c>
      <c r="BW421" s="60" t="n">
        <f aca="false">IF(ISNUMBER(AC421),1,0)</f>
        <v>0</v>
      </c>
      <c r="BX421" s="57" t="n">
        <f aca="false">N(AC421)</f>
        <v>0</v>
      </c>
      <c r="BY421" s="57" t="n">
        <f aca="false">N(L421)+N(M421)</f>
        <v>36</v>
      </c>
      <c r="BZ421" s="57" t="n">
        <f aca="false">ROUNDUP(G421/BQ421,0)</f>
        <v>1</v>
      </c>
      <c r="CA421" s="57" t="n">
        <f aca="false">ROUNDUP(BX421/BQ421,0)</f>
        <v>0</v>
      </c>
      <c r="CB421" s="60" t="n">
        <f aca="false">IF(BR421=1,0,IFERROR(VLOOKUP(BP421,'Gebinde-Kategorie'!$A$5:$M$45,5,0)+0,0))</f>
        <v>21</v>
      </c>
      <c r="CC421" s="60" t="n">
        <f aca="false">IFERROR(IF(OR(BT421=1,BT421=2,BT421=3),N(INDEX(Parameter!$I$5:$I$7,BT421)),0),0)</f>
        <v>0</v>
      </c>
      <c r="CD421" s="59" t="n">
        <f aca="false">IF(AND(Parameter!$B$21="Ja",ISNUMBER(U421),N(V421)&gt;0),IFERROR(N(INDEX(Parameter!$L$5:$L$7,U421))*INDEX(Parameter!$E$5:$E$7,U421)*V421/SUMIFS($V$7:$V$1576,$U$7:$U$1576,U421),0),0)</f>
        <v>0</v>
      </c>
    </row>
    <row r="422" customFormat="false" ht="15" hidden="false" customHeight="false" outlineLevel="0" collapsed="false">
      <c r="A422" s="55" t="s">
        <v>960</v>
      </c>
      <c r="B422" s="55" t="s">
        <v>961</v>
      </c>
      <c r="C422" s="55" t="s">
        <v>160</v>
      </c>
      <c r="D422" s="55" t="s">
        <v>178</v>
      </c>
      <c r="E422" s="55" t="s">
        <v>210</v>
      </c>
      <c r="F422" s="56" t="n">
        <v>3.86</v>
      </c>
      <c r="G422" s="57" t="n">
        <f aca="false">MAX(0,IF(AND(Parameter!$B$21="Ja",ISNUMBER(W422)),W422,IF(Parameter!$B$20="Jahresanfang 2025 + Export",BJ422+BI422,BI422)))</f>
        <v>48</v>
      </c>
      <c r="H422" s="57" t="n">
        <f aca="false">G422*F422</f>
        <v>185.28</v>
      </c>
      <c r="I422" s="57" t="n">
        <f aca="false">BL422*Parameter!$B$18</f>
        <v>137</v>
      </c>
      <c r="J422" s="58" t="n">
        <v>98</v>
      </c>
      <c r="K422" s="59" t="n">
        <v>1.39795918367347</v>
      </c>
      <c r="L422" s="57" t="n">
        <v>5</v>
      </c>
      <c r="M422" s="57" t="n">
        <v>135</v>
      </c>
      <c r="N422" s="60" t="n">
        <v>14</v>
      </c>
      <c r="O422" s="55" t="s">
        <v>293</v>
      </c>
      <c r="P422" s="57" t="n">
        <v>45</v>
      </c>
      <c r="Q422" s="60" t="n">
        <f aca="false">IF(BR422=1,0,IFERROR(VLOOKUP(BP422,'Gebinde-Kategorie'!$A$5:$M$45,13,0)+0,0))</f>
        <v>26</v>
      </c>
      <c r="R422" s="61"/>
      <c r="S422" s="62"/>
      <c r="T422" s="62"/>
      <c r="U422" s="55"/>
      <c r="V422" s="57"/>
      <c r="W422" s="57"/>
      <c r="X422" s="55" t="n">
        <f aca="false">IF(A422="","",IF(AND(Parameter!$B$21="Ja",ISNUMBER(U422)),U422,IF(IFERROR(VLOOKUP(D422,Parameter!$A$35:$C$64,2,0),"Nein")="2+3",IF(ISNUMBER(SEARCH("grosser Artikel",BM422)),2,IFERROR(VLOOKUP(BP422,Parameter!$F$35:$G$64,2,0),2)),IF(OR(IFERROR(VLOOKUP(D422,Parameter!$A$35:$C$64,2,0),"Nein")="Nein",IFERROR(VLOOKUP(D422,Parameter!$A$35:$C$64,2,0),"Nein")=""),"-",VLOOKUP(D422,Parameter!$A$35:$C$64,2,0)))))</f>
        <v>3</v>
      </c>
      <c r="Y422" s="62"/>
      <c r="Z422" s="63"/>
      <c r="AA422" s="57" t="n">
        <f aca="false">AP422</f>
        <v>180</v>
      </c>
      <c r="AB422" s="57" t="n">
        <f aca="false">MAX(AP422,G422)</f>
        <v>180</v>
      </c>
      <c r="AC422" s="64"/>
      <c r="AD422" s="57" t="n">
        <f aca="false">IF(LEFT(Cockpit!$C$5,1)="A",G422,IF(BW422=1,BX422,IF(LEFT(Cockpit!$C$5,1)="B",AH422,MAX(AH422,G422))))</f>
        <v>48</v>
      </c>
      <c r="AE422" s="57" t="n">
        <f aca="false">IF(BR422=1,0,ROUNDUP(AD422/BQ422,0))</f>
        <v>2</v>
      </c>
      <c r="AF422" s="59" t="n">
        <f aca="false">IF(CD422&gt;0,CD422*MAX(1,AD422/V422),IF(BR422=1,IF(AD422&lt;=0,0,BS422*MAX(1,IF(G422&gt;0,AD422/G422,1))),IF(Q422&gt;0,AE422/Q422,0))/MAX(0.1,N(Parameter!$M$21)))</f>
        <v>0.0769230769230769</v>
      </c>
      <c r="AG422" s="57" t="n">
        <f aca="false">AD422*F422</f>
        <v>185.28</v>
      </c>
      <c r="AH422" s="57" t="n">
        <f aca="false">ROUNDUP(MAX(I422/IF(BV422&gt;0,BV422,MAX(0.1,N(Cockpit!$C$6))),BY422)/BQ422,0)*BQ422</f>
        <v>180</v>
      </c>
      <c r="AI422" s="58" t="n">
        <f aca="false">IF(AF422&gt;0,I422/AF422,-1)</f>
        <v>1781</v>
      </c>
      <c r="AJ422" s="58" t="n">
        <f aca="false">IF(AND(OR(BU422="L1",BU422="L23"),AF422&gt;0),SUMIFS($AF$7:$AF$1576,$BU$7:$BU$1576,BU422,$AI$7:$AI$1576,"&gt;"&amp;AI422)+SUMIFS($AF$7:$AF$1576,$BU$7:$BU$1576,BU422,$AI$7:$AI$1576,AI422,$BO$7:$BO$1576,"&lt;="&amp;BO422),"")</f>
        <v>7.51913752913753</v>
      </c>
      <c r="AK422" s="65" t="n">
        <f aca="false">IF(AJ422="",0,MAX(0,MIN(1,(IF(BU422="L1",Parameter!$E$5,Parameter!$E$6+Parameter!$E$7)-(AJ422-AF422))/AF422)))</f>
        <v>1</v>
      </c>
      <c r="AL422" s="57" t="n">
        <f aca="false">IF(LEFT(Cockpit!$I$5,1)="A",G422,IF(BW422=1,BX422,IF(LEFT(Cockpit!$I$5,1)="B",AP422,MAX(AP422,G422))))</f>
        <v>180</v>
      </c>
      <c r="AM422" s="57" t="n">
        <f aca="false">IF(BR422=1,0,ROUNDUP(AL422/BQ422,0))</f>
        <v>4</v>
      </c>
      <c r="AN422" s="59" t="n">
        <f aca="false">IF(CD422&gt;0,CD422*MAX(1,AL422/V422),IF(BR422=1,IF(AL422&lt;=0,0,BS422*MAX(1,IF(G422&gt;0,AL422/G422,1))),IF(Q422&gt;0,AM422/Q422,0))/MAX(0.1,N(Parameter!$M$21)))</f>
        <v>0.153846153846154</v>
      </c>
      <c r="AO422" s="57" t="n">
        <f aca="false">AL422*F422</f>
        <v>694.8</v>
      </c>
      <c r="AP422" s="57" t="n">
        <f aca="false">ROUNDUP(MAX(I422/IF(BV422&gt;0,BV422,MAX(0.1,N(Cockpit!$I$6))),BY422)/BQ422,0)*BQ422</f>
        <v>180</v>
      </c>
      <c r="AQ422" s="58" t="n">
        <f aca="false">IF(AN422&gt;0,I422/AN422,-1)</f>
        <v>890.5</v>
      </c>
      <c r="AR422" s="58" t="n">
        <f aca="false">IF(AND(OR(BU422="L1",BU422="L23"),AN422&gt;0),SUMIFS($AN$7:$AN$1576,$BU$7:$BU$1576,BU422,$AQ$7:$AQ$1576,"&gt;"&amp;AQ422)+SUMIFS($AN$7:$AN$1576,$BU$7:$BU$1576,BU422,$AQ$7:$AQ$1576,AQ422,$BO$7:$BO$1576,"&lt;="&amp;BO422),"")</f>
        <v>24.618778721616</v>
      </c>
      <c r="AS422" s="65" t="n">
        <f aca="false">IF(AR422="",0,MAX(0,MIN(1,(IF(BU422="L1",Parameter!$E$5,Parameter!$E$6+Parameter!$E$7)-(AR422-AN422))/AN422)))</f>
        <v>1</v>
      </c>
      <c r="AT422" s="57" t="n">
        <f aca="false">IF(LEFT(Cockpit!$O$5,1)="A",G422,IF(BW422=1,BX422,IF(LEFT(Cockpit!$O$5,1)="B",AX422,MAX(AX422,G422))))</f>
        <v>180</v>
      </c>
      <c r="AU422" s="57" t="n">
        <f aca="false">IF(BR422=1,0,ROUNDUP(AT422/BQ422,0))</f>
        <v>4</v>
      </c>
      <c r="AV422" s="59" t="n">
        <f aca="false">IF(CD422&gt;0,CD422*MAX(1,AT422/V422),IF(BR422=1,IF(AT422&lt;=0,0,BS422*MAX(1,IF(G422&gt;0,AT422/G422,1))),IF(Q422&gt;0,AU422/Q422,0))/MAX(0.1,N(Parameter!$M$21)))</f>
        <v>0.153846153846154</v>
      </c>
      <c r="AW422" s="57" t="n">
        <f aca="false">AT422*F422</f>
        <v>694.8</v>
      </c>
      <c r="AX422" s="57" t="n">
        <f aca="false">ROUNDUP(MAX(I422/IF(BV422&gt;0,BV422,MAX(0.1,N(Cockpit!$O$6))),BY422)/BQ422,0)*BQ422</f>
        <v>180</v>
      </c>
      <c r="AY422" s="58" t="n">
        <f aca="false">IF(AV422&gt;0,I422/AV422,-1)</f>
        <v>890.5</v>
      </c>
      <c r="AZ422" s="58" t="n">
        <f aca="false">IF(AND(OR(BU422="L1",BU422="L23"),AV422&gt;0),SUMIFS($AV$7:$AV$1576,$BU$7:$BU$1576,BU422,$AY$7:$AY$1576,"&gt;"&amp;AY422)+SUMIFS($AV$7:$AV$1576,$BU$7:$BU$1576,BU422,$AY$7:$AY$1576,AY422,$BO$7:$BO$1576,"&lt;="&amp;BO422),"")</f>
        <v>24.352461705299</v>
      </c>
      <c r="BA422" s="65" t="n">
        <f aca="false">IF(AZ422="",0,MAX(0,MIN(1,(IF(BU422="L1",Parameter!$E$5,Parameter!$E$6+Parameter!$E$7)-(AZ422-AV422))/AV422)))</f>
        <v>1</v>
      </c>
      <c r="BB422" s="55" t="str">
        <f aca="false">IF(AF422&lt;=0,"",IF(BU422="Aussen","Aussenlager",IF(BU422="-","Nicht im Lift",IF(AK422&gt;=1,"Lift",IF(AK422&lt;=0,"Aussenlager","teilweise")))))</f>
        <v>Lift</v>
      </c>
      <c r="BC422" s="55" t="str">
        <f aca="false">IF(AN422&lt;=0,"",IF(BU422="Aussen","Aussenlager",IF(BU422="-","Nicht im Lift",IF(AS422&gt;=1,"Lift",IF(AS422&lt;=0,"Aussenlager","teilweise")))))</f>
        <v>Lift</v>
      </c>
      <c r="BD422" s="55" t="str">
        <f aca="false">IF(AV422&lt;=0,"",IF(BU422="Aussen","Aussenlager",IF(BU422="-","Nicht im Lift",IF(BA422&gt;=1,"Lift",IF(BA422&lt;=0,"Aussenlager","teilweise")))))</f>
        <v>Lift</v>
      </c>
      <c r="BE422" s="55" t="str">
        <f aca="false">IF(A422="","",IF(BN422=1,"Neu; ","")&amp;IF(AND(BN422=0,BI422&lt;0),"negativer Bestand (Export "&amp;BI422&amp;"); ","")&amp;IF(I422&lt;=0,"Kein Verbrauch; ","")&amp;IF(CD422&gt;0,"Lift "&amp;U422&amp;" lt. Liftbericht (Fach "&amp;V422&amp;" Stk); ",IF(BR422=1,"Lose – Fläche geschätzt; ",""))&amp;IF(G422&gt;AP422,"Überbestand "&amp;ROUND(G422-AP422,0)&amp;" Stk / CHF "&amp;ROUND((G422-AP422)*F422,0)&amp;"; ","")&amp;IF(AND(BW422=1,BX422&lt;BY422),"MAX &lt; MB+LG; ","")&amp;IF(AND(CC422&gt;0,CB422*10&gt;CC422),"zu hoch für Tablar; ","")&amp;IF(AND(BN422=0,OR(BW422=1,Y422&lt;&gt;"",S422&lt;&gt;"",T422&lt;&gt;"",Z422&lt;&gt;"")),"manuell übersteuert; ","")&amp;IF(AND(BR422=0,Q422=0),"Gebinde unbekannt / Stellmass fehlt; ","")&amp;IF(AND(BR422=0,N(T422)&lt;=0,N(P422)&lt;=0),"Menge pro Gebinde fehlt (Ist = 1 Gebinde); ","")&amp;BM422)</f>
        <v/>
      </c>
      <c r="BF422" s="55"/>
      <c r="BG422" s="55"/>
      <c r="BH422" s="62"/>
      <c r="BI422" s="57" t="n">
        <v>48</v>
      </c>
      <c r="BJ422" s="57" t="n">
        <v>91</v>
      </c>
      <c r="BK422" s="56" t="n">
        <v>93.37</v>
      </c>
      <c r="BL422" s="57" t="n">
        <v>137</v>
      </c>
      <c r="BM422" s="55"/>
      <c r="BN422" s="60" t="n">
        <v>0</v>
      </c>
      <c r="BO422" s="60" t="n">
        <v>422</v>
      </c>
      <c r="BP422" s="55" t="str">
        <f aca="false">IF(S422&lt;&gt;"",UPPER(TRIM(S422)),IF(O422="","LOSE",O422))</f>
        <v>S51</v>
      </c>
      <c r="BQ422" s="57" t="n">
        <f aca="false">IF(BP422="LOSE",1,IF(N(T422)&gt;0,T422,IF(N(P422)&gt;0,P422,MAX(1,G422))))</f>
        <v>45</v>
      </c>
      <c r="BR422" s="60" t="n">
        <f aca="false">IF(BP422="LOSE",1,0)</f>
        <v>0</v>
      </c>
      <c r="BS422" s="59" t="n">
        <f aca="false">IF(BR422=0,0,IF(N(R422)&gt;0,R422,IFERROR(VLOOKUP(D422,Parameter!$A$35:$C$64,3,0)+0,0)))</f>
        <v>0</v>
      </c>
      <c r="BT422" s="55" t="n">
        <f aca="false">IF(Y422&lt;&gt;"",Y422,X422)</f>
        <v>3</v>
      </c>
      <c r="BU422" s="55" t="str">
        <f aca="false">IF(BT422=1,"L1",IF(OR(BT422=2,BT422=3),"L23",IF(BT422="Aussen","Aussen","-")))</f>
        <v>L23</v>
      </c>
      <c r="BV422" s="66" t="n">
        <f aca="false">IF(N(Z422)&gt;0,Z422,0)</f>
        <v>0</v>
      </c>
      <c r="BW422" s="60" t="n">
        <f aca="false">IF(ISNUMBER(AC422),1,0)</f>
        <v>0</v>
      </c>
      <c r="BX422" s="57" t="n">
        <f aca="false">N(AC422)</f>
        <v>0</v>
      </c>
      <c r="BY422" s="57" t="n">
        <f aca="false">N(L422)+N(M422)</f>
        <v>140</v>
      </c>
      <c r="BZ422" s="57" t="n">
        <f aca="false">ROUNDUP(G422/BQ422,0)</f>
        <v>2</v>
      </c>
      <c r="CA422" s="57" t="n">
        <f aca="false">ROUNDUP(BX422/BQ422,0)</f>
        <v>0</v>
      </c>
      <c r="CB422" s="60" t="n">
        <f aca="false">IF(BR422=1,0,IFERROR(VLOOKUP(BP422,'Gebinde-Kategorie'!$A$5:$M$45,5,0)+0,0))</f>
        <v>11</v>
      </c>
      <c r="CC422" s="60" t="n">
        <f aca="false">IFERROR(IF(OR(BT422=1,BT422=2,BT422=3),N(INDEX(Parameter!$I$5:$I$7,BT422)),0),0)</f>
        <v>0</v>
      </c>
      <c r="CD422" s="59" t="n">
        <f aca="false">IF(AND(Parameter!$B$21="Ja",ISNUMBER(U422),N(V422)&gt;0),IFERROR(N(INDEX(Parameter!$L$5:$L$7,U422))*INDEX(Parameter!$E$5:$E$7,U422)*V422/SUMIFS($V$7:$V$1576,$U$7:$U$1576,U422),0),0)</f>
        <v>0</v>
      </c>
    </row>
    <row r="423" customFormat="false" ht="15" hidden="false" customHeight="false" outlineLevel="0" collapsed="false">
      <c r="A423" s="55" t="s">
        <v>962</v>
      </c>
      <c r="B423" s="55" t="s">
        <v>963</v>
      </c>
      <c r="C423" s="55" t="s">
        <v>160</v>
      </c>
      <c r="D423" s="55" t="s">
        <v>178</v>
      </c>
      <c r="E423" s="55" t="s">
        <v>210</v>
      </c>
      <c r="F423" s="56" t="n">
        <v>13.78</v>
      </c>
      <c r="G423" s="57" t="n">
        <f aca="false">MAX(0,IF(AND(Parameter!$B$21="Ja",ISNUMBER(W423)),W423,IF(Parameter!$B$20="Jahresanfang 2025 + Export",BJ423+BI423,BI423)))</f>
        <v>7</v>
      </c>
      <c r="H423" s="57" t="n">
        <f aca="false">G423*F423</f>
        <v>96.46</v>
      </c>
      <c r="I423" s="57" t="n">
        <f aca="false">BL423*Parameter!$B$18</f>
        <v>1</v>
      </c>
      <c r="J423" s="58" t="n">
        <v>4</v>
      </c>
      <c r="K423" s="59" t="n">
        <v>0.25</v>
      </c>
      <c r="L423" s="57" t="n">
        <v>5</v>
      </c>
      <c r="M423" s="57" t="n">
        <v>1</v>
      </c>
      <c r="N423" s="60" t="n">
        <v>14</v>
      </c>
      <c r="O423" s="55" t="s">
        <v>293</v>
      </c>
      <c r="P423" s="57" t="n">
        <v>9</v>
      </c>
      <c r="Q423" s="60" t="n">
        <f aca="false">IF(BR423=1,0,IFERROR(VLOOKUP(BP423,'Gebinde-Kategorie'!$A$5:$M$45,13,0)+0,0))</f>
        <v>26</v>
      </c>
      <c r="R423" s="61"/>
      <c r="S423" s="62"/>
      <c r="T423" s="62"/>
      <c r="U423" s="55"/>
      <c r="V423" s="57"/>
      <c r="W423" s="57"/>
      <c r="X423" s="55" t="n">
        <f aca="false">IF(A423="","",IF(AND(Parameter!$B$21="Ja",ISNUMBER(U423)),U423,IF(IFERROR(VLOOKUP(D423,Parameter!$A$35:$C$64,2,0),"Nein")="2+3",IF(ISNUMBER(SEARCH("grosser Artikel",BM423)),2,IFERROR(VLOOKUP(BP423,Parameter!$F$35:$G$64,2,0),2)),IF(OR(IFERROR(VLOOKUP(D423,Parameter!$A$35:$C$64,2,0),"Nein")="Nein",IFERROR(VLOOKUP(D423,Parameter!$A$35:$C$64,2,0),"Nein")=""),"-",VLOOKUP(D423,Parameter!$A$35:$C$64,2,0)))))</f>
        <v>3</v>
      </c>
      <c r="Y423" s="62"/>
      <c r="Z423" s="63"/>
      <c r="AA423" s="57" t="n">
        <f aca="false">AP423</f>
        <v>9</v>
      </c>
      <c r="AB423" s="57" t="n">
        <f aca="false">MAX(AP423,G423)</f>
        <v>9</v>
      </c>
      <c r="AC423" s="64"/>
      <c r="AD423" s="57" t="n">
        <f aca="false">IF(LEFT(Cockpit!$C$5,1)="A",G423,IF(BW423=1,BX423,IF(LEFT(Cockpit!$C$5,1)="B",AH423,MAX(AH423,G423))))</f>
        <v>7</v>
      </c>
      <c r="AE423" s="57" t="n">
        <f aca="false">IF(BR423=1,0,ROUNDUP(AD423/BQ423,0))</f>
        <v>1</v>
      </c>
      <c r="AF423" s="59" t="n">
        <f aca="false">IF(CD423&gt;0,CD423*MAX(1,AD423/V423),IF(BR423=1,IF(AD423&lt;=0,0,BS423*MAX(1,IF(G423&gt;0,AD423/G423,1))),IF(Q423&gt;0,AE423/Q423,0))/MAX(0.1,N(Parameter!$M$21)))</f>
        <v>0.0384615384615385</v>
      </c>
      <c r="AG423" s="57" t="n">
        <f aca="false">AD423*F423</f>
        <v>96.46</v>
      </c>
      <c r="AH423" s="57" t="n">
        <f aca="false">ROUNDUP(MAX(I423/IF(BV423&gt;0,BV423,MAX(0.1,N(Cockpit!$C$6))),BY423)/BQ423,0)*BQ423</f>
        <v>9</v>
      </c>
      <c r="AI423" s="58" t="n">
        <f aca="false">IF(AF423&gt;0,I423/AF423,-1)</f>
        <v>26</v>
      </c>
      <c r="AJ423" s="58" t="n">
        <f aca="false">IF(AND(OR(BU423="L1",BU423="L23"),AF423&gt;0),SUMIFS($AF$7:$AF$1576,$BU$7:$BU$1576,BU423,$AI$7:$AI$1576,"&gt;"&amp;AI423)+SUMIFS($AF$7:$AF$1576,$BU$7:$BU$1576,BU423,$AI$7:$AI$1576,AI423,$BO$7:$BO$1576,"&lt;="&amp;BO423),"")</f>
        <v>28.3005303874869</v>
      </c>
      <c r="AK423" s="65" t="n">
        <f aca="false">IF(AJ423="",0,MAX(0,MIN(1,(IF(BU423="L1",Parameter!$E$5,Parameter!$E$6+Parameter!$E$7)-(AJ423-AF423))/AF423)))</f>
        <v>1</v>
      </c>
      <c r="AL423" s="57" t="n">
        <f aca="false">IF(LEFT(Cockpit!$I$5,1)="A",G423,IF(BW423=1,BX423,IF(LEFT(Cockpit!$I$5,1)="B",AP423,MAX(AP423,G423))))</f>
        <v>9</v>
      </c>
      <c r="AM423" s="57" t="n">
        <f aca="false">IF(BR423=1,0,ROUNDUP(AL423/BQ423,0))</f>
        <v>1</v>
      </c>
      <c r="AN423" s="59" t="n">
        <f aca="false">IF(CD423&gt;0,CD423*MAX(1,AL423/V423),IF(BR423=1,IF(AL423&lt;=0,0,BS423*MAX(1,IF(G423&gt;0,AL423/G423,1))),IF(Q423&gt;0,AM423/Q423,0))/MAX(0.1,N(Parameter!$M$21)))</f>
        <v>0.0384615384615385</v>
      </c>
      <c r="AO423" s="57" t="n">
        <f aca="false">AL423*F423</f>
        <v>124.02</v>
      </c>
      <c r="AP423" s="57" t="n">
        <f aca="false">ROUNDUP(MAX(I423/IF(BV423&gt;0,BV423,MAX(0.1,N(Cockpit!$I$6))),BY423)/BQ423,0)*BQ423</f>
        <v>9</v>
      </c>
      <c r="AQ423" s="58" t="n">
        <f aca="false">IF(AN423&gt;0,I423/AN423,-1)</f>
        <v>26</v>
      </c>
      <c r="AR423" s="58" t="n">
        <f aca="false">IF(AND(OR(BU423="L1",BU423="L23"),AN423&gt;0),SUMIFS($AN$7:$AN$1576,$BU$7:$BU$1576,BU423,$AQ$7:$AQ$1576,"&gt;"&amp;AQ423)+SUMIFS($AN$7:$AN$1576,$BU$7:$BU$1576,BU423,$AQ$7:$AQ$1576,AQ423,$BO$7:$BO$1576,"&lt;="&amp;BO423),"")</f>
        <v>96.9693576656188</v>
      </c>
      <c r="AS423" s="65" t="n">
        <f aca="false">IF(AR423="",0,MAX(0,MIN(1,(IF(BU423="L1",Parameter!$E$5,Parameter!$E$6+Parameter!$E$7)-(AR423-AN423))/AN423)))</f>
        <v>1</v>
      </c>
      <c r="AT423" s="57" t="n">
        <f aca="false">IF(LEFT(Cockpit!$O$5,1)="A",G423,IF(BW423=1,BX423,IF(LEFT(Cockpit!$O$5,1)="B",AX423,MAX(AX423,G423))))</f>
        <v>9</v>
      </c>
      <c r="AU423" s="57" t="n">
        <f aca="false">IF(BR423=1,0,ROUNDUP(AT423/BQ423,0))</f>
        <v>1</v>
      </c>
      <c r="AV423" s="59" t="n">
        <f aca="false">IF(CD423&gt;0,CD423*MAX(1,AT423/V423),IF(BR423=1,IF(AT423&lt;=0,0,BS423*MAX(1,IF(G423&gt;0,AT423/G423,1))),IF(Q423&gt;0,AU423/Q423,0))/MAX(0.1,N(Parameter!$M$21)))</f>
        <v>0.0384615384615385</v>
      </c>
      <c r="AW423" s="57" t="n">
        <f aca="false">AT423*F423</f>
        <v>124.02</v>
      </c>
      <c r="AX423" s="57" t="n">
        <f aca="false">ROUNDUP(MAX(I423/IF(BV423&gt;0,BV423,MAX(0.1,N(Cockpit!$O$6))),BY423)/BQ423,0)*BQ423</f>
        <v>9</v>
      </c>
      <c r="AY423" s="58" t="n">
        <f aca="false">IF(AV423&gt;0,I423/AV423,-1)</f>
        <v>26</v>
      </c>
      <c r="AZ423" s="58" t="n">
        <f aca="false">IF(AND(OR(BU423="L1",BU423="L23"),AV423&gt;0),SUMIFS($AV$7:$AV$1576,$BU$7:$BU$1576,BU423,$AY$7:$AY$1576,"&gt;"&amp;AY423)+SUMIFS($AV$7:$AV$1576,$BU$7:$BU$1576,BU423,$AY$7:$AY$1576,AY423,$BO$7:$BO$1576,"&lt;="&amp;BO423),"")</f>
        <v>87.7789081151693</v>
      </c>
      <c r="BA423" s="65" t="n">
        <f aca="false">IF(AZ423="",0,MAX(0,MIN(1,(IF(BU423="L1",Parameter!$E$5,Parameter!$E$6+Parameter!$E$7)-(AZ423-AV423))/AV423)))</f>
        <v>1</v>
      </c>
      <c r="BB423" s="55" t="str">
        <f aca="false">IF(AF423&lt;=0,"",IF(BU423="Aussen","Aussenlager",IF(BU423="-","Nicht im Lift",IF(AK423&gt;=1,"Lift",IF(AK423&lt;=0,"Aussenlager","teilweise")))))</f>
        <v>Lift</v>
      </c>
      <c r="BC423" s="55" t="str">
        <f aca="false">IF(AN423&lt;=0,"",IF(BU423="Aussen","Aussenlager",IF(BU423="-","Nicht im Lift",IF(AS423&gt;=1,"Lift",IF(AS423&lt;=0,"Aussenlager","teilweise")))))</f>
        <v>Lift</v>
      </c>
      <c r="BD423" s="55" t="str">
        <f aca="false">IF(AV423&lt;=0,"",IF(BU423="Aussen","Aussenlager",IF(BU423="-","Nicht im Lift",IF(BA423&gt;=1,"Lift",IF(BA423&lt;=0,"Aussenlager","teilweise")))))</f>
        <v>Lift</v>
      </c>
      <c r="BE423" s="55" t="str">
        <f aca="false">IF(A423="","",IF(BN423=1,"Neu; ","")&amp;IF(AND(BN423=0,BI423&lt;0),"negativer Bestand (Export "&amp;BI423&amp;"); ","")&amp;IF(I423&lt;=0,"Kein Verbrauch; ","")&amp;IF(CD423&gt;0,"Lift "&amp;U423&amp;" lt. Liftbericht (Fach "&amp;V423&amp;" Stk); ",IF(BR423=1,"Lose – Fläche geschätzt; ",""))&amp;IF(G423&gt;AP423,"Überbestand "&amp;ROUND(G423-AP423,0)&amp;" Stk / CHF "&amp;ROUND((G423-AP423)*F423,0)&amp;"; ","")&amp;IF(AND(BW423=1,BX423&lt;BY423),"MAX &lt; MB+LG; ","")&amp;IF(AND(CC423&gt;0,CB423*10&gt;CC423),"zu hoch für Tablar; ","")&amp;IF(AND(BN423=0,OR(BW423=1,Y423&lt;&gt;"",S423&lt;&gt;"",T423&lt;&gt;"",Z423&lt;&gt;"")),"manuell übersteuert; ","")&amp;IF(AND(BR423=0,Q423=0),"Gebinde unbekannt / Stellmass fehlt; ","")&amp;IF(AND(BR423=0,N(T423)&lt;=0,N(P423)&lt;=0),"Menge pro Gebinde fehlt (Ist = 1 Gebinde); ","")&amp;BM423)</f>
        <v>liegend gelagert</v>
      </c>
      <c r="BF423" s="55"/>
      <c r="BG423" s="55"/>
      <c r="BH423" s="62"/>
      <c r="BI423" s="57" t="n">
        <v>7</v>
      </c>
      <c r="BJ423" s="57" t="n">
        <v>2</v>
      </c>
      <c r="BK423" s="56" t="n">
        <v>91.76</v>
      </c>
      <c r="BL423" s="57" t="n">
        <v>1</v>
      </c>
      <c r="BM423" s="55" t="s">
        <v>964</v>
      </c>
      <c r="BN423" s="60" t="n">
        <v>0</v>
      </c>
      <c r="BO423" s="60" t="n">
        <v>423</v>
      </c>
      <c r="BP423" s="55" t="str">
        <f aca="false">IF(S423&lt;&gt;"",UPPER(TRIM(S423)),IF(O423="","LOSE",O423))</f>
        <v>S51</v>
      </c>
      <c r="BQ423" s="57" t="n">
        <f aca="false">IF(BP423="LOSE",1,IF(N(T423)&gt;0,T423,IF(N(P423)&gt;0,P423,MAX(1,G423))))</f>
        <v>9</v>
      </c>
      <c r="BR423" s="60" t="n">
        <f aca="false">IF(BP423="LOSE",1,0)</f>
        <v>0</v>
      </c>
      <c r="BS423" s="59" t="n">
        <f aca="false">IF(BR423=0,0,IF(N(R423)&gt;0,R423,IFERROR(VLOOKUP(D423,Parameter!$A$35:$C$64,3,0)+0,0)))</f>
        <v>0</v>
      </c>
      <c r="BT423" s="55" t="n">
        <f aca="false">IF(Y423&lt;&gt;"",Y423,X423)</f>
        <v>3</v>
      </c>
      <c r="BU423" s="55" t="str">
        <f aca="false">IF(BT423=1,"L1",IF(OR(BT423=2,BT423=3),"L23",IF(BT423="Aussen","Aussen","-")))</f>
        <v>L23</v>
      </c>
      <c r="BV423" s="66" t="n">
        <f aca="false">IF(N(Z423)&gt;0,Z423,0)</f>
        <v>0</v>
      </c>
      <c r="BW423" s="60" t="n">
        <f aca="false">IF(ISNUMBER(AC423),1,0)</f>
        <v>0</v>
      </c>
      <c r="BX423" s="57" t="n">
        <f aca="false">N(AC423)</f>
        <v>0</v>
      </c>
      <c r="BY423" s="57" t="n">
        <f aca="false">N(L423)+N(M423)</f>
        <v>6</v>
      </c>
      <c r="BZ423" s="57" t="n">
        <f aca="false">ROUNDUP(G423/BQ423,0)</f>
        <v>1</v>
      </c>
      <c r="CA423" s="57" t="n">
        <f aca="false">ROUNDUP(BX423/BQ423,0)</f>
        <v>0</v>
      </c>
      <c r="CB423" s="60" t="n">
        <f aca="false">IF(BR423=1,0,IFERROR(VLOOKUP(BP423,'Gebinde-Kategorie'!$A$5:$M$45,5,0)+0,0))</f>
        <v>11</v>
      </c>
      <c r="CC423" s="60" t="n">
        <f aca="false">IFERROR(IF(OR(BT423=1,BT423=2,BT423=3),N(INDEX(Parameter!$I$5:$I$7,BT423)),0),0)</f>
        <v>0</v>
      </c>
      <c r="CD423" s="59" t="n">
        <f aca="false">IF(AND(Parameter!$B$21="Ja",ISNUMBER(U423),N(V423)&gt;0),IFERROR(N(INDEX(Parameter!$L$5:$L$7,U423))*INDEX(Parameter!$E$5:$E$7,U423)*V423/SUMIFS($V$7:$V$1576,$U$7:$U$1576,U423),0),0)</f>
        <v>0</v>
      </c>
    </row>
    <row r="424" customFormat="false" ht="15" hidden="false" customHeight="false" outlineLevel="0" collapsed="false">
      <c r="A424" s="55" t="s">
        <v>965</v>
      </c>
      <c r="B424" s="55" t="s">
        <v>966</v>
      </c>
      <c r="C424" s="55" t="s">
        <v>160</v>
      </c>
      <c r="D424" s="55" t="s">
        <v>178</v>
      </c>
      <c r="E424" s="55" t="s">
        <v>210</v>
      </c>
      <c r="F424" s="56" t="n">
        <v>2.67</v>
      </c>
      <c r="G424" s="57" t="n">
        <f aca="false">MAX(0,IF(AND(Parameter!$B$21="Ja",ISNUMBER(W424)),W424,IF(Parameter!$B$20="Jahresanfang 2025 + Export",BJ424+BI424,BI424)))</f>
        <v>34</v>
      </c>
      <c r="H424" s="57" t="n">
        <f aca="false">G424*F424</f>
        <v>90.78</v>
      </c>
      <c r="I424" s="57" t="n">
        <f aca="false">BL424*Parameter!$B$18</f>
        <v>13</v>
      </c>
      <c r="J424" s="58" t="n">
        <v>19.5</v>
      </c>
      <c r="K424" s="59" t="n">
        <v>0.666666666666667</v>
      </c>
      <c r="L424" s="57" t="n">
        <v>0</v>
      </c>
      <c r="M424" s="57" t="n">
        <v>20</v>
      </c>
      <c r="N424" s="60" t="n">
        <v>14</v>
      </c>
      <c r="O424" s="55" t="s">
        <v>411</v>
      </c>
      <c r="P424" s="57" t="n">
        <v>35</v>
      </c>
      <c r="Q424" s="60" t="n">
        <f aca="false">IF(BR424=1,0,IFERROR(VLOOKUP(BP424,'Gebinde-Kategorie'!$A$5:$M$45,13,0)+0,0))</f>
        <v>132</v>
      </c>
      <c r="R424" s="61"/>
      <c r="S424" s="62"/>
      <c r="T424" s="62"/>
      <c r="U424" s="55"/>
      <c r="V424" s="57"/>
      <c r="W424" s="57"/>
      <c r="X424" s="55" t="n">
        <f aca="false">IF(A424="","",IF(AND(Parameter!$B$21="Ja",ISNUMBER(U424)),U424,IF(IFERROR(VLOOKUP(D424,Parameter!$A$35:$C$64,2,0),"Nein")="2+3",IF(ISNUMBER(SEARCH("grosser Artikel",BM424)),2,IFERROR(VLOOKUP(BP424,Parameter!$F$35:$G$64,2,0),2)),IF(OR(IFERROR(VLOOKUP(D424,Parameter!$A$35:$C$64,2,0),"Nein")="Nein",IFERROR(VLOOKUP(D424,Parameter!$A$35:$C$64,2,0),"Nein")=""),"-",VLOOKUP(D424,Parameter!$A$35:$C$64,2,0)))))</f>
        <v>3</v>
      </c>
      <c r="Y424" s="62"/>
      <c r="Z424" s="63"/>
      <c r="AA424" s="57" t="n">
        <f aca="false">AP424</f>
        <v>35</v>
      </c>
      <c r="AB424" s="57" t="n">
        <f aca="false">MAX(AP424,G424)</f>
        <v>35</v>
      </c>
      <c r="AC424" s="64"/>
      <c r="AD424" s="57" t="n">
        <f aca="false">IF(LEFT(Cockpit!$C$5,1)="A",G424,IF(BW424=1,BX424,IF(LEFT(Cockpit!$C$5,1)="B",AH424,MAX(AH424,G424))))</f>
        <v>34</v>
      </c>
      <c r="AE424" s="57" t="n">
        <f aca="false">IF(BR424=1,0,ROUNDUP(AD424/BQ424,0))</f>
        <v>1</v>
      </c>
      <c r="AF424" s="59" t="n">
        <f aca="false">IF(CD424&gt;0,CD424*MAX(1,AD424/V424),IF(BR424=1,IF(AD424&lt;=0,0,BS424*MAX(1,IF(G424&gt;0,AD424/G424,1))),IF(Q424&gt;0,AE424/Q424,0))/MAX(0.1,N(Parameter!$M$21)))</f>
        <v>0.00757575757575758</v>
      </c>
      <c r="AG424" s="57" t="n">
        <f aca="false">AD424*F424</f>
        <v>90.78</v>
      </c>
      <c r="AH424" s="57" t="n">
        <f aca="false">ROUNDUP(MAX(I424/IF(BV424&gt;0,BV424,MAX(0.1,N(Cockpit!$C$6))),BY424)/BQ424,0)*BQ424</f>
        <v>35</v>
      </c>
      <c r="AI424" s="58" t="n">
        <f aca="false">IF(AF424&gt;0,I424/AF424,-1)</f>
        <v>1716</v>
      </c>
      <c r="AJ424" s="58" t="n">
        <f aca="false">IF(AND(OR(BU424="L1",BU424="L23"),AF424&gt;0),SUMIFS($AF$7:$AF$1576,$BU$7:$BU$1576,BU424,$AI$7:$AI$1576,"&gt;"&amp;AI424)+SUMIFS($AF$7:$AF$1576,$BU$7:$BU$1576,BU424,$AI$7:$AI$1576,AI424,$BO$7:$BO$1576,"&lt;="&amp;BO424),"")</f>
        <v>7.5418648018648</v>
      </c>
      <c r="AK424" s="65" t="n">
        <f aca="false">IF(AJ424="",0,MAX(0,MIN(1,(IF(BU424="L1",Parameter!$E$5,Parameter!$E$6+Parameter!$E$7)-(AJ424-AF424))/AF424)))</f>
        <v>1</v>
      </c>
      <c r="AL424" s="57" t="n">
        <f aca="false">IF(LEFT(Cockpit!$I$5,1)="A",G424,IF(BW424=1,BX424,IF(LEFT(Cockpit!$I$5,1)="B",AP424,MAX(AP424,G424))))</f>
        <v>35</v>
      </c>
      <c r="AM424" s="57" t="n">
        <f aca="false">IF(BR424=1,0,ROUNDUP(AL424/BQ424,0))</f>
        <v>1</v>
      </c>
      <c r="AN424" s="59" t="n">
        <f aca="false">IF(CD424&gt;0,CD424*MAX(1,AL424/V424),IF(BR424=1,IF(AL424&lt;=0,0,BS424*MAX(1,IF(G424&gt;0,AL424/G424,1))),IF(Q424&gt;0,AM424/Q424,0))/MAX(0.1,N(Parameter!$M$21)))</f>
        <v>0.00757575757575758</v>
      </c>
      <c r="AO424" s="57" t="n">
        <f aca="false">AL424*F424</f>
        <v>93.45</v>
      </c>
      <c r="AP424" s="57" t="n">
        <f aca="false">ROUNDUP(MAX(I424/IF(BV424&gt;0,BV424,MAX(0.1,N(Cockpit!$I$6))),BY424)/BQ424,0)*BQ424</f>
        <v>35</v>
      </c>
      <c r="AQ424" s="58" t="n">
        <f aca="false">IF(AN424&gt;0,I424/AN424,-1)</f>
        <v>1716</v>
      </c>
      <c r="AR424" s="58" t="n">
        <f aca="false">IF(AND(OR(BU424="L1",BU424="L23"),AN424&gt;0),SUMIFS($AN$7:$AN$1576,$BU$7:$BU$1576,BU424,$AQ$7:$AQ$1576,"&gt;"&amp;AQ424)+SUMIFS($AN$7:$AN$1576,$BU$7:$BU$1576,BU424,$AQ$7:$AQ$1576,AQ424,$BO$7:$BO$1576,"&lt;="&amp;BO424),"")</f>
        <v>18.2285381892015</v>
      </c>
      <c r="AS424" s="65" t="n">
        <f aca="false">IF(AR424="",0,MAX(0,MIN(1,(IF(BU424="L1",Parameter!$E$5,Parameter!$E$6+Parameter!$E$7)-(AR424-AN424))/AN424)))</f>
        <v>1</v>
      </c>
      <c r="AT424" s="57" t="n">
        <f aca="false">IF(LEFT(Cockpit!$O$5,1)="A",G424,IF(BW424=1,BX424,IF(LEFT(Cockpit!$O$5,1)="B",AX424,MAX(AX424,G424))))</f>
        <v>35</v>
      </c>
      <c r="AU424" s="57" t="n">
        <f aca="false">IF(BR424=1,0,ROUNDUP(AT424/BQ424,0))</f>
        <v>1</v>
      </c>
      <c r="AV424" s="59" t="n">
        <f aca="false">IF(CD424&gt;0,CD424*MAX(1,AT424/V424),IF(BR424=1,IF(AT424&lt;=0,0,BS424*MAX(1,IF(G424&gt;0,AT424/G424,1))),IF(Q424&gt;0,AU424/Q424,0))/MAX(0.1,N(Parameter!$M$21)))</f>
        <v>0.00757575757575758</v>
      </c>
      <c r="AW424" s="57" t="n">
        <f aca="false">AT424*F424</f>
        <v>93.45</v>
      </c>
      <c r="AX424" s="57" t="n">
        <f aca="false">ROUNDUP(MAX(I424/IF(BV424&gt;0,BV424,MAX(0.1,N(Cockpit!$O$6))),BY424)/BQ424,0)*BQ424</f>
        <v>35</v>
      </c>
      <c r="AY424" s="58" t="n">
        <f aca="false">IF(AV424&gt;0,I424/AV424,-1)</f>
        <v>1716</v>
      </c>
      <c r="AZ424" s="58" t="n">
        <f aca="false">IF(AND(OR(BU424="L1",BU424="L23"),AV424&gt;0),SUMIFS($AV$7:$AV$1576,$BU$7:$BU$1576,BU424,$AY$7:$AY$1576,"&gt;"&amp;AY424)+SUMIFS($AV$7:$AV$1576,$BU$7:$BU$1576,BU424,$AY$7:$AY$1576,AY424,$BO$7:$BO$1576,"&lt;="&amp;BO424),"")</f>
        <v>17.2058109164743</v>
      </c>
      <c r="BA424" s="65" t="n">
        <f aca="false">IF(AZ424="",0,MAX(0,MIN(1,(IF(BU424="L1",Parameter!$E$5,Parameter!$E$6+Parameter!$E$7)-(AZ424-AV424))/AV424)))</f>
        <v>1</v>
      </c>
      <c r="BB424" s="55" t="str">
        <f aca="false">IF(AF424&lt;=0,"",IF(BU424="Aussen","Aussenlager",IF(BU424="-","Nicht im Lift",IF(AK424&gt;=1,"Lift",IF(AK424&lt;=0,"Aussenlager","teilweise")))))</f>
        <v>Lift</v>
      </c>
      <c r="BC424" s="55" t="str">
        <f aca="false">IF(AN424&lt;=0,"",IF(BU424="Aussen","Aussenlager",IF(BU424="-","Nicht im Lift",IF(AS424&gt;=1,"Lift",IF(AS424&lt;=0,"Aussenlager","teilweise")))))</f>
        <v>Lift</v>
      </c>
      <c r="BD424" s="55" t="str">
        <f aca="false">IF(AV424&lt;=0,"",IF(BU424="Aussen","Aussenlager",IF(BU424="-","Nicht im Lift",IF(BA424&gt;=1,"Lift",IF(BA424&lt;=0,"Aussenlager","teilweise")))))</f>
        <v>Lift</v>
      </c>
      <c r="BE424" s="55" t="str">
        <f aca="false">IF(A424="","",IF(BN424=1,"Neu; ","")&amp;IF(AND(BN424=0,BI424&lt;0),"negativer Bestand (Export "&amp;BI424&amp;"); ","")&amp;IF(I424&lt;=0,"Kein Verbrauch; ","")&amp;IF(CD424&gt;0,"Lift "&amp;U424&amp;" lt. Liftbericht (Fach "&amp;V424&amp;" Stk); ",IF(BR424=1,"Lose – Fläche geschätzt; ",""))&amp;IF(G424&gt;AP424,"Überbestand "&amp;ROUND(G424-AP424,0)&amp;" Stk / CHF "&amp;ROUND((G424-AP424)*F424,0)&amp;"; ","")&amp;IF(AND(BW424=1,BX424&lt;BY424),"MAX &lt; MB+LG; ","")&amp;IF(AND(CC424&gt;0,CB424*10&gt;CC424),"zu hoch für Tablar; ","")&amp;IF(AND(BN424=0,OR(BW424=1,Y424&lt;&gt;"",S424&lt;&gt;"",T424&lt;&gt;"",Z424&lt;&gt;"")),"manuell übersteuert; ","")&amp;IF(AND(BR424=0,Q424=0),"Gebinde unbekannt / Stellmass fehlt; ","")&amp;IF(AND(BR424=0,N(T424)&lt;=0,N(P424)&lt;=0),"Menge pro Gebinde fehlt (Ist = 1 Gebinde); ","")&amp;BM424)</f>
        <v/>
      </c>
      <c r="BF424" s="55"/>
      <c r="BG424" s="55"/>
      <c r="BH424" s="62"/>
      <c r="BI424" s="57" t="n">
        <v>34</v>
      </c>
      <c r="BJ424" s="57" t="n">
        <v>11</v>
      </c>
      <c r="BK424" s="56" t="n">
        <v>90.23</v>
      </c>
      <c r="BL424" s="57" t="n">
        <v>13</v>
      </c>
      <c r="BM424" s="55"/>
      <c r="BN424" s="60" t="n">
        <v>0</v>
      </c>
      <c r="BO424" s="60" t="n">
        <v>424</v>
      </c>
      <c r="BP424" s="55" t="str">
        <f aca="false">IF(S424&lt;&gt;"",UPPER(TRIM(S424)),IF(O424="","LOSE",O424))</f>
        <v>S32</v>
      </c>
      <c r="BQ424" s="57" t="n">
        <f aca="false">IF(BP424="LOSE",1,IF(N(T424)&gt;0,T424,IF(N(P424)&gt;0,P424,MAX(1,G424))))</f>
        <v>35</v>
      </c>
      <c r="BR424" s="60" t="n">
        <f aca="false">IF(BP424="LOSE",1,0)</f>
        <v>0</v>
      </c>
      <c r="BS424" s="59" t="n">
        <f aca="false">IF(BR424=0,0,IF(N(R424)&gt;0,R424,IFERROR(VLOOKUP(D424,Parameter!$A$35:$C$64,3,0)+0,0)))</f>
        <v>0</v>
      </c>
      <c r="BT424" s="55" t="n">
        <f aca="false">IF(Y424&lt;&gt;"",Y424,X424)</f>
        <v>3</v>
      </c>
      <c r="BU424" s="55" t="str">
        <f aca="false">IF(BT424=1,"L1",IF(OR(BT424=2,BT424=3),"L23",IF(BT424="Aussen","Aussen","-")))</f>
        <v>L23</v>
      </c>
      <c r="BV424" s="66" t="n">
        <f aca="false">IF(N(Z424)&gt;0,Z424,0)</f>
        <v>0</v>
      </c>
      <c r="BW424" s="60" t="n">
        <f aca="false">IF(ISNUMBER(AC424),1,0)</f>
        <v>0</v>
      </c>
      <c r="BX424" s="57" t="n">
        <f aca="false">N(AC424)</f>
        <v>0</v>
      </c>
      <c r="BY424" s="57" t="n">
        <f aca="false">N(L424)+N(M424)</f>
        <v>20</v>
      </c>
      <c r="BZ424" s="57" t="n">
        <f aca="false">ROUNDUP(G424/BQ424,0)</f>
        <v>1</v>
      </c>
      <c r="CA424" s="57" t="n">
        <f aca="false">ROUNDUP(BX424/BQ424,0)</f>
        <v>0</v>
      </c>
      <c r="CB424" s="60" t="n">
        <f aca="false">IF(BR424=1,0,IFERROR(VLOOKUP(BP424,'Gebinde-Kategorie'!$A$5:$M$45,5,0)+0,0))</f>
        <v>8</v>
      </c>
      <c r="CC424" s="60" t="n">
        <f aca="false">IFERROR(IF(OR(BT424=1,BT424=2,BT424=3),N(INDEX(Parameter!$I$5:$I$7,BT424)),0),0)</f>
        <v>0</v>
      </c>
      <c r="CD424" s="59" t="n">
        <f aca="false">IF(AND(Parameter!$B$21="Ja",ISNUMBER(U424),N(V424)&gt;0),IFERROR(N(INDEX(Parameter!$L$5:$L$7,U424))*INDEX(Parameter!$E$5:$E$7,U424)*V424/SUMIFS($V$7:$V$1576,$U$7:$U$1576,U424),0),0)</f>
        <v>0</v>
      </c>
    </row>
    <row r="425" customFormat="false" ht="15" hidden="false" customHeight="false" outlineLevel="0" collapsed="false">
      <c r="A425" s="55" t="s">
        <v>967</v>
      </c>
      <c r="B425" s="55" t="s">
        <v>968</v>
      </c>
      <c r="C425" s="55" t="s">
        <v>160</v>
      </c>
      <c r="D425" s="55" t="s">
        <v>168</v>
      </c>
      <c r="E425" s="55" t="s">
        <v>210</v>
      </c>
      <c r="F425" s="56" t="n">
        <v>74.27</v>
      </c>
      <c r="G425" s="57" t="n">
        <f aca="false">MAX(0,IF(AND(Parameter!$B$21="Ja",ISNUMBER(W425)),W425,IF(Parameter!$B$20="Jahresanfang 2025 + Export",BJ425+BI425,BI425)))</f>
        <v>1</v>
      </c>
      <c r="H425" s="57" t="n">
        <f aca="false">G425*F425</f>
        <v>74.27</v>
      </c>
      <c r="I425" s="57" t="n">
        <f aca="false">BL425*Parameter!$B$18</f>
        <v>26</v>
      </c>
      <c r="J425" s="58" t="n">
        <v>1.5</v>
      </c>
      <c r="K425" s="59" t="n">
        <v>17.3333333333333</v>
      </c>
      <c r="L425" s="57" t="n">
        <v>2</v>
      </c>
      <c r="M425" s="57" t="n">
        <v>2</v>
      </c>
      <c r="N425" s="60" t="n">
        <v>21</v>
      </c>
      <c r="O425" s="55" t="s">
        <v>163</v>
      </c>
      <c r="P425" s="57"/>
      <c r="Q425" s="60" t="n">
        <f aca="false">IF(BR425=1,0,IFERROR(VLOOKUP(BP425,'Gebinde-Kategorie'!$A$5:$M$45,13,0)+0,0))</f>
        <v>0</v>
      </c>
      <c r="R425" s="61"/>
      <c r="S425" s="62"/>
      <c r="T425" s="62"/>
      <c r="U425" s="55"/>
      <c r="V425" s="57"/>
      <c r="W425" s="57"/>
      <c r="X425" s="55" t="n">
        <f aca="false">IF(A425="","",IF(AND(Parameter!$B$21="Ja",ISNUMBER(U425)),U425,IF(IFERROR(VLOOKUP(D425,Parameter!$A$35:$C$64,2,0),"Nein")="2+3",IF(ISNUMBER(SEARCH("grosser Artikel",BM425)),2,IFERROR(VLOOKUP(BP425,Parameter!$F$35:$G$64,2,0),2)),IF(OR(IFERROR(VLOOKUP(D425,Parameter!$A$35:$C$64,2,0),"Nein")="Nein",IFERROR(VLOOKUP(D425,Parameter!$A$35:$C$64,2,0),"Nein")=""),"-",VLOOKUP(D425,Parameter!$A$35:$C$64,2,0)))))</f>
        <v>2</v>
      </c>
      <c r="Y425" s="62"/>
      <c r="Z425" s="63"/>
      <c r="AA425" s="57" t="n">
        <f aca="false">AP425</f>
        <v>13</v>
      </c>
      <c r="AB425" s="57" t="n">
        <f aca="false">MAX(AP425,G425)</f>
        <v>13</v>
      </c>
      <c r="AC425" s="64"/>
      <c r="AD425" s="57" t="n">
        <f aca="false">IF(LEFT(Cockpit!$C$5,1)="A",G425,IF(BW425=1,BX425,IF(LEFT(Cockpit!$C$5,1)="B",AH425,MAX(AH425,G425))))</f>
        <v>1</v>
      </c>
      <c r="AE425" s="57" t="n">
        <f aca="false">IF(BR425=1,0,ROUNDUP(AD425/BQ425,0))</f>
        <v>0</v>
      </c>
      <c r="AF425" s="59" t="n">
        <f aca="false">IF(CD425&gt;0,CD425*MAX(1,AD425/V425),IF(BR425=1,IF(AD425&lt;=0,0,BS425*MAX(1,IF(G425&gt;0,AD425/G425,1))),IF(Q425&gt;0,AE425/Q425,0))/MAX(0.1,N(Parameter!$M$21)))</f>
        <v>0.15</v>
      </c>
      <c r="AG425" s="57" t="n">
        <f aca="false">AD425*F425</f>
        <v>74.27</v>
      </c>
      <c r="AH425" s="57" t="n">
        <f aca="false">ROUNDUP(MAX(I425/IF(BV425&gt;0,BV425,MAX(0.1,N(Cockpit!$C$6))),BY425)/BQ425,0)*BQ425</f>
        <v>13</v>
      </c>
      <c r="AI425" s="58" t="n">
        <f aca="false">IF(AF425&gt;0,I425/AF425,-1)</f>
        <v>173.333333333333</v>
      </c>
      <c r="AJ425" s="58" t="n">
        <f aca="false">IF(AND(OR(BU425="L1",BU425="L23"),AF425&gt;0),SUMIFS($AF$7:$AF$1576,$BU$7:$BU$1576,BU425,$AI$7:$AI$1576,"&gt;"&amp;AI425)+SUMIFS($AF$7:$AF$1576,$BU$7:$BU$1576,BU425,$AI$7:$AI$1576,AI425,$BO$7:$BO$1576,"&lt;="&amp;BO425),"")</f>
        <v>18.1993493463059</v>
      </c>
      <c r="AK425" s="65" t="n">
        <f aca="false">IF(AJ425="",0,MAX(0,MIN(1,(IF(BU425="L1",Parameter!$E$5,Parameter!$E$6+Parameter!$E$7)-(AJ425-AF425))/AF425)))</f>
        <v>1</v>
      </c>
      <c r="AL425" s="57" t="n">
        <f aca="false">IF(LEFT(Cockpit!$I$5,1)="A",G425,IF(BW425=1,BX425,IF(LEFT(Cockpit!$I$5,1)="B",AP425,MAX(AP425,G425))))</f>
        <v>13</v>
      </c>
      <c r="AM425" s="57" t="n">
        <f aca="false">IF(BR425=1,0,ROUNDUP(AL425/BQ425,0))</f>
        <v>0</v>
      </c>
      <c r="AN425" s="59" t="n">
        <f aca="false">IF(CD425&gt;0,CD425*MAX(1,AL425/V425),IF(BR425=1,IF(AL425&lt;=0,0,BS425*MAX(1,IF(G425&gt;0,AL425/G425,1))),IF(Q425&gt;0,AM425/Q425,0))/MAX(0.1,N(Parameter!$M$21)))</f>
        <v>1.95</v>
      </c>
      <c r="AO425" s="57" t="n">
        <f aca="false">AL425*F425</f>
        <v>965.51</v>
      </c>
      <c r="AP425" s="57" t="n">
        <f aca="false">ROUNDUP(MAX(I425/IF(BV425&gt;0,BV425,MAX(0.1,N(Cockpit!$I$6))),BY425)/BQ425,0)*BQ425</f>
        <v>13</v>
      </c>
      <c r="AQ425" s="58" t="n">
        <f aca="false">IF(AN425&gt;0,I425/AN425,-1)</f>
        <v>13.3333333333333</v>
      </c>
      <c r="AR425" s="58" t="n">
        <f aca="false">IF(AND(OR(BU425="L1",BU425="L23"),AN425&gt;0),SUMIFS($AN$7:$AN$1576,$BU$7:$BU$1576,BU425,$AQ$7:$AQ$1576,"&gt;"&amp;AQ425)+SUMIFS($AN$7:$AN$1576,$BU$7:$BU$1576,BU425,$AQ$7:$AQ$1576,AQ425,$BO$7:$BO$1576,"&lt;="&amp;BO425),"")</f>
        <v>104.218075614337</v>
      </c>
      <c r="AS425" s="65" t="n">
        <f aca="false">IF(AR425="",0,MAX(0,MIN(1,(IF(BU425="L1",Parameter!$E$5,Parameter!$E$6+Parameter!$E$7)-(AR425-AN425))/AN425)))</f>
        <v>0</v>
      </c>
      <c r="AT425" s="57" t="n">
        <f aca="false">IF(LEFT(Cockpit!$O$5,1)="A",G425,IF(BW425=1,BX425,IF(LEFT(Cockpit!$O$5,1)="B",AX425,MAX(AX425,G425))))</f>
        <v>9</v>
      </c>
      <c r="AU425" s="57" t="n">
        <f aca="false">IF(BR425=1,0,ROUNDUP(AT425/BQ425,0))</f>
        <v>0</v>
      </c>
      <c r="AV425" s="59" t="n">
        <f aca="false">IF(CD425&gt;0,CD425*MAX(1,AT425/V425),IF(BR425=1,IF(AT425&lt;=0,0,BS425*MAX(1,IF(G425&gt;0,AT425/G425,1))),IF(Q425&gt;0,AU425/Q425,0))/MAX(0.1,N(Parameter!$M$21)))</f>
        <v>1.35</v>
      </c>
      <c r="AW425" s="57" t="n">
        <f aca="false">AT425*F425</f>
        <v>668.43</v>
      </c>
      <c r="AX425" s="57" t="n">
        <f aca="false">ROUNDUP(MAX(I425/IF(BV425&gt;0,BV425,MAX(0.1,N(Cockpit!$O$6))),BY425)/BQ425,0)*BQ425</f>
        <v>9</v>
      </c>
      <c r="AY425" s="58" t="n">
        <f aca="false">IF(AV425&gt;0,I425/AV425,-1)</f>
        <v>19.2592592592593</v>
      </c>
      <c r="AZ425" s="58" t="n">
        <f aca="false">IF(AND(OR(BU425="L1",BU425="L23"),AV425&gt;0),SUMIFS($AV$7:$AV$1576,$BU$7:$BU$1576,BU425,$AY$7:$AY$1576,"&gt;"&amp;AY425)+SUMIFS($AV$7:$AV$1576,$BU$7:$BU$1576,BU425,$AY$7:$AY$1576,AY425,$BO$7:$BO$1576,"&lt;="&amp;BO425),"")</f>
        <v>92.4609593972206</v>
      </c>
      <c r="BA425" s="65" t="n">
        <f aca="false">IF(AZ425="",0,MAX(0,MIN(1,(IF(BU425="L1",Parameter!$E$5,Parameter!$E$6+Parameter!$E$7)-(AZ425-AV425))/AV425)))</f>
        <v>1</v>
      </c>
      <c r="BB425" s="55" t="str">
        <f aca="false">IF(AF425&lt;=0,"",IF(BU425="Aussen","Aussenlager",IF(BU425="-","Nicht im Lift",IF(AK425&gt;=1,"Lift",IF(AK425&lt;=0,"Aussenlager","teilweise")))))</f>
        <v>Lift</v>
      </c>
      <c r="BC425" s="55" t="str">
        <f aca="false">IF(AN425&lt;=0,"",IF(BU425="Aussen","Aussenlager",IF(BU425="-","Nicht im Lift",IF(AS425&gt;=1,"Lift",IF(AS425&lt;=0,"Aussenlager","teilweise")))))</f>
        <v>Aussenlager</v>
      </c>
      <c r="BD425" s="55" t="str">
        <f aca="false">IF(AV425&lt;=0,"",IF(BU425="Aussen","Aussenlager",IF(BU425="-","Nicht im Lift",IF(BA425&gt;=1,"Lift",IF(BA425&lt;=0,"Aussenlager","teilweise")))))</f>
        <v>Lift</v>
      </c>
      <c r="BE425" s="55" t="str">
        <f aca="false">IF(A425="","",IF(BN425=1,"Neu; ","")&amp;IF(AND(BN425=0,BI425&lt;0),"negativer Bestand (Export "&amp;BI425&amp;"); ","")&amp;IF(I425&lt;=0,"Kein Verbrauch; ","")&amp;IF(CD425&gt;0,"Lift "&amp;U425&amp;" lt. Liftbericht (Fach "&amp;V425&amp;" Stk); ",IF(BR425=1,"Lose – Fläche geschätzt; ",""))&amp;IF(G425&gt;AP425,"Überbestand "&amp;ROUND(G425-AP425,0)&amp;" Stk / CHF "&amp;ROUND((G425-AP425)*F425,0)&amp;"; ","")&amp;IF(AND(BW425=1,BX425&lt;BY425),"MAX &lt; MB+LG; ","")&amp;IF(AND(CC425&gt;0,CB425*10&gt;CC425),"zu hoch für Tablar; ","")&amp;IF(AND(BN425=0,OR(BW425=1,Y425&lt;&gt;"",S425&lt;&gt;"",T425&lt;&gt;"",Z425&lt;&gt;"")),"manuell übersteuert; ","")&amp;IF(AND(BR425=0,Q425=0),"Gebinde unbekannt / Stellmass fehlt; ","")&amp;IF(AND(BR425=0,N(T425)&lt;=0,N(P425)&lt;=0),"Menge pro Gebinde fehlt (Ist = 1 Gebinde); ","")&amp;BM425)</f>
        <v>Lose – Fläche geschätzt; grosser Artikel &amp; nicht im KTL</v>
      </c>
      <c r="BF425" s="55"/>
      <c r="BG425" s="55"/>
      <c r="BH425" s="62"/>
      <c r="BI425" s="57" t="n">
        <v>1</v>
      </c>
      <c r="BJ425" s="57" t="n">
        <v>2</v>
      </c>
      <c r="BK425" s="56" t="n">
        <v>90.0999999999997</v>
      </c>
      <c r="BL425" s="57" t="n">
        <v>26</v>
      </c>
      <c r="BM425" s="55" t="s">
        <v>253</v>
      </c>
      <c r="BN425" s="60" t="n">
        <v>0</v>
      </c>
      <c r="BO425" s="60" t="n">
        <v>425</v>
      </c>
      <c r="BP425" s="55" t="str">
        <f aca="false">IF(S425&lt;&gt;"",UPPER(TRIM(S425)),IF(O425="","LOSE",O425))</f>
        <v>LOSE</v>
      </c>
      <c r="BQ425" s="57" t="n">
        <f aca="false">IF(BP425="LOSE",1,IF(N(T425)&gt;0,T425,IF(N(P425)&gt;0,P425,MAX(1,G425))))</f>
        <v>1</v>
      </c>
      <c r="BR425" s="60" t="n">
        <f aca="false">IF(BP425="LOSE",1,0)</f>
        <v>1</v>
      </c>
      <c r="BS425" s="59" t="n">
        <f aca="false">IF(BR425=0,0,IF(N(R425)&gt;0,R425,IFERROR(VLOOKUP(D425,Parameter!$A$35:$C$64,3,0)+0,0)))</f>
        <v>0.15</v>
      </c>
      <c r="BT425" s="55" t="n">
        <f aca="false">IF(Y425&lt;&gt;"",Y425,X425)</f>
        <v>2</v>
      </c>
      <c r="BU425" s="55" t="str">
        <f aca="false">IF(BT425=1,"L1",IF(OR(BT425=2,BT425=3),"L23",IF(BT425="Aussen","Aussen","-")))</f>
        <v>L23</v>
      </c>
      <c r="BV425" s="66" t="n">
        <f aca="false">IF(N(Z425)&gt;0,Z425,0)</f>
        <v>0</v>
      </c>
      <c r="BW425" s="60" t="n">
        <f aca="false">IF(ISNUMBER(AC425),1,0)</f>
        <v>0</v>
      </c>
      <c r="BX425" s="57" t="n">
        <f aca="false">N(AC425)</f>
        <v>0</v>
      </c>
      <c r="BY425" s="57" t="n">
        <f aca="false">N(L425)+N(M425)</f>
        <v>4</v>
      </c>
      <c r="BZ425" s="57" t="n">
        <f aca="false">ROUNDUP(G425/BQ425,0)</f>
        <v>1</v>
      </c>
      <c r="CA425" s="57" t="n">
        <f aca="false">ROUNDUP(BX425/BQ425,0)</f>
        <v>0</v>
      </c>
      <c r="CB425" s="60" t="n">
        <f aca="false">IF(BR425=1,0,IFERROR(VLOOKUP(BP425,'Gebinde-Kategorie'!$A$5:$M$45,5,0)+0,0))</f>
        <v>0</v>
      </c>
      <c r="CC425" s="60" t="n">
        <f aca="false">IFERROR(IF(OR(BT425=1,BT425=2,BT425=3),N(INDEX(Parameter!$I$5:$I$7,BT425)),0),0)</f>
        <v>0</v>
      </c>
      <c r="CD425" s="59" t="n">
        <f aca="false">IF(AND(Parameter!$B$21="Ja",ISNUMBER(U425),N(V425)&gt;0),IFERROR(N(INDEX(Parameter!$L$5:$L$7,U425))*INDEX(Parameter!$E$5:$E$7,U425)*V425/SUMIFS($V$7:$V$1576,$U$7:$U$1576,U425),0),0)</f>
        <v>0</v>
      </c>
    </row>
    <row r="426" customFormat="false" ht="15" hidden="false" customHeight="false" outlineLevel="0" collapsed="false">
      <c r="A426" s="55" t="s">
        <v>969</v>
      </c>
      <c r="B426" s="55" t="s">
        <v>970</v>
      </c>
      <c r="C426" s="55" t="s">
        <v>160</v>
      </c>
      <c r="D426" s="55" t="s">
        <v>178</v>
      </c>
      <c r="E426" s="55" t="s">
        <v>210</v>
      </c>
      <c r="F426" s="56" t="n">
        <v>0.1</v>
      </c>
      <c r="G426" s="57" t="n">
        <f aca="false">MAX(0,IF(AND(Parameter!$B$21="Ja",ISNUMBER(W426)),W426,IF(Parameter!$B$20="Jahresanfang 2025 + Export",BJ426+BI426,BI426)))</f>
        <v>900</v>
      </c>
      <c r="H426" s="57" t="n">
        <f aca="false">G426*F426</f>
        <v>90</v>
      </c>
      <c r="I426" s="57" t="n">
        <f aca="false">BL426*Parameter!$B$18</f>
        <v>701</v>
      </c>
      <c r="J426" s="58" t="n">
        <v>551.5</v>
      </c>
      <c r="K426" s="59" t="n">
        <v>1.27107887579329</v>
      </c>
      <c r="L426" s="57" t="n">
        <v>40</v>
      </c>
      <c r="M426" s="57" t="n">
        <v>1000</v>
      </c>
      <c r="N426" s="60" t="n">
        <v>21</v>
      </c>
      <c r="O426" s="55" t="s">
        <v>293</v>
      </c>
      <c r="P426" s="57" t="n">
        <v>1000</v>
      </c>
      <c r="Q426" s="60" t="n">
        <f aca="false">IF(BR426=1,0,IFERROR(VLOOKUP(BP426,'Gebinde-Kategorie'!$A$5:$M$45,13,0)+0,0))</f>
        <v>26</v>
      </c>
      <c r="R426" s="61"/>
      <c r="S426" s="62"/>
      <c r="T426" s="62"/>
      <c r="U426" s="55"/>
      <c r="V426" s="57"/>
      <c r="W426" s="57"/>
      <c r="X426" s="55" t="n">
        <f aca="false">IF(A426="","",IF(AND(Parameter!$B$21="Ja",ISNUMBER(U426)),U426,IF(IFERROR(VLOOKUP(D426,Parameter!$A$35:$C$64,2,0),"Nein")="2+3",IF(ISNUMBER(SEARCH("grosser Artikel",BM426)),2,IFERROR(VLOOKUP(BP426,Parameter!$F$35:$G$64,2,0),2)),IF(OR(IFERROR(VLOOKUP(D426,Parameter!$A$35:$C$64,2,0),"Nein")="Nein",IFERROR(VLOOKUP(D426,Parameter!$A$35:$C$64,2,0),"Nein")=""),"-",VLOOKUP(D426,Parameter!$A$35:$C$64,2,0)))))</f>
        <v>3</v>
      </c>
      <c r="Y426" s="62"/>
      <c r="Z426" s="63"/>
      <c r="AA426" s="57" t="n">
        <f aca="false">AP426</f>
        <v>2000</v>
      </c>
      <c r="AB426" s="57" t="n">
        <f aca="false">MAX(AP426,G426)</f>
        <v>2000</v>
      </c>
      <c r="AC426" s="64"/>
      <c r="AD426" s="57" t="n">
        <f aca="false">IF(LEFT(Cockpit!$C$5,1)="A",G426,IF(BW426=1,BX426,IF(LEFT(Cockpit!$C$5,1)="B",AH426,MAX(AH426,G426))))</f>
        <v>900</v>
      </c>
      <c r="AE426" s="57" t="n">
        <f aca="false">IF(BR426=1,0,ROUNDUP(AD426/BQ426,0))</f>
        <v>1</v>
      </c>
      <c r="AF426" s="59" t="n">
        <f aca="false">IF(CD426&gt;0,CD426*MAX(1,AD426/V426),IF(BR426=1,IF(AD426&lt;=0,0,BS426*MAX(1,IF(G426&gt;0,AD426/G426,1))),IF(Q426&gt;0,AE426/Q426,0))/MAX(0.1,N(Parameter!$M$21)))</f>
        <v>0.0384615384615385</v>
      </c>
      <c r="AG426" s="57" t="n">
        <f aca="false">AD426*F426</f>
        <v>90</v>
      </c>
      <c r="AH426" s="57" t="n">
        <f aca="false">ROUNDUP(MAX(I426/IF(BV426&gt;0,BV426,MAX(0.1,N(Cockpit!$C$6))),BY426)/BQ426,0)*BQ426</f>
        <v>2000</v>
      </c>
      <c r="AI426" s="58" t="n">
        <f aca="false">IF(AF426&gt;0,I426/AF426,-1)</f>
        <v>18226</v>
      </c>
      <c r="AJ426" s="58" t="n">
        <f aca="false">IF(AND(OR(BU426="L1",BU426="L23"),AF426&gt;0),SUMIFS($AF$7:$AF$1576,$BU$7:$BU$1576,BU426,$AI$7:$AI$1576,"&gt;"&amp;AI426)+SUMIFS($AF$7:$AF$1576,$BU$7:$BU$1576,BU426,$AI$7:$AI$1576,AI426,$BO$7:$BO$1576,"&lt;="&amp;BO426),"")</f>
        <v>2.00742373568461</v>
      </c>
      <c r="AK426" s="65" t="n">
        <f aca="false">IF(AJ426="",0,MAX(0,MIN(1,(IF(BU426="L1",Parameter!$E$5,Parameter!$E$6+Parameter!$E$7)-(AJ426-AF426))/AF426)))</f>
        <v>1</v>
      </c>
      <c r="AL426" s="57" t="n">
        <f aca="false">IF(LEFT(Cockpit!$I$5,1)="A",G426,IF(BW426=1,BX426,IF(LEFT(Cockpit!$I$5,1)="B",AP426,MAX(AP426,G426))))</f>
        <v>2000</v>
      </c>
      <c r="AM426" s="57" t="n">
        <f aca="false">IF(BR426=1,0,ROUNDUP(AL426/BQ426,0))</f>
        <v>2</v>
      </c>
      <c r="AN426" s="59" t="n">
        <f aca="false">IF(CD426&gt;0,CD426*MAX(1,AL426/V426),IF(BR426=1,IF(AL426&lt;=0,0,BS426*MAX(1,IF(G426&gt;0,AL426/G426,1))),IF(Q426&gt;0,AM426/Q426,0))/MAX(0.1,N(Parameter!$M$21)))</f>
        <v>0.0769230769230769</v>
      </c>
      <c r="AO426" s="57" t="n">
        <f aca="false">AL426*F426</f>
        <v>200</v>
      </c>
      <c r="AP426" s="57" t="n">
        <f aca="false">ROUNDUP(MAX(I426/IF(BV426&gt;0,BV426,MAX(0.1,N(Cockpit!$I$6))),BY426)/BQ426,0)*BQ426</f>
        <v>2000</v>
      </c>
      <c r="AQ426" s="58" t="n">
        <f aca="false">IF(AN426&gt;0,I426/AN426,-1)</f>
        <v>9113</v>
      </c>
      <c r="AR426" s="58" t="n">
        <f aca="false">IF(AND(OR(BU426="L1",BU426="L23"),AN426&gt;0),SUMIFS($AN$7:$AN$1576,$BU$7:$BU$1576,BU426,$AQ$7:$AQ$1576,"&gt;"&amp;AQ426)+SUMIFS($AN$7:$AN$1576,$BU$7:$BU$1576,BU426,$AQ$7:$AQ$1576,AQ426,$BO$7:$BO$1576,"&lt;="&amp;BO426),"")</f>
        <v>7.48625282929631</v>
      </c>
      <c r="AS426" s="65" t="n">
        <f aca="false">IF(AR426="",0,MAX(0,MIN(1,(IF(BU426="L1",Parameter!$E$5,Parameter!$E$6+Parameter!$E$7)-(AR426-AN426))/AN426)))</f>
        <v>1</v>
      </c>
      <c r="AT426" s="57" t="n">
        <f aca="false">IF(LEFT(Cockpit!$O$5,1)="A",G426,IF(BW426=1,BX426,IF(LEFT(Cockpit!$O$5,1)="B",AX426,MAX(AX426,G426))))</f>
        <v>2000</v>
      </c>
      <c r="AU426" s="57" t="n">
        <f aca="false">IF(BR426=1,0,ROUNDUP(AT426/BQ426,0))</f>
        <v>2</v>
      </c>
      <c r="AV426" s="59" t="n">
        <f aca="false">IF(CD426&gt;0,CD426*MAX(1,AT426/V426),IF(BR426=1,IF(AT426&lt;=0,0,BS426*MAX(1,IF(G426&gt;0,AT426/G426,1))),IF(Q426&gt;0,AU426/Q426,0))/MAX(0.1,N(Parameter!$M$21)))</f>
        <v>0.0769230769230769</v>
      </c>
      <c r="AW426" s="57" t="n">
        <f aca="false">AT426*F426</f>
        <v>200</v>
      </c>
      <c r="AX426" s="57" t="n">
        <f aca="false">ROUNDUP(MAX(I426/IF(BV426&gt;0,BV426,MAX(0.1,N(Cockpit!$O$6))),BY426)/BQ426,0)*BQ426</f>
        <v>2000</v>
      </c>
      <c r="AY426" s="58" t="n">
        <f aca="false">IF(AV426&gt;0,I426/AV426,-1)</f>
        <v>9113</v>
      </c>
      <c r="AZ426" s="58" t="n">
        <f aca="false">IF(AND(OR(BU426="L1",BU426="L23"),AV426&gt;0),SUMIFS($AV$7:$AV$1576,$BU$7:$BU$1576,BU426,$AY$7:$AY$1576,"&gt;"&amp;AY426)+SUMIFS($AV$7:$AV$1576,$BU$7:$BU$1576,BU426,$AY$7:$AY$1576,AY426,$BO$7:$BO$1576,"&lt;="&amp;BO426),"")</f>
        <v>7.57891017195365</v>
      </c>
      <c r="BA426" s="65" t="n">
        <f aca="false">IF(AZ426="",0,MAX(0,MIN(1,(IF(BU426="L1",Parameter!$E$5,Parameter!$E$6+Parameter!$E$7)-(AZ426-AV426))/AV426)))</f>
        <v>1</v>
      </c>
      <c r="BB426" s="55" t="str">
        <f aca="false">IF(AF426&lt;=0,"",IF(BU426="Aussen","Aussenlager",IF(BU426="-","Nicht im Lift",IF(AK426&gt;=1,"Lift",IF(AK426&lt;=0,"Aussenlager","teilweise")))))</f>
        <v>Lift</v>
      </c>
      <c r="BC426" s="55" t="str">
        <f aca="false">IF(AN426&lt;=0,"",IF(BU426="Aussen","Aussenlager",IF(BU426="-","Nicht im Lift",IF(AS426&gt;=1,"Lift",IF(AS426&lt;=0,"Aussenlager","teilweise")))))</f>
        <v>Lift</v>
      </c>
      <c r="BD426" s="55" t="str">
        <f aca="false">IF(AV426&lt;=0,"",IF(BU426="Aussen","Aussenlager",IF(BU426="-","Nicht im Lift",IF(BA426&gt;=1,"Lift",IF(BA426&lt;=0,"Aussenlager","teilweise")))))</f>
        <v>Lift</v>
      </c>
      <c r="BE426" s="55" t="str">
        <f aca="false">IF(A426="","",IF(BN426=1,"Neu; ","")&amp;IF(AND(BN426=0,BI426&lt;0),"negativer Bestand (Export "&amp;BI426&amp;"); ","")&amp;IF(I426&lt;=0,"Kein Verbrauch; ","")&amp;IF(CD426&gt;0,"Lift "&amp;U426&amp;" lt. Liftbericht (Fach "&amp;V426&amp;" Stk); ",IF(BR426=1,"Lose – Fläche geschätzt; ",""))&amp;IF(G426&gt;AP426,"Überbestand "&amp;ROUND(G426-AP426,0)&amp;" Stk / CHF "&amp;ROUND((G426-AP426)*F426,0)&amp;"; ","")&amp;IF(AND(BW426=1,BX426&lt;BY426),"MAX &lt; MB+LG; ","")&amp;IF(AND(CC426&gt;0,CB426*10&gt;CC426),"zu hoch für Tablar; ","")&amp;IF(AND(BN426=0,OR(BW426=1,Y426&lt;&gt;"",S426&lt;&gt;"",T426&lt;&gt;"",Z426&lt;&gt;"")),"manuell übersteuert; ","")&amp;IF(AND(BR426=0,Q426=0),"Gebinde unbekannt / Stellmass fehlt; ","")&amp;IF(AND(BR426=0,N(T426)&lt;=0,N(P426)&lt;=0),"Menge pro Gebinde fehlt (Ist = 1 Gebinde); ","")&amp;BM426)</f>
        <v/>
      </c>
      <c r="BF426" s="55"/>
      <c r="BG426" s="55"/>
      <c r="BH426" s="62"/>
      <c r="BI426" s="57" t="n">
        <v>900</v>
      </c>
      <c r="BJ426" s="57" t="n">
        <v>100</v>
      </c>
      <c r="BK426" s="56" t="n">
        <v>90</v>
      </c>
      <c r="BL426" s="57" t="n">
        <v>701</v>
      </c>
      <c r="BM426" s="55"/>
      <c r="BN426" s="60" t="n">
        <v>0</v>
      </c>
      <c r="BO426" s="60" t="n">
        <v>426</v>
      </c>
      <c r="BP426" s="55" t="str">
        <f aca="false">IF(S426&lt;&gt;"",UPPER(TRIM(S426)),IF(O426="","LOSE",O426))</f>
        <v>S51</v>
      </c>
      <c r="BQ426" s="57" t="n">
        <f aca="false">IF(BP426="LOSE",1,IF(N(T426)&gt;0,T426,IF(N(P426)&gt;0,P426,MAX(1,G426))))</f>
        <v>1000</v>
      </c>
      <c r="BR426" s="60" t="n">
        <f aca="false">IF(BP426="LOSE",1,0)</f>
        <v>0</v>
      </c>
      <c r="BS426" s="59" t="n">
        <f aca="false">IF(BR426=0,0,IF(N(R426)&gt;0,R426,IFERROR(VLOOKUP(D426,Parameter!$A$35:$C$64,3,0)+0,0)))</f>
        <v>0</v>
      </c>
      <c r="BT426" s="55" t="n">
        <f aca="false">IF(Y426&lt;&gt;"",Y426,X426)</f>
        <v>3</v>
      </c>
      <c r="BU426" s="55" t="str">
        <f aca="false">IF(BT426=1,"L1",IF(OR(BT426=2,BT426=3),"L23",IF(BT426="Aussen","Aussen","-")))</f>
        <v>L23</v>
      </c>
      <c r="BV426" s="66" t="n">
        <f aca="false">IF(N(Z426)&gt;0,Z426,0)</f>
        <v>0</v>
      </c>
      <c r="BW426" s="60" t="n">
        <f aca="false">IF(ISNUMBER(AC426),1,0)</f>
        <v>0</v>
      </c>
      <c r="BX426" s="57" t="n">
        <f aca="false">N(AC426)</f>
        <v>0</v>
      </c>
      <c r="BY426" s="57" t="n">
        <f aca="false">N(L426)+N(M426)</f>
        <v>1040</v>
      </c>
      <c r="BZ426" s="57" t="n">
        <f aca="false">ROUNDUP(G426/BQ426,0)</f>
        <v>1</v>
      </c>
      <c r="CA426" s="57" t="n">
        <f aca="false">ROUNDUP(BX426/BQ426,0)</f>
        <v>0</v>
      </c>
      <c r="CB426" s="60" t="n">
        <f aca="false">IF(BR426=1,0,IFERROR(VLOOKUP(BP426,'Gebinde-Kategorie'!$A$5:$M$45,5,0)+0,0))</f>
        <v>11</v>
      </c>
      <c r="CC426" s="60" t="n">
        <f aca="false">IFERROR(IF(OR(BT426=1,BT426=2,BT426=3),N(INDEX(Parameter!$I$5:$I$7,BT426)),0),0)</f>
        <v>0</v>
      </c>
      <c r="CD426" s="59" t="n">
        <f aca="false">IF(AND(Parameter!$B$21="Ja",ISNUMBER(U426),N(V426)&gt;0),IFERROR(N(INDEX(Parameter!$L$5:$L$7,U426))*INDEX(Parameter!$E$5:$E$7,U426)*V426/SUMIFS($V$7:$V$1576,$U$7:$U$1576,U426),0),0)</f>
        <v>0</v>
      </c>
    </row>
    <row r="427" customFormat="false" ht="15" hidden="false" customHeight="false" outlineLevel="0" collapsed="false">
      <c r="A427" s="55" t="s">
        <v>971</v>
      </c>
      <c r="B427" s="55" t="s">
        <v>972</v>
      </c>
      <c r="C427" s="55" t="s">
        <v>160</v>
      </c>
      <c r="D427" s="55" t="s">
        <v>178</v>
      </c>
      <c r="E427" s="55" t="s">
        <v>210</v>
      </c>
      <c r="F427" s="56" t="n">
        <v>11.9</v>
      </c>
      <c r="G427" s="57" t="n">
        <f aca="false">MAX(0,IF(AND(Parameter!$B$21="Ja",ISNUMBER(W427)),W427,IF(Parameter!$B$20="Jahresanfang 2025 + Export",BJ427+BI427,BI427)))</f>
        <v>6</v>
      </c>
      <c r="H427" s="57" t="n">
        <f aca="false">G427*F427</f>
        <v>71.4</v>
      </c>
      <c r="I427" s="57" t="n">
        <f aca="false">BL427*Parameter!$B$18</f>
        <v>19</v>
      </c>
      <c r="J427" s="58" t="n">
        <v>7</v>
      </c>
      <c r="K427" s="59" t="n">
        <v>2.71428571428571</v>
      </c>
      <c r="L427" s="57" t="n">
        <v>0</v>
      </c>
      <c r="M427" s="57" t="n">
        <v>20</v>
      </c>
      <c r="N427" s="60" t="n">
        <v>14</v>
      </c>
      <c r="O427" s="55" t="s">
        <v>465</v>
      </c>
      <c r="P427" s="57" t="n">
        <v>12</v>
      </c>
      <c r="Q427" s="60" t="n">
        <f aca="false">IF(BR427=1,0,IFERROR(VLOOKUP(BP427,'Gebinde-Kategorie'!$A$5:$M$45,13,0)+0,0))</f>
        <v>66</v>
      </c>
      <c r="R427" s="61"/>
      <c r="S427" s="62"/>
      <c r="T427" s="62"/>
      <c r="U427" s="55"/>
      <c r="V427" s="57"/>
      <c r="W427" s="57"/>
      <c r="X427" s="55" t="n">
        <f aca="false">IF(A427="","",IF(AND(Parameter!$B$21="Ja",ISNUMBER(U427)),U427,IF(IFERROR(VLOOKUP(D427,Parameter!$A$35:$C$64,2,0),"Nein")="2+3",IF(ISNUMBER(SEARCH("grosser Artikel",BM427)),2,IFERROR(VLOOKUP(BP427,Parameter!$F$35:$G$64,2,0),2)),IF(OR(IFERROR(VLOOKUP(D427,Parameter!$A$35:$C$64,2,0),"Nein")="Nein",IFERROR(VLOOKUP(D427,Parameter!$A$35:$C$64,2,0),"Nein")=""),"-",VLOOKUP(D427,Parameter!$A$35:$C$64,2,0)))))</f>
        <v>3</v>
      </c>
      <c r="Y427" s="62"/>
      <c r="Z427" s="63"/>
      <c r="AA427" s="57" t="n">
        <f aca="false">AP427</f>
        <v>24</v>
      </c>
      <c r="AB427" s="57" t="n">
        <f aca="false">MAX(AP427,G427)</f>
        <v>24</v>
      </c>
      <c r="AC427" s="64"/>
      <c r="AD427" s="57" t="n">
        <f aca="false">IF(LEFT(Cockpit!$C$5,1)="A",G427,IF(BW427=1,BX427,IF(LEFT(Cockpit!$C$5,1)="B",AH427,MAX(AH427,G427))))</f>
        <v>6</v>
      </c>
      <c r="AE427" s="57" t="n">
        <f aca="false">IF(BR427=1,0,ROUNDUP(AD427/BQ427,0))</f>
        <v>1</v>
      </c>
      <c r="AF427" s="59" t="n">
        <f aca="false">IF(CD427&gt;0,CD427*MAX(1,AD427/V427),IF(BR427=1,IF(AD427&lt;=0,0,BS427*MAX(1,IF(G427&gt;0,AD427/G427,1))),IF(Q427&gt;0,AE427/Q427,0))/MAX(0.1,N(Parameter!$M$21)))</f>
        <v>0.0151515151515152</v>
      </c>
      <c r="AG427" s="57" t="n">
        <f aca="false">AD427*F427</f>
        <v>71.4</v>
      </c>
      <c r="AH427" s="57" t="n">
        <f aca="false">ROUNDUP(MAX(I427/IF(BV427&gt;0,BV427,MAX(0.1,N(Cockpit!$C$6))),BY427)/BQ427,0)*BQ427</f>
        <v>24</v>
      </c>
      <c r="AI427" s="58" t="n">
        <f aca="false">IF(AF427&gt;0,I427/AF427,-1)</f>
        <v>1254</v>
      </c>
      <c r="AJ427" s="58" t="n">
        <f aca="false">IF(AND(OR(BU427="L1",BU427="L23"),AF427&gt;0),SUMIFS($AF$7:$AF$1576,$BU$7:$BU$1576,BU427,$AI$7:$AI$1576,"&gt;"&amp;AI427)+SUMIFS($AF$7:$AF$1576,$BU$7:$BU$1576,BU427,$AI$7:$AI$1576,AI427,$BO$7:$BO$1576,"&lt;="&amp;BO427),"")</f>
        <v>8.33452383365427</v>
      </c>
      <c r="AK427" s="65" t="n">
        <f aca="false">IF(AJ427="",0,MAX(0,MIN(1,(IF(BU427="L1",Parameter!$E$5,Parameter!$E$6+Parameter!$E$7)-(AJ427-AF427))/AF427)))</f>
        <v>1</v>
      </c>
      <c r="AL427" s="57" t="n">
        <f aca="false">IF(LEFT(Cockpit!$I$5,1)="A",G427,IF(BW427=1,BX427,IF(LEFT(Cockpit!$I$5,1)="B",AP427,MAX(AP427,G427))))</f>
        <v>24</v>
      </c>
      <c r="AM427" s="57" t="n">
        <f aca="false">IF(BR427=1,0,ROUNDUP(AL427/BQ427,0))</f>
        <v>2</v>
      </c>
      <c r="AN427" s="59" t="n">
        <f aca="false">IF(CD427&gt;0,CD427*MAX(1,AL427/V427),IF(BR427=1,IF(AL427&lt;=0,0,BS427*MAX(1,IF(G427&gt;0,AL427/G427,1))),IF(Q427&gt;0,AM427/Q427,0))/MAX(0.1,N(Parameter!$M$21)))</f>
        <v>0.0303030303030303</v>
      </c>
      <c r="AO427" s="57" t="n">
        <f aca="false">AL427*F427</f>
        <v>285.6</v>
      </c>
      <c r="AP427" s="57" t="n">
        <f aca="false">ROUNDUP(MAX(I427/IF(BV427&gt;0,BV427,MAX(0.1,N(Cockpit!$I$6))),BY427)/BQ427,0)*BQ427</f>
        <v>24</v>
      </c>
      <c r="AQ427" s="58" t="n">
        <f aca="false">IF(AN427&gt;0,I427/AN427,-1)</f>
        <v>627</v>
      </c>
      <c r="AR427" s="58" t="n">
        <f aca="false">IF(AND(OR(BU427="L1",BU427="L23"),AN427&gt;0),SUMIFS($AN$7:$AN$1576,$BU$7:$BU$1576,BU427,$AQ$7:$AQ$1576,"&gt;"&amp;AQ427)+SUMIFS($AN$7:$AN$1576,$BU$7:$BU$1576,BU427,$AQ$7:$AQ$1576,AQ427,$BO$7:$BO$1576,"&lt;="&amp;BO427),"")</f>
        <v>30.6493841065692</v>
      </c>
      <c r="AS427" s="65" t="n">
        <f aca="false">IF(AR427="",0,MAX(0,MIN(1,(IF(BU427="L1",Parameter!$E$5,Parameter!$E$6+Parameter!$E$7)-(AR427-AN427))/AN427)))</f>
        <v>1</v>
      </c>
      <c r="AT427" s="57" t="n">
        <f aca="false">IF(LEFT(Cockpit!$O$5,1)="A",G427,IF(BW427=1,BX427,IF(LEFT(Cockpit!$O$5,1)="B",AX427,MAX(AX427,G427))))</f>
        <v>24</v>
      </c>
      <c r="AU427" s="57" t="n">
        <f aca="false">IF(BR427=1,0,ROUNDUP(AT427/BQ427,0))</f>
        <v>2</v>
      </c>
      <c r="AV427" s="59" t="n">
        <f aca="false">IF(CD427&gt;0,CD427*MAX(1,AT427/V427),IF(BR427=1,IF(AT427&lt;=0,0,BS427*MAX(1,IF(G427&gt;0,AT427/G427,1))),IF(Q427&gt;0,AU427/Q427,0))/MAX(0.1,N(Parameter!$M$21)))</f>
        <v>0.0303030303030303</v>
      </c>
      <c r="AW427" s="57" t="n">
        <f aca="false">AT427*F427</f>
        <v>285.6</v>
      </c>
      <c r="AX427" s="57" t="n">
        <f aca="false">ROUNDUP(MAX(I427/IF(BV427&gt;0,BV427,MAX(0.1,N(Cockpit!$O$6))),BY427)/BQ427,0)*BQ427</f>
        <v>24</v>
      </c>
      <c r="AY427" s="58" t="n">
        <f aca="false">IF(AV427&gt;0,I427/AV427,-1)</f>
        <v>627</v>
      </c>
      <c r="AZ427" s="58" t="n">
        <f aca="false">IF(AND(OR(BU427="L1",BU427="L23"),AV427&gt;0),SUMIFS($AV$7:$AV$1576,$BU$7:$BU$1576,BU427,$AY$7:$AY$1576,"&gt;"&amp;AY427)+SUMIFS($AV$7:$AV$1576,$BU$7:$BU$1576,BU427,$AY$7:$AY$1576,AY427,$BO$7:$BO$1576,"&lt;="&amp;BO427),"")</f>
        <v>29.8606861378712</v>
      </c>
      <c r="BA427" s="65" t="n">
        <f aca="false">IF(AZ427="",0,MAX(0,MIN(1,(IF(BU427="L1",Parameter!$E$5,Parameter!$E$6+Parameter!$E$7)-(AZ427-AV427))/AV427)))</f>
        <v>1</v>
      </c>
      <c r="BB427" s="55" t="str">
        <f aca="false">IF(AF427&lt;=0,"",IF(BU427="Aussen","Aussenlager",IF(BU427="-","Nicht im Lift",IF(AK427&gt;=1,"Lift",IF(AK427&lt;=0,"Aussenlager","teilweise")))))</f>
        <v>Lift</v>
      </c>
      <c r="BC427" s="55" t="str">
        <f aca="false">IF(AN427&lt;=0,"",IF(BU427="Aussen","Aussenlager",IF(BU427="-","Nicht im Lift",IF(AS427&gt;=1,"Lift",IF(AS427&lt;=0,"Aussenlager","teilweise")))))</f>
        <v>Lift</v>
      </c>
      <c r="BD427" s="55" t="str">
        <f aca="false">IF(AV427&lt;=0,"",IF(BU427="Aussen","Aussenlager",IF(BU427="-","Nicht im Lift",IF(BA427&gt;=1,"Lift",IF(BA427&lt;=0,"Aussenlager","teilweise")))))</f>
        <v>Lift</v>
      </c>
      <c r="BE427" s="55" t="str">
        <f aca="false">IF(A427="","",IF(BN427=1,"Neu; ","")&amp;IF(AND(BN427=0,BI427&lt;0),"negativer Bestand (Export "&amp;BI427&amp;"); ","")&amp;IF(I427&lt;=0,"Kein Verbrauch; ","")&amp;IF(CD427&gt;0,"Lift "&amp;U427&amp;" lt. Liftbericht (Fach "&amp;V427&amp;" Stk); ",IF(BR427=1,"Lose – Fläche geschätzt; ",""))&amp;IF(G427&gt;AP427,"Überbestand "&amp;ROUND(G427-AP427,0)&amp;" Stk / CHF "&amp;ROUND((G427-AP427)*F427,0)&amp;"; ","")&amp;IF(AND(BW427=1,BX427&lt;BY427),"MAX &lt; MB+LG; ","")&amp;IF(AND(CC427&gt;0,CB427*10&gt;CC427),"zu hoch für Tablar; ","")&amp;IF(AND(BN427=0,OR(BW427=1,Y427&lt;&gt;"",S427&lt;&gt;"",T427&lt;&gt;"",Z427&lt;&gt;"")),"manuell übersteuert; ","")&amp;IF(AND(BR427=0,Q427=0),"Gebinde unbekannt / Stellmass fehlt; ","")&amp;IF(AND(BR427=0,N(T427)&lt;=0,N(P427)&lt;=0),"Menge pro Gebinde fehlt (Ist = 1 Gebinde); ","")&amp;BM427)</f>
        <v/>
      </c>
      <c r="BF427" s="55"/>
      <c r="BG427" s="55"/>
      <c r="BH427" s="62"/>
      <c r="BI427" s="57" t="n">
        <v>6</v>
      </c>
      <c r="BJ427" s="57" t="n">
        <v>7</v>
      </c>
      <c r="BK427" s="56" t="n">
        <v>87.92</v>
      </c>
      <c r="BL427" s="57" t="n">
        <v>19</v>
      </c>
      <c r="BM427" s="55"/>
      <c r="BN427" s="60" t="n">
        <v>0</v>
      </c>
      <c r="BO427" s="60" t="n">
        <v>427</v>
      </c>
      <c r="BP427" s="55" t="str">
        <f aca="false">IF(S427&lt;&gt;"",UPPER(TRIM(S427)),IF(O427="","LOSE",O427))</f>
        <v>S33</v>
      </c>
      <c r="BQ427" s="57" t="n">
        <f aca="false">IF(BP427="LOSE",1,IF(N(T427)&gt;0,T427,IF(N(P427)&gt;0,P427,MAX(1,G427))))</f>
        <v>12</v>
      </c>
      <c r="BR427" s="60" t="n">
        <f aca="false">IF(BP427="LOSE",1,0)</f>
        <v>0</v>
      </c>
      <c r="BS427" s="59" t="n">
        <f aca="false">IF(BR427=0,0,IF(N(R427)&gt;0,R427,IFERROR(VLOOKUP(D427,Parameter!$A$35:$C$64,3,0)+0,0)))</f>
        <v>0</v>
      </c>
      <c r="BT427" s="55" t="n">
        <f aca="false">IF(Y427&lt;&gt;"",Y427,X427)</f>
        <v>3</v>
      </c>
      <c r="BU427" s="55" t="str">
        <f aca="false">IF(BT427=1,"L1",IF(OR(BT427=2,BT427=3),"L23",IF(BT427="Aussen","Aussen","-")))</f>
        <v>L23</v>
      </c>
      <c r="BV427" s="66" t="n">
        <f aca="false">IF(N(Z427)&gt;0,Z427,0)</f>
        <v>0</v>
      </c>
      <c r="BW427" s="60" t="n">
        <f aca="false">IF(ISNUMBER(AC427),1,0)</f>
        <v>0</v>
      </c>
      <c r="BX427" s="57" t="n">
        <f aca="false">N(AC427)</f>
        <v>0</v>
      </c>
      <c r="BY427" s="57" t="n">
        <f aca="false">N(L427)+N(M427)</f>
        <v>20</v>
      </c>
      <c r="BZ427" s="57" t="n">
        <f aca="false">ROUNDUP(G427/BQ427,0)</f>
        <v>1</v>
      </c>
      <c r="CA427" s="57" t="n">
        <f aca="false">ROUNDUP(BX427/BQ427,0)</f>
        <v>0</v>
      </c>
      <c r="CB427" s="60" t="n">
        <f aca="false">IF(BR427=1,0,IFERROR(VLOOKUP(BP427,'Gebinde-Kategorie'!$A$5:$M$45,5,0)+0,0))</f>
        <v>8</v>
      </c>
      <c r="CC427" s="60" t="n">
        <f aca="false">IFERROR(IF(OR(BT427=1,BT427=2,BT427=3),N(INDEX(Parameter!$I$5:$I$7,BT427)),0),0)</f>
        <v>0</v>
      </c>
      <c r="CD427" s="59" t="n">
        <f aca="false">IF(AND(Parameter!$B$21="Ja",ISNUMBER(U427),N(V427)&gt;0),IFERROR(N(INDEX(Parameter!$L$5:$L$7,U427))*INDEX(Parameter!$E$5:$E$7,U427)*V427/SUMIFS($V$7:$V$1576,$U$7:$U$1576,U427),0),0)</f>
        <v>0</v>
      </c>
    </row>
    <row r="428" customFormat="false" ht="15" hidden="false" customHeight="false" outlineLevel="0" collapsed="false">
      <c r="A428" s="55" t="s">
        <v>973</v>
      </c>
      <c r="B428" s="55" t="s">
        <v>578</v>
      </c>
      <c r="C428" s="55" t="s">
        <v>160</v>
      </c>
      <c r="D428" s="55" t="s">
        <v>178</v>
      </c>
      <c r="E428" s="55" t="s">
        <v>210</v>
      </c>
      <c r="F428" s="56" t="n">
        <v>43.94</v>
      </c>
      <c r="G428" s="57" t="n">
        <f aca="false">MAX(0,IF(AND(Parameter!$B$21="Ja",ISNUMBER(W428)),W428,IF(Parameter!$B$20="Jahresanfang 2025 + Export",BJ428+BI428,BI428)))</f>
        <v>2</v>
      </c>
      <c r="H428" s="57" t="n">
        <f aca="false">G428*F428</f>
        <v>87.88</v>
      </c>
      <c r="I428" s="57" t="n">
        <f aca="false">BL428*Parameter!$B$18</f>
        <v>0</v>
      </c>
      <c r="J428" s="58" t="n">
        <v>66</v>
      </c>
      <c r="K428" s="59" t="n">
        <v>0</v>
      </c>
      <c r="L428" s="57" t="n">
        <v>0</v>
      </c>
      <c r="M428" s="57" t="n">
        <v>1</v>
      </c>
      <c r="N428" s="60" t="n">
        <v>35</v>
      </c>
      <c r="O428" s="55" t="s">
        <v>416</v>
      </c>
      <c r="P428" s="57" t="n">
        <v>65</v>
      </c>
      <c r="Q428" s="60" t="n">
        <f aca="false">IF(BR428=1,0,IFERROR(VLOOKUP(BP428,'Gebinde-Kategorie'!$A$5:$M$45,13,0)+0,0))</f>
        <v>198</v>
      </c>
      <c r="R428" s="61"/>
      <c r="S428" s="62"/>
      <c r="T428" s="62"/>
      <c r="U428" s="55"/>
      <c r="V428" s="57"/>
      <c r="W428" s="57"/>
      <c r="X428" s="55" t="n">
        <f aca="false">IF(A428="","",IF(AND(Parameter!$B$21="Ja",ISNUMBER(U428)),U428,IF(IFERROR(VLOOKUP(D428,Parameter!$A$35:$C$64,2,0),"Nein")="2+3",IF(ISNUMBER(SEARCH("grosser Artikel",BM428)),2,IFERROR(VLOOKUP(BP428,Parameter!$F$35:$G$64,2,0),2)),IF(OR(IFERROR(VLOOKUP(D428,Parameter!$A$35:$C$64,2,0),"Nein")="Nein",IFERROR(VLOOKUP(D428,Parameter!$A$35:$C$64,2,0),"Nein")=""),"-",VLOOKUP(D428,Parameter!$A$35:$C$64,2,0)))))</f>
        <v>3</v>
      </c>
      <c r="Y428" s="62"/>
      <c r="Z428" s="63"/>
      <c r="AA428" s="57" t="n">
        <f aca="false">AP428</f>
        <v>65</v>
      </c>
      <c r="AB428" s="57" t="n">
        <f aca="false">MAX(AP428,G428)</f>
        <v>65</v>
      </c>
      <c r="AC428" s="64"/>
      <c r="AD428" s="57" t="n">
        <f aca="false">IF(LEFT(Cockpit!$C$5,1)="A",G428,IF(BW428=1,BX428,IF(LEFT(Cockpit!$C$5,1)="B",AH428,MAX(AH428,G428))))</f>
        <v>2</v>
      </c>
      <c r="AE428" s="57" t="n">
        <f aca="false">IF(BR428=1,0,ROUNDUP(AD428/BQ428,0))</f>
        <v>1</v>
      </c>
      <c r="AF428" s="59" t="n">
        <f aca="false">IF(CD428&gt;0,CD428*MAX(1,AD428/V428),IF(BR428=1,IF(AD428&lt;=0,0,BS428*MAX(1,IF(G428&gt;0,AD428/G428,1))),IF(Q428&gt;0,AE428/Q428,0))/MAX(0.1,N(Parameter!$M$21)))</f>
        <v>0.00505050505050505</v>
      </c>
      <c r="AG428" s="57" t="n">
        <f aca="false">AD428*F428</f>
        <v>87.88</v>
      </c>
      <c r="AH428" s="57" t="n">
        <f aca="false">ROUNDUP(MAX(I428/IF(BV428&gt;0,BV428,MAX(0.1,N(Cockpit!$C$6))),BY428)/BQ428,0)*BQ428</f>
        <v>65</v>
      </c>
      <c r="AI428" s="58" t="n">
        <f aca="false">IF(AF428&gt;0,I428/AF428,-1)</f>
        <v>0</v>
      </c>
      <c r="AJ428" s="58" t="n">
        <f aca="false">IF(AND(OR(BU428="L1",BU428="L23"),AF428&gt;0),SUMIFS($AF$7:$AF$1576,$BU$7:$BU$1576,BU428,$AI$7:$AI$1576,"&gt;"&amp;AI428)+SUMIFS($AF$7:$AF$1576,$BU$7:$BU$1576,BU428,$AI$7:$AI$1576,AI428,$BO$7:$BO$1576,"&lt;="&amp;BO428),"")</f>
        <v>41.8209732779298</v>
      </c>
      <c r="AK428" s="65" t="n">
        <f aca="false">IF(AJ428="",0,MAX(0,MIN(1,(IF(BU428="L1",Parameter!$E$5,Parameter!$E$6+Parameter!$E$7)-(AJ428-AF428))/AF428)))</f>
        <v>1</v>
      </c>
      <c r="AL428" s="57" t="n">
        <f aca="false">IF(LEFT(Cockpit!$I$5,1)="A",G428,IF(BW428=1,BX428,IF(LEFT(Cockpit!$I$5,1)="B",AP428,MAX(AP428,G428))))</f>
        <v>65</v>
      </c>
      <c r="AM428" s="57" t="n">
        <f aca="false">IF(BR428=1,0,ROUNDUP(AL428/BQ428,0))</f>
        <v>1</v>
      </c>
      <c r="AN428" s="59" t="n">
        <f aca="false">IF(CD428&gt;0,CD428*MAX(1,AL428/V428),IF(BR428=1,IF(AL428&lt;=0,0,BS428*MAX(1,IF(G428&gt;0,AL428/G428,1))),IF(Q428&gt;0,AM428/Q428,0))/MAX(0.1,N(Parameter!$M$21)))</f>
        <v>0.00505050505050505</v>
      </c>
      <c r="AO428" s="57" t="n">
        <f aca="false">AL428*F428</f>
        <v>2856.1</v>
      </c>
      <c r="AP428" s="57" t="n">
        <f aca="false">ROUNDUP(MAX(I428/IF(BV428&gt;0,BV428,MAX(0.1,N(Cockpit!$I$6))),BY428)/BQ428,0)*BQ428</f>
        <v>65</v>
      </c>
      <c r="AQ428" s="58" t="n">
        <f aca="false">IF(AN428&gt;0,I428/AN428,-1)</f>
        <v>0</v>
      </c>
      <c r="AR428" s="58" t="n">
        <f aca="false">IF(AND(OR(BU428="L1",BU428="L23"),AN428&gt;0),SUMIFS($AN$7:$AN$1576,$BU$7:$BU$1576,BU428,$AQ$7:$AQ$1576,"&gt;"&amp;AQ428)+SUMIFS($AN$7:$AN$1576,$BU$7:$BU$1576,BU428,$AQ$7:$AQ$1576,AQ428,$BO$7:$BO$1576,"&lt;="&amp;BO428),"")</f>
        <v>124.811099518648</v>
      </c>
      <c r="AS428" s="65" t="n">
        <f aca="false">IF(AR428="",0,MAX(0,MIN(1,(IF(BU428="L1",Parameter!$E$5,Parameter!$E$6+Parameter!$E$7)-(AR428-AN428))/AN428)))</f>
        <v>0</v>
      </c>
      <c r="AT428" s="57" t="n">
        <f aca="false">IF(LEFT(Cockpit!$O$5,1)="A",G428,IF(BW428=1,BX428,IF(LEFT(Cockpit!$O$5,1)="B",AX428,MAX(AX428,G428))))</f>
        <v>65</v>
      </c>
      <c r="AU428" s="57" t="n">
        <f aca="false">IF(BR428=1,0,ROUNDUP(AT428/BQ428,0))</f>
        <v>1</v>
      </c>
      <c r="AV428" s="59" t="n">
        <f aca="false">IF(CD428&gt;0,CD428*MAX(1,AT428/V428),IF(BR428=1,IF(AT428&lt;=0,0,BS428*MAX(1,IF(G428&gt;0,AT428/G428,1))),IF(Q428&gt;0,AU428/Q428,0))/MAX(0.1,N(Parameter!$M$21)))</f>
        <v>0.00505050505050505</v>
      </c>
      <c r="AW428" s="57" t="n">
        <f aca="false">AT428*F428</f>
        <v>2856.1</v>
      </c>
      <c r="AX428" s="57" t="n">
        <f aca="false">ROUNDUP(MAX(I428/IF(BV428&gt;0,BV428,MAX(0.1,N(Cockpit!$O$6))),BY428)/BQ428,0)*BQ428</f>
        <v>65</v>
      </c>
      <c r="AY428" s="58" t="n">
        <f aca="false">IF(AV428&gt;0,I428/AV428,-1)</f>
        <v>0</v>
      </c>
      <c r="AZ428" s="58" t="n">
        <f aca="false">IF(AND(OR(BU428="L1",BU428="L23"),AV428&gt;0),SUMIFS($AV$7:$AV$1576,$BU$7:$BU$1576,BU428,$AY$7:$AY$1576,"&gt;"&amp;AY428)+SUMIFS($AV$7:$AV$1576,$BU$7:$BU$1576,BU428,$AY$7:$AY$1576,AY428,$BO$7:$BO$1576,"&lt;="&amp;BO428),"")</f>
        <v>114.870649968198</v>
      </c>
      <c r="BA428" s="65" t="n">
        <f aca="false">IF(AZ428="",0,MAX(0,MIN(1,(IF(BU428="L1",Parameter!$E$5,Parameter!$E$6+Parameter!$E$7)-(AZ428-AV428))/AV428)))</f>
        <v>0</v>
      </c>
      <c r="BB428" s="55" t="str">
        <f aca="false">IF(AF428&lt;=0,"",IF(BU428="Aussen","Aussenlager",IF(BU428="-","Nicht im Lift",IF(AK428&gt;=1,"Lift",IF(AK428&lt;=0,"Aussenlager","teilweise")))))</f>
        <v>Lift</v>
      </c>
      <c r="BC428" s="55" t="str">
        <f aca="false">IF(AN428&lt;=0,"",IF(BU428="Aussen","Aussenlager",IF(BU428="-","Nicht im Lift",IF(AS428&gt;=1,"Lift",IF(AS428&lt;=0,"Aussenlager","teilweise")))))</f>
        <v>Aussenlager</v>
      </c>
      <c r="BD428" s="55" t="str">
        <f aca="false">IF(AV428&lt;=0,"",IF(BU428="Aussen","Aussenlager",IF(BU428="-","Nicht im Lift",IF(BA428&gt;=1,"Lift",IF(BA428&lt;=0,"Aussenlager","teilweise")))))</f>
        <v>Aussenlager</v>
      </c>
      <c r="BE428" s="55" t="str">
        <f aca="false">IF(A428="","",IF(BN428=1,"Neu; ","")&amp;IF(AND(BN428=0,BI428&lt;0),"negativer Bestand (Export "&amp;BI428&amp;"); ","")&amp;IF(I428&lt;=0,"Kein Verbrauch; ","")&amp;IF(CD428&gt;0,"Lift "&amp;U428&amp;" lt. Liftbericht (Fach "&amp;V428&amp;" Stk); ",IF(BR428=1,"Lose – Fläche geschätzt; ",""))&amp;IF(G428&gt;AP428,"Überbestand "&amp;ROUND(G428-AP428,0)&amp;" Stk / CHF "&amp;ROUND((G428-AP428)*F428,0)&amp;"; ","")&amp;IF(AND(BW428=1,BX428&lt;BY428),"MAX &lt; MB+LG; ","")&amp;IF(AND(CC428&gt;0,CB428*10&gt;CC428),"zu hoch für Tablar; ","")&amp;IF(AND(BN428=0,OR(BW428=1,Y428&lt;&gt;"",S428&lt;&gt;"",T428&lt;&gt;"",Z428&lt;&gt;"")),"manuell übersteuert; ","")&amp;IF(AND(BR428=0,Q428=0),"Gebinde unbekannt / Stellmass fehlt; ","")&amp;IF(AND(BR428=0,N(T428)&lt;=0,N(P428)&lt;=0),"Menge pro Gebinde fehlt (Ist = 1 Gebinde); ","")&amp;BM428)</f>
        <v>Kein Verbrauch; Neu</v>
      </c>
      <c r="BF428" s="55"/>
      <c r="BG428" s="55"/>
      <c r="BH428" s="62"/>
      <c r="BI428" s="57" t="n">
        <v>2</v>
      </c>
      <c r="BJ428" s="57" t="n">
        <v>65</v>
      </c>
      <c r="BK428" s="56" t="n">
        <v>87.88</v>
      </c>
      <c r="BL428" s="57" t="n">
        <v>0</v>
      </c>
      <c r="BM428" s="55" t="s">
        <v>615</v>
      </c>
      <c r="BN428" s="60" t="n">
        <v>0</v>
      </c>
      <c r="BO428" s="60" t="n">
        <v>428</v>
      </c>
      <c r="BP428" s="55" t="str">
        <f aca="false">IF(S428&lt;&gt;"",UPPER(TRIM(S428)),IF(O428="","LOSE",O428))</f>
        <v>S22</v>
      </c>
      <c r="BQ428" s="57" t="n">
        <f aca="false">IF(BP428="LOSE",1,IF(N(T428)&gt;0,T428,IF(N(P428)&gt;0,P428,MAX(1,G428))))</f>
        <v>65</v>
      </c>
      <c r="BR428" s="60" t="n">
        <f aca="false">IF(BP428="LOSE",1,0)</f>
        <v>0</v>
      </c>
      <c r="BS428" s="59" t="n">
        <f aca="false">IF(BR428=0,0,IF(N(R428)&gt;0,R428,IFERROR(VLOOKUP(D428,Parameter!$A$35:$C$64,3,0)+0,0)))</f>
        <v>0</v>
      </c>
      <c r="BT428" s="55" t="n">
        <f aca="false">IF(Y428&lt;&gt;"",Y428,X428)</f>
        <v>3</v>
      </c>
      <c r="BU428" s="55" t="str">
        <f aca="false">IF(BT428=1,"L1",IF(OR(BT428=2,BT428=3),"L23",IF(BT428="Aussen","Aussen","-")))</f>
        <v>L23</v>
      </c>
      <c r="BV428" s="66" t="n">
        <f aca="false">IF(N(Z428)&gt;0,Z428,0)</f>
        <v>0</v>
      </c>
      <c r="BW428" s="60" t="n">
        <f aca="false">IF(ISNUMBER(AC428),1,0)</f>
        <v>0</v>
      </c>
      <c r="BX428" s="57" t="n">
        <f aca="false">N(AC428)</f>
        <v>0</v>
      </c>
      <c r="BY428" s="57" t="n">
        <f aca="false">N(L428)+N(M428)</f>
        <v>1</v>
      </c>
      <c r="BZ428" s="57" t="n">
        <f aca="false">ROUNDUP(G428/BQ428,0)</f>
        <v>1</v>
      </c>
      <c r="CA428" s="57" t="n">
        <f aca="false">ROUNDUP(BX428/BQ428,0)</f>
        <v>0</v>
      </c>
      <c r="CB428" s="60" t="n">
        <f aca="false">IF(BR428=1,0,IFERROR(VLOOKUP(BP428,'Gebinde-Kategorie'!$A$5:$M$45,5,0)+0,0))</f>
        <v>8</v>
      </c>
      <c r="CC428" s="60" t="n">
        <f aca="false">IFERROR(IF(OR(BT428=1,BT428=2,BT428=3),N(INDEX(Parameter!$I$5:$I$7,BT428)),0),0)</f>
        <v>0</v>
      </c>
      <c r="CD428" s="59" t="n">
        <f aca="false">IF(AND(Parameter!$B$21="Ja",ISNUMBER(U428),N(V428)&gt;0),IFERROR(N(INDEX(Parameter!$L$5:$L$7,U428))*INDEX(Parameter!$E$5:$E$7,U428)*V428/SUMIFS($V$7:$V$1576,$U$7:$U$1576,U428),0),0)</f>
        <v>0</v>
      </c>
    </row>
    <row r="429" customFormat="false" ht="15" hidden="false" customHeight="false" outlineLevel="0" collapsed="false">
      <c r="A429" s="55" t="s">
        <v>974</v>
      </c>
      <c r="B429" s="55" t="s">
        <v>936</v>
      </c>
      <c r="C429" s="55" t="s">
        <v>160</v>
      </c>
      <c r="D429" s="55" t="s">
        <v>178</v>
      </c>
      <c r="E429" s="55" t="s">
        <v>210</v>
      </c>
      <c r="F429" s="56" t="n">
        <v>2.85</v>
      </c>
      <c r="G429" s="57" t="n">
        <f aca="false">MAX(0,IF(AND(Parameter!$B$21="Ja",ISNUMBER(W429)),W429,IF(Parameter!$B$20="Jahresanfang 2025 + Export",BJ429+BI429,BI429)))</f>
        <v>30</v>
      </c>
      <c r="H429" s="57" t="n">
        <f aca="false">G429*F429</f>
        <v>85.5</v>
      </c>
      <c r="I429" s="57" t="n">
        <f aca="false">BL429*Parameter!$B$18</f>
        <v>0</v>
      </c>
      <c r="J429" s="58" t="n">
        <v>0</v>
      </c>
      <c r="K429" s="59" t="n">
        <v>0</v>
      </c>
      <c r="L429" s="57" t="n">
        <v>0</v>
      </c>
      <c r="M429" s="57" t="n">
        <v>20</v>
      </c>
      <c r="N429" s="60" t="n">
        <v>9999</v>
      </c>
      <c r="O429" s="55" t="s">
        <v>163</v>
      </c>
      <c r="P429" s="57"/>
      <c r="Q429" s="60" t="n">
        <f aca="false">IF(BR429=1,0,IFERROR(VLOOKUP(BP429,'Gebinde-Kategorie'!$A$5:$M$45,13,0)+0,0))</f>
        <v>0</v>
      </c>
      <c r="R429" s="61"/>
      <c r="S429" s="62"/>
      <c r="T429" s="62"/>
      <c r="U429" s="55"/>
      <c r="V429" s="57"/>
      <c r="W429" s="57"/>
      <c r="X429" s="55" t="n">
        <f aca="false">IF(A429="","",IF(AND(Parameter!$B$21="Ja",ISNUMBER(U429)),U429,IF(IFERROR(VLOOKUP(D429,Parameter!$A$35:$C$64,2,0),"Nein")="2+3",IF(ISNUMBER(SEARCH("grosser Artikel",BM429)),2,IFERROR(VLOOKUP(BP429,Parameter!$F$35:$G$64,2,0),2)),IF(OR(IFERROR(VLOOKUP(D429,Parameter!$A$35:$C$64,2,0),"Nein")="Nein",IFERROR(VLOOKUP(D429,Parameter!$A$35:$C$64,2,0),"Nein")=""),"-",VLOOKUP(D429,Parameter!$A$35:$C$64,2,0)))))</f>
        <v>2</v>
      </c>
      <c r="Y429" s="62"/>
      <c r="Z429" s="63"/>
      <c r="AA429" s="57" t="n">
        <f aca="false">AP429</f>
        <v>20</v>
      </c>
      <c r="AB429" s="57" t="n">
        <f aca="false">MAX(AP429,G429)</f>
        <v>30</v>
      </c>
      <c r="AC429" s="64"/>
      <c r="AD429" s="57" t="n">
        <f aca="false">IF(LEFT(Cockpit!$C$5,1)="A",G429,IF(BW429=1,BX429,IF(LEFT(Cockpit!$C$5,1)="B",AH429,MAX(AH429,G429))))</f>
        <v>30</v>
      </c>
      <c r="AE429" s="57" t="n">
        <f aca="false">IF(BR429=1,0,ROUNDUP(AD429/BQ429,0))</f>
        <v>0</v>
      </c>
      <c r="AF429" s="59" t="n">
        <f aca="false">IF(CD429&gt;0,CD429*MAX(1,AD429/V429),IF(BR429=1,IF(AD429&lt;=0,0,BS429*MAX(1,IF(G429&gt;0,AD429/G429,1))),IF(Q429&gt;0,AE429/Q429,0))/MAX(0.1,N(Parameter!$M$21)))</f>
        <v>0.03</v>
      </c>
      <c r="AG429" s="57" t="n">
        <f aca="false">AD429*F429</f>
        <v>85.5</v>
      </c>
      <c r="AH429" s="57" t="n">
        <f aca="false">ROUNDUP(MAX(I429/IF(BV429&gt;0,BV429,MAX(0.1,N(Cockpit!$C$6))),BY429)/BQ429,0)*BQ429</f>
        <v>20</v>
      </c>
      <c r="AI429" s="58" t="n">
        <f aca="false">IF(AF429&gt;0,I429/AF429,-1)</f>
        <v>0</v>
      </c>
      <c r="AJ429" s="58" t="n">
        <f aca="false">IF(AND(OR(BU429="L1",BU429="L23"),AF429&gt;0),SUMIFS($AF$7:$AF$1576,$BU$7:$BU$1576,BU429,$AI$7:$AI$1576,"&gt;"&amp;AI429)+SUMIFS($AF$7:$AF$1576,$BU$7:$BU$1576,BU429,$AI$7:$AI$1576,AI429,$BO$7:$BO$1576,"&lt;="&amp;BO429),"")</f>
        <v>41.8509732779298</v>
      </c>
      <c r="AK429" s="65" t="n">
        <f aca="false">IF(AJ429="",0,MAX(0,MIN(1,(IF(BU429="L1",Parameter!$E$5,Parameter!$E$6+Parameter!$E$7)-(AJ429-AF429))/AF429)))</f>
        <v>1</v>
      </c>
      <c r="AL429" s="57" t="n">
        <f aca="false">IF(LEFT(Cockpit!$I$5,1)="A",G429,IF(BW429=1,BX429,IF(LEFT(Cockpit!$I$5,1)="B",AP429,MAX(AP429,G429))))</f>
        <v>30</v>
      </c>
      <c r="AM429" s="57" t="n">
        <f aca="false">IF(BR429=1,0,ROUNDUP(AL429/BQ429,0))</f>
        <v>0</v>
      </c>
      <c r="AN429" s="59" t="n">
        <f aca="false">IF(CD429&gt;0,CD429*MAX(1,AL429/V429),IF(BR429=1,IF(AL429&lt;=0,0,BS429*MAX(1,IF(G429&gt;0,AL429/G429,1))),IF(Q429&gt;0,AM429/Q429,0))/MAX(0.1,N(Parameter!$M$21)))</f>
        <v>0.03</v>
      </c>
      <c r="AO429" s="57" t="n">
        <f aca="false">AL429*F429</f>
        <v>85.5</v>
      </c>
      <c r="AP429" s="57" t="n">
        <f aca="false">ROUNDUP(MAX(I429/IF(BV429&gt;0,BV429,MAX(0.1,N(Cockpit!$I$6))),BY429)/BQ429,0)*BQ429</f>
        <v>20</v>
      </c>
      <c r="AQ429" s="58" t="n">
        <f aca="false">IF(AN429&gt;0,I429/AN429,-1)</f>
        <v>0</v>
      </c>
      <c r="AR429" s="58" t="n">
        <f aca="false">IF(AND(OR(BU429="L1",BU429="L23"),AN429&gt;0),SUMIFS($AN$7:$AN$1576,$BU$7:$BU$1576,BU429,$AQ$7:$AQ$1576,"&gt;"&amp;AQ429)+SUMIFS($AN$7:$AN$1576,$BU$7:$BU$1576,BU429,$AQ$7:$AQ$1576,AQ429,$BO$7:$BO$1576,"&lt;="&amp;BO429),"")</f>
        <v>124.841099518648</v>
      </c>
      <c r="AS429" s="65" t="n">
        <f aca="false">IF(AR429="",0,MAX(0,MIN(1,(IF(BU429="L1",Parameter!$E$5,Parameter!$E$6+Parameter!$E$7)-(AR429-AN429))/AN429)))</f>
        <v>0</v>
      </c>
      <c r="AT429" s="57" t="n">
        <f aca="false">IF(LEFT(Cockpit!$O$5,1)="A",G429,IF(BW429=1,BX429,IF(LEFT(Cockpit!$O$5,1)="B",AX429,MAX(AX429,G429))))</f>
        <v>30</v>
      </c>
      <c r="AU429" s="57" t="n">
        <f aca="false">IF(BR429=1,0,ROUNDUP(AT429/BQ429,0))</f>
        <v>0</v>
      </c>
      <c r="AV429" s="59" t="n">
        <f aca="false">IF(CD429&gt;0,CD429*MAX(1,AT429/V429),IF(BR429=1,IF(AT429&lt;=0,0,BS429*MAX(1,IF(G429&gt;0,AT429/G429,1))),IF(Q429&gt;0,AU429/Q429,0))/MAX(0.1,N(Parameter!$M$21)))</f>
        <v>0.03</v>
      </c>
      <c r="AW429" s="57" t="n">
        <f aca="false">AT429*F429</f>
        <v>85.5</v>
      </c>
      <c r="AX429" s="57" t="n">
        <f aca="false">ROUNDUP(MAX(I429/IF(BV429&gt;0,BV429,MAX(0.1,N(Cockpit!$O$6))),BY429)/BQ429,0)*BQ429</f>
        <v>20</v>
      </c>
      <c r="AY429" s="58" t="n">
        <f aca="false">IF(AV429&gt;0,I429/AV429,-1)</f>
        <v>0</v>
      </c>
      <c r="AZ429" s="58" t="n">
        <f aca="false">IF(AND(OR(BU429="L1",BU429="L23"),AV429&gt;0),SUMIFS($AV$7:$AV$1576,$BU$7:$BU$1576,BU429,$AY$7:$AY$1576,"&gt;"&amp;AY429)+SUMIFS($AV$7:$AV$1576,$BU$7:$BU$1576,BU429,$AY$7:$AY$1576,AY429,$BO$7:$BO$1576,"&lt;="&amp;BO429),"")</f>
        <v>114.900649968198</v>
      </c>
      <c r="BA429" s="65" t="n">
        <f aca="false">IF(AZ429="",0,MAX(0,MIN(1,(IF(BU429="L1",Parameter!$E$5,Parameter!$E$6+Parameter!$E$7)-(AZ429-AV429))/AV429)))</f>
        <v>0</v>
      </c>
      <c r="BB429" s="55" t="str">
        <f aca="false">IF(AF429&lt;=0,"",IF(BU429="Aussen","Aussenlager",IF(BU429="-","Nicht im Lift",IF(AK429&gt;=1,"Lift",IF(AK429&lt;=0,"Aussenlager","teilweise")))))</f>
        <v>Lift</v>
      </c>
      <c r="BC429" s="55" t="str">
        <f aca="false">IF(AN429&lt;=0,"",IF(BU429="Aussen","Aussenlager",IF(BU429="-","Nicht im Lift",IF(AS429&gt;=1,"Lift",IF(AS429&lt;=0,"Aussenlager","teilweise")))))</f>
        <v>Aussenlager</v>
      </c>
      <c r="BD429" s="55" t="str">
        <f aca="false">IF(AV429&lt;=0,"",IF(BU429="Aussen","Aussenlager",IF(BU429="-","Nicht im Lift",IF(BA429&gt;=1,"Lift",IF(BA429&lt;=0,"Aussenlager","teilweise")))))</f>
        <v>Aussenlager</v>
      </c>
      <c r="BE429" s="55" t="str">
        <f aca="false">IF(A429="","",IF(BN429=1,"Neu; ","")&amp;IF(AND(BN429=0,BI429&lt;0),"negativer Bestand (Export "&amp;BI429&amp;"); ","")&amp;IF(I429&lt;=0,"Kein Verbrauch; ","")&amp;IF(CD429&gt;0,"Lift "&amp;U429&amp;" lt. Liftbericht (Fach "&amp;V429&amp;" Stk); ",IF(BR429=1,"Lose – Fläche geschätzt; ",""))&amp;IF(G429&gt;AP429,"Überbestand "&amp;ROUND(G429-AP429,0)&amp;" Stk / CHF "&amp;ROUND((G429-AP429)*F429,0)&amp;"; ","")&amp;IF(AND(BW429=1,BX429&lt;BY429),"MAX &lt; MB+LG; ","")&amp;IF(AND(CC429&gt;0,CB429*10&gt;CC429),"zu hoch für Tablar; ","")&amp;IF(AND(BN429=0,OR(BW429=1,Y429&lt;&gt;"",S429&lt;&gt;"",T429&lt;&gt;"",Z429&lt;&gt;"")),"manuell übersteuert; ","")&amp;IF(AND(BR429=0,Q429=0),"Gebinde unbekannt / Stellmass fehlt; ","")&amp;IF(AND(BR429=0,N(T429)&lt;=0,N(P429)&lt;=0),"Menge pro Gebinde fehlt (Ist = 1 Gebinde); ","")&amp;BM429)</f>
        <v>Kein Verbrauch; Lose – Fläche geschätzt; Überbestand 10 Stk / CHF 29; </v>
      </c>
      <c r="BF429" s="55"/>
      <c r="BG429" s="55"/>
      <c r="BH429" s="62"/>
      <c r="BI429" s="57" t="n">
        <v>30</v>
      </c>
      <c r="BJ429" s="57" t="n">
        <v>0</v>
      </c>
      <c r="BK429" s="56" t="n">
        <v>85.5</v>
      </c>
      <c r="BL429" s="57" t="n">
        <v>0</v>
      </c>
      <c r="BM429" s="55"/>
      <c r="BN429" s="60" t="n">
        <v>0</v>
      </c>
      <c r="BO429" s="60" t="n">
        <v>429</v>
      </c>
      <c r="BP429" s="55" t="str">
        <f aca="false">IF(S429&lt;&gt;"",UPPER(TRIM(S429)),IF(O429="","LOSE",O429))</f>
        <v>LOSE</v>
      </c>
      <c r="BQ429" s="57" t="n">
        <f aca="false">IF(BP429="LOSE",1,IF(N(T429)&gt;0,T429,IF(N(P429)&gt;0,P429,MAX(1,G429))))</f>
        <v>1</v>
      </c>
      <c r="BR429" s="60" t="n">
        <f aca="false">IF(BP429="LOSE",1,0)</f>
        <v>1</v>
      </c>
      <c r="BS429" s="59" t="n">
        <f aca="false">IF(BR429=0,0,IF(N(R429)&gt;0,R429,IFERROR(VLOOKUP(D429,Parameter!$A$35:$C$64,3,0)+0,0)))</f>
        <v>0.03</v>
      </c>
      <c r="BT429" s="55" t="n">
        <f aca="false">IF(Y429&lt;&gt;"",Y429,X429)</f>
        <v>2</v>
      </c>
      <c r="BU429" s="55" t="str">
        <f aca="false">IF(BT429=1,"L1",IF(OR(BT429=2,BT429=3),"L23",IF(BT429="Aussen","Aussen","-")))</f>
        <v>L23</v>
      </c>
      <c r="BV429" s="66" t="n">
        <f aca="false">IF(N(Z429)&gt;0,Z429,0)</f>
        <v>0</v>
      </c>
      <c r="BW429" s="60" t="n">
        <f aca="false">IF(ISNUMBER(AC429),1,0)</f>
        <v>0</v>
      </c>
      <c r="BX429" s="57" t="n">
        <f aca="false">N(AC429)</f>
        <v>0</v>
      </c>
      <c r="BY429" s="57" t="n">
        <f aca="false">N(L429)+N(M429)</f>
        <v>20</v>
      </c>
      <c r="BZ429" s="57" t="n">
        <f aca="false">ROUNDUP(G429/BQ429,0)</f>
        <v>30</v>
      </c>
      <c r="CA429" s="57" t="n">
        <f aca="false">ROUNDUP(BX429/BQ429,0)</f>
        <v>0</v>
      </c>
      <c r="CB429" s="60" t="n">
        <f aca="false">IF(BR429=1,0,IFERROR(VLOOKUP(BP429,'Gebinde-Kategorie'!$A$5:$M$45,5,0)+0,0))</f>
        <v>0</v>
      </c>
      <c r="CC429" s="60" t="n">
        <f aca="false">IFERROR(IF(OR(BT429=1,BT429=2,BT429=3),N(INDEX(Parameter!$I$5:$I$7,BT429)),0),0)</f>
        <v>0</v>
      </c>
      <c r="CD429" s="59" t="n">
        <f aca="false">IF(AND(Parameter!$B$21="Ja",ISNUMBER(U429),N(V429)&gt;0),IFERROR(N(INDEX(Parameter!$L$5:$L$7,U429))*INDEX(Parameter!$E$5:$E$7,U429)*V429/SUMIFS($V$7:$V$1576,$U$7:$U$1576,U429),0),0)</f>
        <v>0</v>
      </c>
    </row>
    <row r="430" customFormat="false" ht="15" hidden="false" customHeight="false" outlineLevel="0" collapsed="false">
      <c r="A430" s="55" t="s">
        <v>975</v>
      </c>
      <c r="B430" s="55" t="s">
        <v>560</v>
      </c>
      <c r="C430" s="55" t="s">
        <v>160</v>
      </c>
      <c r="D430" s="55" t="s">
        <v>178</v>
      </c>
      <c r="E430" s="55" t="s">
        <v>210</v>
      </c>
      <c r="F430" s="56" t="n">
        <v>6.17</v>
      </c>
      <c r="G430" s="57" t="n">
        <f aca="false">MAX(0,IF(AND(Parameter!$B$21="Ja",ISNUMBER(W430)),W430,IF(Parameter!$B$20="Jahresanfang 2025 + Export",BJ430+BI430,BI430)))</f>
        <v>7</v>
      </c>
      <c r="H430" s="57" t="n">
        <f aca="false">G430*F430</f>
        <v>43.19</v>
      </c>
      <c r="I430" s="57" t="n">
        <f aca="false">BL430*Parameter!$B$18</f>
        <v>258</v>
      </c>
      <c r="J430" s="58" t="n">
        <v>86.5</v>
      </c>
      <c r="K430" s="59" t="n">
        <v>2.98265895953757</v>
      </c>
      <c r="L430" s="57" t="n">
        <v>16</v>
      </c>
      <c r="M430" s="57" t="n">
        <v>100</v>
      </c>
      <c r="N430" s="60" t="n">
        <v>21</v>
      </c>
      <c r="O430" s="55" t="s">
        <v>319</v>
      </c>
      <c r="P430" s="57" t="n">
        <v>166</v>
      </c>
      <c r="Q430" s="60" t="n">
        <f aca="false">IF(BR430=1,0,IFERROR(VLOOKUP(BP430,'Gebinde-Kategorie'!$A$5:$M$45,13,0)+0,0))</f>
        <v>52</v>
      </c>
      <c r="R430" s="61"/>
      <c r="S430" s="62"/>
      <c r="T430" s="62"/>
      <c r="U430" s="55"/>
      <c r="V430" s="57"/>
      <c r="W430" s="57"/>
      <c r="X430" s="55" t="n">
        <f aca="false">IF(A430="","",IF(AND(Parameter!$B$21="Ja",ISNUMBER(U430)),U430,IF(IFERROR(VLOOKUP(D430,Parameter!$A$35:$C$64,2,0),"Nein")="2+3",IF(ISNUMBER(SEARCH("grosser Artikel",BM430)),2,IFERROR(VLOOKUP(BP430,Parameter!$F$35:$G$64,2,0),2)),IF(OR(IFERROR(VLOOKUP(D430,Parameter!$A$35:$C$64,2,0),"Nein")="Nein",IFERROR(VLOOKUP(D430,Parameter!$A$35:$C$64,2,0),"Nein")=""),"-",VLOOKUP(D430,Parameter!$A$35:$C$64,2,0)))))</f>
        <v>3</v>
      </c>
      <c r="Y430" s="62"/>
      <c r="Z430" s="63"/>
      <c r="AA430" s="57" t="n">
        <f aca="false">AP430</f>
        <v>166</v>
      </c>
      <c r="AB430" s="57" t="n">
        <f aca="false">MAX(AP430,G430)</f>
        <v>166</v>
      </c>
      <c r="AC430" s="64"/>
      <c r="AD430" s="57" t="n">
        <f aca="false">IF(LEFT(Cockpit!$C$5,1)="A",G430,IF(BW430=1,BX430,IF(LEFT(Cockpit!$C$5,1)="B",AH430,MAX(AH430,G430))))</f>
        <v>7</v>
      </c>
      <c r="AE430" s="57" t="n">
        <f aca="false">IF(BR430=1,0,ROUNDUP(AD430/BQ430,0))</f>
        <v>1</v>
      </c>
      <c r="AF430" s="59" t="n">
        <f aca="false">IF(CD430&gt;0,CD430*MAX(1,AD430/V430),IF(BR430=1,IF(AD430&lt;=0,0,BS430*MAX(1,IF(G430&gt;0,AD430/G430,1))),IF(Q430&gt;0,AE430/Q430,0))/MAX(0.1,N(Parameter!$M$21)))</f>
        <v>0.0192307692307692</v>
      </c>
      <c r="AG430" s="57" t="n">
        <f aca="false">AD430*F430</f>
        <v>43.19</v>
      </c>
      <c r="AH430" s="57" t="n">
        <f aca="false">ROUNDUP(MAX(I430/IF(BV430&gt;0,BV430,MAX(0.1,N(Cockpit!$C$6))),BY430)/BQ430,0)*BQ430</f>
        <v>166</v>
      </c>
      <c r="AI430" s="58" t="n">
        <f aca="false">IF(AF430&gt;0,I430/AF430,-1)</f>
        <v>13416</v>
      </c>
      <c r="AJ430" s="58" t="n">
        <f aca="false">IF(AND(OR(BU430="L1",BU430="L23"),AF430&gt;0),SUMIFS($AF$7:$AF$1576,$BU$7:$BU$1576,BU430,$AI$7:$AI$1576,"&gt;"&amp;AI430)+SUMIFS($AF$7:$AF$1576,$BU$7:$BU$1576,BU430,$AI$7:$AI$1576,AI430,$BO$7:$BO$1576,"&lt;="&amp;BO430),"")</f>
        <v>2.33215938650721</v>
      </c>
      <c r="AK430" s="65" t="n">
        <f aca="false">IF(AJ430="",0,MAX(0,MIN(1,(IF(BU430="L1",Parameter!$E$5,Parameter!$E$6+Parameter!$E$7)-(AJ430-AF430))/AF430)))</f>
        <v>1</v>
      </c>
      <c r="AL430" s="57" t="n">
        <f aca="false">IF(LEFT(Cockpit!$I$5,1)="A",G430,IF(BW430=1,BX430,IF(LEFT(Cockpit!$I$5,1)="B",AP430,MAX(AP430,G430))))</f>
        <v>166</v>
      </c>
      <c r="AM430" s="57" t="n">
        <f aca="false">IF(BR430=1,0,ROUNDUP(AL430/BQ430,0))</f>
        <v>1</v>
      </c>
      <c r="AN430" s="59" t="n">
        <f aca="false">IF(CD430&gt;0,CD430*MAX(1,AL430/V430),IF(BR430=1,IF(AL430&lt;=0,0,BS430*MAX(1,IF(G430&gt;0,AL430/G430,1))),IF(Q430&gt;0,AM430/Q430,0))/MAX(0.1,N(Parameter!$M$21)))</f>
        <v>0.0192307692307692</v>
      </c>
      <c r="AO430" s="57" t="n">
        <f aca="false">AL430*F430</f>
        <v>1024.22</v>
      </c>
      <c r="AP430" s="57" t="n">
        <f aca="false">ROUNDUP(MAX(I430/IF(BV430&gt;0,BV430,MAX(0.1,N(Cockpit!$I$6))),BY430)/BQ430,0)*BQ430</f>
        <v>166</v>
      </c>
      <c r="AQ430" s="58" t="n">
        <f aca="false">IF(AN430&gt;0,I430/AN430,-1)</f>
        <v>13416</v>
      </c>
      <c r="AR430" s="58" t="n">
        <f aca="false">IF(AND(OR(BU430="L1",BU430="L23"),AN430&gt;0),SUMIFS($AN$7:$AN$1576,$BU$7:$BU$1576,BU430,$AQ$7:$AQ$1576,"&gt;"&amp;AQ430)+SUMIFS($AN$7:$AN$1576,$BU$7:$BU$1576,BU430,$AQ$7:$AQ$1576,AQ430,$BO$7:$BO$1576,"&lt;="&amp;BO430),"")</f>
        <v>5.7377466977467</v>
      </c>
      <c r="AS430" s="65" t="n">
        <f aca="false">IF(AR430="",0,MAX(0,MIN(1,(IF(BU430="L1",Parameter!$E$5,Parameter!$E$6+Parameter!$E$7)-(AR430-AN430))/AN430)))</f>
        <v>1</v>
      </c>
      <c r="AT430" s="57" t="n">
        <f aca="false">IF(LEFT(Cockpit!$O$5,1)="A",G430,IF(BW430=1,BX430,IF(LEFT(Cockpit!$O$5,1)="B",AX430,MAX(AX430,G430))))</f>
        <v>166</v>
      </c>
      <c r="AU430" s="57" t="n">
        <f aca="false">IF(BR430=1,0,ROUNDUP(AT430/BQ430,0))</f>
        <v>1</v>
      </c>
      <c r="AV430" s="59" t="n">
        <f aca="false">IF(CD430&gt;0,CD430*MAX(1,AT430/V430),IF(BR430=1,IF(AT430&lt;=0,0,BS430*MAX(1,IF(G430&gt;0,AT430/G430,1))),IF(Q430&gt;0,AU430/Q430,0))/MAX(0.1,N(Parameter!$M$21)))</f>
        <v>0.0192307692307692</v>
      </c>
      <c r="AW430" s="57" t="n">
        <f aca="false">AT430*F430</f>
        <v>1024.22</v>
      </c>
      <c r="AX430" s="57" t="n">
        <f aca="false">ROUNDUP(MAX(I430/IF(BV430&gt;0,BV430,MAX(0.1,N(Cockpit!$O$6))),BY430)/BQ430,0)*BQ430</f>
        <v>166</v>
      </c>
      <c r="AY430" s="58" t="n">
        <f aca="false">IF(AV430&gt;0,I430/AV430,-1)</f>
        <v>13416</v>
      </c>
      <c r="AZ430" s="58" t="n">
        <f aca="false">IF(AND(OR(BU430="L1",BU430="L23"),AV430&gt;0),SUMIFS($AV$7:$AV$1576,$BU$7:$BU$1576,BU430,$AY$7:$AY$1576,"&gt;"&amp;AY430)+SUMIFS($AV$7:$AV$1576,$BU$7:$BU$1576,BU430,$AY$7:$AY$1576,AY430,$BO$7:$BO$1576,"&lt;="&amp;BO430),"")</f>
        <v>5.28553224553225</v>
      </c>
      <c r="BA430" s="65" t="n">
        <f aca="false">IF(AZ430="",0,MAX(0,MIN(1,(IF(BU430="L1",Parameter!$E$5,Parameter!$E$6+Parameter!$E$7)-(AZ430-AV430))/AV430)))</f>
        <v>1</v>
      </c>
      <c r="BB430" s="55" t="str">
        <f aca="false">IF(AF430&lt;=0,"",IF(BU430="Aussen","Aussenlager",IF(BU430="-","Nicht im Lift",IF(AK430&gt;=1,"Lift",IF(AK430&lt;=0,"Aussenlager","teilweise")))))</f>
        <v>Lift</v>
      </c>
      <c r="BC430" s="55" t="str">
        <f aca="false">IF(AN430&lt;=0,"",IF(BU430="Aussen","Aussenlager",IF(BU430="-","Nicht im Lift",IF(AS430&gt;=1,"Lift",IF(AS430&lt;=0,"Aussenlager","teilweise")))))</f>
        <v>Lift</v>
      </c>
      <c r="BD430" s="55" t="str">
        <f aca="false">IF(AV430&lt;=0,"",IF(BU430="Aussen","Aussenlager",IF(BU430="-","Nicht im Lift",IF(BA430&gt;=1,"Lift",IF(BA430&lt;=0,"Aussenlager","teilweise")))))</f>
        <v>Lift</v>
      </c>
      <c r="BE430" s="55" t="str">
        <f aca="false">IF(A430="","",IF(BN430=1,"Neu; ","")&amp;IF(AND(BN430=0,BI430&lt;0),"negativer Bestand (Export "&amp;BI430&amp;"); ","")&amp;IF(I430&lt;=0,"Kein Verbrauch; ","")&amp;IF(CD430&gt;0,"Lift "&amp;U430&amp;" lt. Liftbericht (Fach "&amp;V430&amp;" Stk); ",IF(BR430=1,"Lose – Fläche geschätzt; ",""))&amp;IF(G430&gt;AP430,"Überbestand "&amp;ROUND(G430-AP430,0)&amp;" Stk / CHF "&amp;ROUND((G430-AP430)*F430,0)&amp;"; ","")&amp;IF(AND(BW430=1,BX430&lt;BY430),"MAX &lt; MB+LG; ","")&amp;IF(AND(CC430&gt;0,CB430*10&gt;CC430),"zu hoch für Tablar; ","")&amp;IF(AND(BN430=0,OR(BW430=1,Y430&lt;&gt;"",S430&lt;&gt;"",T430&lt;&gt;"",Z430&lt;&gt;"")),"manuell übersteuert; ","")&amp;IF(AND(BR430=0,Q430=0),"Gebinde unbekannt / Stellmass fehlt; ","")&amp;IF(AND(BR430=0,N(T430)&lt;=0,N(P430)&lt;=0),"Menge pro Gebinde fehlt (Ist = 1 Gebinde); ","")&amp;BM430)</f>
        <v/>
      </c>
      <c r="BF430" s="55"/>
      <c r="BG430" s="55"/>
      <c r="BH430" s="62"/>
      <c r="BI430" s="57" t="n">
        <v>7</v>
      </c>
      <c r="BJ430" s="57" t="n">
        <v>68</v>
      </c>
      <c r="BK430" s="56" t="n">
        <v>84.0599999999997</v>
      </c>
      <c r="BL430" s="57" t="n">
        <v>258</v>
      </c>
      <c r="BM430" s="55"/>
      <c r="BN430" s="60" t="n">
        <v>0</v>
      </c>
      <c r="BO430" s="60" t="n">
        <v>430</v>
      </c>
      <c r="BP430" s="55" t="str">
        <f aca="false">IF(S430&lt;&gt;"",UPPER(TRIM(S430)),IF(O430="","LOSE",O430))</f>
        <v>S41</v>
      </c>
      <c r="BQ430" s="57" t="n">
        <f aca="false">IF(BP430="LOSE",1,IF(N(T430)&gt;0,T430,IF(N(P430)&gt;0,P430,MAX(1,G430))))</f>
        <v>166</v>
      </c>
      <c r="BR430" s="60" t="n">
        <f aca="false">IF(BP430="LOSE",1,0)</f>
        <v>0</v>
      </c>
      <c r="BS430" s="59" t="n">
        <f aca="false">IF(BR430=0,0,IF(N(R430)&gt;0,R430,IFERROR(VLOOKUP(D430,Parameter!$A$35:$C$64,3,0)+0,0)))</f>
        <v>0</v>
      </c>
      <c r="BT430" s="55" t="n">
        <f aca="false">IF(Y430&lt;&gt;"",Y430,X430)</f>
        <v>3</v>
      </c>
      <c r="BU430" s="55" t="str">
        <f aca="false">IF(BT430=1,"L1",IF(OR(BT430=2,BT430=3),"L23",IF(BT430="Aussen","Aussen","-")))</f>
        <v>L23</v>
      </c>
      <c r="BV430" s="66" t="n">
        <f aca="false">IF(N(Z430)&gt;0,Z430,0)</f>
        <v>0</v>
      </c>
      <c r="BW430" s="60" t="n">
        <f aca="false">IF(ISNUMBER(AC430),1,0)</f>
        <v>0</v>
      </c>
      <c r="BX430" s="57" t="n">
        <f aca="false">N(AC430)</f>
        <v>0</v>
      </c>
      <c r="BY430" s="57" t="n">
        <f aca="false">N(L430)+N(M430)</f>
        <v>116</v>
      </c>
      <c r="BZ430" s="57" t="n">
        <f aca="false">ROUNDUP(G430/BQ430,0)</f>
        <v>1</v>
      </c>
      <c r="CA430" s="57" t="n">
        <f aca="false">ROUNDUP(BX430/BQ430,0)</f>
        <v>0</v>
      </c>
      <c r="CB430" s="60" t="n">
        <f aca="false">IF(BR430=1,0,IFERROR(VLOOKUP(BP430,'Gebinde-Kategorie'!$A$5:$M$45,5,0)+0,0))</f>
        <v>11</v>
      </c>
      <c r="CC430" s="60" t="n">
        <f aca="false">IFERROR(IF(OR(BT430=1,BT430=2,BT430=3),N(INDEX(Parameter!$I$5:$I$7,BT430)),0),0)</f>
        <v>0</v>
      </c>
      <c r="CD430" s="59" t="n">
        <f aca="false">IF(AND(Parameter!$B$21="Ja",ISNUMBER(U430),N(V430)&gt;0),IFERROR(N(INDEX(Parameter!$L$5:$L$7,U430))*INDEX(Parameter!$E$5:$E$7,U430)*V430/SUMIFS($V$7:$V$1576,$U$7:$U$1576,U430),0),0)</f>
        <v>0</v>
      </c>
    </row>
    <row r="431" customFormat="false" ht="15" hidden="false" customHeight="false" outlineLevel="0" collapsed="false">
      <c r="A431" s="55" t="s">
        <v>976</v>
      </c>
      <c r="B431" s="55" t="s">
        <v>484</v>
      </c>
      <c r="C431" s="55" t="s">
        <v>160</v>
      </c>
      <c r="D431" s="55" t="s">
        <v>178</v>
      </c>
      <c r="E431" s="55" t="s">
        <v>210</v>
      </c>
      <c r="F431" s="56" t="n">
        <v>3.27</v>
      </c>
      <c r="G431" s="57" t="n">
        <f aca="false">MAX(0,IF(AND(Parameter!$B$21="Ja",ISNUMBER(W431)),W431,IF(Parameter!$B$20="Jahresanfang 2025 + Export",BJ431+BI431,BI431)))</f>
        <v>44</v>
      </c>
      <c r="H431" s="57" t="n">
        <f aca="false">G431*F431</f>
        <v>143.88</v>
      </c>
      <c r="I431" s="57" t="n">
        <f aca="false">BL431*Parameter!$B$18</f>
        <v>158</v>
      </c>
      <c r="J431" s="58" t="n">
        <v>126.5</v>
      </c>
      <c r="K431" s="59" t="n">
        <v>1.24901185770751</v>
      </c>
      <c r="L431" s="57" t="n">
        <v>9</v>
      </c>
      <c r="M431" s="57" t="n">
        <v>160</v>
      </c>
      <c r="N431" s="60" t="n">
        <v>21</v>
      </c>
      <c r="O431" s="55" t="s">
        <v>411</v>
      </c>
      <c r="P431" s="57" t="n">
        <v>125</v>
      </c>
      <c r="Q431" s="60" t="n">
        <f aca="false">IF(BR431=1,0,IFERROR(VLOOKUP(BP431,'Gebinde-Kategorie'!$A$5:$M$45,13,0)+0,0))</f>
        <v>132</v>
      </c>
      <c r="R431" s="61"/>
      <c r="S431" s="62"/>
      <c r="T431" s="62"/>
      <c r="U431" s="55"/>
      <c r="V431" s="57"/>
      <c r="W431" s="57"/>
      <c r="X431" s="55" t="n">
        <f aca="false">IF(A431="","",IF(AND(Parameter!$B$21="Ja",ISNUMBER(U431)),U431,IF(IFERROR(VLOOKUP(D431,Parameter!$A$35:$C$64,2,0),"Nein")="2+3",IF(ISNUMBER(SEARCH("grosser Artikel",BM431)),2,IFERROR(VLOOKUP(BP431,Parameter!$F$35:$G$64,2,0),2)),IF(OR(IFERROR(VLOOKUP(D431,Parameter!$A$35:$C$64,2,0),"Nein")="Nein",IFERROR(VLOOKUP(D431,Parameter!$A$35:$C$64,2,0),"Nein")=""),"-",VLOOKUP(D431,Parameter!$A$35:$C$64,2,0)))))</f>
        <v>3</v>
      </c>
      <c r="Y431" s="62"/>
      <c r="Z431" s="63"/>
      <c r="AA431" s="57" t="n">
        <f aca="false">AP431</f>
        <v>250</v>
      </c>
      <c r="AB431" s="57" t="n">
        <f aca="false">MAX(AP431,G431)</f>
        <v>250</v>
      </c>
      <c r="AC431" s="64"/>
      <c r="AD431" s="57" t="n">
        <f aca="false">IF(LEFT(Cockpit!$C$5,1)="A",G431,IF(BW431=1,BX431,IF(LEFT(Cockpit!$C$5,1)="B",AH431,MAX(AH431,G431))))</f>
        <v>44</v>
      </c>
      <c r="AE431" s="57" t="n">
        <f aca="false">IF(BR431=1,0,ROUNDUP(AD431/BQ431,0))</f>
        <v>1</v>
      </c>
      <c r="AF431" s="59" t="n">
        <f aca="false">IF(CD431&gt;0,CD431*MAX(1,AD431/V431),IF(BR431=1,IF(AD431&lt;=0,0,BS431*MAX(1,IF(G431&gt;0,AD431/G431,1))),IF(Q431&gt;0,AE431/Q431,0))/MAX(0.1,N(Parameter!$M$21)))</f>
        <v>0.00757575757575758</v>
      </c>
      <c r="AG431" s="57" t="n">
        <f aca="false">AD431*F431</f>
        <v>143.88</v>
      </c>
      <c r="AH431" s="57" t="n">
        <f aca="false">ROUNDUP(MAX(I431/IF(BV431&gt;0,BV431,MAX(0.1,N(Cockpit!$C$6))),BY431)/BQ431,0)*BQ431</f>
        <v>250</v>
      </c>
      <c r="AI431" s="58" t="n">
        <f aca="false">IF(AF431&gt;0,I431/AF431,-1)</f>
        <v>20856</v>
      </c>
      <c r="AJ431" s="58" t="n">
        <f aca="false">IF(AND(OR(BU431="L1",BU431="L23"),AF431&gt;0),SUMIFS($AF$7:$AF$1576,$BU$7:$BU$1576,BU431,$AI$7:$AI$1576,"&gt;"&amp;AI431)+SUMIFS($AF$7:$AF$1576,$BU$7:$BU$1576,BU431,$AI$7:$AI$1576,AI431,$BO$7:$BO$1576,"&lt;="&amp;BO431),"")</f>
        <v>1.76208574034661</v>
      </c>
      <c r="AK431" s="65" t="n">
        <f aca="false">IF(AJ431="",0,MAX(0,MIN(1,(IF(BU431="L1",Parameter!$E$5,Parameter!$E$6+Parameter!$E$7)-(AJ431-AF431))/AF431)))</f>
        <v>1</v>
      </c>
      <c r="AL431" s="57" t="n">
        <f aca="false">IF(LEFT(Cockpit!$I$5,1)="A",G431,IF(BW431=1,BX431,IF(LEFT(Cockpit!$I$5,1)="B",AP431,MAX(AP431,G431))))</f>
        <v>250</v>
      </c>
      <c r="AM431" s="57" t="n">
        <f aca="false">IF(BR431=1,0,ROUNDUP(AL431/BQ431,0))</f>
        <v>2</v>
      </c>
      <c r="AN431" s="59" t="n">
        <f aca="false">IF(CD431&gt;0,CD431*MAX(1,AL431/V431),IF(BR431=1,IF(AL431&lt;=0,0,BS431*MAX(1,IF(G431&gt;0,AL431/G431,1))),IF(Q431&gt;0,AM431/Q431,0))/MAX(0.1,N(Parameter!$M$21)))</f>
        <v>0.0151515151515152</v>
      </c>
      <c r="AO431" s="57" t="n">
        <f aca="false">AL431*F431</f>
        <v>817.5</v>
      </c>
      <c r="AP431" s="57" t="n">
        <f aca="false">ROUNDUP(MAX(I431/IF(BV431&gt;0,BV431,MAX(0.1,N(Cockpit!$I$6))),BY431)/BQ431,0)*BQ431</f>
        <v>250</v>
      </c>
      <c r="AQ431" s="58" t="n">
        <f aca="false">IF(AN431&gt;0,I431/AN431,-1)</f>
        <v>10428</v>
      </c>
      <c r="AR431" s="58" t="n">
        <f aca="false">IF(AND(OR(BU431="L1",BU431="L23"),AN431&gt;0),SUMIFS($AN$7:$AN$1576,$BU$7:$BU$1576,BU431,$AQ$7:$AQ$1576,"&gt;"&amp;AQ431)+SUMIFS($AN$7:$AN$1576,$BU$7:$BU$1576,BU431,$AQ$7:$AQ$1576,AQ431,$BO$7:$BO$1576,"&lt;="&amp;BO431),"")</f>
        <v>6.97956386608561</v>
      </c>
      <c r="AS431" s="65" t="n">
        <f aca="false">IF(AR431="",0,MAX(0,MIN(1,(IF(BU431="L1",Parameter!$E$5,Parameter!$E$6+Parameter!$E$7)-(AR431-AN431))/AN431)))</f>
        <v>1</v>
      </c>
      <c r="AT431" s="57" t="n">
        <f aca="false">IF(LEFT(Cockpit!$O$5,1)="A",G431,IF(BW431=1,BX431,IF(LEFT(Cockpit!$O$5,1)="B",AX431,MAX(AX431,G431))))</f>
        <v>250</v>
      </c>
      <c r="AU431" s="57" t="n">
        <f aca="false">IF(BR431=1,0,ROUNDUP(AT431/BQ431,0))</f>
        <v>2</v>
      </c>
      <c r="AV431" s="59" t="n">
        <f aca="false">IF(CD431&gt;0,CD431*MAX(1,AT431/V431),IF(BR431=1,IF(AT431&lt;=0,0,BS431*MAX(1,IF(G431&gt;0,AT431/G431,1))),IF(Q431&gt;0,AU431/Q431,0))/MAX(0.1,N(Parameter!$M$21)))</f>
        <v>0.0151515151515152</v>
      </c>
      <c r="AW431" s="57" t="n">
        <f aca="false">AT431*F431</f>
        <v>817.5</v>
      </c>
      <c r="AX431" s="57" t="n">
        <f aca="false">ROUNDUP(MAX(I431/IF(BV431&gt;0,BV431,MAX(0.1,N(Cockpit!$O$6))),BY431)/BQ431,0)*BQ431</f>
        <v>250</v>
      </c>
      <c r="AY431" s="58" t="n">
        <f aca="false">IF(AV431&gt;0,I431/AV431,-1)</f>
        <v>10428</v>
      </c>
      <c r="AZ431" s="58" t="n">
        <f aca="false">IF(AND(OR(BU431="L1",BU431="L23"),AV431&gt;0),SUMIFS($AV$7:$AV$1576,$BU$7:$BU$1576,BU431,$AY$7:$AY$1576,"&gt;"&amp;AY431)+SUMIFS($AV$7:$AV$1576,$BU$7:$BU$1576,BU431,$AY$7:$AY$1576,AY431,$BO$7:$BO$1576,"&lt;="&amp;BO431),"")</f>
        <v>6.68119556771731</v>
      </c>
      <c r="BA431" s="65" t="n">
        <f aca="false">IF(AZ431="",0,MAX(0,MIN(1,(IF(BU431="L1",Parameter!$E$5,Parameter!$E$6+Parameter!$E$7)-(AZ431-AV431))/AV431)))</f>
        <v>1</v>
      </c>
      <c r="BB431" s="55" t="str">
        <f aca="false">IF(AF431&lt;=0,"",IF(BU431="Aussen","Aussenlager",IF(BU431="-","Nicht im Lift",IF(AK431&gt;=1,"Lift",IF(AK431&lt;=0,"Aussenlager","teilweise")))))</f>
        <v>Lift</v>
      </c>
      <c r="BC431" s="55" t="str">
        <f aca="false">IF(AN431&lt;=0,"",IF(BU431="Aussen","Aussenlager",IF(BU431="-","Nicht im Lift",IF(AS431&gt;=1,"Lift",IF(AS431&lt;=0,"Aussenlager","teilweise")))))</f>
        <v>Lift</v>
      </c>
      <c r="BD431" s="55" t="str">
        <f aca="false">IF(AV431&lt;=0,"",IF(BU431="Aussen","Aussenlager",IF(BU431="-","Nicht im Lift",IF(BA431&gt;=1,"Lift",IF(BA431&lt;=0,"Aussenlager","teilweise")))))</f>
        <v>Lift</v>
      </c>
      <c r="BE431" s="55" t="str">
        <f aca="false">IF(A431="","",IF(BN431=1,"Neu; ","")&amp;IF(AND(BN431=0,BI431&lt;0),"negativer Bestand (Export "&amp;BI431&amp;"); ","")&amp;IF(I431&lt;=0,"Kein Verbrauch; ","")&amp;IF(CD431&gt;0,"Lift "&amp;U431&amp;" lt. Liftbericht (Fach "&amp;V431&amp;" Stk); ",IF(BR431=1,"Lose – Fläche geschätzt; ",""))&amp;IF(G431&gt;AP431,"Überbestand "&amp;ROUND(G431-AP431,0)&amp;" Stk / CHF "&amp;ROUND((G431-AP431)*F431,0)&amp;"; ","")&amp;IF(AND(BW431=1,BX431&lt;BY431),"MAX &lt; MB+LG; ","")&amp;IF(AND(CC431&gt;0,CB431*10&gt;CC431),"zu hoch für Tablar; ","")&amp;IF(AND(BN431=0,OR(BW431=1,Y431&lt;&gt;"",S431&lt;&gt;"",T431&lt;&gt;"",Z431&lt;&gt;"")),"manuell übersteuert; ","")&amp;IF(AND(BR431=0,Q431=0),"Gebinde unbekannt / Stellmass fehlt; ","")&amp;IF(AND(BR431=0,N(T431)&lt;=0,N(P431)&lt;=0),"Menge pro Gebinde fehlt (Ist = 1 Gebinde); ","")&amp;BM431)</f>
        <v/>
      </c>
      <c r="BF431" s="55"/>
      <c r="BG431" s="55"/>
      <c r="BH431" s="62"/>
      <c r="BI431" s="57" t="n">
        <v>44</v>
      </c>
      <c r="BJ431" s="57" t="n">
        <v>111</v>
      </c>
      <c r="BK431" s="56" t="n">
        <v>83.9600000000007</v>
      </c>
      <c r="BL431" s="57" t="n">
        <v>158</v>
      </c>
      <c r="BM431" s="55"/>
      <c r="BN431" s="60" t="n">
        <v>0</v>
      </c>
      <c r="BO431" s="60" t="n">
        <v>431</v>
      </c>
      <c r="BP431" s="55" t="str">
        <f aca="false">IF(S431&lt;&gt;"",UPPER(TRIM(S431)),IF(O431="","LOSE",O431))</f>
        <v>S32</v>
      </c>
      <c r="BQ431" s="57" t="n">
        <f aca="false">IF(BP431="LOSE",1,IF(N(T431)&gt;0,T431,IF(N(P431)&gt;0,P431,MAX(1,G431))))</f>
        <v>125</v>
      </c>
      <c r="BR431" s="60" t="n">
        <f aca="false">IF(BP431="LOSE",1,0)</f>
        <v>0</v>
      </c>
      <c r="BS431" s="59" t="n">
        <f aca="false">IF(BR431=0,0,IF(N(R431)&gt;0,R431,IFERROR(VLOOKUP(D431,Parameter!$A$35:$C$64,3,0)+0,0)))</f>
        <v>0</v>
      </c>
      <c r="BT431" s="55" t="n">
        <f aca="false">IF(Y431&lt;&gt;"",Y431,X431)</f>
        <v>3</v>
      </c>
      <c r="BU431" s="55" t="str">
        <f aca="false">IF(BT431=1,"L1",IF(OR(BT431=2,BT431=3),"L23",IF(BT431="Aussen","Aussen","-")))</f>
        <v>L23</v>
      </c>
      <c r="BV431" s="66" t="n">
        <f aca="false">IF(N(Z431)&gt;0,Z431,0)</f>
        <v>0</v>
      </c>
      <c r="BW431" s="60" t="n">
        <f aca="false">IF(ISNUMBER(AC431),1,0)</f>
        <v>0</v>
      </c>
      <c r="BX431" s="57" t="n">
        <f aca="false">N(AC431)</f>
        <v>0</v>
      </c>
      <c r="BY431" s="57" t="n">
        <f aca="false">N(L431)+N(M431)</f>
        <v>169</v>
      </c>
      <c r="BZ431" s="57" t="n">
        <f aca="false">ROUNDUP(G431/BQ431,0)</f>
        <v>1</v>
      </c>
      <c r="CA431" s="57" t="n">
        <f aca="false">ROUNDUP(BX431/BQ431,0)</f>
        <v>0</v>
      </c>
      <c r="CB431" s="60" t="n">
        <f aca="false">IF(BR431=1,0,IFERROR(VLOOKUP(BP431,'Gebinde-Kategorie'!$A$5:$M$45,5,0)+0,0))</f>
        <v>8</v>
      </c>
      <c r="CC431" s="60" t="n">
        <f aca="false">IFERROR(IF(OR(BT431=1,BT431=2,BT431=3),N(INDEX(Parameter!$I$5:$I$7,BT431)),0),0)</f>
        <v>0</v>
      </c>
      <c r="CD431" s="59" t="n">
        <f aca="false">IF(AND(Parameter!$B$21="Ja",ISNUMBER(U431),N(V431)&gt;0),IFERROR(N(INDEX(Parameter!$L$5:$L$7,U431))*INDEX(Parameter!$E$5:$E$7,U431)*V431/SUMIFS($V$7:$V$1576,$U$7:$U$1576,U431),0),0)</f>
        <v>0</v>
      </c>
    </row>
    <row r="432" customFormat="false" ht="15" hidden="false" customHeight="false" outlineLevel="0" collapsed="false">
      <c r="A432" s="55" t="s">
        <v>977</v>
      </c>
      <c r="B432" s="55" t="s">
        <v>978</v>
      </c>
      <c r="C432" s="55" t="s">
        <v>160</v>
      </c>
      <c r="D432" s="55" t="s">
        <v>178</v>
      </c>
      <c r="E432" s="55" t="s">
        <v>210</v>
      </c>
      <c r="F432" s="56" t="n">
        <v>75.18</v>
      </c>
      <c r="G432" s="57" t="n">
        <f aca="false">MAX(0,IF(AND(Parameter!$B$21="Ja",ISNUMBER(W432)),W432,IF(Parameter!$B$20="Jahresanfang 2025 + Export",BJ432+BI432,BI432)))</f>
        <v>0</v>
      </c>
      <c r="H432" s="57" t="n">
        <f aca="false">G432*F432</f>
        <v>0</v>
      </c>
      <c r="I432" s="57" t="n">
        <f aca="false">BL432*Parameter!$B$18</f>
        <v>5</v>
      </c>
      <c r="J432" s="58" t="n">
        <v>8.5</v>
      </c>
      <c r="K432" s="59" t="n">
        <v>0.588235294117647</v>
      </c>
      <c r="L432" s="57" t="n">
        <v>0</v>
      </c>
      <c r="M432" s="57" t="n">
        <v>10</v>
      </c>
      <c r="N432" s="60" t="n">
        <v>21</v>
      </c>
      <c r="O432" s="55" t="s">
        <v>391</v>
      </c>
      <c r="P432" s="57" t="n">
        <v>10</v>
      </c>
      <c r="Q432" s="60" t="n">
        <f aca="false">IF(BR432=1,0,IFERROR(VLOOKUP(BP432,'Gebinde-Kategorie'!$A$5:$M$45,13,0)+0,0))</f>
        <v>414</v>
      </c>
      <c r="R432" s="61"/>
      <c r="S432" s="62"/>
      <c r="T432" s="62"/>
      <c r="U432" s="55"/>
      <c r="V432" s="57"/>
      <c r="W432" s="57"/>
      <c r="X432" s="55" t="n">
        <f aca="false">IF(A432="","",IF(AND(Parameter!$B$21="Ja",ISNUMBER(U432)),U432,IF(IFERROR(VLOOKUP(D432,Parameter!$A$35:$C$64,2,0),"Nein")="2+3",IF(ISNUMBER(SEARCH("grosser Artikel",BM432)),2,IFERROR(VLOOKUP(BP432,Parameter!$F$35:$G$64,2,0),2)),IF(OR(IFERROR(VLOOKUP(D432,Parameter!$A$35:$C$64,2,0),"Nein")="Nein",IFERROR(VLOOKUP(D432,Parameter!$A$35:$C$64,2,0),"Nein")=""),"-",VLOOKUP(D432,Parameter!$A$35:$C$64,2,0)))))</f>
        <v>3</v>
      </c>
      <c r="Y432" s="62"/>
      <c r="Z432" s="63"/>
      <c r="AA432" s="57" t="n">
        <f aca="false">AP432</f>
        <v>10</v>
      </c>
      <c r="AB432" s="57" t="n">
        <f aca="false">MAX(AP432,G432)</f>
        <v>10</v>
      </c>
      <c r="AC432" s="64"/>
      <c r="AD432" s="57" t="n">
        <f aca="false">IF(LEFT(Cockpit!$C$5,1)="A",G432,IF(BW432=1,BX432,IF(LEFT(Cockpit!$C$5,1)="B",AH432,MAX(AH432,G432))))</f>
        <v>0</v>
      </c>
      <c r="AE432" s="57" t="n">
        <f aca="false">IF(BR432=1,0,ROUNDUP(AD432/BQ432,0))</f>
        <v>0</v>
      </c>
      <c r="AF432" s="59" t="n">
        <f aca="false">IF(CD432&gt;0,CD432*MAX(1,AD432/V432),IF(BR432=1,IF(AD432&lt;=0,0,BS432*MAX(1,IF(G432&gt;0,AD432/G432,1))),IF(Q432&gt;0,AE432/Q432,0))/MAX(0.1,N(Parameter!$M$21)))</f>
        <v>0</v>
      </c>
      <c r="AG432" s="57" t="n">
        <f aca="false">AD432*F432</f>
        <v>0</v>
      </c>
      <c r="AH432" s="57" t="n">
        <f aca="false">ROUNDUP(MAX(I432/IF(BV432&gt;0,BV432,MAX(0.1,N(Cockpit!$C$6))),BY432)/BQ432,0)*BQ432</f>
        <v>10</v>
      </c>
      <c r="AI432" s="58" t="n">
        <f aca="false">IF(AF432&gt;0,I432/AF432,-1)</f>
        <v>-1</v>
      </c>
      <c r="AJ432" s="58" t="str">
        <f aca="false">IF(AND(OR(BU432="L1",BU432="L23"),AF432&gt;0),SUMIFS($AF$7:$AF$1576,$BU$7:$BU$1576,BU432,$AI$7:$AI$1576,"&gt;"&amp;AI432)+SUMIFS($AF$7:$AF$1576,$BU$7:$BU$1576,BU432,$AI$7:$AI$1576,AI432,$BO$7:$BO$1576,"&lt;="&amp;BO432),"")</f>
        <v/>
      </c>
      <c r="AK432" s="65" t="n">
        <f aca="false">IF(AJ432="",0,MAX(0,MIN(1,(IF(BU432="L1",Parameter!$E$5,Parameter!$E$6+Parameter!$E$7)-(AJ432-AF432))/AF432)))</f>
        <v>0</v>
      </c>
      <c r="AL432" s="57" t="n">
        <f aca="false">IF(LEFT(Cockpit!$I$5,1)="A",G432,IF(BW432=1,BX432,IF(LEFT(Cockpit!$I$5,1)="B",AP432,MAX(AP432,G432))))</f>
        <v>10</v>
      </c>
      <c r="AM432" s="57" t="n">
        <f aca="false">IF(BR432=1,0,ROUNDUP(AL432/BQ432,0))</f>
        <v>1</v>
      </c>
      <c r="AN432" s="59" t="n">
        <f aca="false">IF(CD432&gt;0,CD432*MAX(1,AL432/V432),IF(BR432=1,IF(AL432&lt;=0,0,BS432*MAX(1,IF(G432&gt;0,AL432/G432,1))),IF(Q432&gt;0,AM432/Q432,0))/MAX(0.1,N(Parameter!$M$21)))</f>
        <v>0.00241545893719807</v>
      </c>
      <c r="AO432" s="57" t="n">
        <f aca="false">AL432*F432</f>
        <v>751.8</v>
      </c>
      <c r="AP432" s="57" t="n">
        <f aca="false">ROUNDUP(MAX(I432/IF(BV432&gt;0,BV432,MAX(0.1,N(Cockpit!$I$6))),BY432)/BQ432,0)*BQ432</f>
        <v>10</v>
      </c>
      <c r="AQ432" s="58" t="n">
        <f aca="false">IF(AN432&gt;0,I432/AN432,-1)</f>
        <v>2070</v>
      </c>
      <c r="AR432" s="58" t="n">
        <f aca="false">IF(AND(OR(BU432="L1",BU432="L23"),AN432&gt;0),SUMIFS($AN$7:$AN$1576,$BU$7:$BU$1576,BU432,$AQ$7:$AQ$1576,"&gt;"&amp;AQ432)+SUMIFS($AN$7:$AN$1576,$BU$7:$BU$1576,BU432,$AQ$7:$AQ$1576,AQ432,$BO$7:$BO$1576,"&lt;="&amp;BO432),"")</f>
        <v>16.9962149568783</v>
      </c>
      <c r="AS432" s="65" t="n">
        <f aca="false">IF(AR432="",0,MAX(0,MIN(1,(IF(BU432="L1",Parameter!$E$5,Parameter!$E$6+Parameter!$E$7)-(AR432-AN432))/AN432)))</f>
        <v>1</v>
      </c>
      <c r="AT432" s="57" t="n">
        <f aca="false">IF(LEFT(Cockpit!$O$5,1)="A",G432,IF(BW432=1,BX432,IF(LEFT(Cockpit!$O$5,1)="B",AX432,MAX(AX432,G432))))</f>
        <v>10</v>
      </c>
      <c r="AU432" s="57" t="n">
        <f aca="false">IF(BR432=1,0,ROUNDUP(AT432/BQ432,0))</f>
        <v>1</v>
      </c>
      <c r="AV432" s="59" t="n">
        <f aca="false">IF(CD432&gt;0,CD432*MAX(1,AT432/V432),IF(BR432=1,IF(AT432&lt;=0,0,BS432*MAX(1,IF(G432&gt;0,AT432/G432,1))),IF(Q432&gt;0,AU432/Q432,0))/MAX(0.1,N(Parameter!$M$21)))</f>
        <v>0.00241545893719807</v>
      </c>
      <c r="AW432" s="57" t="n">
        <f aca="false">AT432*F432</f>
        <v>751.8</v>
      </c>
      <c r="AX432" s="57" t="n">
        <f aca="false">ROUNDUP(MAX(I432/IF(BV432&gt;0,BV432,MAX(0.1,N(Cockpit!$O$6))),BY432)/BQ432,0)*BQ432</f>
        <v>10</v>
      </c>
      <c r="AY432" s="58" t="n">
        <f aca="false">IF(AV432&gt;0,I432/AV432,-1)</f>
        <v>2070</v>
      </c>
      <c r="AZ432" s="58" t="n">
        <f aca="false">IF(AND(OR(BU432="L1",BU432="L23"),AV432&gt;0),SUMIFS($AV$7:$AV$1576,$BU$7:$BU$1576,BU432,$AY$7:$AY$1576,"&gt;"&amp;AY432)+SUMIFS($AV$7:$AV$1576,$BU$7:$BU$1576,BU432,$AY$7:$AY$1576,AY432,$BO$7:$BO$1576,"&lt;="&amp;BO432),"")</f>
        <v>15.6850261456895</v>
      </c>
      <c r="BA432" s="65" t="n">
        <f aca="false">IF(AZ432="",0,MAX(0,MIN(1,(IF(BU432="L1",Parameter!$E$5,Parameter!$E$6+Parameter!$E$7)-(AZ432-AV432))/AV432)))</f>
        <v>1</v>
      </c>
      <c r="BB432" s="55" t="str">
        <f aca="false">IF(AF432&lt;=0,"",IF(BU432="Aussen","Aussenlager",IF(BU432="-","Nicht im Lift",IF(AK432&gt;=1,"Lift",IF(AK432&lt;=0,"Aussenlager","teilweise")))))</f>
        <v/>
      </c>
      <c r="BC432" s="55" t="str">
        <f aca="false">IF(AN432&lt;=0,"",IF(BU432="Aussen","Aussenlager",IF(BU432="-","Nicht im Lift",IF(AS432&gt;=1,"Lift",IF(AS432&lt;=0,"Aussenlager","teilweise")))))</f>
        <v>Lift</v>
      </c>
      <c r="BD432" s="55" t="str">
        <f aca="false">IF(AV432&lt;=0,"",IF(BU432="Aussen","Aussenlager",IF(BU432="-","Nicht im Lift",IF(BA432&gt;=1,"Lift",IF(BA432&lt;=0,"Aussenlager","teilweise")))))</f>
        <v>Lift</v>
      </c>
      <c r="BE432" s="55" t="str">
        <f aca="false">IF(A432="","",IF(BN432=1,"Neu; ","")&amp;IF(AND(BN432=0,BI432&lt;0),"negativer Bestand (Export "&amp;BI432&amp;"); ","")&amp;IF(I432&lt;=0,"Kein Verbrauch; ","")&amp;IF(CD432&gt;0,"Lift "&amp;U432&amp;" lt. Liftbericht (Fach "&amp;V432&amp;" Stk); ",IF(BR432=1,"Lose – Fläche geschätzt; ",""))&amp;IF(G432&gt;AP432,"Überbestand "&amp;ROUND(G432-AP432,0)&amp;" Stk / CHF "&amp;ROUND((G432-AP432)*F432,0)&amp;"; ","")&amp;IF(AND(BW432=1,BX432&lt;BY432),"MAX &lt; MB+LG; ","")&amp;IF(AND(CC432&gt;0,CB432*10&gt;CC432),"zu hoch für Tablar; ","")&amp;IF(AND(BN432=0,OR(BW432=1,Y432&lt;&gt;"",S432&lt;&gt;"",T432&lt;&gt;"",Z432&lt;&gt;"")),"manuell übersteuert; ","")&amp;IF(AND(BR432=0,Q432=0),"Gebinde unbekannt / Stellmass fehlt; ","")&amp;IF(AND(BR432=0,N(T432)&lt;=0,N(P432)&lt;=0),"Menge pro Gebinde fehlt (Ist = 1 Gebinde); ","")&amp;BM432)</f>
        <v>negativer Bestand (Export -1); </v>
      </c>
      <c r="BF432" s="55"/>
      <c r="BG432" s="55"/>
      <c r="BH432" s="62"/>
      <c r="BI432" s="57" t="n">
        <v>-1</v>
      </c>
      <c r="BJ432" s="57" t="n">
        <v>9</v>
      </c>
      <c r="BK432" s="56" t="n">
        <v>80.7900000000001</v>
      </c>
      <c r="BL432" s="57" t="n">
        <v>5</v>
      </c>
      <c r="BM432" s="55"/>
      <c r="BN432" s="60" t="n">
        <v>0</v>
      </c>
      <c r="BO432" s="60" t="n">
        <v>432</v>
      </c>
      <c r="BP432" s="55" t="str">
        <f aca="false">IF(S432&lt;&gt;"",UPPER(TRIM(S432)),IF(O432="","LOSE",O432))</f>
        <v>S21</v>
      </c>
      <c r="BQ432" s="57" t="n">
        <f aca="false">IF(BP432="LOSE",1,IF(N(T432)&gt;0,T432,IF(N(P432)&gt;0,P432,MAX(1,G432))))</f>
        <v>10</v>
      </c>
      <c r="BR432" s="60" t="n">
        <f aca="false">IF(BP432="LOSE",1,0)</f>
        <v>0</v>
      </c>
      <c r="BS432" s="59" t="n">
        <f aca="false">IF(BR432=0,0,IF(N(R432)&gt;0,R432,IFERROR(VLOOKUP(D432,Parameter!$A$35:$C$64,3,0)+0,0)))</f>
        <v>0</v>
      </c>
      <c r="BT432" s="55" t="n">
        <f aca="false">IF(Y432&lt;&gt;"",Y432,X432)</f>
        <v>3</v>
      </c>
      <c r="BU432" s="55" t="str">
        <f aca="false">IF(BT432=1,"L1",IF(OR(BT432=2,BT432=3),"L23",IF(BT432="Aussen","Aussen","-")))</f>
        <v>L23</v>
      </c>
      <c r="BV432" s="66" t="n">
        <f aca="false">IF(N(Z432)&gt;0,Z432,0)</f>
        <v>0</v>
      </c>
      <c r="BW432" s="60" t="n">
        <f aca="false">IF(ISNUMBER(AC432),1,0)</f>
        <v>0</v>
      </c>
      <c r="BX432" s="57" t="n">
        <f aca="false">N(AC432)</f>
        <v>0</v>
      </c>
      <c r="BY432" s="57" t="n">
        <f aca="false">N(L432)+N(M432)</f>
        <v>10</v>
      </c>
      <c r="BZ432" s="57" t="n">
        <f aca="false">ROUNDUP(G432/BQ432,0)</f>
        <v>0</v>
      </c>
      <c r="CA432" s="57" t="n">
        <f aca="false">ROUNDUP(BX432/BQ432,0)</f>
        <v>0</v>
      </c>
      <c r="CB432" s="60" t="n">
        <f aca="false">IF(BR432=1,0,IFERROR(VLOOKUP(BP432,'Gebinde-Kategorie'!$A$5:$M$45,5,0)+0,0))</f>
        <v>8</v>
      </c>
      <c r="CC432" s="60" t="n">
        <f aca="false">IFERROR(IF(OR(BT432=1,BT432=2,BT432=3),N(INDEX(Parameter!$I$5:$I$7,BT432)),0),0)</f>
        <v>0</v>
      </c>
      <c r="CD432" s="59" t="n">
        <f aca="false">IF(AND(Parameter!$B$21="Ja",ISNUMBER(U432),N(V432)&gt;0),IFERROR(N(INDEX(Parameter!$L$5:$L$7,U432))*INDEX(Parameter!$E$5:$E$7,U432)*V432/SUMIFS($V$7:$V$1576,$U$7:$U$1576,U432),0),0)</f>
        <v>0</v>
      </c>
    </row>
    <row r="433" customFormat="false" ht="15" hidden="false" customHeight="false" outlineLevel="0" collapsed="false">
      <c r="A433" s="55" t="s">
        <v>979</v>
      </c>
      <c r="B433" s="55" t="s">
        <v>980</v>
      </c>
      <c r="C433" s="55" t="s">
        <v>160</v>
      </c>
      <c r="D433" s="55" t="s">
        <v>178</v>
      </c>
      <c r="E433" s="55" t="s">
        <v>210</v>
      </c>
      <c r="F433" s="56" t="n">
        <v>9.53</v>
      </c>
      <c r="G433" s="57" t="n">
        <f aca="false">MAX(0,IF(AND(Parameter!$B$21="Ja",ISNUMBER(W433)),W433,IF(Parameter!$B$20="Jahresanfang 2025 + Export",BJ433+BI433,BI433)))</f>
        <v>8</v>
      </c>
      <c r="H433" s="57" t="n">
        <f aca="false">G433*F433</f>
        <v>76.24</v>
      </c>
      <c r="I433" s="57" t="n">
        <f aca="false">BL433*Parameter!$B$18</f>
        <v>129</v>
      </c>
      <c r="J433" s="58" t="n">
        <v>11.5</v>
      </c>
      <c r="K433" s="59" t="n">
        <v>11.2173913043478</v>
      </c>
      <c r="L433" s="57" t="n">
        <v>5</v>
      </c>
      <c r="M433" s="57" t="n">
        <v>25</v>
      </c>
      <c r="N433" s="60" t="n">
        <v>14</v>
      </c>
      <c r="O433" s="55" t="s">
        <v>218</v>
      </c>
      <c r="P433" s="57" t="n">
        <v>40</v>
      </c>
      <c r="Q433" s="60" t="n">
        <f aca="false">IF(BR433=1,0,IFERROR(VLOOKUP(BP433,'Gebinde-Kategorie'!$A$5:$M$45,13,0)+0,0))</f>
        <v>12</v>
      </c>
      <c r="R433" s="61"/>
      <c r="S433" s="62"/>
      <c r="T433" s="62"/>
      <c r="U433" s="55"/>
      <c r="V433" s="57"/>
      <c r="W433" s="57"/>
      <c r="X433" s="55" t="n">
        <f aca="false">IF(A433="","",IF(AND(Parameter!$B$21="Ja",ISNUMBER(U433)),U433,IF(IFERROR(VLOOKUP(D433,Parameter!$A$35:$C$64,2,0),"Nein")="2+3",IF(ISNUMBER(SEARCH("grosser Artikel",BM433)),2,IFERROR(VLOOKUP(BP433,Parameter!$F$35:$G$64,2,0),2)),IF(OR(IFERROR(VLOOKUP(D433,Parameter!$A$35:$C$64,2,0),"Nein")="Nein",IFERROR(VLOOKUP(D433,Parameter!$A$35:$C$64,2,0),"Nein")=""),"-",VLOOKUP(D433,Parameter!$A$35:$C$64,2,0)))))</f>
        <v>2</v>
      </c>
      <c r="Y433" s="62"/>
      <c r="Z433" s="63"/>
      <c r="AA433" s="57" t="n">
        <f aca="false">AP433</f>
        <v>80</v>
      </c>
      <c r="AB433" s="57" t="n">
        <f aca="false">MAX(AP433,G433)</f>
        <v>80</v>
      </c>
      <c r="AC433" s="64"/>
      <c r="AD433" s="57" t="n">
        <f aca="false">IF(LEFT(Cockpit!$C$5,1)="A",G433,IF(BW433=1,BX433,IF(LEFT(Cockpit!$C$5,1)="B",AH433,MAX(AH433,G433))))</f>
        <v>8</v>
      </c>
      <c r="AE433" s="57" t="n">
        <f aca="false">IF(BR433=1,0,ROUNDUP(AD433/BQ433,0))</f>
        <v>1</v>
      </c>
      <c r="AF433" s="59" t="n">
        <f aca="false">IF(CD433&gt;0,CD433*MAX(1,AD433/V433),IF(BR433=1,IF(AD433&lt;=0,0,BS433*MAX(1,IF(G433&gt;0,AD433/G433,1))),IF(Q433&gt;0,AE433/Q433,0))/MAX(0.1,N(Parameter!$M$21)))</f>
        <v>0.0833333333333333</v>
      </c>
      <c r="AG433" s="57" t="n">
        <f aca="false">AD433*F433</f>
        <v>76.24</v>
      </c>
      <c r="AH433" s="57" t="n">
        <f aca="false">ROUNDUP(MAX(I433/IF(BV433&gt;0,BV433,MAX(0.1,N(Cockpit!$C$6))),BY433)/BQ433,0)*BQ433</f>
        <v>80</v>
      </c>
      <c r="AI433" s="58" t="n">
        <f aca="false">IF(AF433&gt;0,I433/AF433,-1)</f>
        <v>1548</v>
      </c>
      <c r="AJ433" s="58" t="n">
        <f aca="false">IF(AND(OR(BU433="L1",BU433="L23"),AF433&gt;0),SUMIFS($AF$7:$AF$1576,$BU$7:$BU$1576,BU433,$AI$7:$AI$1576,"&gt;"&amp;AI433)+SUMIFS($AF$7:$AF$1576,$BU$7:$BU$1576,BU433,$AI$7:$AI$1576,AI433,$BO$7:$BO$1576,"&lt;="&amp;BO433),"")</f>
        <v>7.73312523225567</v>
      </c>
      <c r="AK433" s="65" t="n">
        <f aca="false">IF(AJ433="",0,MAX(0,MIN(1,(IF(BU433="L1",Parameter!$E$5,Parameter!$E$6+Parameter!$E$7)-(AJ433-AF433))/AF433)))</f>
        <v>1</v>
      </c>
      <c r="AL433" s="57" t="n">
        <f aca="false">IF(LEFT(Cockpit!$I$5,1)="A",G433,IF(BW433=1,BX433,IF(LEFT(Cockpit!$I$5,1)="B",AP433,MAX(AP433,G433))))</f>
        <v>80</v>
      </c>
      <c r="AM433" s="57" t="n">
        <f aca="false">IF(BR433=1,0,ROUNDUP(AL433/BQ433,0))</f>
        <v>2</v>
      </c>
      <c r="AN433" s="59" t="n">
        <f aca="false">IF(CD433&gt;0,CD433*MAX(1,AL433/V433),IF(BR433=1,IF(AL433&lt;=0,0,BS433*MAX(1,IF(G433&gt;0,AL433/G433,1))),IF(Q433&gt;0,AM433/Q433,0))/MAX(0.1,N(Parameter!$M$21)))</f>
        <v>0.166666666666667</v>
      </c>
      <c r="AO433" s="57" t="n">
        <f aca="false">AL433*F433</f>
        <v>762.4</v>
      </c>
      <c r="AP433" s="57" t="n">
        <f aca="false">ROUNDUP(MAX(I433/IF(BV433&gt;0,BV433,MAX(0.1,N(Cockpit!$I$6))),BY433)/BQ433,0)*BQ433</f>
        <v>80</v>
      </c>
      <c r="AQ433" s="58" t="n">
        <f aca="false">IF(AN433&gt;0,I433/AN433,-1)</f>
        <v>774</v>
      </c>
      <c r="AR433" s="58" t="n">
        <f aca="false">IF(AND(OR(BU433="L1",BU433="L23"),AN433&gt;0),SUMIFS($AN$7:$AN$1576,$BU$7:$BU$1576,BU433,$AQ$7:$AQ$1576,"&gt;"&amp;AQ433)+SUMIFS($AN$7:$AN$1576,$BU$7:$BU$1576,BU433,$AQ$7:$AQ$1576,AQ433,$BO$7:$BO$1576,"&lt;="&amp;BO433),"")</f>
        <v>26.5425076496927</v>
      </c>
      <c r="AS433" s="65" t="n">
        <f aca="false">IF(AR433="",0,MAX(0,MIN(1,(IF(BU433="L1",Parameter!$E$5,Parameter!$E$6+Parameter!$E$7)-(AR433-AN433))/AN433)))</f>
        <v>1</v>
      </c>
      <c r="AT433" s="57" t="n">
        <f aca="false">IF(LEFT(Cockpit!$O$5,1)="A",G433,IF(BW433=1,BX433,IF(LEFT(Cockpit!$O$5,1)="B",AX433,MAX(AX433,G433))))</f>
        <v>80</v>
      </c>
      <c r="AU433" s="57" t="n">
        <f aca="false">IF(BR433=1,0,ROUNDUP(AT433/BQ433,0))</f>
        <v>2</v>
      </c>
      <c r="AV433" s="59" t="n">
        <f aca="false">IF(CD433&gt;0,CD433*MAX(1,AT433/V433),IF(BR433=1,IF(AT433&lt;=0,0,BS433*MAX(1,IF(G433&gt;0,AT433/G433,1))),IF(Q433&gt;0,AU433/Q433,0))/MAX(0.1,N(Parameter!$M$21)))</f>
        <v>0.166666666666667</v>
      </c>
      <c r="AW433" s="57" t="n">
        <f aca="false">AT433*F433</f>
        <v>762.4</v>
      </c>
      <c r="AX433" s="57" t="n">
        <f aca="false">ROUNDUP(MAX(I433/IF(BV433&gt;0,BV433,MAX(0.1,N(Cockpit!$O$6))),BY433)/BQ433,0)*BQ433</f>
        <v>80</v>
      </c>
      <c r="AY433" s="58" t="n">
        <f aca="false">IF(AV433&gt;0,I433/AV433,-1)</f>
        <v>774</v>
      </c>
      <c r="AZ433" s="58" t="n">
        <f aca="false">IF(AND(OR(BU433="L1",BU433="L23"),AV433&gt;0),SUMIFS($AV$7:$AV$1576,$BU$7:$BU$1576,BU433,$AY$7:$AY$1576,"&gt;"&amp;AY433)+SUMIFS($AV$7:$AV$1576,$BU$7:$BU$1576,BU433,$AY$7:$AY$1576,AY433,$BO$7:$BO$1576,"&lt;="&amp;BO433),"")</f>
        <v>26.609523966709</v>
      </c>
      <c r="BA433" s="65" t="n">
        <f aca="false">IF(AZ433="",0,MAX(0,MIN(1,(IF(BU433="L1",Parameter!$E$5,Parameter!$E$6+Parameter!$E$7)-(AZ433-AV433))/AV433)))</f>
        <v>1</v>
      </c>
      <c r="BB433" s="55" t="str">
        <f aca="false">IF(AF433&lt;=0,"",IF(BU433="Aussen","Aussenlager",IF(BU433="-","Nicht im Lift",IF(AK433&gt;=1,"Lift",IF(AK433&lt;=0,"Aussenlager","teilweise")))))</f>
        <v>Lift</v>
      </c>
      <c r="BC433" s="55" t="str">
        <f aca="false">IF(AN433&lt;=0,"",IF(BU433="Aussen","Aussenlager",IF(BU433="-","Nicht im Lift",IF(AS433&gt;=1,"Lift",IF(AS433&lt;=0,"Aussenlager","teilweise")))))</f>
        <v>Lift</v>
      </c>
      <c r="BD433" s="55" t="str">
        <f aca="false">IF(AV433&lt;=0,"",IF(BU433="Aussen","Aussenlager",IF(BU433="-","Nicht im Lift",IF(BA433&gt;=1,"Lift",IF(BA433&lt;=0,"Aussenlager","teilweise")))))</f>
        <v>Lift</v>
      </c>
      <c r="BE433" s="55" t="str">
        <f aca="false">IF(A433="","",IF(BN433=1,"Neu; ","")&amp;IF(AND(BN433=0,BI433&lt;0),"negativer Bestand (Export "&amp;BI433&amp;"); ","")&amp;IF(I433&lt;=0,"Kein Verbrauch; ","")&amp;IF(CD433&gt;0,"Lift "&amp;U433&amp;" lt. Liftbericht (Fach "&amp;V433&amp;" Stk); ",IF(BR433=1,"Lose – Fläche geschätzt; ",""))&amp;IF(G433&gt;AP433,"Überbestand "&amp;ROUND(G433-AP433,0)&amp;" Stk / CHF "&amp;ROUND((G433-AP433)*F433,0)&amp;"; ","")&amp;IF(AND(BW433=1,BX433&lt;BY433),"MAX &lt; MB+LG; ","")&amp;IF(AND(CC433&gt;0,CB433*10&gt;CC433),"zu hoch für Tablar; ","")&amp;IF(AND(BN433=0,OR(BW433=1,Y433&lt;&gt;"",S433&lt;&gt;"",T433&lt;&gt;"",Z433&lt;&gt;"")),"manuell übersteuert; ","")&amp;IF(AND(BR433=0,Q433=0),"Gebinde unbekannt / Stellmass fehlt; ","")&amp;IF(AND(BR433=0,N(T433)&lt;=0,N(P433)&lt;=0),"Menge pro Gebinde fehlt (Ist = 1 Gebinde); ","")&amp;BM433)</f>
        <v/>
      </c>
      <c r="BF433" s="55"/>
      <c r="BG433" s="55"/>
      <c r="BH433" s="62"/>
      <c r="BI433" s="57" t="n">
        <v>8</v>
      </c>
      <c r="BJ433" s="57" t="n">
        <v>11</v>
      </c>
      <c r="BK433" s="56" t="n">
        <v>79.4300000000001</v>
      </c>
      <c r="BL433" s="57" t="n">
        <v>129</v>
      </c>
      <c r="BM433" s="55"/>
      <c r="BN433" s="60" t="n">
        <v>0</v>
      </c>
      <c r="BO433" s="60" t="n">
        <v>433</v>
      </c>
      <c r="BP433" s="55" t="str">
        <f aca="false">IF(S433&lt;&gt;"",UPPER(TRIM(S433)),IF(O433="","LOSE",O433))</f>
        <v>S63</v>
      </c>
      <c r="BQ433" s="57" t="n">
        <f aca="false">IF(BP433="LOSE",1,IF(N(T433)&gt;0,T433,IF(N(P433)&gt;0,P433,MAX(1,G433))))</f>
        <v>40</v>
      </c>
      <c r="BR433" s="60" t="n">
        <f aca="false">IF(BP433="LOSE",1,0)</f>
        <v>0</v>
      </c>
      <c r="BS433" s="59" t="n">
        <f aca="false">IF(BR433=0,0,IF(N(R433)&gt;0,R433,IFERROR(VLOOKUP(D433,Parameter!$A$35:$C$64,3,0)+0,0)))</f>
        <v>0</v>
      </c>
      <c r="BT433" s="55" t="n">
        <f aca="false">IF(Y433&lt;&gt;"",Y433,X433)</f>
        <v>2</v>
      </c>
      <c r="BU433" s="55" t="str">
        <f aca="false">IF(BT433=1,"L1",IF(OR(BT433=2,BT433=3),"L23",IF(BT433="Aussen","Aussen","-")))</f>
        <v>L23</v>
      </c>
      <c r="BV433" s="66" t="n">
        <f aca="false">IF(N(Z433)&gt;0,Z433,0)</f>
        <v>0</v>
      </c>
      <c r="BW433" s="60" t="n">
        <f aca="false">IF(ISNUMBER(AC433),1,0)</f>
        <v>0</v>
      </c>
      <c r="BX433" s="57" t="n">
        <f aca="false">N(AC433)</f>
        <v>0</v>
      </c>
      <c r="BY433" s="57" t="n">
        <f aca="false">N(L433)+N(M433)</f>
        <v>30</v>
      </c>
      <c r="BZ433" s="57" t="n">
        <f aca="false">ROUNDUP(G433/BQ433,0)</f>
        <v>1</v>
      </c>
      <c r="CA433" s="57" t="n">
        <f aca="false">ROUNDUP(BX433/BQ433,0)</f>
        <v>0</v>
      </c>
      <c r="CB433" s="60" t="n">
        <f aca="false">IF(BR433=1,0,IFERROR(VLOOKUP(BP433,'Gebinde-Kategorie'!$A$5:$M$45,5,0)+0,0))</f>
        <v>31</v>
      </c>
      <c r="CC433" s="60" t="n">
        <f aca="false">IFERROR(IF(OR(BT433=1,BT433=2,BT433=3),N(INDEX(Parameter!$I$5:$I$7,BT433)),0),0)</f>
        <v>0</v>
      </c>
      <c r="CD433" s="59" t="n">
        <f aca="false">IF(AND(Parameter!$B$21="Ja",ISNUMBER(U433),N(V433)&gt;0),IFERROR(N(INDEX(Parameter!$L$5:$L$7,U433))*INDEX(Parameter!$E$5:$E$7,U433)*V433/SUMIFS($V$7:$V$1576,$U$7:$U$1576,U433),0),0)</f>
        <v>0</v>
      </c>
    </row>
    <row r="434" customFormat="false" ht="15" hidden="false" customHeight="false" outlineLevel="0" collapsed="false">
      <c r="A434" s="55" t="s">
        <v>981</v>
      </c>
      <c r="B434" s="55" t="s">
        <v>982</v>
      </c>
      <c r="C434" s="55" t="s">
        <v>160</v>
      </c>
      <c r="D434" s="55" t="s">
        <v>178</v>
      </c>
      <c r="E434" s="55" t="s">
        <v>210</v>
      </c>
      <c r="F434" s="56" t="n">
        <v>16.05</v>
      </c>
      <c r="G434" s="57" t="n">
        <f aca="false">MAX(0,IF(AND(Parameter!$B$21="Ja",ISNUMBER(W434)),W434,IF(Parameter!$B$20="Jahresanfang 2025 + Export",BJ434+BI434,BI434)))</f>
        <v>4.91</v>
      </c>
      <c r="H434" s="57" t="n">
        <f aca="false">G434*F434</f>
        <v>78.8055</v>
      </c>
      <c r="I434" s="57" t="n">
        <f aca="false">BL434*Parameter!$B$18</f>
        <v>0</v>
      </c>
      <c r="J434" s="58" t="n">
        <v>0</v>
      </c>
      <c r="K434" s="59" t="n">
        <v>0</v>
      </c>
      <c r="L434" s="57" t="n">
        <v>1</v>
      </c>
      <c r="M434" s="57" t="n">
        <v>5</v>
      </c>
      <c r="N434" s="60" t="n">
        <v>0</v>
      </c>
      <c r="O434" s="55" t="s">
        <v>163</v>
      </c>
      <c r="P434" s="57"/>
      <c r="Q434" s="60" t="n">
        <f aca="false">IF(BR434=1,0,IFERROR(VLOOKUP(BP434,'Gebinde-Kategorie'!$A$5:$M$45,13,0)+0,0))</f>
        <v>0</v>
      </c>
      <c r="R434" s="61"/>
      <c r="S434" s="62"/>
      <c r="T434" s="62"/>
      <c r="U434" s="55"/>
      <c r="V434" s="57"/>
      <c r="W434" s="57"/>
      <c r="X434" s="55" t="n">
        <f aca="false">IF(A434="","",IF(AND(Parameter!$B$21="Ja",ISNUMBER(U434)),U434,IF(IFERROR(VLOOKUP(D434,Parameter!$A$35:$C$64,2,0),"Nein")="2+3",IF(ISNUMBER(SEARCH("grosser Artikel",BM434)),2,IFERROR(VLOOKUP(BP434,Parameter!$F$35:$G$64,2,0),2)),IF(OR(IFERROR(VLOOKUP(D434,Parameter!$A$35:$C$64,2,0),"Nein")="Nein",IFERROR(VLOOKUP(D434,Parameter!$A$35:$C$64,2,0),"Nein")=""),"-",VLOOKUP(D434,Parameter!$A$35:$C$64,2,0)))))</f>
        <v>2</v>
      </c>
      <c r="Y434" s="62"/>
      <c r="Z434" s="63"/>
      <c r="AA434" s="57" t="n">
        <f aca="false">AP434</f>
        <v>6</v>
      </c>
      <c r="AB434" s="57" t="n">
        <f aca="false">MAX(AP434,G434)</f>
        <v>6</v>
      </c>
      <c r="AC434" s="64"/>
      <c r="AD434" s="57" t="n">
        <f aca="false">IF(LEFT(Cockpit!$C$5,1)="A",G434,IF(BW434=1,BX434,IF(LEFT(Cockpit!$C$5,1)="B",AH434,MAX(AH434,G434))))</f>
        <v>4.91</v>
      </c>
      <c r="AE434" s="57" t="n">
        <f aca="false">IF(BR434=1,0,ROUNDUP(AD434/BQ434,0))</f>
        <v>0</v>
      </c>
      <c r="AF434" s="59" t="n">
        <f aca="false">IF(CD434&gt;0,CD434*MAX(1,AD434/V434),IF(BR434=1,IF(AD434&lt;=0,0,BS434*MAX(1,IF(G434&gt;0,AD434/G434,1))),IF(Q434&gt;0,AE434/Q434,0))/MAX(0.1,N(Parameter!$M$21)))</f>
        <v>0.03</v>
      </c>
      <c r="AG434" s="57" t="n">
        <f aca="false">AD434*F434</f>
        <v>78.8055</v>
      </c>
      <c r="AH434" s="57" t="n">
        <f aca="false">ROUNDUP(MAX(I434/IF(BV434&gt;0,BV434,MAX(0.1,N(Cockpit!$C$6))),BY434)/BQ434,0)*BQ434</f>
        <v>6</v>
      </c>
      <c r="AI434" s="58" t="n">
        <f aca="false">IF(AF434&gt;0,I434/AF434,-1)</f>
        <v>0</v>
      </c>
      <c r="AJ434" s="58" t="n">
        <f aca="false">IF(AND(OR(BU434="L1",BU434="L23"),AF434&gt;0),SUMIFS($AF$7:$AF$1576,$BU$7:$BU$1576,BU434,$AI$7:$AI$1576,"&gt;"&amp;AI434)+SUMIFS($AF$7:$AF$1576,$BU$7:$BU$1576,BU434,$AI$7:$AI$1576,AI434,$BO$7:$BO$1576,"&lt;="&amp;BO434),"")</f>
        <v>41.8809732779298</v>
      </c>
      <c r="AK434" s="65" t="n">
        <f aca="false">IF(AJ434="",0,MAX(0,MIN(1,(IF(BU434="L1",Parameter!$E$5,Parameter!$E$6+Parameter!$E$7)-(AJ434-AF434))/AF434)))</f>
        <v>1</v>
      </c>
      <c r="AL434" s="57" t="n">
        <f aca="false">IF(LEFT(Cockpit!$I$5,1)="A",G434,IF(BW434=1,BX434,IF(LEFT(Cockpit!$I$5,1)="B",AP434,MAX(AP434,G434))))</f>
        <v>6</v>
      </c>
      <c r="AM434" s="57" t="n">
        <f aca="false">IF(BR434=1,0,ROUNDUP(AL434/BQ434,0))</f>
        <v>0</v>
      </c>
      <c r="AN434" s="59" t="n">
        <f aca="false">IF(CD434&gt;0,CD434*MAX(1,AL434/V434),IF(BR434=1,IF(AL434&lt;=0,0,BS434*MAX(1,IF(G434&gt;0,AL434/G434,1))),IF(Q434&gt;0,AM434/Q434,0))/MAX(0.1,N(Parameter!$M$21)))</f>
        <v>0.0366598778004073</v>
      </c>
      <c r="AO434" s="57" t="n">
        <f aca="false">AL434*F434</f>
        <v>96.3</v>
      </c>
      <c r="AP434" s="57" t="n">
        <f aca="false">ROUNDUP(MAX(I434/IF(BV434&gt;0,BV434,MAX(0.1,N(Cockpit!$I$6))),BY434)/BQ434,0)*BQ434</f>
        <v>6</v>
      </c>
      <c r="AQ434" s="58" t="n">
        <f aca="false">IF(AN434&gt;0,I434/AN434,-1)</f>
        <v>0</v>
      </c>
      <c r="AR434" s="58" t="n">
        <f aca="false">IF(AND(OR(BU434="L1",BU434="L23"),AN434&gt;0),SUMIFS($AN$7:$AN$1576,$BU$7:$BU$1576,BU434,$AQ$7:$AQ$1576,"&gt;"&amp;AQ434)+SUMIFS($AN$7:$AN$1576,$BU$7:$BU$1576,BU434,$AQ$7:$AQ$1576,AQ434,$BO$7:$BO$1576,"&lt;="&amp;BO434),"")</f>
        <v>124.877759396448</v>
      </c>
      <c r="AS434" s="65" t="n">
        <f aca="false">IF(AR434="",0,MAX(0,MIN(1,(IF(BU434="L1",Parameter!$E$5,Parameter!$E$6+Parameter!$E$7)-(AR434-AN434))/AN434)))</f>
        <v>0</v>
      </c>
      <c r="AT434" s="57" t="n">
        <f aca="false">IF(LEFT(Cockpit!$O$5,1)="A",G434,IF(BW434=1,BX434,IF(LEFT(Cockpit!$O$5,1)="B",AX434,MAX(AX434,G434))))</f>
        <v>6</v>
      </c>
      <c r="AU434" s="57" t="n">
        <f aca="false">IF(BR434=1,0,ROUNDUP(AT434/BQ434,0))</f>
        <v>0</v>
      </c>
      <c r="AV434" s="59" t="n">
        <f aca="false">IF(CD434&gt;0,CD434*MAX(1,AT434/V434),IF(BR434=1,IF(AT434&lt;=0,0,BS434*MAX(1,IF(G434&gt;0,AT434/G434,1))),IF(Q434&gt;0,AU434/Q434,0))/MAX(0.1,N(Parameter!$M$21)))</f>
        <v>0.0366598778004073</v>
      </c>
      <c r="AW434" s="57" t="n">
        <f aca="false">AT434*F434</f>
        <v>96.3</v>
      </c>
      <c r="AX434" s="57" t="n">
        <f aca="false">ROUNDUP(MAX(I434/IF(BV434&gt;0,BV434,MAX(0.1,N(Cockpit!$O$6))),BY434)/BQ434,0)*BQ434</f>
        <v>6</v>
      </c>
      <c r="AY434" s="58" t="n">
        <f aca="false">IF(AV434&gt;0,I434/AV434,-1)</f>
        <v>0</v>
      </c>
      <c r="AZ434" s="58" t="n">
        <f aca="false">IF(AND(OR(BU434="L1",BU434="L23"),AV434&gt;0),SUMIFS($AV$7:$AV$1576,$BU$7:$BU$1576,BU434,$AY$7:$AY$1576,"&gt;"&amp;AY434)+SUMIFS($AV$7:$AV$1576,$BU$7:$BU$1576,BU434,$AY$7:$AY$1576,AY434,$BO$7:$BO$1576,"&lt;="&amp;BO434),"")</f>
        <v>114.937309845999</v>
      </c>
      <c r="BA434" s="65" t="n">
        <f aca="false">IF(AZ434="",0,MAX(0,MIN(1,(IF(BU434="L1",Parameter!$E$5,Parameter!$E$6+Parameter!$E$7)-(AZ434-AV434))/AV434)))</f>
        <v>0</v>
      </c>
      <c r="BB434" s="55" t="str">
        <f aca="false">IF(AF434&lt;=0,"",IF(BU434="Aussen","Aussenlager",IF(BU434="-","Nicht im Lift",IF(AK434&gt;=1,"Lift",IF(AK434&lt;=0,"Aussenlager","teilweise")))))</f>
        <v>Lift</v>
      </c>
      <c r="BC434" s="55" t="str">
        <f aca="false">IF(AN434&lt;=0,"",IF(BU434="Aussen","Aussenlager",IF(BU434="-","Nicht im Lift",IF(AS434&gt;=1,"Lift",IF(AS434&lt;=0,"Aussenlager","teilweise")))))</f>
        <v>Aussenlager</v>
      </c>
      <c r="BD434" s="55" t="str">
        <f aca="false">IF(AV434&lt;=0,"",IF(BU434="Aussen","Aussenlager",IF(BU434="-","Nicht im Lift",IF(BA434&gt;=1,"Lift",IF(BA434&lt;=0,"Aussenlager","teilweise")))))</f>
        <v>Aussenlager</v>
      </c>
      <c r="BE434" s="55" t="str">
        <f aca="false">IF(A434="","",IF(BN434=1,"Neu; ","")&amp;IF(AND(BN434=0,BI434&lt;0),"negativer Bestand (Export "&amp;BI434&amp;"); ","")&amp;IF(I434&lt;=0,"Kein Verbrauch; ","")&amp;IF(CD434&gt;0,"Lift "&amp;U434&amp;" lt. Liftbericht (Fach "&amp;V434&amp;" Stk); ",IF(BR434=1,"Lose – Fläche geschätzt; ",""))&amp;IF(G434&gt;AP434,"Überbestand "&amp;ROUND(G434-AP434,0)&amp;" Stk / CHF "&amp;ROUND((G434-AP434)*F434,0)&amp;"; ","")&amp;IF(AND(BW434=1,BX434&lt;BY434),"MAX &lt; MB+LG; ","")&amp;IF(AND(CC434&gt;0,CB434*10&gt;CC434),"zu hoch für Tablar; ","")&amp;IF(AND(BN434=0,OR(BW434=1,Y434&lt;&gt;"",S434&lt;&gt;"",T434&lt;&gt;"",Z434&lt;&gt;"")),"manuell übersteuert; ","")&amp;IF(AND(BR434=0,Q434=0),"Gebinde unbekannt / Stellmass fehlt; ","")&amp;IF(AND(BR434=0,N(T434)&lt;=0,N(P434)&lt;=0),"Menge pro Gebinde fehlt (Ist = 1 Gebinde); ","")&amp;BM434)</f>
        <v>Kein Verbrauch; Lose – Fläche geschätzt; </v>
      </c>
      <c r="BF434" s="55"/>
      <c r="BG434" s="55"/>
      <c r="BH434" s="62"/>
      <c r="BI434" s="57" t="n">
        <v>4.91</v>
      </c>
      <c r="BJ434" s="57" t="n">
        <v>0</v>
      </c>
      <c r="BK434" s="56" t="n">
        <v>78.81</v>
      </c>
      <c r="BL434" s="57" t="n">
        <v>0</v>
      </c>
      <c r="BM434" s="55"/>
      <c r="BN434" s="60" t="n">
        <v>0</v>
      </c>
      <c r="BO434" s="60" t="n">
        <v>434</v>
      </c>
      <c r="BP434" s="55" t="str">
        <f aca="false">IF(S434&lt;&gt;"",UPPER(TRIM(S434)),IF(O434="","LOSE",O434))</f>
        <v>LOSE</v>
      </c>
      <c r="BQ434" s="57" t="n">
        <f aca="false">IF(BP434="LOSE",1,IF(N(T434)&gt;0,T434,IF(N(P434)&gt;0,P434,MAX(1,G434))))</f>
        <v>1</v>
      </c>
      <c r="BR434" s="60" t="n">
        <f aca="false">IF(BP434="LOSE",1,0)</f>
        <v>1</v>
      </c>
      <c r="BS434" s="59" t="n">
        <f aca="false">IF(BR434=0,0,IF(N(R434)&gt;0,R434,IFERROR(VLOOKUP(D434,Parameter!$A$35:$C$64,3,0)+0,0)))</f>
        <v>0.03</v>
      </c>
      <c r="BT434" s="55" t="n">
        <f aca="false">IF(Y434&lt;&gt;"",Y434,X434)</f>
        <v>2</v>
      </c>
      <c r="BU434" s="55" t="str">
        <f aca="false">IF(BT434=1,"L1",IF(OR(BT434=2,BT434=3),"L23",IF(BT434="Aussen","Aussen","-")))</f>
        <v>L23</v>
      </c>
      <c r="BV434" s="66" t="n">
        <f aca="false">IF(N(Z434)&gt;0,Z434,0)</f>
        <v>0</v>
      </c>
      <c r="BW434" s="60" t="n">
        <f aca="false">IF(ISNUMBER(AC434),1,0)</f>
        <v>0</v>
      </c>
      <c r="BX434" s="57" t="n">
        <f aca="false">N(AC434)</f>
        <v>0</v>
      </c>
      <c r="BY434" s="57" t="n">
        <f aca="false">N(L434)+N(M434)</f>
        <v>6</v>
      </c>
      <c r="BZ434" s="57" t="n">
        <f aca="false">ROUNDUP(G434/BQ434,0)</f>
        <v>5</v>
      </c>
      <c r="CA434" s="57" t="n">
        <f aca="false">ROUNDUP(BX434/BQ434,0)</f>
        <v>0</v>
      </c>
      <c r="CB434" s="60" t="n">
        <f aca="false">IF(BR434=1,0,IFERROR(VLOOKUP(BP434,'Gebinde-Kategorie'!$A$5:$M$45,5,0)+0,0))</f>
        <v>0</v>
      </c>
      <c r="CC434" s="60" t="n">
        <f aca="false">IFERROR(IF(OR(BT434=1,BT434=2,BT434=3),N(INDEX(Parameter!$I$5:$I$7,BT434)),0),0)</f>
        <v>0</v>
      </c>
      <c r="CD434" s="59" t="n">
        <f aca="false">IF(AND(Parameter!$B$21="Ja",ISNUMBER(U434),N(V434)&gt;0),IFERROR(N(INDEX(Parameter!$L$5:$L$7,U434))*INDEX(Parameter!$E$5:$E$7,U434)*V434/SUMIFS($V$7:$V$1576,$U$7:$U$1576,U434),0),0)</f>
        <v>0</v>
      </c>
    </row>
    <row r="435" customFormat="false" ht="15" hidden="false" customHeight="false" outlineLevel="0" collapsed="false">
      <c r="A435" s="55" t="s">
        <v>983</v>
      </c>
      <c r="B435" s="55" t="s">
        <v>397</v>
      </c>
      <c r="C435" s="55" t="s">
        <v>160</v>
      </c>
      <c r="D435" s="55" t="s">
        <v>984</v>
      </c>
      <c r="E435" s="55" t="s">
        <v>210</v>
      </c>
      <c r="F435" s="56" t="n">
        <v>1.96</v>
      </c>
      <c r="G435" s="57" t="n">
        <f aca="false">MAX(0,IF(AND(Parameter!$B$21="Ja",ISNUMBER(W435)),W435,IF(Parameter!$B$20="Jahresanfang 2025 + Export",BJ435+BI435,BI435)))</f>
        <v>40</v>
      </c>
      <c r="H435" s="57" t="n">
        <f aca="false">G435*F435</f>
        <v>78.4</v>
      </c>
      <c r="I435" s="57" t="n">
        <f aca="false">BL435*Parameter!$B$18</f>
        <v>60</v>
      </c>
      <c r="J435" s="58" t="n">
        <v>20</v>
      </c>
      <c r="K435" s="59" t="n">
        <v>3</v>
      </c>
      <c r="L435" s="57" t="n">
        <v>0</v>
      </c>
      <c r="M435" s="57" t="n">
        <v>100</v>
      </c>
      <c r="N435" s="60" t="n">
        <v>28</v>
      </c>
      <c r="O435" s="55" t="s">
        <v>163</v>
      </c>
      <c r="P435" s="57"/>
      <c r="Q435" s="60" t="n">
        <f aca="false">IF(BR435=1,0,IFERROR(VLOOKUP(BP435,'Gebinde-Kategorie'!$A$5:$M$45,13,0)+0,0))</f>
        <v>0</v>
      </c>
      <c r="R435" s="61"/>
      <c r="S435" s="62"/>
      <c r="T435" s="62"/>
      <c r="U435" s="55"/>
      <c r="V435" s="57"/>
      <c r="W435" s="57"/>
      <c r="X435" s="55" t="str">
        <f aca="false">IF(A435="","",IF(AND(Parameter!$B$21="Ja",ISNUMBER(U435)),U435,IF(IFERROR(VLOOKUP(D435,Parameter!$A$35:$C$64,2,0),"Nein")="2+3",IF(ISNUMBER(SEARCH("grosser Artikel",BM435)),2,IFERROR(VLOOKUP(BP435,Parameter!$F$35:$G$64,2,0),2)),IF(OR(IFERROR(VLOOKUP(D435,Parameter!$A$35:$C$64,2,0),"Nein")="Nein",IFERROR(VLOOKUP(D435,Parameter!$A$35:$C$64,2,0),"Nein")=""),"-",VLOOKUP(D435,Parameter!$A$35:$C$64,2,0)))))</f>
        <v>-</v>
      </c>
      <c r="Y435" s="62"/>
      <c r="Z435" s="63"/>
      <c r="AA435" s="57" t="n">
        <f aca="false">AP435</f>
        <v>100</v>
      </c>
      <c r="AB435" s="57" t="n">
        <f aca="false">MAX(AP435,G435)</f>
        <v>100</v>
      </c>
      <c r="AC435" s="64"/>
      <c r="AD435" s="57" t="n">
        <f aca="false">IF(LEFT(Cockpit!$C$5,1)="A",G435,IF(BW435=1,BX435,IF(LEFT(Cockpit!$C$5,1)="B",AH435,MAX(AH435,G435))))</f>
        <v>40</v>
      </c>
      <c r="AE435" s="57" t="n">
        <f aca="false">IF(BR435=1,0,ROUNDUP(AD435/BQ435,0))</f>
        <v>0</v>
      </c>
      <c r="AF435" s="59" t="n">
        <f aca="false">IF(CD435&gt;0,CD435*MAX(1,AD435/V435),IF(BR435=1,IF(AD435&lt;=0,0,BS435*MAX(1,IF(G435&gt;0,AD435/G435,1))),IF(Q435&gt;0,AE435/Q435,0))/MAX(0.1,N(Parameter!$M$21)))</f>
        <v>0.15</v>
      </c>
      <c r="AG435" s="57" t="n">
        <f aca="false">AD435*F435</f>
        <v>78.4</v>
      </c>
      <c r="AH435" s="57" t="n">
        <f aca="false">ROUNDUP(MAX(I435/IF(BV435&gt;0,BV435,MAX(0.1,N(Cockpit!$C$6))),BY435)/BQ435,0)*BQ435</f>
        <v>100</v>
      </c>
      <c r="AI435" s="58" t="n">
        <f aca="false">IF(AF435&gt;0,I435/AF435,-1)</f>
        <v>400</v>
      </c>
      <c r="AJ435" s="58" t="str">
        <f aca="false">IF(AND(OR(BU435="L1",BU435="L23"),AF435&gt;0),SUMIFS($AF$7:$AF$1576,$BU$7:$BU$1576,BU435,$AI$7:$AI$1576,"&gt;"&amp;AI435)+SUMIFS($AF$7:$AF$1576,$BU$7:$BU$1576,BU435,$AI$7:$AI$1576,AI435,$BO$7:$BO$1576,"&lt;="&amp;BO435),"")</f>
        <v/>
      </c>
      <c r="AK435" s="65" t="n">
        <f aca="false">IF(AJ435="",0,MAX(0,MIN(1,(IF(BU435="L1",Parameter!$E$5,Parameter!$E$6+Parameter!$E$7)-(AJ435-AF435))/AF435)))</f>
        <v>0</v>
      </c>
      <c r="AL435" s="57" t="n">
        <f aca="false">IF(LEFT(Cockpit!$I$5,1)="A",G435,IF(BW435=1,BX435,IF(LEFT(Cockpit!$I$5,1)="B",AP435,MAX(AP435,G435))))</f>
        <v>100</v>
      </c>
      <c r="AM435" s="57" t="n">
        <f aca="false">IF(BR435=1,0,ROUNDUP(AL435/BQ435,0))</f>
        <v>0</v>
      </c>
      <c r="AN435" s="59" t="n">
        <f aca="false">IF(CD435&gt;0,CD435*MAX(1,AL435/V435),IF(BR435=1,IF(AL435&lt;=0,0,BS435*MAX(1,IF(G435&gt;0,AL435/G435,1))),IF(Q435&gt;0,AM435/Q435,0))/MAX(0.1,N(Parameter!$M$21)))</f>
        <v>0.375</v>
      </c>
      <c r="AO435" s="57" t="n">
        <f aca="false">AL435*F435</f>
        <v>196</v>
      </c>
      <c r="AP435" s="57" t="n">
        <f aca="false">ROUNDUP(MAX(I435/IF(BV435&gt;0,BV435,MAX(0.1,N(Cockpit!$I$6))),BY435)/BQ435,0)*BQ435</f>
        <v>100</v>
      </c>
      <c r="AQ435" s="58" t="n">
        <f aca="false">IF(AN435&gt;0,I435/AN435,-1)</f>
        <v>160</v>
      </c>
      <c r="AR435" s="58" t="str">
        <f aca="false">IF(AND(OR(BU435="L1",BU435="L23"),AN435&gt;0),SUMIFS($AN$7:$AN$1576,$BU$7:$BU$1576,BU435,$AQ$7:$AQ$1576,"&gt;"&amp;AQ435)+SUMIFS($AN$7:$AN$1576,$BU$7:$BU$1576,BU435,$AQ$7:$AQ$1576,AQ435,$BO$7:$BO$1576,"&lt;="&amp;BO435),"")</f>
        <v/>
      </c>
      <c r="AS435" s="65" t="n">
        <f aca="false">IF(AR435="",0,MAX(0,MIN(1,(IF(BU435="L1",Parameter!$E$5,Parameter!$E$6+Parameter!$E$7)-(AR435-AN435))/AN435)))</f>
        <v>0</v>
      </c>
      <c r="AT435" s="57" t="n">
        <f aca="false">IF(LEFT(Cockpit!$O$5,1)="A",G435,IF(BW435=1,BX435,IF(LEFT(Cockpit!$O$5,1)="B",AX435,MAX(AX435,G435))))</f>
        <v>100</v>
      </c>
      <c r="AU435" s="57" t="n">
        <f aca="false">IF(BR435=1,0,ROUNDUP(AT435/BQ435,0))</f>
        <v>0</v>
      </c>
      <c r="AV435" s="59" t="n">
        <f aca="false">IF(CD435&gt;0,CD435*MAX(1,AT435/V435),IF(BR435=1,IF(AT435&lt;=0,0,BS435*MAX(1,IF(G435&gt;0,AT435/G435,1))),IF(Q435&gt;0,AU435/Q435,0))/MAX(0.1,N(Parameter!$M$21)))</f>
        <v>0.375</v>
      </c>
      <c r="AW435" s="57" t="n">
        <f aca="false">AT435*F435</f>
        <v>196</v>
      </c>
      <c r="AX435" s="57" t="n">
        <f aca="false">ROUNDUP(MAX(I435/IF(BV435&gt;0,BV435,MAX(0.1,N(Cockpit!$O$6))),BY435)/BQ435,0)*BQ435</f>
        <v>100</v>
      </c>
      <c r="AY435" s="58" t="n">
        <f aca="false">IF(AV435&gt;0,I435/AV435,-1)</f>
        <v>160</v>
      </c>
      <c r="AZ435" s="58" t="str">
        <f aca="false">IF(AND(OR(BU435="L1",BU435="L23"),AV435&gt;0),SUMIFS($AV$7:$AV$1576,$BU$7:$BU$1576,BU435,$AY$7:$AY$1576,"&gt;"&amp;AY435)+SUMIFS($AV$7:$AV$1576,$BU$7:$BU$1576,BU435,$AY$7:$AY$1576,AY435,$BO$7:$BO$1576,"&lt;="&amp;BO435),"")</f>
        <v/>
      </c>
      <c r="BA435" s="65" t="n">
        <f aca="false">IF(AZ435="",0,MAX(0,MIN(1,(IF(BU435="L1",Parameter!$E$5,Parameter!$E$6+Parameter!$E$7)-(AZ435-AV435))/AV435)))</f>
        <v>0</v>
      </c>
      <c r="BB435" s="55" t="str">
        <f aca="false">IF(AF435&lt;=0,"",IF(BU435="Aussen","Aussenlager",IF(BU435="-","Nicht im Lift",IF(AK435&gt;=1,"Lift",IF(AK435&lt;=0,"Aussenlager","teilweise")))))</f>
        <v>Nicht im Lift</v>
      </c>
      <c r="BC435" s="55" t="str">
        <f aca="false">IF(AN435&lt;=0,"",IF(BU435="Aussen","Aussenlager",IF(BU435="-","Nicht im Lift",IF(AS435&gt;=1,"Lift",IF(AS435&lt;=0,"Aussenlager","teilweise")))))</f>
        <v>Nicht im Lift</v>
      </c>
      <c r="BD435" s="55" t="str">
        <f aca="false">IF(AV435&lt;=0,"",IF(BU435="Aussen","Aussenlager",IF(BU435="-","Nicht im Lift",IF(BA435&gt;=1,"Lift",IF(BA435&lt;=0,"Aussenlager","teilweise")))))</f>
        <v>Nicht im Lift</v>
      </c>
      <c r="BE435" s="55" t="str">
        <f aca="false">IF(A435="","",IF(BN435=1,"Neu; ","")&amp;IF(AND(BN435=0,BI435&lt;0),"negativer Bestand (Export "&amp;BI435&amp;"); ","")&amp;IF(I435&lt;=0,"Kein Verbrauch; ","")&amp;IF(CD435&gt;0,"Lift "&amp;U435&amp;" lt. Liftbericht (Fach "&amp;V435&amp;" Stk); ",IF(BR435=1,"Lose – Fläche geschätzt; ",""))&amp;IF(G435&gt;AP435,"Überbestand "&amp;ROUND(G435-AP435,0)&amp;" Stk / CHF "&amp;ROUND((G435-AP435)*F435,0)&amp;"; ","")&amp;IF(AND(BW435=1,BX435&lt;BY435),"MAX &lt; MB+LG; ","")&amp;IF(AND(CC435&gt;0,CB435*10&gt;CC435),"zu hoch für Tablar; ","")&amp;IF(AND(BN435=0,OR(BW435=1,Y435&lt;&gt;"",S435&lt;&gt;"",T435&lt;&gt;"",Z435&lt;&gt;"")),"manuell übersteuert; ","")&amp;IF(AND(BR435=0,Q435=0),"Gebinde unbekannt / Stellmass fehlt; ","")&amp;IF(AND(BR435=0,N(T435)&lt;=0,N(P435)&lt;=0),"Menge pro Gebinde fehlt (Ist = 1 Gebinde); ","")&amp;BM435)</f>
        <v>Lose – Fläche geschätzt; </v>
      </c>
      <c r="BF435" s="55"/>
      <c r="BG435" s="55"/>
      <c r="BH435" s="62"/>
      <c r="BI435" s="57" t="n">
        <v>40</v>
      </c>
      <c r="BJ435" s="57" t="n">
        <v>0</v>
      </c>
      <c r="BK435" s="56" t="n">
        <v>78.4</v>
      </c>
      <c r="BL435" s="57" t="n">
        <v>60</v>
      </c>
      <c r="BM435" s="55"/>
      <c r="BN435" s="60" t="n">
        <v>0</v>
      </c>
      <c r="BO435" s="60" t="n">
        <v>435</v>
      </c>
      <c r="BP435" s="55" t="str">
        <f aca="false">IF(S435&lt;&gt;"",UPPER(TRIM(S435)),IF(O435="","LOSE",O435))</f>
        <v>LOSE</v>
      </c>
      <c r="BQ435" s="57" t="n">
        <f aca="false">IF(BP435="LOSE",1,IF(N(T435)&gt;0,T435,IF(N(P435)&gt;0,P435,MAX(1,G435))))</f>
        <v>1</v>
      </c>
      <c r="BR435" s="60" t="n">
        <f aca="false">IF(BP435="LOSE",1,0)</f>
        <v>1</v>
      </c>
      <c r="BS435" s="59" t="n">
        <f aca="false">IF(BR435=0,0,IF(N(R435)&gt;0,R435,IFERROR(VLOOKUP(D435,Parameter!$A$35:$C$64,3,0)+0,0)))</f>
        <v>0.15</v>
      </c>
      <c r="BT435" s="55" t="str">
        <f aca="false">IF(Y435&lt;&gt;"",Y435,X435)</f>
        <v>-</v>
      </c>
      <c r="BU435" s="55" t="str">
        <f aca="false">IF(BT435=1,"L1",IF(OR(BT435=2,BT435=3),"L23",IF(BT435="Aussen","Aussen","-")))</f>
        <v>-</v>
      </c>
      <c r="BV435" s="66" t="n">
        <f aca="false">IF(N(Z435)&gt;0,Z435,0)</f>
        <v>0</v>
      </c>
      <c r="BW435" s="60" t="n">
        <f aca="false">IF(ISNUMBER(AC435),1,0)</f>
        <v>0</v>
      </c>
      <c r="BX435" s="57" t="n">
        <f aca="false">N(AC435)</f>
        <v>0</v>
      </c>
      <c r="BY435" s="57" t="n">
        <f aca="false">N(L435)+N(M435)</f>
        <v>100</v>
      </c>
      <c r="BZ435" s="57" t="n">
        <f aca="false">ROUNDUP(G435/BQ435,0)</f>
        <v>40</v>
      </c>
      <c r="CA435" s="57" t="n">
        <f aca="false">ROUNDUP(BX435/BQ435,0)</f>
        <v>0</v>
      </c>
      <c r="CB435" s="60" t="n">
        <f aca="false">IF(BR435=1,0,IFERROR(VLOOKUP(BP435,'Gebinde-Kategorie'!$A$5:$M$45,5,0)+0,0))</f>
        <v>0</v>
      </c>
      <c r="CC435" s="60" t="n">
        <f aca="false">IFERROR(IF(OR(BT435=1,BT435=2,BT435=3),N(INDEX(Parameter!$I$5:$I$7,BT435)),0),0)</f>
        <v>0</v>
      </c>
      <c r="CD435" s="59" t="n">
        <f aca="false">IF(AND(Parameter!$B$21="Ja",ISNUMBER(U435),N(V435)&gt;0),IFERROR(N(INDEX(Parameter!$L$5:$L$7,U435))*INDEX(Parameter!$E$5:$E$7,U435)*V435/SUMIFS($V$7:$V$1576,$U$7:$U$1576,U435),0),0)</f>
        <v>0</v>
      </c>
    </row>
    <row r="436" customFormat="false" ht="15" hidden="false" customHeight="false" outlineLevel="0" collapsed="false">
      <c r="A436" s="55" t="s">
        <v>985</v>
      </c>
      <c r="B436" s="55" t="s">
        <v>844</v>
      </c>
      <c r="C436" s="55" t="s">
        <v>160</v>
      </c>
      <c r="D436" s="55" t="s">
        <v>178</v>
      </c>
      <c r="E436" s="55" t="s">
        <v>210</v>
      </c>
      <c r="F436" s="56" t="n">
        <v>0.02</v>
      </c>
      <c r="G436" s="57" t="n">
        <f aca="false">MAX(0,IF(AND(Parameter!$B$21="Ja",ISNUMBER(W436)),W436,IF(Parameter!$B$20="Jahresanfang 2025 + Export",BJ436+BI436,BI436)))</f>
        <v>3895</v>
      </c>
      <c r="H436" s="57" t="n">
        <f aca="false">G436*F436</f>
        <v>77.9</v>
      </c>
      <c r="I436" s="57" t="n">
        <f aca="false">BL436*Parameter!$B$18</f>
        <v>105</v>
      </c>
      <c r="J436" s="58" t="n">
        <v>52.5</v>
      </c>
      <c r="K436" s="59" t="n">
        <v>2</v>
      </c>
      <c r="L436" s="57" t="n">
        <v>100</v>
      </c>
      <c r="M436" s="57" t="n">
        <v>1000</v>
      </c>
      <c r="N436" s="60" t="n">
        <v>14</v>
      </c>
      <c r="O436" s="55" t="s">
        <v>319</v>
      </c>
      <c r="P436" s="57" t="n">
        <v>2000</v>
      </c>
      <c r="Q436" s="60" t="n">
        <f aca="false">IF(BR436=1,0,IFERROR(VLOOKUP(BP436,'Gebinde-Kategorie'!$A$5:$M$45,13,0)+0,0))</f>
        <v>52</v>
      </c>
      <c r="R436" s="61"/>
      <c r="S436" s="62"/>
      <c r="T436" s="62"/>
      <c r="U436" s="55"/>
      <c r="V436" s="57"/>
      <c r="W436" s="57"/>
      <c r="X436" s="55" t="n">
        <f aca="false">IF(A436="","",IF(AND(Parameter!$B$21="Ja",ISNUMBER(U436)),U436,IF(IFERROR(VLOOKUP(D436,Parameter!$A$35:$C$64,2,0),"Nein")="2+3",IF(ISNUMBER(SEARCH("grosser Artikel",BM436)),2,IFERROR(VLOOKUP(BP436,Parameter!$F$35:$G$64,2,0),2)),IF(OR(IFERROR(VLOOKUP(D436,Parameter!$A$35:$C$64,2,0),"Nein")="Nein",IFERROR(VLOOKUP(D436,Parameter!$A$35:$C$64,2,0),"Nein")=""),"-",VLOOKUP(D436,Parameter!$A$35:$C$64,2,0)))))</f>
        <v>3</v>
      </c>
      <c r="Y436" s="62"/>
      <c r="Z436" s="63"/>
      <c r="AA436" s="57" t="n">
        <f aca="false">AP436</f>
        <v>2000</v>
      </c>
      <c r="AB436" s="57" t="n">
        <f aca="false">MAX(AP436,G436)</f>
        <v>3895</v>
      </c>
      <c r="AC436" s="64"/>
      <c r="AD436" s="57" t="n">
        <f aca="false">IF(LEFT(Cockpit!$C$5,1)="A",G436,IF(BW436=1,BX436,IF(LEFT(Cockpit!$C$5,1)="B",AH436,MAX(AH436,G436))))</f>
        <v>3895</v>
      </c>
      <c r="AE436" s="57" t="n">
        <f aca="false">IF(BR436=1,0,ROUNDUP(AD436/BQ436,0))</f>
        <v>2</v>
      </c>
      <c r="AF436" s="59" t="n">
        <f aca="false">IF(CD436&gt;0,CD436*MAX(1,AD436/V436),IF(BR436=1,IF(AD436&lt;=0,0,BS436*MAX(1,IF(G436&gt;0,AD436/G436,1))),IF(Q436&gt;0,AE436/Q436,0))/MAX(0.1,N(Parameter!$M$21)))</f>
        <v>0.0384615384615385</v>
      </c>
      <c r="AG436" s="57" t="n">
        <f aca="false">AD436*F436</f>
        <v>77.9</v>
      </c>
      <c r="AH436" s="57" t="n">
        <f aca="false">ROUNDUP(MAX(I436/IF(BV436&gt;0,BV436,MAX(0.1,N(Cockpit!$C$6))),BY436)/BQ436,0)*BQ436</f>
        <v>2000</v>
      </c>
      <c r="AI436" s="58" t="n">
        <f aca="false">IF(AF436&gt;0,I436/AF436,-1)</f>
        <v>2730</v>
      </c>
      <c r="AJ436" s="58" t="n">
        <f aca="false">IF(AND(OR(BU436="L1",BU436="L23"),AF436&gt;0),SUMIFS($AF$7:$AF$1576,$BU$7:$BU$1576,BU436,$AI$7:$AI$1576,"&gt;"&amp;AI436)+SUMIFS($AF$7:$AF$1576,$BU$7:$BU$1576,BU436,$AI$7:$AI$1576,AI436,$BO$7:$BO$1576,"&lt;="&amp;BO436),"")</f>
        <v>5.32845478193304</v>
      </c>
      <c r="AK436" s="65" t="n">
        <f aca="false">IF(AJ436="",0,MAX(0,MIN(1,(IF(BU436="L1",Parameter!$E$5,Parameter!$E$6+Parameter!$E$7)-(AJ436-AF436))/AF436)))</f>
        <v>1</v>
      </c>
      <c r="AL436" s="57" t="n">
        <f aca="false">IF(LEFT(Cockpit!$I$5,1)="A",G436,IF(BW436=1,BX436,IF(LEFT(Cockpit!$I$5,1)="B",AP436,MAX(AP436,G436))))</f>
        <v>3895</v>
      </c>
      <c r="AM436" s="57" t="n">
        <f aca="false">IF(BR436=1,0,ROUNDUP(AL436/BQ436,0))</f>
        <v>2</v>
      </c>
      <c r="AN436" s="59" t="n">
        <f aca="false">IF(CD436&gt;0,CD436*MAX(1,AL436/V436),IF(BR436=1,IF(AL436&lt;=0,0,BS436*MAX(1,IF(G436&gt;0,AL436/G436,1))),IF(Q436&gt;0,AM436/Q436,0))/MAX(0.1,N(Parameter!$M$21)))</f>
        <v>0.0384615384615385</v>
      </c>
      <c r="AO436" s="57" t="n">
        <f aca="false">AL436*F436</f>
        <v>77.9</v>
      </c>
      <c r="AP436" s="57" t="n">
        <f aca="false">ROUNDUP(MAX(I436/IF(BV436&gt;0,BV436,MAX(0.1,N(Cockpit!$I$6))),BY436)/BQ436,0)*BQ436</f>
        <v>2000</v>
      </c>
      <c r="AQ436" s="58" t="n">
        <f aca="false">IF(AN436&gt;0,I436/AN436,-1)</f>
        <v>2730</v>
      </c>
      <c r="AR436" s="58" t="n">
        <f aca="false">IF(AND(OR(BU436="L1",BU436="L23"),AN436&gt;0),SUMIFS($AN$7:$AN$1576,$BU$7:$BU$1576,BU436,$AQ$7:$AQ$1576,"&gt;"&amp;AQ436)+SUMIFS($AN$7:$AN$1576,$BU$7:$BU$1576,BU436,$AQ$7:$AQ$1576,AQ436,$BO$7:$BO$1576,"&lt;="&amp;BO436),"")</f>
        <v>14.8288925813317</v>
      </c>
      <c r="AS436" s="65" t="n">
        <f aca="false">IF(AR436="",0,MAX(0,MIN(1,(IF(BU436="L1",Parameter!$E$5,Parameter!$E$6+Parameter!$E$7)-(AR436-AN436))/AN436)))</f>
        <v>1</v>
      </c>
      <c r="AT436" s="57" t="n">
        <f aca="false">IF(LEFT(Cockpit!$O$5,1)="A",G436,IF(BW436=1,BX436,IF(LEFT(Cockpit!$O$5,1)="B",AX436,MAX(AX436,G436))))</f>
        <v>3895</v>
      </c>
      <c r="AU436" s="57" t="n">
        <f aca="false">IF(BR436=1,0,ROUNDUP(AT436/BQ436,0))</f>
        <v>2</v>
      </c>
      <c r="AV436" s="59" t="n">
        <f aca="false">IF(CD436&gt;0,CD436*MAX(1,AT436/V436),IF(BR436=1,IF(AT436&lt;=0,0,BS436*MAX(1,IF(G436&gt;0,AT436/G436,1))),IF(Q436&gt;0,AU436/Q436,0))/MAX(0.1,N(Parameter!$M$21)))</f>
        <v>0.0384615384615385</v>
      </c>
      <c r="AW436" s="57" t="n">
        <f aca="false">AT436*F436</f>
        <v>77.9</v>
      </c>
      <c r="AX436" s="57" t="n">
        <f aca="false">ROUNDUP(MAX(I436/IF(BV436&gt;0,BV436,MAX(0.1,N(Cockpit!$O$6))),BY436)/BQ436,0)*BQ436</f>
        <v>2000</v>
      </c>
      <c r="AY436" s="58" t="n">
        <f aca="false">IF(AV436&gt;0,I436/AV436,-1)</f>
        <v>2730</v>
      </c>
      <c r="AZ436" s="58" t="n">
        <f aca="false">IF(AND(OR(BU436="L1",BU436="L23"),AV436&gt;0),SUMIFS($AV$7:$AV$1576,$BU$7:$BU$1576,BU436,$AY$7:$AY$1576,"&gt;"&amp;AY436)+SUMIFS($AV$7:$AV$1576,$BU$7:$BU$1576,BU436,$AY$7:$AY$1576,AY436,$BO$7:$BO$1576,"&lt;="&amp;BO436),"")</f>
        <v>13.6330883855275</v>
      </c>
      <c r="BA436" s="65" t="n">
        <f aca="false">IF(AZ436="",0,MAX(0,MIN(1,(IF(BU436="L1",Parameter!$E$5,Parameter!$E$6+Parameter!$E$7)-(AZ436-AV436))/AV436)))</f>
        <v>1</v>
      </c>
      <c r="BB436" s="55" t="str">
        <f aca="false">IF(AF436&lt;=0,"",IF(BU436="Aussen","Aussenlager",IF(BU436="-","Nicht im Lift",IF(AK436&gt;=1,"Lift",IF(AK436&lt;=0,"Aussenlager","teilweise")))))</f>
        <v>Lift</v>
      </c>
      <c r="BC436" s="55" t="str">
        <f aca="false">IF(AN436&lt;=0,"",IF(BU436="Aussen","Aussenlager",IF(BU436="-","Nicht im Lift",IF(AS436&gt;=1,"Lift",IF(AS436&lt;=0,"Aussenlager","teilweise")))))</f>
        <v>Lift</v>
      </c>
      <c r="BD436" s="55" t="str">
        <f aca="false">IF(AV436&lt;=0,"",IF(BU436="Aussen","Aussenlager",IF(BU436="-","Nicht im Lift",IF(BA436&gt;=1,"Lift",IF(BA436&lt;=0,"Aussenlager","teilweise")))))</f>
        <v>Lift</v>
      </c>
      <c r="BE436" s="55" t="str">
        <f aca="false">IF(A436="","",IF(BN436=1,"Neu; ","")&amp;IF(AND(BN436=0,BI436&lt;0),"negativer Bestand (Export "&amp;BI436&amp;"); ","")&amp;IF(I436&lt;=0,"Kein Verbrauch; ","")&amp;IF(CD436&gt;0,"Lift "&amp;U436&amp;" lt. Liftbericht (Fach "&amp;V436&amp;" Stk); ",IF(BR436=1,"Lose – Fläche geschätzt; ",""))&amp;IF(G436&gt;AP436,"Überbestand "&amp;ROUND(G436-AP436,0)&amp;" Stk / CHF "&amp;ROUND((G436-AP436)*F436,0)&amp;"; ","")&amp;IF(AND(BW436=1,BX436&lt;BY436),"MAX &lt; MB+LG; ","")&amp;IF(AND(CC436&gt;0,CB436*10&gt;CC436),"zu hoch für Tablar; ","")&amp;IF(AND(BN436=0,OR(BW436=1,Y436&lt;&gt;"",S436&lt;&gt;"",T436&lt;&gt;"",Z436&lt;&gt;"")),"manuell übersteuert; ","")&amp;IF(AND(BR436=0,Q436=0),"Gebinde unbekannt / Stellmass fehlt; ","")&amp;IF(AND(BR436=0,N(T436)&lt;=0,N(P436)&lt;=0),"Menge pro Gebinde fehlt (Ist = 1 Gebinde); ","")&amp;BM436)</f>
        <v>Überbestand 1895 Stk / CHF 38; </v>
      </c>
      <c r="BF436" s="55"/>
      <c r="BG436" s="55"/>
      <c r="BH436" s="62"/>
      <c r="BI436" s="57" t="n">
        <v>3895</v>
      </c>
      <c r="BJ436" s="57" t="n">
        <v>105</v>
      </c>
      <c r="BK436" s="56" t="n">
        <v>77.9</v>
      </c>
      <c r="BL436" s="57" t="n">
        <v>105</v>
      </c>
      <c r="BM436" s="55"/>
      <c r="BN436" s="60" t="n">
        <v>0</v>
      </c>
      <c r="BO436" s="60" t="n">
        <v>436</v>
      </c>
      <c r="BP436" s="55" t="str">
        <f aca="false">IF(S436&lt;&gt;"",UPPER(TRIM(S436)),IF(O436="","LOSE",O436))</f>
        <v>S41</v>
      </c>
      <c r="BQ436" s="57" t="n">
        <f aca="false">IF(BP436="LOSE",1,IF(N(T436)&gt;0,T436,IF(N(P436)&gt;0,P436,MAX(1,G436))))</f>
        <v>2000</v>
      </c>
      <c r="BR436" s="60" t="n">
        <f aca="false">IF(BP436="LOSE",1,0)</f>
        <v>0</v>
      </c>
      <c r="BS436" s="59" t="n">
        <f aca="false">IF(BR436=0,0,IF(N(R436)&gt;0,R436,IFERROR(VLOOKUP(D436,Parameter!$A$35:$C$64,3,0)+0,0)))</f>
        <v>0</v>
      </c>
      <c r="BT436" s="55" t="n">
        <f aca="false">IF(Y436&lt;&gt;"",Y436,X436)</f>
        <v>3</v>
      </c>
      <c r="BU436" s="55" t="str">
        <f aca="false">IF(BT436=1,"L1",IF(OR(BT436=2,BT436=3),"L23",IF(BT436="Aussen","Aussen","-")))</f>
        <v>L23</v>
      </c>
      <c r="BV436" s="66" t="n">
        <f aca="false">IF(N(Z436)&gt;0,Z436,0)</f>
        <v>0</v>
      </c>
      <c r="BW436" s="60" t="n">
        <f aca="false">IF(ISNUMBER(AC436),1,0)</f>
        <v>0</v>
      </c>
      <c r="BX436" s="57" t="n">
        <f aca="false">N(AC436)</f>
        <v>0</v>
      </c>
      <c r="BY436" s="57" t="n">
        <f aca="false">N(L436)+N(M436)</f>
        <v>1100</v>
      </c>
      <c r="BZ436" s="57" t="n">
        <f aca="false">ROUNDUP(G436/BQ436,0)</f>
        <v>2</v>
      </c>
      <c r="CA436" s="57" t="n">
        <f aca="false">ROUNDUP(BX436/BQ436,0)</f>
        <v>0</v>
      </c>
      <c r="CB436" s="60" t="n">
        <f aca="false">IF(BR436=1,0,IFERROR(VLOOKUP(BP436,'Gebinde-Kategorie'!$A$5:$M$45,5,0)+0,0))</f>
        <v>11</v>
      </c>
      <c r="CC436" s="60" t="n">
        <f aca="false">IFERROR(IF(OR(BT436=1,BT436=2,BT436=3),N(INDEX(Parameter!$I$5:$I$7,BT436)),0),0)</f>
        <v>0</v>
      </c>
      <c r="CD436" s="59" t="n">
        <f aca="false">IF(AND(Parameter!$B$21="Ja",ISNUMBER(U436),N(V436)&gt;0),IFERROR(N(INDEX(Parameter!$L$5:$L$7,U436))*INDEX(Parameter!$E$5:$E$7,U436)*V436/SUMIFS($V$7:$V$1576,$U$7:$U$1576,U436),0),0)</f>
        <v>0</v>
      </c>
    </row>
    <row r="437" customFormat="false" ht="15" hidden="false" customHeight="false" outlineLevel="0" collapsed="false">
      <c r="A437" s="55" t="s">
        <v>986</v>
      </c>
      <c r="B437" s="55" t="s">
        <v>987</v>
      </c>
      <c r="C437" s="55" t="s">
        <v>160</v>
      </c>
      <c r="D437" s="55" t="s">
        <v>178</v>
      </c>
      <c r="E437" s="55" t="s">
        <v>210</v>
      </c>
      <c r="F437" s="56" t="n">
        <v>13.18</v>
      </c>
      <c r="G437" s="57" t="n">
        <f aca="false">MAX(0,IF(AND(Parameter!$B$21="Ja",ISNUMBER(W437)),W437,IF(Parameter!$B$20="Jahresanfang 2025 + Export",BJ437+BI437,BI437)))</f>
        <v>5</v>
      </c>
      <c r="H437" s="57" t="n">
        <f aca="false">G437*F437</f>
        <v>65.9</v>
      </c>
      <c r="I437" s="57" t="n">
        <f aca="false">BL437*Parameter!$B$18</f>
        <v>30</v>
      </c>
      <c r="J437" s="58" t="n">
        <v>27</v>
      </c>
      <c r="K437" s="59" t="n">
        <v>1.11111111111111</v>
      </c>
      <c r="L437" s="57" t="n">
        <v>2</v>
      </c>
      <c r="M437" s="57" t="n">
        <v>30</v>
      </c>
      <c r="N437" s="60" t="n">
        <v>35</v>
      </c>
      <c r="O437" s="55" t="s">
        <v>179</v>
      </c>
      <c r="P437" s="57" t="n">
        <v>25</v>
      </c>
      <c r="Q437" s="60" t="n">
        <f aca="false">IF(BR437=1,0,IFERROR(VLOOKUP(BP437,'Gebinde-Kategorie'!$A$5:$M$45,13,0)+0,0))</f>
        <v>12</v>
      </c>
      <c r="R437" s="61"/>
      <c r="S437" s="62"/>
      <c r="T437" s="62"/>
      <c r="U437" s="55"/>
      <c r="V437" s="57"/>
      <c r="W437" s="57"/>
      <c r="X437" s="55" t="n">
        <f aca="false">IF(A437="","",IF(AND(Parameter!$B$21="Ja",ISNUMBER(U437)),U437,IF(IFERROR(VLOOKUP(D437,Parameter!$A$35:$C$64,2,0),"Nein")="2+3",IF(ISNUMBER(SEARCH("grosser Artikel",BM437)),2,IFERROR(VLOOKUP(BP437,Parameter!$F$35:$G$64,2,0),2)),IF(OR(IFERROR(VLOOKUP(D437,Parameter!$A$35:$C$64,2,0),"Nein")="Nein",IFERROR(VLOOKUP(D437,Parameter!$A$35:$C$64,2,0),"Nein")=""),"-",VLOOKUP(D437,Parameter!$A$35:$C$64,2,0)))))</f>
        <v>2</v>
      </c>
      <c r="Y437" s="62"/>
      <c r="Z437" s="63"/>
      <c r="AA437" s="57" t="n">
        <f aca="false">AP437</f>
        <v>50</v>
      </c>
      <c r="AB437" s="57" t="n">
        <f aca="false">MAX(AP437,G437)</f>
        <v>50</v>
      </c>
      <c r="AC437" s="64"/>
      <c r="AD437" s="57" t="n">
        <f aca="false">IF(LEFT(Cockpit!$C$5,1)="A",G437,IF(BW437=1,BX437,IF(LEFT(Cockpit!$C$5,1)="B",AH437,MAX(AH437,G437))))</f>
        <v>5</v>
      </c>
      <c r="AE437" s="57" t="n">
        <f aca="false">IF(BR437=1,0,ROUNDUP(AD437/BQ437,0))</f>
        <v>1</v>
      </c>
      <c r="AF437" s="59" t="n">
        <f aca="false">IF(CD437&gt;0,CD437*MAX(1,AD437/V437),IF(BR437=1,IF(AD437&lt;=0,0,BS437*MAX(1,IF(G437&gt;0,AD437/G437,1))),IF(Q437&gt;0,AE437/Q437,0))/MAX(0.1,N(Parameter!$M$21)))</f>
        <v>0.0833333333333333</v>
      </c>
      <c r="AG437" s="57" t="n">
        <f aca="false">AD437*F437</f>
        <v>65.9</v>
      </c>
      <c r="AH437" s="57" t="n">
        <f aca="false">ROUNDUP(MAX(I437/IF(BV437&gt;0,BV437,MAX(0.1,N(Cockpit!$C$6))),BY437)/BQ437,0)*BQ437</f>
        <v>50</v>
      </c>
      <c r="AI437" s="58" t="n">
        <f aca="false">IF(AF437&gt;0,I437/AF437,-1)</f>
        <v>360</v>
      </c>
      <c r="AJ437" s="58" t="n">
        <f aca="false">IF(AND(OR(BU437="L1",BU437="L23"),AF437&gt;0),SUMIFS($AF$7:$AF$1576,$BU$7:$BU$1576,BU437,$AI$7:$AI$1576,"&gt;"&amp;AI437)+SUMIFS($AF$7:$AF$1576,$BU$7:$BU$1576,BU437,$AI$7:$AI$1576,AI437,$BO$7:$BO$1576,"&lt;="&amp;BO437),"")</f>
        <v>13.9407949055775</v>
      </c>
      <c r="AK437" s="65" t="n">
        <f aca="false">IF(AJ437="",0,MAX(0,MIN(1,(IF(BU437="L1",Parameter!$E$5,Parameter!$E$6+Parameter!$E$7)-(AJ437-AF437))/AF437)))</f>
        <v>1</v>
      </c>
      <c r="AL437" s="57" t="n">
        <f aca="false">IF(LEFT(Cockpit!$I$5,1)="A",G437,IF(BW437=1,BX437,IF(LEFT(Cockpit!$I$5,1)="B",AP437,MAX(AP437,G437))))</f>
        <v>50</v>
      </c>
      <c r="AM437" s="57" t="n">
        <f aca="false">IF(BR437=1,0,ROUNDUP(AL437/BQ437,0))</f>
        <v>2</v>
      </c>
      <c r="AN437" s="59" t="n">
        <f aca="false">IF(CD437&gt;0,CD437*MAX(1,AL437/V437),IF(BR437=1,IF(AL437&lt;=0,0,BS437*MAX(1,IF(G437&gt;0,AL437/G437,1))),IF(Q437&gt;0,AM437/Q437,0))/MAX(0.1,N(Parameter!$M$21)))</f>
        <v>0.166666666666667</v>
      </c>
      <c r="AO437" s="57" t="n">
        <f aca="false">AL437*F437</f>
        <v>659</v>
      </c>
      <c r="AP437" s="57" t="n">
        <f aca="false">ROUNDUP(MAX(I437/IF(BV437&gt;0,BV437,MAX(0.1,N(Cockpit!$I$6))),BY437)/BQ437,0)*BQ437</f>
        <v>50</v>
      </c>
      <c r="AQ437" s="58" t="n">
        <f aca="false">IF(AN437&gt;0,I437/AN437,-1)</f>
        <v>180</v>
      </c>
      <c r="AR437" s="58" t="n">
        <f aca="false">IF(AND(OR(BU437="L1",BU437="L23"),AN437&gt;0),SUMIFS($AN$7:$AN$1576,$BU$7:$BU$1576,BU437,$AQ$7:$AQ$1576,"&gt;"&amp;AQ437)+SUMIFS($AN$7:$AN$1576,$BU$7:$BU$1576,BU437,$AQ$7:$AQ$1576,AQ437,$BO$7:$BO$1576,"&lt;="&amp;BO437),"")</f>
        <v>52.9533893284005</v>
      </c>
      <c r="AS437" s="65" t="n">
        <f aca="false">IF(AR437="",0,MAX(0,MIN(1,(IF(BU437="L1",Parameter!$E$5,Parameter!$E$6+Parameter!$E$7)-(AR437-AN437))/AN437)))</f>
        <v>1</v>
      </c>
      <c r="AT437" s="57" t="n">
        <f aca="false">IF(LEFT(Cockpit!$O$5,1)="A",G437,IF(BW437=1,BX437,IF(LEFT(Cockpit!$O$5,1)="B",AX437,MAX(AX437,G437))))</f>
        <v>50</v>
      </c>
      <c r="AU437" s="57" t="n">
        <f aca="false">IF(BR437=1,0,ROUNDUP(AT437/BQ437,0))</f>
        <v>2</v>
      </c>
      <c r="AV437" s="59" t="n">
        <f aca="false">IF(CD437&gt;0,CD437*MAX(1,AT437/V437),IF(BR437=1,IF(AT437&lt;=0,0,BS437*MAX(1,IF(G437&gt;0,AT437/G437,1))),IF(Q437&gt;0,AU437/Q437,0))/MAX(0.1,N(Parameter!$M$21)))</f>
        <v>0.166666666666667</v>
      </c>
      <c r="AW437" s="57" t="n">
        <f aca="false">AT437*F437</f>
        <v>659</v>
      </c>
      <c r="AX437" s="57" t="n">
        <f aca="false">ROUNDUP(MAX(I437/IF(BV437&gt;0,BV437,MAX(0.1,N(Cockpit!$O$6))),BY437)/BQ437,0)*BQ437</f>
        <v>50</v>
      </c>
      <c r="AY437" s="58" t="n">
        <f aca="false">IF(AV437&gt;0,I437/AV437,-1)</f>
        <v>180</v>
      </c>
      <c r="AZ437" s="58" t="n">
        <f aca="false">IF(AND(OR(BU437="L1",BU437="L23"),AV437&gt;0),SUMIFS($AV$7:$AV$1576,$BU$7:$BU$1576,BU437,$AY$7:$AY$1576,"&gt;"&amp;AY437)+SUMIFS($AV$7:$AV$1576,$BU$7:$BU$1576,BU437,$AY$7:$AY$1576,AY437,$BO$7:$BO$1576,"&lt;="&amp;BO437),"")</f>
        <v>48.7853640203752</v>
      </c>
      <c r="BA437" s="65" t="n">
        <f aca="false">IF(AZ437="",0,MAX(0,MIN(1,(IF(BU437="L1",Parameter!$E$5,Parameter!$E$6+Parameter!$E$7)-(AZ437-AV437))/AV437)))</f>
        <v>1</v>
      </c>
      <c r="BB437" s="55" t="str">
        <f aca="false">IF(AF437&lt;=0,"",IF(BU437="Aussen","Aussenlager",IF(BU437="-","Nicht im Lift",IF(AK437&gt;=1,"Lift",IF(AK437&lt;=0,"Aussenlager","teilweise")))))</f>
        <v>Lift</v>
      </c>
      <c r="BC437" s="55" t="str">
        <f aca="false">IF(AN437&lt;=0,"",IF(BU437="Aussen","Aussenlager",IF(BU437="-","Nicht im Lift",IF(AS437&gt;=1,"Lift",IF(AS437&lt;=0,"Aussenlager","teilweise")))))</f>
        <v>Lift</v>
      </c>
      <c r="BD437" s="55" t="str">
        <f aca="false">IF(AV437&lt;=0,"",IF(BU437="Aussen","Aussenlager",IF(BU437="-","Nicht im Lift",IF(BA437&gt;=1,"Lift",IF(BA437&lt;=0,"Aussenlager","teilweise")))))</f>
        <v>Lift</v>
      </c>
      <c r="BE437" s="55" t="str">
        <f aca="false">IF(A437="","",IF(BN437=1,"Neu; ","")&amp;IF(AND(BN437=0,BI437&lt;0),"negativer Bestand (Export "&amp;BI437&amp;"); ","")&amp;IF(I437&lt;=0,"Kein Verbrauch; ","")&amp;IF(CD437&gt;0,"Lift "&amp;U437&amp;" lt. Liftbericht (Fach "&amp;V437&amp;" Stk); ",IF(BR437=1,"Lose – Fläche geschätzt; ",""))&amp;IF(G437&gt;AP437,"Überbestand "&amp;ROUND(G437-AP437,0)&amp;" Stk / CHF "&amp;ROUND((G437-AP437)*F437,0)&amp;"; ","")&amp;IF(AND(BW437=1,BX437&lt;BY437),"MAX &lt; MB+LG; ","")&amp;IF(AND(CC437&gt;0,CB437*10&gt;CC437),"zu hoch für Tablar; ","")&amp;IF(AND(BN437=0,OR(BW437=1,Y437&lt;&gt;"",S437&lt;&gt;"",T437&lt;&gt;"",Z437&lt;&gt;"")),"manuell übersteuert; ","")&amp;IF(AND(BR437=0,Q437=0),"Gebinde unbekannt / Stellmass fehlt; ","")&amp;IF(AND(BR437=0,N(T437)&lt;=0,N(P437)&lt;=0),"Menge pro Gebinde fehlt (Ist = 1 Gebinde); ","")&amp;BM437)</f>
        <v/>
      </c>
      <c r="BF437" s="55"/>
      <c r="BG437" s="55"/>
      <c r="BH437" s="62"/>
      <c r="BI437" s="57" t="n">
        <v>5</v>
      </c>
      <c r="BJ437" s="57" t="n">
        <v>20</v>
      </c>
      <c r="BK437" s="56" t="n">
        <v>77.5</v>
      </c>
      <c r="BL437" s="57" t="n">
        <v>30</v>
      </c>
      <c r="BM437" s="55"/>
      <c r="BN437" s="60" t="n">
        <v>0</v>
      </c>
      <c r="BO437" s="60" t="n">
        <v>437</v>
      </c>
      <c r="BP437" s="55" t="str">
        <f aca="false">IF(S437&lt;&gt;"",UPPER(TRIM(S437)),IF(O437="","LOSE",O437))</f>
        <v>S61</v>
      </c>
      <c r="BQ437" s="57" t="n">
        <f aca="false">IF(BP437="LOSE",1,IF(N(T437)&gt;0,T437,IF(N(P437)&gt;0,P437,MAX(1,G437))))</f>
        <v>25</v>
      </c>
      <c r="BR437" s="60" t="n">
        <f aca="false">IF(BP437="LOSE",1,0)</f>
        <v>0</v>
      </c>
      <c r="BS437" s="59" t="n">
        <f aca="false">IF(BR437=0,0,IF(N(R437)&gt;0,R437,IFERROR(VLOOKUP(D437,Parameter!$A$35:$C$64,3,0)+0,0)))</f>
        <v>0</v>
      </c>
      <c r="BT437" s="55" t="n">
        <f aca="false">IF(Y437&lt;&gt;"",Y437,X437)</f>
        <v>2</v>
      </c>
      <c r="BU437" s="55" t="str">
        <f aca="false">IF(BT437=1,"L1",IF(OR(BT437=2,BT437=3),"L23",IF(BT437="Aussen","Aussen","-")))</f>
        <v>L23</v>
      </c>
      <c r="BV437" s="66" t="n">
        <f aca="false">IF(N(Z437)&gt;0,Z437,0)</f>
        <v>0</v>
      </c>
      <c r="BW437" s="60" t="n">
        <f aca="false">IF(ISNUMBER(AC437),1,0)</f>
        <v>0</v>
      </c>
      <c r="BX437" s="57" t="n">
        <f aca="false">N(AC437)</f>
        <v>0</v>
      </c>
      <c r="BY437" s="57" t="n">
        <f aca="false">N(L437)+N(M437)</f>
        <v>32</v>
      </c>
      <c r="BZ437" s="57" t="n">
        <f aca="false">ROUNDUP(G437/BQ437,0)</f>
        <v>1</v>
      </c>
      <c r="CA437" s="57" t="n">
        <f aca="false">ROUNDUP(BX437/BQ437,0)</f>
        <v>0</v>
      </c>
      <c r="CB437" s="60" t="n">
        <f aca="false">IF(BR437=1,0,IFERROR(VLOOKUP(BP437,'Gebinde-Kategorie'!$A$5:$M$45,5,0)+0,0))</f>
        <v>11</v>
      </c>
      <c r="CC437" s="60" t="n">
        <f aca="false">IFERROR(IF(OR(BT437=1,BT437=2,BT437=3),N(INDEX(Parameter!$I$5:$I$7,BT437)),0),0)</f>
        <v>0</v>
      </c>
      <c r="CD437" s="59" t="n">
        <f aca="false">IF(AND(Parameter!$B$21="Ja",ISNUMBER(U437),N(V437)&gt;0),IFERROR(N(INDEX(Parameter!$L$5:$L$7,U437))*INDEX(Parameter!$E$5:$E$7,U437)*V437/SUMIFS($V$7:$V$1576,$U$7:$U$1576,U437),0),0)</f>
        <v>0</v>
      </c>
    </row>
    <row r="438" customFormat="false" ht="15" hidden="false" customHeight="false" outlineLevel="0" collapsed="false">
      <c r="A438" s="55" t="s">
        <v>988</v>
      </c>
      <c r="B438" s="55" t="s">
        <v>989</v>
      </c>
      <c r="C438" s="55" t="s">
        <v>160</v>
      </c>
      <c r="D438" s="55" t="s">
        <v>178</v>
      </c>
      <c r="E438" s="55" t="s">
        <v>210</v>
      </c>
      <c r="F438" s="56" t="n">
        <v>19.07</v>
      </c>
      <c r="G438" s="57" t="n">
        <f aca="false">MAX(0,IF(AND(Parameter!$B$21="Ja",ISNUMBER(W438)),W438,IF(Parameter!$B$20="Jahresanfang 2025 + Export",BJ438+BI438,BI438)))</f>
        <v>4</v>
      </c>
      <c r="H438" s="57" t="n">
        <f aca="false">G438*F438</f>
        <v>76.28</v>
      </c>
      <c r="I438" s="57" t="n">
        <f aca="false">BL438*Parameter!$B$18</f>
        <v>0</v>
      </c>
      <c r="J438" s="58" t="n">
        <v>7.5</v>
      </c>
      <c r="K438" s="59" t="n">
        <v>0</v>
      </c>
      <c r="L438" s="57" t="n">
        <v>0</v>
      </c>
      <c r="M438" s="57" t="n">
        <v>1</v>
      </c>
      <c r="N438" s="60" t="n">
        <v>42</v>
      </c>
      <c r="O438" s="55" t="s">
        <v>465</v>
      </c>
      <c r="P438" s="57" t="n">
        <v>9</v>
      </c>
      <c r="Q438" s="60" t="n">
        <f aca="false">IF(BR438=1,0,IFERROR(VLOOKUP(BP438,'Gebinde-Kategorie'!$A$5:$M$45,13,0)+0,0))</f>
        <v>66</v>
      </c>
      <c r="R438" s="61"/>
      <c r="S438" s="62"/>
      <c r="T438" s="62"/>
      <c r="U438" s="55"/>
      <c r="V438" s="57"/>
      <c r="W438" s="57"/>
      <c r="X438" s="55" t="n">
        <f aca="false">IF(A438="","",IF(AND(Parameter!$B$21="Ja",ISNUMBER(U438)),U438,IF(IFERROR(VLOOKUP(D438,Parameter!$A$35:$C$64,2,0),"Nein")="2+3",IF(ISNUMBER(SEARCH("grosser Artikel",BM438)),2,IFERROR(VLOOKUP(BP438,Parameter!$F$35:$G$64,2,0),2)),IF(OR(IFERROR(VLOOKUP(D438,Parameter!$A$35:$C$64,2,0),"Nein")="Nein",IFERROR(VLOOKUP(D438,Parameter!$A$35:$C$64,2,0),"Nein")=""),"-",VLOOKUP(D438,Parameter!$A$35:$C$64,2,0)))))</f>
        <v>3</v>
      </c>
      <c r="Y438" s="62"/>
      <c r="Z438" s="63"/>
      <c r="AA438" s="57" t="n">
        <f aca="false">AP438</f>
        <v>9</v>
      </c>
      <c r="AB438" s="57" t="n">
        <f aca="false">MAX(AP438,G438)</f>
        <v>9</v>
      </c>
      <c r="AC438" s="64"/>
      <c r="AD438" s="57" t="n">
        <f aca="false">IF(LEFT(Cockpit!$C$5,1)="A",G438,IF(BW438=1,BX438,IF(LEFT(Cockpit!$C$5,1)="B",AH438,MAX(AH438,G438))))</f>
        <v>4</v>
      </c>
      <c r="AE438" s="57" t="n">
        <f aca="false">IF(BR438=1,0,ROUNDUP(AD438/BQ438,0))</f>
        <v>1</v>
      </c>
      <c r="AF438" s="59" t="n">
        <f aca="false">IF(CD438&gt;0,CD438*MAX(1,AD438/V438),IF(BR438=1,IF(AD438&lt;=0,0,BS438*MAX(1,IF(G438&gt;0,AD438/G438,1))),IF(Q438&gt;0,AE438/Q438,0))/MAX(0.1,N(Parameter!$M$21)))</f>
        <v>0.0151515151515152</v>
      </c>
      <c r="AG438" s="57" t="n">
        <f aca="false">AD438*F438</f>
        <v>76.28</v>
      </c>
      <c r="AH438" s="57" t="n">
        <f aca="false">ROUNDUP(MAX(I438/IF(BV438&gt;0,BV438,MAX(0.1,N(Cockpit!$C$6))),BY438)/BQ438,0)*BQ438</f>
        <v>9</v>
      </c>
      <c r="AI438" s="58" t="n">
        <f aca="false">IF(AF438&gt;0,I438/AF438,-1)</f>
        <v>0</v>
      </c>
      <c r="AJ438" s="58" t="n">
        <f aca="false">IF(AND(OR(BU438="L1",BU438="L23"),AF438&gt;0),SUMIFS($AF$7:$AF$1576,$BU$7:$BU$1576,BU438,$AI$7:$AI$1576,"&gt;"&amp;AI438)+SUMIFS($AF$7:$AF$1576,$BU$7:$BU$1576,BU438,$AI$7:$AI$1576,AI438,$BO$7:$BO$1576,"&lt;="&amp;BO438),"")</f>
        <v>41.8961247930813</v>
      </c>
      <c r="AK438" s="65" t="n">
        <f aca="false">IF(AJ438="",0,MAX(0,MIN(1,(IF(BU438="L1",Parameter!$E$5,Parameter!$E$6+Parameter!$E$7)-(AJ438-AF438))/AF438)))</f>
        <v>1</v>
      </c>
      <c r="AL438" s="57" t="n">
        <f aca="false">IF(LEFT(Cockpit!$I$5,1)="A",G438,IF(BW438=1,BX438,IF(LEFT(Cockpit!$I$5,1)="B",AP438,MAX(AP438,G438))))</f>
        <v>9</v>
      </c>
      <c r="AM438" s="57" t="n">
        <f aca="false">IF(BR438=1,0,ROUNDUP(AL438/BQ438,0))</f>
        <v>1</v>
      </c>
      <c r="AN438" s="59" t="n">
        <f aca="false">IF(CD438&gt;0,CD438*MAX(1,AL438/V438),IF(BR438=1,IF(AL438&lt;=0,0,BS438*MAX(1,IF(G438&gt;0,AL438/G438,1))),IF(Q438&gt;0,AM438/Q438,0))/MAX(0.1,N(Parameter!$M$21)))</f>
        <v>0.0151515151515152</v>
      </c>
      <c r="AO438" s="57" t="n">
        <f aca="false">AL438*F438</f>
        <v>171.63</v>
      </c>
      <c r="AP438" s="57" t="n">
        <f aca="false">ROUNDUP(MAX(I438/IF(BV438&gt;0,BV438,MAX(0.1,N(Cockpit!$I$6))),BY438)/BQ438,0)*BQ438</f>
        <v>9</v>
      </c>
      <c r="AQ438" s="58" t="n">
        <f aca="false">IF(AN438&gt;0,I438/AN438,-1)</f>
        <v>0</v>
      </c>
      <c r="AR438" s="58" t="n">
        <f aca="false">IF(AND(OR(BU438="L1",BU438="L23"),AN438&gt;0),SUMIFS($AN$7:$AN$1576,$BU$7:$BU$1576,BU438,$AQ$7:$AQ$1576,"&gt;"&amp;AQ438)+SUMIFS($AN$7:$AN$1576,$BU$7:$BU$1576,BU438,$AQ$7:$AQ$1576,AQ438,$BO$7:$BO$1576,"&lt;="&amp;BO438),"")</f>
        <v>124.8929109116</v>
      </c>
      <c r="AS438" s="65" t="n">
        <f aca="false">IF(AR438="",0,MAX(0,MIN(1,(IF(BU438="L1",Parameter!$E$5,Parameter!$E$6+Parameter!$E$7)-(AR438-AN438))/AN438)))</f>
        <v>0</v>
      </c>
      <c r="AT438" s="57" t="n">
        <f aca="false">IF(LEFT(Cockpit!$O$5,1)="A",G438,IF(BW438=1,BX438,IF(LEFT(Cockpit!$O$5,1)="B",AX438,MAX(AX438,G438))))</f>
        <v>9</v>
      </c>
      <c r="AU438" s="57" t="n">
        <f aca="false">IF(BR438=1,0,ROUNDUP(AT438/BQ438,0))</f>
        <v>1</v>
      </c>
      <c r="AV438" s="59" t="n">
        <f aca="false">IF(CD438&gt;0,CD438*MAX(1,AT438/V438),IF(BR438=1,IF(AT438&lt;=0,0,BS438*MAX(1,IF(G438&gt;0,AT438/G438,1))),IF(Q438&gt;0,AU438/Q438,0))/MAX(0.1,N(Parameter!$M$21)))</f>
        <v>0.0151515151515152</v>
      </c>
      <c r="AW438" s="57" t="n">
        <f aca="false">AT438*F438</f>
        <v>171.63</v>
      </c>
      <c r="AX438" s="57" t="n">
        <f aca="false">ROUNDUP(MAX(I438/IF(BV438&gt;0,BV438,MAX(0.1,N(Cockpit!$O$6))),BY438)/BQ438,0)*BQ438</f>
        <v>9</v>
      </c>
      <c r="AY438" s="58" t="n">
        <f aca="false">IF(AV438&gt;0,I438/AV438,-1)</f>
        <v>0</v>
      </c>
      <c r="AZ438" s="58" t="n">
        <f aca="false">IF(AND(OR(BU438="L1",BU438="L23"),AV438&gt;0),SUMIFS($AV$7:$AV$1576,$BU$7:$BU$1576,BU438,$AY$7:$AY$1576,"&gt;"&amp;AY438)+SUMIFS($AV$7:$AV$1576,$BU$7:$BU$1576,BU438,$AY$7:$AY$1576,AY438,$BO$7:$BO$1576,"&lt;="&amp;BO438),"")</f>
        <v>114.95246136115</v>
      </c>
      <c r="BA438" s="65" t="n">
        <f aca="false">IF(AZ438="",0,MAX(0,MIN(1,(IF(BU438="L1",Parameter!$E$5,Parameter!$E$6+Parameter!$E$7)-(AZ438-AV438))/AV438)))</f>
        <v>0</v>
      </c>
      <c r="BB438" s="55" t="str">
        <f aca="false">IF(AF438&lt;=0,"",IF(BU438="Aussen","Aussenlager",IF(BU438="-","Nicht im Lift",IF(AK438&gt;=1,"Lift",IF(AK438&lt;=0,"Aussenlager","teilweise")))))</f>
        <v>Lift</v>
      </c>
      <c r="BC438" s="55" t="str">
        <f aca="false">IF(AN438&lt;=0,"",IF(BU438="Aussen","Aussenlager",IF(BU438="-","Nicht im Lift",IF(AS438&gt;=1,"Lift",IF(AS438&lt;=0,"Aussenlager","teilweise")))))</f>
        <v>Aussenlager</v>
      </c>
      <c r="BD438" s="55" t="str">
        <f aca="false">IF(AV438&lt;=0,"",IF(BU438="Aussen","Aussenlager",IF(BU438="-","Nicht im Lift",IF(BA438&gt;=1,"Lift",IF(BA438&lt;=0,"Aussenlager","teilweise")))))</f>
        <v>Aussenlager</v>
      </c>
      <c r="BE438" s="55" t="str">
        <f aca="false">IF(A438="","",IF(BN438=1,"Neu; ","")&amp;IF(AND(BN438=0,BI438&lt;0),"negativer Bestand (Export "&amp;BI438&amp;"); ","")&amp;IF(I438&lt;=0,"Kein Verbrauch; ","")&amp;IF(CD438&gt;0,"Lift "&amp;U438&amp;" lt. Liftbericht (Fach "&amp;V438&amp;" Stk); ",IF(BR438=1,"Lose – Fläche geschätzt; ",""))&amp;IF(G438&gt;AP438,"Überbestand "&amp;ROUND(G438-AP438,0)&amp;" Stk / CHF "&amp;ROUND((G438-AP438)*F438,0)&amp;"; ","")&amp;IF(AND(BW438=1,BX438&lt;BY438),"MAX &lt; MB+LG; ","")&amp;IF(AND(CC438&gt;0,CB438*10&gt;CC438),"zu hoch für Tablar; ","")&amp;IF(AND(BN438=0,OR(BW438=1,Y438&lt;&gt;"",S438&lt;&gt;"",T438&lt;&gt;"",Z438&lt;&gt;"")),"manuell übersteuert; ","")&amp;IF(AND(BR438=0,Q438=0),"Gebinde unbekannt / Stellmass fehlt; ","")&amp;IF(AND(BR438=0,N(T438)&lt;=0,N(P438)&lt;=0),"Menge pro Gebinde fehlt (Ist = 1 Gebinde); ","")&amp;BM438)</f>
        <v>Kein Verbrauch; </v>
      </c>
      <c r="BF438" s="55"/>
      <c r="BG438" s="55"/>
      <c r="BH438" s="62"/>
      <c r="BI438" s="57" t="n">
        <v>4</v>
      </c>
      <c r="BJ438" s="57" t="n">
        <v>6</v>
      </c>
      <c r="BK438" s="56" t="n">
        <v>76.28</v>
      </c>
      <c r="BL438" s="57" t="n">
        <v>0</v>
      </c>
      <c r="BM438" s="55"/>
      <c r="BN438" s="60" t="n">
        <v>0</v>
      </c>
      <c r="BO438" s="60" t="n">
        <v>438</v>
      </c>
      <c r="BP438" s="55" t="str">
        <f aca="false">IF(S438&lt;&gt;"",UPPER(TRIM(S438)),IF(O438="","LOSE",O438))</f>
        <v>S33</v>
      </c>
      <c r="BQ438" s="57" t="n">
        <f aca="false">IF(BP438="LOSE",1,IF(N(T438)&gt;0,T438,IF(N(P438)&gt;0,P438,MAX(1,G438))))</f>
        <v>9</v>
      </c>
      <c r="BR438" s="60" t="n">
        <f aca="false">IF(BP438="LOSE",1,0)</f>
        <v>0</v>
      </c>
      <c r="BS438" s="59" t="n">
        <f aca="false">IF(BR438=0,0,IF(N(R438)&gt;0,R438,IFERROR(VLOOKUP(D438,Parameter!$A$35:$C$64,3,0)+0,0)))</f>
        <v>0</v>
      </c>
      <c r="BT438" s="55" t="n">
        <f aca="false">IF(Y438&lt;&gt;"",Y438,X438)</f>
        <v>3</v>
      </c>
      <c r="BU438" s="55" t="str">
        <f aca="false">IF(BT438=1,"L1",IF(OR(BT438=2,BT438=3),"L23",IF(BT438="Aussen","Aussen","-")))</f>
        <v>L23</v>
      </c>
      <c r="BV438" s="66" t="n">
        <f aca="false">IF(N(Z438)&gt;0,Z438,0)</f>
        <v>0</v>
      </c>
      <c r="BW438" s="60" t="n">
        <f aca="false">IF(ISNUMBER(AC438),1,0)</f>
        <v>0</v>
      </c>
      <c r="BX438" s="57" t="n">
        <f aca="false">N(AC438)</f>
        <v>0</v>
      </c>
      <c r="BY438" s="57" t="n">
        <f aca="false">N(L438)+N(M438)</f>
        <v>1</v>
      </c>
      <c r="BZ438" s="57" t="n">
        <f aca="false">ROUNDUP(G438/BQ438,0)</f>
        <v>1</v>
      </c>
      <c r="CA438" s="57" t="n">
        <f aca="false">ROUNDUP(BX438/BQ438,0)</f>
        <v>0</v>
      </c>
      <c r="CB438" s="60" t="n">
        <f aca="false">IF(BR438=1,0,IFERROR(VLOOKUP(BP438,'Gebinde-Kategorie'!$A$5:$M$45,5,0)+0,0))</f>
        <v>8</v>
      </c>
      <c r="CC438" s="60" t="n">
        <f aca="false">IFERROR(IF(OR(BT438=1,BT438=2,BT438=3),N(INDEX(Parameter!$I$5:$I$7,BT438)),0),0)</f>
        <v>0</v>
      </c>
      <c r="CD438" s="59" t="n">
        <f aca="false">IF(AND(Parameter!$B$21="Ja",ISNUMBER(U438),N(V438)&gt;0),IFERROR(N(INDEX(Parameter!$L$5:$L$7,U438))*INDEX(Parameter!$E$5:$E$7,U438)*V438/SUMIFS($V$7:$V$1576,$U$7:$U$1576,U438),0),0)</f>
        <v>0</v>
      </c>
    </row>
    <row r="439" customFormat="false" ht="15" hidden="false" customHeight="false" outlineLevel="0" collapsed="false">
      <c r="A439" s="55" t="s">
        <v>990</v>
      </c>
      <c r="B439" s="55" t="s">
        <v>991</v>
      </c>
      <c r="C439" s="55" t="s">
        <v>160</v>
      </c>
      <c r="D439" s="55" t="s">
        <v>178</v>
      </c>
      <c r="E439" s="55" t="s">
        <v>210</v>
      </c>
      <c r="F439" s="56" t="n">
        <v>2.99</v>
      </c>
      <c r="G439" s="57" t="n">
        <f aca="false">MAX(0,IF(AND(Parameter!$B$21="Ja",ISNUMBER(W439)),W439,IF(Parameter!$B$20="Jahresanfang 2025 + Export",BJ439+BI439,BI439)))</f>
        <v>25</v>
      </c>
      <c r="H439" s="57" t="n">
        <f aca="false">G439*F439</f>
        <v>74.75</v>
      </c>
      <c r="I439" s="57" t="n">
        <f aca="false">BL439*Parameter!$B$18</f>
        <v>0</v>
      </c>
      <c r="J439" s="58" t="n">
        <v>0</v>
      </c>
      <c r="K439" s="59" t="n">
        <v>0</v>
      </c>
      <c r="L439" s="57" t="n">
        <v>0</v>
      </c>
      <c r="M439" s="57" t="n">
        <v>5</v>
      </c>
      <c r="N439" s="60" t="n">
        <v>90</v>
      </c>
      <c r="O439" s="55" t="s">
        <v>163</v>
      </c>
      <c r="P439" s="57"/>
      <c r="Q439" s="60" t="n">
        <f aca="false">IF(BR439=1,0,IFERROR(VLOOKUP(BP439,'Gebinde-Kategorie'!$A$5:$M$45,13,0)+0,0))</f>
        <v>0</v>
      </c>
      <c r="R439" s="61"/>
      <c r="S439" s="62"/>
      <c r="T439" s="62"/>
      <c r="U439" s="55"/>
      <c r="V439" s="57"/>
      <c r="W439" s="57"/>
      <c r="X439" s="55" t="n">
        <f aca="false">IF(A439="","",IF(AND(Parameter!$B$21="Ja",ISNUMBER(U439)),U439,IF(IFERROR(VLOOKUP(D439,Parameter!$A$35:$C$64,2,0),"Nein")="2+3",IF(ISNUMBER(SEARCH("grosser Artikel",BM439)),2,IFERROR(VLOOKUP(BP439,Parameter!$F$35:$G$64,2,0),2)),IF(OR(IFERROR(VLOOKUP(D439,Parameter!$A$35:$C$64,2,0),"Nein")="Nein",IFERROR(VLOOKUP(D439,Parameter!$A$35:$C$64,2,0),"Nein")=""),"-",VLOOKUP(D439,Parameter!$A$35:$C$64,2,0)))))</f>
        <v>2</v>
      </c>
      <c r="Y439" s="62"/>
      <c r="Z439" s="63"/>
      <c r="AA439" s="57" t="n">
        <f aca="false">AP439</f>
        <v>5</v>
      </c>
      <c r="AB439" s="57" t="n">
        <f aca="false">MAX(AP439,G439)</f>
        <v>25</v>
      </c>
      <c r="AC439" s="64"/>
      <c r="AD439" s="57" t="n">
        <f aca="false">IF(LEFT(Cockpit!$C$5,1)="A",G439,IF(BW439=1,BX439,IF(LEFT(Cockpit!$C$5,1)="B",AH439,MAX(AH439,G439))))</f>
        <v>25</v>
      </c>
      <c r="AE439" s="57" t="n">
        <f aca="false">IF(BR439=1,0,ROUNDUP(AD439/BQ439,0))</f>
        <v>0</v>
      </c>
      <c r="AF439" s="59" t="n">
        <f aca="false">IF(CD439&gt;0,CD439*MAX(1,AD439/V439),IF(BR439=1,IF(AD439&lt;=0,0,BS439*MAX(1,IF(G439&gt;0,AD439/G439,1))),IF(Q439&gt;0,AE439/Q439,0))/MAX(0.1,N(Parameter!$M$21)))</f>
        <v>0.03</v>
      </c>
      <c r="AG439" s="57" t="n">
        <f aca="false">AD439*F439</f>
        <v>74.75</v>
      </c>
      <c r="AH439" s="57" t="n">
        <f aca="false">ROUNDUP(MAX(I439/IF(BV439&gt;0,BV439,MAX(0.1,N(Cockpit!$C$6))),BY439)/BQ439,0)*BQ439</f>
        <v>5</v>
      </c>
      <c r="AI439" s="58" t="n">
        <f aca="false">IF(AF439&gt;0,I439/AF439,-1)</f>
        <v>0</v>
      </c>
      <c r="AJ439" s="58" t="n">
        <f aca="false">IF(AND(OR(BU439="L1",BU439="L23"),AF439&gt;0),SUMIFS($AF$7:$AF$1576,$BU$7:$BU$1576,BU439,$AI$7:$AI$1576,"&gt;"&amp;AI439)+SUMIFS($AF$7:$AF$1576,$BU$7:$BU$1576,BU439,$AI$7:$AI$1576,AI439,$BO$7:$BO$1576,"&lt;="&amp;BO439),"")</f>
        <v>41.9261247930813</v>
      </c>
      <c r="AK439" s="65" t="n">
        <f aca="false">IF(AJ439="",0,MAX(0,MIN(1,(IF(BU439="L1",Parameter!$E$5,Parameter!$E$6+Parameter!$E$7)-(AJ439-AF439))/AF439)))</f>
        <v>1</v>
      </c>
      <c r="AL439" s="57" t="n">
        <f aca="false">IF(LEFT(Cockpit!$I$5,1)="A",G439,IF(BW439=1,BX439,IF(LEFT(Cockpit!$I$5,1)="B",AP439,MAX(AP439,G439))))</f>
        <v>25</v>
      </c>
      <c r="AM439" s="57" t="n">
        <f aca="false">IF(BR439=1,0,ROUNDUP(AL439/BQ439,0))</f>
        <v>0</v>
      </c>
      <c r="AN439" s="59" t="n">
        <f aca="false">IF(CD439&gt;0,CD439*MAX(1,AL439/V439),IF(BR439=1,IF(AL439&lt;=0,0,BS439*MAX(1,IF(G439&gt;0,AL439/G439,1))),IF(Q439&gt;0,AM439/Q439,0))/MAX(0.1,N(Parameter!$M$21)))</f>
        <v>0.03</v>
      </c>
      <c r="AO439" s="57" t="n">
        <f aca="false">AL439*F439</f>
        <v>74.75</v>
      </c>
      <c r="AP439" s="57" t="n">
        <f aca="false">ROUNDUP(MAX(I439/IF(BV439&gt;0,BV439,MAX(0.1,N(Cockpit!$I$6))),BY439)/BQ439,0)*BQ439</f>
        <v>5</v>
      </c>
      <c r="AQ439" s="58" t="n">
        <f aca="false">IF(AN439&gt;0,I439/AN439,-1)</f>
        <v>0</v>
      </c>
      <c r="AR439" s="58" t="n">
        <f aca="false">IF(AND(OR(BU439="L1",BU439="L23"),AN439&gt;0),SUMIFS($AN$7:$AN$1576,$BU$7:$BU$1576,BU439,$AQ$7:$AQ$1576,"&gt;"&amp;AQ439)+SUMIFS($AN$7:$AN$1576,$BU$7:$BU$1576,BU439,$AQ$7:$AQ$1576,AQ439,$BO$7:$BO$1576,"&lt;="&amp;BO439),"")</f>
        <v>124.9229109116</v>
      </c>
      <c r="AS439" s="65" t="n">
        <f aca="false">IF(AR439="",0,MAX(0,MIN(1,(IF(BU439="L1",Parameter!$E$5,Parameter!$E$6+Parameter!$E$7)-(AR439-AN439))/AN439)))</f>
        <v>0</v>
      </c>
      <c r="AT439" s="57" t="n">
        <f aca="false">IF(LEFT(Cockpit!$O$5,1)="A",G439,IF(BW439=1,BX439,IF(LEFT(Cockpit!$O$5,1)="B",AX439,MAX(AX439,G439))))</f>
        <v>25</v>
      </c>
      <c r="AU439" s="57" t="n">
        <f aca="false">IF(BR439=1,0,ROUNDUP(AT439/BQ439,0))</f>
        <v>0</v>
      </c>
      <c r="AV439" s="59" t="n">
        <f aca="false">IF(CD439&gt;0,CD439*MAX(1,AT439/V439),IF(BR439=1,IF(AT439&lt;=0,0,BS439*MAX(1,IF(G439&gt;0,AT439/G439,1))),IF(Q439&gt;0,AU439/Q439,0))/MAX(0.1,N(Parameter!$M$21)))</f>
        <v>0.03</v>
      </c>
      <c r="AW439" s="57" t="n">
        <f aca="false">AT439*F439</f>
        <v>74.75</v>
      </c>
      <c r="AX439" s="57" t="n">
        <f aca="false">ROUNDUP(MAX(I439/IF(BV439&gt;0,BV439,MAX(0.1,N(Cockpit!$O$6))),BY439)/BQ439,0)*BQ439</f>
        <v>5</v>
      </c>
      <c r="AY439" s="58" t="n">
        <f aca="false">IF(AV439&gt;0,I439/AV439,-1)</f>
        <v>0</v>
      </c>
      <c r="AZ439" s="58" t="n">
        <f aca="false">IF(AND(OR(BU439="L1",BU439="L23"),AV439&gt;0),SUMIFS($AV$7:$AV$1576,$BU$7:$BU$1576,BU439,$AY$7:$AY$1576,"&gt;"&amp;AY439)+SUMIFS($AV$7:$AV$1576,$BU$7:$BU$1576,BU439,$AY$7:$AY$1576,AY439,$BO$7:$BO$1576,"&lt;="&amp;BO439),"")</f>
        <v>114.98246136115</v>
      </c>
      <c r="BA439" s="65" t="n">
        <f aca="false">IF(AZ439="",0,MAX(0,MIN(1,(IF(BU439="L1",Parameter!$E$5,Parameter!$E$6+Parameter!$E$7)-(AZ439-AV439))/AV439)))</f>
        <v>0</v>
      </c>
      <c r="BB439" s="55" t="str">
        <f aca="false">IF(AF439&lt;=0,"",IF(BU439="Aussen","Aussenlager",IF(BU439="-","Nicht im Lift",IF(AK439&gt;=1,"Lift",IF(AK439&lt;=0,"Aussenlager","teilweise")))))</f>
        <v>Lift</v>
      </c>
      <c r="BC439" s="55" t="str">
        <f aca="false">IF(AN439&lt;=0,"",IF(BU439="Aussen","Aussenlager",IF(BU439="-","Nicht im Lift",IF(AS439&gt;=1,"Lift",IF(AS439&lt;=0,"Aussenlager","teilweise")))))</f>
        <v>Aussenlager</v>
      </c>
      <c r="BD439" s="55" t="str">
        <f aca="false">IF(AV439&lt;=0,"",IF(BU439="Aussen","Aussenlager",IF(BU439="-","Nicht im Lift",IF(BA439&gt;=1,"Lift",IF(BA439&lt;=0,"Aussenlager","teilweise")))))</f>
        <v>Aussenlager</v>
      </c>
      <c r="BE439" s="55" t="str">
        <f aca="false">IF(A439="","",IF(BN439=1,"Neu; ","")&amp;IF(AND(BN439=0,BI439&lt;0),"negativer Bestand (Export "&amp;BI439&amp;"); ","")&amp;IF(I439&lt;=0,"Kein Verbrauch; ","")&amp;IF(CD439&gt;0,"Lift "&amp;U439&amp;" lt. Liftbericht (Fach "&amp;V439&amp;" Stk); ",IF(BR439=1,"Lose – Fläche geschätzt; ",""))&amp;IF(G439&gt;AP439,"Überbestand "&amp;ROUND(G439-AP439,0)&amp;" Stk / CHF "&amp;ROUND((G439-AP439)*F439,0)&amp;"; ","")&amp;IF(AND(BW439=1,BX439&lt;BY439),"MAX &lt; MB+LG; ","")&amp;IF(AND(CC439&gt;0,CB439*10&gt;CC439),"zu hoch für Tablar; ","")&amp;IF(AND(BN439=0,OR(BW439=1,Y439&lt;&gt;"",S439&lt;&gt;"",T439&lt;&gt;"",Z439&lt;&gt;"")),"manuell übersteuert; ","")&amp;IF(AND(BR439=0,Q439=0),"Gebinde unbekannt / Stellmass fehlt; ","")&amp;IF(AND(BR439=0,N(T439)&lt;=0,N(P439)&lt;=0),"Menge pro Gebinde fehlt (Ist = 1 Gebinde); ","")&amp;BM439)</f>
        <v>Kein Verbrauch; Lose – Fläche geschätzt; Überbestand 20 Stk / CHF 60; </v>
      </c>
      <c r="BF439" s="55"/>
      <c r="BG439" s="55"/>
      <c r="BH439" s="62"/>
      <c r="BI439" s="57" t="n">
        <v>25</v>
      </c>
      <c r="BJ439" s="57" t="n">
        <v>0</v>
      </c>
      <c r="BK439" s="56" t="n">
        <v>74.75</v>
      </c>
      <c r="BL439" s="57" t="n">
        <v>0</v>
      </c>
      <c r="BM439" s="55"/>
      <c r="BN439" s="60" t="n">
        <v>0</v>
      </c>
      <c r="BO439" s="60" t="n">
        <v>439</v>
      </c>
      <c r="BP439" s="55" t="str">
        <f aca="false">IF(S439&lt;&gt;"",UPPER(TRIM(S439)),IF(O439="","LOSE",O439))</f>
        <v>LOSE</v>
      </c>
      <c r="BQ439" s="57" t="n">
        <f aca="false">IF(BP439="LOSE",1,IF(N(T439)&gt;0,T439,IF(N(P439)&gt;0,P439,MAX(1,G439))))</f>
        <v>1</v>
      </c>
      <c r="BR439" s="60" t="n">
        <f aca="false">IF(BP439="LOSE",1,0)</f>
        <v>1</v>
      </c>
      <c r="BS439" s="59" t="n">
        <f aca="false">IF(BR439=0,0,IF(N(R439)&gt;0,R439,IFERROR(VLOOKUP(D439,Parameter!$A$35:$C$64,3,0)+0,0)))</f>
        <v>0.03</v>
      </c>
      <c r="BT439" s="55" t="n">
        <f aca="false">IF(Y439&lt;&gt;"",Y439,X439)</f>
        <v>2</v>
      </c>
      <c r="BU439" s="55" t="str">
        <f aca="false">IF(BT439=1,"L1",IF(OR(BT439=2,BT439=3),"L23",IF(BT439="Aussen","Aussen","-")))</f>
        <v>L23</v>
      </c>
      <c r="BV439" s="66" t="n">
        <f aca="false">IF(N(Z439)&gt;0,Z439,0)</f>
        <v>0</v>
      </c>
      <c r="BW439" s="60" t="n">
        <f aca="false">IF(ISNUMBER(AC439),1,0)</f>
        <v>0</v>
      </c>
      <c r="BX439" s="57" t="n">
        <f aca="false">N(AC439)</f>
        <v>0</v>
      </c>
      <c r="BY439" s="57" t="n">
        <f aca="false">N(L439)+N(M439)</f>
        <v>5</v>
      </c>
      <c r="BZ439" s="57" t="n">
        <f aca="false">ROUNDUP(G439/BQ439,0)</f>
        <v>25</v>
      </c>
      <c r="CA439" s="57" t="n">
        <f aca="false">ROUNDUP(BX439/BQ439,0)</f>
        <v>0</v>
      </c>
      <c r="CB439" s="60" t="n">
        <f aca="false">IF(BR439=1,0,IFERROR(VLOOKUP(BP439,'Gebinde-Kategorie'!$A$5:$M$45,5,0)+0,0))</f>
        <v>0</v>
      </c>
      <c r="CC439" s="60" t="n">
        <f aca="false">IFERROR(IF(OR(BT439=1,BT439=2,BT439=3),N(INDEX(Parameter!$I$5:$I$7,BT439)),0),0)</f>
        <v>0</v>
      </c>
      <c r="CD439" s="59" t="n">
        <f aca="false">IF(AND(Parameter!$B$21="Ja",ISNUMBER(U439),N(V439)&gt;0),IFERROR(N(INDEX(Parameter!$L$5:$L$7,U439))*INDEX(Parameter!$E$5:$E$7,U439)*V439/SUMIFS($V$7:$V$1576,$U$7:$U$1576,U439),0),0)</f>
        <v>0</v>
      </c>
    </row>
    <row r="440" customFormat="false" ht="15" hidden="false" customHeight="false" outlineLevel="0" collapsed="false">
      <c r="A440" s="55" t="s">
        <v>992</v>
      </c>
      <c r="B440" s="55" t="s">
        <v>993</v>
      </c>
      <c r="C440" s="55" t="s">
        <v>160</v>
      </c>
      <c r="D440" s="55" t="s">
        <v>178</v>
      </c>
      <c r="E440" s="55" t="s">
        <v>210</v>
      </c>
      <c r="F440" s="56" t="n">
        <v>7.88</v>
      </c>
      <c r="G440" s="57" t="n">
        <f aca="false">MAX(0,IF(AND(Parameter!$B$21="Ja",ISNUMBER(W440)),W440,IF(Parameter!$B$20="Jahresanfang 2025 + Export",BJ440+BI440,BI440)))</f>
        <v>8</v>
      </c>
      <c r="H440" s="57" t="n">
        <f aca="false">G440*F440</f>
        <v>63.04</v>
      </c>
      <c r="I440" s="57" t="n">
        <f aca="false">BL440*Parameter!$B$18</f>
        <v>1</v>
      </c>
      <c r="J440" s="58" t="n">
        <v>54</v>
      </c>
      <c r="K440" s="59" t="n">
        <v>0.0185185185185185</v>
      </c>
      <c r="L440" s="57" t="n">
        <v>0</v>
      </c>
      <c r="M440" s="57" t="n">
        <v>1</v>
      </c>
      <c r="N440" s="60" t="n">
        <v>70</v>
      </c>
      <c r="O440" s="55" t="s">
        <v>179</v>
      </c>
      <c r="P440" s="57" t="n">
        <v>55</v>
      </c>
      <c r="Q440" s="60" t="n">
        <f aca="false">IF(BR440=1,0,IFERROR(VLOOKUP(BP440,'Gebinde-Kategorie'!$A$5:$M$45,13,0)+0,0))</f>
        <v>12</v>
      </c>
      <c r="R440" s="61"/>
      <c r="S440" s="62"/>
      <c r="T440" s="62"/>
      <c r="U440" s="55"/>
      <c r="V440" s="57"/>
      <c r="W440" s="57"/>
      <c r="X440" s="55" t="n">
        <f aca="false">IF(A440="","",IF(AND(Parameter!$B$21="Ja",ISNUMBER(U440)),U440,IF(IFERROR(VLOOKUP(D440,Parameter!$A$35:$C$64,2,0),"Nein")="2+3",IF(ISNUMBER(SEARCH("grosser Artikel",BM440)),2,IFERROR(VLOOKUP(BP440,Parameter!$F$35:$G$64,2,0),2)),IF(OR(IFERROR(VLOOKUP(D440,Parameter!$A$35:$C$64,2,0),"Nein")="Nein",IFERROR(VLOOKUP(D440,Parameter!$A$35:$C$64,2,0),"Nein")=""),"-",VLOOKUP(D440,Parameter!$A$35:$C$64,2,0)))))</f>
        <v>2</v>
      </c>
      <c r="Y440" s="62"/>
      <c r="Z440" s="63"/>
      <c r="AA440" s="57" t="n">
        <f aca="false">AP440</f>
        <v>55</v>
      </c>
      <c r="AB440" s="57" t="n">
        <f aca="false">MAX(AP440,G440)</f>
        <v>55</v>
      </c>
      <c r="AC440" s="64"/>
      <c r="AD440" s="57" t="n">
        <f aca="false">IF(LEFT(Cockpit!$C$5,1)="A",G440,IF(BW440=1,BX440,IF(LEFT(Cockpit!$C$5,1)="B",AH440,MAX(AH440,G440))))</f>
        <v>8</v>
      </c>
      <c r="AE440" s="57" t="n">
        <f aca="false">IF(BR440=1,0,ROUNDUP(AD440/BQ440,0))</f>
        <v>1</v>
      </c>
      <c r="AF440" s="59" t="n">
        <f aca="false">IF(CD440&gt;0,CD440*MAX(1,AD440/V440),IF(BR440=1,IF(AD440&lt;=0,0,BS440*MAX(1,IF(G440&gt;0,AD440/G440,1))),IF(Q440&gt;0,AE440/Q440,0))/MAX(0.1,N(Parameter!$M$21)))</f>
        <v>0.0833333333333333</v>
      </c>
      <c r="AG440" s="57" t="n">
        <f aca="false">AD440*F440</f>
        <v>63.04</v>
      </c>
      <c r="AH440" s="57" t="n">
        <f aca="false">ROUNDUP(MAX(I440/IF(BV440&gt;0,BV440,MAX(0.1,N(Cockpit!$C$6))),BY440)/BQ440,0)*BQ440</f>
        <v>55</v>
      </c>
      <c r="AI440" s="58" t="n">
        <f aca="false">IF(AF440&gt;0,I440/AF440,-1)</f>
        <v>12</v>
      </c>
      <c r="AJ440" s="58" t="n">
        <f aca="false">IF(AND(OR(BU440="L1",BU440="L23"),AF440&gt;0),SUMIFS($AF$7:$AF$1576,$BU$7:$BU$1576,BU440,$AI$7:$AI$1576,"&gt;"&amp;AI440)+SUMIFS($AF$7:$AF$1576,$BU$7:$BU$1576,BU440,$AI$7:$AI$1576,AI440,$BO$7:$BO$1576,"&lt;="&amp;BO440),"")</f>
        <v>31.3492483362049</v>
      </c>
      <c r="AK440" s="65" t="n">
        <f aca="false">IF(AJ440="",0,MAX(0,MIN(1,(IF(BU440="L1",Parameter!$E$5,Parameter!$E$6+Parameter!$E$7)-(AJ440-AF440))/AF440)))</f>
        <v>1</v>
      </c>
      <c r="AL440" s="57" t="n">
        <f aca="false">IF(LEFT(Cockpit!$I$5,1)="A",G440,IF(BW440=1,BX440,IF(LEFT(Cockpit!$I$5,1)="B",AP440,MAX(AP440,G440))))</f>
        <v>55</v>
      </c>
      <c r="AM440" s="57" t="n">
        <f aca="false">IF(BR440=1,0,ROUNDUP(AL440/BQ440,0))</f>
        <v>1</v>
      </c>
      <c r="AN440" s="59" t="n">
        <f aca="false">IF(CD440&gt;0,CD440*MAX(1,AL440/V440),IF(BR440=1,IF(AL440&lt;=0,0,BS440*MAX(1,IF(G440&gt;0,AL440/G440,1))),IF(Q440&gt;0,AM440/Q440,0))/MAX(0.1,N(Parameter!$M$21)))</f>
        <v>0.0833333333333333</v>
      </c>
      <c r="AO440" s="57" t="n">
        <f aca="false">AL440*F440</f>
        <v>433.4</v>
      </c>
      <c r="AP440" s="57" t="n">
        <f aca="false">ROUNDUP(MAX(I440/IF(BV440&gt;0,BV440,MAX(0.1,N(Cockpit!$I$6))),BY440)/BQ440,0)*BQ440</f>
        <v>55</v>
      </c>
      <c r="AQ440" s="58" t="n">
        <f aca="false">IF(AN440&gt;0,I440/AN440,-1)</f>
        <v>12</v>
      </c>
      <c r="AR440" s="58" t="n">
        <f aca="false">IF(AND(OR(BU440="L1",BU440="L23"),AN440&gt;0),SUMIFS($AN$7:$AN$1576,$BU$7:$BU$1576,BU440,$AQ$7:$AQ$1576,"&gt;"&amp;AQ440)+SUMIFS($AN$7:$AN$1576,$BU$7:$BU$1576,BU440,$AQ$7:$AQ$1576,AQ440,$BO$7:$BO$1576,"&lt;="&amp;BO440),"")</f>
        <v>107.603973050234</v>
      </c>
      <c r="AS440" s="65" t="n">
        <f aca="false">IF(AR440="",0,MAX(0,MIN(1,(IF(BU440="L1",Parameter!$E$5,Parameter!$E$6+Parameter!$E$7)-(AR440-AN440))/AN440)))</f>
        <v>0</v>
      </c>
      <c r="AT440" s="57" t="n">
        <f aca="false">IF(LEFT(Cockpit!$O$5,1)="A",G440,IF(BW440=1,BX440,IF(LEFT(Cockpit!$O$5,1)="B",AX440,MAX(AX440,G440))))</f>
        <v>55</v>
      </c>
      <c r="AU440" s="57" t="n">
        <f aca="false">IF(BR440=1,0,ROUNDUP(AT440/BQ440,0))</f>
        <v>1</v>
      </c>
      <c r="AV440" s="59" t="n">
        <f aca="false">IF(CD440&gt;0,CD440*MAX(1,AT440/V440),IF(BR440=1,IF(AT440&lt;=0,0,BS440*MAX(1,IF(G440&gt;0,AT440/G440,1))),IF(Q440&gt;0,AU440/Q440,0))/MAX(0.1,N(Parameter!$M$21)))</f>
        <v>0.0833333333333333</v>
      </c>
      <c r="AW440" s="57" t="n">
        <f aca="false">AT440*F440</f>
        <v>433.4</v>
      </c>
      <c r="AX440" s="57" t="n">
        <f aca="false">ROUNDUP(MAX(I440/IF(BV440&gt;0,BV440,MAX(0.1,N(Cockpit!$O$6))),BY440)/BQ440,0)*BQ440</f>
        <v>55</v>
      </c>
      <c r="AY440" s="58" t="n">
        <f aca="false">IF(AV440&gt;0,I440/AV440,-1)</f>
        <v>12</v>
      </c>
      <c r="AZ440" s="58" t="n">
        <f aca="false">IF(AND(OR(BU440="L1",BU440="L23"),AV440&gt;0),SUMIFS($AV$7:$AV$1576,$BU$7:$BU$1576,BU440,$AY$7:$AY$1576,"&gt;"&amp;AY440)+SUMIFS($AV$7:$AV$1576,$BU$7:$BU$1576,BU440,$AY$7:$AY$1576,AY440,$BO$7:$BO$1576,"&lt;="&amp;BO440),"")</f>
        <v>97.6635234997847</v>
      </c>
      <c r="BA440" s="65" t="n">
        <f aca="false">IF(AZ440="",0,MAX(0,MIN(1,(IF(BU440="L1",Parameter!$E$5,Parameter!$E$6+Parameter!$E$7)-(AZ440-AV440))/AV440)))</f>
        <v>1</v>
      </c>
      <c r="BB440" s="55" t="str">
        <f aca="false">IF(AF440&lt;=0,"",IF(BU440="Aussen","Aussenlager",IF(BU440="-","Nicht im Lift",IF(AK440&gt;=1,"Lift",IF(AK440&lt;=0,"Aussenlager","teilweise")))))</f>
        <v>Lift</v>
      </c>
      <c r="BC440" s="55" t="str">
        <f aca="false">IF(AN440&lt;=0,"",IF(BU440="Aussen","Aussenlager",IF(BU440="-","Nicht im Lift",IF(AS440&gt;=1,"Lift",IF(AS440&lt;=0,"Aussenlager","teilweise")))))</f>
        <v>Aussenlager</v>
      </c>
      <c r="BD440" s="55" t="str">
        <f aca="false">IF(AV440&lt;=0,"",IF(BU440="Aussen","Aussenlager",IF(BU440="-","Nicht im Lift",IF(BA440&gt;=1,"Lift",IF(BA440&lt;=0,"Aussenlager","teilweise")))))</f>
        <v>Lift</v>
      </c>
      <c r="BE440" s="55" t="str">
        <f aca="false">IF(A440="","",IF(BN440=1,"Neu; ","")&amp;IF(AND(BN440=0,BI440&lt;0),"negativer Bestand (Export "&amp;BI440&amp;"); ","")&amp;IF(I440&lt;=0,"Kein Verbrauch; ","")&amp;IF(CD440&gt;0,"Lift "&amp;U440&amp;" lt. Liftbericht (Fach "&amp;V440&amp;" Stk); ",IF(BR440=1,"Lose – Fläche geschätzt; ",""))&amp;IF(G440&gt;AP440,"Überbestand "&amp;ROUND(G440-AP440,0)&amp;" Stk / CHF "&amp;ROUND((G440-AP440)*F440,0)&amp;"; ","")&amp;IF(AND(BW440=1,BX440&lt;BY440),"MAX &lt; MB+LG; ","")&amp;IF(AND(CC440&gt;0,CB440*10&gt;CC440),"zu hoch für Tablar; ","")&amp;IF(AND(BN440=0,OR(BW440=1,Y440&lt;&gt;"",S440&lt;&gt;"",T440&lt;&gt;"",Z440&lt;&gt;"")),"manuell übersteuert; ","")&amp;IF(AND(BR440=0,Q440=0),"Gebinde unbekannt / Stellmass fehlt; ","")&amp;IF(AND(BR440=0,N(T440)&lt;=0,N(P440)&lt;=0),"Menge pro Gebinde fehlt (Ist = 1 Gebinde); ","")&amp;BM440)</f>
        <v>i.o</v>
      </c>
      <c r="BF440" s="55"/>
      <c r="BG440" s="55"/>
      <c r="BH440" s="62"/>
      <c r="BI440" s="57" t="n">
        <v>8</v>
      </c>
      <c r="BJ440" s="57" t="n">
        <v>55</v>
      </c>
      <c r="BK440" s="56" t="n">
        <v>74.66</v>
      </c>
      <c r="BL440" s="57" t="n">
        <v>1</v>
      </c>
      <c r="BM440" s="55" t="s">
        <v>525</v>
      </c>
      <c r="BN440" s="60" t="n">
        <v>0</v>
      </c>
      <c r="BO440" s="60" t="n">
        <v>440</v>
      </c>
      <c r="BP440" s="55" t="str">
        <f aca="false">IF(S440&lt;&gt;"",UPPER(TRIM(S440)),IF(O440="","LOSE",O440))</f>
        <v>S61</v>
      </c>
      <c r="BQ440" s="57" t="n">
        <f aca="false">IF(BP440="LOSE",1,IF(N(T440)&gt;0,T440,IF(N(P440)&gt;0,P440,MAX(1,G440))))</f>
        <v>55</v>
      </c>
      <c r="BR440" s="60" t="n">
        <f aca="false">IF(BP440="LOSE",1,0)</f>
        <v>0</v>
      </c>
      <c r="BS440" s="59" t="n">
        <f aca="false">IF(BR440=0,0,IF(N(R440)&gt;0,R440,IFERROR(VLOOKUP(D440,Parameter!$A$35:$C$64,3,0)+0,0)))</f>
        <v>0</v>
      </c>
      <c r="BT440" s="55" t="n">
        <f aca="false">IF(Y440&lt;&gt;"",Y440,X440)</f>
        <v>2</v>
      </c>
      <c r="BU440" s="55" t="str">
        <f aca="false">IF(BT440=1,"L1",IF(OR(BT440=2,BT440=3),"L23",IF(BT440="Aussen","Aussen","-")))</f>
        <v>L23</v>
      </c>
      <c r="BV440" s="66" t="n">
        <f aca="false">IF(N(Z440)&gt;0,Z440,0)</f>
        <v>0</v>
      </c>
      <c r="BW440" s="60" t="n">
        <f aca="false">IF(ISNUMBER(AC440),1,0)</f>
        <v>0</v>
      </c>
      <c r="BX440" s="57" t="n">
        <f aca="false">N(AC440)</f>
        <v>0</v>
      </c>
      <c r="BY440" s="57" t="n">
        <f aca="false">N(L440)+N(M440)</f>
        <v>1</v>
      </c>
      <c r="BZ440" s="57" t="n">
        <f aca="false">ROUNDUP(G440/BQ440,0)</f>
        <v>1</v>
      </c>
      <c r="CA440" s="57" t="n">
        <f aca="false">ROUNDUP(BX440/BQ440,0)</f>
        <v>0</v>
      </c>
      <c r="CB440" s="60" t="n">
        <f aca="false">IF(BR440=1,0,IFERROR(VLOOKUP(BP440,'Gebinde-Kategorie'!$A$5:$M$45,5,0)+0,0))</f>
        <v>11</v>
      </c>
      <c r="CC440" s="60" t="n">
        <f aca="false">IFERROR(IF(OR(BT440=1,BT440=2,BT440=3),N(INDEX(Parameter!$I$5:$I$7,BT440)),0),0)</f>
        <v>0</v>
      </c>
      <c r="CD440" s="59" t="n">
        <f aca="false">IF(AND(Parameter!$B$21="Ja",ISNUMBER(U440),N(V440)&gt;0),IFERROR(N(INDEX(Parameter!$L$5:$L$7,U440))*INDEX(Parameter!$E$5:$E$7,U440)*V440/SUMIFS($V$7:$V$1576,$U$7:$U$1576,U440),0),0)</f>
        <v>0</v>
      </c>
    </row>
    <row r="441" customFormat="false" ht="15" hidden="false" customHeight="false" outlineLevel="0" collapsed="false">
      <c r="A441" s="55" t="s">
        <v>994</v>
      </c>
      <c r="B441" s="55" t="s">
        <v>995</v>
      </c>
      <c r="C441" s="55" t="s">
        <v>160</v>
      </c>
      <c r="D441" s="55" t="s">
        <v>178</v>
      </c>
      <c r="E441" s="55" t="s">
        <v>210</v>
      </c>
      <c r="F441" s="56" t="n">
        <v>73.69</v>
      </c>
      <c r="G441" s="57" t="n">
        <f aca="false">MAX(0,IF(AND(Parameter!$B$21="Ja",ISNUMBER(W441)),W441,IF(Parameter!$B$20="Jahresanfang 2025 + Export",BJ441+BI441,BI441)))</f>
        <v>1</v>
      </c>
      <c r="H441" s="57" t="n">
        <f aca="false">G441*F441</f>
        <v>73.69</v>
      </c>
      <c r="I441" s="57" t="n">
        <f aca="false">BL441*Parameter!$B$18</f>
        <v>0</v>
      </c>
      <c r="J441" s="58" t="n">
        <v>5.5</v>
      </c>
      <c r="K441" s="59" t="n">
        <v>0</v>
      </c>
      <c r="L441" s="57" t="n">
        <v>0</v>
      </c>
      <c r="M441" s="57" t="n">
        <v>1</v>
      </c>
      <c r="N441" s="60" t="n">
        <v>14</v>
      </c>
      <c r="O441" s="55" t="s">
        <v>416</v>
      </c>
      <c r="P441" s="57" t="n">
        <v>2</v>
      </c>
      <c r="Q441" s="60" t="n">
        <f aca="false">IF(BR441=1,0,IFERROR(VLOOKUP(BP441,'Gebinde-Kategorie'!$A$5:$M$45,13,0)+0,0))</f>
        <v>198</v>
      </c>
      <c r="R441" s="61"/>
      <c r="S441" s="62"/>
      <c r="T441" s="62"/>
      <c r="U441" s="55"/>
      <c r="V441" s="57"/>
      <c r="W441" s="57"/>
      <c r="X441" s="55" t="n">
        <f aca="false">IF(A441="","",IF(AND(Parameter!$B$21="Ja",ISNUMBER(U441)),U441,IF(IFERROR(VLOOKUP(D441,Parameter!$A$35:$C$64,2,0),"Nein")="2+3",IF(ISNUMBER(SEARCH("grosser Artikel",BM441)),2,IFERROR(VLOOKUP(BP441,Parameter!$F$35:$G$64,2,0),2)),IF(OR(IFERROR(VLOOKUP(D441,Parameter!$A$35:$C$64,2,0),"Nein")="Nein",IFERROR(VLOOKUP(D441,Parameter!$A$35:$C$64,2,0),"Nein")=""),"-",VLOOKUP(D441,Parameter!$A$35:$C$64,2,0)))))</f>
        <v>3</v>
      </c>
      <c r="Y441" s="62"/>
      <c r="Z441" s="63"/>
      <c r="AA441" s="57" t="n">
        <f aca="false">AP441</f>
        <v>2</v>
      </c>
      <c r="AB441" s="57" t="n">
        <f aca="false">MAX(AP441,G441)</f>
        <v>2</v>
      </c>
      <c r="AC441" s="64"/>
      <c r="AD441" s="57" t="n">
        <f aca="false">IF(LEFT(Cockpit!$C$5,1)="A",G441,IF(BW441=1,BX441,IF(LEFT(Cockpit!$C$5,1)="B",AH441,MAX(AH441,G441))))</f>
        <v>1</v>
      </c>
      <c r="AE441" s="57" t="n">
        <f aca="false">IF(BR441=1,0,ROUNDUP(AD441/BQ441,0))</f>
        <v>1</v>
      </c>
      <c r="AF441" s="59" t="n">
        <f aca="false">IF(CD441&gt;0,CD441*MAX(1,AD441/V441),IF(BR441=1,IF(AD441&lt;=0,0,BS441*MAX(1,IF(G441&gt;0,AD441/G441,1))),IF(Q441&gt;0,AE441/Q441,0))/MAX(0.1,N(Parameter!$M$21)))</f>
        <v>0.00505050505050505</v>
      </c>
      <c r="AG441" s="57" t="n">
        <f aca="false">AD441*F441</f>
        <v>73.69</v>
      </c>
      <c r="AH441" s="57" t="n">
        <f aca="false">ROUNDUP(MAX(I441/IF(BV441&gt;0,BV441,MAX(0.1,N(Cockpit!$C$6))),BY441)/BQ441,0)*BQ441</f>
        <v>2</v>
      </c>
      <c r="AI441" s="58" t="n">
        <f aca="false">IF(AF441&gt;0,I441/AF441,-1)</f>
        <v>0</v>
      </c>
      <c r="AJ441" s="58" t="n">
        <f aca="false">IF(AND(OR(BU441="L1",BU441="L23"),AF441&gt;0),SUMIFS($AF$7:$AF$1576,$BU$7:$BU$1576,BU441,$AI$7:$AI$1576,"&gt;"&amp;AI441)+SUMIFS($AF$7:$AF$1576,$BU$7:$BU$1576,BU441,$AI$7:$AI$1576,AI441,$BO$7:$BO$1576,"&lt;="&amp;BO441),"")</f>
        <v>41.9311752981318</v>
      </c>
      <c r="AK441" s="65" t="n">
        <f aca="false">IF(AJ441="",0,MAX(0,MIN(1,(IF(BU441="L1",Parameter!$E$5,Parameter!$E$6+Parameter!$E$7)-(AJ441-AF441))/AF441)))</f>
        <v>1</v>
      </c>
      <c r="AL441" s="57" t="n">
        <f aca="false">IF(LEFT(Cockpit!$I$5,1)="A",G441,IF(BW441=1,BX441,IF(LEFT(Cockpit!$I$5,1)="B",AP441,MAX(AP441,G441))))</f>
        <v>2</v>
      </c>
      <c r="AM441" s="57" t="n">
        <f aca="false">IF(BR441=1,0,ROUNDUP(AL441/BQ441,0))</f>
        <v>1</v>
      </c>
      <c r="AN441" s="59" t="n">
        <f aca="false">IF(CD441&gt;0,CD441*MAX(1,AL441/V441),IF(BR441=1,IF(AL441&lt;=0,0,BS441*MAX(1,IF(G441&gt;0,AL441/G441,1))),IF(Q441&gt;0,AM441/Q441,0))/MAX(0.1,N(Parameter!$M$21)))</f>
        <v>0.00505050505050505</v>
      </c>
      <c r="AO441" s="57" t="n">
        <f aca="false">AL441*F441</f>
        <v>147.38</v>
      </c>
      <c r="AP441" s="57" t="n">
        <f aca="false">ROUNDUP(MAX(I441/IF(BV441&gt;0,BV441,MAX(0.1,N(Cockpit!$I$6))),BY441)/BQ441,0)*BQ441</f>
        <v>2</v>
      </c>
      <c r="AQ441" s="58" t="n">
        <f aca="false">IF(AN441&gt;0,I441/AN441,-1)</f>
        <v>0</v>
      </c>
      <c r="AR441" s="58" t="n">
        <f aca="false">IF(AND(OR(BU441="L1",BU441="L23"),AN441&gt;0),SUMIFS($AN$7:$AN$1576,$BU$7:$BU$1576,BU441,$AQ$7:$AQ$1576,"&gt;"&amp;AQ441)+SUMIFS($AN$7:$AN$1576,$BU$7:$BU$1576,BU441,$AQ$7:$AQ$1576,AQ441,$BO$7:$BO$1576,"&lt;="&amp;BO441),"")</f>
        <v>124.92796141665</v>
      </c>
      <c r="AS441" s="65" t="n">
        <f aca="false">IF(AR441="",0,MAX(0,MIN(1,(IF(BU441="L1",Parameter!$E$5,Parameter!$E$6+Parameter!$E$7)-(AR441-AN441))/AN441)))</f>
        <v>0</v>
      </c>
      <c r="AT441" s="57" t="n">
        <f aca="false">IF(LEFT(Cockpit!$O$5,1)="A",G441,IF(BW441=1,BX441,IF(LEFT(Cockpit!$O$5,1)="B",AX441,MAX(AX441,G441))))</f>
        <v>2</v>
      </c>
      <c r="AU441" s="57" t="n">
        <f aca="false">IF(BR441=1,0,ROUNDUP(AT441/BQ441,0))</f>
        <v>1</v>
      </c>
      <c r="AV441" s="59" t="n">
        <f aca="false">IF(CD441&gt;0,CD441*MAX(1,AT441/V441),IF(BR441=1,IF(AT441&lt;=0,0,BS441*MAX(1,IF(G441&gt;0,AT441/G441,1))),IF(Q441&gt;0,AU441/Q441,0))/MAX(0.1,N(Parameter!$M$21)))</f>
        <v>0.00505050505050505</v>
      </c>
      <c r="AW441" s="57" t="n">
        <f aca="false">AT441*F441</f>
        <v>147.38</v>
      </c>
      <c r="AX441" s="57" t="n">
        <f aca="false">ROUNDUP(MAX(I441/IF(BV441&gt;0,BV441,MAX(0.1,N(Cockpit!$O$6))),BY441)/BQ441,0)*BQ441</f>
        <v>2</v>
      </c>
      <c r="AY441" s="58" t="n">
        <f aca="false">IF(AV441&gt;0,I441/AV441,-1)</f>
        <v>0</v>
      </c>
      <c r="AZ441" s="58" t="n">
        <f aca="false">IF(AND(OR(BU441="L1",BU441="L23"),AV441&gt;0),SUMIFS($AV$7:$AV$1576,$BU$7:$BU$1576,BU441,$AY$7:$AY$1576,"&gt;"&amp;AY441)+SUMIFS($AV$7:$AV$1576,$BU$7:$BU$1576,BU441,$AY$7:$AY$1576,AY441,$BO$7:$BO$1576,"&lt;="&amp;BO441),"")</f>
        <v>114.987511866201</v>
      </c>
      <c r="BA441" s="65" t="n">
        <f aca="false">IF(AZ441="",0,MAX(0,MIN(1,(IF(BU441="L1",Parameter!$E$5,Parameter!$E$6+Parameter!$E$7)-(AZ441-AV441))/AV441)))</f>
        <v>0</v>
      </c>
      <c r="BB441" s="55" t="str">
        <f aca="false">IF(AF441&lt;=0,"",IF(BU441="Aussen","Aussenlager",IF(BU441="-","Nicht im Lift",IF(AK441&gt;=1,"Lift",IF(AK441&lt;=0,"Aussenlager","teilweise")))))</f>
        <v>Lift</v>
      </c>
      <c r="BC441" s="55" t="str">
        <f aca="false">IF(AN441&lt;=0,"",IF(BU441="Aussen","Aussenlager",IF(BU441="-","Nicht im Lift",IF(AS441&gt;=1,"Lift",IF(AS441&lt;=0,"Aussenlager","teilweise")))))</f>
        <v>Aussenlager</v>
      </c>
      <c r="BD441" s="55" t="str">
        <f aca="false">IF(AV441&lt;=0,"",IF(BU441="Aussen","Aussenlager",IF(BU441="-","Nicht im Lift",IF(BA441&gt;=1,"Lift",IF(BA441&lt;=0,"Aussenlager","teilweise")))))</f>
        <v>Aussenlager</v>
      </c>
      <c r="BE441" s="55" t="str">
        <f aca="false">IF(A441="","",IF(BN441=1,"Neu; ","")&amp;IF(AND(BN441=0,BI441&lt;0),"negativer Bestand (Export "&amp;BI441&amp;"); ","")&amp;IF(I441&lt;=0,"Kein Verbrauch; ","")&amp;IF(CD441&gt;0,"Lift "&amp;U441&amp;" lt. Liftbericht (Fach "&amp;V441&amp;" Stk); ",IF(BR441=1,"Lose – Fläche geschätzt; ",""))&amp;IF(G441&gt;AP441,"Überbestand "&amp;ROUND(G441-AP441,0)&amp;" Stk / CHF "&amp;ROUND((G441-AP441)*F441,0)&amp;"; ","")&amp;IF(AND(BW441=1,BX441&lt;BY441),"MAX &lt; MB+LG; ","")&amp;IF(AND(CC441&gt;0,CB441*10&gt;CC441),"zu hoch für Tablar; ","")&amp;IF(AND(BN441=0,OR(BW441=1,Y441&lt;&gt;"",S441&lt;&gt;"",T441&lt;&gt;"",Z441&lt;&gt;"")),"manuell übersteuert; ","")&amp;IF(AND(BR441=0,Q441=0),"Gebinde unbekannt / Stellmass fehlt; ","")&amp;IF(AND(BR441=0,N(T441)&lt;=0,N(P441)&lt;=0),"Menge pro Gebinde fehlt (Ist = 1 Gebinde); ","")&amp;BM441)</f>
        <v>Kein Verbrauch; i.o</v>
      </c>
      <c r="BF441" s="55"/>
      <c r="BG441" s="55"/>
      <c r="BH441" s="62"/>
      <c r="BI441" s="57" t="n">
        <v>1</v>
      </c>
      <c r="BJ441" s="57" t="n">
        <v>5</v>
      </c>
      <c r="BK441" s="56" t="n">
        <v>73.69</v>
      </c>
      <c r="BL441" s="57" t="n">
        <v>0</v>
      </c>
      <c r="BM441" s="55" t="s">
        <v>525</v>
      </c>
      <c r="BN441" s="60" t="n">
        <v>0</v>
      </c>
      <c r="BO441" s="60" t="n">
        <v>441</v>
      </c>
      <c r="BP441" s="55" t="str">
        <f aca="false">IF(S441&lt;&gt;"",UPPER(TRIM(S441)),IF(O441="","LOSE",O441))</f>
        <v>S22</v>
      </c>
      <c r="BQ441" s="57" t="n">
        <f aca="false">IF(BP441="LOSE",1,IF(N(T441)&gt;0,T441,IF(N(P441)&gt;0,P441,MAX(1,G441))))</f>
        <v>2</v>
      </c>
      <c r="BR441" s="60" t="n">
        <f aca="false">IF(BP441="LOSE",1,0)</f>
        <v>0</v>
      </c>
      <c r="BS441" s="59" t="n">
        <f aca="false">IF(BR441=0,0,IF(N(R441)&gt;0,R441,IFERROR(VLOOKUP(D441,Parameter!$A$35:$C$64,3,0)+0,0)))</f>
        <v>0</v>
      </c>
      <c r="BT441" s="55" t="n">
        <f aca="false">IF(Y441&lt;&gt;"",Y441,X441)</f>
        <v>3</v>
      </c>
      <c r="BU441" s="55" t="str">
        <f aca="false">IF(BT441=1,"L1",IF(OR(BT441=2,BT441=3),"L23",IF(BT441="Aussen","Aussen","-")))</f>
        <v>L23</v>
      </c>
      <c r="BV441" s="66" t="n">
        <f aca="false">IF(N(Z441)&gt;0,Z441,0)</f>
        <v>0</v>
      </c>
      <c r="BW441" s="60" t="n">
        <f aca="false">IF(ISNUMBER(AC441),1,0)</f>
        <v>0</v>
      </c>
      <c r="BX441" s="57" t="n">
        <f aca="false">N(AC441)</f>
        <v>0</v>
      </c>
      <c r="BY441" s="57" t="n">
        <f aca="false">N(L441)+N(M441)</f>
        <v>1</v>
      </c>
      <c r="BZ441" s="57" t="n">
        <f aca="false">ROUNDUP(G441/BQ441,0)</f>
        <v>1</v>
      </c>
      <c r="CA441" s="57" t="n">
        <f aca="false">ROUNDUP(BX441/BQ441,0)</f>
        <v>0</v>
      </c>
      <c r="CB441" s="60" t="n">
        <f aca="false">IF(BR441=1,0,IFERROR(VLOOKUP(BP441,'Gebinde-Kategorie'!$A$5:$M$45,5,0)+0,0))</f>
        <v>8</v>
      </c>
      <c r="CC441" s="60" t="n">
        <f aca="false">IFERROR(IF(OR(BT441=1,BT441=2,BT441=3),N(INDEX(Parameter!$I$5:$I$7,BT441)),0),0)</f>
        <v>0</v>
      </c>
      <c r="CD441" s="59" t="n">
        <f aca="false">IF(AND(Parameter!$B$21="Ja",ISNUMBER(U441),N(V441)&gt;0),IFERROR(N(INDEX(Parameter!$L$5:$L$7,U441))*INDEX(Parameter!$E$5:$E$7,U441)*V441/SUMIFS($V$7:$V$1576,$U$7:$U$1576,U441),0),0)</f>
        <v>0</v>
      </c>
    </row>
    <row r="442" customFormat="false" ht="15" hidden="false" customHeight="false" outlineLevel="0" collapsed="false">
      <c r="A442" s="55" t="s">
        <v>996</v>
      </c>
      <c r="B442" s="55" t="s">
        <v>881</v>
      </c>
      <c r="C442" s="55" t="s">
        <v>160</v>
      </c>
      <c r="D442" s="55" t="s">
        <v>178</v>
      </c>
      <c r="E442" s="55" t="s">
        <v>210</v>
      </c>
      <c r="F442" s="56" t="n">
        <v>7.1</v>
      </c>
      <c r="G442" s="57" t="n">
        <f aca="false">MAX(0,IF(AND(Parameter!$B$21="Ja",ISNUMBER(W442)),W442,IF(Parameter!$B$20="Jahresanfang 2025 + Export",BJ442+BI442,BI442)))</f>
        <v>10</v>
      </c>
      <c r="H442" s="57" t="n">
        <f aca="false">G442*F442</f>
        <v>71</v>
      </c>
      <c r="I442" s="57" t="n">
        <f aca="false">BL442*Parameter!$B$18</f>
        <v>22</v>
      </c>
      <c r="J442" s="58" t="n">
        <v>7</v>
      </c>
      <c r="K442" s="59" t="n">
        <v>3.14285714285714</v>
      </c>
      <c r="L442" s="57" t="n">
        <v>0</v>
      </c>
      <c r="M442" s="57" t="n">
        <v>20</v>
      </c>
      <c r="N442" s="60" t="n">
        <v>14</v>
      </c>
      <c r="O442" s="55" t="s">
        <v>416</v>
      </c>
      <c r="P442" s="57" t="n">
        <v>32</v>
      </c>
      <c r="Q442" s="60" t="n">
        <f aca="false">IF(BR442=1,0,IFERROR(VLOOKUP(BP442,'Gebinde-Kategorie'!$A$5:$M$45,13,0)+0,0))</f>
        <v>198</v>
      </c>
      <c r="R442" s="61"/>
      <c r="S442" s="62"/>
      <c r="T442" s="62"/>
      <c r="U442" s="55"/>
      <c r="V442" s="57"/>
      <c r="W442" s="57"/>
      <c r="X442" s="55" t="n">
        <f aca="false">IF(A442="","",IF(AND(Parameter!$B$21="Ja",ISNUMBER(U442)),U442,IF(IFERROR(VLOOKUP(D442,Parameter!$A$35:$C$64,2,0),"Nein")="2+3",IF(ISNUMBER(SEARCH("grosser Artikel",BM442)),2,IFERROR(VLOOKUP(BP442,Parameter!$F$35:$G$64,2,0),2)),IF(OR(IFERROR(VLOOKUP(D442,Parameter!$A$35:$C$64,2,0),"Nein")="Nein",IFERROR(VLOOKUP(D442,Parameter!$A$35:$C$64,2,0),"Nein")=""),"-",VLOOKUP(D442,Parameter!$A$35:$C$64,2,0)))))</f>
        <v>3</v>
      </c>
      <c r="Y442" s="62"/>
      <c r="Z442" s="63"/>
      <c r="AA442" s="57" t="n">
        <f aca="false">AP442</f>
        <v>32</v>
      </c>
      <c r="AB442" s="57" t="n">
        <f aca="false">MAX(AP442,G442)</f>
        <v>32</v>
      </c>
      <c r="AC442" s="64"/>
      <c r="AD442" s="57" t="n">
        <f aca="false">IF(LEFT(Cockpit!$C$5,1)="A",G442,IF(BW442=1,BX442,IF(LEFT(Cockpit!$C$5,1)="B",AH442,MAX(AH442,G442))))</f>
        <v>10</v>
      </c>
      <c r="AE442" s="57" t="n">
        <f aca="false">IF(BR442=1,0,ROUNDUP(AD442/BQ442,0))</f>
        <v>1</v>
      </c>
      <c r="AF442" s="59" t="n">
        <f aca="false">IF(CD442&gt;0,CD442*MAX(1,AD442/V442),IF(BR442=1,IF(AD442&lt;=0,0,BS442*MAX(1,IF(G442&gt;0,AD442/G442,1))),IF(Q442&gt;0,AE442/Q442,0))/MAX(0.1,N(Parameter!$M$21)))</f>
        <v>0.00505050505050505</v>
      </c>
      <c r="AG442" s="57" t="n">
        <f aca="false">AD442*F442</f>
        <v>71</v>
      </c>
      <c r="AH442" s="57" t="n">
        <f aca="false">ROUNDUP(MAX(I442/IF(BV442&gt;0,BV442,MAX(0.1,N(Cockpit!$C$6))),BY442)/BQ442,0)*BQ442</f>
        <v>32</v>
      </c>
      <c r="AI442" s="58" t="n">
        <f aca="false">IF(AF442&gt;0,I442/AF442,-1)</f>
        <v>4356</v>
      </c>
      <c r="AJ442" s="58" t="n">
        <f aca="false">IF(AND(OR(BU442="L1",BU442="L23"),AF442&gt;0),SUMIFS($AF$7:$AF$1576,$BU$7:$BU$1576,BU442,$AI$7:$AI$1576,"&gt;"&amp;AI442)+SUMIFS($AF$7:$AF$1576,$BU$7:$BU$1576,BU442,$AI$7:$AI$1576,AI442,$BO$7:$BO$1576,"&lt;="&amp;BO442),"")</f>
        <v>4.1355643390426</v>
      </c>
      <c r="AK442" s="65" t="n">
        <f aca="false">IF(AJ442="",0,MAX(0,MIN(1,(IF(BU442="L1",Parameter!$E$5,Parameter!$E$6+Parameter!$E$7)-(AJ442-AF442))/AF442)))</f>
        <v>1</v>
      </c>
      <c r="AL442" s="57" t="n">
        <f aca="false">IF(LEFT(Cockpit!$I$5,1)="A",G442,IF(BW442=1,BX442,IF(LEFT(Cockpit!$I$5,1)="B",AP442,MAX(AP442,G442))))</f>
        <v>32</v>
      </c>
      <c r="AM442" s="57" t="n">
        <f aca="false">IF(BR442=1,0,ROUNDUP(AL442/BQ442,0))</f>
        <v>1</v>
      </c>
      <c r="AN442" s="59" t="n">
        <f aca="false">IF(CD442&gt;0,CD442*MAX(1,AL442/V442),IF(BR442=1,IF(AL442&lt;=0,0,BS442*MAX(1,IF(G442&gt;0,AL442/G442,1))),IF(Q442&gt;0,AM442/Q442,0))/MAX(0.1,N(Parameter!$M$21)))</f>
        <v>0.00505050505050505</v>
      </c>
      <c r="AO442" s="57" t="n">
        <f aca="false">AL442*F442</f>
        <v>227.2</v>
      </c>
      <c r="AP442" s="57" t="n">
        <f aca="false">ROUNDUP(MAX(I442/IF(BV442&gt;0,BV442,MAX(0.1,N(Cockpit!$I$6))),BY442)/BQ442,0)*BQ442</f>
        <v>32</v>
      </c>
      <c r="AQ442" s="58" t="n">
        <f aca="false">IF(AN442&gt;0,I442/AN442,-1)</f>
        <v>4356</v>
      </c>
      <c r="AR442" s="58" t="n">
        <f aca="false">IF(AND(OR(BU442="L1",BU442="L23"),AN442&gt;0),SUMIFS($AN$7:$AN$1576,$BU$7:$BU$1576,BU442,$AQ$7:$AQ$1576,"&gt;"&amp;AQ442)+SUMIFS($AN$7:$AN$1576,$BU$7:$BU$1576,BU442,$AQ$7:$AQ$1576,AQ442,$BO$7:$BO$1576,"&lt;="&amp;BO442),"")</f>
        <v>12.7326397520354</v>
      </c>
      <c r="AS442" s="65" t="n">
        <f aca="false">IF(AR442="",0,MAX(0,MIN(1,(IF(BU442="L1",Parameter!$E$5,Parameter!$E$6+Parameter!$E$7)-(AR442-AN442))/AN442)))</f>
        <v>1</v>
      </c>
      <c r="AT442" s="57" t="n">
        <f aca="false">IF(LEFT(Cockpit!$O$5,1)="A",G442,IF(BW442=1,BX442,IF(LEFT(Cockpit!$O$5,1)="B",AX442,MAX(AX442,G442))))</f>
        <v>32</v>
      </c>
      <c r="AU442" s="57" t="n">
        <f aca="false">IF(BR442=1,0,ROUNDUP(AT442/BQ442,0))</f>
        <v>1</v>
      </c>
      <c r="AV442" s="59" t="n">
        <f aca="false">IF(CD442&gt;0,CD442*MAX(1,AT442/V442),IF(BR442=1,IF(AT442&lt;=0,0,BS442*MAX(1,IF(G442&gt;0,AT442/G442,1))),IF(Q442&gt;0,AU442/Q442,0))/MAX(0.1,N(Parameter!$M$21)))</f>
        <v>0.00505050505050505</v>
      </c>
      <c r="AW442" s="57" t="n">
        <f aca="false">AT442*F442</f>
        <v>227.2</v>
      </c>
      <c r="AX442" s="57" t="n">
        <f aca="false">ROUNDUP(MAX(I442/IF(BV442&gt;0,BV442,MAX(0.1,N(Cockpit!$O$6))),BY442)/BQ442,0)*BQ442</f>
        <v>32</v>
      </c>
      <c r="AY442" s="58" t="n">
        <f aca="false">IF(AV442&gt;0,I442/AV442,-1)</f>
        <v>4356</v>
      </c>
      <c r="AZ442" s="58" t="n">
        <f aca="false">IF(AND(OR(BU442="L1",BU442="L23"),AV442&gt;0),SUMIFS($AV$7:$AV$1576,$BU$7:$BU$1576,BU442,$AY$7:$AY$1576,"&gt;"&amp;AY442)+SUMIFS($AV$7:$AV$1576,$BU$7:$BU$1576,BU442,$AY$7:$AY$1576,AY442,$BO$7:$BO$1576,"&lt;="&amp;BO442),"")</f>
        <v>11.4535022228979</v>
      </c>
      <c r="BA442" s="65" t="n">
        <f aca="false">IF(AZ442="",0,MAX(0,MIN(1,(IF(BU442="L1",Parameter!$E$5,Parameter!$E$6+Parameter!$E$7)-(AZ442-AV442))/AV442)))</f>
        <v>1</v>
      </c>
      <c r="BB442" s="55" t="str">
        <f aca="false">IF(AF442&lt;=0,"",IF(BU442="Aussen","Aussenlager",IF(BU442="-","Nicht im Lift",IF(AK442&gt;=1,"Lift",IF(AK442&lt;=0,"Aussenlager","teilweise")))))</f>
        <v>Lift</v>
      </c>
      <c r="BC442" s="55" t="str">
        <f aca="false">IF(AN442&lt;=0,"",IF(BU442="Aussen","Aussenlager",IF(BU442="-","Nicht im Lift",IF(AS442&gt;=1,"Lift",IF(AS442&lt;=0,"Aussenlager","teilweise")))))</f>
        <v>Lift</v>
      </c>
      <c r="BD442" s="55" t="str">
        <f aca="false">IF(AV442&lt;=0,"",IF(BU442="Aussen","Aussenlager",IF(BU442="-","Nicht im Lift",IF(BA442&gt;=1,"Lift",IF(BA442&lt;=0,"Aussenlager","teilweise")))))</f>
        <v>Lift</v>
      </c>
      <c r="BE442" s="55" t="str">
        <f aca="false">IF(A442="","",IF(BN442=1,"Neu; ","")&amp;IF(AND(BN442=0,BI442&lt;0),"negativer Bestand (Export "&amp;BI442&amp;"); ","")&amp;IF(I442&lt;=0,"Kein Verbrauch; ","")&amp;IF(CD442&gt;0,"Lift "&amp;U442&amp;" lt. Liftbericht (Fach "&amp;V442&amp;" Stk); ",IF(BR442=1,"Lose – Fläche geschätzt; ",""))&amp;IF(G442&gt;AP442,"Überbestand "&amp;ROUND(G442-AP442,0)&amp;" Stk / CHF "&amp;ROUND((G442-AP442)*F442,0)&amp;"; ","")&amp;IF(AND(BW442=1,BX442&lt;BY442),"MAX &lt; MB+LG; ","")&amp;IF(AND(CC442&gt;0,CB442*10&gt;CC442),"zu hoch für Tablar; ","")&amp;IF(AND(BN442=0,OR(BW442=1,Y442&lt;&gt;"",S442&lt;&gt;"",T442&lt;&gt;"",Z442&lt;&gt;"")),"manuell übersteuert; ","")&amp;IF(AND(BR442=0,Q442=0),"Gebinde unbekannt / Stellmass fehlt; ","")&amp;IF(AND(BR442=0,N(T442)&lt;=0,N(P442)&lt;=0),"Menge pro Gebinde fehlt (Ist = 1 Gebinde); ","")&amp;BM442)</f>
        <v/>
      </c>
      <c r="BF442" s="55"/>
      <c r="BG442" s="55"/>
      <c r="BH442" s="62"/>
      <c r="BI442" s="57" t="n">
        <v>10</v>
      </c>
      <c r="BJ442" s="57" t="n">
        <v>7</v>
      </c>
      <c r="BK442" s="56" t="n">
        <v>73.38</v>
      </c>
      <c r="BL442" s="57" t="n">
        <v>22</v>
      </c>
      <c r="BM442" s="55"/>
      <c r="BN442" s="60" t="n">
        <v>0</v>
      </c>
      <c r="BO442" s="60" t="n">
        <v>442</v>
      </c>
      <c r="BP442" s="55" t="str">
        <f aca="false">IF(S442&lt;&gt;"",UPPER(TRIM(S442)),IF(O442="","LOSE",O442))</f>
        <v>S22</v>
      </c>
      <c r="BQ442" s="57" t="n">
        <f aca="false">IF(BP442="LOSE",1,IF(N(T442)&gt;0,T442,IF(N(P442)&gt;0,P442,MAX(1,G442))))</f>
        <v>32</v>
      </c>
      <c r="BR442" s="60" t="n">
        <f aca="false">IF(BP442="LOSE",1,0)</f>
        <v>0</v>
      </c>
      <c r="BS442" s="59" t="n">
        <f aca="false">IF(BR442=0,0,IF(N(R442)&gt;0,R442,IFERROR(VLOOKUP(D442,Parameter!$A$35:$C$64,3,0)+0,0)))</f>
        <v>0</v>
      </c>
      <c r="BT442" s="55" t="n">
        <f aca="false">IF(Y442&lt;&gt;"",Y442,X442)</f>
        <v>3</v>
      </c>
      <c r="BU442" s="55" t="str">
        <f aca="false">IF(BT442=1,"L1",IF(OR(BT442=2,BT442=3),"L23",IF(BT442="Aussen","Aussen","-")))</f>
        <v>L23</v>
      </c>
      <c r="BV442" s="66" t="n">
        <f aca="false">IF(N(Z442)&gt;0,Z442,0)</f>
        <v>0</v>
      </c>
      <c r="BW442" s="60" t="n">
        <f aca="false">IF(ISNUMBER(AC442),1,0)</f>
        <v>0</v>
      </c>
      <c r="BX442" s="57" t="n">
        <f aca="false">N(AC442)</f>
        <v>0</v>
      </c>
      <c r="BY442" s="57" t="n">
        <f aca="false">N(L442)+N(M442)</f>
        <v>20</v>
      </c>
      <c r="BZ442" s="57" t="n">
        <f aca="false">ROUNDUP(G442/BQ442,0)</f>
        <v>1</v>
      </c>
      <c r="CA442" s="57" t="n">
        <f aca="false">ROUNDUP(BX442/BQ442,0)</f>
        <v>0</v>
      </c>
      <c r="CB442" s="60" t="n">
        <f aca="false">IF(BR442=1,0,IFERROR(VLOOKUP(BP442,'Gebinde-Kategorie'!$A$5:$M$45,5,0)+0,0))</f>
        <v>8</v>
      </c>
      <c r="CC442" s="60" t="n">
        <f aca="false">IFERROR(IF(OR(BT442=1,BT442=2,BT442=3),N(INDEX(Parameter!$I$5:$I$7,BT442)),0),0)</f>
        <v>0</v>
      </c>
      <c r="CD442" s="59" t="n">
        <f aca="false">IF(AND(Parameter!$B$21="Ja",ISNUMBER(U442),N(V442)&gt;0),IFERROR(N(INDEX(Parameter!$L$5:$L$7,U442))*INDEX(Parameter!$E$5:$E$7,U442)*V442/SUMIFS($V$7:$V$1576,$U$7:$U$1576,U442),0),0)</f>
        <v>0</v>
      </c>
    </row>
    <row r="443" customFormat="false" ht="15" hidden="false" customHeight="false" outlineLevel="0" collapsed="false">
      <c r="A443" s="55" t="s">
        <v>997</v>
      </c>
      <c r="B443" s="55" t="s">
        <v>998</v>
      </c>
      <c r="C443" s="55" t="s">
        <v>160</v>
      </c>
      <c r="D443" s="55" t="s">
        <v>178</v>
      </c>
      <c r="E443" s="55" t="s">
        <v>210</v>
      </c>
      <c r="F443" s="56" t="n">
        <v>6.65</v>
      </c>
      <c r="G443" s="57" t="n">
        <f aca="false">MAX(0,IF(AND(Parameter!$B$21="Ja",ISNUMBER(W443)),W443,IF(Parameter!$B$20="Jahresanfang 2025 + Export",BJ443+BI443,BI443)))</f>
        <v>11</v>
      </c>
      <c r="H443" s="57" t="n">
        <f aca="false">G443*F443</f>
        <v>73.15</v>
      </c>
      <c r="I443" s="57" t="n">
        <f aca="false">BL443*Parameter!$B$18</f>
        <v>1</v>
      </c>
      <c r="J443" s="58" t="n">
        <v>47.5</v>
      </c>
      <c r="K443" s="59" t="n">
        <v>0.0210526315789474</v>
      </c>
      <c r="L443" s="57" t="n">
        <v>0</v>
      </c>
      <c r="M443" s="57" t="n">
        <v>1</v>
      </c>
      <c r="N443" s="60" t="n">
        <v>70</v>
      </c>
      <c r="O443" s="55" t="s">
        <v>465</v>
      </c>
      <c r="P443" s="57" t="n">
        <v>55</v>
      </c>
      <c r="Q443" s="60" t="n">
        <f aca="false">IF(BR443=1,0,IFERROR(VLOOKUP(BP443,'Gebinde-Kategorie'!$A$5:$M$45,13,0)+0,0))</f>
        <v>66</v>
      </c>
      <c r="R443" s="61"/>
      <c r="S443" s="62"/>
      <c r="T443" s="62"/>
      <c r="U443" s="55"/>
      <c r="V443" s="57"/>
      <c r="W443" s="57"/>
      <c r="X443" s="55" t="n">
        <f aca="false">IF(A443="","",IF(AND(Parameter!$B$21="Ja",ISNUMBER(U443)),U443,IF(IFERROR(VLOOKUP(D443,Parameter!$A$35:$C$64,2,0),"Nein")="2+3",IF(ISNUMBER(SEARCH("grosser Artikel",BM443)),2,IFERROR(VLOOKUP(BP443,Parameter!$F$35:$G$64,2,0),2)),IF(OR(IFERROR(VLOOKUP(D443,Parameter!$A$35:$C$64,2,0),"Nein")="Nein",IFERROR(VLOOKUP(D443,Parameter!$A$35:$C$64,2,0),"Nein")=""),"-",VLOOKUP(D443,Parameter!$A$35:$C$64,2,0)))))</f>
        <v>3</v>
      </c>
      <c r="Y443" s="62"/>
      <c r="Z443" s="63"/>
      <c r="AA443" s="57" t="n">
        <f aca="false">AP443</f>
        <v>55</v>
      </c>
      <c r="AB443" s="57" t="n">
        <f aca="false">MAX(AP443,G443)</f>
        <v>55</v>
      </c>
      <c r="AC443" s="64"/>
      <c r="AD443" s="57" t="n">
        <f aca="false">IF(LEFT(Cockpit!$C$5,1)="A",G443,IF(BW443=1,BX443,IF(LEFT(Cockpit!$C$5,1)="B",AH443,MAX(AH443,G443))))</f>
        <v>11</v>
      </c>
      <c r="AE443" s="57" t="n">
        <f aca="false">IF(BR443=1,0,ROUNDUP(AD443/BQ443,0))</f>
        <v>1</v>
      </c>
      <c r="AF443" s="59" t="n">
        <f aca="false">IF(CD443&gt;0,CD443*MAX(1,AD443/V443),IF(BR443=1,IF(AD443&lt;=0,0,BS443*MAX(1,IF(G443&gt;0,AD443/G443,1))),IF(Q443&gt;0,AE443/Q443,0))/MAX(0.1,N(Parameter!$M$21)))</f>
        <v>0.0151515151515152</v>
      </c>
      <c r="AG443" s="57" t="n">
        <f aca="false">AD443*F443</f>
        <v>73.15</v>
      </c>
      <c r="AH443" s="57" t="n">
        <f aca="false">ROUNDUP(MAX(I443/IF(BV443&gt;0,BV443,MAX(0.1,N(Cockpit!$C$6))),BY443)/BQ443,0)*BQ443</f>
        <v>55</v>
      </c>
      <c r="AI443" s="58" t="n">
        <f aca="false">IF(AF443&gt;0,I443/AF443,-1)</f>
        <v>66</v>
      </c>
      <c r="AJ443" s="58" t="n">
        <f aca="false">IF(AND(OR(BU443="L1",BU443="L23"),AF443&gt;0),SUMIFS($AF$7:$AF$1576,$BU$7:$BU$1576,BU443,$AI$7:$AI$1576,"&gt;"&amp;AI443)+SUMIFS($AF$7:$AF$1576,$BU$7:$BU$1576,BU443,$AI$7:$AI$1576,AI443,$BO$7:$BO$1576,"&lt;="&amp;BO443),"")</f>
        <v>24.6830711800277</v>
      </c>
      <c r="AK443" s="65" t="n">
        <f aca="false">IF(AJ443="",0,MAX(0,MIN(1,(IF(BU443="L1",Parameter!$E$5,Parameter!$E$6+Parameter!$E$7)-(AJ443-AF443))/AF443)))</f>
        <v>1</v>
      </c>
      <c r="AL443" s="57" t="n">
        <f aca="false">IF(LEFT(Cockpit!$I$5,1)="A",G443,IF(BW443=1,BX443,IF(LEFT(Cockpit!$I$5,1)="B",AP443,MAX(AP443,G443))))</f>
        <v>55</v>
      </c>
      <c r="AM443" s="57" t="n">
        <f aca="false">IF(BR443=1,0,ROUNDUP(AL443/BQ443,0))</f>
        <v>1</v>
      </c>
      <c r="AN443" s="59" t="n">
        <f aca="false">IF(CD443&gt;0,CD443*MAX(1,AL443/V443),IF(BR443=1,IF(AL443&lt;=0,0,BS443*MAX(1,IF(G443&gt;0,AL443/G443,1))),IF(Q443&gt;0,AM443/Q443,0))/MAX(0.1,N(Parameter!$M$21)))</f>
        <v>0.0151515151515152</v>
      </c>
      <c r="AO443" s="57" t="n">
        <f aca="false">AL443*F443</f>
        <v>365.75</v>
      </c>
      <c r="AP443" s="57" t="n">
        <f aca="false">ROUNDUP(MAX(I443/IF(BV443&gt;0,BV443,MAX(0.1,N(Cockpit!$I$6))),BY443)/BQ443,0)*BQ443</f>
        <v>55</v>
      </c>
      <c r="AQ443" s="58" t="n">
        <f aca="false">IF(AN443&gt;0,I443/AN443,-1)</f>
        <v>66</v>
      </c>
      <c r="AR443" s="58" t="n">
        <f aca="false">IF(AND(OR(BU443="L1",BU443="L23"),AN443&gt;0),SUMIFS($AN$7:$AN$1576,$BU$7:$BU$1576,BU443,$AQ$7:$AQ$1576,"&gt;"&amp;AQ443)+SUMIFS($AN$7:$AN$1576,$BU$7:$BU$1576,BU443,$AQ$7:$AQ$1576,AQ443,$BO$7:$BO$1576,"&lt;="&amp;BO443),"")</f>
        <v>76.2274462437074</v>
      </c>
      <c r="AS443" s="65" t="n">
        <f aca="false">IF(AR443="",0,MAX(0,MIN(1,(IF(BU443="L1",Parameter!$E$5,Parameter!$E$6+Parameter!$E$7)-(AR443-AN443))/AN443)))</f>
        <v>1</v>
      </c>
      <c r="AT443" s="57" t="n">
        <f aca="false">IF(LEFT(Cockpit!$O$5,1)="A",G443,IF(BW443=1,BX443,IF(LEFT(Cockpit!$O$5,1)="B",AX443,MAX(AX443,G443))))</f>
        <v>55</v>
      </c>
      <c r="AU443" s="57" t="n">
        <f aca="false">IF(BR443=1,0,ROUNDUP(AT443/BQ443,0))</f>
        <v>1</v>
      </c>
      <c r="AV443" s="59" t="n">
        <f aca="false">IF(CD443&gt;0,CD443*MAX(1,AT443/V443),IF(BR443=1,IF(AT443&lt;=0,0,BS443*MAX(1,IF(G443&gt;0,AT443/G443,1))),IF(Q443&gt;0,AU443/Q443,0))/MAX(0.1,N(Parameter!$M$21)))</f>
        <v>0.0151515151515152</v>
      </c>
      <c r="AW443" s="57" t="n">
        <f aca="false">AT443*F443</f>
        <v>365.75</v>
      </c>
      <c r="AX443" s="57" t="n">
        <f aca="false">ROUNDUP(MAX(I443/IF(BV443&gt;0,BV443,MAX(0.1,N(Cockpit!$O$6))),BY443)/BQ443,0)*BQ443</f>
        <v>55</v>
      </c>
      <c r="AY443" s="58" t="n">
        <f aca="false">IF(AV443&gt;0,I443/AV443,-1)</f>
        <v>66</v>
      </c>
      <c r="AZ443" s="58" t="n">
        <f aca="false">IF(AND(OR(BU443="L1",BU443="L23"),AV443&gt;0),SUMIFS($AV$7:$AV$1576,$BU$7:$BU$1576,BU443,$AY$7:$AY$1576,"&gt;"&amp;AY443)+SUMIFS($AV$7:$AV$1576,$BU$7:$BU$1576,BU443,$AY$7:$AY$1576,AY443,$BO$7:$BO$1576,"&lt;="&amp;BO443),"")</f>
        <v>74.9386633599245</v>
      </c>
      <c r="BA443" s="65" t="n">
        <f aca="false">IF(AZ443="",0,MAX(0,MIN(1,(IF(BU443="L1",Parameter!$E$5,Parameter!$E$6+Parameter!$E$7)-(AZ443-AV443))/AV443)))</f>
        <v>1</v>
      </c>
      <c r="BB443" s="55" t="str">
        <f aca="false">IF(AF443&lt;=0,"",IF(BU443="Aussen","Aussenlager",IF(BU443="-","Nicht im Lift",IF(AK443&gt;=1,"Lift",IF(AK443&lt;=0,"Aussenlager","teilweise")))))</f>
        <v>Lift</v>
      </c>
      <c r="BC443" s="55" t="str">
        <f aca="false">IF(AN443&lt;=0,"",IF(BU443="Aussen","Aussenlager",IF(BU443="-","Nicht im Lift",IF(AS443&gt;=1,"Lift",IF(AS443&lt;=0,"Aussenlager","teilweise")))))</f>
        <v>Lift</v>
      </c>
      <c r="BD443" s="55" t="str">
        <f aca="false">IF(AV443&lt;=0,"",IF(BU443="Aussen","Aussenlager",IF(BU443="-","Nicht im Lift",IF(BA443&gt;=1,"Lift",IF(BA443&lt;=0,"Aussenlager","teilweise")))))</f>
        <v>Lift</v>
      </c>
      <c r="BE443" s="55" t="str">
        <f aca="false">IF(A443="","",IF(BN443=1,"Neu; ","")&amp;IF(AND(BN443=0,BI443&lt;0),"negativer Bestand (Export "&amp;BI443&amp;"); ","")&amp;IF(I443&lt;=0,"Kein Verbrauch; ","")&amp;IF(CD443&gt;0,"Lift "&amp;U443&amp;" lt. Liftbericht (Fach "&amp;V443&amp;" Stk); ",IF(BR443=1,"Lose – Fläche geschätzt; ",""))&amp;IF(G443&gt;AP443,"Überbestand "&amp;ROUND(G443-AP443,0)&amp;" Stk / CHF "&amp;ROUND((G443-AP443)*F443,0)&amp;"; ","")&amp;IF(AND(BW443=1,BX443&lt;BY443),"MAX &lt; MB+LG; ","")&amp;IF(AND(CC443&gt;0,CB443*10&gt;CC443),"zu hoch für Tablar; ","")&amp;IF(AND(BN443=0,OR(BW443=1,Y443&lt;&gt;"",S443&lt;&gt;"",T443&lt;&gt;"",Z443&lt;&gt;"")),"manuell übersteuert; ","")&amp;IF(AND(BR443=0,Q443=0),"Gebinde unbekannt / Stellmass fehlt; ","")&amp;IF(AND(BR443=0,N(T443)&lt;=0,N(P443)&lt;=0),"Menge pro Gebinde fehlt (Ist = 1 Gebinde); ","")&amp;BM443)</f>
        <v/>
      </c>
      <c r="BF443" s="55"/>
      <c r="BG443" s="55"/>
      <c r="BH443" s="62"/>
      <c r="BI443" s="57" t="n">
        <v>11</v>
      </c>
      <c r="BJ443" s="57" t="n">
        <v>42</v>
      </c>
      <c r="BK443" s="56" t="n">
        <v>73.15</v>
      </c>
      <c r="BL443" s="57" t="n">
        <v>1</v>
      </c>
      <c r="BM443" s="55"/>
      <c r="BN443" s="60" t="n">
        <v>0</v>
      </c>
      <c r="BO443" s="60" t="n">
        <v>443</v>
      </c>
      <c r="BP443" s="55" t="str">
        <f aca="false">IF(S443&lt;&gt;"",UPPER(TRIM(S443)),IF(O443="","LOSE",O443))</f>
        <v>S33</v>
      </c>
      <c r="BQ443" s="57" t="n">
        <f aca="false">IF(BP443="LOSE",1,IF(N(T443)&gt;0,T443,IF(N(P443)&gt;0,P443,MAX(1,G443))))</f>
        <v>55</v>
      </c>
      <c r="BR443" s="60" t="n">
        <f aca="false">IF(BP443="LOSE",1,0)</f>
        <v>0</v>
      </c>
      <c r="BS443" s="59" t="n">
        <f aca="false">IF(BR443=0,0,IF(N(R443)&gt;0,R443,IFERROR(VLOOKUP(D443,Parameter!$A$35:$C$64,3,0)+0,0)))</f>
        <v>0</v>
      </c>
      <c r="BT443" s="55" t="n">
        <f aca="false">IF(Y443&lt;&gt;"",Y443,X443)</f>
        <v>3</v>
      </c>
      <c r="BU443" s="55" t="str">
        <f aca="false">IF(BT443=1,"L1",IF(OR(BT443=2,BT443=3),"L23",IF(BT443="Aussen","Aussen","-")))</f>
        <v>L23</v>
      </c>
      <c r="BV443" s="66" t="n">
        <f aca="false">IF(N(Z443)&gt;0,Z443,0)</f>
        <v>0</v>
      </c>
      <c r="BW443" s="60" t="n">
        <f aca="false">IF(ISNUMBER(AC443),1,0)</f>
        <v>0</v>
      </c>
      <c r="BX443" s="57" t="n">
        <f aca="false">N(AC443)</f>
        <v>0</v>
      </c>
      <c r="BY443" s="57" t="n">
        <f aca="false">N(L443)+N(M443)</f>
        <v>1</v>
      </c>
      <c r="BZ443" s="57" t="n">
        <f aca="false">ROUNDUP(G443/BQ443,0)</f>
        <v>1</v>
      </c>
      <c r="CA443" s="57" t="n">
        <f aca="false">ROUNDUP(BX443/BQ443,0)</f>
        <v>0</v>
      </c>
      <c r="CB443" s="60" t="n">
        <f aca="false">IF(BR443=1,0,IFERROR(VLOOKUP(BP443,'Gebinde-Kategorie'!$A$5:$M$45,5,0)+0,0))</f>
        <v>8</v>
      </c>
      <c r="CC443" s="60" t="n">
        <f aca="false">IFERROR(IF(OR(BT443=1,BT443=2,BT443=3),N(INDEX(Parameter!$I$5:$I$7,BT443)),0),0)</f>
        <v>0</v>
      </c>
      <c r="CD443" s="59" t="n">
        <f aca="false">IF(AND(Parameter!$B$21="Ja",ISNUMBER(U443),N(V443)&gt;0),IFERROR(N(INDEX(Parameter!$L$5:$L$7,U443))*INDEX(Parameter!$E$5:$E$7,U443)*V443/SUMIFS($V$7:$V$1576,$U$7:$U$1576,U443),0),0)</f>
        <v>0</v>
      </c>
    </row>
    <row r="444" customFormat="false" ht="15" hidden="false" customHeight="false" outlineLevel="0" collapsed="false">
      <c r="A444" s="55" t="s">
        <v>999</v>
      </c>
      <c r="B444" s="55" t="s">
        <v>419</v>
      </c>
      <c r="C444" s="55" t="s">
        <v>160</v>
      </c>
      <c r="D444" s="55" t="s">
        <v>178</v>
      </c>
      <c r="E444" s="55" t="s">
        <v>210</v>
      </c>
      <c r="F444" s="56" t="n">
        <v>36.06</v>
      </c>
      <c r="G444" s="57" t="n">
        <f aca="false">MAX(0,IF(AND(Parameter!$B$21="Ja",ISNUMBER(W444)),W444,IF(Parameter!$B$20="Jahresanfang 2025 + Export",BJ444+BI444,BI444)))</f>
        <v>4</v>
      </c>
      <c r="H444" s="57" t="n">
        <f aca="false">G444*F444</f>
        <v>144.24</v>
      </c>
      <c r="I444" s="57" t="n">
        <f aca="false">BL444*Parameter!$B$18</f>
        <v>68</v>
      </c>
      <c r="J444" s="58" t="n">
        <v>60</v>
      </c>
      <c r="K444" s="59" t="n">
        <v>1.13333333333333</v>
      </c>
      <c r="L444" s="57" t="n">
        <v>13</v>
      </c>
      <c r="M444" s="57" t="n">
        <v>70</v>
      </c>
      <c r="N444" s="60" t="n">
        <v>70</v>
      </c>
      <c r="O444" s="55" t="s">
        <v>284</v>
      </c>
      <c r="P444" s="57" t="n">
        <v>55</v>
      </c>
      <c r="Q444" s="60" t="n">
        <f aca="false">IF(BR444=1,0,IFERROR(VLOOKUP(BP444,'Gebinde-Kategorie'!$A$5:$M$45,13,0)+0,0))</f>
        <v>12</v>
      </c>
      <c r="R444" s="61"/>
      <c r="S444" s="62"/>
      <c r="T444" s="62"/>
      <c r="U444" s="55"/>
      <c r="V444" s="57"/>
      <c r="W444" s="57"/>
      <c r="X444" s="55" t="n">
        <f aca="false">IF(A444="","",IF(AND(Parameter!$B$21="Ja",ISNUMBER(U444)),U444,IF(IFERROR(VLOOKUP(D444,Parameter!$A$35:$C$64,2,0),"Nein")="2+3",IF(ISNUMBER(SEARCH("grosser Artikel",BM444)),2,IFERROR(VLOOKUP(BP444,Parameter!$F$35:$G$64,2,0),2)),IF(OR(IFERROR(VLOOKUP(D444,Parameter!$A$35:$C$64,2,0),"Nein")="Nein",IFERROR(VLOOKUP(D444,Parameter!$A$35:$C$64,2,0),"Nein")=""),"-",VLOOKUP(D444,Parameter!$A$35:$C$64,2,0)))))</f>
        <v>2</v>
      </c>
      <c r="Y444" s="62"/>
      <c r="Z444" s="63"/>
      <c r="AA444" s="57" t="n">
        <f aca="false">AP444</f>
        <v>110</v>
      </c>
      <c r="AB444" s="57" t="n">
        <f aca="false">MAX(AP444,G444)</f>
        <v>110</v>
      </c>
      <c r="AC444" s="64"/>
      <c r="AD444" s="57" t="n">
        <f aca="false">IF(LEFT(Cockpit!$C$5,1)="A",G444,IF(BW444=1,BX444,IF(LEFT(Cockpit!$C$5,1)="B",AH444,MAX(AH444,G444))))</f>
        <v>4</v>
      </c>
      <c r="AE444" s="57" t="n">
        <f aca="false">IF(BR444=1,0,ROUNDUP(AD444/BQ444,0))</f>
        <v>1</v>
      </c>
      <c r="AF444" s="59" t="n">
        <f aca="false">IF(CD444&gt;0,CD444*MAX(1,AD444/V444),IF(BR444=1,IF(AD444&lt;=0,0,BS444*MAX(1,IF(G444&gt;0,AD444/G444,1))),IF(Q444&gt;0,AE444/Q444,0))/MAX(0.1,N(Parameter!$M$21)))</f>
        <v>0.0833333333333333</v>
      </c>
      <c r="AG444" s="57" t="n">
        <f aca="false">AD444*F444</f>
        <v>144.24</v>
      </c>
      <c r="AH444" s="57" t="n">
        <f aca="false">ROUNDUP(MAX(I444/IF(BV444&gt;0,BV444,MAX(0.1,N(Cockpit!$C$6))),BY444)/BQ444,0)*BQ444</f>
        <v>110</v>
      </c>
      <c r="AI444" s="58" t="n">
        <f aca="false">IF(AF444&gt;0,I444/AF444,-1)</f>
        <v>816</v>
      </c>
      <c r="AJ444" s="58" t="n">
        <f aca="false">IF(AND(OR(BU444="L1",BU444="L23"),AF444&gt;0),SUMIFS($AF$7:$AF$1576,$BU$7:$BU$1576,BU444,$AI$7:$AI$1576,"&gt;"&amp;AI444)+SUMIFS($AF$7:$AF$1576,$BU$7:$BU$1576,BU444,$AI$7:$AI$1576,AI444,$BO$7:$BO$1576,"&lt;="&amp;BO444),"")</f>
        <v>10.5717050099659</v>
      </c>
      <c r="AK444" s="65" t="n">
        <f aca="false">IF(AJ444="",0,MAX(0,MIN(1,(IF(BU444="L1",Parameter!$E$5,Parameter!$E$6+Parameter!$E$7)-(AJ444-AF444))/AF444)))</f>
        <v>1</v>
      </c>
      <c r="AL444" s="57" t="n">
        <f aca="false">IF(LEFT(Cockpit!$I$5,1)="A",G444,IF(BW444=1,BX444,IF(LEFT(Cockpit!$I$5,1)="B",AP444,MAX(AP444,G444))))</f>
        <v>110</v>
      </c>
      <c r="AM444" s="57" t="n">
        <f aca="false">IF(BR444=1,0,ROUNDUP(AL444/BQ444,0))</f>
        <v>2</v>
      </c>
      <c r="AN444" s="59" t="n">
        <f aca="false">IF(CD444&gt;0,CD444*MAX(1,AL444/V444),IF(BR444=1,IF(AL444&lt;=0,0,BS444*MAX(1,IF(G444&gt;0,AL444/G444,1))),IF(Q444&gt;0,AM444/Q444,0))/MAX(0.1,N(Parameter!$M$21)))</f>
        <v>0.166666666666667</v>
      </c>
      <c r="AO444" s="57" t="n">
        <f aca="false">AL444*F444</f>
        <v>3966.6</v>
      </c>
      <c r="AP444" s="57" t="n">
        <f aca="false">ROUNDUP(MAX(I444/IF(BV444&gt;0,BV444,MAX(0.1,N(Cockpit!$I$6))),BY444)/BQ444,0)*BQ444</f>
        <v>110</v>
      </c>
      <c r="AQ444" s="58" t="n">
        <f aca="false">IF(AN444&gt;0,I444/AN444,-1)</f>
        <v>408</v>
      </c>
      <c r="AR444" s="58" t="n">
        <f aca="false">IF(AND(OR(BU444="L1",BU444="L23"),AN444&gt;0),SUMIFS($AN$7:$AN$1576,$BU$7:$BU$1576,BU444,$AQ$7:$AQ$1576,"&gt;"&amp;AQ444)+SUMIFS($AN$7:$AN$1576,$BU$7:$BU$1576,BU444,$AQ$7:$AQ$1576,AQ444,$BO$7:$BO$1576,"&lt;="&amp;BO444),"")</f>
        <v>36.6106268734641</v>
      </c>
      <c r="AS444" s="65" t="n">
        <f aca="false">IF(AR444="",0,MAX(0,MIN(1,(IF(BU444="L1",Parameter!$E$5,Parameter!$E$6+Parameter!$E$7)-(AR444-AN444))/AN444)))</f>
        <v>1</v>
      </c>
      <c r="AT444" s="57" t="n">
        <f aca="false">IF(LEFT(Cockpit!$O$5,1)="A",G444,IF(BW444=1,BX444,IF(LEFT(Cockpit!$O$5,1)="B",AX444,MAX(AX444,G444))))</f>
        <v>110</v>
      </c>
      <c r="AU444" s="57" t="n">
        <f aca="false">IF(BR444=1,0,ROUNDUP(AT444/BQ444,0))</f>
        <v>2</v>
      </c>
      <c r="AV444" s="59" t="n">
        <f aca="false">IF(CD444&gt;0,CD444*MAX(1,AT444/V444),IF(BR444=1,IF(AT444&lt;=0,0,BS444*MAX(1,IF(G444&gt;0,AT444/G444,1))),IF(Q444&gt;0,AU444/Q444,0))/MAX(0.1,N(Parameter!$M$21)))</f>
        <v>0.166666666666667</v>
      </c>
      <c r="AW444" s="57" t="n">
        <f aca="false">AT444*F444</f>
        <v>3966.6</v>
      </c>
      <c r="AX444" s="57" t="n">
        <f aca="false">ROUNDUP(MAX(I444/IF(BV444&gt;0,BV444,MAX(0.1,N(Cockpit!$O$6))),BY444)/BQ444,0)*BQ444</f>
        <v>110</v>
      </c>
      <c r="AY444" s="58" t="n">
        <f aca="false">IF(AV444&gt;0,I444/AV444,-1)</f>
        <v>408</v>
      </c>
      <c r="AZ444" s="58" t="n">
        <f aca="false">IF(AND(OR(BU444="L1",BU444="L23"),AV444&gt;0),SUMIFS($AV$7:$AV$1576,$BU$7:$BU$1576,BU444,$AY$7:$AY$1576,"&gt;"&amp;AY444)+SUMIFS($AV$7:$AV$1576,$BU$7:$BU$1576,BU444,$AY$7:$AY$1576,AY444,$BO$7:$BO$1576,"&lt;="&amp;BO444),"")</f>
        <v>35.7753721282094</v>
      </c>
      <c r="BA444" s="65" t="n">
        <f aca="false">IF(AZ444="",0,MAX(0,MIN(1,(IF(BU444="L1",Parameter!$E$5,Parameter!$E$6+Parameter!$E$7)-(AZ444-AV444))/AV444)))</f>
        <v>1</v>
      </c>
      <c r="BB444" s="55" t="str">
        <f aca="false">IF(AF444&lt;=0,"",IF(BU444="Aussen","Aussenlager",IF(BU444="-","Nicht im Lift",IF(AK444&gt;=1,"Lift",IF(AK444&lt;=0,"Aussenlager","teilweise")))))</f>
        <v>Lift</v>
      </c>
      <c r="BC444" s="55" t="str">
        <f aca="false">IF(AN444&lt;=0,"",IF(BU444="Aussen","Aussenlager",IF(BU444="-","Nicht im Lift",IF(AS444&gt;=1,"Lift",IF(AS444&lt;=0,"Aussenlager","teilweise")))))</f>
        <v>Lift</v>
      </c>
      <c r="BD444" s="55" t="str">
        <f aca="false">IF(AV444&lt;=0,"",IF(BU444="Aussen","Aussenlager",IF(BU444="-","Nicht im Lift",IF(BA444&gt;=1,"Lift",IF(BA444&lt;=0,"Aussenlager","teilweise")))))</f>
        <v>Lift</v>
      </c>
      <c r="BE444" s="55" t="str">
        <f aca="false">IF(A444="","",IF(BN444=1,"Neu; ","")&amp;IF(AND(BN444=0,BI444&lt;0),"negativer Bestand (Export "&amp;BI444&amp;"); ","")&amp;IF(I444&lt;=0,"Kein Verbrauch; ","")&amp;IF(CD444&gt;0,"Lift "&amp;U444&amp;" lt. Liftbericht (Fach "&amp;V444&amp;" Stk); ",IF(BR444=1,"Lose – Fläche geschätzt; ",""))&amp;IF(G444&gt;AP444,"Überbestand "&amp;ROUND(G444-AP444,0)&amp;" Stk / CHF "&amp;ROUND((G444-AP444)*F444,0)&amp;"; ","")&amp;IF(AND(BW444=1,BX444&lt;BY444),"MAX &lt; MB+LG; ","")&amp;IF(AND(CC444&gt;0,CB444*10&gt;CC444),"zu hoch für Tablar; ","")&amp;IF(AND(BN444=0,OR(BW444=1,Y444&lt;&gt;"",S444&lt;&gt;"",T444&lt;&gt;"",Z444&lt;&gt;"")),"manuell übersteuert; ","")&amp;IF(AND(BR444=0,Q444=0),"Gebinde unbekannt / Stellmass fehlt; ","")&amp;IF(AND(BR444=0,N(T444)&lt;=0,N(P444)&lt;=0),"Menge pro Gebinde fehlt (Ist = 1 Gebinde); ","")&amp;BM444)</f>
        <v/>
      </c>
      <c r="BF444" s="55"/>
      <c r="BG444" s="55"/>
      <c r="BH444" s="62"/>
      <c r="BI444" s="57" t="n">
        <v>4</v>
      </c>
      <c r="BJ444" s="57" t="n">
        <v>57</v>
      </c>
      <c r="BK444" s="56" t="n">
        <v>72.9900000000001</v>
      </c>
      <c r="BL444" s="57" t="n">
        <v>68</v>
      </c>
      <c r="BM444" s="55"/>
      <c r="BN444" s="60" t="n">
        <v>0</v>
      </c>
      <c r="BO444" s="60" t="n">
        <v>444</v>
      </c>
      <c r="BP444" s="55" t="str">
        <f aca="false">IF(S444&lt;&gt;"",UPPER(TRIM(S444)),IF(O444="","LOSE",O444))</f>
        <v>S62</v>
      </c>
      <c r="BQ444" s="57" t="n">
        <f aca="false">IF(BP444="LOSE",1,IF(N(T444)&gt;0,T444,IF(N(P444)&gt;0,P444,MAX(1,G444))))</f>
        <v>55</v>
      </c>
      <c r="BR444" s="60" t="n">
        <f aca="false">IF(BP444="LOSE",1,0)</f>
        <v>0</v>
      </c>
      <c r="BS444" s="59" t="n">
        <f aca="false">IF(BR444=0,0,IF(N(R444)&gt;0,R444,IFERROR(VLOOKUP(D444,Parameter!$A$35:$C$64,3,0)+0,0)))</f>
        <v>0</v>
      </c>
      <c r="BT444" s="55" t="n">
        <f aca="false">IF(Y444&lt;&gt;"",Y444,X444)</f>
        <v>2</v>
      </c>
      <c r="BU444" s="55" t="str">
        <f aca="false">IF(BT444=1,"L1",IF(OR(BT444=2,BT444=3),"L23",IF(BT444="Aussen","Aussen","-")))</f>
        <v>L23</v>
      </c>
      <c r="BV444" s="66" t="n">
        <f aca="false">IF(N(Z444)&gt;0,Z444,0)</f>
        <v>0</v>
      </c>
      <c r="BW444" s="60" t="n">
        <f aca="false">IF(ISNUMBER(AC444),1,0)</f>
        <v>0</v>
      </c>
      <c r="BX444" s="57" t="n">
        <f aca="false">N(AC444)</f>
        <v>0</v>
      </c>
      <c r="BY444" s="57" t="n">
        <f aca="false">N(L444)+N(M444)</f>
        <v>83</v>
      </c>
      <c r="BZ444" s="57" t="n">
        <f aca="false">ROUNDUP(G444/BQ444,0)</f>
        <v>1</v>
      </c>
      <c r="CA444" s="57" t="n">
        <f aca="false">ROUNDUP(BX444/BQ444,0)</f>
        <v>0</v>
      </c>
      <c r="CB444" s="60" t="n">
        <f aca="false">IF(BR444=1,0,IFERROR(VLOOKUP(BP444,'Gebinde-Kategorie'!$A$5:$M$45,5,0)+0,0))</f>
        <v>21</v>
      </c>
      <c r="CC444" s="60" t="n">
        <f aca="false">IFERROR(IF(OR(BT444=1,BT444=2,BT444=3),N(INDEX(Parameter!$I$5:$I$7,BT444)),0),0)</f>
        <v>0</v>
      </c>
      <c r="CD444" s="59" t="n">
        <f aca="false">IF(AND(Parameter!$B$21="Ja",ISNUMBER(U444),N(V444)&gt;0),IFERROR(N(INDEX(Parameter!$L$5:$L$7,U444))*INDEX(Parameter!$E$5:$E$7,U444)*V444/SUMIFS($V$7:$V$1576,$U$7:$U$1576,U444),0),0)</f>
        <v>0</v>
      </c>
    </row>
    <row r="445" customFormat="false" ht="15" hidden="false" customHeight="false" outlineLevel="0" collapsed="false">
      <c r="A445" s="55" t="s">
        <v>1000</v>
      </c>
      <c r="B445" s="55" t="s">
        <v>650</v>
      </c>
      <c r="C445" s="55" t="s">
        <v>160</v>
      </c>
      <c r="D445" s="55" t="s">
        <v>178</v>
      </c>
      <c r="E445" s="55" t="s">
        <v>210</v>
      </c>
      <c r="F445" s="56" t="n">
        <v>4.81</v>
      </c>
      <c r="G445" s="57" t="n">
        <f aca="false">MAX(0,IF(AND(Parameter!$B$21="Ja",ISNUMBER(W445)),W445,IF(Parameter!$B$20="Jahresanfang 2025 + Export",BJ445+BI445,BI445)))</f>
        <v>8</v>
      </c>
      <c r="H445" s="57" t="n">
        <f aca="false">G445*F445</f>
        <v>38.48</v>
      </c>
      <c r="I445" s="57" t="n">
        <f aca="false">BL445*Parameter!$B$18</f>
        <v>618</v>
      </c>
      <c r="J445" s="58" t="n">
        <v>163.5</v>
      </c>
      <c r="K445" s="59" t="n">
        <v>3.77981651376147</v>
      </c>
      <c r="L445" s="57" t="n">
        <v>36</v>
      </c>
      <c r="M445" s="57" t="n">
        <v>60</v>
      </c>
      <c r="N445" s="60" t="n">
        <v>21</v>
      </c>
      <c r="O445" s="55" t="s">
        <v>411</v>
      </c>
      <c r="P445" s="57" t="n">
        <v>246</v>
      </c>
      <c r="Q445" s="60" t="n">
        <f aca="false">IF(BR445=1,0,IFERROR(VLOOKUP(BP445,'Gebinde-Kategorie'!$A$5:$M$45,13,0)+0,0))</f>
        <v>132</v>
      </c>
      <c r="R445" s="61"/>
      <c r="S445" s="62"/>
      <c r="T445" s="62"/>
      <c r="U445" s="55"/>
      <c r="V445" s="57"/>
      <c r="W445" s="57"/>
      <c r="X445" s="55" t="n">
        <f aca="false">IF(A445="","",IF(AND(Parameter!$B$21="Ja",ISNUMBER(U445)),U445,IF(IFERROR(VLOOKUP(D445,Parameter!$A$35:$C$64,2,0),"Nein")="2+3",IF(ISNUMBER(SEARCH("grosser Artikel",BM445)),2,IFERROR(VLOOKUP(BP445,Parameter!$F$35:$G$64,2,0),2)),IF(OR(IFERROR(VLOOKUP(D445,Parameter!$A$35:$C$64,2,0),"Nein")="Nein",IFERROR(VLOOKUP(D445,Parameter!$A$35:$C$64,2,0),"Nein")=""),"-",VLOOKUP(D445,Parameter!$A$35:$C$64,2,0)))))</f>
        <v>3</v>
      </c>
      <c r="Y445" s="62"/>
      <c r="Z445" s="63"/>
      <c r="AA445" s="57" t="n">
        <f aca="false">AP445</f>
        <v>492</v>
      </c>
      <c r="AB445" s="57" t="n">
        <f aca="false">MAX(AP445,G445)</f>
        <v>492</v>
      </c>
      <c r="AC445" s="64"/>
      <c r="AD445" s="57" t="n">
        <f aca="false">IF(LEFT(Cockpit!$C$5,1)="A",G445,IF(BW445=1,BX445,IF(LEFT(Cockpit!$C$5,1)="B",AH445,MAX(AH445,G445))))</f>
        <v>8</v>
      </c>
      <c r="AE445" s="57" t="n">
        <f aca="false">IF(BR445=1,0,ROUNDUP(AD445/BQ445,0))</f>
        <v>1</v>
      </c>
      <c r="AF445" s="59" t="n">
        <f aca="false">IF(CD445&gt;0,CD445*MAX(1,AD445/V445),IF(BR445=1,IF(AD445&lt;=0,0,BS445*MAX(1,IF(G445&gt;0,AD445/G445,1))),IF(Q445&gt;0,AE445/Q445,0))/MAX(0.1,N(Parameter!$M$21)))</f>
        <v>0.00757575757575758</v>
      </c>
      <c r="AG445" s="57" t="n">
        <f aca="false">AD445*F445</f>
        <v>38.48</v>
      </c>
      <c r="AH445" s="57" t="n">
        <f aca="false">ROUNDUP(MAX(I445/IF(BV445&gt;0,BV445,MAX(0.1,N(Cockpit!$C$6))),BY445)/BQ445,0)*BQ445</f>
        <v>492</v>
      </c>
      <c r="AI445" s="58" t="n">
        <f aca="false">IF(AF445&gt;0,I445/AF445,-1)</f>
        <v>81576</v>
      </c>
      <c r="AJ445" s="58" t="n">
        <f aca="false">IF(AND(OR(BU445="L1",BU445="L23"),AF445&gt;0),SUMIFS($AF$7:$AF$1576,$BU$7:$BU$1576,BU445,$AI$7:$AI$1576,"&gt;"&amp;AI445)+SUMIFS($AF$7:$AF$1576,$BU$7:$BU$1576,BU445,$AI$7:$AI$1576,AI445,$BO$7:$BO$1576,"&lt;="&amp;BO445),"")</f>
        <v>0.450804026890983</v>
      </c>
      <c r="AK445" s="65" t="n">
        <f aca="false">IF(AJ445="",0,MAX(0,MIN(1,(IF(BU445="L1",Parameter!$E$5,Parameter!$E$6+Parameter!$E$7)-(AJ445-AF445))/AF445)))</f>
        <v>1</v>
      </c>
      <c r="AL445" s="57" t="n">
        <f aca="false">IF(LEFT(Cockpit!$I$5,1)="A",G445,IF(BW445=1,BX445,IF(LEFT(Cockpit!$I$5,1)="B",AP445,MAX(AP445,G445))))</f>
        <v>492</v>
      </c>
      <c r="AM445" s="57" t="n">
        <f aca="false">IF(BR445=1,0,ROUNDUP(AL445/BQ445,0))</f>
        <v>2</v>
      </c>
      <c r="AN445" s="59" t="n">
        <f aca="false">IF(CD445&gt;0,CD445*MAX(1,AL445/V445),IF(BR445=1,IF(AL445&lt;=0,0,BS445*MAX(1,IF(G445&gt;0,AL445/G445,1))),IF(Q445&gt;0,AM445/Q445,0))/MAX(0.1,N(Parameter!$M$21)))</f>
        <v>0.0151515151515152</v>
      </c>
      <c r="AO445" s="57" t="n">
        <f aca="false">AL445*F445</f>
        <v>2366.52</v>
      </c>
      <c r="AP445" s="57" t="n">
        <f aca="false">ROUNDUP(MAX(I445/IF(BV445&gt;0,BV445,MAX(0.1,N(Cockpit!$I$6))),BY445)/BQ445,0)*BQ445</f>
        <v>492</v>
      </c>
      <c r="AQ445" s="58" t="n">
        <f aca="false">IF(AN445&gt;0,I445/AN445,-1)</f>
        <v>40788</v>
      </c>
      <c r="AR445" s="58" t="n">
        <f aca="false">IF(AND(OR(BU445="L1",BU445="L23"),AN445&gt;0),SUMIFS($AN$7:$AN$1576,$BU$7:$BU$1576,BU445,$AQ$7:$AQ$1576,"&gt;"&amp;AQ445)+SUMIFS($AN$7:$AN$1576,$BU$7:$BU$1576,BU445,$AQ$7:$AQ$1576,AQ445,$BO$7:$BO$1576,"&lt;="&amp;BO445),"")</f>
        <v>1.80733184689706</v>
      </c>
      <c r="AS445" s="65" t="n">
        <f aca="false">IF(AR445="",0,MAX(0,MIN(1,(IF(BU445="L1",Parameter!$E$5,Parameter!$E$6+Parameter!$E$7)-(AR445-AN445))/AN445)))</f>
        <v>1</v>
      </c>
      <c r="AT445" s="57" t="n">
        <f aca="false">IF(LEFT(Cockpit!$O$5,1)="A",G445,IF(BW445=1,BX445,IF(LEFT(Cockpit!$O$5,1)="B",AX445,MAX(AX445,G445))))</f>
        <v>246</v>
      </c>
      <c r="AU445" s="57" t="n">
        <f aca="false">IF(BR445=1,0,ROUNDUP(AT445/BQ445,0))</f>
        <v>1</v>
      </c>
      <c r="AV445" s="59" t="n">
        <f aca="false">IF(CD445&gt;0,CD445*MAX(1,AT445/V445),IF(BR445=1,IF(AT445&lt;=0,0,BS445*MAX(1,IF(G445&gt;0,AT445/G445,1))),IF(Q445&gt;0,AU445/Q445,0))/MAX(0.1,N(Parameter!$M$21)))</f>
        <v>0.00757575757575758</v>
      </c>
      <c r="AW445" s="57" t="n">
        <f aca="false">AT445*F445</f>
        <v>1183.26</v>
      </c>
      <c r="AX445" s="57" t="n">
        <f aca="false">ROUNDUP(MAX(I445/IF(BV445&gt;0,BV445,MAX(0.1,N(Cockpit!$O$6))),BY445)/BQ445,0)*BQ445</f>
        <v>246</v>
      </c>
      <c r="AY445" s="58" t="n">
        <f aca="false">IF(AV445&gt;0,I445/AV445,-1)</f>
        <v>81576</v>
      </c>
      <c r="AZ445" s="58" t="n">
        <f aca="false">IF(AND(OR(BU445="L1",BU445="L23"),AV445&gt;0),SUMIFS($AV$7:$AV$1576,$BU$7:$BU$1576,BU445,$AY$7:$AY$1576,"&gt;"&amp;AY445)+SUMIFS($AV$7:$AV$1576,$BU$7:$BU$1576,BU445,$AY$7:$AY$1576,AY445,$BO$7:$BO$1576,"&lt;="&amp;BO445),"")</f>
        <v>0.770223978919631</v>
      </c>
      <c r="BA445" s="65" t="n">
        <f aca="false">IF(AZ445="",0,MAX(0,MIN(1,(IF(BU445="L1",Parameter!$E$5,Parameter!$E$6+Parameter!$E$7)-(AZ445-AV445))/AV445)))</f>
        <v>1</v>
      </c>
      <c r="BB445" s="55" t="str">
        <f aca="false">IF(AF445&lt;=0,"",IF(BU445="Aussen","Aussenlager",IF(BU445="-","Nicht im Lift",IF(AK445&gt;=1,"Lift",IF(AK445&lt;=0,"Aussenlager","teilweise")))))</f>
        <v>Lift</v>
      </c>
      <c r="BC445" s="55" t="str">
        <f aca="false">IF(AN445&lt;=0,"",IF(BU445="Aussen","Aussenlager",IF(BU445="-","Nicht im Lift",IF(AS445&gt;=1,"Lift",IF(AS445&lt;=0,"Aussenlager","teilweise")))))</f>
        <v>Lift</v>
      </c>
      <c r="BD445" s="55" t="str">
        <f aca="false">IF(AV445&lt;=0,"",IF(BU445="Aussen","Aussenlager",IF(BU445="-","Nicht im Lift",IF(BA445&gt;=1,"Lift",IF(BA445&lt;=0,"Aussenlager","teilweise")))))</f>
        <v>Lift</v>
      </c>
      <c r="BE445" s="55" t="str">
        <f aca="false">IF(A445="","",IF(BN445=1,"Neu; ","")&amp;IF(AND(BN445=0,BI445&lt;0),"negativer Bestand (Export "&amp;BI445&amp;"); ","")&amp;IF(I445&lt;=0,"Kein Verbrauch; ","")&amp;IF(CD445&gt;0,"Lift "&amp;U445&amp;" lt. Liftbericht (Fach "&amp;V445&amp;" Stk); ",IF(BR445=1,"Lose – Fläche geschätzt; ",""))&amp;IF(G445&gt;AP445,"Überbestand "&amp;ROUND(G445-AP445,0)&amp;" Stk / CHF "&amp;ROUND((G445-AP445)*F445,0)&amp;"; ","")&amp;IF(AND(BW445=1,BX445&lt;BY445),"MAX &lt; MB+LG; ","")&amp;IF(AND(CC445&gt;0,CB445*10&gt;CC445),"zu hoch für Tablar; ","")&amp;IF(AND(BN445=0,OR(BW445=1,Y445&lt;&gt;"",S445&lt;&gt;"",T445&lt;&gt;"",Z445&lt;&gt;"")),"manuell übersteuert; ","")&amp;IF(AND(BR445=0,Q445=0),"Gebinde unbekannt / Stellmass fehlt; ","")&amp;IF(AND(BR445=0,N(T445)&lt;=0,N(P445)&lt;=0),"Menge pro Gebinde fehlt (Ist = 1 Gebinde); ","")&amp;BM445)</f>
        <v/>
      </c>
      <c r="BF445" s="55"/>
      <c r="BG445" s="55"/>
      <c r="BH445" s="62"/>
      <c r="BI445" s="57" t="n">
        <v>8</v>
      </c>
      <c r="BJ445" s="57" t="n">
        <v>164</v>
      </c>
      <c r="BK445" s="56" t="n">
        <v>72.9199999999998</v>
      </c>
      <c r="BL445" s="57" t="n">
        <v>618</v>
      </c>
      <c r="BM445" s="55"/>
      <c r="BN445" s="60" t="n">
        <v>0</v>
      </c>
      <c r="BO445" s="60" t="n">
        <v>445</v>
      </c>
      <c r="BP445" s="55" t="str">
        <f aca="false">IF(S445&lt;&gt;"",UPPER(TRIM(S445)),IF(O445="","LOSE",O445))</f>
        <v>S32</v>
      </c>
      <c r="BQ445" s="57" t="n">
        <f aca="false">IF(BP445="LOSE",1,IF(N(T445)&gt;0,T445,IF(N(P445)&gt;0,P445,MAX(1,G445))))</f>
        <v>246</v>
      </c>
      <c r="BR445" s="60" t="n">
        <f aca="false">IF(BP445="LOSE",1,0)</f>
        <v>0</v>
      </c>
      <c r="BS445" s="59" t="n">
        <f aca="false">IF(BR445=0,0,IF(N(R445)&gt;0,R445,IFERROR(VLOOKUP(D445,Parameter!$A$35:$C$64,3,0)+0,0)))</f>
        <v>0</v>
      </c>
      <c r="BT445" s="55" t="n">
        <f aca="false">IF(Y445&lt;&gt;"",Y445,X445)</f>
        <v>3</v>
      </c>
      <c r="BU445" s="55" t="str">
        <f aca="false">IF(BT445=1,"L1",IF(OR(BT445=2,BT445=3),"L23",IF(BT445="Aussen","Aussen","-")))</f>
        <v>L23</v>
      </c>
      <c r="BV445" s="66" t="n">
        <f aca="false">IF(N(Z445)&gt;0,Z445,0)</f>
        <v>0</v>
      </c>
      <c r="BW445" s="60" t="n">
        <f aca="false">IF(ISNUMBER(AC445),1,0)</f>
        <v>0</v>
      </c>
      <c r="BX445" s="57" t="n">
        <f aca="false">N(AC445)</f>
        <v>0</v>
      </c>
      <c r="BY445" s="57" t="n">
        <f aca="false">N(L445)+N(M445)</f>
        <v>96</v>
      </c>
      <c r="BZ445" s="57" t="n">
        <f aca="false">ROUNDUP(G445/BQ445,0)</f>
        <v>1</v>
      </c>
      <c r="CA445" s="57" t="n">
        <f aca="false">ROUNDUP(BX445/BQ445,0)</f>
        <v>0</v>
      </c>
      <c r="CB445" s="60" t="n">
        <f aca="false">IF(BR445=1,0,IFERROR(VLOOKUP(BP445,'Gebinde-Kategorie'!$A$5:$M$45,5,0)+0,0))</f>
        <v>8</v>
      </c>
      <c r="CC445" s="60" t="n">
        <f aca="false">IFERROR(IF(OR(BT445=1,BT445=2,BT445=3),N(INDEX(Parameter!$I$5:$I$7,BT445)),0),0)</f>
        <v>0</v>
      </c>
      <c r="CD445" s="59" t="n">
        <f aca="false">IF(AND(Parameter!$B$21="Ja",ISNUMBER(U445),N(V445)&gt;0),IFERROR(N(INDEX(Parameter!$L$5:$L$7,U445))*INDEX(Parameter!$E$5:$E$7,U445)*V445/SUMIFS($V$7:$V$1576,$U$7:$U$1576,U445),0),0)</f>
        <v>0</v>
      </c>
    </row>
    <row r="446" customFormat="false" ht="15" hidden="false" customHeight="false" outlineLevel="0" collapsed="false">
      <c r="A446" s="55" t="s">
        <v>1001</v>
      </c>
      <c r="B446" s="55" t="s">
        <v>1002</v>
      </c>
      <c r="C446" s="55" t="s">
        <v>160</v>
      </c>
      <c r="D446" s="55" t="s">
        <v>168</v>
      </c>
      <c r="E446" s="55" t="s">
        <v>210</v>
      </c>
      <c r="F446" s="56" t="n">
        <v>2338.25</v>
      </c>
      <c r="G446" s="57" t="n">
        <f aca="false">MAX(0,IF(AND(Parameter!$B$21="Ja",ISNUMBER(W446)),W446,IF(Parameter!$B$20="Jahresanfang 2025 + Export",BJ446+BI446,BI446)))</f>
        <v>0</v>
      </c>
      <c r="H446" s="57" t="n">
        <f aca="false">G446*F446</f>
        <v>0</v>
      </c>
      <c r="I446" s="57" t="n">
        <f aca="false">BL446*Parameter!$B$18</f>
        <v>4</v>
      </c>
      <c r="J446" s="58" t="n">
        <v>2.5</v>
      </c>
      <c r="K446" s="59" t="n">
        <v>1.6</v>
      </c>
      <c r="L446" s="57" t="n">
        <v>1</v>
      </c>
      <c r="M446" s="57" t="n">
        <v>1</v>
      </c>
      <c r="N446" s="60" t="n">
        <v>56</v>
      </c>
      <c r="O446" s="55" t="s">
        <v>163</v>
      </c>
      <c r="P446" s="57"/>
      <c r="Q446" s="60" t="n">
        <f aca="false">IF(BR446=1,0,IFERROR(VLOOKUP(BP446,'Gebinde-Kategorie'!$A$5:$M$45,13,0)+0,0))</f>
        <v>0</v>
      </c>
      <c r="R446" s="61"/>
      <c r="S446" s="62"/>
      <c r="T446" s="62"/>
      <c r="U446" s="55" t="n">
        <v>1</v>
      </c>
      <c r="V446" s="57" t="n">
        <v>2</v>
      </c>
      <c r="W446" s="57" t="n">
        <v>0</v>
      </c>
      <c r="X446" s="55" t="n">
        <f aca="false">IF(A446="","",IF(AND(Parameter!$B$21="Ja",ISNUMBER(U446)),U446,IF(IFERROR(VLOOKUP(D446,Parameter!$A$35:$C$64,2,0),"Nein")="2+3",IF(ISNUMBER(SEARCH("grosser Artikel",BM446)),2,IFERROR(VLOOKUP(BP446,Parameter!$F$35:$G$64,2,0),2)),IF(OR(IFERROR(VLOOKUP(D446,Parameter!$A$35:$C$64,2,0),"Nein")="Nein",IFERROR(VLOOKUP(D446,Parameter!$A$35:$C$64,2,0),"Nein")=""),"-",VLOOKUP(D446,Parameter!$A$35:$C$64,2,0)))))</f>
        <v>1</v>
      </c>
      <c r="Y446" s="62"/>
      <c r="Z446" s="63"/>
      <c r="AA446" s="57" t="n">
        <f aca="false">AP446</f>
        <v>2</v>
      </c>
      <c r="AB446" s="57" t="n">
        <f aca="false">MAX(AP446,G446)</f>
        <v>2</v>
      </c>
      <c r="AC446" s="64"/>
      <c r="AD446" s="57" t="n">
        <f aca="false">IF(LEFT(Cockpit!$C$5,1)="A",G446,IF(BW446=1,BX446,IF(LEFT(Cockpit!$C$5,1)="B",AH446,MAX(AH446,G446))))</f>
        <v>0</v>
      </c>
      <c r="AE446" s="57" t="n">
        <f aca="false">IF(BR446=1,0,ROUNDUP(AD446/BQ446,0))</f>
        <v>0</v>
      </c>
      <c r="AF446" s="59" t="n">
        <f aca="false">IF(CD446&gt;0,CD446*MAX(1,AD446/V446),IF(BR446=1,IF(AD446&lt;=0,0,BS446*MAX(1,IF(G446&gt;0,AD446/G446,1))),IF(Q446&gt;0,AE446/Q446,0))/MAX(0.1,N(Parameter!$M$21)))</f>
        <v>0.160075329566855</v>
      </c>
      <c r="AG446" s="57" t="n">
        <f aca="false">AD446*F446</f>
        <v>0</v>
      </c>
      <c r="AH446" s="57" t="n">
        <f aca="false">ROUNDUP(MAX(I446/IF(BV446&gt;0,BV446,MAX(0.1,N(Cockpit!$C$6))),BY446)/BQ446,0)*BQ446</f>
        <v>2</v>
      </c>
      <c r="AI446" s="58" t="n">
        <f aca="false">IF(AF446&gt;0,I446/AF446,-1)</f>
        <v>24.9882352941176</v>
      </c>
      <c r="AJ446" s="58" t="n">
        <f aca="false">IF(AND(OR(BU446="L1",BU446="L23"),AF446&gt;0),SUMIFS($AF$7:$AF$1576,$BU$7:$BU$1576,BU446,$AI$7:$AI$1576,"&gt;"&amp;AI446)+SUMIFS($AF$7:$AF$1576,$BU$7:$BU$1576,BU446,$AI$7:$AI$1576,AI446,$BO$7:$BO$1576,"&lt;="&amp;BO446),"")</f>
        <v>10.5649717514124</v>
      </c>
      <c r="AK446" s="65" t="n">
        <f aca="false">IF(AJ446="",0,MAX(0,MIN(1,(IF(BU446="L1",Parameter!$E$5,Parameter!$E$6+Parameter!$E$7)-(AJ446-AF446))/AF446)))</f>
        <v>1</v>
      </c>
      <c r="AL446" s="57" t="n">
        <f aca="false">IF(LEFT(Cockpit!$I$5,1)="A",G446,IF(BW446=1,BX446,IF(LEFT(Cockpit!$I$5,1)="B",AP446,MAX(AP446,G446))))</f>
        <v>2</v>
      </c>
      <c r="AM446" s="57" t="n">
        <f aca="false">IF(BR446=1,0,ROUNDUP(AL446/BQ446,0))</f>
        <v>0</v>
      </c>
      <c r="AN446" s="59" t="n">
        <f aca="false">IF(CD446&gt;0,CD446*MAX(1,AL446/V446),IF(BR446=1,IF(AL446&lt;=0,0,BS446*MAX(1,IF(G446&gt;0,AL446/G446,1))),IF(Q446&gt;0,AM446/Q446,0))/MAX(0.1,N(Parameter!$M$21)))</f>
        <v>0.160075329566855</v>
      </c>
      <c r="AO446" s="57" t="n">
        <f aca="false">AL446*F446</f>
        <v>4676.5</v>
      </c>
      <c r="AP446" s="57" t="n">
        <f aca="false">ROUNDUP(MAX(I446/IF(BV446&gt;0,BV446,MAX(0.1,N(Cockpit!$I$6))),BY446)/BQ446,0)*BQ446</f>
        <v>2</v>
      </c>
      <c r="AQ446" s="58" t="n">
        <f aca="false">IF(AN446&gt;0,I446/AN446,-1)</f>
        <v>24.9882352941176</v>
      </c>
      <c r="AR446" s="58" t="n">
        <f aca="false">IF(AND(OR(BU446="L1",BU446="L23"),AN446&gt;0),SUMIFS($AN$7:$AN$1576,$BU$7:$BU$1576,BU446,$AQ$7:$AQ$1576,"&gt;"&amp;AQ446)+SUMIFS($AN$7:$AN$1576,$BU$7:$BU$1576,BU446,$AQ$7:$AQ$1576,AQ446,$BO$7:$BO$1576,"&lt;="&amp;BO446),"")</f>
        <v>2.08097928436912</v>
      </c>
      <c r="AS446" s="65" t="n">
        <f aca="false">IF(AR446="",0,MAX(0,MIN(1,(IF(BU446="L1",Parameter!$E$5,Parameter!$E$6+Parameter!$E$7)-(AR446-AN446))/AN446)))</f>
        <v>1</v>
      </c>
      <c r="AT446" s="57" t="n">
        <f aca="false">IF(LEFT(Cockpit!$O$5,1)="A",G446,IF(BW446=1,BX446,IF(LEFT(Cockpit!$O$5,1)="B",AX446,MAX(AX446,G446))))</f>
        <v>2</v>
      </c>
      <c r="AU446" s="57" t="n">
        <f aca="false">IF(BR446=1,0,ROUNDUP(AT446/BQ446,0))</f>
        <v>0</v>
      </c>
      <c r="AV446" s="59" t="n">
        <f aca="false">IF(CD446&gt;0,CD446*MAX(1,AT446/V446),IF(BR446=1,IF(AT446&lt;=0,0,BS446*MAX(1,IF(G446&gt;0,AT446/G446,1))),IF(Q446&gt;0,AU446/Q446,0))/MAX(0.1,N(Parameter!$M$21)))</f>
        <v>0.160075329566855</v>
      </c>
      <c r="AW446" s="57" t="n">
        <f aca="false">AT446*F446</f>
        <v>4676.5</v>
      </c>
      <c r="AX446" s="57" t="n">
        <f aca="false">ROUNDUP(MAX(I446/IF(BV446&gt;0,BV446,MAX(0.1,N(Cockpit!$O$6))),BY446)/BQ446,0)*BQ446</f>
        <v>2</v>
      </c>
      <c r="AY446" s="58" t="n">
        <f aca="false">IF(AV446&gt;0,I446/AV446,-1)</f>
        <v>24.9882352941176</v>
      </c>
      <c r="AZ446" s="58" t="n">
        <f aca="false">IF(AND(OR(BU446="L1",BU446="L23"),AV446&gt;0),SUMIFS($AV$7:$AV$1576,$BU$7:$BU$1576,BU446,$AY$7:$AY$1576,"&gt;"&amp;AY446)+SUMIFS($AV$7:$AV$1576,$BU$7:$BU$1576,BU446,$AY$7:$AY$1576,AY446,$BO$7:$BO$1576,"&lt;="&amp;BO446),"")</f>
        <v>11.2853107344633</v>
      </c>
      <c r="BA446" s="65" t="n">
        <f aca="false">IF(AZ446="",0,MAX(0,MIN(1,(IF(BU446="L1",Parameter!$E$5,Parameter!$E$6+Parameter!$E$7)-(AZ446-AV446))/AV446)))</f>
        <v>1</v>
      </c>
      <c r="BB446" s="55" t="str">
        <f aca="false">IF(AF446&lt;=0,"",IF(BU446="Aussen","Aussenlager",IF(BU446="-","Nicht im Lift",IF(AK446&gt;=1,"Lift",IF(AK446&lt;=0,"Aussenlager","teilweise")))))</f>
        <v>Lift</v>
      </c>
      <c r="BC446" s="55" t="str">
        <f aca="false">IF(AN446&lt;=0,"",IF(BU446="Aussen","Aussenlager",IF(BU446="-","Nicht im Lift",IF(AS446&gt;=1,"Lift",IF(AS446&lt;=0,"Aussenlager","teilweise")))))</f>
        <v>Lift</v>
      </c>
      <c r="BD446" s="55" t="str">
        <f aca="false">IF(AV446&lt;=0,"",IF(BU446="Aussen","Aussenlager",IF(BU446="-","Nicht im Lift",IF(BA446&gt;=1,"Lift",IF(BA446&lt;=0,"Aussenlager","teilweise")))))</f>
        <v>Lift</v>
      </c>
      <c r="BE446" s="55" t="str">
        <f aca="false">IF(A446="","",IF(BN446=1,"Neu; ","")&amp;IF(AND(BN446=0,BI446&lt;0),"negativer Bestand (Export "&amp;BI446&amp;"); ","")&amp;IF(I446&lt;=0,"Kein Verbrauch; ","")&amp;IF(CD446&gt;0,"Lift "&amp;U446&amp;" lt. Liftbericht (Fach "&amp;V446&amp;" Stk); ",IF(BR446=1,"Lose – Fläche geschätzt; ",""))&amp;IF(G446&gt;AP446,"Überbestand "&amp;ROUND(G446-AP446,0)&amp;" Stk / CHF "&amp;ROUND((G446-AP446)*F446,0)&amp;"; ","")&amp;IF(AND(BW446=1,BX446&lt;BY446),"MAX &lt; MB+LG; ","")&amp;IF(AND(CC446&gt;0,CB446*10&gt;CC446),"zu hoch für Tablar; ","")&amp;IF(AND(BN446=0,OR(BW446=1,Y446&lt;&gt;"",S446&lt;&gt;"",T446&lt;&gt;"",Z446&lt;&gt;"")),"manuell übersteuert; ","")&amp;IF(AND(BR446=0,Q446=0),"Gebinde unbekannt / Stellmass fehlt; ","")&amp;IF(AND(BR446=0,N(T446)&lt;=0,N(P446)&lt;=0),"Menge pro Gebinde fehlt (Ist = 1 Gebinde); ","")&amp;BM446)</f>
        <v>Lift 1 lt. Liftbericht (Fach 2 Stk); </v>
      </c>
      <c r="BF446" s="55"/>
      <c r="BG446" s="55"/>
      <c r="BH446" s="62"/>
      <c r="BI446" s="57" t="n">
        <v>0</v>
      </c>
      <c r="BJ446" s="57" t="n">
        <v>2</v>
      </c>
      <c r="BK446" s="56" t="n">
        <v>72.2999999999997</v>
      </c>
      <c r="BL446" s="57" t="n">
        <v>4</v>
      </c>
      <c r="BM446" s="55"/>
      <c r="BN446" s="60" t="n">
        <v>0</v>
      </c>
      <c r="BO446" s="60" t="n">
        <v>446</v>
      </c>
      <c r="BP446" s="55" t="str">
        <f aca="false">IF(S446&lt;&gt;"",UPPER(TRIM(S446)),IF(O446="","LOSE",O446))</f>
        <v>LOSE</v>
      </c>
      <c r="BQ446" s="57" t="n">
        <f aca="false">IF(BP446="LOSE",1,IF(N(T446)&gt;0,T446,IF(N(P446)&gt;0,P446,MAX(1,G446))))</f>
        <v>1</v>
      </c>
      <c r="BR446" s="60" t="n">
        <f aca="false">IF(BP446="LOSE",1,0)</f>
        <v>1</v>
      </c>
      <c r="BS446" s="59" t="n">
        <f aca="false">IF(BR446=0,0,IF(N(R446)&gt;0,R446,IFERROR(VLOOKUP(D446,Parameter!$A$35:$C$64,3,0)+0,0)))</f>
        <v>0.15</v>
      </c>
      <c r="BT446" s="55" t="n">
        <f aca="false">IF(Y446&lt;&gt;"",Y446,X446)</f>
        <v>1</v>
      </c>
      <c r="BU446" s="55" t="str">
        <f aca="false">IF(BT446=1,"L1",IF(OR(BT446=2,BT446=3),"L23",IF(BT446="Aussen","Aussen","-")))</f>
        <v>L1</v>
      </c>
      <c r="BV446" s="66" t="n">
        <f aca="false">IF(N(Z446)&gt;0,Z446,0)</f>
        <v>0</v>
      </c>
      <c r="BW446" s="60" t="n">
        <f aca="false">IF(ISNUMBER(AC446),1,0)</f>
        <v>0</v>
      </c>
      <c r="BX446" s="57" t="n">
        <f aca="false">N(AC446)</f>
        <v>0</v>
      </c>
      <c r="BY446" s="57" t="n">
        <f aca="false">N(L446)+N(M446)</f>
        <v>2</v>
      </c>
      <c r="BZ446" s="57" t="n">
        <f aca="false">ROUNDUP(G446/BQ446,0)</f>
        <v>0</v>
      </c>
      <c r="CA446" s="57" t="n">
        <f aca="false">ROUNDUP(BX446/BQ446,0)</f>
        <v>0</v>
      </c>
      <c r="CB446" s="60" t="n">
        <f aca="false">IF(BR446=1,0,IFERROR(VLOOKUP(BP446,'Gebinde-Kategorie'!$A$5:$M$45,5,0)+0,0))</f>
        <v>0</v>
      </c>
      <c r="CC446" s="60" t="n">
        <f aca="false">IFERROR(IF(OR(BT446=1,BT446=2,BT446=3),N(INDEX(Parameter!$I$5:$I$7,BT446)),0),0)</f>
        <v>0</v>
      </c>
      <c r="CD446" s="59" t="n">
        <f aca="false">IF(AND(Parameter!$B$21="Ja",ISNUMBER(U446),N(V446)&gt;0),IFERROR(N(INDEX(Parameter!$L$5:$L$7,U446))*INDEX(Parameter!$E$5:$E$7,U446)*V446/SUMIFS($V$7:$V$1576,$U$7:$U$1576,U446),0),0)</f>
        <v>0.160075329566855</v>
      </c>
    </row>
    <row r="447" customFormat="false" ht="15" hidden="false" customHeight="false" outlineLevel="0" collapsed="false">
      <c r="A447" s="55" t="s">
        <v>1003</v>
      </c>
      <c r="B447" s="55" t="s">
        <v>1004</v>
      </c>
      <c r="C447" s="55" t="s">
        <v>160</v>
      </c>
      <c r="D447" s="55" t="s">
        <v>178</v>
      </c>
      <c r="E447" s="55" t="s">
        <v>210</v>
      </c>
      <c r="F447" s="56" t="n">
        <v>0.12</v>
      </c>
      <c r="G447" s="57" t="n">
        <f aca="false">MAX(0,IF(AND(Parameter!$B$21="Ja",ISNUMBER(W447)),W447,IF(Parameter!$B$20="Jahresanfang 2025 + Export",BJ447+BI447,BI447)))</f>
        <v>598</v>
      </c>
      <c r="H447" s="57" t="n">
        <f aca="false">G447*F447</f>
        <v>71.76</v>
      </c>
      <c r="I447" s="57" t="n">
        <f aca="false">BL447*Parameter!$B$18</f>
        <v>1150</v>
      </c>
      <c r="J447" s="58" t="n">
        <v>378.5</v>
      </c>
      <c r="K447" s="59" t="n">
        <v>3.03830911492735</v>
      </c>
      <c r="L447" s="57" t="n">
        <v>67</v>
      </c>
      <c r="M447" s="57" t="n">
        <v>1000</v>
      </c>
      <c r="N447" s="60" t="n">
        <v>21</v>
      </c>
      <c r="O447" s="55" t="s">
        <v>225</v>
      </c>
      <c r="P447" s="57" t="n">
        <v>1500</v>
      </c>
      <c r="Q447" s="60" t="n">
        <f aca="false">IF(BR447=1,0,IFERROR(VLOOKUP(BP447,'Gebinde-Kategorie'!$A$5:$M$45,13,0)+0,0))</f>
        <v>26</v>
      </c>
      <c r="R447" s="61"/>
      <c r="S447" s="62"/>
      <c r="T447" s="62"/>
      <c r="U447" s="55"/>
      <c r="V447" s="57"/>
      <c r="W447" s="57"/>
      <c r="X447" s="55" t="n">
        <f aca="false">IF(A447="","",IF(AND(Parameter!$B$21="Ja",ISNUMBER(U447)),U447,IF(IFERROR(VLOOKUP(D447,Parameter!$A$35:$C$64,2,0),"Nein")="2+3",IF(ISNUMBER(SEARCH("grosser Artikel",BM447)),2,IFERROR(VLOOKUP(BP447,Parameter!$F$35:$G$64,2,0),2)),IF(OR(IFERROR(VLOOKUP(D447,Parameter!$A$35:$C$64,2,0),"Nein")="Nein",IFERROR(VLOOKUP(D447,Parameter!$A$35:$C$64,2,0),"Nein")=""),"-",VLOOKUP(D447,Parameter!$A$35:$C$64,2,0)))))</f>
        <v>3</v>
      </c>
      <c r="Y447" s="62"/>
      <c r="Z447" s="63"/>
      <c r="AA447" s="57" t="n">
        <f aca="false">AP447</f>
        <v>1500</v>
      </c>
      <c r="AB447" s="57" t="n">
        <f aca="false">MAX(AP447,G447)</f>
        <v>1500</v>
      </c>
      <c r="AC447" s="64"/>
      <c r="AD447" s="57" t="n">
        <f aca="false">IF(LEFT(Cockpit!$C$5,1)="A",G447,IF(BW447=1,BX447,IF(LEFT(Cockpit!$C$5,1)="B",AH447,MAX(AH447,G447))))</f>
        <v>598</v>
      </c>
      <c r="AE447" s="57" t="n">
        <f aca="false">IF(BR447=1,0,ROUNDUP(AD447/BQ447,0))</f>
        <v>1</v>
      </c>
      <c r="AF447" s="59" t="n">
        <f aca="false">IF(CD447&gt;0,CD447*MAX(1,AD447/V447),IF(BR447=1,IF(AD447&lt;=0,0,BS447*MAX(1,IF(G447&gt;0,AD447/G447,1))),IF(Q447&gt;0,AE447/Q447,0))/MAX(0.1,N(Parameter!$M$21)))</f>
        <v>0.0384615384615385</v>
      </c>
      <c r="AG447" s="57" t="n">
        <f aca="false">AD447*F447</f>
        <v>71.76</v>
      </c>
      <c r="AH447" s="57" t="n">
        <f aca="false">ROUNDUP(MAX(I447/IF(BV447&gt;0,BV447,MAX(0.1,N(Cockpit!$C$6))),BY447)/BQ447,0)*BQ447</f>
        <v>1500</v>
      </c>
      <c r="AI447" s="58" t="n">
        <f aca="false">IF(AF447&gt;0,I447/AF447,-1)</f>
        <v>29900</v>
      </c>
      <c r="AJ447" s="58" t="n">
        <f aca="false">IF(AND(OR(BU447="L1",BU447="L23"),AF447&gt;0),SUMIFS($AF$7:$AF$1576,$BU$7:$BU$1576,BU447,$AI$7:$AI$1576,"&gt;"&amp;AI447)+SUMIFS($AF$7:$AF$1576,$BU$7:$BU$1576,BU447,$AI$7:$AI$1576,AI447,$BO$7:$BO$1576,"&lt;="&amp;BO447),"")</f>
        <v>1.47071044897132</v>
      </c>
      <c r="AK447" s="65" t="n">
        <f aca="false">IF(AJ447="",0,MAX(0,MIN(1,(IF(BU447="L1",Parameter!$E$5,Parameter!$E$6+Parameter!$E$7)-(AJ447-AF447))/AF447)))</f>
        <v>1</v>
      </c>
      <c r="AL447" s="57" t="n">
        <f aca="false">IF(LEFT(Cockpit!$I$5,1)="A",G447,IF(BW447=1,BX447,IF(LEFT(Cockpit!$I$5,1)="B",AP447,MAX(AP447,G447))))</f>
        <v>1500</v>
      </c>
      <c r="AM447" s="57" t="n">
        <f aca="false">IF(BR447=1,0,ROUNDUP(AL447/BQ447,0))</f>
        <v>1</v>
      </c>
      <c r="AN447" s="59" t="n">
        <f aca="false">IF(CD447&gt;0,CD447*MAX(1,AL447/V447),IF(BR447=1,IF(AL447&lt;=0,0,BS447*MAX(1,IF(G447&gt;0,AL447/G447,1))),IF(Q447&gt;0,AM447/Q447,0))/MAX(0.1,N(Parameter!$M$21)))</f>
        <v>0.0384615384615385</v>
      </c>
      <c r="AO447" s="57" t="n">
        <f aca="false">AL447*F447</f>
        <v>180</v>
      </c>
      <c r="AP447" s="57" t="n">
        <f aca="false">ROUNDUP(MAX(I447/IF(BV447&gt;0,BV447,MAX(0.1,N(Cockpit!$I$6))),BY447)/BQ447,0)*BQ447</f>
        <v>1500</v>
      </c>
      <c r="AQ447" s="58" t="n">
        <f aca="false">IF(AN447&gt;0,I447/AN447,-1)</f>
        <v>29900</v>
      </c>
      <c r="AR447" s="58" t="n">
        <f aca="false">IF(AND(OR(BU447="L1",BU447="L23"),AN447&gt;0),SUMIFS($AN$7:$AN$1576,$BU$7:$BU$1576,BU447,$AQ$7:$AQ$1576,"&gt;"&amp;AQ447)+SUMIFS($AN$7:$AN$1576,$BU$7:$BU$1576,BU447,$AQ$7:$AQ$1576,AQ447,$BO$7:$BO$1576,"&lt;="&amp;BO447),"")</f>
        <v>2.84790581399277</v>
      </c>
      <c r="AS447" s="65" t="n">
        <f aca="false">IF(AR447="",0,MAX(0,MIN(1,(IF(BU447="L1",Parameter!$E$5,Parameter!$E$6+Parameter!$E$7)-(AR447-AN447))/AN447)))</f>
        <v>1</v>
      </c>
      <c r="AT447" s="57" t="n">
        <f aca="false">IF(LEFT(Cockpit!$O$5,1)="A",G447,IF(BW447=1,BX447,IF(LEFT(Cockpit!$O$5,1)="B",AX447,MAX(AX447,G447))))</f>
        <v>1500</v>
      </c>
      <c r="AU447" s="57" t="n">
        <f aca="false">IF(BR447=1,0,ROUNDUP(AT447/BQ447,0))</f>
        <v>1</v>
      </c>
      <c r="AV447" s="59" t="n">
        <f aca="false">IF(CD447&gt;0,CD447*MAX(1,AT447/V447),IF(BR447=1,IF(AT447&lt;=0,0,BS447*MAX(1,IF(G447&gt;0,AT447/G447,1))),IF(Q447&gt;0,AU447/Q447,0))/MAX(0.1,N(Parameter!$M$21)))</f>
        <v>0.0384615384615385</v>
      </c>
      <c r="AW447" s="57" t="n">
        <f aca="false">AT447*F447</f>
        <v>180</v>
      </c>
      <c r="AX447" s="57" t="n">
        <f aca="false">ROUNDUP(MAX(I447/IF(BV447&gt;0,BV447,MAX(0.1,N(Cockpit!$O$6))),BY447)/BQ447,0)*BQ447</f>
        <v>1500</v>
      </c>
      <c r="AY447" s="58" t="n">
        <f aca="false">IF(AV447&gt;0,I447/AV447,-1)</f>
        <v>29900</v>
      </c>
      <c r="AZ447" s="58" t="n">
        <f aca="false">IF(AND(OR(BU447="L1",BU447="L23"),AV447&gt;0),SUMIFS($AV$7:$AV$1576,$BU$7:$BU$1576,BU447,$AY$7:$AY$1576,"&gt;"&amp;AY447)+SUMIFS($AV$7:$AV$1576,$BU$7:$BU$1576,BU447,$AY$7:$AY$1576,AY447,$BO$7:$BO$1576,"&lt;="&amp;BO447),"")</f>
        <v>2.61597108205804</v>
      </c>
      <c r="BA447" s="65" t="n">
        <f aca="false">IF(AZ447="",0,MAX(0,MIN(1,(IF(BU447="L1",Parameter!$E$5,Parameter!$E$6+Parameter!$E$7)-(AZ447-AV447))/AV447)))</f>
        <v>1</v>
      </c>
      <c r="BB447" s="55" t="str">
        <f aca="false">IF(AF447&lt;=0,"",IF(BU447="Aussen","Aussenlager",IF(BU447="-","Nicht im Lift",IF(AK447&gt;=1,"Lift",IF(AK447&lt;=0,"Aussenlager","teilweise")))))</f>
        <v>Lift</v>
      </c>
      <c r="BC447" s="55" t="str">
        <f aca="false">IF(AN447&lt;=0,"",IF(BU447="Aussen","Aussenlager",IF(BU447="-","Nicht im Lift",IF(AS447&gt;=1,"Lift",IF(AS447&lt;=0,"Aussenlager","teilweise")))))</f>
        <v>Lift</v>
      </c>
      <c r="BD447" s="55" t="str">
        <f aca="false">IF(AV447&lt;=0,"",IF(BU447="Aussen","Aussenlager",IF(BU447="-","Nicht im Lift",IF(BA447&gt;=1,"Lift",IF(BA447&lt;=0,"Aussenlager","teilweise")))))</f>
        <v>Lift</v>
      </c>
      <c r="BE447" s="55" t="str">
        <f aca="false">IF(A447="","",IF(BN447=1,"Neu; ","")&amp;IF(AND(BN447=0,BI447&lt;0),"negativer Bestand (Export "&amp;BI447&amp;"); ","")&amp;IF(I447&lt;=0,"Kein Verbrauch; ","")&amp;IF(CD447&gt;0,"Lift "&amp;U447&amp;" lt. Liftbericht (Fach "&amp;V447&amp;" Stk); ",IF(BR447=1,"Lose – Fläche geschätzt; ",""))&amp;IF(G447&gt;AP447,"Überbestand "&amp;ROUND(G447-AP447,0)&amp;" Stk / CHF "&amp;ROUND((G447-AP447)*F447,0)&amp;"; ","")&amp;IF(AND(BW447=1,BX447&lt;BY447),"MAX &lt; MB+LG; ","")&amp;IF(AND(CC447&gt;0,CB447*10&gt;CC447),"zu hoch für Tablar; ","")&amp;IF(AND(BN447=0,OR(BW447=1,Y447&lt;&gt;"",S447&lt;&gt;"",T447&lt;&gt;"",Z447&lt;&gt;"")),"manuell übersteuert; ","")&amp;IF(AND(BR447=0,Q447=0),"Gebinde unbekannt / Stellmass fehlt; ","")&amp;IF(AND(BR447=0,N(T447)&lt;=0,N(P447)&lt;=0),"Menge pro Gebinde fehlt (Ist = 1 Gebinde); ","")&amp;BM447)</f>
        <v/>
      </c>
      <c r="BF447" s="55"/>
      <c r="BG447" s="55"/>
      <c r="BH447" s="62"/>
      <c r="BI447" s="57" t="n">
        <v>598</v>
      </c>
      <c r="BJ447" s="57" t="n">
        <v>200</v>
      </c>
      <c r="BK447" s="56" t="n">
        <v>71.76</v>
      </c>
      <c r="BL447" s="57" t="n">
        <v>1150</v>
      </c>
      <c r="BM447" s="55"/>
      <c r="BN447" s="60" t="n">
        <v>0</v>
      </c>
      <c r="BO447" s="60" t="n">
        <v>447</v>
      </c>
      <c r="BP447" s="55" t="str">
        <f aca="false">IF(S447&lt;&gt;"",UPPER(TRIM(S447)),IF(O447="","LOSE",O447))</f>
        <v>S52</v>
      </c>
      <c r="BQ447" s="57" t="n">
        <f aca="false">IF(BP447="LOSE",1,IF(N(T447)&gt;0,T447,IF(N(P447)&gt;0,P447,MAX(1,G447))))</f>
        <v>1500</v>
      </c>
      <c r="BR447" s="60" t="n">
        <f aca="false">IF(BP447="LOSE",1,0)</f>
        <v>0</v>
      </c>
      <c r="BS447" s="59" t="n">
        <f aca="false">IF(BR447=0,0,IF(N(R447)&gt;0,R447,IFERROR(VLOOKUP(D447,Parameter!$A$35:$C$64,3,0)+0,0)))</f>
        <v>0</v>
      </c>
      <c r="BT447" s="55" t="n">
        <f aca="false">IF(Y447&lt;&gt;"",Y447,X447)</f>
        <v>3</v>
      </c>
      <c r="BU447" s="55" t="str">
        <f aca="false">IF(BT447=1,"L1",IF(OR(BT447=2,BT447=3),"L23",IF(BT447="Aussen","Aussen","-")))</f>
        <v>L23</v>
      </c>
      <c r="BV447" s="66" t="n">
        <f aca="false">IF(N(Z447)&gt;0,Z447,0)</f>
        <v>0</v>
      </c>
      <c r="BW447" s="60" t="n">
        <f aca="false">IF(ISNUMBER(AC447),1,0)</f>
        <v>0</v>
      </c>
      <c r="BX447" s="57" t="n">
        <f aca="false">N(AC447)</f>
        <v>0</v>
      </c>
      <c r="BY447" s="57" t="n">
        <f aca="false">N(L447)+N(M447)</f>
        <v>1067</v>
      </c>
      <c r="BZ447" s="57" t="n">
        <f aca="false">ROUNDUP(G447/BQ447,0)</f>
        <v>1</v>
      </c>
      <c r="CA447" s="57" t="n">
        <f aca="false">ROUNDUP(BX447/BQ447,0)</f>
        <v>0</v>
      </c>
      <c r="CB447" s="60" t="n">
        <f aca="false">IF(BR447=1,0,IFERROR(VLOOKUP(BP447,'Gebinde-Kategorie'!$A$5:$M$45,5,0)+0,0))</f>
        <v>21</v>
      </c>
      <c r="CC447" s="60" t="n">
        <f aca="false">IFERROR(IF(OR(BT447=1,BT447=2,BT447=3),N(INDEX(Parameter!$I$5:$I$7,BT447)),0),0)</f>
        <v>0</v>
      </c>
      <c r="CD447" s="59" t="n">
        <f aca="false">IF(AND(Parameter!$B$21="Ja",ISNUMBER(U447),N(V447)&gt;0),IFERROR(N(INDEX(Parameter!$L$5:$L$7,U447))*INDEX(Parameter!$E$5:$E$7,U447)*V447/SUMIFS($V$7:$V$1576,$U$7:$U$1576,U447),0),0)</f>
        <v>0</v>
      </c>
    </row>
    <row r="448" customFormat="false" ht="15" hidden="false" customHeight="false" outlineLevel="0" collapsed="false">
      <c r="A448" s="55" t="s">
        <v>1005</v>
      </c>
      <c r="B448" s="55" t="s">
        <v>844</v>
      </c>
      <c r="C448" s="55" t="s">
        <v>160</v>
      </c>
      <c r="D448" s="55" t="s">
        <v>178</v>
      </c>
      <c r="E448" s="55" t="s">
        <v>210</v>
      </c>
      <c r="F448" s="56" t="n">
        <v>0.13</v>
      </c>
      <c r="G448" s="57" t="n">
        <f aca="false">MAX(0,IF(AND(Parameter!$B$21="Ja",ISNUMBER(W448)),W448,IF(Parameter!$B$20="Jahresanfang 2025 + Export",BJ448+BI448,BI448)))</f>
        <v>550</v>
      </c>
      <c r="H448" s="57" t="n">
        <f aca="false">G448*F448</f>
        <v>71.5</v>
      </c>
      <c r="I448" s="57" t="n">
        <f aca="false">BL448*Parameter!$B$18</f>
        <v>2250</v>
      </c>
      <c r="J448" s="58" t="n">
        <v>575</v>
      </c>
      <c r="K448" s="59" t="n">
        <v>3.91304347826087</v>
      </c>
      <c r="L448" s="57" t="n">
        <v>200</v>
      </c>
      <c r="M448" s="57" t="n">
        <v>500</v>
      </c>
      <c r="N448" s="60" t="n">
        <v>14</v>
      </c>
      <c r="O448" s="55" t="s">
        <v>293</v>
      </c>
      <c r="P448" s="57" t="n">
        <v>600</v>
      </c>
      <c r="Q448" s="60" t="n">
        <f aca="false">IF(BR448=1,0,IFERROR(VLOOKUP(BP448,'Gebinde-Kategorie'!$A$5:$M$45,13,0)+0,0))</f>
        <v>26</v>
      </c>
      <c r="R448" s="61"/>
      <c r="S448" s="62"/>
      <c r="T448" s="62"/>
      <c r="U448" s="55"/>
      <c r="V448" s="57"/>
      <c r="W448" s="57"/>
      <c r="X448" s="55" t="n">
        <f aca="false">IF(A448="","",IF(AND(Parameter!$B$21="Ja",ISNUMBER(U448)),U448,IF(IFERROR(VLOOKUP(D448,Parameter!$A$35:$C$64,2,0),"Nein")="2+3",IF(ISNUMBER(SEARCH("grosser Artikel",BM448)),2,IFERROR(VLOOKUP(BP448,Parameter!$F$35:$G$64,2,0),2)),IF(OR(IFERROR(VLOOKUP(D448,Parameter!$A$35:$C$64,2,0),"Nein")="Nein",IFERROR(VLOOKUP(D448,Parameter!$A$35:$C$64,2,0),"Nein")=""),"-",VLOOKUP(D448,Parameter!$A$35:$C$64,2,0)))))</f>
        <v>3</v>
      </c>
      <c r="Y448" s="62"/>
      <c r="Z448" s="63"/>
      <c r="AA448" s="57" t="n">
        <f aca="false">AP448</f>
        <v>1200</v>
      </c>
      <c r="AB448" s="57" t="n">
        <f aca="false">MAX(AP448,G448)</f>
        <v>1200</v>
      </c>
      <c r="AC448" s="64"/>
      <c r="AD448" s="57" t="n">
        <f aca="false">IF(LEFT(Cockpit!$C$5,1)="A",G448,IF(BW448=1,BX448,IF(LEFT(Cockpit!$C$5,1)="B",AH448,MAX(AH448,G448))))</f>
        <v>550</v>
      </c>
      <c r="AE448" s="57" t="n">
        <f aca="false">IF(BR448=1,0,ROUNDUP(AD448/BQ448,0))</f>
        <v>1</v>
      </c>
      <c r="AF448" s="59" t="n">
        <f aca="false">IF(CD448&gt;0,CD448*MAX(1,AD448/V448),IF(BR448=1,IF(AD448&lt;=0,0,BS448*MAX(1,IF(G448&gt;0,AD448/G448,1))),IF(Q448&gt;0,AE448/Q448,0))/MAX(0.1,N(Parameter!$M$21)))</f>
        <v>0.0384615384615385</v>
      </c>
      <c r="AG448" s="57" t="n">
        <f aca="false">AD448*F448</f>
        <v>71.5</v>
      </c>
      <c r="AH448" s="57" t="n">
        <f aca="false">ROUNDUP(MAX(I448/IF(BV448&gt;0,BV448,MAX(0.1,N(Cockpit!$C$6))),BY448)/BQ448,0)*BQ448</f>
        <v>1200</v>
      </c>
      <c r="AI448" s="58" t="n">
        <f aca="false">IF(AF448&gt;0,I448/AF448,-1)</f>
        <v>58500</v>
      </c>
      <c r="AJ448" s="58" t="n">
        <f aca="false">IF(AND(OR(BU448="L1",BU448="L23"),AF448&gt;0),SUMIFS($AF$7:$AF$1576,$BU$7:$BU$1576,BU448,$AI$7:$AI$1576,"&gt;"&amp;AI448)+SUMIFS($AF$7:$AF$1576,$BU$7:$BU$1576,BU448,$AI$7:$AI$1576,AI448,$BO$7:$BO$1576,"&lt;="&amp;BO448),"")</f>
        <v>0.637427789601703</v>
      </c>
      <c r="AK448" s="65" t="n">
        <f aca="false">IF(AJ448="",0,MAX(0,MIN(1,(IF(BU448="L1",Parameter!$E$5,Parameter!$E$6+Parameter!$E$7)-(AJ448-AF448))/AF448)))</f>
        <v>1</v>
      </c>
      <c r="AL448" s="57" t="n">
        <f aca="false">IF(LEFT(Cockpit!$I$5,1)="A",G448,IF(BW448=1,BX448,IF(LEFT(Cockpit!$I$5,1)="B",AP448,MAX(AP448,G448))))</f>
        <v>1200</v>
      </c>
      <c r="AM448" s="57" t="n">
        <f aca="false">IF(BR448=1,0,ROUNDUP(AL448/BQ448,0))</f>
        <v>2</v>
      </c>
      <c r="AN448" s="59" t="n">
        <f aca="false">IF(CD448&gt;0,CD448*MAX(1,AL448/V448),IF(BR448=1,IF(AL448&lt;=0,0,BS448*MAX(1,IF(G448&gt;0,AL448/G448,1))),IF(Q448&gt;0,AM448/Q448,0))/MAX(0.1,N(Parameter!$M$21)))</f>
        <v>0.0769230769230769</v>
      </c>
      <c r="AO448" s="57" t="n">
        <f aca="false">AL448*F448</f>
        <v>156</v>
      </c>
      <c r="AP448" s="57" t="n">
        <f aca="false">ROUNDUP(MAX(I448/IF(BV448&gt;0,BV448,MAX(0.1,N(Cockpit!$I$6))),BY448)/BQ448,0)*BQ448</f>
        <v>1200</v>
      </c>
      <c r="AQ448" s="58" t="n">
        <f aca="false">IF(AN448&gt;0,I448/AN448,-1)</f>
        <v>29250</v>
      </c>
      <c r="AR448" s="58" t="n">
        <f aca="false">IF(AND(OR(BU448="L1",BU448="L23"),AN448&gt;0),SUMIFS($AN$7:$AN$1576,$BU$7:$BU$1576,BU448,$AQ$7:$AQ$1576,"&gt;"&amp;AQ448)+SUMIFS($AN$7:$AN$1576,$BU$7:$BU$1576,BU448,$AQ$7:$AQ$1576,AQ448,$BO$7:$BO$1576,"&lt;="&amp;BO448),"")</f>
        <v>3.04914901523597</v>
      </c>
      <c r="AS448" s="65" t="n">
        <f aca="false">IF(AR448="",0,MAX(0,MIN(1,(IF(BU448="L1",Parameter!$E$5,Parameter!$E$6+Parameter!$E$7)-(AR448-AN448))/AN448)))</f>
        <v>1</v>
      </c>
      <c r="AT448" s="57" t="n">
        <f aca="false">IF(LEFT(Cockpit!$O$5,1)="A",G448,IF(BW448=1,BX448,IF(LEFT(Cockpit!$O$5,1)="B",AX448,MAX(AX448,G448))))</f>
        <v>1200</v>
      </c>
      <c r="AU448" s="57" t="n">
        <f aca="false">IF(BR448=1,0,ROUNDUP(AT448/BQ448,0))</f>
        <v>2</v>
      </c>
      <c r="AV448" s="59" t="n">
        <f aca="false">IF(CD448&gt;0,CD448*MAX(1,AT448/V448),IF(BR448=1,IF(AT448&lt;=0,0,BS448*MAX(1,IF(G448&gt;0,AT448/G448,1))),IF(Q448&gt;0,AU448/Q448,0))/MAX(0.1,N(Parameter!$M$21)))</f>
        <v>0.0769230769230769</v>
      </c>
      <c r="AW448" s="57" t="n">
        <f aca="false">AT448*F448</f>
        <v>156</v>
      </c>
      <c r="AX448" s="57" t="n">
        <f aca="false">ROUNDUP(MAX(I448/IF(BV448&gt;0,BV448,MAX(0.1,N(Cockpit!$O$6))),BY448)/BQ448,0)*BQ448</f>
        <v>1200</v>
      </c>
      <c r="AY448" s="58" t="n">
        <f aca="false">IF(AV448&gt;0,I448/AV448,-1)</f>
        <v>29250</v>
      </c>
      <c r="AZ448" s="58" t="n">
        <f aca="false">IF(AND(OR(BU448="L1",BU448="L23"),AV448&gt;0),SUMIFS($AV$7:$AV$1576,$BU$7:$BU$1576,BU448,$AY$7:$AY$1576,"&gt;"&amp;AY448)+SUMIFS($AV$7:$AV$1576,$BU$7:$BU$1576,BU448,$AY$7:$AY$1576,AY448,$BO$7:$BO$1576,"&lt;="&amp;BO448),"")</f>
        <v>2.81721428330124</v>
      </c>
      <c r="BA448" s="65" t="n">
        <f aca="false">IF(AZ448="",0,MAX(0,MIN(1,(IF(BU448="L1",Parameter!$E$5,Parameter!$E$6+Parameter!$E$7)-(AZ448-AV448))/AV448)))</f>
        <v>1</v>
      </c>
      <c r="BB448" s="55" t="str">
        <f aca="false">IF(AF448&lt;=0,"",IF(BU448="Aussen","Aussenlager",IF(BU448="-","Nicht im Lift",IF(AK448&gt;=1,"Lift",IF(AK448&lt;=0,"Aussenlager","teilweise")))))</f>
        <v>Lift</v>
      </c>
      <c r="BC448" s="55" t="str">
        <f aca="false">IF(AN448&lt;=0,"",IF(BU448="Aussen","Aussenlager",IF(BU448="-","Nicht im Lift",IF(AS448&gt;=1,"Lift",IF(AS448&lt;=0,"Aussenlager","teilweise")))))</f>
        <v>Lift</v>
      </c>
      <c r="BD448" s="55" t="str">
        <f aca="false">IF(AV448&lt;=0,"",IF(BU448="Aussen","Aussenlager",IF(BU448="-","Nicht im Lift",IF(BA448&gt;=1,"Lift",IF(BA448&lt;=0,"Aussenlager","teilweise")))))</f>
        <v>Lift</v>
      </c>
      <c r="BE448" s="55" t="str">
        <f aca="false">IF(A448="","",IF(BN448=1,"Neu; ","")&amp;IF(AND(BN448=0,BI448&lt;0),"negativer Bestand (Export "&amp;BI448&amp;"); ","")&amp;IF(I448&lt;=0,"Kein Verbrauch; ","")&amp;IF(CD448&gt;0,"Lift "&amp;U448&amp;" lt. Liftbericht (Fach "&amp;V448&amp;" Stk); ",IF(BR448=1,"Lose – Fläche geschätzt; ",""))&amp;IF(G448&gt;AP448,"Überbestand "&amp;ROUND(G448-AP448,0)&amp;" Stk / CHF "&amp;ROUND((G448-AP448)*F448,0)&amp;"; ","")&amp;IF(AND(BW448=1,BX448&lt;BY448),"MAX &lt; MB+LG; ","")&amp;IF(AND(CC448&gt;0,CB448*10&gt;CC448),"zu hoch für Tablar; ","")&amp;IF(AND(BN448=0,OR(BW448=1,Y448&lt;&gt;"",S448&lt;&gt;"",T448&lt;&gt;"",Z448&lt;&gt;"")),"manuell übersteuert; ","")&amp;IF(AND(BR448=0,Q448=0),"Gebinde unbekannt / Stellmass fehlt; ","")&amp;IF(AND(BR448=0,N(T448)&lt;=0,N(P448)&lt;=0),"Menge pro Gebinde fehlt (Ist = 1 Gebinde); ","")&amp;BM448)</f>
        <v/>
      </c>
      <c r="BF448" s="55"/>
      <c r="BG448" s="55"/>
      <c r="BH448" s="62"/>
      <c r="BI448" s="57" t="n">
        <v>550</v>
      </c>
      <c r="BJ448" s="57" t="n">
        <v>450</v>
      </c>
      <c r="BK448" s="56" t="n">
        <v>71.5</v>
      </c>
      <c r="BL448" s="57" t="n">
        <v>2250</v>
      </c>
      <c r="BM448" s="55"/>
      <c r="BN448" s="60" t="n">
        <v>0</v>
      </c>
      <c r="BO448" s="60" t="n">
        <v>448</v>
      </c>
      <c r="BP448" s="55" t="str">
        <f aca="false">IF(S448&lt;&gt;"",UPPER(TRIM(S448)),IF(O448="","LOSE",O448))</f>
        <v>S51</v>
      </c>
      <c r="BQ448" s="57" t="n">
        <f aca="false">IF(BP448="LOSE",1,IF(N(T448)&gt;0,T448,IF(N(P448)&gt;0,P448,MAX(1,G448))))</f>
        <v>600</v>
      </c>
      <c r="BR448" s="60" t="n">
        <f aca="false">IF(BP448="LOSE",1,0)</f>
        <v>0</v>
      </c>
      <c r="BS448" s="59" t="n">
        <f aca="false">IF(BR448=0,0,IF(N(R448)&gt;0,R448,IFERROR(VLOOKUP(D448,Parameter!$A$35:$C$64,3,0)+0,0)))</f>
        <v>0</v>
      </c>
      <c r="BT448" s="55" t="n">
        <f aca="false">IF(Y448&lt;&gt;"",Y448,X448)</f>
        <v>3</v>
      </c>
      <c r="BU448" s="55" t="str">
        <f aca="false">IF(BT448=1,"L1",IF(OR(BT448=2,BT448=3),"L23",IF(BT448="Aussen","Aussen","-")))</f>
        <v>L23</v>
      </c>
      <c r="BV448" s="66" t="n">
        <f aca="false">IF(N(Z448)&gt;0,Z448,0)</f>
        <v>0</v>
      </c>
      <c r="BW448" s="60" t="n">
        <f aca="false">IF(ISNUMBER(AC448),1,0)</f>
        <v>0</v>
      </c>
      <c r="BX448" s="57" t="n">
        <f aca="false">N(AC448)</f>
        <v>0</v>
      </c>
      <c r="BY448" s="57" t="n">
        <f aca="false">N(L448)+N(M448)</f>
        <v>700</v>
      </c>
      <c r="BZ448" s="57" t="n">
        <f aca="false">ROUNDUP(G448/BQ448,0)</f>
        <v>1</v>
      </c>
      <c r="CA448" s="57" t="n">
        <f aca="false">ROUNDUP(BX448/BQ448,0)</f>
        <v>0</v>
      </c>
      <c r="CB448" s="60" t="n">
        <f aca="false">IF(BR448=1,0,IFERROR(VLOOKUP(BP448,'Gebinde-Kategorie'!$A$5:$M$45,5,0)+0,0))</f>
        <v>11</v>
      </c>
      <c r="CC448" s="60" t="n">
        <f aca="false">IFERROR(IF(OR(BT448=1,BT448=2,BT448=3),N(INDEX(Parameter!$I$5:$I$7,BT448)),0),0)</f>
        <v>0</v>
      </c>
      <c r="CD448" s="59" t="n">
        <f aca="false">IF(AND(Parameter!$B$21="Ja",ISNUMBER(U448),N(V448)&gt;0),IFERROR(N(INDEX(Parameter!$L$5:$L$7,U448))*INDEX(Parameter!$E$5:$E$7,U448)*V448/SUMIFS($V$7:$V$1576,$U$7:$U$1576,U448),0),0)</f>
        <v>0</v>
      </c>
    </row>
    <row r="449" customFormat="false" ht="15" hidden="false" customHeight="false" outlineLevel="0" collapsed="false">
      <c r="A449" s="55" t="s">
        <v>1006</v>
      </c>
      <c r="B449" s="55" t="s">
        <v>457</v>
      </c>
      <c r="C449" s="55" t="s">
        <v>160</v>
      </c>
      <c r="D449" s="55" t="s">
        <v>178</v>
      </c>
      <c r="E449" s="55" t="s">
        <v>210</v>
      </c>
      <c r="F449" s="56" t="n">
        <v>1.16</v>
      </c>
      <c r="G449" s="57" t="n">
        <f aca="false">MAX(0,IF(AND(Parameter!$B$21="Ja",ISNUMBER(W449)),W449,IF(Parameter!$B$20="Jahresanfang 2025 + Export",BJ449+BI449,BI449)))</f>
        <v>62</v>
      </c>
      <c r="H449" s="57" t="n">
        <f aca="false">G449*F449</f>
        <v>71.92</v>
      </c>
      <c r="I449" s="57" t="n">
        <f aca="false">BL449*Parameter!$B$18</f>
        <v>233</v>
      </c>
      <c r="J449" s="58" t="n">
        <v>140</v>
      </c>
      <c r="K449" s="59" t="n">
        <v>1.66428571428571</v>
      </c>
      <c r="L449" s="57" t="n">
        <v>9</v>
      </c>
      <c r="M449" s="57" t="n">
        <v>235</v>
      </c>
      <c r="N449" s="60" t="n">
        <v>14</v>
      </c>
      <c r="O449" s="55" t="s">
        <v>319</v>
      </c>
      <c r="P449" s="57" t="n">
        <v>178</v>
      </c>
      <c r="Q449" s="60" t="n">
        <f aca="false">IF(BR449=1,0,IFERROR(VLOOKUP(BP449,'Gebinde-Kategorie'!$A$5:$M$45,13,0)+0,0))</f>
        <v>52</v>
      </c>
      <c r="R449" s="61"/>
      <c r="S449" s="62"/>
      <c r="T449" s="62"/>
      <c r="U449" s="55"/>
      <c r="V449" s="57"/>
      <c r="W449" s="57"/>
      <c r="X449" s="55" t="n">
        <f aca="false">IF(A449="","",IF(AND(Parameter!$B$21="Ja",ISNUMBER(U449)),U449,IF(IFERROR(VLOOKUP(D449,Parameter!$A$35:$C$64,2,0),"Nein")="2+3",IF(ISNUMBER(SEARCH("grosser Artikel",BM449)),2,IFERROR(VLOOKUP(BP449,Parameter!$F$35:$G$64,2,0),2)),IF(OR(IFERROR(VLOOKUP(D449,Parameter!$A$35:$C$64,2,0),"Nein")="Nein",IFERROR(VLOOKUP(D449,Parameter!$A$35:$C$64,2,0),"Nein")=""),"-",VLOOKUP(D449,Parameter!$A$35:$C$64,2,0)))))</f>
        <v>3</v>
      </c>
      <c r="Y449" s="62"/>
      <c r="Z449" s="63"/>
      <c r="AA449" s="57" t="n">
        <f aca="false">AP449</f>
        <v>356</v>
      </c>
      <c r="AB449" s="57" t="n">
        <f aca="false">MAX(AP449,G449)</f>
        <v>356</v>
      </c>
      <c r="AC449" s="64"/>
      <c r="AD449" s="57" t="n">
        <f aca="false">IF(LEFT(Cockpit!$C$5,1)="A",G449,IF(BW449=1,BX449,IF(LEFT(Cockpit!$C$5,1)="B",AH449,MAX(AH449,G449))))</f>
        <v>62</v>
      </c>
      <c r="AE449" s="57" t="n">
        <f aca="false">IF(BR449=1,0,ROUNDUP(AD449/BQ449,0))</f>
        <v>1</v>
      </c>
      <c r="AF449" s="59" t="n">
        <f aca="false">IF(CD449&gt;0,CD449*MAX(1,AD449/V449),IF(BR449=1,IF(AD449&lt;=0,0,BS449*MAX(1,IF(G449&gt;0,AD449/G449,1))),IF(Q449&gt;0,AE449/Q449,0))/MAX(0.1,N(Parameter!$M$21)))</f>
        <v>0.0192307692307692</v>
      </c>
      <c r="AG449" s="57" t="n">
        <f aca="false">AD449*F449</f>
        <v>71.92</v>
      </c>
      <c r="AH449" s="57" t="n">
        <f aca="false">ROUNDUP(MAX(I449/IF(BV449&gt;0,BV449,MAX(0.1,N(Cockpit!$C$6))),BY449)/BQ449,0)*BQ449</f>
        <v>356</v>
      </c>
      <c r="AI449" s="58" t="n">
        <f aca="false">IF(AF449&gt;0,I449/AF449,-1)</f>
        <v>12116</v>
      </c>
      <c r="AJ449" s="58" t="n">
        <f aca="false">IF(AND(OR(BU449="L1",BU449="L23"),AF449&gt;0),SUMIFS($AF$7:$AF$1576,$BU$7:$BU$1576,BU449,$AI$7:$AI$1576,"&gt;"&amp;AI449)+SUMIFS($AF$7:$AF$1576,$BU$7:$BU$1576,BU449,$AI$7:$AI$1576,AI449,$BO$7:$BO$1576,"&lt;="&amp;BO449),"")</f>
        <v>2.35139015573798</v>
      </c>
      <c r="AK449" s="65" t="n">
        <f aca="false">IF(AJ449="",0,MAX(0,MIN(1,(IF(BU449="L1",Parameter!$E$5,Parameter!$E$6+Parameter!$E$7)-(AJ449-AF449))/AF449)))</f>
        <v>1</v>
      </c>
      <c r="AL449" s="57" t="n">
        <f aca="false">IF(LEFT(Cockpit!$I$5,1)="A",G449,IF(BW449=1,BX449,IF(LEFT(Cockpit!$I$5,1)="B",AP449,MAX(AP449,G449))))</f>
        <v>356</v>
      </c>
      <c r="AM449" s="57" t="n">
        <f aca="false">IF(BR449=1,0,ROUNDUP(AL449/BQ449,0))</f>
        <v>2</v>
      </c>
      <c r="AN449" s="59" t="n">
        <f aca="false">IF(CD449&gt;0,CD449*MAX(1,AL449/V449),IF(BR449=1,IF(AL449&lt;=0,0,BS449*MAX(1,IF(G449&gt;0,AL449/G449,1))),IF(Q449&gt;0,AM449/Q449,0))/MAX(0.1,N(Parameter!$M$21)))</f>
        <v>0.0384615384615385</v>
      </c>
      <c r="AO449" s="57" t="n">
        <f aca="false">AL449*F449</f>
        <v>412.96</v>
      </c>
      <c r="AP449" s="57" t="n">
        <f aca="false">ROUNDUP(MAX(I449/IF(BV449&gt;0,BV449,MAX(0.1,N(Cockpit!$I$6))),BY449)/BQ449,0)*BQ449</f>
        <v>356</v>
      </c>
      <c r="AQ449" s="58" t="n">
        <f aca="false">IF(AN449&gt;0,I449/AN449,-1)</f>
        <v>6058</v>
      </c>
      <c r="AR449" s="58" t="n">
        <f aca="false">IF(AND(OR(BU449="L1",BU449="L23"),AN449&gt;0),SUMIFS($AN$7:$AN$1576,$BU$7:$BU$1576,BU449,$AQ$7:$AQ$1576,"&gt;"&amp;AQ449)+SUMIFS($AN$7:$AN$1576,$BU$7:$BU$1576,BU449,$AQ$7:$AQ$1576,AQ449,$BO$7:$BO$1576,"&lt;="&amp;BO449),"")</f>
        <v>10.7655390628695</v>
      </c>
      <c r="AS449" s="65" t="n">
        <f aca="false">IF(AR449="",0,MAX(0,MIN(1,(IF(BU449="L1",Parameter!$E$5,Parameter!$E$6+Parameter!$E$7)-(AR449-AN449))/AN449)))</f>
        <v>1</v>
      </c>
      <c r="AT449" s="57" t="n">
        <f aca="false">IF(LEFT(Cockpit!$O$5,1)="A",G449,IF(BW449=1,BX449,IF(LEFT(Cockpit!$O$5,1)="B",AX449,MAX(AX449,G449))))</f>
        <v>356</v>
      </c>
      <c r="AU449" s="57" t="n">
        <f aca="false">IF(BR449=1,0,ROUNDUP(AT449/BQ449,0))</f>
        <v>2</v>
      </c>
      <c r="AV449" s="59" t="n">
        <f aca="false">IF(CD449&gt;0,CD449*MAX(1,AT449/V449),IF(BR449=1,IF(AT449&lt;=0,0,BS449*MAX(1,IF(G449&gt;0,AT449/G449,1))),IF(Q449&gt;0,AU449/Q449,0))/MAX(0.1,N(Parameter!$M$21)))</f>
        <v>0.0384615384615385</v>
      </c>
      <c r="AW449" s="57" t="n">
        <f aca="false">AT449*F449</f>
        <v>412.96</v>
      </c>
      <c r="AX449" s="57" t="n">
        <f aca="false">ROUNDUP(MAX(I449/IF(BV449&gt;0,BV449,MAX(0.1,N(Cockpit!$O$6))),BY449)/BQ449,0)*BQ449</f>
        <v>356</v>
      </c>
      <c r="AY449" s="58" t="n">
        <f aca="false">IF(AV449&gt;0,I449/AV449,-1)</f>
        <v>6058</v>
      </c>
      <c r="AZ449" s="58" t="n">
        <f aca="false">IF(AND(OR(BU449="L1",BU449="L23"),AV449&gt;0),SUMIFS($AV$7:$AV$1576,$BU$7:$BU$1576,BU449,$AY$7:$AY$1576,"&gt;"&amp;AY449)+SUMIFS($AV$7:$AV$1576,$BU$7:$BU$1576,BU449,$AY$7:$AY$1576,AY449,$BO$7:$BO$1576,"&lt;="&amp;BO449),"")</f>
        <v>9.94793999527043</v>
      </c>
      <c r="BA449" s="65" t="n">
        <f aca="false">IF(AZ449="",0,MAX(0,MIN(1,(IF(BU449="L1",Parameter!$E$5,Parameter!$E$6+Parameter!$E$7)-(AZ449-AV449))/AV449)))</f>
        <v>1</v>
      </c>
      <c r="BB449" s="55" t="str">
        <f aca="false">IF(AF449&lt;=0,"",IF(BU449="Aussen","Aussenlager",IF(BU449="-","Nicht im Lift",IF(AK449&gt;=1,"Lift",IF(AK449&lt;=0,"Aussenlager","teilweise")))))</f>
        <v>Lift</v>
      </c>
      <c r="BC449" s="55" t="str">
        <f aca="false">IF(AN449&lt;=0,"",IF(BU449="Aussen","Aussenlager",IF(BU449="-","Nicht im Lift",IF(AS449&gt;=1,"Lift",IF(AS449&lt;=0,"Aussenlager","teilweise")))))</f>
        <v>Lift</v>
      </c>
      <c r="BD449" s="55" t="str">
        <f aca="false">IF(AV449&lt;=0,"",IF(BU449="Aussen","Aussenlager",IF(BU449="-","Nicht im Lift",IF(BA449&gt;=1,"Lift",IF(BA449&lt;=0,"Aussenlager","teilweise")))))</f>
        <v>Lift</v>
      </c>
      <c r="BE449" s="55" t="str">
        <f aca="false">IF(A449="","",IF(BN449=1,"Neu; ","")&amp;IF(AND(BN449=0,BI449&lt;0),"negativer Bestand (Export "&amp;BI449&amp;"); ","")&amp;IF(I449&lt;=0,"Kein Verbrauch; ","")&amp;IF(CD449&gt;0,"Lift "&amp;U449&amp;" lt. Liftbericht (Fach "&amp;V449&amp;" Stk); ",IF(BR449=1,"Lose – Fläche geschätzt; ",""))&amp;IF(G449&gt;AP449,"Überbestand "&amp;ROUND(G449-AP449,0)&amp;" Stk / CHF "&amp;ROUND((G449-AP449)*F449,0)&amp;"; ","")&amp;IF(AND(BW449=1,BX449&lt;BY449),"MAX &lt; MB+LG; ","")&amp;IF(AND(CC449&gt;0,CB449*10&gt;CC449),"zu hoch für Tablar; ","")&amp;IF(AND(BN449=0,OR(BW449=1,Y449&lt;&gt;"",S449&lt;&gt;"",T449&lt;&gt;"",Z449&lt;&gt;"")),"manuell übersteuert; ","")&amp;IF(AND(BR449=0,Q449=0),"Gebinde unbekannt / Stellmass fehlt; ","")&amp;IF(AND(BR449=0,N(T449)&lt;=0,N(P449)&lt;=0),"Menge pro Gebinde fehlt (Ist = 1 Gebinde); ","")&amp;BM449)</f>
        <v/>
      </c>
      <c r="BF449" s="55"/>
      <c r="BG449" s="55"/>
      <c r="BH449" s="62"/>
      <c r="BI449" s="57" t="n">
        <v>62</v>
      </c>
      <c r="BJ449" s="57" t="n">
        <v>139</v>
      </c>
      <c r="BK449" s="56" t="n">
        <v>69.18</v>
      </c>
      <c r="BL449" s="57" t="n">
        <v>233</v>
      </c>
      <c r="BM449" s="55"/>
      <c r="BN449" s="60" t="n">
        <v>0</v>
      </c>
      <c r="BO449" s="60" t="n">
        <v>449</v>
      </c>
      <c r="BP449" s="55" t="str">
        <f aca="false">IF(S449&lt;&gt;"",UPPER(TRIM(S449)),IF(O449="","LOSE",O449))</f>
        <v>S41</v>
      </c>
      <c r="BQ449" s="57" t="n">
        <f aca="false">IF(BP449="LOSE",1,IF(N(T449)&gt;0,T449,IF(N(P449)&gt;0,P449,MAX(1,G449))))</f>
        <v>178</v>
      </c>
      <c r="BR449" s="60" t="n">
        <f aca="false">IF(BP449="LOSE",1,0)</f>
        <v>0</v>
      </c>
      <c r="BS449" s="59" t="n">
        <f aca="false">IF(BR449=0,0,IF(N(R449)&gt;0,R449,IFERROR(VLOOKUP(D449,Parameter!$A$35:$C$64,3,0)+0,0)))</f>
        <v>0</v>
      </c>
      <c r="BT449" s="55" t="n">
        <f aca="false">IF(Y449&lt;&gt;"",Y449,X449)</f>
        <v>3</v>
      </c>
      <c r="BU449" s="55" t="str">
        <f aca="false">IF(BT449=1,"L1",IF(OR(BT449=2,BT449=3),"L23",IF(BT449="Aussen","Aussen","-")))</f>
        <v>L23</v>
      </c>
      <c r="BV449" s="66" t="n">
        <f aca="false">IF(N(Z449)&gt;0,Z449,0)</f>
        <v>0</v>
      </c>
      <c r="BW449" s="60" t="n">
        <f aca="false">IF(ISNUMBER(AC449),1,0)</f>
        <v>0</v>
      </c>
      <c r="BX449" s="57" t="n">
        <f aca="false">N(AC449)</f>
        <v>0</v>
      </c>
      <c r="BY449" s="57" t="n">
        <f aca="false">N(L449)+N(M449)</f>
        <v>244</v>
      </c>
      <c r="BZ449" s="57" t="n">
        <f aca="false">ROUNDUP(G449/BQ449,0)</f>
        <v>1</v>
      </c>
      <c r="CA449" s="57" t="n">
        <f aca="false">ROUNDUP(BX449/BQ449,0)</f>
        <v>0</v>
      </c>
      <c r="CB449" s="60" t="n">
        <f aca="false">IF(BR449=1,0,IFERROR(VLOOKUP(BP449,'Gebinde-Kategorie'!$A$5:$M$45,5,0)+0,0))</f>
        <v>11</v>
      </c>
      <c r="CC449" s="60" t="n">
        <f aca="false">IFERROR(IF(OR(BT449=1,BT449=2,BT449=3),N(INDEX(Parameter!$I$5:$I$7,BT449)),0),0)</f>
        <v>0</v>
      </c>
      <c r="CD449" s="59" t="n">
        <f aca="false">IF(AND(Parameter!$B$21="Ja",ISNUMBER(U449),N(V449)&gt;0),IFERROR(N(INDEX(Parameter!$L$5:$L$7,U449))*INDEX(Parameter!$E$5:$E$7,U449)*V449/SUMIFS($V$7:$V$1576,$U$7:$U$1576,U449),0),0)</f>
        <v>0</v>
      </c>
    </row>
    <row r="450" customFormat="false" ht="15" hidden="false" customHeight="false" outlineLevel="0" collapsed="false">
      <c r="A450" s="55" t="s">
        <v>1007</v>
      </c>
      <c r="B450" s="55" t="s">
        <v>457</v>
      </c>
      <c r="C450" s="55" t="s">
        <v>160</v>
      </c>
      <c r="D450" s="55" t="s">
        <v>178</v>
      </c>
      <c r="E450" s="55" t="s">
        <v>210</v>
      </c>
      <c r="F450" s="56" t="n">
        <v>0.16</v>
      </c>
      <c r="G450" s="57" t="n">
        <f aca="false">MAX(0,IF(AND(Parameter!$B$21="Ja",ISNUMBER(W450)),W450,IF(Parameter!$B$20="Jahresanfang 2025 + Export",BJ450+BI450,BI450)))</f>
        <v>450</v>
      </c>
      <c r="H450" s="57" t="n">
        <f aca="false">G450*F450</f>
        <v>72</v>
      </c>
      <c r="I450" s="57" t="n">
        <f aca="false">BL450*Parameter!$B$18</f>
        <v>790</v>
      </c>
      <c r="J450" s="58" t="n">
        <v>186</v>
      </c>
      <c r="K450" s="59" t="n">
        <v>4.24731182795699</v>
      </c>
      <c r="L450" s="57" t="n">
        <v>30</v>
      </c>
      <c r="M450" s="57" t="n">
        <v>790</v>
      </c>
      <c r="N450" s="60" t="n">
        <v>14</v>
      </c>
      <c r="O450" s="55" t="s">
        <v>391</v>
      </c>
      <c r="P450" s="57" t="n">
        <v>262</v>
      </c>
      <c r="Q450" s="60" t="n">
        <f aca="false">IF(BR450=1,0,IFERROR(VLOOKUP(BP450,'Gebinde-Kategorie'!$A$5:$M$45,13,0)+0,0))</f>
        <v>414</v>
      </c>
      <c r="R450" s="61"/>
      <c r="S450" s="62"/>
      <c r="T450" s="62"/>
      <c r="U450" s="55"/>
      <c r="V450" s="57"/>
      <c r="W450" s="57"/>
      <c r="X450" s="55" t="n">
        <f aca="false">IF(A450="","",IF(AND(Parameter!$B$21="Ja",ISNUMBER(U450)),U450,IF(IFERROR(VLOOKUP(D450,Parameter!$A$35:$C$64,2,0),"Nein")="2+3",IF(ISNUMBER(SEARCH("grosser Artikel",BM450)),2,IFERROR(VLOOKUP(BP450,Parameter!$F$35:$G$64,2,0),2)),IF(OR(IFERROR(VLOOKUP(D450,Parameter!$A$35:$C$64,2,0),"Nein")="Nein",IFERROR(VLOOKUP(D450,Parameter!$A$35:$C$64,2,0),"Nein")=""),"-",VLOOKUP(D450,Parameter!$A$35:$C$64,2,0)))))</f>
        <v>3</v>
      </c>
      <c r="Y450" s="62"/>
      <c r="Z450" s="63"/>
      <c r="AA450" s="57" t="n">
        <f aca="false">AP450</f>
        <v>1048</v>
      </c>
      <c r="AB450" s="57" t="n">
        <f aca="false">MAX(AP450,G450)</f>
        <v>1048</v>
      </c>
      <c r="AC450" s="64"/>
      <c r="AD450" s="57" t="n">
        <f aca="false">IF(LEFT(Cockpit!$C$5,1)="A",G450,IF(BW450=1,BX450,IF(LEFT(Cockpit!$C$5,1)="B",AH450,MAX(AH450,G450))))</f>
        <v>450</v>
      </c>
      <c r="AE450" s="57" t="n">
        <f aca="false">IF(BR450=1,0,ROUNDUP(AD450/BQ450,0))</f>
        <v>2</v>
      </c>
      <c r="AF450" s="59" t="n">
        <f aca="false">IF(CD450&gt;0,CD450*MAX(1,AD450/V450),IF(BR450=1,IF(AD450&lt;=0,0,BS450*MAX(1,IF(G450&gt;0,AD450/G450,1))),IF(Q450&gt;0,AE450/Q450,0))/MAX(0.1,N(Parameter!$M$21)))</f>
        <v>0.00483091787439614</v>
      </c>
      <c r="AG450" s="57" t="n">
        <f aca="false">AD450*F450</f>
        <v>72</v>
      </c>
      <c r="AH450" s="57" t="n">
        <f aca="false">ROUNDUP(MAX(I450/IF(BV450&gt;0,BV450,MAX(0.1,N(Cockpit!$C$6))),BY450)/BQ450,0)*BQ450</f>
        <v>1048</v>
      </c>
      <c r="AI450" s="58" t="n">
        <f aca="false">IF(AF450&gt;0,I450/AF450,-1)</f>
        <v>163530</v>
      </c>
      <c r="AJ450" s="58" t="n">
        <f aca="false">IF(AND(OR(BU450="L1",BU450="L23"),AF450&gt;0),SUMIFS($AF$7:$AF$1576,$BU$7:$BU$1576,BU450,$AI$7:$AI$1576,"&gt;"&amp;AI450)+SUMIFS($AF$7:$AF$1576,$BU$7:$BU$1576,BU450,$AI$7:$AI$1576,AI450,$BO$7:$BO$1576,"&lt;="&amp;BO450),"")</f>
        <v>0.0684351880004054</v>
      </c>
      <c r="AK450" s="65" t="n">
        <f aca="false">IF(AJ450="",0,MAX(0,MIN(1,(IF(BU450="L1",Parameter!$E$5,Parameter!$E$6+Parameter!$E$7)-(AJ450-AF450))/AF450)))</f>
        <v>1</v>
      </c>
      <c r="AL450" s="57" t="n">
        <f aca="false">IF(LEFT(Cockpit!$I$5,1)="A",G450,IF(BW450=1,BX450,IF(LEFT(Cockpit!$I$5,1)="B",AP450,MAX(AP450,G450))))</f>
        <v>1048</v>
      </c>
      <c r="AM450" s="57" t="n">
        <f aca="false">IF(BR450=1,0,ROUNDUP(AL450/BQ450,0))</f>
        <v>4</v>
      </c>
      <c r="AN450" s="59" t="n">
        <f aca="false">IF(CD450&gt;0,CD450*MAX(1,AL450/V450),IF(BR450=1,IF(AL450&lt;=0,0,BS450*MAX(1,IF(G450&gt;0,AL450/G450,1))),IF(Q450&gt;0,AM450/Q450,0))/MAX(0.1,N(Parameter!$M$21)))</f>
        <v>0.00966183574879227</v>
      </c>
      <c r="AO450" s="57" t="n">
        <f aca="false">AL450*F450</f>
        <v>167.68</v>
      </c>
      <c r="AP450" s="57" t="n">
        <f aca="false">ROUNDUP(MAX(I450/IF(BV450&gt;0,BV450,MAX(0.1,N(Cockpit!$I$6))),BY450)/BQ450,0)*BQ450</f>
        <v>1048</v>
      </c>
      <c r="AQ450" s="58" t="n">
        <f aca="false">IF(AN450&gt;0,I450/AN450,-1)</f>
        <v>81765</v>
      </c>
      <c r="AR450" s="58" t="n">
        <f aca="false">IF(AND(OR(BU450="L1",BU450="L23"),AN450&gt;0),SUMIFS($AN$7:$AN$1576,$BU$7:$BU$1576,BU450,$AQ$7:$AQ$1576,"&gt;"&amp;AQ450)+SUMIFS($AN$7:$AN$1576,$BU$7:$BU$1576,BU450,$AQ$7:$AQ$1576,AQ450,$BO$7:$BO$1576,"&lt;="&amp;BO450),"")</f>
        <v>0.685725144420797</v>
      </c>
      <c r="AS450" s="65" t="n">
        <f aca="false">IF(AR450="",0,MAX(0,MIN(1,(IF(BU450="L1",Parameter!$E$5,Parameter!$E$6+Parameter!$E$7)-(AR450-AN450))/AN450)))</f>
        <v>1</v>
      </c>
      <c r="AT450" s="57" t="n">
        <f aca="false">IF(LEFT(Cockpit!$O$5,1)="A",G450,IF(BW450=1,BX450,IF(LEFT(Cockpit!$O$5,1)="B",AX450,MAX(AX450,G450))))</f>
        <v>1048</v>
      </c>
      <c r="AU450" s="57" t="n">
        <f aca="false">IF(BR450=1,0,ROUNDUP(AT450/BQ450,0))</f>
        <v>4</v>
      </c>
      <c r="AV450" s="59" t="n">
        <f aca="false">IF(CD450&gt;0,CD450*MAX(1,AT450/V450),IF(BR450=1,IF(AT450&lt;=0,0,BS450*MAX(1,IF(G450&gt;0,AT450/G450,1))),IF(Q450&gt;0,AU450/Q450,0))/MAX(0.1,N(Parameter!$M$21)))</f>
        <v>0.00966183574879227</v>
      </c>
      <c r="AW450" s="57" t="n">
        <f aca="false">AT450*F450</f>
        <v>167.68</v>
      </c>
      <c r="AX450" s="57" t="n">
        <f aca="false">ROUNDUP(MAX(I450/IF(BV450&gt;0,BV450,MAX(0.1,N(Cockpit!$O$6))),BY450)/BQ450,0)*BQ450</f>
        <v>1048</v>
      </c>
      <c r="AY450" s="58" t="n">
        <f aca="false">IF(AV450&gt;0,I450/AV450,-1)</f>
        <v>81765</v>
      </c>
      <c r="AZ450" s="58" t="n">
        <f aca="false">IF(AND(OR(BU450="L1",BU450="L23"),AV450&gt;0),SUMIFS($AV$7:$AV$1576,$BU$7:$BU$1576,BU450,$AY$7:$AY$1576,"&gt;"&amp;AY450)+SUMIFS($AV$7:$AV$1576,$BU$7:$BU$1576,BU450,$AY$7:$AY$1576,AY450,$BO$7:$BO$1576,"&lt;="&amp;BO450),"")</f>
        <v>0.762648221343874</v>
      </c>
      <c r="BA450" s="65" t="n">
        <f aca="false">IF(AZ450="",0,MAX(0,MIN(1,(IF(BU450="L1",Parameter!$E$5,Parameter!$E$6+Parameter!$E$7)-(AZ450-AV450))/AV450)))</f>
        <v>1</v>
      </c>
      <c r="BB450" s="55" t="str">
        <f aca="false">IF(AF450&lt;=0,"",IF(BU450="Aussen","Aussenlager",IF(BU450="-","Nicht im Lift",IF(AK450&gt;=1,"Lift",IF(AK450&lt;=0,"Aussenlager","teilweise")))))</f>
        <v>Lift</v>
      </c>
      <c r="BC450" s="55" t="str">
        <f aca="false">IF(AN450&lt;=0,"",IF(BU450="Aussen","Aussenlager",IF(BU450="-","Nicht im Lift",IF(AS450&gt;=1,"Lift",IF(AS450&lt;=0,"Aussenlager","teilweise")))))</f>
        <v>Lift</v>
      </c>
      <c r="BD450" s="55" t="str">
        <f aca="false">IF(AV450&lt;=0,"",IF(BU450="Aussen","Aussenlager",IF(BU450="-","Nicht im Lift",IF(BA450&gt;=1,"Lift",IF(BA450&lt;=0,"Aussenlager","teilweise")))))</f>
        <v>Lift</v>
      </c>
      <c r="BE450" s="55" t="str">
        <f aca="false">IF(A450="","",IF(BN450=1,"Neu; ","")&amp;IF(AND(BN450=0,BI450&lt;0),"negativer Bestand (Export "&amp;BI450&amp;"); ","")&amp;IF(I450&lt;=0,"Kein Verbrauch; ","")&amp;IF(CD450&gt;0,"Lift "&amp;U450&amp;" lt. Liftbericht (Fach "&amp;V450&amp;" Stk); ",IF(BR450=1,"Lose – Fläche geschätzt; ",""))&amp;IF(G450&gt;AP450,"Überbestand "&amp;ROUND(G450-AP450,0)&amp;" Stk / CHF "&amp;ROUND((G450-AP450)*F450,0)&amp;"; ","")&amp;IF(AND(BW450=1,BX450&lt;BY450),"MAX &lt; MB+LG; ","")&amp;IF(AND(CC450&gt;0,CB450*10&gt;CC450),"zu hoch für Tablar; ","")&amp;IF(AND(BN450=0,OR(BW450=1,Y450&lt;&gt;"",S450&lt;&gt;"",T450&lt;&gt;"",Z450&lt;&gt;"")),"manuell übersteuert; ","")&amp;IF(AND(BR450=0,Q450=0),"Gebinde unbekannt / Stellmass fehlt; ","")&amp;IF(AND(BR450=0,N(T450)&lt;=0,N(P450)&lt;=0),"Menge pro Gebinde fehlt (Ist = 1 Gebinde); ","")&amp;BM450)</f>
        <v/>
      </c>
      <c r="BF450" s="55"/>
      <c r="BG450" s="55"/>
      <c r="BH450" s="62"/>
      <c r="BI450" s="57" t="n">
        <v>450</v>
      </c>
      <c r="BJ450" s="57" t="n">
        <v>120</v>
      </c>
      <c r="BK450" s="56" t="n">
        <v>67</v>
      </c>
      <c r="BL450" s="57" t="n">
        <v>790</v>
      </c>
      <c r="BM450" s="55"/>
      <c r="BN450" s="60" t="n">
        <v>0</v>
      </c>
      <c r="BO450" s="60" t="n">
        <v>450</v>
      </c>
      <c r="BP450" s="55" t="str">
        <f aca="false">IF(S450&lt;&gt;"",UPPER(TRIM(S450)),IF(O450="","LOSE",O450))</f>
        <v>S21</v>
      </c>
      <c r="BQ450" s="57" t="n">
        <f aca="false">IF(BP450="LOSE",1,IF(N(T450)&gt;0,T450,IF(N(P450)&gt;0,P450,MAX(1,G450))))</f>
        <v>262</v>
      </c>
      <c r="BR450" s="60" t="n">
        <f aca="false">IF(BP450="LOSE",1,0)</f>
        <v>0</v>
      </c>
      <c r="BS450" s="59" t="n">
        <f aca="false">IF(BR450=0,0,IF(N(R450)&gt;0,R450,IFERROR(VLOOKUP(D450,Parameter!$A$35:$C$64,3,0)+0,0)))</f>
        <v>0</v>
      </c>
      <c r="BT450" s="55" t="n">
        <f aca="false">IF(Y450&lt;&gt;"",Y450,X450)</f>
        <v>3</v>
      </c>
      <c r="BU450" s="55" t="str">
        <f aca="false">IF(BT450=1,"L1",IF(OR(BT450=2,BT450=3),"L23",IF(BT450="Aussen","Aussen","-")))</f>
        <v>L23</v>
      </c>
      <c r="BV450" s="66" t="n">
        <f aca="false">IF(N(Z450)&gt;0,Z450,0)</f>
        <v>0</v>
      </c>
      <c r="BW450" s="60" t="n">
        <f aca="false">IF(ISNUMBER(AC450),1,0)</f>
        <v>0</v>
      </c>
      <c r="BX450" s="57" t="n">
        <f aca="false">N(AC450)</f>
        <v>0</v>
      </c>
      <c r="BY450" s="57" t="n">
        <f aca="false">N(L450)+N(M450)</f>
        <v>820</v>
      </c>
      <c r="BZ450" s="57" t="n">
        <f aca="false">ROUNDUP(G450/BQ450,0)</f>
        <v>2</v>
      </c>
      <c r="CA450" s="57" t="n">
        <f aca="false">ROUNDUP(BX450/BQ450,0)</f>
        <v>0</v>
      </c>
      <c r="CB450" s="60" t="n">
        <f aca="false">IF(BR450=1,0,IFERROR(VLOOKUP(BP450,'Gebinde-Kategorie'!$A$5:$M$45,5,0)+0,0))</f>
        <v>8</v>
      </c>
      <c r="CC450" s="60" t="n">
        <f aca="false">IFERROR(IF(OR(BT450=1,BT450=2,BT450=3),N(INDEX(Parameter!$I$5:$I$7,BT450)),0),0)</f>
        <v>0</v>
      </c>
      <c r="CD450" s="59" t="n">
        <f aca="false">IF(AND(Parameter!$B$21="Ja",ISNUMBER(U450),N(V450)&gt;0),IFERROR(N(INDEX(Parameter!$L$5:$L$7,U450))*INDEX(Parameter!$E$5:$E$7,U450)*V450/SUMIFS($V$7:$V$1576,$U$7:$U$1576,U450),0),0)</f>
        <v>0</v>
      </c>
    </row>
    <row r="451" customFormat="false" ht="15" hidden="false" customHeight="false" outlineLevel="0" collapsed="false">
      <c r="A451" s="55" t="s">
        <v>1008</v>
      </c>
      <c r="B451" s="55" t="s">
        <v>1009</v>
      </c>
      <c r="C451" s="55" t="s">
        <v>160</v>
      </c>
      <c r="D451" s="55" t="s">
        <v>168</v>
      </c>
      <c r="E451" s="55" t="s">
        <v>210</v>
      </c>
      <c r="F451" s="56" t="n">
        <v>33.5</v>
      </c>
      <c r="G451" s="57" t="n">
        <f aca="false">MAX(0,IF(AND(Parameter!$B$21="Ja",ISNUMBER(W451)),W451,IF(Parameter!$B$20="Jahresanfang 2025 + Export",BJ451+BI451,BI451)))</f>
        <v>2</v>
      </c>
      <c r="H451" s="57" t="n">
        <f aca="false">G451*F451</f>
        <v>67</v>
      </c>
      <c r="I451" s="57" t="n">
        <f aca="false">BL451*Parameter!$B$18</f>
        <v>8</v>
      </c>
      <c r="J451" s="58" t="n">
        <v>17.5</v>
      </c>
      <c r="K451" s="59" t="n">
        <v>0.457142857142857</v>
      </c>
      <c r="L451" s="57" t="n">
        <v>1</v>
      </c>
      <c r="M451" s="57" t="n">
        <v>10</v>
      </c>
      <c r="N451" s="60" t="n">
        <v>56</v>
      </c>
      <c r="O451" s="55" t="s">
        <v>215</v>
      </c>
      <c r="P451" s="57" t="n">
        <v>24</v>
      </c>
      <c r="Q451" s="60" t="n">
        <f aca="false">IF(BR451=1,0,IFERROR(VLOOKUP(BP451,'Gebinde-Kategorie'!$A$5:$M$45,13,0)+0,0))</f>
        <v>3</v>
      </c>
      <c r="R451" s="61"/>
      <c r="S451" s="62"/>
      <c r="T451" s="62"/>
      <c r="U451" s="55"/>
      <c r="V451" s="57"/>
      <c r="W451" s="57"/>
      <c r="X451" s="55" t="n">
        <f aca="false">IF(A451="","",IF(AND(Parameter!$B$21="Ja",ISNUMBER(U451)),U451,IF(IFERROR(VLOOKUP(D451,Parameter!$A$35:$C$64,2,0),"Nein")="2+3",IF(ISNUMBER(SEARCH("grosser Artikel",BM451)),2,IFERROR(VLOOKUP(BP451,Parameter!$F$35:$G$64,2,0),2)),IF(OR(IFERROR(VLOOKUP(D451,Parameter!$A$35:$C$64,2,0),"Nein")="Nein",IFERROR(VLOOKUP(D451,Parameter!$A$35:$C$64,2,0),"Nein")=""),"-",VLOOKUP(D451,Parameter!$A$35:$C$64,2,0)))))</f>
        <v>2</v>
      </c>
      <c r="Y451" s="62"/>
      <c r="Z451" s="63"/>
      <c r="AA451" s="57" t="n">
        <f aca="false">AP451</f>
        <v>24</v>
      </c>
      <c r="AB451" s="57" t="n">
        <f aca="false">MAX(AP451,G451)</f>
        <v>24</v>
      </c>
      <c r="AC451" s="64"/>
      <c r="AD451" s="57" t="n">
        <f aca="false">IF(LEFT(Cockpit!$C$5,1)="A",G451,IF(BW451=1,BX451,IF(LEFT(Cockpit!$C$5,1)="B",AH451,MAX(AH451,G451))))</f>
        <v>2</v>
      </c>
      <c r="AE451" s="57" t="n">
        <f aca="false">IF(BR451=1,0,ROUNDUP(AD451/BQ451,0))</f>
        <v>1</v>
      </c>
      <c r="AF451" s="59" t="n">
        <f aca="false">IF(CD451&gt;0,CD451*MAX(1,AD451/V451),IF(BR451=1,IF(AD451&lt;=0,0,BS451*MAX(1,IF(G451&gt;0,AD451/G451,1))),IF(Q451&gt;0,AE451/Q451,0))/MAX(0.1,N(Parameter!$M$21)))</f>
        <v>0.333333333333333</v>
      </c>
      <c r="AG451" s="57" t="n">
        <f aca="false">AD451*F451</f>
        <v>67</v>
      </c>
      <c r="AH451" s="57" t="n">
        <f aca="false">ROUNDUP(MAX(I451/IF(BV451&gt;0,BV451,MAX(0.1,N(Cockpit!$C$6))),BY451)/BQ451,0)*BQ451</f>
        <v>24</v>
      </c>
      <c r="AI451" s="58" t="n">
        <f aca="false">IF(AF451&gt;0,I451/AF451,-1)</f>
        <v>24</v>
      </c>
      <c r="AJ451" s="58" t="n">
        <f aca="false">IF(AND(OR(BU451="L1",BU451="L23"),AF451&gt;0),SUMIFS($AF$7:$AF$1576,$BU$7:$BU$1576,BU451,$AI$7:$AI$1576,"&gt;"&amp;AI451)+SUMIFS($AF$7:$AF$1576,$BU$7:$BU$1576,BU451,$AI$7:$AI$1576,AI451,$BO$7:$BO$1576,"&lt;="&amp;BO451),"")</f>
        <v>28.9992483362049</v>
      </c>
      <c r="AK451" s="65" t="n">
        <f aca="false">IF(AJ451="",0,MAX(0,MIN(1,(IF(BU451="L1",Parameter!$E$5,Parameter!$E$6+Parameter!$E$7)-(AJ451-AF451))/AF451)))</f>
        <v>1</v>
      </c>
      <c r="AL451" s="57" t="n">
        <f aca="false">IF(LEFT(Cockpit!$I$5,1)="A",G451,IF(BW451=1,BX451,IF(LEFT(Cockpit!$I$5,1)="B",AP451,MAX(AP451,G451))))</f>
        <v>24</v>
      </c>
      <c r="AM451" s="57" t="n">
        <f aca="false">IF(BR451=1,0,ROUNDUP(AL451/BQ451,0))</f>
        <v>1</v>
      </c>
      <c r="AN451" s="59" t="n">
        <f aca="false">IF(CD451&gt;0,CD451*MAX(1,AL451/V451),IF(BR451=1,IF(AL451&lt;=0,0,BS451*MAX(1,IF(G451&gt;0,AL451/G451,1))),IF(Q451&gt;0,AM451/Q451,0))/MAX(0.1,N(Parameter!$M$21)))</f>
        <v>0.333333333333333</v>
      </c>
      <c r="AO451" s="57" t="n">
        <f aca="false">AL451*F451</f>
        <v>804</v>
      </c>
      <c r="AP451" s="57" t="n">
        <f aca="false">ROUNDUP(MAX(I451/IF(BV451&gt;0,BV451,MAX(0.1,N(Cockpit!$I$6))),BY451)/BQ451,0)*BQ451</f>
        <v>24</v>
      </c>
      <c r="AQ451" s="58" t="n">
        <f aca="false">IF(AN451&gt;0,I451/AN451,-1)</f>
        <v>24</v>
      </c>
      <c r="AR451" s="58" t="n">
        <f aca="false">IF(AND(OR(BU451="L1",BU451="L23"),AN451&gt;0),SUMIFS($AN$7:$AN$1576,$BU$7:$BU$1576,BU451,$AQ$7:$AQ$1576,"&gt;"&amp;AQ451)+SUMIFS($AN$7:$AN$1576,$BU$7:$BU$1576,BU451,$AQ$7:$AQ$1576,AQ451,$BO$7:$BO$1576,"&lt;="&amp;BO451),"")</f>
        <v>98.4629474092086</v>
      </c>
      <c r="AS451" s="65" t="n">
        <f aca="false">IF(AR451="",0,MAX(0,MIN(1,(IF(BU451="L1",Parameter!$E$5,Parameter!$E$6+Parameter!$E$7)-(AR451-AN451))/AN451)))</f>
        <v>1</v>
      </c>
      <c r="AT451" s="57" t="n">
        <f aca="false">IF(LEFT(Cockpit!$O$5,1)="A",G451,IF(BW451=1,BX451,IF(LEFT(Cockpit!$O$5,1)="B",AX451,MAX(AX451,G451))))</f>
        <v>24</v>
      </c>
      <c r="AU451" s="57" t="n">
        <f aca="false">IF(BR451=1,0,ROUNDUP(AT451/BQ451,0))</f>
        <v>1</v>
      </c>
      <c r="AV451" s="59" t="n">
        <f aca="false">IF(CD451&gt;0,CD451*MAX(1,AT451/V451),IF(BR451=1,IF(AT451&lt;=0,0,BS451*MAX(1,IF(G451&gt;0,AT451/G451,1))),IF(Q451&gt;0,AU451/Q451,0))/MAX(0.1,N(Parameter!$M$21)))</f>
        <v>0.333333333333333</v>
      </c>
      <c r="AW451" s="57" t="n">
        <f aca="false">AT451*F451</f>
        <v>804</v>
      </c>
      <c r="AX451" s="57" t="n">
        <f aca="false">ROUNDUP(MAX(I451/IF(BV451&gt;0,BV451,MAX(0.1,N(Cockpit!$O$6))),BY451)/BQ451,0)*BQ451</f>
        <v>24</v>
      </c>
      <c r="AY451" s="58" t="n">
        <f aca="false">IF(AV451&gt;0,I451/AV451,-1)</f>
        <v>24</v>
      </c>
      <c r="AZ451" s="58" t="n">
        <f aca="false">IF(AND(OR(BU451="L1",BU451="L23"),AV451&gt;0),SUMIFS($AV$7:$AV$1576,$BU$7:$BU$1576,BU451,$AY$7:$AY$1576,"&gt;"&amp;AY451)+SUMIFS($AV$7:$AV$1576,$BU$7:$BU$1576,BU451,$AY$7:$AY$1576,AY451,$BO$7:$BO$1576,"&lt;="&amp;BO451),"")</f>
        <v>89.272497858759</v>
      </c>
      <c r="BA451" s="65" t="n">
        <f aca="false">IF(AZ451="",0,MAX(0,MIN(1,(IF(BU451="L1",Parameter!$E$5,Parameter!$E$6+Parameter!$E$7)-(AZ451-AV451))/AV451)))</f>
        <v>1</v>
      </c>
      <c r="BB451" s="55" t="str">
        <f aca="false">IF(AF451&lt;=0,"",IF(BU451="Aussen","Aussenlager",IF(BU451="-","Nicht im Lift",IF(AK451&gt;=1,"Lift",IF(AK451&lt;=0,"Aussenlager","teilweise")))))</f>
        <v>Lift</v>
      </c>
      <c r="BC451" s="55" t="str">
        <f aca="false">IF(AN451&lt;=0,"",IF(BU451="Aussen","Aussenlager",IF(BU451="-","Nicht im Lift",IF(AS451&gt;=1,"Lift",IF(AS451&lt;=0,"Aussenlager","teilweise")))))</f>
        <v>Lift</v>
      </c>
      <c r="BD451" s="55" t="str">
        <f aca="false">IF(AV451&lt;=0,"",IF(BU451="Aussen","Aussenlager",IF(BU451="-","Nicht im Lift",IF(BA451&gt;=1,"Lift",IF(BA451&lt;=0,"Aussenlager","teilweise")))))</f>
        <v>Lift</v>
      </c>
      <c r="BE451" s="55" t="str">
        <f aca="false">IF(A451="","",IF(BN451=1,"Neu; ","")&amp;IF(AND(BN451=0,BI451&lt;0),"negativer Bestand (Export "&amp;BI451&amp;"); ","")&amp;IF(I451&lt;=0,"Kein Verbrauch; ","")&amp;IF(CD451&gt;0,"Lift "&amp;U451&amp;" lt. Liftbericht (Fach "&amp;V451&amp;" Stk); ",IF(BR451=1,"Lose – Fläche geschätzt; ",""))&amp;IF(G451&gt;AP451,"Überbestand "&amp;ROUND(G451-AP451,0)&amp;" Stk / CHF "&amp;ROUND((G451-AP451)*F451,0)&amp;"; ","")&amp;IF(AND(BW451=1,BX451&lt;BY451),"MAX &lt; MB+LG; ","")&amp;IF(AND(CC451&gt;0,CB451*10&gt;CC451),"zu hoch für Tablar; ","")&amp;IF(AND(BN451=0,OR(BW451=1,Y451&lt;&gt;"",S451&lt;&gt;"",T451&lt;&gt;"",Z451&lt;&gt;"")),"manuell übersteuert; ","")&amp;IF(AND(BR451=0,Q451=0),"Gebinde unbekannt / Stellmass fehlt; ","")&amp;IF(AND(BR451=0,N(T451)&lt;=0,N(P451)&lt;=0),"Menge pro Gebinde fehlt (Ist = 1 Gebinde); ","")&amp;BM451)</f>
        <v/>
      </c>
      <c r="BF451" s="55"/>
      <c r="BG451" s="55"/>
      <c r="BH451" s="62"/>
      <c r="BI451" s="57" t="n">
        <v>2</v>
      </c>
      <c r="BJ451" s="57" t="n">
        <v>14</v>
      </c>
      <c r="BK451" s="56" t="n">
        <v>67</v>
      </c>
      <c r="BL451" s="57" t="n">
        <v>8</v>
      </c>
      <c r="BM451" s="55"/>
      <c r="BN451" s="60" t="n">
        <v>0</v>
      </c>
      <c r="BO451" s="60" t="n">
        <v>451</v>
      </c>
      <c r="BP451" s="55" t="str">
        <f aca="false">IF(S451&lt;&gt;"",UPPER(TRIM(S451)),IF(O451="","LOSE",O451))</f>
        <v>S81</v>
      </c>
      <c r="BQ451" s="57" t="n">
        <f aca="false">IF(BP451="LOSE",1,IF(N(T451)&gt;0,T451,IF(N(P451)&gt;0,P451,MAX(1,G451))))</f>
        <v>24</v>
      </c>
      <c r="BR451" s="60" t="n">
        <f aca="false">IF(BP451="LOSE",1,0)</f>
        <v>0</v>
      </c>
      <c r="BS451" s="59" t="n">
        <f aca="false">IF(BR451=0,0,IF(N(R451)&gt;0,R451,IFERROR(VLOOKUP(D451,Parameter!$A$35:$C$64,3,0)+0,0)))</f>
        <v>0</v>
      </c>
      <c r="BT451" s="55" t="n">
        <f aca="false">IF(Y451&lt;&gt;"",Y451,X451)</f>
        <v>2</v>
      </c>
      <c r="BU451" s="55" t="str">
        <f aca="false">IF(BT451=1,"L1",IF(OR(BT451=2,BT451=3),"L23",IF(BT451="Aussen","Aussen","-")))</f>
        <v>L23</v>
      </c>
      <c r="BV451" s="66" t="n">
        <f aca="false">IF(N(Z451)&gt;0,Z451,0)</f>
        <v>0</v>
      </c>
      <c r="BW451" s="60" t="n">
        <f aca="false">IF(ISNUMBER(AC451),1,0)</f>
        <v>0</v>
      </c>
      <c r="BX451" s="57" t="n">
        <f aca="false">N(AC451)</f>
        <v>0</v>
      </c>
      <c r="BY451" s="57" t="n">
        <f aca="false">N(L451)+N(M451)</f>
        <v>11</v>
      </c>
      <c r="BZ451" s="57" t="n">
        <f aca="false">ROUNDUP(G451/BQ451,0)</f>
        <v>1</v>
      </c>
      <c r="CA451" s="57" t="n">
        <f aca="false">ROUNDUP(BX451/BQ451,0)</f>
        <v>0</v>
      </c>
      <c r="CB451" s="60" t="n">
        <f aca="false">IF(BR451=1,0,IFERROR(VLOOKUP(BP451,'Gebinde-Kategorie'!$A$5:$M$45,5,0)+0,0))</f>
        <v>20</v>
      </c>
      <c r="CC451" s="60" t="n">
        <f aca="false">IFERROR(IF(OR(BT451=1,BT451=2,BT451=3),N(INDEX(Parameter!$I$5:$I$7,BT451)),0),0)</f>
        <v>0</v>
      </c>
      <c r="CD451" s="59" t="n">
        <f aca="false">IF(AND(Parameter!$B$21="Ja",ISNUMBER(U451),N(V451)&gt;0),IFERROR(N(INDEX(Parameter!$L$5:$L$7,U451))*INDEX(Parameter!$E$5:$E$7,U451)*V451/SUMIFS($V$7:$V$1576,$U$7:$U$1576,U451),0),0)</f>
        <v>0</v>
      </c>
    </row>
    <row r="452" customFormat="false" ht="15" hidden="false" customHeight="false" outlineLevel="0" collapsed="false">
      <c r="A452" s="55" t="s">
        <v>1010</v>
      </c>
      <c r="B452" s="55" t="s">
        <v>1011</v>
      </c>
      <c r="C452" s="55" t="s">
        <v>160</v>
      </c>
      <c r="D452" s="55" t="s">
        <v>178</v>
      </c>
      <c r="E452" s="55" t="s">
        <v>210</v>
      </c>
      <c r="F452" s="56" t="n">
        <v>4.42</v>
      </c>
      <c r="G452" s="57" t="n">
        <f aca="false">MAX(0,IF(AND(Parameter!$B$21="Ja",ISNUMBER(W452)),W452,IF(Parameter!$B$20="Jahresanfang 2025 + Export",BJ452+BI452,BI452)))</f>
        <v>15</v>
      </c>
      <c r="H452" s="57" t="n">
        <f aca="false">G452*F452</f>
        <v>66.3</v>
      </c>
      <c r="I452" s="57" t="n">
        <f aca="false">BL452*Parameter!$B$18</f>
        <v>0</v>
      </c>
      <c r="J452" s="58" t="n">
        <v>7.5</v>
      </c>
      <c r="K452" s="59" t="n">
        <v>0</v>
      </c>
      <c r="L452" s="57" t="n">
        <v>0</v>
      </c>
      <c r="M452" s="57" t="n">
        <v>1</v>
      </c>
      <c r="N452" s="60" t="n">
        <v>28</v>
      </c>
      <c r="O452" s="55" t="s">
        <v>416</v>
      </c>
      <c r="P452" s="57" t="n">
        <v>15</v>
      </c>
      <c r="Q452" s="60" t="n">
        <f aca="false">IF(BR452=1,0,IFERROR(VLOOKUP(BP452,'Gebinde-Kategorie'!$A$5:$M$45,13,0)+0,0))</f>
        <v>198</v>
      </c>
      <c r="R452" s="61"/>
      <c r="S452" s="62"/>
      <c r="T452" s="62"/>
      <c r="U452" s="55"/>
      <c r="V452" s="57"/>
      <c r="W452" s="57"/>
      <c r="X452" s="55" t="n">
        <f aca="false">IF(A452="","",IF(AND(Parameter!$B$21="Ja",ISNUMBER(U452)),U452,IF(IFERROR(VLOOKUP(D452,Parameter!$A$35:$C$64,2,0),"Nein")="2+3",IF(ISNUMBER(SEARCH("grosser Artikel",BM452)),2,IFERROR(VLOOKUP(BP452,Parameter!$F$35:$G$64,2,0),2)),IF(OR(IFERROR(VLOOKUP(D452,Parameter!$A$35:$C$64,2,0),"Nein")="Nein",IFERROR(VLOOKUP(D452,Parameter!$A$35:$C$64,2,0),"Nein")=""),"-",VLOOKUP(D452,Parameter!$A$35:$C$64,2,0)))))</f>
        <v>3</v>
      </c>
      <c r="Y452" s="62"/>
      <c r="Z452" s="63"/>
      <c r="AA452" s="57" t="n">
        <f aca="false">AP452</f>
        <v>15</v>
      </c>
      <c r="AB452" s="57" t="n">
        <f aca="false">MAX(AP452,G452)</f>
        <v>15</v>
      </c>
      <c r="AC452" s="64"/>
      <c r="AD452" s="57" t="n">
        <f aca="false">IF(LEFT(Cockpit!$C$5,1)="A",G452,IF(BW452=1,BX452,IF(LEFT(Cockpit!$C$5,1)="B",AH452,MAX(AH452,G452))))</f>
        <v>15</v>
      </c>
      <c r="AE452" s="57" t="n">
        <f aca="false">IF(BR452=1,0,ROUNDUP(AD452/BQ452,0))</f>
        <v>1</v>
      </c>
      <c r="AF452" s="59" t="n">
        <f aca="false">IF(CD452&gt;0,CD452*MAX(1,AD452/V452),IF(BR452=1,IF(AD452&lt;=0,0,BS452*MAX(1,IF(G452&gt;0,AD452/G452,1))),IF(Q452&gt;0,AE452/Q452,0))/MAX(0.1,N(Parameter!$M$21)))</f>
        <v>0.00505050505050505</v>
      </c>
      <c r="AG452" s="57" t="n">
        <f aca="false">AD452*F452</f>
        <v>66.3</v>
      </c>
      <c r="AH452" s="57" t="n">
        <f aca="false">ROUNDUP(MAX(I452/IF(BV452&gt;0,BV452,MAX(0.1,N(Cockpit!$C$6))),BY452)/BQ452,0)*BQ452</f>
        <v>15</v>
      </c>
      <c r="AI452" s="58" t="n">
        <f aca="false">IF(AF452&gt;0,I452/AF452,-1)</f>
        <v>0</v>
      </c>
      <c r="AJ452" s="58" t="n">
        <f aca="false">IF(AND(OR(BU452="L1",BU452="L23"),AF452&gt;0),SUMIFS($AF$7:$AF$1576,$BU$7:$BU$1576,BU452,$AI$7:$AI$1576,"&gt;"&amp;AI452)+SUMIFS($AF$7:$AF$1576,$BU$7:$BU$1576,BU452,$AI$7:$AI$1576,AI452,$BO$7:$BO$1576,"&lt;="&amp;BO452),"")</f>
        <v>41.9362258031823</v>
      </c>
      <c r="AK452" s="65" t="n">
        <f aca="false">IF(AJ452="",0,MAX(0,MIN(1,(IF(BU452="L1",Parameter!$E$5,Parameter!$E$6+Parameter!$E$7)-(AJ452-AF452))/AF452)))</f>
        <v>1</v>
      </c>
      <c r="AL452" s="57" t="n">
        <f aca="false">IF(LEFT(Cockpit!$I$5,1)="A",G452,IF(BW452=1,BX452,IF(LEFT(Cockpit!$I$5,1)="B",AP452,MAX(AP452,G452))))</f>
        <v>15</v>
      </c>
      <c r="AM452" s="57" t="n">
        <f aca="false">IF(BR452=1,0,ROUNDUP(AL452/BQ452,0))</f>
        <v>1</v>
      </c>
      <c r="AN452" s="59" t="n">
        <f aca="false">IF(CD452&gt;0,CD452*MAX(1,AL452/V452),IF(BR452=1,IF(AL452&lt;=0,0,BS452*MAX(1,IF(G452&gt;0,AL452/G452,1))),IF(Q452&gt;0,AM452/Q452,0))/MAX(0.1,N(Parameter!$M$21)))</f>
        <v>0.00505050505050505</v>
      </c>
      <c r="AO452" s="57" t="n">
        <f aca="false">AL452*F452</f>
        <v>66.3</v>
      </c>
      <c r="AP452" s="57" t="n">
        <f aca="false">ROUNDUP(MAX(I452/IF(BV452&gt;0,BV452,MAX(0.1,N(Cockpit!$I$6))),BY452)/BQ452,0)*BQ452</f>
        <v>15</v>
      </c>
      <c r="AQ452" s="58" t="n">
        <f aca="false">IF(AN452&gt;0,I452/AN452,-1)</f>
        <v>0</v>
      </c>
      <c r="AR452" s="58" t="n">
        <f aca="false">IF(AND(OR(BU452="L1",BU452="L23"),AN452&gt;0),SUMIFS($AN$7:$AN$1576,$BU$7:$BU$1576,BU452,$AQ$7:$AQ$1576,"&gt;"&amp;AQ452)+SUMIFS($AN$7:$AN$1576,$BU$7:$BU$1576,BU452,$AQ$7:$AQ$1576,AQ452,$BO$7:$BO$1576,"&lt;="&amp;BO452),"")</f>
        <v>124.933011921701</v>
      </c>
      <c r="AS452" s="65" t="n">
        <f aca="false">IF(AR452="",0,MAX(0,MIN(1,(IF(BU452="L1",Parameter!$E$5,Parameter!$E$6+Parameter!$E$7)-(AR452-AN452))/AN452)))</f>
        <v>0</v>
      </c>
      <c r="AT452" s="57" t="n">
        <f aca="false">IF(LEFT(Cockpit!$O$5,1)="A",G452,IF(BW452=1,BX452,IF(LEFT(Cockpit!$O$5,1)="B",AX452,MAX(AX452,G452))))</f>
        <v>15</v>
      </c>
      <c r="AU452" s="57" t="n">
        <f aca="false">IF(BR452=1,0,ROUNDUP(AT452/BQ452,0))</f>
        <v>1</v>
      </c>
      <c r="AV452" s="59" t="n">
        <f aca="false">IF(CD452&gt;0,CD452*MAX(1,AT452/V452),IF(BR452=1,IF(AT452&lt;=0,0,BS452*MAX(1,IF(G452&gt;0,AT452/G452,1))),IF(Q452&gt;0,AU452/Q452,0))/MAX(0.1,N(Parameter!$M$21)))</f>
        <v>0.00505050505050505</v>
      </c>
      <c r="AW452" s="57" t="n">
        <f aca="false">AT452*F452</f>
        <v>66.3</v>
      </c>
      <c r="AX452" s="57" t="n">
        <f aca="false">ROUNDUP(MAX(I452/IF(BV452&gt;0,BV452,MAX(0.1,N(Cockpit!$O$6))),BY452)/BQ452,0)*BQ452</f>
        <v>15</v>
      </c>
      <c r="AY452" s="58" t="n">
        <f aca="false">IF(AV452&gt;0,I452/AV452,-1)</f>
        <v>0</v>
      </c>
      <c r="AZ452" s="58" t="n">
        <f aca="false">IF(AND(OR(BU452="L1",BU452="L23"),AV452&gt;0),SUMIFS($AV$7:$AV$1576,$BU$7:$BU$1576,BU452,$AY$7:$AY$1576,"&gt;"&amp;AY452)+SUMIFS($AV$7:$AV$1576,$BU$7:$BU$1576,BU452,$AY$7:$AY$1576,AY452,$BO$7:$BO$1576,"&lt;="&amp;BO452),"")</f>
        <v>114.992562371251</v>
      </c>
      <c r="BA452" s="65" t="n">
        <f aca="false">IF(AZ452="",0,MAX(0,MIN(1,(IF(BU452="L1",Parameter!$E$5,Parameter!$E$6+Parameter!$E$7)-(AZ452-AV452))/AV452)))</f>
        <v>0</v>
      </c>
      <c r="BB452" s="55" t="str">
        <f aca="false">IF(AF452&lt;=0,"",IF(BU452="Aussen","Aussenlager",IF(BU452="-","Nicht im Lift",IF(AK452&gt;=1,"Lift",IF(AK452&lt;=0,"Aussenlager","teilweise")))))</f>
        <v>Lift</v>
      </c>
      <c r="BC452" s="55" t="str">
        <f aca="false">IF(AN452&lt;=0,"",IF(BU452="Aussen","Aussenlager",IF(BU452="-","Nicht im Lift",IF(AS452&gt;=1,"Lift",IF(AS452&lt;=0,"Aussenlager","teilweise")))))</f>
        <v>Aussenlager</v>
      </c>
      <c r="BD452" s="55" t="str">
        <f aca="false">IF(AV452&lt;=0,"",IF(BU452="Aussen","Aussenlager",IF(BU452="-","Nicht im Lift",IF(BA452&gt;=1,"Lift",IF(BA452&lt;=0,"Aussenlager","teilweise")))))</f>
        <v>Aussenlager</v>
      </c>
      <c r="BE452" s="55" t="str">
        <f aca="false">IF(A452="","",IF(BN452=1,"Neu; ","")&amp;IF(AND(BN452=0,BI452&lt;0),"negativer Bestand (Export "&amp;BI452&amp;"); ","")&amp;IF(I452&lt;=0,"Kein Verbrauch; ","")&amp;IF(CD452&gt;0,"Lift "&amp;U452&amp;" lt. Liftbericht (Fach "&amp;V452&amp;" Stk); ",IF(BR452=1,"Lose – Fläche geschätzt; ",""))&amp;IF(G452&gt;AP452,"Überbestand "&amp;ROUND(G452-AP452,0)&amp;" Stk / CHF "&amp;ROUND((G452-AP452)*F452,0)&amp;"; ","")&amp;IF(AND(BW452=1,BX452&lt;BY452),"MAX &lt; MB+LG; ","")&amp;IF(AND(CC452&gt;0,CB452*10&gt;CC452),"zu hoch für Tablar; ","")&amp;IF(AND(BN452=0,OR(BW452=1,Y452&lt;&gt;"",S452&lt;&gt;"",T452&lt;&gt;"",Z452&lt;&gt;"")),"manuell übersteuert; ","")&amp;IF(AND(BR452=0,Q452=0),"Gebinde unbekannt / Stellmass fehlt; ","")&amp;IF(AND(BR452=0,N(T452)&lt;=0,N(P452)&lt;=0),"Menge pro Gebinde fehlt (Ist = 1 Gebinde); ","")&amp;BM452)</f>
        <v>Kein Verbrauch; </v>
      </c>
      <c r="BF452" s="55"/>
      <c r="BG452" s="55"/>
      <c r="BH452" s="62"/>
      <c r="BI452" s="57" t="n">
        <v>15</v>
      </c>
      <c r="BJ452" s="57" t="n">
        <v>0</v>
      </c>
      <c r="BK452" s="56" t="n">
        <v>66.3</v>
      </c>
      <c r="BL452" s="57" t="n">
        <v>0</v>
      </c>
      <c r="BM452" s="55"/>
      <c r="BN452" s="60" t="n">
        <v>0</v>
      </c>
      <c r="BO452" s="60" t="n">
        <v>452</v>
      </c>
      <c r="BP452" s="55" t="str">
        <f aca="false">IF(S452&lt;&gt;"",UPPER(TRIM(S452)),IF(O452="","LOSE",O452))</f>
        <v>S22</v>
      </c>
      <c r="BQ452" s="57" t="n">
        <f aca="false">IF(BP452="LOSE",1,IF(N(T452)&gt;0,T452,IF(N(P452)&gt;0,P452,MAX(1,G452))))</f>
        <v>15</v>
      </c>
      <c r="BR452" s="60" t="n">
        <f aca="false">IF(BP452="LOSE",1,0)</f>
        <v>0</v>
      </c>
      <c r="BS452" s="59" t="n">
        <f aca="false">IF(BR452=0,0,IF(N(R452)&gt;0,R452,IFERROR(VLOOKUP(D452,Parameter!$A$35:$C$64,3,0)+0,0)))</f>
        <v>0</v>
      </c>
      <c r="BT452" s="55" t="n">
        <f aca="false">IF(Y452&lt;&gt;"",Y452,X452)</f>
        <v>3</v>
      </c>
      <c r="BU452" s="55" t="str">
        <f aca="false">IF(BT452=1,"L1",IF(OR(BT452=2,BT452=3),"L23",IF(BT452="Aussen","Aussen","-")))</f>
        <v>L23</v>
      </c>
      <c r="BV452" s="66" t="n">
        <f aca="false">IF(N(Z452)&gt;0,Z452,0)</f>
        <v>0</v>
      </c>
      <c r="BW452" s="60" t="n">
        <f aca="false">IF(ISNUMBER(AC452),1,0)</f>
        <v>0</v>
      </c>
      <c r="BX452" s="57" t="n">
        <f aca="false">N(AC452)</f>
        <v>0</v>
      </c>
      <c r="BY452" s="57" t="n">
        <f aca="false">N(L452)+N(M452)</f>
        <v>1</v>
      </c>
      <c r="BZ452" s="57" t="n">
        <f aca="false">ROUNDUP(G452/BQ452,0)</f>
        <v>1</v>
      </c>
      <c r="CA452" s="57" t="n">
        <f aca="false">ROUNDUP(BX452/BQ452,0)</f>
        <v>0</v>
      </c>
      <c r="CB452" s="60" t="n">
        <f aca="false">IF(BR452=1,0,IFERROR(VLOOKUP(BP452,'Gebinde-Kategorie'!$A$5:$M$45,5,0)+0,0))</f>
        <v>8</v>
      </c>
      <c r="CC452" s="60" t="n">
        <f aca="false">IFERROR(IF(OR(BT452=1,BT452=2,BT452=3),N(INDEX(Parameter!$I$5:$I$7,BT452)),0),0)</f>
        <v>0</v>
      </c>
      <c r="CD452" s="59" t="n">
        <f aca="false">IF(AND(Parameter!$B$21="Ja",ISNUMBER(U452),N(V452)&gt;0),IFERROR(N(INDEX(Parameter!$L$5:$L$7,U452))*INDEX(Parameter!$E$5:$E$7,U452)*V452/SUMIFS($V$7:$V$1576,$U$7:$U$1576,U452),0),0)</f>
        <v>0</v>
      </c>
    </row>
    <row r="453" customFormat="false" ht="15" hidden="false" customHeight="false" outlineLevel="0" collapsed="false">
      <c r="A453" s="55" t="s">
        <v>1012</v>
      </c>
      <c r="B453" s="55" t="s">
        <v>1013</v>
      </c>
      <c r="C453" s="55" t="s">
        <v>160</v>
      </c>
      <c r="D453" s="55" t="s">
        <v>168</v>
      </c>
      <c r="E453" s="55" t="s">
        <v>210</v>
      </c>
      <c r="F453" s="56" t="n">
        <v>10.4</v>
      </c>
      <c r="G453" s="57" t="n">
        <f aca="false">MAX(0,IF(AND(Parameter!$B$21="Ja",ISNUMBER(W453)),W453,IF(Parameter!$B$20="Jahresanfang 2025 + Export",BJ453+BI453,BI453)))</f>
        <v>5</v>
      </c>
      <c r="H453" s="57" t="n">
        <f aca="false">G453*F453</f>
        <v>52</v>
      </c>
      <c r="I453" s="57" t="n">
        <f aca="false">BL453*Parameter!$B$18</f>
        <v>33</v>
      </c>
      <c r="J453" s="58" t="n">
        <v>17.5</v>
      </c>
      <c r="K453" s="59" t="n">
        <v>1.88571428571429</v>
      </c>
      <c r="L453" s="57" t="n">
        <v>1</v>
      </c>
      <c r="M453" s="57" t="n">
        <v>15</v>
      </c>
      <c r="N453" s="60" t="n">
        <v>21</v>
      </c>
      <c r="O453" s="55" t="s">
        <v>163</v>
      </c>
      <c r="P453" s="57"/>
      <c r="Q453" s="60" t="n">
        <f aca="false">IF(BR453=1,0,IFERROR(VLOOKUP(BP453,'Gebinde-Kategorie'!$A$5:$M$45,13,0)+0,0))</f>
        <v>0</v>
      </c>
      <c r="R453" s="61"/>
      <c r="S453" s="62"/>
      <c r="T453" s="62"/>
      <c r="U453" s="55"/>
      <c r="V453" s="57"/>
      <c r="W453" s="57"/>
      <c r="X453" s="55" t="n">
        <f aca="false">IF(A453="","",IF(AND(Parameter!$B$21="Ja",ISNUMBER(U453)),U453,IF(IFERROR(VLOOKUP(D453,Parameter!$A$35:$C$64,2,0),"Nein")="2+3",IF(ISNUMBER(SEARCH("grosser Artikel",BM453)),2,IFERROR(VLOOKUP(BP453,Parameter!$F$35:$G$64,2,0),2)),IF(OR(IFERROR(VLOOKUP(D453,Parameter!$A$35:$C$64,2,0),"Nein")="Nein",IFERROR(VLOOKUP(D453,Parameter!$A$35:$C$64,2,0),"Nein")=""),"-",VLOOKUP(D453,Parameter!$A$35:$C$64,2,0)))))</f>
        <v>2</v>
      </c>
      <c r="Y453" s="62"/>
      <c r="Z453" s="63"/>
      <c r="AA453" s="57" t="n">
        <f aca="false">AP453</f>
        <v>17</v>
      </c>
      <c r="AB453" s="57" t="n">
        <f aca="false">MAX(AP453,G453)</f>
        <v>17</v>
      </c>
      <c r="AC453" s="64"/>
      <c r="AD453" s="57" t="n">
        <f aca="false">IF(LEFT(Cockpit!$C$5,1)="A",G453,IF(BW453=1,BX453,IF(LEFT(Cockpit!$C$5,1)="B",AH453,MAX(AH453,G453))))</f>
        <v>5</v>
      </c>
      <c r="AE453" s="57" t="n">
        <f aca="false">IF(BR453=1,0,ROUNDUP(AD453/BQ453,0))</f>
        <v>0</v>
      </c>
      <c r="AF453" s="59" t="n">
        <f aca="false">IF(CD453&gt;0,CD453*MAX(1,AD453/V453),IF(BR453=1,IF(AD453&lt;=0,0,BS453*MAX(1,IF(G453&gt;0,AD453/G453,1))),IF(Q453&gt;0,AE453/Q453,0))/MAX(0.1,N(Parameter!$M$21)))</f>
        <v>0.15</v>
      </c>
      <c r="AG453" s="57" t="n">
        <f aca="false">AD453*F453</f>
        <v>52</v>
      </c>
      <c r="AH453" s="57" t="n">
        <f aca="false">ROUNDUP(MAX(I453/IF(BV453&gt;0,BV453,MAX(0.1,N(Cockpit!$C$6))),BY453)/BQ453,0)*BQ453</f>
        <v>17</v>
      </c>
      <c r="AI453" s="58" t="n">
        <f aca="false">IF(AF453&gt;0,I453/AF453,-1)</f>
        <v>220</v>
      </c>
      <c r="AJ453" s="58" t="n">
        <f aca="false">IF(AND(OR(BU453="L1",BU453="L23"),AF453&gt;0),SUMIFS($AF$7:$AF$1576,$BU$7:$BU$1576,BU453,$AI$7:$AI$1576,"&gt;"&amp;AI453)+SUMIFS($AF$7:$AF$1576,$BU$7:$BU$1576,BU453,$AI$7:$AI$1576,AI453,$BO$7:$BO$1576,"&lt;="&amp;BO453),"")</f>
        <v>16.9205384953211</v>
      </c>
      <c r="AK453" s="65" t="n">
        <f aca="false">IF(AJ453="",0,MAX(0,MIN(1,(IF(BU453="L1",Parameter!$E$5,Parameter!$E$6+Parameter!$E$7)-(AJ453-AF453))/AF453)))</f>
        <v>1</v>
      </c>
      <c r="AL453" s="57" t="n">
        <f aca="false">IF(LEFT(Cockpit!$I$5,1)="A",G453,IF(BW453=1,BX453,IF(LEFT(Cockpit!$I$5,1)="B",AP453,MAX(AP453,G453))))</f>
        <v>17</v>
      </c>
      <c r="AM453" s="57" t="n">
        <f aca="false">IF(BR453=1,0,ROUNDUP(AL453/BQ453,0))</f>
        <v>0</v>
      </c>
      <c r="AN453" s="59" t="n">
        <f aca="false">IF(CD453&gt;0,CD453*MAX(1,AL453/V453),IF(BR453=1,IF(AL453&lt;=0,0,BS453*MAX(1,IF(G453&gt;0,AL453/G453,1))),IF(Q453&gt;0,AM453/Q453,0))/MAX(0.1,N(Parameter!$M$21)))</f>
        <v>0.51</v>
      </c>
      <c r="AO453" s="57" t="n">
        <f aca="false">AL453*F453</f>
        <v>176.8</v>
      </c>
      <c r="AP453" s="57" t="n">
        <f aca="false">ROUNDUP(MAX(I453/IF(BV453&gt;0,BV453,MAX(0.1,N(Cockpit!$I$6))),BY453)/BQ453,0)*BQ453</f>
        <v>17</v>
      </c>
      <c r="AQ453" s="58" t="n">
        <f aca="false">IF(AN453&gt;0,I453/AN453,-1)</f>
        <v>64.7058823529412</v>
      </c>
      <c r="AR453" s="58" t="n">
        <f aca="false">IF(AND(OR(BU453="L1",BU453="L23"),AN453&gt;0),SUMIFS($AN$7:$AN$1576,$BU$7:$BU$1576,BU453,$AQ$7:$AQ$1576,"&gt;"&amp;AQ453)+SUMIFS($AN$7:$AN$1576,$BU$7:$BU$1576,BU453,$AQ$7:$AQ$1576,AQ453,$BO$7:$BO$1576,"&lt;="&amp;BO453),"")</f>
        <v>76.813203819465</v>
      </c>
      <c r="AS453" s="65" t="n">
        <f aca="false">IF(AR453="",0,MAX(0,MIN(1,(IF(BU453="L1",Parameter!$E$5,Parameter!$E$6+Parameter!$E$7)-(AR453-AN453))/AN453)))</f>
        <v>1</v>
      </c>
      <c r="AT453" s="57" t="n">
        <f aca="false">IF(LEFT(Cockpit!$O$5,1)="A",G453,IF(BW453=1,BX453,IF(LEFT(Cockpit!$O$5,1)="B",AX453,MAX(AX453,G453))))</f>
        <v>16</v>
      </c>
      <c r="AU453" s="57" t="n">
        <f aca="false">IF(BR453=1,0,ROUNDUP(AT453/BQ453,0))</f>
        <v>0</v>
      </c>
      <c r="AV453" s="59" t="n">
        <f aca="false">IF(CD453&gt;0,CD453*MAX(1,AT453/V453),IF(BR453=1,IF(AT453&lt;=0,0,BS453*MAX(1,IF(G453&gt;0,AT453/G453,1))),IF(Q453&gt;0,AU453/Q453,0))/MAX(0.1,N(Parameter!$M$21)))</f>
        <v>0.48</v>
      </c>
      <c r="AW453" s="57" t="n">
        <f aca="false">AT453*F453</f>
        <v>166.4</v>
      </c>
      <c r="AX453" s="57" t="n">
        <f aca="false">ROUNDUP(MAX(I453/IF(BV453&gt;0,BV453,MAX(0.1,N(Cockpit!$O$6))),BY453)/BQ453,0)*BQ453</f>
        <v>16</v>
      </c>
      <c r="AY453" s="58" t="n">
        <f aca="false">IF(AV453&gt;0,I453/AV453,-1)</f>
        <v>68.75</v>
      </c>
      <c r="AZ453" s="58" t="n">
        <f aca="false">IF(AND(OR(BU453="L1",BU453="L23"),AV453&gt;0),SUMIFS($AV$7:$AV$1576,$BU$7:$BU$1576,BU453,$AY$7:$AY$1576,"&gt;"&amp;AY453)+SUMIFS($AV$7:$AV$1576,$BU$7:$BU$1576,BU453,$AY$7:$AY$1576,AY453,$BO$7:$BO$1576,"&lt;="&amp;BO453),"")</f>
        <v>72.9401785114397</v>
      </c>
      <c r="BA453" s="65" t="n">
        <f aca="false">IF(AZ453="",0,MAX(0,MIN(1,(IF(BU453="L1",Parameter!$E$5,Parameter!$E$6+Parameter!$E$7)-(AZ453-AV453))/AV453)))</f>
        <v>1</v>
      </c>
      <c r="BB453" s="55" t="str">
        <f aca="false">IF(AF453&lt;=0,"",IF(BU453="Aussen","Aussenlager",IF(BU453="-","Nicht im Lift",IF(AK453&gt;=1,"Lift",IF(AK453&lt;=0,"Aussenlager","teilweise")))))</f>
        <v>Lift</v>
      </c>
      <c r="BC453" s="55" t="str">
        <f aca="false">IF(AN453&lt;=0,"",IF(BU453="Aussen","Aussenlager",IF(BU453="-","Nicht im Lift",IF(AS453&gt;=1,"Lift",IF(AS453&lt;=0,"Aussenlager","teilweise")))))</f>
        <v>Lift</v>
      </c>
      <c r="BD453" s="55" t="str">
        <f aca="false">IF(AV453&lt;=0,"",IF(BU453="Aussen","Aussenlager",IF(BU453="-","Nicht im Lift",IF(BA453&gt;=1,"Lift",IF(BA453&lt;=0,"Aussenlager","teilweise")))))</f>
        <v>Lift</v>
      </c>
      <c r="BE453" s="55" t="str">
        <f aca="false">IF(A453="","",IF(BN453=1,"Neu; ","")&amp;IF(AND(BN453=0,BI453&lt;0),"negativer Bestand (Export "&amp;BI453&amp;"); ","")&amp;IF(I453&lt;=0,"Kein Verbrauch; ","")&amp;IF(CD453&gt;0,"Lift "&amp;U453&amp;" lt. Liftbericht (Fach "&amp;V453&amp;" Stk); ",IF(BR453=1,"Lose – Fläche geschätzt; ",""))&amp;IF(G453&gt;AP453,"Überbestand "&amp;ROUND(G453-AP453,0)&amp;" Stk / CHF "&amp;ROUND((G453-AP453)*F453,0)&amp;"; ","")&amp;IF(AND(BW453=1,BX453&lt;BY453),"MAX &lt; MB+LG; ","")&amp;IF(AND(CC453&gt;0,CB453*10&gt;CC453),"zu hoch für Tablar; ","")&amp;IF(AND(BN453=0,OR(BW453=1,Y453&lt;&gt;"",S453&lt;&gt;"",T453&lt;&gt;"",Z453&lt;&gt;"")),"manuell übersteuert; ","")&amp;IF(AND(BR453=0,Q453=0),"Gebinde unbekannt / Stellmass fehlt; ","")&amp;IF(AND(BR453=0,N(T453)&lt;=0,N(P453)&lt;=0),"Menge pro Gebinde fehlt (Ist = 1 Gebinde); ","")&amp;BM453)</f>
        <v>Lose – Fläche geschätzt; </v>
      </c>
      <c r="BF453" s="55"/>
      <c r="BG453" s="55"/>
      <c r="BH453" s="62"/>
      <c r="BI453" s="57" t="n">
        <v>5</v>
      </c>
      <c r="BJ453" s="57" t="n">
        <v>20</v>
      </c>
      <c r="BK453" s="56" t="n">
        <v>66</v>
      </c>
      <c r="BL453" s="57" t="n">
        <v>33</v>
      </c>
      <c r="BM453" s="55"/>
      <c r="BN453" s="60" t="n">
        <v>0</v>
      </c>
      <c r="BO453" s="60" t="n">
        <v>453</v>
      </c>
      <c r="BP453" s="55" t="str">
        <f aca="false">IF(S453&lt;&gt;"",UPPER(TRIM(S453)),IF(O453="","LOSE",O453))</f>
        <v>LOSE</v>
      </c>
      <c r="BQ453" s="57" t="n">
        <f aca="false">IF(BP453="LOSE",1,IF(N(T453)&gt;0,T453,IF(N(P453)&gt;0,P453,MAX(1,G453))))</f>
        <v>1</v>
      </c>
      <c r="BR453" s="60" t="n">
        <f aca="false">IF(BP453="LOSE",1,0)</f>
        <v>1</v>
      </c>
      <c r="BS453" s="59" t="n">
        <f aca="false">IF(BR453=0,0,IF(N(R453)&gt;0,R453,IFERROR(VLOOKUP(D453,Parameter!$A$35:$C$64,3,0)+0,0)))</f>
        <v>0.15</v>
      </c>
      <c r="BT453" s="55" t="n">
        <f aca="false">IF(Y453&lt;&gt;"",Y453,X453)</f>
        <v>2</v>
      </c>
      <c r="BU453" s="55" t="str">
        <f aca="false">IF(BT453=1,"L1",IF(OR(BT453=2,BT453=3),"L23",IF(BT453="Aussen","Aussen","-")))</f>
        <v>L23</v>
      </c>
      <c r="BV453" s="66" t="n">
        <f aca="false">IF(N(Z453)&gt;0,Z453,0)</f>
        <v>0</v>
      </c>
      <c r="BW453" s="60" t="n">
        <f aca="false">IF(ISNUMBER(AC453),1,0)</f>
        <v>0</v>
      </c>
      <c r="BX453" s="57" t="n">
        <f aca="false">N(AC453)</f>
        <v>0</v>
      </c>
      <c r="BY453" s="57" t="n">
        <f aca="false">N(L453)+N(M453)</f>
        <v>16</v>
      </c>
      <c r="BZ453" s="57" t="n">
        <f aca="false">ROUNDUP(G453/BQ453,0)</f>
        <v>5</v>
      </c>
      <c r="CA453" s="57" t="n">
        <f aca="false">ROUNDUP(BX453/BQ453,0)</f>
        <v>0</v>
      </c>
      <c r="CB453" s="60" t="n">
        <f aca="false">IF(BR453=1,0,IFERROR(VLOOKUP(BP453,'Gebinde-Kategorie'!$A$5:$M$45,5,0)+0,0))</f>
        <v>0</v>
      </c>
      <c r="CC453" s="60" t="n">
        <f aca="false">IFERROR(IF(OR(BT453=1,BT453=2,BT453=3),N(INDEX(Parameter!$I$5:$I$7,BT453)),0),0)</f>
        <v>0</v>
      </c>
      <c r="CD453" s="59" t="n">
        <f aca="false">IF(AND(Parameter!$B$21="Ja",ISNUMBER(U453),N(V453)&gt;0),IFERROR(N(INDEX(Parameter!$L$5:$L$7,U453))*INDEX(Parameter!$E$5:$E$7,U453)*V453/SUMIFS($V$7:$V$1576,$U$7:$U$1576,U453),0),0)</f>
        <v>0</v>
      </c>
    </row>
    <row r="454" customFormat="false" ht="15" hidden="false" customHeight="false" outlineLevel="0" collapsed="false">
      <c r="A454" s="55" t="s">
        <v>1014</v>
      </c>
      <c r="B454" s="55" t="s">
        <v>1015</v>
      </c>
      <c r="C454" s="55" t="s">
        <v>160</v>
      </c>
      <c r="D454" s="55" t="s">
        <v>178</v>
      </c>
      <c r="E454" s="55" t="s">
        <v>210</v>
      </c>
      <c r="F454" s="56" t="n">
        <v>7.1</v>
      </c>
      <c r="G454" s="57" t="n">
        <f aca="false">MAX(0,IF(AND(Parameter!$B$21="Ja",ISNUMBER(W454)),W454,IF(Parameter!$B$20="Jahresanfang 2025 + Export",BJ454+BI454,BI454)))</f>
        <v>9</v>
      </c>
      <c r="H454" s="57" t="n">
        <f aca="false">G454*F454</f>
        <v>63.9</v>
      </c>
      <c r="I454" s="57" t="n">
        <f aca="false">BL454*Parameter!$B$18</f>
        <v>172</v>
      </c>
      <c r="J454" s="58" t="n">
        <v>76.5</v>
      </c>
      <c r="K454" s="59" t="n">
        <v>2.2483660130719</v>
      </c>
      <c r="L454" s="57" t="n">
        <v>4</v>
      </c>
      <c r="M454" s="57" t="n">
        <v>170</v>
      </c>
      <c r="N454" s="60" t="n">
        <v>21</v>
      </c>
      <c r="O454" s="55" t="s">
        <v>411</v>
      </c>
      <c r="P454" s="57" t="n">
        <v>136</v>
      </c>
      <c r="Q454" s="60" t="n">
        <f aca="false">IF(BR454=1,0,IFERROR(VLOOKUP(BP454,'Gebinde-Kategorie'!$A$5:$M$45,13,0)+0,0))</f>
        <v>132</v>
      </c>
      <c r="R454" s="61"/>
      <c r="S454" s="62"/>
      <c r="T454" s="62"/>
      <c r="U454" s="55"/>
      <c r="V454" s="57"/>
      <c r="W454" s="57"/>
      <c r="X454" s="55" t="n">
        <f aca="false">IF(A454="","",IF(AND(Parameter!$B$21="Ja",ISNUMBER(U454)),U454,IF(IFERROR(VLOOKUP(D454,Parameter!$A$35:$C$64,2,0),"Nein")="2+3",IF(ISNUMBER(SEARCH("grosser Artikel",BM454)),2,IFERROR(VLOOKUP(BP454,Parameter!$F$35:$G$64,2,0),2)),IF(OR(IFERROR(VLOOKUP(D454,Parameter!$A$35:$C$64,2,0),"Nein")="Nein",IFERROR(VLOOKUP(D454,Parameter!$A$35:$C$64,2,0),"Nein")=""),"-",VLOOKUP(D454,Parameter!$A$35:$C$64,2,0)))))</f>
        <v>3</v>
      </c>
      <c r="Y454" s="62"/>
      <c r="Z454" s="63"/>
      <c r="AA454" s="57" t="n">
        <f aca="false">AP454</f>
        <v>272</v>
      </c>
      <c r="AB454" s="57" t="n">
        <f aca="false">MAX(AP454,G454)</f>
        <v>272</v>
      </c>
      <c r="AC454" s="64"/>
      <c r="AD454" s="57" t="n">
        <f aca="false">IF(LEFT(Cockpit!$C$5,1)="A",G454,IF(BW454=1,BX454,IF(LEFT(Cockpit!$C$5,1)="B",AH454,MAX(AH454,G454))))</f>
        <v>9</v>
      </c>
      <c r="AE454" s="57" t="n">
        <f aca="false">IF(BR454=1,0,ROUNDUP(AD454/BQ454,0))</f>
        <v>1</v>
      </c>
      <c r="AF454" s="59" t="n">
        <f aca="false">IF(CD454&gt;0,CD454*MAX(1,AD454/V454),IF(BR454=1,IF(AD454&lt;=0,0,BS454*MAX(1,IF(G454&gt;0,AD454/G454,1))),IF(Q454&gt;0,AE454/Q454,0))/MAX(0.1,N(Parameter!$M$21)))</f>
        <v>0.00757575757575758</v>
      </c>
      <c r="AG454" s="57" t="n">
        <f aca="false">AD454*F454</f>
        <v>63.9</v>
      </c>
      <c r="AH454" s="57" t="n">
        <f aca="false">ROUNDUP(MAX(I454/IF(BV454&gt;0,BV454,MAX(0.1,N(Cockpit!$C$6))),BY454)/BQ454,0)*BQ454</f>
        <v>272</v>
      </c>
      <c r="AI454" s="58" t="n">
        <f aca="false">IF(AF454&gt;0,I454/AF454,-1)</f>
        <v>22704</v>
      </c>
      <c r="AJ454" s="58" t="n">
        <f aca="false">IF(AND(OR(BU454="L1",BU454="L23"),AF454&gt;0),SUMIFS($AF$7:$AF$1576,$BU$7:$BU$1576,BU454,$AI$7:$AI$1576,"&gt;"&amp;AI454)+SUMIFS($AF$7:$AF$1576,$BU$7:$BU$1576,BU454,$AI$7:$AI$1576,AI454,$BO$7:$BO$1576,"&lt;="&amp;BO454),"")</f>
        <v>1.67816965643053</v>
      </c>
      <c r="AK454" s="65" t="n">
        <f aca="false">IF(AJ454="",0,MAX(0,MIN(1,(IF(BU454="L1",Parameter!$E$5,Parameter!$E$6+Parameter!$E$7)-(AJ454-AF454))/AF454)))</f>
        <v>1</v>
      </c>
      <c r="AL454" s="57" t="n">
        <f aca="false">IF(LEFT(Cockpit!$I$5,1)="A",G454,IF(BW454=1,BX454,IF(LEFT(Cockpit!$I$5,1)="B",AP454,MAX(AP454,G454))))</f>
        <v>272</v>
      </c>
      <c r="AM454" s="57" t="n">
        <f aca="false">IF(BR454=1,0,ROUNDUP(AL454/BQ454,0))</f>
        <v>2</v>
      </c>
      <c r="AN454" s="59" t="n">
        <f aca="false">IF(CD454&gt;0,CD454*MAX(1,AL454/V454),IF(BR454=1,IF(AL454&lt;=0,0,BS454*MAX(1,IF(G454&gt;0,AL454/G454,1))),IF(Q454&gt;0,AM454/Q454,0))/MAX(0.1,N(Parameter!$M$21)))</f>
        <v>0.0151515151515152</v>
      </c>
      <c r="AO454" s="57" t="n">
        <f aca="false">AL454*F454</f>
        <v>1931.2</v>
      </c>
      <c r="AP454" s="57" t="n">
        <f aca="false">ROUNDUP(MAX(I454/IF(BV454&gt;0,BV454,MAX(0.1,N(Cockpit!$I$6))),BY454)/BQ454,0)*BQ454</f>
        <v>272</v>
      </c>
      <c r="AQ454" s="58" t="n">
        <f aca="false">IF(AN454&gt;0,I454/AN454,-1)</f>
        <v>11352</v>
      </c>
      <c r="AR454" s="58" t="n">
        <f aca="false">IF(AND(OR(BU454="L1",BU454="L23"),AN454&gt;0),SUMIFS($AN$7:$AN$1576,$BU$7:$BU$1576,BU454,$AQ$7:$AQ$1576,"&gt;"&amp;AQ454)+SUMIFS($AN$7:$AN$1576,$BU$7:$BU$1576,BU454,$AQ$7:$AQ$1576,AQ454,$BO$7:$BO$1576,"&lt;="&amp;BO454),"")</f>
        <v>6.4397668997669</v>
      </c>
      <c r="AS454" s="65" t="n">
        <f aca="false">IF(AR454="",0,MAX(0,MIN(1,(IF(BU454="L1",Parameter!$E$5,Parameter!$E$6+Parameter!$E$7)-(AR454-AN454))/AN454)))</f>
        <v>1</v>
      </c>
      <c r="AT454" s="57" t="n">
        <f aca="false">IF(LEFT(Cockpit!$O$5,1)="A",G454,IF(BW454=1,BX454,IF(LEFT(Cockpit!$O$5,1)="B",AX454,MAX(AX454,G454))))</f>
        <v>272</v>
      </c>
      <c r="AU454" s="57" t="n">
        <f aca="false">IF(BR454=1,0,ROUNDUP(AT454/BQ454,0))</f>
        <v>2</v>
      </c>
      <c r="AV454" s="59" t="n">
        <f aca="false">IF(CD454&gt;0,CD454*MAX(1,AT454/V454),IF(BR454=1,IF(AT454&lt;=0,0,BS454*MAX(1,IF(G454&gt;0,AT454/G454,1))),IF(Q454&gt;0,AU454/Q454,0))/MAX(0.1,N(Parameter!$M$21)))</f>
        <v>0.0151515151515152</v>
      </c>
      <c r="AW454" s="57" t="n">
        <f aca="false">AT454*F454</f>
        <v>1931.2</v>
      </c>
      <c r="AX454" s="57" t="n">
        <f aca="false">ROUNDUP(MAX(I454/IF(BV454&gt;0,BV454,MAX(0.1,N(Cockpit!$O$6))),BY454)/BQ454,0)*BQ454</f>
        <v>272</v>
      </c>
      <c r="AY454" s="58" t="n">
        <f aca="false">IF(AV454&gt;0,I454/AV454,-1)</f>
        <v>11352</v>
      </c>
      <c r="AZ454" s="58" t="n">
        <f aca="false">IF(AND(OR(BU454="L1",BU454="L23"),AV454&gt;0),SUMIFS($AV$7:$AV$1576,$BU$7:$BU$1576,BU454,$AY$7:$AY$1576,"&gt;"&amp;AY454)+SUMIFS($AV$7:$AV$1576,$BU$7:$BU$1576,BU454,$AY$7:$AY$1576,AY454,$BO$7:$BO$1576,"&lt;="&amp;BO454),"")</f>
        <v>6.1413986013986</v>
      </c>
      <c r="BA454" s="65" t="n">
        <f aca="false">IF(AZ454="",0,MAX(0,MIN(1,(IF(BU454="L1",Parameter!$E$5,Parameter!$E$6+Parameter!$E$7)-(AZ454-AV454))/AV454)))</f>
        <v>1</v>
      </c>
      <c r="BB454" s="55" t="str">
        <f aca="false">IF(AF454&lt;=0,"",IF(BU454="Aussen","Aussenlager",IF(BU454="-","Nicht im Lift",IF(AK454&gt;=1,"Lift",IF(AK454&lt;=0,"Aussenlager","teilweise")))))</f>
        <v>Lift</v>
      </c>
      <c r="BC454" s="55" t="str">
        <f aca="false">IF(AN454&lt;=0,"",IF(BU454="Aussen","Aussenlager",IF(BU454="-","Nicht im Lift",IF(AS454&gt;=1,"Lift",IF(AS454&lt;=0,"Aussenlager","teilweise")))))</f>
        <v>Lift</v>
      </c>
      <c r="BD454" s="55" t="str">
        <f aca="false">IF(AV454&lt;=0,"",IF(BU454="Aussen","Aussenlager",IF(BU454="-","Nicht im Lift",IF(BA454&gt;=1,"Lift",IF(BA454&lt;=0,"Aussenlager","teilweise")))))</f>
        <v>Lift</v>
      </c>
      <c r="BE454" s="55" t="str">
        <f aca="false">IF(A454="","",IF(BN454=1,"Neu; ","")&amp;IF(AND(BN454=0,BI454&lt;0),"negativer Bestand (Export "&amp;BI454&amp;"); ","")&amp;IF(I454&lt;=0,"Kein Verbrauch; ","")&amp;IF(CD454&gt;0,"Lift "&amp;U454&amp;" lt. Liftbericht (Fach "&amp;V454&amp;" Stk); ",IF(BR454=1,"Lose – Fläche geschätzt; ",""))&amp;IF(G454&gt;AP454,"Überbestand "&amp;ROUND(G454-AP454,0)&amp;" Stk / CHF "&amp;ROUND((G454-AP454)*F454,0)&amp;"; ","")&amp;IF(AND(BW454=1,BX454&lt;BY454),"MAX &lt; MB+LG; ","")&amp;IF(AND(CC454&gt;0,CB454*10&gt;CC454),"zu hoch für Tablar; ","")&amp;IF(AND(BN454=0,OR(BW454=1,Y454&lt;&gt;"",S454&lt;&gt;"",T454&lt;&gt;"",Z454&lt;&gt;"")),"manuell übersteuert; ","")&amp;IF(AND(BR454=0,Q454=0),"Gebinde unbekannt / Stellmass fehlt; ","")&amp;IF(AND(BR454=0,N(T454)&lt;=0,N(P454)&lt;=0),"Menge pro Gebinde fehlt (Ist = 1 Gebinde); ","")&amp;BM454)</f>
        <v/>
      </c>
      <c r="BF454" s="55"/>
      <c r="BG454" s="55"/>
      <c r="BH454" s="62"/>
      <c r="BI454" s="57" t="n">
        <v>9</v>
      </c>
      <c r="BJ454" s="57" t="n">
        <v>60</v>
      </c>
      <c r="BK454" s="56" t="n">
        <v>63.9000000000007</v>
      </c>
      <c r="BL454" s="57" t="n">
        <v>172</v>
      </c>
      <c r="BM454" s="55"/>
      <c r="BN454" s="60" t="n">
        <v>0</v>
      </c>
      <c r="BO454" s="60" t="n">
        <v>454</v>
      </c>
      <c r="BP454" s="55" t="str">
        <f aca="false">IF(S454&lt;&gt;"",UPPER(TRIM(S454)),IF(O454="","LOSE",O454))</f>
        <v>S32</v>
      </c>
      <c r="BQ454" s="57" t="n">
        <f aca="false">IF(BP454="LOSE",1,IF(N(T454)&gt;0,T454,IF(N(P454)&gt;0,P454,MAX(1,G454))))</f>
        <v>136</v>
      </c>
      <c r="BR454" s="60" t="n">
        <f aca="false">IF(BP454="LOSE",1,0)</f>
        <v>0</v>
      </c>
      <c r="BS454" s="59" t="n">
        <f aca="false">IF(BR454=0,0,IF(N(R454)&gt;0,R454,IFERROR(VLOOKUP(D454,Parameter!$A$35:$C$64,3,0)+0,0)))</f>
        <v>0</v>
      </c>
      <c r="BT454" s="55" t="n">
        <f aca="false">IF(Y454&lt;&gt;"",Y454,X454)</f>
        <v>3</v>
      </c>
      <c r="BU454" s="55" t="str">
        <f aca="false">IF(BT454=1,"L1",IF(OR(BT454=2,BT454=3),"L23",IF(BT454="Aussen","Aussen","-")))</f>
        <v>L23</v>
      </c>
      <c r="BV454" s="66" t="n">
        <f aca="false">IF(N(Z454)&gt;0,Z454,0)</f>
        <v>0</v>
      </c>
      <c r="BW454" s="60" t="n">
        <f aca="false">IF(ISNUMBER(AC454),1,0)</f>
        <v>0</v>
      </c>
      <c r="BX454" s="57" t="n">
        <f aca="false">N(AC454)</f>
        <v>0</v>
      </c>
      <c r="BY454" s="57" t="n">
        <f aca="false">N(L454)+N(M454)</f>
        <v>174</v>
      </c>
      <c r="BZ454" s="57" t="n">
        <f aca="false">ROUNDUP(G454/BQ454,0)</f>
        <v>1</v>
      </c>
      <c r="CA454" s="57" t="n">
        <f aca="false">ROUNDUP(BX454/BQ454,0)</f>
        <v>0</v>
      </c>
      <c r="CB454" s="60" t="n">
        <f aca="false">IF(BR454=1,0,IFERROR(VLOOKUP(BP454,'Gebinde-Kategorie'!$A$5:$M$45,5,0)+0,0))</f>
        <v>8</v>
      </c>
      <c r="CC454" s="60" t="n">
        <f aca="false">IFERROR(IF(OR(BT454=1,BT454=2,BT454=3),N(INDEX(Parameter!$I$5:$I$7,BT454)),0),0)</f>
        <v>0</v>
      </c>
      <c r="CD454" s="59" t="n">
        <f aca="false">IF(AND(Parameter!$B$21="Ja",ISNUMBER(U454),N(V454)&gt;0),IFERROR(N(INDEX(Parameter!$L$5:$L$7,U454))*INDEX(Parameter!$E$5:$E$7,U454)*V454/SUMIFS($V$7:$V$1576,$U$7:$U$1576,U454),0),0)</f>
        <v>0</v>
      </c>
    </row>
    <row r="455" customFormat="false" ht="15" hidden="false" customHeight="false" outlineLevel="0" collapsed="false">
      <c r="A455" s="55" t="s">
        <v>1016</v>
      </c>
      <c r="B455" s="55" t="s">
        <v>1011</v>
      </c>
      <c r="C455" s="55" t="s">
        <v>160</v>
      </c>
      <c r="D455" s="55" t="s">
        <v>178</v>
      </c>
      <c r="E455" s="55" t="s">
        <v>210</v>
      </c>
      <c r="F455" s="56" t="n">
        <v>1.04</v>
      </c>
      <c r="G455" s="57" t="n">
        <f aca="false">MAX(0,IF(AND(Parameter!$B$21="Ja",ISNUMBER(W455)),W455,IF(Parameter!$B$20="Jahresanfang 2025 + Export",BJ455+BI455,BI455)))</f>
        <v>61</v>
      </c>
      <c r="H455" s="57" t="n">
        <f aca="false">G455*F455</f>
        <v>63.44</v>
      </c>
      <c r="I455" s="57" t="n">
        <f aca="false">BL455*Parameter!$B$18</f>
        <v>30</v>
      </c>
      <c r="J455" s="58" t="n">
        <v>46</v>
      </c>
      <c r="K455" s="59" t="n">
        <v>0.652173913043478</v>
      </c>
      <c r="L455" s="57" t="n">
        <v>1</v>
      </c>
      <c r="M455" s="57" t="n">
        <v>50</v>
      </c>
      <c r="N455" s="60" t="n">
        <v>21</v>
      </c>
      <c r="O455" s="55" t="s">
        <v>411</v>
      </c>
      <c r="P455" s="57" t="n">
        <v>79</v>
      </c>
      <c r="Q455" s="60" t="n">
        <f aca="false">IF(BR455=1,0,IFERROR(VLOOKUP(BP455,'Gebinde-Kategorie'!$A$5:$M$45,13,0)+0,0))</f>
        <v>132</v>
      </c>
      <c r="R455" s="61"/>
      <c r="S455" s="62"/>
      <c r="T455" s="62"/>
      <c r="U455" s="55"/>
      <c r="V455" s="57"/>
      <c r="W455" s="57"/>
      <c r="X455" s="55" t="n">
        <f aca="false">IF(A455="","",IF(AND(Parameter!$B$21="Ja",ISNUMBER(U455)),U455,IF(IFERROR(VLOOKUP(D455,Parameter!$A$35:$C$64,2,0),"Nein")="2+3",IF(ISNUMBER(SEARCH("grosser Artikel",BM455)),2,IFERROR(VLOOKUP(BP455,Parameter!$F$35:$G$64,2,0),2)),IF(OR(IFERROR(VLOOKUP(D455,Parameter!$A$35:$C$64,2,0),"Nein")="Nein",IFERROR(VLOOKUP(D455,Parameter!$A$35:$C$64,2,0),"Nein")=""),"-",VLOOKUP(D455,Parameter!$A$35:$C$64,2,0)))))</f>
        <v>3</v>
      </c>
      <c r="Y455" s="62"/>
      <c r="Z455" s="63"/>
      <c r="AA455" s="57" t="n">
        <f aca="false">AP455</f>
        <v>79</v>
      </c>
      <c r="AB455" s="57" t="n">
        <f aca="false">MAX(AP455,G455)</f>
        <v>79</v>
      </c>
      <c r="AC455" s="64"/>
      <c r="AD455" s="57" t="n">
        <f aca="false">IF(LEFT(Cockpit!$C$5,1)="A",G455,IF(BW455=1,BX455,IF(LEFT(Cockpit!$C$5,1)="B",AH455,MAX(AH455,G455))))</f>
        <v>61</v>
      </c>
      <c r="AE455" s="57" t="n">
        <f aca="false">IF(BR455=1,0,ROUNDUP(AD455/BQ455,0))</f>
        <v>1</v>
      </c>
      <c r="AF455" s="59" t="n">
        <f aca="false">IF(CD455&gt;0,CD455*MAX(1,AD455/V455),IF(BR455=1,IF(AD455&lt;=0,0,BS455*MAX(1,IF(G455&gt;0,AD455/G455,1))),IF(Q455&gt;0,AE455/Q455,0))/MAX(0.1,N(Parameter!$M$21)))</f>
        <v>0.00757575757575758</v>
      </c>
      <c r="AG455" s="57" t="n">
        <f aca="false">AD455*F455</f>
        <v>63.44</v>
      </c>
      <c r="AH455" s="57" t="n">
        <f aca="false">ROUNDUP(MAX(I455/IF(BV455&gt;0,BV455,MAX(0.1,N(Cockpit!$C$6))),BY455)/BQ455,0)*BQ455</f>
        <v>79</v>
      </c>
      <c r="AI455" s="58" t="n">
        <f aca="false">IF(AF455&gt;0,I455/AF455,-1)</f>
        <v>3960</v>
      </c>
      <c r="AJ455" s="58" t="n">
        <f aca="false">IF(AND(OR(BU455="L1",BU455="L23"),AF455&gt;0),SUMIFS($AF$7:$AF$1576,$BU$7:$BU$1576,BU455,$AI$7:$AI$1576,"&gt;"&amp;AI455)+SUMIFS($AF$7:$AF$1576,$BU$7:$BU$1576,BU455,$AI$7:$AI$1576,AI455,$BO$7:$BO$1576,"&lt;="&amp;BO455),"")</f>
        <v>4.24531569879396</v>
      </c>
      <c r="AK455" s="65" t="n">
        <f aca="false">IF(AJ455="",0,MAX(0,MIN(1,(IF(BU455="L1",Parameter!$E$5,Parameter!$E$6+Parameter!$E$7)-(AJ455-AF455))/AF455)))</f>
        <v>1</v>
      </c>
      <c r="AL455" s="57" t="n">
        <f aca="false">IF(LEFT(Cockpit!$I$5,1)="A",G455,IF(BW455=1,BX455,IF(LEFT(Cockpit!$I$5,1)="B",AP455,MAX(AP455,G455))))</f>
        <v>79</v>
      </c>
      <c r="AM455" s="57" t="n">
        <f aca="false">IF(BR455=1,0,ROUNDUP(AL455/BQ455,0))</f>
        <v>1</v>
      </c>
      <c r="AN455" s="59" t="n">
        <f aca="false">IF(CD455&gt;0,CD455*MAX(1,AL455/V455),IF(BR455=1,IF(AL455&lt;=0,0,BS455*MAX(1,IF(G455&gt;0,AL455/G455,1))),IF(Q455&gt;0,AM455/Q455,0))/MAX(0.1,N(Parameter!$M$21)))</f>
        <v>0.00757575757575758</v>
      </c>
      <c r="AO455" s="57" t="n">
        <f aca="false">AL455*F455</f>
        <v>82.16</v>
      </c>
      <c r="AP455" s="57" t="n">
        <f aca="false">ROUNDUP(MAX(I455/IF(BV455&gt;0,BV455,MAX(0.1,N(Cockpit!$I$6))),BY455)/BQ455,0)*BQ455</f>
        <v>79</v>
      </c>
      <c r="AQ455" s="58" t="n">
        <f aca="false">IF(AN455&gt;0,I455/AN455,-1)</f>
        <v>3960</v>
      </c>
      <c r="AR455" s="58" t="n">
        <f aca="false">IF(AND(OR(BU455="L1",BU455="L23"),AN455&gt;0),SUMIFS($AN$7:$AN$1576,$BU$7:$BU$1576,BU455,$AQ$7:$AQ$1576,"&gt;"&amp;AQ455)+SUMIFS($AN$7:$AN$1576,$BU$7:$BU$1576,BU455,$AQ$7:$AQ$1576,AQ455,$BO$7:$BO$1576,"&lt;="&amp;BO455),"")</f>
        <v>13.0626708320665</v>
      </c>
      <c r="AS455" s="65" t="n">
        <f aca="false">IF(AR455="",0,MAX(0,MIN(1,(IF(BU455="L1",Parameter!$E$5,Parameter!$E$6+Parameter!$E$7)-(AR455-AN455))/AN455)))</f>
        <v>1</v>
      </c>
      <c r="AT455" s="57" t="n">
        <f aca="false">IF(LEFT(Cockpit!$O$5,1)="A",G455,IF(BW455=1,BX455,IF(LEFT(Cockpit!$O$5,1)="B",AX455,MAX(AX455,G455))))</f>
        <v>79</v>
      </c>
      <c r="AU455" s="57" t="n">
        <f aca="false">IF(BR455=1,0,ROUNDUP(AT455/BQ455,0))</f>
        <v>1</v>
      </c>
      <c r="AV455" s="59" t="n">
        <f aca="false">IF(CD455&gt;0,CD455*MAX(1,AT455/V455),IF(BR455=1,IF(AT455&lt;=0,0,BS455*MAX(1,IF(G455&gt;0,AT455/G455,1))),IF(Q455&gt;0,AU455/Q455,0))/MAX(0.1,N(Parameter!$M$21)))</f>
        <v>0.00757575757575758</v>
      </c>
      <c r="AW455" s="57" t="n">
        <f aca="false">AT455*F455</f>
        <v>82.16</v>
      </c>
      <c r="AX455" s="57" t="n">
        <f aca="false">ROUNDUP(MAX(I455/IF(BV455&gt;0,BV455,MAX(0.1,N(Cockpit!$O$6))),BY455)/BQ455,0)*BQ455</f>
        <v>79</v>
      </c>
      <c r="AY455" s="58" t="n">
        <f aca="false">IF(AV455&gt;0,I455/AV455,-1)</f>
        <v>3960</v>
      </c>
      <c r="AZ455" s="58" t="n">
        <f aca="false">IF(AND(OR(BU455="L1",BU455="L23"),AV455&gt;0),SUMIFS($AV$7:$AV$1576,$BU$7:$BU$1576,BU455,$AY$7:$AY$1576,"&gt;"&amp;AY455)+SUMIFS($AV$7:$AV$1576,$BU$7:$BU$1576,BU455,$AY$7:$AY$1576,AY455,$BO$7:$BO$1576,"&lt;="&amp;BO455),"")</f>
        <v>11.783533302929</v>
      </c>
      <c r="BA455" s="65" t="n">
        <f aca="false">IF(AZ455="",0,MAX(0,MIN(1,(IF(BU455="L1",Parameter!$E$5,Parameter!$E$6+Parameter!$E$7)-(AZ455-AV455))/AV455)))</f>
        <v>1</v>
      </c>
      <c r="BB455" s="55" t="str">
        <f aca="false">IF(AF455&lt;=0,"",IF(BU455="Aussen","Aussenlager",IF(BU455="-","Nicht im Lift",IF(AK455&gt;=1,"Lift",IF(AK455&lt;=0,"Aussenlager","teilweise")))))</f>
        <v>Lift</v>
      </c>
      <c r="BC455" s="55" t="str">
        <f aca="false">IF(AN455&lt;=0,"",IF(BU455="Aussen","Aussenlager",IF(BU455="-","Nicht im Lift",IF(AS455&gt;=1,"Lift",IF(AS455&lt;=0,"Aussenlager","teilweise")))))</f>
        <v>Lift</v>
      </c>
      <c r="BD455" s="55" t="str">
        <f aca="false">IF(AV455&lt;=0,"",IF(BU455="Aussen","Aussenlager",IF(BU455="-","Nicht im Lift",IF(BA455&gt;=1,"Lift",IF(BA455&lt;=0,"Aussenlager","teilweise")))))</f>
        <v>Lift</v>
      </c>
      <c r="BE455" s="55" t="str">
        <f aca="false">IF(A455="","",IF(BN455=1,"Neu; ","")&amp;IF(AND(BN455=0,BI455&lt;0),"negativer Bestand (Export "&amp;BI455&amp;"); ","")&amp;IF(I455&lt;=0,"Kein Verbrauch; ","")&amp;IF(CD455&gt;0,"Lift "&amp;U455&amp;" lt. Liftbericht (Fach "&amp;V455&amp;" Stk); ",IF(BR455=1,"Lose – Fläche geschätzt; ",""))&amp;IF(G455&gt;AP455,"Überbestand "&amp;ROUND(G455-AP455,0)&amp;" Stk / CHF "&amp;ROUND((G455-AP455)*F455,0)&amp;"; ","")&amp;IF(AND(BW455=1,BX455&lt;BY455),"MAX &lt; MB+LG; ","")&amp;IF(AND(CC455&gt;0,CB455*10&gt;CC455),"zu hoch für Tablar; ","")&amp;IF(AND(BN455=0,OR(BW455=1,Y455&lt;&gt;"",S455&lt;&gt;"",T455&lt;&gt;"",Z455&lt;&gt;"")),"manuell übersteuert; ","")&amp;IF(AND(BR455=0,Q455=0),"Gebinde unbekannt / Stellmass fehlt; ","")&amp;IF(AND(BR455=0,N(T455)&lt;=0,N(P455)&lt;=0),"Menge pro Gebinde fehlt (Ist = 1 Gebinde); ","")&amp;BM455)</f>
        <v/>
      </c>
      <c r="BF455" s="55"/>
      <c r="BG455" s="55"/>
      <c r="BH455" s="62"/>
      <c r="BI455" s="57" t="n">
        <v>61</v>
      </c>
      <c r="BJ455" s="57" t="n">
        <v>36</v>
      </c>
      <c r="BK455" s="56" t="n">
        <v>63.08</v>
      </c>
      <c r="BL455" s="57" t="n">
        <v>30</v>
      </c>
      <c r="BM455" s="55"/>
      <c r="BN455" s="60" t="n">
        <v>0</v>
      </c>
      <c r="BO455" s="60" t="n">
        <v>455</v>
      </c>
      <c r="BP455" s="55" t="str">
        <f aca="false">IF(S455&lt;&gt;"",UPPER(TRIM(S455)),IF(O455="","LOSE",O455))</f>
        <v>S32</v>
      </c>
      <c r="BQ455" s="57" t="n">
        <f aca="false">IF(BP455="LOSE",1,IF(N(T455)&gt;0,T455,IF(N(P455)&gt;0,P455,MAX(1,G455))))</f>
        <v>79</v>
      </c>
      <c r="BR455" s="60" t="n">
        <f aca="false">IF(BP455="LOSE",1,0)</f>
        <v>0</v>
      </c>
      <c r="BS455" s="59" t="n">
        <f aca="false">IF(BR455=0,0,IF(N(R455)&gt;0,R455,IFERROR(VLOOKUP(D455,Parameter!$A$35:$C$64,3,0)+0,0)))</f>
        <v>0</v>
      </c>
      <c r="BT455" s="55" t="n">
        <f aca="false">IF(Y455&lt;&gt;"",Y455,X455)</f>
        <v>3</v>
      </c>
      <c r="BU455" s="55" t="str">
        <f aca="false">IF(BT455=1,"L1",IF(OR(BT455=2,BT455=3),"L23",IF(BT455="Aussen","Aussen","-")))</f>
        <v>L23</v>
      </c>
      <c r="BV455" s="66" t="n">
        <f aca="false">IF(N(Z455)&gt;0,Z455,0)</f>
        <v>0</v>
      </c>
      <c r="BW455" s="60" t="n">
        <f aca="false">IF(ISNUMBER(AC455),1,0)</f>
        <v>0</v>
      </c>
      <c r="BX455" s="57" t="n">
        <f aca="false">N(AC455)</f>
        <v>0</v>
      </c>
      <c r="BY455" s="57" t="n">
        <f aca="false">N(L455)+N(M455)</f>
        <v>51</v>
      </c>
      <c r="BZ455" s="57" t="n">
        <f aca="false">ROUNDUP(G455/BQ455,0)</f>
        <v>1</v>
      </c>
      <c r="CA455" s="57" t="n">
        <f aca="false">ROUNDUP(BX455/BQ455,0)</f>
        <v>0</v>
      </c>
      <c r="CB455" s="60" t="n">
        <f aca="false">IF(BR455=1,0,IFERROR(VLOOKUP(BP455,'Gebinde-Kategorie'!$A$5:$M$45,5,0)+0,0))</f>
        <v>8</v>
      </c>
      <c r="CC455" s="60" t="n">
        <f aca="false">IFERROR(IF(OR(BT455=1,BT455=2,BT455=3),N(INDEX(Parameter!$I$5:$I$7,BT455)),0),0)</f>
        <v>0</v>
      </c>
      <c r="CD455" s="59" t="n">
        <f aca="false">IF(AND(Parameter!$B$21="Ja",ISNUMBER(U455),N(V455)&gt;0),IFERROR(N(INDEX(Parameter!$L$5:$L$7,U455))*INDEX(Parameter!$E$5:$E$7,U455)*V455/SUMIFS($V$7:$V$1576,$U$7:$U$1576,U455),0),0)</f>
        <v>0</v>
      </c>
    </row>
    <row r="456" customFormat="false" ht="15" hidden="false" customHeight="false" outlineLevel="0" collapsed="false">
      <c r="A456" s="55" t="s">
        <v>1017</v>
      </c>
      <c r="B456" s="55" t="s">
        <v>1018</v>
      </c>
      <c r="C456" s="55" t="s">
        <v>160</v>
      </c>
      <c r="D456" s="55" t="s">
        <v>178</v>
      </c>
      <c r="E456" s="55" t="s">
        <v>210</v>
      </c>
      <c r="F456" s="56" t="n">
        <v>53.1</v>
      </c>
      <c r="G456" s="57" t="n">
        <f aca="false">MAX(0,IF(AND(Parameter!$B$21="Ja",ISNUMBER(W456)),W456,IF(Parameter!$B$20="Jahresanfang 2025 + Export",BJ456+BI456,BI456)))</f>
        <v>0</v>
      </c>
      <c r="H456" s="57" t="n">
        <f aca="false">G456*F456</f>
        <v>0</v>
      </c>
      <c r="I456" s="57" t="n">
        <f aca="false">BL456*Parameter!$B$18</f>
        <v>1</v>
      </c>
      <c r="J456" s="58" t="n">
        <v>20</v>
      </c>
      <c r="K456" s="59" t="n">
        <v>0.05</v>
      </c>
      <c r="L456" s="57" t="n">
        <v>0</v>
      </c>
      <c r="M456" s="57" t="n">
        <v>1</v>
      </c>
      <c r="N456" s="60" t="n">
        <v>21</v>
      </c>
      <c r="O456" s="55" t="s">
        <v>391</v>
      </c>
      <c r="P456" s="57" t="n">
        <v>100</v>
      </c>
      <c r="Q456" s="60" t="n">
        <f aca="false">IF(BR456=1,0,IFERROR(VLOOKUP(BP456,'Gebinde-Kategorie'!$A$5:$M$45,13,0)+0,0))</f>
        <v>414</v>
      </c>
      <c r="R456" s="61"/>
      <c r="S456" s="62"/>
      <c r="T456" s="62"/>
      <c r="U456" s="55"/>
      <c r="V456" s="57"/>
      <c r="W456" s="57"/>
      <c r="X456" s="55" t="n">
        <f aca="false">IF(A456="","",IF(AND(Parameter!$B$21="Ja",ISNUMBER(U456)),U456,IF(IFERROR(VLOOKUP(D456,Parameter!$A$35:$C$64,2,0),"Nein")="2+3",IF(ISNUMBER(SEARCH("grosser Artikel",BM456)),2,IFERROR(VLOOKUP(BP456,Parameter!$F$35:$G$64,2,0),2)),IF(OR(IFERROR(VLOOKUP(D456,Parameter!$A$35:$C$64,2,0),"Nein")="Nein",IFERROR(VLOOKUP(D456,Parameter!$A$35:$C$64,2,0),"Nein")=""),"-",VLOOKUP(D456,Parameter!$A$35:$C$64,2,0)))))</f>
        <v>3</v>
      </c>
      <c r="Y456" s="62"/>
      <c r="Z456" s="63"/>
      <c r="AA456" s="57" t="n">
        <f aca="false">AP456</f>
        <v>100</v>
      </c>
      <c r="AB456" s="57" t="n">
        <f aca="false">MAX(AP456,G456)</f>
        <v>100</v>
      </c>
      <c r="AC456" s="64"/>
      <c r="AD456" s="57" t="n">
        <f aca="false">IF(LEFT(Cockpit!$C$5,1)="A",G456,IF(BW456=1,BX456,IF(LEFT(Cockpit!$C$5,1)="B",AH456,MAX(AH456,G456))))</f>
        <v>0</v>
      </c>
      <c r="AE456" s="57" t="n">
        <f aca="false">IF(BR456=1,0,ROUNDUP(AD456/BQ456,0))</f>
        <v>0</v>
      </c>
      <c r="AF456" s="59" t="n">
        <f aca="false">IF(CD456&gt;0,CD456*MAX(1,AD456/V456),IF(BR456=1,IF(AD456&lt;=0,0,BS456*MAX(1,IF(G456&gt;0,AD456/G456,1))),IF(Q456&gt;0,AE456/Q456,0))/MAX(0.1,N(Parameter!$M$21)))</f>
        <v>0</v>
      </c>
      <c r="AG456" s="57" t="n">
        <f aca="false">AD456*F456</f>
        <v>0</v>
      </c>
      <c r="AH456" s="57" t="n">
        <f aca="false">ROUNDUP(MAX(I456/IF(BV456&gt;0,BV456,MAX(0.1,N(Cockpit!$C$6))),BY456)/BQ456,0)*BQ456</f>
        <v>100</v>
      </c>
      <c r="AI456" s="58" t="n">
        <f aca="false">IF(AF456&gt;0,I456/AF456,-1)</f>
        <v>-1</v>
      </c>
      <c r="AJ456" s="58" t="str">
        <f aca="false">IF(AND(OR(BU456="L1",BU456="L23"),AF456&gt;0),SUMIFS($AF$7:$AF$1576,$BU$7:$BU$1576,BU456,$AI$7:$AI$1576,"&gt;"&amp;AI456)+SUMIFS($AF$7:$AF$1576,$BU$7:$BU$1576,BU456,$AI$7:$AI$1576,AI456,$BO$7:$BO$1576,"&lt;="&amp;BO456),"")</f>
        <v/>
      </c>
      <c r="AK456" s="65" t="n">
        <f aca="false">IF(AJ456="",0,MAX(0,MIN(1,(IF(BU456="L1",Parameter!$E$5,Parameter!$E$6+Parameter!$E$7)-(AJ456-AF456))/AF456)))</f>
        <v>0</v>
      </c>
      <c r="AL456" s="57" t="n">
        <f aca="false">IF(LEFT(Cockpit!$I$5,1)="A",G456,IF(BW456=1,BX456,IF(LEFT(Cockpit!$I$5,1)="B",AP456,MAX(AP456,G456))))</f>
        <v>100</v>
      </c>
      <c r="AM456" s="57" t="n">
        <f aca="false">IF(BR456=1,0,ROUNDUP(AL456/BQ456,0))</f>
        <v>1</v>
      </c>
      <c r="AN456" s="59" t="n">
        <f aca="false">IF(CD456&gt;0,CD456*MAX(1,AL456/V456),IF(BR456=1,IF(AL456&lt;=0,0,BS456*MAX(1,IF(G456&gt;0,AL456/G456,1))),IF(Q456&gt;0,AM456/Q456,0))/MAX(0.1,N(Parameter!$M$21)))</f>
        <v>0.00241545893719807</v>
      </c>
      <c r="AO456" s="57" t="n">
        <f aca="false">AL456*F456</f>
        <v>5310</v>
      </c>
      <c r="AP456" s="57" t="n">
        <f aca="false">ROUNDUP(MAX(I456/IF(BV456&gt;0,BV456,MAX(0.1,N(Cockpit!$I$6))),BY456)/BQ456,0)*BQ456</f>
        <v>100</v>
      </c>
      <c r="AQ456" s="58" t="n">
        <f aca="false">IF(AN456&gt;0,I456/AN456,-1)</f>
        <v>414</v>
      </c>
      <c r="AR456" s="58" t="n">
        <f aca="false">IF(AND(OR(BU456="L1",BU456="L23"),AN456&gt;0),SUMIFS($AN$7:$AN$1576,$BU$7:$BU$1576,BU456,$AQ$7:$AQ$1576,"&gt;"&amp;AQ456)+SUMIFS($AN$7:$AN$1576,$BU$7:$BU$1576,BU456,$AQ$7:$AQ$1576,AQ456,$BO$7:$BO$1576,"&lt;="&amp;BO456),"")</f>
        <v>36.4294674531743</v>
      </c>
      <c r="AS456" s="65" t="n">
        <f aca="false">IF(AR456="",0,MAX(0,MIN(1,(IF(BU456="L1",Parameter!$E$5,Parameter!$E$6+Parameter!$E$7)-(AR456-AN456))/AN456)))</f>
        <v>1</v>
      </c>
      <c r="AT456" s="57" t="n">
        <f aca="false">IF(LEFT(Cockpit!$O$5,1)="A",G456,IF(BW456=1,BX456,IF(LEFT(Cockpit!$O$5,1)="B",AX456,MAX(AX456,G456))))</f>
        <v>100</v>
      </c>
      <c r="AU456" s="57" t="n">
        <f aca="false">IF(BR456=1,0,ROUNDUP(AT456/BQ456,0))</f>
        <v>1</v>
      </c>
      <c r="AV456" s="59" t="n">
        <f aca="false">IF(CD456&gt;0,CD456*MAX(1,AT456/V456),IF(BR456=1,IF(AT456&lt;=0,0,BS456*MAX(1,IF(G456&gt;0,AT456/G456,1))),IF(Q456&gt;0,AU456/Q456,0))/MAX(0.1,N(Parameter!$M$21)))</f>
        <v>0.00241545893719807</v>
      </c>
      <c r="AW456" s="57" t="n">
        <f aca="false">AT456*F456</f>
        <v>5310</v>
      </c>
      <c r="AX456" s="57" t="n">
        <f aca="false">ROUNDUP(MAX(I456/IF(BV456&gt;0,BV456,MAX(0.1,N(Cockpit!$O$6))),BY456)/BQ456,0)*BQ456</f>
        <v>100</v>
      </c>
      <c r="AY456" s="58" t="n">
        <f aca="false">IF(AV456&gt;0,I456/AV456,-1)</f>
        <v>414</v>
      </c>
      <c r="AZ456" s="58" t="n">
        <f aca="false">IF(AND(OR(BU456="L1",BU456="L23"),AV456&gt;0),SUMIFS($AV$7:$AV$1576,$BU$7:$BU$1576,BU456,$AY$7:$AY$1576,"&gt;"&amp;AY456)+SUMIFS($AV$7:$AV$1576,$BU$7:$BU$1576,BU456,$AY$7:$AY$1576,AY456,$BO$7:$BO$1576,"&lt;="&amp;BO456),"")</f>
        <v>35.5942127079195</v>
      </c>
      <c r="BA456" s="65" t="n">
        <f aca="false">IF(AZ456="",0,MAX(0,MIN(1,(IF(BU456="L1",Parameter!$E$5,Parameter!$E$6+Parameter!$E$7)-(AZ456-AV456))/AV456)))</f>
        <v>1</v>
      </c>
      <c r="BB456" s="55" t="str">
        <f aca="false">IF(AF456&lt;=0,"",IF(BU456="Aussen","Aussenlager",IF(BU456="-","Nicht im Lift",IF(AK456&gt;=1,"Lift",IF(AK456&lt;=0,"Aussenlager","teilweise")))))</f>
        <v/>
      </c>
      <c r="BC456" s="55" t="str">
        <f aca="false">IF(AN456&lt;=0,"",IF(BU456="Aussen","Aussenlager",IF(BU456="-","Nicht im Lift",IF(AS456&gt;=1,"Lift",IF(AS456&lt;=0,"Aussenlager","teilweise")))))</f>
        <v>Lift</v>
      </c>
      <c r="BD456" s="55" t="str">
        <f aca="false">IF(AV456&lt;=0,"",IF(BU456="Aussen","Aussenlager",IF(BU456="-","Nicht im Lift",IF(BA456&gt;=1,"Lift",IF(BA456&lt;=0,"Aussenlager","teilweise")))))</f>
        <v>Lift</v>
      </c>
      <c r="BE456" s="55" t="str">
        <f aca="false">IF(A456="","",IF(BN456=1,"Neu; ","")&amp;IF(AND(BN456=0,BI456&lt;0),"negativer Bestand (Export "&amp;BI456&amp;"); ","")&amp;IF(I456&lt;=0,"Kein Verbrauch; ","")&amp;IF(CD456&gt;0,"Lift "&amp;U456&amp;" lt. Liftbericht (Fach "&amp;V456&amp;" Stk); ",IF(BR456=1,"Lose – Fläche geschätzt; ",""))&amp;IF(G456&gt;AP456,"Überbestand "&amp;ROUND(G456-AP456,0)&amp;" Stk / CHF "&amp;ROUND((G456-AP456)*F456,0)&amp;"; ","")&amp;IF(AND(BW456=1,BX456&lt;BY456),"MAX &lt; MB+LG; ","")&amp;IF(AND(CC456&gt;0,CB456*10&gt;CC456),"zu hoch für Tablar; ","")&amp;IF(AND(BN456=0,OR(BW456=1,Y456&lt;&gt;"",S456&lt;&gt;"",T456&lt;&gt;"",Z456&lt;&gt;"")),"manuell übersteuert; ","")&amp;IF(AND(BR456=0,Q456=0),"Gebinde unbekannt / Stellmass fehlt; ","")&amp;IF(AND(BR456=0,N(T456)&lt;=0,N(P456)&lt;=0),"Menge pro Gebinde fehlt (Ist = 1 Gebinde); ","")&amp;BM456)</f>
        <v>Verb.Lager</v>
      </c>
      <c r="BF456" s="55"/>
      <c r="BG456" s="55"/>
      <c r="BH456" s="62"/>
      <c r="BI456" s="57" t="n">
        <v>0</v>
      </c>
      <c r="BJ456" s="57" t="n">
        <v>20</v>
      </c>
      <c r="BK456" s="56" t="n">
        <v>61</v>
      </c>
      <c r="BL456" s="57" t="n">
        <v>1</v>
      </c>
      <c r="BM456" s="55" t="s">
        <v>1019</v>
      </c>
      <c r="BN456" s="60" t="n">
        <v>0</v>
      </c>
      <c r="BO456" s="60" t="n">
        <v>456</v>
      </c>
      <c r="BP456" s="55" t="str">
        <f aca="false">IF(S456&lt;&gt;"",UPPER(TRIM(S456)),IF(O456="","LOSE",O456))</f>
        <v>S21</v>
      </c>
      <c r="BQ456" s="57" t="n">
        <f aca="false">IF(BP456="LOSE",1,IF(N(T456)&gt;0,T456,IF(N(P456)&gt;0,P456,MAX(1,G456))))</f>
        <v>100</v>
      </c>
      <c r="BR456" s="60" t="n">
        <f aca="false">IF(BP456="LOSE",1,0)</f>
        <v>0</v>
      </c>
      <c r="BS456" s="59" t="n">
        <f aca="false">IF(BR456=0,0,IF(N(R456)&gt;0,R456,IFERROR(VLOOKUP(D456,Parameter!$A$35:$C$64,3,0)+0,0)))</f>
        <v>0</v>
      </c>
      <c r="BT456" s="55" t="n">
        <f aca="false">IF(Y456&lt;&gt;"",Y456,X456)</f>
        <v>3</v>
      </c>
      <c r="BU456" s="55" t="str">
        <f aca="false">IF(BT456=1,"L1",IF(OR(BT456=2,BT456=3),"L23",IF(BT456="Aussen","Aussen","-")))</f>
        <v>L23</v>
      </c>
      <c r="BV456" s="66" t="n">
        <f aca="false">IF(N(Z456)&gt;0,Z456,0)</f>
        <v>0</v>
      </c>
      <c r="BW456" s="60" t="n">
        <f aca="false">IF(ISNUMBER(AC456),1,0)</f>
        <v>0</v>
      </c>
      <c r="BX456" s="57" t="n">
        <f aca="false">N(AC456)</f>
        <v>0</v>
      </c>
      <c r="BY456" s="57" t="n">
        <f aca="false">N(L456)+N(M456)</f>
        <v>1</v>
      </c>
      <c r="BZ456" s="57" t="n">
        <f aca="false">ROUNDUP(G456/BQ456,0)</f>
        <v>0</v>
      </c>
      <c r="CA456" s="57" t="n">
        <f aca="false">ROUNDUP(BX456/BQ456,0)</f>
        <v>0</v>
      </c>
      <c r="CB456" s="60" t="n">
        <f aca="false">IF(BR456=1,0,IFERROR(VLOOKUP(BP456,'Gebinde-Kategorie'!$A$5:$M$45,5,0)+0,0))</f>
        <v>8</v>
      </c>
      <c r="CC456" s="60" t="n">
        <f aca="false">IFERROR(IF(OR(BT456=1,BT456=2,BT456=3),N(INDEX(Parameter!$I$5:$I$7,BT456)),0),0)</f>
        <v>0</v>
      </c>
      <c r="CD456" s="59" t="n">
        <f aca="false">IF(AND(Parameter!$B$21="Ja",ISNUMBER(U456),N(V456)&gt;0),IFERROR(N(INDEX(Parameter!$L$5:$L$7,U456))*INDEX(Parameter!$E$5:$E$7,U456)*V456/SUMIFS($V$7:$V$1576,$U$7:$U$1576,U456),0),0)</f>
        <v>0</v>
      </c>
    </row>
    <row r="457" customFormat="false" ht="15" hidden="false" customHeight="false" outlineLevel="0" collapsed="false">
      <c r="A457" s="55" t="s">
        <v>1020</v>
      </c>
      <c r="B457" s="55" t="s">
        <v>1021</v>
      </c>
      <c r="C457" s="55" t="s">
        <v>160</v>
      </c>
      <c r="D457" s="55" t="s">
        <v>178</v>
      </c>
      <c r="E457" s="55" t="s">
        <v>210</v>
      </c>
      <c r="F457" s="56" t="n">
        <v>24.9</v>
      </c>
      <c r="G457" s="57" t="n">
        <f aca="false">MAX(0,IF(AND(Parameter!$B$21="Ja",ISNUMBER(W457)),W457,IF(Parameter!$B$20="Jahresanfang 2025 + Export",BJ457+BI457,BI457)))</f>
        <v>2</v>
      </c>
      <c r="H457" s="57" t="n">
        <f aca="false">G457*F457</f>
        <v>49.8</v>
      </c>
      <c r="I457" s="57" t="n">
        <f aca="false">BL457*Parameter!$B$18</f>
        <v>1</v>
      </c>
      <c r="J457" s="58" t="n">
        <v>3</v>
      </c>
      <c r="K457" s="59" t="n">
        <v>0.333333333333333</v>
      </c>
      <c r="L457" s="57" t="n">
        <v>2</v>
      </c>
      <c r="M457" s="57" t="n">
        <v>1</v>
      </c>
      <c r="N457" s="60" t="n">
        <v>28</v>
      </c>
      <c r="O457" s="55" t="s">
        <v>293</v>
      </c>
      <c r="P457" s="57" t="n">
        <v>4</v>
      </c>
      <c r="Q457" s="60" t="n">
        <f aca="false">IF(BR457=1,0,IFERROR(VLOOKUP(BP457,'Gebinde-Kategorie'!$A$5:$M$45,13,0)+0,0))</f>
        <v>26</v>
      </c>
      <c r="R457" s="61"/>
      <c r="S457" s="62"/>
      <c r="T457" s="62"/>
      <c r="U457" s="55"/>
      <c r="V457" s="57"/>
      <c r="W457" s="57"/>
      <c r="X457" s="55" t="n">
        <f aca="false">IF(A457="","",IF(AND(Parameter!$B$21="Ja",ISNUMBER(U457)),U457,IF(IFERROR(VLOOKUP(D457,Parameter!$A$35:$C$64,2,0),"Nein")="2+3",IF(ISNUMBER(SEARCH("grosser Artikel",BM457)),2,IFERROR(VLOOKUP(BP457,Parameter!$F$35:$G$64,2,0),2)),IF(OR(IFERROR(VLOOKUP(D457,Parameter!$A$35:$C$64,2,0),"Nein")="Nein",IFERROR(VLOOKUP(D457,Parameter!$A$35:$C$64,2,0),"Nein")=""),"-",VLOOKUP(D457,Parameter!$A$35:$C$64,2,0)))))</f>
        <v>3</v>
      </c>
      <c r="Y457" s="62"/>
      <c r="Z457" s="63"/>
      <c r="AA457" s="57" t="n">
        <f aca="false">AP457</f>
        <v>4</v>
      </c>
      <c r="AB457" s="57" t="n">
        <f aca="false">MAX(AP457,G457)</f>
        <v>4</v>
      </c>
      <c r="AC457" s="64"/>
      <c r="AD457" s="57" t="n">
        <f aca="false">IF(LEFT(Cockpit!$C$5,1)="A",G457,IF(BW457=1,BX457,IF(LEFT(Cockpit!$C$5,1)="B",AH457,MAX(AH457,G457))))</f>
        <v>2</v>
      </c>
      <c r="AE457" s="57" t="n">
        <f aca="false">IF(BR457=1,0,ROUNDUP(AD457/BQ457,0))</f>
        <v>1</v>
      </c>
      <c r="AF457" s="59" t="n">
        <f aca="false">IF(CD457&gt;0,CD457*MAX(1,AD457/V457),IF(BR457=1,IF(AD457&lt;=0,0,BS457*MAX(1,IF(G457&gt;0,AD457/G457,1))),IF(Q457&gt;0,AE457/Q457,0))/MAX(0.1,N(Parameter!$M$21)))</f>
        <v>0.0384615384615385</v>
      </c>
      <c r="AG457" s="57" t="n">
        <f aca="false">AD457*F457</f>
        <v>49.8</v>
      </c>
      <c r="AH457" s="57" t="n">
        <f aca="false">ROUNDUP(MAX(I457/IF(BV457&gt;0,BV457,MAX(0.1,N(Cockpit!$C$6))),BY457)/BQ457,0)*BQ457</f>
        <v>4</v>
      </c>
      <c r="AI457" s="58" t="n">
        <f aca="false">IF(AF457&gt;0,I457/AF457,-1)</f>
        <v>26</v>
      </c>
      <c r="AJ457" s="58" t="n">
        <f aca="false">IF(AND(OR(BU457="L1",BU457="L23"),AF457&gt;0),SUMIFS($AF$7:$AF$1576,$BU$7:$BU$1576,BU457,$AI$7:$AI$1576,"&gt;"&amp;AI457)+SUMIFS($AF$7:$AF$1576,$BU$7:$BU$1576,BU457,$AI$7:$AI$1576,AI457,$BO$7:$BO$1576,"&lt;="&amp;BO457),"")</f>
        <v>28.3389919259485</v>
      </c>
      <c r="AK457" s="65" t="n">
        <f aca="false">IF(AJ457="",0,MAX(0,MIN(1,(IF(BU457="L1",Parameter!$E$5,Parameter!$E$6+Parameter!$E$7)-(AJ457-AF457))/AF457)))</f>
        <v>1</v>
      </c>
      <c r="AL457" s="57" t="n">
        <f aca="false">IF(LEFT(Cockpit!$I$5,1)="A",G457,IF(BW457=1,BX457,IF(LEFT(Cockpit!$I$5,1)="B",AP457,MAX(AP457,G457))))</f>
        <v>4</v>
      </c>
      <c r="AM457" s="57" t="n">
        <f aca="false">IF(BR457=1,0,ROUNDUP(AL457/BQ457,0))</f>
        <v>1</v>
      </c>
      <c r="AN457" s="59" t="n">
        <f aca="false">IF(CD457&gt;0,CD457*MAX(1,AL457/V457),IF(BR457=1,IF(AL457&lt;=0,0,BS457*MAX(1,IF(G457&gt;0,AL457/G457,1))),IF(Q457&gt;0,AM457/Q457,0))/MAX(0.1,N(Parameter!$M$21)))</f>
        <v>0.0384615384615385</v>
      </c>
      <c r="AO457" s="57" t="n">
        <f aca="false">AL457*F457</f>
        <v>99.6</v>
      </c>
      <c r="AP457" s="57" t="n">
        <f aca="false">ROUNDUP(MAX(I457/IF(BV457&gt;0,BV457,MAX(0.1,N(Cockpit!$I$6))),BY457)/BQ457,0)*BQ457</f>
        <v>4</v>
      </c>
      <c r="AQ457" s="58" t="n">
        <f aca="false">IF(AN457&gt;0,I457/AN457,-1)</f>
        <v>26</v>
      </c>
      <c r="AR457" s="58" t="n">
        <f aca="false">IF(AND(OR(BU457="L1",BU457="L23"),AN457&gt;0),SUMIFS($AN$7:$AN$1576,$BU$7:$BU$1576,BU457,$AQ$7:$AQ$1576,"&gt;"&amp;AQ457)+SUMIFS($AN$7:$AN$1576,$BU$7:$BU$1576,BU457,$AQ$7:$AQ$1576,AQ457,$BO$7:$BO$1576,"&lt;="&amp;BO457),"")</f>
        <v>97.0078192040804</v>
      </c>
      <c r="AS457" s="65" t="n">
        <f aca="false">IF(AR457="",0,MAX(0,MIN(1,(IF(BU457="L1",Parameter!$E$5,Parameter!$E$6+Parameter!$E$7)-(AR457-AN457))/AN457)))</f>
        <v>1</v>
      </c>
      <c r="AT457" s="57" t="n">
        <f aca="false">IF(LEFT(Cockpit!$O$5,1)="A",G457,IF(BW457=1,BX457,IF(LEFT(Cockpit!$O$5,1)="B",AX457,MAX(AX457,G457))))</f>
        <v>4</v>
      </c>
      <c r="AU457" s="57" t="n">
        <f aca="false">IF(BR457=1,0,ROUNDUP(AT457/BQ457,0))</f>
        <v>1</v>
      </c>
      <c r="AV457" s="59" t="n">
        <f aca="false">IF(CD457&gt;0,CD457*MAX(1,AT457/V457),IF(BR457=1,IF(AT457&lt;=0,0,BS457*MAX(1,IF(G457&gt;0,AT457/G457,1))),IF(Q457&gt;0,AU457/Q457,0))/MAX(0.1,N(Parameter!$M$21)))</f>
        <v>0.0384615384615385</v>
      </c>
      <c r="AW457" s="57" t="n">
        <f aca="false">AT457*F457</f>
        <v>99.6</v>
      </c>
      <c r="AX457" s="57" t="n">
        <f aca="false">ROUNDUP(MAX(I457/IF(BV457&gt;0,BV457,MAX(0.1,N(Cockpit!$O$6))),BY457)/BQ457,0)*BQ457</f>
        <v>4</v>
      </c>
      <c r="AY457" s="58" t="n">
        <f aca="false">IF(AV457&gt;0,I457/AV457,-1)</f>
        <v>26</v>
      </c>
      <c r="AZ457" s="58" t="n">
        <f aca="false">IF(AND(OR(BU457="L1",BU457="L23"),AV457&gt;0),SUMIFS($AV$7:$AV$1576,$BU$7:$BU$1576,BU457,$AY$7:$AY$1576,"&gt;"&amp;AY457)+SUMIFS($AV$7:$AV$1576,$BU$7:$BU$1576,BU457,$AY$7:$AY$1576,AY457,$BO$7:$BO$1576,"&lt;="&amp;BO457),"")</f>
        <v>87.8173696536308</v>
      </c>
      <c r="BA457" s="65" t="n">
        <f aca="false">IF(AZ457="",0,MAX(0,MIN(1,(IF(BU457="L1",Parameter!$E$5,Parameter!$E$6+Parameter!$E$7)-(AZ457-AV457))/AV457)))</f>
        <v>1</v>
      </c>
      <c r="BB457" s="55" t="str">
        <f aca="false">IF(AF457&lt;=0,"",IF(BU457="Aussen","Aussenlager",IF(BU457="-","Nicht im Lift",IF(AK457&gt;=1,"Lift",IF(AK457&lt;=0,"Aussenlager","teilweise")))))</f>
        <v>Lift</v>
      </c>
      <c r="BC457" s="55" t="str">
        <f aca="false">IF(AN457&lt;=0,"",IF(BU457="Aussen","Aussenlager",IF(BU457="-","Nicht im Lift",IF(AS457&gt;=1,"Lift",IF(AS457&lt;=0,"Aussenlager","teilweise")))))</f>
        <v>Lift</v>
      </c>
      <c r="BD457" s="55" t="str">
        <f aca="false">IF(AV457&lt;=0,"",IF(BU457="Aussen","Aussenlager",IF(BU457="-","Nicht im Lift",IF(BA457&gt;=1,"Lift",IF(BA457&lt;=0,"Aussenlager","teilweise")))))</f>
        <v>Lift</v>
      </c>
      <c r="BE457" s="55" t="str">
        <f aca="false">IF(A457="","",IF(BN457=1,"Neu; ","")&amp;IF(AND(BN457=0,BI457&lt;0),"negativer Bestand (Export "&amp;BI457&amp;"); ","")&amp;IF(I457&lt;=0,"Kein Verbrauch; ","")&amp;IF(CD457&gt;0,"Lift "&amp;U457&amp;" lt. Liftbericht (Fach "&amp;V457&amp;" Stk); ",IF(BR457=1,"Lose – Fläche geschätzt; ",""))&amp;IF(G457&gt;AP457,"Überbestand "&amp;ROUND(G457-AP457,0)&amp;" Stk / CHF "&amp;ROUND((G457-AP457)*F457,0)&amp;"; ","")&amp;IF(AND(BW457=1,BX457&lt;BY457),"MAX &lt; MB+LG; ","")&amp;IF(AND(CC457&gt;0,CB457*10&gt;CC457),"zu hoch für Tablar; ","")&amp;IF(AND(BN457=0,OR(BW457=1,Y457&lt;&gt;"",S457&lt;&gt;"",T457&lt;&gt;"",Z457&lt;&gt;"")),"manuell übersteuert; ","")&amp;IF(AND(BR457=0,Q457=0),"Gebinde unbekannt / Stellmass fehlt; ","")&amp;IF(AND(BR457=0,N(T457)&lt;=0,N(P457)&lt;=0),"Menge pro Gebinde fehlt (Ist = 1 Gebinde); ","")&amp;BM457)</f>
        <v>Neu</v>
      </c>
      <c r="BF457" s="55"/>
      <c r="BG457" s="55"/>
      <c r="BH457" s="62"/>
      <c r="BI457" s="57" t="n">
        <v>2</v>
      </c>
      <c r="BJ457" s="57" t="n">
        <v>3</v>
      </c>
      <c r="BK457" s="56" t="n">
        <v>60.29</v>
      </c>
      <c r="BL457" s="57" t="n">
        <v>1</v>
      </c>
      <c r="BM457" s="55" t="s">
        <v>615</v>
      </c>
      <c r="BN457" s="60" t="n">
        <v>0</v>
      </c>
      <c r="BO457" s="60" t="n">
        <v>457</v>
      </c>
      <c r="BP457" s="55" t="str">
        <f aca="false">IF(S457&lt;&gt;"",UPPER(TRIM(S457)),IF(O457="","LOSE",O457))</f>
        <v>S51</v>
      </c>
      <c r="BQ457" s="57" t="n">
        <f aca="false">IF(BP457="LOSE",1,IF(N(T457)&gt;0,T457,IF(N(P457)&gt;0,P457,MAX(1,G457))))</f>
        <v>4</v>
      </c>
      <c r="BR457" s="60" t="n">
        <f aca="false">IF(BP457="LOSE",1,0)</f>
        <v>0</v>
      </c>
      <c r="BS457" s="59" t="n">
        <f aca="false">IF(BR457=0,0,IF(N(R457)&gt;0,R457,IFERROR(VLOOKUP(D457,Parameter!$A$35:$C$64,3,0)+0,0)))</f>
        <v>0</v>
      </c>
      <c r="BT457" s="55" t="n">
        <f aca="false">IF(Y457&lt;&gt;"",Y457,X457)</f>
        <v>3</v>
      </c>
      <c r="BU457" s="55" t="str">
        <f aca="false">IF(BT457=1,"L1",IF(OR(BT457=2,BT457=3),"L23",IF(BT457="Aussen","Aussen","-")))</f>
        <v>L23</v>
      </c>
      <c r="BV457" s="66" t="n">
        <f aca="false">IF(N(Z457)&gt;0,Z457,0)</f>
        <v>0</v>
      </c>
      <c r="BW457" s="60" t="n">
        <f aca="false">IF(ISNUMBER(AC457),1,0)</f>
        <v>0</v>
      </c>
      <c r="BX457" s="57" t="n">
        <f aca="false">N(AC457)</f>
        <v>0</v>
      </c>
      <c r="BY457" s="57" t="n">
        <f aca="false">N(L457)+N(M457)</f>
        <v>3</v>
      </c>
      <c r="BZ457" s="57" t="n">
        <f aca="false">ROUNDUP(G457/BQ457,0)</f>
        <v>1</v>
      </c>
      <c r="CA457" s="57" t="n">
        <f aca="false">ROUNDUP(BX457/BQ457,0)</f>
        <v>0</v>
      </c>
      <c r="CB457" s="60" t="n">
        <f aca="false">IF(BR457=1,0,IFERROR(VLOOKUP(BP457,'Gebinde-Kategorie'!$A$5:$M$45,5,0)+0,0))</f>
        <v>11</v>
      </c>
      <c r="CC457" s="60" t="n">
        <f aca="false">IFERROR(IF(OR(BT457=1,BT457=2,BT457=3),N(INDEX(Parameter!$I$5:$I$7,BT457)),0),0)</f>
        <v>0</v>
      </c>
      <c r="CD457" s="59" t="n">
        <f aca="false">IF(AND(Parameter!$B$21="Ja",ISNUMBER(U457),N(V457)&gt;0),IFERROR(N(INDEX(Parameter!$L$5:$L$7,U457))*INDEX(Parameter!$E$5:$E$7,U457)*V457/SUMIFS($V$7:$V$1576,$U$7:$U$1576,U457),0),0)</f>
        <v>0</v>
      </c>
    </row>
    <row r="458" customFormat="false" ht="15" hidden="false" customHeight="false" outlineLevel="0" collapsed="false">
      <c r="A458" s="55" t="s">
        <v>1022</v>
      </c>
      <c r="B458" s="55" t="s">
        <v>1023</v>
      </c>
      <c r="C458" s="55" t="s">
        <v>160</v>
      </c>
      <c r="D458" s="55" t="s">
        <v>178</v>
      </c>
      <c r="E458" s="55" t="s">
        <v>210</v>
      </c>
      <c r="F458" s="56" t="n">
        <v>29.6</v>
      </c>
      <c r="G458" s="57" t="n">
        <f aca="false">MAX(0,IF(AND(Parameter!$B$21="Ja",ISNUMBER(W458)),W458,IF(Parameter!$B$20="Jahresanfang 2025 + Export",BJ458+BI458,BI458)))</f>
        <v>2</v>
      </c>
      <c r="H458" s="57" t="n">
        <f aca="false">G458*F458</f>
        <v>59.2</v>
      </c>
      <c r="I458" s="57" t="n">
        <f aca="false">BL458*Parameter!$B$18</f>
        <v>0</v>
      </c>
      <c r="J458" s="58" t="n">
        <v>12.5</v>
      </c>
      <c r="K458" s="59" t="n">
        <v>0</v>
      </c>
      <c r="L458" s="57" t="n">
        <v>0</v>
      </c>
      <c r="M458" s="57" t="n">
        <v>1</v>
      </c>
      <c r="N458" s="60" t="n">
        <v>14</v>
      </c>
      <c r="O458" s="55" t="s">
        <v>465</v>
      </c>
      <c r="P458" s="57" t="n">
        <v>16</v>
      </c>
      <c r="Q458" s="60" t="n">
        <f aca="false">IF(BR458=1,0,IFERROR(VLOOKUP(BP458,'Gebinde-Kategorie'!$A$5:$M$45,13,0)+0,0))</f>
        <v>66</v>
      </c>
      <c r="R458" s="61"/>
      <c r="S458" s="62"/>
      <c r="T458" s="62"/>
      <c r="U458" s="55"/>
      <c r="V458" s="57"/>
      <c r="W458" s="57"/>
      <c r="X458" s="55" t="n">
        <f aca="false">IF(A458="","",IF(AND(Parameter!$B$21="Ja",ISNUMBER(U458)),U458,IF(IFERROR(VLOOKUP(D458,Parameter!$A$35:$C$64,2,0),"Nein")="2+3",IF(ISNUMBER(SEARCH("grosser Artikel",BM458)),2,IFERROR(VLOOKUP(BP458,Parameter!$F$35:$G$64,2,0),2)),IF(OR(IFERROR(VLOOKUP(D458,Parameter!$A$35:$C$64,2,0),"Nein")="Nein",IFERROR(VLOOKUP(D458,Parameter!$A$35:$C$64,2,0),"Nein")=""),"-",VLOOKUP(D458,Parameter!$A$35:$C$64,2,0)))))</f>
        <v>3</v>
      </c>
      <c r="Y458" s="62"/>
      <c r="Z458" s="63"/>
      <c r="AA458" s="57" t="n">
        <f aca="false">AP458</f>
        <v>16</v>
      </c>
      <c r="AB458" s="57" t="n">
        <f aca="false">MAX(AP458,G458)</f>
        <v>16</v>
      </c>
      <c r="AC458" s="64"/>
      <c r="AD458" s="57" t="n">
        <f aca="false">IF(LEFT(Cockpit!$C$5,1)="A",G458,IF(BW458=1,BX458,IF(LEFT(Cockpit!$C$5,1)="B",AH458,MAX(AH458,G458))))</f>
        <v>2</v>
      </c>
      <c r="AE458" s="57" t="n">
        <f aca="false">IF(BR458=1,0,ROUNDUP(AD458/BQ458,0))</f>
        <v>1</v>
      </c>
      <c r="AF458" s="59" t="n">
        <f aca="false">IF(CD458&gt;0,CD458*MAX(1,AD458/V458),IF(BR458=1,IF(AD458&lt;=0,0,BS458*MAX(1,IF(G458&gt;0,AD458/G458,1))),IF(Q458&gt;0,AE458/Q458,0))/MAX(0.1,N(Parameter!$M$21)))</f>
        <v>0.0151515151515152</v>
      </c>
      <c r="AG458" s="57" t="n">
        <f aca="false">AD458*F458</f>
        <v>59.2</v>
      </c>
      <c r="AH458" s="57" t="n">
        <f aca="false">ROUNDUP(MAX(I458/IF(BV458&gt;0,BV458,MAX(0.1,N(Cockpit!$C$6))),BY458)/BQ458,0)*BQ458</f>
        <v>16</v>
      </c>
      <c r="AI458" s="58" t="n">
        <f aca="false">IF(AF458&gt;0,I458/AF458,-1)</f>
        <v>0</v>
      </c>
      <c r="AJ458" s="58" t="n">
        <f aca="false">IF(AND(OR(BU458="L1",BU458="L23"),AF458&gt;0),SUMIFS($AF$7:$AF$1576,$BU$7:$BU$1576,BU458,$AI$7:$AI$1576,"&gt;"&amp;AI458)+SUMIFS($AF$7:$AF$1576,$BU$7:$BU$1576,BU458,$AI$7:$AI$1576,AI458,$BO$7:$BO$1576,"&lt;="&amp;BO458),"")</f>
        <v>41.9513773183338</v>
      </c>
      <c r="AK458" s="65" t="n">
        <f aca="false">IF(AJ458="",0,MAX(0,MIN(1,(IF(BU458="L1",Parameter!$E$5,Parameter!$E$6+Parameter!$E$7)-(AJ458-AF458))/AF458)))</f>
        <v>1</v>
      </c>
      <c r="AL458" s="57" t="n">
        <f aca="false">IF(LEFT(Cockpit!$I$5,1)="A",G458,IF(BW458=1,BX458,IF(LEFT(Cockpit!$I$5,1)="B",AP458,MAX(AP458,G458))))</f>
        <v>16</v>
      </c>
      <c r="AM458" s="57" t="n">
        <f aca="false">IF(BR458=1,0,ROUNDUP(AL458/BQ458,0))</f>
        <v>1</v>
      </c>
      <c r="AN458" s="59" t="n">
        <f aca="false">IF(CD458&gt;0,CD458*MAX(1,AL458/V458),IF(BR458=1,IF(AL458&lt;=0,0,BS458*MAX(1,IF(G458&gt;0,AL458/G458,1))),IF(Q458&gt;0,AM458/Q458,0))/MAX(0.1,N(Parameter!$M$21)))</f>
        <v>0.0151515151515152</v>
      </c>
      <c r="AO458" s="57" t="n">
        <f aca="false">AL458*F458</f>
        <v>473.6</v>
      </c>
      <c r="AP458" s="57" t="n">
        <f aca="false">ROUNDUP(MAX(I458/IF(BV458&gt;0,BV458,MAX(0.1,N(Cockpit!$I$6))),BY458)/BQ458,0)*BQ458</f>
        <v>16</v>
      </c>
      <c r="AQ458" s="58" t="n">
        <f aca="false">IF(AN458&gt;0,I458/AN458,-1)</f>
        <v>0</v>
      </c>
      <c r="AR458" s="58" t="n">
        <f aca="false">IF(AND(OR(BU458="L1",BU458="L23"),AN458&gt;0),SUMIFS($AN$7:$AN$1576,$BU$7:$BU$1576,BU458,$AQ$7:$AQ$1576,"&gt;"&amp;AQ458)+SUMIFS($AN$7:$AN$1576,$BU$7:$BU$1576,BU458,$AQ$7:$AQ$1576,AQ458,$BO$7:$BO$1576,"&lt;="&amp;BO458),"")</f>
        <v>124.948163436852</v>
      </c>
      <c r="AS458" s="65" t="n">
        <f aca="false">IF(AR458="",0,MAX(0,MIN(1,(IF(BU458="L1",Parameter!$E$5,Parameter!$E$6+Parameter!$E$7)-(AR458-AN458))/AN458)))</f>
        <v>0</v>
      </c>
      <c r="AT458" s="57" t="n">
        <f aca="false">IF(LEFT(Cockpit!$O$5,1)="A",G458,IF(BW458=1,BX458,IF(LEFT(Cockpit!$O$5,1)="B",AX458,MAX(AX458,G458))))</f>
        <v>16</v>
      </c>
      <c r="AU458" s="57" t="n">
        <f aca="false">IF(BR458=1,0,ROUNDUP(AT458/BQ458,0))</f>
        <v>1</v>
      </c>
      <c r="AV458" s="59" t="n">
        <f aca="false">IF(CD458&gt;0,CD458*MAX(1,AT458/V458),IF(BR458=1,IF(AT458&lt;=0,0,BS458*MAX(1,IF(G458&gt;0,AT458/G458,1))),IF(Q458&gt;0,AU458/Q458,0))/MAX(0.1,N(Parameter!$M$21)))</f>
        <v>0.0151515151515152</v>
      </c>
      <c r="AW458" s="57" t="n">
        <f aca="false">AT458*F458</f>
        <v>473.6</v>
      </c>
      <c r="AX458" s="57" t="n">
        <f aca="false">ROUNDUP(MAX(I458/IF(BV458&gt;0,BV458,MAX(0.1,N(Cockpit!$O$6))),BY458)/BQ458,0)*BQ458</f>
        <v>16</v>
      </c>
      <c r="AY458" s="58" t="n">
        <f aca="false">IF(AV458&gt;0,I458/AV458,-1)</f>
        <v>0</v>
      </c>
      <c r="AZ458" s="58" t="n">
        <f aca="false">IF(AND(OR(BU458="L1",BU458="L23"),AV458&gt;0),SUMIFS($AV$7:$AV$1576,$BU$7:$BU$1576,BU458,$AY$7:$AY$1576,"&gt;"&amp;AY458)+SUMIFS($AV$7:$AV$1576,$BU$7:$BU$1576,BU458,$AY$7:$AY$1576,AY458,$BO$7:$BO$1576,"&lt;="&amp;BO458),"")</f>
        <v>115.007713886403</v>
      </c>
      <c r="BA458" s="65" t="n">
        <f aca="false">IF(AZ458="",0,MAX(0,MIN(1,(IF(BU458="L1",Parameter!$E$5,Parameter!$E$6+Parameter!$E$7)-(AZ458-AV458))/AV458)))</f>
        <v>0</v>
      </c>
      <c r="BB458" s="55" t="str">
        <f aca="false">IF(AF458&lt;=0,"",IF(BU458="Aussen","Aussenlager",IF(BU458="-","Nicht im Lift",IF(AK458&gt;=1,"Lift",IF(AK458&lt;=0,"Aussenlager","teilweise")))))</f>
        <v>Lift</v>
      </c>
      <c r="BC458" s="55" t="str">
        <f aca="false">IF(AN458&lt;=0,"",IF(BU458="Aussen","Aussenlager",IF(BU458="-","Nicht im Lift",IF(AS458&gt;=1,"Lift",IF(AS458&lt;=0,"Aussenlager","teilweise")))))</f>
        <v>Aussenlager</v>
      </c>
      <c r="BD458" s="55" t="str">
        <f aca="false">IF(AV458&lt;=0,"",IF(BU458="Aussen","Aussenlager",IF(BU458="-","Nicht im Lift",IF(BA458&gt;=1,"Lift",IF(BA458&lt;=0,"Aussenlager","teilweise")))))</f>
        <v>Aussenlager</v>
      </c>
      <c r="BE458" s="55" t="str">
        <f aca="false">IF(A458="","",IF(BN458=1,"Neu; ","")&amp;IF(AND(BN458=0,BI458&lt;0),"negativer Bestand (Export "&amp;BI458&amp;"); ","")&amp;IF(I458&lt;=0,"Kein Verbrauch; ","")&amp;IF(CD458&gt;0,"Lift "&amp;U458&amp;" lt. Liftbericht (Fach "&amp;V458&amp;" Stk); ",IF(BR458=1,"Lose – Fläche geschätzt; ",""))&amp;IF(G458&gt;AP458,"Überbestand "&amp;ROUND(G458-AP458,0)&amp;" Stk / CHF "&amp;ROUND((G458-AP458)*F458,0)&amp;"; ","")&amp;IF(AND(BW458=1,BX458&lt;BY458),"MAX &lt; MB+LG; ","")&amp;IF(AND(CC458&gt;0,CB458*10&gt;CC458),"zu hoch für Tablar; ","")&amp;IF(AND(BN458=0,OR(BW458=1,Y458&lt;&gt;"",S458&lt;&gt;"",T458&lt;&gt;"",Z458&lt;&gt;"")),"manuell übersteuert; ","")&amp;IF(AND(BR458=0,Q458=0),"Gebinde unbekannt / Stellmass fehlt; ","")&amp;IF(AND(BR458=0,N(T458)&lt;=0,N(P458)&lt;=0),"Menge pro Gebinde fehlt (Ist = 1 Gebinde); ","")&amp;BM458)</f>
        <v>Kein Verbrauch; Überbestand</v>
      </c>
      <c r="BF458" s="55"/>
      <c r="BG458" s="55"/>
      <c r="BH458" s="62"/>
      <c r="BI458" s="57" t="n">
        <v>2</v>
      </c>
      <c r="BJ458" s="57" t="n">
        <v>12</v>
      </c>
      <c r="BK458" s="56" t="n">
        <v>59.2</v>
      </c>
      <c r="BL458" s="57" t="n">
        <v>0</v>
      </c>
      <c r="BM458" s="55" t="s">
        <v>382</v>
      </c>
      <c r="BN458" s="60" t="n">
        <v>0</v>
      </c>
      <c r="BO458" s="60" t="n">
        <v>458</v>
      </c>
      <c r="BP458" s="55" t="str">
        <f aca="false">IF(S458&lt;&gt;"",UPPER(TRIM(S458)),IF(O458="","LOSE",O458))</f>
        <v>S33</v>
      </c>
      <c r="BQ458" s="57" t="n">
        <f aca="false">IF(BP458="LOSE",1,IF(N(T458)&gt;0,T458,IF(N(P458)&gt;0,P458,MAX(1,G458))))</f>
        <v>16</v>
      </c>
      <c r="BR458" s="60" t="n">
        <f aca="false">IF(BP458="LOSE",1,0)</f>
        <v>0</v>
      </c>
      <c r="BS458" s="59" t="n">
        <f aca="false">IF(BR458=0,0,IF(N(R458)&gt;0,R458,IFERROR(VLOOKUP(D458,Parameter!$A$35:$C$64,3,0)+0,0)))</f>
        <v>0</v>
      </c>
      <c r="BT458" s="55" t="n">
        <f aca="false">IF(Y458&lt;&gt;"",Y458,X458)</f>
        <v>3</v>
      </c>
      <c r="BU458" s="55" t="str">
        <f aca="false">IF(BT458=1,"L1",IF(OR(BT458=2,BT458=3),"L23",IF(BT458="Aussen","Aussen","-")))</f>
        <v>L23</v>
      </c>
      <c r="BV458" s="66" t="n">
        <f aca="false">IF(N(Z458)&gt;0,Z458,0)</f>
        <v>0</v>
      </c>
      <c r="BW458" s="60" t="n">
        <f aca="false">IF(ISNUMBER(AC458),1,0)</f>
        <v>0</v>
      </c>
      <c r="BX458" s="57" t="n">
        <f aca="false">N(AC458)</f>
        <v>0</v>
      </c>
      <c r="BY458" s="57" t="n">
        <f aca="false">N(L458)+N(M458)</f>
        <v>1</v>
      </c>
      <c r="BZ458" s="57" t="n">
        <f aca="false">ROUNDUP(G458/BQ458,0)</f>
        <v>1</v>
      </c>
      <c r="CA458" s="57" t="n">
        <f aca="false">ROUNDUP(BX458/BQ458,0)</f>
        <v>0</v>
      </c>
      <c r="CB458" s="60" t="n">
        <f aca="false">IF(BR458=1,0,IFERROR(VLOOKUP(BP458,'Gebinde-Kategorie'!$A$5:$M$45,5,0)+0,0))</f>
        <v>8</v>
      </c>
      <c r="CC458" s="60" t="n">
        <f aca="false">IFERROR(IF(OR(BT458=1,BT458=2,BT458=3),N(INDEX(Parameter!$I$5:$I$7,BT458)),0),0)</f>
        <v>0</v>
      </c>
      <c r="CD458" s="59" t="n">
        <f aca="false">IF(AND(Parameter!$B$21="Ja",ISNUMBER(U458),N(V458)&gt;0),IFERROR(N(INDEX(Parameter!$L$5:$L$7,U458))*INDEX(Parameter!$E$5:$E$7,U458)*V458/SUMIFS($V$7:$V$1576,$U$7:$U$1576,U458),0),0)</f>
        <v>0</v>
      </c>
    </row>
    <row r="459" customFormat="false" ht="15" hidden="false" customHeight="false" outlineLevel="0" collapsed="false">
      <c r="A459" s="55" t="s">
        <v>1024</v>
      </c>
      <c r="B459" s="55" t="s">
        <v>1025</v>
      </c>
      <c r="C459" s="55" t="s">
        <v>160</v>
      </c>
      <c r="D459" s="55" t="s">
        <v>178</v>
      </c>
      <c r="E459" s="55" t="s">
        <v>210</v>
      </c>
      <c r="F459" s="56" t="n">
        <v>0.09</v>
      </c>
      <c r="G459" s="57" t="n">
        <f aca="false">MAX(0,IF(AND(Parameter!$B$21="Ja",ISNUMBER(W459)),W459,IF(Parameter!$B$20="Jahresanfang 2025 + Export",BJ459+BI459,BI459)))</f>
        <v>0</v>
      </c>
      <c r="H459" s="57" t="n">
        <f aca="false">G459*F459</f>
        <v>0</v>
      </c>
      <c r="I459" s="57" t="n">
        <f aca="false">BL459*Parameter!$B$18</f>
        <v>100</v>
      </c>
      <c r="J459" s="58" t="n">
        <v>1405</v>
      </c>
      <c r="K459" s="59" t="n">
        <v>0.0711743772241993</v>
      </c>
      <c r="L459" s="57" t="n">
        <v>5</v>
      </c>
      <c r="M459" s="57" t="n">
        <v>100</v>
      </c>
      <c r="N459" s="60" t="n">
        <v>21</v>
      </c>
      <c r="O459" s="55" t="s">
        <v>293</v>
      </c>
      <c r="P459" s="57" t="n">
        <v>2900</v>
      </c>
      <c r="Q459" s="60" t="n">
        <f aca="false">IF(BR459=1,0,IFERROR(VLOOKUP(BP459,'Gebinde-Kategorie'!$A$5:$M$45,13,0)+0,0))</f>
        <v>26</v>
      </c>
      <c r="R459" s="61"/>
      <c r="S459" s="62"/>
      <c r="T459" s="62"/>
      <c r="U459" s="55"/>
      <c r="V459" s="57"/>
      <c r="W459" s="57"/>
      <c r="X459" s="55" t="n">
        <f aca="false">IF(A459="","",IF(AND(Parameter!$B$21="Ja",ISNUMBER(U459)),U459,IF(IFERROR(VLOOKUP(D459,Parameter!$A$35:$C$64,2,0),"Nein")="2+3",IF(ISNUMBER(SEARCH("grosser Artikel",BM459)),2,IFERROR(VLOOKUP(BP459,Parameter!$F$35:$G$64,2,0),2)),IF(OR(IFERROR(VLOOKUP(D459,Parameter!$A$35:$C$64,2,0),"Nein")="Nein",IFERROR(VLOOKUP(D459,Parameter!$A$35:$C$64,2,0),"Nein")=""),"-",VLOOKUP(D459,Parameter!$A$35:$C$64,2,0)))))</f>
        <v>3</v>
      </c>
      <c r="Y459" s="62"/>
      <c r="Z459" s="63"/>
      <c r="AA459" s="57" t="n">
        <f aca="false">AP459</f>
        <v>2900</v>
      </c>
      <c r="AB459" s="57" t="n">
        <f aca="false">MAX(AP459,G459)</f>
        <v>2900</v>
      </c>
      <c r="AC459" s="64"/>
      <c r="AD459" s="57" t="n">
        <f aca="false">IF(LEFT(Cockpit!$C$5,1)="A",G459,IF(BW459=1,BX459,IF(LEFT(Cockpit!$C$5,1)="B",AH459,MAX(AH459,G459))))</f>
        <v>0</v>
      </c>
      <c r="AE459" s="57" t="n">
        <f aca="false">IF(BR459=1,0,ROUNDUP(AD459/BQ459,0))</f>
        <v>0</v>
      </c>
      <c r="AF459" s="59" t="n">
        <f aca="false">IF(CD459&gt;0,CD459*MAX(1,AD459/V459),IF(BR459=1,IF(AD459&lt;=0,0,BS459*MAX(1,IF(G459&gt;0,AD459/G459,1))),IF(Q459&gt;0,AE459/Q459,0))/MAX(0.1,N(Parameter!$M$21)))</f>
        <v>0</v>
      </c>
      <c r="AG459" s="57" t="n">
        <f aca="false">AD459*F459</f>
        <v>0</v>
      </c>
      <c r="AH459" s="57" t="n">
        <f aca="false">ROUNDUP(MAX(I459/IF(BV459&gt;0,BV459,MAX(0.1,N(Cockpit!$C$6))),BY459)/BQ459,0)*BQ459</f>
        <v>2900</v>
      </c>
      <c r="AI459" s="58" t="n">
        <f aca="false">IF(AF459&gt;0,I459/AF459,-1)</f>
        <v>-1</v>
      </c>
      <c r="AJ459" s="58" t="str">
        <f aca="false">IF(AND(OR(BU459="L1",BU459="L23"),AF459&gt;0),SUMIFS($AF$7:$AF$1576,$BU$7:$BU$1576,BU459,$AI$7:$AI$1576,"&gt;"&amp;AI459)+SUMIFS($AF$7:$AF$1576,$BU$7:$BU$1576,BU459,$AI$7:$AI$1576,AI459,$BO$7:$BO$1576,"&lt;="&amp;BO459),"")</f>
        <v/>
      </c>
      <c r="AK459" s="65" t="n">
        <f aca="false">IF(AJ459="",0,MAX(0,MIN(1,(IF(BU459="L1",Parameter!$E$5,Parameter!$E$6+Parameter!$E$7)-(AJ459-AF459))/AF459)))</f>
        <v>0</v>
      </c>
      <c r="AL459" s="57" t="n">
        <f aca="false">IF(LEFT(Cockpit!$I$5,1)="A",G459,IF(BW459=1,BX459,IF(LEFT(Cockpit!$I$5,1)="B",AP459,MAX(AP459,G459))))</f>
        <v>2900</v>
      </c>
      <c r="AM459" s="57" t="n">
        <f aca="false">IF(BR459=1,0,ROUNDUP(AL459/BQ459,0))</f>
        <v>1</v>
      </c>
      <c r="AN459" s="59" t="n">
        <f aca="false">IF(CD459&gt;0,CD459*MAX(1,AL459/V459),IF(BR459=1,IF(AL459&lt;=0,0,BS459*MAX(1,IF(G459&gt;0,AL459/G459,1))),IF(Q459&gt;0,AM459/Q459,0))/MAX(0.1,N(Parameter!$M$21)))</f>
        <v>0.0384615384615385</v>
      </c>
      <c r="AO459" s="57" t="n">
        <f aca="false">AL459*F459</f>
        <v>261</v>
      </c>
      <c r="AP459" s="57" t="n">
        <f aca="false">ROUNDUP(MAX(I459/IF(BV459&gt;0,BV459,MAX(0.1,N(Cockpit!$I$6))),BY459)/BQ459,0)*BQ459</f>
        <v>2900</v>
      </c>
      <c r="AQ459" s="58" t="n">
        <f aca="false">IF(AN459&gt;0,I459/AN459,-1)</f>
        <v>2600</v>
      </c>
      <c r="AR459" s="58" t="n">
        <f aca="false">IF(AND(OR(BU459="L1",BU459="L23"),AN459&gt;0),SUMIFS($AN$7:$AN$1576,$BU$7:$BU$1576,BU459,$AQ$7:$AQ$1576,"&gt;"&amp;AQ459)+SUMIFS($AN$7:$AN$1576,$BU$7:$BU$1576,BU459,$AQ$7:$AQ$1576,AQ459,$BO$7:$BO$1576,"&lt;="&amp;BO459),"")</f>
        <v>14.9858207134406</v>
      </c>
      <c r="AS459" s="65" t="n">
        <f aca="false">IF(AR459="",0,MAX(0,MIN(1,(IF(BU459="L1",Parameter!$E$5,Parameter!$E$6+Parameter!$E$7)-(AR459-AN459))/AN459)))</f>
        <v>1</v>
      </c>
      <c r="AT459" s="57" t="n">
        <f aca="false">IF(LEFT(Cockpit!$O$5,1)="A",G459,IF(BW459=1,BX459,IF(LEFT(Cockpit!$O$5,1)="B",AX459,MAX(AX459,G459))))</f>
        <v>2900</v>
      </c>
      <c r="AU459" s="57" t="n">
        <f aca="false">IF(BR459=1,0,ROUNDUP(AT459/BQ459,0))</f>
        <v>1</v>
      </c>
      <c r="AV459" s="59" t="n">
        <f aca="false">IF(CD459&gt;0,CD459*MAX(1,AT459/V459),IF(BR459=1,IF(AT459&lt;=0,0,BS459*MAX(1,IF(G459&gt;0,AT459/G459,1))),IF(Q459&gt;0,AU459/Q459,0))/MAX(0.1,N(Parameter!$M$21)))</f>
        <v>0.0384615384615385</v>
      </c>
      <c r="AW459" s="57" t="n">
        <f aca="false">AT459*F459</f>
        <v>261</v>
      </c>
      <c r="AX459" s="57" t="n">
        <f aca="false">ROUNDUP(MAX(I459/IF(BV459&gt;0,BV459,MAX(0.1,N(Cockpit!$O$6))),BY459)/BQ459,0)*BQ459</f>
        <v>2900</v>
      </c>
      <c r="AY459" s="58" t="n">
        <f aca="false">IF(AV459&gt;0,I459/AV459,-1)</f>
        <v>2600</v>
      </c>
      <c r="AZ459" s="58" t="n">
        <f aca="false">IF(AND(OR(BU459="L1",BU459="L23"),AV459&gt;0),SUMIFS($AV$7:$AV$1576,$BU$7:$BU$1576,BU459,$AY$7:$AY$1576,"&gt;"&amp;AY459)+SUMIFS($AV$7:$AV$1576,$BU$7:$BU$1576,BU459,$AY$7:$AY$1576,AY459,$BO$7:$BO$1576,"&lt;="&amp;BO459),"")</f>
        <v>13.7900165176364</v>
      </c>
      <c r="BA459" s="65" t="n">
        <f aca="false">IF(AZ459="",0,MAX(0,MIN(1,(IF(BU459="L1",Parameter!$E$5,Parameter!$E$6+Parameter!$E$7)-(AZ459-AV459))/AV459)))</f>
        <v>1</v>
      </c>
      <c r="BB459" s="55" t="str">
        <f aca="false">IF(AF459&lt;=0,"",IF(BU459="Aussen","Aussenlager",IF(BU459="-","Nicht im Lift",IF(AK459&gt;=1,"Lift",IF(AK459&lt;=0,"Aussenlager","teilweise")))))</f>
        <v/>
      </c>
      <c r="BC459" s="55" t="str">
        <f aca="false">IF(AN459&lt;=0,"",IF(BU459="Aussen","Aussenlager",IF(BU459="-","Nicht im Lift",IF(AS459&gt;=1,"Lift",IF(AS459&lt;=0,"Aussenlager","teilweise")))))</f>
        <v>Lift</v>
      </c>
      <c r="BD459" s="55" t="str">
        <f aca="false">IF(AV459&lt;=0,"",IF(BU459="Aussen","Aussenlager",IF(BU459="-","Nicht im Lift",IF(BA459&gt;=1,"Lift",IF(BA459&lt;=0,"Aussenlager","teilweise")))))</f>
        <v>Lift</v>
      </c>
      <c r="BE459" s="55" t="str">
        <f aca="false">IF(A459="","",IF(BN459=1,"Neu; ","")&amp;IF(AND(BN459=0,BI459&lt;0),"negativer Bestand (Export "&amp;BI459&amp;"); ","")&amp;IF(I459&lt;=0,"Kein Verbrauch; ","")&amp;IF(CD459&gt;0,"Lift "&amp;U459&amp;" lt. Liftbericht (Fach "&amp;V459&amp;" Stk); ",IF(BR459=1,"Lose – Fläche geschätzt; ",""))&amp;IF(G459&gt;AP459,"Überbestand "&amp;ROUND(G459-AP459,0)&amp;" Stk / CHF "&amp;ROUND((G459-AP459)*F459,0)&amp;"; ","")&amp;IF(AND(BW459=1,BX459&lt;BY459),"MAX &lt; MB+LG; ","")&amp;IF(AND(CC459&gt;0,CB459*10&gt;CC459),"zu hoch für Tablar; ","")&amp;IF(AND(BN459=0,OR(BW459=1,Y459&lt;&gt;"",S459&lt;&gt;"",T459&lt;&gt;"",Z459&lt;&gt;"")),"manuell übersteuert; ","")&amp;IF(AND(BR459=0,Q459=0),"Gebinde unbekannt / Stellmass fehlt; ","")&amp;IF(AND(BR459=0,N(T459)&lt;=0,N(P459)&lt;=0),"Menge pro Gebinde fehlt (Ist = 1 Gebinde); ","")&amp;BM459)</f>
        <v>negativer Bestand (Export -349); Verb.Lager</v>
      </c>
      <c r="BF459" s="55"/>
      <c r="BG459" s="55"/>
      <c r="BH459" s="62"/>
      <c r="BI459" s="57" t="n">
        <v>-349</v>
      </c>
      <c r="BJ459" s="57" t="n">
        <v>1800</v>
      </c>
      <c r="BK459" s="56" t="n">
        <v>58.59</v>
      </c>
      <c r="BL459" s="57" t="n">
        <v>100</v>
      </c>
      <c r="BM459" s="55" t="s">
        <v>1019</v>
      </c>
      <c r="BN459" s="60" t="n">
        <v>0</v>
      </c>
      <c r="BO459" s="60" t="n">
        <v>459</v>
      </c>
      <c r="BP459" s="55" t="str">
        <f aca="false">IF(S459&lt;&gt;"",UPPER(TRIM(S459)),IF(O459="","LOSE",O459))</f>
        <v>S51</v>
      </c>
      <c r="BQ459" s="57" t="n">
        <f aca="false">IF(BP459="LOSE",1,IF(N(T459)&gt;0,T459,IF(N(P459)&gt;0,P459,MAX(1,G459))))</f>
        <v>2900</v>
      </c>
      <c r="BR459" s="60" t="n">
        <f aca="false">IF(BP459="LOSE",1,0)</f>
        <v>0</v>
      </c>
      <c r="BS459" s="59" t="n">
        <f aca="false">IF(BR459=0,0,IF(N(R459)&gt;0,R459,IFERROR(VLOOKUP(D459,Parameter!$A$35:$C$64,3,0)+0,0)))</f>
        <v>0</v>
      </c>
      <c r="BT459" s="55" t="n">
        <f aca="false">IF(Y459&lt;&gt;"",Y459,X459)</f>
        <v>3</v>
      </c>
      <c r="BU459" s="55" t="str">
        <f aca="false">IF(BT459=1,"L1",IF(OR(BT459=2,BT459=3),"L23",IF(BT459="Aussen","Aussen","-")))</f>
        <v>L23</v>
      </c>
      <c r="BV459" s="66" t="n">
        <f aca="false">IF(N(Z459)&gt;0,Z459,0)</f>
        <v>0</v>
      </c>
      <c r="BW459" s="60" t="n">
        <f aca="false">IF(ISNUMBER(AC459),1,0)</f>
        <v>0</v>
      </c>
      <c r="BX459" s="57" t="n">
        <f aca="false">N(AC459)</f>
        <v>0</v>
      </c>
      <c r="BY459" s="57" t="n">
        <f aca="false">N(L459)+N(M459)</f>
        <v>105</v>
      </c>
      <c r="BZ459" s="57" t="n">
        <f aca="false">ROUNDUP(G459/BQ459,0)</f>
        <v>0</v>
      </c>
      <c r="CA459" s="57" t="n">
        <f aca="false">ROUNDUP(BX459/BQ459,0)</f>
        <v>0</v>
      </c>
      <c r="CB459" s="60" t="n">
        <f aca="false">IF(BR459=1,0,IFERROR(VLOOKUP(BP459,'Gebinde-Kategorie'!$A$5:$M$45,5,0)+0,0))</f>
        <v>11</v>
      </c>
      <c r="CC459" s="60" t="n">
        <f aca="false">IFERROR(IF(OR(BT459=1,BT459=2,BT459=3),N(INDEX(Parameter!$I$5:$I$7,BT459)),0),0)</f>
        <v>0</v>
      </c>
      <c r="CD459" s="59" t="n">
        <f aca="false">IF(AND(Parameter!$B$21="Ja",ISNUMBER(U459),N(V459)&gt;0),IFERROR(N(INDEX(Parameter!$L$5:$L$7,U459))*INDEX(Parameter!$E$5:$E$7,U459)*V459/SUMIFS($V$7:$V$1576,$U$7:$U$1576,U459),0),0)</f>
        <v>0</v>
      </c>
    </row>
    <row r="460" customFormat="false" ht="15" hidden="false" customHeight="false" outlineLevel="0" collapsed="false">
      <c r="A460" s="55" t="s">
        <v>1026</v>
      </c>
      <c r="B460" s="55" t="s">
        <v>395</v>
      </c>
      <c r="C460" s="55" t="s">
        <v>160</v>
      </c>
      <c r="D460" s="55" t="s">
        <v>178</v>
      </c>
      <c r="E460" s="55" t="s">
        <v>210</v>
      </c>
      <c r="F460" s="56" t="n">
        <v>0.13</v>
      </c>
      <c r="G460" s="57" t="n">
        <f aca="false">MAX(0,IF(AND(Parameter!$B$21="Ja",ISNUMBER(W460)),W460,IF(Parameter!$B$20="Jahresanfang 2025 + Export",BJ460+BI460,BI460)))</f>
        <v>424</v>
      </c>
      <c r="H460" s="57" t="n">
        <f aca="false">G460*F460</f>
        <v>55.12</v>
      </c>
      <c r="I460" s="57" t="n">
        <f aca="false">BL460*Parameter!$B$18</f>
        <v>1442</v>
      </c>
      <c r="J460" s="58" t="n">
        <v>310</v>
      </c>
      <c r="K460" s="59" t="n">
        <v>4.65161290322581</v>
      </c>
      <c r="L460" s="57" t="n">
        <v>84</v>
      </c>
      <c r="M460" s="57" t="n">
        <v>500</v>
      </c>
      <c r="N460" s="60" t="n">
        <v>21</v>
      </c>
      <c r="O460" s="55" t="s">
        <v>293</v>
      </c>
      <c r="P460" s="57" t="n">
        <v>271</v>
      </c>
      <c r="Q460" s="60" t="n">
        <f aca="false">IF(BR460=1,0,IFERROR(VLOOKUP(BP460,'Gebinde-Kategorie'!$A$5:$M$45,13,0)+0,0))</f>
        <v>26</v>
      </c>
      <c r="R460" s="61"/>
      <c r="S460" s="62"/>
      <c r="T460" s="62"/>
      <c r="U460" s="55"/>
      <c r="V460" s="57"/>
      <c r="W460" s="57"/>
      <c r="X460" s="55" t="n">
        <f aca="false">IF(A460="","",IF(AND(Parameter!$B$21="Ja",ISNUMBER(U460)),U460,IF(IFERROR(VLOOKUP(D460,Parameter!$A$35:$C$64,2,0),"Nein")="2+3",IF(ISNUMBER(SEARCH("grosser Artikel",BM460)),2,IFERROR(VLOOKUP(BP460,Parameter!$F$35:$G$64,2,0),2)),IF(OR(IFERROR(VLOOKUP(D460,Parameter!$A$35:$C$64,2,0),"Nein")="Nein",IFERROR(VLOOKUP(D460,Parameter!$A$35:$C$64,2,0),"Nein")=""),"-",VLOOKUP(D460,Parameter!$A$35:$C$64,2,0)))))</f>
        <v>3</v>
      </c>
      <c r="Y460" s="62"/>
      <c r="Z460" s="63"/>
      <c r="AA460" s="57" t="n">
        <f aca="false">AP460</f>
        <v>813</v>
      </c>
      <c r="AB460" s="57" t="n">
        <f aca="false">MAX(AP460,G460)</f>
        <v>813</v>
      </c>
      <c r="AC460" s="64"/>
      <c r="AD460" s="57" t="n">
        <f aca="false">IF(LEFT(Cockpit!$C$5,1)="A",G460,IF(BW460=1,BX460,IF(LEFT(Cockpit!$C$5,1)="B",AH460,MAX(AH460,G460))))</f>
        <v>424</v>
      </c>
      <c r="AE460" s="57" t="n">
        <f aca="false">IF(BR460=1,0,ROUNDUP(AD460/BQ460,0))</f>
        <v>2</v>
      </c>
      <c r="AF460" s="59" t="n">
        <f aca="false">IF(CD460&gt;0,CD460*MAX(1,AD460/V460),IF(BR460=1,IF(AD460&lt;=0,0,BS460*MAX(1,IF(G460&gt;0,AD460/G460,1))),IF(Q460&gt;0,AE460/Q460,0))/MAX(0.1,N(Parameter!$M$21)))</f>
        <v>0.0769230769230769</v>
      </c>
      <c r="AG460" s="57" t="n">
        <f aca="false">AD460*F460</f>
        <v>55.12</v>
      </c>
      <c r="AH460" s="57" t="n">
        <f aca="false">ROUNDUP(MAX(I460/IF(BV460&gt;0,BV460,MAX(0.1,N(Cockpit!$C$6))),BY460)/BQ460,0)*BQ460</f>
        <v>813</v>
      </c>
      <c r="AI460" s="58" t="n">
        <f aca="false">IF(AF460&gt;0,I460/AF460,-1)</f>
        <v>18746</v>
      </c>
      <c r="AJ460" s="58" t="n">
        <f aca="false">IF(AND(OR(BU460="L1",BU460="L23"),AF460&gt;0),SUMIFS($AF$7:$AF$1576,$BU$7:$BU$1576,BU460,$AI$7:$AI$1576,"&gt;"&amp;AI460)+SUMIFS($AF$7:$AF$1576,$BU$7:$BU$1576,BU460,$AI$7:$AI$1576,AI460,$BO$7:$BO$1576,"&lt;="&amp;BO460),"")</f>
        <v>1.96896219722307</v>
      </c>
      <c r="AK460" s="65" t="n">
        <f aca="false">IF(AJ460="",0,MAX(0,MIN(1,(IF(BU460="L1",Parameter!$E$5,Parameter!$E$6+Parameter!$E$7)-(AJ460-AF460))/AF460)))</f>
        <v>1</v>
      </c>
      <c r="AL460" s="57" t="n">
        <f aca="false">IF(LEFT(Cockpit!$I$5,1)="A",G460,IF(BW460=1,BX460,IF(LEFT(Cockpit!$I$5,1)="B",AP460,MAX(AP460,G460))))</f>
        <v>813</v>
      </c>
      <c r="AM460" s="57" t="n">
        <f aca="false">IF(BR460=1,0,ROUNDUP(AL460/BQ460,0))</f>
        <v>3</v>
      </c>
      <c r="AN460" s="59" t="n">
        <f aca="false">IF(CD460&gt;0,CD460*MAX(1,AL460/V460),IF(BR460=1,IF(AL460&lt;=0,0,BS460*MAX(1,IF(G460&gt;0,AL460/G460,1))),IF(Q460&gt;0,AM460/Q460,0))/MAX(0.1,N(Parameter!$M$21)))</f>
        <v>0.115384615384615</v>
      </c>
      <c r="AO460" s="57" t="n">
        <f aca="false">AL460*F460</f>
        <v>105.69</v>
      </c>
      <c r="AP460" s="57" t="n">
        <f aca="false">ROUNDUP(MAX(I460/IF(BV460&gt;0,BV460,MAX(0.1,N(Cockpit!$I$6))),BY460)/BQ460,0)*BQ460</f>
        <v>813</v>
      </c>
      <c r="AQ460" s="58" t="n">
        <f aca="false">IF(AN460&gt;0,I460/AN460,-1)</f>
        <v>12497.3333333333</v>
      </c>
      <c r="AR460" s="58" t="n">
        <f aca="false">IF(AND(OR(BU460="L1",BU460="L23"),AN460&gt;0),SUMIFS($AN$7:$AN$1576,$BU$7:$BU$1576,BU460,$AQ$7:$AQ$1576,"&gt;"&amp;AQ460)+SUMIFS($AN$7:$AN$1576,$BU$7:$BU$1576,BU460,$AQ$7:$AQ$1576,AQ460,$BO$7:$BO$1576,"&lt;="&amp;BO460),"")</f>
        <v>6.27795648795649</v>
      </c>
      <c r="AS460" s="65" t="n">
        <f aca="false">IF(AR460="",0,MAX(0,MIN(1,(IF(BU460="L1",Parameter!$E$5,Parameter!$E$6+Parameter!$E$7)-(AR460-AN460))/AN460)))</f>
        <v>1</v>
      </c>
      <c r="AT460" s="57" t="n">
        <f aca="false">IF(LEFT(Cockpit!$O$5,1)="A",G460,IF(BW460=1,BX460,IF(LEFT(Cockpit!$O$5,1)="B",AX460,MAX(AX460,G460))))</f>
        <v>813</v>
      </c>
      <c r="AU460" s="57" t="n">
        <f aca="false">IF(BR460=1,0,ROUNDUP(AT460/BQ460,0))</f>
        <v>3</v>
      </c>
      <c r="AV460" s="59" t="n">
        <f aca="false">IF(CD460&gt;0,CD460*MAX(1,AT460/V460),IF(BR460=1,IF(AT460&lt;=0,0,BS460*MAX(1,IF(G460&gt;0,AT460/G460,1))),IF(Q460&gt;0,AU460/Q460,0))/MAX(0.1,N(Parameter!$M$21)))</f>
        <v>0.115384615384615</v>
      </c>
      <c r="AW460" s="57" t="n">
        <f aca="false">AT460*F460</f>
        <v>105.69</v>
      </c>
      <c r="AX460" s="57" t="n">
        <f aca="false">ROUNDUP(MAX(I460/IF(BV460&gt;0,BV460,MAX(0.1,N(Cockpit!$O$6))),BY460)/BQ460,0)*BQ460</f>
        <v>813</v>
      </c>
      <c r="AY460" s="58" t="n">
        <f aca="false">IF(AV460&gt;0,I460/AV460,-1)</f>
        <v>12497.3333333333</v>
      </c>
      <c r="AZ460" s="58" t="n">
        <f aca="false">IF(AND(OR(BU460="L1",BU460="L23"),AV460&gt;0),SUMIFS($AV$7:$AV$1576,$BU$7:$BU$1576,BU460,$AY$7:$AY$1576,"&gt;"&amp;AY460)+SUMIFS($AV$7:$AV$1576,$BU$7:$BU$1576,BU460,$AY$7:$AY$1576,AY460,$BO$7:$BO$1576,"&lt;="&amp;BO460),"")</f>
        <v>5.82574203574204</v>
      </c>
      <c r="BA460" s="65" t="n">
        <f aca="false">IF(AZ460="",0,MAX(0,MIN(1,(IF(BU460="L1",Parameter!$E$5,Parameter!$E$6+Parameter!$E$7)-(AZ460-AV460))/AV460)))</f>
        <v>1</v>
      </c>
      <c r="BB460" s="55" t="str">
        <f aca="false">IF(AF460&lt;=0,"",IF(BU460="Aussen","Aussenlager",IF(BU460="-","Nicht im Lift",IF(AK460&gt;=1,"Lift",IF(AK460&lt;=0,"Aussenlager","teilweise")))))</f>
        <v>Lift</v>
      </c>
      <c r="BC460" s="55" t="str">
        <f aca="false">IF(AN460&lt;=0,"",IF(BU460="Aussen","Aussenlager",IF(BU460="-","Nicht im Lift",IF(AS460&gt;=1,"Lift",IF(AS460&lt;=0,"Aussenlager","teilweise")))))</f>
        <v>Lift</v>
      </c>
      <c r="BD460" s="55" t="str">
        <f aca="false">IF(AV460&lt;=0,"",IF(BU460="Aussen","Aussenlager",IF(BU460="-","Nicht im Lift",IF(BA460&gt;=1,"Lift",IF(BA460&lt;=0,"Aussenlager","teilweise")))))</f>
        <v>Lift</v>
      </c>
      <c r="BE460" s="55" t="str">
        <f aca="false">IF(A460="","",IF(BN460=1,"Neu; ","")&amp;IF(AND(BN460=0,BI460&lt;0),"negativer Bestand (Export "&amp;BI460&amp;"); ","")&amp;IF(I460&lt;=0,"Kein Verbrauch; ","")&amp;IF(CD460&gt;0,"Lift "&amp;U460&amp;" lt. Liftbericht (Fach "&amp;V460&amp;" Stk); ",IF(BR460=1,"Lose – Fläche geschätzt; ",""))&amp;IF(G460&gt;AP460,"Überbestand "&amp;ROUND(G460-AP460,0)&amp;" Stk / CHF "&amp;ROUND((G460-AP460)*F460,0)&amp;"; ","")&amp;IF(AND(BW460=1,BX460&lt;BY460),"MAX &lt; MB+LG; ","")&amp;IF(AND(CC460&gt;0,CB460*10&gt;CC460),"zu hoch für Tablar; ","")&amp;IF(AND(BN460=0,OR(BW460=1,Y460&lt;&gt;"",S460&lt;&gt;"",T460&lt;&gt;"",Z460&lt;&gt;"")),"manuell übersteuert; ","")&amp;IF(AND(BR460=0,Q460=0),"Gebinde unbekannt / Stellmass fehlt; ","")&amp;IF(AND(BR460=0,N(T460)&lt;=0,N(P460)&lt;=0),"Menge pro Gebinde fehlt (Ist = 1 Gebinde); ","")&amp;BM460)</f>
        <v/>
      </c>
      <c r="BF460" s="55"/>
      <c r="BG460" s="55"/>
      <c r="BH460" s="62"/>
      <c r="BI460" s="57" t="n">
        <v>424</v>
      </c>
      <c r="BJ460" s="57" t="n">
        <v>290</v>
      </c>
      <c r="BK460" s="56" t="n">
        <v>57.94</v>
      </c>
      <c r="BL460" s="57" t="n">
        <v>1442</v>
      </c>
      <c r="BM460" s="55"/>
      <c r="BN460" s="60" t="n">
        <v>0</v>
      </c>
      <c r="BO460" s="60" t="n">
        <v>460</v>
      </c>
      <c r="BP460" s="55" t="str">
        <f aca="false">IF(S460&lt;&gt;"",UPPER(TRIM(S460)),IF(O460="","LOSE",O460))</f>
        <v>S51</v>
      </c>
      <c r="BQ460" s="57" t="n">
        <f aca="false">IF(BP460="LOSE",1,IF(N(T460)&gt;0,T460,IF(N(P460)&gt;0,P460,MAX(1,G460))))</f>
        <v>271</v>
      </c>
      <c r="BR460" s="60" t="n">
        <f aca="false">IF(BP460="LOSE",1,0)</f>
        <v>0</v>
      </c>
      <c r="BS460" s="59" t="n">
        <f aca="false">IF(BR460=0,0,IF(N(R460)&gt;0,R460,IFERROR(VLOOKUP(D460,Parameter!$A$35:$C$64,3,0)+0,0)))</f>
        <v>0</v>
      </c>
      <c r="BT460" s="55" t="n">
        <f aca="false">IF(Y460&lt;&gt;"",Y460,X460)</f>
        <v>3</v>
      </c>
      <c r="BU460" s="55" t="str">
        <f aca="false">IF(BT460=1,"L1",IF(OR(BT460=2,BT460=3),"L23",IF(BT460="Aussen","Aussen","-")))</f>
        <v>L23</v>
      </c>
      <c r="BV460" s="66" t="n">
        <f aca="false">IF(N(Z460)&gt;0,Z460,0)</f>
        <v>0</v>
      </c>
      <c r="BW460" s="60" t="n">
        <f aca="false">IF(ISNUMBER(AC460),1,0)</f>
        <v>0</v>
      </c>
      <c r="BX460" s="57" t="n">
        <f aca="false">N(AC460)</f>
        <v>0</v>
      </c>
      <c r="BY460" s="57" t="n">
        <f aca="false">N(L460)+N(M460)</f>
        <v>584</v>
      </c>
      <c r="BZ460" s="57" t="n">
        <f aca="false">ROUNDUP(G460/BQ460,0)</f>
        <v>2</v>
      </c>
      <c r="CA460" s="57" t="n">
        <f aca="false">ROUNDUP(BX460/BQ460,0)</f>
        <v>0</v>
      </c>
      <c r="CB460" s="60" t="n">
        <f aca="false">IF(BR460=1,0,IFERROR(VLOOKUP(BP460,'Gebinde-Kategorie'!$A$5:$M$45,5,0)+0,0))</f>
        <v>11</v>
      </c>
      <c r="CC460" s="60" t="n">
        <f aca="false">IFERROR(IF(OR(BT460=1,BT460=2,BT460=3),N(INDEX(Parameter!$I$5:$I$7,BT460)),0),0)</f>
        <v>0</v>
      </c>
      <c r="CD460" s="59" t="n">
        <f aca="false">IF(AND(Parameter!$B$21="Ja",ISNUMBER(U460),N(V460)&gt;0),IFERROR(N(INDEX(Parameter!$L$5:$L$7,U460))*INDEX(Parameter!$E$5:$E$7,U460)*V460/SUMIFS($V$7:$V$1576,$U$7:$U$1576,U460),0),0)</f>
        <v>0</v>
      </c>
    </row>
    <row r="461" customFormat="false" ht="15" hidden="false" customHeight="false" outlineLevel="0" collapsed="false">
      <c r="A461" s="55" t="s">
        <v>1027</v>
      </c>
      <c r="B461" s="55" t="s">
        <v>1028</v>
      </c>
      <c r="C461" s="55" t="s">
        <v>160</v>
      </c>
      <c r="D461" s="55" t="s">
        <v>178</v>
      </c>
      <c r="E461" s="55" t="s">
        <v>210</v>
      </c>
      <c r="F461" s="56" t="n">
        <v>31.29</v>
      </c>
      <c r="G461" s="57" t="n">
        <f aca="false">MAX(0,IF(AND(Parameter!$B$21="Ja",ISNUMBER(W461)),W461,IF(Parameter!$B$20="Jahresanfang 2025 + Export",BJ461+BI461,BI461)))</f>
        <v>25</v>
      </c>
      <c r="H461" s="57" t="n">
        <f aca="false">G461*F461</f>
        <v>782.25</v>
      </c>
      <c r="I461" s="57" t="n">
        <f aca="false">BL461*Parameter!$B$18</f>
        <v>202</v>
      </c>
      <c r="J461" s="58" t="n">
        <v>137</v>
      </c>
      <c r="K461" s="59" t="n">
        <v>1.47445255474453</v>
      </c>
      <c r="L461" s="57" t="n">
        <v>11</v>
      </c>
      <c r="M461" s="57" t="n">
        <v>150</v>
      </c>
      <c r="N461" s="60" t="n">
        <v>21</v>
      </c>
      <c r="O461" s="55" t="s">
        <v>218</v>
      </c>
      <c r="P461" s="57" t="n">
        <v>228</v>
      </c>
      <c r="Q461" s="60" t="n">
        <f aca="false">IF(BR461=1,0,IFERROR(VLOOKUP(BP461,'Gebinde-Kategorie'!$A$5:$M$45,13,0)+0,0))</f>
        <v>12</v>
      </c>
      <c r="R461" s="61"/>
      <c r="S461" s="62"/>
      <c r="T461" s="62"/>
      <c r="U461" s="55"/>
      <c r="V461" s="57"/>
      <c r="W461" s="57"/>
      <c r="X461" s="55" t="n">
        <f aca="false">IF(A461="","",IF(AND(Parameter!$B$21="Ja",ISNUMBER(U461)),U461,IF(IFERROR(VLOOKUP(D461,Parameter!$A$35:$C$64,2,0),"Nein")="2+3",IF(ISNUMBER(SEARCH("grosser Artikel",BM461)),2,IFERROR(VLOOKUP(BP461,Parameter!$F$35:$G$64,2,0),2)),IF(OR(IFERROR(VLOOKUP(D461,Parameter!$A$35:$C$64,2,0),"Nein")="Nein",IFERROR(VLOOKUP(D461,Parameter!$A$35:$C$64,2,0),"Nein")=""),"-",VLOOKUP(D461,Parameter!$A$35:$C$64,2,0)))))</f>
        <v>2</v>
      </c>
      <c r="Y461" s="62"/>
      <c r="Z461" s="63"/>
      <c r="AA461" s="57" t="n">
        <f aca="false">AP461</f>
        <v>228</v>
      </c>
      <c r="AB461" s="57" t="n">
        <f aca="false">MAX(AP461,G461)</f>
        <v>228</v>
      </c>
      <c r="AC461" s="64"/>
      <c r="AD461" s="57" t="n">
        <f aca="false">IF(LEFT(Cockpit!$C$5,1)="A",G461,IF(BW461=1,BX461,IF(LEFT(Cockpit!$C$5,1)="B",AH461,MAX(AH461,G461))))</f>
        <v>25</v>
      </c>
      <c r="AE461" s="57" t="n">
        <f aca="false">IF(BR461=1,0,ROUNDUP(AD461/BQ461,0))</f>
        <v>1</v>
      </c>
      <c r="AF461" s="59" t="n">
        <f aca="false">IF(CD461&gt;0,CD461*MAX(1,AD461/V461),IF(BR461=1,IF(AD461&lt;=0,0,BS461*MAX(1,IF(G461&gt;0,AD461/G461,1))),IF(Q461&gt;0,AE461/Q461,0))/MAX(0.1,N(Parameter!$M$21)))</f>
        <v>0.0833333333333333</v>
      </c>
      <c r="AG461" s="57" t="n">
        <f aca="false">AD461*F461</f>
        <v>782.25</v>
      </c>
      <c r="AH461" s="57" t="n">
        <f aca="false">ROUNDUP(MAX(I461/IF(BV461&gt;0,BV461,MAX(0.1,N(Cockpit!$C$6))),BY461)/BQ461,0)*BQ461</f>
        <v>228</v>
      </c>
      <c r="AI461" s="58" t="n">
        <f aca="false">IF(AF461&gt;0,I461/AF461,-1)</f>
        <v>2424</v>
      </c>
      <c r="AJ461" s="58" t="n">
        <f aca="false">IF(AND(OR(BU461="L1",BU461="L23"),AF461&gt;0),SUMIFS($AF$7:$AF$1576,$BU$7:$BU$1576,BU461,$AI$7:$AI$1576,"&gt;"&amp;AI461)+SUMIFS($AF$7:$AF$1576,$BU$7:$BU$1576,BU461,$AI$7:$AI$1576,AI461,$BO$7:$BO$1576,"&lt;="&amp;BO461),"")</f>
        <v>5.84127529475356</v>
      </c>
      <c r="AK461" s="65" t="n">
        <f aca="false">IF(AJ461="",0,MAX(0,MIN(1,(IF(BU461="L1",Parameter!$E$5,Parameter!$E$6+Parameter!$E$7)-(AJ461-AF461))/AF461)))</f>
        <v>1</v>
      </c>
      <c r="AL461" s="57" t="n">
        <f aca="false">IF(LEFT(Cockpit!$I$5,1)="A",G461,IF(BW461=1,BX461,IF(LEFT(Cockpit!$I$5,1)="B",AP461,MAX(AP461,G461))))</f>
        <v>228</v>
      </c>
      <c r="AM461" s="57" t="n">
        <f aca="false">IF(BR461=1,0,ROUNDUP(AL461/BQ461,0))</f>
        <v>1</v>
      </c>
      <c r="AN461" s="59" t="n">
        <f aca="false">IF(CD461&gt;0,CD461*MAX(1,AL461/V461),IF(BR461=1,IF(AL461&lt;=0,0,BS461*MAX(1,IF(G461&gt;0,AL461/G461,1))),IF(Q461&gt;0,AM461/Q461,0))/MAX(0.1,N(Parameter!$M$21)))</f>
        <v>0.0833333333333333</v>
      </c>
      <c r="AO461" s="57" t="n">
        <f aca="false">AL461*F461</f>
        <v>7134.12</v>
      </c>
      <c r="AP461" s="57" t="n">
        <f aca="false">ROUNDUP(MAX(I461/IF(BV461&gt;0,BV461,MAX(0.1,N(Cockpit!$I$6))),BY461)/BQ461,0)*BQ461</f>
        <v>228</v>
      </c>
      <c r="AQ461" s="58" t="n">
        <f aca="false">IF(AN461&gt;0,I461/AN461,-1)</f>
        <v>2424</v>
      </c>
      <c r="AR461" s="58" t="n">
        <f aca="false">IF(AND(OR(BU461="L1",BU461="L23"),AN461&gt;0),SUMIFS($AN$7:$AN$1576,$BU$7:$BU$1576,BU461,$AQ$7:$AQ$1576,"&gt;"&amp;AQ461)+SUMIFS($AN$7:$AN$1576,$BU$7:$BU$1576,BU461,$AQ$7:$AQ$1576,AQ461,$BO$7:$BO$1576,"&lt;="&amp;BO461),"")</f>
        <v>15.6917647693846</v>
      </c>
      <c r="AS461" s="65" t="n">
        <f aca="false">IF(AR461="",0,MAX(0,MIN(1,(IF(BU461="L1",Parameter!$E$5,Parameter!$E$6+Parameter!$E$7)-(AR461-AN461))/AN461)))</f>
        <v>1</v>
      </c>
      <c r="AT461" s="57" t="n">
        <f aca="false">IF(LEFT(Cockpit!$O$5,1)="A",G461,IF(BW461=1,BX461,IF(LEFT(Cockpit!$O$5,1)="B",AX461,MAX(AX461,G461))))</f>
        <v>228</v>
      </c>
      <c r="AU461" s="57" t="n">
        <f aca="false">IF(BR461=1,0,ROUNDUP(AT461/BQ461,0))</f>
        <v>1</v>
      </c>
      <c r="AV461" s="59" t="n">
        <f aca="false">IF(CD461&gt;0,CD461*MAX(1,AT461/V461),IF(BR461=1,IF(AT461&lt;=0,0,BS461*MAX(1,IF(G461&gt;0,AT461/G461,1))),IF(Q461&gt;0,AU461/Q461,0))/MAX(0.1,N(Parameter!$M$21)))</f>
        <v>0.0833333333333333</v>
      </c>
      <c r="AW461" s="57" t="n">
        <f aca="false">AT461*F461</f>
        <v>7134.12</v>
      </c>
      <c r="AX461" s="57" t="n">
        <f aca="false">ROUNDUP(MAX(I461/IF(BV461&gt;0,BV461,MAX(0.1,N(Cockpit!$O$6))),BY461)/BQ461,0)*BQ461</f>
        <v>228</v>
      </c>
      <c r="AY461" s="58" t="n">
        <f aca="false">IF(AV461&gt;0,I461/AV461,-1)</f>
        <v>2424</v>
      </c>
      <c r="AZ461" s="58" t="n">
        <f aca="false">IF(AND(OR(BU461="L1",BU461="L23"),AV461&gt;0),SUMIFS($AV$7:$AV$1576,$BU$7:$BU$1576,BU461,$AY$7:$AY$1576,"&gt;"&amp;AY461)+SUMIFS($AV$7:$AV$1576,$BU$7:$BU$1576,BU461,$AY$7:$AY$1576,AY461,$BO$7:$BO$1576,"&lt;="&amp;BO461),"")</f>
        <v>14.4959605735804</v>
      </c>
      <c r="BA461" s="65" t="n">
        <f aca="false">IF(AZ461="",0,MAX(0,MIN(1,(IF(BU461="L1",Parameter!$E$5,Parameter!$E$6+Parameter!$E$7)-(AZ461-AV461))/AV461)))</f>
        <v>1</v>
      </c>
      <c r="BB461" s="55" t="str">
        <f aca="false">IF(AF461&lt;=0,"",IF(BU461="Aussen","Aussenlager",IF(BU461="-","Nicht im Lift",IF(AK461&gt;=1,"Lift",IF(AK461&lt;=0,"Aussenlager","teilweise")))))</f>
        <v>Lift</v>
      </c>
      <c r="BC461" s="55" t="str">
        <f aca="false">IF(AN461&lt;=0,"",IF(BU461="Aussen","Aussenlager",IF(BU461="-","Nicht im Lift",IF(AS461&gt;=1,"Lift",IF(AS461&lt;=0,"Aussenlager","teilweise")))))</f>
        <v>Lift</v>
      </c>
      <c r="BD461" s="55" t="str">
        <f aca="false">IF(AV461&lt;=0,"",IF(BU461="Aussen","Aussenlager",IF(BU461="-","Nicht im Lift",IF(BA461&gt;=1,"Lift",IF(BA461&lt;=0,"Aussenlager","teilweise")))))</f>
        <v>Lift</v>
      </c>
      <c r="BE461" s="55" t="str">
        <f aca="false">IF(A461="","",IF(BN461=1,"Neu; ","")&amp;IF(AND(BN461=0,BI461&lt;0),"negativer Bestand (Export "&amp;BI461&amp;"); ","")&amp;IF(I461&lt;=0,"Kein Verbrauch; ","")&amp;IF(CD461&gt;0,"Lift "&amp;U461&amp;" lt. Liftbericht (Fach "&amp;V461&amp;" Stk); ",IF(BR461=1,"Lose – Fläche geschätzt; ",""))&amp;IF(G461&gt;AP461,"Überbestand "&amp;ROUND(G461-AP461,0)&amp;" Stk / CHF "&amp;ROUND((G461-AP461)*F461,0)&amp;"; ","")&amp;IF(AND(BW461=1,BX461&lt;BY461),"MAX &lt; MB+LG; ","")&amp;IF(AND(CC461&gt;0,CB461*10&gt;CC461),"zu hoch für Tablar; ","")&amp;IF(AND(BN461=0,OR(BW461=1,Y461&lt;&gt;"",S461&lt;&gt;"",T461&lt;&gt;"",Z461&lt;&gt;"")),"manuell übersteuert; ","")&amp;IF(AND(BR461=0,Q461=0),"Gebinde unbekannt / Stellmass fehlt; ","")&amp;IF(AND(BR461=0,N(T461)&lt;=0,N(P461)&lt;=0),"Menge pro Gebinde fehlt (Ist = 1 Gebinde); ","")&amp;BM461)</f>
        <v/>
      </c>
      <c r="BF461" s="55"/>
      <c r="BG461" s="55"/>
      <c r="BH461" s="62"/>
      <c r="BI461" s="57" t="n">
        <v>25</v>
      </c>
      <c r="BJ461" s="57" t="n">
        <v>159</v>
      </c>
      <c r="BK461" s="56" t="n">
        <v>57.6100000000038</v>
      </c>
      <c r="BL461" s="57" t="n">
        <v>202</v>
      </c>
      <c r="BM461" s="55"/>
      <c r="BN461" s="60" t="n">
        <v>0</v>
      </c>
      <c r="BO461" s="60" t="n">
        <v>461</v>
      </c>
      <c r="BP461" s="55" t="str">
        <f aca="false">IF(S461&lt;&gt;"",UPPER(TRIM(S461)),IF(O461="","LOSE",O461))</f>
        <v>S63</v>
      </c>
      <c r="BQ461" s="57" t="n">
        <f aca="false">IF(BP461="LOSE",1,IF(N(T461)&gt;0,T461,IF(N(P461)&gt;0,P461,MAX(1,G461))))</f>
        <v>228</v>
      </c>
      <c r="BR461" s="60" t="n">
        <f aca="false">IF(BP461="LOSE",1,0)</f>
        <v>0</v>
      </c>
      <c r="BS461" s="59" t="n">
        <f aca="false">IF(BR461=0,0,IF(N(R461)&gt;0,R461,IFERROR(VLOOKUP(D461,Parameter!$A$35:$C$64,3,0)+0,0)))</f>
        <v>0</v>
      </c>
      <c r="BT461" s="55" t="n">
        <f aca="false">IF(Y461&lt;&gt;"",Y461,X461)</f>
        <v>2</v>
      </c>
      <c r="BU461" s="55" t="str">
        <f aca="false">IF(BT461=1,"L1",IF(OR(BT461=2,BT461=3),"L23",IF(BT461="Aussen","Aussen","-")))</f>
        <v>L23</v>
      </c>
      <c r="BV461" s="66" t="n">
        <f aca="false">IF(N(Z461)&gt;0,Z461,0)</f>
        <v>0</v>
      </c>
      <c r="BW461" s="60" t="n">
        <f aca="false">IF(ISNUMBER(AC461),1,0)</f>
        <v>0</v>
      </c>
      <c r="BX461" s="57" t="n">
        <f aca="false">N(AC461)</f>
        <v>0</v>
      </c>
      <c r="BY461" s="57" t="n">
        <f aca="false">N(L461)+N(M461)</f>
        <v>161</v>
      </c>
      <c r="BZ461" s="57" t="n">
        <f aca="false">ROUNDUP(G461/BQ461,0)</f>
        <v>1</v>
      </c>
      <c r="CA461" s="57" t="n">
        <f aca="false">ROUNDUP(BX461/BQ461,0)</f>
        <v>0</v>
      </c>
      <c r="CB461" s="60" t="n">
        <f aca="false">IF(BR461=1,0,IFERROR(VLOOKUP(BP461,'Gebinde-Kategorie'!$A$5:$M$45,5,0)+0,0))</f>
        <v>31</v>
      </c>
      <c r="CC461" s="60" t="n">
        <f aca="false">IFERROR(IF(OR(BT461=1,BT461=2,BT461=3),N(INDEX(Parameter!$I$5:$I$7,BT461)),0),0)</f>
        <v>0</v>
      </c>
      <c r="CD461" s="59" t="n">
        <f aca="false">IF(AND(Parameter!$B$21="Ja",ISNUMBER(U461),N(V461)&gt;0),IFERROR(N(INDEX(Parameter!$L$5:$L$7,U461))*INDEX(Parameter!$E$5:$E$7,U461)*V461/SUMIFS($V$7:$V$1576,$U$7:$U$1576,U461),0),0)</f>
        <v>0</v>
      </c>
    </row>
    <row r="462" customFormat="false" ht="15" hidden="false" customHeight="false" outlineLevel="0" collapsed="false">
      <c r="A462" s="55" t="s">
        <v>1029</v>
      </c>
      <c r="B462" s="55" t="s">
        <v>1030</v>
      </c>
      <c r="C462" s="55" t="s">
        <v>160</v>
      </c>
      <c r="D462" s="55" t="s">
        <v>178</v>
      </c>
      <c r="E462" s="55" t="s">
        <v>210</v>
      </c>
      <c r="F462" s="56" t="n">
        <v>42.77</v>
      </c>
      <c r="G462" s="57" t="n">
        <f aca="false">MAX(0,IF(AND(Parameter!$B$21="Ja",ISNUMBER(W462)),W462,IF(Parameter!$B$20="Jahresanfang 2025 + Export",BJ462+BI462,BI462)))</f>
        <v>1</v>
      </c>
      <c r="H462" s="57" t="n">
        <f aca="false">G462*F462</f>
        <v>42.77</v>
      </c>
      <c r="I462" s="57" t="n">
        <f aca="false">BL462*Parameter!$B$18</f>
        <v>3</v>
      </c>
      <c r="J462" s="58" t="n">
        <v>7.5</v>
      </c>
      <c r="K462" s="59" t="n">
        <v>0.4</v>
      </c>
      <c r="L462" s="57" t="n">
        <v>0</v>
      </c>
      <c r="M462" s="57" t="n">
        <v>5</v>
      </c>
      <c r="N462" s="60" t="n">
        <v>21</v>
      </c>
      <c r="O462" s="55" t="s">
        <v>411</v>
      </c>
      <c r="P462" s="57" t="n">
        <v>11</v>
      </c>
      <c r="Q462" s="60" t="n">
        <f aca="false">IF(BR462=1,0,IFERROR(VLOOKUP(BP462,'Gebinde-Kategorie'!$A$5:$M$45,13,0)+0,0))</f>
        <v>132</v>
      </c>
      <c r="R462" s="61"/>
      <c r="S462" s="62"/>
      <c r="T462" s="62"/>
      <c r="U462" s="55"/>
      <c r="V462" s="57"/>
      <c r="W462" s="57"/>
      <c r="X462" s="55" t="n">
        <f aca="false">IF(A462="","",IF(AND(Parameter!$B$21="Ja",ISNUMBER(U462)),U462,IF(IFERROR(VLOOKUP(D462,Parameter!$A$35:$C$64,2,0),"Nein")="2+3",IF(ISNUMBER(SEARCH("grosser Artikel",BM462)),2,IFERROR(VLOOKUP(BP462,Parameter!$F$35:$G$64,2,0),2)),IF(OR(IFERROR(VLOOKUP(D462,Parameter!$A$35:$C$64,2,0),"Nein")="Nein",IFERROR(VLOOKUP(D462,Parameter!$A$35:$C$64,2,0),"Nein")=""),"-",VLOOKUP(D462,Parameter!$A$35:$C$64,2,0)))))</f>
        <v>3</v>
      </c>
      <c r="Y462" s="62"/>
      <c r="Z462" s="63"/>
      <c r="AA462" s="57" t="n">
        <f aca="false">AP462</f>
        <v>11</v>
      </c>
      <c r="AB462" s="57" t="n">
        <f aca="false">MAX(AP462,G462)</f>
        <v>11</v>
      </c>
      <c r="AC462" s="64"/>
      <c r="AD462" s="57" t="n">
        <f aca="false">IF(LEFT(Cockpit!$C$5,1)="A",G462,IF(BW462=1,BX462,IF(LEFT(Cockpit!$C$5,1)="B",AH462,MAX(AH462,G462))))</f>
        <v>1</v>
      </c>
      <c r="AE462" s="57" t="n">
        <f aca="false">IF(BR462=1,0,ROUNDUP(AD462/BQ462,0))</f>
        <v>1</v>
      </c>
      <c r="AF462" s="59" t="n">
        <f aca="false">IF(CD462&gt;0,CD462*MAX(1,AD462/V462),IF(BR462=1,IF(AD462&lt;=0,0,BS462*MAX(1,IF(G462&gt;0,AD462/G462,1))),IF(Q462&gt;0,AE462/Q462,0))/MAX(0.1,N(Parameter!$M$21)))</f>
        <v>0.00757575757575758</v>
      </c>
      <c r="AG462" s="57" t="n">
        <f aca="false">AD462*F462</f>
        <v>42.77</v>
      </c>
      <c r="AH462" s="57" t="n">
        <f aca="false">ROUNDUP(MAX(I462/IF(BV462&gt;0,BV462,MAX(0.1,N(Cockpit!$C$6))),BY462)/BQ462,0)*BQ462</f>
        <v>11</v>
      </c>
      <c r="AI462" s="58" t="n">
        <f aca="false">IF(AF462&gt;0,I462/AF462,-1)</f>
        <v>396</v>
      </c>
      <c r="AJ462" s="58" t="n">
        <f aca="false">IF(AND(OR(BU462="L1",BU462="L23"),AF462&gt;0),SUMIFS($AF$7:$AF$1576,$BU$7:$BU$1576,BU462,$AI$7:$AI$1576,"&gt;"&amp;AI462)+SUMIFS($AF$7:$AF$1576,$BU$7:$BU$1576,BU462,$AI$7:$AI$1576,AI462,$BO$7:$BO$1576,"&lt;="&amp;BO462),"")</f>
        <v>13.4759541907368</v>
      </c>
      <c r="AK462" s="65" t="n">
        <f aca="false">IF(AJ462="",0,MAX(0,MIN(1,(IF(BU462="L1",Parameter!$E$5,Parameter!$E$6+Parameter!$E$7)-(AJ462-AF462))/AF462)))</f>
        <v>1</v>
      </c>
      <c r="AL462" s="57" t="n">
        <f aca="false">IF(LEFT(Cockpit!$I$5,1)="A",G462,IF(BW462=1,BX462,IF(LEFT(Cockpit!$I$5,1)="B",AP462,MAX(AP462,G462))))</f>
        <v>11</v>
      </c>
      <c r="AM462" s="57" t="n">
        <f aca="false">IF(BR462=1,0,ROUNDUP(AL462/BQ462,0))</f>
        <v>1</v>
      </c>
      <c r="AN462" s="59" t="n">
        <f aca="false">IF(CD462&gt;0,CD462*MAX(1,AL462/V462),IF(BR462=1,IF(AL462&lt;=0,0,BS462*MAX(1,IF(G462&gt;0,AL462/G462,1))),IF(Q462&gt;0,AM462/Q462,0))/MAX(0.1,N(Parameter!$M$21)))</f>
        <v>0.00757575757575758</v>
      </c>
      <c r="AO462" s="57" t="n">
        <f aca="false">AL462*F462</f>
        <v>470.47</v>
      </c>
      <c r="AP462" s="57" t="n">
        <f aca="false">ROUNDUP(MAX(I462/IF(BV462&gt;0,BV462,MAX(0.1,N(Cockpit!$I$6))),BY462)/BQ462,0)*BQ462</f>
        <v>11</v>
      </c>
      <c r="AQ462" s="58" t="n">
        <f aca="false">IF(AN462&gt;0,I462/AN462,-1)</f>
        <v>396</v>
      </c>
      <c r="AR462" s="58" t="n">
        <f aca="false">IF(AND(OR(BU462="L1",BU462="L23"),AN462&gt;0),SUMIFS($AN$7:$AN$1576,$BU$7:$BU$1576,BU462,$AQ$7:$AQ$1576,"&gt;"&amp;AQ462)+SUMIFS($AN$7:$AN$1576,$BU$7:$BU$1576,BU462,$AQ$7:$AQ$1576,AQ462,$BO$7:$BO$1576,"&lt;="&amp;BO462),"")</f>
        <v>36.7662834391207</v>
      </c>
      <c r="AS462" s="65" t="n">
        <f aca="false">IF(AR462="",0,MAX(0,MIN(1,(IF(BU462="L1",Parameter!$E$5,Parameter!$E$6+Parameter!$E$7)-(AR462-AN462))/AN462)))</f>
        <v>1</v>
      </c>
      <c r="AT462" s="57" t="n">
        <f aca="false">IF(LEFT(Cockpit!$O$5,1)="A",G462,IF(BW462=1,BX462,IF(LEFT(Cockpit!$O$5,1)="B",AX462,MAX(AX462,G462))))</f>
        <v>11</v>
      </c>
      <c r="AU462" s="57" t="n">
        <f aca="false">IF(BR462=1,0,ROUNDUP(AT462/BQ462,0))</f>
        <v>1</v>
      </c>
      <c r="AV462" s="59" t="n">
        <f aca="false">IF(CD462&gt;0,CD462*MAX(1,AT462/V462),IF(BR462=1,IF(AT462&lt;=0,0,BS462*MAX(1,IF(G462&gt;0,AT462/G462,1))),IF(Q462&gt;0,AU462/Q462,0))/MAX(0.1,N(Parameter!$M$21)))</f>
        <v>0.00757575757575758</v>
      </c>
      <c r="AW462" s="57" t="n">
        <f aca="false">AT462*F462</f>
        <v>470.47</v>
      </c>
      <c r="AX462" s="57" t="n">
        <f aca="false">ROUNDUP(MAX(I462/IF(BV462&gt;0,BV462,MAX(0.1,N(Cockpit!$O$6))),BY462)/BQ462,0)*BQ462</f>
        <v>11</v>
      </c>
      <c r="AY462" s="58" t="n">
        <f aca="false">IF(AV462&gt;0,I462/AV462,-1)</f>
        <v>396</v>
      </c>
      <c r="AZ462" s="58" t="n">
        <f aca="false">IF(AND(OR(BU462="L1",BU462="L23"),AV462&gt;0),SUMIFS($AV$7:$AV$1576,$BU$7:$BU$1576,BU462,$AY$7:$AY$1576,"&gt;"&amp;AY462)+SUMIFS($AV$7:$AV$1576,$BU$7:$BU$1576,BU462,$AY$7:$AY$1576,AY462,$BO$7:$BO$1576,"&lt;="&amp;BO462),"")</f>
        <v>35.9310286938659</v>
      </c>
      <c r="BA462" s="65" t="n">
        <f aca="false">IF(AZ462="",0,MAX(0,MIN(1,(IF(BU462="L1",Parameter!$E$5,Parameter!$E$6+Parameter!$E$7)-(AZ462-AV462))/AV462)))</f>
        <v>1</v>
      </c>
      <c r="BB462" s="55" t="str">
        <f aca="false">IF(AF462&lt;=0,"",IF(BU462="Aussen","Aussenlager",IF(BU462="-","Nicht im Lift",IF(AK462&gt;=1,"Lift",IF(AK462&lt;=0,"Aussenlager","teilweise")))))</f>
        <v>Lift</v>
      </c>
      <c r="BC462" s="55" t="str">
        <f aca="false">IF(AN462&lt;=0,"",IF(BU462="Aussen","Aussenlager",IF(BU462="-","Nicht im Lift",IF(AS462&gt;=1,"Lift",IF(AS462&lt;=0,"Aussenlager","teilweise")))))</f>
        <v>Lift</v>
      </c>
      <c r="BD462" s="55" t="str">
        <f aca="false">IF(AV462&lt;=0,"",IF(BU462="Aussen","Aussenlager",IF(BU462="-","Nicht im Lift",IF(BA462&gt;=1,"Lift",IF(BA462&lt;=0,"Aussenlager","teilweise")))))</f>
        <v>Lift</v>
      </c>
      <c r="BE462" s="55" t="str">
        <f aca="false">IF(A462="","",IF(BN462=1,"Neu; ","")&amp;IF(AND(BN462=0,BI462&lt;0),"negativer Bestand (Export "&amp;BI462&amp;"); ","")&amp;IF(I462&lt;=0,"Kein Verbrauch; ","")&amp;IF(CD462&gt;0,"Lift "&amp;U462&amp;" lt. Liftbericht (Fach "&amp;V462&amp;" Stk); ",IF(BR462=1,"Lose – Fläche geschätzt; ",""))&amp;IF(G462&gt;AP462,"Überbestand "&amp;ROUND(G462-AP462,0)&amp;" Stk / CHF "&amp;ROUND((G462-AP462)*F462,0)&amp;"; ","")&amp;IF(AND(BW462=1,BX462&lt;BY462),"MAX &lt; MB+LG; ","")&amp;IF(AND(CC462&gt;0,CB462*10&gt;CC462),"zu hoch für Tablar; ","")&amp;IF(AND(BN462=0,OR(BW462=1,Y462&lt;&gt;"",S462&lt;&gt;"",T462&lt;&gt;"",Z462&lt;&gt;"")),"manuell übersteuert; ","")&amp;IF(AND(BR462=0,Q462=0),"Gebinde unbekannt / Stellmass fehlt; ","")&amp;IF(AND(BR462=0,N(T462)&lt;=0,N(P462)&lt;=0),"Menge pro Gebinde fehlt (Ist = 1 Gebinde); ","")&amp;BM462)</f>
        <v>Neu</v>
      </c>
      <c r="BF462" s="55"/>
      <c r="BG462" s="55"/>
      <c r="BH462" s="62"/>
      <c r="BI462" s="57" t="n">
        <v>1</v>
      </c>
      <c r="BJ462" s="57" t="n">
        <v>7</v>
      </c>
      <c r="BK462" s="56" t="n">
        <v>57.47</v>
      </c>
      <c r="BL462" s="57" t="n">
        <v>3</v>
      </c>
      <c r="BM462" s="55" t="s">
        <v>615</v>
      </c>
      <c r="BN462" s="60" t="n">
        <v>0</v>
      </c>
      <c r="BO462" s="60" t="n">
        <v>462</v>
      </c>
      <c r="BP462" s="55" t="str">
        <f aca="false">IF(S462&lt;&gt;"",UPPER(TRIM(S462)),IF(O462="","LOSE",O462))</f>
        <v>S32</v>
      </c>
      <c r="BQ462" s="57" t="n">
        <f aca="false">IF(BP462="LOSE",1,IF(N(T462)&gt;0,T462,IF(N(P462)&gt;0,P462,MAX(1,G462))))</f>
        <v>11</v>
      </c>
      <c r="BR462" s="60" t="n">
        <f aca="false">IF(BP462="LOSE",1,0)</f>
        <v>0</v>
      </c>
      <c r="BS462" s="59" t="n">
        <f aca="false">IF(BR462=0,0,IF(N(R462)&gt;0,R462,IFERROR(VLOOKUP(D462,Parameter!$A$35:$C$64,3,0)+0,0)))</f>
        <v>0</v>
      </c>
      <c r="BT462" s="55" t="n">
        <f aca="false">IF(Y462&lt;&gt;"",Y462,X462)</f>
        <v>3</v>
      </c>
      <c r="BU462" s="55" t="str">
        <f aca="false">IF(BT462=1,"L1",IF(OR(BT462=2,BT462=3),"L23",IF(BT462="Aussen","Aussen","-")))</f>
        <v>L23</v>
      </c>
      <c r="BV462" s="66" t="n">
        <f aca="false">IF(N(Z462)&gt;0,Z462,0)</f>
        <v>0</v>
      </c>
      <c r="BW462" s="60" t="n">
        <f aca="false">IF(ISNUMBER(AC462),1,0)</f>
        <v>0</v>
      </c>
      <c r="BX462" s="57" t="n">
        <f aca="false">N(AC462)</f>
        <v>0</v>
      </c>
      <c r="BY462" s="57" t="n">
        <f aca="false">N(L462)+N(M462)</f>
        <v>5</v>
      </c>
      <c r="BZ462" s="57" t="n">
        <f aca="false">ROUNDUP(G462/BQ462,0)</f>
        <v>1</v>
      </c>
      <c r="CA462" s="57" t="n">
        <f aca="false">ROUNDUP(BX462/BQ462,0)</f>
        <v>0</v>
      </c>
      <c r="CB462" s="60" t="n">
        <f aca="false">IF(BR462=1,0,IFERROR(VLOOKUP(BP462,'Gebinde-Kategorie'!$A$5:$M$45,5,0)+0,0))</f>
        <v>8</v>
      </c>
      <c r="CC462" s="60" t="n">
        <f aca="false">IFERROR(IF(OR(BT462=1,BT462=2,BT462=3),N(INDEX(Parameter!$I$5:$I$7,BT462)),0),0)</f>
        <v>0</v>
      </c>
      <c r="CD462" s="59" t="n">
        <f aca="false">IF(AND(Parameter!$B$21="Ja",ISNUMBER(U462),N(V462)&gt;0),IFERROR(N(INDEX(Parameter!$L$5:$L$7,U462))*INDEX(Parameter!$E$5:$E$7,U462)*V462/SUMIFS($V$7:$V$1576,$U$7:$U$1576,U462),0),0)</f>
        <v>0</v>
      </c>
    </row>
    <row r="463" customFormat="false" ht="15" hidden="false" customHeight="false" outlineLevel="0" collapsed="false">
      <c r="A463" s="55" t="s">
        <v>1031</v>
      </c>
      <c r="B463" s="55" t="s">
        <v>537</v>
      </c>
      <c r="C463" s="55" t="s">
        <v>160</v>
      </c>
      <c r="D463" s="55" t="s">
        <v>178</v>
      </c>
      <c r="E463" s="55" t="s">
        <v>210</v>
      </c>
      <c r="F463" s="56" t="n">
        <v>57.39</v>
      </c>
      <c r="G463" s="57" t="n">
        <f aca="false">MAX(0,IF(AND(Parameter!$B$21="Ja",ISNUMBER(W463)),W463,IF(Parameter!$B$20="Jahresanfang 2025 + Export",BJ463+BI463,BI463)))</f>
        <v>1</v>
      </c>
      <c r="H463" s="57" t="n">
        <f aca="false">G463*F463</f>
        <v>57.39</v>
      </c>
      <c r="I463" s="57" t="n">
        <f aca="false">BL463*Parameter!$B$18</f>
        <v>1</v>
      </c>
      <c r="J463" s="58" t="n">
        <v>2.5</v>
      </c>
      <c r="K463" s="59" t="n">
        <v>0.4</v>
      </c>
      <c r="L463" s="57" t="n">
        <v>0</v>
      </c>
      <c r="M463" s="57" t="n">
        <v>1</v>
      </c>
      <c r="N463" s="60" t="n">
        <v>28</v>
      </c>
      <c r="O463" s="55" t="s">
        <v>319</v>
      </c>
      <c r="P463" s="57" t="n">
        <v>3</v>
      </c>
      <c r="Q463" s="60" t="n">
        <f aca="false">IF(BR463=1,0,IFERROR(VLOOKUP(BP463,'Gebinde-Kategorie'!$A$5:$M$45,13,0)+0,0))</f>
        <v>52</v>
      </c>
      <c r="R463" s="61"/>
      <c r="S463" s="62"/>
      <c r="T463" s="62"/>
      <c r="U463" s="55"/>
      <c r="V463" s="57"/>
      <c r="W463" s="57"/>
      <c r="X463" s="55" t="n">
        <f aca="false">IF(A463="","",IF(AND(Parameter!$B$21="Ja",ISNUMBER(U463)),U463,IF(IFERROR(VLOOKUP(D463,Parameter!$A$35:$C$64,2,0),"Nein")="2+3",IF(ISNUMBER(SEARCH("grosser Artikel",BM463)),2,IFERROR(VLOOKUP(BP463,Parameter!$F$35:$G$64,2,0),2)),IF(OR(IFERROR(VLOOKUP(D463,Parameter!$A$35:$C$64,2,0),"Nein")="Nein",IFERROR(VLOOKUP(D463,Parameter!$A$35:$C$64,2,0),"Nein")=""),"-",VLOOKUP(D463,Parameter!$A$35:$C$64,2,0)))))</f>
        <v>3</v>
      </c>
      <c r="Y463" s="62"/>
      <c r="Z463" s="63"/>
      <c r="AA463" s="57" t="n">
        <f aca="false">AP463</f>
        <v>3</v>
      </c>
      <c r="AB463" s="57" t="n">
        <f aca="false">MAX(AP463,G463)</f>
        <v>3</v>
      </c>
      <c r="AC463" s="64"/>
      <c r="AD463" s="57" t="n">
        <f aca="false">IF(LEFT(Cockpit!$C$5,1)="A",G463,IF(BW463=1,BX463,IF(LEFT(Cockpit!$C$5,1)="B",AH463,MAX(AH463,G463))))</f>
        <v>1</v>
      </c>
      <c r="AE463" s="57" t="n">
        <f aca="false">IF(BR463=1,0,ROUNDUP(AD463/BQ463,0))</f>
        <v>1</v>
      </c>
      <c r="AF463" s="59" t="n">
        <f aca="false">IF(CD463&gt;0,CD463*MAX(1,AD463/V463),IF(BR463=1,IF(AD463&lt;=0,0,BS463*MAX(1,IF(G463&gt;0,AD463/G463,1))),IF(Q463&gt;0,AE463/Q463,0))/MAX(0.1,N(Parameter!$M$21)))</f>
        <v>0.0192307692307692</v>
      </c>
      <c r="AG463" s="57" t="n">
        <f aca="false">AD463*F463</f>
        <v>57.39</v>
      </c>
      <c r="AH463" s="57" t="n">
        <f aca="false">ROUNDUP(MAX(I463/IF(BV463&gt;0,BV463,MAX(0.1,N(Cockpit!$C$6))),BY463)/BQ463,0)*BQ463</f>
        <v>3</v>
      </c>
      <c r="AI463" s="58" t="n">
        <f aca="false">IF(AF463&gt;0,I463/AF463,-1)</f>
        <v>52</v>
      </c>
      <c r="AJ463" s="58" t="n">
        <f aca="false">IF(AND(OR(BU463="L1",BU463="L23"),AF463&gt;0),SUMIFS($AF$7:$AF$1576,$BU$7:$BU$1576,BU463,$AI$7:$AI$1576,"&gt;"&amp;AI463)+SUMIFS($AF$7:$AF$1576,$BU$7:$BU$1576,BU463,$AI$7:$AI$1576,AI463,$BO$7:$BO$1576,"&lt;="&amp;BO463),"")</f>
        <v>25.3777098746664</v>
      </c>
      <c r="AK463" s="65" t="n">
        <f aca="false">IF(AJ463="",0,MAX(0,MIN(1,(IF(BU463="L1",Parameter!$E$5,Parameter!$E$6+Parameter!$E$7)-(AJ463-AF463))/AF463)))</f>
        <v>1</v>
      </c>
      <c r="AL463" s="57" t="n">
        <f aca="false">IF(LEFT(Cockpit!$I$5,1)="A",G463,IF(BW463=1,BX463,IF(LEFT(Cockpit!$I$5,1)="B",AP463,MAX(AP463,G463))))</f>
        <v>3</v>
      </c>
      <c r="AM463" s="57" t="n">
        <f aca="false">IF(BR463=1,0,ROUNDUP(AL463/BQ463,0))</f>
        <v>1</v>
      </c>
      <c r="AN463" s="59" t="n">
        <f aca="false">IF(CD463&gt;0,CD463*MAX(1,AL463/V463),IF(BR463=1,IF(AL463&lt;=0,0,BS463*MAX(1,IF(G463&gt;0,AL463/G463,1))),IF(Q463&gt;0,AM463/Q463,0))/MAX(0.1,N(Parameter!$M$21)))</f>
        <v>0.0192307692307692</v>
      </c>
      <c r="AO463" s="57" t="n">
        <f aca="false">AL463*F463</f>
        <v>172.17</v>
      </c>
      <c r="AP463" s="57" t="n">
        <f aca="false">ROUNDUP(MAX(I463/IF(BV463&gt;0,BV463,MAX(0.1,N(Cockpit!$I$6))),BY463)/BQ463,0)*BQ463</f>
        <v>3</v>
      </c>
      <c r="AQ463" s="58" t="n">
        <f aca="false">IF(AN463&gt;0,I463/AN463,-1)</f>
        <v>52</v>
      </c>
      <c r="AR463" s="58" t="n">
        <f aca="false">IF(AND(OR(BU463="L1",BU463="L23"),AN463&gt;0),SUMIFS($AN$7:$AN$1576,$BU$7:$BU$1576,BU463,$AQ$7:$AQ$1576,"&gt;"&amp;AQ463)+SUMIFS($AN$7:$AN$1576,$BU$7:$BU$1576,BU463,$AQ$7:$AQ$1576,AQ463,$BO$7:$BO$1576,"&lt;="&amp;BO463),"")</f>
        <v>82.0414089476701</v>
      </c>
      <c r="AS463" s="65" t="n">
        <f aca="false">IF(AR463="",0,MAX(0,MIN(1,(IF(BU463="L1",Parameter!$E$5,Parameter!$E$6+Parameter!$E$7)-(AR463-AN463))/AN463)))</f>
        <v>1</v>
      </c>
      <c r="AT463" s="57" t="n">
        <f aca="false">IF(LEFT(Cockpit!$O$5,1)="A",G463,IF(BW463=1,BX463,IF(LEFT(Cockpit!$O$5,1)="B",AX463,MAX(AX463,G463))))</f>
        <v>3</v>
      </c>
      <c r="AU463" s="57" t="n">
        <f aca="false">IF(BR463=1,0,ROUNDUP(AT463/BQ463,0))</f>
        <v>1</v>
      </c>
      <c r="AV463" s="59" t="n">
        <f aca="false">IF(CD463&gt;0,CD463*MAX(1,AT463/V463),IF(BR463=1,IF(AT463&lt;=0,0,BS463*MAX(1,IF(G463&gt;0,AT463/G463,1))),IF(Q463&gt;0,AU463/Q463,0))/MAX(0.1,N(Parameter!$M$21)))</f>
        <v>0.0192307692307692</v>
      </c>
      <c r="AW463" s="57" t="n">
        <f aca="false">AT463*F463</f>
        <v>172.17</v>
      </c>
      <c r="AX463" s="57" t="n">
        <f aca="false">ROUNDUP(MAX(I463/IF(BV463&gt;0,BV463,MAX(0.1,N(Cockpit!$O$6))),BY463)/BQ463,0)*BQ463</f>
        <v>3</v>
      </c>
      <c r="AY463" s="58" t="n">
        <f aca="false">IF(AV463&gt;0,I463/AV463,-1)</f>
        <v>52</v>
      </c>
      <c r="AZ463" s="58" t="n">
        <f aca="false">IF(AND(OR(BU463="L1",BU463="L23"),AV463&gt;0),SUMIFS($AV$7:$AV$1576,$BU$7:$BU$1576,BU463,$AY$7:$AY$1576,"&gt;"&amp;AY463)+SUMIFS($AV$7:$AV$1576,$BU$7:$BU$1576,BU463,$AY$7:$AY$1576,AY463,$BO$7:$BO$1576,"&lt;="&amp;BO463),"")</f>
        <v>78.4592927305539</v>
      </c>
      <c r="BA463" s="65" t="n">
        <f aca="false">IF(AZ463="",0,MAX(0,MIN(1,(IF(BU463="L1",Parameter!$E$5,Parameter!$E$6+Parameter!$E$7)-(AZ463-AV463))/AV463)))</f>
        <v>1</v>
      </c>
      <c r="BB463" s="55" t="str">
        <f aca="false">IF(AF463&lt;=0,"",IF(BU463="Aussen","Aussenlager",IF(BU463="-","Nicht im Lift",IF(AK463&gt;=1,"Lift",IF(AK463&lt;=0,"Aussenlager","teilweise")))))</f>
        <v>Lift</v>
      </c>
      <c r="BC463" s="55" t="str">
        <f aca="false">IF(AN463&lt;=0,"",IF(BU463="Aussen","Aussenlager",IF(BU463="-","Nicht im Lift",IF(AS463&gt;=1,"Lift",IF(AS463&lt;=0,"Aussenlager","teilweise")))))</f>
        <v>Lift</v>
      </c>
      <c r="BD463" s="55" t="str">
        <f aca="false">IF(AV463&lt;=0,"",IF(BU463="Aussen","Aussenlager",IF(BU463="-","Nicht im Lift",IF(BA463&gt;=1,"Lift",IF(BA463&lt;=0,"Aussenlager","teilweise")))))</f>
        <v>Lift</v>
      </c>
      <c r="BE463" s="55" t="str">
        <f aca="false">IF(A463="","",IF(BN463=1,"Neu; ","")&amp;IF(AND(BN463=0,BI463&lt;0),"negativer Bestand (Export "&amp;BI463&amp;"); ","")&amp;IF(I463&lt;=0,"Kein Verbrauch; ","")&amp;IF(CD463&gt;0,"Lift "&amp;U463&amp;" lt. Liftbericht (Fach "&amp;V463&amp;" Stk); ",IF(BR463=1,"Lose – Fläche geschätzt; ",""))&amp;IF(G463&gt;AP463,"Überbestand "&amp;ROUND(G463-AP463,0)&amp;" Stk / CHF "&amp;ROUND((G463-AP463)*F463,0)&amp;"; ","")&amp;IF(AND(BW463=1,BX463&lt;BY463),"MAX &lt; MB+LG; ","")&amp;IF(AND(CC463&gt;0,CB463*10&gt;CC463),"zu hoch für Tablar; ","")&amp;IF(AND(BN463=0,OR(BW463=1,Y463&lt;&gt;"",S463&lt;&gt;"",T463&lt;&gt;"",Z463&lt;&gt;"")),"manuell übersteuert; ","")&amp;IF(AND(BR463=0,Q463=0),"Gebinde unbekannt / Stellmass fehlt; ","")&amp;IF(AND(BR463=0,N(T463)&lt;=0,N(P463)&lt;=0),"Menge pro Gebinde fehlt (Ist = 1 Gebinde); ","")&amp;BM463)</f>
        <v/>
      </c>
      <c r="BF463" s="55"/>
      <c r="BG463" s="55"/>
      <c r="BH463" s="62"/>
      <c r="BI463" s="57" t="n">
        <v>1</v>
      </c>
      <c r="BJ463" s="57" t="n">
        <v>2</v>
      </c>
      <c r="BK463" s="56" t="n">
        <v>57.39</v>
      </c>
      <c r="BL463" s="57" t="n">
        <v>1</v>
      </c>
      <c r="BM463" s="55"/>
      <c r="BN463" s="60" t="n">
        <v>0</v>
      </c>
      <c r="BO463" s="60" t="n">
        <v>463</v>
      </c>
      <c r="BP463" s="55" t="str">
        <f aca="false">IF(S463&lt;&gt;"",UPPER(TRIM(S463)),IF(O463="","LOSE",O463))</f>
        <v>S41</v>
      </c>
      <c r="BQ463" s="57" t="n">
        <f aca="false">IF(BP463="LOSE",1,IF(N(T463)&gt;0,T463,IF(N(P463)&gt;0,P463,MAX(1,G463))))</f>
        <v>3</v>
      </c>
      <c r="BR463" s="60" t="n">
        <f aca="false">IF(BP463="LOSE",1,0)</f>
        <v>0</v>
      </c>
      <c r="BS463" s="59" t="n">
        <f aca="false">IF(BR463=0,0,IF(N(R463)&gt;0,R463,IFERROR(VLOOKUP(D463,Parameter!$A$35:$C$64,3,0)+0,0)))</f>
        <v>0</v>
      </c>
      <c r="BT463" s="55" t="n">
        <f aca="false">IF(Y463&lt;&gt;"",Y463,X463)</f>
        <v>3</v>
      </c>
      <c r="BU463" s="55" t="str">
        <f aca="false">IF(BT463=1,"L1",IF(OR(BT463=2,BT463=3),"L23",IF(BT463="Aussen","Aussen","-")))</f>
        <v>L23</v>
      </c>
      <c r="BV463" s="66" t="n">
        <f aca="false">IF(N(Z463)&gt;0,Z463,0)</f>
        <v>0</v>
      </c>
      <c r="BW463" s="60" t="n">
        <f aca="false">IF(ISNUMBER(AC463),1,0)</f>
        <v>0</v>
      </c>
      <c r="BX463" s="57" t="n">
        <f aca="false">N(AC463)</f>
        <v>0</v>
      </c>
      <c r="BY463" s="57" t="n">
        <f aca="false">N(L463)+N(M463)</f>
        <v>1</v>
      </c>
      <c r="BZ463" s="57" t="n">
        <f aca="false">ROUNDUP(G463/BQ463,0)</f>
        <v>1</v>
      </c>
      <c r="CA463" s="57" t="n">
        <f aca="false">ROUNDUP(BX463/BQ463,0)</f>
        <v>0</v>
      </c>
      <c r="CB463" s="60" t="n">
        <f aca="false">IF(BR463=1,0,IFERROR(VLOOKUP(BP463,'Gebinde-Kategorie'!$A$5:$M$45,5,0)+0,0))</f>
        <v>11</v>
      </c>
      <c r="CC463" s="60" t="n">
        <f aca="false">IFERROR(IF(OR(BT463=1,BT463=2,BT463=3),N(INDEX(Parameter!$I$5:$I$7,BT463)),0),0)</f>
        <v>0</v>
      </c>
      <c r="CD463" s="59" t="n">
        <f aca="false">IF(AND(Parameter!$B$21="Ja",ISNUMBER(U463),N(V463)&gt;0),IFERROR(N(INDEX(Parameter!$L$5:$L$7,U463))*INDEX(Parameter!$E$5:$E$7,U463)*V463/SUMIFS($V$7:$V$1576,$U$7:$U$1576,U463),0),0)</f>
        <v>0</v>
      </c>
    </row>
    <row r="464" customFormat="false" ht="15" hidden="false" customHeight="false" outlineLevel="0" collapsed="false">
      <c r="A464" s="55" t="s">
        <v>1032</v>
      </c>
      <c r="B464" s="55" t="s">
        <v>578</v>
      </c>
      <c r="C464" s="55" t="s">
        <v>160</v>
      </c>
      <c r="D464" s="55" t="s">
        <v>178</v>
      </c>
      <c r="E464" s="55" t="s">
        <v>210</v>
      </c>
      <c r="F464" s="56" t="n">
        <v>2.2</v>
      </c>
      <c r="G464" s="57" t="n">
        <f aca="false">MAX(0,IF(AND(Parameter!$B$21="Ja",ISNUMBER(W464)),W464,IF(Parameter!$B$20="Jahresanfang 2025 + Export",BJ464+BI464,BI464)))</f>
        <v>26</v>
      </c>
      <c r="H464" s="57" t="n">
        <f aca="false">G464*F464</f>
        <v>57.2</v>
      </c>
      <c r="I464" s="57" t="n">
        <f aca="false">BL464*Parameter!$B$18</f>
        <v>11</v>
      </c>
      <c r="J464" s="58" t="n">
        <v>21</v>
      </c>
      <c r="K464" s="59" t="n">
        <v>0.523809523809524</v>
      </c>
      <c r="L464" s="57" t="n">
        <v>1</v>
      </c>
      <c r="M464" s="57" t="n">
        <v>10</v>
      </c>
      <c r="N464" s="60" t="n">
        <v>21</v>
      </c>
      <c r="O464" s="55" t="s">
        <v>391</v>
      </c>
      <c r="P464" s="57" t="n">
        <v>48</v>
      </c>
      <c r="Q464" s="60" t="n">
        <f aca="false">IF(BR464=1,0,IFERROR(VLOOKUP(BP464,'Gebinde-Kategorie'!$A$5:$M$45,13,0)+0,0))</f>
        <v>414</v>
      </c>
      <c r="R464" s="61"/>
      <c r="S464" s="62"/>
      <c r="T464" s="62"/>
      <c r="U464" s="55"/>
      <c r="V464" s="57"/>
      <c r="W464" s="57"/>
      <c r="X464" s="55" t="n">
        <f aca="false">IF(A464="","",IF(AND(Parameter!$B$21="Ja",ISNUMBER(U464)),U464,IF(IFERROR(VLOOKUP(D464,Parameter!$A$35:$C$64,2,0),"Nein")="2+3",IF(ISNUMBER(SEARCH("grosser Artikel",BM464)),2,IFERROR(VLOOKUP(BP464,Parameter!$F$35:$G$64,2,0),2)),IF(OR(IFERROR(VLOOKUP(D464,Parameter!$A$35:$C$64,2,0),"Nein")="Nein",IFERROR(VLOOKUP(D464,Parameter!$A$35:$C$64,2,0),"Nein")=""),"-",VLOOKUP(D464,Parameter!$A$35:$C$64,2,0)))))</f>
        <v>3</v>
      </c>
      <c r="Y464" s="62"/>
      <c r="Z464" s="63"/>
      <c r="AA464" s="57" t="n">
        <f aca="false">AP464</f>
        <v>48</v>
      </c>
      <c r="AB464" s="57" t="n">
        <f aca="false">MAX(AP464,G464)</f>
        <v>48</v>
      </c>
      <c r="AC464" s="64"/>
      <c r="AD464" s="57" t="n">
        <f aca="false">IF(LEFT(Cockpit!$C$5,1)="A",G464,IF(BW464=1,BX464,IF(LEFT(Cockpit!$C$5,1)="B",AH464,MAX(AH464,G464))))</f>
        <v>26</v>
      </c>
      <c r="AE464" s="57" t="n">
        <f aca="false">IF(BR464=1,0,ROUNDUP(AD464/BQ464,0))</f>
        <v>1</v>
      </c>
      <c r="AF464" s="59" t="n">
        <f aca="false">IF(CD464&gt;0,CD464*MAX(1,AD464/V464),IF(BR464=1,IF(AD464&lt;=0,0,BS464*MAX(1,IF(G464&gt;0,AD464/G464,1))),IF(Q464&gt;0,AE464/Q464,0))/MAX(0.1,N(Parameter!$M$21)))</f>
        <v>0.00241545893719807</v>
      </c>
      <c r="AG464" s="57" t="n">
        <f aca="false">AD464*F464</f>
        <v>57.2</v>
      </c>
      <c r="AH464" s="57" t="n">
        <f aca="false">ROUNDUP(MAX(I464/IF(BV464&gt;0,BV464,MAX(0.1,N(Cockpit!$C$6))),BY464)/BQ464,0)*BQ464</f>
        <v>48</v>
      </c>
      <c r="AI464" s="58" t="n">
        <f aca="false">IF(AF464&gt;0,I464/AF464,-1)</f>
        <v>4554</v>
      </c>
      <c r="AJ464" s="58" t="n">
        <f aca="false">IF(AND(OR(BU464="L1",BU464="L23"),AF464&gt;0),SUMIFS($AF$7:$AF$1576,$BU$7:$BU$1576,BU464,$AI$7:$AI$1576,"&gt;"&amp;AI464)+SUMIFS($AF$7:$AF$1576,$BU$7:$BU$1576,BU464,$AI$7:$AI$1576,AI464,$BO$7:$BO$1576,"&lt;="&amp;BO464),"")</f>
        <v>3.97666768014594</v>
      </c>
      <c r="AK464" s="65" t="n">
        <f aca="false">IF(AJ464="",0,MAX(0,MIN(1,(IF(BU464="L1",Parameter!$E$5,Parameter!$E$6+Parameter!$E$7)-(AJ464-AF464))/AF464)))</f>
        <v>1</v>
      </c>
      <c r="AL464" s="57" t="n">
        <f aca="false">IF(LEFT(Cockpit!$I$5,1)="A",G464,IF(BW464=1,BX464,IF(LEFT(Cockpit!$I$5,1)="B",AP464,MAX(AP464,G464))))</f>
        <v>48</v>
      </c>
      <c r="AM464" s="57" t="n">
        <f aca="false">IF(BR464=1,0,ROUNDUP(AL464/BQ464,0))</f>
        <v>1</v>
      </c>
      <c r="AN464" s="59" t="n">
        <f aca="false">IF(CD464&gt;0,CD464*MAX(1,AL464/V464),IF(BR464=1,IF(AL464&lt;=0,0,BS464*MAX(1,IF(G464&gt;0,AL464/G464,1))),IF(Q464&gt;0,AM464/Q464,0))/MAX(0.1,N(Parameter!$M$21)))</f>
        <v>0.00241545893719807</v>
      </c>
      <c r="AO464" s="57" t="n">
        <f aca="false">AL464*F464</f>
        <v>105.6</v>
      </c>
      <c r="AP464" s="57" t="n">
        <f aca="false">ROUNDUP(MAX(I464/IF(BV464&gt;0,BV464,MAX(0.1,N(Cockpit!$I$6))),BY464)/BQ464,0)*BQ464</f>
        <v>48</v>
      </c>
      <c r="AQ464" s="58" t="n">
        <f aca="false">IF(AN464&gt;0,I464/AN464,-1)</f>
        <v>4554</v>
      </c>
      <c r="AR464" s="58" t="n">
        <f aca="false">IF(AND(OR(BU464="L1",BU464="L23"),AN464&gt;0),SUMIFS($AN$7:$AN$1576,$BU$7:$BU$1576,BU464,$AQ$7:$AQ$1576,"&gt;"&amp;AQ464)+SUMIFS($AN$7:$AN$1576,$BU$7:$BU$1576,BU464,$AQ$7:$AQ$1576,AQ464,$BO$7:$BO$1576,"&lt;="&amp;BO464),"")</f>
        <v>12.0970531164488</v>
      </c>
      <c r="AS464" s="65" t="n">
        <f aca="false">IF(AR464="",0,MAX(0,MIN(1,(IF(BU464="L1",Parameter!$E$5,Parameter!$E$6+Parameter!$E$7)-(AR464-AN464))/AN464)))</f>
        <v>1</v>
      </c>
      <c r="AT464" s="57" t="n">
        <f aca="false">IF(LEFT(Cockpit!$O$5,1)="A",G464,IF(BW464=1,BX464,IF(LEFT(Cockpit!$O$5,1)="B",AX464,MAX(AX464,G464))))</f>
        <v>48</v>
      </c>
      <c r="AU464" s="57" t="n">
        <f aca="false">IF(BR464=1,0,ROUNDUP(AT464/BQ464,0))</f>
        <v>1</v>
      </c>
      <c r="AV464" s="59" t="n">
        <f aca="false">IF(CD464&gt;0,CD464*MAX(1,AT464/V464),IF(BR464=1,IF(AT464&lt;=0,0,BS464*MAX(1,IF(G464&gt;0,AT464/G464,1))),IF(Q464&gt;0,AU464/Q464,0))/MAX(0.1,N(Parameter!$M$21)))</f>
        <v>0.00241545893719807</v>
      </c>
      <c r="AW464" s="57" t="n">
        <f aca="false">AT464*F464</f>
        <v>105.6</v>
      </c>
      <c r="AX464" s="57" t="n">
        <f aca="false">ROUNDUP(MAX(I464/IF(BV464&gt;0,BV464,MAX(0.1,N(Cockpit!$O$6))),BY464)/BQ464,0)*BQ464</f>
        <v>48</v>
      </c>
      <c r="AY464" s="58" t="n">
        <f aca="false">IF(AV464&gt;0,I464/AV464,-1)</f>
        <v>4554</v>
      </c>
      <c r="AZ464" s="58" t="n">
        <f aca="false">IF(AND(OR(BU464="L1",BU464="L23"),AV464&gt;0),SUMIFS($AV$7:$AV$1576,$BU$7:$BU$1576,BU464,$AY$7:$AY$1576,"&gt;"&amp;AY464)+SUMIFS($AV$7:$AV$1576,$BU$7:$BU$1576,BU464,$AY$7:$AY$1576,AY464,$BO$7:$BO$1576,"&lt;="&amp;BO464),"")</f>
        <v>11.3179155873112</v>
      </c>
      <c r="BA464" s="65" t="n">
        <f aca="false">IF(AZ464="",0,MAX(0,MIN(1,(IF(BU464="L1",Parameter!$E$5,Parameter!$E$6+Parameter!$E$7)-(AZ464-AV464))/AV464)))</f>
        <v>1</v>
      </c>
      <c r="BB464" s="55" t="str">
        <f aca="false">IF(AF464&lt;=0,"",IF(BU464="Aussen","Aussenlager",IF(BU464="-","Nicht im Lift",IF(AK464&gt;=1,"Lift",IF(AK464&lt;=0,"Aussenlager","teilweise")))))</f>
        <v>Lift</v>
      </c>
      <c r="BC464" s="55" t="str">
        <f aca="false">IF(AN464&lt;=0,"",IF(BU464="Aussen","Aussenlager",IF(BU464="-","Nicht im Lift",IF(AS464&gt;=1,"Lift",IF(AS464&lt;=0,"Aussenlager","teilweise")))))</f>
        <v>Lift</v>
      </c>
      <c r="BD464" s="55" t="str">
        <f aca="false">IF(AV464&lt;=0,"",IF(BU464="Aussen","Aussenlager",IF(BU464="-","Nicht im Lift",IF(BA464&gt;=1,"Lift",IF(BA464&lt;=0,"Aussenlager","teilweise")))))</f>
        <v>Lift</v>
      </c>
      <c r="BE464" s="55" t="str">
        <f aca="false">IF(A464="","",IF(BN464=1,"Neu; ","")&amp;IF(AND(BN464=0,BI464&lt;0),"negativer Bestand (Export "&amp;BI464&amp;"); ","")&amp;IF(I464&lt;=0,"Kein Verbrauch; ","")&amp;IF(CD464&gt;0,"Lift "&amp;U464&amp;" lt. Liftbericht (Fach "&amp;V464&amp;" Stk); ",IF(BR464=1,"Lose – Fläche geschätzt; ",""))&amp;IF(G464&gt;AP464,"Überbestand "&amp;ROUND(G464-AP464,0)&amp;" Stk / CHF "&amp;ROUND((G464-AP464)*F464,0)&amp;"; ","")&amp;IF(AND(BW464=1,BX464&lt;BY464),"MAX &lt; MB+LG; ","")&amp;IF(AND(CC464&gt;0,CB464*10&gt;CC464),"zu hoch für Tablar; ","")&amp;IF(AND(BN464=0,OR(BW464=1,Y464&lt;&gt;"",S464&lt;&gt;"",T464&lt;&gt;"",Z464&lt;&gt;"")),"manuell übersteuert; ","")&amp;IF(AND(BR464=0,Q464=0),"Gebinde unbekannt / Stellmass fehlt; ","")&amp;IF(AND(BR464=0,N(T464)&lt;=0,N(P464)&lt;=0),"Menge pro Gebinde fehlt (Ist = 1 Gebinde); ","")&amp;BM464)</f>
        <v/>
      </c>
      <c r="BF464" s="55"/>
      <c r="BG464" s="55"/>
      <c r="BH464" s="62"/>
      <c r="BI464" s="57" t="n">
        <v>26</v>
      </c>
      <c r="BJ464" s="57" t="n">
        <v>24</v>
      </c>
      <c r="BK464" s="56" t="n">
        <v>57.2</v>
      </c>
      <c r="BL464" s="57" t="n">
        <v>11</v>
      </c>
      <c r="BM464" s="55"/>
      <c r="BN464" s="60" t="n">
        <v>0</v>
      </c>
      <c r="BO464" s="60" t="n">
        <v>464</v>
      </c>
      <c r="BP464" s="55" t="str">
        <f aca="false">IF(S464&lt;&gt;"",UPPER(TRIM(S464)),IF(O464="","LOSE",O464))</f>
        <v>S21</v>
      </c>
      <c r="BQ464" s="57" t="n">
        <f aca="false">IF(BP464="LOSE",1,IF(N(T464)&gt;0,T464,IF(N(P464)&gt;0,P464,MAX(1,G464))))</f>
        <v>48</v>
      </c>
      <c r="BR464" s="60" t="n">
        <f aca="false">IF(BP464="LOSE",1,0)</f>
        <v>0</v>
      </c>
      <c r="BS464" s="59" t="n">
        <f aca="false">IF(BR464=0,0,IF(N(R464)&gt;0,R464,IFERROR(VLOOKUP(D464,Parameter!$A$35:$C$64,3,0)+0,0)))</f>
        <v>0</v>
      </c>
      <c r="BT464" s="55" t="n">
        <f aca="false">IF(Y464&lt;&gt;"",Y464,X464)</f>
        <v>3</v>
      </c>
      <c r="BU464" s="55" t="str">
        <f aca="false">IF(BT464=1,"L1",IF(OR(BT464=2,BT464=3),"L23",IF(BT464="Aussen","Aussen","-")))</f>
        <v>L23</v>
      </c>
      <c r="BV464" s="66" t="n">
        <f aca="false">IF(N(Z464)&gt;0,Z464,0)</f>
        <v>0</v>
      </c>
      <c r="BW464" s="60" t="n">
        <f aca="false">IF(ISNUMBER(AC464),1,0)</f>
        <v>0</v>
      </c>
      <c r="BX464" s="57" t="n">
        <f aca="false">N(AC464)</f>
        <v>0</v>
      </c>
      <c r="BY464" s="57" t="n">
        <f aca="false">N(L464)+N(M464)</f>
        <v>11</v>
      </c>
      <c r="BZ464" s="57" t="n">
        <f aca="false">ROUNDUP(G464/BQ464,0)</f>
        <v>1</v>
      </c>
      <c r="CA464" s="57" t="n">
        <f aca="false">ROUNDUP(BX464/BQ464,0)</f>
        <v>0</v>
      </c>
      <c r="CB464" s="60" t="n">
        <f aca="false">IF(BR464=1,0,IFERROR(VLOOKUP(BP464,'Gebinde-Kategorie'!$A$5:$M$45,5,0)+0,0))</f>
        <v>8</v>
      </c>
      <c r="CC464" s="60" t="n">
        <f aca="false">IFERROR(IF(OR(BT464=1,BT464=2,BT464=3),N(INDEX(Parameter!$I$5:$I$7,BT464)),0),0)</f>
        <v>0</v>
      </c>
      <c r="CD464" s="59" t="n">
        <f aca="false">IF(AND(Parameter!$B$21="Ja",ISNUMBER(U464),N(V464)&gt;0),IFERROR(N(INDEX(Parameter!$L$5:$L$7,U464))*INDEX(Parameter!$E$5:$E$7,U464)*V464/SUMIFS($V$7:$V$1576,$U$7:$U$1576,U464),0),0)</f>
        <v>0</v>
      </c>
    </row>
    <row r="465" customFormat="false" ht="15" hidden="false" customHeight="false" outlineLevel="0" collapsed="false">
      <c r="A465" s="55" t="s">
        <v>1033</v>
      </c>
      <c r="B465" s="55" t="s">
        <v>578</v>
      </c>
      <c r="C465" s="55" t="s">
        <v>160</v>
      </c>
      <c r="D465" s="55" t="s">
        <v>178</v>
      </c>
      <c r="E465" s="55" t="s">
        <v>210</v>
      </c>
      <c r="F465" s="56" t="n">
        <v>1.9</v>
      </c>
      <c r="G465" s="57" t="n">
        <f aca="false">MAX(0,IF(AND(Parameter!$B$21="Ja",ISNUMBER(W465)),W465,IF(Parameter!$B$20="Jahresanfang 2025 + Export",BJ465+BI465,BI465)))</f>
        <v>30</v>
      </c>
      <c r="H465" s="57" t="n">
        <f aca="false">G465*F465</f>
        <v>57</v>
      </c>
      <c r="I465" s="57" t="n">
        <f aca="false">BL465*Parameter!$B$18</f>
        <v>0</v>
      </c>
      <c r="J465" s="58" t="n">
        <v>0</v>
      </c>
      <c r="K465" s="59" t="n">
        <v>0</v>
      </c>
      <c r="L465" s="57" t="n">
        <v>0</v>
      </c>
      <c r="M465" s="57" t="n">
        <v>30</v>
      </c>
      <c r="N465" s="60" t="n">
        <v>9999</v>
      </c>
      <c r="O465" s="55" t="s">
        <v>163</v>
      </c>
      <c r="P465" s="57"/>
      <c r="Q465" s="60" t="n">
        <f aca="false">IF(BR465=1,0,IFERROR(VLOOKUP(BP465,'Gebinde-Kategorie'!$A$5:$M$45,13,0)+0,0))</f>
        <v>0</v>
      </c>
      <c r="R465" s="61"/>
      <c r="S465" s="62"/>
      <c r="T465" s="62"/>
      <c r="U465" s="55"/>
      <c r="V465" s="57"/>
      <c r="W465" s="57"/>
      <c r="X465" s="55" t="n">
        <f aca="false">IF(A465="","",IF(AND(Parameter!$B$21="Ja",ISNUMBER(U465)),U465,IF(IFERROR(VLOOKUP(D465,Parameter!$A$35:$C$64,2,0),"Nein")="2+3",IF(ISNUMBER(SEARCH("grosser Artikel",BM465)),2,IFERROR(VLOOKUP(BP465,Parameter!$F$35:$G$64,2,0),2)),IF(OR(IFERROR(VLOOKUP(D465,Parameter!$A$35:$C$64,2,0),"Nein")="Nein",IFERROR(VLOOKUP(D465,Parameter!$A$35:$C$64,2,0),"Nein")=""),"-",VLOOKUP(D465,Parameter!$A$35:$C$64,2,0)))))</f>
        <v>2</v>
      </c>
      <c r="Y465" s="62"/>
      <c r="Z465" s="63"/>
      <c r="AA465" s="57" t="n">
        <f aca="false">AP465</f>
        <v>30</v>
      </c>
      <c r="AB465" s="57" t="n">
        <f aca="false">MAX(AP465,G465)</f>
        <v>30</v>
      </c>
      <c r="AC465" s="64"/>
      <c r="AD465" s="57" t="n">
        <f aca="false">IF(LEFT(Cockpit!$C$5,1)="A",G465,IF(BW465=1,BX465,IF(LEFT(Cockpit!$C$5,1)="B",AH465,MAX(AH465,G465))))</f>
        <v>30</v>
      </c>
      <c r="AE465" s="57" t="n">
        <f aca="false">IF(BR465=1,0,ROUNDUP(AD465/BQ465,0))</f>
        <v>0</v>
      </c>
      <c r="AF465" s="59" t="n">
        <f aca="false">IF(CD465&gt;0,CD465*MAX(1,AD465/V465),IF(BR465=1,IF(AD465&lt;=0,0,BS465*MAX(1,IF(G465&gt;0,AD465/G465,1))),IF(Q465&gt;0,AE465/Q465,0))/MAX(0.1,N(Parameter!$M$21)))</f>
        <v>0.03</v>
      </c>
      <c r="AG465" s="57" t="n">
        <f aca="false">AD465*F465</f>
        <v>57</v>
      </c>
      <c r="AH465" s="57" t="n">
        <f aca="false">ROUNDUP(MAX(I465/IF(BV465&gt;0,BV465,MAX(0.1,N(Cockpit!$C$6))),BY465)/BQ465,0)*BQ465</f>
        <v>30</v>
      </c>
      <c r="AI465" s="58" t="n">
        <f aca="false">IF(AF465&gt;0,I465/AF465,-1)</f>
        <v>0</v>
      </c>
      <c r="AJ465" s="58" t="n">
        <f aca="false">IF(AND(OR(BU465="L1",BU465="L23"),AF465&gt;0),SUMIFS($AF$7:$AF$1576,$BU$7:$BU$1576,BU465,$AI$7:$AI$1576,"&gt;"&amp;AI465)+SUMIFS($AF$7:$AF$1576,$BU$7:$BU$1576,BU465,$AI$7:$AI$1576,AI465,$BO$7:$BO$1576,"&lt;="&amp;BO465),"")</f>
        <v>41.9813773183338</v>
      </c>
      <c r="AK465" s="65" t="n">
        <f aca="false">IF(AJ465="",0,MAX(0,MIN(1,(IF(BU465="L1",Parameter!$E$5,Parameter!$E$6+Parameter!$E$7)-(AJ465-AF465))/AF465)))</f>
        <v>1</v>
      </c>
      <c r="AL465" s="57" t="n">
        <f aca="false">IF(LEFT(Cockpit!$I$5,1)="A",G465,IF(BW465=1,BX465,IF(LEFT(Cockpit!$I$5,1)="B",AP465,MAX(AP465,G465))))</f>
        <v>30</v>
      </c>
      <c r="AM465" s="57" t="n">
        <f aca="false">IF(BR465=1,0,ROUNDUP(AL465/BQ465,0))</f>
        <v>0</v>
      </c>
      <c r="AN465" s="59" t="n">
        <f aca="false">IF(CD465&gt;0,CD465*MAX(1,AL465/V465),IF(BR465=1,IF(AL465&lt;=0,0,BS465*MAX(1,IF(G465&gt;0,AL465/G465,1))),IF(Q465&gt;0,AM465/Q465,0))/MAX(0.1,N(Parameter!$M$21)))</f>
        <v>0.03</v>
      </c>
      <c r="AO465" s="57" t="n">
        <f aca="false">AL465*F465</f>
        <v>57</v>
      </c>
      <c r="AP465" s="57" t="n">
        <f aca="false">ROUNDUP(MAX(I465/IF(BV465&gt;0,BV465,MAX(0.1,N(Cockpit!$I$6))),BY465)/BQ465,0)*BQ465</f>
        <v>30</v>
      </c>
      <c r="AQ465" s="58" t="n">
        <f aca="false">IF(AN465&gt;0,I465/AN465,-1)</f>
        <v>0</v>
      </c>
      <c r="AR465" s="58" t="n">
        <f aca="false">IF(AND(OR(BU465="L1",BU465="L23"),AN465&gt;0),SUMIFS($AN$7:$AN$1576,$BU$7:$BU$1576,BU465,$AQ$7:$AQ$1576,"&gt;"&amp;AQ465)+SUMIFS($AN$7:$AN$1576,$BU$7:$BU$1576,BU465,$AQ$7:$AQ$1576,AQ465,$BO$7:$BO$1576,"&lt;="&amp;BO465),"")</f>
        <v>124.978163436852</v>
      </c>
      <c r="AS465" s="65" t="n">
        <f aca="false">IF(AR465="",0,MAX(0,MIN(1,(IF(BU465="L1",Parameter!$E$5,Parameter!$E$6+Parameter!$E$7)-(AR465-AN465))/AN465)))</f>
        <v>0</v>
      </c>
      <c r="AT465" s="57" t="n">
        <f aca="false">IF(LEFT(Cockpit!$O$5,1)="A",G465,IF(BW465=1,BX465,IF(LEFT(Cockpit!$O$5,1)="B",AX465,MAX(AX465,G465))))</f>
        <v>30</v>
      </c>
      <c r="AU465" s="57" t="n">
        <f aca="false">IF(BR465=1,0,ROUNDUP(AT465/BQ465,0))</f>
        <v>0</v>
      </c>
      <c r="AV465" s="59" t="n">
        <f aca="false">IF(CD465&gt;0,CD465*MAX(1,AT465/V465),IF(BR465=1,IF(AT465&lt;=0,0,BS465*MAX(1,IF(G465&gt;0,AT465/G465,1))),IF(Q465&gt;0,AU465/Q465,0))/MAX(0.1,N(Parameter!$M$21)))</f>
        <v>0.03</v>
      </c>
      <c r="AW465" s="57" t="n">
        <f aca="false">AT465*F465</f>
        <v>57</v>
      </c>
      <c r="AX465" s="57" t="n">
        <f aca="false">ROUNDUP(MAX(I465/IF(BV465&gt;0,BV465,MAX(0.1,N(Cockpit!$O$6))),BY465)/BQ465,0)*BQ465</f>
        <v>30</v>
      </c>
      <c r="AY465" s="58" t="n">
        <f aca="false">IF(AV465&gt;0,I465/AV465,-1)</f>
        <v>0</v>
      </c>
      <c r="AZ465" s="58" t="n">
        <f aca="false">IF(AND(OR(BU465="L1",BU465="L23"),AV465&gt;0),SUMIFS($AV$7:$AV$1576,$BU$7:$BU$1576,BU465,$AY$7:$AY$1576,"&gt;"&amp;AY465)+SUMIFS($AV$7:$AV$1576,$BU$7:$BU$1576,BU465,$AY$7:$AY$1576,AY465,$BO$7:$BO$1576,"&lt;="&amp;BO465),"")</f>
        <v>115.037713886403</v>
      </c>
      <c r="BA465" s="65" t="n">
        <f aca="false">IF(AZ465="",0,MAX(0,MIN(1,(IF(BU465="L1",Parameter!$E$5,Parameter!$E$6+Parameter!$E$7)-(AZ465-AV465))/AV465)))</f>
        <v>0</v>
      </c>
      <c r="BB465" s="55" t="str">
        <f aca="false">IF(AF465&lt;=0,"",IF(BU465="Aussen","Aussenlager",IF(BU465="-","Nicht im Lift",IF(AK465&gt;=1,"Lift",IF(AK465&lt;=0,"Aussenlager","teilweise")))))</f>
        <v>Lift</v>
      </c>
      <c r="BC465" s="55" t="str">
        <f aca="false">IF(AN465&lt;=0,"",IF(BU465="Aussen","Aussenlager",IF(BU465="-","Nicht im Lift",IF(AS465&gt;=1,"Lift",IF(AS465&lt;=0,"Aussenlager","teilweise")))))</f>
        <v>Aussenlager</v>
      </c>
      <c r="BD465" s="55" t="str">
        <f aca="false">IF(AV465&lt;=0,"",IF(BU465="Aussen","Aussenlager",IF(BU465="-","Nicht im Lift",IF(BA465&gt;=1,"Lift",IF(BA465&lt;=0,"Aussenlager","teilweise")))))</f>
        <v>Aussenlager</v>
      </c>
      <c r="BE465" s="55" t="str">
        <f aca="false">IF(A465="","",IF(BN465=1,"Neu; ","")&amp;IF(AND(BN465=0,BI465&lt;0),"negativer Bestand (Export "&amp;BI465&amp;"); ","")&amp;IF(I465&lt;=0,"Kein Verbrauch; ","")&amp;IF(CD465&gt;0,"Lift "&amp;U465&amp;" lt. Liftbericht (Fach "&amp;V465&amp;" Stk); ",IF(BR465=1,"Lose – Fläche geschätzt; ",""))&amp;IF(G465&gt;AP465,"Überbestand "&amp;ROUND(G465-AP465,0)&amp;" Stk / CHF "&amp;ROUND((G465-AP465)*F465,0)&amp;"; ","")&amp;IF(AND(BW465=1,BX465&lt;BY465),"MAX &lt; MB+LG; ","")&amp;IF(AND(CC465&gt;0,CB465*10&gt;CC465),"zu hoch für Tablar; ","")&amp;IF(AND(BN465=0,OR(BW465=1,Y465&lt;&gt;"",S465&lt;&gt;"",T465&lt;&gt;"",Z465&lt;&gt;"")),"manuell übersteuert; ","")&amp;IF(AND(BR465=0,Q465=0),"Gebinde unbekannt / Stellmass fehlt; ","")&amp;IF(AND(BR465=0,N(T465)&lt;=0,N(P465)&lt;=0),"Menge pro Gebinde fehlt (Ist = 1 Gebinde); ","")&amp;BM465)</f>
        <v>Kein Verbrauch; Lose – Fläche geschätzt; </v>
      </c>
      <c r="BF465" s="55"/>
      <c r="BG465" s="55"/>
      <c r="BH465" s="62"/>
      <c r="BI465" s="57" t="n">
        <v>30</v>
      </c>
      <c r="BJ465" s="57" t="n">
        <v>0</v>
      </c>
      <c r="BK465" s="56" t="n">
        <v>57</v>
      </c>
      <c r="BL465" s="57" t="n">
        <v>0</v>
      </c>
      <c r="BM465" s="55"/>
      <c r="BN465" s="60" t="n">
        <v>0</v>
      </c>
      <c r="BO465" s="60" t="n">
        <v>465</v>
      </c>
      <c r="BP465" s="55" t="str">
        <f aca="false">IF(S465&lt;&gt;"",UPPER(TRIM(S465)),IF(O465="","LOSE",O465))</f>
        <v>LOSE</v>
      </c>
      <c r="BQ465" s="57" t="n">
        <f aca="false">IF(BP465="LOSE",1,IF(N(T465)&gt;0,T465,IF(N(P465)&gt;0,P465,MAX(1,G465))))</f>
        <v>1</v>
      </c>
      <c r="BR465" s="60" t="n">
        <f aca="false">IF(BP465="LOSE",1,0)</f>
        <v>1</v>
      </c>
      <c r="BS465" s="59" t="n">
        <f aca="false">IF(BR465=0,0,IF(N(R465)&gt;0,R465,IFERROR(VLOOKUP(D465,Parameter!$A$35:$C$64,3,0)+0,0)))</f>
        <v>0.03</v>
      </c>
      <c r="BT465" s="55" t="n">
        <f aca="false">IF(Y465&lt;&gt;"",Y465,X465)</f>
        <v>2</v>
      </c>
      <c r="BU465" s="55" t="str">
        <f aca="false">IF(BT465=1,"L1",IF(OR(BT465=2,BT465=3),"L23",IF(BT465="Aussen","Aussen","-")))</f>
        <v>L23</v>
      </c>
      <c r="BV465" s="66" t="n">
        <f aca="false">IF(N(Z465)&gt;0,Z465,0)</f>
        <v>0</v>
      </c>
      <c r="BW465" s="60" t="n">
        <f aca="false">IF(ISNUMBER(AC465),1,0)</f>
        <v>0</v>
      </c>
      <c r="BX465" s="57" t="n">
        <f aca="false">N(AC465)</f>
        <v>0</v>
      </c>
      <c r="BY465" s="57" t="n">
        <f aca="false">N(L465)+N(M465)</f>
        <v>30</v>
      </c>
      <c r="BZ465" s="57" t="n">
        <f aca="false">ROUNDUP(G465/BQ465,0)</f>
        <v>30</v>
      </c>
      <c r="CA465" s="57" t="n">
        <f aca="false">ROUNDUP(BX465/BQ465,0)</f>
        <v>0</v>
      </c>
      <c r="CB465" s="60" t="n">
        <f aca="false">IF(BR465=1,0,IFERROR(VLOOKUP(BP465,'Gebinde-Kategorie'!$A$5:$M$45,5,0)+0,0))</f>
        <v>0</v>
      </c>
      <c r="CC465" s="60" t="n">
        <f aca="false">IFERROR(IF(OR(BT465=1,BT465=2,BT465=3),N(INDEX(Parameter!$I$5:$I$7,BT465)),0),0)</f>
        <v>0</v>
      </c>
      <c r="CD465" s="59" t="n">
        <f aca="false">IF(AND(Parameter!$B$21="Ja",ISNUMBER(U465),N(V465)&gt;0),IFERROR(N(INDEX(Parameter!$L$5:$L$7,U465))*INDEX(Parameter!$E$5:$E$7,U465)*V465/SUMIFS($V$7:$V$1576,$U$7:$U$1576,U465),0),0)</f>
        <v>0</v>
      </c>
    </row>
    <row r="466" customFormat="false" ht="15" hidden="false" customHeight="false" outlineLevel="0" collapsed="false">
      <c r="A466" s="55" t="s">
        <v>1034</v>
      </c>
      <c r="B466" s="55" t="s">
        <v>397</v>
      </c>
      <c r="C466" s="55" t="s">
        <v>160</v>
      </c>
      <c r="D466" s="55" t="s">
        <v>178</v>
      </c>
      <c r="E466" s="55" t="s">
        <v>210</v>
      </c>
      <c r="F466" s="56" t="n">
        <v>0.17</v>
      </c>
      <c r="G466" s="57" t="n">
        <f aca="false">MAX(0,IF(AND(Parameter!$B$21="Ja",ISNUMBER(W466)),W466,IF(Parameter!$B$20="Jahresanfang 2025 + Export",BJ466+BI466,BI466)))</f>
        <v>334</v>
      </c>
      <c r="H466" s="57" t="n">
        <f aca="false">G466*F466</f>
        <v>56.78</v>
      </c>
      <c r="I466" s="57" t="n">
        <f aca="false">BL466*Parameter!$B$18</f>
        <v>2868</v>
      </c>
      <c r="J466" s="58" t="n">
        <v>709</v>
      </c>
      <c r="K466" s="59" t="n">
        <v>4.04513399153738</v>
      </c>
      <c r="L466" s="57" t="n">
        <v>167</v>
      </c>
      <c r="M466" s="57" t="n">
        <v>2000</v>
      </c>
      <c r="N466" s="60" t="n">
        <v>21</v>
      </c>
      <c r="O466" s="55" t="s">
        <v>319</v>
      </c>
      <c r="P466" s="57" t="n">
        <v>895</v>
      </c>
      <c r="Q466" s="60" t="n">
        <f aca="false">IF(BR466=1,0,IFERROR(VLOOKUP(BP466,'Gebinde-Kategorie'!$A$5:$M$45,13,0)+0,0))</f>
        <v>52</v>
      </c>
      <c r="R466" s="61"/>
      <c r="S466" s="62"/>
      <c r="T466" s="62"/>
      <c r="U466" s="55"/>
      <c r="V466" s="57"/>
      <c r="W466" s="57"/>
      <c r="X466" s="55" t="n">
        <f aca="false">IF(A466="","",IF(AND(Parameter!$B$21="Ja",ISNUMBER(U466)),U466,IF(IFERROR(VLOOKUP(D466,Parameter!$A$35:$C$64,2,0),"Nein")="2+3",IF(ISNUMBER(SEARCH("grosser Artikel",BM466)),2,IFERROR(VLOOKUP(BP466,Parameter!$F$35:$G$64,2,0),2)),IF(OR(IFERROR(VLOOKUP(D466,Parameter!$A$35:$C$64,2,0),"Nein")="Nein",IFERROR(VLOOKUP(D466,Parameter!$A$35:$C$64,2,0),"Nein")=""),"-",VLOOKUP(D466,Parameter!$A$35:$C$64,2,0)))))</f>
        <v>3</v>
      </c>
      <c r="Y466" s="62"/>
      <c r="Z466" s="63"/>
      <c r="AA466" s="57" t="n">
        <f aca="false">AP466</f>
        <v>2685</v>
      </c>
      <c r="AB466" s="57" t="n">
        <f aca="false">MAX(AP466,G466)</f>
        <v>2685</v>
      </c>
      <c r="AC466" s="64"/>
      <c r="AD466" s="57" t="n">
        <f aca="false">IF(LEFT(Cockpit!$C$5,1)="A",G466,IF(BW466=1,BX466,IF(LEFT(Cockpit!$C$5,1)="B",AH466,MAX(AH466,G466))))</f>
        <v>334</v>
      </c>
      <c r="AE466" s="57" t="n">
        <f aca="false">IF(BR466=1,0,ROUNDUP(AD466/BQ466,0))</f>
        <v>1</v>
      </c>
      <c r="AF466" s="59" t="n">
        <f aca="false">IF(CD466&gt;0,CD466*MAX(1,AD466/V466),IF(BR466=1,IF(AD466&lt;=0,0,BS466*MAX(1,IF(G466&gt;0,AD466/G466,1))),IF(Q466&gt;0,AE466/Q466,0))/MAX(0.1,N(Parameter!$M$21)))</f>
        <v>0.0192307692307692</v>
      </c>
      <c r="AG466" s="57" t="n">
        <f aca="false">AD466*F466</f>
        <v>56.78</v>
      </c>
      <c r="AH466" s="57" t="n">
        <f aca="false">ROUNDUP(MAX(I466/IF(BV466&gt;0,BV466,MAX(0.1,N(Cockpit!$C$6))),BY466)/BQ466,0)*BQ466</f>
        <v>2685</v>
      </c>
      <c r="AI466" s="58" t="n">
        <f aca="false">IF(AF466&gt;0,I466/AF466,-1)</f>
        <v>149136</v>
      </c>
      <c r="AJ466" s="58" t="n">
        <f aca="false">IF(AND(OR(BU466="L1",BU466="L23"),AF466&gt;0),SUMIFS($AF$7:$AF$1576,$BU$7:$BU$1576,BU466,$AI$7:$AI$1576,"&gt;"&amp;AI466)+SUMIFS($AF$7:$AF$1576,$BU$7:$BU$1576,BU466,$AI$7:$AI$1576,AI466,$BO$7:$BO$1576,"&lt;="&amp;BO466),"")</f>
        <v>0.10281747238269</v>
      </c>
      <c r="AK466" s="65" t="n">
        <f aca="false">IF(AJ466="",0,MAX(0,MIN(1,(IF(BU466="L1",Parameter!$E$5,Parameter!$E$6+Parameter!$E$7)-(AJ466-AF466))/AF466)))</f>
        <v>1</v>
      </c>
      <c r="AL466" s="57" t="n">
        <f aca="false">IF(LEFT(Cockpit!$I$5,1)="A",G466,IF(BW466=1,BX466,IF(LEFT(Cockpit!$I$5,1)="B",AP466,MAX(AP466,G466))))</f>
        <v>2685</v>
      </c>
      <c r="AM466" s="57" t="n">
        <f aca="false">IF(BR466=1,0,ROUNDUP(AL466/BQ466,0))</f>
        <v>3</v>
      </c>
      <c r="AN466" s="59" t="n">
        <f aca="false">IF(CD466&gt;0,CD466*MAX(1,AL466/V466),IF(BR466=1,IF(AL466&lt;=0,0,BS466*MAX(1,IF(G466&gt;0,AL466/G466,1))),IF(Q466&gt;0,AM466/Q466,0))/MAX(0.1,N(Parameter!$M$21)))</f>
        <v>0.0576923076923077</v>
      </c>
      <c r="AO466" s="57" t="n">
        <f aca="false">AL466*F466</f>
        <v>456.45</v>
      </c>
      <c r="AP466" s="57" t="n">
        <f aca="false">ROUNDUP(MAX(I466/IF(BV466&gt;0,BV466,MAX(0.1,N(Cockpit!$I$6))),BY466)/BQ466,0)*BQ466</f>
        <v>2685</v>
      </c>
      <c r="AQ466" s="58" t="n">
        <f aca="false">IF(AN466&gt;0,I466/AN466,-1)</f>
        <v>49712</v>
      </c>
      <c r="AR466" s="58" t="n">
        <f aca="false">IF(AND(OR(BU466="L1",BU466="L23"),AN466&gt;0),SUMIFS($AN$7:$AN$1576,$BU$7:$BU$1576,BU466,$AQ$7:$AQ$1576,"&gt;"&amp;AQ466)+SUMIFS($AN$7:$AN$1576,$BU$7:$BU$1576,BU466,$AQ$7:$AQ$1576,AQ466,$BO$7:$BO$1576,"&lt;="&amp;BO466),"")</f>
        <v>1.30581500624979</v>
      </c>
      <c r="AS466" s="65" t="n">
        <f aca="false">IF(AR466="",0,MAX(0,MIN(1,(IF(BU466="L1",Parameter!$E$5,Parameter!$E$6+Parameter!$E$7)-(AR466-AN466))/AN466)))</f>
        <v>1</v>
      </c>
      <c r="AT466" s="57" t="n">
        <f aca="false">IF(LEFT(Cockpit!$O$5,1)="A",G466,IF(BW466=1,BX466,IF(LEFT(Cockpit!$O$5,1)="B",AX466,MAX(AX466,G466))))</f>
        <v>2685</v>
      </c>
      <c r="AU466" s="57" t="n">
        <f aca="false">IF(BR466=1,0,ROUNDUP(AT466/BQ466,0))</f>
        <v>3</v>
      </c>
      <c r="AV466" s="59" t="n">
        <f aca="false">IF(CD466&gt;0,CD466*MAX(1,AT466/V466),IF(BR466=1,IF(AT466&lt;=0,0,BS466*MAX(1,IF(G466&gt;0,AT466/G466,1))),IF(Q466&gt;0,AU466/Q466,0))/MAX(0.1,N(Parameter!$M$21)))</f>
        <v>0.0576923076923077</v>
      </c>
      <c r="AW466" s="57" t="n">
        <f aca="false">AT466*F466</f>
        <v>456.45</v>
      </c>
      <c r="AX466" s="57" t="n">
        <f aca="false">ROUNDUP(MAX(I466/IF(BV466&gt;0,BV466,MAX(0.1,N(Cockpit!$O$6))),BY466)/BQ466,0)*BQ466</f>
        <v>2685</v>
      </c>
      <c r="AY466" s="58" t="n">
        <f aca="false">IF(AV466&gt;0,I466/AV466,-1)</f>
        <v>49712</v>
      </c>
      <c r="AZ466" s="58" t="n">
        <f aca="false">IF(AND(OR(BU466="L1",BU466="L23"),AV466&gt;0),SUMIFS($AV$7:$AV$1576,$BU$7:$BU$1576,BU466,$AY$7:$AY$1576,"&gt;"&amp;AY466)+SUMIFS($AV$7:$AV$1576,$BU$7:$BU$1576,BU466,$AY$7:$AY$1576,AY466,$BO$7:$BO$1576,"&lt;="&amp;BO466),"")</f>
        <v>1.63506908550387</v>
      </c>
      <c r="BA466" s="65" t="n">
        <f aca="false">IF(AZ466="",0,MAX(0,MIN(1,(IF(BU466="L1",Parameter!$E$5,Parameter!$E$6+Parameter!$E$7)-(AZ466-AV466))/AV466)))</f>
        <v>1</v>
      </c>
      <c r="BB466" s="55" t="str">
        <f aca="false">IF(AF466&lt;=0,"",IF(BU466="Aussen","Aussenlager",IF(BU466="-","Nicht im Lift",IF(AK466&gt;=1,"Lift",IF(AK466&lt;=0,"Aussenlager","teilweise")))))</f>
        <v>Lift</v>
      </c>
      <c r="BC466" s="55" t="str">
        <f aca="false">IF(AN466&lt;=0,"",IF(BU466="Aussen","Aussenlager",IF(BU466="-","Nicht im Lift",IF(AS466&gt;=1,"Lift",IF(AS466&lt;=0,"Aussenlager","teilweise")))))</f>
        <v>Lift</v>
      </c>
      <c r="BD466" s="55" t="str">
        <f aca="false">IF(AV466&lt;=0,"",IF(BU466="Aussen","Aussenlager",IF(BU466="-","Nicht im Lift",IF(BA466&gt;=1,"Lift",IF(BA466&lt;=0,"Aussenlager","teilweise")))))</f>
        <v>Lift</v>
      </c>
      <c r="BE466" s="55" t="str">
        <f aca="false">IF(A466="","",IF(BN466=1,"Neu; ","")&amp;IF(AND(BN466=0,BI466&lt;0),"negativer Bestand (Export "&amp;BI466&amp;"); ","")&amp;IF(I466&lt;=0,"Kein Verbrauch; ","")&amp;IF(CD466&gt;0,"Lift "&amp;U466&amp;" lt. Liftbericht (Fach "&amp;V466&amp;" Stk); ",IF(BR466=1,"Lose – Fläche geschätzt; ",""))&amp;IF(G466&gt;AP466,"Überbestand "&amp;ROUND(G466-AP466,0)&amp;" Stk / CHF "&amp;ROUND((G466-AP466)*F466,0)&amp;"; ","")&amp;IF(AND(BW466=1,BX466&lt;BY466),"MAX &lt; MB+LG; ","")&amp;IF(AND(CC466&gt;0,CB466*10&gt;CC466),"zu hoch für Tablar; ","")&amp;IF(AND(BN466=0,OR(BW466=1,Y466&lt;&gt;"",S466&lt;&gt;"",T466&lt;&gt;"",Z466&lt;&gt;"")),"manuell übersteuert; ","")&amp;IF(AND(BR466=0,Q466=0),"Gebinde unbekannt / Stellmass fehlt; ","")&amp;IF(AND(BR466=0,N(T466)&lt;=0,N(P466)&lt;=0),"Menge pro Gebinde fehlt (Ist = 1 Gebinde); ","")&amp;BM466)</f>
        <v/>
      </c>
      <c r="BF466" s="55"/>
      <c r="BG466" s="55"/>
      <c r="BH466" s="62"/>
      <c r="BI466" s="57" t="n">
        <v>334</v>
      </c>
      <c r="BJ466" s="57" t="n">
        <v>524</v>
      </c>
      <c r="BK466" s="56" t="n">
        <v>56.7799999999999</v>
      </c>
      <c r="BL466" s="57" t="n">
        <v>2868</v>
      </c>
      <c r="BM466" s="55"/>
      <c r="BN466" s="60" t="n">
        <v>0</v>
      </c>
      <c r="BO466" s="60" t="n">
        <v>466</v>
      </c>
      <c r="BP466" s="55" t="str">
        <f aca="false">IF(S466&lt;&gt;"",UPPER(TRIM(S466)),IF(O466="","LOSE",O466))</f>
        <v>S41</v>
      </c>
      <c r="BQ466" s="57" t="n">
        <f aca="false">IF(BP466="LOSE",1,IF(N(T466)&gt;0,T466,IF(N(P466)&gt;0,P466,MAX(1,G466))))</f>
        <v>895</v>
      </c>
      <c r="BR466" s="60" t="n">
        <f aca="false">IF(BP466="LOSE",1,0)</f>
        <v>0</v>
      </c>
      <c r="BS466" s="59" t="n">
        <f aca="false">IF(BR466=0,0,IF(N(R466)&gt;0,R466,IFERROR(VLOOKUP(D466,Parameter!$A$35:$C$64,3,0)+0,0)))</f>
        <v>0</v>
      </c>
      <c r="BT466" s="55" t="n">
        <f aca="false">IF(Y466&lt;&gt;"",Y466,X466)</f>
        <v>3</v>
      </c>
      <c r="BU466" s="55" t="str">
        <f aca="false">IF(BT466=1,"L1",IF(OR(BT466=2,BT466=3),"L23",IF(BT466="Aussen","Aussen","-")))</f>
        <v>L23</v>
      </c>
      <c r="BV466" s="66" t="n">
        <f aca="false">IF(N(Z466)&gt;0,Z466,0)</f>
        <v>0</v>
      </c>
      <c r="BW466" s="60" t="n">
        <f aca="false">IF(ISNUMBER(AC466),1,0)</f>
        <v>0</v>
      </c>
      <c r="BX466" s="57" t="n">
        <f aca="false">N(AC466)</f>
        <v>0</v>
      </c>
      <c r="BY466" s="57" t="n">
        <f aca="false">N(L466)+N(M466)</f>
        <v>2167</v>
      </c>
      <c r="BZ466" s="57" t="n">
        <f aca="false">ROUNDUP(G466/BQ466,0)</f>
        <v>1</v>
      </c>
      <c r="CA466" s="57" t="n">
        <f aca="false">ROUNDUP(BX466/BQ466,0)</f>
        <v>0</v>
      </c>
      <c r="CB466" s="60" t="n">
        <f aca="false">IF(BR466=1,0,IFERROR(VLOOKUP(BP466,'Gebinde-Kategorie'!$A$5:$M$45,5,0)+0,0))</f>
        <v>11</v>
      </c>
      <c r="CC466" s="60" t="n">
        <f aca="false">IFERROR(IF(OR(BT466=1,BT466=2,BT466=3),N(INDEX(Parameter!$I$5:$I$7,BT466)),0),0)</f>
        <v>0</v>
      </c>
      <c r="CD466" s="59" t="n">
        <f aca="false">IF(AND(Parameter!$B$21="Ja",ISNUMBER(U466),N(V466)&gt;0),IFERROR(N(INDEX(Parameter!$L$5:$L$7,U466))*INDEX(Parameter!$E$5:$E$7,U466)*V466/SUMIFS($V$7:$V$1576,$U$7:$U$1576,U466),0),0)</f>
        <v>0</v>
      </c>
    </row>
    <row r="467" customFormat="false" ht="15" hidden="false" customHeight="false" outlineLevel="0" collapsed="false">
      <c r="A467" s="55" t="s">
        <v>1035</v>
      </c>
      <c r="B467" s="55" t="s">
        <v>457</v>
      </c>
      <c r="C467" s="55" t="s">
        <v>160</v>
      </c>
      <c r="D467" s="55" t="s">
        <v>178</v>
      </c>
      <c r="E467" s="55" t="s">
        <v>210</v>
      </c>
      <c r="F467" s="56" t="n">
        <v>0.15</v>
      </c>
      <c r="G467" s="57" t="n">
        <f aca="false">MAX(0,IF(AND(Parameter!$B$21="Ja",ISNUMBER(W467)),W467,IF(Parameter!$B$20="Jahresanfang 2025 + Export",BJ467+BI467,BI467)))</f>
        <v>392</v>
      </c>
      <c r="H467" s="57" t="n">
        <f aca="false">G467*F467</f>
        <v>58.8</v>
      </c>
      <c r="I467" s="57" t="n">
        <f aca="false">BL467*Parameter!$B$18</f>
        <v>714</v>
      </c>
      <c r="J467" s="58" t="n">
        <v>234.5</v>
      </c>
      <c r="K467" s="59" t="n">
        <v>3.04477611940299</v>
      </c>
      <c r="L467" s="57" t="n">
        <v>27</v>
      </c>
      <c r="M467" s="57" t="n">
        <v>715</v>
      </c>
      <c r="N467" s="60" t="n">
        <v>14</v>
      </c>
      <c r="O467" s="55" t="s">
        <v>416</v>
      </c>
      <c r="P467" s="57" t="n">
        <v>194</v>
      </c>
      <c r="Q467" s="60" t="n">
        <f aca="false">IF(BR467=1,0,IFERROR(VLOOKUP(BP467,'Gebinde-Kategorie'!$A$5:$M$45,13,0)+0,0))</f>
        <v>198</v>
      </c>
      <c r="R467" s="61"/>
      <c r="S467" s="62"/>
      <c r="T467" s="62"/>
      <c r="U467" s="55"/>
      <c r="V467" s="57"/>
      <c r="W467" s="57"/>
      <c r="X467" s="55" t="n">
        <f aca="false">IF(A467="","",IF(AND(Parameter!$B$21="Ja",ISNUMBER(U467)),U467,IF(IFERROR(VLOOKUP(D467,Parameter!$A$35:$C$64,2,0),"Nein")="2+3",IF(ISNUMBER(SEARCH("grosser Artikel",BM467)),2,IFERROR(VLOOKUP(BP467,Parameter!$F$35:$G$64,2,0),2)),IF(OR(IFERROR(VLOOKUP(D467,Parameter!$A$35:$C$64,2,0),"Nein")="Nein",IFERROR(VLOOKUP(D467,Parameter!$A$35:$C$64,2,0),"Nein")=""),"-",VLOOKUP(D467,Parameter!$A$35:$C$64,2,0)))))</f>
        <v>3</v>
      </c>
      <c r="Y467" s="62"/>
      <c r="Z467" s="63"/>
      <c r="AA467" s="57" t="n">
        <f aca="false">AP467</f>
        <v>776</v>
      </c>
      <c r="AB467" s="57" t="n">
        <f aca="false">MAX(AP467,G467)</f>
        <v>776</v>
      </c>
      <c r="AC467" s="64"/>
      <c r="AD467" s="57" t="n">
        <f aca="false">IF(LEFT(Cockpit!$C$5,1)="A",G467,IF(BW467=1,BX467,IF(LEFT(Cockpit!$C$5,1)="B",AH467,MAX(AH467,G467))))</f>
        <v>392</v>
      </c>
      <c r="AE467" s="57" t="n">
        <f aca="false">IF(BR467=1,0,ROUNDUP(AD467/BQ467,0))</f>
        <v>3</v>
      </c>
      <c r="AF467" s="59" t="n">
        <f aca="false">IF(CD467&gt;0,CD467*MAX(1,AD467/V467),IF(BR467=1,IF(AD467&lt;=0,0,BS467*MAX(1,IF(G467&gt;0,AD467/G467,1))),IF(Q467&gt;0,AE467/Q467,0))/MAX(0.1,N(Parameter!$M$21)))</f>
        <v>0.0151515151515152</v>
      </c>
      <c r="AG467" s="57" t="n">
        <f aca="false">AD467*F467</f>
        <v>58.8</v>
      </c>
      <c r="AH467" s="57" t="n">
        <f aca="false">ROUNDUP(MAX(I467/IF(BV467&gt;0,BV467,MAX(0.1,N(Cockpit!$C$6))),BY467)/BQ467,0)*BQ467</f>
        <v>776</v>
      </c>
      <c r="AI467" s="58" t="n">
        <f aca="false">IF(AF467&gt;0,I467/AF467,-1)</f>
        <v>47124</v>
      </c>
      <c r="AJ467" s="58" t="n">
        <f aca="false">IF(AND(OR(BU467="L1",BU467="L23"),AF467&gt;0),SUMIFS($AF$7:$AF$1576,$BU$7:$BU$1576,BU467,$AI$7:$AI$1576,"&gt;"&amp;AI467)+SUMIFS($AF$7:$AF$1576,$BU$7:$BU$1576,BU467,$AI$7:$AI$1576,AI467,$BO$7:$BO$1576,"&lt;="&amp;BO467),"")</f>
        <v>0.866448768622682</v>
      </c>
      <c r="AK467" s="65" t="n">
        <f aca="false">IF(AJ467="",0,MAX(0,MIN(1,(IF(BU467="L1",Parameter!$E$5,Parameter!$E$6+Parameter!$E$7)-(AJ467-AF467))/AF467)))</f>
        <v>1</v>
      </c>
      <c r="AL467" s="57" t="n">
        <f aca="false">IF(LEFT(Cockpit!$I$5,1)="A",G467,IF(BW467=1,BX467,IF(LEFT(Cockpit!$I$5,1)="B",AP467,MAX(AP467,G467))))</f>
        <v>776</v>
      </c>
      <c r="AM467" s="57" t="n">
        <f aca="false">IF(BR467=1,0,ROUNDUP(AL467/BQ467,0))</f>
        <v>4</v>
      </c>
      <c r="AN467" s="59" t="n">
        <f aca="false">IF(CD467&gt;0,CD467*MAX(1,AL467/V467),IF(BR467=1,IF(AL467&lt;=0,0,BS467*MAX(1,IF(G467&gt;0,AL467/G467,1))),IF(Q467&gt;0,AM467/Q467,0))/MAX(0.1,N(Parameter!$M$21)))</f>
        <v>0.0202020202020202</v>
      </c>
      <c r="AO467" s="57" t="n">
        <f aca="false">AL467*F467</f>
        <v>116.4</v>
      </c>
      <c r="AP467" s="57" t="n">
        <f aca="false">ROUNDUP(MAX(I467/IF(BV467&gt;0,BV467,MAX(0.1,N(Cockpit!$I$6))),BY467)/BQ467,0)*BQ467</f>
        <v>776</v>
      </c>
      <c r="AQ467" s="58" t="n">
        <f aca="false">IF(AN467&gt;0,I467/AN467,-1)</f>
        <v>35343</v>
      </c>
      <c r="AR467" s="58" t="n">
        <f aca="false">IF(AND(OR(BU467="L1",BU467="L23"),AN467&gt;0),SUMIFS($AN$7:$AN$1576,$BU$7:$BU$1576,BU467,$AQ$7:$AQ$1576,"&gt;"&amp;AQ467)+SUMIFS($AN$7:$AN$1576,$BU$7:$BU$1576,BU467,$AQ$7:$AQ$1576,AQ467,$BO$7:$BO$1576,"&lt;="&amp;BO467),"")</f>
        <v>2.51556805513327</v>
      </c>
      <c r="AS467" s="65" t="n">
        <f aca="false">IF(AR467="",0,MAX(0,MIN(1,(IF(BU467="L1",Parameter!$E$5,Parameter!$E$6+Parameter!$E$7)-(AR467-AN467))/AN467)))</f>
        <v>1</v>
      </c>
      <c r="AT467" s="57" t="n">
        <f aca="false">IF(LEFT(Cockpit!$O$5,1)="A",G467,IF(BW467=1,BX467,IF(LEFT(Cockpit!$O$5,1)="B",AX467,MAX(AX467,G467))))</f>
        <v>776</v>
      </c>
      <c r="AU467" s="57" t="n">
        <f aca="false">IF(BR467=1,0,ROUNDUP(AT467/BQ467,0))</f>
        <v>4</v>
      </c>
      <c r="AV467" s="59" t="n">
        <f aca="false">IF(CD467&gt;0,CD467*MAX(1,AT467/V467),IF(BR467=1,IF(AT467&lt;=0,0,BS467*MAX(1,IF(G467&gt;0,AT467/G467,1))),IF(Q467&gt;0,AU467/Q467,0))/MAX(0.1,N(Parameter!$M$21)))</f>
        <v>0.0202020202020202</v>
      </c>
      <c r="AW467" s="57" t="n">
        <f aca="false">AT467*F467</f>
        <v>116.4</v>
      </c>
      <c r="AX467" s="57" t="n">
        <f aca="false">ROUNDUP(MAX(I467/IF(BV467&gt;0,BV467,MAX(0.1,N(Cockpit!$O$6))),BY467)/BQ467,0)*BQ467</f>
        <v>776</v>
      </c>
      <c r="AY467" s="58" t="n">
        <f aca="false">IF(AV467&gt;0,I467/AV467,-1)</f>
        <v>35343</v>
      </c>
      <c r="AZ467" s="58" t="n">
        <f aca="false">IF(AND(OR(BU467="L1",BU467="L23"),AV467&gt;0),SUMIFS($AV$7:$AV$1576,$BU$7:$BU$1576,BU467,$AY$7:$AY$1576,"&gt;"&amp;AY467)+SUMIFS($AV$7:$AV$1576,$BU$7:$BU$1576,BU467,$AY$7:$AY$1576,AY467,$BO$7:$BO$1576,"&lt;="&amp;BO467),"")</f>
        <v>2.32209486166008</v>
      </c>
      <c r="BA467" s="65" t="n">
        <f aca="false">IF(AZ467="",0,MAX(0,MIN(1,(IF(BU467="L1",Parameter!$E$5,Parameter!$E$6+Parameter!$E$7)-(AZ467-AV467))/AV467)))</f>
        <v>1</v>
      </c>
      <c r="BB467" s="55" t="str">
        <f aca="false">IF(AF467&lt;=0,"",IF(BU467="Aussen","Aussenlager",IF(BU467="-","Nicht im Lift",IF(AK467&gt;=1,"Lift",IF(AK467&lt;=0,"Aussenlager","teilweise")))))</f>
        <v>Lift</v>
      </c>
      <c r="BC467" s="55" t="str">
        <f aca="false">IF(AN467&lt;=0,"",IF(BU467="Aussen","Aussenlager",IF(BU467="-","Nicht im Lift",IF(AS467&gt;=1,"Lift",IF(AS467&lt;=0,"Aussenlager","teilweise")))))</f>
        <v>Lift</v>
      </c>
      <c r="BD467" s="55" t="str">
        <f aca="false">IF(AV467&lt;=0,"",IF(BU467="Aussen","Aussenlager",IF(BU467="-","Nicht im Lift",IF(BA467&gt;=1,"Lift",IF(BA467&lt;=0,"Aussenlager","teilweise")))))</f>
        <v>Lift</v>
      </c>
      <c r="BE467" s="55" t="str">
        <f aca="false">IF(A467="","",IF(BN467=1,"Neu; ","")&amp;IF(AND(BN467=0,BI467&lt;0),"negativer Bestand (Export "&amp;BI467&amp;"); ","")&amp;IF(I467&lt;=0,"Kein Verbrauch; ","")&amp;IF(CD467&gt;0,"Lift "&amp;U467&amp;" lt. Liftbericht (Fach "&amp;V467&amp;" Stk); ",IF(BR467=1,"Lose – Fläche geschätzt; ",""))&amp;IF(G467&gt;AP467,"Überbestand "&amp;ROUND(G467-AP467,0)&amp;" Stk / CHF "&amp;ROUND((G467-AP467)*F467,0)&amp;"; ","")&amp;IF(AND(BW467=1,BX467&lt;BY467),"MAX &lt; MB+LG; ","")&amp;IF(AND(CC467&gt;0,CB467*10&gt;CC467),"zu hoch für Tablar; ","")&amp;IF(AND(BN467=0,OR(BW467=1,Y467&lt;&gt;"",S467&lt;&gt;"",T467&lt;&gt;"",Z467&lt;&gt;"")),"manuell übersteuert; ","")&amp;IF(AND(BR467=0,Q467=0),"Gebinde unbekannt / Stellmass fehlt; ","")&amp;IF(AND(BR467=0,N(T467)&lt;=0,N(P467)&lt;=0),"Menge pro Gebinde fehlt (Ist = 1 Gebinde); ","")&amp;BM467)</f>
        <v/>
      </c>
      <c r="BF467" s="55"/>
      <c r="BG467" s="55"/>
      <c r="BH467" s="62"/>
      <c r="BI467" s="57" t="n">
        <v>392</v>
      </c>
      <c r="BJ467" s="57" t="n">
        <v>145</v>
      </c>
      <c r="BK467" s="56" t="n">
        <v>55.98</v>
      </c>
      <c r="BL467" s="57" t="n">
        <v>714</v>
      </c>
      <c r="BM467" s="55"/>
      <c r="BN467" s="60" t="n">
        <v>0</v>
      </c>
      <c r="BO467" s="60" t="n">
        <v>467</v>
      </c>
      <c r="BP467" s="55" t="str">
        <f aca="false">IF(S467&lt;&gt;"",UPPER(TRIM(S467)),IF(O467="","LOSE",O467))</f>
        <v>S22</v>
      </c>
      <c r="BQ467" s="57" t="n">
        <f aca="false">IF(BP467="LOSE",1,IF(N(T467)&gt;0,T467,IF(N(P467)&gt;0,P467,MAX(1,G467))))</f>
        <v>194</v>
      </c>
      <c r="BR467" s="60" t="n">
        <f aca="false">IF(BP467="LOSE",1,0)</f>
        <v>0</v>
      </c>
      <c r="BS467" s="59" t="n">
        <f aca="false">IF(BR467=0,0,IF(N(R467)&gt;0,R467,IFERROR(VLOOKUP(D467,Parameter!$A$35:$C$64,3,0)+0,0)))</f>
        <v>0</v>
      </c>
      <c r="BT467" s="55" t="n">
        <f aca="false">IF(Y467&lt;&gt;"",Y467,X467)</f>
        <v>3</v>
      </c>
      <c r="BU467" s="55" t="str">
        <f aca="false">IF(BT467=1,"L1",IF(OR(BT467=2,BT467=3),"L23",IF(BT467="Aussen","Aussen","-")))</f>
        <v>L23</v>
      </c>
      <c r="BV467" s="66" t="n">
        <f aca="false">IF(N(Z467)&gt;0,Z467,0)</f>
        <v>0</v>
      </c>
      <c r="BW467" s="60" t="n">
        <f aca="false">IF(ISNUMBER(AC467),1,0)</f>
        <v>0</v>
      </c>
      <c r="BX467" s="57" t="n">
        <f aca="false">N(AC467)</f>
        <v>0</v>
      </c>
      <c r="BY467" s="57" t="n">
        <f aca="false">N(L467)+N(M467)</f>
        <v>742</v>
      </c>
      <c r="BZ467" s="57" t="n">
        <f aca="false">ROUNDUP(G467/BQ467,0)</f>
        <v>3</v>
      </c>
      <c r="CA467" s="57" t="n">
        <f aca="false">ROUNDUP(BX467/BQ467,0)</f>
        <v>0</v>
      </c>
      <c r="CB467" s="60" t="n">
        <f aca="false">IF(BR467=1,0,IFERROR(VLOOKUP(BP467,'Gebinde-Kategorie'!$A$5:$M$45,5,0)+0,0))</f>
        <v>8</v>
      </c>
      <c r="CC467" s="60" t="n">
        <f aca="false">IFERROR(IF(OR(BT467=1,BT467=2,BT467=3),N(INDEX(Parameter!$I$5:$I$7,BT467)),0),0)</f>
        <v>0</v>
      </c>
      <c r="CD467" s="59" t="n">
        <f aca="false">IF(AND(Parameter!$B$21="Ja",ISNUMBER(U467),N(V467)&gt;0),IFERROR(N(INDEX(Parameter!$L$5:$L$7,U467))*INDEX(Parameter!$E$5:$E$7,U467)*V467/SUMIFS($V$7:$V$1576,$U$7:$U$1576,U467),0),0)</f>
        <v>0</v>
      </c>
    </row>
    <row r="468" customFormat="false" ht="15" hidden="false" customHeight="false" outlineLevel="0" collapsed="false">
      <c r="A468" s="55" t="s">
        <v>1036</v>
      </c>
      <c r="B468" s="55" t="s">
        <v>1037</v>
      </c>
      <c r="C468" s="55" t="s">
        <v>160</v>
      </c>
      <c r="D468" s="55" t="s">
        <v>178</v>
      </c>
      <c r="E468" s="55" t="s">
        <v>210</v>
      </c>
      <c r="F468" s="56" t="n">
        <v>7.36</v>
      </c>
      <c r="G468" s="57" t="n">
        <f aca="false">MAX(0,IF(AND(Parameter!$B$21="Ja",ISNUMBER(W468)),W468,IF(Parameter!$B$20="Jahresanfang 2025 + Export",BJ468+BI468,BI468)))</f>
        <v>9</v>
      </c>
      <c r="H468" s="57" t="n">
        <f aca="false">G468*F468</f>
        <v>66.24</v>
      </c>
      <c r="I468" s="57" t="n">
        <f aca="false">BL468*Parameter!$B$18</f>
        <v>1</v>
      </c>
      <c r="J468" s="58" t="n">
        <v>7.5</v>
      </c>
      <c r="K468" s="59" t="n">
        <v>0.133333333333333</v>
      </c>
      <c r="L468" s="57" t="n">
        <v>0</v>
      </c>
      <c r="M468" s="57" t="n">
        <v>1</v>
      </c>
      <c r="N468" s="60" t="n">
        <v>21</v>
      </c>
      <c r="O468" s="55" t="s">
        <v>163</v>
      </c>
      <c r="P468" s="57"/>
      <c r="Q468" s="60" t="n">
        <f aca="false">IF(BR468=1,0,IFERROR(VLOOKUP(BP468,'Gebinde-Kategorie'!$A$5:$M$45,13,0)+0,0))</f>
        <v>0</v>
      </c>
      <c r="R468" s="61"/>
      <c r="S468" s="62"/>
      <c r="T468" s="62"/>
      <c r="U468" s="55"/>
      <c r="V468" s="57"/>
      <c r="W468" s="57"/>
      <c r="X468" s="55" t="n">
        <f aca="false">IF(A468="","",IF(AND(Parameter!$B$21="Ja",ISNUMBER(U468)),U468,IF(IFERROR(VLOOKUP(D468,Parameter!$A$35:$C$64,2,0),"Nein")="2+3",IF(ISNUMBER(SEARCH("grosser Artikel",BM468)),2,IFERROR(VLOOKUP(BP468,Parameter!$F$35:$G$64,2,0),2)),IF(OR(IFERROR(VLOOKUP(D468,Parameter!$A$35:$C$64,2,0),"Nein")="Nein",IFERROR(VLOOKUP(D468,Parameter!$A$35:$C$64,2,0),"Nein")=""),"-",VLOOKUP(D468,Parameter!$A$35:$C$64,2,0)))))</f>
        <v>2</v>
      </c>
      <c r="Y468" s="62"/>
      <c r="Z468" s="63"/>
      <c r="AA468" s="57" t="n">
        <f aca="false">AP468</f>
        <v>1</v>
      </c>
      <c r="AB468" s="57" t="n">
        <f aca="false">MAX(AP468,G468)</f>
        <v>9</v>
      </c>
      <c r="AC468" s="64"/>
      <c r="AD468" s="57" t="n">
        <f aca="false">IF(LEFT(Cockpit!$C$5,1)="A",G468,IF(BW468=1,BX468,IF(LEFT(Cockpit!$C$5,1)="B",AH468,MAX(AH468,G468))))</f>
        <v>9</v>
      </c>
      <c r="AE468" s="57" t="n">
        <f aca="false">IF(BR468=1,0,ROUNDUP(AD468/BQ468,0))</f>
        <v>0</v>
      </c>
      <c r="AF468" s="59" t="n">
        <f aca="false">IF(CD468&gt;0,CD468*MAX(1,AD468/V468),IF(BR468=1,IF(AD468&lt;=0,0,BS468*MAX(1,IF(G468&gt;0,AD468/G468,1))),IF(Q468&gt;0,AE468/Q468,0))/MAX(0.1,N(Parameter!$M$21)))</f>
        <v>0.03</v>
      </c>
      <c r="AG468" s="57" t="n">
        <f aca="false">AD468*F468</f>
        <v>66.24</v>
      </c>
      <c r="AH468" s="57" t="n">
        <f aca="false">ROUNDUP(MAX(I468/IF(BV468&gt;0,BV468,MAX(0.1,N(Cockpit!$C$6))),BY468)/BQ468,0)*BQ468</f>
        <v>1</v>
      </c>
      <c r="AI468" s="58" t="n">
        <f aca="false">IF(AF468&gt;0,I468/AF468,-1)</f>
        <v>33.3333333333333</v>
      </c>
      <c r="AJ468" s="58" t="n">
        <f aca="false">IF(AND(OR(BU468="L1",BU468="L23"),AF468&gt;0),SUMIFS($AF$7:$AF$1576,$BU$7:$BU$1576,BU468,$AI$7:$AI$1576,"&gt;"&amp;AI468)+SUMIFS($AF$7:$AF$1576,$BU$7:$BU$1576,BU468,$AI$7:$AI$1576,AI468,$BO$7:$BO$1576,"&lt;="&amp;BO468),"")</f>
        <v>28.1936073105638</v>
      </c>
      <c r="AK468" s="65" t="n">
        <f aca="false">IF(AJ468="",0,MAX(0,MIN(1,(IF(BU468="L1",Parameter!$E$5,Parameter!$E$6+Parameter!$E$7)-(AJ468-AF468))/AF468)))</f>
        <v>1</v>
      </c>
      <c r="AL468" s="57" t="n">
        <f aca="false">IF(LEFT(Cockpit!$I$5,1)="A",G468,IF(BW468=1,BX468,IF(LEFT(Cockpit!$I$5,1)="B",AP468,MAX(AP468,G468))))</f>
        <v>9</v>
      </c>
      <c r="AM468" s="57" t="n">
        <f aca="false">IF(BR468=1,0,ROUNDUP(AL468/BQ468,0))</f>
        <v>0</v>
      </c>
      <c r="AN468" s="59" t="n">
        <f aca="false">IF(CD468&gt;0,CD468*MAX(1,AL468/V468),IF(BR468=1,IF(AL468&lt;=0,0,BS468*MAX(1,IF(G468&gt;0,AL468/G468,1))),IF(Q468&gt;0,AM468/Q468,0))/MAX(0.1,N(Parameter!$M$21)))</f>
        <v>0.03</v>
      </c>
      <c r="AO468" s="57" t="n">
        <f aca="false">AL468*F468</f>
        <v>66.24</v>
      </c>
      <c r="AP468" s="57" t="n">
        <f aca="false">ROUNDUP(MAX(I468/IF(BV468&gt;0,BV468,MAX(0.1,N(Cockpit!$I$6))),BY468)/BQ468,0)*BQ468</f>
        <v>1</v>
      </c>
      <c r="AQ468" s="58" t="n">
        <f aca="false">IF(AN468&gt;0,I468/AN468,-1)</f>
        <v>33.3333333333333</v>
      </c>
      <c r="AR468" s="58" t="n">
        <f aca="false">IF(AND(OR(BU468="L1",BU468="L23"),AN468&gt;0),SUMIFS($AN$7:$AN$1576,$BU$7:$BU$1576,BU468,$AQ$7:$AQ$1576,"&gt;"&amp;AQ468)+SUMIFS($AN$7:$AN$1576,$BU$7:$BU$1576,BU468,$AQ$7:$AQ$1576,AQ468,$BO$7:$BO$1576,"&lt;="&amp;BO468),"")</f>
        <v>94.0374345886958</v>
      </c>
      <c r="AS468" s="65" t="n">
        <f aca="false">IF(AR468="",0,MAX(0,MIN(1,(IF(BU468="L1",Parameter!$E$5,Parameter!$E$6+Parameter!$E$7)-(AR468-AN468))/AN468)))</f>
        <v>1</v>
      </c>
      <c r="AT468" s="57" t="n">
        <f aca="false">IF(LEFT(Cockpit!$O$5,1)="A",G468,IF(BW468=1,BX468,IF(LEFT(Cockpit!$O$5,1)="B",AX468,MAX(AX468,G468))))</f>
        <v>9</v>
      </c>
      <c r="AU468" s="57" t="n">
        <f aca="false">IF(BR468=1,0,ROUNDUP(AT468/BQ468,0))</f>
        <v>0</v>
      </c>
      <c r="AV468" s="59" t="n">
        <f aca="false">IF(CD468&gt;0,CD468*MAX(1,AT468/V468),IF(BR468=1,IF(AT468&lt;=0,0,BS468*MAX(1,IF(G468&gt;0,AT468/G468,1))),IF(Q468&gt;0,AU468/Q468,0))/MAX(0.1,N(Parameter!$M$21)))</f>
        <v>0.03</v>
      </c>
      <c r="AW468" s="57" t="n">
        <f aca="false">AT468*F468</f>
        <v>66.24</v>
      </c>
      <c r="AX468" s="57" t="n">
        <f aca="false">ROUNDUP(MAX(I468/IF(BV468&gt;0,BV468,MAX(0.1,N(Cockpit!$O$6))),BY468)/BQ468,0)*BQ468</f>
        <v>1</v>
      </c>
      <c r="AY468" s="58" t="n">
        <f aca="false">IF(AV468&gt;0,I468/AV468,-1)</f>
        <v>33.3333333333333</v>
      </c>
      <c r="AZ468" s="58" t="n">
        <f aca="false">IF(AND(OR(BU468="L1",BU468="L23"),AV468&gt;0),SUMIFS($AV$7:$AV$1576,$BU$7:$BU$1576,BU468,$AY$7:$AY$1576,"&gt;"&amp;AY468)+SUMIFS($AV$7:$AV$1576,$BU$7:$BU$1576,BU468,$AY$7:$AY$1576,AY468,$BO$7:$BO$1576,"&lt;="&amp;BO468),"")</f>
        <v>85.8219850382462</v>
      </c>
      <c r="BA468" s="65" t="n">
        <f aca="false">IF(AZ468="",0,MAX(0,MIN(1,(IF(BU468="L1",Parameter!$E$5,Parameter!$E$6+Parameter!$E$7)-(AZ468-AV468))/AV468)))</f>
        <v>1</v>
      </c>
      <c r="BB468" s="55" t="str">
        <f aca="false">IF(AF468&lt;=0,"",IF(BU468="Aussen","Aussenlager",IF(BU468="-","Nicht im Lift",IF(AK468&gt;=1,"Lift",IF(AK468&lt;=0,"Aussenlager","teilweise")))))</f>
        <v>Lift</v>
      </c>
      <c r="BC468" s="55" t="str">
        <f aca="false">IF(AN468&lt;=0,"",IF(BU468="Aussen","Aussenlager",IF(BU468="-","Nicht im Lift",IF(AS468&gt;=1,"Lift",IF(AS468&lt;=0,"Aussenlager","teilweise")))))</f>
        <v>Lift</v>
      </c>
      <c r="BD468" s="55" t="str">
        <f aca="false">IF(AV468&lt;=0,"",IF(BU468="Aussen","Aussenlager",IF(BU468="-","Nicht im Lift",IF(BA468&gt;=1,"Lift",IF(BA468&lt;=0,"Aussenlager","teilweise")))))</f>
        <v>Lift</v>
      </c>
      <c r="BE468" s="55" t="str">
        <f aca="false">IF(A468="","",IF(BN468=1,"Neu; ","")&amp;IF(AND(BN468=0,BI468&lt;0),"negativer Bestand (Export "&amp;BI468&amp;"); ","")&amp;IF(I468&lt;=0,"Kein Verbrauch; ","")&amp;IF(CD468&gt;0,"Lift "&amp;U468&amp;" lt. Liftbericht (Fach "&amp;V468&amp;" Stk); ",IF(BR468=1,"Lose – Fläche geschätzt; ",""))&amp;IF(G468&gt;AP468,"Überbestand "&amp;ROUND(G468-AP468,0)&amp;" Stk / CHF "&amp;ROUND((G468-AP468)*F468,0)&amp;"; ","")&amp;IF(AND(BW468=1,BX468&lt;BY468),"MAX &lt; MB+LG; ","")&amp;IF(AND(CC468&gt;0,CB468*10&gt;CC468),"zu hoch für Tablar; ","")&amp;IF(AND(BN468=0,OR(BW468=1,Y468&lt;&gt;"",S468&lt;&gt;"",T468&lt;&gt;"",Z468&lt;&gt;"")),"manuell übersteuert; ","")&amp;IF(AND(BR468=0,Q468=0),"Gebinde unbekannt / Stellmass fehlt; ","")&amp;IF(AND(BR468=0,N(T468)&lt;=0,N(P468)&lt;=0),"Menge pro Gebinde fehlt (Ist = 1 Gebinde); ","")&amp;BM468)</f>
        <v>Lose – Fläche geschätzt; Überbestand 8 Stk / CHF 59; </v>
      </c>
      <c r="BF468" s="55"/>
      <c r="BG468" s="55"/>
      <c r="BH468" s="62"/>
      <c r="BI468" s="57" t="n">
        <v>9</v>
      </c>
      <c r="BJ468" s="57" t="n">
        <v>8</v>
      </c>
      <c r="BK468" s="56" t="n">
        <v>55.36</v>
      </c>
      <c r="BL468" s="57" t="n">
        <v>1</v>
      </c>
      <c r="BM468" s="55"/>
      <c r="BN468" s="60" t="n">
        <v>0</v>
      </c>
      <c r="BO468" s="60" t="n">
        <v>468</v>
      </c>
      <c r="BP468" s="55" t="str">
        <f aca="false">IF(S468&lt;&gt;"",UPPER(TRIM(S468)),IF(O468="","LOSE",O468))</f>
        <v>LOSE</v>
      </c>
      <c r="BQ468" s="57" t="n">
        <f aca="false">IF(BP468="LOSE",1,IF(N(T468)&gt;0,T468,IF(N(P468)&gt;0,P468,MAX(1,G468))))</f>
        <v>1</v>
      </c>
      <c r="BR468" s="60" t="n">
        <f aca="false">IF(BP468="LOSE",1,0)</f>
        <v>1</v>
      </c>
      <c r="BS468" s="59" t="n">
        <f aca="false">IF(BR468=0,0,IF(N(R468)&gt;0,R468,IFERROR(VLOOKUP(D468,Parameter!$A$35:$C$64,3,0)+0,0)))</f>
        <v>0.03</v>
      </c>
      <c r="BT468" s="55" t="n">
        <f aca="false">IF(Y468&lt;&gt;"",Y468,X468)</f>
        <v>2</v>
      </c>
      <c r="BU468" s="55" t="str">
        <f aca="false">IF(BT468=1,"L1",IF(OR(BT468=2,BT468=3),"L23",IF(BT468="Aussen","Aussen","-")))</f>
        <v>L23</v>
      </c>
      <c r="BV468" s="66" t="n">
        <f aca="false">IF(N(Z468)&gt;0,Z468,0)</f>
        <v>0</v>
      </c>
      <c r="BW468" s="60" t="n">
        <f aca="false">IF(ISNUMBER(AC468),1,0)</f>
        <v>0</v>
      </c>
      <c r="BX468" s="57" t="n">
        <f aca="false">N(AC468)</f>
        <v>0</v>
      </c>
      <c r="BY468" s="57" t="n">
        <f aca="false">N(L468)+N(M468)</f>
        <v>1</v>
      </c>
      <c r="BZ468" s="57" t="n">
        <f aca="false">ROUNDUP(G468/BQ468,0)</f>
        <v>9</v>
      </c>
      <c r="CA468" s="57" t="n">
        <f aca="false">ROUNDUP(BX468/BQ468,0)</f>
        <v>0</v>
      </c>
      <c r="CB468" s="60" t="n">
        <f aca="false">IF(BR468=1,0,IFERROR(VLOOKUP(BP468,'Gebinde-Kategorie'!$A$5:$M$45,5,0)+0,0))</f>
        <v>0</v>
      </c>
      <c r="CC468" s="60" t="n">
        <f aca="false">IFERROR(IF(OR(BT468=1,BT468=2,BT468=3),N(INDEX(Parameter!$I$5:$I$7,BT468)),0),0)</f>
        <v>0</v>
      </c>
      <c r="CD468" s="59" t="n">
        <f aca="false">IF(AND(Parameter!$B$21="Ja",ISNUMBER(U468),N(V468)&gt;0),IFERROR(N(INDEX(Parameter!$L$5:$L$7,U468))*INDEX(Parameter!$E$5:$E$7,U468)*V468/SUMIFS($V$7:$V$1576,$U$7:$U$1576,U468),0),0)</f>
        <v>0</v>
      </c>
    </row>
    <row r="469" customFormat="false" ht="15" hidden="false" customHeight="false" outlineLevel="0" collapsed="false">
      <c r="A469" s="55" t="s">
        <v>1038</v>
      </c>
      <c r="B469" s="55" t="s">
        <v>419</v>
      </c>
      <c r="C469" s="55" t="s">
        <v>160</v>
      </c>
      <c r="D469" s="55" t="s">
        <v>168</v>
      </c>
      <c r="E469" s="55" t="s">
        <v>210</v>
      </c>
      <c r="F469" s="56" t="n">
        <v>54.97</v>
      </c>
      <c r="G469" s="57" t="n">
        <f aca="false">MAX(0,IF(AND(Parameter!$B$21="Ja",ISNUMBER(W469)),W469,IF(Parameter!$B$20="Jahresanfang 2025 + Export",BJ469+BI469,BI469)))</f>
        <v>1</v>
      </c>
      <c r="H469" s="57" t="n">
        <f aca="false">G469*F469</f>
        <v>54.97</v>
      </c>
      <c r="I469" s="57" t="n">
        <f aca="false">BL469*Parameter!$B$18</f>
        <v>0</v>
      </c>
      <c r="J469" s="58" t="n">
        <v>0.5</v>
      </c>
      <c r="K469" s="59" t="n">
        <v>0</v>
      </c>
      <c r="L469" s="57" t="n">
        <v>0</v>
      </c>
      <c r="M469" s="57" t="n">
        <v>1</v>
      </c>
      <c r="N469" s="60" t="n">
        <v>63</v>
      </c>
      <c r="O469" s="55" t="s">
        <v>163</v>
      </c>
      <c r="P469" s="57"/>
      <c r="Q469" s="60" t="n">
        <f aca="false">IF(BR469=1,0,IFERROR(VLOOKUP(BP469,'Gebinde-Kategorie'!$A$5:$M$45,13,0)+0,0))</f>
        <v>0</v>
      </c>
      <c r="R469" s="61"/>
      <c r="S469" s="62"/>
      <c r="T469" s="62"/>
      <c r="U469" s="55"/>
      <c r="V469" s="57"/>
      <c r="W469" s="57"/>
      <c r="X469" s="55" t="n">
        <f aca="false">IF(A469="","",IF(AND(Parameter!$B$21="Ja",ISNUMBER(U469)),U469,IF(IFERROR(VLOOKUP(D469,Parameter!$A$35:$C$64,2,0),"Nein")="2+3",IF(ISNUMBER(SEARCH("grosser Artikel",BM469)),2,IFERROR(VLOOKUP(BP469,Parameter!$F$35:$G$64,2,0),2)),IF(OR(IFERROR(VLOOKUP(D469,Parameter!$A$35:$C$64,2,0),"Nein")="Nein",IFERROR(VLOOKUP(D469,Parameter!$A$35:$C$64,2,0),"Nein")=""),"-",VLOOKUP(D469,Parameter!$A$35:$C$64,2,0)))))</f>
        <v>2</v>
      </c>
      <c r="Y469" s="62"/>
      <c r="Z469" s="63"/>
      <c r="AA469" s="57" t="n">
        <f aca="false">AP469</f>
        <v>1</v>
      </c>
      <c r="AB469" s="57" t="n">
        <f aca="false">MAX(AP469,G469)</f>
        <v>1</v>
      </c>
      <c r="AC469" s="64"/>
      <c r="AD469" s="57" t="n">
        <f aca="false">IF(LEFT(Cockpit!$C$5,1)="A",G469,IF(BW469=1,BX469,IF(LEFT(Cockpit!$C$5,1)="B",AH469,MAX(AH469,G469))))</f>
        <v>1</v>
      </c>
      <c r="AE469" s="57" t="n">
        <f aca="false">IF(BR469=1,0,ROUNDUP(AD469/BQ469,0))</f>
        <v>0</v>
      </c>
      <c r="AF469" s="59" t="n">
        <f aca="false">IF(CD469&gt;0,CD469*MAX(1,AD469/V469),IF(BR469=1,IF(AD469&lt;=0,0,BS469*MAX(1,IF(G469&gt;0,AD469/G469,1))),IF(Q469&gt;0,AE469/Q469,0))/MAX(0.1,N(Parameter!$M$21)))</f>
        <v>0.15</v>
      </c>
      <c r="AG469" s="57" t="n">
        <f aca="false">AD469*F469</f>
        <v>54.97</v>
      </c>
      <c r="AH469" s="57" t="n">
        <f aca="false">ROUNDUP(MAX(I469/IF(BV469&gt;0,BV469,MAX(0.1,N(Cockpit!$C$6))),BY469)/BQ469,0)*BQ469</f>
        <v>1</v>
      </c>
      <c r="AI469" s="58" t="n">
        <f aca="false">IF(AF469&gt;0,I469/AF469,-1)</f>
        <v>0</v>
      </c>
      <c r="AJ469" s="58" t="n">
        <f aca="false">IF(AND(OR(BU469="L1",BU469="L23"),AF469&gt;0),SUMIFS($AF$7:$AF$1576,$BU$7:$BU$1576,BU469,$AI$7:$AI$1576,"&gt;"&amp;AI469)+SUMIFS($AF$7:$AF$1576,$BU$7:$BU$1576,BU469,$AI$7:$AI$1576,AI469,$BO$7:$BO$1576,"&lt;="&amp;BO469),"")</f>
        <v>42.1313773183338</v>
      </c>
      <c r="AK469" s="65" t="n">
        <f aca="false">IF(AJ469="",0,MAX(0,MIN(1,(IF(BU469="L1",Parameter!$E$5,Parameter!$E$6+Parameter!$E$7)-(AJ469-AF469))/AF469)))</f>
        <v>1</v>
      </c>
      <c r="AL469" s="57" t="n">
        <f aca="false">IF(LEFT(Cockpit!$I$5,1)="A",G469,IF(BW469=1,BX469,IF(LEFT(Cockpit!$I$5,1)="B",AP469,MAX(AP469,G469))))</f>
        <v>1</v>
      </c>
      <c r="AM469" s="57" t="n">
        <f aca="false">IF(BR469=1,0,ROUNDUP(AL469/BQ469,0))</f>
        <v>0</v>
      </c>
      <c r="AN469" s="59" t="n">
        <f aca="false">IF(CD469&gt;0,CD469*MAX(1,AL469/V469),IF(BR469=1,IF(AL469&lt;=0,0,BS469*MAX(1,IF(G469&gt;0,AL469/G469,1))),IF(Q469&gt;0,AM469/Q469,0))/MAX(0.1,N(Parameter!$M$21)))</f>
        <v>0.15</v>
      </c>
      <c r="AO469" s="57" t="n">
        <f aca="false">AL469*F469</f>
        <v>54.97</v>
      </c>
      <c r="AP469" s="57" t="n">
        <f aca="false">ROUNDUP(MAX(I469/IF(BV469&gt;0,BV469,MAX(0.1,N(Cockpit!$I$6))),BY469)/BQ469,0)*BQ469</f>
        <v>1</v>
      </c>
      <c r="AQ469" s="58" t="n">
        <f aca="false">IF(AN469&gt;0,I469/AN469,-1)</f>
        <v>0</v>
      </c>
      <c r="AR469" s="58" t="n">
        <f aca="false">IF(AND(OR(BU469="L1",BU469="L23"),AN469&gt;0),SUMIFS($AN$7:$AN$1576,$BU$7:$BU$1576,BU469,$AQ$7:$AQ$1576,"&gt;"&amp;AQ469)+SUMIFS($AN$7:$AN$1576,$BU$7:$BU$1576,BU469,$AQ$7:$AQ$1576,AQ469,$BO$7:$BO$1576,"&lt;="&amp;BO469),"")</f>
        <v>125.128163436852</v>
      </c>
      <c r="AS469" s="65" t="n">
        <f aca="false">IF(AR469="",0,MAX(0,MIN(1,(IF(BU469="L1",Parameter!$E$5,Parameter!$E$6+Parameter!$E$7)-(AR469-AN469))/AN469)))</f>
        <v>0</v>
      </c>
      <c r="AT469" s="57" t="n">
        <f aca="false">IF(LEFT(Cockpit!$O$5,1)="A",G469,IF(BW469=1,BX469,IF(LEFT(Cockpit!$O$5,1)="B",AX469,MAX(AX469,G469))))</f>
        <v>1</v>
      </c>
      <c r="AU469" s="57" t="n">
        <f aca="false">IF(BR469=1,0,ROUNDUP(AT469/BQ469,0))</f>
        <v>0</v>
      </c>
      <c r="AV469" s="59" t="n">
        <f aca="false">IF(CD469&gt;0,CD469*MAX(1,AT469/V469),IF(BR469=1,IF(AT469&lt;=0,0,BS469*MAX(1,IF(G469&gt;0,AT469/G469,1))),IF(Q469&gt;0,AU469/Q469,0))/MAX(0.1,N(Parameter!$M$21)))</f>
        <v>0.15</v>
      </c>
      <c r="AW469" s="57" t="n">
        <f aca="false">AT469*F469</f>
        <v>54.97</v>
      </c>
      <c r="AX469" s="57" t="n">
        <f aca="false">ROUNDUP(MAX(I469/IF(BV469&gt;0,BV469,MAX(0.1,N(Cockpit!$O$6))),BY469)/BQ469,0)*BQ469</f>
        <v>1</v>
      </c>
      <c r="AY469" s="58" t="n">
        <f aca="false">IF(AV469&gt;0,I469/AV469,-1)</f>
        <v>0</v>
      </c>
      <c r="AZ469" s="58" t="n">
        <f aca="false">IF(AND(OR(BU469="L1",BU469="L23"),AV469&gt;0),SUMIFS($AV$7:$AV$1576,$BU$7:$BU$1576,BU469,$AY$7:$AY$1576,"&gt;"&amp;AY469)+SUMIFS($AV$7:$AV$1576,$BU$7:$BU$1576,BU469,$AY$7:$AY$1576,AY469,$BO$7:$BO$1576,"&lt;="&amp;BO469),"")</f>
        <v>115.187713886403</v>
      </c>
      <c r="BA469" s="65" t="n">
        <f aca="false">IF(AZ469="",0,MAX(0,MIN(1,(IF(BU469="L1",Parameter!$E$5,Parameter!$E$6+Parameter!$E$7)-(AZ469-AV469))/AV469)))</f>
        <v>0</v>
      </c>
      <c r="BB469" s="55" t="str">
        <f aca="false">IF(AF469&lt;=0,"",IF(BU469="Aussen","Aussenlager",IF(BU469="-","Nicht im Lift",IF(AK469&gt;=1,"Lift",IF(AK469&lt;=0,"Aussenlager","teilweise")))))</f>
        <v>Lift</v>
      </c>
      <c r="BC469" s="55" t="str">
        <f aca="false">IF(AN469&lt;=0,"",IF(BU469="Aussen","Aussenlager",IF(BU469="-","Nicht im Lift",IF(AS469&gt;=1,"Lift",IF(AS469&lt;=0,"Aussenlager","teilweise")))))</f>
        <v>Aussenlager</v>
      </c>
      <c r="BD469" s="55" t="str">
        <f aca="false">IF(AV469&lt;=0,"",IF(BU469="Aussen","Aussenlager",IF(BU469="-","Nicht im Lift",IF(BA469&gt;=1,"Lift",IF(BA469&lt;=0,"Aussenlager","teilweise")))))</f>
        <v>Aussenlager</v>
      </c>
      <c r="BE469" s="55" t="str">
        <f aca="false">IF(A469="","",IF(BN469=1,"Neu; ","")&amp;IF(AND(BN469=0,BI469&lt;0),"negativer Bestand (Export "&amp;BI469&amp;"); ","")&amp;IF(I469&lt;=0,"Kein Verbrauch; ","")&amp;IF(CD469&gt;0,"Lift "&amp;U469&amp;" lt. Liftbericht (Fach "&amp;V469&amp;" Stk); ",IF(BR469=1,"Lose – Fläche geschätzt; ",""))&amp;IF(G469&gt;AP469,"Überbestand "&amp;ROUND(G469-AP469,0)&amp;" Stk / CHF "&amp;ROUND((G469-AP469)*F469,0)&amp;"; ","")&amp;IF(AND(BW469=1,BX469&lt;BY469),"MAX &lt; MB+LG; ","")&amp;IF(AND(CC469&gt;0,CB469*10&gt;CC469),"zu hoch für Tablar; ","")&amp;IF(AND(BN469=0,OR(BW469=1,Y469&lt;&gt;"",S469&lt;&gt;"",T469&lt;&gt;"",Z469&lt;&gt;"")),"manuell übersteuert; ","")&amp;IF(AND(BR469=0,Q469=0),"Gebinde unbekannt / Stellmass fehlt; ","")&amp;IF(AND(BR469=0,N(T469)&lt;=0,N(P469)&lt;=0),"Menge pro Gebinde fehlt (Ist = 1 Gebinde); ","")&amp;BM469)</f>
        <v>Kein Verbrauch; Lose – Fläche geschätzt; </v>
      </c>
      <c r="BF469" s="55"/>
      <c r="BG469" s="55"/>
      <c r="BH469" s="62"/>
      <c r="BI469" s="57" t="n">
        <v>1</v>
      </c>
      <c r="BJ469" s="57" t="n">
        <v>0</v>
      </c>
      <c r="BK469" s="56" t="n">
        <v>54.97</v>
      </c>
      <c r="BL469" s="57" t="n">
        <v>0</v>
      </c>
      <c r="BM469" s="55"/>
      <c r="BN469" s="60" t="n">
        <v>0</v>
      </c>
      <c r="BO469" s="60" t="n">
        <v>469</v>
      </c>
      <c r="BP469" s="55" t="str">
        <f aca="false">IF(S469&lt;&gt;"",UPPER(TRIM(S469)),IF(O469="","LOSE",O469))</f>
        <v>LOSE</v>
      </c>
      <c r="BQ469" s="57" t="n">
        <f aca="false">IF(BP469="LOSE",1,IF(N(T469)&gt;0,T469,IF(N(P469)&gt;0,P469,MAX(1,G469))))</f>
        <v>1</v>
      </c>
      <c r="BR469" s="60" t="n">
        <f aca="false">IF(BP469="LOSE",1,0)</f>
        <v>1</v>
      </c>
      <c r="BS469" s="59" t="n">
        <f aca="false">IF(BR469=0,0,IF(N(R469)&gt;0,R469,IFERROR(VLOOKUP(D469,Parameter!$A$35:$C$64,3,0)+0,0)))</f>
        <v>0.15</v>
      </c>
      <c r="BT469" s="55" t="n">
        <f aca="false">IF(Y469&lt;&gt;"",Y469,X469)</f>
        <v>2</v>
      </c>
      <c r="BU469" s="55" t="str">
        <f aca="false">IF(BT469=1,"L1",IF(OR(BT469=2,BT469=3),"L23",IF(BT469="Aussen","Aussen","-")))</f>
        <v>L23</v>
      </c>
      <c r="BV469" s="66" t="n">
        <f aca="false">IF(N(Z469)&gt;0,Z469,0)</f>
        <v>0</v>
      </c>
      <c r="BW469" s="60" t="n">
        <f aca="false">IF(ISNUMBER(AC469),1,0)</f>
        <v>0</v>
      </c>
      <c r="BX469" s="57" t="n">
        <f aca="false">N(AC469)</f>
        <v>0</v>
      </c>
      <c r="BY469" s="57" t="n">
        <f aca="false">N(L469)+N(M469)</f>
        <v>1</v>
      </c>
      <c r="BZ469" s="57" t="n">
        <f aca="false">ROUNDUP(G469/BQ469,0)</f>
        <v>1</v>
      </c>
      <c r="CA469" s="57" t="n">
        <f aca="false">ROUNDUP(BX469/BQ469,0)</f>
        <v>0</v>
      </c>
      <c r="CB469" s="60" t="n">
        <f aca="false">IF(BR469=1,0,IFERROR(VLOOKUP(BP469,'Gebinde-Kategorie'!$A$5:$M$45,5,0)+0,0))</f>
        <v>0</v>
      </c>
      <c r="CC469" s="60" t="n">
        <f aca="false">IFERROR(IF(OR(BT469=1,BT469=2,BT469=3),N(INDEX(Parameter!$I$5:$I$7,BT469)),0),0)</f>
        <v>0</v>
      </c>
      <c r="CD469" s="59" t="n">
        <f aca="false">IF(AND(Parameter!$B$21="Ja",ISNUMBER(U469),N(V469)&gt;0),IFERROR(N(INDEX(Parameter!$L$5:$L$7,U469))*INDEX(Parameter!$E$5:$E$7,U469)*V469/SUMIFS($V$7:$V$1576,$U$7:$U$1576,U469),0),0)</f>
        <v>0</v>
      </c>
    </row>
    <row r="470" customFormat="false" ht="15" hidden="false" customHeight="false" outlineLevel="0" collapsed="false">
      <c r="A470" s="55" t="s">
        <v>1039</v>
      </c>
      <c r="B470" s="55" t="s">
        <v>1040</v>
      </c>
      <c r="C470" s="55" t="s">
        <v>160</v>
      </c>
      <c r="D470" s="55" t="s">
        <v>178</v>
      </c>
      <c r="E470" s="55" t="s">
        <v>210</v>
      </c>
      <c r="F470" s="56" t="n">
        <v>54.56</v>
      </c>
      <c r="G470" s="57" t="n">
        <f aca="false">MAX(0,IF(AND(Parameter!$B$21="Ja",ISNUMBER(W470)),W470,IF(Parameter!$B$20="Jahresanfang 2025 + Export",BJ470+BI470,BI470)))</f>
        <v>1</v>
      </c>
      <c r="H470" s="57" t="n">
        <f aca="false">G470*F470</f>
        <v>54.56</v>
      </c>
      <c r="I470" s="57" t="n">
        <f aca="false">BL470*Parameter!$B$18</f>
        <v>0</v>
      </c>
      <c r="J470" s="58" t="n">
        <v>31.5</v>
      </c>
      <c r="K470" s="59" t="n">
        <v>0</v>
      </c>
      <c r="L470" s="57" t="n">
        <v>0</v>
      </c>
      <c r="M470" s="57" t="n">
        <v>1</v>
      </c>
      <c r="N470" s="60" t="n">
        <v>28</v>
      </c>
      <c r="O470" s="55" t="s">
        <v>218</v>
      </c>
      <c r="P470" s="57" t="n">
        <v>40</v>
      </c>
      <c r="Q470" s="60" t="n">
        <f aca="false">IF(BR470=1,0,IFERROR(VLOOKUP(BP470,'Gebinde-Kategorie'!$A$5:$M$45,13,0)+0,0))</f>
        <v>12</v>
      </c>
      <c r="R470" s="61"/>
      <c r="S470" s="62"/>
      <c r="T470" s="62"/>
      <c r="U470" s="55"/>
      <c r="V470" s="57"/>
      <c r="W470" s="57"/>
      <c r="X470" s="55" t="n">
        <f aca="false">IF(A470="","",IF(AND(Parameter!$B$21="Ja",ISNUMBER(U470)),U470,IF(IFERROR(VLOOKUP(D470,Parameter!$A$35:$C$64,2,0),"Nein")="2+3",IF(ISNUMBER(SEARCH("grosser Artikel",BM470)),2,IFERROR(VLOOKUP(BP470,Parameter!$F$35:$G$64,2,0),2)),IF(OR(IFERROR(VLOOKUP(D470,Parameter!$A$35:$C$64,2,0),"Nein")="Nein",IFERROR(VLOOKUP(D470,Parameter!$A$35:$C$64,2,0),"Nein")=""),"-",VLOOKUP(D470,Parameter!$A$35:$C$64,2,0)))))</f>
        <v>2</v>
      </c>
      <c r="Y470" s="62"/>
      <c r="Z470" s="63"/>
      <c r="AA470" s="57" t="n">
        <f aca="false">AP470</f>
        <v>40</v>
      </c>
      <c r="AB470" s="57" t="n">
        <f aca="false">MAX(AP470,G470)</f>
        <v>40</v>
      </c>
      <c r="AC470" s="64"/>
      <c r="AD470" s="57" t="n">
        <f aca="false">IF(LEFT(Cockpit!$C$5,1)="A",G470,IF(BW470=1,BX470,IF(LEFT(Cockpit!$C$5,1)="B",AH470,MAX(AH470,G470))))</f>
        <v>1</v>
      </c>
      <c r="AE470" s="57" t="n">
        <f aca="false">IF(BR470=1,0,ROUNDUP(AD470/BQ470,0))</f>
        <v>1</v>
      </c>
      <c r="AF470" s="59" t="n">
        <f aca="false">IF(CD470&gt;0,CD470*MAX(1,AD470/V470),IF(BR470=1,IF(AD470&lt;=0,0,BS470*MAX(1,IF(G470&gt;0,AD470/G470,1))),IF(Q470&gt;0,AE470/Q470,0))/MAX(0.1,N(Parameter!$M$21)))</f>
        <v>0.0833333333333333</v>
      </c>
      <c r="AG470" s="57" t="n">
        <f aca="false">AD470*F470</f>
        <v>54.56</v>
      </c>
      <c r="AH470" s="57" t="n">
        <f aca="false">ROUNDUP(MAX(I470/IF(BV470&gt;0,BV470,MAX(0.1,N(Cockpit!$C$6))),BY470)/BQ470,0)*BQ470</f>
        <v>40</v>
      </c>
      <c r="AI470" s="58" t="n">
        <f aca="false">IF(AF470&gt;0,I470/AF470,-1)</f>
        <v>0</v>
      </c>
      <c r="AJ470" s="58" t="n">
        <f aca="false">IF(AND(OR(BU470="L1",BU470="L23"),AF470&gt;0),SUMIFS($AF$7:$AF$1576,$BU$7:$BU$1576,BU470,$AI$7:$AI$1576,"&gt;"&amp;AI470)+SUMIFS($AF$7:$AF$1576,$BU$7:$BU$1576,BU470,$AI$7:$AI$1576,AI470,$BO$7:$BO$1576,"&lt;="&amp;BO470),"")</f>
        <v>42.2147106516672</v>
      </c>
      <c r="AK470" s="65" t="n">
        <f aca="false">IF(AJ470="",0,MAX(0,MIN(1,(IF(BU470="L1",Parameter!$E$5,Parameter!$E$6+Parameter!$E$7)-(AJ470-AF470))/AF470)))</f>
        <v>1</v>
      </c>
      <c r="AL470" s="57" t="n">
        <f aca="false">IF(LEFT(Cockpit!$I$5,1)="A",G470,IF(BW470=1,BX470,IF(LEFT(Cockpit!$I$5,1)="B",AP470,MAX(AP470,G470))))</f>
        <v>40</v>
      </c>
      <c r="AM470" s="57" t="n">
        <f aca="false">IF(BR470=1,0,ROUNDUP(AL470/BQ470,0))</f>
        <v>1</v>
      </c>
      <c r="AN470" s="59" t="n">
        <f aca="false">IF(CD470&gt;0,CD470*MAX(1,AL470/V470),IF(BR470=1,IF(AL470&lt;=0,0,BS470*MAX(1,IF(G470&gt;0,AL470/G470,1))),IF(Q470&gt;0,AM470/Q470,0))/MAX(0.1,N(Parameter!$M$21)))</f>
        <v>0.0833333333333333</v>
      </c>
      <c r="AO470" s="57" t="n">
        <f aca="false">AL470*F470</f>
        <v>2182.4</v>
      </c>
      <c r="AP470" s="57" t="n">
        <f aca="false">ROUNDUP(MAX(I470/IF(BV470&gt;0,BV470,MAX(0.1,N(Cockpit!$I$6))),BY470)/BQ470,0)*BQ470</f>
        <v>40</v>
      </c>
      <c r="AQ470" s="58" t="n">
        <f aca="false">IF(AN470&gt;0,I470/AN470,-1)</f>
        <v>0</v>
      </c>
      <c r="AR470" s="58" t="n">
        <f aca="false">IF(AND(OR(BU470="L1",BU470="L23"),AN470&gt;0),SUMIFS($AN$7:$AN$1576,$BU$7:$BU$1576,BU470,$AQ$7:$AQ$1576,"&gt;"&amp;AQ470)+SUMIFS($AN$7:$AN$1576,$BU$7:$BU$1576,BU470,$AQ$7:$AQ$1576,AQ470,$BO$7:$BO$1576,"&lt;="&amp;BO470),"")</f>
        <v>125.211496770186</v>
      </c>
      <c r="AS470" s="65" t="n">
        <f aca="false">IF(AR470="",0,MAX(0,MIN(1,(IF(BU470="L1",Parameter!$E$5,Parameter!$E$6+Parameter!$E$7)-(AR470-AN470))/AN470)))</f>
        <v>0</v>
      </c>
      <c r="AT470" s="57" t="n">
        <f aca="false">IF(LEFT(Cockpit!$O$5,1)="A",G470,IF(BW470=1,BX470,IF(LEFT(Cockpit!$O$5,1)="B",AX470,MAX(AX470,G470))))</f>
        <v>40</v>
      </c>
      <c r="AU470" s="57" t="n">
        <f aca="false">IF(BR470=1,0,ROUNDUP(AT470/BQ470,0))</f>
        <v>1</v>
      </c>
      <c r="AV470" s="59" t="n">
        <f aca="false">IF(CD470&gt;0,CD470*MAX(1,AT470/V470),IF(BR470=1,IF(AT470&lt;=0,0,BS470*MAX(1,IF(G470&gt;0,AT470/G470,1))),IF(Q470&gt;0,AU470/Q470,0))/MAX(0.1,N(Parameter!$M$21)))</f>
        <v>0.0833333333333333</v>
      </c>
      <c r="AW470" s="57" t="n">
        <f aca="false">AT470*F470</f>
        <v>2182.4</v>
      </c>
      <c r="AX470" s="57" t="n">
        <f aca="false">ROUNDUP(MAX(I470/IF(BV470&gt;0,BV470,MAX(0.1,N(Cockpit!$O$6))),BY470)/BQ470,0)*BQ470</f>
        <v>40</v>
      </c>
      <c r="AY470" s="58" t="n">
        <f aca="false">IF(AV470&gt;0,I470/AV470,-1)</f>
        <v>0</v>
      </c>
      <c r="AZ470" s="58" t="n">
        <f aca="false">IF(AND(OR(BU470="L1",BU470="L23"),AV470&gt;0),SUMIFS($AV$7:$AV$1576,$BU$7:$BU$1576,BU470,$AY$7:$AY$1576,"&gt;"&amp;AY470)+SUMIFS($AV$7:$AV$1576,$BU$7:$BU$1576,BU470,$AY$7:$AY$1576,AY470,$BO$7:$BO$1576,"&lt;="&amp;BO470),"")</f>
        <v>115.271047219736</v>
      </c>
      <c r="BA470" s="65" t="n">
        <f aca="false">IF(AZ470="",0,MAX(0,MIN(1,(IF(BU470="L1",Parameter!$E$5,Parameter!$E$6+Parameter!$E$7)-(AZ470-AV470))/AV470)))</f>
        <v>0</v>
      </c>
      <c r="BB470" s="55" t="str">
        <f aca="false">IF(AF470&lt;=0,"",IF(BU470="Aussen","Aussenlager",IF(BU470="-","Nicht im Lift",IF(AK470&gt;=1,"Lift",IF(AK470&lt;=0,"Aussenlager","teilweise")))))</f>
        <v>Lift</v>
      </c>
      <c r="BC470" s="55" t="str">
        <f aca="false">IF(AN470&lt;=0,"",IF(BU470="Aussen","Aussenlager",IF(BU470="-","Nicht im Lift",IF(AS470&gt;=1,"Lift",IF(AS470&lt;=0,"Aussenlager","teilweise")))))</f>
        <v>Aussenlager</v>
      </c>
      <c r="BD470" s="55" t="str">
        <f aca="false">IF(AV470&lt;=0,"",IF(BU470="Aussen","Aussenlager",IF(BU470="-","Nicht im Lift",IF(BA470&gt;=1,"Lift",IF(BA470&lt;=0,"Aussenlager","teilweise")))))</f>
        <v>Aussenlager</v>
      </c>
      <c r="BE470" s="55" t="str">
        <f aca="false">IF(A470="","",IF(BN470=1,"Neu; ","")&amp;IF(AND(BN470=0,BI470&lt;0),"negativer Bestand (Export "&amp;BI470&amp;"); ","")&amp;IF(I470&lt;=0,"Kein Verbrauch; ","")&amp;IF(CD470&gt;0,"Lift "&amp;U470&amp;" lt. Liftbericht (Fach "&amp;V470&amp;" Stk); ",IF(BR470=1,"Lose – Fläche geschätzt; ",""))&amp;IF(G470&gt;AP470,"Überbestand "&amp;ROUND(G470-AP470,0)&amp;" Stk / CHF "&amp;ROUND((G470-AP470)*F470,0)&amp;"; ","")&amp;IF(AND(BW470=1,BX470&lt;BY470),"MAX &lt; MB+LG; ","")&amp;IF(AND(CC470&gt;0,CB470*10&gt;CC470),"zu hoch für Tablar; ","")&amp;IF(AND(BN470=0,OR(BW470=1,Y470&lt;&gt;"",S470&lt;&gt;"",T470&lt;&gt;"",Z470&lt;&gt;"")),"manuell übersteuert; ","")&amp;IF(AND(BR470=0,Q470=0),"Gebinde unbekannt / Stellmass fehlt; ","")&amp;IF(AND(BR470=0,N(T470)&lt;=0,N(P470)&lt;=0),"Menge pro Gebinde fehlt (Ist = 1 Gebinde); ","")&amp;BM470)</f>
        <v>Kein Verbrauch; </v>
      </c>
      <c r="BF470" s="55"/>
      <c r="BG470" s="55"/>
      <c r="BH470" s="62"/>
      <c r="BI470" s="57" t="n">
        <v>1</v>
      </c>
      <c r="BJ470" s="57" t="n">
        <v>31</v>
      </c>
      <c r="BK470" s="56" t="n">
        <v>54.56</v>
      </c>
      <c r="BL470" s="57" t="n">
        <v>0</v>
      </c>
      <c r="BM470" s="55"/>
      <c r="BN470" s="60" t="n">
        <v>0</v>
      </c>
      <c r="BO470" s="60" t="n">
        <v>470</v>
      </c>
      <c r="BP470" s="55" t="str">
        <f aca="false">IF(S470&lt;&gt;"",UPPER(TRIM(S470)),IF(O470="","LOSE",O470))</f>
        <v>S63</v>
      </c>
      <c r="BQ470" s="57" t="n">
        <f aca="false">IF(BP470="LOSE",1,IF(N(T470)&gt;0,T470,IF(N(P470)&gt;0,P470,MAX(1,G470))))</f>
        <v>40</v>
      </c>
      <c r="BR470" s="60" t="n">
        <f aca="false">IF(BP470="LOSE",1,0)</f>
        <v>0</v>
      </c>
      <c r="BS470" s="59" t="n">
        <f aca="false">IF(BR470=0,0,IF(N(R470)&gt;0,R470,IFERROR(VLOOKUP(D470,Parameter!$A$35:$C$64,3,0)+0,0)))</f>
        <v>0</v>
      </c>
      <c r="BT470" s="55" t="n">
        <f aca="false">IF(Y470&lt;&gt;"",Y470,X470)</f>
        <v>2</v>
      </c>
      <c r="BU470" s="55" t="str">
        <f aca="false">IF(BT470=1,"L1",IF(OR(BT470=2,BT470=3),"L23",IF(BT470="Aussen","Aussen","-")))</f>
        <v>L23</v>
      </c>
      <c r="BV470" s="66" t="n">
        <f aca="false">IF(N(Z470)&gt;0,Z470,0)</f>
        <v>0</v>
      </c>
      <c r="BW470" s="60" t="n">
        <f aca="false">IF(ISNUMBER(AC470),1,0)</f>
        <v>0</v>
      </c>
      <c r="BX470" s="57" t="n">
        <f aca="false">N(AC470)</f>
        <v>0</v>
      </c>
      <c r="BY470" s="57" t="n">
        <f aca="false">N(L470)+N(M470)</f>
        <v>1</v>
      </c>
      <c r="BZ470" s="57" t="n">
        <f aca="false">ROUNDUP(G470/BQ470,0)</f>
        <v>1</v>
      </c>
      <c r="CA470" s="57" t="n">
        <f aca="false">ROUNDUP(BX470/BQ470,0)</f>
        <v>0</v>
      </c>
      <c r="CB470" s="60" t="n">
        <f aca="false">IF(BR470=1,0,IFERROR(VLOOKUP(BP470,'Gebinde-Kategorie'!$A$5:$M$45,5,0)+0,0))</f>
        <v>31</v>
      </c>
      <c r="CC470" s="60" t="n">
        <f aca="false">IFERROR(IF(OR(BT470=1,BT470=2,BT470=3),N(INDEX(Parameter!$I$5:$I$7,BT470)),0),0)</f>
        <v>0</v>
      </c>
      <c r="CD470" s="59" t="n">
        <f aca="false">IF(AND(Parameter!$B$21="Ja",ISNUMBER(U470),N(V470)&gt;0),IFERROR(N(INDEX(Parameter!$L$5:$L$7,U470))*INDEX(Parameter!$E$5:$E$7,U470)*V470/SUMIFS($V$7:$V$1576,$U$7:$U$1576,U470),0),0)</f>
        <v>0</v>
      </c>
    </row>
    <row r="471" customFormat="false" ht="15" hidden="false" customHeight="false" outlineLevel="0" collapsed="false">
      <c r="A471" s="55" t="s">
        <v>1041</v>
      </c>
      <c r="B471" s="55" t="s">
        <v>744</v>
      </c>
      <c r="C471" s="55" t="s">
        <v>160</v>
      </c>
      <c r="D471" s="55" t="s">
        <v>178</v>
      </c>
      <c r="E471" s="55" t="s">
        <v>210</v>
      </c>
      <c r="F471" s="56" t="n">
        <v>43.08</v>
      </c>
      <c r="G471" s="57" t="n">
        <f aca="false">MAX(0,IF(AND(Parameter!$B$21="Ja",ISNUMBER(W471)),W471,IF(Parameter!$B$20="Jahresanfang 2025 + Export",BJ471+BI471,BI471)))</f>
        <v>1</v>
      </c>
      <c r="H471" s="57" t="n">
        <f aca="false">G471*F471</f>
        <v>43.08</v>
      </c>
      <c r="I471" s="57" t="n">
        <f aca="false">BL471*Parameter!$B$18</f>
        <v>8</v>
      </c>
      <c r="J471" s="58" t="n">
        <v>17.5</v>
      </c>
      <c r="K471" s="59" t="n">
        <v>0.457142857142857</v>
      </c>
      <c r="L471" s="57" t="n">
        <v>0</v>
      </c>
      <c r="M471" s="57" t="n">
        <v>10</v>
      </c>
      <c r="N471" s="60" t="n">
        <v>35</v>
      </c>
      <c r="O471" s="55" t="s">
        <v>416</v>
      </c>
      <c r="P471" s="57" t="n">
        <v>11</v>
      </c>
      <c r="Q471" s="60" t="n">
        <f aca="false">IF(BR471=1,0,IFERROR(VLOOKUP(BP471,'Gebinde-Kategorie'!$A$5:$M$45,13,0)+0,0))</f>
        <v>198</v>
      </c>
      <c r="R471" s="61"/>
      <c r="S471" s="62"/>
      <c r="T471" s="62"/>
      <c r="U471" s="55"/>
      <c r="V471" s="57"/>
      <c r="W471" s="57"/>
      <c r="X471" s="55" t="n">
        <f aca="false">IF(A471="","",IF(AND(Parameter!$B$21="Ja",ISNUMBER(U471)),U471,IF(IFERROR(VLOOKUP(D471,Parameter!$A$35:$C$64,2,0),"Nein")="2+3",IF(ISNUMBER(SEARCH("grosser Artikel",BM471)),2,IFERROR(VLOOKUP(BP471,Parameter!$F$35:$G$64,2,0),2)),IF(OR(IFERROR(VLOOKUP(D471,Parameter!$A$35:$C$64,2,0),"Nein")="Nein",IFERROR(VLOOKUP(D471,Parameter!$A$35:$C$64,2,0),"Nein")=""),"-",VLOOKUP(D471,Parameter!$A$35:$C$64,2,0)))))</f>
        <v>3</v>
      </c>
      <c r="Y471" s="62"/>
      <c r="Z471" s="63"/>
      <c r="AA471" s="57" t="n">
        <f aca="false">AP471</f>
        <v>11</v>
      </c>
      <c r="AB471" s="57" t="n">
        <f aca="false">MAX(AP471,G471)</f>
        <v>11</v>
      </c>
      <c r="AC471" s="64"/>
      <c r="AD471" s="57" t="n">
        <f aca="false">IF(LEFT(Cockpit!$C$5,1)="A",G471,IF(BW471=1,BX471,IF(LEFT(Cockpit!$C$5,1)="B",AH471,MAX(AH471,G471))))</f>
        <v>1</v>
      </c>
      <c r="AE471" s="57" t="n">
        <f aca="false">IF(BR471=1,0,ROUNDUP(AD471/BQ471,0))</f>
        <v>1</v>
      </c>
      <c r="AF471" s="59" t="n">
        <f aca="false">IF(CD471&gt;0,CD471*MAX(1,AD471/V471),IF(BR471=1,IF(AD471&lt;=0,0,BS471*MAX(1,IF(G471&gt;0,AD471/G471,1))),IF(Q471&gt;0,AE471/Q471,0))/MAX(0.1,N(Parameter!$M$21)))</f>
        <v>0.00505050505050505</v>
      </c>
      <c r="AG471" s="57" t="n">
        <f aca="false">AD471*F471</f>
        <v>43.08</v>
      </c>
      <c r="AH471" s="57" t="n">
        <f aca="false">ROUNDUP(MAX(I471/IF(BV471&gt;0,BV471,MAX(0.1,N(Cockpit!$C$6))),BY471)/BQ471,0)*BQ471</f>
        <v>11</v>
      </c>
      <c r="AI471" s="58" t="n">
        <f aca="false">IF(AF471&gt;0,I471/AF471,-1)</f>
        <v>1584</v>
      </c>
      <c r="AJ471" s="58" t="n">
        <f aca="false">IF(AND(OR(BU471="L1",BU471="L23"),AF471&gt;0),SUMIFS($AF$7:$AF$1576,$BU$7:$BU$1576,BU471,$AI$7:$AI$1576,"&gt;"&amp;AI471)+SUMIFS($AF$7:$AF$1576,$BU$7:$BU$1576,BU471,$AI$7:$AI$1576,AI471,$BO$7:$BO$1576,"&lt;="&amp;BO471),"")</f>
        <v>7.64979189892233</v>
      </c>
      <c r="AK471" s="65" t="n">
        <f aca="false">IF(AJ471="",0,MAX(0,MIN(1,(IF(BU471="L1",Parameter!$E$5,Parameter!$E$6+Parameter!$E$7)-(AJ471-AF471))/AF471)))</f>
        <v>1</v>
      </c>
      <c r="AL471" s="57" t="n">
        <f aca="false">IF(LEFT(Cockpit!$I$5,1)="A",G471,IF(BW471=1,BX471,IF(LEFT(Cockpit!$I$5,1)="B",AP471,MAX(AP471,G471))))</f>
        <v>11</v>
      </c>
      <c r="AM471" s="57" t="n">
        <f aca="false">IF(BR471=1,0,ROUNDUP(AL471/BQ471,0))</f>
        <v>1</v>
      </c>
      <c r="AN471" s="59" t="n">
        <f aca="false">IF(CD471&gt;0,CD471*MAX(1,AL471/V471),IF(BR471=1,IF(AL471&lt;=0,0,BS471*MAX(1,IF(G471&gt;0,AL471/G471,1))),IF(Q471&gt;0,AM471/Q471,0))/MAX(0.1,N(Parameter!$M$21)))</f>
        <v>0.00505050505050505</v>
      </c>
      <c r="AO471" s="57" t="n">
        <f aca="false">AL471*F471</f>
        <v>473.88</v>
      </c>
      <c r="AP471" s="57" t="n">
        <f aca="false">ROUNDUP(MAX(I471/IF(BV471&gt;0,BV471,MAX(0.1,N(Cockpit!$I$6))),BY471)/BQ471,0)*BQ471</f>
        <v>11</v>
      </c>
      <c r="AQ471" s="58" t="n">
        <f aca="false">IF(AN471&gt;0,I471/AN471,-1)</f>
        <v>1584</v>
      </c>
      <c r="AR471" s="58" t="n">
        <f aca="false">IF(AND(OR(BU471="L1",BU471="L23"),AN471&gt;0),SUMIFS($AN$7:$AN$1576,$BU$7:$BU$1576,BU471,$AQ$7:$AQ$1576,"&gt;"&amp;AQ471)+SUMIFS($AN$7:$AN$1576,$BU$7:$BU$1576,BU471,$AQ$7:$AQ$1576,AQ471,$BO$7:$BO$1576,"&lt;="&amp;BO471),"")</f>
        <v>18.8659321961607</v>
      </c>
      <c r="AS471" s="65" t="n">
        <f aca="false">IF(AR471="",0,MAX(0,MIN(1,(IF(BU471="L1",Parameter!$E$5,Parameter!$E$6+Parameter!$E$7)-(AR471-AN471))/AN471)))</f>
        <v>1</v>
      </c>
      <c r="AT471" s="57" t="n">
        <f aca="false">IF(LEFT(Cockpit!$O$5,1)="A",G471,IF(BW471=1,BX471,IF(LEFT(Cockpit!$O$5,1)="B",AX471,MAX(AX471,G471))))</f>
        <v>11</v>
      </c>
      <c r="AU471" s="57" t="n">
        <f aca="false">IF(BR471=1,0,ROUNDUP(AT471/BQ471,0))</f>
        <v>1</v>
      </c>
      <c r="AV471" s="59" t="n">
        <f aca="false">IF(CD471&gt;0,CD471*MAX(1,AT471/V471),IF(BR471=1,IF(AT471&lt;=0,0,BS471*MAX(1,IF(G471&gt;0,AT471/G471,1))),IF(Q471&gt;0,AU471/Q471,0))/MAX(0.1,N(Parameter!$M$21)))</f>
        <v>0.00505050505050505</v>
      </c>
      <c r="AW471" s="57" t="n">
        <f aca="false">AT471*F471</f>
        <v>473.88</v>
      </c>
      <c r="AX471" s="57" t="n">
        <f aca="false">ROUNDUP(MAX(I471/IF(BV471&gt;0,BV471,MAX(0.1,N(Cockpit!$O$6))),BY471)/BQ471,0)*BQ471</f>
        <v>11</v>
      </c>
      <c r="AY471" s="58" t="n">
        <f aca="false">IF(AV471&gt;0,I471/AV471,-1)</f>
        <v>1584</v>
      </c>
      <c r="AZ471" s="58" t="n">
        <f aca="false">IF(AND(OR(BU471="L1",BU471="L23"),AV471&gt;0),SUMIFS($AV$7:$AV$1576,$BU$7:$BU$1576,BU471,$AY$7:$AY$1576,"&gt;"&amp;AY471)+SUMIFS($AV$7:$AV$1576,$BU$7:$BU$1576,BU471,$AY$7:$AY$1576,AY471,$BO$7:$BO$1576,"&lt;="&amp;BO471),"")</f>
        <v>17.8432049234335</v>
      </c>
      <c r="BA471" s="65" t="n">
        <f aca="false">IF(AZ471="",0,MAX(0,MIN(1,(IF(BU471="L1",Parameter!$E$5,Parameter!$E$6+Parameter!$E$7)-(AZ471-AV471))/AV471)))</f>
        <v>1</v>
      </c>
      <c r="BB471" s="55" t="str">
        <f aca="false">IF(AF471&lt;=0,"",IF(BU471="Aussen","Aussenlager",IF(BU471="-","Nicht im Lift",IF(AK471&gt;=1,"Lift",IF(AK471&lt;=0,"Aussenlager","teilweise")))))</f>
        <v>Lift</v>
      </c>
      <c r="BC471" s="55" t="str">
        <f aca="false">IF(AN471&lt;=0,"",IF(BU471="Aussen","Aussenlager",IF(BU471="-","Nicht im Lift",IF(AS471&gt;=1,"Lift",IF(AS471&lt;=0,"Aussenlager","teilweise")))))</f>
        <v>Lift</v>
      </c>
      <c r="BD471" s="55" t="str">
        <f aca="false">IF(AV471&lt;=0,"",IF(BU471="Aussen","Aussenlager",IF(BU471="-","Nicht im Lift",IF(BA471&gt;=1,"Lift",IF(BA471&lt;=0,"Aussenlager","teilweise")))))</f>
        <v>Lift</v>
      </c>
      <c r="BE471" s="55" t="str">
        <f aca="false">IF(A471="","",IF(BN471=1,"Neu; ","")&amp;IF(AND(BN471=0,BI471&lt;0),"negativer Bestand (Export "&amp;BI471&amp;"); ","")&amp;IF(I471&lt;=0,"Kein Verbrauch; ","")&amp;IF(CD471&gt;0,"Lift "&amp;U471&amp;" lt. Liftbericht (Fach "&amp;V471&amp;" Stk); ",IF(BR471=1,"Lose – Fläche geschätzt; ",""))&amp;IF(G471&gt;AP471,"Überbestand "&amp;ROUND(G471-AP471,0)&amp;" Stk / CHF "&amp;ROUND((G471-AP471)*F471,0)&amp;"; ","")&amp;IF(AND(BW471=1,BX471&lt;BY471),"MAX &lt; MB+LG; ","")&amp;IF(AND(CC471&gt;0,CB471*10&gt;CC471),"zu hoch für Tablar; ","")&amp;IF(AND(BN471=0,OR(BW471=1,Y471&lt;&gt;"",S471&lt;&gt;"",T471&lt;&gt;"",Z471&lt;&gt;"")),"manuell übersteuert; ","")&amp;IF(AND(BR471=0,Q471=0),"Gebinde unbekannt / Stellmass fehlt; ","")&amp;IF(AND(BR471=0,N(T471)&lt;=0,N(P471)&lt;=0),"Menge pro Gebinde fehlt (Ist = 1 Gebinde); ","")&amp;BM471)</f>
        <v/>
      </c>
      <c r="BF471" s="55"/>
      <c r="BG471" s="55"/>
      <c r="BH471" s="62"/>
      <c r="BI471" s="57" t="n">
        <v>1</v>
      </c>
      <c r="BJ471" s="57" t="n">
        <v>14</v>
      </c>
      <c r="BK471" s="56" t="n">
        <v>53.8600000000001</v>
      </c>
      <c r="BL471" s="57" t="n">
        <v>8</v>
      </c>
      <c r="BM471" s="55"/>
      <c r="BN471" s="60" t="n">
        <v>0</v>
      </c>
      <c r="BO471" s="60" t="n">
        <v>471</v>
      </c>
      <c r="BP471" s="55" t="str">
        <f aca="false">IF(S471&lt;&gt;"",UPPER(TRIM(S471)),IF(O471="","LOSE",O471))</f>
        <v>S22</v>
      </c>
      <c r="BQ471" s="57" t="n">
        <f aca="false">IF(BP471="LOSE",1,IF(N(T471)&gt;0,T471,IF(N(P471)&gt;0,P471,MAX(1,G471))))</f>
        <v>11</v>
      </c>
      <c r="BR471" s="60" t="n">
        <f aca="false">IF(BP471="LOSE",1,0)</f>
        <v>0</v>
      </c>
      <c r="BS471" s="59" t="n">
        <f aca="false">IF(BR471=0,0,IF(N(R471)&gt;0,R471,IFERROR(VLOOKUP(D471,Parameter!$A$35:$C$64,3,0)+0,0)))</f>
        <v>0</v>
      </c>
      <c r="BT471" s="55" t="n">
        <f aca="false">IF(Y471&lt;&gt;"",Y471,X471)</f>
        <v>3</v>
      </c>
      <c r="BU471" s="55" t="str">
        <f aca="false">IF(BT471=1,"L1",IF(OR(BT471=2,BT471=3),"L23",IF(BT471="Aussen","Aussen","-")))</f>
        <v>L23</v>
      </c>
      <c r="BV471" s="66" t="n">
        <f aca="false">IF(N(Z471)&gt;0,Z471,0)</f>
        <v>0</v>
      </c>
      <c r="BW471" s="60" t="n">
        <f aca="false">IF(ISNUMBER(AC471),1,0)</f>
        <v>0</v>
      </c>
      <c r="BX471" s="57" t="n">
        <f aca="false">N(AC471)</f>
        <v>0</v>
      </c>
      <c r="BY471" s="57" t="n">
        <f aca="false">N(L471)+N(M471)</f>
        <v>10</v>
      </c>
      <c r="BZ471" s="57" t="n">
        <f aca="false">ROUNDUP(G471/BQ471,0)</f>
        <v>1</v>
      </c>
      <c r="CA471" s="57" t="n">
        <f aca="false">ROUNDUP(BX471/BQ471,0)</f>
        <v>0</v>
      </c>
      <c r="CB471" s="60" t="n">
        <f aca="false">IF(BR471=1,0,IFERROR(VLOOKUP(BP471,'Gebinde-Kategorie'!$A$5:$M$45,5,0)+0,0))</f>
        <v>8</v>
      </c>
      <c r="CC471" s="60" t="n">
        <f aca="false">IFERROR(IF(OR(BT471=1,BT471=2,BT471=3),N(INDEX(Parameter!$I$5:$I$7,BT471)),0),0)</f>
        <v>0</v>
      </c>
      <c r="CD471" s="59" t="n">
        <f aca="false">IF(AND(Parameter!$B$21="Ja",ISNUMBER(U471),N(V471)&gt;0),IFERROR(N(INDEX(Parameter!$L$5:$L$7,U471))*INDEX(Parameter!$E$5:$E$7,U471)*V471/SUMIFS($V$7:$V$1576,$U$7:$U$1576,U471),0),0)</f>
        <v>0</v>
      </c>
    </row>
    <row r="472" customFormat="false" ht="15" hidden="false" customHeight="false" outlineLevel="0" collapsed="false">
      <c r="A472" s="55" t="s">
        <v>1042</v>
      </c>
      <c r="B472" s="55" t="s">
        <v>1043</v>
      </c>
      <c r="C472" s="55" t="s">
        <v>160</v>
      </c>
      <c r="D472" s="55" t="s">
        <v>839</v>
      </c>
      <c r="E472" s="55" t="s">
        <v>210</v>
      </c>
      <c r="F472" s="56" t="n">
        <v>4.4</v>
      </c>
      <c r="G472" s="57" t="n">
        <f aca="false">MAX(0,IF(AND(Parameter!$B$21="Ja",ISNUMBER(W472)),W472,IF(Parameter!$B$20="Jahresanfang 2025 + Export",BJ472+BI472,BI472)))</f>
        <v>12</v>
      </c>
      <c r="H472" s="57" t="n">
        <f aca="false">G472*F472</f>
        <v>52.8</v>
      </c>
      <c r="I472" s="57" t="n">
        <f aca="false">BL472*Parameter!$B$18</f>
        <v>60</v>
      </c>
      <c r="J472" s="58" t="n">
        <v>0</v>
      </c>
      <c r="K472" s="59" t="n">
        <v>0</v>
      </c>
      <c r="L472" s="57" t="n">
        <v>0</v>
      </c>
      <c r="M472" s="57" t="n">
        <v>12</v>
      </c>
      <c r="N472" s="60" t="n">
        <v>14</v>
      </c>
      <c r="O472" s="55" t="s">
        <v>225</v>
      </c>
      <c r="P472" s="57" t="n">
        <v>131</v>
      </c>
      <c r="Q472" s="60" t="n">
        <f aca="false">IF(BR472=1,0,IFERROR(VLOOKUP(BP472,'Gebinde-Kategorie'!$A$5:$M$45,13,0)+0,0))</f>
        <v>26</v>
      </c>
      <c r="R472" s="61"/>
      <c r="S472" s="62"/>
      <c r="T472" s="62"/>
      <c r="U472" s="55"/>
      <c r="V472" s="57"/>
      <c r="W472" s="57"/>
      <c r="X472" s="55" t="str">
        <f aca="false">IF(A472="","",IF(AND(Parameter!$B$21="Ja",ISNUMBER(U472)),U472,IF(IFERROR(VLOOKUP(D472,Parameter!$A$35:$C$64,2,0),"Nein")="2+3",IF(ISNUMBER(SEARCH("grosser Artikel",BM472)),2,IFERROR(VLOOKUP(BP472,Parameter!$F$35:$G$64,2,0),2)),IF(OR(IFERROR(VLOOKUP(D472,Parameter!$A$35:$C$64,2,0),"Nein")="Nein",IFERROR(VLOOKUP(D472,Parameter!$A$35:$C$64,2,0),"Nein")=""),"-",VLOOKUP(D472,Parameter!$A$35:$C$64,2,0)))))</f>
        <v>-</v>
      </c>
      <c r="Y472" s="62"/>
      <c r="Z472" s="63"/>
      <c r="AA472" s="57" t="n">
        <f aca="false">AP472</f>
        <v>131</v>
      </c>
      <c r="AB472" s="57" t="n">
        <f aca="false">MAX(AP472,G472)</f>
        <v>131</v>
      </c>
      <c r="AC472" s="64"/>
      <c r="AD472" s="57" t="n">
        <f aca="false">IF(LEFT(Cockpit!$C$5,1)="A",G472,IF(BW472=1,BX472,IF(LEFT(Cockpit!$C$5,1)="B",AH472,MAX(AH472,G472))))</f>
        <v>12</v>
      </c>
      <c r="AE472" s="57" t="n">
        <f aca="false">IF(BR472=1,0,ROUNDUP(AD472/BQ472,0))</f>
        <v>1</v>
      </c>
      <c r="AF472" s="59" t="n">
        <f aca="false">IF(CD472&gt;0,CD472*MAX(1,AD472/V472),IF(BR472=1,IF(AD472&lt;=0,0,BS472*MAX(1,IF(G472&gt;0,AD472/G472,1))),IF(Q472&gt;0,AE472/Q472,0))/MAX(0.1,N(Parameter!$M$21)))</f>
        <v>0.0384615384615385</v>
      </c>
      <c r="AG472" s="57" t="n">
        <f aca="false">AD472*F472</f>
        <v>52.8</v>
      </c>
      <c r="AH472" s="57" t="n">
        <f aca="false">ROUNDUP(MAX(I472/IF(BV472&gt;0,BV472,MAX(0.1,N(Cockpit!$C$6))),BY472)/BQ472,0)*BQ472</f>
        <v>131</v>
      </c>
      <c r="AI472" s="58" t="n">
        <f aca="false">IF(AF472&gt;0,I472/AF472,-1)</f>
        <v>1560</v>
      </c>
      <c r="AJ472" s="58" t="str">
        <f aca="false">IF(AND(OR(BU472="L1",BU472="L23"),AF472&gt;0),SUMIFS($AF$7:$AF$1576,$BU$7:$BU$1576,BU472,$AI$7:$AI$1576,"&gt;"&amp;AI472)+SUMIFS($AF$7:$AF$1576,$BU$7:$BU$1576,BU472,$AI$7:$AI$1576,AI472,$BO$7:$BO$1576,"&lt;="&amp;BO472),"")</f>
        <v/>
      </c>
      <c r="AK472" s="65" t="n">
        <f aca="false">IF(AJ472="",0,MAX(0,MIN(1,(IF(BU472="L1",Parameter!$E$5,Parameter!$E$6+Parameter!$E$7)-(AJ472-AF472))/AF472)))</f>
        <v>0</v>
      </c>
      <c r="AL472" s="57" t="n">
        <f aca="false">IF(LEFT(Cockpit!$I$5,1)="A",G472,IF(BW472=1,BX472,IF(LEFT(Cockpit!$I$5,1)="B",AP472,MAX(AP472,G472))))</f>
        <v>131</v>
      </c>
      <c r="AM472" s="57" t="n">
        <f aca="false">IF(BR472=1,0,ROUNDUP(AL472/BQ472,0))</f>
        <v>1</v>
      </c>
      <c r="AN472" s="59" t="n">
        <f aca="false">IF(CD472&gt;0,CD472*MAX(1,AL472/V472),IF(BR472=1,IF(AL472&lt;=0,0,BS472*MAX(1,IF(G472&gt;0,AL472/G472,1))),IF(Q472&gt;0,AM472/Q472,0))/MAX(0.1,N(Parameter!$M$21)))</f>
        <v>0.0384615384615385</v>
      </c>
      <c r="AO472" s="57" t="n">
        <f aca="false">AL472*F472</f>
        <v>576.4</v>
      </c>
      <c r="AP472" s="57" t="n">
        <f aca="false">ROUNDUP(MAX(I472/IF(BV472&gt;0,BV472,MAX(0.1,N(Cockpit!$I$6))),BY472)/BQ472,0)*BQ472</f>
        <v>131</v>
      </c>
      <c r="AQ472" s="58" t="n">
        <f aca="false">IF(AN472&gt;0,I472/AN472,-1)</f>
        <v>1560</v>
      </c>
      <c r="AR472" s="58" t="str">
        <f aca="false">IF(AND(OR(BU472="L1",BU472="L23"),AN472&gt;0),SUMIFS($AN$7:$AN$1576,$BU$7:$BU$1576,BU472,$AQ$7:$AQ$1576,"&gt;"&amp;AQ472)+SUMIFS($AN$7:$AN$1576,$BU$7:$BU$1576,BU472,$AQ$7:$AQ$1576,AQ472,$BO$7:$BO$1576,"&lt;="&amp;BO472),"")</f>
        <v/>
      </c>
      <c r="AS472" s="65" t="n">
        <f aca="false">IF(AR472="",0,MAX(0,MIN(1,(IF(BU472="L1",Parameter!$E$5,Parameter!$E$6+Parameter!$E$7)-(AR472-AN472))/AN472)))</f>
        <v>0</v>
      </c>
      <c r="AT472" s="57" t="n">
        <f aca="false">IF(LEFT(Cockpit!$O$5,1)="A",G472,IF(BW472=1,BX472,IF(LEFT(Cockpit!$O$5,1)="B",AX472,MAX(AX472,G472))))</f>
        <v>131</v>
      </c>
      <c r="AU472" s="57" t="n">
        <f aca="false">IF(BR472=1,0,ROUNDUP(AT472/BQ472,0))</f>
        <v>1</v>
      </c>
      <c r="AV472" s="59" t="n">
        <f aca="false">IF(CD472&gt;0,CD472*MAX(1,AT472/V472),IF(BR472=1,IF(AT472&lt;=0,0,BS472*MAX(1,IF(G472&gt;0,AT472/G472,1))),IF(Q472&gt;0,AU472/Q472,0))/MAX(0.1,N(Parameter!$M$21)))</f>
        <v>0.0384615384615385</v>
      </c>
      <c r="AW472" s="57" t="n">
        <f aca="false">AT472*F472</f>
        <v>576.4</v>
      </c>
      <c r="AX472" s="57" t="n">
        <f aca="false">ROUNDUP(MAX(I472/IF(BV472&gt;0,BV472,MAX(0.1,N(Cockpit!$O$6))),BY472)/BQ472,0)*BQ472</f>
        <v>131</v>
      </c>
      <c r="AY472" s="58" t="n">
        <f aca="false">IF(AV472&gt;0,I472/AV472,-1)</f>
        <v>1560</v>
      </c>
      <c r="AZ472" s="58" t="str">
        <f aca="false">IF(AND(OR(BU472="L1",BU472="L23"),AV472&gt;0),SUMIFS($AV$7:$AV$1576,$BU$7:$BU$1576,BU472,$AY$7:$AY$1576,"&gt;"&amp;AY472)+SUMIFS($AV$7:$AV$1576,$BU$7:$BU$1576,BU472,$AY$7:$AY$1576,AY472,$BO$7:$BO$1576,"&lt;="&amp;BO472),"")</f>
        <v/>
      </c>
      <c r="BA472" s="65" t="n">
        <f aca="false">IF(AZ472="",0,MAX(0,MIN(1,(IF(BU472="L1",Parameter!$E$5,Parameter!$E$6+Parameter!$E$7)-(AZ472-AV472))/AV472)))</f>
        <v>0</v>
      </c>
      <c r="BB472" s="55" t="str">
        <f aca="false">IF(AF472&lt;=0,"",IF(BU472="Aussen","Aussenlager",IF(BU472="-","Nicht im Lift",IF(AK472&gt;=1,"Lift",IF(AK472&lt;=0,"Aussenlager","teilweise")))))</f>
        <v>Nicht im Lift</v>
      </c>
      <c r="BC472" s="55" t="str">
        <f aca="false">IF(AN472&lt;=0,"",IF(BU472="Aussen","Aussenlager",IF(BU472="-","Nicht im Lift",IF(AS472&gt;=1,"Lift",IF(AS472&lt;=0,"Aussenlager","teilweise")))))</f>
        <v>Nicht im Lift</v>
      </c>
      <c r="BD472" s="55" t="str">
        <f aca="false">IF(AV472&lt;=0,"",IF(BU472="Aussen","Aussenlager",IF(BU472="-","Nicht im Lift",IF(BA472&gt;=1,"Lift",IF(BA472&lt;=0,"Aussenlager","teilweise")))))</f>
        <v>Nicht im Lift</v>
      </c>
      <c r="BE472" s="55" t="str">
        <f aca="false">IF(A472="","",IF(BN472=1,"Neu; ","")&amp;IF(AND(BN472=0,BI472&lt;0),"negativer Bestand (Export "&amp;BI472&amp;"); ","")&amp;IF(I472&lt;=0,"Kein Verbrauch; ","")&amp;IF(CD472&gt;0,"Lift "&amp;U472&amp;" lt. Liftbericht (Fach "&amp;V472&amp;" Stk); ",IF(BR472=1,"Lose – Fläche geschätzt; ",""))&amp;IF(G472&gt;AP472,"Überbestand "&amp;ROUND(G472-AP472,0)&amp;" Stk / CHF "&amp;ROUND((G472-AP472)*F472,0)&amp;"; ","")&amp;IF(AND(BW472=1,BX472&lt;BY472),"MAX &lt; MB+LG; ","")&amp;IF(AND(CC472&gt;0,CB472*10&gt;CC472),"zu hoch für Tablar; ","")&amp;IF(AND(BN472=0,OR(BW472=1,Y472&lt;&gt;"",S472&lt;&gt;"",T472&lt;&gt;"",Z472&lt;&gt;"")),"manuell übersteuert; ","")&amp;IF(AND(BR472=0,Q472=0),"Gebinde unbekannt / Stellmass fehlt; ","")&amp;IF(AND(BR472=0,N(T472)&lt;=0,N(P472)&lt;=0),"Menge pro Gebinde fehlt (Ist = 1 Gebinde); ","")&amp;BM472)</f>
        <v/>
      </c>
      <c r="BF472" s="55"/>
      <c r="BG472" s="55"/>
      <c r="BH472" s="62"/>
      <c r="BI472" s="57" t="n">
        <v>12</v>
      </c>
      <c r="BJ472" s="57" t="n">
        <v>0</v>
      </c>
      <c r="BK472" s="56" t="n">
        <v>52.8</v>
      </c>
      <c r="BL472" s="57" t="n">
        <v>60</v>
      </c>
      <c r="BM472" s="55"/>
      <c r="BN472" s="60" t="n">
        <v>0</v>
      </c>
      <c r="BO472" s="60" t="n">
        <v>472</v>
      </c>
      <c r="BP472" s="55" t="str">
        <f aca="false">IF(S472&lt;&gt;"",UPPER(TRIM(S472)),IF(O472="","LOSE",O472))</f>
        <v>S52</v>
      </c>
      <c r="BQ472" s="57" t="n">
        <f aca="false">IF(BP472="LOSE",1,IF(N(T472)&gt;0,T472,IF(N(P472)&gt;0,P472,MAX(1,G472))))</f>
        <v>131</v>
      </c>
      <c r="BR472" s="60" t="n">
        <f aca="false">IF(BP472="LOSE",1,0)</f>
        <v>0</v>
      </c>
      <c r="BS472" s="59" t="n">
        <f aca="false">IF(BR472=0,0,IF(N(R472)&gt;0,R472,IFERROR(VLOOKUP(D472,Parameter!$A$35:$C$64,3,0)+0,0)))</f>
        <v>0</v>
      </c>
      <c r="BT472" s="55" t="str">
        <f aca="false">IF(Y472&lt;&gt;"",Y472,X472)</f>
        <v>-</v>
      </c>
      <c r="BU472" s="55" t="str">
        <f aca="false">IF(BT472=1,"L1",IF(OR(BT472=2,BT472=3),"L23",IF(BT472="Aussen","Aussen","-")))</f>
        <v>-</v>
      </c>
      <c r="BV472" s="66" t="n">
        <f aca="false">IF(N(Z472)&gt;0,Z472,0)</f>
        <v>0</v>
      </c>
      <c r="BW472" s="60" t="n">
        <f aca="false">IF(ISNUMBER(AC472),1,0)</f>
        <v>0</v>
      </c>
      <c r="BX472" s="57" t="n">
        <f aca="false">N(AC472)</f>
        <v>0</v>
      </c>
      <c r="BY472" s="57" t="n">
        <f aca="false">N(L472)+N(M472)</f>
        <v>12</v>
      </c>
      <c r="BZ472" s="57" t="n">
        <f aca="false">ROUNDUP(G472/BQ472,0)</f>
        <v>1</v>
      </c>
      <c r="CA472" s="57" t="n">
        <f aca="false">ROUNDUP(BX472/BQ472,0)</f>
        <v>0</v>
      </c>
      <c r="CB472" s="60" t="n">
        <f aca="false">IF(BR472=1,0,IFERROR(VLOOKUP(BP472,'Gebinde-Kategorie'!$A$5:$M$45,5,0)+0,0))</f>
        <v>21</v>
      </c>
      <c r="CC472" s="60" t="n">
        <f aca="false">IFERROR(IF(OR(BT472=1,BT472=2,BT472=3),N(INDEX(Parameter!$I$5:$I$7,BT472)),0),0)</f>
        <v>0</v>
      </c>
      <c r="CD472" s="59" t="n">
        <f aca="false">IF(AND(Parameter!$B$21="Ja",ISNUMBER(U472),N(V472)&gt;0),IFERROR(N(INDEX(Parameter!$L$5:$L$7,U472))*INDEX(Parameter!$E$5:$E$7,U472)*V472/SUMIFS($V$7:$V$1576,$U$7:$U$1576,U472),0),0)</f>
        <v>0</v>
      </c>
    </row>
    <row r="473" customFormat="false" ht="15" hidden="false" customHeight="false" outlineLevel="0" collapsed="false">
      <c r="A473" s="55" t="s">
        <v>1044</v>
      </c>
      <c r="B473" s="55" t="s">
        <v>850</v>
      </c>
      <c r="C473" s="55" t="s">
        <v>160</v>
      </c>
      <c r="D473" s="55" t="s">
        <v>178</v>
      </c>
      <c r="E473" s="55" t="s">
        <v>210</v>
      </c>
      <c r="F473" s="56" t="n">
        <v>2.4</v>
      </c>
      <c r="G473" s="57" t="n">
        <f aca="false">MAX(0,IF(AND(Parameter!$B$21="Ja",ISNUMBER(W473)),W473,IF(Parameter!$B$20="Jahresanfang 2025 + Export",BJ473+BI473,BI473)))</f>
        <v>22</v>
      </c>
      <c r="H473" s="57" t="n">
        <f aca="false">G473*F473</f>
        <v>52.8</v>
      </c>
      <c r="I473" s="57" t="n">
        <f aca="false">BL473*Parameter!$B$18</f>
        <v>4</v>
      </c>
      <c r="J473" s="58" t="n">
        <v>3</v>
      </c>
      <c r="K473" s="59" t="n">
        <v>1.33333333333333</v>
      </c>
      <c r="L473" s="57" t="n">
        <v>0</v>
      </c>
      <c r="M473" s="57" t="n">
        <v>5</v>
      </c>
      <c r="N473" s="60" t="n">
        <v>14</v>
      </c>
      <c r="O473" s="55" t="s">
        <v>391</v>
      </c>
      <c r="P473" s="57" t="n">
        <v>3</v>
      </c>
      <c r="Q473" s="60" t="n">
        <f aca="false">IF(BR473=1,0,IFERROR(VLOOKUP(BP473,'Gebinde-Kategorie'!$A$5:$M$45,13,0)+0,0))</f>
        <v>414</v>
      </c>
      <c r="R473" s="61"/>
      <c r="S473" s="62"/>
      <c r="T473" s="62"/>
      <c r="U473" s="55"/>
      <c r="V473" s="57"/>
      <c r="W473" s="57"/>
      <c r="X473" s="55" t="n">
        <f aca="false">IF(A473="","",IF(AND(Parameter!$B$21="Ja",ISNUMBER(U473)),U473,IF(IFERROR(VLOOKUP(D473,Parameter!$A$35:$C$64,2,0),"Nein")="2+3",IF(ISNUMBER(SEARCH("grosser Artikel",BM473)),2,IFERROR(VLOOKUP(BP473,Parameter!$F$35:$G$64,2,0),2)),IF(OR(IFERROR(VLOOKUP(D473,Parameter!$A$35:$C$64,2,0),"Nein")="Nein",IFERROR(VLOOKUP(D473,Parameter!$A$35:$C$64,2,0),"Nein")=""),"-",VLOOKUP(D473,Parameter!$A$35:$C$64,2,0)))))</f>
        <v>3</v>
      </c>
      <c r="Y473" s="62"/>
      <c r="Z473" s="63"/>
      <c r="AA473" s="57" t="n">
        <f aca="false">AP473</f>
        <v>6</v>
      </c>
      <c r="AB473" s="57" t="n">
        <f aca="false">MAX(AP473,G473)</f>
        <v>22</v>
      </c>
      <c r="AC473" s="64"/>
      <c r="AD473" s="57" t="n">
        <f aca="false">IF(LEFT(Cockpit!$C$5,1)="A",G473,IF(BW473=1,BX473,IF(LEFT(Cockpit!$C$5,1)="B",AH473,MAX(AH473,G473))))</f>
        <v>22</v>
      </c>
      <c r="AE473" s="57" t="n">
        <f aca="false">IF(BR473=1,0,ROUNDUP(AD473/BQ473,0))</f>
        <v>8</v>
      </c>
      <c r="AF473" s="59" t="n">
        <f aca="false">IF(CD473&gt;0,CD473*MAX(1,AD473/V473),IF(BR473=1,IF(AD473&lt;=0,0,BS473*MAX(1,IF(G473&gt;0,AD473/G473,1))),IF(Q473&gt;0,AE473/Q473,0))/MAX(0.1,N(Parameter!$M$21)))</f>
        <v>0.0193236714975845</v>
      </c>
      <c r="AG473" s="57" t="n">
        <f aca="false">AD473*F473</f>
        <v>52.8</v>
      </c>
      <c r="AH473" s="57" t="n">
        <f aca="false">ROUNDUP(MAX(I473/IF(BV473&gt;0,BV473,MAX(0.1,N(Cockpit!$C$6))),BY473)/BQ473,0)*BQ473</f>
        <v>6</v>
      </c>
      <c r="AI473" s="58" t="n">
        <f aca="false">IF(AF473&gt;0,I473/AF473,-1)</f>
        <v>207</v>
      </c>
      <c r="AJ473" s="58" t="n">
        <f aca="false">IF(AND(OR(BU473="L1",BU473="L23"),AF473&gt;0),SUMIFS($AF$7:$AF$1576,$BU$7:$BU$1576,BU473,$AI$7:$AI$1576,"&gt;"&amp;AI473)+SUMIFS($AF$7:$AF$1576,$BU$7:$BU$1576,BU473,$AI$7:$AI$1576,AI473,$BO$7:$BO$1576,"&lt;="&amp;BO473),"")</f>
        <v>16.9590929360495</v>
      </c>
      <c r="AK473" s="65" t="n">
        <f aca="false">IF(AJ473="",0,MAX(0,MIN(1,(IF(BU473="L1",Parameter!$E$5,Parameter!$E$6+Parameter!$E$7)-(AJ473-AF473))/AF473)))</f>
        <v>1</v>
      </c>
      <c r="AL473" s="57" t="n">
        <f aca="false">IF(LEFT(Cockpit!$I$5,1)="A",G473,IF(BW473=1,BX473,IF(LEFT(Cockpit!$I$5,1)="B",AP473,MAX(AP473,G473))))</f>
        <v>22</v>
      </c>
      <c r="AM473" s="57" t="n">
        <f aca="false">IF(BR473=1,0,ROUNDUP(AL473/BQ473,0))</f>
        <v>8</v>
      </c>
      <c r="AN473" s="59" t="n">
        <f aca="false">IF(CD473&gt;0,CD473*MAX(1,AL473/V473),IF(BR473=1,IF(AL473&lt;=0,0,BS473*MAX(1,IF(G473&gt;0,AL473/G473,1))),IF(Q473&gt;0,AM473/Q473,0))/MAX(0.1,N(Parameter!$M$21)))</f>
        <v>0.0193236714975845</v>
      </c>
      <c r="AO473" s="57" t="n">
        <f aca="false">AL473*F473</f>
        <v>52.8</v>
      </c>
      <c r="AP473" s="57" t="n">
        <f aca="false">ROUNDUP(MAX(I473/IF(BV473&gt;0,BV473,MAX(0.1,N(Cockpit!$I$6))),BY473)/BQ473,0)*BQ473</f>
        <v>6</v>
      </c>
      <c r="AQ473" s="58" t="n">
        <f aca="false">IF(AN473&gt;0,I473/AN473,-1)</f>
        <v>207</v>
      </c>
      <c r="AR473" s="58" t="n">
        <f aca="false">IF(AND(OR(BU473="L1",BU473="L23"),AN473&gt;0),SUMIFS($AN$7:$AN$1576,$BU$7:$BU$1576,BU473,$AQ$7:$AQ$1576,"&gt;"&amp;AQ473)+SUMIFS($AN$7:$AN$1576,$BU$7:$BU$1576,BU473,$AQ$7:$AQ$1576,AQ473,$BO$7:$BO$1576,"&lt;="&amp;BO473),"")</f>
        <v>49.2328332178444</v>
      </c>
      <c r="AS473" s="65" t="n">
        <f aca="false">IF(AR473="",0,MAX(0,MIN(1,(IF(BU473="L1",Parameter!$E$5,Parameter!$E$6+Parameter!$E$7)-(AR473-AN473))/AN473)))</f>
        <v>1</v>
      </c>
      <c r="AT473" s="57" t="n">
        <f aca="false">IF(LEFT(Cockpit!$O$5,1)="A",G473,IF(BW473=1,BX473,IF(LEFT(Cockpit!$O$5,1)="B",AX473,MAX(AX473,G473))))</f>
        <v>22</v>
      </c>
      <c r="AU473" s="57" t="n">
        <f aca="false">IF(BR473=1,0,ROUNDUP(AT473/BQ473,0))</f>
        <v>8</v>
      </c>
      <c r="AV473" s="59" t="n">
        <f aca="false">IF(CD473&gt;0,CD473*MAX(1,AT473/V473),IF(BR473=1,IF(AT473&lt;=0,0,BS473*MAX(1,IF(G473&gt;0,AT473/G473,1))),IF(Q473&gt;0,AU473/Q473,0))/MAX(0.1,N(Parameter!$M$21)))</f>
        <v>0.0193236714975845</v>
      </c>
      <c r="AW473" s="57" t="n">
        <f aca="false">AT473*F473</f>
        <v>52.8</v>
      </c>
      <c r="AX473" s="57" t="n">
        <f aca="false">ROUNDUP(MAX(I473/IF(BV473&gt;0,BV473,MAX(0.1,N(Cockpit!$O$6))),BY473)/BQ473,0)*BQ473</f>
        <v>6</v>
      </c>
      <c r="AY473" s="58" t="n">
        <f aca="false">IF(AV473&gt;0,I473/AV473,-1)</f>
        <v>207</v>
      </c>
      <c r="AZ473" s="58" t="n">
        <f aca="false">IF(AND(OR(BU473="L1",BU473="L23"),AV473&gt;0),SUMIFS($AV$7:$AV$1576,$BU$7:$BU$1576,BU473,$AY$7:$AY$1576,"&gt;"&amp;AY473)+SUMIFS($AV$7:$AV$1576,$BU$7:$BU$1576,BU473,$AY$7:$AY$1576,AY473,$BO$7:$BO$1576,"&lt;="&amp;BO473),"")</f>
        <v>45.6790936241048</v>
      </c>
      <c r="BA473" s="65" t="n">
        <f aca="false">IF(AZ473="",0,MAX(0,MIN(1,(IF(BU473="L1",Parameter!$E$5,Parameter!$E$6+Parameter!$E$7)-(AZ473-AV473))/AV473)))</f>
        <v>1</v>
      </c>
      <c r="BB473" s="55" t="str">
        <f aca="false">IF(AF473&lt;=0,"",IF(BU473="Aussen","Aussenlager",IF(BU473="-","Nicht im Lift",IF(AK473&gt;=1,"Lift",IF(AK473&lt;=0,"Aussenlager","teilweise")))))</f>
        <v>Lift</v>
      </c>
      <c r="BC473" s="55" t="str">
        <f aca="false">IF(AN473&lt;=0,"",IF(BU473="Aussen","Aussenlager",IF(BU473="-","Nicht im Lift",IF(AS473&gt;=1,"Lift",IF(AS473&lt;=0,"Aussenlager","teilweise")))))</f>
        <v>Lift</v>
      </c>
      <c r="BD473" s="55" t="str">
        <f aca="false">IF(AV473&lt;=0,"",IF(BU473="Aussen","Aussenlager",IF(BU473="-","Nicht im Lift",IF(BA473&gt;=1,"Lift",IF(BA473&lt;=0,"Aussenlager","teilweise")))))</f>
        <v>Lift</v>
      </c>
      <c r="BE473" s="55" t="str">
        <f aca="false">IF(A473="","",IF(BN473=1,"Neu; ","")&amp;IF(AND(BN473=0,BI473&lt;0),"negativer Bestand (Export "&amp;BI473&amp;"); ","")&amp;IF(I473&lt;=0,"Kein Verbrauch; ","")&amp;IF(CD473&gt;0,"Lift "&amp;U473&amp;" lt. Liftbericht (Fach "&amp;V473&amp;" Stk); ",IF(BR473=1,"Lose – Fläche geschätzt; ",""))&amp;IF(G473&gt;AP473,"Überbestand "&amp;ROUND(G473-AP473,0)&amp;" Stk / CHF "&amp;ROUND((G473-AP473)*F473,0)&amp;"; ","")&amp;IF(AND(BW473=1,BX473&lt;BY473),"MAX &lt; MB+LG; ","")&amp;IF(AND(CC473&gt;0,CB473*10&gt;CC473),"zu hoch für Tablar; ","")&amp;IF(AND(BN473=0,OR(BW473=1,Y473&lt;&gt;"",S473&lt;&gt;"",T473&lt;&gt;"",Z473&lt;&gt;"")),"manuell übersteuert; ","")&amp;IF(AND(BR473=0,Q473=0),"Gebinde unbekannt / Stellmass fehlt; ","")&amp;IF(AND(BR473=0,N(T473)&lt;=0,N(P473)&lt;=0),"Menge pro Gebinde fehlt (Ist = 1 Gebinde); ","")&amp;BM473)</f>
        <v>Überbestand 16 Stk / CHF 38; </v>
      </c>
      <c r="BF473" s="55"/>
      <c r="BG473" s="55"/>
      <c r="BH473" s="62"/>
      <c r="BI473" s="57" t="n">
        <v>22</v>
      </c>
      <c r="BJ473" s="57" t="n">
        <v>0</v>
      </c>
      <c r="BK473" s="56" t="n">
        <v>52.8</v>
      </c>
      <c r="BL473" s="57" t="n">
        <v>4</v>
      </c>
      <c r="BM473" s="55"/>
      <c r="BN473" s="60" t="n">
        <v>0</v>
      </c>
      <c r="BO473" s="60" t="n">
        <v>473</v>
      </c>
      <c r="BP473" s="55" t="str">
        <f aca="false">IF(S473&lt;&gt;"",UPPER(TRIM(S473)),IF(O473="","LOSE",O473))</f>
        <v>S21</v>
      </c>
      <c r="BQ473" s="57" t="n">
        <f aca="false">IF(BP473="LOSE",1,IF(N(T473)&gt;0,T473,IF(N(P473)&gt;0,P473,MAX(1,G473))))</f>
        <v>3</v>
      </c>
      <c r="BR473" s="60" t="n">
        <f aca="false">IF(BP473="LOSE",1,0)</f>
        <v>0</v>
      </c>
      <c r="BS473" s="59" t="n">
        <f aca="false">IF(BR473=0,0,IF(N(R473)&gt;0,R473,IFERROR(VLOOKUP(D473,Parameter!$A$35:$C$64,3,0)+0,0)))</f>
        <v>0</v>
      </c>
      <c r="BT473" s="55" t="n">
        <f aca="false">IF(Y473&lt;&gt;"",Y473,X473)</f>
        <v>3</v>
      </c>
      <c r="BU473" s="55" t="str">
        <f aca="false">IF(BT473=1,"L1",IF(OR(BT473=2,BT473=3),"L23",IF(BT473="Aussen","Aussen","-")))</f>
        <v>L23</v>
      </c>
      <c r="BV473" s="66" t="n">
        <f aca="false">IF(N(Z473)&gt;0,Z473,0)</f>
        <v>0</v>
      </c>
      <c r="BW473" s="60" t="n">
        <f aca="false">IF(ISNUMBER(AC473),1,0)</f>
        <v>0</v>
      </c>
      <c r="BX473" s="57" t="n">
        <f aca="false">N(AC473)</f>
        <v>0</v>
      </c>
      <c r="BY473" s="57" t="n">
        <f aca="false">N(L473)+N(M473)</f>
        <v>5</v>
      </c>
      <c r="BZ473" s="57" t="n">
        <f aca="false">ROUNDUP(G473/BQ473,0)</f>
        <v>8</v>
      </c>
      <c r="CA473" s="57" t="n">
        <f aca="false">ROUNDUP(BX473/BQ473,0)</f>
        <v>0</v>
      </c>
      <c r="CB473" s="60" t="n">
        <f aca="false">IF(BR473=1,0,IFERROR(VLOOKUP(BP473,'Gebinde-Kategorie'!$A$5:$M$45,5,0)+0,0))</f>
        <v>8</v>
      </c>
      <c r="CC473" s="60" t="n">
        <f aca="false">IFERROR(IF(OR(BT473=1,BT473=2,BT473=3),N(INDEX(Parameter!$I$5:$I$7,BT473)),0),0)</f>
        <v>0</v>
      </c>
      <c r="CD473" s="59" t="n">
        <f aca="false">IF(AND(Parameter!$B$21="Ja",ISNUMBER(U473),N(V473)&gt;0),IFERROR(N(INDEX(Parameter!$L$5:$L$7,U473))*INDEX(Parameter!$E$5:$E$7,U473)*V473/SUMIFS($V$7:$V$1576,$U$7:$U$1576,U473),0),0)</f>
        <v>0</v>
      </c>
    </row>
    <row r="474" customFormat="false" ht="15" hidden="false" customHeight="false" outlineLevel="0" collapsed="false">
      <c r="A474" s="55" t="s">
        <v>1045</v>
      </c>
      <c r="B474" s="55" t="s">
        <v>1046</v>
      </c>
      <c r="C474" s="55" t="s">
        <v>160</v>
      </c>
      <c r="D474" s="55" t="s">
        <v>178</v>
      </c>
      <c r="E474" s="55" t="s">
        <v>210</v>
      </c>
      <c r="F474" s="56" t="n">
        <v>1.13</v>
      </c>
      <c r="G474" s="57" t="n">
        <f aca="false">MAX(0,IF(AND(Parameter!$B$21="Ja",ISNUMBER(W474)),W474,IF(Parameter!$B$20="Jahresanfang 2025 + Export",BJ474+BI474,BI474)))</f>
        <v>46</v>
      </c>
      <c r="H474" s="57" t="n">
        <f aca="false">G474*F474</f>
        <v>51.98</v>
      </c>
      <c r="I474" s="57" t="n">
        <f aca="false">BL474*Parameter!$B$18</f>
        <v>71</v>
      </c>
      <c r="J474" s="58" t="n">
        <v>56.5</v>
      </c>
      <c r="K474" s="59" t="n">
        <v>1.25663716814159</v>
      </c>
      <c r="L474" s="57" t="n">
        <v>2</v>
      </c>
      <c r="M474" s="57" t="n">
        <v>70</v>
      </c>
      <c r="N474" s="60" t="n">
        <v>14</v>
      </c>
      <c r="O474" s="55" t="s">
        <v>416</v>
      </c>
      <c r="P474" s="57" t="n">
        <v>40</v>
      </c>
      <c r="Q474" s="60" t="n">
        <f aca="false">IF(BR474=1,0,IFERROR(VLOOKUP(BP474,'Gebinde-Kategorie'!$A$5:$M$45,13,0)+0,0))</f>
        <v>198</v>
      </c>
      <c r="R474" s="61"/>
      <c r="S474" s="62"/>
      <c r="T474" s="62"/>
      <c r="U474" s="55"/>
      <c r="V474" s="57"/>
      <c r="W474" s="57"/>
      <c r="X474" s="55" t="n">
        <f aca="false">IF(A474="","",IF(AND(Parameter!$B$21="Ja",ISNUMBER(U474)),U474,IF(IFERROR(VLOOKUP(D474,Parameter!$A$35:$C$64,2,0),"Nein")="2+3",IF(ISNUMBER(SEARCH("grosser Artikel",BM474)),2,IFERROR(VLOOKUP(BP474,Parameter!$F$35:$G$64,2,0),2)),IF(OR(IFERROR(VLOOKUP(D474,Parameter!$A$35:$C$64,2,0),"Nein")="Nein",IFERROR(VLOOKUP(D474,Parameter!$A$35:$C$64,2,0),"Nein")=""),"-",VLOOKUP(D474,Parameter!$A$35:$C$64,2,0)))))</f>
        <v>3</v>
      </c>
      <c r="Y474" s="62"/>
      <c r="Z474" s="63"/>
      <c r="AA474" s="57" t="n">
        <f aca="false">AP474</f>
        <v>80</v>
      </c>
      <c r="AB474" s="57" t="n">
        <f aca="false">MAX(AP474,G474)</f>
        <v>80</v>
      </c>
      <c r="AC474" s="64"/>
      <c r="AD474" s="57" t="n">
        <f aca="false">IF(LEFT(Cockpit!$C$5,1)="A",G474,IF(BW474=1,BX474,IF(LEFT(Cockpit!$C$5,1)="B",AH474,MAX(AH474,G474))))</f>
        <v>46</v>
      </c>
      <c r="AE474" s="57" t="n">
        <f aca="false">IF(BR474=1,0,ROUNDUP(AD474/BQ474,0))</f>
        <v>2</v>
      </c>
      <c r="AF474" s="59" t="n">
        <f aca="false">IF(CD474&gt;0,CD474*MAX(1,AD474/V474),IF(BR474=1,IF(AD474&lt;=0,0,BS474*MAX(1,IF(G474&gt;0,AD474/G474,1))),IF(Q474&gt;0,AE474/Q474,0))/MAX(0.1,N(Parameter!$M$21)))</f>
        <v>0.0101010101010101</v>
      </c>
      <c r="AG474" s="57" t="n">
        <f aca="false">AD474*F474</f>
        <v>51.98</v>
      </c>
      <c r="AH474" s="57" t="n">
        <f aca="false">ROUNDUP(MAX(I474/IF(BV474&gt;0,BV474,MAX(0.1,N(Cockpit!$C$6))),BY474)/BQ474,0)*BQ474</f>
        <v>80</v>
      </c>
      <c r="AI474" s="58" t="n">
        <f aca="false">IF(AF474&gt;0,I474/AF474,-1)</f>
        <v>7029</v>
      </c>
      <c r="AJ474" s="58" t="n">
        <f aca="false">IF(AND(OR(BU474="L1",BU474="L23"),AF474&gt;0),SUMIFS($AF$7:$AF$1576,$BU$7:$BU$1576,BU474,$AI$7:$AI$1576,"&gt;"&amp;AI474)+SUMIFS($AF$7:$AF$1576,$BU$7:$BU$1576,BU474,$AI$7:$AI$1576,AI474,$BO$7:$BO$1576,"&lt;="&amp;BO474),"")</f>
        <v>3.16213979257458</v>
      </c>
      <c r="AK474" s="65" t="n">
        <f aca="false">IF(AJ474="",0,MAX(0,MIN(1,(IF(BU474="L1",Parameter!$E$5,Parameter!$E$6+Parameter!$E$7)-(AJ474-AF474))/AF474)))</f>
        <v>1</v>
      </c>
      <c r="AL474" s="57" t="n">
        <f aca="false">IF(LEFT(Cockpit!$I$5,1)="A",G474,IF(BW474=1,BX474,IF(LEFT(Cockpit!$I$5,1)="B",AP474,MAX(AP474,G474))))</f>
        <v>80</v>
      </c>
      <c r="AM474" s="57" t="n">
        <f aca="false">IF(BR474=1,0,ROUNDUP(AL474/BQ474,0))</f>
        <v>2</v>
      </c>
      <c r="AN474" s="59" t="n">
        <f aca="false">IF(CD474&gt;0,CD474*MAX(1,AL474/V474),IF(BR474=1,IF(AL474&lt;=0,0,BS474*MAX(1,IF(G474&gt;0,AL474/G474,1))),IF(Q474&gt;0,AM474/Q474,0))/MAX(0.1,N(Parameter!$M$21)))</f>
        <v>0.0101010101010101</v>
      </c>
      <c r="AO474" s="57" t="n">
        <f aca="false">AL474*F474</f>
        <v>90.4</v>
      </c>
      <c r="AP474" s="57" t="n">
        <f aca="false">ROUNDUP(MAX(I474/IF(BV474&gt;0,BV474,MAX(0.1,N(Cockpit!$I$6))),BY474)/BQ474,0)*BQ474</f>
        <v>80</v>
      </c>
      <c r="AQ474" s="58" t="n">
        <f aca="false">IF(AN474&gt;0,I474/AN474,-1)</f>
        <v>7029</v>
      </c>
      <c r="AR474" s="58" t="n">
        <f aca="false">IF(AND(OR(BU474="L1",BU474="L23"),AN474&gt;0),SUMIFS($AN$7:$AN$1576,$BU$7:$BU$1576,BU474,$AQ$7:$AQ$1576,"&gt;"&amp;AQ474)+SUMIFS($AN$7:$AN$1576,$BU$7:$BU$1576,BU474,$AQ$7:$AQ$1576,AQ474,$BO$7:$BO$1576,"&lt;="&amp;BO474),"")</f>
        <v>8.75077091990135</v>
      </c>
      <c r="AS474" s="65" t="n">
        <f aca="false">IF(AR474="",0,MAX(0,MIN(1,(IF(BU474="L1",Parameter!$E$5,Parameter!$E$6+Parameter!$E$7)-(AR474-AN474))/AN474)))</f>
        <v>1</v>
      </c>
      <c r="AT474" s="57" t="n">
        <f aca="false">IF(LEFT(Cockpit!$O$5,1)="A",G474,IF(BW474=1,BX474,IF(LEFT(Cockpit!$O$5,1)="B",AX474,MAX(AX474,G474))))</f>
        <v>80</v>
      </c>
      <c r="AU474" s="57" t="n">
        <f aca="false">IF(BR474=1,0,ROUNDUP(AT474/BQ474,0))</f>
        <v>2</v>
      </c>
      <c r="AV474" s="59" t="n">
        <f aca="false">IF(CD474&gt;0,CD474*MAX(1,AT474/V474),IF(BR474=1,IF(AT474&lt;=0,0,BS474*MAX(1,IF(G474&gt;0,AT474/G474,1))),IF(Q474&gt;0,AU474/Q474,0))/MAX(0.1,N(Parameter!$M$21)))</f>
        <v>0.0101010101010101</v>
      </c>
      <c r="AW474" s="57" t="n">
        <f aca="false">AT474*F474</f>
        <v>90.4</v>
      </c>
      <c r="AX474" s="57" t="n">
        <f aca="false">ROUNDUP(MAX(I474/IF(BV474&gt;0,BV474,MAX(0.1,N(Cockpit!$O$6))),BY474)/BQ474,0)*BQ474</f>
        <v>80</v>
      </c>
      <c r="AY474" s="58" t="n">
        <f aca="false">IF(AV474&gt;0,I474/AV474,-1)</f>
        <v>7029</v>
      </c>
      <c r="AZ474" s="58" t="n">
        <f aca="false">IF(AND(OR(BU474="L1",BU474="L23"),AV474&gt;0),SUMIFS($AV$7:$AV$1576,$BU$7:$BU$1576,BU474,$AY$7:$AY$1576,"&gt;"&amp;AY474)+SUMIFS($AV$7:$AV$1576,$BU$7:$BU$1576,BU474,$AY$7:$AY$1576,AY474,$BO$7:$BO$1576,"&lt;="&amp;BO474),"")</f>
        <v>8.43317185230229</v>
      </c>
      <c r="BA474" s="65" t="n">
        <f aca="false">IF(AZ474="",0,MAX(0,MIN(1,(IF(BU474="L1",Parameter!$E$5,Parameter!$E$6+Parameter!$E$7)-(AZ474-AV474))/AV474)))</f>
        <v>1</v>
      </c>
      <c r="BB474" s="55" t="str">
        <f aca="false">IF(AF474&lt;=0,"",IF(BU474="Aussen","Aussenlager",IF(BU474="-","Nicht im Lift",IF(AK474&gt;=1,"Lift",IF(AK474&lt;=0,"Aussenlager","teilweise")))))</f>
        <v>Lift</v>
      </c>
      <c r="BC474" s="55" t="str">
        <f aca="false">IF(AN474&lt;=0,"",IF(BU474="Aussen","Aussenlager",IF(BU474="-","Nicht im Lift",IF(AS474&gt;=1,"Lift",IF(AS474&lt;=0,"Aussenlager","teilweise")))))</f>
        <v>Lift</v>
      </c>
      <c r="BD474" s="55" t="str">
        <f aca="false">IF(AV474&lt;=0,"",IF(BU474="Aussen","Aussenlager",IF(BU474="-","Nicht im Lift",IF(BA474&gt;=1,"Lift",IF(BA474&lt;=0,"Aussenlager","teilweise")))))</f>
        <v>Lift</v>
      </c>
      <c r="BE474" s="55" t="str">
        <f aca="false">IF(A474="","",IF(BN474=1,"Neu; ","")&amp;IF(AND(BN474=0,BI474&lt;0),"negativer Bestand (Export "&amp;BI474&amp;"); ","")&amp;IF(I474&lt;=0,"Kein Verbrauch; ","")&amp;IF(CD474&gt;0,"Lift "&amp;U474&amp;" lt. Liftbericht (Fach "&amp;V474&amp;" Stk); ",IF(BR474=1,"Lose – Fläche geschätzt; ",""))&amp;IF(G474&gt;AP474,"Überbestand "&amp;ROUND(G474-AP474,0)&amp;" Stk / CHF "&amp;ROUND((G474-AP474)*F474,0)&amp;"; ","")&amp;IF(AND(BW474=1,BX474&lt;BY474),"MAX &lt; MB+LG; ","")&amp;IF(AND(CC474&gt;0,CB474*10&gt;CC474),"zu hoch für Tablar; ","")&amp;IF(AND(BN474=0,OR(BW474=1,Y474&lt;&gt;"",S474&lt;&gt;"",T474&lt;&gt;"",Z474&lt;&gt;"")),"manuell übersteuert; ","")&amp;IF(AND(BR474=0,Q474=0),"Gebinde unbekannt / Stellmass fehlt; ","")&amp;IF(AND(BR474=0,N(T474)&lt;=0,N(P474)&lt;=0),"Menge pro Gebinde fehlt (Ist = 1 Gebinde); ","")&amp;BM474)</f>
        <v/>
      </c>
      <c r="BF474" s="55"/>
      <c r="BG474" s="55"/>
      <c r="BH474" s="62"/>
      <c r="BI474" s="57" t="n">
        <v>46</v>
      </c>
      <c r="BJ474" s="57" t="n">
        <v>14</v>
      </c>
      <c r="BK474" s="56" t="n">
        <v>52.68</v>
      </c>
      <c r="BL474" s="57" t="n">
        <v>71</v>
      </c>
      <c r="BM474" s="55"/>
      <c r="BN474" s="60" t="n">
        <v>0</v>
      </c>
      <c r="BO474" s="60" t="n">
        <v>474</v>
      </c>
      <c r="BP474" s="55" t="str">
        <f aca="false">IF(S474&lt;&gt;"",UPPER(TRIM(S474)),IF(O474="","LOSE",O474))</f>
        <v>S22</v>
      </c>
      <c r="BQ474" s="57" t="n">
        <f aca="false">IF(BP474="LOSE",1,IF(N(T474)&gt;0,T474,IF(N(P474)&gt;0,P474,MAX(1,G474))))</f>
        <v>40</v>
      </c>
      <c r="BR474" s="60" t="n">
        <f aca="false">IF(BP474="LOSE",1,0)</f>
        <v>0</v>
      </c>
      <c r="BS474" s="59" t="n">
        <f aca="false">IF(BR474=0,0,IF(N(R474)&gt;0,R474,IFERROR(VLOOKUP(D474,Parameter!$A$35:$C$64,3,0)+0,0)))</f>
        <v>0</v>
      </c>
      <c r="BT474" s="55" t="n">
        <f aca="false">IF(Y474&lt;&gt;"",Y474,X474)</f>
        <v>3</v>
      </c>
      <c r="BU474" s="55" t="str">
        <f aca="false">IF(BT474=1,"L1",IF(OR(BT474=2,BT474=3),"L23",IF(BT474="Aussen","Aussen","-")))</f>
        <v>L23</v>
      </c>
      <c r="BV474" s="66" t="n">
        <f aca="false">IF(N(Z474)&gt;0,Z474,0)</f>
        <v>0</v>
      </c>
      <c r="BW474" s="60" t="n">
        <f aca="false">IF(ISNUMBER(AC474),1,0)</f>
        <v>0</v>
      </c>
      <c r="BX474" s="57" t="n">
        <f aca="false">N(AC474)</f>
        <v>0</v>
      </c>
      <c r="BY474" s="57" t="n">
        <f aca="false">N(L474)+N(M474)</f>
        <v>72</v>
      </c>
      <c r="BZ474" s="57" t="n">
        <f aca="false">ROUNDUP(G474/BQ474,0)</f>
        <v>2</v>
      </c>
      <c r="CA474" s="57" t="n">
        <f aca="false">ROUNDUP(BX474/BQ474,0)</f>
        <v>0</v>
      </c>
      <c r="CB474" s="60" t="n">
        <f aca="false">IF(BR474=1,0,IFERROR(VLOOKUP(BP474,'Gebinde-Kategorie'!$A$5:$M$45,5,0)+0,0))</f>
        <v>8</v>
      </c>
      <c r="CC474" s="60" t="n">
        <f aca="false">IFERROR(IF(OR(BT474=1,BT474=2,BT474=3),N(INDEX(Parameter!$I$5:$I$7,BT474)),0),0)</f>
        <v>0</v>
      </c>
      <c r="CD474" s="59" t="n">
        <f aca="false">IF(AND(Parameter!$B$21="Ja",ISNUMBER(U474),N(V474)&gt;0),IFERROR(N(INDEX(Parameter!$L$5:$L$7,U474))*INDEX(Parameter!$E$5:$E$7,U474)*V474/SUMIFS($V$7:$V$1576,$U$7:$U$1576,U474),0),0)</f>
        <v>0</v>
      </c>
    </row>
    <row r="475" customFormat="false" ht="15" hidden="false" customHeight="false" outlineLevel="0" collapsed="false">
      <c r="A475" s="55" t="s">
        <v>1047</v>
      </c>
      <c r="B475" s="55" t="s">
        <v>1048</v>
      </c>
      <c r="C475" s="55" t="s">
        <v>160</v>
      </c>
      <c r="D475" s="55" t="s">
        <v>984</v>
      </c>
      <c r="E475" s="55" t="s">
        <v>210</v>
      </c>
      <c r="F475" s="56" t="n">
        <v>1.63</v>
      </c>
      <c r="G475" s="57" t="n">
        <f aca="false">MAX(0,IF(AND(Parameter!$B$21="Ja",ISNUMBER(W475)),W475,IF(Parameter!$B$20="Jahresanfang 2025 + Export",BJ475+BI475,BI475)))</f>
        <v>32</v>
      </c>
      <c r="H475" s="57" t="n">
        <f aca="false">G475*F475</f>
        <v>52.16</v>
      </c>
      <c r="I475" s="57" t="n">
        <f aca="false">BL475*Parameter!$B$18</f>
        <v>118</v>
      </c>
      <c r="J475" s="58" t="n">
        <v>16</v>
      </c>
      <c r="K475" s="59" t="n">
        <v>7.375</v>
      </c>
      <c r="L475" s="57" t="n">
        <v>0</v>
      </c>
      <c r="M475" s="57" t="n">
        <v>50</v>
      </c>
      <c r="N475" s="60" t="n">
        <v>21</v>
      </c>
      <c r="O475" s="55" t="s">
        <v>163</v>
      </c>
      <c r="P475" s="57"/>
      <c r="Q475" s="60" t="n">
        <f aca="false">IF(BR475=1,0,IFERROR(VLOOKUP(BP475,'Gebinde-Kategorie'!$A$5:$M$45,13,0)+0,0))</f>
        <v>0</v>
      </c>
      <c r="R475" s="61"/>
      <c r="S475" s="62"/>
      <c r="T475" s="62"/>
      <c r="U475" s="55"/>
      <c r="V475" s="57"/>
      <c r="W475" s="57"/>
      <c r="X475" s="55" t="str">
        <f aca="false">IF(A475="","",IF(AND(Parameter!$B$21="Ja",ISNUMBER(U475)),U475,IF(IFERROR(VLOOKUP(D475,Parameter!$A$35:$C$64,2,0),"Nein")="2+3",IF(ISNUMBER(SEARCH("grosser Artikel",BM475)),2,IFERROR(VLOOKUP(BP475,Parameter!$F$35:$G$64,2,0),2)),IF(OR(IFERROR(VLOOKUP(D475,Parameter!$A$35:$C$64,2,0),"Nein")="Nein",IFERROR(VLOOKUP(D475,Parameter!$A$35:$C$64,2,0),"Nein")=""),"-",VLOOKUP(D475,Parameter!$A$35:$C$64,2,0)))))</f>
        <v>-</v>
      </c>
      <c r="Y475" s="62"/>
      <c r="Z475" s="63"/>
      <c r="AA475" s="57" t="n">
        <f aca="false">AP475</f>
        <v>59</v>
      </c>
      <c r="AB475" s="57" t="n">
        <f aca="false">MAX(AP475,G475)</f>
        <v>59</v>
      </c>
      <c r="AC475" s="64"/>
      <c r="AD475" s="57" t="n">
        <f aca="false">IF(LEFT(Cockpit!$C$5,1)="A",G475,IF(BW475=1,BX475,IF(LEFT(Cockpit!$C$5,1)="B",AH475,MAX(AH475,G475))))</f>
        <v>32</v>
      </c>
      <c r="AE475" s="57" t="n">
        <f aca="false">IF(BR475=1,0,ROUNDUP(AD475/BQ475,0))</f>
        <v>0</v>
      </c>
      <c r="AF475" s="59" t="n">
        <f aca="false">IF(CD475&gt;0,CD475*MAX(1,AD475/V475),IF(BR475=1,IF(AD475&lt;=0,0,BS475*MAX(1,IF(G475&gt;0,AD475/G475,1))),IF(Q475&gt;0,AE475/Q475,0))/MAX(0.1,N(Parameter!$M$21)))</f>
        <v>0.15</v>
      </c>
      <c r="AG475" s="57" t="n">
        <f aca="false">AD475*F475</f>
        <v>52.16</v>
      </c>
      <c r="AH475" s="57" t="n">
        <f aca="false">ROUNDUP(MAX(I475/IF(BV475&gt;0,BV475,MAX(0.1,N(Cockpit!$C$6))),BY475)/BQ475,0)*BQ475</f>
        <v>59</v>
      </c>
      <c r="AI475" s="58" t="n">
        <f aca="false">IF(AF475&gt;0,I475/AF475,-1)</f>
        <v>786.666666666667</v>
      </c>
      <c r="AJ475" s="58" t="str">
        <f aca="false">IF(AND(OR(BU475="L1",BU475="L23"),AF475&gt;0),SUMIFS($AF$7:$AF$1576,$BU$7:$BU$1576,BU475,$AI$7:$AI$1576,"&gt;"&amp;AI475)+SUMIFS($AF$7:$AF$1576,$BU$7:$BU$1576,BU475,$AI$7:$AI$1576,AI475,$BO$7:$BO$1576,"&lt;="&amp;BO475),"")</f>
        <v/>
      </c>
      <c r="AK475" s="65" t="n">
        <f aca="false">IF(AJ475="",0,MAX(0,MIN(1,(IF(BU475="L1",Parameter!$E$5,Parameter!$E$6+Parameter!$E$7)-(AJ475-AF475))/AF475)))</f>
        <v>0</v>
      </c>
      <c r="AL475" s="57" t="n">
        <f aca="false">IF(LEFT(Cockpit!$I$5,1)="A",G475,IF(BW475=1,BX475,IF(LEFT(Cockpit!$I$5,1)="B",AP475,MAX(AP475,G475))))</f>
        <v>59</v>
      </c>
      <c r="AM475" s="57" t="n">
        <f aca="false">IF(BR475=1,0,ROUNDUP(AL475/BQ475,0))</f>
        <v>0</v>
      </c>
      <c r="AN475" s="59" t="n">
        <f aca="false">IF(CD475&gt;0,CD475*MAX(1,AL475/V475),IF(BR475=1,IF(AL475&lt;=0,0,BS475*MAX(1,IF(G475&gt;0,AL475/G475,1))),IF(Q475&gt;0,AM475/Q475,0))/MAX(0.1,N(Parameter!$M$21)))</f>
        <v>0.2765625</v>
      </c>
      <c r="AO475" s="57" t="n">
        <f aca="false">AL475*F475</f>
        <v>96.17</v>
      </c>
      <c r="AP475" s="57" t="n">
        <f aca="false">ROUNDUP(MAX(I475/IF(BV475&gt;0,BV475,MAX(0.1,N(Cockpit!$I$6))),BY475)/BQ475,0)*BQ475</f>
        <v>59</v>
      </c>
      <c r="AQ475" s="58" t="n">
        <f aca="false">IF(AN475&gt;0,I475/AN475,-1)</f>
        <v>426.666666666667</v>
      </c>
      <c r="AR475" s="58" t="str">
        <f aca="false">IF(AND(OR(BU475="L1",BU475="L23"),AN475&gt;0),SUMIFS($AN$7:$AN$1576,$BU$7:$BU$1576,BU475,$AQ$7:$AQ$1576,"&gt;"&amp;AQ475)+SUMIFS($AN$7:$AN$1576,$BU$7:$BU$1576,BU475,$AQ$7:$AQ$1576,AQ475,$BO$7:$BO$1576,"&lt;="&amp;BO475),"")</f>
        <v/>
      </c>
      <c r="AS475" s="65" t="n">
        <f aca="false">IF(AR475="",0,MAX(0,MIN(1,(IF(BU475="L1",Parameter!$E$5,Parameter!$E$6+Parameter!$E$7)-(AR475-AN475))/AN475)))</f>
        <v>0</v>
      </c>
      <c r="AT475" s="57" t="n">
        <f aca="false">IF(LEFT(Cockpit!$O$5,1)="A",G475,IF(BW475=1,BX475,IF(LEFT(Cockpit!$O$5,1)="B",AX475,MAX(AX475,G475))))</f>
        <v>50</v>
      </c>
      <c r="AU475" s="57" t="n">
        <f aca="false">IF(BR475=1,0,ROUNDUP(AT475/BQ475,0))</f>
        <v>0</v>
      </c>
      <c r="AV475" s="59" t="n">
        <f aca="false">IF(CD475&gt;0,CD475*MAX(1,AT475/V475),IF(BR475=1,IF(AT475&lt;=0,0,BS475*MAX(1,IF(G475&gt;0,AT475/G475,1))),IF(Q475&gt;0,AU475/Q475,0))/MAX(0.1,N(Parameter!$M$21)))</f>
        <v>0.234375</v>
      </c>
      <c r="AW475" s="57" t="n">
        <f aca="false">AT475*F475</f>
        <v>81.5</v>
      </c>
      <c r="AX475" s="57" t="n">
        <f aca="false">ROUNDUP(MAX(I475/IF(BV475&gt;0,BV475,MAX(0.1,N(Cockpit!$O$6))),BY475)/BQ475,0)*BQ475</f>
        <v>50</v>
      </c>
      <c r="AY475" s="58" t="n">
        <f aca="false">IF(AV475&gt;0,I475/AV475,-1)</f>
        <v>503.466666666667</v>
      </c>
      <c r="AZ475" s="58" t="str">
        <f aca="false">IF(AND(OR(BU475="L1",BU475="L23"),AV475&gt;0),SUMIFS($AV$7:$AV$1576,$BU$7:$BU$1576,BU475,$AY$7:$AY$1576,"&gt;"&amp;AY475)+SUMIFS($AV$7:$AV$1576,$BU$7:$BU$1576,BU475,$AY$7:$AY$1576,AY475,$BO$7:$BO$1576,"&lt;="&amp;BO475),"")</f>
        <v/>
      </c>
      <c r="BA475" s="65" t="n">
        <f aca="false">IF(AZ475="",0,MAX(0,MIN(1,(IF(BU475="L1",Parameter!$E$5,Parameter!$E$6+Parameter!$E$7)-(AZ475-AV475))/AV475)))</f>
        <v>0</v>
      </c>
      <c r="BB475" s="55" t="str">
        <f aca="false">IF(AF475&lt;=0,"",IF(BU475="Aussen","Aussenlager",IF(BU475="-","Nicht im Lift",IF(AK475&gt;=1,"Lift",IF(AK475&lt;=0,"Aussenlager","teilweise")))))</f>
        <v>Nicht im Lift</v>
      </c>
      <c r="BC475" s="55" t="str">
        <f aca="false">IF(AN475&lt;=0,"",IF(BU475="Aussen","Aussenlager",IF(BU475="-","Nicht im Lift",IF(AS475&gt;=1,"Lift",IF(AS475&lt;=0,"Aussenlager","teilweise")))))</f>
        <v>Nicht im Lift</v>
      </c>
      <c r="BD475" s="55" t="str">
        <f aca="false">IF(AV475&lt;=0,"",IF(BU475="Aussen","Aussenlager",IF(BU475="-","Nicht im Lift",IF(BA475&gt;=1,"Lift",IF(BA475&lt;=0,"Aussenlager","teilweise")))))</f>
        <v>Nicht im Lift</v>
      </c>
      <c r="BE475" s="55" t="str">
        <f aca="false">IF(A475="","",IF(BN475=1,"Neu; ","")&amp;IF(AND(BN475=0,BI475&lt;0),"negativer Bestand (Export "&amp;BI475&amp;"); ","")&amp;IF(I475&lt;=0,"Kein Verbrauch; ","")&amp;IF(CD475&gt;0,"Lift "&amp;U475&amp;" lt. Liftbericht (Fach "&amp;V475&amp;" Stk); ",IF(BR475=1,"Lose – Fläche geschätzt; ",""))&amp;IF(G475&gt;AP475,"Überbestand "&amp;ROUND(G475-AP475,0)&amp;" Stk / CHF "&amp;ROUND((G475-AP475)*F475,0)&amp;"; ","")&amp;IF(AND(BW475=1,BX475&lt;BY475),"MAX &lt; MB+LG; ","")&amp;IF(AND(CC475&gt;0,CB475*10&gt;CC475),"zu hoch für Tablar; ","")&amp;IF(AND(BN475=0,OR(BW475=1,Y475&lt;&gt;"",S475&lt;&gt;"",T475&lt;&gt;"",Z475&lt;&gt;"")),"manuell übersteuert; ","")&amp;IF(AND(BR475=0,Q475=0),"Gebinde unbekannt / Stellmass fehlt; ","")&amp;IF(AND(BR475=0,N(T475)&lt;=0,N(P475)&lt;=0),"Menge pro Gebinde fehlt (Ist = 1 Gebinde); ","")&amp;BM475)</f>
        <v>Lose – Fläche geschätzt; </v>
      </c>
      <c r="BF475" s="55"/>
      <c r="BG475" s="55"/>
      <c r="BH475" s="62"/>
      <c r="BI475" s="57" t="n">
        <v>32</v>
      </c>
      <c r="BJ475" s="57" t="n">
        <v>0</v>
      </c>
      <c r="BK475" s="56" t="n">
        <v>52.16</v>
      </c>
      <c r="BL475" s="57" t="n">
        <v>118</v>
      </c>
      <c r="BM475" s="55"/>
      <c r="BN475" s="60" t="n">
        <v>0</v>
      </c>
      <c r="BO475" s="60" t="n">
        <v>475</v>
      </c>
      <c r="BP475" s="55" t="str">
        <f aca="false">IF(S475&lt;&gt;"",UPPER(TRIM(S475)),IF(O475="","LOSE",O475))</f>
        <v>LOSE</v>
      </c>
      <c r="BQ475" s="57" t="n">
        <f aca="false">IF(BP475="LOSE",1,IF(N(T475)&gt;0,T475,IF(N(P475)&gt;0,P475,MAX(1,G475))))</f>
        <v>1</v>
      </c>
      <c r="BR475" s="60" t="n">
        <f aca="false">IF(BP475="LOSE",1,0)</f>
        <v>1</v>
      </c>
      <c r="BS475" s="59" t="n">
        <f aca="false">IF(BR475=0,0,IF(N(R475)&gt;0,R475,IFERROR(VLOOKUP(D475,Parameter!$A$35:$C$64,3,0)+0,0)))</f>
        <v>0.15</v>
      </c>
      <c r="BT475" s="55" t="str">
        <f aca="false">IF(Y475&lt;&gt;"",Y475,X475)</f>
        <v>-</v>
      </c>
      <c r="BU475" s="55" t="str">
        <f aca="false">IF(BT475=1,"L1",IF(OR(BT475=2,BT475=3),"L23",IF(BT475="Aussen","Aussen","-")))</f>
        <v>-</v>
      </c>
      <c r="BV475" s="66" t="n">
        <f aca="false">IF(N(Z475)&gt;0,Z475,0)</f>
        <v>0</v>
      </c>
      <c r="BW475" s="60" t="n">
        <f aca="false">IF(ISNUMBER(AC475),1,0)</f>
        <v>0</v>
      </c>
      <c r="BX475" s="57" t="n">
        <f aca="false">N(AC475)</f>
        <v>0</v>
      </c>
      <c r="BY475" s="57" t="n">
        <f aca="false">N(L475)+N(M475)</f>
        <v>50</v>
      </c>
      <c r="BZ475" s="57" t="n">
        <f aca="false">ROUNDUP(G475/BQ475,0)</f>
        <v>32</v>
      </c>
      <c r="CA475" s="57" t="n">
        <f aca="false">ROUNDUP(BX475/BQ475,0)</f>
        <v>0</v>
      </c>
      <c r="CB475" s="60" t="n">
        <f aca="false">IF(BR475=1,0,IFERROR(VLOOKUP(BP475,'Gebinde-Kategorie'!$A$5:$M$45,5,0)+0,0))</f>
        <v>0</v>
      </c>
      <c r="CC475" s="60" t="n">
        <f aca="false">IFERROR(IF(OR(BT475=1,BT475=2,BT475=3),N(INDEX(Parameter!$I$5:$I$7,BT475)),0),0)</f>
        <v>0</v>
      </c>
      <c r="CD475" s="59" t="n">
        <f aca="false">IF(AND(Parameter!$B$21="Ja",ISNUMBER(U475),N(V475)&gt;0),IFERROR(N(INDEX(Parameter!$L$5:$L$7,U475))*INDEX(Parameter!$E$5:$E$7,U475)*V475/SUMIFS($V$7:$V$1576,$U$7:$U$1576,U475),0),0)</f>
        <v>0</v>
      </c>
    </row>
    <row r="476" customFormat="false" ht="15" hidden="false" customHeight="false" outlineLevel="0" collapsed="false">
      <c r="A476" s="55" t="s">
        <v>1049</v>
      </c>
      <c r="B476" s="55" t="s">
        <v>1050</v>
      </c>
      <c r="C476" s="55" t="s">
        <v>160</v>
      </c>
      <c r="D476" s="55" t="s">
        <v>178</v>
      </c>
      <c r="E476" s="55" t="s">
        <v>210</v>
      </c>
      <c r="F476" s="56" t="n">
        <v>51.57</v>
      </c>
      <c r="G476" s="57" t="n">
        <f aca="false">MAX(0,IF(AND(Parameter!$B$21="Ja",ISNUMBER(W476)),W476,IF(Parameter!$B$20="Jahresanfang 2025 + Export",BJ476+BI476,BI476)))</f>
        <v>1</v>
      </c>
      <c r="H476" s="57" t="n">
        <f aca="false">G476*F476</f>
        <v>51.57</v>
      </c>
      <c r="I476" s="57" t="n">
        <f aca="false">BL476*Parameter!$B$18</f>
        <v>1</v>
      </c>
      <c r="J476" s="58" t="n">
        <v>0.5</v>
      </c>
      <c r="K476" s="59" t="n">
        <v>2</v>
      </c>
      <c r="L476" s="57" t="n">
        <v>0</v>
      </c>
      <c r="M476" s="57" t="n">
        <v>1</v>
      </c>
      <c r="N476" s="60" t="n">
        <v>28</v>
      </c>
      <c r="O476" s="55" t="s">
        <v>163</v>
      </c>
      <c r="P476" s="57"/>
      <c r="Q476" s="60" t="n">
        <f aca="false">IF(BR476=1,0,IFERROR(VLOOKUP(BP476,'Gebinde-Kategorie'!$A$5:$M$45,13,0)+0,0))</f>
        <v>0</v>
      </c>
      <c r="R476" s="61"/>
      <c r="S476" s="62"/>
      <c r="T476" s="62"/>
      <c r="U476" s="55"/>
      <c r="V476" s="57"/>
      <c r="W476" s="57"/>
      <c r="X476" s="55" t="n">
        <f aca="false">IF(A476="","",IF(AND(Parameter!$B$21="Ja",ISNUMBER(U476)),U476,IF(IFERROR(VLOOKUP(D476,Parameter!$A$35:$C$64,2,0),"Nein")="2+3",IF(ISNUMBER(SEARCH("grosser Artikel",BM476)),2,IFERROR(VLOOKUP(BP476,Parameter!$F$35:$G$64,2,0),2)),IF(OR(IFERROR(VLOOKUP(D476,Parameter!$A$35:$C$64,2,0),"Nein")="Nein",IFERROR(VLOOKUP(D476,Parameter!$A$35:$C$64,2,0),"Nein")=""),"-",VLOOKUP(D476,Parameter!$A$35:$C$64,2,0)))))</f>
        <v>2</v>
      </c>
      <c r="Y476" s="62"/>
      <c r="Z476" s="63"/>
      <c r="AA476" s="57" t="n">
        <f aca="false">AP476</f>
        <v>1</v>
      </c>
      <c r="AB476" s="57" t="n">
        <f aca="false">MAX(AP476,G476)</f>
        <v>1</v>
      </c>
      <c r="AC476" s="64"/>
      <c r="AD476" s="57" t="n">
        <f aca="false">IF(LEFT(Cockpit!$C$5,1)="A",G476,IF(BW476=1,BX476,IF(LEFT(Cockpit!$C$5,1)="B",AH476,MAX(AH476,G476))))</f>
        <v>1</v>
      </c>
      <c r="AE476" s="57" t="n">
        <f aca="false">IF(BR476=1,0,ROUNDUP(AD476/BQ476,0))</f>
        <v>0</v>
      </c>
      <c r="AF476" s="59" t="n">
        <f aca="false">IF(CD476&gt;0,CD476*MAX(1,AD476/V476),IF(BR476=1,IF(AD476&lt;=0,0,BS476*MAX(1,IF(G476&gt;0,AD476/G476,1))),IF(Q476&gt;0,AE476/Q476,0))/MAX(0.1,N(Parameter!$M$21)))</f>
        <v>0.03</v>
      </c>
      <c r="AG476" s="57" t="n">
        <f aca="false">AD476*F476</f>
        <v>51.57</v>
      </c>
      <c r="AH476" s="57" t="n">
        <f aca="false">ROUNDUP(MAX(I476/IF(BV476&gt;0,BV476,MAX(0.1,N(Cockpit!$C$6))),BY476)/BQ476,0)*BQ476</f>
        <v>1</v>
      </c>
      <c r="AI476" s="58" t="n">
        <f aca="false">IF(AF476&gt;0,I476/AF476,-1)</f>
        <v>33.3333333333333</v>
      </c>
      <c r="AJ476" s="58" t="n">
        <f aca="false">IF(AND(OR(BU476="L1",BU476="L23"),AF476&gt;0),SUMIFS($AF$7:$AF$1576,$BU$7:$BU$1576,BU476,$AI$7:$AI$1576,"&gt;"&amp;AI476)+SUMIFS($AF$7:$AF$1576,$BU$7:$BU$1576,BU476,$AI$7:$AI$1576,AI476,$BO$7:$BO$1576,"&lt;="&amp;BO476),"")</f>
        <v>28.2236073105638</v>
      </c>
      <c r="AK476" s="65" t="n">
        <f aca="false">IF(AJ476="",0,MAX(0,MIN(1,(IF(BU476="L1",Parameter!$E$5,Parameter!$E$6+Parameter!$E$7)-(AJ476-AF476))/AF476)))</f>
        <v>1</v>
      </c>
      <c r="AL476" s="57" t="n">
        <f aca="false">IF(LEFT(Cockpit!$I$5,1)="A",G476,IF(BW476=1,BX476,IF(LEFT(Cockpit!$I$5,1)="B",AP476,MAX(AP476,G476))))</f>
        <v>1</v>
      </c>
      <c r="AM476" s="57" t="n">
        <f aca="false">IF(BR476=1,0,ROUNDUP(AL476/BQ476,0))</f>
        <v>0</v>
      </c>
      <c r="AN476" s="59" t="n">
        <f aca="false">IF(CD476&gt;0,CD476*MAX(1,AL476/V476),IF(BR476=1,IF(AL476&lt;=0,0,BS476*MAX(1,IF(G476&gt;0,AL476/G476,1))),IF(Q476&gt;0,AM476/Q476,0))/MAX(0.1,N(Parameter!$M$21)))</f>
        <v>0.03</v>
      </c>
      <c r="AO476" s="57" t="n">
        <f aca="false">AL476*F476</f>
        <v>51.57</v>
      </c>
      <c r="AP476" s="57" t="n">
        <f aca="false">ROUNDUP(MAX(I476/IF(BV476&gt;0,BV476,MAX(0.1,N(Cockpit!$I$6))),BY476)/BQ476,0)*BQ476</f>
        <v>1</v>
      </c>
      <c r="AQ476" s="58" t="n">
        <f aca="false">IF(AN476&gt;0,I476/AN476,-1)</f>
        <v>33.3333333333333</v>
      </c>
      <c r="AR476" s="58" t="n">
        <f aca="false">IF(AND(OR(BU476="L1",BU476="L23"),AN476&gt;0),SUMIFS($AN$7:$AN$1576,$BU$7:$BU$1576,BU476,$AQ$7:$AQ$1576,"&gt;"&amp;AQ476)+SUMIFS($AN$7:$AN$1576,$BU$7:$BU$1576,BU476,$AQ$7:$AQ$1576,AQ476,$BO$7:$BO$1576,"&lt;="&amp;BO476),"")</f>
        <v>94.0674345886957</v>
      </c>
      <c r="AS476" s="65" t="n">
        <f aca="false">IF(AR476="",0,MAX(0,MIN(1,(IF(BU476="L1",Parameter!$E$5,Parameter!$E$6+Parameter!$E$7)-(AR476-AN476))/AN476)))</f>
        <v>1</v>
      </c>
      <c r="AT476" s="57" t="n">
        <f aca="false">IF(LEFT(Cockpit!$O$5,1)="A",G476,IF(BW476=1,BX476,IF(LEFT(Cockpit!$O$5,1)="B",AX476,MAX(AX476,G476))))</f>
        <v>1</v>
      </c>
      <c r="AU476" s="57" t="n">
        <f aca="false">IF(BR476=1,0,ROUNDUP(AT476/BQ476,0))</f>
        <v>0</v>
      </c>
      <c r="AV476" s="59" t="n">
        <f aca="false">IF(CD476&gt;0,CD476*MAX(1,AT476/V476),IF(BR476=1,IF(AT476&lt;=0,0,BS476*MAX(1,IF(G476&gt;0,AT476/G476,1))),IF(Q476&gt;0,AU476/Q476,0))/MAX(0.1,N(Parameter!$M$21)))</f>
        <v>0.03</v>
      </c>
      <c r="AW476" s="57" t="n">
        <f aca="false">AT476*F476</f>
        <v>51.57</v>
      </c>
      <c r="AX476" s="57" t="n">
        <f aca="false">ROUNDUP(MAX(I476/IF(BV476&gt;0,BV476,MAX(0.1,N(Cockpit!$O$6))),BY476)/BQ476,0)*BQ476</f>
        <v>1</v>
      </c>
      <c r="AY476" s="58" t="n">
        <f aca="false">IF(AV476&gt;0,I476/AV476,-1)</f>
        <v>33.3333333333333</v>
      </c>
      <c r="AZ476" s="58" t="n">
        <f aca="false">IF(AND(OR(BU476="L1",BU476="L23"),AV476&gt;0),SUMIFS($AV$7:$AV$1576,$BU$7:$BU$1576,BU476,$AY$7:$AY$1576,"&gt;"&amp;AY476)+SUMIFS($AV$7:$AV$1576,$BU$7:$BU$1576,BU476,$AY$7:$AY$1576,AY476,$BO$7:$BO$1576,"&lt;="&amp;BO476),"")</f>
        <v>85.8519850382462</v>
      </c>
      <c r="BA476" s="65" t="n">
        <f aca="false">IF(AZ476="",0,MAX(0,MIN(1,(IF(BU476="L1",Parameter!$E$5,Parameter!$E$6+Parameter!$E$7)-(AZ476-AV476))/AV476)))</f>
        <v>1</v>
      </c>
      <c r="BB476" s="55" t="str">
        <f aca="false">IF(AF476&lt;=0,"",IF(BU476="Aussen","Aussenlager",IF(BU476="-","Nicht im Lift",IF(AK476&gt;=1,"Lift",IF(AK476&lt;=0,"Aussenlager","teilweise")))))</f>
        <v>Lift</v>
      </c>
      <c r="BC476" s="55" t="str">
        <f aca="false">IF(AN476&lt;=0,"",IF(BU476="Aussen","Aussenlager",IF(BU476="-","Nicht im Lift",IF(AS476&gt;=1,"Lift",IF(AS476&lt;=0,"Aussenlager","teilweise")))))</f>
        <v>Lift</v>
      </c>
      <c r="BD476" s="55" t="str">
        <f aca="false">IF(AV476&lt;=0,"",IF(BU476="Aussen","Aussenlager",IF(BU476="-","Nicht im Lift",IF(BA476&gt;=1,"Lift",IF(BA476&lt;=0,"Aussenlager","teilweise")))))</f>
        <v>Lift</v>
      </c>
      <c r="BE476" s="55" t="str">
        <f aca="false">IF(A476="","",IF(BN476=1,"Neu; ","")&amp;IF(AND(BN476=0,BI476&lt;0),"negativer Bestand (Export "&amp;BI476&amp;"); ","")&amp;IF(I476&lt;=0,"Kein Verbrauch; ","")&amp;IF(CD476&gt;0,"Lift "&amp;U476&amp;" lt. Liftbericht (Fach "&amp;V476&amp;" Stk); ",IF(BR476=1,"Lose – Fläche geschätzt; ",""))&amp;IF(G476&gt;AP476,"Überbestand "&amp;ROUND(G476-AP476,0)&amp;" Stk / CHF "&amp;ROUND((G476-AP476)*F476,0)&amp;"; ","")&amp;IF(AND(BW476=1,BX476&lt;BY476),"MAX &lt; MB+LG; ","")&amp;IF(AND(CC476&gt;0,CB476*10&gt;CC476),"zu hoch für Tablar; ","")&amp;IF(AND(BN476=0,OR(BW476=1,Y476&lt;&gt;"",S476&lt;&gt;"",T476&lt;&gt;"",Z476&lt;&gt;"")),"manuell übersteuert; ","")&amp;IF(AND(BR476=0,Q476=0),"Gebinde unbekannt / Stellmass fehlt; ","")&amp;IF(AND(BR476=0,N(T476)&lt;=0,N(P476)&lt;=0),"Menge pro Gebinde fehlt (Ist = 1 Gebinde); ","")&amp;BM476)</f>
        <v>Lose – Fläche geschätzt; </v>
      </c>
      <c r="BF476" s="55"/>
      <c r="BG476" s="55"/>
      <c r="BH476" s="62"/>
      <c r="BI476" s="57" t="n">
        <v>1</v>
      </c>
      <c r="BJ476" s="57" t="n">
        <v>0</v>
      </c>
      <c r="BK476" s="56" t="n">
        <v>51.57</v>
      </c>
      <c r="BL476" s="57" t="n">
        <v>1</v>
      </c>
      <c r="BM476" s="55"/>
      <c r="BN476" s="60" t="n">
        <v>0</v>
      </c>
      <c r="BO476" s="60" t="n">
        <v>476</v>
      </c>
      <c r="BP476" s="55" t="str">
        <f aca="false">IF(S476&lt;&gt;"",UPPER(TRIM(S476)),IF(O476="","LOSE",O476))</f>
        <v>LOSE</v>
      </c>
      <c r="BQ476" s="57" t="n">
        <f aca="false">IF(BP476="LOSE",1,IF(N(T476)&gt;0,T476,IF(N(P476)&gt;0,P476,MAX(1,G476))))</f>
        <v>1</v>
      </c>
      <c r="BR476" s="60" t="n">
        <f aca="false">IF(BP476="LOSE",1,0)</f>
        <v>1</v>
      </c>
      <c r="BS476" s="59" t="n">
        <f aca="false">IF(BR476=0,0,IF(N(R476)&gt;0,R476,IFERROR(VLOOKUP(D476,Parameter!$A$35:$C$64,3,0)+0,0)))</f>
        <v>0.03</v>
      </c>
      <c r="BT476" s="55" t="n">
        <f aca="false">IF(Y476&lt;&gt;"",Y476,X476)</f>
        <v>2</v>
      </c>
      <c r="BU476" s="55" t="str">
        <f aca="false">IF(BT476=1,"L1",IF(OR(BT476=2,BT476=3),"L23",IF(BT476="Aussen","Aussen","-")))</f>
        <v>L23</v>
      </c>
      <c r="BV476" s="66" t="n">
        <f aca="false">IF(N(Z476)&gt;0,Z476,0)</f>
        <v>0</v>
      </c>
      <c r="BW476" s="60" t="n">
        <f aca="false">IF(ISNUMBER(AC476),1,0)</f>
        <v>0</v>
      </c>
      <c r="BX476" s="57" t="n">
        <f aca="false">N(AC476)</f>
        <v>0</v>
      </c>
      <c r="BY476" s="57" t="n">
        <f aca="false">N(L476)+N(M476)</f>
        <v>1</v>
      </c>
      <c r="BZ476" s="57" t="n">
        <f aca="false">ROUNDUP(G476/BQ476,0)</f>
        <v>1</v>
      </c>
      <c r="CA476" s="57" t="n">
        <f aca="false">ROUNDUP(BX476/BQ476,0)</f>
        <v>0</v>
      </c>
      <c r="CB476" s="60" t="n">
        <f aca="false">IF(BR476=1,0,IFERROR(VLOOKUP(BP476,'Gebinde-Kategorie'!$A$5:$M$45,5,0)+0,0))</f>
        <v>0</v>
      </c>
      <c r="CC476" s="60" t="n">
        <f aca="false">IFERROR(IF(OR(BT476=1,BT476=2,BT476=3),N(INDEX(Parameter!$I$5:$I$7,BT476)),0),0)</f>
        <v>0</v>
      </c>
      <c r="CD476" s="59" t="n">
        <f aca="false">IF(AND(Parameter!$B$21="Ja",ISNUMBER(U476),N(V476)&gt;0),IFERROR(N(INDEX(Parameter!$L$5:$L$7,U476))*INDEX(Parameter!$E$5:$E$7,U476)*V476/SUMIFS($V$7:$V$1576,$U$7:$U$1576,U476),0),0)</f>
        <v>0</v>
      </c>
    </row>
    <row r="477" customFormat="false" ht="15" hidden="false" customHeight="false" outlineLevel="0" collapsed="false">
      <c r="A477" s="55" t="s">
        <v>1051</v>
      </c>
      <c r="B477" s="55" t="s">
        <v>1052</v>
      </c>
      <c r="C477" s="55" t="s">
        <v>160</v>
      </c>
      <c r="D477" s="55" t="s">
        <v>178</v>
      </c>
      <c r="E477" s="55" t="s">
        <v>210</v>
      </c>
      <c r="F477" s="56" t="n">
        <v>51</v>
      </c>
      <c r="G477" s="57" t="n">
        <f aca="false">MAX(0,IF(AND(Parameter!$B$21="Ja",ISNUMBER(W477)),W477,IF(Parameter!$B$20="Jahresanfang 2025 + Export",BJ477+BI477,BI477)))</f>
        <v>1</v>
      </c>
      <c r="H477" s="57" t="n">
        <f aca="false">G477*F477</f>
        <v>51</v>
      </c>
      <c r="I477" s="57" t="n">
        <f aca="false">BL477*Parameter!$B$18</f>
        <v>0</v>
      </c>
      <c r="J477" s="58" t="n">
        <v>7.5</v>
      </c>
      <c r="K477" s="59" t="n">
        <v>0</v>
      </c>
      <c r="L477" s="57" t="n">
        <v>0</v>
      </c>
      <c r="M477" s="57" t="n">
        <v>1</v>
      </c>
      <c r="N477" s="60" t="n">
        <v>28</v>
      </c>
      <c r="O477" s="55" t="s">
        <v>293</v>
      </c>
      <c r="P477" s="57" t="n">
        <v>10</v>
      </c>
      <c r="Q477" s="60" t="n">
        <f aca="false">IF(BR477=1,0,IFERROR(VLOOKUP(BP477,'Gebinde-Kategorie'!$A$5:$M$45,13,0)+0,0))</f>
        <v>26</v>
      </c>
      <c r="R477" s="61"/>
      <c r="S477" s="62"/>
      <c r="T477" s="62"/>
      <c r="U477" s="55"/>
      <c r="V477" s="57"/>
      <c r="W477" s="57"/>
      <c r="X477" s="55" t="n">
        <f aca="false">IF(A477="","",IF(AND(Parameter!$B$21="Ja",ISNUMBER(U477)),U477,IF(IFERROR(VLOOKUP(D477,Parameter!$A$35:$C$64,2,0),"Nein")="2+3",IF(ISNUMBER(SEARCH("grosser Artikel",BM477)),2,IFERROR(VLOOKUP(BP477,Parameter!$F$35:$G$64,2,0),2)),IF(OR(IFERROR(VLOOKUP(D477,Parameter!$A$35:$C$64,2,0),"Nein")="Nein",IFERROR(VLOOKUP(D477,Parameter!$A$35:$C$64,2,0),"Nein")=""),"-",VLOOKUP(D477,Parameter!$A$35:$C$64,2,0)))))</f>
        <v>3</v>
      </c>
      <c r="Y477" s="62"/>
      <c r="Z477" s="63"/>
      <c r="AA477" s="57" t="n">
        <f aca="false">AP477</f>
        <v>10</v>
      </c>
      <c r="AB477" s="57" t="n">
        <f aca="false">MAX(AP477,G477)</f>
        <v>10</v>
      </c>
      <c r="AC477" s="64"/>
      <c r="AD477" s="57" t="n">
        <f aca="false">IF(LEFT(Cockpit!$C$5,1)="A",G477,IF(BW477=1,BX477,IF(LEFT(Cockpit!$C$5,1)="B",AH477,MAX(AH477,G477))))</f>
        <v>1</v>
      </c>
      <c r="AE477" s="57" t="n">
        <f aca="false">IF(BR477=1,0,ROUNDUP(AD477/BQ477,0))</f>
        <v>1</v>
      </c>
      <c r="AF477" s="59" t="n">
        <f aca="false">IF(CD477&gt;0,CD477*MAX(1,AD477/V477),IF(BR477=1,IF(AD477&lt;=0,0,BS477*MAX(1,IF(G477&gt;0,AD477/G477,1))),IF(Q477&gt;0,AE477/Q477,0))/MAX(0.1,N(Parameter!$M$21)))</f>
        <v>0.0384615384615385</v>
      </c>
      <c r="AG477" s="57" t="n">
        <f aca="false">AD477*F477</f>
        <v>51</v>
      </c>
      <c r="AH477" s="57" t="n">
        <f aca="false">ROUNDUP(MAX(I477/IF(BV477&gt;0,BV477,MAX(0.1,N(Cockpit!$C$6))),BY477)/BQ477,0)*BQ477</f>
        <v>10</v>
      </c>
      <c r="AI477" s="58" t="n">
        <f aca="false">IF(AF477&gt;0,I477/AF477,-1)</f>
        <v>0</v>
      </c>
      <c r="AJ477" s="58" t="n">
        <f aca="false">IF(AND(OR(BU477="L1",BU477="L23"),AF477&gt;0),SUMIFS($AF$7:$AF$1576,$BU$7:$BU$1576,BU477,$AI$7:$AI$1576,"&gt;"&amp;AI477)+SUMIFS($AF$7:$AF$1576,$BU$7:$BU$1576,BU477,$AI$7:$AI$1576,AI477,$BO$7:$BO$1576,"&lt;="&amp;BO477),"")</f>
        <v>42.2531721901287</v>
      </c>
      <c r="AK477" s="65" t="n">
        <f aca="false">IF(AJ477="",0,MAX(0,MIN(1,(IF(BU477="L1",Parameter!$E$5,Parameter!$E$6+Parameter!$E$7)-(AJ477-AF477))/AF477)))</f>
        <v>1</v>
      </c>
      <c r="AL477" s="57" t="n">
        <f aca="false">IF(LEFT(Cockpit!$I$5,1)="A",G477,IF(BW477=1,BX477,IF(LEFT(Cockpit!$I$5,1)="B",AP477,MAX(AP477,G477))))</f>
        <v>10</v>
      </c>
      <c r="AM477" s="57" t="n">
        <f aca="false">IF(BR477=1,0,ROUNDUP(AL477/BQ477,0))</f>
        <v>1</v>
      </c>
      <c r="AN477" s="59" t="n">
        <f aca="false">IF(CD477&gt;0,CD477*MAX(1,AL477/V477),IF(BR477=1,IF(AL477&lt;=0,0,BS477*MAX(1,IF(G477&gt;0,AL477/G477,1))),IF(Q477&gt;0,AM477/Q477,0))/MAX(0.1,N(Parameter!$M$21)))</f>
        <v>0.0384615384615385</v>
      </c>
      <c r="AO477" s="57" t="n">
        <f aca="false">AL477*F477</f>
        <v>510</v>
      </c>
      <c r="AP477" s="57" t="n">
        <f aca="false">ROUNDUP(MAX(I477/IF(BV477&gt;0,BV477,MAX(0.1,N(Cockpit!$I$6))),BY477)/BQ477,0)*BQ477</f>
        <v>10</v>
      </c>
      <c r="AQ477" s="58" t="n">
        <f aca="false">IF(AN477&gt;0,I477/AN477,-1)</f>
        <v>0</v>
      </c>
      <c r="AR477" s="58" t="n">
        <f aca="false">IF(AND(OR(BU477="L1",BU477="L23"),AN477&gt;0),SUMIFS($AN$7:$AN$1576,$BU$7:$BU$1576,BU477,$AQ$7:$AQ$1576,"&gt;"&amp;AQ477)+SUMIFS($AN$7:$AN$1576,$BU$7:$BU$1576,BU477,$AQ$7:$AQ$1576,AQ477,$BO$7:$BO$1576,"&lt;="&amp;BO477),"")</f>
        <v>125.249958308647</v>
      </c>
      <c r="AS477" s="65" t="n">
        <f aca="false">IF(AR477="",0,MAX(0,MIN(1,(IF(BU477="L1",Parameter!$E$5,Parameter!$E$6+Parameter!$E$7)-(AR477-AN477))/AN477)))</f>
        <v>0</v>
      </c>
      <c r="AT477" s="57" t="n">
        <f aca="false">IF(LEFT(Cockpit!$O$5,1)="A",G477,IF(BW477=1,BX477,IF(LEFT(Cockpit!$O$5,1)="B",AX477,MAX(AX477,G477))))</f>
        <v>10</v>
      </c>
      <c r="AU477" s="57" t="n">
        <f aca="false">IF(BR477=1,0,ROUNDUP(AT477/BQ477,0))</f>
        <v>1</v>
      </c>
      <c r="AV477" s="59" t="n">
        <f aca="false">IF(CD477&gt;0,CD477*MAX(1,AT477/V477),IF(BR477=1,IF(AT477&lt;=0,0,BS477*MAX(1,IF(G477&gt;0,AT477/G477,1))),IF(Q477&gt;0,AU477/Q477,0))/MAX(0.1,N(Parameter!$M$21)))</f>
        <v>0.0384615384615385</v>
      </c>
      <c r="AW477" s="57" t="n">
        <f aca="false">AT477*F477</f>
        <v>510</v>
      </c>
      <c r="AX477" s="57" t="n">
        <f aca="false">ROUNDUP(MAX(I477/IF(BV477&gt;0,BV477,MAX(0.1,N(Cockpit!$O$6))),BY477)/BQ477,0)*BQ477</f>
        <v>10</v>
      </c>
      <c r="AY477" s="58" t="n">
        <f aca="false">IF(AV477&gt;0,I477/AV477,-1)</f>
        <v>0</v>
      </c>
      <c r="AZ477" s="58" t="n">
        <f aca="false">IF(AND(OR(BU477="L1",BU477="L23"),AV477&gt;0),SUMIFS($AV$7:$AV$1576,$BU$7:$BU$1576,BU477,$AY$7:$AY$1576,"&gt;"&amp;AY477)+SUMIFS($AV$7:$AV$1576,$BU$7:$BU$1576,BU477,$AY$7:$AY$1576,AY477,$BO$7:$BO$1576,"&lt;="&amp;BO477),"")</f>
        <v>115.309508758198</v>
      </c>
      <c r="BA477" s="65" t="n">
        <f aca="false">IF(AZ477="",0,MAX(0,MIN(1,(IF(BU477="L1",Parameter!$E$5,Parameter!$E$6+Parameter!$E$7)-(AZ477-AV477))/AV477)))</f>
        <v>0</v>
      </c>
      <c r="BB477" s="55" t="str">
        <f aca="false">IF(AF477&lt;=0,"",IF(BU477="Aussen","Aussenlager",IF(BU477="-","Nicht im Lift",IF(AK477&gt;=1,"Lift",IF(AK477&lt;=0,"Aussenlager","teilweise")))))</f>
        <v>Lift</v>
      </c>
      <c r="BC477" s="55" t="str">
        <f aca="false">IF(AN477&lt;=0,"",IF(BU477="Aussen","Aussenlager",IF(BU477="-","Nicht im Lift",IF(AS477&gt;=1,"Lift",IF(AS477&lt;=0,"Aussenlager","teilweise")))))</f>
        <v>Aussenlager</v>
      </c>
      <c r="BD477" s="55" t="str">
        <f aca="false">IF(AV477&lt;=0,"",IF(BU477="Aussen","Aussenlager",IF(BU477="-","Nicht im Lift",IF(BA477&gt;=1,"Lift",IF(BA477&lt;=0,"Aussenlager","teilweise")))))</f>
        <v>Aussenlager</v>
      </c>
      <c r="BE477" s="55" t="str">
        <f aca="false">IF(A477="","",IF(BN477=1,"Neu; ","")&amp;IF(AND(BN477=0,BI477&lt;0),"negativer Bestand (Export "&amp;BI477&amp;"); ","")&amp;IF(I477&lt;=0,"Kein Verbrauch; ","")&amp;IF(CD477&gt;0,"Lift "&amp;U477&amp;" lt. Liftbericht (Fach "&amp;V477&amp;" Stk); ",IF(BR477=1,"Lose – Fläche geschätzt; ",""))&amp;IF(G477&gt;AP477,"Überbestand "&amp;ROUND(G477-AP477,0)&amp;" Stk / CHF "&amp;ROUND((G477-AP477)*F477,0)&amp;"; ","")&amp;IF(AND(BW477=1,BX477&lt;BY477),"MAX &lt; MB+LG; ","")&amp;IF(AND(CC477&gt;0,CB477*10&gt;CC477),"zu hoch für Tablar; ","")&amp;IF(AND(BN477=0,OR(BW477=1,Y477&lt;&gt;"",S477&lt;&gt;"",T477&lt;&gt;"",Z477&lt;&gt;"")),"manuell übersteuert; ","")&amp;IF(AND(BR477=0,Q477=0),"Gebinde unbekannt / Stellmass fehlt; ","")&amp;IF(AND(BR477=0,N(T477)&lt;=0,N(P477)&lt;=0),"Menge pro Gebinde fehlt (Ist = 1 Gebinde); ","")&amp;BM477)</f>
        <v>Kein Verbrauch; Neuer Art.</v>
      </c>
      <c r="BF477" s="55"/>
      <c r="BG477" s="55"/>
      <c r="BH477" s="62"/>
      <c r="BI477" s="57" t="n">
        <v>1</v>
      </c>
      <c r="BJ477" s="57" t="n">
        <v>7</v>
      </c>
      <c r="BK477" s="56" t="n">
        <v>51</v>
      </c>
      <c r="BL477" s="57" t="n">
        <v>0</v>
      </c>
      <c r="BM477" s="55" t="s">
        <v>501</v>
      </c>
      <c r="BN477" s="60" t="n">
        <v>0</v>
      </c>
      <c r="BO477" s="60" t="n">
        <v>477</v>
      </c>
      <c r="BP477" s="55" t="str">
        <f aca="false">IF(S477&lt;&gt;"",UPPER(TRIM(S477)),IF(O477="","LOSE",O477))</f>
        <v>S51</v>
      </c>
      <c r="BQ477" s="57" t="n">
        <f aca="false">IF(BP477="LOSE",1,IF(N(T477)&gt;0,T477,IF(N(P477)&gt;0,P477,MAX(1,G477))))</f>
        <v>10</v>
      </c>
      <c r="BR477" s="60" t="n">
        <f aca="false">IF(BP477="LOSE",1,0)</f>
        <v>0</v>
      </c>
      <c r="BS477" s="59" t="n">
        <f aca="false">IF(BR477=0,0,IF(N(R477)&gt;0,R477,IFERROR(VLOOKUP(D477,Parameter!$A$35:$C$64,3,0)+0,0)))</f>
        <v>0</v>
      </c>
      <c r="BT477" s="55" t="n">
        <f aca="false">IF(Y477&lt;&gt;"",Y477,X477)</f>
        <v>3</v>
      </c>
      <c r="BU477" s="55" t="str">
        <f aca="false">IF(BT477=1,"L1",IF(OR(BT477=2,BT477=3),"L23",IF(BT477="Aussen","Aussen","-")))</f>
        <v>L23</v>
      </c>
      <c r="BV477" s="66" t="n">
        <f aca="false">IF(N(Z477)&gt;0,Z477,0)</f>
        <v>0</v>
      </c>
      <c r="BW477" s="60" t="n">
        <f aca="false">IF(ISNUMBER(AC477),1,0)</f>
        <v>0</v>
      </c>
      <c r="BX477" s="57" t="n">
        <f aca="false">N(AC477)</f>
        <v>0</v>
      </c>
      <c r="BY477" s="57" t="n">
        <f aca="false">N(L477)+N(M477)</f>
        <v>1</v>
      </c>
      <c r="BZ477" s="57" t="n">
        <f aca="false">ROUNDUP(G477/BQ477,0)</f>
        <v>1</v>
      </c>
      <c r="CA477" s="57" t="n">
        <f aca="false">ROUNDUP(BX477/BQ477,0)</f>
        <v>0</v>
      </c>
      <c r="CB477" s="60" t="n">
        <f aca="false">IF(BR477=1,0,IFERROR(VLOOKUP(BP477,'Gebinde-Kategorie'!$A$5:$M$45,5,0)+0,0))</f>
        <v>11</v>
      </c>
      <c r="CC477" s="60" t="n">
        <f aca="false">IFERROR(IF(OR(BT477=1,BT477=2,BT477=3),N(INDEX(Parameter!$I$5:$I$7,BT477)),0),0)</f>
        <v>0</v>
      </c>
      <c r="CD477" s="59" t="n">
        <f aca="false">IF(AND(Parameter!$B$21="Ja",ISNUMBER(U477),N(V477)&gt;0),IFERROR(N(INDEX(Parameter!$L$5:$L$7,U477))*INDEX(Parameter!$E$5:$E$7,U477)*V477/SUMIFS($V$7:$V$1576,$U$7:$U$1576,U477),0),0)</f>
        <v>0</v>
      </c>
    </row>
    <row r="478" customFormat="false" ht="15" hidden="false" customHeight="false" outlineLevel="0" collapsed="false">
      <c r="A478" s="55" t="s">
        <v>1053</v>
      </c>
      <c r="B478" s="55" t="s">
        <v>1054</v>
      </c>
      <c r="C478" s="55" t="s">
        <v>160</v>
      </c>
      <c r="D478" s="55" t="s">
        <v>178</v>
      </c>
      <c r="E478" s="55" t="s">
        <v>210</v>
      </c>
      <c r="F478" s="56" t="n">
        <v>6.71</v>
      </c>
      <c r="G478" s="57" t="n">
        <f aca="false">MAX(0,IF(AND(Parameter!$B$21="Ja",ISNUMBER(W478)),W478,IF(Parameter!$B$20="Jahresanfang 2025 + Export",BJ478+BI478,BI478)))</f>
        <v>7</v>
      </c>
      <c r="H478" s="57" t="n">
        <f aca="false">G478*F478</f>
        <v>46.97</v>
      </c>
      <c r="I478" s="57" t="n">
        <f aca="false">BL478*Parameter!$B$18</f>
        <v>12</v>
      </c>
      <c r="J478" s="58" t="n">
        <v>2.5</v>
      </c>
      <c r="K478" s="59" t="n">
        <v>4.8</v>
      </c>
      <c r="L478" s="57" t="n">
        <v>0</v>
      </c>
      <c r="M478" s="57" t="n">
        <v>10</v>
      </c>
      <c r="N478" s="60" t="n">
        <v>14</v>
      </c>
      <c r="O478" s="55" t="s">
        <v>465</v>
      </c>
      <c r="P478" s="57" t="n">
        <v>15</v>
      </c>
      <c r="Q478" s="60" t="n">
        <f aca="false">IF(BR478=1,0,IFERROR(VLOOKUP(BP478,'Gebinde-Kategorie'!$A$5:$M$45,13,0)+0,0))</f>
        <v>66</v>
      </c>
      <c r="R478" s="61"/>
      <c r="S478" s="62"/>
      <c r="T478" s="62"/>
      <c r="U478" s="55"/>
      <c r="V478" s="57"/>
      <c r="W478" s="57"/>
      <c r="X478" s="55" t="n">
        <f aca="false">IF(A478="","",IF(AND(Parameter!$B$21="Ja",ISNUMBER(U478)),U478,IF(IFERROR(VLOOKUP(D478,Parameter!$A$35:$C$64,2,0),"Nein")="2+3",IF(ISNUMBER(SEARCH("grosser Artikel",BM478)),2,IFERROR(VLOOKUP(BP478,Parameter!$F$35:$G$64,2,0),2)),IF(OR(IFERROR(VLOOKUP(D478,Parameter!$A$35:$C$64,2,0),"Nein")="Nein",IFERROR(VLOOKUP(D478,Parameter!$A$35:$C$64,2,0),"Nein")=""),"-",VLOOKUP(D478,Parameter!$A$35:$C$64,2,0)))))</f>
        <v>3</v>
      </c>
      <c r="Y478" s="62"/>
      <c r="Z478" s="63"/>
      <c r="AA478" s="57" t="n">
        <f aca="false">AP478</f>
        <v>15</v>
      </c>
      <c r="AB478" s="57" t="n">
        <f aca="false">MAX(AP478,G478)</f>
        <v>15</v>
      </c>
      <c r="AC478" s="64"/>
      <c r="AD478" s="57" t="n">
        <f aca="false">IF(LEFT(Cockpit!$C$5,1)="A",G478,IF(BW478=1,BX478,IF(LEFT(Cockpit!$C$5,1)="B",AH478,MAX(AH478,G478))))</f>
        <v>7</v>
      </c>
      <c r="AE478" s="57" t="n">
        <f aca="false">IF(BR478=1,0,ROUNDUP(AD478/BQ478,0))</f>
        <v>1</v>
      </c>
      <c r="AF478" s="59" t="n">
        <f aca="false">IF(CD478&gt;0,CD478*MAX(1,AD478/V478),IF(BR478=1,IF(AD478&lt;=0,0,BS478*MAX(1,IF(G478&gt;0,AD478/G478,1))),IF(Q478&gt;0,AE478/Q478,0))/MAX(0.1,N(Parameter!$M$21)))</f>
        <v>0.0151515151515152</v>
      </c>
      <c r="AG478" s="57" t="n">
        <f aca="false">AD478*F478</f>
        <v>46.97</v>
      </c>
      <c r="AH478" s="57" t="n">
        <f aca="false">ROUNDUP(MAX(I478/IF(BV478&gt;0,BV478,MAX(0.1,N(Cockpit!$C$6))),BY478)/BQ478,0)*BQ478</f>
        <v>15</v>
      </c>
      <c r="AI478" s="58" t="n">
        <f aca="false">IF(AF478&gt;0,I478/AF478,-1)</f>
        <v>792</v>
      </c>
      <c r="AJ478" s="58" t="n">
        <f aca="false">IF(AND(OR(BU478="L1",BU478="L23"),AF478&gt;0),SUMIFS($AF$7:$AF$1576,$BU$7:$BU$1576,BU478,$AI$7:$AI$1576,"&gt;"&amp;AI478)+SUMIFS($AF$7:$AF$1576,$BU$7:$BU$1576,BU478,$AI$7:$AI$1576,AI478,$BO$7:$BO$1576,"&lt;="&amp;BO478),"")</f>
        <v>10.5944322826932</v>
      </c>
      <c r="AK478" s="65" t="n">
        <f aca="false">IF(AJ478="",0,MAX(0,MIN(1,(IF(BU478="L1",Parameter!$E$5,Parameter!$E$6+Parameter!$E$7)-(AJ478-AF478))/AF478)))</f>
        <v>1</v>
      </c>
      <c r="AL478" s="57" t="n">
        <f aca="false">IF(LEFT(Cockpit!$I$5,1)="A",G478,IF(BW478=1,BX478,IF(LEFT(Cockpit!$I$5,1)="B",AP478,MAX(AP478,G478))))</f>
        <v>15</v>
      </c>
      <c r="AM478" s="57" t="n">
        <f aca="false">IF(BR478=1,0,ROUNDUP(AL478/BQ478,0))</f>
        <v>1</v>
      </c>
      <c r="AN478" s="59" t="n">
        <f aca="false">IF(CD478&gt;0,CD478*MAX(1,AL478/V478),IF(BR478=1,IF(AL478&lt;=0,0,BS478*MAX(1,IF(G478&gt;0,AL478/G478,1))),IF(Q478&gt;0,AM478/Q478,0))/MAX(0.1,N(Parameter!$M$21)))</f>
        <v>0.0151515151515152</v>
      </c>
      <c r="AO478" s="57" t="n">
        <f aca="false">AL478*F478</f>
        <v>100.65</v>
      </c>
      <c r="AP478" s="57" t="n">
        <f aca="false">ROUNDUP(MAX(I478/IF(BV478&gt;0,BV478,MAX(0.1,N(Cockpit!$I$6))),BY478)/BQ478,0)*BQ478</f>
        <v>15</v>
      </c>
      <c r="AQ478" s="58" t="n">
        <f aca="false">IF(AN478&gt;0,I478/AN478,-1)</f>
        <v>792</v>
      </c>
      <c r="AR478" s="58" t="n">
        <f aca="false">IF(AND(OR(BU478="L1",BU478="L23"),AN478&gt;0),SUMIFS($AN$7:$AN$1576,$BU$7:$BU$1576,BU478,$AQ$7:$AQ$1576,"&gt;"&amp;AQ478)+SUMIFS($AN$7:$AN$1576,$BU$7:$BU$1576,BU478,$AQ$7:$AQ$1576,AQ478,$BO$7:$BO$1576,"&lt;="&amp;BO478),"")</f>
        <v>26.1695472767324</v>
      </c>
      <c r="AS478" s="65" t="n">
        <f aca="false">IF(AR478="",0,MAX(0,MIN(1,(IF(BU478="L1",Parameter!$E$5,Parameter!$E$6+Parameter!$E$7)-(AR478-AN478))/AN478)))</f>
        <v>1</v>
      </c>
      <c r="AT478" s="57" t="n">
        <f aca="false">IF(LEFT(Cockpit!$O$5,1)="A",G478,IF(BW478=1,BX478,IF(LEFT(Cockpit!$O$5,1)="B",AX478,MAX(AX478,G478))))</f>
        <v>15</v>
      </c>
      <c r="AU478" s="57" t="n">
        <f aca="false">IF(BR478=1,0,ROUNDUP(AT478/BQ478,0))</f>
        <v>1</v>
      </c>
      <c r="AV478" s="59" t="n">
        <f aca="false">IF(CD478&gt;0,CD478*MAX(1,AT478/V478),IF(BR478=1,IF(AT478&lt;=0,0,BS478*MAX(1,IF(G478&gt;0,AT478/G478,1))),IF(Q478&gt;0,AU478/Q478,0))/MAX(0.1,N(Parameter!$M$21)))</f>
        <v>0.0151515151515152</v>
      </c>
      <c r="AW478" s="57" t="n">
        <f aca="false">AT478*F478</f>
        <v>100.65</v>
      </c>
      <c r="AX478" s="57" t="n">
        <f aca="false">ROUNDUP(MAX(I478/IF(BV478&gt;0,BV478,MAX(0.1,N(Cockpit!$O$6))),BY478)/BQ478,0)*BQ478</f>
        <v>15</v>
      </c>
      <c r="AY478" s="58" t="n">
        <f aca="false">IF(AV478&gt;0,I478/AV478,-1)</f>
        <v>792</v>
      </c>
      <c r="AZ478" s="58" t="n">
        <f aca="false">IF(AND(OR(BU478="L1",BU478="L23"),AV478&gt;0),SUMIFS($AV$7:$AV$1576,$BU$7:$BU$1576,BU478,$AY$7:$AY$1576,"&gt;"&amp;AY478)+SUMIFS($AV$7:$AV$1576,$BU$7:$BU$1576,BU478,$AY$7:$AY$1576,AY478,$BO$7:$BO$1576,"&lt;="&amp;BO478),"")</f>
        <v>26.069896927082</v>
      </c>
      <c r="BA478" s="65" t="n">
        <f aca="false">IF(AZ478="",0,MAX(0,MIN(1,(IF(BU478="L1",Parameter!$E$5,Parameter!$E$6+Parameter!$E$7)-(AZ478-AV478))/AV478)))</f>
        <v>1</v>
      </c>
      <c r="BB478" s="55" t="str">
        <f aca="false">IF(AF478&lt;=0,"",IF(BU478="Aussen","Aussenlager",IF(BU478="-","Nicht im Lift",IF(AK478&gt;=1,"Lift",IF(AK478&lt;=0,"Aussenlager","teilweise")))))</f>
        <v>Lift</v>
      </c>
      <c r="BC478" s="55" t="str">
        <f aca="false">IF(AN478&lt;=0,"",IF(BU478="Aussen","Aussenlager",IF(BU478="-","Nicht im Lift",IF(AS478&gt;=1,"Lift",IF(AS478&lt;=0,"Aussenlager","teilweise")))))</f>
        <v>Lift</v>
      </c>
      <c r="BD478" s="55" t="str">
        <f aca="false">IF(AV478&lt;=0,"",IF(BU478="Aussen","Aussenlager",IF(BU478="-","Nicht im Lift",IF(BA478&gt;=1,"Lift",IF(BA478&lt;=0,"Aussenlager","teilweise")))))</f>
        <v>Lift</v>
      </c>
      <c r="BE478" s="55" t="str">
        <f aca="false">IF(A478="","",IF(BN478=1,"Neu; ","")&amp;IF(AND(BN478=0,BI478&lt;0),"negativer Bestand (Export "&amp;BI478&amp;"); ","")&amp;IF(I478&lt;=0,"Kein Verbrauch; ","")&amp;IF(CD478&gt;0,"Lift "&amp;U478&amp;" lt. Liftbericht (Fach "&amp;V478&amp;" Stk); ",IF(BR478=1,"Lose – Fläche geschätzt; ",""))&amp;IF(G478&gt;AP478,"Überbestand "&amp;ROUND(G478-AP478,0)&amp;" Stk / CHF "&amp;ROUND((G478-AP478)*F478,0)&amp;"; ","")&amp;IF(AND(BW478=1,BX478&lt;BY478),"MAX &lt; MB+LG; ","")&amp;IF(AND(CC478&gt;0,CB478*10&gt;CC478),"zu hoch für Tablar; ","")&amp;IF(AND(BN478=0,OR(BW478=1,Y478&lt;&gt;"",S478&lt;&gt;"",T478&lt;&gt;"",Z478&lt;&gt;"")),"manuell übersteuert; ","")&amp;IF(AND(BR478=0,Q478=0),"Gebinde unbekannt / Stellmass fehlt; ","")&amp;IF(AND(BR478=0,N(T478)&lt;=0,N(P478)&lt;=0),"Menge pro Gebinde fehlt (Ist = 1 Gebinde); ","")&amp;BM478)</f>
        <v/>
      </c>
      <c r="BF478" s="55"/>
      <c r="BG478" s="55"/>
      <c r="BH478" s="62"/>
      <c r="BI478" s="57" t="n">
        <v>7</v>
      </c>
      <c r="BJ478" s="57" t="n">
        <v>3</v>
      </c>
      <c r="BK478" s="56" t="n">
        <v>50.21</v>
      </c>
      <c r="BL478" s="57" t="n">
        <v>12</v>
      </c>
      <c r="BM478" s="55"/>
      <c r="BN478" s="60" t="n">
        <v>0</v>
      </c>
      <c r="BO478" s="60" t="n">
        <v>478</v>
      </c>
      <c r="BP478" s="55" t="str">
        <f aca="false">IF(S478&lt;&gt;"",UPPER(TRIM(S478)),IF(O478="","LOSE",O478))</f>
        <v>S33</v>
      </c>
      <c r="BQ478" s="57" t="n">
        <f aca="false">IF(BP478="LOSE",1,IF(N(T478)&gt;0,T478,IF(N(P478)&gt;0,P478,MAX(1,G478))))</f>
        <v>15</v>
      </c>
      <c r="BR478" s="60" t="n">
        <f aca="false">IF(BP478="LOSE",1,0)</f>
        <v>0</v>
      </c>
      <c r="BS478" s="59" t="n">
        <f aca="false">IF(BR478=0,0,IF(N(R478)&gt;0,R478,IFERROR(VLOOKUP(D478,Parameter!$A$35:$C$64,3,0)+0,0)))</f>
        <v>0</v>
      </c>
      <c r="BT478" s="55" t="n">
        <f aca="false">IF(Y478&lt;&gt;"",Y478,X478)</f>
        <v>3</v>
      </c>
      <c r="BU478" s="55" t="str">
        <f aca="false">IF(BT478=1,"L1",IF(OR(BT478=2,BT478=3),"L23",IF(BT478="Aussen","Aussen","-")))</f>
        <v>L23</v>
      </c>
      <c r="BV478" s="66" t="n">
        <f aca="false">IF(N(Z478)&gt;0,Z478,0)</f>
        <v>0</v>
      </c>
      <c r="BW478" s="60" t="n">
        <f aca="false">IF(ISNUMBER(AC478),1,0)</f>
        <v>0</v>
      </c>
      <c r="BX478" s="57" t="n">
        <f aca="false">N(AC478)</f>
        <v>0</v>
      </c>
      <c r="BY478" s="57" t="n">
        <f aca="false">N(L478)+N(M478)</f>
        <v>10</v>
      </c>
      <c r="BZ478" s="57" t="n">
        <f aca="false">ROUNDUP(G478/BQ478,0)</f>
        <v>1</v>
      </c>
      <c r="CA478" s="57" t="n">
        <f aca="false">ROUNDUP(BX478/BQ478,0)</f>
        <v>0</v>
      </c>
      <c r="CB478" s="60" t="n">
        <f aca="false">IF(BR478=1,0,IFERROR(VLOOKUP(BP478,'Gebinde-Kategorie'!$A$5:$M$45,5,0)+0,0))</f>
        <v>8</v>
      </c>
      <c r="CC478" s="60" t="n">
        <f aca="false">IFERROR(IF(OR(BT478=1,BT478=2,BT478=3),N(INDEX(Parameter!$I$5:$I$7,BT478)),0),0)</f>
        <v>0</v>
      </c>
      <c r="CD478" s="59" t="n">
        <f aca="false">IF(AND(Parameter!$B$21="Ja",ISNUMBER(U478),N(V478)&gt;0),IFERROR(N(INDEX(Parameter!$L$5:$L$7,U478))*INDEX(Parameter!$E$5:$E$7,U478)*V478/SUMIFS($V$7:$V$1576,$U$7:$U$1576,U478),0),0)</f>
        <v>0</v>
      </c>
    </row>
    <row r="479" customFormat="false" ht="15" hidden="false" customHeight="false" outlineLevel="0" collapsed="false">
      <c r="A479" s="55" t="s">
        <v>1055</v>
      </c>
      <c r="B479" s="55" t="s">
        <v>936</v>
      </c>
      <c r="C479" s="55" t="s">
        <v>160</v>
      </c>
      <c r="D479" s="55" t="s">
        <v>178</v>
      </c>
      <c r="E479" s="55" t="s">
        <v>210</v>
      </c>
      <c r="F479" s="56" t="n">
        <v>6.27</v>
      </c>
      <c r="G479" s="57" t="n">
        <f aca="false">MAX(0,IF(AND(Parameter!$B$21="Ja",ISNUMBER(W479)),W479,IF(Parameter!$B$20="Jahresanfang 2025 + Export",BJ479+BI479,BI479)))</f>
        <v>8</v>
      </c>
      <c r="H479" s="57" t="n">
        <f aca="false">G479*F479</f>
        <v>50.16</v>
      </c>
      <c r="I479" s="57" t="n">
        <f aca="false">BL479*Parameter!$B$18</f>
        <v>0</v>
      </c>
      <c r="J479" s="58" t="n">
        <v>204.5</v>
      </c>
      <c r="K479" s="59" t="n">
        <v>0</v>
      </c>
      <c r="L479" s="57" t="n">
        <v>0</v>
      </c>
      <c r="M479" s="57" t="n">
        <v>1</v>
      </c>
      <c r="N479" s="60" t="n">
        <v>35</v>
      </c>
      <c r="O479" s="55" t="s">
        <v>179</v>
      </c>
      <c r="P479" s="57" t="n">
        <v>210</v>
      </c>
      <c r="Q479" s="60" t="n">
        <f aca="false">IF(BR479=1,0,IFERROR(VLOOKUP(BP479,'Gebinde-Kategorie'!$A$5:$M$45,13,0)+0,0))</f>
        <v>12</v>
      </c>
      <c r="R479" s="61"/>
      <c r="S479" s="62"/>
      <c r="T479" s="62"/>
      <c r="U479" s="55"/>
      <c r="V479" s="57"/>
      <c r="W479" s="57"/>
      <c r="X479" s="55" t="n">
        <f aca="false">IF(A479="","",IF(AND(Parameter!$B$21="Ja",ISNUMBER(U479)),U479,IF(IFERROR(VLOOKUP(D479,Parameter!$A$35:$C$64,2,0),"Nein")="2+3",IF(ISNUMBER(SEARCH("grosser Artikel",BM479)),2,IFERROR(VLOOKUP(BP479,Parameter!$F$35:$G$64,2,0),2)),IF(OR(IFERROR(VLOOKUP(D479,Parameter!$A$35:$C$64,2,0),"Nein")="Nein",IFERROR(VLOOKUP(D479,Parameter!$A$35:$C$64,2,0),"Nein")=""),"-",VLOOKUP(D479,Parameter!$A$35:$C$64,2,0)))))</f>
        <v>2</v>
      </c>
      <c r="Y479" s="62"/>
      <c r="Z479" s="63"/>
      <c r="AA479" s="57" t="n">
        <f aca="false">AP479</f>
        <v>210</v>
      </c>
      <c r="AB479" s="57" t="n">
        <f aca="false">MAX(AP479,G479)</f>
        <v>210</v>
      </c>
      <c r="AC479" s="64"/>
      <c r="AD479" s="57" t="n">
        <f aca="false">IF(LEFT(Cockpit!$C$5,1)="A",G479,IF(BW479=1,BX479,IF(LEFT(Cockpit!$C$5,1)="B",AH479,MAX(AH479,G479))))</f>
        <v>8</v>
      </c>
      <c r="AE479" s="57" t="n">
        <f aca="false">IF(BR479=1,0,ROUNDUP(AD479/BQ479,0))</f>
        <v>1</v>
      </c>
      <c r="AF479" s="59" t="n">
        <f aca="false">IF(CD479&gt;0,CD479*MAX(1,AD479/V479),IF(BR479=1,IF(AD479&lt;=0,0,BS479*MAX(1,IF(G479&gt;0,AD479/G479,1))),IF(Q479&gt;0,AE479/Q479,0))/MAX(0.1,N(Parameter!$M$21)))</f>
        <v>0.0833333333333333</v>
      </c>
      <c r="AG479" s="57" t="n">
        <f aca="false">AD479*F479</f>
        <v>50.16</v>
      </c>
      <c r="AH479" s="57" t="n">
        <f aca="false">ROUNDUP(MAX(I479/IF(BV479&gt;0,BV479,MAX(0.1,N(Cockpit!$C$6))),BY479)/BQ479,0)*BQ479</f>
        <v>210</v>
      </c>
      <c r="AI479" s="58" t="n">
        <f aca="false">IF(AF479&gt;0,I479/AF479,-1)</f>
        <v>0</v>
      </c>
      <c r="AJ479" s="58" t="n">
        <f aca="false">IF(AND(OR(BU479="L1",BU479="L23"),AF479&gt;0),SUMIFS($AF$7:$AF$1576,$BU$7:$BU$1576,BU479,$AI$7:$AI$1576,"&gt;"&amp;AI479)+SUMIFS($AF$7:$AF$1576,$BU$7:$BU$1576,BU479,$AI$7:$AI$1576,AI479,$BO$7:$BO$1576,"&lt;="&amp;BO479),"")</f>
        <v>42.336505523462</v>
      </c>
      <c r="AK479" s="65" t="n">
        <f aca="false">IF(AJ479="",0,MAX(0,MIN(1,(IF(BU479="L1",Parameter!$E$5,Parameter!$E$6+Parameter!$E$7)-(AJ479-AF479))/AF479)))</f>
        <v>1</v>
      </c>
      <c r="AL479" s="57" t="n">
        <f aca="false">IF(LEFT(Cockpit!$I$5,1)="A",G479,IF(BW479=1,BX479,IF(LEFT(Cockpit!$I$5,1)="B",AP479,MAX(AP479,G479))))</f>
        <v>210</v>
      </c>
      <c r="AM479" s="57" t="n">
        <f aca="false">IF(BR479=1,0,ROUNDUP(AL479/BQ479,0))</f>
        <v>1</v>
      </c>
      <c r="AN479" s="59" t="n">
        <f aca="false">IF(CD479&gt;0,CD479*MAX(1,AL479/V479),IF(BR479=1,IF(AL479&lt;=0,0,BS479*MAX(1,IF(G479&gt;0,AL479/G479,1))),IF(Q479&gt;0,AM479/Q479,0))/MAX(0.1,N(Parameter!$M$21)))</f>
        <v>0.0833333333333333</v>
      </c>
      <c r="AO479" s="57" t="n">
        <f aca="false">AL479*F479</f>
        <v>1316.7</v>
      </c>
      <c r="AP479" s="57" t="n">
        <f aca="false">ROUNDUP(MAX(I479/IF(BV479&gt;0,BV479,MAX(0.1,N(Cockpit!$I$6))),BY479)/BQ479,0)*BQ479</f>
        <v>210</v>
      </c>
      <c r="AQ479" s="58" t="n">
        <f aca="false">IF(AN479&gt;0,I479/AN479,-1)</f>
        <v>0</v>
      </c>
      <c r="AR479" s="58" t="n">
        <f aca="false">IF(AND(OR(BU479="L1",BU479="L23"),AN479&gt;0),SUMIFS($AN$7:$AN$1576,$BU$7:$BU$1576,BU479,$AQ$7:$AQ$1576,"&gt;"&amp;AQ479)+SUMIFS($AN$7:$AN$1576,$BU$7:$BU$1576,BU479,$AQ$7:$AQ$1576,AQ479,$BO$7:$BO$1576,"&lt;="&amp;BO479),"")</f>
        <v>125.33329164198</v>
      </c>
      <c r="AS479" s="65" t="n">
        <f aca="false">IF(AR479="",0,MAX(0,MIN(1,(IF(BU479="L1",Parameter!$E$5,Parameter!$E$6+Parameter!$E$7)-(AR479-AN479))/AN479)))</f>
        <v>0</v>
      </c>
      <c r="AT479" s="57" t="n">
        <f aca="false">IF(LEFT(Cockpit!$O$5,1)="A",G479,IF(BW479=1,BX479,IF(LEFT(Cockpit!$O$5,1)="B",AX479,MAX(AX479,G479))))</f>
        <v>210</v>
      </c>
      <c r="AU479" s="57" t="n">
        <f aca="false">IF(BR479=1,0,ROUNDUP(AT479/BQ479,0))</f>
        <v>1</v>
      </c>
      <c r="AV479" s="59" t="n">
        <f aca="false">IF(CD479&gt;0,CD479*MAX(1,AT479/V479),IF(BR479=1,IF(AT479&lt;=0,0,BS479*MAX(1,IF(G479&gt;0,AT479/G479,1))),IF(Q479&gt;0,AU479/Q479,0))/MAX(0.1,N(Parameter!$M$21)))</f>
        <v>0.0833333333333333</v>
      </c>
      <c r="AW479" s="57" t="n">
        <f aca="false">AT479*F479</f>
        <v>1316.7</v>
      </c>
      <c r="AX479" s="57" t="n">
        <f aca="false">ROUNDUP(MAX(I479/IF(BV479&gt;0,BV479,MAX(0.1,N(Cockpit!$O$6))),BY479)/BQ479,0)*BQ479</f>
        <v>210</v>
      </c>
      <c r="AY479" s="58" t="n">
        <f aca="false">IF(AV479&gt;0,I479/AV479,-1)</f>
        <v>0</v>
      </c>
      <c r="AZ479" s="58" t="n">
        <f aca="false">IF(AND(OR(BU479="L1",BU479="L23"),AV479&gt;0),SUMIFS($AV$7:$AV$1576,$BU$7:$BU$1576,BU479,$AY$7:$AY$1576,"&gt;"&amp;AY479)+SUMIFS($AV$7:$AV$1576,$BU$7:$BU$1576,BU479,$AY$7:$AY$1576,AY479,$BO$7:$BO$1576,"&lt;="&amp;BO479),"")</f>
        <v>115.392842091531</v>
      </c>
      <c r="BA479" s="65" t="n">
        <f aca="false">IF(AZ479="",0,MAX(0,MIN(1,(IF(BU479="L1",Parameter!$E$5,Parameter!$E$6+Parameter!$E$7)-(AZ479-AV479))/AV479)))</f>
        <v>0</v>
      </c>
      <c r="BB479" s="55" t="str">
        <f aca="false">IF(AF479&lt;=0,"",IF(BU479="Aussen","Aussenlager",IF(BU479="-","Nicht im Lift",IF(AK479&gt;=1,"Lift",IF(AK479&lt;=0,"Aussenlager","teilweise")))))</f>
        <v>Lift</v>
      </c>
      <c r="BC479" s="55" t="str">
        <f aca="false">IF(AN479&lt;=0,"",IF(BU479="Aussen","Aussenlager",IF(BU479="-","Nicht im Lift",IF(AS479&gt;=1,"Lift",IF(AS479&lt;=0,"Aussenlager","teilweise")))))</f>
        <v>Aussenlager</v>
      </c>
      <c r="BD479" s="55" t="str">
        <f aca="false">IF(AV479&lt;=0,"",IF(BU479="Aussen","Aussenlager",IF(BU479="-","Nicht im Lift",IF(BA479&gt;=1,"Lift",IF(BA479&lt;=0,"Aussenlager","teilweise")))))</f>
        <v>Aussenlager</v>
      </c>
      <c r="BE479" s="55" t="str">
        <f aca="false">IF(A479="","",IF(BN479=1,"Neu; ","")&amp;IF(AND(BN479=0,BI479&lt;0),"negativer Bestand (Export "&amp;BI479&amp;"); ","")&amp;IF(I479&lt;=0,"Kein Verbrauch; ","")&amp;IF(CD479&gt;0,"Lift "&amp;U479&amp;" lt. Liftbericht (Fach "&amp;V479&amp;" Stk); ",IF(BR479=1,"Lose – Fläche geschätzt; ",""))&amp;IF(G479&gt;AP479,"Überbestand "&amp;ROUND(G479-AP479,0)&amp;" Stk / CHF "&amp;ROUND((G479-AP479)*F479,0)&amp;"; ","")&amp;IF(AND(BW479=1,BX479&lt;BY479),"MAX &lt; MB+LG; ","")&amp;IF(AND(CC479&gt;0,CB479*10&gt;CC479),"zu hoch für Tablar; ","")&amp;IF(AND(BN479=0,OR(BW479=1,Y479&lt;&gt;"",S479&lt;&gt;"",T479&lt;&gt;"",Z479&lt;&gt;"")),"manuell übersteuert; ","")&amp;IF(AND(BR479=0,Q479=0),"Gebinde unbekannt / Stellmass fehlt; ","")&amp;IF(AND(BR479=0,N(T479)&lt;=0,N(P479)&lt;=0),"Menge pro Gebinde fehlt (Ist = 1 Gebinde); ","")&amp;BM479)</f>
        <v>Kein Verbrauch; </v>
      </c>
      <c r="BF479" s="55"/>
      <c r="BG479" s="55"/>
      <c r="BH479" s="62"/>
      <c r="BI479" s="57" t="n">
        <v>8</v>
      </c>
      <c r="BJ479" s="57" t="n">
        <v>200</v>
      </c>
      <c r="BK479" s="56" t="n">
        <v>50.16</v>
      </c>
      <c r="BL479" s="57" t="n">
        <v>0</v>
      </c>
      <c r="BM479" s="55"/>
      <c r="BN479" s="60" t="n">
        <v>0</v>
      </c>
      <c r="BO479" s="60" t="n">
        <v>479</v>
      </c>
      <c r="BP479" s="55" t="str">
        <f aca="false">IF(S479&lt;&gt;"",UPPER(TRIM(S479)),IF(O479="","LOSE",O479))</f>
        <v>S61</v>
      </c>
      <c r="BQ479" s="57" t="n">
        <f aca="false">IF(BP479="LOSE",1,IF(N(T479)&gt;0,T479,IF(N(P479)&gt;0,P479,MAX(1,G479))))</f>
        <v>210</v>
      </c>
      <c r="BR479" s="60" t="n">
        <f aca="false">IF(BP479="LOSE",1,0)</f>
        <v>0</v>
      </c>
      <c r="BS479" s="59" t="n">
        <f aca="false">IF(BR479=0,0,IF(N(R479)&gt;0,R479,IFERROR(VLOOKUP(D479,Parameter!$A$35:$C$64,3,0)+0,0)))</f>
        <v>0</v>
      </c>
      <c r="BT479" s="55" t="n">
        <f aca="false">IF(Y479&lt;&gt;"",Y479,X479)</f>
        <v>2</v>
      </c>
      <c r="BU479" s="55" t="str">
        <f aca="false">IF(BT479=1,"L1",IF(OR(BT479=2,BT479=3),"L23",IF(BT479="Aussen","Aussen","-")))</f>
        <v>L23</v>
      </c>
      <c r="BV479" s="66" t="n">
        <f aca="false">IF(N(Z479)&gt;0,Z479,0)</f>
        <v>0</v>
      </c>
      <c r="BW479" s="60" t="n">
        <f aca="false">IF(ISNUMBER(AC479),1,0)</f>
        <v>0</v>
      </c>
      <c r="BX479" s="57" t="n">
        <f aca="false">N(AC479)</f>
        <v>0</v>
      </c>
      <c r="BY479" s="57" t="n">
        <f aca="false">N(L479)+N(M479)</f>
        <v>1</v>
      </c>
      <c r="BZ479" s="57" t="n">
        <f aca="false">ROUNDUP(G479/BQ479,0)</f>
        <v>1</v>
      </c>
      <c r="CA479" s="57" t="n">
        <f aca="false">ROUNDUP(BX479/BQ479,0)</f>
        <v>0</v>
      </c>
      <c r="CB479" s="60" t="n">
        <f aca="false">IF(BR479=1,0,IFERROR(VLOOKUP(BP479,'Gebinde-Kategorie'!$A$5:$M$45,5,0)+0,0))</f>
        <v>11</v>
      </c>
      <c r="CC479" s="60" t="n">
        <f aca="false">IFERROR(IF(OR(BT479=1,BT479=2,BT479=3),N(INDEX(Parameter!$I$5:$I$7,BT479)),0),0)</f>
        <v>0</v>
      </c>
      <c r="CD479" s="59" t="n">
        <f aca="false">IF(AND(Parameter!$B$21="Ja",ISNUMBER(U479),N(V479)&gt;0),IFERROR(N(INDEX(Parameter!$L$5:$L$7,U479))*INDEX(Parameter!$E$5:$E$7,U479)*V479/SUMIFS($V$7:$V$1576,$U$7:$U$1576,U479),0),0)</f>
        <v>0</v>
      </c>
    </row>
    <row r="480" customFormat="false" ht="15" hidden="false" customHeight="false" outlineLevel="0" collapsed="false">
      <c r="A480" s="55" t="s">
        <v>1056</v>
      </c>
      <c r="B480" s="55" t="s">
        <v>1057</v>
      </c>
      <c r="C480" s="55" t="s">
        <v>160</v>
      </c>
      <c r="D480" s="55" t="s">
        <v>178</v>
      </c>
      <c r="E480" s="55" t="s">
        <v>210</v>
      </c>
      <c r="F480" s="56" t="n">
        <v>2</v>
      </c>
      <c r="G480" s="57" t="n">
        <f aca="false">MAX(0,IF(AND(Parameter!$B$21="Ja",ISNUMBER(W480)),W480,IF(Parameter!$B$20="Jahresanfang 2025 + Export",BJ480+BI480,BI480)))</f>
        <v>25</v>
      </c>
      <c r="H480" s="57" t="n">
        <f aca="false">G480*F480</f>
        <v>50</v>
      </c>
      <c r="I480" s="57" t="n">
        <f aca="false">BL480*Parameter!$B$18</f>
        <v>0</v>
      </c>
      <c r="J480" s="58" t="n">
        <v>0</v>
      </c>
      <c r="K480" s="59" t="n">
        <v>0</v>
      </c>
      <c r="L480" s="57" t="n">
        <v>0</v>
      </c>
      <c r="M480" s="57" t="n">
        <v>5</v>
      </c>
      <c r="N480" s="60" t="n">
        <v>9999</v>
      </c>
      <c r="O480" s="55" t="s">
        <v>163</v>
      </c>
      <c r="P480" s="57"/>
      <c r="Q480" s="60" t="n">
        <f aca="false">IF(BR480=1,0,IFERROR(VLOOKUP(BP480,'Gebinde-Kategorie'!$A$5:$M$45,13,0)+0,0))</f>
        <v>0</v>
      </c>
      <c r="R480" s="61"/>
      <c r="S480" s="62"/>
      <c r="T480" s="62"/>
      <c r="U480" s="55"/>
      <c r="V480" s="57"/>
      <c r="W480" s="57"/>
      <c r="X480" s="55" t="n">
        <f aca="false">IF(A480="","",IF(AND(Parameter!$B$21="Ja",ISNUMBER(U480)),U480,IF(IFERROR(VLOOKUP(D480,Parameter!$A$35:$C$64,2,0),"Nein")="2+3",IF(ISNUMBER(SEARCH("grosser Artikel",BM480)),2,IFERROR(VLOOKUP(BP480,Parameter!$F$35:$G$64,2,0),2)),IF(OR(IFERROR(VLOOKUP(D480,Parameter!$A$35:$C$64,2,0),"Nein")="Nein",IFERROR(VLOOKUP(D480,Parameter!$A$35:$C$64,2,0),"Nein")=""),"-",VLOOKUP(D480,Parameter!$A$35:$C$64,2,0)))))</f>
        <v>2</v>
      </c>
      <c r="Y480" s="62"/>
      <c r="Z480" s="63"/>
      <c r="AA480" s="57" t="n">
        <f aca="false">AP480</f>
        <v>5</v>
      </c>
      <c r="AB480" s="57" t="n">
        <f aca="false">MAX(AP480,G480)</f>
        <v>25</v>
      </c>
      <c r="AC480" s="64"/>
      <c r="AD480" s="57" t="n">
        <f aca="false">IF(LEFT(Cockpit!$C$5,1)="A",G480,IF(BW480=1,BX480,IF(LEFT(Cockpit!$C$5,1)="B",AH480,MAX(AH480,G480))))</f>
        <v>25</v>
      </c>
      <c r="AE480" s="57" t="n">
        <f aca="false">IF(BR480=1,0,ROUNDUP(AD480/BQ480,0))</f>
        <v>0</v>
      </c>
      <c r="AF480" s="59" t="n">
        <f aca="false">IF(CD480&gt;0,CD480*MAX(1,AD480/V480),IF(BR480=1,IF(AD480&lt;=0,0,BS480*MAX(1,IF(G480&gt;0,AD480/G480,1))),IF(Q480&gt;0,AE480/Q480,0))/MAX(0.1,N(Parameter!$M$21)))</f>
        <v>0.03</v>
      </c>
      <c r="AG480" s="57" t="n">
        <f aca="false">AD480*F480</f>
        <v>50</v>
      </c>
      <c r="AH480" s="57" t="n">
        <f aca="false">ROUNDUP(MAX(I480/IF(BV480&gt;0,BV480,MAX(0.1,N(Cockpit!$C$6))),BY480)/BQ480,0)*BQ480</f>
        <v>5</v>
      </c>
      <c r="AI480" s="58" t="n">
        <f aca="false">IF(AF480&gt;0,I480/AF480,-1)</f>
        <v>0</v>
      </c>
      <c r="AJ480" s="58" t="n">
        <f aca="false">IF(AND(OR(BU480="L1",BU480="L23"),AF480&gt;0),SUMIFS($AF$7:$AF$1576,$BU$7:$BU$1576,BU480,$AI$7:$AI$1576,"&gt;"&amp;AI480)+SUMIFS($AF$7:$AF$1576,$BU$7:$BU$1576,BU480,$AI$7:$AI$1576,AI480,$BO$7:$BO$1576,"&lt;="&amp;BO480),"")</f>
        <v>42.366505523462</v>
      </c>
      <c r="AK480" s="65" t="n">
        <f aca="false">IF(AJ480="",0,MAX(0,MIN(1,(IF(BU480="L1",Parameter!$E$5,Parameter!$E$6+Parameter!$E$7)-(AJ480-AF480))/AF480)))</f>
        <v>1</v>
      </c>
      <c r="AL480" s="57" t="n">
        <f aca="false">IF(LEFT(Cockpit!$I$5,1)="A",G480,IF(BW480=1,BX480,IF(LEFT(Cockpit!$I$5,1)="B",AP480,MAX(AP480,G480))))</f>
        <v>25</v>
      </c>
      <c r="AM480" s="57" t="n">
        <f aca="false">IF(BR480=1,0,ROUNDUP(AL480/BQ480,0))</f>
        <v>0</v>
      </c>
      <c r="AN480" s="59" t="n">
        <f aca="false">IF(CD480&gt;0,CD480*MAX(1,AL480/V480),IF(BR480=1,IF(AL480&lt;=0,0,BS480*MAX(1,IF(G480&gt;0,AL480/G480,1))),IF(Q480&gt;0,AM480/Q480,0))/MAX(0.1,N(Parameter!$M$21)))</f>
        <v>0.03</v>
      </c>
      <c r="AO480" s="57" t="n">
        <f aca="false">AL480*F480</f>
        <v>50</v>
      </c>
      <c r="AP480" s="57" t="n">
        <f aca="false">ROUNDUP(MAX(I480/IF(BV480&gt;0,BV480,MAX(0.1,N(Cockpit!$I$6))),BY480)/BQ480,0)*BQ480</f>
        <v>5</v>
      </c>
      <c r="AQ480" s="58" t="n">
        <f aca="false">IF(AN480&gt;0,I480/AN480,-1)</f>
        <v>0</v>
      </c>
      <c r="AR480" s="58" t="n">
        <f aca="false">IF(AND(OR(BU480="L1",BU480="L23"),AN480&gt;0),SUMIFS($AN$7:$AN$1576,$BU$7:$BU$1576,BU480,$AQ$7:$AQ$1576,"&gt;"&amp;AQ480)+SUMIFS($AN$7:$AN$1576,$BU$7:$BU$1576,BU480,$AQ$7:$AQ$1576,AQ480,$BO$7:$BO$1576,"&lt;="&amp;BO480),"")</f>
        <v>125.36329164198</v>
      </c>
      <c r="AS480" s="65" t="n">
        <f aca="false">IF(AR480="",0,MAX(0,MIN(1,(IF(BU480="L1",Parameter!$E$5,Parameter!$E$6+Parameter!$E$7)-(AR480-AN480))/AN480)))</f>
        <v>0</v>
      </c>
      <c r="AT480" s="57" t="n">
        <f aca="false">IF(LEFT(Cockpit!$O$5,1)="A",G480,IF(BW480=1,BX480,IF(LEFT(Cockpit!$O$5,1)="B",AX480,MAX(AX480,G480))))</f>
        <v>25</v>
      </c>
      <c r="AU480" s="57" t="n">
        <f aca="false">IF(BR480=1,0,ROUNDUP(AT480/BQ480,0))</f>
        <v>0</v>
      </c>
      <c r="AV480" s="59" t="n">
        <f aca="false">IF(CD480&gt;0,CD480*MAX(1,AT480/V480),IF(BR480=1,IF(AT480&lt;=0,0,BS480*MAX(1,IF(G480&gt;0,AT480/G480,1))),IF(Q480&gt;0,AU480/Q480,0))/MAX(0.1,N(Parameter!$M$21)))</f>
        <v>0.03</v>
      </c>
      <c r="AW480" s="57" t="n">
        <f aca="false">AT480*F480</f>
        <v>50</v>
      </c>
      <c r="AX480" s="57" t="n">
        <f aca="false">ROUNDUP(MAX(I480/IF(BV480&gt;0,BV480,MAX(0.1,N(Cockpit!$O$6))),BY480)/BQ480,0)*BQ480</f>
        <v>5</v>
      </c>
      <c r="AY480" s="58" t="n">
        <f aca="false">IF(AV480&gt;0,I480/AV480,-1)</f>
        <v>0</v>
      </c>
      <c r="AZ480" s="58" t="n">
        <f aca="false">IF(AND(OR(BU480="L1",BU480="L23"),AV480&gt;0),SUMIFS($AV$7:$AV$1576,$BU$7:$BU$1576,BU480,$AY$7:$AY$1576,"&gt;"&amp;AY480)+SUMIFS($AV$7:$AV$1576,$BU$7:$BU$1576,BU480,$AY$7:$AY$1576,AY480,$BO$7:$BO$1576,"&lt;="&amp;BO480),"")</f>
        <v>115.422842091531</v>
      </c>
      <c r="BA480" s="65" t="n">
        <f aca="false">IF(AZ480="",0,MAX(0,MIN(1,(IF(BU480="L1",Parameter!$E$5,Parameter!$E$6+Parameter!$E$7)-(AZ480-AV480))/AV480)))</f>
        <v>0</v>
      </c>
      <c r="BB480" s="55" t="str">
        <f aca="false">IF(AF480&lt;=0,"",IF(BU480="Aussen","Aussenlager",IF(BU480="-","Nicht im Lift",IF(AK480&gt;=1,"Lift",IF(AK480&lt;=0,"Aussenlager","teilweise")))))</f>
        <v>Lift</v>
      </c>
      <c r="BC480" s="55" t="str">
        <f aca="false">IF(AN480&lt;=0,"",IF(BU480="Aussen","Aussenlager",IF(BU480="-","Nicht im Lift",IF(AS480&gt;=1,"Lift",IF(AS480&lt;=0,"Aussenlager","teilweise")))))</f>
        <v>Aussenlager</v>
      </c>
      <c r="BD480" s="55" t="str">
        <f aca="false">IF(AV480&lt;=0,"",IF(BU480="Aussen","Aussenlager",IF(BU480="-","Nicht im Lift",IF(BA480&gt;=1,"Lift",IF(BA480&lt;=0,"Aussenlager","teilweise")))))</f>
        <v>Aussenlager</v>
      </c>
      <c r="BE480" s="55" t="str">
        <f aca="false">IF(A480="","",IF(BN480=1,"Neu; ","")&amp;IF(AND(BN480=0,BI480&lt;0),"negativer Bestand (Export "&amp;BI480&amp;"); ","")&amp;IF(I480&lt;=0,"Kein Verbrauch; ","")&amp;IF(CD480&gt;0,"Lift "&amp;U480&amp;" lt. Liftbericht (Fach "&amp;V480&amp;" Stk); ",IF(BR480=1,"Lose – Fläche geschätzt; ",""))&amp;IF(G480&gt;AP480,"Überbestand "&amp;ROUND(G480-AP480,0)&amp;" Stk / CHF "&amp;ROUND((G480-AP480)*F480,0)&amp;"; ","")&amp;IF(AND(BW480=1,BX480&lt;BY480),"MAX &lt; MB+LG; ","")&amp;IF(AND(CC480&gt;0,CB480*10&gt;CC480),"zu hoch für Tablar; ","")&amp;IF(AND(BN480=0,OR(BW480=1,Y480&lt;&gt;"",S480&lt;&gt;"",T480&lt;&gt;"",Z480&lt;&gt;"")),"manuell übersteuert; ","")&amp;IF(AND(BR480=0,Q480=0),"Gebinde unbekannt / Stellmass fehlt; ","")&amp;IF(AND(BR480=0,N(T480)&lt;=0,N(P480)&lt;=0),"Menge pro Gebinde fehlt (Ist = 1 Gebinde); ","")&amp;BM480)</f>
        <v>Kein Verbrauch; Lose – Fläche geschätzt; Überbestand 20 Stk / CHF 40; </v>
      </c>
      <c r="BF480" s="55"/>
      <c r="BG480" s="55"/>
      <c r="BH480" s="62"/>
      <c r="BI480" s="57" t="n">
        <v>25</v>
      </c>
      <c r="BJ480" s="57" t="n">
        <v>0</v>
      </c>
      <c r="BK480" s="56" t="n">
        <v>50</v>
      </c>
      <c r="BL480" s="57" t="n">
        <v>0</v>
      </c>
      <c r="BM480" s="55"/>
      <c r="BN480" s="60" t="n">
        <v>0</v>
      </c>
      <c r="BO480" s="60" t="n">
        <v>480</v>
      </c>
      <c r="BP480" s="55" t="str">
        <f aca="false">IF(S480&lt;&gt;"",UPPER(TRIM(S480)),IF(O480="","LOSE",O480))</f>
        <v>LOSE</v>
      </c>
      <c r="BQ480" s="57" t="n">
        <f aca="false">IF(BP480="LOSE",1,IF(N(T480)&gt;0,T480,IF(N(P480)&gt;0,P480,MAX(1,G480))))</f>
        <v>1</v>
      </c>
      <c r="BR480" s="60" t="n">
        <f aca="false">IF(BP480="LOSE",1,0)</f>
        <v>1</v>
      </c>
      <c r="BS480" s="59" t="n">
        <f aca="false">IF(BR480=0,0,IF(N(R480)&gt;0,R480,IFERROR(VLOOKUP(D480,Parameter!$A$35:$C$64,3,0)+0,0)))</f>
        <v>0.03</v>
      </c>
      <c r="BT480" s="55" t="n">
        <f aca="false">IF(Y480&lt;&gt;"",Y480,X480)</f>
        <v>2</v>
      </c>
      <c r="BU480" s="55" t="str">
        <f aca="false">IF(BT480=1,"L1",IF(OR(BT480=2,BT480=3),"L23",IF(BT480="Aussen","Aussen","-")))</f>
        <v>L23</v>
      </c>
      <c r="BV480" s="66" t="n">
        <f aca="false">IF(N(Z480)&gt;0,Z480,0)</f>
        <v>0</v>
      </c>
      <c r="BW480" s="60" t="n">
        <f aca="false">IF(ISNUMBER(AC480),1,0)</f>
        <v>0</v>
      </c>
      <c r="BX480" s="57" t="n">
        <f aca="false">N(AC480)</f>
        <v>0</v>
      </c>
      <c r="BY480" s="57" t="n">
        <f aca="false">N(L480)+N(M480)</f>
        <v>5</v>
      </c>
      <c r="BZ480" s="57" t="n">
        <f aca="false">ROUNDUP(G480/BQ480,0)</f>
        <v>25</v>
      </c>
      <c r="CA480" s="57" t="n">
        <f aca="false">ROUNDUP(BX480/BQ480,0)</f>
        <v>0</v>
      </c>
      <c r="CB480" s="60" t="n">
        <f aca="false">IF(BR480=1,0,IFERROR(VLOOKUP(BP480,'Gebinde-Kategorie'!$A$5:$M$45,5,0)+0,0))</f>
        <v>0</v>
      </c>
      <c r="CC480" s="60" t="n">
        <f aca="false">IFERROR(IF(OR(BT480=1,BT480=2,BT480=3),N(INDEX(Parameter!$I$5:$I$7,BT480)),0),0)</f>
        <v>0</v>
      </c>
      <c r="CD480" s="59" t="n">
        <f aca="false">IF(AND(Parameter!$B$21="Ja",ISNUMBER(U480),N(V480)&gt;0),IFERROR(N(INDEX(Parameter!$L$5:$L$7,U480))*INDEX(Parameter!$E$5:$E$7,U480)*V480/SUMIFS($V$7:$V$1576,$U$7:$U$1576,U480),0),0)</f>
        <v>0</v>
      </c>
    </row>
    <row r="481" customFormat="false" ht="15" hidden="false" customHeight="false" outlineLevel="0" collapsed="false">
      <c r="A481" s="55" t="s">
        <v>1058</v>
      </c>
      <c r="B481" s="55" t="s">
        <v>1059</v>
      </c>
      <c r="C481" s="55" t="s">
        <v>160</v>
      </c>
      <c r="D481" s="55" t="s">
        <v>178</v>
      </c>
      <c r="E481" s="55" t="s">
        <v>210</v>
      </c>
      <c r="F481" s="56" t="n">
        <v>45.76</v>
      </c>
      <c r="G481" s="57" t="n">
        <f aca="false">MAX(0,IF(AND(Parameter!$B$21="Ja",ISNUMBER(W481)),W481,IF(Parameter!$B$20="Jahresanfang 2025 + Export",BJ481+BI481,BI481)))</f>
        <v>1</v>
      </c>
      <c r="H481" s="57" t="n">
        <f aca="false">G481*F481</f>
        <v>45.76</v>
      </c>
      <c r="I481" s="57" t="n">
        <f aca="false">BL481*Parameter!$B$18</f>
        <v>20</v>
      </c>
      <c r="J481" s="58" t="n">
        <v>12.5</v>
      </c>
      <c r="K481" s="59" t="n">
        <v>1.6</v>
      </c>
      <c r="L481" s="57" t="n">
        <v>1</v>
      </c>
      <c r="M481" s="57" t="n">
        <v>20</v>
      </c>
      <c r="N481" s="60" t="n">
        <v>18</v>
      </c>
      <c r="O481" s="55" t="s">
        <v>465</v>
      </c>
      <c r="P481" s="57" t="n">
        <v>15</v>
      </c>
      <c r="Q481" s="60" t="n">
        <f aca="false">IF(BR481=1,0,IFERROR(VLOOKUP(BP481,'Gebinde-Kategorie'!$A$5:$M$45,13,0)+0,0))</f>
        <v>66</v>
      </c>
      <c r="R481" s="61"/>
      <c r="S481" s="62"/>
      <c r="T481" s="62"/>
      <c r="U481" s="55"/>
      <c r="V481" s="57"/>
      <c r="W481" s="57"/>
      <c r="X481" s="55" t="n">
        <f aca="false">IF(A481="","",IF(AND(Parameter!$B$21="Ja",ISNUMBER(U481)),U481,IF(IFERROR(VLOOKUP(D481,Parameter!$A$35:$C$64,2,0),"Nein")="2+3",IF(ISNUMBER(SEARCH("grosser Artikel",BM481)),2,IFERROR(VLOOKUP(BP481,Parameter!$F$35:$G$64,2,0),2)),IF(OR(IFERROR(VLOOKUP(D481,Parameter!$A$35:$C$64,2,0),"Nein")="Nein",IFERROR(VLOOKUP(D481,Parameter!$A$35:$C$64,2,0),"Nein")=""),"-",VLOOKUP(D481,Parameter!$A$35:$C$64,2,0)))))</f>
        <v>3</v>
      </c>
      <c r="Y481" s="62"/>
      <c r="Z481" s="63"/>
      <c r="AA481" s="57" t="n">
        <f aca="false">AP481</f>
        <v>30</v>
      </c>
      <c r="AB481" s="57" t="n">
        <f aca="false">MAX(AP481,G481)</f>
        <v>30</v>
      </c>
      <c r="AC481" s="64"/>
      <c r="AD481" s="57" t="n">
        <f aca="false">IF(LEFT(Cockpit!$C$5,1)="A",G481,IF(BW481=1,BX481,IF(LEFT(Cockpit!$C$5,1)="B",AH481,MAX(AH481,G481))))</f>
        <v>1</v>
      </c>
      <c r="AE481" s="57" t="n">
        <f aca="false">IF(BR481=1,0,ROUNDUP(AD481/BQ481,0))</f>
        <v>1</v>
      </c>
      <c r="AF481" s="59" t="n">
        <f aca="false">IF(CD481&gt;0,CD481*MAX(1,AD481/V481),IF(BR481=1,IF(AD481&lt;=0,0,BS481*MAX(1,IF(G481&gt;0,AD481/G481,1))),IF(Q481&gt;0,AE481/Q481,0))/MAX(0.1,N(Parameter!$M$21)))</f>
        <v>0.0151515151515152</v>
      </c>
      <c r="AG481" s="57" t="n">
        <f aca="false">AD481*F481</f>
        <v>45.76</v>
      </c>
      <c r="AH481" s="57" t="n">
        <f aca="false">ROUNDUP(MAX(I481/IF(BV481&gt;0,BV481,MAX(0.1,N(Cockpit!$C$6))),BY481)/BQ481,0)*BQ481</f>
        <v>30</v>
      </c>
      <c r="AI481" s="58" t="n">
        <f aca="false">IF(AF481&gt;0,I481/AF481,-1)</f>
        <v>1320</v>
      </c>
      <c r="AJ481" s="58" t="n">
        <f aca="false">IF(AND(OR(BU481="L1",BU481="L23"),AF481&gt;0),SUMIFS($AF$7:$AF$1576,$BU$7:$BU$1576,BU481,$AI$7:$AI$1576,"&gt;"&amp;AI481)+SUMIFS($AF$7:$AF$1576,$BU$7:$BU$1576,BU481,$AI$7:$AI$1576,AI481,$BO$7:$BO$1576,"&lt;="&amp;BO481),"")</f>
        <v>8.30014154927198</v>
      </c>
      <c r="AK481" s="65" t="n">
        <f aca="false">IF(AJ481="",0,MAX(0,MIN(1,(IF(BU481="L1",Parameter!$E$5,Parameter!$E$6+Parameter!$E$7)-(AJ481-AF481))/AF481)))</f>
        <v>1</v>
      </c>
      <c r="AL481" s="57" t="n">
        <f aca="false">IF(LEFT(Cockpit!$I$5,1)="A",G481,IF(BW481=1,BX481,IF(LEFT(Cockpit!$I$5,1)="B",AP481,MAX(AP481,G481))))</f>
        <v>30</v>
      </c>
      <c r="AM481" s="57" t="n">
        <f aca="false">IF(BR481=1,0,ROUNDUP(AL481/BQ481,0))</f>
        <v>2</v>
      </c>
      <c r="AN481" s="59" t="n">
        <f aca="false">IF(CD481&gt;0,CD481*MAX(1,AL481/V481),IF(BR481=1,IF(AL481&lt;=0,0,BS481*MAX(1,IF(G481&gt;0,AL481/G481,1))),IF(Q481&gt;0,AM481/Q481,0))/MAX(0.1,N(Parameter!$M$21)))</f>
        <v>0.0303030303030303</v>
      </c>
      <c r="AO481" s="57" t="n">
        <f aca="false">AL481*F481</f>
        <v>1372.8</v>
      </c>
      <c r="AP481" s="57" t="n">
        <f aca="false">ROUNDUP(MAX(I481/IF(BV481&gt;0,BV481,MAX(0.1,N(Cockpit!$I$6))),BY481)/BQ481,0)*BQ481</f>
        <v>30</v>
      </c>
      <c r="AQ481" s="58" t="n">
        <f aca="false">IF(AN481&gt;0,I481/AN481,-1)</f>
        <v>660</v>
      </c>
      <c r="AR481" s="58" t="n">
        <f aca="false">IF(AND(OR(BU481="L1",BU481="L23"),AN481&gt;0),SUMIFS($AN$7:$AN$1576,$BU$7:$BU$1576,BU481,$AQ$7:$AQ$1576,"&gt;"&amp;AQ481)+SUMIFS($AN$7:$AN$1576,$BU$7:$BU$1576,BU481,$AQ$7:$AQ$1576,AQ481,$BO$7:$BO$1576,"&lt;="&amp;BO481),"")</f>
        <v>29.7773561345412</v>
      </c>
      <c r="AS481" s="65" t="n">
        <f aca="false">IF(AR481="",0,MAX(0,MIN(1,(IF(BU481="L1",Parameter!$E$5,Parameter!$E$6+Parameter!$E$7)-(AR481-AN481))/AN481)))</f>
        <v>1</v>
      </c>
      <c r="AT481" s="57" t="n">
        <f aca="false">IF(LEFT(Cockpit!$O$5,1)="A",G481,IF(BW481=1,BX481,IF(LEFT(Cockpit!$O$5,1)="B",AX481,MAX(AX481,G481))))</f>
        <v>30</v>
      </c>
      <c r="AU481" s="57" t="n">
        <f aca="false">IF(BR481=1,0,ROUNDUP(AT481/BQ481,0))</f>
        <v>2</v>
      </c>
      <c r="AV481" s="59" t="n">
        <f aca="false">IF(CD481&gt;0,CD481*MAX(1,AT481/V481),IF(BR481=1,IF(AT481&lt;=0,0,BS481*MAX(1,IF(G481&gt;0,AT481/G481,1))),IF(Q481&gt;0,AU481/Q481,0))/MAX(0.1,N(Parameter!$M$21)))</f>
        <v>0.0303030303030303</v>
      </c>
      <c r="AW481" s="57" t="n">
        <f aca="false">AT481*F481</f>
        <v>1372.8</v>
      </c>
      <c r="AX481" s="57" t="n">
        <f aca="false">ROUNDUP(MAX(I481/IF(BV481&gt;0,BV481,MAX(0.1,N(Cockpit!$O$6))),BY481)/BQ481,0)*BQ481</f>
        <v>30</v>
      </c>
      <c r="AY481" s="58" t="n">
        <f aca="false">IF(AV481&gt;0,I481/AV481,-1)</f>
        <v>660</v>
      </c>
      <c r="AZ481" s="58" t="n">
        <f aca="false">IF(AND(OR(BU481="L1",BU481="L23"),AV481&gt;0),SUMIFS($AV$7:$AV$1576,$BU$7:$BU$1576,BU481,$AY$7:$AY$1576,"&gt;"&amp;AY481)+SUMIFS($AV$7:$AV$1576,$BU$7:$BU$1576,BU481,$AY$7:$AY$1576,AY481,$BO$7:$BO$1576,"&lt;="&amp;BO481),"")</f>
        <v>29.4886581658432</v>
      </c>
      <c r="BA481" s="65" t="n">
        <f aca="false">IF(AZ481="",0,MAX(0,MIN(1,(IF(BU481="L1",Parameter!$E$5,Parameter!$E$6+Parameter!$E$7)-(AZ481-AV481))/AV481)))</f>
        <v>1</v>
      </c>
      <c r="BB481" s="55" t="str">
        <f aca="false">IF(AF481&lt;=0,"",IF(BU481="Aussen","Aussenlager",IF(BU481="-","Nicht im Lift",IF(AK481&gt;=1,"Lift",IF(AK481&lt;=0,"Aussenlager","teilweise")))))</f>
        <v>Lift</v>
      </c>
      <c r="BC481" s="55" t="str">
        <f aca="false">IF(AN481&lt;=0,"",IF(BU481="Aussen","Aussenlager",IF(BU481="-","Nicht im Lift",IF(AS481&gt;=1,"Lift",IF(AS481&lt;=0,"Aussenlager","teilweise")))))</f>
        <v>Lift</v>
      </c>
      <c r="BD481" s="55" t="str">
        <f aca="false">IF(AV481&lt;=0,"",IF(BU481="Aussen","Aussenlager",IF(BU481="-","Nicht im Lift",IF(BA481&gt;=1,"Lift",IF(BA481&lt;=0,"Aussenlager","teilweise")))))</f>
        <v>Lift</v>
      </c>
      <c r="BE481" s="55" t="str">
        <f aca="false">IF(A481="","",IF(BN481=1,"Neu; ","")&amp;IF(AND(BN481=0,BI481&lt;0),"negativer Bestand (Export "&amp;BI481&amp;"); ","")&amp;IF(I481&lt;=0,"Kein Verbrauch; ","")&amp;IF(CD481&gt;0,"Lift "&amp;U481&amp;" lt. Liftbericht (Fach "&amp;V481&amp;" Stk); ",IF(BR481=1,"Lose – Fläche geschätzt; ",""))&amp;IF(G481&gt;AP481,"Überbestand "&amp;ROUND(G481-AP481,0)&amp;" Stk / CHF "&amp;ROUND((G481-AP481)*F481,0)&amp;"; ","")&amp;IF(AND(BW481=1,BX481&lt;BY481),"MAX &lt; MB+LG; ","")&amp;IF(AND(CC481&gt;0,CB481*10&gt;CC481),"zu hoch für Tablar; ","")&amp;IF(AND(BN481=0,OR(BW481=1,Y481&lt;&gt;"",S481&lt;&gt;"",T481&lt;&gt;"",Z481&lt;&gt;"")),"manuell übersteuert; ","")&amp;IF(AND(BR481=0,Q481=0),"Gebinde unbekannt / Stellmass fehlt; ","")&amp;IF(AND(BR481=0,N(T481)&lt;=0,N(P481)&lt;=0),"Menge pro Gebinde fehlt (Ist = 1 Gebinde); ","")&amp;BM481)</f>
        <v/>
      </c>
      <c r="BF481" s="55"/>
      <c r="BG481" s="55"/>
      <c r="BH481" s="62"/>
      <c r="BI481" s="57" t="n">
        <v>1</v>
      </c>
      <c r="BJ481" s="57" t="n">
        <v>15</v>
      </c>
      <c r="BK481" s="56" t="n">
        <v>48.31</v>
      </c>
      <c r="BL481" s="57" t="n">
        <v>20</v>
      </c>
      <c r="BM481" s="55"/>
      <c r="BN481" s="60" t="n">
        <v>0</v>
      </c>
      <c r="BO481" s="60" t="n">
        <v>481</v>
      </c>
      <c r="BP481" s="55" t="str">
        <f aca="false">IF(S481&lt;&gt;"",UPPER(TRIM(S481)),IF(O481="","LOSE",O481))</f>
        <v>S33</v>
      </c>
      <c r="BQ481" s="57" t="n">
        <f aca="false">IF(BP481="LOSE",1,IF(N(T481)&gt;0,T481,IF(N(P481)&gt;0,P481,MAX(1,G481))))</f>
        <v>15</v>
      </c>
      <c r="BR481" s="60" t="n">
        <f aca="false">IF(BP481="LOSE",1,0)</f>
        <v>0</v>
      </c>
      <c r="BS481" s="59" t="n">
        <f aca="false">IF(BR481=0,0,IF(N(R481)&gt;0,R481,IFERROR(VLOOKUP(D481,Parameter!$A$35:$C$64,3,0)+0,0)))</f>
        <v>0</v>
      </c>
      <c r="BT481" s="55" t="n">
        <f aca="false">IF(Y481&lt;&gt;"",Y481,X481)</f>
        <v>3</v>
      </c>
      <c r="BU481" s="55" t="str">
        <f aca="false">IF(BT481=1,"L1",IF(OR(BT481=2,BT481=3),"L23",IF(BT481="Aussen","Aussen","-")))</f>
        <v>L23</v>
      </c>
      <c r="BV481" s="66" t="n">
        <f aca="false">IF(N(Z481)&gt;0,Z481,0)</f>
        <v>0</v>
      </c>
      <c r="BW481" s="60" t="n">
        <f aca="false">IF(ISNUMBER(AC481),1,0)</f>
        <v>0</v>
      </c>
      <c r="BX481" s="57" t="n">
        <f aca="false">N(AC481)</f>
        <v>0</v>
      </c>
      <c r="BY481" s="57" t="n">
        <f aca="false">N(L481)+N(M481)</f>
        <v>21</v>
      </c>
      <c r="BZ481" s="57" t="n">
        <f aca="false">ROUNDUP(G481/BQ481,0)</f>
        <v>1</v>
      </c>
      <c r="CA481" s="57" t="n">
        <f aca="false">ROUNDUP(BX481/BQ481,0)</f>
        <v>0</v>
      </c>
      <c r="CB481" s="60" t="n">
        <f aca="false">IF(BR481=1,0,IFERROR(VLOOKUP(BP481,'Gebinde-Kategorie'!$A$5:$M$45,5,0)+0,0))</f>
        <v>8</v>
      </c>
      <c r="CC481" s="60" t="n">
        <f aca="false">IFERROR(IF(OR(BT481=1,BT481=2,BT481=3),N(INDEX(Parameter!$I$5:$I$7,BT481)),0),0)</f>
        <v>0</v>
      </c>
      <c r="CD481" s="59" t="n">
        <f aca="false">IF(AND(Parameter!$B$21="Ja",ISNUMBER(U481),N(V481)&gt;0),IFERROR(N(INDEX(Parameter!$L$5:$L$7,U481))*INDEX(Parameter!$E$5:$E$7,U481)*V481/SUMIFS($V$7:$V$1576,$U$7:$U$1576,U481),0),0)</f>
        <v>0</v>
      </c>
    </row>
    <row r="482" customFormat="false" ht="15" hidden="false" customHeight="false" outlineLevel="0" collapsed="false">
      <c r="A482" s="55" t="s">
        <v>1060</v>
      </c>
      <c r="B482" s="55" t="s">
        <v>364</v>
      </c>
      <c r="C482" s="55" t="s">
        <v>160</v>
      </c>
      <c r="D482" s="55" t="s">
        <v>178</v>
      </c>
      <c r="E482" s="55" t="s">
        <v>210</v>
      </c>
      <c r="F482" s="56" t="n">
        <v>1.92</v>
      </c>
      <c r="G482" s="57" t="n">
        <f aca="false">MAX(0,IF(AND(Parameter!$B$21="Ja",ISNUMBER(W482)),W482,IF(Parameter!$B$20="Jahresanfang 2025 + Export",BJ482+BI482,BI482)))</f>
        <v>25</v>
      </c>
      <c r="H482" s="57" t="n">
        <f aca="false">G482*F482</f>
        <v>48</v>
      </c>
      <c r="I482" s="57" t="n">
        <f aca="false">BL482*Parameter!$B$18</f>
        <v>0</v>
      </c>
      <c r="J482" s="58" t="n">
        <v>0</v>
      </c>
      <c r="K482" s="59" t="n">
        <v>0</v>
      </c>
      <c r="L482" s="57" t="n">
        <v>0</v>
      </c>
      <c r="M482" s="57" t="n">
        <v>1</v>
      </c>
      <c r="N482" s="60" t="n">
        <v>9999</v>
      </c>
      <c r="O482" s="55" t="s">
        <v>163</v>
      </c>
      <c r="P482" s="57"/>
      <c r="Q482" s="60" t="n">
        <f aca="false">IF(BR482=1,0,IFERROR(VLOOKUP(BP482,'Gebinde-Kategorie'!$A$5:$M$45,13,0)+0,0))</f>
        <v>0</v>
      </c>
      <c r="R482" s="61"/>
      <c r="S482" s="62"/>
      <c r="T482" s="62"/>
      <c r="U482" s="55"/>
      <c r="V482" s="57"/>
      <c r="W482" s="57"/>
      <c r="X482" s="55" t="n">
        <f aca="false">IF(A482="","",IF(AND(Parameter!$B$21="Ja",ISNUMBER(U482)),U482,IF(IFERROR(VLOOKUP(D482,Parameter!$A$35:$C$64,2,0),"Nein")="2+3",IF(ISNUMBER(SEARCH("grosser Artikel",BM482)),2,IFERROR(VLOOKUP(BP482,Parameter!$F$35:$G$64,2,0),2)),IF(OR(IFERROR(VLOOKUP(D482,Parameter!$A$35:$C$64,2,0),"Nein")="Nein",IFERROR(VLOOKUP(D482,Parameter!$A$35:$C$64,2,0),"Nein")=""),"-",VLOOKUP(D482,Parameter!$A$35:$C$64,2,0)))))</f>
        <v>2</v>
      </c>
      <c r="Y482" s="62"/>
      <c r="Z482" s="63"/>
      <c r="AA482" s="57" t="n">
        <f aca="false">AP482</f>
        <v>1</v>
      </c>
      <c r="AB482" s="57" t="n">
        <f aca="false">MAX(AP482,G482)</f>
        <v>25</v>
      </c>
      <c r="AC482" s="64"/>
      <c r="AD482" s="57" t="n">
        <f aca="false">IF(LEFT(Cockpit!$C$5,1)="A",G482,IF(BW482=1,BX482,IF(LEFT(Cockpit!$C$5,1)="B",AH482,MAX(AH482,G482))))</f>
        <v>25</v>
      </c>
      <c r="AE482" s="57" t="n">
        <f aca="false">IF(BR482=1,0,ROUNDUP(AD482/BQ482,0))</f>
        <v>0</v>
      </c>
      <c r="AF482" s="59" t="n">
        <f aca="false">IF(CD482&gt;0,CD482*MAX(1,AD482/V482),IF(BR482=1,IF(AD482&lt;=0,0,BS482*MAX(1,IF(G482&gt;0,AD482/G482,1))),IF(Q482&gt;0,AE482/Q482,0))/MAX(0.1,N(Parameter!$M$21)))</f>
        <v>0.03</v>
      </c>
      <c r="AG482" s="57" t="n">
        <f aca="false">AD482*F482</f>
        <v>48</v>
      </c>
      <c r="AH482" s="57" t="n">
        <f aca="false">ROUNDUP(MAX(I482/IF(BV482&gt;0,BV482,MAX(0.1,N(Cockpit!$C$6))),BY482)/BQ482,0)*BQ482</f>
        <v>1</v>
      </c>
      <c r="AI482" s="58" t="n">
        <f aca="false">IF(AF482&gt;0,I482/AF482,-1)</f>
        <v>0</v>
      </c>
      <c r="AJ482" s="58" t="n">
        <f aca="false">IF(AND(OR(BU482="L1",BU482="L23"),AF482&gt;0),SUMIFS($AF$7:$AF$1576,$BU$7:$BU$1576,BU482,$AI$7:$AI$1576,"&gt;"&amp;AI482)+SUMIFS($AF$7:$AF$1576,$BU$7:$BU$1576,BU482,$AI$7:$AI$1576,AI482,$BO$7:$BO$1576,"&lt;="&amp;BO482),"")</f>
        <v>42.396505523462</v>
      </c>
      <c r="AK482" s="65" t="n">
        <f aca="false">IF(AJ482="",0,MAX(0,MIN(1,(IF(BU482="L1",Parameter!$E$5,Parameter!$E$6+Parameter!$E$7)-(AJ482-AF482))/AF482)))</f>
        <v>1</v>
      </c>
      <c r="AL482" s="57" t="n">
        <f aca="false">IF(LEFT(Cockpit!$I$5,1)="A",G482,IF(BW482=1,BX482,IF(LEFT(Cockpit!$I$5,1)="B",AP482,MAX(AP482,G482))))</f>
        <v>25</v>
      </c>
      <c r="AM482" s="57" t="n">
        <f aca="false">IF(BR482=1,0,ROUNDUP(AL482/BQ482,0))</f>
        <v>0</v>
      </c>
      <c r="AN482" s="59" t="n">
        <f aca="false">IF(CD482&gt;0,CD482*MAX(1,AL482/V482),IF(BR482=1,IF(AL482&lt;=0,0,BS482*MAX(1,IF(G482&gt;0,AL482/G482,1))),IF(Q482&gt;0,AM482/Q482,0))/MAX(0.1,N(Parameter!$M$21)))</f>
        <v>0.03</v>
      </c>
      <c r="AO482" s="57" t="n">
        <f aca="false">AL482*F482</f>
        <v>48</v>
      </c>
      <c r="AP482" s="57" t="n">
        <f aca="false">ROUNDUP(MAX(I482/IF(BV482&gt;0,BV482,MAX(0.1,N(Cockpit!$I$6))),BY482)/BQ482,0)*BQ482</f>
        <v>1</v>
      </c>
      <c r="AQ482" s="58" t="n">
        <f aca="false">IF(AN482&gt;0,I482/AN482,-1)</f>
        <v>0</v>
      </c>
      <c r="AR482" s="58" t="n">
        <f aca="false">IF(AND(OR(BU482="L1",BU482="L23"),AN482&gt;0),SUMIFS($AN$7:$AN$1576,$BU$7:$BU$1576,BU482,$AQ$7:$AQ$1576,"&gt;"&amp;AQ482)+SUMIFS($AN$7:$AN$1576,$BU$7:$BU$1576,BU482,$AQ$7:$AQ$1576,AQ482,$BO$7:$BO$1576,"&lt;="&amp;BO482),"")</f>
        <v>125.39329164198</v>
      </c>
      <c r="AS482" s="65" t="n">
        <f aca="false">IF(AR482="",0,MAX(0,MIN(1,(IF(BU482="L1",Parameter!$E$5,Parameter!$E$6+Parameter!$E$7)-(AR482-AN482))/AN482)))</f>
        <v>0</v>
      </c>
      <c r="AT482" s="57" t="n">
        <f aca="false">IF(LEFT(Cockpit!$O$5,1)="A",G482,IF(BW482=1,BX482,IF(LEFT(Cockpit!$O$5,1)="B",AX482,MAX(AX482,G482))))</f>
        <v>25</v>
      </c>
      <c r="AU482" s="57" t="n">
        <f aca="false">IF(BR482=1,0,ROUNDUP(AT482/BQ482,0))</f>
        <v>0</v>
      </c>
      <c r="AV482" s="59" t="n">
        <f aca="false">IF(CD482&gt;0,CD482*MAX(1,AT482/V482),IF(BR482=1,IF(AT482&lt;=0,0,BS482*MAX(1,IF(G482&gt;0,AT482/G482,1))),IF(Q482&gt;0,AU482/Q482,0))/MAX(0.1,N(Parameter!$M$21)))</f>
        <v>0.03</v>
      </c>
      <c r="AW482" s="57" t="n">
        <f aca="false">AT482*F482</f>
        <v>48</v>
      </c>
      <c r="AX482" s="57" t="n">
        <f aca="false">ROUNDUP(MAX(I482/IF(BV482&gt;0,BV482,MAX(0.1,N(Cockpit!$O$6))),BY482)/BQ482,0)*BQ482</f>
        <v>1</v>
      </c>
      <c r="AY482" s="58" t="n">
        <f aca="false">IF(AV482&gt;0,I482/AV482,-1)</f>
        <v>0</v>
      </c>
      <c r="AZ482" s="58" t="n">
        <f aca="false">IF(AND(OR(BU482="L1",BU482="L23"),AV482&gt;0),SUMIFS($AV$7:$AV$1576,$BU$7:$BU$1576,BU482,$AY$7:$AY$1576,"&gt;"&amp;AY482)+SUMIFS($AV$7:$AV$1576,$BU$7:$BU$1576,BU482,$AY$7:$AY$1576,AY482,$BO$7:$BO$1576,"&lt;="&amp;BO482),"")</f>
        <v>115.452842091531</v>
      </c>
      <c r="BA482" s="65" t="n">
        <f aca="false">IF(AZ482="",0,MAX(0,MIN(1,(IF(BU482="L1",Parameter!$E$5,Parameter!$E$6+Parameter!$E$7)-(AZ482-AV482))/AV482)))</f>
        <v>0</v>
      </c>
      <c r="BB482" s="55" t="str">
        <f aca="false">IF(AF482&lt;=0,"",IF(BU482="Aussen","Aussenlager",IF(BU482="-","Nicht im Lift",IF(AK482&gt;=1,"Lift",IF(AK482&lt;=0,"Aussenlager","teilweise")))))</f>
        <v>Lift</v>
      </c>
      <c r="BC482" s="55" t="str">
        <f aca="false">IF(AN482&lt;=0,"",IF(BU482="Aussen","Aussenlager",IF(BU482="-","Nicht im Lift",IF(AS482&gt;=1,"Lift",IF(AS482&lt;=0,"Aussenlager","teilweise")))))</f>
        <v>Aussenlager</v>
      </c>
      <c r="BD482" s="55" t="str">
        <f aca="false">IF(AV482&lt;=0,"",IF(BU482="Aussen","Aussenlager",IF(BU482="-","Nicht im Lift",IF(BA482&gt;=1,"Lift",IF(BA482&lt;=0,"Aussenlager","teilweise")))))</f>
        <v>Aussenlager</v>
      </c>
      <c r="BE482" s="55" t="str">
        <f aca="false">IF(A482="","",IF(BN482=1,"Neu; ","")&amp;IF(AND(BN482=0,BI482&lt;0),"negativer Bestand (Export "&amp;BI482&amp;"); ","")&amp;IF(I482&lt;=0,"Kein Verbrauch; ","")&amp;IF(CD482&gt;0,"Lift "&amp;U482&amp;" lt. Liftbericht (Fach "&amp;V482&amp;" Stk); ",IF(BR482=1,"Lose – Fläche geschätzt; ",""))&amp;IF(G482&gt;AP482,"Überbestand "&amp;ROUND(G482-AP482,0)&amp;" Stk / CHF "&amp;ROUND((G482-AP482)*F482,0)&amp;"; ","")&amp;IF(AND(BW482=1,BX482&lt;BY482),"MAX &lt; MB+LG; ","")&amp;IF(AND(CC482&gt;0,CB482*10&gt;CC482),"zu hoch für Tablar; ","")&amp;IF(AND(BN482=0,OR(BW482=1,Y482&lt;&gt;"",S482&lt;&gt;"",T482&lt;&gt;"",Z482&lt;&gt;"")),"manuell übersteuert; ","")&amp;IF(AND(BR482=0,Q482=0),"Gebinde unbekannt / Stellmass fehlt; ","")&amp;IF(AND(BR482=0,N(T482)&lt;=0,N(P482)&lt;=0),"Menge pro Gebinde fehlt (Ist = 1 Gebinde); ","")&amp;BM482)</f>
        <v>Kein Verbrauch; Lose – Fläche geschätzt; Überbestand 24 Stk / CHF 46; </v>
      </c>
      <c r="BF482" s="55"/>
      <c r="BG482" s="55"/>
      <c r="BH482" s="62"/>
      <c r="BI482" s="57" t="n">
        <v>25</v>
      </c>
      <c r="BJ482" s="57" t="n">
        <v>0</v>
      </c>
      <c r="BK482" s="56" t="n">
        <v>48</v>
      </c>
      <c r="BL482" s="57" t="n">
        <v>0</v>
      </c>
      <c r="BM482" s="55"/>
      <c r="BN482" s="60" t="n">
        <v>0</v>
      </c>
      <c r="BO482" s="60" t="n">
        <v>482</v>
      </c>
      <c r="BP482" s="55" t="str">
        <f aca="false">IF(S482&lt;&gt;"",UPPER(TRIM(S482)),IF(O482="","LOSE",O482))</f>
        <v>LOSE</v>
      </c>
      <c r="BQ482" s="57" t="n">
        <f aca="false">IF(BP482="LOSE",1,IF(N(T482)&gt;0,T482,IF(N(P482)&gt;0,P482,MAX(1,G482))))</f>
        <v>1</v>
      </c>
      <c r="BR482" s="60" t="n">
        <f aca="false">IF(BP482="LOSE",1,0)</f>
        <v>1</v>
      </c>
      <c r="BS482" s="59" t="n">
        <f aca="false">IF(BR482=0,0,IF(N(R482)&gt;0,R482,IFERROR(VLOOKUP(D482,Parameter!$A$35:$C$64,3,0)+0,0)))</f>
        <v>0.03</v>
      </c>
      <c r="BT482" s="55" t="n">
        <f aca="false">IF(Y482&lt;&gt;"",Y482,X482)</f>
        <v>2</v>
      </c>
      <c r="BU482" s="55" t="str">
        <f aca="false">IF(BT482=1,"L1",IF(OR(BT482=2,BT482=3),"L23",IF(BT482="Aussen","Aussen","-")))</f>
        <v>L23</v>
      </c>
      <c r="BV482" s="66" t="n">
        <f aca="false">IF(N(Z482)&gt;0,Z482,0)</f>
        <v>0</v>
      </c>
      <c r="BW482" s="60" t="n">
        <f aca="false">IF(ISNUMBER(AC482),1,0)</f>
        <v>0</v>
      </c>
      <c r="BX482" s="57" t="n">
        <f aca="false">N(AC482)</f>
        <v>0</v>
      </c>
      <c r="BY482" s="57" t="n">
        <f aca="false">N(L482)+N(M482)</f>
        <v>1</v>
      </c>
      <c r="BZ482" s="57" t="n">
        <f aca="false">ROUNDUP(G482/BQ482,0)</f>
        <v>25</v>
      </c>
      <c r="CA482" s="57" t="n">
        <f aca="false">ROUNDUP(BX482/BQ482,0)</f>
        <v>0</v>
      </c>
      <c r="CB482" s="60" t="n">
        <f aca="false">IF(BR482=1,0,IFERROR(VLOOKUP(BP482,'Gebinde-Kategorie'!$A$5:$M$45,5,0)+0,0))</f>
        <v>0</v>
      </c>
      <c r="CC482" s="60" t="n">
        <f aca="false">IFERROR(IF(OR(BT482=1,BT482=2,BT482=3),N(INDEX(Parameter!$I$5:$I$7,BT482)),0),0)</f>
        <v>0</v>
      </c>
      <c r="CD482" s="59" t="n">
        <f aca="false">IF(AND(Parameter!$B$21="Ja",ISNUMBER(U482),N(V482)&gt;0),IFERROR(N(INDEX(Parameter!$L$5:$L$7,U482))*INDEX(Parameter!$E$5:$E$7,U482)*V482/SUMIFS($V$7:$V$1576,$U$7:$U$1576,U482),0),0)</f>
        <v>0</v>
      </c>
    </row>
    <row r="483" customFormat="false" ht="15" hidden="false" customHeight="false" outlineLevel="0" collapsed="false">
      <c r="A483" s="55" t="s">
        <v>1061</v>
      </c>
      <c r="B483" s="55" t="s">
        <v>1062</v>
      </c>
      <c r="C483" s="55" t="s">
        <v>160</v>
      </c>
      <c r="D483" s="55" t="s">
        <v>168</v>
      </c>
      <c r="E483" s="55" t="s">
        <v>210</v>
      </c>
      <c r="F483" s="56" t="n">
        <v>48</v>
      </c>
      <c r="G483" s="57" t="n">
        <f aca="false">MAX(0,IF(AND(Parameter!$B$21="Ja",ISNUMBER(W483)),W483,IF(Parameter!$B$20="Jahresanfang 2025 + Export",BJ483+BI483,BI483)))</f>
        <v>1</v>
      </c>
      <c r="H483" s="57" t="n">
        <f aca="false">G483*F483</f>
        <v>48</v>
      </c>
      <c r="I483" s="57" t="n">
        <f aca="false">BL483*Parameter!$B$18</f>
        <v>0</v>
      </c>
      <c r="J483" s="58" t="n">
        <v>3.5</v>
      </c>
      <c r="K483" s="59" t="n">
        <v>0</v>
      </c>
      <c r="L483" s="57" t="n">
        <v>0</v>
      </c>
      <c r="M483" s="57" t="n">
        <v>1</v>
      </c>
      <c r="N483" s="60" t="n">
        <v>21</v>
      </c>
      <c r="O483" s="55" t="s">
        <v>163</v>
      </c>
      <c r="P483" s="57"/>
      <c r="Q483" s="60" t="n">
        <f aca="false">IF(BR483=1,0,IFERROR(VLOOKUP(BP483,'Gebinde-Kategorie'!$A$5:$M$45,13,0)+0,0))</f>
        <v>0</v>
      </c>
      <c r="R483" s="61"/>
      <c r="S483" s="62"/>
      <c r="T483" s="62"/>
      <c r="U483" s="55"/>
      <c r="V483" s="57"/>
      <c r="W483" s="57"/>
      <c r="X483" s="55" t="n">
        <f aca="false">IF(A483="","",IF(AND(Parameter!$B$21="Ja",ISNUMBER(U483)),U483,IF(IFERROR(VLOOKUP(D483,Parameter!$A$35:$C$64,2,0),"Nein")="2+3",IF(ISNUMBER(SEARCH("grosser Artikel",BM483)),2,IFERROR(VLOOKUP(BP483,Parameter!$F$35:$G$64,2,0),2)),IF(OR(IFERROR(VLOOKUP(D483,Parameter!$A$35:$C$64,2,0),"Nein")="Nein",IFERROR(VLOOKUP(D483,Parameter!$A$35:$C$64,2,0),"Nein")=""),"-",VLOOKUP(D483,Parameter!$A$35:$C$64,2,0)))))</f>
        <v>2</v>
      </c>
      <c r="Y483" s="62"/>
      <c r="Z483" s="63"/>
      <c r="AA483" s="57" t="n">
        <f aca="false">AP483</f>
        <v>1</v>
      </c>
      <c r="AB483" s="57" t="n">
        <f aca="false">MAX(AP483,G483)</f>
        <v>1</v>
      </c>
      <c r="AC483" s="64"/>
      <c r="AD483" s="57" t="n">
        <f aca="false">IF(LEFT(Cockpit!$C$5,1)="A",G483,IF(BW483=1,BX483,IF(LEFT(Cockpit!$C$5,1)="B",AH483,MAX(AH483,G483))))</f>
        <v>1</v>
      </c>
      <c r="AE483" s="57" t="n">
        <f aca="false">IF(BR483=1,0,ROUNDUP(AD483/BQ483,0))</f>
        <v>0</v>
      </c>
      <c r="AF483" s="59" t="n">
        <f aca="false">IF(CD483&gt;0,CD483*MAX(1,AD483/V483),IF(BR483=1,IF(AD483&lt;=0,0,BS483*MAX(1,IF(G483&gt;0,AD483/G483,1))),IF(Q483&gt;0,AE483/Q483,0))/MAX(0.1,N(Parameter!$M$21)))</f>
        <v>0.15</v>
      </c>
      <c r="AG483" s="57" t="n">
        <f aca="false">AD483*F483</f>
        <v>48</v>
      </c>
      <c r="AH483" s="57" t="n">
        <f aca="false">ROUNDUP(MAX(I483/IF(BV483&gt;0,BV483,MAX(0.1,N(Cockpit!$C$6))),BY483)/BQ483,0)*BQ483</f>
        <v>1</v>
      </c>
      <c r="AI483" s="58" t="n">
        <f aca="false">IF(AF483&gt;0,I483/AF483,-1)</f>
        <v>0</v>
      </c>
      <c r="AJ483" s="58" t="n">
        <f aca="false">IF(AND(OR(BU483="L1",BU483="L23"),AF483&gt;0),SUMIFS($AF$7:$AF$1576,$BU$7:$BU$1576,BU483,$AI$7:$AI$1576,"&gt;"&amp;AI483)+SUMIFS($AF$7:$AF$1576,$BU$7:$BU$1576,BU483,$AI$7:$AI$1576,AI483,$BO$7:$BO$1576,"&lt;="&amp;BO483),"")</f>
        <v>42.546505523462</v>
      </c>
      <c r="AK483" s="65" t="n">
        <f aca="false">IF(AJ483="",0,MAX(0,MIN(1,(IF(BU483="L1",Parameter!$E$5,Parameter!$E$6+Parameter!$E$7)-(AJ483-AF483))/AF483)))</f>
        <v>1</v>
      </c>
      <c r="AL483" s="57" t="n">
        <f aca="false">IF(LEFT(Cockpit!$I$5,1)="A",G483,IF(BW483=1,BX483,IF(LEFT(Cockpit!$I$5,1)="B",AP483,MAX(AP483,G483))))</f>
        <v>1</v>
      </c>
      <c r="AM483" s="57" t="n">
        <f aca="false">IF(BR483=1,0,ROUNDUP(AL483/BQ483,0))</f>
        <v>0</v>
      </c>
      <c r="AN483" s="59" t="n">
        <f aca="false">IF(CD483&gt;0,CD483*MAX(1,AL483/V483),IF(BR483=1,IF(AL483&lt;=0,0,BS483*MAX(1,IF(G483&gt;0,AL483/G483,1))),IF(Q483&gt;0,AM483/Q483,0))/MAX(0.1,N(Parameter!$M$21)))</f>
        <v>0.15</v>
      </c>
      <c r="AO483" s="57" t="n">
        <f aca="false">AL483*F483</f>
        <v>48</v>
      </c>
      <c r="AP483" s="57" t="n">
        <f aca="false">ROUNDUP(MAX(I483/IF(BV483&gt;0,BV483,MAX(0.1,N(Cockpit!$I$6))),BY483)/BQ483,0)*BQ483</f>
        <v>1</v>
      </c>
      <c r="AQ483" s="58" t="n">
        <f aca="false">IF(AN483&gt;0,I483/AN483,-1)</f>
        <v>0</v>
      </c>
      <c r="AR483" s="58" t="n">
        <f aca="false">IF(AND(OR(BU483="L1",BU483="L23"),AN483&gt;0),SUMIFS($AN$7:$AN$1576,$BU$7:$BU$1576,BU483,$AQ$7:$AQ$1576,"&gt;"&amp;AQ483)+SUMIFS($AN$7:$AN$1576,$BU$7:$BU$1576,BU483,$AQ$7:$AQ$1576,AQ483,$BO$7:$BO$1576,"&lt;="&amp;BO483),"")</f>
        <v>125.54329164198</v>
      </c>
      <c r="AS483" s="65" t="n">
        <f aca="false">IF(AR483="",0,MAX(0,MIN(1,(IF(BU483="L1",Parameter!$E$5,Parameter!$E$6+Parameter!$E$7)-(AR483-AN483))/AN483)))</f>
        <v>0</v>
      </c>
      <c r="AT483" s="57" t="n">
        <f aca="false">IF(LEFT(Cockpit!$O$5,1)="A",G483,IF(BW483=1,BX483,IF(LEFT(Cockpit!$O$5,1)="B",AX483,MAX(AX483,G483))))</f>
        <v>1</v>
      </c>
      <c r="AU483" s="57" t="n">
        <f aca="false">IF(BR483=1,0,ROUNDUP(AT483/BQ483,0))</f>
        <v>0</v>
      </c>
      <c r="AV483" s="59" t="n">
        <f aca="false">IF(CD483&gt;0,CD483*MAX(1,AT483/V483),IF(BR483=1,IF(AT483&lt;=0,0,BS483*MAX(1,IF(G483&gt;0,AT483/G483,1))),IF(Q483&gt;0,AU483/Q483,0))/MAX(0.1,N(Parameter!$M$21)))</f>
        <v>0.15</v>
      </c>
      <c r="AW483" s="57" t="n">
        <f aca="false">AT483*F483</f>
        <v>48</v>
      </c>
      <c r="AX483" s="57" t="n">
        <f aca="false">ROUNDUP(MAX(I483/IF(BV483&gt;0,BV483,MAX(0.1,N(Cockpit!$O$6))),BY483)/BQ483,0)*BQ483</f>
        <v>1</v>
      </c>
      <c r="AY483" s="58" t="n">
        <f aca="false">IF(AV483&gt;0,I483/AV483,-1)</f>
        <v>0</v>
      </c>
      <c r="AZ483" s="58" t="n">
        <f aca="false">IF(AND(OR(BU483="L1",BU483="L23"),AV483&gt;0),SUMIFS($AV$7:$AV$1576,$BU$7:$BU$1576,BU483,$AY$7:$AY$1576,"&gt;"&amp;AY483)+SUMIFS($AV$7:$AV$1576,$BU$7:$BU$1576,BU483,$AY$7:$AY$1576,AY483,$BO$7:$BO$1576,"&lt;="&amp;BO483),"")</f>
        <v>115.602842091531</v>
      </c>
      <c r="BA483" s="65" t="n">
        <f aca="false">IF(AZ483="",0,MAX(0,MIN(1,(IF(BU483="L1",Parameter!$E$5,Parameter!$E$6+Parameter!$E$7)-(AZ483-AV483))/AV483)))</f>
        <v>0</v>
      </c>
      <c r="BB483" s="55" t="str">
        <f aca="false">IF(AF483&lt;=0,"",IF(BU483="Aussen","Aussenlager",IF(BU483="-","Nicht im Lift",IF(AK483&gt;=1,"Lift",IF(AK483&lt;=0,"Aussenlager","teilweise")))))</f>
        <v>Lift</v>
      </c>
      <c r="BC483" s="55" t="str">
        <f aca="false">IF(AN483&lt;=0,"",IF(BU483="Aussen","Aussenlager",IF(BU483="-","Nicht im Lift",IF(AS483&gt;=1,"Lift",IF(AS483&lt;=0,"Aussenlager","teilweise")))))</f>
        <v>Aussenlager</v>
      </c>
      <c r="BD483" s="55" t="str">
        <f aca="false">IF(AV483&lt;=0,"",IF(BU483="Aussen","Aussenlager",IF(BU483="-","Nicht im Lift",IF(BA483&gt;=1,"Lift",IF(BA483&lt;=0,"Aussenlager","teilweise")))))</f>
        <v>Aussenlager</v>
      </c>
      <c r="BE483" s="55" t="str">
        <f aca="false">IF(A483="","",IF(BN483=1,"Neu; ","")&amp;IF(AND(BN483=0,BI483&lt;0),"negativer Bestand (Export "&amp;BI483&amp;"); ","")&amp;IF(I483&lt;=0,"Kein Verbrauch; ","")&amp;IF(CD483&gt;0,"Lift "&amp;U483&amp;" lt. Liftbericht (Fach "&amp;V483&amp;" Stk); ",IF(BR483=1,"Lose – Fläche geschätzt; ",""))&amp;IF(G483&gt;AP483,"Überbestand "&amp;ROUND(G483-AP483,0)&amp;" Stk / CHF "&amp;ROUND((G483-AP483)*F483,0)&amp;"; ","")&amp;IF(AND(BW483=1,BX483&lt;BY483),"MAX &lt; MB+LG; ","")&amp;IF(AND(CC483&gt;0,CB483*10&gt;CC483),"zu hoch für Tablar; ","")&amp;IF(AND(BN483=0,OR(BW483=1,Y483&lt;&gt;"",S483&lt;&gt;"",T483&lt;&gt;"",Z483&lt;&gt;"")),"manuell übersteuert; ","")&amp;IF(AND(BR483=0,Q483=0),"Gebinde unbekannt / Stellmass fehlt; ","")&amp;IF(AND(BR483=0,N(T483)&lt;=0,N(P483)&lt;=0),"Menge pro Gebinde fehlt (Ist = 1 Gebinde); ","")&amp;BM483)</f>
        <v>Kein Verbrauch; Lose – Fläche geschätzt; </v>
      </c>
      <c r="BF483" s="55"/>
      <c r="BG483" s="55"/>
      <c r="BH483" s="62"/>
      <c r="BI483" s="57" t="n">
        <v>1</v>
      </c>
      <c r="BJ483" s="57" t="n">
        <v>3</v>
      </c>
      <c r="BK483" s="56" t="n">
        <v>48</v>
      </c>
      <c r="BL483" s="57" t="n">
        <v>0</v>
      </c>
      <c r="BM483" s="55"/>
      <c r="BN483" s="60" t="n">
        <v>0</v>
      </c>
      <c r="BO483" s="60" t="n">
        <v>483</v>
      </c>
      <c r="BP483" s="55" t="str">
        <f aca="false">IF(S483&lt;&gt;"",UPPER(TRIM(S483)),IF(O483="","LOSE",O483))</f>
        <v>LOSE</v>
      </c>
      <c r="BQ483" s="57" t="n">
        <f aca="false">IF(BP483="LOSE",1,IF(N(T483)&gt;0,T483,IF(N(P483)&gt;0,P483,MAX(1,G483))))</f>
        <v>1</v>
      </c>
      <c r="BR483" s="60" t="n">
        <f aca="false">IF(BP483="LOSE",1,0)</f>
        <v>1</v>
      </c>
      <c r="BS483" s="59" t="n">
        <f aca="false">IF(BR483=0,0,IF(N(R483)&gt;0,R483,IFERROR(VLOOKUP(D483,Parameter!$A$35:$C$64,3,0)+0,0)))</f>
        <v>0.15</v>
      </c>
      <c r="BT483" s="55" t="n">
        <f aca="false">IF(Y483&lt;&gt;"",Y483,X483)</f>
        <v>2</v>
      </c>
      <c r="BU483" s="55" t="str">
        <f aca="false">IF(BT483=1,"L1",IF(OR(BT483=2,BT483=3),"L23",IF(BT483="Aussen","Aussen","-")))</f>
        <v>L23</v>
      </c>
      <c r="BV483" s="66" t="n">
        <f aca="false">IF(N(Z483)&gt;0,Z483,0)</f>
        <v>0</v>
      </c>
      <c r="BW483" s="60" t="n">
        <f aca="false">IF(ISNUMBER(AC483),1,0)</f>
        <v>0</v>
      </c>
      <c r="BX483" s="57" t="n">
        <f aca="false">N(AC483)</f>
        <v>0</v>
      </c>
      <c r="BY483" s="57" t="n">
        <f aca="false">N(L483)+N(M483)</f>
        <v>1</v>
      </c>
      <c r="BZ483" s="57" t="n">
        <f aca="false">ROUNDUP(G483/BQ483,0)</f>
        <v>1</v>
      </c>
      <c r="CA483" s="57" t="n">
        <f aca="false">ROUNDUP(BX483/BQ483,0)</f>
        <v>0</v>
      </c>
      <c r="CB483" s="60" t="n">
        <f aca="false">IF(BR483=1,0,IFERROR(VLOOKUP(BP483,'Gebinde-Kategorie'!$A$5:$M$45,5,0)+0,0))</f>
        <v>0</v>
      </c>
      <c r="CC483" s="60" t="n">
        <f aca="false">IFERROR(IF(OR(BT483=1,BT483=2,BT483=3),N(INDEX(Parameter!$I$5:$I$7,BT483)),0),0)</f>
        <v>0</v>
      </c>
      <c r="CD483" s="59" t="n">
        <f aca="false">IF(AND(Parameter!$B$21="Ja",ISNUMBER(U483),N(V483)&gt;0),IFERROR(N(INDEX(Parameter!$L$5:$L$7,U483))*INDEX(Parameter!$E$5:$E$7,U483)*V483/SUMIFS($V$7:$V$1576,$U$7:$U$1576,U483),0),0)</f>
        <v>0</v>
      </c>
    </row>
    <row r="484" customFormat="false" ht="15" hidden="false" customHeight="false" outlineLevel="0" collapsed="false">
      <c r="A484" s="55" t="s">
        <v>1063</v>
      </c>
      <c r="B484" s="55" t="s">
        <v>708</v>
      </c>
      <c r="C484" s="55" t="s">
        <v>160</v>
      </c>
      <c r="D484" s="55" t="s">
        <v>178</v>
      </c>
      <c r="E484" s="55" t="s">
        <v>210</v>
      </c>
      <c r="F484" s="56" t="n">
        <v>9.11</v>
      </c>
      <c r="G484" s="57" t="n">
        <f aca="false">MAX(0,IF(AND(Parameter!$B$21="Ja",ISNUMBER(W484)),W484,IF(Parameter!$B$20="Jahresanfang 2025 + Export",BJ484+BI484,BI484)))</f>
        <v>5</v>
      </c>
      <c r="H484" s="57" t="n">
        <f aca="false">G484*F484</f>
        <v>45.55</v>
      </c>
      <c r="I484" s="57" t="n">
        <f aca="false">BL484*Parameter!$B$18</f>
        <v>15</v>
      </c>
      <c r="J484" s="58" t="n">
        <v>2.5</v>
      </c>
      <c r="K484" s="59" t="n">
        <v>6</v>
      </c>
      <c r="L484" s="57" t="n">
        <v>1</v>
      </c>
      <c r="M484" s="57" t="n">
        <v>15</v>
      </c>
      <c r="N484" s="60" t="n">
        <v>28</v>
      </c>
      <c r="O484" s="55" t="s">
        <v>319</v>
      </c>
      <c r="P484" s="57" t="n">
        <v>10</v>
      </c>
      <c r="Q484" s="60" t="n">
        <f aca="false">IF(BR484=1,0,IFERROR(VLOOKUP(BP484,'Gebinde-Kategorie'!$A$5:$M$45,13,0)+0,0))</f>
        <v>52</v>
      </c>
      <c r="R484" s="61"/>
      <c r="S484" s="62"/>
      <c r="T484" s="62"/>
      <c r="U484" s="55"/>
      <c r="V484" s="57"/>
      <c r="W484" s="57"/>
      <c r="X484" s="55" t="n">
        <f aca="false">IF(A484="","",IF(AND(Parameter!$B$21="Ja",ISNUMBER(U484)),U484,IF(IFERROR(VLOOKUP(D484,Parameter!$A$35:$C$64,2,0),"Nein")="2+3",IF(ISNUMBER(SEARCH("grosser Artikel",BM484)),2,IFERROR(VLOOKUP(BP484,Parameter!$F$35:$G$64,2,0),2)),IF(OR(IFERROR(VLOOKUP(D484,Parameter!$A$35:$C$64,2,0),"Nein")="Nein",IFERROR(VLOOKUP(D484,Parameter!$A$35:$C$64,2,0),"Nein")=""),"-",VLOOKUP(D484,Parameter!$A$35:$C$64,2,0)))))</f>
        <v>3</v>
      </c>
      <c r="Y484" s="62"/>
      <c r="Z484" s="63"/>
      <c r="AA484" s="57" t="n">
        <f aca="false">AP484</f>
        <v>20</v>
      </c>
      <c r="AB484" s="57" t="n">
        <f aca="false">MAX(AP484,G484)</f>
        <v>20</v>
      </c>
      <c r="AC484" s="64"/>
      <c r="AD484" s="57" t="n">
        <f aca="false">IF(LEFT(Cockpit!$C$5,1)="A",G484,IF(BW484=1,BX484,IF(LEFT(Cockpit!$C$5,1)="B",AH484,MAX(AH484,G484))))</f>
        <v>5</v>
      </c>
      <c r="AE484" s="57" t="n">
        <f aca="false">IF(BR484=1,0,ROUNDUP(AD484/BQ484,0))</f>
        <v>1</v>
      </c>
      <c r="AF484" s="59" t="n">
        <f aca="false">IF(CD484&gt;0,CD484*MAX(1,AD484/V484),IF(BR484=1,IF(AD484&lt;=0,0,BS484*MAX(1,IF(G484&gt;0,AD484/G484,1))),IF(Q484&gt;0,AE484/Q484,0))/MAX(0.1,N(Parameter!$M$21)))</f>
        <v>0.0192307692307692</v>
      </c>
      <c r="AG484" s="57" t="n">
        <f aca="false">AD484*F484</f>
        <v>45.55</v>
      </c>
      <c r="AH484" s="57" t="n">
        <f aca="false">ROUNDUP(MAX(I484/IF(BV484&gt;0,BV484,MAX(0.1,N(Cockpit!$C$6))),BY484)/BQ484,0)*BQ484</f>
        <v>20</v>
      </c>
      <c r="AI484" s="58" t="n">
        <f aca="false">IF(AF484&gt;0,I484/AF484,-1)</f>
        <v>780</v>
      </c>
      <c r="AJ484" s="58" t="n">
        <f aca="false">IF(AND(OR(BU484="L1",BU484="L23"),AF484&gt;0),SUMIFS($AF$7:$AF$1576,$BU$7:$BU$1576,BU484,$AI$7:$AI$1576,"&gt;"&amp;AI484)+SUMIFS($AF$7:$AF$1576,$BU$7:$BU$1576,BU484,$AI$7:$AI$1576,AI484,$BO$7:$BO$1576,"&lt;="&amp;BO484),"")</f>
        <v>10.8187912570521</v>
      </c>
      <c r="AK484" s="65" t="n">
        <f aca="false">IF(AJ484="",0,MAX(0,MIN(1,(IF(BU484="L1",Parameter!$E$5,Parameter!$E$6+Parameter!$E$7)-(AJ484-AF484))/AF484)))</f>
        <v>1</v>
      </c>
      <c r="AL484" s="57" t="n">
        <f aca="false">IF(LEFT(Cockpit!$I$5,1)="A",G484,IF(BW484=1,BX484,IF(LEFT(Cockpit!$I$5,1)="B",AP484,MAX(AP484,G484))))</f>
        <v>20</v>
      </c>
      <c r="AM484" s="57" t="n">
        <f aca="false">IF(BR484=1,0,ROUNDUP(AL484/BQ484,0))</f>
        <v>2</v>
      </c>
      <c r="AN484" s="59" t="n">
        <f aca="false">IF(CD484&gt;0,CD484*MAX(1,AL484/V484),IF(BR484=1,IF(AL484&lt;=0,0,BS484*MAX(1,IF(G484&gt;0,AL484/G484,1))),IF(Q484&gt;0,AM484/Q484,0))/MAX(0.1,N(Parameter!$M$21)))</f>
        <v>0.0384615384615385</v>
      </c>
      <c r="AO484" s="57" t="n">
        <f aca="false">AL484*F484</f>
        <v>182.2</v>
      </c>
      <c r="AP484" s="57" t="n">
        <f aca="false">ROUNDUP(MAX(I484/IF(BV484&gt;0,BV484,MAX(0.1,N(Cockpit!$I$6))),BY484)/BQ484,0)*BQ484</f>
        <v>20</v>
      </c>
      <c r="AQ484" s="58" t="n">
        <f aca="false">IF(AN484&gt;0,I484/AN484,-1)</f>
        <v>390</v>
      </c>
      <c r="AR484" s="58" t="n">
        <f aca="false">IF(AND(OR(BU484="L1",BU484="L23"),AN484&gt;0),SUMIFS($AN$7:$AN$1576,$BU$7:$BU$1576,BU484,$AQ$7:$AQ$1576,"&gt;"&amp;AQ484)+SUMIFS($AN$7:$AN$1576,$BU$7:$BU$1576,BU484,$AQ$7:$AQ$1576,AQ484,$BO$7:$BO$1576,"&lt;="&amp;BO484),"")</f>
        <v>37.3577752806125</v>
      </c>
      <c r="AS484" s="65" t="n">
        <f aca="false">IF(AR484="",0,MAX(0,MIN(1,(IF(BU484="L1",Parameter!$E$5,Parameter!$E$6+Parameter!$E$7)-(AR484-AN484))/AN484)))</f>
        <v>1</v>
      </c>
      <c r="AT484" s="57" t="n">
        <f aca="false">IF(LEFT(Cockpit!$O$5,1)="A",G484,IF(BW484=1,BX484,IF(LEFT(Cockpit!$O$5,1)="B",AX484,MAX(AX484,G484))))</f>
        <v>20</v>
      </c>
      <c r="AU484" s="57" t="n">
        <f aca="false">IF(BR484=1,0,ROUNDUP(AT484/BQ484,0))</f>
        <v>2</v>
      </c>
      <c r="AV484" s="59" t="n">
        <f aca="false">IF(CD484&gt;0,CD484*MAX(1,AT484/V484),IF(BR484=1,IF(AT484&lt;=0,0,BS484*MAX(1,IF(G484&gt;0,AT484/G484,1))),IF(Q484&gt;0,AU484/Q484,0))/MAX(0.1,N(Parameter!$M$21)))</f>
        <v>0.0384615384615385</v>
      </c>
      <c r="AW484" s="57" t="n">
        <f aca="false">AT484*F484</f>
        <v>182.2</v>
      </c>
      <c r="AX484" s="57" t="n">
        <f aca="false">ROUNDUP(MAX(I484/IF(BV484&gt;0,BV484,MAX(0.1,N(Cockpit!$O$6))),BY484)/BQ484,0)*BQ484</f>
        <v>20</v>
      </c>
      <c r="AY484" s="58" t="n">
        <f aca="false">IF(AV484&gt;0,I484/AV484,-1)</f>
        <v>390</v>
      </c>
      <c r="AZ484" s="58" t="n">
        <f aca="false">IF(AND(OR(BU484="L1",BU484="L23"),AV484&gt;0),SUMIFS($AV$7:$AV$1576,$BU$7:$BU$1576,BU484,$AY$7:$AY$1576,"&gt;"&amp;AY484)+SUMIFS($AV$7:$AV$1576,$BU$7:$BU$1576,BU484,$AY$7:$AY$1576,AY484,$BO$7:$BO$1576,"&lt;="&amp;BO484),"")</f>
        <v>36.1891872020245</v>
      </c>
      <c r="BA484" s="65" t="n">
        <f aca="false">IF(AZ484="",0,MAX(0,MIN(1,(IF(BU484="L1",Parameter!$E$5,Parameter!$E$6+Parameter!$E$7)-(AZ484-AV484))/AV484)))</f>
        <v>1</v>
      </c>
      <c r="BB484" s="55" t="str">
        <f aca="false">IF(AF484&lt;=0,"",IF(BU484="Aussen","Aussenlager",IF(BU484="-","Nicht im Lift",IF(AK484&gt;=1,"Lift",IF(AK484&lt;=0,"Aussenlager","teilweise")))))</f>
        <v>Lift</v>
      </c>
      <c r="BC484" s="55" t="str">
        <f aca="false">IF(AN484&lt;=0,"",IF(BU484="Aussen","Aussenlager",IF(BU484="-","Nicht im Lift",IF(AS484&gt;=1,"Lift",IF(AS484&lt;=0,"Aussenlager","teilweise")))))</f>
        <v>Lift</v>
      </c>
      <c r="BD484" s="55" t="str">
        <f aca="false">IF(AV484&lt;=0,"",IF(BU484="Aussen","Aussenlager",IF(BU484="-","Nicht im Lift",IF(BA484&gt;=1,"Lift",IF(BA484&lt;=0,"Aussenlager","teilweise")))))</f>
        <v>Lift</v>
      </c>
      <c r="BE484" s="55" t="str">
        <f aca="false">IF(A484="","",IF(BN484=1,"Neu; ","")&amp;IF(AND(BN484=0,BI484&lt;0),"negativer Bestand (Export "&amp;BI484&amp;"); ","")&amp;IF(I484&lt;=0,"Kein Verbrauch; ","")&amp;IF(CD484&gt;0,"Lift "&amp;U484&amp;" lt. Liftbericht (Fach "&amp;V484&amp;" Stk); ",IF(BR484=1,"Lose – Fläche geschätzt; ",""))&amp;IF(G484&gt;AP484,"Überbestand "&amp;ROUND(G484-AP484,0)&amp;" Stk / CHF "&amp;ROUND((G484-AP484)*F484,0)&amp;"; ","")&amp;IF(AND(BW484=1,BX484&lt;BY484),"MAX &lt; MB+LG; ","")&amp;IF(AND(CC484&gt;0,CB484*10&gt;CC484),"zu hoch für Tablar; ","")&amp;IF(AND(BN484=0,OR(BW484=1,Y484&lt;&gt;"",S484&lt;&gt;"",T484&lt;&gt;"",Z484&lt;&gt;"")),"manuell übersteuert; ","")&amp;IF(AND(BR484=0,Q484=0),"Gebinde unbekannt / Stellmass fehlt; ","")&amp;IF(AND(BR484=0,N(T484)&lt;=0,N(P484)&lt;=0),"Menge pro Gebinde fehlt (Ist = 1 Gebinde); ","")&amp;BM484)</f>
        <v/>
      </c>
      <c r="BF484" s="55"/>
      <c r="BG484" s="55"/>
      <c r="BH484" s="62"/>
      <c r="BI484" s="57" t="n">
        <v>5</v>
      </c>
      <c r="BJ484" s="57" t="n">
        <v>0</v>
      </c>
      <c r="BK484" s="56" t="n">
        <v>45.55</v>
      </c>
      <c r="BL484" s="57" t="n">
        <v>15</v>
      </c>
      <c r="BM484" s="55"/>
      <c r="BN484" s="60" t="n">
        <v>0</v>
      </c>
      <c r="BO484" s="60" t="n">
        <v>484</v>
      </c>
      <c r="BP484" s="55" t="str">
        <f aca="false">IF(S484&lt;&gt;"",UPPER(TRIM(S484)),IF(O484="","LOSE",O484))</f>
        <v>S41</v>
      </c>
      <c r="BQ484" s="57" t="n">
        <f aca="false">IF(BP484="LOSE",1,IF(N(T484)&gt;0,T484,IF(N(P484)&gt;0,P484,MAX(1,G484))))</f>
        <v>10</v>
      </c>
      <c r="BR484" s="60" t="n">
        <f aca="false">IF(BP484="LOSE",1,0)</f>
        <v>0</v>
      </c>
      <c r="BS484" s="59" t="n">
        <f aca="false">IF(BR484=0,0,IF(N(R484)&gt;0,R484,IFERROR(VLOOKUP(D484,Parameter!$A$35:$C$64,3,0)+0,0)))</f>
        <v>0</v>
      </c>
      <c r="BT484" s="55" t="n">
        <f aca="false">IF(Y484&lt;&gt;"",Y484,X484)</f>
        <v>3</v>
      </c>
      <c r="BU484" s="55" t="str">
        <f aca="false">IF(BT484=1,"L1",IF(OR(BT484=2,BT484=3),"L23",IF(BT484="Aussen","Aussen","-")))</f>
        <v>L23</v>
      </c>
      <c r="BV484" s="66" t="n">
        <f aca="false">IF(N(Z484)&gt;0,Z484,0)</f>
        <v>0</v>
      </c>
      <c r="BW484" s="60" t="n">
        <f aca="false">IF(ISNUMBER(AC484),1,0)</f>
        <v>0</v>
      </c>
      <c r="BX484" s="57" t="n">
        <f aca="false">N(AC484)</f>
        <v>0</v>
      </c>
      <c r="BY484" s="57" t="n">
        <f aca="false">N(L484)+N(M484)</f>
        <v>16</v>
      </c>
      <c r="BZ484" s="57" t="n">
        <f aca="false">ROUNDUP(G484/BQ484,0)</f>
        <v>1</v>
      </c>
      <c r="CA484" s="57" t="n">
        <f aca="false">ROUNDUP(BX484/BQ484,0)</f>
        <v>0</v>
      </c>
      <c r="CB484" s="60" t="n">
        <f aca="false">IF(BR484=1,0,IFERROR(VLOOKUP(BP484,'Gebinde-Kategorie'!$A$5:$M$45,5,0)+0,0))</f>
        <v>11</v>
      </c>
      <c r="CC484" s="60" t="n">
        <f aca="false">IFERROR(IF(OR(BT484=1,BT484=2,BT484=3),N(INDEX(Parameter!$I$5:$I$7,BT484)),0),0)</f>
        <v>0</v>
      </c>
      <c r="CD484" s="59" t="n">
        <f aca="false">IF(AND(Parameter!$B$21="Ja",ISNUMBER(U484),N(V484)&gt;0),IFERROR(N(INDEX(Parameter!$L$5:$L$7,U484))*INDEX(Parameter!$E$5:$E$7,U484)*V484/SUMIFS($V$7:$V$1576,$U$7:$U$1576,U484),0),0)</f>
        <v>0</v>
      </c>
    </row>
    <row r="485" customFormat="false" ht="15" hidden="false" customHeight="false" outlineLevel="0" collapsed="false">
      <c r="A485" s="55" t="s">
        <v>1064</v>
      </c>
      <c r="B485" s="55" t="s">
        <v>1065</v>
      </c>
      <c r="C485" s="55" t="s">
        <v>160</v>
      </c>
      <c r="D485" s="55" t="s">
        <v>178</v>
      </c>
      <c r="E485" s="55" t="s">
        <v>210</v>
      </c>
      <c r="F485" s="56" t="n">
        <v>0.66</v>
      </c>
      <c r="G485" s="57" t="n">
        <f aca="false">MAX(0,IF(AND(Parameter!$B$21="Ja",ISNUMBER(W485)),W485,IF(Parameter!$B$20="Jahresanfang 2025 + Export",BJ485+BI485,BI485)))</f>
        <v>93</v>
      </c>
      <c r="H485" s="57" t="n">
        <f aca="false">G485*F485</f>
        <v>61.38</v>
      </c>
      <c r="I485" s="57" t="n">
        <f aca="false">BL485*Parameter!$B$18</f>
        <v>37</v>
      </c>
      <c r="J485" s="58" t="n">
        <v>110.5</v>
      </c>
      <c r="K485" s="59" t="n">
        <v>0.334841628959276</v>
      </c>
      <c r="L485" s="57" t="n">
        <v>1</v>
      </c>
      <c r="M485" s="57" t="n">
        <v>35</v>
      </c>
      <c r="N485" s="60" t="n">
        <v>14</v>
      </c>
      <c r="O485" s="55" t="s">
        <v>411</v>
      </c>
      <c r="P485" s="57" t="n">
        <v>94</v>
      </c>
      <c r="Q485" s="60" t="n">
        <f aca="false">IF(BR485=1,0,IFERROR(VLOOKUP(BP485,'Gebinde-Kategorie'!$A$5:$M$45,13,0)+0,0))</f>
        <v>132</v>
      </c>
      <c r="R485" s="61"/>
      <c r="S485" s="62"/>
      <c r="T485" s="62"/>
      <c r="U485" s="55"/>
      <c r="V485" s="57"/>
      <c r="W485" s="57"/>
      <c r="X485" s="55" t="n">
        <f aca="false">IF(A485="","",IF(AND(Parameter!$B$21="Ja",ISNUMBER(U485)),U485,IF(IFERROR(VLOOKUP(D485,Parameter!$A$35:$C$64,2,0),"Nein")="2+3",IF(ISNUMBER(SEARCH("grosser Artikel",BM485)),2,IFERROR(VLOOKUP(BP485,Parameter!$F$35:$G$64,2,0),2)),IF(OR(IFERROR(VLOOKUP(D485,Parameter!$A$35:$C$64,2,0),"Nein")="Nein",IFERROR(VLOOKUP(D485,Parameter!$A$35:$C$64,2,0),"Nein")=""),"-",VLOOKUP(D485,Parameter!$A$35:$C$64,2,0)))))</f>
        <v>3</v>
      </c>
      <c r="Y485" s="62"/>
      <c r="Z485" s="63"/>
      <c r="AA485" s="57" t="n">
        <f aca="false">AP485</f>
        <v>94</v>
      </c>
      <c r="AB485" s="57" t="n">
        <f aca="false">MAX(AP485,G485)</f>
        <v>94</v>
      </c>
      <c r="AC485" s="64"/>
      <c r="AD485" s="57" t="n">
        <f aca="false">IF(LEFT(Cockpit!$C$5,1)="A",G485,IF(BW485=1,BX485,IF(LEFT(Cockpit!$C$5,1)="B",AH485,MAX(AH485,G485))))</f>
        <v>93</v>
      </c>
      <c r="AE485" s="57" t="n">
        <f aca="false">IF(BR485=1,0,ROUNDUP(AD485/BQ485,0))</f>
        <v>1</v>
      </c>
      <c r="AF485" s="59" t="n">
        <f aca="false">IF(CD485&gt;0,CD485*MAX(1,AD485/V485),IF(BR485=1,IF(AD485&lt;=0,0,BS485*MAX(1,IF(G485&gt;0,AD485/G485,1))),IF(Q485&gt;0,AE485/Q485,0))/MAX(0.1,N(Parameter!$M$21)))</f>
        <v>0.00757575757575758</v>
      </c>
      <c r="AG485" s="57" t="n">
        <f aca="false">AD485*F485</f>
        <v>61.38</v>
      </c>
      <c r="AH485" s="57" t="n">
        <f aca="false">ROUNDUP(MAX(I485/IF(BV485&gt;0,BV485,MAX(0.1,N(Cockpit!$C$6))),BY485)/BQ485,0)*BQ485</f>
        <v>94</v>
      </c>
      <c r="AI485" s="58" t="n">
        <f aca="false">IF(AF485&gt;0,I485/AF485,-1)</f>
        <v>4884</v>
      </c>
      <c r="AJ485" s="58" t="n">
        <f aca="false">IF(AND(OR(BU485="L1",BU485="L23"),AF485&gt;0),SUMIFS($AF$7:$AF$1576,$BU$7:$BU$1576,BU485,$AI$7:$AI$1576,"&gt;"&amp;AI485)+SUMIFS($AF$7:$AF$1576,$BU$7:$BU$1576,BU485,$AI$7:$AI$1576,AI485,$BO$7:$BO$1576,"&lt;="&amp;BO485),"")</f>
        <v>3.85245734941387</v>
      </c>
      <c r="AK485" s="65" t="n">
        <f aca="false">IF(AJ485="",0,MAX(0,MIN(1,(IF(BU485="L1",Parameter!$E$5,Parameter!$E$6+Parameter!$E$7)-(AJ485-AF485))/AF485)))</f>
        <v>1</v>
      </c>
      <c r="AL485" s="57" t="n">
        <f aca="false">IF(LEFT(Cockpit!$I$5,1)="A",G485,IF(BW485=1,BX485,IF(LEFT(Cockpit!$I$5,1)="B",AP485,MAX(AP485,G485))))</f>
        <v>94</v>
      </c>
      <c r="AM485" s="57" t="n">
        <f aca="false">IF(BR485=1,0,ROUNDUP(AL485/BQ485,0))</f>
        <v>1</v>
      </c>
      <c r="AN485" s="59" t="n">
        <f aca="false">IF(CD485&gt;0,CD485*MAX(1,AL485/V485),IF(BR485=1,IF(AL485&lt;=0,0,BS485*MAX(1,IF(G485&gt;0,AL485/G485,1))),IF(Q485&gt;0,AM485/Q485,0))/MAX(0.1,N(Parameter!$M$21)))</f>
        <v>0.00757575757575758</v>
      </c>
      <c r="AO485" s="57" t="n">
        <f aca="false">AL485*F485</f>
        <v>62.04</v>
      </c>
      <c r="AP485" s="57" t="n">
        <f aca="false">ROUNDUP(MAX(I485/IF(BV485&gt;0,BV485,MAX(0.1,N(Cockpit!$I$6))),BY485)/BQ485,0)*BQ485</f>
        <v>94</v>
      </c>
      <c r="AQ485" s="58" t="n">
        <f aca="false">IF(AN485&gt;0,I485/AN485,-1)</f>
        <v>4884</v>
      </c>
      <c r="AR485" s="58" t="n">
        <f aca="false">IF(AND(OR(BU485="L1",BU485="L23"),AN485&gt;0),SUMIFS($AN$7:$AN$1576,$BU$7:$BU$1576,BU485,$AQ$7:$AQ$1576,"&gt;"&amp;AQ485)+SUMIFS($AN$7:$AN$1576,$BU$7:$BU$1576,BU485,$AQ$7:$AQ$1576,AQ485,$BO$7:$BO$1576,"&lt;="&amp;BO485),"")</f>
        <v>11.4320502449242</v>
      </c>
      <c r="AS485" s="65" t="n">
        <f aca="false">IF(AR485="",0,MAX(0,MIN(1,(IF(BU485="L1",Parameter!$E$5,Parameter!$E$6+Parameter!$E$7)-(AR485-AN485))/AN485)))</f>
        <v>1</v>
      </c>
      <c r="AT485" s="57" t="n">
        <f aca="false">IF(LEFT(Cockpit!$O$5,1)="A",G485,IF(BW485=1,BX485,IF(LEFT(Cockpit!$O$5,1)="B",AX485,MAX(AX485,G485))))</f>
        <v>94</v>
      </c>
      <c r="AU485" s="57" t="n">
        <f aca="false">IF(BR485=1,0,ROUNDUP(AT485/BQ485,0))</f>
        <v>1</v>
      </c>
      <c r="AV485" s="59" t="n">
        <f aca="false">IF(CD485&gt;0,CD485*MAX(1,AT485/V485),IF(BR485=1,IF(AT485&lt;=0,0,BS485*MAX(1,IF(G485&gt;0,AT485/G485,1))),IF(Q485&gt;0,AU485/Q485,0))/MAX(0.1,N(Parameter!$M$21)))</f>
        <v>0.00757575757575758</v>
      </c>
      <c r="AW485" s="57" t="n">
        <f aca="false">AT485*F485</f>
        <v>62.04</v>
      </c>
      <c r="AX485" s="57" t="n">
        <f aca="false">ROUNDUP(MAX(I485/IF(BV485&gt;0,BV485,MAX(0.1,N(Cockpit!$O$6))),BY485)/BQ485,0)*BQ485</f>
        <v>94</v>
      </c>
      <c r="AY485" s="58" t="n">
        <f aca="false">IF(AV485&gt;0,I485/AV485,-1)</f>
        <v>4884</v>
      </c>
      <c r="AZ485" s="58" t="n">
        <f aca="false">IF(AND(OR(BU485="L1",BU485="L23"),AV485&gt;0),SUMIFS($AV$7:$AV$1576,$BU$7:$BU$1576,BU485,$AY$7:$AY$1576,"&gt;"&amp;AY485)+SUMIFS($AV$7:$AV$1576,$BU$7:$BU$1576,BU485,$AY$7:$AY$1576,AY485,$BO$7:$BO$1576,"&lt;="&amp;BO485),"")</f>
        <v>10.6529127157866</v>
      </c>
      <c r="BA485" s="65" t="n">
        <f aca="false">IF(AZ485="",0,MAX(0,MIN(1,(IF(BU485="L1",Parameter!$E$5,Parameter!$E$6+Parameter!$E$7)-(AZ485-AV485))/AV485)))</f>
        <v>1</v>
      </c>
      <c r="BB485" s="55" t="str">
        <f aca="false">IF(AF485&lt;=0,"",IF(BU485="Aussen","Aussenlager",IF(BU485="-","Nicht im Lift",IF(AK485&gt;=1,"Lift",IF(AK485&lt;=0,"Aussenlager","teilweise")))))</f>
        <v>Lift</v>
      </c>
      <c r="BC485" s="55" t="str">
        <f aca="false">IF(AN485&lt;=0,"",IF(BU485="Aussen","Aussenlager",IF(BU485="-","Nicht im Lift",IF(AS485&gt;=1,"Lift",IF(AS485&lt;=0,"Aussenlager","teilweise")))))</f>
        <v>Lift</v>
      </c>
      <c r="BD485" s="55" t="str">
        <f aca="false">IF(AV485&lt;=0,"",IF(BU485="Aussen","Aussenlager",IF(BU485="-","Nicht im Lift",IF(BA485&gt;=1,"Lift",IF(BA485&lt;=0,"Aussenlager","teilweise")))))</f>
        <v>Lift</v>
      </c>
      <c r="BE485" s="55" t="str">
        <f aca="false">IF(A485="","",IF(BN485=1,"Neu; ","")&amp;IF(AND(BN485=0,BI485&lt;0),"negativer Bestand (Export "&amp;BI485&amp;"); ","")&amp;IF(I485&lt;=0,"Kein Verbrauch; ","")&amp;IF(CD485&gt;0,"Lift "&amp;U485&amp;" lt. Liftbericht (Fach "&amp;V485&amp;" Stk); ",IF(BR485=1,"Lose – Fläche geschätzt; ",""))&amp;IF(G485&gt;AP485,"Überbestand "&amp;ROUND(G485-AP485,0)&amp;" Stk / CHF "&amp;ROUND((G485-AP485)*F485,0)&amp;"; ","")&amp;IF(AND(BW485=1,BX485&lt;BY485),"MAX &lt; MB+LG; ","")&amp;IF(AND(CC485&gt;0,CB485*10&gt;CC485),"zu hoch für Tablar; ","")&amp;IF(AND(BN485=0,OR(BW485=1,Y485&lt;&gt;"",S485&lt;&gt;"",T485&lt;&gt;"",Z485&lt;&gt;"")),"manuell übersteuert; ","")&amp;IF(AND(BR485=0,Q485=0),"Gebinde unbekannt / Stellmass fehlt; ","")&amp;IF(AND(BR485=0,N(T485)&lt;=0,N(P485)&lt;=0),"Menge pro Gebinde fehlt (Ist = 1 Gebinde); ","")&amp;BM485)</f>
        <v/>
      </c>
      <c r="BF485" s="55"/>
      <c r="BG485" s="55"/>
      <c r="BH485" s="62"/>
      <c r="BI485" s="57" t="n">
        <v>93</v>
      </c>
      <c r="BJ485" s="57" t="n">
        <v>160</v>
      </c>
      <c r="BK485" s="56" t="n">
        <v>45.38</v>
      </c>
      <c r="BL485" s="57" t="n">
        <v>37</v>
      </c>
      <c r="BM485" s="55"/>
      <c r="BN485" s="60" t="n">
        <v>0</v>
      </c>
      <c r="BO485" s="60" t="n">
        <v>485</v>
      </c>
      <c r="BP485" s="55" t="str">
        <f aca="false">IF(S485&lt;&gt;"",UPPER(TRIM(S485)),IF(O485="","LOSE",O485))</f>
        <v>S32</v>
      </c>
      <c r="BQ485" s="57" t="n">
        <f aca="false">IF(BP485="LOSE",1,IF(N(T485)&gt;0,T485,IF(N(P485)&gt;0,P485,MAX(1,G485))))</f>
        <v>94</v>
      </c>
      <c r="BR485" s="60" t="n">
        <f aca="false">IF(BP485="LOSE",1,0)</f>
        <v>0</v>
      </c>
      <c r="BS485" s="59" t="n">
        <f aca="false">IF(BR485=0,0,IF(N(R485)&gt;0,R485,IFERROR(VLOOKUP(D485,Parameter!$A$35:$C$64,3,0)+0,0)))</f>
        <v>0</v>
      </c>
      <c r="BT485" s="55" t="n">
        <f aca="false">IF(Y485&lt;&gt;"",Y485,X485)</f>
        <v>3</v>
      </c>
      <c r="BU485" s="55" t="str">
        <f aca="false">IF(BT485=1,"L1",IF(OR(BT485=2,BT485=3),"L23",IF(BT485="Aussen","Aussen","-")))</f>
        <v>L23</v>
      </c>
      <c r="BV485" s="66" t="n">
        <f aca="false">IF(N(Z485)&gt;0,Z485,0)</f>
        <v>0</v>
      </c>
      <c r="BW485" s="60" t="n">
        <f aca="false">IF(ISNUMBER(AC485),1,0)</f>
        <v>0</v>
      </c>
      <c r="BX485" s="57" t="n">
        <f aca="false">N(AC485)</f>
        <v>0</v>
      </c>
      <c r="BY485" s="57" t="n">
        <f aca="false">N(L485)+N(M485)</f>
        <v>36</v>
      </c>
      <c r="BZ485" s="57" t="n">
        <f aca="false">ROUNDUP(G485/BQ485,0)</f>
        <v>1</v>
      </c>
      <c r="CA485" s="57" t="n">
        <f aca="false">ROUNDUP(BX485/BQ485,0)</f>
        <v>0</v>
      </c>
      <c r="CB485" s="60" t="n">
        <f aca="false">IF(BR485=1,0,IFERROR(VLOOKUP(BP485,'Gebinde-Kategorie'!$A$5:$M$45,5,0)+0,0))</f>
        <v>8</v>
      </c>
      <c r="CC485" s="60" t="n">
        <f aca="false">IFERROR(IF(OR(BT485=1,BT485=2,BT485=3),N(INDEX(Parameter!$I$5:$I$7,BT485)),0),0)</f>
        <v>0</v>
      </c>
      <c r="CD485" s="59" t="n">
        <f aca="false">IF(AND(Parameter!$B$21="Ja",ISNUMBER(U485),N(V485)&gt;0),IFERROR(N(INDEX(Parameter!$L$5:$L$7,U485))*INDEX(Parameter!$E$5:$E$7,U485)*V485/SUMIFS($V$7:$V$1576,$U$7:$U$1576,U485),0),0)</f>
        <v>0</v>
      </c>
    </row>
    <row r="486" customFormat="false" ht="15" hidden="false" customHeight="false" outlineLevel="0" collapsed="false">
      <c r="A486" s="55" t="s">
        <v>1066</v>
      </c>
      <c r="B486" s="55" t="s">
        <v>1067</v>
      </c>
      <c r="C486" s="55" t="s">
        <v>160</v>
      </c>
      <c r="D486" s="55" t="s">
        <v>168</v>
      </c>
      <c r="E486" s="55" t="s">
        <v>210</v>
      </c>
      <c r="F486" s="56" t="n">
        <v>0.09</v>
      </c>
      <c r="G486" s="57" t="n">
        <f aca="false">MAX(0,IF(AND(Parameter!$B$21="Ja",ISNUMBER(W486)),W486,IF(Parameter!$B$20="Jahresanfang 2025 + Export",BJ486+BI486,BI486)))</f>
        <v>500</v>
      </c>
      <c r="H486" s="57" t="n">
        <f aca="false">G486*F486</f>
        <v>45</v>
      </c>
      <c r="I486" s="57" t="n">
        <f aca="false">BL486*Parameter!$B$18</f>
        <v>0</v>
      </c>
      <c r="J486" s="58" t="n">
        <v>250</v>
      </c>
      <c r="K486" s="59" t="n">
        <v>0</v>
      </c>
      <c r="L486" s="57" t="n">
        <v>0</v>
      </c>
      <c r="M486" s="57" t="n">
        <v>1</v>
      </c>
      <c r="N486" s="60" t="n">
        <v>105</v>
      </c>
      <c r="O486" s="55" t="s">
        <v>163</v>
      </c>
      <c r="P486" s="57"/>
      <c r="Q486" s="60" t="n">
        <f aca="false">IF(BR486=1,0,IFERROR(VLOOKUP(BP486,'Gebinde-Kategorie'!$A$5:$M$45,13,0)+0,0))</f>
        <v>0</v>
      </c>
      <c r="R486" s="61"/>
      <c r="S486" s="62"/>
      <c r="T486" s="62"/>
      <c r="U486" s="55"/>
      <c r="V486" s="57"/>
      <c r="W486" s="57"/>
      <c r="X486" s="55" t="n">
        <f aca="false">IF(A486="","",IF(AND(Parameter!$B$21="Ja",ISNUMBER(U486)),U486,IF(IFERROR(VLOOKUP(D486,Parameter!$A$35:$C$64,2,0),"Nein")="2+3",IF(ISNUMBER(SEARCH("grosser Artikel",BM486)),2,IFERROR(VLOOKUP(BP486,Parameter!$F$35:$G$64,2,0),2)),IF(OR(IFERROR(VLOOKUP(D486,Parameter!$A$35:$C$64,2,0),"Nein")="Nein",IFERROR(VLOOKUP(D486,Parameter!$A$35:$C$64,2,0),"Nein")=""),"-",VLOOKUP(D486,Parameter!$A$35:$C$64,2,0)))))</f>
        <v>2</v>
      </c>
      <c r="Y486" s="62"/>
      <c r="Z486" s="63"/>
      <c r="AA486" s="57" t="n">
        <f aca="false">AP486</f>
        <v>1</v>
      </c>
      <c r="AB486" s="57" t="n">
        <f aca="false">MAX(AP486,G486)</f>
        <v>500</v>
      </c>
      <c r="AC486" s="64"/>
      <c r="AD486" s="57" t="n">
        <f aca="false">IF(LEFT(Cockpit!$C$5,1)="A",G486,IF(BW486=1,BX486,IF(LEFT(Cockpit!$C$5,1)="B",AH486,MAX(AH486,G486))))</f>
        <v>500</v>
      </c>
      <c r="AE486" s="57" t="n">
        <f aca="false">IF(BR486=1,0,ROUNDUP(AD486/BQ486,0))</f>
        <v>0</v>
      </c>
      <c r="AF486" s="59" t="n">
        <f aca="false">IF(CD486&gt;0,CD486*MAX(1,AD486/V486),IF(BR486=1,IF(AD486&lt;=0,0,BS486*MAX(1,IF(G486&gt;0,AD486/G486,1))),IF(Q486&gt;0,AE486/Q486,0))/MAX(0.1,N(Parameter!$M$21)))</f>
        <v>0.15</v>
      </c>
      <c r="AG486" s="57" t="n">
        <f aca="false">AD486*F486</f>
        <v>45</v>
      </c>
      <c r="AH486" s="57" t="n">
        <f aca="false">ROUNDUP(MAX(I486/IF(BV486&gt;0,BV486,MAX(0.1,N(Cockpit!$C$6))),BY486)/BQ486,0)*BQ486</f>
        <v>1</v>
      </c>
      <c r="AI486" s="58" t="n">
        <f aca="false">IF(AF486&gt;0,I486/AF486,-1)</f>
        <v>0</v>
      </c>
      <c r="AJ486" s="58" t="n">
        <f aca="false">IF(AND(OR(BU486="L1",BU486="L23"),AF486&gt;0),SUMIFS($AF$7:$AF$1576,$BU$7:$BU$1576,BU486,$AI$7:$AI$1576,"&gt;"&amp;AI486)+SUMIFS($AF$7:$AF$1576,$BU$7:$BU$1576,BU486,$AI$7:$AI$1576,AI486,$BO$7:$BO$1576,"&lt;="&amp;BO486),"")</f>
        <v>42.696505523462</v>
      </c>
      <c r="AK486" s="65" t="n">
        <f aca="false">IF(AJ486="",0,MAX(0,MIN(1,(IF(BU486="L1",Parameter!$E$5,Parameter!$E$6+Parameter!$E$7)-(AJ486-AF486))/AF486)))</f>
        <v>1</v>
      </c>
      <c r="AL486" s="57" t="n">
        <f aca="false">IF(LEFT(Cockpit!$I$5,1)="A",G486,IF(BW486=1,BX486,IF(LEFT(Cockpit!$I$5,1)="B",AP486,MAX(AP486,G486))))</f>
        <v>500</v>
      </c>
      <c r="AM486" s="57" t="n">
        <f aca="false">IF(BR486=1,0,ROUNDUP(AL486/BQ486,0))</f>
        <v>0</v>
      </c>
      <c r="AN486" s="59" t="n">
        <f aca="false">IF(CD486&gt;0,CD486*MAX(1,AL486/V486),IF(BR486=1,IF(AL486&lt;=0,0,BS486*MAX(1,IF(G486&gt;0,AL486/G486,1))),IF(Q486&gt;0,AM486/Q486,0))/MAX(0.1,N(Parameter!$M$21)))</f>
        <v>0.15</v>
      </c>
      <c r="AO486" s="57" t="n">
        <f aca="false">AL486*F486</f>
        <v>45</v>
      </c>
      <c r="AP486" s="57" t="n">
        <f aca="false">ROUNDUP(MAX(I486/IF(BV486&gt;0,BV486,MAX(0.1,N(Cockpit!$I$6))),BY486)/BQ486,0)*BQ486</f>
        <v>1</v>
      </c>
      <c r="AQ486" s="58" t="n">
        <f aca="false">IF(AN486&gt;0,I486/AN486,-1)</f>
        <v>0</v>
      </c>
      <c r="AR486" s="58" t="n">
        <f aca="false">IF(AND(OR(BU486="L1",BU486="L23"),AN486&gt;0),SUMIFS($AN$7:$AN$1576,$BU$7:$BU$1576,BU486,$AQ$7:$AQ$1576,"&gt;"&amp;AQ486)+SUMIFS($AN$7:$AN$1576,$BU$7:$BU$1576,BU486,$AQ$7:$AQ$1576,AQ486,$BO$7:$BO$1576,"&lt;="&amp;BO486),"")</f>
        <v>125.69329164198</v>
      </c>
      <c r="AS486" s="65" t="n">
        <f aca="false">IF(AR486="",0,MAX(0,MIN(1,(IF(BU486="L1",Parameter!$E$5,Parameter!$E$6+Parameter!$E$7)-(AR486-AN486))/AN486)))</f>
        <v>0</v>
      </c>
      <c r="AT486" s="57" t="n">
        <f aca="false">IF(LEFT(Cockpit!$O$5,1)="A",G486,IF(BW486=1,BX486,IF(LEFT(Cockpit!$O$5,1)="B",AX486,MAX(AX486,G486))))</f>
        <v>500</v>
      </c>
      <c r="AU486" s="57" t="n">
        <f aca="false">IF(BR486=1,0,ROUNDUP(AT486/BQ486,0))</f>
        <v>0</v>
      </c>
      <c r="AV486" s="59" t="n">
        <f aca="false">IF(CD486&gt;0,CD486*MAX(1,AT486/V486),IF(BR486=1,IF(AT486&lt;=0,0,BS486*MAX(1,IF(G486&gt;0,AT486/G486,1))),IF(Q486&gt;0,AU486/Q486,0))/MAX(0.1,N(Parameter!$M$21)))</f>
        <v>0.15</v>
      </c>
      <c r="AW486" s="57" t="n">
        <f aca="false">AT486*F486</f>
        <v>45</v>
      </c>
      <c r="AX486" s="57" t="n">
        <f aca="false">ROUNDUP(MAX(I486/IF(BV486&gt;0,BV486,MAX(0.1,N(Cockpit!$O$6))),BY486)/BQ486,0)*BQ486</f>
        <v>1</v>
      </c>
      <c r="AY486" s="58" t="n">
        <f aca="false">IF(AV486&gt;0,I486/AV486,-1)</f>
        <v>0</v>
      </c>
      <c r="AZ486" s="58" t="n">
        <f aca="false">IF(AND(OR(BU486="L1",BU486="L23"),AV486&gt;0),SUMIFS($AV$7:$AV$1576,$BU$7:$BU$1576,BU486,$AY$7:$AY$1576,"&gt;"&amp;AY486)+SUMIFS($AV$7:$AV$1576,$BU$7:$BU$1576,BU486,$AY$7:$AY$1576,AY486,$BO$7:$BO$1576,"&lt;="&amp;BO486),"")</f>
        <v>115.752842091531</v>
      </c>
      <c r="BA486" s="65" t="n">
        <f aca="false">IF(AZ486="",0,MAX(0,MIN(1,(IF(BU486="L1",Parameter!$E$5,Parameter!$E$6+Parameter!$E$7)-(AZ486-AV486))/AV486)))</f>
        <v>0</v>
      </c>
      <c r="BB486" s="55" t="str">
        <f aca="false">IF(AF486&lt;=0,"",IF(BU486="Aussen","Aussenlager",IF(BU486="-","Nicht im Lift",IF(AK486&gt;=1,"Lift",IF(AK486&lt;=0,"Aussenlager","teilweise")))))</f>
        <v>Lift</v>
      </c>
      <c r="BC486" s="55" t="str">
        <f aca="false">IF(AN486&lt;=0,"",IF(BU486="Aussen","Aussenlager",IF(BU486="-","Nicht im Lift",IF(AS486&gt;=1,"Lift",IF(AS486&lt;=0,"Aussenlager","teilweise")))))</f>
        <v>Aussenlager</v>
      </c>
      <c r="BD486" s="55" t="str">
        <f aca="false">IF(AV486&lt;=0,"",IF(BU486="Aussen","Aussenlager",IF(BU486="-","Nicht im Lift",IF(BA486&gt;=1,"Lift",IF(BA486&lt;=0,"Aussenlager","teilweise")))))</f>
        <v>Aussenlager</v>
      </c>
      <c r="BE486" s="55" t="str">
        <f aca="false">IF(A486="","",IF(BN486=1,"Neu; ","")&amp;IF(AND(BN486=0,BI486&lt;0),"negativer Bestand (Export "&amp;BI486&amp;"); ","")&amp;IF(I486&lt;=0,"Kein Verbrauch; ","")&amp;IF(CD486&gt;0,"Lift "&amp;U486&amp;" lt. Liftbericht (Fach "&amp;V486&amp;" Stk); ",IF(BR486=1,"Lose – Fläche geschätzt; ",""))&amp;IF(G486&gt;AP486,"Überbestand "&amp;ROUND(G486-AP486,0)&amp;" Stk / CHF "&amp;ROUND((G486-AP486)*F486,0)&amp;"; ","")&amp;IF(AND(BW486=1,BX486&lt;BY486),"MAX &lt; MB+LG; ","")&amp;IF(AND(CC486&gt;0,CB486*10&gt;CC486),"zu hoch für Tablar; ","")&amp;IF(AND(BN486=0,OR(BW486=1,Y486&lt;&gt;"",S486&lt;&gt;"",T486&lt;&gt;"",Z486&lt;&gt;"")),"manuell übersteuert; ","")&amp;IF(AND(BR486=0,Q486=0),"Gebinde unbekannt / Stellmass fehlt; ","")&amp;IF(AND(BR486=0,N(T486)&lt;=0,N(P486)&lt;=0),"Menge pro Gebinde fehlt (Ist = 1 Gebinde); ","")&amp;BM486)</f>
        <v>Kein Verbrauch; Lose – Fläche geschätzt; Überbestand 499 Stk / CHF 45; </v>
      </c>
      <c r="BF486" s="55"/>
      <c r="BG486" s="55"/>
      <c r="BH486" s="62"/>
      <c r="BI486" s="57" t="n">
        <v>500</v>
      </c>
      <c r="BJ486" s="57" t="n">
        <v>0</v>
      </c>
      <c r="BK486" s="56" t="n">
        <v>45</v>
      </c>
      <c r="BL486" s="57" t="n">
        <v>0</v>
      </c>
      <c r="BM486" s="55"/>
      <c r="BN486" s="60" t="n">
        <v>0</v>
      </c>
      <c r="BO486" s="60" t="n">
        <v>486</v>
      </c>
      <c r="BP486" s="55" t="str">
        <f aca="false">IF(S486&lt;&gt;"",UPPER(TRIM(S486)),IF(O486="","LOSE",O486))</f>
        <v>LOSE</v>
      </c>
      <c r="BQ486" s="57" t="n">
        <f aca="false">IF(BP486="LOSE",1,IF(N(T486)&gt;0,T486,IF(N(P486)&gt;0,P486,MAX(1,G486))))</f>
        <v>1</v>
      </c>
      <c r="BR486" s="60" t="n">
        <f aca="false">IF(BP486="LOSE",1,0)</f>
        <v>1</v>
      </c>
      <c r="BS486" s="59" t="n">
        <f aca="false">IF(BR486=0,0,IF(N(R486)&gt;0,R486,IFERROR(VLOOKUP(D486,Parameter!$A$35:$C$64,3,0)+0,0)))</f>
        <v>0.15</v>
      </c>
      <c r="BT486" s="55" t="n">
        <f aca="false">IF(Y486&lt;&gt;"",Y486,X486)</f>
        <v>2</v>
      </c>
      <c r="BU486" s="55" t="str">
        <f aca="false">IF(BT486=1,"L1",IF(OR(BT486=2,BT486=3),"L23",IF(BT486="Aussen","Aussen","-")))</f>
        <v>L23</v>
      </c>
      <c r="BV486" s="66" t="n">
        <f aca="false">IF(N(Z486)&gt;0,Z486,0)</f>
        <v>0</v>
      </c>
      <c r="BW486" s="60" t="n">
        <f aca="false">IF(ISNUMBER(AC486),1,0)</f>
        <v>0</v>
      </c>
      <c r="BX486" s="57" t="n">
        <f aca="false">N(AC486)</f>
        <v>0</v>
      </c>
      <c r="BY486" s="57" t="n">
        <f aca="false">N(L486)+N(M486)</f>
        <v>1</v>
      </c>
      <c r="BZ486" s="57" t="n">
        <f aca="false">ROUNDUP(G486/BQ486,0)</f>
        <v>500</v>
      </c>
      <c r="CA486" s="57" t="n">
        <f aca="false">ROUNDUP(BX486/BQ486,0)</f>
        <v>0</v>
      </c>
      <c r="CB486" s="60" t="n">
        <f aca="false">IF(BR486=1,0,IFERROR(VLOOKUP(BP486,'Gebinde-Kategorie'!$A$5:$M$45,5,0)+0,0))</f>
        <v>0</v>
      </c>
      <c r="CC486" s="60" t="n">
        <f aca="false">IFERROR(IF(OR(BT486=1,BT486=2,BT486=3),N(INDEX(Parameter!$I$5:$I$7,BT486)),0),0)</f>
        <v>0</v>
      </c>
      <c r="CD486" s="59" t="n">
        <f aca="false">IF(AND(Parameter!$B$21="Ja",ISNUMBER(U486),N(V486)&gt;0),IFERROR(N(INDEX(Parameter!$L$5:$L$7,U486))*INDEX(Parameter!$E$5:$E$7,U486)*V486/SUMIFS($V$7:$V$1576,$U$7:$U$1576,U486),0),0)</f>
        <v>0</v>
      </c>
    </row>
    <row r="487" customFormat="false" ht="15" hidden="false" customHeight="false" outlineLevel="0" collapsed="false">
      <c r="A487" s="55" t="s">
        <v>1068</v>
      </c>
      <c r="B487" s="55" t="s">
        <v>1069</v>
      </c>
      <c r="C487" s="55" t="s">
        <v>160</v>
      </c>
      <c r="D487" s="55" t="s">
        <v>178</v>
      </c>
      <c r="E487" s="55" t="s">
        <v>210</v>
      </c>
      <c r="F487" s="56" t="n">
        <v>1.49</v>
      </c>
      <c r="G487" s="57" t="n">
        <f aca="false">MAX(0,IF(AND(Parameter!$B$21="Ja",ISNUMBER(W487)),W487,IF(Parameter!$B$20="Jahresanfang 2025 + Export",BJ487+BI487,BI487)))</f>
        <v>30</v>
      </c>
      <c r="H487" s="57" t="n">
        <f aca="false">G487*F487</f>
        <v>44.7</v>
      </c>
      <c r="I487" s="57" t="n">
        <f aca="false">BL487*Parameter!$B$18</f>
        <v>0</v>
      </c>
      <c r="J487" s="58" t="n">
        <v>0</v>
      </c>
      <c r="K487" s="59" t="n">
        <v>0</v>
      </c>
      <c r="L487" s="57" t="n">
        <v>0</v>
      </c>
      <c r="M487" s="57" t="n">
        <v>10</v>
      </c>
      <c r="N487" s="60" t="n">
        <v>9999</v>
      </c>
      <c r="O487" s="55" t="s">
        <v>163</v>
      </c>
      <c r="P487" s="57"/>
      <c r="Q487" s="60" t="n">
        <f aca="false">IF(BR487=1,0,IFERROR(VLOOKUP(BP487,'Gebinde-Kategorie'!$A$5:$M$45,13,0)+0,0))</f>
        <v>0</v>
      </c>
      <c r="R487" s="61"/>
      <c r="S487" s="62"/>
      <c r="T487" s="62"/>
      <c r="U487" s="55"/>
      <c r="V487" s="57"/>
      <c r="W487" s="57"/>
      <c r="X487" s="55" t="n">
        <f aca="false">IF(A487="","",IF(AND(Parameter!$B$21="Ja",ISNUMBER(U487)),U487,IF(IFERROR(VLOOKUP(D487,Parameter!$A$35:$C$64,2,0),"Nein")="2+3",IF(ISNUMBER(SEARCH("grosser Artikel",BM487)),2,IFERROR(VLOOKUP(BP487,Parameter!$F$35:$G$64,2,0),2)),IF(OR(IFERROR(VLOOKUP(D487,Parameter!$A$35:$C$64,2,0),"Nein")="Nein",IFERROR(VLOOKUP(D487,Parameter!$A$35:$C$64,2,0),"Nein")=""),"-",VLOOKUP(D487,Parameter!$A$35:$C$64,2,0)))))</f>
        <v>2</v>
      </c>
      <c r="Y487" s="62"/>
      <c r="Z487" s="63"/>
      <c r="AA487" s="57" t="n">
        <f aca="false">AP487</f>
        <v>10</v>
      </c>
      <c r="AB487" s="57" t="n">
        <f aca="false">MAX(AP487,G487)</f>
        <v>30</v>
      </c>
      <c r="AC487" s="64"/>
      <c r="AD487" s="57" t="n">
        <f aca="false">IF(LEFT(Cockpit!$C$5,1)="A",G487,IF(BW487=1,BX487,IF(LEFT(Cockpit!$C$5,1)="B",AH487,MAX(AH487,G487))))</f>
        <v>30</v>
      </c>
      <c r="AE487" s="57" t="n">
        <f aca="false">IF(BR487=1,0,ROUNDUP(AD487/BQ487,0))</f>
        <v>0</v>
      </c>
      <c r="AF487" s="59" t="n">
        <f aca="false">IF(CD487&gt;0,CD487*MAX(1,AD487/V487),IF(BR487=1,IF(AD487&lt;=0,0,BS487*MAX(1,IF(G487&gt;0,AD487/G487,1))),IF(Q487&gt;0,AE487/Q487,0))/MAX(0.1,N(Parameter!$M$21)))</f>
        <v>0.03</v>
      </c>
      <c r="AG487" s="57" t="n">
        <f aca="false">AD487*F487</f>
        <v>44.7</v>
      </c>
      <c r="AH487" s="57" t="n">
        <f aca="false">ROUNDUP(MAX(I487/IF(BV487&gt;0,BV487,MAX(0.1,N(Cockpit!$C$6))),BY487)/BQ487,0)*BQ487</f>
        <v>10</v>
      </c>
      <c r="AI487" s="58" t="n">
        <f aca="false">IF(AF487&gt;0,I487/AF487,-1)</f>
        <v>0</v>
      </c>
      <c r="AJ487" s="58" t="n">
        <f aca="false">IF(AND(OR(BU487="L1",BU487="L23"),AF487&gt;0),SUMIFS($AF$7:$AF$1576,$BU$7:$BU$1576,BU487,$AI$7:$AI$1576,"&gt;"&amp;AI487)+SUMIFS($AF$7:$AF$1576,$BU$7:$BU$1576,BU487,$AI$7:$AI$1576,AI487,$BO$7:$BO$1576,"&lt;="&amp;BO487),"")</f>
        <v>42.726505523462</v>
      </c>
      <c r="AK487" s="65" t="n">
        <f aca="false">IF(AJ487="",0,MAX(0,MIN(1,(IF(BU487="L1",Parameter!$E$5,Parameter!$E$6+Parameter!$E$7)-(AJ487-AF487))/AF487)))</f>
        <v>1</v>
      </c>
      <c r="AL487" s="57" t="n">
        <f aca="false">IF(LEFT(Cockpit!$I$5,1)="A",G487,IF(BW487=1,BX487,IF(LEFT(Cockpit!$I$5,1)="B",AP487,MAX(AP487,G487))))</f>
        <v>30</v>
      </c>
      <c r="AM487" s="57" t="n">
        <f aca="false">IF(BR487=1,0,ROUNDUP(AL487/BQ487,0))</f>
        <v>0</v>
      </c>
      <c r="AN487" s="59" t="n">
        <f aca="false">IF(CD487&gt;0,CD487*MAX(1,AL487/V487),IF(BR487=1,IF(AL487&lt;=0,0,BS487*MAX(1,IF(G487&gt;0,AL487/G487,1))),IF(Q487&gt;0,AM487/Q487,0))/MAX(0.1,N(Parameter!$M$21)))</f>
        <v>0.03</v>
      </c>
      <c r="AO487" s="57" t="n">
        <f aca="false">AL487*F487</f>
        <v>44.7</v>
      </c>
      <c r="AP487" s="57" t="n">
        <f aca="false">ROUNDUP(MAX(I487/IF(BV487&gt;0,BV487,MAX(0.1,N(Cockpit!$I$6))),BY487)/BQ487,0)*BQ487</f>
        <v>10</v>
      </c>
      <c r="AQ487" s="58" t="n">
        <f aca="false">IF(AN487&gt;0,I487/AN487,-1)</f>
        <v>0</v>
      </c>
      <c r="AR487" s="58" t="n">
        <f aca="false">IF(AND(OR(BU487="L1",BU487="L23"),AN487&gt;0),SUMIFS($AN$7:$AN$1576,$BU$7:$BU$1576,BU487,$AQ$7:$AQ$1576,"&gt;"&amp;AQ487)+SUMIFS($AN$7:$AN$1576,$BU$7:$BU$1576,BU487,$AQ$7:$AQ$1576,AQ487,$BO$7:$BO$1576,"&lt;="&amp;BO487),"")</f>
        <v>125.72329164198</v>
      </c>
      <c r="AS487" s="65" t="n">
        <f aca="false">IF(AR487="",0,MAX(0,MIN(1,(IF(BU487="L1",Parameter!$E$5,Parameter!$E$6+Parameter!$E$7)-(AR487-AN487))/AN487)))</f>
        <v>0</v>
      </c>
      <c r="AT487" s="57" t="n">
        <f aca="false">IF(LEFT(Cockpit!$O$5,1)="A",G487,IF(BW487=1,BX487,IF(LEFT(Cockpit!$O$5,1)="B",AX487,MAX(AX487,G487))))</f>
        <v>30</v>
      </c>
      <c r="AU487" s="57" t="n">
        <f aca="false">IF(BR487=1,0,ROUNDUP(AT487/BQ487,0))</f>
        <v>0</v>
      </c>
      <c r="AV487" s="59" t="n">
        <f aca="false">IF(CD487&gt;0,CD487*MAX(1,AT487/V487),IF(BR487=1,IF(AT487&lt;=0,0,BS487*MAX(1,IF(G487&gt;0,AT487/G487,1))),IF(Q487&gt;0,AU487/Q487,0))/MAX(0.1,N(Parameter!$M$21)))</f>
        <v>0.03</v>
      </c>
      <c r="AW487" s="57" t="n">
        <f aca="false">AT487*F487</f>
        <v>44.7</v>
      </c>
      <c r="AX487" s="57" t="n">
        <f aca="false">ROUNDUP(MAX(I487/IF(BV487&gt;0,BV487,MAX(0.1,N(Cockpit!$O$6))),BY487)/BQ487,0)*BQ487</f>
        <v>10</v>
      </c>
      <c r="AY487" s="58" t="n">
        <f aca="false">IF(AV487&gt;0,I487/AV487,-1)</f>
        <v>0</v>
      </c>
      <c r="AZ487" s="58" t="n">
        <f aca="false">IF(AND(OR(BU487="L1",BU487="L23"),AV487&gt;0),SUMIFS($AV$7:$AV$1576,$BU$7:$BU$1576,BU487,$AY$7:$AY$1576,"&gt;"&amp;AY487)+SUMIFS($AV$7:$AV$1576,$BU$7:$BU$1576,BU487,$AY$7:$AY$1576,AY487,$BO$7:$BO$1576,"&lt;="&amp;BO487),"")</f>
        <v>115.782842091531</v>
      </c>
      <c r="BA487" s="65" t="n">
        <f aca="false">IF(AZ487="",0,MAX(0,MIN(1,(IF(BU487="L1",Parameter!$E$5,Parameter!$E$6+Parameter!$E$7)-(AZ487-AV487))/AV487)))</f>
        <v>0</v>
      </c>
      <c r="BB487" s="55" t="str">
        <f aca="false">IF(AF487&lt;=0,"",IF(BU487="Aussen","Aussenlager",IF(BU487="-","Nicht im Lift",IF(AK487&gt;=1,"Lift",IF(AK487&lt;=0,"Aussenlager","teilweise")))))</f>
        <v>Lift</v>
      </c>
      <c r="BC487" s="55" t="str">
        <f aca="false">IF(AN487&lt;=0,"",IF(BU487="Aussen","Aussenlager",IF(BU487="-","Nicht im Lift",IF(AS487&gt;=1,"Lift",IF(AS487&lt;=0,"Aussenlager","teilweise")))))</f>
        <v>Aussenlager</v>
      </c>
      <c r="BD487" s="55" t="str">
        <f aca="false">IF(AV487&lt;=0,"",IF(BU487="Aussen","Aussenlager",IF(BU487="-","Nicht im Lift",IF(BA487&gt;=1,"Lift",IF(BA487&lt;=0,"Aussenlager","teilweise")))))</f>
        <v>Aussenlager</v>
      </c>
      <c r="BE487" s="55" t="str">
        <f aca="false">IF(A487="","",IF(BN487=1,"Neu; ","")&amp;IF(AND(BN487=0,BI487&lt;0),"negativer Bestand (Export "&amp;BI487&amp;"); ","")&amp;IF(I487&lt;=0,"Kein Verbrauch; ","")&amp;IF(CD487&gt;0,"Lift "&amp;U487&amp;" lt. Liftbericht (Fach "&amp;V487&amp;" Stk); ",IF(BR487=1,"Lose – Fläche geschätzt; ",""))&amp;IF(G487&gt;AP487,"Überbestand "&amp;ROUND(G487-AP487,0)&amp;" Stk / CHF "&amp;ROUND((G487-AP487)*F487,0)&amp;"; ","")&amp;IF(AND(BW487=1,BX487&lt;BY487),"MAX &lt; MB+LG; ","")&amp;IF(AND(CC487&gt;0,CB487*10&gt;CC487),"zu hoch für Tablar; ","")&amp;IF(AND(BN487=0,OR(BW487=1,Y487&lt;&gt;"",S487&lt;&gt;"",T487&lt;&gt;"",Z487&lt;&gt;"")),"manuell übersteuert; ","")&amp;IF(AND(BR487=0,Q487=0),"Gebinde unbekannt / Stellmass fehlt; ","")&amp;IF(AND(BR487=0,N(T487)&lt;=0,N(P487)&lt;=0),"Menge pro Gebinde fehlt (Ist = 1 Gebinde); ","")&amp;BM487)</f>
        <v>Kein Verbrauch; Lose – Fläche geschätzt; Überbestand 20 Stk / CHF 30; </v>
      </c>
      <c r="BF487" s="55"/>
      <c r="BG487" s="55"/>
      <c r="BH487" s="62"/>
      <c r="BI487" s="57" t="n">
        <v>30</v>
      </c>
      <c r="BJ487" s="57" t="n">
        <v>0</v>
      </c>
      <c r="BK487" s="56" t="n">
        <v>44.7</v>
      </c>
      <c r="BL487" s="57" t="n">
        <v>0</v>
      </c>
      <c r="BM487" s="55"/>
      <c r="BN487" s="60" t="n">
        <v>0</v>
      </c>
      <c r="BO487" s="60" t="n">
        <v>487</v>
      </c>
      <c r="BP487" s="55" t="str">
        <f aca="false">IF(S487&lt;&gt;"",UPPER(TRIM(S487)),IF(O487="","LOSE",O487))</f>
        <v>LOSE</v>
      </c>
      <c r="BQ487" s="57" t="n">
        <f aca="false">IF(BP487="LOSE",1,IF(N(T487)&gt;0,T487,IF(N(P487)&gt;0,P487,MAX(1,G487))))</f>
        <v>1</v>
      </c>
      <c r="BR487" s="60" t="n">
        <f aca="false">IF(BP487="LOSE",1,0)</f>
        <v>1</v>
      </c>
      <c r="BS487" s="59" t="n">
        <f aca="false">IF(BR487=0,0,IF(N(R487)&gt;0,R487,IFERROR(VLOOKUP(D487,Parameter!$A$35:$C$64,3,0)+0,0)))</f>
        <v>0.03</v>
      </c>
      <c r="BT487" s="55" t="n">
        <f aca="false">IF(Y487&lt;&gt;"",Y487,X487)</f>
        <v>2</v>
      </c>
      <c r="BU487" s="55" t="str">
        <f aca="false">IF(BT487=1,"L1",IF(OR(BT487=2,BT487=3),"L23",IF(BT487="Aussen","Aussen","-")))</f>
        <v>L23</v>
      </c>
      <c r="BV487" s="66" t="n">
        <f aca="false">IF(N(Z487)&gt;0,Z487,0)</f>
        <v>0</v>
      </c>
      <c r="BW487" s="60" t="n">
        <f aca="false">IF(ISNUMBER(AC487),1,0)</f>
        <v>0</v>
      </c>
      <c r="BX487" s="57" t="n">
        <f aca="false">N(AC487)</f>
        <v>0</v>
      </c>
      <c r="BY487" s="57" t="n">
        <f aca="false">N(L487)+N(M487)</f>
        <v>10</v>
      </c>
      <c r="BZ487" s="57" t="n">
        <f aca="false">ROUNDUP(G487/BQ487,0)</f>
        <v>30</v>
      </c>
      <c r="CA487" s="57" t="n">
        <f aca="false">ROUNDUP(BX487/BQ487,0)</f>
        <v>0</v>
      </c>
      <c r="CB487" s="60" t="n">
        <f aca="false">IF(BR487=1,0,IFERROR(VLOOKUP(BP487,'Gebinde-Kategorie'!$A$5:$M$45,5,0)+0,0))</f>
        <v>0</v>
      </c>
      <c r="CC487" s="60" t="n">
        <f aca="false">IFERROR(IF(OR(BT487=1,BT487=2,BT487=3),N(INDEX(Parameter!$I$5:$I$7,BT487)),0),0)</f>
        <v>0</v>
      </c>
      <c r="CD487" s="59" t="n">
        <f aca="false">IF(AND(Parameter!$B$21="Ja",ISNUMBER(U487),N(V487)&gt;0),IFERROR(N(INDEX(Parameter!$L$5:$L$7,U487))*INDEX(Parameter!$E$5:$E$7,U487)*V487/SUMIFS($V$7:$V$1576,$U$7:$U$1576,U487),0),0)</f>
        <v>0</v>
      </c>
    </row>
    <row r="488" customFormat="false" ht="15" hidden="false" customHeight="false" outlineLevel="0" collapsed="false">
      <c r="A488" s="55" t="s">
        <v>1070</v>
      </c>
      <c r="B488" s="55" t="s">
        <v>521</v>
      </c>
      <c r="C488" s="55" t="s">
        <v>162</v>
      </c>
      <c r="D488" s="55" t="s">
        <v>178</v>
      </c>
      <c r="E488" s="55" t="s">
        <v>210</v>
      </c>
      <c r="F488" s="56" t="n">
        <v>14.75</v>
      </c>
      <c r="G488" s="57" t="n">
        <f aca="false">MAX(0,IF(AND(Parameter!$B$21="Ja",ISNUMBER(W488)),W488,IF(Parameter!$B$20="Jahresanfang 2025 + Export",BJ488+BI488,BI488)))</f>
        <v>3</v>
      </c>
      <c r="H488" s="57" t="n">
        <f aca="false">G488*F488</f>
        <v>44.25</v>
      </c>
      <c r="I488" s="57" t="n">
        <f aca="false">BL488*Parameter!$B$18</f>
        <v>0</v>
      </c>
      <c r="J488" s="58" t="n">
        <v>43.5</v>
      </c>
      <c r="K488" s="59" t="n">
        <v>0</v>
      </c>
      <c r="L488" s="57" t="n">
        <v>0</v>
      </c>
      <c r="M488" s="57" t="n">
        <v>1</v>
      </c>
      <c r="N488" s="60" t="n">
        <v>21</v>
      </c>
      <c r="O488" s="55" t="s">
        <v>163</v>
      </c>
      <c r="P488" s="57"/>
      <c r="Q488" s="60" t="n">
        <f aca="false">IF(BR488=1,0,IFERROR(VLOOKUP(BP488,'Gebinde-Kategorie'!$A$5:$M$45,13,0)+0,0))</f>
        <v>0</v>
      </c>
      <c r="R488" s="61"/>
      <c r="S488" s="62"/>
      <c r="T488" s="62"/>
      <c r="U488" s="55"/>
      <c r="V488" s="57"/>
      <c r="W488" s="57"/>
      <c r="X488" s="55" t="n">
        <f aca="false">IF(A488="","",IF(AND(Parameter!$B$21="Ja",ISNUMBER(U488)),U488,IF(IFERROR(VLOOKUP(D488,Parameter!$A$35:$C$64,2,0),"Nein")="2+3",IF(ISNUMBER(SEARCH("grosser Artikel",BM488)),2,IFERROR(VLOOKUP(BP488,Parameter!$F$35:$G$64,2,0),2)),IF(OR(IFERROR(VLOOKUP(D488,Parameter!$A$35:$C$64,2,0),"Nein")="Nein",IFERROR(VLOOKUP(D488,Parameter!$A$35:$C$64,2,0),"Nein")=""),"-",VLOOKUP(D488,Parameter!$A$35:$C$64,2,0)))))</f>
        <v>2</v>
      </c>
      <c r="Y488" s="62"/>
      <c r="Z488" s="63"/>
      <c r="AA488" s="57" t="n">
        <f aca="false">AP488</f>
        <v>1</v>
      </c>
      <c r="AB488" s="57" t="n">
        <f aca="false">MAX(AP488,G488)</f>
        <v>3</v>
      </c>
      <c r="AC488" s="64"/>
      <c r="AD488" s="57" t="n">
        <f aca="false">IF(LEFT(Cockpit!$C$5,1)="A",G488,IF(BW488=1,BX488,IF(LEFT(Cockpit!$C$5,1)="B",AH488,MAX(AH488,G488))))</f>
        <v>3</v>
      </c>
      <c r="AE488" s="57" t="n">
        <f aca="false">IF(BR488=1,0,ROUNDUP(AD488/BQ488,0))</f>
        <v>0</v>
      </c>
      <c r="AF488" s="59" t="n">
        <f aca="false">IF(CD488&gt;0,CD488*MAX(1,AD488/V488),IF(BR488=1,IF(AD488&lt;=0,0,BS488*MAX(1,IF(G488&gt;0,AD488/G488,1))),IF(Q488&gt;0,AE488/Q488,0))/MAX(0.1,N(Parameter!$M$21)))</f>
        <v>0.03</v>
      </c>
      <c r="AG488" s="57" t="n">
        <f aca="false">AD488*F488</f>
        <v>44.25</v>
      </c>
      <c r="AH488" s="57" t="n">
        <f aca="false">ROUNDUP(MAX(I488/IF(BV488&gt;0,BV488,MAX(0.1,N(Cockpit!$C$6))),BY488)/BQ488,0)*BQ488</f>
        <v>1</v>
      </c>
      <c r="AI488" s="58" t="n">
        <f aca="false">IF(AF488&gt;0,I488/AF488,-1)</f>
        <v>0</v>
      </c>
      <c r="AJ488" s="58" t="n">
        <f aca="false">IF(AND(OR(BU488="L1",BU488="L23"),AF488&gt;0),SUMIFS($AF$7:$AF$1576,$BU$7:$BU$1576,BU488,$AI$7:$AI$1576,"&gt;"&amp;AI488)+SUMIFS($AF$7:$AF$1576,$BU$7:$BU$1576,BU488,$AI$7:$AI$1576,AI488,$BO$7:$BO$1576,"&lt;="&amp;BO488),"")</f>
        <v>42.756505523462</v>
      </c>
      <c r="AK488" s="65" t="n">
        <f aca="false">IF(AJ488="",0,MAX(0,MIN(1,(IF(BU488="L1",Parameter!$E$5,Parameter!$E$6+Parameter!$E$7)-(AJ488-AF488))/AF488)))</f>
        <v>1</v>
      </c>
      <c r="AL488" s="57" t="n">
        <f aca="false">IF(LEFT(Cockpit!$I$5,1)="A",G488,IF(BW488=1,BX488,IF(LEFT(Cockpit!$I$5,1)="B",AP488,MAX(AP488,G488))))</f>
        <v>3</v>
      </c>
      <c r="AM488" s="57" t="n">
        <f aca="false">IF(BR488=1,0,ROUNDUP(AL488/BQ488,0))</f>
        <v>0</v>
      </c>
      <c r="AN488" s="59" t="n">
        <f aca="false">IF(CD488&gt;0,CD488*MAX(1,AL488/V488),IF(BR488=1,IF(AL488&lt;=0,0,BS488*MAX(1,IF(G488&gt;0,AL488/G488,1))),IF(Q488&gt;0,AM488/Q488,0))/MAX(0.1,N(Parameter!$M$21)))</f>
        <v>0.03</v>
      </c>
      <c r="AO488" s="57" t="n">
        <f aca="false">AL488*F488</f>
        <v>44.25</v>
      </c>
      <c r="AP488" s="57" t="n">
        <f aca="false">ROUNDUP(MAX(I488/IF(BV488&gt;0,BV488,MAX(0.1,N(Cockpit!$I$6))),BY488)/BQ488,0)*BQ488</f>
        <v>1</v>
      </c>
      <c r="AQ488" s="58" t="n">
        <f aca="false">IF(AN488&gt;0,I488/AN488,-1)</f>
        <v>0</v>
      </c>
      <c r="AR488" s="58" t="n">
        <f aca="false">IF(AND(OR(BU488="L1",BU488="L23"),AN488&gt;0),SUMIFS($AN$7:$AN$1576,$BU$7:$BU$1576,BU488,$AQ$7:$AQ$1576,"&gt;"&amp;AQ488)+SUMIFS($AN$7:$AN$1576,$BU$7:$BU$1576,BU488,$AQ$7:$AQ$1576,AQ488,$BO$7:$BO$1576,"&lt;="&amp;BO488),"")</f>
        <v>125.75329164198</v>
      </c>
      <c r="AS488" s="65" t="n">
        <f aca="false">IF(AR488="",0,MAX(0,MIN(1,(IF(BU488="L1",Parameter!$E$5,Parameter!$E$6+Parameter!$E$7)-(AR488-AN488))/AN488)))</f>
        <v>0</v>
      </c>
      <c r="AT488" s="57" t="n">
        <f aca="false">IF(LEFT(Cockpit!$O$5,1)="A",G488,IF(BW488=1,BX488,IF(LEFT(Cockpit!$O$5,1)="B",AX488,MAX(AX488,G488))))</f>
        <v>3</v>
      </c>
      <c r="AU488" s="57" t="n">
        <f aca="false">IF(BR488=1,0,ROUNDUP(AT488/BQ488,0))</f>
        <v>0</v>
      </c>
      <c r="AV488" s="59" t="n">
        <f aca="false">IF(CD488&gt;0,CD488*MAX(1,AT488/V488),IF(BR488=1,IF(AT488&lt;=0,0,BS488*MAX(1,IF(G488&gt;0,AT488/G488,1))),IF(Q488&gt;0,AU488/Q488,0))/MAX(0.1,N(Parameter!$M$21)))</f>
        <v>0.03</v>
      </c>
      <c r="AW488" s="57" t="n">
        <f aca="false">AT488*F488</f>
        <v>44.25</v>
      </c>
      <c r="AX488" s="57" t="n">
        <f aca="false">ROUNDUP(MAX(I488/IF(BV488&gt;0,BV488,MAX(0.1,N(Cockpit!$O$6))),BY488)/BQ488,0)*BQ488</f>
        <v>1</v>
      </c>
      <c r="AY488" s="58" t="n">
        <f aca="false">IF(AV488&gt;0,I488/AV488,-1)</f>
        <v>0</v>
      </c>
      <c r="AZ488" s="58" t="n">
        <f aca="false">IF(AND(OR(BU488="L1",BU488="L23"),AV488&gt;0),SUMIFS($AV$7:$AV$1576,$BU$7:$BU$1576,BU488,$AY$7:$AY$1576,"&gt;"&amp;AY488)+SUMIFS($AV$7:$AV$1576,$BU$7:$BU$1576,BU488,$AY$7:$AY$1576,AY488,$BO$7:$BO$1576,"&lt;="&amp;BO488),"")</f>
        <v>115.812842091531</v>
      </c>
      <c r="BA488" s="65" t="n">
        <f aca="false">IF(AZ488="",0,MAX(0,MIN(1,(IF(BU488="L1",Parameter!$E$5,Parameter!$E$6+Parameter!$E$7)-(AZ488-AV488))/AV488)))</f>
        <v>0</v>
      </c>
      <c r="BB488" s="55" t="str">
        <f aca="false">IF(AF488&lt;=0,"",IF(BU488="Aussen","Aussenlager",IF(BU488="-","Nicht im Lift",IF(AK488&gt;=1,"Lift",IF(AK488&lt;=0,"Aussenlager","teilweise")))))</f>
        <v>Lift</v>
      </c>
      <c r="BC488" s="55" t="str">
        <f aca="false">IF(AN488&lt;=0,"",IF(BU488="Aussen","Aussenlager",IF(BU488="-","Nicht im Lift",IF(AS488&gt;=1,"Lift",IF(AS488&lt;=0,"Aussenlager","teilweise")))))</f>
        <v>Aussenlager</v>
      </c>
      <c r="BD488" s="55" t="str">
        <f aca="false">IF(AV488&lt;=0,"",IF(BU488="Aussen","Aussenlager",IF(BU488="-","Nicht im Lift",IF(BA488&gt;=1,"Lift",IF(BA488&lt;=0,"Aussenlager","teilweise")))))</f>
        <v>Aussenlager</v>
      </c>
      <c r="BE488" s="55" t="str">
        <f aca="false">IF(A488="","",IF(BN488=1,"Neu; ","")&amp;IF(AND(BN488=0,BI488&lt;0),"negativer Bestand (Export "&amp;BI488&amp;"); ","")&amp;IF(I488&lt;=0,"Kein Verbrauch; ","")&amp;IF(CD488&gt;0,"Lift "&amp;U488&amp;" lt. Liftbericht (Fach "&amp;V488&amp;" Stk); ",IF(BR488=1,"Lose – Fläche geschätzt; ",""))&amp;IF(G488&gt;AP488,"Überbestand "&amp;ROUND(G488-AP488,0)&amp;" Stk / CHF "&amp;ROUND((G488-AP488)*F488,0)&amp;"; ","")&amp;IF(AND(BW488=1,BX488&lt;BY488),"MAX &lt; MB+LG; ","")&amp;IF(AND(CC488&gt;0,CB488*10&gt;CC488),"zu hoch für Tablar; ","")&amp;IF(AND(BN488=0,OR(BW488=1,Y488&lt;&gt;"",S488&lt;&gt;"",T488&lt;&gt;"",Z488&lt;&gt;"")),"manuell übersteuert; ","")&amp;IF(AND(BR488=0,Q488=0),"Gebinde unbekannt / Stellmass fehlt; ","")&amp;IF(AND(BR488=0,N(T488)&lt;=0,N(P488)&lt;=0),"Menge pro Gebinde fehlt (Ist = 1 Gebinde); ","")&amp;BM488)</f>
        <v>Kein Verbrauch; Lose – Fläche geschätzt; Überbestand 2 Stk / CHF 30; </v>
      </c>
      <c r="BF488" s="55"/>
      <c r="BG488" s="55"/>
      <c r="BH488" s="62"/>
      <c r="BI488" s="57" t="n">
        <v>3</v>
      </c>
      <c r="BJ488" s="57" t="n">
        <v>42</v>
      </c>
      <c r="BK488" s="56" t="n">
        <v>44.25</v>
      </c>
      <c r="BL488" s="57" t="n">
        <v>0</v>
      </c>
      <c r="BM488" s="55"/>
      <c r="BN488" s="60" t="n">
        <v>0</v>
      </c>
      <c r="BO488" s="60" t="n">
        <v>488</v>
      </c>
      <c r="BP488" s="55" t="str">
        <f aca="false">IF(S488&lt;&gt;"",UPPER(TRIM(S488)),IF(O488="","LOSE",O488))</f>
        <v>LOSE</v>
      </c>
      <c r="BQ488" s="57" t="n">
        <f aca="false">IF(BP488="LOSE",1,IF(N(T488)&gt;0,T488,IF(N(P488)&gt;0,P488,MAX(1,G488))))</f>
        <v>1</v>
      </c>
      <c r="BR488" s="60" t="n">
        <f aca="false">IF(BP488="LOSE",1,0)</f>
        <v>1</v>
      </c>
      <c r="BS488" s="59" t="n">
        <f aca="false">IF(BR488=0,0,IF(N(R488)&gt;0,R488,IFERROR(VLOOKUP(D488,Parameter!$A$35:$C$64,3,0)+0,0)))</f>
        <v>0.03</v>
      </c>
      <c r="BT488" s="55" t="n">
        <f aca="false">IF(Y488&lt;&gt;"",Y488,X488)</f>
        <v>2</v>
      </c>
      <c r="BU488" s="55" t="str">
        <f aca="false">IF(BT488=1,"L1",IF(OR(BT488=2,BT488=3),"L23",IF(BT488="Aussen","Aussen","-")))</f>
        <v>L23</v>
      </c>
      <c r="BV488" s="66" t="n">
        <f aca="false">IF(N(Z488)&gt;0,Z488,0)</f>
        <v>0</v>
      </c>
      <c r="BW488" s="60" t="n">
        <f aca="false">IF(ISNUMBER(AC488),1,0)</f>
        <v>0</v>
      </c>
      <c r="BX488" s="57" t="n">
        <f aca="false">N(AC488)</f>
        <v>0</v>
      </c>
      <c r="BY488" s="57" t="n">
        <f aca="false">N(L488)+N(M488)</f>
        <v>1</v>
      </c>
      <c r="BZ488" s="57" t="n">
        <f aca="false">ROUNDUP(G488/BQ488,0)</f>
        <v>3</v>
      </c>
      <c r="CA488" s="57" t="n">
        <f aca="false">ROUNDUP(BX488/BQ488,0)</f>
        <v>0</v>
      </c>
      <c r="CB488" s="60" t="n">
        <f aca="false">IF(BR488=1,0,IFERROR(VLOOKUP(BP488,'Gebinde-Kategorie'!$A$5:$M$45,5,0)+0,0))</f>
        <v>0</v>
      </c>
      <c r="CC488" s="60" t="n">
        <f aca="false">IFERROR(IF(OR(BT488=1,BT488=2,BT488=3),N(INDEX(Parameter!$I$5:$I$7,BT488)),0),0)</f>
        <v>0</v>
      </c>
      <c r="CD488" s="59" t="n">
        <f aca="false">IF(AND(Parameter!$B$21="Ja",ISNUMBER(U488),N(V488)&gt;0),IFERROR(N(INDEX(Parameter!$L$5:$L$7,U488))*INDEX(Parameter!$E$5:$E$7,U488)*V488/SUMIFS($V$7:$V$1576,$U$7:$U$1576,U488),0),0)</f>
        <v>0</v>
      </c>
    </row>
    <row r="489" customFormat="false" ht="15" hidden="false" customHeight="false" outlineLevel="0" collapsed="false">
      <c r="A489" s="55" t="s">
        <v>1071</v>
      </c>
      <c r="B489" s="55" t="s">
        <v>1072</v>
      </c>
      <c r="C489" s="55" t="s">
        <v>160</v>
      </c>
      <c r="D489" s="55" t="s">
        <v>178</v>
      </c>
      <c r="E489" s="55" t="s">
        <v>210</v>
      </c>
      <c r="F489" s="56" t="n">
        <v>3.74</v>
      </c>
      <c r="G489" s="57" t="n">
        <f aca="false">MAX(0,IF(AND(Parameter!$B$21="Ja",ISNUMBER(W489)),W489,IF(Parameter!$B$20="Jahresanfang 2025 + Export",BJ489+BI489,BI489)))</f>
        <v>10</v>
      </c>
      <c r="H489" s="57" t="n">
        <f aca="false">G489*F489</f>
        <v>37.4</v>
      </c>
      <c r="I489" s="57" t="n">
        <f aca="false">BL489*Parameter!$B$18</f>
        <v>16</v>
      </c>
      <c r="J489" s="58" t="n">
        <v>55</v>
      </c>
      <c r="K489" s="59" t="n">
        <v>0.290909090909091</v>
      </c>
      <c r="L489" s="57" t="n">
        <v>2</v>
      </c>
      <c r="M489" s="57" t="n">
        <v>50</v>
      </c>
      <c r="N489" s="60" t="n">
        <v>35</v>
      </c>
      <c r="O489" s="55" t="s">
        <v>319</v>
      </c>
      <c r="P489" s="57" t="n">
        <v>78</v>
      </c>
      <c r="Q489" s="60" t="n">
        <f aca="false">IF(BR489=1,0,IFERROR(VLOOKUP(BP489,'Gebinde-Kategorie'!$A$5:$M$45,13,0)+0,0))</f>
        <v>52</v>
      </c>
      <c r="R489" s="61"/>
      <c r="S489" s="62"/>
      <c r="T489" s="62"/>
      <c r="U489" s="55"/>
      <c r="V489" s="57"/>
      <c r="W489" s="57"/>
      <c r="X489" s="55" t="n">
        <f aca="false">IF(A489="","",IF(AND(Parameter!$B$21="Ja",ISNUMBER(U489)),U489,IF(IFERROR(VLOOKUP(D489,Parameter!$A$35:$C$64,2,0),"Nein")="2+3",IF(ISNUMBER(SEARCH("grosser Artikel",BM489)),2,IFERROR(VLOOKUP(BP489,Parameter!$F$35:$G$64,2,0),2)),IF(OR(IFERROR(VLOOKUP(D489,Parameter!$A$35:$C$64,2,0),"Nein")="Nein",IFERROR(VLOOKUP(D489,Parameter!$A$35:$C$64,2,0),"Nein")=""),"-",VLOOKUP(D489,Parameter!$A$35:$C$64,2,0)))))</f>
        <v>3</v>
      </c>
      <c r="Y489" s="62"/>
      <c r="Z489" s="63"/>
      <c r="AA489" s="57" t="n">
        <f aca="false">AP489</f>
        <v>78</v>
      </c>
      <c r="AB489" s="57" t="n">
        <f aca="false">MAX(AP489,G489)</f>
        <v>78</v>
      </c>
      <c r="AC489" s="64"/>
      <c r="AD489" s="57" t="n">
        <f aca="false">IF(LEFT(Cockpit!$C$5,1)="A",G489,IF(BW489=1,BX489,IF(LEFT(Cockpit!$C$5,1)="B",AH489,MAX(AH489,G489))))</f>
        <v>10</v>
      </c>
      <c r="AE489" s="57" t="n">
        <f aca="false">IF(BR489=1,0,ROUNDUP(AD489/BQ489,0))</f>
        <v>1</v>
      </c>
      <c r="AF489" s="59" t="n">
        <f aca="false">IF(CD489&gt;0,CD489*MAX(1,AD489/V489),IF(BR489=1,IF(AD489&lt;=0,0,BS489*MAX(1,IF(G489&gt;0,AD489/G489,1))),IF(Q489&gt;0,AE489/Q489,0))/MAX(0.1,N(Parameter!$M$21)))</f>
        <v>0.0192307692307692</v>
      </c>
      <c r="AG489" s="57" t="n">
        <f aca="false">AD489*F489</f>
        <v>37.4</v>
      </c>
      <c r="AH489" s="57" t="n">
        <f aca="false">ROUNDUP(MAX(I489/IF(BV489&gt;0,BV489,MAX(0.1,N(Cockpit!$C$6))),BY489)/BQ489,0)*BQ489</f>
        <v>78</v>
      </c>
      <c r="AI489" s="58" t="n">
        <f aca="false">IF(AF489&gt;0,I489/AF489,-1)</f>
        <v>832</v>
      </c>
      <c r="AJ489" s="58" t="n">
        <f aca="false">IF(AND(OR(BU489="L1",BU489="L23"),AF489&gt;0),SUMIFS($AF$7:$AF$1576,$BU$7:$BU$1576,BU489,$AI$7:$AI$1576,"&gt;"&amp;AI489)+SUMIFS($AF$7:$AF$1576,$BU$7:$BU$1576,BU489,$AI$7:$AI$1576,AI489,$BO$7:$BO$1576,"&lt;="&amp;BO489),"")</f>
        <v>10.390545589676</v>
      </c>
      <c r="AK489" s="65" t="n">
        <f aca="false">IF(AJ489="",0,MAX(0,MIN(1,(IF(BU489="L1",Parameter!$E$5,Parameter!$E$6+Parameter!$E$7)-(AJ489-AF489))/AF489)))</f>
        <v>1</v>
      </c>
      <c r="AL489" s="57" t="n">
        <f aca="false">IF(LEFT(Cockpit!$I$5,1)="A",G489,IF(BW489=1,BX489,IF(LEFT(Cockpit!$I$5,1)="B",AP489,MAX(AP489,G489))))</f>
        <v>78</v>
      </c>
      <c r="AM489" s="57" t="n">
        <f aca="false">IF(BR489=1,0,ROUNDUP(AL489/BQ489,0))</f>
        <v>1</v>
      </c>
      <c r="AN489" s="59" t="n">
        <f aca="false">IF(CD489&gt;0,CD489*MAX(1,AL489/V489),IF(BR489=1,IF(AL489&lt;=0,0,BS489*MAX(1,IF(G489&gt;0,AL489/G489,1))),IF(Q489&gt;0,AM489/Q489,0))/MAX(0.1,N(Parameter!$M$21)))</f>
        <v>0.0192307692307692</v>
      </c>
      <c r="AO489" s="57" t="n">
        <f aca="false">AL489*F489</f>
        <v>291.72</v>
      </c>
      <c r="AP489" s="57" t="n">
        <f aca="false">ROUNDUP(MAX(I489/IF(BV489&gt;0,BV489,MAX(0.1,N(Cockpit!$I$6))),BY489)/BQ489,0)*BQ489</f>
        <v>78</v>
      </c>
      <c r="AQ489" s="58" t="n">
        <f aca="false">IF(AN489&gt;0,I489/AN489,-1)</f>
        <v>832</v>
      </c>
      <c r="AR489" s="58" t="n">
        <f aca="false">IF(AND(OR(BU489="L1",BU489="L23"),AN489&gt;0),SUMIFS($AN$7:$AN$1576,$BU$7:$BU$1576,BU489,$AQ$7:$AQ$1576,"&gt;"&amp;AQ489)+SUMIFS($AN$7:$AN$1576,$BU$7:$BU$1576,BU489,$AQ$7:$AQ$1576,AQ489,$BO$7:$BO$1576,"&lt;="&amp;BO489),"")</f>
        <v>25.5836971365344</v>
      </c>
      <c r="AS489" s="65" t="n">
        <f aca="false">IF(AR489="",0,MAX(0,MIN(1,(IF(BU489="L1",Parameter!$E$5,Parameter!$E$6+Parameter!$E$7)-(AR489-AN489))/AN489)))</f>
        <v>1</v>
      </c>
      <c r="AT489" s="57" t="n">
        <f aca="false">IF(LEFT(Cockpit!$O$5,1)="A",G489,IF(BW489=1,BX489,IF(LEFT(Cockpit!$O$5,1)="B",AX489,MAX(AX489,G489))))</f>
        <v>78</v>
      </c>
      <c r="AU489" s="57" t="n">
        <f aca="false">IF(BR489=1,0,ROUNDUP(AT489/BQ489,0))</f>
        <v>1</v>
      </c>
      <c r="AV489" s="59" t="n">
        <f aca="false">IF(CD489&gt;0,CD489*MAX(1,AT489/V489),IF(BR489=1,IF(AT489&lt;=0,0,BS489*MAX(1,IF(G489&gt;0,AT489/G489,1))),IF(Q489&gt;0,AU489/Q489,0))/MAX(0.1,N(Parameter!$M$21)))</f>
        <v>0.0192307692307692</v>
      </c>
      <c r="AW489" s="57" t="n">
        <f aca="false">AT489*F489</f>
        <v>291.72</v>
      </c>
      <c r="AX489" s="57" t="n">
        <f aca="false">ROUNDUP(MAX(I489/IF(BV489&gt;0,BV489,MAX(0.1,N(Cockpit!$O$6))),BY489)/BQ489,0)*BQ489</f>
        <v>78</v>
      </c>
      <c r="AY489" s="58" t="n">
        <f aca="false">IF(AV489&gt;0,I489/AV489,-1)</f>
        <v>832</v>
      </c>
      <c r="AZ489" s="58" t="n">
        <f aca="false">IF(AND(OR(BU489="L1",BU489="L23"),AV489&gt;0),SUMIFS($AV$7:$AV$1576,$BU$7:$BU$1576,BU489,$AY$7:$AY$1576,"&gt;"&amp;AY489)+SUMIFS($AV$7:$AV$1576,$BU$7:$BU$1576,BU489,$AY$7:$AY$1576,AY489,$BO$7:$BO$1576,"&lt;="&amp;BO489),"")</f>
        <v>25.8173801202174</v>
      </c>
      <c r="BA489" s="65" t="n">
        <f aca="false">IF(AZ489="",0,MAX(0,MIN(1,(IF(BU489="L1",Parameter!$E$5,Parameter!$E$6+Parameter!$E$7)-(AZ489-AV489))/AV489)))</f>
        <v>1</v>
      </c>
      <c r="BB489" s="55" t="str">
        <f aca="false">IF(AF489&lt;=0,"",IF(BU489="Aussen","Aussenlager",IF(BU489="-","Nicht im Lift",IF(AK489&gt;=1,"Lift",IF(AK489&lt;=0,"Aussenlager","teilweise")))))</f>
        <v>Lift</v>
      </c>
      <c r="BC489" s="55" t="str">
        <f aca="false">IF(AN489&lt;=0,"",IF(BU489="Aussen","Aussenlager",IF(BU489="-","Nicht im Lift",IF(AS489&gt;=1,"Lift",IF(AS489&lt;=0,"Aussenlager","teilweise")))))</f>
        <v>Lift</v>
      </c>
      <c r="BD489" s="55" t="str">
        <f aca="false">IF(AV489&lt;=0,"",IF(BU489="Aussen","Aussenlager",IF(BU489="-","Nicht im Lift",IF(BA489&gt;=1,"Lift",IF(BA489&lt;=0,"Aussenlager","teilweise")))))</f>
        <v>Lift</v>
      </c>
      <c r="BE489" s="55" t="str">
        <f aca="false">IF(A489="","",IF(BN489=1,"Neu; ","")&amp;IF(AND(BN489=0,BI489&lt;0),"negativer Bestand (Export "&amp;BI489&amp;"); ","")&amp;IF(I489&lt;=0,"Kein Verbrauch; ","")&amp;IF(CD489&gt;0,"Lift "&amp;U489&amp;" lt. Liftbericht (Fach "&amp;V489&amp;" Stk); ",IF(BR489=1,"Lose – Fläche geschätzt; ",""))&amp;IF(G489&gt;AP489,"Überbestand "&amp;ROUND(G489-AP489,0)&amp;" Stk / CHF "&amp;ROUND((G489-AP489)*F489,0)&amp;"; ","")&amp;IF(AND(BW489=1,BX489&lt;BY489),"MAX &lt; MB+LG; ","")&amp;IF(AND(CC489&gt;0,CB489*10&gt;CC489),"zu hoch für Tablar; ","")&amp;IF(AND(BN489=0,OR(BW489=1,Y489&lt;&gt;"",S489&lt;&gt;"",T489&lt;&gt;"",Z489&lt;&gt;"")),"manuell übersteuert; ","")&amp;IF(AND(BR489=0,Q489=0),"Gebinde unbekannt / Stellmass fehlt; ","")&amp;IF(AND(BR489=0,N(T489)&lt;=0,N(P489)&lt;=0),"Menge pro Gebinde fehlt (Ist = 1 Gebinde); ","")&amp;BM489)</f>
        <v>Neu</v>
      </c>
      <c r="BF489" s="55"/>
      <c r="BG489" s="55"/>
      <c r="BH489" s="62"/>
      <c r="BI489" s="57" t="n">
        <v>10</v>
      </c>
      <c r="BJ489" s="57" t="n">
        <v>42</v>
      </c>
      <c r="BK489" s="56" t="n">
        <v>44.12</v>
      </c>
      <c r="BL489" s="57" t="n">
        <v>16</v>
      </c>
      <c r="BM489" s="55" t="s">
        <v>615</v>
      </c>
      <c r="BN489" s="60" t="n">
        <v>0</v>
      </c>
      <c r="BO489" s="60" t="n">
        <v>489</v>
      </c>
      <c r="BP489" s="55" t="str">
        <f aca="false">IF(S489&lt;&gt;"",UPPER(TRIM(S489)),IF(O489="","LOSE",O489))</f>
        <v>S41</v>
      </c>
      <c r="BQ489" s="57" t="n">
        <f aca="false">IF(BP489="LOSE",1,IF(N(T489)&gt;0,T489,IF(N(P489)&gt;0,P489,MAX(1,G489))))</f>
        <v>78</v>
      </c>
      <c r="BR489" s="60" t="n">
        <f aca="false">IF(BP489="LOSE",1,0)</f>
        <v>0</v>
      </c>
      <c r="BS489" s="59" t="n">
        <f aca="false">IF(BR489=0,0,IF(N(R489)&gt;0,R489,IFERROR(VLOOKUP(D489,Parameter!$A$35:$C$64,3,0)+0,0)))</f>
        <v>0</v>
      </c>
      <c r="BT489" s="55" t="n">
        <f aca="false">IF(Y489&lt;&gt;"",Y489,X489)</f>
        <v>3</v>
      </c>
      <c r="BU489" s="55" t="str">
        <f aca="false">IF(BT489=1,"L1",IF(OR(BT489=2,BT489=3),"L23",IF(BT489="Aussen","Aussen","-")))</f>
        <v>L23</v>
      </c>
      <c r="BV489" s="66" t="n">
        <f aca="false">IF(N(Z489)&gt;0,Z489,0)</f>
        <v>0</v>
      </c>
      <c r="BW489" s="60" t="n">
        <f aca="false">IF(ISNUMBER(AC489),1,0)</f>
        <v>0</v>
      </c>
      <c r="BX489" s="57" t="n">
        <f aca="false">N(AC489)</f>
        <v>0</v>
      </c>
      <c r="BY489" s="57" t="n">
        <f aca="false">N(L489)+N(M489)</f>
        <v>52</v>
      </c>
      <c r="BZ489" s="57" t="n">
        <f aca="false">ROUNDUP(G489/BQ489,0)</f>
        <v>1</v>
      </c>
      <c r="CA489" s="57" t="n">
        <f aca="false">ROUNDUP(BX489/BQ489,0)</f>
        <v>0</v>
      </c>
      <c r="CB489" s="60" t="n">
        <f aca="false">IF(BR489=1,0,IFERROR(VLOOKUP(BP489,'Gebinde-Kategorie'!$A$5:$M$45,5,0)+0,0))</f>
        <v>11</v>
      </c>
      <c r="CC489" s="60" t="n">
        <f aca="false">IFERROR(IF(OR(BT489=1,BT489=2,BT489=3),N(INDEX(Parameter!$I$5:$I$7,BT489)),0),0)</f>
        <v>0</v>
      </c>
      <c r="CD489" s="59" t="n">
        <f aca="false">IF(AND(Parameter!$B$21="Ja",ISNUMBER(U489),N(V489)&gt;0),IFERROR(N(INDEX(Parameter!$L$5:$L$7,U489))*INDEX(Parameter!$E$5:$E$7,U489)*V489/SUMIFS($V$7:$V$1576,$U$7:$U$1576,U489),0),0)</f>
        <v>0</v>
      </c>
    </row>
    <row r="490" customFormat="false" ht="15" hidden="false" customHeight="false" outlineLevel="0" collapsed="false">
      <c r="A490" s="55" t="s">
        <v>1073</v>
      </c>
      <c r="B490" s="55" t="s">
        <v>496</v>
      </c>
      <c r="C490" s="55" t="s">
        <v>160</v>
      </c>
      <c r="D490" s="55" t="s">
        <v>178</v>
      </c>
      <c r="E490" s="55" t="s">
        <v>210</v>
      </c>
      <c r="F490" s="56" t="n">
        <v>2.3</v>
      </c>
      <c r="G490" s="57" t="n">
        <f aca="false">MAX(0,IF(AND(Parameter!$B$21="Ja",ISNUMBER(W490)),W490,IF(Parameter!$B$20="Jahresanfang 2025 + Export",BJ490+BI490,BI490)))</f>
        <v>26</v>
      </c>
      <c r="H490" s="57" t="n">
        <f aca="false">G490*F490</f>
        <v>59.8</v>
      </c>
      <c r="I490" s="57" t="n">
        <f aca="false">BL490*Parameter!$B$18</f>
        <v>116</v>
      </c>
      <c r="J490" s="58" t="n">
        <v>85</v>
      </c>
      <c r="K490" s="59" t="n">
        <v>1.36470588235294</v>
      </c>
      <c r="L490" s="57" t="n">
        <v>6</v>
      </c>
      <c r="M490" s="57" t="n">
        <v>115</v>
      </c>
      <c r="N490" s="60" t="n">
        <v>21</v>
      </c>
      <c r="O490" s="55" t="s">
        <v>293</v>
      </c>
      <c r="P490" s="57" t="n">
        <v>295</v>
      </c>
      <c r="Q490" s="60" t="n">
        <f aca="false">IF(BR490=1,0,IFERROR(VLOOKUP(BP490,'Gebinde-Kategorie'!$A$5:$M$45,13,0)+0,0))</f>
        <v>26</v>
      </c>
      <c r="R490" s="61"/>
      <c r="S490" s="62"/>
      <c r="T490" s="62"/>
      <c r="U490" s="55"/>
      <c r="V490" s="57"/>
      <c r="W490" s="57"/>
      <c r="X490" s="55" t="n">
        <f aca="false">IF(A490="","",IF(AND(Parameter!$B$21="Ja",ISNUMBER(U490)),U490,IF(IFERROR(VLOOKUP(D490,Parameter!$A$35:$C$64,2,0),"Nein")="2+3",IF(ISNUMBER(SEARCH("grosser Artikel",BM490)),2,IFERROR(VLOOKUP(BP490,Parameter!$F$35:$G$64,2,0),2)),IF(OR(IFERROR(VLOOKUP(D490,Parameter!$A$35:$C$64,2,0),"Nein")="Nein",IFERROR(VLOOKUP(D490,Parameter!$A$35:$C$64,2,0),"Nein")=""),"-",VLOOKUP(D490,Parameter!$A$35:$C$64,2,0)))))</f>
        <v>3</v>
      </c>
      <c r="Y490" s="62"/>
      <c r="Z490" s="63"/>
      <c r="AA490" s="57" t="n">
        <f aca="false">AP490</f>
        <v>295</v>
      </c>
      <c r="AB490" s="57" t="n">
        <f aca="false">MAX(AP490,G490)</f>
        <v>295</v>
      </c>
      <c r="AC490" s="64"/>
      <c r="AD490" s="57" t="n">
        <f aca="false">IF(LEFT(Cockpit!$C$5,1)="A",G490,IF(BW490=1,BX490,IF(LEFT(Cockpit!$C$5,1)="B",AH490,MAX(AH490,G490))))</f>
        <v>26</v>
      </c>
      <c r="AE490" s="57" t="n">
        <f aca="false">IF(BR490=1,0,ROUNDUP(AD490/BQ490,0))</f>
        <v>1</v>
      </c>
      <c r="AF490" s="59" t="n">
        <f aca="false">IF(CD490&gt;0,CD490*MAX(1,AD490/V490),IF(BR490=1,IF(AD490&lt;=0,0,BS490*MAX(1,IF(G490&gt;0,AD490/G490,1))),IF(Q490&gt;0,AE490/Q490,0))/MAX(0.1,N(Parameter!$M$21)))</f>
        <v>0.0384615384615385</v>
      </c>
      <c r="AG490" s="57" t="n">
        <f aca="false">AD490*F490</f>
        <v>59.8</v>
      </c>
      <c r="AH490" s="57" t="n">
        <f aca="false">ROUNDUP(MAX(I490/IF(BV490&gt;0,BV490,MAX(0.1,N(Cockpit!$C$6))),BY490)/BQ490,0)*BQ490</f>
        <v>295</v>
      </c>
      <c r="AI490" s="58" t="n">
        <f aca="false">IF(AF490&gt;0,I490/AF490,-1)</f>
        <v>3016</v>
      </c>
      <c r="AJ490" s="58" t="n">
        <f aca="false">IF(AND(OR(BU490="L1",BU490="L23"),AF490&gt;0),SUMIFS($AF$7:$AF$1576,$BU$7:$BU$1576,BU490,$AI$7:$AI$1576,"&gt;"&amp;AI490)+SUMIFS($AF$7:$AF$1576,$BU$7:$BU$1576,BU490,$AI$7:$AI$1576,AI490,$BO$7:$BO$1576,"&lt;="&amp;BO490),"")</f>
        <v>4.86050606398432</v>
      </c>
      <c r="AK490" s="65" t="n">
        <f aca="false">IF(AJ490="",0,MAX(0,MIN(1,(IF(BU490="L1",Parameter!$E$5,Parameter!$E$6+Parameter!$E$7)-(AJ490-AF490))/AF490)))</f>
        <v>1</v>
      </c>
      <c r="AL490" s="57" t="n">
        <f aca="false">IF(LEFT(Cockpit!$I$5,1)="A",G490,IF(BW490=1,BX490,IF(LEFT(Cockpit!$I$5,1)="B",AP490,MAX(AP490,G490))))</f>
        <v>295</v>
      </c>
      <c r="AM490" s="57" t="n">
        <f aca="false">IF(BR490=1,0,ROUNDUP(AL490/BQ490,0))</f>
        <v>1</v>
      </c>
      <c r="AN490" s="59" t="n">
        <f aca="false">IF(CD490&gt;0,CD490*MAX(1,AL490/V490),IF(BR490=1,IF(AL490&lt;=0,0,BS490*MAX(1,IF(G490&gt;0,AL490/G490,1))),IF(Q490&gt;0,AM490/Q490,0))/MAX(0.1,N(Parameter!$M$21)))</f>
        <v>0.0384615384615385</v>
      </c>
      <c r="AO490" s="57" t="n">
        <f aca="false">AL490*F490</f>
        <v>678.5</v>
      </c>
      <c r="AP490" s="57" t="n">
        <f aca="false">ROUNDUP(MAX(I490/IF(BV490&gt;0,BV490,MAX(0.1,N(Cockpit!$I$6))),BY490)/BQ490,0)*BQ490</f>
        <v>295</v>
      </c>
      <c r="AQ490" s="58" t="n">
        <f aca="false">IF(AN490&gt;0,I490/AN490,-1)</f>
        <v>3016</v>
      </c>
      <c r="AR490" s="58" t="n">
        <f aca="false">IF(AND(OR(BU490="L1",BU490="L23"),AN490&gt;0),SUMIFS($AN$7:$AN$1576,$BU$7:$BU$1576,BU490,$AQ$7:$AQ$1576,"&gt;"&amp;AQ490)+SUMIFS($AN$7:$AN$1576,$BU$7:$BU$1576,BU490,$AQ$7:$AQ$1576,AQ490,$BO$7:$BO$1576,"&lt;="&amp;BO490),"")</f>
        <v>14.3953261477653</v>
      </c>
      <c r="AS490" s="65" t="n">
        <f aca="false">IF(AR490="",0,MAX(0,MIN(1,(IF(BU490="L1",Parameter!$E$5,Parameter!$E$6+Parameter!$E$7)-(AR490-AN490))/AN490)))</f>
        <v>1</v>
      </c>
      <c r="AT490" s="57" t="n">
        <f aca="false">IF(LEFT(Cockpit!$O$5,1)="A",G490,IF(BW490=1,BX490,IF(LEFT(Cockpit!$O$5,1)="B",AX490,MAX(AX490,G490))))</f>
        <v>295</v>
      </c>
      <c r="AU490" s="57" t="n">
        <f aca="false">IF(BR490=1,0,ROUNDUP(AT490/BQ490,0))</f>
        <v>1</v>
      </c>
      <c r="AV490" s="59" t="n">
        <f aca="false">IF(CD490&gt;0,CD490*MAX(1,AT490/V490),IF(BR490=1,IF(AT490&lt;=0,0,BS490*MAX(1,IF(G490&gt;0,AT490/G490,1))),IF(Q490&gt;0,AU490/Q490,0))/MAX(0.1,N(Parameter!$M$21)))</f>
        <v>0.0384615384615385</v>
      </c>
      <c r="AW490" s="57" t="n">
        <f aca="false">AT490*F490</f>
        <v>678.5</v>
      </c>
      <c r="AX490" s="57" t="n">
        <f aca="false">ROUNDUP(MAX(I490/IF(BV490&gt;0,BV490,MAX(0.1,N(Cockpit!$O$6))),BY490)/BQ490,0)*BQ490</f>
        <v>295</v>
      </c>
      <c r="AY490" s="58" t="n">
        <f aca="false">IF(AV490&gt;0,I490/AV490,-1)</f>
        <v>3016</v>
      </c>
      <c r="AZ490" s="58" t="n">
        <f aca="false">IF(AND(OR(BU490="L1",BU490="L23"),AV490&gt;0),SUMIFS($AV$7:$AV$1576,$BU$7:$BU$1576,BU490,$AY$7:$AY$1576,"&gt;"&amp;AY490)+SUMIFS($AV$7:$AV$1576,$BU$7:$BU$1576,BU490,$AY$7:$AY$1576,AY490,$BO$7:$BO$1576,"&lt;="&amp;BO490),"")</f>
        <v>13.1931116955508</v>
      </c>
      <c r="BA490" s="65" t="n">
        <f aca="false">IF(AZ490="",0,MAX(0,MIN(1,(IF(BU490="L1",Parameter!$E$5,Parameter!$E$6+Parameter!$E$7)-(AZ490-AV490))/AV490)))</f>
        <v>1</v>
      </c>
      <c r="BB490" s="55" t="str">
        <f aca="false">IF(AF490&lt;=0,"",IF(BU490="Aussen","Aussenlager",IF(BU490="-","Nicht im Lift",IF(AK490&gt;=1,"Lift",IF(AK490&lt;=0,"Aussenlager","teilweise")))))</f>
        <v>Lift</v>
      </c>
      <c r="BC490" s="55" t="str">
        <f aca="false">IF(AN490&lt;=0,"",IF(BU490="Aussen","Aussenlager",IF(BU490="-","Nicht im Lift",IF(AS490&gt;=1,"Lift",IF(AS490&lt;=0,"Aussenlager","teilweise")))))</f>
        <v>Lift</v>
      </c>
      <c r="BD490" s="55" t="str">
        <f aca="false">IF(AV490&lt;=0,"",IF(BU490="Aussen","Aussenlager",IF(BU490="-","Nicht im Lift",IF(BA490&gt;=1,"Lift",IF(BA490&lt;=0,"Aussenlager","teilweise")))))</f>
        <v>Lift</v>
      </c>
      <c r="BE490" s="55" t="str">
        <f aca="false">IF(A490="","",IF(BN490=1,"Neu; ","")&amp;IF(AND(BN490=0,BI490&lt;0),"negativer Bestand (Export "&amp;BI490&amp;"); ","")&amp;IF(I490&lt;=0,"Kein Verbrauch; ","")&amp;IF(CD490&gt;0,"Lift "&amp;U490&amp;" lt. Liftbericht (Fach "&amp;V490&amp;" Stk); ",IF(BR490=1,"Lose – Fläche geschätzt; ",""))&amp;IF(G490&gt;AP490,"Überbestand "&amp;ROUND(G490-AP490,0)&amp;" Stk / CHF "&amp;ROUND((G490-AP490)*F490,0)&amp;"; ","")&amp;IF(AND(BW490=1,BX490&lt;BY490),"MAX &lt; MB+LG; ","")&amp;IF(AND(CC490&gt;0,CB490*10&gt;CC490),"zu hoch für Tablar; ","")&amp;IF(AND(BN490=0,OR(BW490=1,Y490&lt;&gt;"",S490&lt;&gt;"",T490&lt;&gt;"",Z490&lt;&gt;"")),"manuell übersteuert; ","")&amp;IF(AND(BR490=0,Q490=0),"Gebinde unbekannt / Stellmass fehlt; ","")&amp;IF(AND(BR490=0,N(T490)&lt;=0,N(P490)&lt;=0),"Menge pro Gebinde fehlt (Ist = 1 Gebinde); ","")&amp;BM490)</f>
        <v/>
      </c>
      <c r="BF490" s="55"/>
      <c r="BG490" s="55"/>
      <c r="BH490" s="62"/>
      <c r="BI490" s="57" t="n">
        <v>26</v>
      </c>
      <c r="BJ490" s="57" t="n">
        <v>43</v>
      </c>
      <c r="BK490" s="56" t="n">
        <v>42.8399999999994</v>
      </c>
      <c r="BL490" s="57" t="n">
        <v>116</v>
      </c>
      <c r="BM490" s="55"/>
      <c r="BN490" s="60" t="n">
        <v>0</v>
      </c>
      <c r="BO490" s="60" t="n">
        <v>490</v>
      </c>
      <c r="BP490" s="55" t="str">
        <f aca="false">IF(S490&lt;&gt;"",UPPER(TRIM(S490)),IF(O490="","LOSE",O490))</f>
        <v>S51</v>
      </c>
      <c r="BQ490" s="57" t="n">
        <f aca="false">IF(BP490="LOSE",1,IF(N(T490)&gt;0,T490,IF(N(P490)&gt;0,P490,MAX(1,G490))))</f>
        <v>295</v>
      </c>
      <c r="BR490" s="60" t="n">
        <f aca="false">IF(BP490="LOSE",1,0)</f>
        <v>0</v>
      </c>
      <c r="BS490" s="59" t="n">
        <f aca="false">IF(BR490=0,0,IF(N(R490)&gt;0,R490,IFERROR(VLOOKUP(D490,Parameter!$A$35:$C$64,3,0)+0,0)))</f>
        <v>0</v>
      </c>
      <c r="BT490" s="55" t="n">
        <f aca="false">IF(Y490&lt;&gt;"",Y490,X490)</f>
        <v>3</v>
      </c>
      <c r="BU490" s="55" t="str">
        <f aca="false">IF(BT490=1,"L1",IF(OR(BT490=2,BT490=3),"L23",IF(BT490="Aussen","Aussen","-")))</f>
        <v>L23</v>
      </c>
      <c r="BV490" s="66" t="n">
        <f aca="false">IF(N(Z490)&gt;0,Z490,0)</f>
        <v>0</v>
      </c>
      <c r="BW490" s="60" t="n">
        <f aca="false">IF(ISNUMBER(AC490),1,0)</f>
        <v>0</v>
      </c>
      <c r="BX490" s="57" t="n">
        <f aca="false">N(AC490)</f>
        <v>0</v>
      </c>
      <c r="BY490" s="57" t="n">
        <f aca="false">N(L490)+N(M490)</f>
        <v>121</v>
      </c>
      <c r="BZ490" s="57" t="n">
        <f aca="false">ROUNDUP(G490/BQ490,0)</f>
        <v>1</v>
      </c>
      <c r="CA490" s="57" t="n">
        <f aca="false">ROUNDUP(BX490/BQ490,0)</f>
        <v>0</v>
      </c>
      <c r="CB490" s="60" t="n">
        <f aca="false">IF(BR490=1,0,IFERROR(VLOOKUP(BP490,'Gebinde-Kategorie'!$A$5:$M$45,5,0)+0,0))</f>
        <v>11</v>
      </c>
      <c r="CC490" s="60" t="n">
        <f aca="false">IFERROR(IF(OR(BT490=1,BT490=2,BT490=3),N(INDEX(Parameter!$I$5:$I$7,BT490)),0),0)</f>
        <v>0</v>
      </c>
      <c r="CD490" s="59" t="n">
        <f aca="false">IF(AND(Parameter!$B$21="Ja",ISNUMBER(U490),N(V490)&gt;0),IFERROR(N(INDEX(Parameter!$L$5:$L$7,U490))*INDEX(Parameter!$E$5:$E$7,U490)*V490/SUMIFS($V$7:$V$1576,$U$7:$U$1576,U490),0),0)</f>
        <v>0</v>
      </c>
    </row>
    <row r="491" customFormat="false" ht="15" hidden="false" customHeight="false" outlineLevel="0" collapsed="false">
      <c r="A491" s="55" t="s">
        <v>1074</v>
      </c>
      <c r="B491" s="55" t="s">
        <v>395</v>
      </c>
      <c r="C491" s="55" t="s">
        <v>160</v>
      </c>
      <c r="D491" s="55" t="s">
        <v>178</v>
      </c>
      <c r="E491" s="55" t="s">
        <v>210</v>
      </c>
      <c r="F491" s="56" t="n">
        <v>0.36</v>
      </c>
      <c r="G491" s="57" t="n">
        <f aca="false">MAX(0,IF(AND(Parameter!$B$21="Ja",ISNUMBER(W491)),W491,IF(Parameter!$B$20="Jahresanfang 2025 + Export",BJ491+BI491,BI491)))</f>
        <v>117</v>
      </c>
      <c r="H491" s="57" t="n">
        <f aca="false">G491*F491</f>
        <v>42.12</v>
      </c>
      <c r="I491" s="57" t="n">
        <f aca="false">BL491*Parameter!$B$18</f>
        <v>222</v>
      </c>
      <c r="J491" s="58" t="n">
        <v>105.5</v>
      </c>
      <c r="K491" s="59" t="n">
        <v>2.1042654028436</v>
      </c>
      <c r="L491" s="57" t="n">
        <v>12</v>
      </c>
      <c r="M491" s="57" t="n">
        <v>225</v>
      </c>
      <c r="N491" s="60" t="n">
        <v>21</v>
      </c>
      <c r="O491" s="55" t="s">
        <v>293</v>
      </c>
      <c r="P491" s="57" t="n">
        <v>90</v>
      </c>
      <c r="Q491" s="60" t="n">
        <f aca="false">IF(BR491=1,0,IFERROR(VLOOKUP(BP491,'Gebinde-Kategorie'!$A$5:$M$45,13,0)+0,0))</f>
        <v>26</v>
      </c>
      <c r="R491" s="61"/>
      <c r="S491" s="62"/>
      <c r="T491" s="62"/>
      <c r="U491" s="55"/>
      <c r="V491" s="57"/>
      <c r="W491" s="57"/>
      <c r="X491" s="55" t="n">
        <f aca="false">IF(A491="","",IF(AND(Parameter!$B$21="Ja",ISNUMBER(U491)),U491,IF(IFERROR(VLOOKUP(D491,Parameter!$A$35:$C$64,2,0),"Nein")="2+3",IF(ISNUMBER(SEARCH("grosser Artikel",BM491)),2,IFERROR(VLOOKUP(BP491,Parameter!$F$35:$G$64,2,0),2)),IF(OR(IFERROR(VLOOKUP(D491,Parameter!$A$35:$C$64,2,0),"Nein")="Nein",IFERROR(VLOOKUP(D491,Parameter!$A$35:$C$64,2,0),"Nein")=""),"-",VLOOKUP(D491,Parameter!$A$35:$C$64,2,0)))))</f>
        <v>3</v>
      </c>
      <c r="Y491" s="62"/>
      <c r="Z491" s="63"/>
      <c r="AA491" s="57" t="n">
        <f aca="false">AP491</f>
        <v>270</v>
      </c>
      <c r="AB491" s="57" t="n">
        <f aca="false">MAX(AP491,G491)</f>
        <v>270</v>
      </c>
      <c r="AC491" s="64"/>
      <c r="AD491" s="57" t="n">
        <f aca="false">IF(LEFT(Cockpit!$C$5,1)="A",G491,IF(BW491=1,BX491,IF(LEFT(Cockpit!$C$5,1)="B",AH491,MAX(AH491,G491))))</f>
        <v>117</v>
      </c>
      <c r="AE491" s="57" t="n">
        <f aca="false">IF(BR491=1,0,ROUNDUP(AD491/BQ491,0))</f>
        <v>2</v>
      </c>
      <c r="AF491" s="59" t="n">
        <f aca="false">IF(CD491&gt;0,CD491*MAX(1,AD491/V491),IF(BR491=1,IF(AD491&lt;=0,0,BS491*MAX(1,IF(G491&gt;0,AD491/G491,1))),IF(Q491&gt;0,AE491/Q491,0))/MAX(0.1,N(Parameter!$M$21)))</f>
        <v>0.0769230769230769</v>
      </c>
      <c r="AG491" s="57" t="n">
        <f aca="false">AD491*F491</f>
        <v>42.12</v>
      </c>
      <c r="AH491" s="57" t="n">
        <f aca="false">ROUNDUP(MAX(I491/IF(BV491&gt;0,BV491,MAX(0.1,N(Cockpit!$C$6))),BY491)/BQ491,0)*BQ491</f>
        <v>270</v>
      </c>
      <c r="AI491" s="58" t="n">
        <f aca="false">IF(AF491&gt;0,I491/AF491,-1)</f>
        <v>2886</v>
      </c>
      <c r="AJ491" s="58" t="n">
        <f aca="false">IF(AND(OR(BU491="L1",BU491="L23"),AF491&gt;0),SUMIFS($AF$7:$AF$1576,$BU$7:$BU$1576,BU491,$AI$7:$AI$1576,"&gt;"&amp;AI491)+SUMIFS($AF$7:$AF$1576,$BU$7:$BU$1576,BU491,$AI$7:$AI$1576,AI491,$BO$7:$BO$1576,"&lt;="&amp;BO491),"")</f>
        <v>5.12332657680484</v>
      </c>
      <c r="AK491" s="65" t="n">
        <f aca="false">IF(AJ491="",0,MAX(0,MIN(1,(IF(BU491="L1",Parameter!$E$5,Parameter!$E$6+Parameter!$E$7)-(AJ491-AF491))/AF491)))</f>
        <v>1</v>
      </c>
      <c r="AL491" s="57" t="n">
        <f aca="false">IF(LEFT(Cockpit!$I$5,1)="A",G491,IF(BW491=1,BX491,IF(LEFT(Cockpit!$I$5,1)="B",AP491,MAX(AP491,G491))))</f>
        <v>270</v>
      </c>
      <c r="AM491" s="57" t="n">
        <f aca="false">IF(BR491=1,0,ROUNDUP(AL491/BQ491,0))</f>
        <v>3</v>
      </c>
      <c r="AN491" s="59" t="n">
        <f aca="false">IF(CD491&gt;0,CD491*MAX(1,AL491/V491),IF(BR491=1,IF(AL491&lt;=0,0,BS491*MAX(1,IF(G491&gt;0,AL491/G491,1))),IF(Q491&gt;0,AM491/Q491,0))/MAX(0.1,N(Parameter!$M$21)))</f>
        <v>0.115384615384615</v>
      </c>
      <c r="AO491" s="57" t="n">
        <f aca="false">AL491*F491</f>
        <v>97.2</v>
      </c>
      <c r="AP491" s="57" t="n">
        <f aca="false">ROUNDUP(MAX(I491/IF(BV491&gt;0,BV491,MAX(0.1,N(Cockpit!$I$6))),BY491)/BQ491,0)*BQ491</f>
        <v>270</v>
      </c>
      <c r="AQ491" s="58" t="n">
        <f aca="false">IF(AN491&gt;0,I491/AN491,-1)</f>
        <v>1924</v>
      </c>
      <c r="AR491" s="58" t="n">
        <f aca="false">IF(AND(OR(BU491="L1",BU491="L23"),AN491&gt;0),SUMIFS($AN$7:$AN$1576,$BU$7:$BU$1576,BU491,$AQ$7:$AQ$1576,"&gt;"&amp;AQ491)+SUMIFS($AN$7:$AN$1576,$BU$7:$BU$1576,BU491,$AQ$7:$AQ$1576,AQ491,$BO$7:$BO$1576,"&lt;="&amp;BO491),"")</f>
        <v>17.5908148014781</v>
      </c>
      <c r="AS491" s="65" t="n">
        <f aca="false">IF(AR491="",0,MAX(0,MIN(1,(IF(BU491="L1",Parameter!$E$5,Parameter!$E$6+Parameter!$E$7)-(AR491-AN491))/AN491)))</f>
        <v>1</v>
      </c>
      <c r="AT491" s="57" t="n">
        <f aca="false">IF(LEFT(Cockpit!$O$5,1)="A",G491,IF(BW491=1,BX491,IF(LEFT(Cockpit!$O$5,1)="B",AX491,MAX(AX491,G491))))</f>
        <v>270</v>
      </c>
      <c r="AU491" s="57" t="n">
        <f aca="false">IF(BR491=1,0,ROUNDUP(AT491/BQ491,0))</f>
        <v>3</v>
      </c>
      <c r="AV491" s="59" t="n">
        <f aca="false">IF(CD491&gt;0,CD491*MAX(1,AT491/V491),IF(BR491=1,IF(AT491&lt;=0,0,BS491*MAX(1,IF(G491&gt;0,AT491/G491,1))),IF(Q491&gt;0,AU491/Q491,0))/MAX(0.1,N(Parameter!$M$21)))</f>
        <v>0.115384615384615</v>
      </c>
      <c r="AW491" s="57" t="n">
        <f aca="false">AT491*F491</f>
        <v>97.2</v>
      </c>
      <c r="AX491" s="57" t="n">
        <f aca="false">ROUNDUP(MAX(I491/IF(BV491&gt;0,BV491,MAX(0.1,N(Cockpit!$O$6))),BY491)/BQ491,0)*BQ491</f>
        <v>270</v>
      </c>
      <c r="AY491" s="58" t="n">
        <f aca="false">IF(AV491&gt;0,I491/AV491,-1)</f>
        <v>1924</v>
      </c>
      <c r="AZ491" s="58" t="n">
        <f aca="false">IF(AND(OR(BU491="L1",BU491="L23"),AV491&gt;0),SUMIFS($AV$7:$AV$1576,$BU$7:$BU$1576,BU491,$AY$7:$AY$1576,"&gt;"&amp;AY491)+SUMIFS($AV$7:$AV$1576,$BU$7:$BU$1576,BU491,$AY$7:$AY$1576,AY491,$BO$7:$BO$1576,"&lt;="&amp;BO491),"")</f>
        <v>16.4014208620842</v>
      </c>
      <c r="BA491" s="65" t="n">
        <f aca="false">IF(AZ491="",0,MAX(0,MIN(1,(IF(BU491="L1",Parameter!$E$5,Parameter!$E$6+Parameter!$E$7)-(AZ491-AV491))/AV491)))</f>
        <v>1</v>
      </c>
      <c r="BB491" s="55" t="str">
        <f aca="false">IF(AF491&lt;=0,"",IF(BU491="Aussen","Aussenlager",IF(BU491="-","Nicht im Lift",IF(AK491&gt;=1,"Lift",IF(AK491&lt;=0,"Aussenlager","teilweise")))))</f>
        <v>Lift</v>
      </c>
      <c r="BC491" s="55" t="str">
        <f aca="false">IF(AN491&lt;=0,"",IF(BU491="Aussen","Aussenlager",IF(BU491="-","Nicht im Lift",IF(AS491&gt;=1,"Lift",IF(AS491&lt;=0,"Aussenlager","teilweise")))))</f>
        <v>Lift</v>
      </c>
      <c r="BD491" s="55" t="str">
        <f aca="false">IF(AV491&lt;=0,"",IF(BU491="Aussen","Aussenlager",IF(BU491="-","Nicht im Lift",IF(BA491&gt;=1,"Lift",IF(BA491&lt;=0,"Aussenlager","teilweise")))))</f>
        <v>Lift</v>
      </c>
      <c r="BE491" s="55" t="str">
        <f aca="false">IF(A491="","",IF(BN491=1,"Neu; ","")&amp;IF(AND(BN491=0,BI491&lt;0),"negativer Bestand (Export "&amp;BI491&amp;"); ","")&amp;IF(I491&lt;=0,"Kein Verbrauch; ","")&amp;IF(CD491&gt;0,"Lift "&amp;U491&amp;" lt. Liftbericht (Fach "&amp;V491&amp;" Stk); ",IF(BR491=1,"Lose – Fläche geschätzt; ",""))&amp;IF(G491&gt;AP491,"Überbestand "&amp;ROUND(G491-AP491,0)&amp;" Stk / CHF "&amp;ROUND((G491-AP491)*F491,0)&amp;"; ","")&amp;IF(AND(BW491=1,BX491&lt;BY491),"MAX &lt; MB+LG; ","")&amp;IF(AND(CC491&gt;0,CB491*10&gt;CC491),"zu hoch für Tablar; ","")&amp;IF(AND(BN491=0,OR(BW491=1,Y491&lt;&gt;"",S491&lt;&gt;"",T491&lt;&gt;"",Z491&lt;&gt;"")),"manuell übersteuert; ","")&amp;IF(AND(BR491=0,Q491=0),"Gebinde unbekannt / Stellmass fehlt; ","")&amp;IF(AND(BR491=0,N(T491)&lt;=0,N(P491)&lt;=0),"Menge pro Gebinde fehlt (Ist = 1 Gebinde); ","")&amp;BM491)</f>
        <v/>
      </c>
      <c r="BF491" s="55"/>
      <c r="BG491" s="55"/>
      <c r="BH491" s="62"/>
      <c r="BI491" s="57" t="n">
        <v>117</v>
      </c>
      <c r="BJ491" s="57" t="n">
        <v>92</v>
      </c>
      <c r="BK491" s="56" t="n">
        <v>42.12</v>
      </c>
      <c r="BL491" s="57" t="n">
        <v>222</v>
      </c>
      <c r="BM491" s="55"/>
      <c r="BN491" s="60" t="n">
        <v>0</v>
      </c>
      <c r="BO491" s="60" t="n">
        <v>491</v>
      </c>
      <c r="BP491" s="55" t="str">
        <f aca="false">IF(S491&lt;&gt;"",UPPER(TRIM(S491)),IF(O491="","LOSE",O491))</f>
        <v>S51</v>
      </c>
      <c r="BQ491" s="57" t="n">
        <f aca="false">IF(BP491="LOSE",1,IF(N(T491)&gt;0,T491,IF(N(P491)&gt;0,P491,MAX(1,G491))))</f>
        <v>90</v>
      </c>
      <c r="BR491" s="60" t="n">
        <f aca="false">IF(BP491="LOSE",1,0)</f>
        <v>0</v>
      </c>
      <c r="BS491" s="59" t="n">
        <f aca="false">IF(BR491=0,0,IF(N(R491)&gt;0,R491,IFERROR(VLOOKUP(D491,Parameter!$A$35:$C$64,3,0)+0,0)))</f>
        <v>0</v>
      </c>
      <c r="BT491" s="55" t="n">
        <f aca="false">IF(Y491&lt;&gt;"",Y491,X491)</f>
        <v>3</v>
      </c>
      <c r="BU491" s="55" t="str">
        <f aca="false">IF(BT491=1,"L1",IF(OR(BT491=2,BT491=3),"L23",IF(BT491="Aussen","Aussen","-")))</f>
        <v>L23</v>
      </c>
      <c r="BV491" s="66" t="n">
        <f aca="false">IF(N(Z491)&gt;0,Z491,0)</f>
        <v>0</v>
      </c>
      <c r="BW491" s="60" t="n">
        <f aca="false">IF(ISNUMBER(AC491),1,0)</f>
        <v>0</v>
      </c>
      <c r="BX491" s="57" t="n">
        <f aca="false">N(AC491)</f>
        <v>0</v>
      </c>
      <c r="BY491" s="57" t="n">
        <f aca="false">N(L491)+N(M491)</f>
        <v>237</v>
      </c>
      <c r="BZ491" s="57" t="n">
        <f aca="false">ROUNDUP(G491/BQ491,0)</f>
        <v>2</v>
      </c>
      <c r="CA491" s="57" t="n">
        <f aca="false">ROUNDUP(BX491/BQ491,0)</f>
        <v>0</v>
      </c>
      <c r="CB491" s="60" t="n">
        <f aca="false">IF(BR491=1,0,IFERROR(VLOOKUP(BP491,'Gebinde-Kategorie'!$A$5:$M$45,5,0)+0,0))</f>
        <v>11</v>
      </c>
      <c r="CC491" s="60" t="n">
        <f aca="false">IFERROR(IF(OR(BT491=1,BT491=2,BT491=3),N(INDEX(Parameter!$I$5:$I$7,BT491)),0),0)</f>
        <v>0</v>
      </c>
      <c r="CD491" s="59" t="n">
        <f aca="false">IF(AND(Parameter!$B$21="Ja",ISNUMBER(U491),N(V491)&gt;0),IFERROR(N(INDEX(Parameter!$L$5:$L$7,U491))*INDEX(Parameter!$E$5:$E$7,U491)*V491/SUMIFS($V$7:$V$1576,$U$7:$U$1576,U491),0),0)</f>
        <v>0</v>
      </c>
    </row>
    <row r="492" customFormat="false" ht="15" hidden="false" customHeight="false" outlineLevel="0" collapsed="false">
      <c r="A492" s="55" t="s">
        <v>1075</v>
      </c>
      <c r="B492" s="55" t="s">
        <v>1076</v>
      </c>
      <c r="C492" s="55" t="s">
        <v>160</v>
      </c>
      <c r="D492" s="55" t="s">
        <v>178</v>
      </c>
      <c r="E492" s="55" t="s">
        <v>210</v>
      </c>
      <c r="F492" s="56" t="n">
        <v>16.51</v>
      </c>
      <c r="G492" s="57" t="n">
        <f aca="false">MAX(0,IF(AND(Parameter!$B$21="Ja",ISNUMBER(W492)),W492,IF(Parameter!$B$20="Jahresanfang 2025 + Export",BJ492+BI492,BI492)))</f>
        <v>3</v>
      </c>
      <c r="H492" s="57" t="n">
        <f aca="false">G492*F492</f>
        <v>49.53</v>
      </c>
      <c r="I492" s="57" t="n">
        <f aca="false">BL492*Parameter!$B$18</f>
        <v>13</v>
      </c>
      <c r="J492" s="58" t="n">
        <v>18.5</v>
      </c>
      <c r="K492" s="59" t="n">
        <v>0.702702702702703</v>
      </c>
      <c r="L492" s="57" t="n">
        <v>1</v>
      </c>
      <c r="M492" s="57" t="n">
        <v>15</v>
      </c>
      <c r="N492" s="60" t="n">
        <v>28</v>
      </c>
      <c r="O492" s="55" t="s">
        <v>225</v>
      </c>
      <c r="P492" s="57" t="n">
        <v>32</v>
      </c>
      <c r="Q492" s="60" t="n">
        <f aca="false">IF(BR492=1,0,IFERROR(VLOOKUP(BP492,'Gebinde-Kategorie'!$A$5:$M$45,13,0)+0,0))</f>
        <v>26</v>
      </c>
      <c r="R492" s="61"/>
      <c r="S492" s="62"/>
      <c r="T492" s="62"/>
      <c r="U492" s="55"/>
      <c r="V492" s="57"/>
      <c r="W492" s="57"/>
      <c r="X492" s="55" t="n">
        <f aca="false">IF(A492="","",IF(AND(Parameter!$B$21="Ja",ISNUMBER(U492)),U492,IF(IFERROR(VLOOKUP(D492,Parameter!$A$35:$C$64,2,0),"Nein")="2+3",IF(ISNUMBER(SEARCH("grosser Artikel",BM492)),2,IFERROR(VLOOKUP(BP492,Parameter!$F$35:$G$64,2,0),2)),IF(OR(IFERROR(VLOOKUP(D492,Parameter!$A$35:$C$64,2,0),"Nein")="Nein",IFERROR(VLOOKUP(D492,Parameter!$A$35:$C$64,2,0),"Nein")=""),"-",VLOOKUP(D492,Parameter!$A$35:$C$64,2,0)))))</f>
        <v>3</v>
      </c>
      <c r="Y492" s="62"/>
      <c r="Z492" s="63"/>
      <c r="AA492" s="57" t="n">
        <f aca="false">AP492</f>
        <v>32</v>
      </c>
      <c r="AB492" s="57" t="n">
        <f aca="false">MAX(AP492,G492)</f>
        <v>32</v>
      </c>
      <c r="AC492" s="64"/>
      <c r="AD492" s="57" t="n">
        <f aca="false">IF(LEFT(Cockpit!$C$5,1)="A",G492,IF(BW492=1,BX492,IF(LEFT(Cockpit!$C$5,1)="B",AH492,MAX(AH492,G492))))</f>
        <v>3</v>
      </c>
      <c r="AE492" s="57" t="n">
        <f aca="false">IF(BR492=1,0,ROUNDUP(AD492/BQ492,0))</f>
        <v>1</v>
      </c>
      <c r="AF492" s="59" t="n">
        <f aca="false">IF(CD492&gt;0,CD492*MAX(1,AD492/V492),IF(BR492=1,IF(AD492&lt;=0,0,BS492*MAX(1,IF(G492&gt;0,AD492/G492,1))),IF(Q492&gt;0,AE492/Q492,0))/MAX(0.1,N(Parameter!$M$21)))</f>
        <v>0.0384615384615385</v>
      </c>
      <c r="AG492" s="57" t="n">
        <f aca="false">AD492*F492</f>
        <v>49.53</v>
      </c>
      <c r="AH492" s="57" t="n">
        <f aca="false">ROUNDUP(MAX(I492/IF(BV492&gt;0,BV492,MAX(0.1,N(Cockpit!$C$6))),BY492)/BQ492,0)*BQ492</f>
        <v>32</v>
      </c>
      <c r="AI492" s="58" t="n">
        <f aca="false">IF(AF492&gt;0,I492/AF492,-1)</f>
        <v>338</v>
      </c>
      <c r="AJ492" s="58" t="n">
        <f aca="false">IF(AND(OR(BU492="L1",BU492="L23"),AF492&gt;0),SUMIFS($AF$7:$AF$1576,$BU$7:$BU$1576,BU492,$AI$7:$AI$1576,"&gt;"&amp;AI492)+SUMIFS($AF$7:$AF$1576,$BU$7:$BU$1576,BU492,$AI$7:$AI$1576,AI492,$BO$7:$BO$1576,"&lt;="&amp;BO492),"")</f>
        <v>14.3959231107057</v>
      </c>
      <c r="AK492" s="65" t="n">
        <f aca="false">IF(AJ492="",0,MAX(0,MIN(1,(IF(BU492="L1",Parameter!$E$5,Parameter!$E$6+Parameter!$E$7)-(AJ492-AF492))/AF492)))</f>
        <v>1</v>
      </c>
      <c r="AL492" s="57" t="n">
        <f aca="false">IF(LEFT(Cockpit!$I$5,1)="A",G492,IF(BW492=1,BX492,IF(LEFT(Cockpit!$I$5,1)="B",AP492,MAX(AP492,G492))))</f>
        <v>32</v>
      </c>
      <c r="AM492" s="57" t="n">
        <f aca="false">IF(BR492=1,0,ROUNDUP(AL492/BQ492,0))</f>
        <v>1</v>
      </c>
      <c r="AN492" s="59" t="n">
        <f aca="false">IF(CD492&gt;0,CD492*MAX(1,AL492/V492),IF(BR492=1,IF(AL492&lt;=0,0,BS492*MAX(1,IF(G492&gt;0,AL492/G492,1))),IF(Q492&gt;0,AM492/Q492,0))/MAX(0.1,N(Parameter!$M$21)))</f>
        <v>0.0384615384615385</v>
      </c>
      <c r="AO492" s="57" t="n">
        <f aca="false">AL492*F492</f>
        <v>528.32</v>
      </c>
      <c r="AP492" s="57" t="n">
        <f aca="false">ROUNDUP(MAX(I492/IF(BV492&gt;0,BV492,MAX(0.1,N(Cockpit!$I$6))),BY492)/BQ492,0)*BQ492</f>
        <v>32</v>
      </c>
      <c r="AQ492" s="58" t="n">
        <f aca="false">IF(AN492&gt;0,I492/AN492,-1)</f>
        <v>338</v>
      </c>
      <c r="AR492" s="58" t="n">
        <f aca="false">IF(AND(OR(BU492="L1",BU492="L23"),AN492&gt;0),SUMIFS($AN$7:$AN$1576,$BU$7:$BU$1576,BU492,$AQ$7:$AQ$1576,"&gt;"&amp;AQ492)+SUMIFS($AN$7:$AN$1576,$BU$7:$BU$1576,BU492,$AQ$7:$AQ$1576,AQ492,$BO$7:$BO$1576,"&lt;="&amp;BO492),"")</f>
        <v>41.4141855370228</v>
      </c>
      <c r="AS492" s="65" t="n">
        <f aca="false">IF(AR492="",0,MAX(0,MIN(1,(IF(BU492="L1",Parameter!$E$5,Parameter!$E$6+Parameter!$E$7)-(AR492-AN492))/AN492)))</f>
        <v>1</v>
      </c>
      <c r="AT492" s="57" t="n">
        <f aca="false">IF(LEFT(Cockpit!$O$5,1)="A",G492,IF(BW492=1,BX492,IF(LEFT(Cockpit!$O$5,1)="B",AX492,MAX(AX492,G492))))</f>
        <v>32</v>
      </c>
      <c r="AU492" s="57" t="n">
        <f aca="false">IF(BR492=1,0,ROUNDUP(AT492/BQ492,0))</f>
        <v>1</v>
      </c>
      <c r="AV492" s="59" t="n">
        <f aca="false">IF(CD492&gt;0,CD492*MAX(1,AT492/V492),IF(BR492=1,IF(AT492&lt;=0,0,BS492*MAX(1,IF(G492&gt;0,AT492/G492,1))),IF(Q492&gt;0,AU492/Q492,0))/MAX(0.1,N(Parameter!$M$21)))</f>
        <v>0.0384615384615385</v>
      </c>
      <c r="AW492" s="57" t="n">
        <f aca="false">AT492*F492</f>
        <v>528.32</v>
      </c>
      <c r="AX492" s="57" t="n">
        <f aca="false">ROUNDUP(MAX(I492/IF(BV492&gt;0,BV492,MAX(0.1,N(Cockpit!$O$6))),BY492)/BQ492,0)*BQ492</f>
        <v>32</v>
      </c>
      <c r="AY492" s="58" t="n">
        <f aca="false">IF(AV492&gt;0,I492/AV492,-1)</f>
        <v>338</v>
      </c>
      <c r="AZ492" s="58" t="n">
        <f aca="false">IF(AND(OR(BU492="L1",BU492="L23"),AV492&gt;0),SUMIFS($AV$7:$AV$1576,$BU$7:$BU$1576,BU492,$AY$7:$AY$1576,"&gt;"&amp;AY492)+SUMIFS($AV$7:$AV$1576,$BU$7:$BU$1576,BU492,$AY$7:$AY$1576,AY492,$BO$7:$BO$1576,"&lt;="&amp;BO492),"")</f>
        <v>38.1622641251014</v>
      </c>
      <c r="BA492" s="65" t="n">
        <f aca="false">IF(AZ492="",0,MAX(0,MIN(1,(IF(BU492="L1",Parameter!$E$5,Parameter!$E$6+Parameter!$E$7)-(AZ492-AV492))/AV492)))</f>
        <v>1</v>
      </c>
      <c r="BB492" s="55" t="str">
        <f aca="false">IF(AF492&lt;=0,"",IF(BU492="Aussen","Aussenlager",IF(BU492="-","Nicht im Lift",IF(AK492&gt;=1,"Lift",IF(AK492&lt;=0,"Aussenlager","teilweise")))))</f>
        <v>Lift</v>
      </c>
      <c r="BC492" s="55" t="str">
        <f aca="false">IF(AN492&lt;=0,"",IF(BU492="Aussen","Aussenlager",IF(BU492="-","Nicht im Lift",IF(AS492&gt;=1,"Lift",IF(AS492&lt;=0,"Aussenlager","teilweise")))))</f>
        <v>Lift</v>
      </c>
      <c r="BD492" s="55" t="str">
        <f aca="false">IF(AV492&lt;=0,"",IF(BU492="Aussen","Aussenlager",IF(BU492="-","Nicht im Lift",IF(BA492&gt;=1,"Lift",IF(BA492&lt;=0,"Aussenlager","teilweise")))))</f>
        <v>Lift</v>
      </c>
      <c r="BE492" s="55" t="str">
        <f aca="false">IF(A492="","",IF(BN492=1,"Neu; ","")&amp;IF(AND(BN492=0,BI492&lt;0),"negativer Bestand (Export "&amp;BI492&amp;"); ","")&amp;IF(I492&lt;=0,"Kein Verbrauch; ","")&amp;IF(CD492&gt;0,"Lift "&amp;U492&amp;" lt. Liftbericht (Fach "&amp;V492&amp;" Stk); ",IF(BR492=1,"Lose – Fläche geschätzt; ",""))&amp;IF(G492&gt;AP492,"Überbestand "&amp;ROUND(G492-AP492,0)&amp;" Stk / CHF "&amp;ROUND((G492-AP492)*F492,0)&amp;"; ","")&amp;IF(AND(BW492=1,BX492&lt;BY492),"MAX &lt; MB+LG; ","")&amp;IF(AND(CC492&gt;0,CB492*10&gt;CC492),"zu hoch für Tablar; ","")&amp;IF(AND(BN492=0,OR(BW492=1,Y492&lt;&gt;"",S492&lt;&gt;"",T492&lt;&gt;"",Z492&lt;&gt;"")),"manuell übersteuert; ","")&amp;IF(AND(BR492=0,Q492=0),"Gebinde unbekannt / Stellmass fehlt; ","")&amp;IF(AND(BR492=0,N(T492)&lt;=0,N(P492)&lt;=0),"Menge pro Gebinde fehlt (Ist = 1 Gebinde); ","")&amp;BM492)</f>
        <v/>
      </c>
      <c r="BF492" s="55"/>
      <c r="BG492" s="55"/>
      <c r="BH492" s="62"/>
      <c r="BI492" s="57" t="n">
        <v>3</v>
      </c>
      <c r="BJ492" s="57" t="n">
        <v>25</v>
      </c>
      <c r="BK492" s="56" t="n">
        <v>41.5300000000001</v>
      </c>
      <c r="BL492" s="57" t="n">
        <v>13</v>
      </c>
      <c r="BM492" s="55"/>
      <c r="BN492" s="60" t="n">
        <v>0</v>
      </c>
      <c r="BO492" s="60" t="n">
        <v>492</v>
      </c>
      <c r="BP492" s="55" t="str">
        <f aca="false">IF(S492&lt;&gt;"",UPPER(TRIM(S492)),IF(O492="","LOSE",O492))</f>
        <v>S52</v>
      </c>
      <c r="BQ492" s="57" t="n">
        <f aca="false">IF(BP492="LOSE",1,IF(N(T492)&gt;0,T492,IF(N(P492)&gt;0,P492,MAX(1,G492))))</f>
        <v>32</v>
      </c>
      <c r="BR492" s="60" t="n">
        <f aca="false">IF(BP492="LOSE",1,0)</f>
        <v>0</v>
      </c>
      <c r="BS492" s="59" t="n">
        <f aca="false">IF(BR492=0,0,IF(N(R492)&gt;0,R492,IFERROR(VLOOKUP(D492,Parameter!$A$35:$C$64,3,0)+0,0)))</f>
        <v>0</v>
      </c>
      <c r="BT492" s="55" t="n">
        <f aca="false">IF(Y492&lt;&gt;"",Y492,X492)</f>
        <v>3</v>
      </c>
      <c r="BU492" s="55" t="str">
        <f aca="false">IF(BT492=1,"L1",IF(OR(BT492=2,BT492=3),"L23",IF(BT492="Aussen","Aussen","-")))</f>
        <v>L23</v>
      </c>
      <c r="BV492" s="66" t="n">
        <f aca="false">IF(N(Z492)&gt;0,Z492,0)</f>
        <v>0</v>
      </c>
      <c r="BW492" s="60" t="n">
        <f aca="false">IF(ISNUMBER(AC492),1,0)</f>
        <v>0</v>
      </c>
      <c r="BX492" s="57" t="n">
        <f aca="false">N(AC492)</f>
        <v>0</v>
      </c>
      <c r="BY492" s="57" t="n">
        <f aca="false">N(L492)+N(M492)</f>
        <v>16</v>
      </c>
      <c r="BZ492" s="57" t="n">
        <f aca="false">ROUNDUP(G492/BQ492,0)</f>
        <v>1</v>
      </c>
      <c r="CA492" s="57" t="n">
        <f aca="false">ROUNDUP(BX492/BQ492,0)</f>
        <v>0</v>
      </c>
      <c r="CB492" s="60" t="n">
        <f aca="false">IF(BR492=1,0,IFERROR(VLOOKUP(BP492,'Gebinde-Kategorie'!$A$5:$M$45,5,0)+0,0))</f>
        <v>21</v>
      </c>
      <c r="CC492" s="60" t="n">
        <f aca="false">IFERROR(IF(OR(BT492=1,BT492=2,BT492=3),N(INDEX(Parameter!$I$5:$I$7,BT492)),0),0)</f>
        <v>0</v>
      </c>
      <c r="CD492" s="59" t="n">
        <f aca="false">IF(AND(Parameter!$B$21="Ja",ISNUMBER(U492),N(V492)&gt;0),IFERROR(N(INDEX(Parameter!$L$5:$L$7,U492))*INDEX(Parameter!$E$5:$E$7,U492)*V492/SUMIFS($V$7:$V$1576,$U$7:$U$1576,U492),0),0)</f>
        <v>0</v>
      </c>
    </row>
    <row r="493" customFormat="false" ht="15" hidden="false" customHeight="false" outlineLevel="0" collapsed="false">
      <c r="A493" s="55" t="s">
        <v>1077</v>
      </c>
      <c r="B493" s="55" t="s">
        <v>1025</v>
      </c>
      <c r="C493" s="55" t="s">
        <v>160</v>
      </c>
      <c r="D493" s="55" t="s">
        <v>178</v>
      </c>
      <c r="E493" s="55" t="s">
        <v>210</v>
      </c>
      <c r="F493" s="56" t="n">
        <v>0.03</v>
      </c>
      <c r="G493" s="57" t="n">
        <f aca="false">MAX(0,IF(AND(Parameter!$B$21="Ja",ISNUMBER(W493)),W493,IF(Parameter!$B$20="Jahresanfang 2025 + Export",BJ493+BI493,BI493)))</f>
        <v>191</v>
      </c>
      <c r="H493" s="57" t="n">
        <f aca="false">G493*F493</f>
        <v>5.73</v>
      </c>
      <c r="I493" s="57" t="n">
        <f aca="false">BL493*Parameter!$B$18</f>
        <v>100</v>
      </c>
      <c r="J493" s="58" t="n">
        <v>1870</v>
      </c>
      <c r="K493" s="59" t="n">
        <v>0.053475935828877</v>
      </c>
      <c r="L493" s="57" t="n">
        <v>3</v>
      </c>
      <c r="M493" s="57" t="n">
        <v>100</v>
      </c>
      <c r="N493" s="60" t="n">
        <v>14</v>
      </c>
      <c r="O493" s="55" t="s">
        <v>293</v>
      </c>
      <c r="P493" s="57" t="n">
        <v>4200</v>
      </c>
      <c r="Q493" s="60" t="n">
        <f aca="false">IF(BR493=1,0,IFERROR(VLOOKUP(BP493,'Gebinde-Kategorie'!$A$5:$M$45,13,0)+0,0))</f>
        <v>26</v>
      </c>
      <c r="R493" s="61"/>
      <c r="S493" s="62"/>
      <c r="T493" s="62"/>
      <c r="U493" s="55"/>
      <c r="V493" s="57"/>
      <c r="W493" s="57"/>
      <c r="X493" s="55" t="n">
        <f aca="false">IF(A493="","",IF(AND(Parameter!$B$21="Ja",ISNUMBER(U493)),U493,IF(IFERROR(VLOOKUP(D493,Parameter!$A$35:$C$64,2,0),"Nein")="2+3",IF(ISNUMBER(SEARCH("grosser Artikel",BM493)),2,IFERROR(VLOOKUP(BP493,Parameter!$F$35:$G$64,2,0),2)),IF(OR(IFERROR(VLOOKUP(D493,Parameter!$A$35:$C$64,2,0),"Nein")="Nein",IFERROR(VLOOKUP(D493,Parameter!$A$35:$C$64,2,0),"Nein")=""),"-",VLOOKUP(D493,Parameter!$A$35:$C$64,2,0)))))</f>
        <v>3</v>
      </c>
      <c r="Y493" s="62"/>
      <c r="Z493" s="63"/>
      <c r="AA493" s="57" t="n">
        <f aca="false">AP493</f>
        <v>4200</v>
      </c>
      <c r="AB493" s="57" t="n">
        <f aca="false">MAX(AP493,G493)</f>
        <v>4200</v>
      </c>
      <c r="AC493" s="64"/>
      <c r="AD493" s="57" t="n">
        <f aca="false">IF(LEFT(Cockpit!$C$5,1)="A",G493,IF(BW493=1,BX493,IF(LEFT(Cockpit!$C$5,1)="B",AH493,MAX(AH493,G493))))</f>
        <v>191</v>
      </c>
      <c r="AE493" s="57" t="n">
        <f aca="false">IF(BR493=1,0,ROUNDUP(AD493/BQ493,0))</f>
        <v>1</v>
      </c>
      <c r="AF493" s="59" t="n">
        <f aca="false">IF(CD493&gt;0,CD493*MAX(1,AD493/V493),IF(BR493=1,IF(AD493&lt;=0,0,BS493*MAX(1,IF(G493&gt;0,AD493/G493,1))),IF(Q493&gt;0,AE493/Q493,0))/MAX(0.1,N(Parameter!$M$21)))</f>
        <v>0.0384615384615385</v>
      </c>
      <c r="AG493" s="57" t="n">
        <f aca="false">AD493*F493</f>
        <v>5.73</v>
      </c>
      <c r="AH493" s="57" t="n">
        <f aca="false">ROUNDUP(MAX(I493/IF(BV493&gt;0,BV493,MAX(0.1,N(Cockpit!$C$6))),BY493)/BQ493,0)*BQ493</f>
        <v>4200</v>
      </c>
      <c r="AI493" s="58" t="n">
        <f aca="false">IF(AF493&gt;0,I493/AF493,-1)</f>
        <v>2600</v>
      </c>
      <c r="AJ493" s="58" t="n">
        <f aca="false">IF(AND(OR(BU493="L1",BU493="L23"),AF493&gt;0),SUMIFS($AF$7:$AF$1576,$BU$7:$BU$1576,BU493,$AI$7:$AI$1576,"&gt;"&amp;AI493)+SUMIFS($AF$7:$AF$1576,$BU$7:$BU$1576,BU493,$AI$7:$AI$1576,AI493,$BO$7:$BO$1576,"&lt;="&amp;BO493),"")</f>
        <v>5.70024965372792</v>
      </c>
      <c r="AK493" s="65" t="n">
        <f aca="false">IF(AJ493="",0,MAX(0,MIN(1,(IF(BU493="L1",Parameter!$E$5,Parameter!$E$6+Parameter!$E$7)-(AJ493-AF493))/AF493)))</f>
        <v>1</v>
      </c>
      <c r="AL493" s="57" t="n">
        <f aca="false">IF(LEFT(Cockpit!$I$5,1)="A",G493,IF(BW493=1,BX493,IF(LEFT(Cockpit!$I$5,1)="B",AP493,MAX(AP493,G493))))</f>
        <v>4200</v>
      </c>
      <c r="AM493" s="57" t="n">
        <f aca="false">IF(BR493=1,0,ROUNDUP(AL493/BQ493,0))</f>
        <v>1</v>
      </c>
      <c r="AN493" s="59" t="n">
        <f aca="false">IF(CD493&gt;0,CD493*MAX(1,AL493/V493),IF(BR493=1,IF(AL493&lt;=0,0,BS493*MAX(1,IF(G493&gt;0,AL493/G493,1))),IF(Q493&gt;0,AM493/Q493,0))/MAX(0.1,N(Parameter!$M$21)))</f>
        <v>0.0384615384615385</v>
      </c>
      <c r="AO493" s="57" t="n">
        <f aca="false">AL493*F493</f>
        <v>126</v>
      </c>
      <c r="AP493" s="57" t="n">
        <f aca="false">ROUNDUP(MAX(I493/IF(BV493&gt;0,BV493,MAX(0.1,N(Cockpit!$I$6))),BY493)/BQ493,0)*BQ493</f>
        <v>4200</v>
      </c>
      <c r="AQ493" s="58" t="n">
        <f aca="false">IF(AN493&gt;0,I493/AN493,-1)</f>
        <v>2600</v>
      </c>
      <c r="AR493" s="58" t="n">
        <f aca="false">IF(AND(OR(BU493="L1",BU493="L23"),AN493&gt;0),SUMIFS($AN$7:$AN$1576,$BU$7:$BU$1576,BU493,$AQ$7:$AQ$1576,"&gt;"&amp;AQ493)+SUMIFS($AN$7:$AN$1576,$BU$7:$BU$1576,BU493,$AQ$7:$AQ$1576,AQ493,$BO$7:$BO$1576,"&lt;="&amp;BO493),"")</f>
        <v>15.0242822519021</v>
      </c>
      <c r="AS493" s="65" t="n">
        <f aca="false">IF(AR493="",0,MAX(0,MIN(1,(IF(BU493="L1",Parameter!$E$5,Parameter!$E$6+Parameter!$E$7)-(AR493-AN493))/AN493)))</f>
        <v>1</v>
      </c>
      <c r="AT493" s="57" t="n">
        <f aca="false">IF(LEFT(Cockpit!$O$5,1)="A",G493,IF(BW493=1,BX493,IF(LEFT(Cockpit!$O$5,1)="B",AX493,MAX(AX493,G493))))</f>
        <v>4200</v>
      </c>
      <c r="AU493" s="57" t="n">
        <f aca="false">IF(BR493=1,0,ROUNDUP(AT493/BQ493,0))</f>
        <v>1</v>
      </c>
      <c r="AV493" s="59" t="n">
        <f aca="false">IF(CD493&gt;0,CD493*MAX(1,AT493/V493),IF(BR493=1,IF(AT493&lt;=0,0,BS493*MAX(1,IF(G493&gt;0,AT493/G493,1))),IF(Q493&gt;0,AU493/Q493,0))/MAX(0.1,N(Parameter!$M$21)))</f>
        <v>0.0384615384615385</v>
      </c>
      <c r="AW493" s="57" t="n">
        <f aca="false">AT493*F493</f>
        <v>126</v>
      </c>
      <c r="AX493" s="57" t="n">
        <f aca="false">ROUNDUP(MAX(I493/IF(BV493&gt;0,BV493,MAX(0.1,N(Cockpit!$O$6))),BY493)/BQ493,0)*BQ493</f>
        <v>4200</v>
      </c>
      <c r="AY493" s="58" t="n">
        <f aca="false">IF(AV493&gt;0,I493/AV493,-1)</f>
        <v>2600</v>
      </c>
      <c r="AZ493" s="58" t="n">
        <f aca="false">IF(AND(OR(BU493="L1",BU493="L23"),AV493&gt;0),SUMIFS($AV$7:$AV$1576,$BU$7:$BU$1576,BU493,$AY$7:$AY$1576,"&gt;"&amp;AY493)+SUMIFS($AV$7:$AV$1576,$BU$7:$BU$1576,BU493,$AY$7:$AY$1576,AY493,$BO$7:$BO$1576,"&lt;="&amp;BO493),"")</f>
        <v>13.8284780560979</v>
      </c>
      <c r="BA493" s="65" t="n">
        <f aca="false">IF(AZ493="",0,MAX(0,MIN(1,(IF(BU493="L1",Parameter!$E$5,Parameter!$E$6+Parameter!$E$7)-(AZ493-AV493))/AV493)))</f>
        <v>1</v>
      </c>
      <c r="BB493" s="55" t="str">
        <f aca="false">IF(AF493&lt;=0,"",IF(BU493="Aussen","Aussenlager",IF(BU493="-","Nicht im Lift",IF(AK493&gt;=1,"Lift",IF(AK493&lt;=0,"Aussenlager","teilweise")))))</f>
        <v>Lift</v>
      </c>
      <c r="BC493" s="55" t="str">
        <f aca="false">IF(AN493&lt;=0,"",IF(BU493="Aussen","Aussenlager",IF(BU493="-","Nicht im Lift",IF(AS493&gt;=1,"Lift",IF(AS493&lt;=0,"Aussenlager","teilweise")))))</f>
        <v>Lift</v>
      </c>
      <c r="BD493" s="55" t="str">
        <f aca="false">IF(AV493&lt;=0,"",IF(BU493="Aussen","Aussenlager",IF(BU493="-","Nicht im Lift",IF(BA493&gt;=1,"Lift",IF(BA493&lt;=0,"Aussenlager","teilweise")))))</f>
        <v>Lift</v>
      </c>
      <c r="BE493" s="55" t="str">
        <f aca="false">IF(A493="","",IF(BN493=1,"Neu; ","")&amp;IF(AND(BN493=0,BI493&lt;0),"negativer Bestand (Export "&amp;BI493&amp;"); ","")&amp;IF(I493&lt;=0,"Kein Verbrauch; ","")&amp;IF(CD493&gt;0,"Lift "&amp;U493&amp;" lt. Liftbericht (Fach "&amp;V493&amp;" Stk); ",IF(BR493=1,"Lose – Fläche geschätzt; ",""))&amp;IF(G493&gt;AP493,"Überbestand "&amp;ROUND(G493-AP493,0)&amp;" Stk / CHF "&amp;ROUND((G493-AP493)*F493,0)&amp;"; ","")&amp;IF(AND(BW493=1,BX493&lt;BY493),"MAX &lt; MB+LG; ","")&amp;IF(AND(CC493&gt;0,CB493*10&gt;CC493),"zu hoch für Tablar; ","")&amp;IF(AND(BN493=0,OR(BW493=1,Y493&lt;&gt;"",S493&lt;&gt;"",T493&lt;&gt;"",Z493&lt;&gt;"")),"manuell übersteuert; ","")&amp;IF(AND(BR493=0,Q493=0),"Gebinde unbekannt / Stellmass fehlt; ","")&amp;IF(AND(BR493=0,N(T493)&lt;=0,N(P493)&lt;=0),"Menge pro Gebinde fehlt (Ist = 1 Gebinde); ","")&amp;BM493)</f>
        <v>Verb.Lager</v>
      </c>
      <c r="BF493" s="55"/>
      <c r="BG493" s="55"/>
      <c r="BH493" s="62"/>
      <c r="BI493" s="57" t="n">
        <v>191</v>
      </c>
      <c r="BJ493" s="57" t="n">
        <v>3500</v>
      </c>
      <c r="BK493" s="56" t="n">
        <v>40.73</v>
      </c>
      <c r="BL493" s="57" t="n">
        <v>100</v>
      </c>
      <c r="BM493" s="55" t="s">
        <v>1019</v>
      </c>
      <c r="BN493" s="60" t="n">
        <v>0</v>
      </c>
      <c r="BO493" s="60" t="n">
        <v>493</v>
      </c>
      <c r="BP493" s="55" t="str">
        <f aca="false">IF(S493&lt;&gt;"",UPPER(TRIM(S493)),IF(O493="","LOSE",O493))</f>
        <v>S51</v>
      </c>
      <c r="BQ493" s="57" t="n">
        <f aca="false">IF(BP493="LOSE",1,IF(N(T493)&gt;0,T493,IF(N(P493)&gt;0,P493,MAX(1,G493))))</f>
        <v>4200</v>
      </c>
      <c r="BR493" s="60" t="n">
        <f aca="false">IF(BP493="LOSE",1,0)</f>
        <v>0</v>
      </c>
      <c r="BS493" s="59" t="n">
        <f aca="false">IF(BR493=0,0,IF(N(R493)&gt;0,R493,IFERROR(VLOOKUP(D493,Parameter!$A$35:$C$64,3,0)+0,0)))</f>
        <v>0</v>
      </c>
      <c r="BT493" s="55" t="n">
        <f aca="false">IF(Y493&lt;&gt;"",Y493,X493)</f>
        <v>3</v>
      </c>
      <c r="BU493" s="55" t="str">
        <f aca="false">IF(BT493=1,"L1",IF(OR(BT493=2,BT493=3),"L23",IF(BT493="Aussen","Aussen","-")))</f>
        <v>L23</v>
      </c>
      <c r="BV493" s="66" t="n">
        <f aca="false">IF(N(Z493)&gt;0,Z493,0)</f>
        <v>0</v>
      </c>
      <c r="BW493" s="60" t="n">
        <f aca="false">IF(ISNUMBER(AC493),1,0)</f>
        <v>0</v>
      </c>
      <c r="BX493" s="57" t="n">
        <f aca="false">N(AC493)</f>
        <v>0</v>
      </c>
      <c r="BY493" s="57" t="n">
        <f aca="false">N(L493)+N(M493)</f>
        <v>103</v>
      </c>
      <c r="BZ493" s="57" t="n">
        <f aca="false">ROUNDUP(G493/BQ493,0)</f>
        <v>1</v>
      </c>
      <c r="CA493" s="57" t="n">
        <f aca="false">ROUNDUP(BX493/BQ493,0)</f>
        <v>0</v>
      </c>
      <c r="CB493" s="60" t="n">
        <f aca="false">IF(BR493=1,0,IFERROR(VLOOKUP(BP493,'Gebinde-Kategorie'!$A$5:$M$45,5,0)+0,0))</f>
        <v>11</v>
      </c>
      <c r="CC493" s="60" t="n">
        <f aca="false">IFERROR(IF(OR(BT493=1,BT493=2,BT493=3),N(INDEX(Parameter!$I$5:$I$7,BT493)),0),0)</f>
        <v>0</v>
      </c>
      <c r="CD493" s="59" t="n">
        <f aca="false">IF(AND(Parameter!$B$21="Ja",ISNUMBER(U493),N(V493)&gt;0),IFERROR(N(INDEX(Parameter!$L$5:$L$7,U493))*INDEX(Parameter!$E$5:$E$7,U493)*V493/SUMIFS($V$7:$V$1576,$U$7:$U$1576,U493),0),0)</f>
        <v>0</v>
      </c>
    </row>
    <row r="494" customFormat="false" ht="15" hidden="false" customHeight="false" outlineLevel="0" collapsed="false">
      <c r="A494" s="55" t="s">
        <v>1078</v>
      </c>
      <c r="B494" s="55" t="s">
        <v>1079</v>
      </c>
      <c r="C494" s="55" t="s">
        <v>160</v>
      </c>
      <c r="D494" s="55" t="s">
        <v>178</v>
      </c>
      <c r="E494" s="55" t="s">
        <v>210</v>
      </c>
      <c r="F494" s="56" t="n">
        <v>13.45</v>
      </c>
      <c r="G494" s="57" t="n">
        <f aca="false">MAX(0,IF(AND(Parameter!$B$21="Ja",ISNUMBER(W494)),W494,IF(Parameter!$B$20="Jahresanfang 2025 + Export",BJ494+BI494,BI494)))</f>
        <v>3</v>
      </c>
      <c r="H494" s="57" t="n">
        <f aca="false">G494*F494</f>
        <v>40.35</v>
      </c>
      <c r="I494" s="57" t="n">
        <f aca="false">BL494*Parameter!$B$18</f>
        <v>4</v>
      </c>
      <c r="J494" s="58" t="n">
        <v>3</v>
      </c>
      <c r="K494" s="59" t="n">
        <v>1.33333333333333</v>
      </c>
      <c r="L494" s="57" t="n">
        <v>0</v>
      </c>
      <c r="M494" s="57" t="n">
        <v>5</v>
      </c>
      <c r="N494" s="60" t="n">
        <v>14</v>
      </c>
      <c r="O494" s="55" t="s">
        <v>391</v>
      </c>
      <c r="P494" s="57" t="n">
        <v>4</v>
      </c>
      <c r="Q494" s="60" t="n">
        <f aca="false">IF(BR494=1,0,IFERROR(VLOOKUP(BP494,'Gebinde-Kategorie'!$A$5:$M$45,13,0)+0,0))</f>
        <v>414</v>
      </c>
      <c r="R494" s="61"/>
      <c r="S494" s="62"/>
      <c r="T494" s="62"/>
      <c r="U494" s="55"/>
      <c r="V494" s="57"/>
      <c r="W494" s="57"/>
      <c r="X494" s="55" t="n">
        <f aca="false">IF(A494="","",IF(AND(Parameter!$B$21="Ja",ISNUMBER(U494)),U494,IF(IFERROR(VLOOKUP(D494,Parameter!$A$35:$C$64,2,0),"Nein")="2+3",IF(ISNUMBER(SEARCH("grosser Artikel",BM494)),2,IFERROR(VLOOKUP(BP494,Parameter!$F$35:$G$64,2,0),2)),IF(OR(IFERROR(VLOOKUP(D494,Parameter!$A$35:$C$64,2,0),"Nein")="Nein",IFERROR(VLOOKUP(D494,Parameter!$A$35:$C$64,2,0),"Nein")=""),"-",VLOOKUP(D494,Parameter!$A$35:$C$64,2,0)))))</f>
        <v>3</v>
      </c>
      <c r="Y494" s="62"/>
      <c r="Z494" s="63"/>
      <c r="AA494" s="57" t="n">
        <f aca="false">AP494</f>
        <v>8</v>
      </c>
      <c r="AB494" s="57" t="n">
        <f aca="false">MAX(AP494,G494)</f>
        <v>8</v>
      </c>
      <c r="AC494" s="64"/>
      <c r="AD494" s="57" t="n">
        <f aca="false">IF(LEFT(Cockpit!$C$5,1)="A",G494,IF(BW494=1,BX494,IF(LEFT(Cockpit!$C$5,1)="B",AH494,MAX(AH494,G494))))</f>
        <v>3</v>
      </c>
      <c r="AE494" s="57" t="n">
        <f aca="false">IF(BR494=1,0,ROUNDUP(AD494/BQ494,0))</f>
        <v>1</v>
      </c>
      <c r="AF494" s="59" t="n">
        <f aca="false">IF(CD494&gt;0,CD494*MAX(1,AD494/V494),IF(BR494=1,IF(AD494&lt;=0,0,BS494*MAX(1,IF(G494&gt;0,AD494/G494,1))),IF(Q494&gt;0,AE494/Q494,0))/MAX(0.1,N(Parameter!$M$21)))</f>
        <v>0.00241545893719807</v>
      </c>
      <c r="AG494" s="57" t="n">
        <f aca="false">AD494*F494</f>
        <v>40.35</v>
      </c>
      <c r="AH494" s="57" t="n">
        <f aca="false">ROUNDUP(MAX(I494/IF(BV494&gt;0,BV494,MAX(0.1,N(Cockpit!$C$6))),BY494)/BQ494,0)*BQ494</f>
        <v>8</v>
      </c>
      <c r="AI494" s="58" t="n">
        <f aca="false">IF(AF494&gt;0,I494/AF494,-1)</f>
        <v>1656</v>
      </c>
      <c r="AJ494" s="58" t="n">
        <f aca="false">IF(AND(OR(BU494="L1",BU494="L23"),AF494&gt;0),SUMIFS($AF$7:$AF$1576,$BU$7:$BU$1576,BU494,$AI$7:$AI$1576,"&gt;"&amp;AI494)+SUMIFS($AF$7:$AF$1576,$BU$7:$BU$1576,BU494,$AI$7:$AI$1576,AI494,$BO$7:$BO$1576,"&lt;="&amp;BO494),"")</f>
        <v>7.63244451200973</v>
      </c>
      <c r="AK494" s="65" t="n">
        <f aca="false">IF(AJ494="",0,MAX(0,MIN(1,(IF(BU494="L1",Parameter!$E$5,Parameter!$E$6+Parameter!$E$7)-(AJ494-AF494))/AF494)))</f>
        <v>1</v>
      </c>
      <c r="AL494" s="57" t="n">
        <f aca="false">IF(LEFT(Cockpit!$I$5,1)="A",G494,IF(BW494=1,BX494,IF(LEFT(Cockpit!$I$5,1)="B",AP494,MAX(AP494,G494))))</f>
        <v>8</v>
      </c>
      <c r="AM494" s="57" t="n">
        <f aca="false">IF(BR494=1,0,ROUNDUP(AL494/BQ494,0))</f>
        <v>2</v>
      </c>
      <c r="AN494" s="59" t="n">
        <f aca="false">IF(CD494&gt;0,CD494*MAX(1,AL494/V494),IF(BR494=1,IF(AL494&lt;=0,0,BS494*MAX(1,IF(G494&gt;0,AL494/G494,1))),IF(Q494&gt;0,AM494/Q494,0))/MAX(0.1,N(Parameter!$M$21)))</f>
        <v>0.00483091787439614</v>
      </c>
      <c r="AO494" s="57" t="n">
        <f aca="false">AL494*F494</f>
        <v>107.6</v>
      </c>
      <c r="AP494" s="57" t="n">
        <f aca="false">ROUNDUP(MAX(I494/IF(BV494&gt;0,BV494,MAX(0.1,N(Cockpit!$I$6))),BY494)/BQ494,0)*BQ494</f>
        <v>8</v>
      </c>
      <c r="AQ494" s="58" t="n">
        <f aca="false">IF(AN494&gt;0,I494/AN494,-1)</f>
        <v>828</v>
      </c>
      <c r="AR494" s="58" t="n">
        <f aca="false">IF(AND(OR(BU494="L1",BU494="L23"),AN494&gt;0),SUMIFS($AN$7:$AN$1576,$BU$7:$BU$1576,BU494,$AQ$7:$AQ$1576,"&gt;"&amp;AQ494)+SUMIFS($AN$7:$AN$1576,$BU$7:$BU$1576,BU494,$AQ$7:$AQ$1576,AQ494,$BO$7:$BO$1576,"&lt;="&amp;BO494),"")</f>
        <v>25.5933589722832</v>
      </c>
      <c r="AS494" s="65" t="n">
        <f aca="false">IF(AR494="",0,MAX(0,MIN(1,(IF(BU494="L1",Parameter!$E$5,Parameter!$E$6+Parameter!$E$7)-(AR494-AN494))/AN494)))</f>
        <v>1</v>
      </c>
      <c r="AT494" s="57" t="n">
        <f aca="false">IF(LEFT(Cockpit!$O$5,1)="A",G494,IF(BW494=1,BX494,IF(LEFT(Cockpit!$O$5,1)="B",AX494,MAX(AX494,G494))))</f>
        <v>8</v>
      </c>
      <c r="AU494" s="57" t="n">
        <f aca="false">IF(BR494=1,0,ROUNDUP(AT494/BQ494,0))</f>
        <v>2</v>
      </c>
      <c r="AV494" s="59" t="n">
        <f aca="false">IF(CD494&gt;0,CD494*MAX(1,AT494/V494),IF(BR494=1,IF(AT494&lt;=0,0,BS494*MAX(1,IF(G494&gt;0,AT494/G494,1))),IF(Q494&gt;0,AU494/Q494,0))/MAX(0.1,N(Parameter!$M$21)))</f>
        <v>0.00483091787439614</v>
      </c>
      <c r="AW494" s="57" t="n">
        <f aca="false">AT494*F494</f>
        <v>107.6</v>
      </c>
      <c r="AX494" s="57" t="n">
        <f aca="false">ROUNDUP(MAX(I494/IF(BV494&gt;0,BV494,MAX(0.1,N(Cockpit!$O$6))),BY494)/BQ494,0)*BQ494</f>
        <v>8</v>
      </c>
      <c r="AY494" s="58" t="n">
        <f aca="false">IF(AV494&gt;0,I494/AV494,-1)</f>
        <v>828</v>
      </c>
      <c r="AZ494" s="58" t="n">
        <f aca="false">IF(AND(OR(BU494="L1",BU494="L23"),AV494&gt;0),SUMIFS($AV$7:$AV$1576,$BU$7:$BU$1576,BU494,$AY$7:$AY$1576,"&gt;"&amp;AY494)+SUMIFS($AV$7:$AV$1576,$BU$7:$BU$1576,BU494,$AY$7:$AY$1576,AY494,$BO$7:$BO$1576,"&lt;="&amp;BO494),"")</f>
        <v>25.9103752892995</v>
      </c>
      <c r="BA494" s="65" t="n">
        <f aca="false">IF(AZ494="",0,MAX(0,MIN(1,(IF(BU494="L1",Parameter!$E$5,Parameter!$E$6+Parameter!$E$7)-(AZ494-AV494))/AV494)))</f>
        <v>1</v>
      </c>
      <c r="BB494" s="55" t="str">
        <f aca="false">IF(AF494&lt;=0,"",IF(BU494="Aussen","Aussenlager",IF(BU494="-","Nicht im Lift",IF(AK494&gt;=1,"Lift",IF(AK494&lt;=0,"Aussenlager","teilweise")))))</f>
        <v>Lift</v>
      </c>
      <c r="BC494" s="55" t="str">
        <f aca="false">IF(AN494&lt;=0,"",IF(BU494="Aussen","Aussenlager",IF(BU494="-","Nicht im Lift",IF(AS494&gt;=1,"Lift",IF(AS494&lt;=0,"Aussenlager","teilweise")))))</f>
        <v>Lift</v>
      </c>
      <c r="BD494" s="55" t="str">
        <f aca="false">IF(AV494&lt;=0,"",IF(BU494="Aussen","Aussenlager",IF(BU494="-","Nicht im Lift",IF(BA494&gt;=1,"Lift",IF(BA494&lt;=0,"Aussenlager","teilweise")))))</f>
        <v>Lift</v>
      </c>
      <c r="BE494" s="55" t="str">
        <f aca="false">IF(A494="","",IF(BN494=1,"Neu; ","")&amp;IF(AND(BN494=0,BI494&lt;0),"negativer Bestand (Export "&amp;BI494&amp;"); ","")&amp;IF(I494&lt;=0,"Kein Verbrauch; ","")&amp;IF(CD494&gt;0,"Lift "&amp;U494&amp;" lt. Liftbericht (Fach "&amp;V494&amp;" Stk); ",IF(BR494=1,"Lose – Fläche geschätzt; ",""))&amp;IF(G494&gt;AP494,"Überbestand "&amp;ROUND(G494-AP494,0)&amp;" Stk / CHF "&amp;ROUND((G494-AP494)*F494,0)&amp;"; ","")&amp;IF(AND(BW494=1,BX494&lt;BY494),"MAX &lt; MB+LG; ","")&amp;IF(AND(CC494&gt;0,CB494*10&gt;CC494),"zu hoch für Tablar; ","")&amp;IF(AND(BN494=0,OR(BW494=1,Y494&lt;&gt;"",S494&lt;&gt;"",T494&lt;&gt;"",Z494&lt;&gt;"")),"manuell übersteuert; ","")&amp;IF(AND(BR494=0,Q494=0),"Gebinde unbekannt / Stellmass fehlt; ","")&amp;IF(AND(BR494=0,N(T494)&lt;=0,N(P494)&lt;=0),"Menge pro Gebinde fehlt (Ist = 1 Gebinde); ","")&amp;BM494)</f>
        <v/>
      </c>
      <c r="BF494" s="55"/>
      <c r="BG494" s="55"/>
      <c r="BH494" s="62"/>
      <c r="BI494" s="57" t="n">
        <v>3</v>
      </c>
      <c r="BJ494" s="57" t="n">
        <v>0</v>
      </c>
      <c r="BK494" s="56" t="n">
        <v>40.35</v>
      </c>
      <c r="BL494" s="57" t="n">
        <v>4</v>
      </c>
      <c r="BM494" s="55"/>
      <c r="BN494" s="60" t="n">
        <v>0</v>
      </c>
      <c r="BO494" s="60" t="n">
        <v>494</v>
      </c>
      <c r="BP494" s="55" t="str">
        <f aca="false">IF(S494&lt;&gt;"",UPPER(TRIM(S494)),IF(O494="","LOSE",O494))</f>
        <v>S21</v>
      </c>
      <c r="BQ494" s="57" t="n">
        <f aca="false">IF(BP494="LOSE",1,IF(N(T494)&gt;0,T494,IF(N(P494)&gt;0,P494,MAX(1,G494))))</f>
        <v>4</v>
      </c>
      <c r="BR494" s="60" t="n">
        <f aca="false">IF(BP494="LOSE",1,0)</f>
        <v>0</v>
      </c>
      <c r="BS494" s="59" t="n">
        <f aca="false">IF(BR494=0,0,IF(N(R494)&gt;0,R494,IFERROR(VLOOKUP(D494,Parameter!$A$35:$C$64,3,0)+0,0)))</f>
        <v>0</v>
      </c>
      <c r="BT494" s="55" t="n">
        <f aca="false">IF(Y494&lt;&gt;"",Y494,X494)</f>
        <v>3</v>
      </c>
      <c r="BU494" s="55" t="str">
        <f aca="false">IF(BT494=1,"L1",IF(OR(BT494=2,BT494=3),"L23",IF(BT494="Aussen","Aussen","-")))</f>
        <v>L23</v>
      </c>
      <c r="BV494" s="66" t="n">
        <f aca="false">IF(N(Z494)&gt;0,Z494,0)</f>
        <v>0</v>
      </c>
      <c r="BW494" s="60" t="n">
        <f aca="false">IF(ISNUMBER(AC494),1,0)</f>
        <v>0</v>
      </c>
      <c r="BX494" s="57" t="n">
        <f aca="false">N(AC494)</f>
        <v>0</v>
      </c>
      <c r="BY494" s="57" t="n">
        <f aca="false">N(L494)+N(M494)</f>
        <v>5</v>
      </c>
      <c r="BZ494" s="57" t="n">
        <f aca="false">ROUNDUP(G494/BQ494,0)</f>
        <v>1</v>
      </c>
      <c r="CA494" s="57" t="n">
        <f aca="false">ROUNDUP(BX494/BQ494,0)</f>
        <v>0</v>
      </c>
      <c r="CB494" s="60" t="n">
        <f aca="false">IF(BR494=1,0,IFERROR(VLOOKUP(BP494,'Gebinde-Kategorie'!$A$5:$M$45,5,0)+0,0))</f>
        <v>8</v>
      </c>
      <c r="CC494" s="60" t="n">
        <f aca="false">IFERROR(IF(OR(BT494=1,BT494=2,BT494=3),N(INDEX(Parameter!$I$5:$I$7,BT494)),0),0)</f>
        <v>0</v>
      </c>
      <c r="CD494" s="59" t="n">
        <f aca="false">IF(AND(Parameter!$B$21="Ja",ISNUMBER(U494),N(V494)&gt;0),IFERROR(N(INDEX(Parameter!$L$5:$L$7,U494))*INDEX(Parameter!$E$5:$E$7,U494)*V494/SUMIFS($V$7:$V$1576,$U$7:$U$1576,U494),0),0)</f>
        <v>0</v>
      </c>
    </row>
    <row r="495" customFormat="false" ht="15" hidden="false" customHeight="false" outlineLevel="0" collapsed="false">
      <c r="A495" s="55" t="s">
        <v>1080</v>
      </c>
      <c r="B495" s="55" t="s">
        <v>1081</v>
      </c>
      <c r="C495" s="55" t="s">
        <v>160</v>
      </c>
      <c r="D495" s="55" t="s">
        <v>178</v>
      </c>
      <c r="E495" s="55" t="s">
        <v>210</v>
      </c>
      <c r="F495" s="56" t="n">
        <v>5.09</v>
      </c>
      <c r="G495" s="57" t="n">
        <f aca="false">MAX(0,IF(AND(Parameter!$B$21="Ja",ISNUMBER(W495)),W495,IF(Parameter!$B$20="Jahresanfang 2025 + Export",BJ495+BI495,BI495)))</f>
        <v>8</v>
      </c>
      <c r="H495" s="57" t="n">
        <f aca="false">G495*F495</f>
        <v>40.72</v>
      </c>
      <c r="I495" s="57" t="n">
        <f aca="false">BL495*Parameter!$B$18</f>
        <v>6</v>
      </c>
      <c r="J495" s="58" t="n">
        <v>4</v>
      </c>
      <c r="K495" s="59" t="n">
        <v>1.5</v>
      </c>
      <c r="L495" s="57" t="n">
        <v>0</v>
      </c>
      <c r="M495" s="57" t="n">
        <v>10</v>
      </c>
      <c r="N495" s="60" t="n">
        <v>30</v>
      </c>
      <c r="O495" s="55" t="s">
        <v>411</v>
      </c>
      <c r="P495" s="57" t="n">
        <v>6</v>
      </c>
      <c r="Q495" s="60" t="n">
        <f aca="false">IF(BR495=1,0,IFERROR(VLOOKUP(BP495,'Gebinde-Kategorie'!$A$5:$M$45,13,0)+0,0))</f>
        <v>132</v>
      </c>
      <c r="R495" s="61"/>
      <c r="S495" s="62"/>
      <c r="T495" s="62"/>
      <c r="U495" s="55"/>
      <c r="V495" s="57"/>
      <c r="W495" s="57"/>
      <c r="X495" s="55" t="n">
        <f aca="false">IF(A495="","",IF(AND(Parameter!$B$21="Ja",ISNUMBER(U495)),U495,IF(IFERROR(VLOOKUP(D495,Parameter!$A$35:$C$64,2,0),"Nein")="2+3",IF(ISNUMBER(SEARCH("grosser Artikel",BM495)),2,IFERROR(VLOOKUP(BP495,Parameter!$F$35:$G$64,2,0),2)),IF(OR(IFERROR(VLOOKUP(D495,Parameter!$A$35:$C$64,2,0),"Nein")="Nein",IFERROR(VLOOKUP(D495,Parameter!$A$35:$C$64,2,0),"Nein")=""),"-",VLOOKUP(D495,Parameter!$A$35:$C$64,2,0)))))</f>
        <v>3</v>
      </c>
      <c r="Y495" s="62"/>
      <c r="Z495" s="63"/>
      <c r="AA495" s="57" t="n">
        <f aca="false">AP495</f>
        <v>12</v>
      </c>
      <c r="AB495" s="57" t="n">
        <f aca="false">MAX(AP495,G495)</f>
        <v>12</v>
      </c>
      <c r="AC495" s="64"/>
      <c r="AD495" s="57" t="n">
        <f aca="false">IF(LEFT(Cockpit!$C$5,1)="A",G495,IF(BW495=1,BX495,IF(LEFT(Cockpit!$C$5,1)="B",AH495,MAX(AH495,G495))))</f>
        <v>8</v>
      </c>
      <c r="AE495" s="57" t="n">
        <f aca="false">IF(BR495=1,0,ROUNDUP(AD495/BQ495,0))</f>
        <v>2</v>
      </c>
      <c r="AF495" s="59" t="n">
        <f aca="false">IF(CD495&gt;0,CD495*MAX(1,AD495/V495),IF(BR495=1,IF(AD495&lt;=0,0,BS495*MAX(1,IF(G495&gt;0,AD495/G495,1))),IF(Q495&gt;0,AE495/Q495,0))/MAX(0.1,N(Parameter!$M$21)))</f>
        <v>0.0151515151515152</v>
      </c>
      <c r="AG495" s="57" t="n">
        <f aca="false">AD495*F495</f>
        <v>40.72</v>
      </c>
      <c r="AH495" s="57" t="n">
        <f aca="false">ROUNDUP(MAX(I495/IF(BV495&gt;0,BV495,MAX(0.1,N(Cockpit!$C$6))),BY495)/BQ495,0)*BQ495</f>
        <v>12</v>
      </c>
      <c r="AI495" s="58" t="n">
        <f aca="false">IF(AF495&gt;0,I495/AF495,-1)</f>
        <v>396</v>
      </c>
      <c r="AJ495" s="58" t="n">
        <f aca="false">IF(AND(OR(BU495="L1",BU495="L23"),AF495&gt;0),SUMIFS($AF$7:$AF$1576,$BU$7:$BU$1576,BU495,$AI$7:$AI$1576,"&gt;"&amp;AI495)+SUMIFS($AF$7:$AF$1576,$BU$7:$BU$1576,BU495,$AI$7:$AI$1576,AI495,$BO$7:$BO$1576,"&lt;="&amp;BO495),"")</f>
        <v>13.4911057058883</v>
      </c>
      <c r="AK495" s="65" t="n">
        <f aca="false">IF(AJ495="",0,MAX(0,MIN(1,(IF(BU495="L1",Parameter!$E$5,Parameter!$E$6+Parameter!$E$7)-(AJ495-AF495))/AF495)))</f>
        <v>1</v>
      </c>
      <c r="AL495" s="57" t="n">
        <f aca="false">IF(LEFT(Cockpit!$I$5,1)="A",G495,IF(BW495=1,BX495,IF(LEFT(Cockpit!$I$5,1)="B",AP495,MAX(AP495,G495))))</f>
        <v>12</v>
      </c>
      <c r="AM495" s="57" t="n">
        <f aca="false">IF(BR495=1,0,ROUNDUP(AL495/BQ495,0))</f>
        <v>2</v>
      </c>
      <c r="AN495" s="59" t="n">
        <f aca="false">IF(CD495&gt;0,CD495*MAX(1,AL495/V495),IF(BR495=1,IF(AL495&lt;=0,0,BS495*MAX(1,IF(G495&gt;0,AL495/G495,1))),IF(Q495&gt;0,AM495/Q495,0))/MAX(0.1,N(Parameter!$M$21)))</f>
        <v>0.0151515151515152</v>
      </c>
      <c r="AO495" s="57" t="n">
        <f aca="false">AL495*F495</f>
        <v>61.08</v>
      </c>
      <c r="AP495" s="57" t="n">
        <f aca="false">ROUNDUP(MAX(I495/IF(BV495&gt;0,BV495,MAX(0.1,N(Cockpit!$I$6))),BY495)/BQ495,0)*BQ495</f>
        <v>12</v>
      </c>
      <c r="AQ495" s="58" t="n">
        <f aca="false">IF(AN495&gt;0,I495/AN495,-1)</f>
        <v>396</v>
      </c>
      <c r="AR495" s="58" t="n">
        <f aca="false">IF(AND(OR(BU495="L1",BU495="L23"),AN495&gt;0),SUMIFS($AN$7:$AN$1576,$BU$7:$BU$1576,BU495,$AQ$7:$AQ$1576,"&gt;"&amp;AQ495)+SUMIFS($AN$7:$AN$1576,$BU$7:$BU$1576,BU495,$AQ$7:$AQ$1576,AQ495,$BO$7:$BO$1576,"&lt;="&amp;BO495),"")</f>
        <v>36.7814349542722</v>
      </c>
      <c r="AS495" s="65" t="n">
        <f aca="false">IF(AR495="",0,MAX(0,MIN(1,(IF(BU495="L1",Parameter!$E$5,Parameter!$E$6+Parameter!$E$7)-(AR495-AN495))/AN495)))</f>
        <v>1</v>
      </c>
      <c r="AT495" s="57" t="n">
        <f aca="false">IF(LEFT(Cockpit!$O$5,1)="A",G495,IF(BW495=1,BX495,IF(LEFT(Cockpit!$O$5,1)="B",AX495,MAX(AX495,G495))))</f>
        <v>12</v>
      </c>
      <c r="AU495" s="57" t="n">
        <f aca="false">IF(BR495=1,0,ROUNDUP(AT495/BQ495,0))</f>
        <v>2</v>
      </c>
      <c r="AV495" s="59" t="n">
        <f aca="false">IF(CD495&gt;0,CD495*MAX(1,AT495/V495),IF(BR495=1,IF(AT495&lt;=0,0,BS495*MAX(1,IF(G495&gt;0,AT495/G495,1))),IF(Q495&gt;0,AU495/Q495,0))/MAX(0.1,N(Parameter!$M$21)))</f>
        <v>0.0151515151515152</v>
      </c>
      <c r="AW495" s="57" t="n">
        <f aca="false">AT495*F495</f>
        <v>61.08</v>
      </c>
      <c r="AX495" s="57" t="n">
        <f aca="false">ROUNDUP(MAX(I495/IF(BV495&gt;0,BV495,MAX(0.1,N(Cockpit!$O$6))),BY495)/BQ495,0)*BQ495</f>
        <v>12</v>
      </c>
      <c r="AY495" s="58" t="n">
        <f aca="false">IF(AV495&gt;0,I495/AV495,-1)</f>
        <v>396</v>
      </c>
      <c r="AZ495" s="58" t="n">
        <f aca="false">IF(AND(OR(BU495="L1",BU495="L23"),AV495&gt;0),SUMIFS($AV$7:$AV$1576,$BU$7:$BU$1576,BU495,$AY$7:$AY$1576,"&gt;"&amp;AY495)+SUMIFS($AV$7:$AV$1576,$BU$7:$BU$1576,BU495,$AY$7:$AY$1576,AY495,$BO$7:$BO$1576,"&lt;="&amp;BO495),"")</f>
        <v>35.9461802090175</v>
      </c>
      <c r="BA495" s="65" t="n">
        <f aca="false">IF(AZ495="",0,MAX(0,MIN(1,(IF(BU495="L1",Parameter!$E$5,Parameter!$E$6+Parameter!$E$7)-(AZ495-AV495))/AV495)))</f>
        <v>1</v>
      </c>
      <c r="BB495" s="55" t="str">
        <f aca="false">IF(AF495&lt;=0,"",IF(BU495="Aussen","Aussenlager",IF(BU495="-","Nicht im Lift",IF(AK495&gt;=1,"Lift",IF(AK495&lt;=0,"Aussenlager","teilweise")))))</f>
        <v>Lift</v>
      </c>
      <c r="BC495" s="55" t="str">
        <f aca="false">IF(AN495&lt;=0,"",IF(BU495="Aussen","Aussenlager",IF(BU495="-","Nicht im Lift",IF(AS495&gt;=1,"Lift",IF(AS495&lt;=0,"Aussenlager","teilweise")))))</f>
        <v>Lift</v>
      </c>
      <c r="BD495" s="55" t="str">
        <f aca="false">IF(AV495&lt;=0,"",IF(BU495="Aussen","Aussenlager",IF(BU495="-","Nicht im Lift",IF(BA495&gt;=1,"Lift",IF(BA495&lt;=0,"Aussenlager","teilweise")))))</f>
        <v>Lift</v>
      </c>
      <c r="BE495" s="55" t="str">
        <f aca="false">IF(A495="","",IF(BN495=1,"Neu; ","")&amp;IF(AND(BN495=0,BI495&lt;0),"negativer Bestand (Export "&amp;BI495&amp;"); ","")&amp;IF(I495&lt;=0,"Kein Verbrauch; ","")&amp;IF(CD495&gt;0,"Lift "&amp;U495&amp;" lt. Liftbericht (Fach "&amp;V495&amp;" Stk); ",IF(BR495=1,"Lose – Fläche geschätzt; ",""))&amp;IF(G495&gt;AP495,"Überbestand "&amp;ROUND(G495-AP495,0)&amp;" Stk / CHF "&amp;ROUND((G495-AP495)*F495,0)&amp;"; ","")&amp;IF(AND(BW495=1,BX495&lt;BY495),"MAX &lt; MB+LG; ","")&amp;IF(AND(CC495&gt;0,CB495*10&gt;CC495),"zu hoch für Tablar; ","")&amp;IF(AND(BN495=0,OR(BW495=1,Y495&lt;&gt;"",S495&lt;&gt;"",T495&lt;&gt;"",Z495&lt;&gt;"")),"manuell übersteuert; ","")&amp;IF(AND(BR495=0,Q495=0),"Gebinde unbekannt / Stellmass fehlt; ","")&amp;IF(AND(BR495=0,N(T495)&lt;=0,N(P495)&lt;=0),"Menge pro Gebinde fehlt (Ist = 1 Gebinde); ","")&amp;BM495)</f>
        <v/>
      </c>
      <c r="BF495" s="55"/>
      <c r="BG495" s="55"/>
      <c r="BH495" s="62"/>
      <c r="BI495" s="57" t="n">
        <v>8</v>
      </c>
      <c r="BJ495" s="57" t="n">
        <v>3</v>
      </c>
      <c r="BK495" s="56" t="n">
        <v>40.18</v>
      </c>
      <c r="BL495" s="57" t="n">
        <v>6</v>
      </c>
      <c r="BM495" s="55"/>
      <c r="BN495" s="60" t="n">
        <v>0</v>
      </c>
      <c r="BO495" s="60" t="n">
        <v>495</v>
      </c>
      <c r="BP495" s="55" t="str">
        <f aca="false">IF(S495&lt;&gt;"",UPPER(TRIM(S495)),IF(O495="","LOSE",O495))</f>
        <v>S32</v>
      </c>
      <c r="BQ495" s="57" t="n">
        <f aca="false">IF(BP495="LOSE",1,IF(N(T495)&gt;0,T495,IF(N(P495)&gt;0,P495,MAX(1,G495))))</f>
        <v>6</v>
      </c>
      <c r="BR495" s="60" t="n">
        <f aca="false">IF(BP495="LOSE",1,0)</f>
        <v>0</v>
      </c>
      <c r="BS495" s="59" t="n">
        <f aca="false">IF(BR495=0,0,IF(N(R495)&gt;0,R495,IFERROR(VLOOKUP(D495,Parameter!$A$35:$C$64,3,0)+0,0)))</f>
        <v>0</v>
      </c>
      <c r="BT495" s="55" t="n">
        <f aca="false">IF(Y495&lt;&gt;"",Y495,X495)</f>
        <v>3</v>
      </c>
      <c r="BU495" s="55" t="str">
        <f aca="false">IF(BT495=1,"L1",IF(OR(BT495=2,BT495=3),"L23",IF(BT495="Aussen","Aussen","-")))</f>
        <v>L23</v>
      </c>
      <c r="BV495" s="66" t="n">
        <f aca="false">IF(N(Z495)&gt;0,Z495,0)</f>
        <v>0</v>
      </c>
      <c r="BW495" s="60" t="n">
        <f aca="false">IF(ISNUMBER(AC495),1,0)</f>
        <v>0</v>
      </c>
      <c r="BX495" s="57" t="n">
        <f aca="false">N(AC495)</f>
        <v>0</v>
      </c>
      <c r="BY495" s="57" t="n">
        <f aca="false">N(L495)+N(M495)</f>
        <v>10</v>
      </c>
      <c r="BZ495" s="57" t="n">
        <f aca="false">ROUNDUP(G495/BQ495,0)</f>
        <v>2</v>
      </c>
      <c r="CA495" s="57" t="n">
        <f aca="false">ROUNDUP(BX495/BQ495,0)</f>
        <v>0</v>
      </c>
      <c r="CB495" s="60" t="n">
        <f aca="false">IF(BR495=1,0,IFERROR(VLOOKUP(BP495,'Gebinde-Kategorie'!$A$5:$M$45,5,0)+0,0))</f>
        <v>8</v>
      </c>
      <c r="CC495" s="60" t="n">
        <f aca="false">IFERROR(IF(OR(BT495=1,BT495=2,BT495=3),N(INDEX(Parameter!$I$5:$I$7,BT495)),0),0)</f>
        <v>0</v>
      </c>
      <c r="CD495" s="59" t="n">
        <f aca="false">IF(AND(Parameter!$B$21="Ja",ISNUMBER(U495),N(V495)&gt;0),IFERROR(N(INDEX(Parameter!$L$5:$L$7,U495))*INDEX(Parameter!$E$5:$E$7,U495)*V495/SUMIFS($V$7:$V$1576,$U$7:$U$1576,U495),0),0)</f>
        <v>0</v>
      </c>
    </row>
    <row r="496" customFormat="false" ht="15" hidden="false" customHeight="false" outlineLevel="0" collapsed="false">
      <c r="A496" s="55" t="s">
        <v>1082</v>
      </c>
      <c r="B496" s="55" t="s">
        <v>494</v>
      </c>
      <c r="C496" s="55" t="s">
        <v>160</v>
      </c>
      <c r="D496" s="55" t="s">
        <v>178</v>
      </c>
      <c r="E496" s="55" t="s">
        <v>210</v>
      </c>
      <c r="F496" s="56" t="n">
        <v>32.17</v>
      </c>
      <c r="G496" s="57" t="n">
        <f aca="false">MAX(0,IF(AND(Parameter!$B$21="Ja",ISNUMBER(W496)),W496,IF(Parameter!$B$20="Jahresanfang 2025 + Export",BJ496+BI496,BI496)))</f>
        <v>0</v>
      </c>
      <c r="H496" s="57" t="n">
        <f aca="false">G496*F496</f>
        <v>0</v>
      </c>
      <c r="I496" s="57" t="n">
        <f aca="false">BL496*Parameter!$B$18</f>
        <v>8</v>
      </c>
      <c r="J496" s="58" t="n">
        <v>5.5</v>
      </c>
      <c r="K496" s="59" t="n">
        <v>1.45454545454546</v>
      </c>
      <c r="L496" s="57" t="n">
        <v>0</v>
      </c>
      <c r="M496" s="57" t="n">
        <v>10</v>
      </c>
      <c r="N496" s="60" t="n">
        <v>28</v>
      </c>
      <c r="O496" s="55" t="s">
        <v>319</v>
      </c>
      <c r="P496" s="57" t="n">
        <v>14</v>
      </c>
      <c r="Q496" s="60" t="n">
        <f aca="false">IF(BR496=1,0,IFERROR(VLOOKUP(BP496,'Gebinde-Kategorie'!$A$5:$M$45,13,0)+0,0))</f>
        <v>52</v>
      </c>
      <c r="R496" s="61"/>
      <c r="S496" s="62"/>
      <c r="T496" s="62"/>
      <c r="U496" s="55"/>
      <c r="V496" s="57"/>
      <c r="W496" s="57"/>
      <c r="X496" s="55" t="n">
        <f aca="false">IF(A496="","",IF(AND(Parameter!$B$21="Ja",ISNUMBER(U496)),U496,IF(IFERROR(VLOOKUP(D496,Parameter!$A$35:$C$64,2,0),"Nein")="2+3",IF(ISNUMBER(SEARCH("grosser Artikel",BM496)),2,IFERROR(VLOOKUP(BP496,Parameter!$F$35:$G$64,2,0),2)),IF(OR(IFERROR(VLOOKUP(D496,Parameter!$A$35:$C$64,2,0),"Nein")="Nein",IFERROR(VLOOKUP(D496,Parameter!$A$35:$C$64,2,0),"Nein")=""),"-",VLOOKUP(D496,Parameter!$A$35:$C$64,2,0)))))</f>
        <v>3</v>
      </c>
      <c r="Y496" s="62"/>
      <c r="Z496" s="63"/>
      <c r="AA496" s="57" t="n">
        <f aca="false">AP496</f>
        <v>14</v>
      </c>
      <c r="AB496" s="57" t="n">
        <f aca="false">MAX(AP496,G496)</f>
        <v>14</v>
      </c>
      <c r="AC496" s="64"/>
      <c r="AD496" s="57" t="n">
        <f aca="false">IF(LEFT(Cockpit!$C$5,1)="A",G496,IF(BW496=1,BX496,IF(LEFT(Cockpit!$C$5,1)="B",AH496,MAX(AH496,G496))))</f>
        <v>0</v>
      </c>
      <c r="AE496" s="57" t="n">
        <f aca="false">IF(BR496=1,0,ROUNDUP(AD496/BQ496,0))</f>
        <v>0</v>
      </c>
      <c r="AF496" s="59" t="n">
        <f aca="false">IF(CD496&gt;0,CD496*MAX(1,AD496/V496),IF(BR496=1,IF(AD496&lt;=0,0,BS496*MAX(1,IF(G496&gt;0,AD496/G496,1))),IF(Q496&gt;0,AE496/Q496,0))/MAX(0.1,N(Parameter!$M$21)))</f>
        <v>0</v>
      </c>
      <c r="AG496" s="57" t="n">
        <f aca="false">AD496*F496</f>
        <v>0</v>
      </c>
      <c r="AH496" s="57" t="n">
        <f aca="false">ROUNDUP(MAX(I496/IF(BV496&gt;0,BV496,MAX(0.1,N(Cockpit!$C$6))),BY496)/BQ496,0)*BQ496</f>
        <v>14</v>
      </c>
      <c r="AI496" s="58" t="n">
        <f aca="false">IF(AF496&gt;0,I496/AF496,-1)</f>
        <v>-1</v>
      </c>
      <c r="AJ496" s="58" t="str">
        <f aca="false">IF(AND(OR(BU496="L1",BU496="L23"),AF496&gt;0),SUMIFS($AF$7:$AF$1576,$BU$7:$BU$1576,BU496,$AI$7:$AI$1576,"&gt;"&amp;AI496)+SUMIFS($AF$7:$AF$1576,$BU$7:$BU$1576,BU496,$AI$7:$AI$1576,AI496,$BO$7:$BO$1576,"&lt;="&amp;BO496),"")</f>
        <v/>
      </c>
      <c r="AK496" s="65" t="n">
        <f aca="false">IF(AJ496="",0,MAX(0,MIN(1,(IF(BU496="L1",Parameter!$E$5,Parameter!$E$6+Parameter!$E$7)-(AJ496-AF496))/AF496)))</f>
        <v>0</v>
      </c>
      <c r="AL496" s="57" t="n">
        <f aca="false">IF(LEFT(Cockpit!$I$5,1)="A",G496,IF(BW496=1,BX496,IF(LEFT(Cockpit!$I$5,1)="B",AP496,MAX(AP496,G496))))</f>
        <v>14</v>
      </c>
      <c r="AM496" s="57" t="n">
        <f aca="false">IF(BR496=1,0,ROUNDUP(AL496/BQ496,0))</f>
        <v>1</v>
      </c>
      <c r="AN496" s="59" t="n">
        <f aca="false">IF(CD496&gt;0,CD496*MAX(1,AL496/V496),IF(BR496=1,IF(AL496&lt;=0,0,BS496*MAX(1,IF(G496&gt;0,AL496/G496,1))),IF(Q496&gt;0,AM496/Q496,0))/MAX(0.1,N(Parameter!$M$21)))</f>
        <v>0.0192307692307692</v>
      </c>
      <c r="AO496" s="57" t="n">
        <f aca="false">AL496*F496</f>
        <v>450.38</v>
      </c>
      <c r="AP496" s="57" t="n">
        <f aca="false">ROUNDUP(MAX(I496/IF(BV496&gt;0,BV496,MAX(0.1,N(Cockpit!$I$6))),BY496)/BQ496,0)*BQ496</f>
        <v>14</v>
      </c>
      <c r="AQ496" s="58" t="n">
        <f aca="false">IF(AN496&gt;0,I496/AN496,-1)</f>
        <v>416</v>
      </c>
      <c r="AR496" s="58" t="n">
        <f aca="false">IF(AND(OR(BU496="L1",BU496="L23"),AN496&gt;0),SUMIFS($AN$7:$AN$1576,$BU$7:$BU$1576,BU496,$AQ$7:$AQ$1576,"&gt;"&amp;AQ496)+SUMIFS($AN$7:$AN$1576,$BU$7:$BU$1576,BU496,$AQ$7:$AQ$1576,AQ496,$BO$7:$BO$1576,"&lt;="&amp;BO496),"")</f>
        <v>36.2026930198781</v>
      </c>
      <c r="AS496" s="65" t="n">
        <f aca="false">IF(AR496="",0,MAX(0,MIN(1,(IF(BU496="L1",Parameter!$E$5,Parameter!$E$6+Parameter!$E$7)-(AR496-AN496))/AN496)))</f>
        <v>1</v>
      </c>
      <c r="AT496" s="57" t="n">
        <f aca="false">IF(LEFT(Cockpit!$O$5,1)="A",G496,IF(BW496=1,BX496,IF(LEFT(Cockpit!$O$5,1)="B",AX496,MAX(AX496,G496))))</f>
        <v>14</v>
      </c>
      <c r="AU496" s="57" t="n">
        <f aca="false">IF(BR496=1,0,ROUNDUP(AT496/BQ496,0))</f>
        <v>1</v>
      </c>
      <c r="AV496" s="59" t="n">
        <f aca="false">IF(CD496&gt;0,CD496*MAX(1,AT496/V496),IF(BR496=1,IF(AT496&lt;=0,0,BS496*MAX(1,IF(G496&gt;0,AT496/G496,1))),IF(Q496&gt;0,AU496/Q496,0))/MAX(0.1,N(Parameter!$M$21)))</f>
        <v>0.0192307692307692</v>
      </c>
      <c r="AW496" s="57" t="n">
        <f aca="false">AT496*F496</f>
        <v>450.38</v>
      </c>
      <c r="AX496" s="57" t="n">
        <f aca="false">ROUNDUP(MAX(I496/IF(BV496&gt;0,BV496,MAX(0.1,N(Cockpit!$O$6))),BY496)/BQ496,0)*BQ496</f>
        <v>14</v>
      </c>
      <c r="AY496" s="58" t="n">
        <f aca="false">IF(AV496&gt;0,I496/AV496,-1)</f>
        <v>416</v>
      </c>
      <c r="AZ496" s="58" t="n">
        <f aca="false">IF(AND(OR(BU496="L1",BU496="L23"),AV496&gt;0),SUMIFS($AV$7:$AV$1576,$BU$7:$BU$1576,BU496,$AY$7:$AY$1576,"&gt;"&amp;AY496)+SUMIFS($AV$7:$AV$1576,$BU$7:$BU$1576,BU496,$AY$7:$AY$1576,AY496,$BO$7:$BO$1576,"&lt;="&amp;BO496),"")</f>
        <v>35.53410494129</v>
      </c>
      <c r="BA496" s="65" t="n">
        <f aca="false">IF(AZ496="",0,MAX(0,MIN(1,(IF(BU496="L1",Parameter!$E$5,Parameter!$E$6+Parameter!$E$7)-(AZ496-AV496))/AV496)))</f>
        <v>1</v>
      </c>
      <c r="BB496" s="55" t="str">
        <f aca="false">IF(AF496&lt;=0,"",IF(BU496="Aussen","Aussenlager",IF(BU496="-","Nicht im Lift",IF(AK496&gt;=1,"Lift",IF(AK496&lt;=0,"Aussenlager","teilweise")))))</f>
        <v/>
      </c>
      <c r="BC496" s="55" t="str">
        <f aca="false">IF(AN496&lt;=0,"",IF(BU496="Aussen","Aussenlager",IF(BU496="-","Nicht im Lift",IF(AS496&gt;=1,"Lift",IF(AS496&lt;=0,"Aussenlager","teilweise")))))</f>
        <v>Lift</v>
      </c>
      <c r="BD496" s="55" t="str">
        <f aca="false">IF(AV496&lt;=0,"",IF(BU496="Aussen","Aussenlager",IF(BU496="-","Nicht im Lift",IF(BA496&gt;=1,"Lift",IF(BA496&lt;=0,"Aussenlager","teilweise")))))</f>
        <v>Lift</v>
      </c>
      <c r="BE496" s="55" t="str">
        <f aca="false">IF(A496="","",IF(BN496=1,"Neu; ","")&amp;IF(AND(BN496=0,BI496&lt;0),"negativer Bestand (Export "&amp;BI496&amp;"); ","")&amp;IF(I496&lt;=0,"Kein Verbrauch; ","")&amp;IF(CD496&gt;0,"Lift "&amp;U496&amp;" lt. Liftbericht (Fach "&amp;V496&amp;" Stk); ",IF(BR496=1,"Lose – Fläche geschätzt; ",""))&amp;IF(G496&gt;AP496,"Überbestand "&amp;ROUND(G496-AP496,0)&amp;" Stk / CHF "&amp;ROUND((G496-AP496)*F496,0)&amp;"; ","")&amp;IF(AND(BW496=1,BX496&lt;BY496),"MAX &lt; MB+LG; ","")&amp;IF(AND(CC496&gt;0,CB496*10&gt;CC496),"zu hoch für Tablar; ","")&amp;IF(AND(BN496=0,OR(BW496=1,Y496&lt;&gt;"",S496&lt;&gt;"",T496&lt;&gt;"",Z496&lt;&gt;"")),"manuell übersteuert; ","")&amp;IF(AND(BR496=0,Q496=0),"Gebinde unbekannt / Stellmass fehlt; ","")&amp;IF(AND(BR496=0,N(T496)&lt;=0,N(P496)&lt;=0),"Menge pro Gebinde fehlt (Ist = 1 Gebinde); ","")&amp;BM496)</f>
        <v>negativer Bestand (Export -1); </v>
      </c>
      <c r="BF496" s="55"/>
      <c r="BG496" s="55"/>
      <c r="BH496" s="62"/>
      <c r="BI496" s="57" t="n">
        <v>-1</v>
      </c>
      <c r="BJ496" s="57" t="n">
        <v>5</v>
      </c>
      <c r="BK496" s="56" t="n">
        <v>39.68</v>
      </c>
      <c r="BL496" s="57" t="n">
        <v>8</v>
      </c>
      <c r="BM496" s="55"/>
      <c r="BN496" s="60" t="n">
        <v>0</v>
      </c>
      <c r="BO496" s="60" t="n">
        <v>496</v>
      </c>
      <c r="BP496" s="55" t="str">
        <f aca="false">IF(S496&lt;&gt;"",UPPER(TRIM(S496)),IF(O496="","LOSE",O496))</f>
        <v>S41</v>
      </c>
      <c r="BQ496" s="57" t="n">
        <f aca="false">IF(BP496="LOSE",1,IF(N(T496)&gt;0,T496,IF(N(P496)&gt;0,P496,MAX(1,G496))))</f>
        <v>14</v>
      </c>
      <c r="BR496" s="60" t="n">
        <f aca="false">IF(BP496="LOSE",1,0)</f>
        <v>0</v>
      </c>
      <c r="BS496" s="59" t="n">
        <f aca="false">IF(BR496=0,0,IF(N(R496)&gt;0,R496,IFERROR(VLOOKUP(D496,Parameter!$A$35:$C$64,3,0)+0,0)))</f>
        <v>0</v>
      </c>
      <c r="BT496" s="55" t="n">
        <f aca="false">IF(Y496&lt;&gt;"",Y496,X496)</f>
        <v>3</v>
      </c>
      <c r="BU496" s="55" t="str">
        <f aca="false">IF(BT496=1,"L1",IF(OR(BT496=2,BT496=3),"L23",IF(BT496="Aussen","Aussen","-")))</f>
        <v>L23</v>
      </c>
      <c r="BV496" s="66" t="n">
        <f aca="false">IF(N(Z496)&gt;0,Z496,0)</f>
        <v>0</v>
      </c>
      <c r="BW496" s="60" t="n">
        <f aca="false">IF(ISNUMBER(AC496),1,0)</f>
        <v>0</v>
      </c>
      <c r="BX496" s="57" t="n">
        <f aca="false">N(AC496)</f>
        <v>0</v>
      </c>
      <c r="BY496" s="57" t="n">
        <f aca="false">N(L496)+N(M496)</f>
        <v>10</v>
      </c>
      <c r="BZ496" s="57" t="n">
        <f aca="false">ROUNDUP(G496/BQ496,0)</f>
        <v>0</v>
      </c>
      <c r="CA496" s="57" t="n">
        <f aca="false">ROUNDUP(BX496/BQ496,0)</f>
        <v>0</v>
      </c>
      <c r="CB496" s="60" t="n">
        <f aca="false">IF(BR496=1,0,IFERROR(VLOOKUP(BP496,'Gebinde-Kategorie'!$A$5:$M$45,5,0)+0,0))</f>
        <v>11</v>
      </c>
      <c r="CC496" s="60" t="n">
        <f aca="false">IFERROR(IF(OR(BT496=1,BT496=2,BT496=3),N(INDEX(Parameter!$I$5:$I$7,BT496)),0),0)</f>
        <v>0</v>
      </c>
      <c r="CD496" s="59" t="n">
        <f aca="false">IF(AND(Parameter!$B$21="Ja",ISNUMBER(U496),N(V496)&gt;0),IFERROR(N(INDEX(Parameter!$L$5:$L$7,U496))*INDEX(Parameter!$E$5:$E$7,U496)*V496/SUMIFS($V$7:$V$1576,$U$7:$U$1576,U496),0),0)</f>
        <v>0</v>
      </c>
    </row>
    <row r="497" customFormat="false" ht="15" hidden="false" customHeight="false" outlineLevel="0" collapsed="false">
      <c r="A497" s="55" t="s">
        <v>1083</v>
      </c>
      <c r="B497" s="55" t="s">
        <v>1084</v>
      </c>
      <c r="C497" s="55" t="s">
        <v>160</v>
      </c>
      <c r="D497" s="55" t="s">
        <v>178</v>
      </c>
      <c r="E497" s="55" t="s">
        <v>210</v>
      </c>
      <c r="F497" s="56" t="n">
        <v>7.55</v>
      </c>
      <c r="G497" s="57" t="n">
        <f aca="false">MAX(0,IF(AND(Parameter!$B$21="Ja",ISNUMBER(W497)),W497,IF(Parameter!$B$20="Jahresanfang 2025 + Export",BJ497+BI497,BI497)))</f>
        <v>5</v>
      </c>
      <c r="H497" s="57" t="n">
        <f aca="false">G497*F497</f>
        <v>37.75</v>
      </c>
      <c r="I497" s="57" t="n">
        <f aca="false">BL497*Parameter!$B$18</f>
        <v>2</v>
      </c>
      <c r="J497" s="58" t="n">
        <v>1.5</v>
      </c>
      <c r="K497" s="59" t="n">
        <v>1.33333333333333</v>
      </c>
      <c r="L497" s="57" t="n">
        <v>0</v>
      </c>
      <c r="M497" s="57" t="n">
        <v>1</v>
      </c>
      <c r="N497" s="60" t="n">
        <v>14</v>
      </c>
      <c r="O497" s="55" t="s">
        <v>391</v>
      </c>
      <c r="P497" s="57" t="n">
        <v>5</v>
      </c>
      <c r="Q497" s="60" t="n">
        <f aca="false">IF(BR497=1,0,IFERROR(VLOOKUP(BP497,'Gebinde-Kategorie'!$A$5:$M$45,13,0)+0,0))</f>
        <v>414</v>
      </c>
      <c r="R497" s="61"/>
      <c r="S497" s="62"/>
      <c r="T497" s="62"/>
      <c r="U497" s="55"/>
      <c r="V497" s="57"/>
      <c r="W497" s="57"/>
      <c r="X497" s="55" t="n">
        <f aca="false">IF(A497="","",IF(AND(Parameter!$B$21="Ja",ISNUMBER(U497)),U497,IF(IFERROR(VLOOKUP(D497,Parameter!$A$35:$C$64,2,0),"Nein")="2+3",IF(ISNUMBER(SEARCH("grosser Artikel",BM497)),2,IFERROR(VLOOKUP(BP497,Parameter!$F$35:$G$64,2,0),2)),IF(OR(IFERROR(VLOOKUP(D497,Parameter!$A$35:$C$64,2,0),"Nein")="Nein",IFERROR(VLOOKUP(D497,Parameter!$A$35:$C$64,2,0),"Nein")=""),"-",VLOOKUP(D497,Parameter!$A$35:$C$64,2,0)))))</f>
        <v>3</v>
      </c>
      <c r="Y497" s="62"/>
      <c r="Z497" s="63"/>
      <c r="AA497" s="57" t="n">
        <f aca="false">AP497</f>
        <v>5</v>
      </c>
      <c r="AB497" s="57" t="n">
        <f aca="false">MAX(AP497,G497)</f>
        <v>5</v>
      </c>
      <c r="AC497" s="64"/>
      <c r="AD497" s="57" t="n">
        <f aca="false">IF(LEFT(Cockpit!$C$5,1)="A",G497,IF(BW497=1,BX497,IF(LEFT(Cockpit!$C$5,1)="B",AH497,MAX(AH497,G497))))</f>
        <v>5</v>
      </c>
      <c r="AE497" s="57" t="n">
        <f aca="false">IF(BR497=1,0,ROUNDUP(AD497/BQ497,0))</f>
        <v>1</v>
      </c>
      <c r="AF497" s="59" t="n">
        <f aca="false">IF(CD497&gt;0,CD497*MAX(1,AD497/V497),IF(BR497=1,IF(AD497&lt;=0,0,BS497*MAX(1,IF(G497&gt;0,AD497/G497,1))),IF(Q497&gt;0,AE497/Q497,0))/MAX(0.1,N(Parameter!$M$21)))</f>
        <v>0.00241545893719807</v>
      </c>
      <c r="AG497" s="57" t="n">
        <f aca="false">AD497*F497</f>
        <v>37.75</v>
      </c>
      <c r="AH497" s="57" t="n">
        <f aca="false">ROUNDUP(MAX(I497/IF(BV497&gt;0,BV497,MAX(0.1,N(Cockpit!$C$6))),BY497)/BQ497,0)*BQ497</f>
        <v>5</v>
      </c>
      <c r="AI497" s="58" t="n">
        <f aca="false">IF(AF497&gt;0,I497/AF497,-1)</f>
        <v>828</v>
      </c>
      <c r="AJ497" s="58" t="n">
        <f aca="false">IF(AND(OR(BU497="L1",BU497="L23"),AF497&gt;0),SUMIFS($AF$7:$AF$1576,$BU$7:$BU$1576,BU497,$AI$7:$AI$1576,"&gt;"&amp;AI497)+SUMIFS($AF$7:$AF$1576,$BU$7:$BU$1576,BU497,$AI$7:$AI$1576,AI497,$BO$7:$BO$1576,"&lt;="&amp;BO497),"")</f>
        <v>10.481125299821</v>
      </c>
      <c r="AK497" s="65" t="n">
        <f aca="false">IF(AJ497="",0,MAX(0,MIN(1,(IF(BU497="L1",Parameter!$E$5,Parameter!$E$6+Parameter!$E$7)-(AJ497-AF497))/AF497)))</f>
        <v>1</v>
      </c>
      <c r="AL497" s="57" t="n">
        <f aca="false">IF(LEFT(Cockpit!$I$5,1)="A",G497,IF(BW497=1,BX497,IF(LEFT(Cockpit!$I$5,1)="B",AP497,MAX(AP497,G497))))</f>
        <v>5</v>
      </c>
      <c r="AM497" s="57" t="n">
        <f aca="false">IF(BR497=1,0,ROUNDUP(AL497/BQ497,0))</f>
        <v>1</v>
      </c>
      <c r="AN497" s="59" t="n">
        <f aca="false">IF(CD497&gt;0,CD497*MAX(1,AL497/V497),IF(BR497=1,IF(AL497&lt;=0,0,BS497*MAX(1,IF(G497&gt;0,AL497/G497,1))),IF(Q497&gt;0,AM497/Q497,0))/MAX(0.1,N(Parameter!$M$21)))</f>
        <v>0.00241545893719807</v>
      </c>
      <c r="AO497" s="57" t="n">
        <f aca="false">AL497*F497</f>
        <v>37.75</v>
      </c>
      <c r="AP497" s="57" t="n">
        <f aca="false">ROUNDUP(MAX(I497/IF(BV497&gt;0,BV497,MAX(0.1,N(Cockpit!$I$6))),BY497)/BQ497,0)*BQ497</f>
        <v>5</v>
      </c>
      <c r="AQ497" s="58" t="n">
        <f aca="false">IF(AN497&gt;0,I497/AN497,-1)</f>
        <v>828</v>
      </c>
      <c r="AR497" s="58" t="n">
        <f aca="false">IF(AND(OR(BU497="L1",BU497="L23"),AN497&gt;0),SUMIFS($AN$7:$AN$1576,$BU$7:$BU$1576,BU497,$AQ$7:$AQ$1576,"&gt;"&amp;AQ497)+SUMIFS($AN$7:$AN$1576,$BU$7:$BU$1576,BU497,$AQ$7:$AQ$1576,AQ497,$BO$7:$BO$1576,"&lt;="&amp;BO497),"")</f>
        <v>25.5957744312204</v>
      </c>
      <c r="AS497" s="65" t="n">
        <f aca="false">IF(AR497="",0,MAX(0,MIN(1,(IF(BU497="L1",Parameter!$E$5,Parameter!$E$6+Parameter!$E$7)-(AR497-AN497))/AN497)))</f>
        <v>1</v>
      </c>
      <c r="AT497" s="57" t="n">
        <f aca="false">IF(LEFT(Cockpit!$O$5,1)="A",G497,IF(BW497=1,BX497,IF(LEFT(Cockpit!$O$5,1)="B",AX497,MAX(AX497,G497))))</f>
        <v>5</v>
      </c>
      <c r="AU497" s="57" t="n">
        <f aca="false">IF(BR497=1,0,ROUNDUP(AT497/BQ497,0))</f>
        <v>1</v>
      </c>
      <c r="AV497" s="59" t="n">
        <f aca="false">IF(CD497&gt;0,CD497*MAX(1,AT497/V497),IF(BR497=1,IF(AT497&lt;=0,0,BS497*MAX(1,IF(G497&gt;0,AT497/G497,1))),IF(Q497&gt;0,AU497/Q497,0))/MAX(0.1,N(Parameter!$M$21)))</f>
        <v>0.00241545893719807</v>
      </c>
      <c r="AW497" s="57" t="n">
        <f aca="false">AT497*F497</f>
        <v>37.75</v>
      </c>
      <c r="AX497" s="57" t="n">
        <f aca="false">ROUNDUP(MAX(I497/IF(BV497&gt;0,BV497,MAX(0.1,N(Cockpit!$O$6))),BY497)/BQ497,0)*BQ497</f>
        <v>5</v>
      </c>
      <c r="AY497" s="58" t="n">
        <f aca="false">IF(AV497&gt;0,I497/AV497,-1)</f>
        <v>828</v>
      </c>
      <c r="AZ497" s="58" t="n">
        <f aca="false">IF(AND(OR(BU497="L1",BU497="L23"),AV497&gt;0),SUMIFS($AV$7:$AV$1576,$BU$7:$BU$1576,BU497,$AY$7:$AY$1576,"&gt;"&amp;AY497)+SUMIFS($AV$7:$AV$1576,$BU$7:$BU$1576,BU497,$AY$7:$AY$1576,AY497,$BO$7:$BO$1576,"&lt;="&amp;BO497),"")</f>
        <v>25.9127907482367</v>
      </c>
      <c r="BA497" s="65" t="n">
        <f aca="false">IF(AZ497="",0,MAX(0,MIN(1,(IF(BU497="L1",Parameter!$E$5,Parameter!$E$6+Parameter!$E$7)-(AZ497-AV497))/AV497)))</f>
        <v>1</v>
      </c>
      <c r="BB497" s="55" t="str">
        <f aca="false">IF(AF497&lt;=0,"",IF(BU497="Aussen","Aussenlager",IF(BU497="-","Nicht im Lift",IF(AK497&gt;=1,"Lift",IF(AK497&lt;=0,"Aussenlager","teilweise")))))</f>
        <v>Lift</v>
      </c>
      <c r="BC497" s="55" t="str">
        <f aca="false">IF(AN497&lt;=0,"",IF(BU497="Aussen","Aussenlager",IF(BU497="-","Nicht im Lift",IF(AS497&gt;=1,"Lift",IF(AS497&lt;=0,"Aussenlager","teilweise")))))</f>
        <v>Lift</v>
      </c>
      <c r="BD497" s="55" t="str">
        <f aca="false">IF(AV497&lt;=0,"",IF(BU497="Aussen","Aussenlager",IF(BU497="-","Nicht im Lift",IF(BA497&gt;=1,"Lift",IF(BA497&lt;=0,"Aussenlager","teilweise")))))</f>
        <v>Lift</v>
      </c>
      <c r="BE497" s="55" t="str">
        <f aca="false">IF(A497="","",IF(BN497=1,"Neu; ","")&amp;IF(AND(BN497=0,BI497&lt;0),"negativer Bestand (Export "&amp;BI497&amp;"); ","")&amp;IF(I497&lt;=0,"Kein Verbrauch; ","")&amp;IF(CD497&gt;0,"Lift "&amp;U497&amp;" lt. Liftbericht (Fach "&amp;V497&amp;" Stk); ",IF(BR497=1,"Lose – Fläche geschätzt; ",""))&amp;IF(G497&gt;AP497,"Überbestand "&amp;ROUND(G497-AP497,0)&amp;" Stk / CHF "&amp;ROUND((G497-AP497)*F497,0)&amp;"; ","")&amp;IF(AND(BW497=1,BX497&lt;BY497),"MAX &lt; MB+LG; ","")&amp;IF(AND(CC497&gt;0,CB497*10&gt;CC497),"zu hoch für Tablar; ","")&amp;IF(AND(BN497=0,OR(BW497=1,Y497&lt;&gt;"",S497&lt;&gt;"",T497&lt;&gt;"",Z497&lt;&gt;"")),"manuell übersteuert; ","")&amp;IF(AND(BR497=0,Q497=0),"Gebinde unbekannt / Stellmass fehlt; ","")&amp;IF(AND(BR497=0,N(T497)&lt;=0,N(P497)&lt;=0),"Menge pro Gebinde fehlt (Ist = 1 Gebinde); ","")&amp;BM497)</f>
        <v/>
      </c>
      <c r="BF497" s="55"/>
      <c r="BG497" s="55"/>
      <c r="BH497" s="62"/>
      <c r="BI497" s="57" t="n">
        <v>5</v>
      </c>
      <c r="BJ497" s="57" t="n">
        <v>0</v>
      </c>
      <c r="BK497" s="56" t="n">
        <v>37.75</v>
      </c>
      <c r="BL497" s="57" t="n">
        <v>2</v>
      </c>
      <c r="BM497" s="55"/>
      <c r="BN497" s="60" t="n">
        <v>0</v>
      </c>
      <c r="BO497" s="60" t="n">
        <v>497</v>
      </c>
      <c r="BP497" s="55" t="str">
        <f aca="false">IF(S497&lt;&gt;"",UPPER(TRIM(S497)),IF(O497="","LOSE",O497))</f>
        <v>S21</v>
      </c>
      <c r="BQ497" s="57" t="n">
        <f aca="false">IF(BP497="LOSE",1,IF(N(T497)&gt;0,T497,IF(N(P497)&gt;0,P497,MAX(1,G497))))</f>
        <v>5</v>
      </c>
      <c r="BR497" s="60" t="n">
        <f aca="false">IF(BP497="LOSE",1,0)</f>
        <v>0</v>
      </c>
      <c r="BS497" s="59" t="n">
        <f aca="false">IF(BR497=0,0,IF(N(R497)&gt;0,R497,IFERROR(VLOOKUP(D497,Parameter!$A$35:$C$64,3,0)+0,0)))</f>
        <v>0</v>
      </c>
      <c r="BT497" s="55" t="n">
        <f aca="false">IF(Y497&lt;&gt;"",Y497,X497)</f>
        <v>3</v>
      </c>
      <c r="BU497" s="55" t="str">
        <f aca="false">IF(BT497=1,"L1",IF(OR(BT497=2,BT497=3),"L23",IF(BT497="Aussen","Aussen","-")))</f>
        <v>L23</v>
      </c>
      <c r="BV497" s="66" t="n">
        <f aca="false">IF(N(Z497)&gt;0,Z497,0)</f>
        <v>0</v>
      </c>
      <c r="BW497" s="60" t="n">
        <f aca="false">IF(ISNUMBER(AC497),1,0)</f>
        <v>0</v>
      </c>
      <c r="BX497" s="57" t="n">
        <f aca="false">N(AC497)</f>
        <v>0</v>
      </c>
      <c r="BY497" s="57" t="n">
        <f aca="false">N(L497)+N(M497)</f>
        <v>1</v>
      </c>
      <c r="BZ497" s="57" t="n">
        <f aca="false">ROUNDUP(G497/BQ497,0)</f>
        <v>1</v>
      </c>
      <c r="CA497" s="57" t="n">
        <f aca="false">ROUNDUP(BX497/BQ497,0)</f>
        <v>0</v>
      </c>
      <c r="CB497" s="60" t="n">
        <f aca="false">IF(BR497=1,0,IFERROR(VLOOKUP(BP497,'Gebinde-Kategorie'!$A$5:$M$45,5,0)+0,0))</f>
        <v>8</v>
      </c>
      <c r="CC497" s="60" t="n">
        <f aca="false">IFERROR(IF(OR(BT497=1,BT497=2,BT497=3),N(INDEX(Parameter!$I$5:$I$7,BT497)),0),0)</f>
        <v>0</v>
      </c>
      <c r="CD497" s="59" t="n">
        <f aca="false">IF(AND(Parameter!$B$21="Ja",ISNUMBER(U497),N(V497)&gt;0),IFERROR(N(INDEX(Parameter!$L$5:$L$7,U497))*INDEX(Parameter!$E$5:$E$7,U497)*V497/SUMIFS($V$7:$V$1576,$U$7:$U$1576,U497),0),0)</f>
        <v>0</v>
      </c>
    </row>
    <row r="498" customFormat="false" ht="15" hidden="false" customHeight="false" outlineLevel="0" collapsed="false">
      <c r="A498" s="55" t="s">
        <v>1085</v>
      </c>
      <c r="B498" s="55" t="s">
        <v>844</v>
      </c>
      <c r="C498" s="55" t="s">
        <v>160</v>
      </c>
      <c r="D498" s="55" t="s">
        <v>178</v>
      </c>
      <c r="E498" s="55" t="s">
        <v>210</v>
      </c>
      <c r="F498" s="56" t="n">
        <v>0.05</v>
      </c>
      <c r="G498" s="57" t="n">
        <f aca="false">MAX(0,IF(AND(Parameter!$B$21="Ja",ISNUMBER(W498)),W498,IF(Parameter!$B$20="Jahresanfang 2025 + Export",BJ498+BI498,BI498)))</f>
        <v>755</v>
      </c>
      <c r="H498" s="57" t="n">
        <f aca="false">G498*F498</f>
        <v>37.75</v>
      </c>
      <c r="I498" s="57" t="n">
        <f aca="false">BL498*Parameter!$B$18</f>
        <v>2145</v>
      </c>
      <c r="J498" s="58" t="n">
        <v>714.5</v>
      </c>
      <c r="K498" s="59" t="n">
        <v>3.00209937018894</v>
      </c>
      <c r="L498" s="57" t="n">
        <v>400</v>
      </c>
      <c r="M498" s="57" t="n">
        <v>500</v>
      </c>
      <c r="N498" s="60" t="n">
        <v>14</v>
      </c>
      <c r="O498" s="55" t="s">
        <v>293</v>
      </c>
      <c r="P498" s="57" t="n">
        <v>600</v>
      </c>
      <c r="Q498" s="60" t="n">
        <f aca="false">IF(BR498=1,0,IFERROR(VLOOKUP(BP498,'Gebinde-Kategorie'!$A$5:$M$45,13,0)+0,0))</f>
        <v>26</v>
      </c>
      <c r="R498" s="61"/>
      <c r="S498" s="62"/>
      <c r="T498" s="62"/>
      <c r="U498" s="55"/>
      <c r="V498" s="57"/>
      <c r="W498" s="57"/>
      <c r="X498" s="55" t="n">
        <f aca="false">IF(A498="","",IF(AND(Parameter!$B$21="Ja",ISNUMBER(U498)),U498,IF(IFERROR(VLOOKUP(D498,Parameter!$A$35:$C$64,2,0),"Nein")="2+3",IF(ISNUMBER(SEARCH("grosser Artikel",BM498)),2,IFERROR(VLOOKUP(BP498,Parameter!$F$35:$G$64,2,0),2)),IF(OR(IFERROR(VLOOKUP(D498,Parameter!$A$35:$C$64,2,0),"Nein")="Nein",IFERROR(VLOOKUP(D498,Parameter!$A$35:$C$64,2,0),"Nein")=""),"-",VLOOKUP(D498,Parameter!$A$35:$C$64,2,0)))))</f>
        <v>3</v>
      </c>
      <c r="Y498" s="62"/>
      <c r="Z498" s="63"/>
      <c r="AA498" s="57" t="n">
        <f aca="false">AP498</f>
        <v>1200</v>
      </c>
      <c r="AB498" s="57" t="n">
        <f aca="false">MAX(AP498,G498)</f>
        <v>1200</v>
      </c>
      <c r="AC498" s="64"/>
      <c r="AD498" s="57" t="n">
        <f aca="false">IF(LEFT(Cockpit!$C$5,1)="A",G498,IF(BW498=1,BX498,IF(LEFT(Cockpit!$C$5,1)="B",AH498,MAX(AH498,G498))))</f>
        <v>755</v>
      </c>
      <c r="AE498" s="57" t="n">
        <f aca="false">IF(BR498=1,0,ROUNDUP(AD498/BQ498,0))</f>
        <v>2</v>
      </c>
      <c r="AF498" s="59" t="n">
        <f aca="false">IF(CD498&gt;0,CD498*MAX(1,AD498/V498),IF(BR498=1,IF(AD498&lt;=0,0,BS498*MAX(1,IF(G498&gt;0,AD498/G498,1))),IF(Q498&gt;0,AE498/Q498,0))/MAX(0.1,N(Parameter!$M$21)))</f>
        <v>0.0769230769230769</v>
      </c>
      <c r="AG498" s="57" t="n">
        <f aca="false">AD498*F498</f>
        <v>37.75</v>
      </c>
      <c r="AH498" s="57" t="n">
        <f aca="false">ROUNDUP(MAX(I498/IF(BV498&gt;0,BV498,MAX(0.1,N(Cockpit!$C$6))),BY498)/BQ498,0)*BQ498</f>
        <v>1200</v>
      </c>
      <c r="AI498" s="58" t="n">
        <f aca="false">IF(AF498&gt;0,I498/AF498,-1)</f>
        <v>27885</v>
      </c>
      <c r="AJ498" s="58" t="n">
        <f aca="false">IF(AND(OR(BU498="L1",BU498="L23"),AF498&gt;0),SUMIFS($AF$7:$AF$1576,$BU$7:$BU$1576,BU498,$AI$7:$AI$1576,"&gt;"&amp;AI498)+SUMIFS($AF$7:$AF$1576,$BU$7:$BU$1576,BU498,$AI$7:$AI$1576,AI498,$BO$7:$BO$1576,"&lt;="&amp;BO498),"")</f>
        <v>1.62455660281747</v>
      </c>
      <c r="AK498" s="65" t="n">
        <f aca="false">IF(AJ498="",0,MAX(0,MIN(1,(IF(BU498="L1",Parameter!$E$5,Parameter!$E$6+Parameter!$E$7)-(AJ498-AF498))/AF498)))</f>
        <v>1</v>
      </c>
      <c r="AL498" s="57" t="n">
        <f aca="false">IF(LEFT(Cockpit!$I$5,1)="A",G498,IF(BW498=1,BX498,IF(LEFT(Cockpit!$I$5,1)="B",AP498,MAX(AP498,G498))))</f>
        <v>1200</v>
      </c>
      <c r="AM498" s="57" t="n">
        <f aca="false">IF(BR498=1,0,ROUNDUP(AL498/BQ498,0))</f>
        <v>2</v>
      </c>
      <c r="AN498" s="59" t="n">
        <f aca="false">IF(CD498&gt;0,CD498*MAX(1,AL498/V498),IF(BR498=1,IF(AL498&lt;=0,0,BS498*MAX(1,IF(G498&gt;0,AL498/G498,1))),IF(Q498&gt;0,AM498/Q498,0))/MAX(0.1,N(Parameter!$M$21)))</f>
        <v>0.0769230769230769</v>
      </c>
      <c r="AO498" s="57" t="n">
        <f aca="false">AL498*F498</f>
        <v>60</v>
      </c>
      <c r="AP498" s="57" t="n">
        <f aca="false">ROUNDUP(MAX(I498/IF(BV498&gt;0,BV498,MAX(0.1,N(Cockpit!$I$6))),BY498)/BQ498,0)*BQ498</f>
        <v>1200</v>
      </c>
      <c r="AQ498" s="58" t="n">
        <f aca="false">IF(AN498&gt;0,I498/AN498,-1)</f>
        <v>27885</v>
      </c>
      <c r="AR498" s="58" t="n">
        <f aca="false">IF(AND(OR(BU498="L1",BU498="L23"),AN498&gt;0),SUMIFS($AN$7:$AN$1576,$BU$7:$BU$1576,BU498,$AQ$7:$AQ$1576,"&gt;"&amp;AQ498)+SUMIFS($AN$7:$AN$1576,$BU$7:$BU$1576,BU498,$AQ$7:$AQ$1576,AQ498,$BO$7:$BO$1576,"&lt;="&amp;BO498),"")</f>
        <v>3.21057092665788</v>
      </c>
      <c r="AS498" s="65" t="n">
        <f aca="false">IF(AR498="",0,MAX(0,MIN(1,(IF(BU498="L1",Parameter!$E$5,Parameter!$E$6+Parameter!$E$7)-(AR498-AN498))/AN498)))</f>
        <v>1</v>
      </c>
      <c r="AT498" s="57" t="n">
        <f aca="false">IF(LEFT(Cockpit!$O$5,1)="A",G498,IF(BW498=1,BX498,IF(LEFT(Cockpit!$O$5,1)="B",AX498,MAX(AX498,G498))))</f>
        <v>1200</v>
      </c>
      <c r="AU498" s="57" t="n">
        <f aca="false">IF(BR498=1,0,ROUNDUP(AT498/BQ498,0))</f>
        <v>2</v>
      </c>
      <c r="AV498" s="59" t="n">
        <f aca="false">IF(CD498&gt;0,CD498*MAX(1,AT498/V498),IF(BR498=1,IF(AT498&lt;=0,0,BS498*MAX(1,IF(G498&gt;0,AT498/G498,1))),IF(Q498&gt;0,AU498/Q498,0))/MAX(0.1,N(Parameter!$M$21)))</f>
        <v>0.0769230769230769</v>
      </c>
      <c r="AW498" s="57" t="n">
        <f aca="false">AT498*F498</f>
        <v>60</v>
      </c>
      <c r="AX498" s="57" t="n">
        <f aca="false">ROUNDUP(MAX(I498/IF(BV498&gt;0,BV498,MAX(0.1,N(Cockpit!$O$6))),BY498)/BQ498,0)*BQ498</f>
        <v>1200</v>
      </c>
      <c r="AY498" s="58" t="n">
        <f aca="false">IF(AV498&gt;0,I498/AV498,-1)</f>
        <v>27885</v>
      </c>
      <c r="AZ498" s="58" t="n">
        <f aca="false">IF(AND(OR(BU498="L1",BU498="L23"),AV498&gt;0),SUMIFS($AV$7:$AV$1576,$BU$7:$BU$1576,BU498,$AY$7:$AY$1576,"&gt;"&amp;AY498)+SUMIFS($AV$7:$AV$1576,$BU$7:$BU$1576,BU498,$AY$7:$AY$1576,AY498,$BO$7:$BO$1576,"&lt;="&amp;BO498),"")</f>
        <v>2.97863619472315</v>
      </c>
      <c r="BA498" s="65" t="n">
        <f aca="false">IF(AZ498="",0,MAX(0,MIN(1,(IF(BU498="L1",Parameter!$E$5,Parameter!$E$6+Parameter!$E$7)-(AZ498-AV498))/AV498)))</f>
        <v>1</v>
      </c>
      <c r="BB498" s="55" t="str">
        <f aca="false">IF(AF498&lt;=0,"",IF(BU498="Aussen","Aussenlager",IF(BU498="-","Nicht im Lift",IF(AK498&gt;=1,"Lift",IF(AK498&lt;=0,"Aussenlager","teilweise")))))</f>
        <v>Lift</v>
      </c>
      <c r="BC498" s="55" t="str">
        <f aca="false">IF(AN498&lt;=0,"",IF(BU498="Aussen","Aussenlager",IF(BU498="-","Nicht im Lift",IF(AS498&gt;=1,"Lift",IF(AS498&lt;=0,"Aussenlager","teilweise")))))</f>
        <v>Lift</v>
      </c>
      <c r="BD498" s="55" t="str">
        <f aca="false">IF(AV498&lt;=0,"",IF(BU498="Aussen","Aussenlager",IF(BU498="-","Nicht im Lift",IF(BA498&gt;=1,"Lift",IF(BA498&lt;=0,"Aussenlager","teilweise")))))</f>
        <v>Lift</v>
      </c>
      <c r="BE498" s="55" t="str">
        <f aca="false">IF(A498="","",IF(BN498=1,"Neu; ","")&amp;IF(AND(BN498=0,BI498&lt;0),"negativer Bestand (Export "&amp;BI498&amp;"); ","")&amp;IF(I498&lt;=0,"Kein Verbrauch; ","")&amp;IF(CD498&gt;0,"Lift "&amp;U498&amp;" lt. Liftbericht (Fach "&amp;V498&amp;" Stk); ",IF(BR498=1,"Lose – Fläche geschätzt; ",""))&amp;IF(G498&gt;AP498,"Überbestand "&amp;ROUND(G498-AP498,0)&amp;" Stk / CHF "&amp;ROUND((G498-AP498)*F498,0)&amp;"; ","")&amp;IF(AND(BW498=1,BX498&lt;BY498),"MAX &lt; MB+LG; ","")&amp;IF(AND(CC498&gt;0,CB498*10&gt;CC498),"zu hoch für Tablar; ","")&amp;IF(AND(BN498=0,OR(BW498=1,Y498&lt;&gt;"",S498&lt;&gt;"",T498&lt;&gt;"",Z498&lt;&gt;"")),"manuell übersteuert; ","")&amp;IF(AND(BR498=0,Q498=0),"Gebinde unbekannt / Stellmass fehlt; ","")&amp;IF(AND(BR498=0,N(T498)&lt;=0,N(P498)&lt;=0),"Menge pro Gebinde fehlt (Ist = 1 Gebinde); ","")&amp;BM498)</f>
        <v/>
      </c>
      <c r="BF498" s="55"/>
      <c r="BG498" s="55"/>
      <c r="BH498" s="62"/>
      <c r="BI498" s="57" t="n">
        <v>755</v>
      </c>
      <c r="BJ498" s="57" t="n">
        <v>337</v>
      </c>
      <c r="BK498" s="56" t="n">
        <v>37.75</v>
      </c>
      <c r="BL498" s="57" t="n">
        <v>2145</v>
      </c>
      <c r="BM498" s="55"/>
      <c r="BN498" s="60" t="n">
        <v>0</v>
      </c>
      <c r="BO498" s="60" t="n">
        <v>498</v>
      </c>
      <c r="BP498" s="55" t="str">
        <f aca="false">IF(S498&lt;&gt;"",UPPER(TRIM(S498)),IF(O498="","LOSE",O498))</f>
        <v>S51</v>
      </c>
      <c r="BQ498" s="57" t="n">
        <f aca="false">IF(BP498="LOSE",1,IF(N(T498)&gt;0,T498,IF(N(P498)&gt;0,P498,MAX(1,G498))))</f>
        <v>600</v>
      </c>
      <c r="BR498" s="60" t="n">
        <f aca="false">IF(BP498="LOSE",1,0)</f>
        <v>0</v>
      </c>
      <c r="BS498" s="59" t="n">
        <f aca="false">IF(BR498=0,0,IF(N(R498)&gt;0,R498,IFERROR(VLOOKUP(D498,Parameter!$A$35:$C$64,3,0)+0,0)))</f>
        <v>0</v>
      </c>
      <c r="BT498" s="55" t="n">
        <f aca="false">IF(Y498&lt;&gt;"",Y498,X498)</f>
        <v>3</v>
      </c>
      <c r="BU498" s="55" t="str">
        <f aca="false">IF(BT498=1,"L1",IF(OR(BT498=2,BT498=3),"L23",IF(BT498="Aussen","Aussen","-")))</f>
        <v>L23</v>
      </c>
      <c r="BV498" s="66" t="n">
        <f aca="false">IF(N(Z498)&gt;0,Z498,0)</f>
        <v>0</v>
      </c>
      <c r="BW498" s="60" t="n">
        <f aca="false">IF(ISNUMBER(AC498),1,0)</f>
        <v>0</v>
      </c>
      <c r="BX498" s="57" t="n">
        <f aca="false">N(AC498)</f>
        <v>0</v>
      </c>
      <c r="BY498" s="57" t="n">
        <f aca="false">N(L498)+N(M498)</f>
        <v>900</v>
      </c>
      <c r="BZ498" s="57" t="n">
        <f aca="false">ROUNDUP(G498/BQ498,0)</f>
        <v>2</v>
      </c>
      <c r="CA498" s="57" t="n">
        <f aca="false">ROUNDUP(BX498/BQ498,0)</f>
        <v>0</v>
      </c>
      <c r="CB498" s="60" t="n">
        <f aca="false">IF(BR498=1,0,IFERROR(VLOOKUP(BP498,'Gebinde-Kategorie'!$A$5:$M$45,5,0)+0,0))</f>
        <v>11</v>
      </c>
      <c r="CC498" s="60" t="n">
        <f aca="false">IFERROR(IF(OR(BT498=1,BT498=2,BT498=3),N(INDEX(Parameter!$I$5:$I$7,BT498)),0),0)</f>
        <v>0</v>
      </c>
      <c r="CD498" s="59" t="n">
        <f aca="false">IF(AND(Parameter!$B$21="Ja",ISNUMBER(U498),N(V498)&gt;0),IFERROR(N(INDEX(Parameter!$L$5:$L$7,U498))*INDEX(Parameter!$E$5:$E$7,U498)*V498/SUMIFS($V$7:$V$1576,$U$7:$U$1576,U498),0),0)</f>
        <v>0</v>
      </c>
    </row>
    <row r="499" customFormat="false" ht="15" hidden="false" customHeight="false" outlineLevel="0" collapsed="false">
      <c r="A499" s="55" t="s">
        <v>1086</v>
      </c>
      <c r="B499" s="55" t="s">
        <v>740</v>
      </c>
      <c r="C499" s="55" t="s">
        <v>160</v>
      </c>
      <c r="D499" s="55" t="s">
        <v>178</v>
      </c>
      <c r="E499" s="55" t="s">
        <v>210</v>
      </c>
      <c r="F499" s="56" t="n">
        <v>11.49</v>
      </c>
      <c r="G499" s="57" t="n">
        <f aca="false">MAX(0,IF(AND(Parameter!$B$21="Ja",ISNUMBER(W499)),W499,IF(Parameter!$B$20="Jahresanfang 2025 + Export",BJ499+BI499,BI499)))</f>
        <v>4</v>
      </c>
      <c r="H499" s="57" t="n">
        <f aca="false">G499*F499</f>
        <v>45.96</v>
      </c>
      <c r="I499" s="57" t="n">
        <f aca="false">BL499*Parameter!$B$18</f>
        <v>5</v>
      </c>
      <c r="J499" s="58" t="n">
        <v>4</v>
      </c>
      <c r="K499" s="59" t="n">
        <v>1.25</v>
      </c>
      <c r="L499" s="57" t="n">
        <v>0</v>
      </c>
      <c r="M499" s="57" t="n">
        <v>5</v>
      </c>
      <c r="N499" s="60" t="n">
        <v>14</v>
      </c>
      <c r="O499" s="55" t="s">
        <v>411</v>
      </c>
      <c r="P499" s="57" t="n">
        <v>10</v>
      </c>
      <c r="Q499" s="60" t="n">
        <f aca="false">IF(BR499=1,0,IFERROR(VLOOKUP(BP499,'Gebinde-Kategorie'!$A$5:$M$45,13,0)+0,0))</f>
        <v>132</v>
      </c>
      <c r="R499" s="61"/>
      <c r="S499" s="62"/>
      <c r="T499" s="62"/>
      <c r="U499" s="55"/>
      <c r="V499" s="57"/>
      <c r="W499" s="57"/>
      <c r="X499" s="55" t="n">
        <f aca="false">IF(A499="","",IF(AND(Parameter!$B$21="Ja",ISNUMBER(U499)),U499,IF(IFERROR(VLOOKUP(D499,Parameter!$A$35:$C$64,2,0),"Nein")="2+3",IF(ISNUMBER(SEARCH("grosser Artikel",BM499)),2,IFERROR(VLOOKUP(BP499,Parameter!$F$35:$G$64,2,0),2)),IF(OR(IFERROR(VLOOKUP(D499,Parameter!$A$35:$C$64,2,0),"Nein")="Nein",IFERROR(VLOOKUP(D499,Parameter!$A$35:$C$64,2,0),"Nein")=""),"-",VLOOKUP(D499,Parameter!$A$35:$C$64,2,0)))))</f>
        <v>3</v>
      </c>
      <c r="Y499" s="62"/>
      <c r="Z499" s="63"/>
      <c r="AA499" s="57" t="n">
        <f aca="false">AP499</f>
        <v>10</v>
      </c>
      <c r="AB499" s="57" t="n">
        <f aca="false">MAX(AP499,G499)</f>
        <v>10</v>
      </c>
      <c r="AC499" s="64"/>
      <c r="AD499" s="57" t="n">
        <f aca="false">IF(LEFT(Cockpit!$C$5,1)="A",G499,IF(BW499=1,BX499,IF(LEFT(Cockpit!$C$5,1)="B",AH499,MAX(AH499,G499))))</f>
        <v>4</v>
      </c>
      <c r="AE499" s="57" t="n">
        <f aca="false">IF(BR499=1,0,ROUNDUP(AD499/BQ499,0))</f>
        <v>1</v>
      </c>
      <c r="AF499" s="59" t="n">
        <f aca="false">IF(CD499&gt;0,CD499*MAX(1,AD499/V499),IF(BR499=1,IF(AD499&lt;=0,0,BS499*MAX(1,IF(G499&gt;0,AD499/G499,1))),IF(Q499&gt;0,AE499/Q499,0))/MAX(0.1,N(Parameter!$M$21)))</f>
        <v>0.00757575757575758</v>
      </c>
      <c r="AG499" s="57" t="n">
        <f aca="false">AD499*F499</f>
        <v>45.96</v>
      </c>
      <c r="AH499" s="57" t="n">
        <f aca="false">ROUNDUP(MAX(I499/IF(BV499&gt;0,BV499,MAX(0.1,N(Cockpit!$C$6))),BY499)/BQ499,0)*BQ499</f>
        <v>10</v>
      </c>
      <c r="AI499" s="58" t="n">
        <f aca="false">IF(AF499&gt;0,I499/AF499,-1)</f>
        <v>660</v>
      </c>
      <c r="AJ499" s="58" t="n">
        <f aca="false">IF(AND(OR(BU499="L1",BU499="L23"),AF499&gt;0),SUMIFS($AF$7:$AF$1576,$BU$7:$BU$1576,BU499,$AI$7:$AI$1576,"&gt;"&amp;AI499)+SUMIFS($AF$7:$AF$1576,$BU$7:$BU$1576,BU499,$AI$7:$AI$1576,AI499,$BO$7:$BO$1576,"&lt;="&amp;BO499),"")</f>
        <v>11.5862737745346</v>
      </c>
      <c r="AK499" s="65" t="n">
        <f aca="false">IF(AJ499="",0,MAX(0,MIN(1,(IF(BU499="L1",Parameter!$E$5,Parameter!$E$6+Parameter!$E$7)-(AJ499-AF499))/AF499)))</f>
        <v>1</v>
      </c>
      <c r="AL499" s="57" t="n">
        <f aca="false">IF(LEFT(Cockpit!$I$5,1)="A",G499,IF(BW499=1,BX499,IF(LEFT(Cockpit!$I$5,1)="B",AP499,MAX(AP499,G499))))</f>
        <v>10</v>
      </c>
      <c r="AM499" s="57" t="n">
        <f aca="false">IF(BR499=1,0,ROUNDUP(AL499/BQ499,0))</f>
        <v>1</v>
      </c>
      <c r="AN499" s="59" t="n">
        <f aca="false">IF(CD499&gt;0,CD499*MAX(1,AL499/V499),IF(BR499=1,IF(AL499&lt;=0,0,BS499*MAX(1,IF(G499&gt;0,AL499/G499,1))),IF(Q499&gt;0,AM499/Q499,0))/MAX(0.1,N(Parameter!$M$21)))</f>
        <v>0.00757575757575758</v>
      </c>
      <c r="AO499" s="57" t="n">
        <f aca="false">AL499*F499</f>
        <v>114.9</v>
      </c>
      <c r="AP499" s="57" t="n">
        <f aca="false">ROUNDUP(MAX(I499/IF(BV499&gt;0,BV499,MAX(0.1,N(Cockpit!$I$6))),BY499)/BQ499,0)*BQ499</f>
        <v>10</v>
      </c>
      <c r="AQ499" s="58" t="n">
        <f aca="false">IF(AN499&gt;0,I499/AN499,-1)</f>
        <v>660</v>
      </c>
      <c r="AR499" s="58" t="n">
        <f aca="false">IF(AND(OR(BU499="L1",BU499="L23"),AN499&gt;0),SUMIFS($AN$7:$AN$1576,$BU$7:$BU$1576,BU499,$AQ$7:$AQ$1576,"&gt;"&amp;AQ499)+SUMIFS($AN$7:$AN$1576,$BU$7:$BU$1576,BU499,$AQ$7:$AQ$1576,AQ499,$BO$7:$BO$1576,"&lt;="&amp;BO499),"")</f>
        <v>29.784931892117</v>
      </c>
      <c r="AS499" s="65" t="n">
        <f aca="false">IF(AR499="",0,MAX(0,MIN(1,(IF(BU499="L1",Parameter!$E$5,Parameter!$E$6+Parameter!$E$7)-(AR499-AN499))/AN499)))</f>
        <v>1</v>
      </c>
      <c r="AT499" s="57" t="n">
        <f aca="false">IF(LEFT(Cockpit!$O$5,1)="A",G499,IF(BW499=1,BX499,IF(LEFT(Cockpit!$O$5,1)="B",AX499,MAX(AX499,G499))))</f>
        <v>10</v>
      </c>
      <c r="AU499" s="57" t="n">
        <f aca="false">IF(BR499=1,0,ROUNDUP(AT499/BQ499,0))</f>
        <v>1</v>
      </c>
      <c r="AV499" s="59" t="n">
        <f aca="false">IF(CD499&gt;0,CD499*MAX(1,AT499/V499),IF(BR499=1,IF(AT499&lt;=0,0,BS499*MAX(1,IF(G499&gt;0,AT499/G499,1))),IF(Q499&gt;0,AU499/Q499,0))/MAX(0.1,N(Parameter!$M$21)))</f>
        <v>0.00757575757575758</v>
      </c>
      <c r="AW499" s="57" t="n">
        <f aca="false">AT499*F499</f>
        <v>114.9</v>
      </c>
      <c r="AX499" s="57" t="n">
        <f aca="false">ROUNDUP(MAX(I499/IF(BV499&gt;0,BV499,MAX(0.1,N(Cockpit!$O$6))),BY499)/BQ499,0)*BQ499</f>
        <v>10</v>
      </c>
      <c r="AY499" s="58" t="n">
        <f aca="false">IF(AV499&gt;0,I499/AV499,-1)</f>
        <v>660</v>
      </c>
      <c r="AZ499" s="58" t="n">
        <f aca="false">IF(AND(OR(BU499="L1",BU499="L23"),AV499&gt;0),SUMIFS($AV$7:$AV$1576,$BU$7:$BU$1576,BU499,$AY$7:$AY$1576,"&gt;"&amp;AY499)+SUMIFS($AV$7:$AV$1576,$BU$7:$BU$1576,BU499,$AY$7:$AY$1576,AY499,$BO$7:$BO$1576,"&lt;="&amp;BO499),"")</f>
        <v>29.496233923419</v>
      </c>
      <c r="BA499" s="65" t="n">
        <f aca="false">IF(AZ499="",0,MAX(0,MIN(1,(IF(BU499="L1",Parameter!$E$5,Parameter!$E$6+Parameter!$E$7)-(AZ499-AV499))/AV499)))</f>
        <v>1</v>
      </c>
      <c r="BB499" s="55" t="str">
        <f aca="false">IF(AF499&lt;=0,"",IF(BU499="Aussen","Aussenlager",IF(BU499="-","Nicht im Lift",IF(AK499&gt;=1,"Lift",IF(AK499&lt;=0,"Aussenlager","teilweise")))))</f>
        <v>Lift</v>
      </c>
      <c r="BC499" s="55" t="str">
        <f aca="false">IF(AN499&lt;=0,"",IF(BU499="Aussen","Aussenlager",IF(BU499="-","Nicht im Lift",IF(AS499&gt;=1,"Lift",IF(AS499&lt;=0,"Aussenlager","teilweise")))))</f>
        <v>Lift</v>
      </c>
      <c r="BD499" s="55" t="str">
        <f aca="false">IF(AV499&lt;=0,"",IF(BU499="Aussen","Aussenlager",IF(BU499="-","Nicht im Lift",IF(BA499&gt;=1,"Lift",IF(BA499&lt;=0,"Aussenlager","teilweise")))))</f>
        <v>Lift</v>
      </c>
      <c r="BE499" s="55" t="str">
        <f aca="false">IF(A499="","",IF(BN499=1,"Neu; ","")&amp;IF(AND(BN499=0,BI499&lt;0),"negativer Bestand (Export "&amp;BI499&amp;"); ","")&amp;IF(I499&lt;=0,"Kein Verbrauch; ","")&amp;IF(CD499&gt;0,"Lift "&amp;U499&amp;" lt. Liftbericht (Fach "&amp;V499&amp;" Stk); ",IF(BR499=1,"Lose – Fläche geschätzt; ",""))&amp;IF(G499&gt;AP499,"Überbestand "&amp;ROUND(G499-AP499,0)&amp;" Stk / CHF "&amp;ROUND((G499-AP499)*F499,0)&amp;"; ","")&amp;IF(AND(BW499=1,BX499&lt;BY499),"MAX &lt; MB+LG; ","")&amp;IF(AND(CC499&gt;0,CB499*10&gt;CC499),"zu hoch für Tablar; ","")&amp;IF(AND(BN499=0,OR(BW499=1,Y499&lt;&gt;"",S499&lt;&gt;"",T499&lt;&gt;"",Z499&lt;&gt;"")),"manuell übersteuert; ","")&amp;IF(AND(BR499=0,Q499=0),"Gebinde unbekannt / Stellmass fehlt; ","")&amp;IF(AND(BR499=0,N(T499)&lt;=0,N(P499)&lt;=0),"Menge pro Gebinde fehlt (Ist = 1 Gebinde); ","")&amp;BM499)</f>
        <v/>
      </c>
      <c r="BF499" s="55"/>
      <c r="BG499" s="55"/>
      <c r="BH499" s="62"/>
      <c r="BI499" s="57" t="n">
        <v>4</v>
      </c>
      <c r="BJ499" s="57" t="n">
        <v>4</v>
      </c>
      <c r="BK499" s="56" t="n">
        <v>37.64</v>
      </c>
      <c r="BL499" s="57" t="n">
        <v>5</v>
      </c>
      <c r="BM499" s="55"/>
      <c r="BN499" s="60" t="n">
        <v>0</v>
      </c>
      <c r="BO499" s="60" t="n">
        <v>499</v>
      </c>
      <c r="BP499" s="55" t="str">
        <f aca="false">IF(S499&lt;&gt;"",UPPER(TRIM(S499)),IF(O499="","LOSE",O499))</f>
        <v>S32</v>
      </c>
      <c r="BQ499" s="57" t="n">
        <f aca="false">IF(BP499="LOSE",1,IF(N(T499)&gt;0,T499,IF(N(P499)&gt;0,P499,MAX(1,G499))))</f>
        <v>10</v>
      </c>
      <c r="BR499" s="60" t="n">
        <f aca="false">IF(BP499="LOSE",1,0)</f>
        <v>0</v>
      </c>
      <c r="BS499" s="59" t="n">
        <f aca="false">IF(BR499=0,0,IF(N(R499)&gt;0,R499,IFERROR(VLOOKUP(D499,Parameter!$A$35:$C$64,3,0)+0,0)))</f>
        <v>0</v>
      </c>
      <c r="BT499" s="55" t="n">
        <f aca="false">IF(Y499&lt;&gt;"",Y499,X499)</f>
        <v>3</v>
      </c>
      <c r="BU499" s="55" t="str">
        <f aca="false">IF(BT499=1,"L1",IF(OR(BT499=2,BT499=3),"L23",IF(BT499="Aussen","Aussen","-")))</f>
        <v>L23</v>
      </c>
      <c r="BV499" s="66" t="n">
        <f aca="false">IF(N(Z499)&gt;0,Z499,0)</f>
        <v>0</v>
      </c>
      <c r="BW499" s="60" t="n">
        <f aca="false">IF(ISNUMBER(AC499),1,0)</f>
        <v>0</v>
      </c>
      <c r="BX499" s="57" t="n">
        <f aca="false">N(AC499)</f>
        <v>0</v>
      </c>
      <c r="BY499" s="57" t="n">
        <f aca="false">N(L499)+N(M499)</f>
        <v>5</v>
      </c>
      <c r="BZ499" s="57" t="n">
        <f aca="false">ROUNDUP(G499/BQ499,0)</f>
        <v>1</v>
      </c>
      <c r="CA499" s="57" t="n">
        <f aca="false">ROUNDUP(BX499/BQ499,0)</f>
        <v>0</v>
      </c>
      <c r="CB499" s="60" t="n">
        <f aca="false">IF(BR499=1,0,IFERROR(VLOOKUP(BP499,'Gebinde-Kategorie'!$A$5:$M$45,5,0)+0,0))</f>
        <v>8</v>
      </c>
      <c r="CC499" s="60" t="n">
        <f aca="false">IFERROR(IF(OR(BT499=1,BT499=2,BT499=3),N(INDEX(Parameter!$I$5:$I$7,BT499)),0),0)</f>
        <v>0</v>
      </c>
      <c r="CD499" s="59" t="n">
        <f aca="false">IF(AND(Parameter!$B$21="Ja",ISNUMBER(U499),N(V499)&gt;0),IFERROR(N(INDEX(Parameter!$L$5:$L$7,U499))*INDEX(Parameter!$E$5:$E$7,U499)*V499/SUMIFS($V$7:$V$1576,$U$7:$U$1576,U499),0),0)</f>
        <v>0</v>
      </c>
    </row>
    <row r="500" customFormat="false" ht="15" hidden="false" customHeight="false" outlineLevel="0" collapsed="false">
      <c r="A500" s="55" t="s">
        <v>1087</v>
      </c>
      <c r="B500" s="55" t="s">
        <v>1088</v>
      </c>
      <c r="C500" s="55" t="s">
        <v>160</v>
      </c>
      <c r="D500" s="55" t="s">
        <v>178</v>
      </c>
      <c r="E500" s="55" t="s">
        <v>210</v>
      </c>
      <c r="F500" s="56" t="n">
        <v>22.94</v>
      </c>
      <c r="G500" s="57" t="n">
        <f aca="false">MAX(0,IF(AND(Parameter!$B$21="Ja",ISNUMBER(W500)),W500,IF(Parameter!$B$20="Jahresanfang 2025 + Export",BJ500+BI500,BI500)))</f>
        <v>4</v>
      </c>
      <c r="H500" s="57" t="n">
        <f aca="false">G500*F500</f>
        <v>91.76</v>
      </c>
      <c r="I500" s="57" t="n">
        <f aca="false">BL500*Parameter!$B$18</f>
        <v>1</v>
      </c>
      <c r="J500" s="58" t="n">
        <v>57</v>
      </c>
      <c r="K500" s="59" t="n">
        <v>0.0175438596491228</v>
      </c>
      <c r="L500" s="57" t="n">
        <v>0</v>
      </c>
      <c r="M500" s="57" t="n">
        <v>1</v>
      </c>
      <c r="N500" s="60" t="n">
        <v>63</v>
      </c>
      <c r="O500" s="55" t="s">
        <v>293</v>
      </c>
      <c r="P500" s="57" t="n">
        <v>55</v>
      </c>
      <c r="Q500" s="60" t="n">
        <f aca="false">IF(BR500=1,0,IFERROR(VLOOKUP(BP500,'Gebinde-Kategorie'!$A$5:$M$45,13,0)+0,0))</f>
        <v>26</v>
      </c>
      <c r="R500" s="61"/>
      <c r="S500" s="62"/>
      <c r="T500" s="62"/>
      <c r="U500" s="55"/>
      <c r="V500" s="57"/>
      <c r="W500" s="57"/>
      <c r="X500" s="55" t="n">
        <f aca="false">IF(A500="","",IF(AND(Parameter!$B$21="Ja",ISNUMBER(U500)),U500,IF(IFERROR(VLOOKUP(D500,Parameter!$A$35:$C$64,2,0),"Nein")="2+3",IF(ISNUMBER(SEARCH("grosser Artikel",BM500)),2,IFERROR(VLOOKUP(BP500,Parameter!$F$35:$G$64,2,0),2)),IF(OR(IFERROR(VLOOKUP(D500,Parameter!$A$35:$C$64,2,0),"Nein")="Nein",IFERROR(VLOOKUP(D500,Parameter!$A$35:$C$64,2,0),"Nein")=""),"-",VLOOKUP(D500,Parameter!$A$35:$C$64,2,0)))))</f>
        <v>3</v>
      </c>
      <c r="Y500" s="62"/>
      <c r="Z500" s="63"/>
      <c r="AA500" s="57" t="n">
        <f aca="false">AP500</f>
        <v>55</v>
      </c>
      <c r="AB500" s="57" t="n">
        <f aca="false">MAX(AP500,G500)</f>
        <v>55</v>
      </c>
      <c r="AC500" s="64"/>
      <c r="AD500" s="57" t="n">
        <f aca="false">IF(LEFT(Cockpit!$C$5,1)="A",G500,IF(BW500=1,BX500,IF(LEFT(Cockpit!$C$5,1)="B",AH500,MAX(AH500,G500))))</f>
        <v>4</v>
      </c>
      <c r="AE500" s="57" t="n">
        <f aca="false">IF(BR500=1,0,ROUNDUP(AD500/BQ500,0))</f>
        <v>1</v>
      </c>
      <c r="AF500" s="59" t="n">
        <f aca="false">IF(CD500&gt;0,CD500*MAX(1,AD500/V500),IF(BR500=1,IF(AD500&lt;=0,0,BS500*MAX(1,IF(G500&gt;0,AD500/G500,1))),IF(Q500&gt;0,AE500/Q500,0))/MAX(0.1,N(Parameter!$M$21)))</f>
        <v>0.0384615384615385</v>
      </c>
      <c r="AG500" s="57" t="n">
        <f aca="false">AD500*F500</f>
        <v>91.76</v>
      </c>
      <c r="AH500" s="57" t="n">
        <f aca="false">ROUNDUP(MAX(I500/IF(BV500&gt;0,BV500,MAX(0.1,N(Cockpit!$C$6))),BY500)/BQ500,0)*BQ500</f>
        <v>55</v>
      </c>
      <c r="AI500" s="58" t="n">
        <f aca="false">IF(AF500&gt;0,I500/AF500,-1)</f>
        <v>26</v>
      </c>
      <c r="AJ500" s="58" t="n">
        <f aca="false">IF(AND(OR(BU500="L1",BU500="L23"),AF500&gt;0),SUMIFS($AF$7:$AF$1576,$BU$7:$BU$1576,BU500,$AI$7:$AI$1576,"&gt;"&amp;AI500)+SUMIFS($AF$7:$AF$1576,$BU$7:$BU$1576,BU500,$AI$7:$AI$1576,AI500,$BO$7:$BO$1576,"&lt;="&amp;BO500),"")</f>
        <v>28.37745346441</v>
      </c>
      <c r="AK500" s="65" t="n">
        <f aca="false">IF(AJ500="",0,MAX(0,MIN(1,(IF(BU500="L1",Parameter!$E$5,Parameter!$E$6+Parameter!$E$7)-(AJ500-AF500))/AF500)))</f>
        <v>1</v>
      </c>
      <c r="AL500" s="57" t="n">
        <f aca="false">IF(LEFT(Cockpit!$I$5,1)="A",G500,IF(BW500=1,BX500,IF(LEFT(Cockpit!$I$5,1)="B",AP500,MAX(AP500,G500))))</f>
        <v>55</v>
      </c>
      <c r="AM500" s="57" t="n">
        <f aca="false">IF(BR500=1,0,ROUNDUP(AL500/BQ500,0))</f>
        <v>1</v>
      </c>
      <c r="AN500" s="59" t="n">
        <f aca="false">IF(CD500&gt;0,CD500*MAX(1,AL500/V500),IF(BR500=1,IF(AL500&lt;=0,0,BS500*MAX(1,IF(G500&gt;0,AL500/G500,1))),IF(Q500&gt;0,AM500/Q500,0))/MAX(0.1,N(Parameter!$M$21)))</f>
        <v>0.0384615384615385</v>
      </c>
      <c r="AO500" s="57" t="n">
        <f aca="false">AL500*F500</f>
        <v>1261.7</v>
      </c>
      <c r="AP500" s="57" t="n">
        <f aca="false">ROUNDUP(MAX(I500/IF(BV500&gt;0,BV500,MAX(0.1,N(Cockpit!$I$6))),BY500)/BQ500,0)*BQ500</f>
        <v>55</v>
      </c>
      <c r="AQ500" s="58" t="n">
        <f aca="false">IF(AN500&gt;0,I500/AN500,-1)</f>
        <v>26</v>
      </c>
      <c r="AR500" s="58" t="n">
        <f aca="false">IF(AND(OR(BU500="L1",BU500="L23"),AN500&gt;0),SUMIFS($AN$7:$AN$1576,$BU$7:$BU$1576,BU500,$AQ$7:$AQ$1576,"&gt;"&amp;AQ500)+SUMIFS($AN$7:$AN$1576,$BU$7:$BU$1576,BU500,$AQ$7:$AQ$1576,AQ500,$BO$7:$BO$1576,"&lt;="&amp;BO500),"")</f>
        <v>97.0462807425419</v>
      </c>
      <c r="AS500" s="65" t="n">
        <f aca="false">IF(AR500="",0,MAX(0,MIN(1,(IF(BU500="L1",Parameter!$E$5,Parameter!$E$6+Parameter!$E$7)-(AR500-AN500))/AN500)))</f>
        <v>1</v>
      </c>
      <c r="AT500" s="57" t="n">
        <f aca="false">IF(LEFT(Cockpit!$O$5,1)="A",G500,IF(BW500=1,BX500,IF(LEFT(Cockpit!$O$5,1)="B",AX500,MAX(AX500,G500))))</f>
        <v>55</v>
      </c>
      <c r="AU500" s="57" t="n">
        <f aca="false">IF(BR500=1,0,ROUNDUP(AT500/BQ500,0))</f>
        <v>1</v>
      </c>
      <c r="AV500" s="59" t="n">
        <f aca="false">IF(CD500&gt;0,CD500*MAX(1,AT500/V500),IF(BR500=1,IF(AT500&lt;=0,0,BS500*MAX(1,IF(G500&gt;0,AT500/G500,1))),IF(Q500&gt;0,AU500/Q500,0))/MAX(0.1,N(Parameter!$M$21)))</f>
        <v>0.0384615384615385</v>
      </c>
      <c r="AW500" s="57" t="n">
        <f aca="false">AT500*F500</f>
        <v>1261.7</v>
      </c>
      <c r="AX500" s="57" t="n">
        <f aca="false">ROUNDUP(MAX(I500/IF(BV500&gt;0,BV500,MAX(0.1,N(Cockpit!$O$6))),BY500)/BQ500,0)*BQ500</f>
        <v>55</v>
      </c>
      <c r="AY500" s="58" t="n">
        <f aca="false">IF(AV500&gt;0,I500/AV500,-1)</f>
        <v>26</v>
      </c>
      <c r="AZ500" s="58" t="n">
        <f aca="false">IF(AND(OR(BU500="L1",BU500="L23"),AV500&gt;0),SUMIFS($AV$7:$AV$1576,$BU$7:$BU$1576,BU500,$AY$7:$AY$1576,"&gt;"&amp;AY500)+SUMIFS($AV$7:$AV$1576,$BU$7:$BU$1576,BU500,$AY$7:$AY$1576,AY500,$BO$7:$BO$1576,"&lt;="&amp;BO500),"")</f>
        <v>87.8558311920924</v>
      </c>
      <c r="BA500" s="65" t="n">
        <f aca="false">IF(AZ500="",0,MAX(0,MIN(1,(IF(BU500="L1",Parameter!$E$5,Parameter!$E$6+Parameter!$E$7)-(AZ500-AV500))/AV500)))</f>
        <v>1</v>
      </c>
      <c r="BB500" s="55" t="str">
        <f aca="false">IF(AF500&lt;=0,"",IF(BU500="Aussen","Aussenlager",IF(BU500="-","Nicht im Lift",IF(AK500&gt;=1,"Lift",IF(AK500&lt;=0,"Aussenlager","teilweise")))))</f>
        <v>Lift</v>
      </c>
      <c r="BC500" s="55" t="str">
        <f aca="false">IF(AN500&lt;=0,"",IF(BU500="Aussen","Aussenlager",IF(BU500="-","Nicht im Lift",IF(AS500&gt;=1,"Lift",IF(AS500&lt;=0,"Aussenlager","teilweise")))))</f>
        <v>Lift</v>
      </c>
      <c r="BD500" s="55" t="str">
        <f aca="false">IF(AV500&lt;=0,"",IF(BU500="Aussen","Aussenlager",IF(BU500="-","Nicht im Lift",IF(BA500&gt;=1,"Lift",IF(BA500&lt;=0,"Aussenlager","teilweise")))))</f>
        <v>Lift</v>
      </c>
      <c r="BE500" s="55" t="str">
        <f aca="false">IF(A500="","",IF(BN500=1,"Neu; ","")&amp;IF(AND(BN500=0,BI500&lt;0),"negativer Bestand (Export "&amp;BI500&amp;"); ","")&amp;IF(I500&lt;=0,"Kein Verbrauch; ","")&amp;IF(CD500&gt;0,"Lift "&amp;U500&amp;" lt. Liftbericht (Fach "&amp;V500&amp;" Stk); ",IF(BR500=1,"Lose – Fläche geschätzt; ",""))&amp;IF(G500&gt;AP500,"Überbestand "&amp;ROUND(G500-AP500,0)&amp;" Stk / CHF "&amp;ROUND((G500-AP500)*F500,0)&amp;"; ","")&amp;IF(AND(BW500=1,BX500&lt;BY500),"MAX &lt; MB+LG; ","")&amp;IF(AND(CC500&gt;0,CB500*10&gt;CC500),"zu hoch für Tablar; ","")&amp;IF(AND(BN500=0,OR(BW500=1,Y500&lt;&gt;"",S500&lt;&gt;"",T500&lt;&gt;"",Z500&lt;&gt;"")),"manuell übersteuert; ","")&amp;IF(AND(BR500=0,Q500=0),"Gebinde unbekannt / Stellmass fehlt; ","")&amp;IF(AND(BR500=0,N(T500)&lt;=0,N(P500)&lt;=0),"Menge pro Gebinde fehlt (Ist = 1 Gebinde); ","")&amp;BM500)</f>
        <v/>
      </c>
      <c r="BF500" s="55"/>
      <c r="BG500" s="55"/>
      <c r="BH500" s="62"/>
      <c r="BI500" s="57" t="n">
        <v>4</v>
      </c>
      <c r="BJ500" s="57" t="n">
        <v>60</v>
      </c>
      <c r="BK500" s="56" t="n">
        <v>37.4</v>
      </c>
      <c r="BL500" s="57" t="n">
        <v>1</v>
      </c>
      <c r="BM500" s="55"/>
      <c r="BN500" s="60" t="n">
        <v>0</v>
      </c>
      <c r="BO500" s="60" t="n">
        <v>500</v>
      </c>
      <c r="BP500" s="55" t="str">
        <f aca="false">IF(S500&lt;&gt;"",UPPER(TRIM(S500)),IF(O500="","LOSE",O500))</f>
        <v>S51</v>
      </c>
      <c r="BQ500" s="57" t="n">
        <f aca="false">IF(BP500="LOSE",1,IF(N(T500)&gt;0,T500,IF(N(P500)&gt;0,P500,MAX(1,G500))))</f>
        <v>55</v>
      </c>
      <c r="BR500" s="60" t="n">
        <f aca="false">IF(BP500="LOSE",1,0)</f>
        <v>0</v>
      </c>
      <c r="BS500" s="59" t="n">
        <f aca="false">IF(BR500=0,0,IF(N(R500)&gt;0,R500,IFERROR(VLOOKUP(D500,Parameter!$A$35:$C$64,3,0)+0,0)))</f>
        <v>0</v>
      </c>
      <c r="BT500" s="55" t="n">
        <f aca="false">IF(Y500&lt;&gt;"",Y500,X500)</f>
        <v>3</v>
      </c>
      <c r="BU500" s="55" t="str">
        <f aca="false">IF(BT500=1,"L1",IF(OR(BT500=2,BT500=3),"L23",IF(BT500="Aussen","Aussen","-")))</f>
        <v>L23</v>
      </c>
      <c r="BV500" s="66" t="n">
        <f aca="false">IF(N(Z500)&gt;0,Z500,0)</f>
        <v>0</v>
      </c>
      <c r="BW500" s="60" t="n">
        <f aca="false">IF(ISNUMBER(AC500),1,0)</f>
        <v>0</v>
      </c>
      <c r="BX500" s="57" t="n">
        <f aca="false">N(AC500)</f>
        <v>0</v>
      </c>
      <c r="BY500" s="57" t="n">
        <f aca="false">N(L500)+N(M500)</f>
        <v>1</v>
      </c>
      <c r="BZ500" s="57" t="n">
        <f aca="false">ROUNDUP(G500/BQ500,0)</f>
        <v>1</v>
      </c>
      <c r="CA500" s="57" t="n">
        <f aca="false">ROUNDUP(BX500/BQ500,0)</f>
        <v>0</v>
      </c>
      <c r="CB500" s="60" t="n">
        <f aca="false">IF(BR500=1,0,IFERROR(VLOOKUP(BP500,'Gebinde-Kategorie'!$A$5:$M$45,5,0)+0,0))</f>
        <v>11</v>
      </c>
      <c r="CC500" s="60" t="n">
        <f aca="false">IFERROR(IF(OR(BT500=1,BT500=2,BT500=3),N(INDEX(Parameter!$I$5:$I$7,BT500)),0),0)</f>
        <v>0</v>
      </c>
      <c r="CD500" s="59" t="n">
        <f aca="false">IF(AND(Parameter!$B$21="Ja",ISNUMBER(U500),N(V500)&gt;0),IFERROR(N(INDEX(Parameter!$L$5:$L$7,U500))*INDEX(Parameter!$E$5:$E$7,U500)*V500/SUMIFS($V$7:$V$1576,$U$7:$U$1576,U500),0),0)</f>
        <v>0</v>
      </c>
    </row>
    <row r="501" customFormat="false" ht="15" hidden="false" customHeight="false" outlineLevel="0" collapsed="false">
      <c r="A501" s="55" t="s">
        <v>1089</v>
      </c>
      <c r="B501" s="55" t="s">
        <v>650</v>
      </c>
      <c r="C501" s="55" t="s">
        <v>160</v>
      </c>
      <c r="D501" s="55" t="s">
        <v>178</v>
      </c>
      <c r="E501" s="55" t="s">
        <v>210</v>
      </c>
      <c r="F501" s="56" t="n">
        <v>9.38</v>
      </c>
      <c r="G501" s="57" t="n">
        <f aca="false">MAX(0,IF(AND(Parameter!$B$21="Ja",ISNUMBER(W501)),W501,IF(Parameter!$B$20="Jahresanfang 2025 + Export",BJ501+BI501,BI501)))</f>
        <v>28</v>
      </c>
      <c r="H501" s="57" t="n">
        <f aca="false">G501*F501</f>
        <v>262.64</v>
      </c>
      <c r="I501" s="57" t="n">
        <f aca="false">BL501*Parameter!$B$18</f>
        <v>262</v>
      </c>
      <c r="J501" s="58" t="n">
        <v>95</v>
      </c>
      <c r="K501" s="59" t="n">
        <v>2.75789473684211</v>
      </c>
      <c r="L501" s="57" t="n">
        <v>15</v>
      </c>
      <c r="M501" s="57" t="n">
        <v>100</v>
      </c>
      <c r="N501" s="60" t="n">
        <v>21</v>
      </c>
      <c r="O501" s="55" t="s">
        <v>293</v>
      </c>
      <c r="P501" s="57" t="n">
        <v>454</v>
      </c>
      <c r="Q501" s="60" t="n">
        <f aca="false">IF(BR501=1,0,IFERROR(VLOOKUP(BP501,'Gebinde-Kategorie'!$A$5:$M$45,13,0)+0,0))</f>
        <v>26</v>
      </c>
      <c r="R501" s="61"/>
      <c r="S501" s="62"/>
      <c r="T501" s="62"/>
      <c r="U501" s="55"/>
      <c r="V501" s="57"/>
      <c r="W501" s="57"/>
      <c r="X501" s="55" t="n">
        <f aca="false">IF(A501="","",IF(AND(Parameter!$B$21="Ja",ISNUMBER(U501)),U501,IF(IFERROR(VLOOKUP(D501,Parameter!$A$35:$C$64,2,0),"Nein")="2+3",IF(ISNUMBER(SEARCH("grosser Artikel",BM501)),2,IFERROR(VLOOKUP(BP501,Parameter!$F$35:$G$64,2,0),2)),IF(OR(IFERROR(VLOOKUP(D501,Parameter!$A$35:$C$64,2,0),"Nein")="Nein",IFERROR(VLOOKUP(D501,Parameter!$A$35:$C$64,2,0),"Nein")=""),"-",VLOOKUP(D501,Parameter!$A$35:$C$64,2,0)))))</f>
        <v>3</v>
      </c>
      <c r="Y501" s="62"/>
      <c r="Z501" s="63"/>
      <c r="AA501" s="57" t="n">
        <f aca="false">AP501</f>
        <v>454</v>
      </c>
      <c r="AB501" s="57" t="n">
        <f aca="false">MAX(AP501,G501)</f>
        <v>454</v>
      </c>
      <c r="AC501" s="64"/>
      <c r="AD501" s="57" t="n">
        <f aca="false">IF(LEFT(Cockpit!$C$5,1)="A",G501,IF(BW501=1,BX501,IF(LEFT(Cockpit!$C$5,1)="B",AH501,MAX(AH501,G501))))</f>
        <v>28</v>
      </c>
      <c r="AE501" s="57" t="n">
        <f aca="false">IF(BR501=1,0,ROUNDUP(AD501/BQ501,0))</f>
        <v>1</v>
      </c>
      <c r="AF501" s="59" t="n">
        <f aca="false">IF(CD501&gt;0,CD501*MAX(1,AD501/V501),IF(BR501=1,IF(AD501&lt;=0,0,BS501*MAX(1,IF(G501&gt;0,AD501/G501,1))),IF(Q501&gt;0,AE501/Q501,0))/MAX(0.1,N(Parameter!$M$21)))</f>
        <v>0.0384615384615385</v>
      </c>
      <c r="AG501" s="57" t="n">
        <f aca="false">AD501*F501</f>
        <v>262.64</v>
      </c>
      <c r="AH501" s="57" t="n">
        <f aca="false">ROUNDUP(MAX(I501/IF(BV501&gt;0,BV501,MAX(0.1,N(Cockpit!$C$6))),BY501)/BQ501,0)*BQ501</f>
        <v>454</v>
      </c>
      <c r="AI501" s="58" t="n">
        <f aca="false">IF(AF501&gt;0,I501/AF501,-1)</f>
        <v>6812</v>
      </c>
      <c r="AJ501" s="58" t="n">
        <f aca="false">IF(AND(OR(BU501="L1",BU501="L23"),AF501&gt;0),SUMIFS($AF$7:$AF$1576,$BU$7:$BU$1576,BU501,$AI$7:$AI$1576,"&gt;"&amp;AI501)+SUMIFS($AF$7:$AF$1576,$BU$7:$BU$1576,BU501,$AI$7:$AI$1576,AI501,$BO$7:$BO$1576,"&lt;="&amp;BO501),"")</f>
        <v>3.26906286949765</v>
      </c>
      <c r="AK501" s="65" t="n">
        <f aca="false">IF(AJ501="",0,MAX(0,MIN(1,(IF(BU501="L1",Parameter!$E$5,Parameter!$E$6+Parameter!$E$7)-(AJ501-AF501))/AF501)))</f>
        <v>1</v>
      </c>
      <c r="AL501" s="57" t="n">
        <f aca="false">IF(LEFT(Cockpit!$I$5,1)="A",G501,IF(BW501=1,BX501,IF(LEFT(Cockpit!$I$5,1)="B",AP501,MAX(AP501,G501))))</f>
        <v>454</v>
      </c>
      <c r="AM501" s="57" t="n">
        <f aca="false">IF(BR501=1,0,ROUNDUP(AL501/BQ501,0))</f>
        <v>1</v>
      </c>
      <c r="AN501" s="59" t="n">
        <f aca="false">IF(CD501&gt;0,CD501*MAX(1,AL501/V501),IF(BR501=1,IF(AL501&lt;=0,0,BS501*MAX(1,IF(G501&gt;0,AL501/G501,1))),IF(Q501&gt;0,AM501/Q501,0))/MAX(0.1,N(Parameter!$M$21)))</f>
        <v>0.0384615384615385</v>
      </c>
      <c r="AO501" s="57" t="n">
        <f aca="false">AL501*F501</f>
        <v>4258.52</v>
      </c>
      <c r="AP501" s="57" t="n">
        <f aca="false">ROUNDUP(MAX(I501/IF(BV501&gt;0,BV501,MAX(0.1,N(Cockpit!$I$6))),BY501)/BQ501,0)*BQ501</f>
        <v>454</v>
      </c>
      <c r="AQ501" s="58" t="n">
        <f aca="false">IF(AN501&gt;0,I501/AN501,-1)</f>
        <v>6812</v>
      </c>
      <c r="AR501" s="58" t="n">
        <f aca="false">IF(AND(OR(BU501="L1",BU501="L23"),AN501&gt;0),SUMIFS($AN$7:$AN$1576,$BU$7:$BU$1576,BU501,$AQ$7:$AQ$1576,"&gt;"&amp;AQ501)+SUMIFS($AN$7:$AN$1576,$BU$7:$BU$1576,BU501,$AQ$7:$AQ$1576,AQ501,$BO$7:$BO$1576,"&lt;="&amp;BO501),"")</f>
        <v>8.89499003412047</v>
      </c>
      <c r="AS501" s="65" t="n">
        <f aca="false">IF(AR501="",0,MAX(0,MIN(1,(IF(BU501="L1",Parameter!$E$5,Parameter!$E$6+Parameter!$E$7)-(AR501-AN501))/AN501)))</f>
        <v>1</v>
      </c>
      <c r="AT501" s="57" t="n">
        <f aca="false">IF(LEFT(Cockpit!$O$5,1)="A",G501,IF(BW501=1,BX501,IF(LEFT(Cockpit!$O$5,1)="B",AX501,MAX(AX501,G501))))</f>
        <v>454</v>
      </c>
      <c r="AU501" s="57" t="n">
        <f aca="false">IF(BR501=1,0,ROUNDUP(AT501/BQ501,0))</f>
        <v>1</v>
      </c>
      <c r="AV501" s="59" t="n">
        <f aca="false">IF(CD501&gt;0,CD501*MAX(1,AT501/V501),IF(BR501=1,IF(AT501&lt;=0,0,BS501*MAX(1,IF(G501&gt;0,AT501/G501,1))),IF(Q501&gt;0,AU501/Q501,0))/MAX(0.1,N(Parameter!$M$21)))</f>
        <v>0.0384615384615385</v>
      </c>
      <c r="AW501" s="57" t="n">
        <f aca="false">AT501*F501</f>
        <v>4258.52</v>
      </c>
      <c r="AX501" s="57" t="n">
        <f aca="false">ROUNDUP(MAX(I501/IF(BV501&gt;0,BV501,MAX(0.1,N(Cockpit!$O$6))),BY501)/BQ501,0)*BQ501</f>
        <v>454</v>
      </c>
      <c r="AY501" s="58" t="n">
        <f aca="false">IF(AV501&gt;0,I501/AV501,-1)</f>
        <v>6812</v>
      </c>
      <c r="AZ501" s="58" t="n">
        <f aca="false">IF(AND(OR(BU501="L1",BU501="L23"),AV501&gt;0),SUMIFS($AV$7:$AV$1576,$BU$7:$BU$1576,BU501,$AY$7:$AY$1576,"&gt;"&amp;AY501)+SUMIFS($AV$7:$AV$1576,$BU$7:$BU$1576,BU501,$AY$7:$AY$1576,AY501,$BO$7:$BO$1576,"&lt;="&amp;BO501),"")</f>
        <v>8.91072429985474</v>
      </c>
      <c r="BA501" s="65" t="n">
        <f aca="false">IF(AZ501="",0,MAX(0,MIN(1,(IF(BU501="L1",Parameter!$E$5,Parameter!$E$6+Parameter!$E$7)-(AZ501-AV501))/AV501)))</f>
        <v>1</v>
      </c>
      <c r="BB501" s="55" t="str">
        <f aca="false">IF(AF501&lt;=0,"",IF(BU501="Aussen","Aussenlager",IF(BU501="-","Nicht im Lift",IF(AK501&gt;=1,"Lift",IF(AK501&lt;=0,"Aussenlager","teilweise")))))</f>
        <v>Lift</v>
      </c>
      <c r="BC501" s="55" t="str">
        <f aca="false">IF(AN501&lt;=0,"",IF(BU501="Aussen","Aussenlager",IF(BU501="-","Nicht im Lift",IF(AS501&gt;=1,"Lift",IF(AS501&lt;=0,"Aussenlager","teilweise")))))</f>
        <v>Lift</v>
      </c>
      <c r="BD501" s="55" t="str">
        <f aca="false">IF(AV501&lt;=0,"",IF(BU501="Aussen","Aussenlager",IF(BU501="-","Nicht im Lift",IF(BA501&gt;=1,"Lift",IF(BA501&lt;=0,"Aussenlager","teilweise")))))</f>
        <v>Lift</v>
      </c>
      <c r="BE501" s="55" t="str">
        <f aca="false">IF(A501="","",IF(BN501=1,"Neu; ","")&amp;IF(AND(BN501=0,BI501&lt;0),"negativer Bestand (Export "&amp;BI501&amp;"); ","")&amp;IF(I501&lt;=0,"Kein Verbrauch; ","")&amp;IF(CD501&gt;0,"Lift "&amp;U501&amp;" lt. Liftbericht (Fach "&amp;V501&amp;" Stk); ",IF(BR501=1,"Lose – Fläche geschätzt; ",""))&amp;IF(G501&gt;AP501,"Überbestand "&amp;ROUND(G501-AP501,0)&amp;" Stk / CHF "&amp;ROUND((G501-AP501)*F501,0)&amp;"; ","")&amp;IF(AND(BW501=1,BX501&lt;BY501),"MAX &lt; MB+LG; ","")&amp;IF(AND(CC501&gt;0,CB501*10&gt;CC501),"zu hoch für Tablar; ","")&amp;IF(AND(BN501=0,OR(BW501=1,Y501&lt;&gt;"",S501&lt;&gt;"",T501&lt;&gt;"",Z501&lt;&gt;"")),"manuell übersteuert; ","")&amp;IF(AND(BR501=0,Q501=0),"Gebinde unbekannt / Stellmass fehlt; ","")&amp;IF(AND(BR501=0,N(T501)&lt;=0,N(P501)&lt;=0),"Menge pro Gebinde fehlt (Ist = 1 Gebinde); ","")&amp;BM501)</f>
        <v/>
      </c>
      <c r="BF501" s="55"/>
      <c r="BG501" s="55"/>
      <c r="BH501" s="62"/>
      <c r="BI501" s="57" t="n">
        <v>28</v>
      </c>
      <c r="BJ501" s="57" t="n">
        <v>64</v>
      </c>
      <c r="BK501" s="56" t="n">
        <v>37.3599999999999</v>
      </c>
      <c r="BL501" s="57" t="n">
        <v>262</v>
      </c>
      <c r="BM501" s="55"/>
      <c r="BN501" s="60" t="n">
        <v>0</v>
      </c>
      <c r="BO501" s="60" t="n">
        <v>501</v>
      </c>
      <c r="BP501" s="55" t="str">
        <f aca="false">IF(S501&lt;&gt;"",UPPER(TRIM(S501)),IF(O501="","LOSE",O501))</f>
        <v>S51</v>
      </c>
      <c r="BQ501" s="57" t="n">
        <f aca="false">IF(BP501="LOSE",1,IF(N(T501)&gt;0,T501,IF(N(P501)&gt;0,P501,MAX(1,G501))))</f>
        <v>454</v>
      </c>
      <c r="BR501" s="60" t="n">
        <f aca="false">IF(BP501="LOSE",1,0)</f>
        <v>0</v>
      </c>
      <c r="BS501" s="59" t="n">
        <f aca="false">IF(BR501=0,0,IF(N(R501)&gt;0,R501,IFERROR(VLOOKUP(D501,Parameter!$A$35:$C$64,3,0)+0,0)))</f>
        <v>0</v>
      </c>
      <c r="BT501" s="55" t="n">
        <f aca="false">IF(Y501&lt;&gt;"",Y501,X501)</f>
        <v>3</v>
      </c>
      <c r="BU501" s="55" t="str">
        <f aca="false">IF(BT501=1,"L1",IF(OR(BT501=2,BT501=3),"L23",IF(BT501="Aussen","Aussen","-")))</f>
        <v>L23</v>
      </c>
      <c r="BV501" s="66" t="n">
        <f aca="false">IF(N(Z501)&gt;0,Z501,0)</f>
        <v>0</v>
      </c>
      <c r="BW501" s="60" t="n">
        <f aca="false">IF(ISNUMBER(AC501),1,0)</f>
        <v>0</v>
      </c>
      <c r="BX501" s="57" t="n">
        <f aca="false">N(AC501)</f>
        <v>0</v>
      </c>
      <c r="BY501" s="57" t="n">
        <f aca="false">N(L501)+N(M501)</f>
        <v>115</v>
      </c>
      <c r="BZ501" s="57" t="n">
        <f aca="false">ROUNDUP(G501/BQ501,0)</f>
        <v>1</v>
      </c>
      <c r="CA501" s="57" t="n">
        <f aca="false">ROUNDUP(BX501/BQ501,0)</f>
        <v>0</v>
      </c>
      <c r="CB501" s="60" t="n">
        <f aca="false">IF(BR501=1,0,IFERROR(VLOOKUP(BP501,'Gebinde-Kategorie'!$A$5:$M$45,5,0)+0,0))</f>
        <v>11</v>
      </c>
      <c r="CC501" s="60" t="n">
        <f aca="false">IFERROR(IF(OR(BT501=1,BT501=2,BT501=3),N(INDEX(Parameter!$I$5:$I$7,BT501)),0),0)</f>
        <v>0</v>
      </c>
      <c r="CD501" s="59" t="n">
        <f aca="false">IF(AND(Parameter!$B$21="Ja",ISNUMBER(U501),N(V501)&gt;0),IFERROR(N(INDEX(Parameter!$L$5:$L$7,U501))*INDEX(Parameter!$E$5:$E$7,U501)*V501/SUMIFS($V$7:$V$1576,$U$7:$U$1576,U501),0),0)</f>
        <v>0</v>
      </c>
    </row>
    <row r="502" customFormat="false" ht="15" hidden="false" customHeight="false" outlineLevel="0" collapsed="false">
      <c r="A502" s="55" t="s">
        <v>1090</v>
      </c>
      <c r="B502" s="55" t="s">
        <v>1091</v>
      </c>
      <c r="C502" s="55" t="s">
        <v>160</v>
      </c>
      <c r="D502" s="55" t="s">
        <v>178</v>
      </c>
      <c r="E502" s="55" t="s">
        <v>210</v>
      </c>
      <c r="F502" s="56" t="n">
        <v>12.02</v>
      </c>
      <c r="G502" s="57" t="n">
        <f aca="false">MAX(0,IF(AND(Parameter!$B$21="Ja",ISNUMBER(W502)),W502,IF(Parameter!$B$20="Jahresanfang 2025 + Export",BJ502+BI502,BI502)))</f>
        <v>0</v>
      </c>
      <c r="H502" s="57" t="n">
        <f aca="false">G502*F502</f>
        <v>0</v>
      </c>
      <c r="I502" s="57" t="n">
        <f aca="false">BL502*Parameter!$B$18</f>
        <v>30</v>
      </c>
      <c r="J502" s="58" t="n">
        <v>22.5</v>
      </c>
      <c r="K502" s="59" t="n">
        <v>1.33333333333333</v>
      </c>
      <c r="L502" s="57" t="n">
        <v>2</v>
      </c>
      <c r="M502" s="57" t="n">
        <v>30</v>
      </c>
      <c r="N502" s="60" t="n">
        <v>28</v>
      </c>
      <c r="O502" s="55" t="s">
        <v>416</v>
      </c>
      <c r="P502" s="57" t="n">
        <v>22</v>
      </c>
      <c r="Q502" s="60" t="n">
        <f aca="false">IF(BR502=1,0,IFERROR(VLOOKUP(BP502,'Gebinde-Kategorie'!$A$5:$M$45,13,0)+0,0))</f>
        <v>198</v>
      </c>
      <c r="R502" s="61"/>
      <c r="S502" s="62"/>
      <c r="T502" s="62"/>
      <c r="U502" s="55"/>
      <c r="V502" s="57"/>
      <c r="W502" s="57"/>
      <c r="X502" s="55" t="n">
        <f aca="false">IF(A502="","",IF(AND(Parameter!$B$21="Ja",ISNUMBER(U502)),U502,IF(IFERROR(VLOOKUP(D502,Parameter!$A$35:$C$64,2,0),"Nein")="2+3",IF(ISNUMBER(SEARCH("grosser Artikel",BM502)),2,IFERROR(VLOOKUP(BP502,Parameter!$F$35:$G$64,2,0),2)),IF(OR(IFERROR(VLOOKUP(D502,Parameter!$A$35:$C$64,2,0),"Nein")="Nein",IFERROR(VLOOKUP(D502,Parameter!$A$35:$C$64,2,0),"Nein")=""),"-",VLOOKUP(D502,Parameter!$A$35:$C$64,2,0)))))</f>
        <v>3</v>
      </c>
      <c r="Y502" s="62"/>
      <c r="Z502" s="63"/>
      <c r="AA502" s="57" t="n">
        <f aca="false">AP502</f>
        <v>44</v>
      </c>
      <c r="AB502" s="57" t="n">
        <f aca="false">MAX(AP502,G502)</f>
        <v>44</v>
      </c>
      <c r="AC502" s="64"/>
      <c r="AD502" s="57" t="n">
        <f aca="false">IF(LEFT(Cockpit!$C$5,1)="A",G502,IF(BW502=1,BX502,IF(LEFT(Cockpit!$C$5,1)="B",AH502,MAX(AH502,G502))))</f>
        <v>0</v>
      </c>
      <c r="AE502" s="57" t="n">
        <f aca="false">IF(BR502=1,0,ROUNDUP(AD502/BQ502,0))</f>
        <v>0</v>
      </c>
      <c r="AF502" s="59" t="n">
        <f aca="false">IF(CD502&gt;0,CD502*MAX(1,AD502/V502),IF(BR502=1,IF(AD502&lt;=0,0,BS502*MAX(1,IF(G502&gt;0,AD502/G502,1))),IF(Q502&gt;0,AE502/Q502,0))/MAX(0.1,N(Parameter!$M$21)))</f>
        <v>0</v>
      </c>
      <c r="AG502" s="57" t="n">
        <f aca="false">AD502*F502</f>
        <v>0</v>
      </c>
      <c r="AH502" s="57" t="n">
        <f aca="false">ROUNDUP(MAX(I502/IF(BV502&gt;0,BV502,MAX(0.1,N(Cockpit!$C$6))),BY502)/BQ502,0)*BQ502</f>
        <v>44</v>
      </c>
      <c r="AI502" s="58" t="n">
        <f aca="false">IF(AF502&gt;0,I502/AF502,-1)</f>
        <v>-1</v>
      </c>
      <c r="AJ502" s="58" t="str">
        <f aca="false">IF(AND(OR(BU502="L1",BU502="L23"),AF502&gt;0),SUMIFS($AF$7:$AF$1576,$BU$7:$BU$1576,BU502,$AI$7:$AI$1576,"&gt;"&amp;AI502)+SUMIFS($AF$7:$AF$1576,$BU$7:$BU$1576,BU502,$AI$7:$AI$1576,AI502,$BO$7:$BO$1576,"&lt;="&amp;BO502),"")</f>
        <v/>
      </c>
      <c r="AK502" s="65" t="n">
        <f aca="false">IF(AJ502="",0,MAX(0,MIN(1,(IF(BU502="L1",Parameter!$E$5,Parameter!$E$6+Parameter!$E$7)-(AJ502-AF502))/AF502)))</f>
        <v>0</v>
      </c>
      <c r="AL502" s="57" t="n">
        <f aca="false">IF(LEFT(Cockpit!$I$5,1)="A",G502,IF(BW502=1,BX502,IF(LEFT(Cockpit!$I$5,1)="B",AP502,MAX(AP502,G502))))</f>
        <v>44</v>
      </c>
      <c r="AM502" s="57" t="n">
        <f aca="false">IF(BR502=1,0,ROUNDUP(AL502/BQ502,0))</f>
        <v>2</v>
      </c>
      <c r="AN502" s="59" t="n">
        <f aca="false">IF(CD502&gt;0,CD502*MAX(1,AL502/V502),IF(BR502=1,IF(AL502&lt;=0,0,BS502*MAX(1,IF(G502&gt;0,AL502/G502,1))),IF(Q502&gt;0,AM502/Q502,0))/MAX(0.1,N(Parameter!$M$21)))</f>
        <v>0.0101010101010101</v>
      </c>
      <c r="AO502" s="57" t="n">
        <f aca="false">AL502*F502</f>
        <v>528.88</v>
      </c>
      <c r="AP502" s="57" t="n">
        <f aca="false">ROUNDUP(MAX(I502/IF(BV502&gt;0,BV502,MAX(0.1,N(Cockpit!$I$6))),BY502)/BQ502,0)*BQ502</f>
        <v>44</v>
      </c>
      <c r="AQ502" s="58" t="n">
        <f aca="false">IF(AN502&gt;0,I502/AN502,-1)</f>
        <v>2970</v>
      </c>
      <c r="AR502" s="58" t="n">
        <f aca="false">IF(AND(OR(BU502="L1",BU502="L23"),AN502&gt;0),SUMIFS($AN$7:$AN$1576,$BU$7:$BU$1576,BU502,$AQ$7:$AQ$1576,"&gt;"&amp;AQ502)+SUMIFS($AN$7:$AN$1576,$BU$7:$BU$1576,BU502,$AQ$7:$AQ$1576,AQ502,$BO$7:$BO$1576,"&lt;="&amp;BO502),"")</f>
        <v>14.4054271578663</v>
      </c>
      <c r="AS502" s="65" t="n">
        <f aca="false">IF(AR502="",0,MAX(0,MIN(1,(IF(BU502="L1",Parameter!$E$5,Parameter!$E$6+Parameter!$E$7)-(AR502-AN502))/AN502)))</f>
        <v>1</v>
      </c>
      <c r="AT502" s="57" t="n">
        <f aca="false">IF(LEFT(Cockpit!$O$5,1)="A",G502,IF(BW502=1,BX502,IF(LEFT(Cockpit!$O$5,1)="B",AX502,MAX(AX502,G502))))</f>
        <v>44</v>
      </c>
      <c r="AU502" s="57" t="n">
        <f aca="false">IF(BR502=1,0,ROUNDUP(AT502/BQ502,0))</f>
        <v>2</v>
      </c>
      <c r="AV502" s="59" t="n">
        <f aca="false">IF(CD502&gt;0,CD502*MAX(1,AT502/V502),IF(BR502=1,IF(AT502&lt;=0,0,BS502*MAX(1,IF(G502&gt;0,AT502/G502,1))),IF(Q502&gt;0,AU502/Q502,0))/MAX(0.1,N(Parameter!$M$21)))</f>
        <v>0.0101010101010101</v>
      </c>
      <c r="AW502" s="57" t="n">
        <f aca="false">AT502*F502</f>
        <v>528.88</v>
      </c>
      <c r="AX502" s="57" t="n">
        <f aca="false">ROUNDUP(MAX(I502/IF(BV502&gt;0,BV502,MAX(0.1,N(Cockpit!$O$6))),BY502)/BQ502,0)*BQ502</f>
        <v>44</v>
      </c>
      <c r="AY502" s="58" t="n">
        <f aca="false">IF(AV502&gt;0,I502/AV502,-1)</f>
        <v>2970</v>
      </c>
      <c r="AZ502" s="58" t="n">
        <f aca="false">IF(AND(OR(BU502="L1",BU502="L23"),AV502&gt;0),SUMIFS($AV$7:$AV$1576,$BU$7:$BU$1576,BU502,$AY$7:$AY$1576,"&gt;"&amp;AY502)+SUMIFS($AV$7:$AV$1576,$BU$7:$BU$1576,BU502,$AY$7:$AY$1576,AY502,$BO$7:$BO$1576,"&lt;="&amp;BO502),"")</f>
        <v>13.2032127056518</v>
      </c>
      <c r="BA502" s="65" t="n">
        <f aca="false">IF(AZ502="",0,MAX(0,MIN(1,(IF(BU502="L1",Parameter!$E$5,Parameter!$E$6+Parameter!$E$7)-(AZ502-AV502))/AV502)))</f>
        <v>1</v>
      </c>
      <c r="BB502" s="55" t="str">
        <f aca="false">IF(AF502&lt;=0,"",IF(BU502="Aussen","Aussenlager",IF(BU502="-","Nicht im Lift",IF(AK502&gt;=1,"Lift",IF(AK502&lt;=0,"Aussenlager","teilweise")))))</f>
        <v/>
      </c>
      <c r="BC502" s="55" t="str">
        <f aca="false">IF(AN502&lt;=0,"",IF(BU502="Aussen","Aussenlager",IF(BU502="-","Nicht im Lift",IF(AS502&gt;=1,"Lift",IF(AS502&lt;=0,"Aussenlager","teilweise")))))</f>
        <v>Lift</v>
      </c>
      <c r="BD502" s="55" t="str">
        <f aca="false">IF(AV502&lt;=0,"",IF(BU502="Aussen","Aussenlager",IF(BU502="-","Nicht im Lift",IF(BA502&gt;=1,"Lift",IF(BA502&lt;=0,"Aussenlager","teilweise")))))</f>
        <v>Lift</v>
      </c>
      <c r="BE502" s="55" t="str">
        <f aca="false">IF(A502="","",IF(BN502=1,"Neu; ","")&amp;IF(AND(BN502=0,BI502&lt;0),"negativer Bestand (Export "&amp;BI502&amp;"); ","")&amp;IF(I502&lt;=0,"Kein Verbrauch; ","")&amp;IF(CD502&gt;0,"Lift "&amp;U502&amp;" lt. Liftbericht (Fach "&amp;V502&amp;" Stk); ",IF(BR502=1,"Lose – Fläche geschätzt; ",""))&amp;IF(G502&gt;AP502,"Überbestand "&amp;ROUND(G502-AP502,0)&amp;" Stk / CHF "&amp;ROUND((G502-AP502)*F502,0)&amp;"; ","")&amp;IF(AND(BW502=1,BX502&lt;BY502),"MAX &lt; MB+LG; ","")&amp;IF(AND(CC502&gt;0,CB502*10&gt;CC502),"zu hoch für Tablar; ","")&amp;IF(AND(BN502=0,OR(BW502=1,Y502&lt;&gt;"",S502&lt;&gt;"",T502&lt;&gt;"",Z502&lt;&gt;"")),"manuell übersteuert; ","")&amp;IF(AND(BR502=0,Q502=0),"Gebinde unbekannt / Stellmass fehlt; ","")&amp;IF(AND(BR502=0,N(T502)&lt;=0,N(P502)&lt;=0),"Menge pro Gebinde fehlt (Ist = 1 Gebinde); ","")&amp;BM502)</f>
        <v/>
      </c>
      <c r="BF502" s="55"/>
      <c r="BG502" s="55"/>
      <c r="BH502" s="62"/>
      <c r="BI502" s="57" t="n">
        <v>0</v>
      </c>
      <c r="BJ502" s="57" t="n">
        <v>25</v>
      </c>
      <c r="BK502" s="56" t="n">
        <v>36.4999999999999</v>
      </c>
      <c r="BL502" s="57" t="n">
        <v>30</v>
      </c>
      <c r="BM502" s="55"/>
      <c r="BN502" s="60" t="n">
        <v>0</v>
      </c>
      <c r="BO502" s="60" t="n">
        <v>502</v>
      </c>
      <c r="BP502" s="55" t="str">
        <f aca="false">IF(S502&lt;&gt;"",UPPER(TRIM(S502)),IF(O502="","LOSE",O502))</f>
        <v>S22</v>
      </c>
      <c r="BQ502" s="57" t="n">
        <f aca="false">IF(BP502="LOSE",1,IF(N(T502)&gt;0,T502,IF(N(P502)&gt;0,P502,MAX(1,G502))))</f>
        <v>22</v>
      </c>
      <c r="BR502" s="60" t="n">
        <f aca="false">IF(BP502="LOSE",1,0)</f>
        <v>0</v>
      </c>
      <c r="BS502" s="59" t="n">
        <f aca="false">IF(BR502=0,0,IF(N(R502)&gt;0,R502,IFERROR(VLOOKUP(D502,Parameter!$A$35:$C$64,3,0)+0,0)))</f>
        <v>0</v>
      </c>
      <c r="BT502" s="55" t="n">
        <f aca="false">IF(Y502&lt;&gt;"",Y502,X502)</f>
        <v>3</v>
      </c>
      <c r="BU502" s="55" t="str">
        <f aca="false">IF(BT502=1,"L1",IF(OR(BT502=2,BT502=3),"L23",IF(BT502="Aussen","Aussen","-")))</f>
        <v>L23</v>
      </c>
      <c r="BV502" s="66" t="n">
        <f aca="false">IF(N(Z502)&gt;0,Z502,0)</f>
        <v>0</v>
      </c>
      <c r="BW502" s="60" t="n">
        <f aca="false">IF(ISNUMBER(AC502),1,0)</f>
        <v>0</v>
      </c>
      <c r="BX502" s="57" t="n">
        <f aca="false">N(AC502)</f>
        <v>0</v>
      </c>
      <c r="BY502" s="57" t="n">
        <f aca="false">N(L502)+N(M502)</f>
        <v>32</v>
      </c>
      <c r="BZ502" s="57" t="n">
        <f aca="false">ROUNDUP(G502/BQ502,0)</f>
        <v>0</v>
      </c>
      <c r="CA502" s="57" t="n">
        <f aca="false">ROUNDUP(BX502/BQ502,0)</f>
        <v>0</v>
      </c>
      <c r="CB502" s="60" t="n">
        <f aca="false">IF(BR502=1,0,IFERROR(VLOOKUP(BP502,'Gebinde-Kategorie'!$A$5:$M$45,5,0)+0,0))</f>
        <v>8</v>
      </c>
      <c r="CC502" s="60" t="n">
        <f aca="false">IFERROR(IF(OR(BT502=1,BT502=2,BT502=3),N(INDEX(Parameter!$I$5:$I$7,BT502)),0),0)</f>
        <v>0</v>
      </c>
      <c r="CD502" s="59" t="n">
        <f aca="false">IF(AND(Parameter!$B$21="Ja",ISNUMBER(U502),N(V502)&gt;0),IFERROR(N(INDEX(Parameter!$L$5:$L$7,U502))*INDEX(Parameter!$E$5:$E$7,U502)*V502/SUMIFS($V$7:$V$1576,$U$7:$U$1576,U502),0),0)</f>
        <v>0</v>
      </c>
    </row>
    <row r="503" customFormat="false" ht="15" hidden="false" customHeight="false" outlineLevel="0" collapsed="false">
      <c r="A503" s="55" t="s">
        <v>1092</v>
      </c>
      <c r="B503" s="55" t="s">
        <v>1093</v>
      </c>
      <c r="C503" s="55" t="s">
        <v>160</v>
      </c>
      <c r="D503" s="55" t="s">
        <v>178</v>
      </c>
      <c r="E503" s="55" t="s">
        <v>210</v>
      </c>
      <c r="F503" s="56" t="n">
        <v>2.38</v>
      </c>
      <c r="G503" s="57" t="n">
        <f aca="false">MAX(0,IF(AND(Parameter!$B$21="Ja",ISNUMBER(W503)),W503,IF(Parameter!$B$20="Jahresanfang 2025 + Export",BJ503+BI503,BI503)))</f>
        <v>15</v>
      </c>
      <c r="H503" s="57" t="n">
        <f aca="false">G503*F503</f>
        <v>35.7</v>
      </c>
      <c r="I503" s="57" t="n">
        <f aca="false">BL503*Parameter!$B$18</f>
        <v>0</v>
      </c>
      <c r="J503" s="58" t="n">
        <v>112.5</v>
      </c>
      <c r="K503" s="59" t="n">
        <v>0</v>
      </c>
      <c r="L503" s="57" t="n">
        <v>2</v>
      </c>
      <c r="M503" s="57" t="n">
        <v>50</v>
      </c>
      <c r="N503" s="60" t="n">
        <v>28</v>
      </c>
      <c r="O503" s="55" t="s">
        <v>319</v>
      </c>
      <c r="P503" s="57" t="n">
        <v>106</v>
      </c>
      <c r="Q503" s="60" t="n">
        <f aca="false">IF(BR503=1,0,IFERROR(VLOOKUP(BP503,'Gebinde-Kategorie'!$A$5:$M$45,13,0)+0,0))</f>
        <v>52</v>
      </c>
      <c r="R503" s="61"/>
      <c r="S503" s="62"/>
      <c r="T503" s="62"/>
      <c r="U503" s="55"/>
      <c r="V503" s="57"/>
      <c r="W503" s="57"/>
      <c r="X503" s="55" t="n">
        <f aca="false">IF(A503="","",IF(AND(Parameter!$B$21="Ja",ISNUMBER(U503)),U503,IF(IFERROR(VLOOKUP(D503,Parameter!$A$35:$C$64,2,0),"Nein")="2+3",IF(ISNUMBER(SEARCH("grosser Artikel",BM503)),2,IFERROR(VLOOKUP(BP503,Parameter!$F$35:$G$64,2,0),2)),IF(OR(IFERROR(VLOOKUP(D503,Parameter!$A$35:$C$64,2,0),"Nein")="Nein",IFERROR(VLOOKUP(D503,Parameter!$A$35:$C$64,2,0),"Nein")=""),"-",VLOOKUP(D503,Parameter!$A$35:$C$64,2,0)))))</f>
        <v>3</v>
      </c>
      <c r="Y503" s="62"/>
      <c r="Z503" s="63"/>
      <c r="AA503" s="57" t="n">
        <f aca="false">AP503</f>
        <v>106</v>
      </c>
      <c r="AB503" s="57" t="n">
        <f aca="false">MAX(AP503,G503)</f>
        <v>106</v>
      </c>
      <c r="AC503" s="64"/>
      <c r="AD503" s="57" t="n">
        <f aca="false">IF(LEFT(Cockpit!$C$5,1)="A",G503,IF(BW503=1,BX503,IF(LEFT(Cockpit!$C$5,1)="B",AH503,MAX(AH503,G503))))</f>
        <v>15</v>
      </c>
      <c r="AE503" s="57" t="n">
        <f aca="false">IF(BR503=1,0,ROUNDUP(AD503/BQ503,0))</f>
        <v>1</v>
      </c>
      <c r="AF503" s="59" t="n">
        <f aca="false">IF(CD503&gt;0,CD503*MAX(1,AD503/V503),IF(BR503=1,IF(AD503&lt;=0,0,BS503*MAX(1,IF(G503&gt;0,AD503/G503,1))),IF(Q503&gt;0,AE503/Q503,0))/MAX(0.1,N(Parameter!$M$21)))</f>
        <v>0.0192307692307692</v>
      </c>
      <c r="AG503" s="57" t="n">
        <f aca="false">AD503*F503</f>
        <v>35.7</v>
      </c>
      <c r="AH503" s="57" t="n">
        <f aca="false">ROUNDUP(MAX(I503/IF(BV503&gt;0,BV503,MAX(0.1,N(Cockpit!$C$6))),BY503)/BQ503,0)*BQ503</f>
        <v>106</v>
      </c>
      <c r="AI503" s="58" t="n">
        <f aca="false">IF(AF503&gt;0,I503/AF503,-1)</f>
        <v>0</v>
      </c>
      <c r="AJ503" s="58" t="n">
        <f aca="false">IF(AND(OR(BU503="L1",BU503="L23"),AF503&gt;0),SUMIFS($AF$7:$AF$1576,$BU$7:$BU$1576,BU503,$AI$7:$AI$1576,"&gt;"&amp;AI503)+SUMIFS($AF$7:$AF$1576,$BU$7:$BU$1576,BU503,$AI$7:$AI$1576,AI503,$BO$7:$BO$1576,"&lt;="&amp;BO503),"")</f>
        <v>42.7757362926928</v>
      </c>
      <c r="AK503" s="65" t="n">
        <f aca="false">IF(AJ503="",0,MAX(0,MIN(1,(IF(BU503="L1",Parameter!$E$5,Parameter!$E$6+Parameter!$E$7)-(AJ503-AF503))/AF503)))</f>
        <v>1</v>
      </c>
      <c r="AL503" s="57" t="n">
        <f aca="false">IF(LEFT(Cockpit!$I$5,1)="A",G503,IF(BW503=1,BX503,IF(LEFT(Cockpit!$I$5,1)="B",AP503,MAX(AP503,G503))))</f>
        <v>106</v>
      </c>
      <c r="AM503" s="57" t="n">
        <f aca="false">IF(BR503=1,0,ROUNDUP(AL503/BQ503,0))</f>
        <v>1</v>
      </c>
      <c r="AN503" s="59" t="n">
        <f aca="false">IF(CD503&gt;0,CD503*MAX(1,AL503/V503),IF(BR503=1,IF(AL503&lt;=0,0,BS503*MAX(1,IF(G503&gt;0,AL503/G503,1))),IF(Q503&gt;0,AM503/Q503,0))/MAX(0.1,N(Parameter!$M$21)))</f>
        <v>0.0192307692307692</v>
      </c>
      <c r="AO503" s="57" t="n">
        <f aca="false">AL503*F503</f>
        <v>252.28</v>
      </c>
      <c r="AP503" s="57" t="n">
        <f aca="false">ROUNDUP(MAX(I503/IF(BV503&gt;0,BV503,MAX(0.1,N(Cockpit!$I$6))),BY503)/BQ503,0)*BQ503</f>
        <v>106</v>
      </c>
      <c r="AQ503" s="58" t="n">
        <f aca="false">IF(AN503&gt;0,I503/AN503,-1)</f>
        <v>0</v>
      </c>
      <c r="AR503" s="58" t="n">
        <f aca="false">IF(AND(OR(BU503="L1",BU503="L23"),AN503&gt;0),SUMIFS($AN$7:$AN$1576,$BU$7:$BU$1576,BU503,$AQ$7:$AQ$1576,"&gt;"&amp;AQ503)+SUMIFS($AN$7:$AN$1576,$BU$7:$BU$1576,BU503,$AQ$7:$AQ$1576,AQ503,$BO$7:$BO$1576,"&lt;="&amp;BO503),"")</f>
        <v>125.772522411211</v>
      </c>
      <c r="AS503" s="65" t="n">
        <f aca="false">IF(AR503="",0,MAX(0,MIN(1,(IF(BU503="L1",Parameter!$E$5,Parameter!$E$6+Parameter!$E$7)-(AR503-AN503))/AN503)))</f>
        <v>0</v>
      </c>
      <c r="AT503" s="57" t="n">
        <f aca="false">IF(LEFT(Cockpit!$O$5,1)="A",G503,IF(BW503=1,BX503,IF(LEFT(Cockpit!$O$5,1)="B",AX503,MAX(AX503,G503))))</f>
        <v>106</v>
      </c>
      <c r="AU503" s="57" t="n">
        <f aca="false">IF(BR503=1,0,ROUNDUP(AT503/BQ503,0))</f>
        <v>1</v>
      </c>
      <c r="AV503" s="59" t="n">
        <f aca="false">IF(CD503&gt;0,CD503*MAX(1,AT503/V503),IF(BR503=1,IF(AT503&lt;=0,0,BS503*MAX(1,IF(G503&gt;0,AT503/G503,1))),IF(Q503&gt;0,AU503/Q503,0))/MAX(0.1,N(Parameter!$M$21)))</f>
        <v>0.0192307692307692</v>
      </c>
      <c r="AW503" s="57" t="n">
        <f aca="false">AT503*F503</f>
        <v>252.28</v>
      </c>
      <c r="AX503" s="57" t="n">
        <f aca="false">ROUNDUP(MAX(I503/IF(BV503&gt;0,BV503,MAX(0.1,N(Cockpit!$O$6))),BY503)/BQ503,0)*BQ503</f>
        <v>106</v>
      </c>
      <c r="AY503" s="58" t="n">
        <f aca="false">IF(AV503&gt;0,I503/AV503,-1)</f>
        <v>0</v>
      </c>
      <c r="AZ503" s="58" t="n">
        <f aca="false">IF(AND(OR(BU503="L1",BU503="L23"),AV503&gt;0),SUMIFS($AV$7:$AV$1576,$BU$7:$BU$1576,BU503,$AY$7:$AY$1576,"&gt;"&amp;AY503)+SUMIFS($AV$7:$AV$1576,$BU$7:$BU$1576,BU503,$AY$7:$AY$1576,AY503,$BO$7:$BO$1576,"&lt;="&amp;BO503),"")</f>
        <v>115.832072860762</v>
      </c>
      <c r="BA503" s="65" t="n">
        <f aca="false">IF(AZ503="",0,MAX(0,MIN(1,(IF(BU503="L1",Parameter!$E$5,Parameter!$E$6+Parameter!$E$7)-(AZ503-AV503))/AV503)))</f>
        <v>0</v>
      </c>
      <c r="BB503" s="55" t="str">
        <f aca="false">IF(AF503&lt;=0,"",IF(BU503="Aussen","Aussenlager",IF(BU503="-","Nicht im Lift",IF(AK503&gt;=1,"Lift",IF(AK503&lt;=0,"Aussenlager","teilweise")))))</f>
        <v>Lift</v>
      </c>
      <c r="BC503" s="55" t="str">
        <f aca="false">IF(AN503&lt;=0,"",IF(BU503="Aussen","Aussenlager",IF(BU503="-","Nicht im Lift",IF(AS503&gt;=1,"Lift",IF(AS503&lt;=0,"Aussenlager","teilweise")))))</f>
        <v>Aussenlager</v>
      </c>
      <c r="BD503" s="55" t="str">
        <f aca="false">IF(AV503&lt;=0,"",IF(BU503="Aussen","Aussenlager",IF(BU503="-","Nicht im Lift",IF(BA503&gt;=1,"Lift",IF(BA503&lt;=0,"Aussenlager","teilweise")))))</f>
        <v>Aussenlager</v>
      </c>
      <c r="BE503" s="55" t="str">
        <f aca="false">IF(A503="","",IF(BN503=1,"Neu; ","")&amp;IF(AND(BN503=0,BI503&lt;0),"negativer Bestand (Export "&amp;BI503&amp;"); ","")&amp;IF(I503&lt;=0,"Kein Verbrauch; ","")&amp;IF(CD503&gt;0,"Lift "&amp;U503&amp;" lt. Liftbericht (Fach "&amp;V503&amp;" Stk); ",IF(BR503=1,"Lose – Fläche geschätzt; ",""))&amp;IF(G503&gt;AP503,"Überbestand "&amp;ROUND(G503-AP503,0)&amp;" Stk / CHF "&amp;ROUND((G503-AP503)*F503,0)&amp;"; ","")&amp;IF(AND(BW503=1,BX503&lt;BY503),"MAX &lt; MB+LG; ","")&amp;IF(AND(CC503&gt;0,CB503*10&gt;CC503),"zu hoch für Tablar; ","")&amp;IF(AND(BN503=0,OR(BW503=1,Y503&lt;&gt;"",S503&lt;&gt;"",T503&lt;&gt;"",Z503&lt;&gt;"")),"manuell übersteuert; ","")&amp;IF(AND(BR503=0,Q503=0),"Gebinde unbekannt / Stellmass fehlt; ","")&amp;IF(AND(BR503=0,N(T503)&lt;=0,N(P503)&lt;=0),"Menge pro Gebinde fehlt (Ist = 1 Gebinde); ","")&amp;BM503)</f>
        <v>Kein Verbrauch; Neu</v>
      </c>
      <c r="BF503" s="55"/>
      <c r="BG503" s="55"/>
      <c r="BH503" s="62"/>
      <c r="BI503" s="57" t="n">
        <v>15</v>
      </c>
      <c r="BJ503" s="57" t="n">
        <v>105</v>
      </c>
      <c r="BK503" s="56" t="n">
        <v>35.7</v>
      </c>
      <c r="BL503" s="57" t="n">
        <v>0</v>
      </c>
      <c r="BM503" s="55" t="s">
        <v>615</v>
      </c>
      <c r="BN503" s="60" t="n">
        <v>0</v>
      </c>
      <c r="BO503" s="60" t="n">
        <v>503</v>
      </c>
      <c r="BP503" s="55" t="str">
        <f aca="false">IF(S503&lt;&gt;"",UPPER(TRIM(S503)),IF(O503="","LOSE",O503))</f>
        <v>S41</v>
      </c>
      <c r="BQ503" s="57" t="n">
        <f aca="false">IF(BP503="LOSE",1,IF(N(T503)&gt;0,T503,IF(N(P503)&gt;0,P503,MAX(1,G503))))</f>
        <v>106</v>
      </c>
      <c r="BR503" s="60" t="n">
        <f aca="false">IF(BP503="LOSE",1,0)</f>
        <v>0</v>
      </c>
      <c r="BS503" s="59" t="n">
        <f aca="false">IF(BR503=0,0,IF(N(R503)&gt;0,R503,IFERROR(VLOOKUP(D503,Parameter!$A$35:$C$64,3,0)+0,0)))</f>
        <v>0</v>
      </c>
      <c r="BT503" s="55" t="n">
        <f aca="false">IF(Y503&lt;&gt;"",Y503,X503)</f>
        <v>3</v>
      </c>
      <c r="BU503" s="55" t="str">
        <f aca="false">IF(BT503=1,"L1",IF(OR(BT503=2,BT503=3),"L23",IF(BT503="Aussen","Aussen","-")))</f>
        <v>L23</v>
      </c>
      <c r="BV503" s="66" t="n">
        <f aca="false">IF(N(Z503)&gt;0,Z503,0)</f>
        <v>0</v>
      </c>
      <c r="BW503" s="60" t="n">
        <f aca="false">IF(ISNUMBER(AC503),1,0)</f>
        <v>0</v>
      </c>
      <c r="BX503" s="57" t="n">
        <f aca="false">N(AC503)</f>
        <v>0</v>
      </c>
      <c r="BY503" s="57" t="n">
        <f aca="false">N(L503)+N(M503)</f>
        <v>52</v>
      </c>
      <c r="BZ503" s="57" t="n">
        <f aca="false">ROUNDUP(G503/BQ503,0)</f>
        <v>1</v>
      </c>
      <c r="CA503" s="57" t="n">
        <f aca="false">ROUNDUP(BX503/BQ503,0)</f>
        <v>0</v>
      </c>
      <c r="CB503" s="60" t="n">
        <f aca="false">IF(BR503=1,0,IFERROR(VLOOKUP(BP503,'Gebinde-Kategorie'!$A$5:$M$45,5,0)+0,0))</f>
        <v>11</v>
      </c>
      <c r="CC503" s="60" t="n">
        <f aca="false">IFERROR(IF(OR(BT503=1,BT503=2,BT503=3),N(INDEX(Parameter!$I$5:$I$7,BT503)),0),0)</f>
        <v>0</v>
      </c>
      <c r="CD503" s="59" t="n">
        <f aca="false">IF(AND(Parameter!$B$21="Ja",ISNUMBER(U503),N(V503)&gt;0),IFERROR(N(INDEX(Parameter!$L$5:$L$7,U503))*INDEX(Parameter!$E$5:$E$7,U503)*V503/SUMIFS($V$7:$V$1576,$U$7:$U$1576,U503),0),0)</f>
        <v>0</v>
      </c>
    </row>
    <row r="504" customFormat="false" ht="15" hidden="false" customHeight="false" outlineLevel="0" collapsed="false">
      <c r="A504" s="55" t="s">
        <v>1094</v>
      </c>
      <c r="B504" s="55" t="s">
        <v>1095</v>
      </c>
      <c r="C504" s="55" t="s">
        <v>160</v>
      </c>
      <c r="D504" s="55" t="s">
        <v>178</v>
      </c>
      <c r="E504" s="55" t="s">
        <v>210</v>
      </c>
      <c r="F504" s="56" t="n">
        <v>0.21</v>
      </c>
      <c r="G504" s="57" t="n">
        <f aca="false">MAX(0,IF(AND(Parameter!$B$21="Ja",ISNUMBER(W504)),W504,IF(Parameter!$B$20="Jahresanfang 2025 + Export",BJ504+BI504,BI504)))</f>
        <v>170</v>
      </c>
      <c r="H504" s="57" t="n">
        <f aca="false">G504*F504</f>
        <v>35.7</v>
      </c>
      <c r="I504" s="57" t="n">
        <f aca="false">BL504*Parameter!$B$18</f>
        <v>0</v>
      </c>
      <c r="J504" s="58" t="n">
        <v>1200</v>
      </c>
      <c r="K504" s="59" t="n">
        <v>0</v>
      </c>
      <c r="L504" s="57" t="n">
        <v>0</v>
      </c>
      <c r="M504" s="57" t="n">
        <v>1</v>
      </c>
      <c r="N504" s="60" t="n">
        <v>14</v>
      </c>
      <c r="O504" s="55" t="s">
        <v>416</v>
      </c>
      <c r="P504" s="57" t="n">
        <v>8000</v>
      </c>
      <c r="Q504" s="60" t="n">
        <f aca="false">IF(BR504=1,0,IFERROR(VLOOKUP(BP504,'Gebinde-Kategorie'!$A$5:$M$45,13,0)+0,0))</f>
        <v>198</v>
      </c>
      <c r="R504" s="61"/>
      <c r="S504" s="62"/>
      <c r="T504" s="62"/>
      <c r="U504" s="55"/>
      <c r="V504" s="57"/>
      <c r="W504" s="57"/>
      <c r="X504" s="55" t="n">
        <f aca="false">IF(A504="","",IF(AND(Parameter!$B$21="Ja",ISNUMBER(U504)),U504,IF(IFERROR(VLOOKUP(D504,Parameter!$A$35:$C$64,2,0),"Nein")="2+3",IF(ISNUMBER(SEARCH("grosser Artikel",BM504)),2,IFERROR(VLOOKUP(BP504,Parameter!$F$35:$G$64,2,0),2)),IF(OR(IFERROR(VLOOKUP(D504,Parameter!$A$35:$C$64,2,0),"Nein")="Nein",IFERROR(VLOOKUP(D504,Parameter!$A$35:$C$64,2,0),"Nein")=""),"-",VLOOKUP(D504,Parameter!$A$35:$C$64,2,0)))))</f>
        <v>3</v>
      </c>
      <c r="Y504" s="62"/>
      <c r="Z504" s="63"/>
      <c r="AA504" s="57" t="n">
        <f aca="false">AP504</f>
        <v>8000</v>
      </c>
      <c r="AB504" s="57" t="n">
        <f aca="false">MAX(AP504,G504)</f>
        <v>8000</v>
      </c>
      <c r="AC504" s="64"/>
      <c r="AD504" s="57" t="n">
        <f aca="false">IF(LEFT(Cockpit!$C$5,1)="A",G504,IF(BW504=1,BX504,IF(LEFT(Cockpit!$C$5,1)="B",AH504,MAX(AH504,G504))))</f>
        <v>170</v>
      </c>
      <c r="AE504" s="57" t="n">
        <f aca="false">IF(BR504=1,0,ROUNDUP(AD504/BQ504,0))</f>
        <v>1</v>
      </c>
      <c r="AF504" s="59" t="n">
        <f aca="false">IF(CD504&gt;0,CD504*MAX(1,AD504/V504),IF(BR504=1,IF(AD504&lt;=0,0,BS504*MAX(1,IF(G504&gt;0,AD504/G504,1))),IF(Q504&gt;0,AE504/Q504,0))/MAX(0.1,N(Parameter!$M$21)))</f>
        <v>0.00505050505050505</v>
      </c>
      <c r="AG504" s="57" t="n">
        <f aca="false">AD504*F504</f>
        <v>35.7</v>
      </c>
      <c r="AH504" s="57" t="n">
        <f aca="false">ROUNDUP(MAX(I504/IF(BV504&gt;0,BV504,MAX(0.1,N(Cockpit!$C$6))),BY504)/BQ504,0)*BQ504</f>
        <v>8000</v>
      </c>
      <c r="AI504" s="58" t="n">
        <f aca="false">IF(AF504&gt;0,I504/AF504,-1)</f>
        <v>0</v>
      </c>
      <c r="AJ504" s="58" t="n">
        <f aca="false">IF(AND(OR(BU504="L1",BU504="L23"),AF504&gt;0),SUMIFS($AF$7:$AF$1576,$BU$7:$BU$1576,BU504,$AI$7:$AI$1576,"&gt;"&amp;AI504)+SUMIFS($AF$7:$AF$1576,$BU$7:$BU$1576,BU504,$AI$7:$AI$1576,AI504,$BO$7:$BO$1576,"&lt;="&amp;BO504),"")</f>
        <v>42.7807867977433</v>
      </c>
      <c r="AK504" s="65" t="n">
        <f aca="false">IF(AJ504="",0,MAX(0,MIN(1,(IF(BU504="L1",Parameter!$E$5,Parameter!$E$6+Parameter!$E$7)-(AJ504-AF504))/AF504)))</f>
        <v>1</v>
      </c>
      <c r="AL504" s="57" t="n">
        <f aca="false">IF(LEFT(Cockpit!$I$5,1)="A",G504,IF(BW504=1,BX504,IF(LEFT(Cockpit!$I$5,1)="B",AP504,MAX(AP504,G504))))</f>
        <v>8000</v>
      </c>
      <c r="AM504" s="57" t="n">
        <f aca="false">IF(BR504=1,0,ROUNDUP(AL504/BQ504,0))</f>
        <v>1</v>
      </c>
      <c r="AN504" s="59" t="n">
        <f aca="false">IF(CD504&gt;0,CD504*MAX(1,AL504/V504),IF(BR504=1,IF(AL504&lt;=0,0,BS504*MAX(1,IF(G504&gt;0,AL504/G504,1))),IF(Q504&gt;0,AM504/Q504,0))/MAX(0.1,N(Parameter!$M$21)))</f>
        <v>0.00505050505050505</v>
      </c>
      <c r="AO504" s="57" t="n">
        <f aca="false">AL504*F504</f>
        <v>1680</v>
      </c>
      <c r="AP504" s="57" t="n">
        <f aca="false">ROUNDUP(MAX(I504/IF(BV504&gt;0,BV504,MAX(0.1,N(Cockpit!$I$6))),BY504)/BQ504,0)*BQ504</f>
        <v>8000</v>
      </c>
      <c r="AQ504" s="58" t="n">
        <f aca="false">IF(AN504&gt;0,I504/AN504,-1)</f>
        <v>0</v>
      </c>
      <c r="AR504" s="58" t="n">
        <f aca="false">IF(AND(OR(BU504="L1",BU504="L23"),AN504&gt;0),SUMIFS($AN$7:$AN$1576,$BU$7:$BU$1576,BU504,$AQ$7:$AQ$1576,"&gt;"&amp;AQ504)+SUMIFS($AN$7:$AN$1576,$BU$7:$BU$1576,BU504,$AQ$7:$AQ$1576,AQ504,$BO$7:$BO$1576,"&lt;="&amp;BO504),"")</f>
        <v>125.777572916262</v>
      </c>
      <c r="AS504" s="65" t="n">
        <f aca="false">IF(AR504="",0,MAX(0,MIN(1,(IF(BU504="L1",Parameter!$E$5,Parameter!$E$6+Parameter!$E$7)-(AR504-AN504))/AN504)))</f>
        <v>0</v>
      </c>
      <c r="AT504" s="57" t="n">
        <f aca="false">IF(LEFT(Cockpit!$O$5,1)="A",G504,IF(BW504=1,BX504,IF(LEFT(Cockpit!$O$5,1)="B",AX504,MAX(AX504,G504))))</f>
        <v>8000</v>
      </c>
      <c r="AU504" s="57" t="n">
        <f aca="false">IF(BR504=1,0,ROUNDUP(AT504/BQ504,0))</f>
        <v>1</v>
      </c>
      <c r="AV504" s="59" t="n">
        <f aca="false">IF(CD504&gt;0,CD504*MAX(1,AT504/V504),IF(BR504=1,IF(AT504&lt;=0,0,BS504*MAX(1,IF(G504&gt;0,AT504/G504,1))),IF(Q504&gt;0,AU504/Q504,0))/MAX(0.1,N(Parameter!$M$21)))</f>
        <v>0.00505050505050505</v>
      </c>
      <c r="AW504" s="57" t="n">
        <f aca="false">AT504*F504</f>
        <v>1680</v>
      </c>
      <c r="AX504" s="57" t="n">
        <f aca="false">ROUNDUP(MAX(I504/IF(BV504&gt;0,BV504,MAX(0.1,N(Cockpit!$O$6))),BY504)/BQ504,0)*BQ504</f>
        <v>8000</v>
      </c>
      <c r="AY504" s="58" t="n">
        <f aca="false">IF(AV504&gt;0,I504/AV504,-1)</f>
        <v>0</v>
      </c>
      <c r="AZ504" s="58" t="n">
        <f aca="false">IF(AND(OR(BU504="L1",BU504="L23"),AV504&gt;0),SUMIFS($AV$7:$AV$1576,$BU$7:$BU$1576,BU504,$AY$7:$AY$1576,"&gt;"&amp;AY504)+SUMIFS($AV$7:$AV$1576,$BU$7:$BU$1576,BU504,$AY$7:$AY$1576,AY504,$BO$7:$BO$1576,"&lt;="&amp;BO504),"")</f>
        <v>115.837123365812</v>
      </c>
      <c r="BA504" s="65" t="n">
        <f aca="false">IF(AZ504="",0,MAX(0,MIN(1,(IF(BU504="L1",Parameter!$E$5,Parameter!$E$6+Parameter!$E$7)-(AZ504-AV504))/AV504)))</f>
        <v>0</v>
      </c>
      <c r="BB504" s="55" t="str">
        <f aca="false">IF(AF504&lt;=0,"",IF(BU504="Aussen","Aussenlager",IF(BU504="-","Nicht im Lift",IF(AK504&gt;=1,"Lift",IF(AK504&lt;=0,"Aussenlager","teilweise")))))</f>
        <v>Lift</v>
      </c>
      <c r="BC504" s="55" t="str">
        <f aca="false">IF(AN504&lt;=0,"",IF(BU504="Aussen","Aussenlager",IF(BU504="-","Nicht im Lift",IF(AS504&gt;=1,"Lift",IF(AS504&lt;=0,"Aussenlager","teilweise")))))</f>
        <v>Aussenlager</v>
      </c>
      <c r="BD504" s="55" t="str">
        <f aca="false">IF(AV504&lt;=0,"",IF(BU504="Aussen","Aussenlager",IF(BU504="-","Nicht im Lift",IF(BA504&gt;=1,"Lift",IF(BA504&lt;=0,"Aussenlager","teilweise")))))</f>
        <v>Aussenlager</v>
      </c>
      <c r="BE504" s="55" t="str">
        <f aca="false">IF(A504="","",IF(BN504=1,"Neu; ","")&amp;IF(AND(BN504=0,BI504&lt;0),"negativer Bestand (Export "&amp;BI504&amp;"); ","")&amp;IF(I504&lt;=0,"Kein Verbrauch; ","")&amp;IF(CD504&gt;0,"Lift "&amp;U504&amp;" lt. Liftbericht (Fach "&amp;V504&amp;" Stk); ",IF(BR504=1,"Lose – Fläche geschätzt; ",""))&amp;IF(G504&gt;AP504,"Überbestand "&amp;ROUND(G504-AP504,0)&amp;" Stk / CHF "&amp;ROUND((G504-AP504)*F504,0)&amp;"; ","")&amp;IF(AND(BW504=1,BX504&lt;BY504),"MAX &lt; MB+LG; ","")&amp;IF(AND(CC504&gt;0,CB504*10&gt;CC504),"zu hoch für Tablar; ","")&amp;IF(AND(BN504=0,OR(BW504=1,Y504&lt;&gt;"",S504&lt;&gt;"",T504&lt;&gt;"",Z504&lt;&gt;"")),"manuell übersteuert; ","")&amp;IF(AND(BR504=0,Q504=0),"Gebinde unbekannt / Stellmass fehlt; ","")&amp;IF(AND(BR504=0,N(T504)&lt;=0,N(P504)&lt;=0),"Menge pro Gebinde fehlt (Ist = 1 Gebinde); ","")&amp;BM504)</f>
        <v>Kein Verbrauch; </v>
      </c>
      <c r="BF504" s="55"/>
      <c r="BG504" s="55"/>
      <c r="BH504" s="62"/>
      <c r="BI504" s="57" t="n">
        <v>170</v>
      </c>
      <c r="BJ504" s="57" t="n">
        <v>1400</v>
      </c>
      <c r="BK504" s="56" t="n">
        <v>35.7</v>
      </c>
      <c r="BL504" s="57" t="n">
        <v>0</v>
      </c>
      <c r="BM504" s="55"/>
      <c r="BN504" s="60" t="n">
        <v>0</v>
      </c>
      <c r="BO504" s="60" t="n">
        <v>504</v>
      </c>
      <c r="BP504" s="55" t="str">
        <f aca="false">IF(S504&lt;&gt;"",UPPER(TRIM(S504)),IF(O504="","LOSE",O504))</f>
        <v>S22</v>
      </c>
      <c r="BQ504" s="57" t="n">
        <f aca="false">IF(BP504="LOSE",1,IF(N(T504)&gt;0,T504,IF(N(P504)&gt;0,P504,MAX(1,G504))))</f>
        <v>8000</v>
      </c>
      <c r="BR504" s="60" t="n">
        <f aca="false">IF(BP504="LOSE",1,0)</f>
        <v>0</v>
      </c>
      <c r="BS504" s="59" t="n">
        <f aca="false">IF(BR504=0,0,IF(N(R504)&gt;0,R504,IFERROR(VLOOKUP(D504,Parameter!$A$35:$C$64,3,0)+0,0)))</f>
        <v>0</v>
      </c>
      <c r="BT504" s="55" t="n">
        <f aca="false">IF(Y504&lt;&gt;"",Y504,X504)</f>
        <v>3</v>
      </c>
      <c r="BU504" s="55" t="str">
        <f aca="false">IF(BT504=1,"L1",IF(OR(BT504=2,BT504=3),"L23",IF(BT504="Aussen","Aussen","-")))</f>
        <v>L23</v>
      </c>
      <c r="BV504" s="66" t="n">
        <f aca="false">IF(N(Z504)&gt;0,Z504,0)</f>
        <v>0</v>
      </c>
      <c r="BW504" s="60" t="n">
        <f aca="false">IF(ISNUMBER(AC504),1,0)</f>
        <v>0</v>
      </c>
      <c r="BX504" s="57" t="n">
        <f aca="false">N(AC504)</f>
        <v>0</v>
      </c>
      <c r="BY504" s="57" t="n">
        <f aca="false">N(L504)+N(M504)</f>
        <v>1</v>
      </c>
      <c r="BZ504" s="57" t="n">
        <f aca="false">ROUNDUP(G504/BQ504,0)</f>
        <v>1</v>
      </c>
      <c r="CA504" s="57" t="n">
        <f aca="false">ROUNDUP(BX504/BQ504,0)</f>
        <v>0</v>
      </c>
      <c r="CB504" s="60" t="n">
        <f aca="false">IF(BR504=1,0,IFERROR(VLOOKUP(BP504,'Gebinde-Kategorie'!$A$5:$M$45,5,0)+0,0))</f>
        <v>8</v>
      </c>
      <c r="CC504" s="60" t="n">
        <f aca="false">IFERROR(IF(OR(BT504=1,BT504=2,BT504=3),N(INDEX(Parameter!$I$5:$I$7,BT504)),0),0)</f>
        <v>0</v>
      </c>
      <c r="CD504" s="59" t="n">
        <f aca="false">IF(AND(Parameter!$B$21="Ja",ISNUMBER(U504),N(V504)&gt;0),IFERROR(N(INDEX(Parameter!$L$5:$L$7,U504))*INDEX(Parameter!$E$5:$E$7,U504)*V504/SUMIFS($V$7:$V$1576,$U$7:$U$1576,U504),0),0)</f>
        <v>0</v>
      </c>
    </row>
    <row r="505" customFormat="false" ht="15" hidden="false" customHeight="false" outlineLevel="0" collapsed="false">
      <c r="A505" s="55" t="s">
        <v>1096</v>
      </c>
      <c r="B505" s="55" t="s">
        <v>1097</v>
      </c>
      <c r="C505" s="55" t="s">
        <v>160</v>
      </c>
      <c r="D505" s="55" t="s">
        <v>178</v>
      </c>
      <c r="E505" s="55" t="s">
        <v>210</v>
      </c>
      <c r="F505" s="56" t="n">
        <v>17.5</v>
      </c>
      <c r="G505" s="57" t="n">
        <f aca="false">MAX(0,IF(AND(Parameter!$B$21="Ja",ISNUMBER(W505)),W505,IF(Parameter!$B$20="Jahresanfang 2025 + Export",BJ505+BI505,BI505)))</f>
        <v>2</v>
      </c>
      <c r="H505" s="57" t="n">
        <f aca="false">G505*F505</f>
        <v>35</v>
      </c>
      <c r="I505" s="57" t="n">
        <f aca="false">BL505*Parameter!$B$18</f>
        <v>0</v>
      </c>
      <c r="J505" s="58" t="n">
        <v>29</v>
      </c>
      <c r="K505" s="59" t="n">
        <v>0</v>
      </c>
      <c r="L505" s="57" t="n">
        <v>0</v>
      </c>
      <c r="M505" s="57" t="n">
        <v>1</v>
      </c>
      <c r="N505" s="60" t="n">
        <v>35</v>
      </c>
      <c r="O505" s="55" t="s">
        <v>319</v>
      </c>
      <c r="P505" s="57" t="n">
        <v>30</v>
      </c>
      <c r="Q505" s="60" t="n">
        <f aca="false">IF(BR505=1,0,IFERROR(VLOOKUP(BP505,'Gebinde-Kategorie'!$A$5:$M$45,13,0)+0,0))</f>
        <v>52</v>
      </c>
      <c r="R505" s="61"/>
      <c r="S505" s="62"/>
      <c r="T505" s="62"/>
      <c r="U505" s="55"/>
      <c r="V505" s="57"/>
      <c r="W505" s="57"/>
      <c r="X505" s="55" t="n">
        <f aca="false">IF(A505="","",IF(AND(Parameter!$B$21="Ja",ISNUMBER(U505)),U505,IF(IFERROR(VLOOKUP(D505,Parameter!$A$35:$C$64,2,0),"Nein")="2+3",IF(ISNUMBER(SEARCH("grosser Artikel",BM505)),2,IFERROR(VLOOKUP(BP505,Parameter!$F$35:$G$64,2,0),2)),IF(OR(IFERROR(VLOOKUP(D505,Parameter!$A$35:$C$64,2,0),"Nein")="Nein",IFERROR(VLOOKUP(D505,Parameter!$A$35:$C$64,2,0),"Nein")=""),"-",VLOOKUP(D505,Parameter!$A$35:$C$64,2,0)))))</f>
        <v>3</v>
      </c>
      <c r="Y505" s="62"/>
      <c r="Z505" s="63"/>
      <c r="AA505" s="57" t="n">
        <f aca="false">AP505</f>
        <v>30</v>
      </c>
      <c r="AB505" s="57" t="n">
        <f aca="false">MAX(AP505,G505)</f>
        <v>30</v>
      </c>
      <c r="AC505" s="64"/>
      <c r="AD505" s="57" t="n">
        <f aca="false">IF(LEFT(Cockpit!$C$5,1)="A",G505,IF(BW505=1,BX505,IF(LEFT(Cockpit!$C$5,1)="B",AH505,MAX(AH505,G505))))</f>
        <v>2</v>
      </c>
      <c r="AE505" s="57" t="n">
        <f aca="false">IF(BR505=1,0,ROUNDUP(AD505/BQ505,0))</f>
        <v>1</v>
      </c>
      <c r="AF505" s="59" t="n">
        <f aca="false">IF(CD505&gt;0,CD505*MAX(1,AD505/V505),IF(BR505=1,IF(AD505&lt;=0,0,BS505*MAX(1,IF(G505&gt;0,AD505/G505,1))),IF(Q505&gt;0,AE505/Q505,0))/MAX(0.1,N(Parameter!$M$21)))</f>
        <v>0.0192307692307692</v>
      </c>
      <c r="AG505" s="57" t="n">
        <f aca="false">AD505*F505</f>
        <v>35</v>
      </c>
      <c r="AH505" s="57" t="n">
        <f aca="false">ROUNDUP(MAX(I505/IF(BV505&gt;0,BV505,MAX(0.1,N(Cockpit!$C$6))),BY505)/BQ505,0)*BQ505</f>
        <v>30</v>
      </c>
      <c r="AI505" s="58" t="n">
        <f aca="false">IF(AF505&gt;0,I505/AF505,-1)</f>
        <v>0</v>
      </c>
      <c r="AJ505" s="58" t="n">
        <f aca="false">IF(AND(OR(BU505="L1",BU505="L23"),AF505&gt;0),SUMIFS($AF$7:$AF$1576,$BU$7:$BU$1576,BU505,$AI$7:$AI$1576,"&gt;"&amp;AI505)+SUMIFS($AF$7:$AF$1576,$BU$7:$BU$1576,BU505,$AI$7:$AI$1576,AI505,$BO$7:$BO$1576,"&lt;="&amp;BO505),"")</f>
        <v>42.8000175669741</v>
      </c>
      <c r="AK505" s="65" t="n">
        <f aca="false">IF(AJ505="",0,MAX(0,MIN(1,(IF(BU505="L1",Parameter!$E$5,Parameter!$E$6+Parameter!$E$7)-(AJ505-AF505))/AF505)))</f>
        <v>1</v>
      </c>
      <c r="AL505" s="57" t="n">
        <f aca="false">IF(LEFT(Cockpit!$I$5,1)="A",G505,IF(BW505=1,BX505,IF(LEFT(Cockpit!$I$5,1)="B",AP505,MAX(AP505,G505))))</f>
        <v>30</v>
      </c>
      <c r="AM505" s="57" t="n">
        <f aca="false">IF(BR505=1,0,ROUNDUP(AL505/BQ505,0))</f>
        <v>1</v>
      </c>
      <c r="AN505" s="59" t="n">
        <f aca="false">IF(CD505&gt;0,CD505*MAX(1,AL505/V505),IF(BR505=1,IF(AL505&lt;=0,0,BS505*MAX(1,IF(G505&gt;0,AL505/G505,1))),IF(Q505&gt;0,AM505/Q505,0))/MAX(0.1,N(Parameter!$M$21)))</f>
        <v>0.0192307692307692</v>
      </c>
      <c r="AO505" s="57" t="n">
        <f aca="false">AL505*F505</f>
        <v>525</v>
      </c>
      <c r="AP505" s="57" t="n">
        <f aca="false">ROUNDUP(MAX(I505/IF(BV505&gt;0,BV505,MAX(0.1,N(Cockpit!$I$6))),BY505)/BQ505,0)*BQ505</f>
        <v>30</v>
      </c>
      <c r="AQ505" s="58" t="n">
        <f aca="false">IF(AN505&gt;0,I505/AN505,-1)</f>
        <v>0</v>
      </c>
      <c r="AR505" s="58" t="n">
        <f aca="false">IF(AND(OR(BU505="L1",BU505="L23"),AN505&gt;0),SUMIFS($AN$7:$AN$1576,$BU$7:$BU$1576,BU505,$AQ$7:$AQ$1576,"&gt;"&amp;AQ505)+SUMIFS($AN$7:$AN$1576,$BU$7:$BU$1576,BU505,$AQ$7:$AQ$1576,AQ505,$BO$7:$BO$1576,"&lt;="&amp;BO505),"")</f>
        <v>125.796803685492</v>
      </c>
      <c r="AS505" s="65" t="n">
        <f aca="false">IF(AR505="",0,MAX(0,MIN(1,(IF(BU505="L1",Parameter!$E$5,Parameter!$E$6+Parameter!$E$7)-(AR505-AN505))/AN505)))</f>
        <v>0</v>
      </c>
      <c r="AT505" s="57" t="n">
        <f aca="false">IF(LEFT(Cockpit!$O$5,1)="A",G505,IF(BW505=1,BX505,IF(LEFT(Cockpit!$O$5,1)="B",AX505,MAX(AX505,G505))))</f>
        <v>30</v>
      </c>
      <c r="AU505" s="57" t="n">
        <f aca="false">IF(BR505=1,0,ROUNDUP(AT505/BQ505,0))</f>
        <v>1</v>
      </c>
      <c r="AV505" s="59" t="n">
        <f aca="false">IF(CD505&gt;0,CD505*MAX(1,AT505/V505),IF(BR505=1,IF(AT505&lt;=0,0,BS505*MAX(1,IF(G505&gt;0,AT505/G505,1))),IF(Q505&gt;0,AU505/Q505,0))/MAX(0.1,N(Parameter!$M$21)))</f>
        <v>0.0192307692307692</v>
      </c>
      <c r="AW505" s="57" t="n">
        <f aca="false">AT505*F505</f>
        <v>525</v>
      </c>
      <c r="AX505" s="57" t="n">
        <f aca="false">ROUNDUP(MAX(I505/IF(BV505&gt;0,BV505,MAX(0.1,N(Cockpit!$O$6))),BY505)/BQ505,0)*BQ505</f>
        <v>30</v>
      </c>
      <c r="AY505" s="58" t="n">
        <f aca="false">IF(AV505&gt;0,I505/AV505,-1)</f>
        <v>0</v>
      </c>
      <c r="AZ505" s="58" t="n">
        <f aca="false">IF(AND(OR(BU505="L1",BU505="L23"),AV505&gt;0),SUMIFS($AV$7:$AV$1576,$BU$7:$BU$1576,BU505,$AY$7:$AY$1576,"&gt;"&amp;AY505)+SUMIFS($AV$7:$AV$1576,$BU$7:$BU$1576,BU505,$AY$7:$AY$1576,AY505,$BO$7:$BO$1576,"&lt;="&amp;BO505),"")</f>
        <v>115.856354135043</v>
      </c>
      <c r="BA505" s="65" t="n">
        <f aca="false">IF(AZ505="",0,MAX(0,MIN(1,(IF(BU505="L1",Parameter!$E$5,Parameter!$E$6+Parameter!$E$7)-(AZ505-AV505))/AV505)))</f>
        <v>0</v>
      </c>
      <c r="BB505" s="55" t="str">
        <f aca="false">IF(AF505&lt;=0,"",IF(BU505="Aussen","Aussenlager",IF(BU505="-","Nicht im Lift",IF(AK505&gt;=1,"Lift",IF(AK505&lt;=0,"Aussenlager","teilweise")))))</f>
        <v>Lift</v>
      </c>
      <c r="BC505" s="55" t="str">
        <f aca="false">IF(AN505&lt;=0,"",IF(BU505="Aussen","Aussenlager",IF(BU505="-","Nicht im Lift",IF(AS505&gt;=1,"Lift",IF(AS505&lt;=0,"Aussenlager","teilweise")))))</f>
        <v>Aussenlager</v>
      </c>
      <c r="BD505" s="55" t="str">
        <f aca="false">IF(AV505&lt;=0,"",IF(BU505="Aussen","Aussenlager",IF(BU505="-","Nicht im Lift",IF(BA505&gt;=1,"Lift",IF(BA505&lt;=0,"Aussenlager","teilweise")))))</f>
        <v>Aussenlager</v>
      </c>
      <c r="BE505" s="55" t="str">
        <f aca="false">IF(A505="","",IF(BN505=1,"Neu; ","")&amp;IF(AND(BN505=0,BI505&lt;0),"negativer Bestand (Export "&amp;BI505&amp;"); ","")&amp;IF(I505&lt;=0,"Kein Verbrauch; ","")&amp;IF(CD505&gt;0,"Lift "&amp;U505&amp;" lt. Liftbericht (Fach "&amp;V505&amp;" Stk); ",IF(BR505=1,"Lose – Fläche geschätzt; ",""))&amp;IF(G505&gt;AP505,"Überbestand "&amp;ROUND(G505-AP505,0)&amp;" Stk / CHF "&amp;ROUND((G505-AP505)*F505,0)&amp;"; ","")&amp;IF(AND(BW505=1,BX505&lt;BY505),"MAX &lt; MB+LG; ","")&amp;IF(AND(CC505&gt;0,CB505*10&gt;CC505),"zu hoch für Tablar; ","")&amp;IF(AND(BN505=0,OR(BW505=1,Y505&lt;&gt;"",S505&lt;&gt;"",T505&lt;&gt;"",Z505&lt;&gt;"")),"manuell übersteuert; ","")&amp;IF(AND(BR505=0,Q505=0),"Gebinde unbekannt / Stellmass fehlt; ","")&amp;IF(AND(BR505=0,N(T505)&lt;=0,N(P505)&lt;=0),"Menge pro Gebinde fehlt (Ist = 1 Gebinde); ","")&amp;BM505)</f>
        <v>Kein Verbrauch; </v>
      </c>
      <c r="BF505" s="55"/>
      <c r="BG505" s="55"/>
      <c r="BH505" s="62"/>
      <c r="BI505" s="57" t="n">
        <v>2</v>
      </c>
      <c r="BJ505" s="57" t="n">
        <v>28</v>
      </c>
      <c r="BK505" s="56" t="n">
        <v>35</v>
      </c>
      <c r="BL505" s="57" t="n">
        <v>0</v>
      </c>
      <c r="BM505" s="55"/>
      <c r="BN505" s="60" t="n">
        <v>0</v>
      </c>
      <c r="BO505" s="60" t="n">
        <v>505</v>
      </c>
      <c r="BP505" s="55" t="str">
        <f aca="false">IF(S505&lt;&gt;"",UPPER(TRIM(S505)),IF(O505="","LOSE",O505))</f>
        <v>S41</v>
      </c>
      <c r="BQ505" s="57" t="n">
        <f aca="false">IF(BP505="LOSE",1,IF(N(T505)&gt;0,T505,IF(N(P505)&gt;0,P505,MAX(1,G505))))</f>
        <v>30</v>
      </c>
      <c r="BR505" s="60" t="n">
        <f aca="false">IF(BP505="LOSE",1,0)</f>
        <v>0</v>
      </c>
      <c r="BS505" s="59" t="n">
        <f aca="false">IF(BR505=0,0,IF(N(R505)&gt;0,R505,IFERROR(VLOOKUP(D505,Parameter!$A$35:$C$64,3,0)+0,0)))</f>
        <v>0</v>
      </c>
      <c r="BT505" s="55" t="n">
        <f aca="false">IF(Y505&lt;&gt;"",Y505,X505)</f>
        <v>3</v>
      </c>
      <c r="BU505" s="55" t="str">
        <f aca="false">IF(BT505=1,"L1",IF(OR(BT505=2,BT505=3),"L23",IF(BT505="Aussen","Aussen","-")))</f>
        <v>L23</v>
      </c>
      <c r="BV505" s="66" t="n">
        <f aca="false">IF(N(Z505)&gt;0,Z505,0)</f>
        <v>0</v>
      </c>
      <c r="BW505" s="60" t="n">
        <f aca="false">IF(ISNUMBER(AC505),1,0)</f>
        <v>0</v>
      </c>
      <c r="BX505" s="57" t="n">
        <f aca="false">N(AC505)</f>
        <v>0</v>
      </c>
      <c r="BY505" s="57" t="n">
        <f aca="false">N(L505)+N(M505)</f>
        <v>1</v>
      </c>
      <c r="BZ505" s="57" t="n">
        <f aca="false">ROUNDUP(G505/BQ505,0)</f>
        <v>1</v>
      </c>
      <c r="CA505" s="57" t="n">
        <f aca="false">ROUNDUP(BX505/BQ505,0)</f>
        <v>0</v>
      </c>
      <c r="CB505" s="60" t="n">
        <f aca="false">IF(BR505=1,0,IFERROR(VLOOKUP(BP505,'Gebinde-Kategorie'!$A$5:$M$45,5,0)+0,0))</f>
        <v>11</v>
      </c>
      <c r="CC505" s="60" t="n">
        <f aca="false">IFERROR(IF(OR(BT505=1,BT505=2,BT505=3),N(INDEX(Parameter!$I$5:$I$7,BT505)),0),0)</f>
        <v>0</v>
      </c>
      <c r="CD505" s="59" t="n">
        <f aca="false">IF(AND(Parameter!$B$21="Ja",ISNUMBER(U505),N(V505)&gt;0),IFERROR(N(INDEX(Parameter!$L$5:$L$7,U505))*INDEX(Parameter!$E$5:$E$7,U505)*V505/SUMIFS($V$7:$V$1576,$U$7:$U$1576,U505),0),0)</f>
        <v>0</v>
      </c>
    </row>
    <row r="506" customFormat="false" ht="15" hidden="false" customHeight="false" outlineLevel="0" collapsed="false">
      <c r="A506" s="55" t="s">
        <v>1098</v>
      </c>
      <c r="B506" s="55" t="s">
        <v>393</v>
      </c>
      <c r="C506" s="55" t="s">
        <v>160</v>
      </c>
      <c r="D506" s="55" t="s">
        <v>984</v>
      </c>
      <c r="E506" s="55" t="s">
        <v>210</v>
      </c>
      <c r="F506" s="56" t="n">
        <v>0.82</v>
      </c>
      <c r="G506" s="57" t="n">
        <f aca="false">MAX(0,IF(AND(Parameter!$B$21="Ja",ISNUMBER(W506)),W506,IF(Parameter!$B$20="Jahresanfang 2025 + Export",BJ506+BI506,BI506)))</f>
        <v>42</v>
      </c>
      <c r="H506" s="57" t="n">
        <f aca="false">G506*F506</f>
        <v>34.44</v>
      </c>
      <c r="I506" s="57" t="n">
        <f aca="false">BL506*Parameter!$B$18</f>
        <v>158</v>
      </c>
      <c r="J506" s="58" t="n">
        <v>21</v>
      </c>
      <c r="K506" s="59" t="n">
        <v>7.52380952380952</v>
      </c>
      <c r="L506" s="57" t="n">
        <v>0</v>
      </c>
      <c r="M506" s="57" t="n">
        <v>100</v>
      </c>
      <c r="N506" s="60" t="n">
        <v>21</v>
      </c>
      <c r="O506" s="55" t="s">
        <v>163</v>
      </c>
      <c r="P506" s="57"/>
      <c r="Q506" s="60" t="n">
        <f aca="false">IF(BR506=1,0,IFERROR(VLOOKUP(BP506,'Gebinde-Kategorie'!$A$5:$M$45,13,0)+0,0))</f>
        <v>0</v>
      </c>
      <c r="R506" s="61"/>
      <c r="S506" s="62"/>
      <c r="T506" s="62"/>
      <c r="U506" s="55"/>
      <c r="V506" s="57"/>
      <c r="W506" s="57"/>
      <c r="X506" s="55" t="str">
        <f aca="false">IF(A506="","",IF(AND(Parameter!$B$21="Ja",ISNUMBER(U506)),U506,IF(IFERROR(VLOOKUP(D506,Parameter!$A$35:$C$64,2,0),"Nein")="2+3",IF(ISNUMBER(SEARCH("grosser Artikel",BM506)),2,IFERROR(VLOOKUP(BP506,Parameter!$F$35:$G$64,2,0),2)),IF(OR(IFERROR(VLOOKUP(D506,Parameter!$A$35:$C$64,2,0),"Nein")="Nein",IFERROR(VLOOKUP(D506,Parameter!$A$35:$C$64,2,0),"Nein")=""),"-",VLOOKUP(D506,Parameter!$A$35:$C$64,2,0)))))</f>
        <v>-</v>
      </c>
      <c r="Y506" s="62"/>
      <c r="Z506" s="63"/>
      <c r="AA506" s="57" t="n">
        <f aca="false">AP506</f>
        <v>100</v>
      </c>
      <c r="AB506" s="57" t="n">
        <f aca="false">MAX(AP506,G506)</f>
        <v>100</v>
      </c>
      <c r="AC506" s="64"/>
      <c r="AD506" s="57" t="n">
        <f aca="false">IF(LEFT(Cockpit!$C$5,1)="A",G506,IF(BW506=1,BX506,IF(LEFT(Cockpit!$C$5,1)="B",AH506,MAX(AH506,G506))))</f>
        <v>42</v>
      </c>
      <c r="AE506" s="57" t="n">
        <f aca="false">IF(BR506=1,0,ROUNDUP(AD506/BQ506,0))</f>
        <v>0</v>
      </c>
      <c r="AF506" s="59" t="n">
        <f aca="false">IF(CD506&gt;0,CD506*MAX(1,AD506/V506),IF(BR506=1,IF(AD506&lt;=0,0,BS506*MAX(1,IF(G506&gt;0,AD506/G506,1))),IF(Q506&gt;0,AE506/Q506,0))/MAX(0.1,N(Parameter!$M$21)))</f>
        <v>0.15</v>
      </c>
      <c r="AG506" s="57" t="n">
        <f aca="false">AD506*F506</f>
        <v>34.44</v>
      </c>
      <c r="AH506" s="57" t="n">
        <f aca="false">ROUNDUP(MAX(I506/IF(BV506&gt;0,BV506,MAX(0.1,N(Cockpit!$C$6))),BY506)/BQ506,0)*BQ506</f>
        <v>100</v>
      </c>
      <c r="AI506" s="58" t="n">
        <f aca="false">IF(AF506&gt;0,I506/AF506,-1)</f>
        <v>1053.33333333333</v>
      </c>
      <c r="AJ506" s="58" t="str">
        <f aca="false">IF(AND(OR(BU506="L1",BU506="L23"),AF506&gt;0),SUMIFS($AF$7:$AF$1576,$BU$7:$BU$1576,BU506,$AI$7:$AI$1576,"&gt;"&amp;AI506)+SUMIFS($AF$7:$AF$1576,$BU$7:$BU$1576,BU506,$AI$7:$AI$1576,AI506,$BO$7:$BO$1576,"&lt;="&amp;BO506),"")</f>
        <v/>
      </c>
      <c r="AK506" s="65" t="n">
        <f aca="false">IF(AJ506="",0,MAX(0,MIN(1,(IF(BU506="L1",Parameter!$E$5,Parameter!$E$6+Parameter!$E$7)-(AJ506-AF506))/AF506)))</f>
        <v>0</v>
      </c>
      <c r="AL506" s="57" t="n">
        <f aca="false">IF(LEFT(Cockpit!$I$5,1)="A",G506,IF(BW506=1,BX506,IF(LEFT(Cockpit!$I$5,1)="B",AP506,MAX(AP506,G506))))</f>
        <v>100</v>
      </c>
      <c r="AM506" s="57" t="n">
        <f aca="false">IF(BR506=1,0,ROUNDUP(AL506/BQ506,0))</f>
        <v>0</v>
      </c>
      <c r="AN506" s="59" t="n">
        <f aca="false">IF(CD506&gt;0,CD506*MAX(1,AL506/V506),IF(BR506=1,IF(AL506&lt;=0,0,BS506*MAX(1,IF(G506&gt;0,AL506/G506,1))),IF(Q506&gt;0,AM506/Q506,0))/MAX(0.1,N(Parameter!$M$21)))</f>
        <v>0.357142857142857</v>
      </c>
      <c r="AO506" s="57" t="n">
        <f aca="false">AL506*F506</f>
        <v>82</v>
      </c>
      <c r="AP506" s="57" t="n">
        <f aca="false">ROUNDUP(MAX(I506/IF(BV506&gt;0,BV506,MAX(0.1,N(Cockpit!$I$6))),BY506)/BQ506,0)*BQ506</f>
        <v>100</v>
      </c>
      <c r="AQ506" s="58" t="n">
        <f aca="false">IF(AN506&gt;0,I506/AN506,-1)</f>
        <v>442.4</v>
      </c>
      <c r="AR506" s="58" t="str">
        <f aca="false">IF(AND(OR(BU506="L1",BU506="L23"),AN506&gt;0),SUMIFS($AN$7:$AN$1576,$BU$7:$BU$1576,BU506,$AQ$7:$AQ$1576,"&gt;"&amp;AQ506)+SUMIFS($AN$7:$AN$1576,$BU$7:$BU$1576,BU506,$AQ$7:$AQ$1576,AQ506,$BO$7:$BO$1576,"&lt;="&amp;BO506),"")</f>
        <v/>
      </c>
      <c r="AS506" s="65" t="n">
        <f aca="false">IF(AR506="",0,MAX(0,MIN(1,(IF(BU506="L1",Parameter!$E$5,Parameter!$E$6+Parameter!$E$7)-(AR506-AN506))/AN506)))</f>
        <v>0</v>
      </c>
      <c r="AT506" s="57" t="n">
        <f aca="false">IF(LEFT(Cockpit!$O$5,1)="A",G506,IF(BW506=1,BX506,IF(LEFT(Cockpit!$O$5,1)="B",AX506,MAX(AX506,G506))))</f>
        <v>100</v>
      </c>
      <c r="AU506" s="57" t="n">
        <f aca="false">IF(BR506=1,0,ROUNDUP(AT506/BQ506,0))</f>
        <v>0</v>
      </c>
      <c r="AV506" s="59" t="n">
        <f aca="false">IF(CD506&gt;0,CD506*MAX(1,AT506/V506),IF(BR506=1,IF(AT506&lt;=0,0,BS506*MAX(1,IF(G506&gt;0,AT506/G506,1))),IF(Q506&gt;0,AU506/Q506,0))/MAX(0.1,N(Parameter!$M$21)))</f>
        <v>0.357142857142857</v>
      </c>
      <c r="AW506" s="57" t="n">
        <f aca="false">AT506*F506</f>
        <v>82</v>
      </c>
      <c r="AX506" s="57" t="n">
        <f aca="false">ROUNDUP(MAX(I506/IF(BV506&gt;0,BV506,MAX(0.1,N(Cockpit!$O$6))),BY506)/BQ506,0)*BQ506</f>
        <v>100</v>
      </c>
      <c r="AY506" s="58" t="n">
        <f aca="false">IF(AV506&gt;0,I506/AV506,-1)</f>
        <v>442.4</v>
      </c>
      <c r="AZ506" s="58" t="str">
        <f aca="false">IF(AND(OR(BU506="L1",BU506="L23"),AV506&gt;0),SUMIFS($AV$7:$AV$1576,$BU$7:$BU$1576,BU506,$AY$7:$AY$1576,"&gt;"&amp;AY506)+SUMIFS($AV$7:$AV$1576,$BU$7:$BU$1576,BU506,$AY$7:$AY$1576,AY506,$BO$7:$BO$1576,"&lt;="&amp;BO506),"")</f>
        <v/>
      </c>
      <c r="BA506" s="65" t="n">
        <f aca="false">IF(AZ506="",0,MAX(0,MIN(1,(IF(BU506="L1",Parameter!$E$5,Parameter!$E$6+Parameter!$E$7)-(AZ506-AV506))/AV506)))</f>
        <v>0</v>
      </c>
      <c r="BB506" s="55" t="str">
        <f aca="false">IF(AF506&lt;=0,"",IF(BU506="Aussen","Aussenlager",IF(BU506="-","Nicht im Lift",IF(AK506&gt;=1,"Lift",IF(AK506&lt;=0,"Aussenlager","teilweise")))))</f>
        <v>Nicht im Lift</v>
      </c>
      <c r="BC506" s="55" t="str">
        <f aca="false">IF(AN506&lt;=0,"",IF(BU506="Aussen","Aussenlager",IF(BU506="-","Nicht im Lift",IF(AS506&gt;=1,"Lift",IF(AS506&lt;=0,"Aussenlager","teilweise")))))</f>
        <v>Nicht im Lift</v>
      </c>
      <c r="BD506" s="55" t="str">
        <f aca="false">IF(AV506&lt;=0,"",IF(BU506="Aussen","Aussenlager",IF(BU506="-","Nicht im Lift",IF(BA506&gt;=1,"Lift",IF(BA506&lt;=0,"Aussenlager","teilweise")))))</f>
        <v>Nicht im Lift</v>
      </c>
      <c r="BE506" s="55" t="str">
        <f aca="false">IF(A506="","",IF(BN506=1,"Neu; ","")&amp;IF(AND(BN506=0,BI506&lt;0),"negativer Bestand (Export "&amp;BI506&amp;"); ","")&amp;IF(I506&lt;=0,"Kein Verbrauch; ","")&amp;IF(CD506&gt;0,"Lift "&amp;U506&amp;" lt. Liftbericht (Fach "&amp;V506&amp;" Stk); ",IF(BR506=1,"Lose – Fläche geschätzt; ",""))&amp;IF(G506&gt;AP506,"Überbestand "&amp;ROUND(G506-AP506,0)&amp;" Stk / CHF "&amp;ROUND((G506-AP506)*F506,0)&amp;"; ","")&amp;IF(AND(BW506=1,BX506&lt;BY506),"MAX &lt; MB+LG; ","")&amp;IF(AND(CC506&gt;0,CB506*10&gt;CC506),"zu hoch für Tablar; ","")&amp;IF(AND(BN506=0,OR(BW506=1,Y506&lt;&gt;"",S506&lt;&gt;"",T506&lt;&gt;"",Z506&lt;&gt;"")),"manuell übersteuert; ","")&amp;IF(AND(BR506=0,Q506=0),"Gebinde unbekannt / Stellmass fehlt; ","")&amp;IF(AND(BR506=0,N(T506)&lt;=0,N(P506)&lt;=0),"Menge pro Gebinde fehlt (Ist = 1 Gebinde); ","")&amp;BM506)</f>
        <v>Lose – Fläche geschätzt; </v>
      </c>
      <c r="BF506" s="55"/>
      <c r="BG506" s="55"/>
      <c r="BH506" s="62"/>
      <c r="BI506" s="57" t="n">
        <v>42</v>
      </c>
      <c r="BJ506" s="57" t="n">
        <v>0</v>
      </c>
      <c r="BK506" s="56" t="n">
        <v>34.44</v>
      </c>
      <c r="BL506" s="57" t="n">
        <v>158</v>
      </c>
      <c r="BM506" s="55"/>
      <c r="BN506" s="60" t="n">
        <v>0</v>
      </c>
      <c r="BO506" s="60" t="n">
        <v>506</v>
      </c>
      <c r="BP506" s="55" t="str">
        <f aca="false">IF(S506&lt;&gt;"",UPPER(TRIM(S506)),IF(O506="","LOSE",O506))</f>
        <v>LOSE</v>
      </c>
      <c r="BQ506" s="57" t="n">
        <f aca="false">IF(BP506="LOSE",1,IF(N(T506)&gt;0,T506,IF(N(P506)&gt;0,P506,MAX(1,G506))))</f>
        <v>1</v>
      </c>
      <c r="BR506" s="60" t="n">
        <f aca="false">IF(BP506="LOSE",1,0)</f>
        <v>1</v>
      </c>
      <c r="BS506" s="59" t="n">
        <f aca="false">IF(BR506=0,0,IF(N(R506)&gt;0,R506,IFERROR(VLOOKUP(D506,Parameter!$A$35:$C$64,3,0)+0,0)))</f>
        <v>0.15</v>
      </c>
      <c r="BT506" s="55" t="str">
        <f aca="false">IF(Y506&lt;&gt;"",Y506,X506)</f>
        <v>-</v>
      </c>
      <c r="BU506" s="55" t="str">
        <f aca="false">IF(BT506=1,"L1",IF(OR(BT506=2,BT506=3),"L23",IF(BT506="Aussen","Aussen","-")))</f>
        <v>-</v>
      </c>
      <c r="BV506" s="66" t="n">
        <f aca="false">IF(N(Z506)&gt;0,Z506,0)</f>
        <v>0</v>
      </c>
      <c r="BW506" s="60" t="n">
        <f aca="false">IF(ISNUMBER(AC506),1,0)</f>
        <v>0</v>
      </c>
      <c r="BX506" s="57" t="n">
        <f aca="false">N(AC506)</f>
        <v>0</v>
      </c>
      <c r="BY506" s="57" t="n">
        <f aca="false">N(L506)+N(M506)</f>
        <v>100</v>
      </c>
      <c r="BZ506" s="57" t="n">
        <f aca="false">ROUNDUP(G506/BQ506,0)</f>
        <v>42</v>
      </c>
      <c r="CA506" s="57" t="n">
        <f aca="false">ROUNDUP(BX506/BQ506,0)</f>
        <v>0</v>
      </c>
      <c r="CB506" s="60" t="n">
        <f aca="false">IF(BR506=1,0,IFERROR(VLOOKUP(BP506,'Gebinde-Kategorie'!$A$5:$M$45,5,0)+0,0))</f>
        <v>0</v>
      </c>
      <c r="CC506" s="60" t="n">
        <f aca="false">IFERROR(IF(OR(BT506=1,BT506=2,BT506=3),N(INDEX(Parameter!$I$5:$I$7,BT506)),0),0)</f>
        <v>0</v>
      </c>
      <c r="CD506" s="59" t="n">
        <f aca="false">IF(AND(Parameter!$B$21="Ja",ISNUMBER(U506),N(V506)&gt;0),IFERROR(N(INDEX(Parameter!$L$5:$L$7,U506))*INDEX(Parameter!$E$5:$E$7,U506)*V506/SUMIFS($V$7:$V$1576,$U$7:$U$1576,U506),0),0)</f>
        <v>0</v>
      </c>
    </row>
    <row r="507" customFormat="false" ht="15" hidden="false" customHeight="false" outlineLevel="0" collapsed="false">
      <c r="A507" s="55" t="s">
        <v>1099</v>
      </c>
      <c r="B507" s="55" t="s">
        <v>1100</v>
      </c>
      <c r="C507" s="55" t="s">
        <v>160</v>
      </c>
      <c r="D507" s="55" t="s">
        <v>168</v>
      </c>
      <c r="E507" s="55" t="s">
        <v>210</v>
      </c>
      <c r="F507" s="56" t="n">
        <v>199.84</v>
      </c>
      <c r="G507" s="57" t="n">
        <f aca="false">MAX(0,IF(AND(Parameter!$B$21="Ja",ISNUMBER(W507)),W507,IF(Parameter!$B$20="Jahresanfang 2025 + Export",BJ507+BI507,BI507)))</f>
        <v>0</v>
      </c>
      <c r="H507" s="57" t="n">
        <f aca="false">G507*F507</f>
        <v>0</v>
      </c>
      <c r="I507" s="57" t="n">
        <f aca="false">BL507*Parameter!$B$18</f>
        <v>18</v>
      </c>
      <c r="J507" s="58" t="n">
        <v>30</v>
      </c>
      <c r="K507" s="59" t="n">
        <v>0.6</v>
      </c>
      <c r="L507" s="57" t="n">
        <v>2</v>
      </c>
      <c r="M507" s="57" t="n">
        <v>15</v>
      </c>
      <c r="N507" s="60" t="n">
        <v>44</v>
      </c>
      <c r="O507" s="55" t="s">
        <v>169</v>
      </c>
      <c r="P507" s="57" t="n">
        <v>17</v>
      </c>
      <c r="Q507" s="60" t="n">
        <f aca="false">IF(BR507=1,0,IFERROR(VLOOKUP(BP507,'Gebinde-Kategorie'!$A$5:$M$45,13,0)+0,0))</f>
        <v>6</v>
      </c>
      <c r="R507" s="61"/>
      <c r="S507" s="62"/>
      <c r="T507" s="62"/>
      <c r="U507" s="55"/>
      <c r="V507" s="57"/>
      <c r="W507" s="57"/>
      <c r="X507" s="55" t="n">
        <f aca="false">IF(A507="","",IF(AND(Parameter!$B$21="Ja",ISNUMBER(U507)),U507,IF(IFERROR(VLOOKUP(D507,Parameter!$A$35:$C$64,2,0),"Nein")="2+3",IF(ISNUMBER(SEARCH("grosser Artikel",BM507)),2,IFERROR(VLOOKUP(BP507,Parameter!$F$35:$G$64,2,0),2)),IF(OR(IFERROR(VLOOKUP(D507,Parameter!$A$35:$C$64,2,0),"Nein")="Nein",IFERROR(VLOOKUP(D507,Parameter!$A$35:$C$64,2,0),"Nein")=""),"-",VLOOKUP(D507,Parameter!$A$35:$C$64,2,0)))))</f>
        <v>2</v>
      </c>
      <c r="Y507" s="62"/>
      <c r="Z507" s="63"/>
      <c r="AA507" s="57" t="n">
        <f aca="false">AP507</f>
        <v>17</v>
      </c>
      <c r="AB507" s="57" t="n">
        <f aca="false">MAX(AP507,G507)</f>
        <v>17</v>
      </c>
      <c r="AC507" s="64"/>
      <c r="AD507" s="57" t="n">
        <f aca="false">IF(LEFT(Cockpit!$C$5,1)="A",G507,IF(BW507=1,BX507,IF(LEFT(Cockpit!$C$5,1)="B",AH507,MAX(AH507,G507))))</f>
        <v>0</v>
      </c>
      <c r="AE507" s="57" t="n">
        <f aca="false">IF(BR507=1,0,ROUNDUP(AD507/BQ507,0))</f>
        <v>0</v>
      </c>
      <c r="AF507" s="59" t="n">
        <f aca="false">IF(CD507&gt;0,CD507*MAX(1,AD507/V507),IF(BR507=1,IF(AD507&lt;=0,0,BS507*MAX(1,IF(G507&gt;0,AD507/G507,1))),IF(Q507&gt;0,AE507/Q507,0))/MAX(0.1,N(Parameter!$M$21)))</f>
        <v>0</v>
      </c>
      <c r="AG507" s="57" t="n">
        <f aca="false">AD507*F507</f>
        <v>0</v>
      </c>
      <c r="AH507" s="57" t="n">
        <f aca="false">ROUNDUP(MAX(I507/IF(BV507&gt;0,BV507,MAX(0.1,N(Cockpit!$C$6))),BY507)/BQ507,0)*BQ507</f>
        <v>17</v>
      </c>
      <c r="AI507" s="58" t="n">
        <f aca="false">IF(AF507&gt;0,I507/AF507,-1)</f>
        <v>-1</v>
      </c>
      <c r="AJ507" s="58" t="str">
        <f aca="false">IF(AND(OR(BU507="L1",BU507="L23"),AF507&gt;0),SUMIFS($AF$7:$AF$1576,$BU$7:$BU$1576,BU507,$AI$7:$AI$1576,"&gt;"&amp;AI507)+SUMIFS($AF$7:$AF$1576,$BU$7:$BU$1576,BU507,$AI$7:$AI$1576,AI507,$BO$7:$BO$1576,"&lt;="&amp;BO507),"")</f>
        <v/>
      </c>
      <c r="AK507" s="65" t="n">
        <f aca="false">IF(AJ507="",0,MAX(0,MIN(1,(IF(BU507="L1",Parameter!$E$5,Parameter!$E$6+Parameter!$E$7)-(AJ507-AF507))/AF507)))</f>
        <v>0</v>
      </c>
      <c r="AL507" s="57" t="n">
        <f aca="false">IF(LEFT(Cockpit!$I$5,1)="A",G507,IF(BW507=1,BX507,IF(LEFT(Cockpit!$I$5,1)="B",AP507,MAX(AP507,G507))))</f>
        <v>17</v>
      </c>
      <c r="AM507" s="57" t="n">
        <f aca="false">IF(BR507=1,0,ROUNDUP(AL507/BQ507,0))</f>
        <v>1</v>
      </c>
      <c r="AN507" s="59" t="n">
        <f aca="false">IF(CD507&gt;0,CD507*MAX(1,AL507/V507),IF(BR507=1,IF(AL507&lt;=0,0,BS507*MAX(1,IF(G507&gt;0,AL507/G507,1))),IF(Q507&gt;0,AM507/Q507,0))/MAX(0.1,N(Parameter!$M$21)))</f>
        <v>0.166666666666667</v>
      </c>
      <c r="AO507" s="57" t="n">
        <f aca="false">AL507*F507</f>
        <v>3397.28</v>
      </c>
      <c r="AP507" s="57" t="n">
        <f aca="false">ROUNDUP(MAX(I507/IF(BV507&gt;0,BV507,MAX(0.1,N(Cockpit!$I$6))),BY507)/BQ507,0)*BQ507</f>
        <v>17</v>
      </c>
      <c r="AQ507" s="58" t="n">
        <f aca="false">IF(AN507&gt;0,I507/AN507,-1)</f>
        <v>108</v>
      </c>
      <c r="AR507" s="58" t="n">
        <f aca="false">IF(AND(OR(BU507="L1",BU507="L23"),AN507&gt;0),SUMIFS($AN$7:$AN$1576,$BU$7:$BU$1576,BU507,$AQ$7:$AQ$1576,"&gt;"&amp;AQ507)+SUMIFS($AN$7:$AN$1576,$BU$7:$BU$1576,BU507,$AQ$7:$AQ$1576,AQ507,$BO$7:$BO$1576,"&lt;="&amp;BO507),"")</f>
        <v>67.5936690486802</v>
      </c>
      <c r="AS507" s="65" t="n">
        <f aca="false">IF(AR507="",0,MAX(0,MIN(1,(IF(BU507="L1",Parameter!$E$5,Parameter!$E$6+Parameter!$E$7)-(AR507-AN507))/AN507)))</f>
        <v>1</v>
      </c>
      <c r="AT507" s="57" t="n">
        <f aca="false">IF(LEFT(Cockpit!$O$5,1)="A",G507,IF(BW507=1,BX507,IF(LEFT(Cockpit!$O$5,1)="B",AX507,MAX(AX507,G507))))</f>
        <v>17</v>
      </c>
      <c r="AU507" s="57" t="n">
        <f aca="false">IF(BR507=1,0,ROUNDUP(AT507/BQ507,0))</f>
        <v>1</v>
      </c>
      <c r="AV507" s="59" t="n">
        <f aca="false">IF(CD507&gt;0,CD507*MAX(1,AT507/V507),IF(BR507=1,IF(AT507&lt;=0,0,BS507*MAX(1,IF(G507&gt;0,AT507/G507,1))),IF(Q507&gt;0,AU507/Q507,0))/MAX(0.1,N(Parameter!$M$21)))</f>
        <v>0.166666666666667</v>
      </c>
      <c r="AW507" s="57" t="n">
        <f aca="false">AT507*F507</f>
        <v>3397.28</v>
      </c>
      <c r="AX507" s="57" t="n">
        <f aca="false">ROUNDUP(MAX(I507/IF(BV507&gt;0,BV507,MAX(0.1,N(Cockpit!$O$6))),BY507)/BQ507,0)*BQ507</f>
        <v>17</v>
      </c>
      <c r="AY507" s="58" t="n">
        <f aca="false">IF(AV507&gt;0,I507/AV507,-1)</f>
        <v>108</v>
      </c>
      <c r="AZ507" s="58" t="n">
        <f aca="false">IF(AND(OR(BU507="L1",BU507="L23"),AV507&gt;0),SUMIFS($AV$7:$AV$1576,$BU$7:$BU$1576,BU507,$AY$7:$AY$1576,"&gt;"&amp;AY507)+SUMIFS($AV$7:$AV$1576,$BU$7:$BU$1576,BU507,$AY$7:$AY$1576,AY507,$BO$7:$BO$1576,"&lt;="&amp;BO507),"")</f>
        <v>62.922802831564</v>
      </c>
      <c r="BA507" s="65" t="n">
        <f aca="false">IF(AZ507="",0,MAX(0,MIN(1,(IF(BU507="L1",Parameter!$E$5,Parameter!$E$6+Parameter!$E$7)-(AZ507-AV507))/AV507)))</f>
        <v>1</v>
      </c>
      <c r="BB507" s="55" t="str">
        <f aca="false">IF(AF507&lt;=0,"",IF(BU507="Aussen","Aussenlager",IF(BU507="-","Nicht im Lift",IF(AK507&gt;=1,"Lift",IF(AK507&lt;=0,"Aussenlager","teilweise")))))</f>
        <v/>
      </c>
      <c r="BC507" s="55" t="str">
        <f aca="false">IF(AN507&lt;=0,"",IF(BU507="Aussen","Aussenlager",IF(BU507="-","Nicht im Lift",IF(AS507&gt;=1,"Lift",IF(AS507&lt;=0,"Aussenlager","teilweise")))))</f>
        <v>Lift</v>
      </c>
      <c r="BD507" s="55" t="str">
        <f aca="false">IF(AV507&lt;=0,"",IF(BU507="Aussen","Aussenlager",IF(BU507="-","Nicht im Lift",IF(BA507&gt;=1,"Lift",IF(BA507&lt;=0,"Aussenlager","teilweise")))))</f>
        <v>Lift</v>
      </c>
      <c r="BE507" s="55" t="str">
        <f aca="false">IF(A507="","",IF(BN507=1,"Neu; ","")&amp;IF(AND(BN507=0,BI507&lt;0),"negativer Bestand (Export "&amp;BI507&amp;"); ","")&amp;IF(I507&lt;=0,"Kein Verbrauch; ","")&amp;IF(CD507&gt;0,"Lift "&amp;U507&amp;" lt. Liftbericht (Fach "&amp;V507&amp;" Stk); ",IF(BR507=1,"Lose – Fläche geschätzt; ",""))&amp;IF(G507&gt;AP507,"Überbestand "&amp;ROUND(G507-AP507,0)&amp;" Stk / CHF "&amp;ROUND((G507-AP507)*F507,0)&amp;"; ","")&amp;IF(AND(BW507=1,BX507&lt;BY507),"MAX &lt; MB+LG; ","")&amp;IF(AND(CC507&gt;0,CB507*10&gt;CC507),"zu hoch für Tablar; ","")&amp;IF(AND(BN507=0,OR(BW507=1,Y507&lt;&gt;"",S507&lt;&gt;"",T507&lt;&gt;"",Z507&lt;&gt;"")),"manuell übersteuert; ","")&amp;IF(AND(BR507=0,Q507=0),"Gebinde unbekannt / Stellmass fehlt; ","")&amp;IF(AND(BR507=0,N(T507)&lt;=0,N(P507)&lt;=0),"Menge pro Gebinde fehlt (Ist = 1 Gebinde); ","")&amp;BM507)</f>
        <v>negativer Bestand (Export -2); grosser Artikel &amp; nicht im KTL</v>
      </c>
      <c r="BF507" s="55"/>
      <c r="BG507" s="55"/>
      <c r="BH507" s="62"/>
      <c r="BI507" s="57" t="n">
        <v>-2</v>
      </c>
      <c r="BJ507" s="57" t="n">
        <v>19</v>
      </c>
      <c r="BK507" s="56" t="n">
        <v>34.2799999999952</v>
      </c>
      <c r="BL507" s="57" t="n">
        <v>18</v>
      </c>
      <c r="BM507" s="55" t="s">
        <v>253</v>
      </c>
      <c r="BN507" s="60" t="n">
        <v>0</v>
      </c>
      <c r="BO507" s="60" t="n">
        <v>507</v>
      </c>
      <c r="BP507" s="55" t="str">
        <f aca="false">IF(S507&lt;&gt;"",UPPER(TRIM(S507)),IF(O507="","LOSE",O507))</f>
        <v>S71</v>
      </c>
      <c r="BQ507" s="57" t="n">
        <f aca="false">IF(BP507="LOSE",1,IF(N(T507)&gt;0,T507,IF(N(P507)&gt;0,P507,MAX(1,G507))))</f>
        <v>17</v>
      </c>
      <c r="BR507" s="60" t="n">
        <f aca="false">IF(BP507="LOSE",1,0)</f>
        <v>0</v>
      </c>
      <c r="BS507" s="59" t="n">
        <f aca="false">IF(BR507=0,0,IF(N(R507)&gt;0,R507,IFERROR(VLOOKUP(D507,Parameter!$A$35:$C$64,3,0)+0,0)))</f>
        <v>0</v>
      </c>
      <c r="BT507" s="55" t="n">
        <f aca="false">IF(Y507&lt;&gt;"",Y507,X507)</f>
        <v>2</v>
      </c>
      <c r="BU507" s="55" t="str">
        <f aca="false">IF(BT507=1,"L1",IF(OR(BT507=2,BT507=3),"L23",IF(BT507="Aussen","Aussen","-")))</f>
        <v>L23</v>
      </c>
      <c r="BV507" s="66" t="n">
        <f aca="false">IF(N(Z507)&gt;0,Z507,0)</f>
        <v>0</v>
      </c>
      <c r="BW507" s="60" t="n">
        <f aca="false">IF(ISNUMBER(AC507),1,0)</f>
        <v>0</v>
      </c>
      <c r="BX507" s="57" t="n">
        <f aca="false">N(AC507)</f>
        <v>0</v>
      </c>
      <c r="BY507" s="57" t="n">
        <f aca="false">N(L507)+N(M507)</f>
        <v>17</v>
      </c>
      <c r="BZ507" s="57" t="n">
        <f aca="false">ROUNDUP(G507/BQ507,0)</f>
        <v>0</v>
      </c>
      <c r="CA507" s="57" t="n">
        <f aca="false">ROUNDUP(BX507/BQ507,0)</f>
        <v>0</v>
      </c>
      <c r="CB507" s="60" t="n">
        <f aca="false">IF(BR507=1,0,IFERROR(VLOOKUP(BP507,'Gebinde-Kategorie'!$A$5:$M$45,5,0)+0,0))</f>
        <v>20</v>
      </c>
      <c r="CC507" s="60" t="n">
        <f aca="false">IFERROR(IF(OR(BT507=1,BT507=2,BT507=3),N(INDEX(Parameter!$I$5:$I$7,BT507)),0),0)</f>
        <v>0</v>
      </c>
      <c r="CD507" s="59" t="n">
        <f aca="false">IF(AND(Parameter!$B$21="Ja",ISNUMBER(U507),N(V507)&gt;0),IFERROR(N(INDEX(Parameter!$L$5:$L$7,U507))*INDEX(Parameter!$E$5:$E$7,U507)*V507/SUMIFS($V$7:$V$1576,$U$7:$U$1576,U507),0),0)</f>
        <v>0</v>
      </c>
    </row>
    <row r="508" customFormat="false" ht="15" hidden="false" customHeight="false" outlineLevel="0" collapsed="false">
      <c r="A508" s="55" t="s">
        <v>1101</v>
      </c>
      <c r="B508" s="55" t="s">
        <v>1102</v>
      </c>
      <c r="C508" s="55" t="s">
        <v>160</v>
      </c>
      <c r="D508" s="55" t="s">
        <v>178</v>
      </c>
      <c r="E508" s="55" t="s">
        <v>210</v>
      </c>
      <c r="F508" s="56" t="n">
        <v>34</v>
      </c>
      <c r="G508" s="57" t="n">
        <f aca="false">MAX(0,IF(AND(Parameter!$B$21="Ja",ISNUMBER(W508)),W508,IF(Parameter!$B$20="Jahresanfang 2025 + Export",BJ508+BI508,BI508)))</f>
        <v>1</v>
      </c>
      <c r="H508" s="57" t="n">
        <f aca="false">G508*F508</f>
        <v>34</v>
      </c>
      <c r="I508" s="57" t="n">
        <f aca="false">BL508*Parameter!$B$18</f>
        <v>0</v>
      </c>
      <c r="J508" s="58" t="n">
        <v>1.5</v>
      </c>
      <c r="K508" s="59" t="n">
        <v>0</v>
      </c>
      <c r="L508" s="57" t="n">
        <v>0</v>
      </c>
      <c r="M508" s="57" t="n">
        <v>1</v>
      </c>
      <c r="N508" s="60" t="n">
        <v>63</v>
      </c>
      <c r="O508" s="55" t="s">
        <v>391</v>
      </c>
      <c r="P508" s="57" t="n">
        <v>2</v>
      </c>
      <c r="Q508" s="60" t="n">
        <f aca="false">IF(BR508=1,0,IFERROR(VLOOKUP(BP508,'Gebinde-Kategorie'!$A$5:$M$45,13,0)+0,0))</f>
        <v>414</v>
      </c>
      <c r="R508" s="61"/>
      <c r="S508" s="62"/>
      <c r="T508" s="62"/>
      <c r="U508" s="55"/>
      <c r="V508" s="57"/>
      <c r="W508" s="57"/>
      <c r="X508" s="55" t="n">
        <f aca="false">IF(A508="","",IF(AND(Parameter!$B$21="Ja",ISNUMBER(U508)),U508,IF(IFERROR(VLOOKUP(D508,Parameter!$A$35:$C$64,2,0),"Nein")="2+3",IF(ISNUMBER(SEARCH("grosser Artikel",BM508)),2,IFERROR(VLOOKUP(BP508,Parameter!$F$35:$G$64,2,0),2)),IF(OR(IFERROR(VLOOKUP(D508,Parameter!$A$35:$C$64,2,0),"Nein")="Nein",IFERROR(VLOOKUP(D508,Parameter!$A$35:$C$64,2,0),"Nein")=""),"-",VLOOKUP(D508,Parameter!$A$35:$C$64,2,0)))))</f>
        <v>3</v>
      </c>
      <c r="Y508" s="62"/>
      <c r="Z508" s="63"/>
      <c r="AA508" s="57" t="n">
        <f aca="false">AP508</f>
        <v>2</v>
      </c>
      <c r="AB508" s="57" t="n">
        <f aca="false">MAX(AP508,G508)</f>
        <v>2</v>
      </c>
      <c r="AC508" s="64"/>
      <c r="AD508" s="57" t="n">
        <f aca="false">IF(LEFT(Cockpit!$C$5,1)="A",G508,IF(BW508=1,BX508,IF(LEFT(Cockpit!$C$5,1)="B",AH508,MAX(AH508,G508))))</f>
        <v>1</v>
      </c>
      <c r="AE508" s="57" t="n">
        <f aca="false">IF(BR508=1,0,ROUNDUP(AD508/BQ508,0))</f>
        <v>1</v>
      </c>
      <c r="AF508" s="59" t="n">
        <f aca="false">IF(CD508&gt;0,CD508*MAX(1,AD508/V508),IF(BR508=1,IF(AD508&lt;=0,0,BS508*MAX(1,IF(G508&gt;0,AD508/G508,1))),IF(Q508&gt;0,AE508/Q508,0))/MAX(0.1,N(Parameter!$M$21)))</f>
        <v>0.00241545893719807</v>
      </c>
      <c r="AG508" s="57" t="n">
        <f aca="false">AD508*F508</f>
        <v>34</v>
      </c>
      <c r="AH508" s="57" t="n">
        <f aca="false">ROUNDUP(MAX(I508/IF(BV508&gt;0,BV508,MAX(0.1,N(Cockpit!$C$6))),BY508)/BQ508,0)*BQ508</f>
        <v>2</v>
      </c>
      <c r="AI508" s="58" t="n">
        <f aca="false">IF(AF508&gt;0,I508/AF508,-1)</f>
        <v>0</v>
      </c>
      <c r="AJ508" s="58" t="n">
        <f aca="false">IF(AND(OR(BU508="L1",BU508="L23"),AF508&gt;0),SUMIFS($AF$7:$AF$1576,$BU$7:$BU$1576,BU508,$AI$7:$AI$1576,"&gt;"&amp;AI508)+SUMIFS($AF$7:$AF$1576,$BU$7:$BU$1576,BU508,$AI$7:$AI$1576,AI508,$BO$7:$BO$1576,"&lt;="&amp;BO508),"")</f>
        <v>42.8024330259113</v>
      </c>
      <c r="AK508" s="65" t="n">
        <f aca="false">IF(AJ508="",0,MAX(0,MIN(1,(IF(BU508="L1",Parameter!$E$5,Parameter!$E$6+Parameter!$E$7)-(AJ508-AF508))/AF508)))</f>
        <v>1</v>
      </c>
      <c r="AL508" s="57" t="n">
        <f aca="false">IF(LEFT(Cockpit!$I$5,1)="A",G508,IF(BW508=1,BX508,IF(LEFT(Cockpit!$I$5,1)="B",AP508,MAX(AP508,G508))))</f>
        <v>2</v>
      </c>
      <c r="AM508" s="57" t="n">
        <f aca="false">IF(BR508=1,0,ROUNDUP(AL508/BQ508,0))</f>
        <v>1</v>
      </c>
      <c r="AN508" s="59" t="n">
        <f aca="false">IF(CD508&gt;0,CD508*MAX(1,AL508/V508),IF(BR508=1,IF(AL508&lt;=0,0,BS508*MAX(1,IF(G508&gt;0,AL508/G508,1))),IF(Q508&gt;0,AM508/Q508,0))/MAX(0.1,N(Parameter!$M$21)))</f>
        <v>0.00241545893719807</v>
      </c>
      <c r="AO508" s="57" t="n">
        <f aca="false">AL508*F508</f>
        <v>68</v>
      </c>
      <c r="AP508" s="57" t="n">
        <f aca="false">ROUNDUP(MAX(I508/IF(BV508&gt;0,BV508,MAX(0.1,N(Cockpit!$I$6))),BY508)/BQ508,0)*BQ508</f>
        <v>2</v>
      </c>
      <c r="AQ508" s="58" t="n">
        <f aca="false">IF(AN508&gt;0,I508/AN508,-1)</f>
        <v>0</v>
      </c>
      <c r="AR508" s="58" t="n">
        <f aca="false">IF(AND(OR(BU508="L1",BU508="L23"),AN508&gt;0),SUMIFS($AN$7:$AN$1576,$BU$7:$BU$1576,BU508,$AQ$7:$AQ$1576,"&gt;"&amp;AQ508)+SUMIFS($AN$7:$AN$1576,$BU$7:$BU$1576,BU508,$AQ$7:$AQ$1576,AQ508,$BO$7:$BO$1576,"&lt;="&amp;BO508),"")</f>
        <v>125.79921914443</v>
      </c>
      <c r="AS508" s="65" t="n">
        <f aca="false">IF(AR508="",0,MAX(0,MIN(1,(IF(BU508="L1",Parameter!$E$5,Parameter!$E$6+Parameter!$E$7)-(AR508-AN508))/AN508)))</f>
        <v>0</v>
      </c>
      <c r="AT508" s="57" t="n">
        <f aca="false">IF(LEFT(Cockpit!$O$5,1)="A",G508,IF(BW508=1,BX508,IF(LEFT(Cockpit!$O$5,1)="B",AX508,MAX(AX508,G508))))</f>
        <v>2</v>
      </c>
      <c r="AU508" s="57" t="n">
        <f aca="false">IF(BR508=1,0,ROUNDUP(AT508/BQ508,0))</f>
        <v>1</v>
      </c>
      <c r="AV508" s="59" t="n">
        <f aca="false">IF(CD508&gt;0,CD508*MAX(1,AT508/V508),IF(BR508=1,IF(AT508&lt;=0,0,BS508*MAX(1,IF(G508&gt;0,AT508/G508,1))),IF(Q508&gt;0,AU508/Q508,0))/MAX(0.1,N(Parameter!$M$21)))</f>
        <v>0.00241545893719807</v>
      </c>
      <c r="AW508" s="57" t="n">
        <f aca="false">AT508*F508</f>
        <v>68</v>
      </c>
      <c r="AX508" s="57" t="n">
        <f aca="false">ROUNDUP(MAX(I508/IF(BV508&gt;0,BV508,MAX(0.1,N(Cockpit!$O$6))),BY508)/BQ508,0)*BQ508</f>
        <v>2</v>
      </c>
      <c r="AY508" s="58" t="n">
        <f aca="false">IF(AV508&gt;0,I508/AV508,-1)</f>
        <v>0</v>
      </c>
      <c r="AZ508" s="58" t="n">
        <f aca="false">IF(AND(OR(BU508="L1",BU508="L23"),AV508&gt;0),SUMIFS($AV$7:$AV$1576,$BU$7:$BU$1576,BU508,$AY$7:$AY$1576,"&gt;"&amp;AY508)+SUMIFS($AV$7:$AV$1576,$BU$7:$BU$1576,BU508,$AY$7:$AY$1576,AY508,$BO$7:$BO$1576,"&lt;="&amp;BO508),"")</f>
        <v>115.85876959398</v>
      </c>
      <c r="BA508" s="65" t="n">
        <f aca="false">IF(AZ508="",0,MAX(0,MIN(1,(IF(BU508="L1",Parameter!$E$5,Parameter!$E$6+Parameter!$E$7)-(AZ508-AV508))/AV508)))</f>
        <v>0</v>
      </c>
      <c r="BB508" s="55" t="str">
        <f aca="false">IF(AF508&lt;=0,"",IF(BU508="Aussen","Aussenlager",IF(BU508="-","Nicht im Lift",IF(AK508&gt;=1,"Lift",IF(AK508&lt;=0,"Aussenlager","teilweise")))))</f>
        <v>Lift</v>
      </c>
      <c r="BC508" s="55" t="str">
        <f aca="false">IF(AN508&lt;=0,"",IF(BU508="Aussen","Aussenlager",IF(BU508="-","Nicht im Lift",IF(AS508&gt;=1,"Lift",IF(AS508&lt;=0,"Aussenlager","teilweise")))))</f>
        <v>Aussenlager</v>
      </c>
      <c r="BD508" s="55" t="str">
        <f aca="false">IF(AV508&lt;=0,"",IF(BU508="Aussen","Aussenlager",IF(BU508="-","Nicht im Lift",IF(BA508&gt;=1,"Lift",IF(BA508&lt;=0,"Aussenlager","teilweise")))))</f>
        <v>Aussenlager</v>
      </c>
      <c r="BE508" s="55" t="str">
        <f aca="false">IF(A508="","",IF(BN508=1,"Neu; ","")&amp;IF(AND(BN508=0,BI508&lt;0),"negativer Bestand (Export "&amp;BI508&amp;"); ","")&amp;IF(I508&lt;=0,"Kein Verbrauch; ","")&amp;IF(CD508&gt;0,"Lift "&amp;U508&amp;" lt. Liftbericht (Fach "&amp;V508&amp;" Stk); ",IF(BR508=1,"Lose – Fläche geschätzt; ",""))&amp;IF(G508&gt;AP508,"Überbestand "&amp;ROUND(G508-AP508,0)&amp;" Stk / CHF "&amp;ROUND((G508-AP508)*F508,0)&amp;"; ","")&amp;IF(AND(BW508=1,BX508&lt;BY508),"MAX &lt; MB+LG; ","")&amp;IF(AND(CC508&gt;0,CB508*10&gt;CC508),"zu hoch für Tablar; ","")&amp;IF(AND(BN508=0,OR(BW508=1,Y508&lt;&gt;"",S508&lt;&gt;"",T508&lt;&gt;"",Z508&lt;&gt;"")),"manuell übersteuert; ","")&amp;IF(AND(BR508=0,Q508=0),"Gebinde unbekannt / Stellmass fehlt; ","")&amp;IF(AND(BR508=0,N(T508)&lt;=0,N(P508)&lt;=0),"Menge pro Gebinde fehlt (Ist = 1 Gebinde); ","")&amp;BM508)</f>
        <v>Kein Verbrauch; </v>
      </c>
      <c r="BF508" s="55"/>
      <c r="BG508" s="55"/>
      <c r="BH508" s="62"/>
      <c r="BI508" s="57" t="n">
        <v>1</v>
      </c>
      <c r="BJ508" s="57" t="n">
        <v>1</v>
      </c>
      <c r="BK508" s="56" t="n">
        <v>34</v>
      </c>
      <c r="BL508" s="57" t="n">
        <v>0</v>
      </c>
      <c r="BM508" s="55"/>
      <c r="BN508" s="60" t="n">
        <v>0</v>
      </c>
      <c r="BO508" s="60" t="n">
        <v>508</v>
      </c>
      <c r="BP508" s="55" t="str">
        <f aca="false">IF(S508&lt;&gt;"",UPPER(TRIM(S508)),IF(O508="","LOSE",O508))</f>
        <v>S21</v>
      </c>
      <c r="BQ508" s="57" t="n">
        <f aca="false">IF(BP508="LOSE",1,IF(N(T508)&gt;0,T508,IF(N(P508)&gt;0,P508,MAX(1,G508))))</f>
        <v>2</v>
      </c>
      <c r="BR508" s="60" t="n">
        <f aca="false">IF(BP508="LOSE",1,0)</f>
        <v>0</v>
      </c>
      <c r="BS508" s="59" t="n">
        <f aca="false">IF(BR508=0,0,IF(N(R508)&gt;0,R508,IFERROR(VLOOKUP(D508,Parameter!$A$35:$C$64,3,0)+0,0)))</f>
        <v>0</v>
      </c>
      <c r="BT508" s="55" t="n">
        <f aca="false">IF(Y508&lt;&gt;"",Y508,X508)</f>
        <v>3</v>
      </c>
      <c r="BU508" s="55" t="str">
        <f aca="false">IF(BT508=1,"L1",IF(OR(BT508=2,BT508=3),"L23",IF(BT508="Aussen","Aussen","-")))</f>
        <v>L23</v>
      </c>
      <c r="BV508" s="66" t="n">
        <f aca="false">IF(N(Z508)&gt;0,Z508,0)</f>
        <v>0</v>
      </c>
      <c r="BW508" s="60" t="n">
        <f aca="false">IF(ISNUMBER(AC508),1,0)</f>
        <v>0</v>
      </c>
      <c r="BX508" s="57" t="n">
        <f aca="false">N(AC508)</f>
        <v>0</v>
      </c>
      <c r="BY508" s="57" t="n">
        <f aca="false">N(L508)+N(M508)</f>
        <v>1</v>
      </c>
      <c r="BZ508" s="57" t="n">
        <f aca="false">ROUNDUP(G508/BQ508,0)</f>
        <v>1</v>
      </c>
      <c r="CA508" s="57" t="n">
        <f aca="false">ROUNDUP(BX508/BQ508,0)</f>
        <v>0</v>
      </c>
      <c r="CB508" s="60" t="n">
        <f aca="false">IF(BR508=1,0,IFERROR(VLOOKUP(BP508,'Gebinde-Kategorie'!$A$5:$M$45,5,0)+0,0))</f>
        <v>8</v>
      </c>
      <c r="CC508" s="60" t="n">
        <f aca="false">IFERROR(IF(OR(BT508=1,BT508=2,BT508=3),N(INDEX(Parameter!$I$5:$I$7,BT508)),0),0)</f>
        <v>0</v>
      </c>
      <c r="CD508" s="59" t="n">
        <f aca="false">IF(AND(Parameter!$B$21="Ja",ISNUMBER(U508),N(V508)&gt;0),IFERROR(N(INDEX(Parameter!$L$5:$L$7,U508))*INDEX(Parameter!$E$5:$E$7,U508)*V508/SUMIFS($V$7:$V$1576,$U$7:$U$1576,U508),0),0)</f>
        <v>0</v>
      </c>
    </row>
    <row r="509" customFormat="false" ht="15" hidden="false" customHeight="false" outlineLevel="0" collapsed="false">
      <c r="A509" s="55" t="s">
        <v>1103</v>
      </c>
      <c r="B509" s="55" t="s">
        <v>457</v>
      </c>
      <c r="C509" s="55" t="s">
        <v>160</v>
      </c>
      <c r="D509" s="55" t="s">
        <v>178</v>
      </c>
      <c r="E509" s="55" t="s">
        <v>210</v>
      </c>
      <c r="F509" s="56" t="n">
        <v>0.52</v>
      </c>
      <c r="G509" s="57" t="n">
        <f aca="false">MAX(0,IF(AND(Parameter!$B$21="Ja",ISNUMBER(W509)),W509,IF(Parameter!$B$20="Jahresanfang 2025 + Export",BJ509+BI509,BI509)))</f>
        <v>141</v>
      </c>
      <c r="H509" s="57" t="n">
        <f aca="false">G509*F509</f>
        <v>73.32</v>
      </c>
      <c r="I509" s="57" t="n">
        <f aca="false">BL509*Parameter!$B$18</f>
        <v>688</v>
      </c>
      <c r="J509" s="58" t="n">
        <v>356.5</v>
      </c>
      <c r="K509" s="59" t="n">
        <v>1.92987377279102</v>
      </c>
      <c r="L509" s="57" t="n">
        <v>26</v>
      </c>
      <c r="M509" s="57" t="n">
        <v>690</v>
      </c>
      <c r="N509" s="60" t="n">
        <v>14</v>
      </c>
      <c r="O509" s="55" t="s">
        <v>225</v>
      </c>
      <c r="P509" s="57" t="n">
        <v>865</v>
      </c>
      <c r="Q509" s="60" t="n">
        <f aca="false">IF(BR509=1,0,IFERROR(VLOOKUP(BP509,'Gebinde-Kategorie'!$A$5:$M$45,13,0)+0,0))</f>
        <v>26</v>
      </c>
      <c r="R509" s="61"/>
      <c r="S509" s="62"/>
      <c r="T509" s="62"/>
      <c r="U509" s="55"/>
      <c r="V509" s="57"/>
      <c r="W509" s="57"/>
      <c r="X509" s="55" t="n">
        <f aca="false">IF(A509="","",IF(AND(Parameter!$B$21="Ja",ISNUMBER(U509)),U509,IF(IFERROR(VLOOKUP(D509,Parameter!$A$35:$C$64,2,0),"Nein")="2+3",IF(ISNUMBER(SEARCH("grosser Artikel",BM509)),2,IFERROR(VLOOKUP(BP509,Parameter!$F$35:$G$64,2,0),2)),IF(OR(IFERROR(VLOOKUP(D509,Parameter!$A$35:$C$64,2,0),"Nein")="Nein",IFERROR(VLOOKUP(D509,Parameter!$A$35:$C$64,2,0),"Nein")=""),"-",VLOOKUP(D509,Parameter!$A$35:$C$64,2,0)))))</f>
        <v>3</v>
      </c>
      <c r="Y509" s="62"/>
      <c r="Z509" s="63"/>
      <c r="AA509" s="57" t="n">
        <f aca="false">AP509</f>
        <v>865</v>
      </c>
      <c r="AB509" s="57" t="n">
        <f aca="false">MAX(AP509,G509)</f>
        <v>865</v>
      </c>
      <c r="AC509" s="64"/>
      <c r="AD509" s="57" t="n">
        <f aca="false">IF(LEFT(Cockpit!$C$5,1)="A",G509,IF(BW509=1,BX509,IF(LEFT(Cockpit!$C$5,1)="B",AH509,MAX(AH509,G509))))</f>
        <v>141</v>
      </c>
      <c r="AE509" s="57" t="n">
        <f aca="false">IF(BR509=1,0,ROUNDUP(AD509/BQ509,0))</f>
        <v>1</v>
      </c>
      <c r="AF509" s="59" t="n">
        <f aca="false">IF(CD509&gt;0,CD509*MAX(1,AD509/V509),IF(BR509=1,IF(AD509&lt;=0,0,BS509*MAX(1,IF(G509&gt;0,AD509/G509,1))),IF(Q509&gt;0,AE509/Q509,0))/MAX(0.1,N(Parameter!$M$21)))</f>
        <v>0.0384615384615385</v>
      </c>
      <c r="AG509" s="57" t="n">
        <f aca="false">AD509*F509</f>
        <v>73.32</v>
      </c>
      <c r="AH509" s="57" t="n">
        <f aca="false">ROUNDUP(MAX(I509/IF(BV509&gt;0,BV509,MAX(0.1,N(Cockpit!$C$6))),BY509)/BQ509,0)*BQ509</f>
        <v>865</v>
      </c>
      <c r="AI509" s="58" t="n">
        <f aca="false">IF(AF509&gt;0,I509/AF509,-1)</f>
        <v>17888</v>
      </c>
      <c r="AJ509" s="58" t="n">
        <f aca="false">IF(AND(OR(BU509="L1",BU509="L23"),AF509&gt;0),SUMIFS($AF$7:$AF$1576,$BU$7:$BU$1576,BU509,$AI$7:$AI$1576,"&gt;"&amp;AI509)+SUMIFS($AF$7:$AF$1576,$BU$7:$BU$1576,BU509,$AI$7:$AI$1576,AI509,$BO$7:$BO$1576,"&lt;="&amp;BO509),"")</f>
        <v>2.05071619202054</v>
      </c>
      <c r="AK509" s="65" t="n">
        <f aca="false">IF(AJ509="",0,MAX(0,MIN(1,(IF(BU509="L1",Parameter!$E$5,Parameter!$E$6+Parameter!$E$7)-(AJ509-AF509))/AF509)))</f>
        <v>1</v>
      </c>
      <c r="AL509" s="57" t="n">
        <f aca="false">IF(LEFT(Cockpit!$I$5,1)="A",G509,IF(BW509=1,BX509,IF(LEFT(Cockpit!$I$5,1)="B",AP509,MAX(AP509,G509))))</f>
        <v>865</v>
      </c>
      <c r="AM509" s="57" t="n">
        <f aca="false">IF(BR509=1,0,ROUNDUP(AL509/BQ509,0))</f>
        <v>1</v>
      </c>
      <c r="AN509" s="59" t="n">
        <f aca="false">IF(CD509&gt;0,CD509*MAX(1,AL509/V509),IF(BR509=1,IF(AL509&lt;=0,0,BS509*MAX(1,IF(G509&gt;0,AL509/G509,1))),IF(Q509&gt;0,AM509/Q509,0))/MAX(0.1,N(Parameter!$M$21)))</f>
        <v>0.0384615384615385</v>
      </c>
      <c r="AO509" s="57" t="n">
        <f aca="false">AL509*F509</f>
        <v>449.8</v>
      </c>
      <c r="AP509" s="57" t="n">
        <f aca="false">ROUNDUP(MAX(I509/IF(BV509&gt;0,BV509,MAX(0.1,N(Cockpit!$I$6))),BY509)/BQ509,0)*BQ509</f>
        <v>865</v>
      </c>
      <c r="AQ509" s="58" t="n">
        <f aca="false">IF(AN509&gt;0,I509/AN509,-1)</f>
        <v>17888</v>
      </c>
      <c r="AR509" s="58" t="n">
        <f aca="false">IF(AND(OR(BU509="L1",BU509="L23"),AN509&gt;0),SUMIFS($AN$7:$AN$1576,$BU$7:$BU$1576,BU509,$AQ$7:$AQ$1576,"&gt;"&amp;AQ509)+SUMIFS($AN$7:$AN$1576,$BU$7:$BU$1576,BU509,$AQ$7:$AQ$1576,AQ509,$BO$7:$BO$1576,"&lt;="&amp;BO509),"")</f>
        <v>4.31760886456539</v>
      </c>
      <c r="AS509" s="65" t="n">
        <f aca="false">IF(AR509="",0,MAX(0,MIN(1,(IF(BU509="L1",Parameter!$E$5,Parameter!$E$6+Parameter!$E$7)-(AR509-AN509))/AN509)))</f>
        <v>1</v>
      </c>
      <c r="AT509" s="57" t="n">
        <f aca="false">IF(LEFT(Cockpit!$O$5,1)="A",G509,IF(BW509=1,BX509,IF(LEFT(Cockpit!$O$5,1)="B",AX509,MAX(AX509,G509))))</f>
        <v>865</v>
      </c>
      <c r="AU509" s="57" t="n">
        <f aca="false">IF(BR509=1,0,ROUNDUP(AT509/BQ509,0))</f>
        <v>1</v>
      </c>
      <c r="AV509" s="59" t="n">
        <f aca="false">IF(CD509&gt;0,CD509*MAX(1,AT509/V509),IF(BR509=1,IF(AT509&lt;=0,0,BS509*MAX(1,IF(G509&gt;0,AT509/G509,1))),IF(Q509&gt;0,AU509/Q509,0))/MAX(0.1,N(Parameter!$M$21)))</f>
        <v>0.0384615384615385</v>
      </c>
      <c r="AW509" s="57" t="n">
        <f aca="false">AT509*F509</f>
        <v>449.8</v>
      </c>
      <c r="AX509" s="57" t="n">
        <f aca="false">ROUNDUP(MAX(I509/IF(BV509&gt;0,BV509,MAX(0.1,N(Cockpit!$O$6))),BY509)/BQ509,0)*BQ509</f>
        <v>865</v>
      </c>
      <c r="AY509" s="58" t="n">
        <f aca="false">IF(AV509&gt;0,I509/AV509,-1)</f>
        <v>17888</v>
      </c>
      <c r="AZ509" s="58" t="n">
        <f aca="false">IF(AND(OR(BU509="L1",BU509="L23"),AV509&gt;0),SUMIFS($AV$7:$AV$1576,$BU$7:$BU$1576,BU509,$AY$7:$AY$1576,"&gt;"&amp;AY509)+SUMIFS($AV$7:$AV$1576,$BU$7:$BU$1576,BU509,$AY$7:$AY$1576,AY509,$BO$7:$BO$1576,"&lt;="&amp;BO509),"")</f>
        <v>4.66026620722273</v>
      </c>
      <c r="BA509" s="65" t="n">
        <f aca="false">IF(AZ509="",0,MAX(0,MIN(1,(IF(BU509="L1",Parameter!$E$5,Parameter!$E$6+Parameter!$E$7)-(AZ509-AV509))/AV509)))</f>
        <v>1</v>
      </c>
      <c r="BB509" s="55" t="str">
        <f aca="false">IF(AF509&lt;=0,"",IF(BU509="Aussen","Aussenlager",IF(BU509="-","Nicht im Lift",IF(AK509&gt;=1,"Lift",IF(AK509&lt;=0,"Aussenlager","teilweise")))))</f>
        <v>Lift</v>
      </c>
      <c r="BC509" s="55" t="str">
        <f aca="false">IF(AN509&lt;=0,"",IF(BU509="Aussen","Aussenlager",IF(BU509="-","Nicht im Lift",IF(AS509&gt;=1,"Lift",IF(AS509&lt;=0,"Aussenlager","teilweise")))))</f>
        <v>Lift</v>
      </c>
      <c r="BD509" s="55" t="str">
        <f aca="false">IF(AV509&lt;=0,"",IF(BU509="Aussen","Aussenlager",IF(BU509="-","Nicht im Lift",IF(BA509&gt;=1,"Lift",IF(BA509&lt;=0,"Aussenlager","teilweise")))))</f>
        <v>Lift</v>
      </c>
      <c r="BE509" s="55" t="str">
        <f aca="false">IF(A509="","",IF(BN509=1,"Neu; ","")&amp;IF(AND(BN509=0,BI509&lt;0),"negativer Bestand (Export "&amp;BI509&amp;"); ","")&amp;IF(I509&lt;=0,"Kein Verbrauch; ","")&amp;IF(CD509&gt;0,"Lift "&amp;U509&amp;" lt. Liftbericht (Fach "&amp;V509&amp;" Stk); ",IF(BR509=1,"Lose – Fläche geschätzt; ",""))&amp;IF(G509&gt;AP509,"Überbestand "&amp;ROUND(G509-AP509,0)&amp;" Stk / CHF "&amp;ROUND((G509-AP509)*F509,0)&amp;"; ","")&amp;IF(AND(BW509=1,BX509&lt;BY509),"MAX &lt; MB+LG; ","")&amp;IF(AND(CC509&gt;0,CB509*10&gt;CC509),"zu hoch für Tablar; ","")&amp;IF(AND(BN509=0,OR(BW509=1,Y509&lt;&gt;"",S509&lt;&gt;"",T509&lt;&gt;"",Z509&lt;&gt;"")),"manuell übersteuert; ","")&amp;IF(AND(BR509=0,Q509=0),"Gebinde unbekannt / Stellmass fehlt; ","")&amp;IF(AND(BR509=0,N(T509)&lt;=0,N(P509)&lt;=0),"Menge pro Gebinde fehlt (Ist = 1 Gebinde); ","")&amp;BM509)</f>
        <v/>
      </c>
      <c r="BF509" s="55"/>
      <c r="BG509" s="55"/>
      <c r="BH509" s="62"/>
      <c r="BI509" s="57" t="n">
        <v>141</v>
      </c>
      <c r="BJ509" s="57" t="n">
        <v>366</v>
      </c>
      <c r="BK509" s="56" t="n">
        <v>33.8299999999996</v>
      </c>
      <c r="BL509" s="57" t="n">
        <v>688</v>
      </c>
      <c r="BM509" s="55"/>
      <c r="BN509" s="60" t="n">
        <v>0</v>
      </c>
      <c r="BO509" s="60" t="n">
        <v>509</v>
      </c>
      <c r="BP509" s="55" t="str">
        <f aca="false">IF(S509&lt;&gt;"",UPPER(TRIM(S509)),IF(O509="","LOSE",O509))</f>
        <v>S52</v>
      </c>
      <c r="BQ509" s="57" t="n">
        <f aca="false">IF(BP509="LOSE",1,IF(N(T509)&gt;0,T509,IF(N(P509)&gt;0,P509,MAX(1,G509))))</f>
        <v>865</v>
      </c>
      <c r="BR509" s="60" t="n">
        <f aca="false">IF(BP509="LOSE",1,0)</f>
        <v>0</v>
      </c>
      <c r="BS509" s="59" t="n">
        <f aca="false">IF(BR509=0,0,IF(N(R509)&gt;0,R509,IFERROR(VLOOKUP(D509,Parameter!$A$35:$C$64,3,0)+0,0)))</f>
        <v>0</v>
      </c>
      <c r="BT509" s="55" t="n">
        <f aca="false">IF(Y509&lt;&gt;"",Y509,X509)</f>
        <v>3</v>
      </c>
      <c r="BU509" s="55" t="str">
        <f aca="false">IF(BT509=1,"L1",IF(OR(BT509=2,BT509=3),"L23",IF(BT509="Aussen","Aussen","-")))</f>
        <v>L23</v>
      </c>
      <c r="BV509" s="66" t="n">
        <f aca="false">IF(N(Z509)&gt;0,Z509,0)</f>
        <v>0</v>
      </c>
      <c r="BW509" s="60" t="n">
        <f aca="false">IF(ISNUMBER(AC509),1,0)</f>
        <v>0</v>
      </c>
      <c r="BX509" s="57" t="n">
        <f aca="false">N(AC509)</f>
        <v>0</v>
      </c>
      <c r="BY509" s="57" t="n">
        <f aca="false">N(L509)+N(M509)</f>
        <v>716</v>
      </c>
      <c r="BZ509" s="57" t="n">
        <f aca="false">ROUNDUP(G509/BQ509,0)</f>
        <v>1</v>
      </c>
      <c r="CA509" s="57" t="n">
        <f aca="false">ROUNDUP(BX509/BQ509,0)</f>
        <v>0</v>
      </c>
      <c r="CB509" s="60" t="n">
        <f aca="false">IF(BR509=1,0,IFERROR(VLOOKUP(BP509,'Gebinde-Kategorie'!$A$5:$M$45,5,0)+0,0))</f>
        <v>21</v>
      </c>
      <c r="CC509" s="60" t="n">
        <f aca="false">IFERROR(IF(OR(BT509=1,BT509=2,BT509=3),N(INDEX(Parameter!$I$5:$I$7,BT509)),0),0)</f>
        <v>0</v>
      </c>
      <c r="CD509" s="59" t="n">
        <f aca="false">IF(AND(Parameter!$B$21="Ja",ISNUMBER(U509),N(V509)&gt;0),IFERROR(N(INDEX(Parameter!$L$5:$L$7,U509))*INDEX(Parameter!$E$5:$E$7,U509)*V509/SUMIFS($V$7:$V$1576,$U$7:$U$1576,U509),0),0)</f>
        <v>0</v>
      </c>
    </row>
    <row r="510" customFormat="false" ht="15" hidden="false" customHeight="false" outlineLevel="0" collapsed="false">
      <c r="A510" s="55" t="s">
        <v>1104</v>
      </c>
      <c r="B510" s="55" t="s">
        <v>578</v>
      </c>
      <c r="C510" s="55" t="s">
        <v>160</v>
      </c>
      <c r="D510" s="55" t="s">
        <v>178</v>
      </c>
      <c r="E510" s="55" t="s">
        <v>210</v>
      </c>
      <c r="F510" s="56" t="n">
        <v>2.6</v>
      </c>
      <c r="G510" s="57" t="n">
        <f aca="false">MAX(0,IF(AND(Parameter!$B$21="Ja",ISNUMBER(W510)),W510,IF(Parameter!$B$20="Jahresanfang 2025 + Export",BJ510+BI510,BI510)))</f>
        <v>13</v>
      </c>
      <c r="H510" s="57" t="n">
        <f aca="false">G510*F510</f>
        <v>33.8</v>
      </c>
      <c r="I510" s="57" t="n">
        <f aca="false">BL510*Parameter!$B$18</f>
        <v>1</v>
      </c>
      <c r="J510" s="58" t="n">
        <v>9.5</v>
      </c>
      <c r="K510" s="59" t="n">
        <v>0.105263157894737</v>
      </c>
      <c r="L510" s="57" t="n">
        <v>0</v>
      </c>
      <c r="M510" s="57" t="n">
        <v>1</v>
      </c>
      <c r="N510" s="60" t="n">
        <v>14</v>
      </c>
      <c r="O510" s="55" t="s">
        <v>391</v>
      </c>
      <c r="P510" s="57" t="n">
        <v>20</v>
      </c>
      <c r="Q510" s="60" t="n">
        <f aca="false">IF(BR510=1,0,IFERROR(VLOOKUP(BP510,'Gebinde-Kategorie'!$A$5:$M$45,13,0)+0,0))</f>
        <v>414</v>
      </c>
      <c r="R510" s="61"/>
      <c r="S510" s="62"/>
      <c r="T510" s="62"/>
      <c r="U510" s="55"/>
      <c r="V510" s="57"/>
      <c r="W510" s="57"/>
      <c r="X510" s="55" t="n">
        <f aca="false">IF(A510="","",IF(AND(Parameter!$B$21="Ja",ISNUMBER(U510)),U510,IF(IFERROR(VLOOKUP(D510,Parameter!$A$35:$C$64,2,0),"Nein")="2+3",IF(ISNUMBER(SEARCH("grosser Artikel",BM510)),2,IFERROR(VLOOKUP(BP510,Parameter!$F$35:$G$64,2,0),2)),IF(OR(IFERROR(VLOOKUP(D510,Parameter!$A$35:$C$64,2,0),"Nein")="Nein",IFERROR(VLOOKUP(D510,Parameter!$A$35:$C$64,2,0),"Nein")=""),"-",VLOOKUP(D510,Parameter!$A$35:$C$64,2,0)))))</f>
        <v>3</v>
      </c>
      <c r="Y510" s="62"/>
      <c r="Z510" s="63"/>
      <c r="AA510" s="57" t="n">
        <f aca="false">AP510</f>
        <v>20</v>
      </c>
      <c r="AB510" s="57" t="n">
        <f aca="false">MAX(AP510,G510)</f>
        <v>20</v>
      </c>
      <c r="AC510" s="64"/>
      <c r="AD510" s="57" t="n">
        <f aca="false">IF(LEFT(Cockpit!$C$5,1)="A",G510,IF(BW510=1,BX510,IF(LEFT(Cockpit!$C$5,1)="B",AH510,MAX(AH510,G510))))</f>
        <v>13</v>
      </c>
      <c r="AE510" s="57" t="n">
        <f aca="false">IF(BR510=1,0,ROUNDUP(AD510/BQ510,0))</f>
        <v>1</v>
      </c>
      <c r="AF510" s="59" t="n">
        <f aca="false">IF(CD510&gt;0,CD510*MAX(1,AD510/V510),IF(BR510=1,IF(AD510&lt;=0,0,BS510*MAX(1,IF(G510&gt;0,AD510/G510,1))),IF(Q510&gt;0,AE510/Q510,0))/MAX(0.1,N(Parameter!$M$21)))</f>
        <v>0.00241545893719807</v>
      </c>
      <c r="AG510" s="57" t="n">
        <f aca="false">AD510*F510</f>
        <v>33.8</v>
      </c>
      <c r="AH510" s="57" t="n">
        <f aca="false">ROUNDUP(MAX(I510/IF(BV510&gt;0,BV510,MAX(0.1,N(Cockpit!$C$6))),BY510)/BQ510,0)*BQ510</f>
        <v>20</v>
      </c>
      <c r="AI510" s="58" t="n">
        <f aca="false">IF(AF510&gt;0,I510/AF510,-1)</f>
        <v>414</v>
      </c>
      <c r="AJ510" s="58" t="n">
        <f aca="false">IF(AND(OR(BU510="L1",BU510="L23"),AF510&gt;0),SUMIFS($AF$7:$AF$1576,$BU$7:$BU$1576,BU510,$AI$7:$AI$1576,"&gt;"&amp;AI510)+SUMIFS($AF$7:$AF$1576,$BU$7:$BU$1576,BU510,$AI$7:$AI$1576,AI510,$BO$7:$BO$1576,"&lt;="&amp;BO510),"")</f>
        <v>13.2287824735651</v>
      </c>
      <c r="AK510" s="65" t="n">
        <f aca="false">IF(AJ510="",0,MAX(0,MIN(1,(IF(BU510="L1",Parameter!$E$5,Parameter!$E$6+Parameter!$E$7)-(AJ510-AF510))/AF510)))</f>
        <v>1</v>
      </c>
      <c r="AL510" s="57" t="n">
        <f aca="false">IF(LEFT(Cockpit!$I$5,1)="A",G510,IF(BW510=1,BX510,IF(LEFT(Cockpit!$I$5,1)="B",AP510,MAX(AP510,G510))))</f>
        <v>20</v>
      </c>
      <c r="AM510" s="57" t="n">
        <f aca="false">IF(BR510=1,0,ROUNDUP(AL510/BQ510,0))</f>
        <v>1</v>
      </c>
      <c r="AN510" s="59" t="n">
        <f aca="false">IF(CD510&gt;0,CD510*MAX(1,AL510/V510),IF(BR510=1,IF(AL510&lt;=0,0,BS510*MAX(1,IF(G510&gt;0,AL510/G510,1))),IF(Q510&gt;0,AM510/Q510,0))/MAX(0.1,N(Parameter!$M$21)))</f>
        <v>0.00241545893719807</v>
      </c>
      <c r="AO510" s="57" t="n">
        <f aca="false">AL510*F510</f>
        <v>52</v>
      </c>
      <c r="AP510" s="57" t="n">
        <f aca="false">ROUNDUP(MAX(I510/IF(BV510&gt;0,BV510,MAX(0.1,N(Cockpit!$I$6))),BY510)/BQ510,0)*BQ510</f>
        <v>20</v>
      </c>
      <c r="AQ510" s="58" t="n">
        <f aca="false">IF(AN510&gt;0,I510/AN510,-1)</f>
        <v>414</v>
      </c>
      <c r="AR510" s="58" t="n">
        <f aca="false">IF(AND(OR(BU510="L1",BU510="L23"),AN510&gt;0),SUMIFS($AN$7:$AN$1576,$BU$7:$BU$1576,BU510,$AQ$7:$AQ$1576,"&gt;"&amp;AQ510)+SUMIFS($AN$7:$AN$1576,$BU$7:$BU$1576,BU510,$AQ$7:$AQ$1576,AQ510,$BO$7:$BO$1576,"&lt;="&amp;BO510),"")</f>
        <v>36.4318829121115</v>
      </c>
      <c r="AS510" s="65" t="n">
        <f aca="false">IF(AR510="",0,MAX(0,MIN(1,(IF(BU510="L1",Parameter!$E$5,Parameter!$E$6+Parameter!$E$7)-(AR510-AN510))/AN510)))</f>
        <v>1</v>
      </c>
      <c r="AT510" s="57" t="n">
        <f aca="false">IF(LEFT(Cockpit!$O$5,1)="A",G510,IF(BW510=1,BX510,IF(LEFT(Cockpit!$O$5,1)="B",AX510,MAX(AX510,G510))))</f>
        <v>20</v>
      </c>
      <c r="AU510" s="57" t="n">
        <f aca="false">IF(BR510=1,0,ROUNDUP(AT510/BQ510,0))</f>
        <v>1</v>
      </c>
      <c r="AV510" s="59" t="n">
        <f aca="false">IF(CD510&gt;0,CD510*MAX(1,AT510/V510),IF(BR510=1,IF(AT510&lt;=0,0,BS510*MAX(1,IF(G510&gt;0,AT510/G510,1))),IF(Q510&gt;0,AU510/Q510,0))/MAX(0.1,N(Parameter!$M$21)))</f>
        <v>0.00241545893719807</v>
      </c>
      <c r="AW510" s="57" t="n">
        <f aca="false">AT510*F510</f>
        <v>52</v>
      </c>
      <c r="AX510" s="57" t="n">
        <f aca="false">ROUNDUP(MAX(I510/IF(BV510&gt;0,BV510,MAX(0.1,N(Cockpit!$O$6))),BY510)/BQ510,0)*BQ510</f>
        <v>20</v>
      </c>
      <c r="AY510" s="58" t="n">
        <f aca="false">IF(AV510&gt;0,I510/AV510,-1)</f>
        <v>414</v>
      </c>
      <c r="AZ510" s="58" t="n">
        <f aca="false">IF(AND(OR(BU510="L1",BU510="L23"),AV510&gt;0),SUMIFS($AV$7:$AV$1576,$BU$7:$BU$1576,BU510,$AY$7:$AY$1576,"&gt;"&amp;AY510)+SUMIFS($AV$7:$AV$1576,$BU$7:$BU$1576,BU510,$AY$7:$AY$1576,AY510,$BO$7:$BO$1576,"&lt;="&amp;BO510),"")</f>
        <v>35.5966281668567</v>
      </c>
      <c r="BA510" s="65" t="n">
        <f aca="false">IF(AZ510="",0,MAX(0,MIN(1,(IF(BU510="L1",Parameter!$E$5,Parameter!$E$6+Parameter!$E$7)-(AZ510-AV510))/AV510)))</f>
        <v>1</v>
      </c>
      <c r="BB510" s="55" t="str">
        <f aca="false">IF(AF510&lt;=0,"",IF(BU510="Aussen","Aussenlager",IF(BU510="-","Nicht im Lift",IF(AK510&gt;=1,"Lift",IF(AK510&lt;=0,"Aussenlager","teilweise")))))</f>
        <v>Lift</v>
      </c>
      <c r="BC510" s="55" t="str">
        <f aca="false">IF(AN510&lt;=0,"",IF(BU510="Aussen","Aussenlager",IF(BU510="-","Nicht im Lift",IF(AS510&gt;=1,"Lift",IF(AS510&lt;=0,"Aussenlager","teilweise")))))</f>
        <v>Lift</v>
      </c>
      <c r="BD510" s="55" t="str">
        <f aca="false">IF(AV510&lt;=0,"",IF(BU510="Aussen","Aussenlager",IF(BU510="-","Nicht im Lift",IF(BA510&gt;=1,"Lift",IF(BA510&lt;=0,"Aussenlager","teilweise")))))</f>
        <v>Lift</v>
      </c>
      <c r="BE510" s="55" t="str">
        <f aca="false">IF(A510="","",IF(BN510=1,"Neu; ","")&amp;IF(AND(BN510=0,BI510&lt;0),"negativer Bestand (Export "&amp;BI510&amp;"); ","")&amp;IF(I510&lt;=0,"Kein Verbrauch; ","")&amp;IF(CD510&gt;0,"Lift "&amp;U510&amp;" lt. Liftbericht (Fach "&amp;V510&amp;" Stk); ",IF(BR510=1,"Lose – Fläche geschätzt; ",""))&amp;IF(G510&gt;AP510,"Überbestand "&amp;ROUND(G510-AP510,0)&amp;" Stk / CHF "&amp;ROUND((G510-AP510)*F510,0)&amp;"; ","")&amp;IF(AND(BW510=1,BX510&lt;BY510),"MAX &lt; MB+LG; ","")&amp;IF(AND(CC510&gt;0,CB510*10&gt;CC510),"zu hoch für Tablar; ","")&amp;IF(AND(BN510=0,OR(BW510=1,Y510&lt;&gt;"",S510&lt;&gt;"",T510&lt;&gt;"",Z510&lt;&gt;"")),"manuell übersteuert; ","")&amp;IF(AND(BR510=0,Q510=0),"Gebinde unbekannt / Stellmass fehlt; ","")&amp;IF(AND(BR510=0,N(T510)&lt;=0,N(P510)&lt;=0),"Menge pro Gebinde fehlt (Ist = 1 Gebinde); ","")&amp;BM510)</f>
        <v/>
      </c>
      <c r="BF510" s="55"/>
      <c r="BG510" s="55"/>
      <c r="BH510" s="62"/>
      <c r="BI510" s="57" t="n">
        <v>13</v>
      </c>
      <c r="BJ510" s="57" t="n">
        <v>0</v>
      </c>
      <c r="BK510" s="56" t="n">
        <v>33.8</v>
      </c>
      <c r="BL510" s="57" t="n">
        <v>1</v>
      </c>
      <c r="BM510" s="55"/>
      <c r="BN510" s="60" t="n">
        <v>0</v>
      </c>
      <c r="BO510" s="60" t="n">
        <v>510</v>
      </c>
      <c r="BP510" s="55" t="str">
        <f aca="false">IF(S510&lt;&gt;"",UPPER(TRIM(S510)),IF(O510="","LOSE",O510))</f>
        <v>S21</v>
      </c>
      <c r="BQ510" s="57" t="n">
        <f aca="false">IF(BP510="LOSE",1,IF(N(T510)&gt;0,T510,IF(N(P510)&gt;0,P510,MAX(1,G510))))</f>
        <v>20</v>
      </c>
      <c r="BR510" s="60" t="n">
        <f aca="false">IF(BP510="LOSE",1,0)</f>
        <v>0</v>
      </c>
      <c r="BS510" s="59" t="n">
        <f aca="false">IF(BR510=0,0,IF(N(R510)&gt;0,R510,IFERROR(VLOOKUP(D510,Parameter!$A$35:$C$64,3,0)+0,0)))</f>
        <v>0</v>
      </c>
      <c r="BT510" s="55" t="n">
        <f aca="false">IF(Y510&lt;&gt;"",Y510,X510)</f>
        <v>3</v>
      </c>
      <c r="BU510" s="55" t="str">
        <f aca="false">IF(BT510=1,"L1",IF(OR(BT510=2,BT510=3),"L23",IF(BT510="Aussen","Aussen","-")))</f>
        <v>L23</v>
      </c>
      <c r="BV510" s="66" t="n">
        <f aca="false">IF(N(Z510)&gt;0,Z510,0)</f>
        <v>0</v>
      </c>
      <c r="BW510" s="60" t="n">
        <f aca="false">IF(ISNUMBER(AC510),1,0)</f>
        <v>0</v>
      </c>
      <c r="BX510" s="57" t="n">
        <f aca="false">N(AC510)</f>
        <v>0</v>
      </c>
      <c r="BY510" s="57" t="n">
        <f aca="false">N(L510)+N(M510)</f>
        <v>1</v>
      </c>
      <c r="BZ510" s="57" t="n">
        <f aca="false">ROUNDUP(G510/BQ510,0)</f>
        <v>1</v>
      </c>
      <c r="CA510" s="57" t="n">
        <f aca="false">ROUNDUP(BX510/BQ510,0)</f>
        <v>0</v>
      </c>
      <c r="CB510" s="60" t="n">
        <f aca="false">IF(BR510=1,0,IFERROR(VLOOKUP(BP510,'Gebinde-Kategorie'!$A$5:$M$45,5,0)+0,0))</f>
        <v>8</v>
      </c>
      <c r="CC510" s="60" t="n">
        <f aca="false">IFERROR(IF(OR(BT510=1,BT510=2,BT510=3),N(INDEX(Parameter!$I$5:$I$7,BT510)),0),0)</f>
        <v>0</v>
      </c>
      <c r="CD510" s="59" t="n">
        <f aca="false">IF(AND(Parameter!$B$21="Ja",ISNUMBER(U510),N(V510)&gt;0),IFERROR(N(INDEX(Parameter!$L$5:$L$7,U510))*INDEX(Parameter!$E$5:$E$7,U510)*V510/SUMIFS($V$7:$V$1576,$U$7:$U$1576,U510),0),0)</f>
        <v>0</v>
      </c>
    </row>
    <row r="511" customFormat="false" ht="15" hidden="false" customHeight="false" outlineLevel="0" collapsed="false">
      <c r="A511" s="55" t="s">
        <v>1105</v>
      </c>
      <c r="B511" s="55" t="s">
        <v>478</v>
      </c>
      <c r="C511" s="55" t="s">
        <v>160</v>
      </c>
      <c r="D511" s="55" t="s">
        <v>178</v>
      </c>
      <c r="E511" s="55" t="s">
        <v>210</v>
      </c>
      <c r="F511" s="56" t="n">
        <v>18.95</v>
      </c>
      <c r="G511" s="57" t="n">
        <f aca="false">MAX(0,IF(AND(Parameter!$B$21="Ja",ISNUMBER(W511)),W511,IF(Parameter!$B$20="Jahresanfang 2025 + Export",BJ511+BI511,BI511)))</f>
        <v>5</v>
      </c>
      <c r="H511" s="57" t="n">
        <f aca="false">G511*F511</f>
        <v>94.75</v>
      </c>
      <c r="I511" s="57" t="n">
        <f aca="false">BL511*Parameter!$B$18</f>
        <v>286</v>
      </c>
      <c r="J511" s="58" t="n">
        <v>72.5</v>
      </c>
      <c r="K511" s="59" t="n">
        <v>3.9448275862069</v>
      </c>
      <c r="L511" s="57" t="n">
        <v>5</v>
      </c>
      <c r="M511" s="57" t="n">
        <v>185</v>
      </c>
      <c r="N511" s="60" t="n">
        <v>7</v>
      </c>
      <c r="O511" s="55" t="s">
        <v>293</v>
      </c>
      <c r="P511" s="57" t="n">
        <v>255</v>
      </c>
      <c r="Q511" s="60" t="n">
        <f aca="false">IF(BR511=1,0,IFERROR(VLOOKUP(BP511,'Gebinde-Kategorie'!$A$5:$M$45,13,0)+0,0))</f>
        <v>26</v>
      </c>
      <c r="R511" s="61"/>
      <c r="S511" s="62"/>
      <c r="T511" s="62"/>
      <c r="U511" s="55"/>
      <c r="V511" s="57"/>
      <c r="W511" s="57"/>
      <c r="X511" s="55" t="n">
        <f aca="false">IF(A511="","",IF(AND(Parameter!$B$21="Ja",ISNUMBER(U511)),U511,IF(IFERROR(VLOOKUP(D511,Parameter!$A$35:$C$64,2,0),"Nein")="2+3",IF(ISNUMBER(SEARCH("grosser Artikel",BM511)),2,IFERROR(VLOOKUP(BP511,Parameter!$F$35:$G$64,2,0),2)),IF(OR(IFERROR(VLOOKUP(D511,Parameter!$A$35:$C$64,2,0),"Nein")="Nein",IFERROR(VLOOKUP(D511,Parameter!$A$35:$C$64,2,0),"Nein")=""),"-",VLOOKUP(D511,Parameter!$A$35:$C$64,2,0)))))</f>
        <v>3</v>
      </c>
      <c r="Y511" s="62"/>
      <c r="Z511" s="63"/>
      <c r="AA511" s="57" t="n">
        <f aca="false">AP511</f>
        <v>255</v>
      </c>
      <c r="AB511" s="57" t="n">
        <f aca="false">MAX(AP511,G511)</f>
        <v>255</v>
      </c>
      <c r="AC511" s="64"/>
      <c r="AD511" s="57" t="n">
        <f aca="false">IF(LEFT(Cockpit!$C$5,1)="A",G511,IF(BW511=1,BX511,IF(LEFT(Cockpit!$C$5,1)="B",AH511,MAX(AH511,G511))))</f>
        <v>5</v>
      </c>
      <c r="AE511" s="57" t="n">
        <f aca="false">IF(BR511=1,0,ROUNDUP(AD511/BQ511,0))</f>
        <v>1</v>
      </c>
      <c r="AF511" s="59" t="n">
        <f aca="false">IF(CD511&gt;0,CD511*MAX(1,AD511/V511),IF(BR511=1,IF(AD511&lt;=0,0,BS511*MAX(1,IF(G511&gt;0,AD511/G511,1))),IF(Q511&gt;0,AE511/Q511,0))/MAX(0.1,N(Parameter!$M$21)))</f>
        <v>0.0384615384615385</v>
      </c>
      <c r="AG511" s="57" t="n">
        <f aca="false">AD511*F511</f>
        <v>94.75</v>
      </c>
      <c r="AH511" s="57" t="n">
        <f aca="false">ROUNDUP(MAX(I511/IF(BV511&gt;0,BV511,MAX(0.1,N(Cockpit!$C$6))),BY511)/BQ511,0)*BQ511</f>
        <v>255</v>
      </c>
      <c r="AI511" s="58" t="n">
        <f aca="false">IF(AF511&gt;0,I511/AF511,-1)</f>
        <v>7436</v>
      </c>
      <c r="AJ511" s="58" t="n">
        <f aca="false">IF(AND(OR(BU511="L1",BU511="L23"),AF511&gt;0),SUMIFS($AF$7:$AF$1576,$BU$7:$BU$1576,BU511,$AI$7:$AI$1576,"&gt;"&amp;AI511)+SUMIFS($AF$7:$AF$1576,$BU$7:$BU$1576,BU511,$AI$7:$AI$1576,AI511,$BO$7:$BO$1576,"&lt;="&amp;BO511),"")</f>
        <v>3.09842572886051</v>
      </c>
      <c r="AK511" s="65" t="n">
        <f aca="false">IF(AJ511="",0,MAX(0,MIN(1,(IF(BU511="L1",Parameter!$E$5,Parameter!$E$6+Parameter!$E$7)-(AJ511-AF511))/AF511)))</f>
        <v>1</v>
      </c>
      <c r="AL511" s="57" t="n">
        <f aca="false">IF(LEFT(Cockpit!$I$5,1)="A",G511,IF(BW511=1,BX511,IF(LEFT(Cockpit!$I$5,1)="B",AP511,MAX(AP511,G511))))</f>
        <v>255</v>
      </c>
      <c r="AM511" s="57" t="n">
        <f aca="false">IF(BR511=1,0,ROUNDUP(AL511/BQ511,0))</f>
        <v>1</v>
      </c>
      <c r="AN511" s="59" t="n">
        <f aca="false">IF(CD511&gt;0,CD511*MAX(1,AL511/V511),IF(BR511=1,IF(AL511&lt;=0,0,BS511*MAX(1,IF(G511&gt;0,AL511/G511,1))),IF(Q511&gt;0,AM511/Q511,0))/MAX(0.1,N(Parameter!$M$21)))</f>
        <v>0.0384615384615385</v>
      </c>
      <c r="AO511" s="57" t="n">
        <f aca="false">AL511*F511</f>
        <v>4832.25</v>
      </c>
      <c r="AP511" s="57" t="n">
        <f aca="false">ROUNDUP(MAX(I511/IF(BV511&gt;0,BV511,MAX(0.1,N(Cockpit!$I$6))),BY511)/BQ511,0)*BQ511</f>
        <v>255</v>
      </c>
      <c r="AQ511" s="58" t="n">
        <f aca="false">IF(AN511&gt;0,I511/AN511,-1)</f>
        <v>7436</v>
      </c>
      <c r="AR511" s="58" t="n">
        <f aca="false">IF(AND(OR(BU511="L1",BU511="L23"),AN511&gt;0),SUMIFS($AN$7:$AN$1576,$BU$7:$BU$1576,BU511,$AQ$7:$AQ$1576,"&gt;"&amp;AQ511)+SUMIFS($AN$7:$AN$1576,$BU$7:$BU$1576,BU511,$AQ$7:$AQ$1576,AQ511,$BO$7:$BO$1576,"&lt;="&amp;BO511),"")</f>
        <v>8.04886051146921</v>
      </c>
      <c r="AS511" s="65" t="n">
        <f aca="false">IF(AR511="",0,MAX(0,MIN(1,(IF(BU511="L1",Parameter!$E$5,Parameter!$E$6+Parameter!$E$7)-(AR511-AN511))/AN511)))</f>
        <v>1</v>
      </c>
      <c r="AT511" s="57" t="n">
        <f aca="false">IF(LEFT(Cockpit!$O$5,1)="A",G511,IF(BW511=1,BX511,IF(LEFT(Cockpit!$O$5,1)="B",AX511,MAX(AX511,G511))))</f>
        <v>255</v>
      </c>
      <c r="AU511" s="57" t="n">
        <f aca="false">IF(BR511=1,0,ROUNDUP(AT511/BQ511,0))</f>
        <v>1</v>
      </c>
      <c r="AV511" s="59" t="n">
        <f aca="false">IF(CD511&gt;0,CD511*MAX(1,AT511/V511),IF(BR511=1,IF(AT511&lt;=0,0,BS511*MAX(1,IF(G511&gt;0,AT511/G511,1))),IF(Q511&gt;0,AU511/Q511,0))/MAX(0.1,N(Parameter!$M$21)))</f>
        <v>0.0384615384615385</v>
      </c>
      <c r="AW511" s="57" t="n">
        <f aca="false">AT511*F511</f>
        <v>4832.25</v>
      </c>
      <c r="AX511" s="57" t="n">
        <f aca="false">ROUNDUP(MAX(I511/IF(BV511&gt;0,BV511,MAX(0.1,N(Cockpit!$O$6))),BY511)/BQ511,0)*BQ511</f>
        <v>255</v>
      </c>
      <c r="AY511" s="58" t="n">
        <f aca="false">IF(AV511&gt;0,I511/AV511,-1)</f>
        <v>7436</v>
      </c>
      <c r="AZ511" s="58" t="n">
        <f aca="false">IF(AND(OR(BU511="L1",BU511="L23"),AV511&gt;0),SUMIFS($AV$7:$AV$1576,$BU$7:$BU$1576,BU511,$AY$7:$AY$1576,"&gt;"&amp;AY511)+SUMIFS($AV$7:$AV$1576,$BU$7:$BU$1576,BU511,$AY$7:$AY$1576,AY511,$BO$7:$BO$1576,"&lt;="&amp;BO511),"")</f>
        <v>8.06459477720347</v>
      </c>
      <c r="BA511" s="65" t="n">
        <f aca="false">IF(AZ511="",0,MAX(0,MIN(1,(IF(BU511="L1",Parameter!$E$5,Parameter!$E$6+Parameter!$E$7)-(AZ511-AV511))/AV511)))</f>
        <v>1</v>
      </c>
      <c r="BB511" s="55" t="str">
        <f aca="false">IF(AF511&lt;=0,"",IF(BU511="Aussen","Aussenlager",IF(BU511="-","Nicht im Lift",IF(AK511&gt;=1,"Lift",IF(AK511&lt;=0,"Aussenlager","teilweise")))))</f>
        <v>Lift</v>
      </c>
      <c r="BC511" s="55" t="str">
        <f aca="false">IF(AN511&lt;=0,"",IF(BU511="Aussen","Aussenlager",IF(BU511="-","Nicht im Lift",IF(AS511&gt;=1,"Lift",IF(AS511&lt;=0,"Aussenlager","teilweise")))))</f>
        <v>Lift</v>
      </c>
      <c r="BD511" s="55" t="str">
        <f aca="false">IF(AV511&lt;=0,"",IF(BU511="Aussen","Aussenlager",IF(BU511="-","Nicht im Lift",IF(BA511&gt;=1,"Lift",IF(BA511&lt;=0,"Aussenlager","teilweise")))))</f>
        <v>Lift</v>
      </c>
      <c r="BE511" s="55" t="str">
        <f aca="false">IF(A511="","",IF(BN511=1,"Neu; ","")&amp;IF(AND(BN511=0,BI511&lt;0),"negativer Bestand (Export "&amp;BI511&amp;"); ","")&amp;IF(I511&lt;=0,"Kein Verbrauch; ","")&amp;IF(CD511&gt;0,"Lift "&amp;U511&amp;" lt. Liftbericht (Fach "&amp;V511&amp;" Stk); ",IF(BR511=1,"Lose – Fläche geschätzt; ",""))&amp;IF(G511&gt;AP511,"Überbestand "&amp;ROUND(G511-AP511,0)&amp;" Stk / CHF "&amp;ROUND((G511-AP511)*F511,0)&amp;"; ","")&amp;IF(AND(BW511=1,BX511&lt;BY511),"MAX &lt; MB+LG; ","")&amp;IF(AND(CC511&gt;0,CB511*10&gt;CC511),"zu hoch für Tablar; ","")&amp;IF(AND(BN511=0,OR(BW511=1,Y511&lt;&gt;"",S511&lt;&gt;"",T511&lt;&gt;"",Z511&lt;&gt;"")),"manuell übersteuert; ","")&amp;IF(AND(BR511=0,Q511=0),"Gebinde unbekannt / Stellmass fehlt; ","")&amp;IF(AND(BR511=0,N(T511)&lt;=0,N(P511)&lt;=0),"Menge pro Gebinde fehlt (Ist = 1 Gebinde); ","")&amp;BM511)</f>
        <v/>
      </c>
      <c r="BF511" s="55"/>
      <c r="BG511" s="55"/>
      <c r="BH511" s="62"/>
      <c r="BI511" s="57" t="n">
        <v>5</v>
      </c>
      <c r="BJ511" s="57" t="n">
        <v>55</v>
      </c>
      <c r="BK511" s="56" t="n">
        <v>33.6900000000001</v>
      </c>
      <c r="BL511" s="57" t="n">
        <v>286</v>
      </c>
      <c r="BM511" s="55"/>
      <c r="BN511" s="60" t="n">
        <v>0</v>
      </c>
      <c r="BO511" s="60" t="n">
        <v>511</v>
      </c>
      <c r="BP511" s="55" t="str">
        <f aca="false">IF(S511&lt;&gt;"",UPPER(TRIM(S511)),IF(O511="","LOSE",O511))</f>
        <v>S51</v>
      </c>
      <c r="BQ511" s="57" t="n">
        <f aca="false">IF(BP511="LOSE",1,IF(N(T511)&gt;0,T511,IF(N(P511)&gt;0,P511,MAX(1,G511))))</f>
        <v>255</v>
      </c>
      <c r="BR511" s="60" t="n">
        <f aca="false">IF(BP511="LOSE",1,0)</f>
        <v>0</v>
      </c>
      <c r="BS511" s="59" t="n">
        <f aca="false">IF(BR511=0,0,IF(N(R511)&gt;0,R511,IFERROR(VLOOKUP(D511,Parameter!$A$35:$C$64,3,0)+0,0)))</f>
        <v>0</v>
      </c>
      <c r="BT511" s="55" t="n">
        <f aca="false">IF(Y511&lt;&gt;"",Y511,X511)</f>
        <v>3</v>
      </c>
      <c r="BU511" s="55" t="str">
        <f aca="false">IF(BT511=1,"L1",IF(OR(BT511=2,BT511=3),"L23",IF(BT511="Aussen","Aussen","-")))</f>
        <v>L23</v>
      </c>
      <c r="BV511" s="66" t="n">
        <f aca="false">IF(N(Z511)&gt;0,Z511,0)</f>
        <v>0</v>
      </c>
      <c r="BW511" s="60" t="n">
        <f aca="false">IF(ISNUMBER(AC511),1,0)</f>
        <v>0</v>
      </c>
      <c r="BX511" s="57" t="n">
        <f aca="false">N(AC511)</f>
        <v>0</v>
      </c>
      <c r="BY511" s="57" t="n">
        <f aca="false">N(L511)+N(M511)</f>
        <v>190</v>
      </c>
      <c r="BZ511" s="57" t="n">
        <f aca="false">ROUNDUP(G511/BQ511,0)</f>
        <v>1</v>
      </c>
      <c r="CA511" s="57" t="n">
        <f aca="false">ROUNDUP(BX511/BQ511,0)</f>
        <v>0</v>
      </c>
      <c r="CB511" s="60" t="n">
        <f aca="false">IF(BR511=1,0,IFERROR(VLOOKUP(BP511,'Gebinde-Kategorie'!$A$5:$M$45,5,0)+0,0))</f>
        <v>11</v>
      </c>
      <c r="CC511" s="60" t="n">
        <f aca="false">IFERROR(IF(OR(BT511=1,BT511=2,BT511=3),N(INDEX(Parameter!$I$5:$I$7,BT511)),0),0)</f>
        <v>0</v>
      </c>
      <c r="CD511" s="59" t="n">
        <f aca="false">IF(AND(Parameter!$B$21="Ja",ISNUMBER(U511),N(V511)&gt;0),IFERROR(N(INDEX(Parameter!$L$5:$L$7,U511))*INDEX(Parameter!$E$5:$E$7,U511)*V511/SUMIFS($V$7:$V$1576,$U$7:$U$1576,U511),0),0)</f>
        <v>0</v>
      </c>
    </row>
    <row r="512" customFormat="false" ht="15" hidden="false" customHeight="false" outlineLevel="0" collapsed="false">
      <c r="A512" s="55" t="s">
        <v>1106</v>
      </c>
      <c r="B512" s="55" t="s">
        <v>1107</v>
      </c>
      <c r="C512" s="55" t="s">
        <v>160</v>
      </c>
      <c r="D512" s="55" t="s">
        <v>178</v>
      </c>
      <c r="E512" s="55" t="s">
        <v>210</v>
      </c>
      <c r="F512" s="56" t="n">
        <v>43.1</v>
      </c>
      <c r="G512" s="57" t="n">
        <f aca="false">MAX(0,IF(AND(Parameter!$B$21="Ja",ISNUMBER(W512)),W512,IF(Parameter!$B$20="Jahresanfang 2025 + Export",BJ512+BI512,BI512)))</f>
        <v>1</v>
      </c>
      <c r="H512" s="57" t="n">
        <f aca="false">G512*F512</f>
        <v>43.1</v>
      </c>
      <c r="I512" s="57" t="n">
        <f aca="false">BL512*Parameter!$B$18</f>
        <v>22</v>
      </c>
      <c r="J512" s="58" t="n">
        <v>9</v>
      </c>
      <c r="K512" s="59" t="n">
        <v>2.44444444444445</v>
      </c>
      <c r="L512" s="57" t="n">
        <v>1</v>
      </c>
      <c r="M512" s="57" t="n">
        <v>20</v>
      </c>
      <c r="N512" s="60" t="n">
        <v>28</v>
      </c>
      <c r="O512" s="55" t="s">
        <v>293</v>
      </c>
      <c r="P512" s="57" t="n">
        <v>16</v>
      </c>
      <c r="Q512" s="60" t="n">
        <f aca="false">IF(BR512=1,0,IFERROR(VLOOKUP(BP512,'Gebinde-Kategorie'!$A$5:$M$45,13,0)+0,0))</f>
        <v>26</v>
      </c>
      <c r="R512" s="61"/>
      <c r="S512" s="62"/>
      <c r="T512" s="62"/>
      <c r="U512" s="55"/>
      <c r="V512" s="57"/>
      <c r="W512" s="57"/>
      <c r="X512" s="55" t="n">
        <f aca="false">IF(A512="","",IF(AND(Parameter!$B$21="Ja",ISNUMBER(U512)),U512,IF(IFERROR(VLOOKUP(D512,Parameter!$A$35:$C$64,2,0),"Nein")="2+3",IF(ISNUMBER(SEARCH("grosser Artikel",BM512)),2,IFERROR(VLOOKUP(BP512,Parameter!$F$35:$G$64,2,0),2)),IF(OR(IFERROR(VLOOKUP(D512,Parameter!$A$35:$C$64,2,0),"Nein")="Nein",IFERROR(VLOOKUP(D512,Parameter!$A$35:$C$64,2,0),"Nein")=""),"-",VLOOKUP(D512,Parameter!$A$35:$C$64,2,0)))))</f>
        <v>3</v>
      </c>
      <c r="Y512" s="62"/>
      <c r="Z512" s="63"/>
      <c r="AA512" s="57" t="n">
        <f aca="false">AP512</f>
        <v>32</v>
      </c>
      <c r="AB512" s="57" t="n">
        <f aca="false">MAX(AP512,G512)</f>
        <v>32</v>
      </c>
      <c r="AC512" s="64"/>
      <c r="AD512" s="57" t="n">
        <f aca="false">IF(LEFT(Cockpit!$C$5,1)="A",G512,IF(BW512=1,BX512,IF(LEFT(Cockpit!$C$5,1)="B",AH512,MAX(AH512,G512))))</f>
        <v>1</v>
      </c>
      <c r="AE512" s="57" t="n">
        <f aca="false">IF(BR512=1,0,ROUNDUP(AD512/BQ512,0))</f>
        <v>1</v>
      </c>
      <c r="AF512" s="59" t="n">
        <f aca="false">IF(CD512&gt;0,CD512*MAX(1,AD512/V512),IF(BR512=1,IF(AD512&lt;=0,0,BS512*MAX(1,IF(G512&gt;0,AD512/G512,1))),IF(Q512&gt;0,AE512/Q512,0))/MAX(0.1,N(Parameter!$M$21)))</f>
        <v>0.0384615384615385</v>
      </c>
      <c r="AG512" s="57" t="n">
        <f aca="false">AD512*F512</f>
        <v>43.1</v>
      </c>
      <c r="AH512" s="57" t="n">
        <f aca="false">ROUNDUP(MAX(I512/IF(BV512&gt;0,BV512,MAX(0.1,N(Cockpit!$C$6))),BY512)/BQ512,0)*BQ512</f>
        <v>32</v>
      </c>
      <c r="AI512" s="58" t="n">
        <f aca="false">IF(AF512&gt;0,I512/AF512,-1)</f>
        <v>572</v>
      </c>
      <c r="AJ512" s="58" t="n">
        <f aca="false">IF(AND(OR(BU512="L1",BU512="L23"),AF512&gt;0),SUMIFS($AF$7:$AF$1576,$BU$7:$BU$1576,BU512,$AI$7:$AI$1576,"&gt;"&amp;AI512)+SUMIFS($AF$7:$AF$1576,$BU$7:$BU$1576,BU512,$AI$7:$AI$1576,AI512,$BO$7:$BO$1576,"&lt;="&amp;BO512),"")</f>
        <v>11.9924509307118</v>
      </c>
      <c r="AK512" s="65" t="n">
        <f aca="false">IF(AJ512="",0,MAX(0,MIN(1,(IF(BU512="L1",Parameter!$E$5,Parameter!$E$6+Parameter!$E$7)-(AJ512-AF512))/AF512)))</f>
        <v>1</v>
      </c>
      <c r="AL512" s="57" t="n">
        <f aca="false">IF(LEFT(Cockpit!$I$5,1)="A",G512,IF(BW512=1,BX512,IF(LEFT(Cockpit!$I$5,1)="B",AP512,MAX(AP512,G512))))</f>
        <v>32</v>
      </c>
      <c r="AM512" s="57" t="n">
        <f aca="false">IF(BR512=1,0,ROUNDUP(AL512/BQ512,0))</f>
        <v>2</v>
      </c>
      <c r="AN512" s="59" t="n">
        <f aca="false">IF(CD512&gt;0,CD512*MAX(1,AL512/V512),IF(BR512=1,IF(AL512&lt;=0,0,BS512*MAX(1,IF(G512&gt;0,AL512/G512,1))),IF(Q512&gt;0,AM512/Q512,0))/MAX(0.1,N(Parameter!$M$21)))</f>
        <v>0.0769230769230769</v>
      </c>
      <c r="AO512" s="57" t="n">
        <f aca="false">AL512*F512</f>
        <v>1379.2</v>
      </c>
      <c r="AP512" s="57" t="n">
        <f aca="false">ROUNDUP(MAX(I512/IF(BV512&gt;0,BV512,MAX(0.1,N(Cockpit!$I$6))),BY512)/BQ512,0)*BQ512</f>
        <v>32</v>
      </c>
      <c r="AQ512" s="58" t="n">
        <f aca="false">IF(AN512&gt;0,I512/AN512,-1)</f>
        <v>286</v>
      </c>
      <c r="AR512" s="58" t="n">
        <f aca="false">IF(AND(OR(BU512="L1",BU512="L23"),AN512&gt;0),SUMIFS($AN$7:$AN$1576,$BU$7:$BU$1576,BU512,$AQ$7:$AQ$1576,"&gt;"&amp;AQ512)+SUMIFS($AN$7:$AN$1576,$BU$7:$BU$1576,BU512,$AQ$7:$AQ$1576,AQ512,$BO$7:$BO$1576,"&lt;="&amp;BO512),"")</f>
        <v>44.2542554670927</v>
      </c>
      <c r="AS512" s="65" t="n">
        <f aca="false">IF(AR512="",0,MAX(0,MIN(1,(IF(BU512="L1",Parameter!$E$5,Parameter!$E$6+Parameter!$E$7)-(AR512-AN512))/AN512)))</f>
        <v>1</v>
      </c>
      <c r="AT512" s="57" t="n">
        <f aca="false">IF(LEFT(Cockpit!$O$5,1)="A",G512,IF(BW512=1,BX512,IF(LEFT(Cockpit!$O$5,1)="B",AX512,MAX(AX512,G512))))</f>
        <v>32</v>
      </c>
      <c r="AU512" s="57" t="n">
        <f aca="false">IF(BR512=1,0,ROUNDUP(AT512/BQ512,0))</f>
        <v>2</v>
      </c>
      <c r="AV512" s="59" t="n">
        <f aca="false">IF(CD512&gt;0,CD512*MAX(1,AT512/V512),IF(BR512=1,IF(AT512&lt;=0,0,BS512*MAX(1,IF(G512&gt;0,AT512/G512,1))),IF(Q512&gt;0,AU512/Q512,0))/MAX(0.1,N(Parameter!$M$21)))</f>
        <v>0.0769230769230769</v>
      </c>
      <c r="AW512" s="57" t="n">
        <f aca="false">AT512*F512</f>
        <v>1379.2</v>
      </c>
      <c r="AX512" s="57" t="n">
        <f aca="false">ROUNDUP(MAX(I512/IF(BV512&gt;0,BV512,MAX(0.1,N(Cockpit!$O$6))),BY512)/BQ512,0)*BQ512</f>
        <v>32</v>
      </c>
      <c r="AY512" s="58" t="n">
        <f aca="false">IF(AV512&gt;0,I512/AV512,-1)</f>
        <v>286</v>
      </c>
      <c r="AZ512" s="58" t="n">
        <f aca="false">IF(AND(OR(BU512="L1",BU512="L23"),AV512&gt;0),SUMIFS($AV$7:$AV$1576,$BU$7:$BU$1576,BU512,$AY$7:$AY$1576,"&gt;"&amp;AY512)+SUMIFS($AV$7:$AV$1576,$BU$7:$BU$1576,BU512,$AY$7:$AY$1576,AY512,$BO$7:$BO$1576,"&lt;="&amp;BO512),"")</f>
        <v>40.5323340551713</v>
      </c>
      <c r="BA512" s="65" t="n">
        <f aca="false">IF(AZ512="",0,MAX(0,MIN(1,(IF(BU512="L1",Parameter!$E$5,Parameter!$E$6+Parameter!$E$7)-(AZ512-AV512))/AV512)))</f>
        <v>1</v>
      </c>
      <c r="BB512" s="55" t="str">
        <f aca="false">IF(AF512&lt;=0,"",IF(BU512="Aussen","Aussenlager",IF(BU512="-","Nicht im Lift",IF(AK512&gt;=1,"Lift",IF(AK512&lt;=0,"Aussenlager","teilweise")))))</f>
        <v>Lift</v>
      </c>
      <c r="BC512" s="55" t="str">
        <f aca="false">IF(AN512&lt;=0,"",IF(BU512="Aussen","Aussenlager",IF(BU512="-","Nicht im Lift",IF(AS512&gt;=1,"Lift",IF(AS512&lt;=0,"Aussenlager","teilweise")))))</f>
        <v>Lift</v>
      </c>
      <c r="BD512" s="55" t="str">
        <f aca="false">IF(AV512&lt;=0,"",IF(BU512="Aussen","Aussenlager",IF(BU512="-","Nicht im Lift",IF(BA512&gt;=1,"Lift",IF(BA512&lt;=0,"Aussenlager","teilweise")))))</f>
        <v>Lift</v>
      </c>
      <c r="BE512" s="55" t="str">
        <f aca="false">IF(A512="","",IF(BN512=1,"Neu; ","")&amp;IF(AND(BN512=0,BI512&lt;0),"negativer Bestand (Export "&amp;BI512&amp;"); ","")&amp;IF(I512&lt;=0,"Kein Verbrauch; ","")&amp;IF(CD512&gt;0,"Lift "&amp;U512&amp;" lt. Liftbericht (Fach "&amp;V512&amp;" Stk); ",IF(BR512=1,"Lose – Fläche geschätzt; ",""))&amp;IF(G512&gt;AP512,"Überbestand "&amp;ROUND(G512-AP512,0)&amp;" Stk / CHF "&amp;ROUND((G512-AP512)*F512,0)&amp;"; ","")&amp;IF(AND(BW512=1,BX512&lt;BY512),"MAX &lt; MB+LG; ","")&amp;IF(AND(CC512&gt;0,CB512*10&gt;CC512),"zu hoch für Tablar; ","")&amp;IF(AND(BN512=0,OR(BW512=1,Y512&lt;&gt;"",S512&lt;&gt;"",T512&lt;&gt;"",Z512&lt;&gt;"")),"manuell übersteuert; ","")&amp;IF(AND(BR512=0,Q512=0),"Gebinde unbekannt / Stellmass fehlt; ","")&amp;IF(AND(BR512=0,N(T512)&lt;=0,N(P512)&lt;=0),"Menge pro Gebinde fehlt (Ist = 1 Gebinde); ","")&amp;BM512)</f>
        <v/>
      </c>
      <c r="BF512" s="55"/>
      <c r="BG512" s="55"/>
      <c r="BH512" s="62"/>
      <c r="BI512" s="57" t="n">
        <v>1</v>
      </c>
      <c r="BJ512" s="57" t="n">
        <v>6</v>
      </c>
      <c r="BK512" s="56" t="n">
        <v>32.7200000000002</v>
      </c>
      <c r="BL512" s="57" t="n">
        <v>22</v>
      </c>
      <c r="BM512" s="55"/>
      <c r="BN512" s="60" t="n">
        <v>0</v>
      </c>
      <c r="BO512" s="60" t="n">
        <v>512</v>
      </c>
      <c r="BP512" s="55" t="str">
        <f aca="false">IF(S512&lt;&gt;"",UPPER(TRIM(S512)),IF(O512="","LOSE",O512))</f>
        <v>S51</v>
      </c>
      <c r="BQ512" s="57" t="n">
        <f aca="false">IF(BP512="LOSE",1,IF(N(T512)&gt;0,T512,IF(N(P512)&gt;0,P512,MAX(1,G512))))</f>
        <v>16</v>
      </c>
      <c r="BR512" s="60" t="n">
        <f aca="false">IF(BP512="LOSE",1,0)</f>
        <v>0</v>
      </c>
      <c r="BS512" s="59" t="n">
        <f aca="false">IF(BR512=0,0,IF(N(R512)&gt;0,R512,IFERROR(VLOOKUP(D512,Parameter!$A$35:$C$64,3,0)+0,0)))</f>
        <v>0</v>
      </c>
      <c r="BT512" s="55" t="n">
        <f aca="false">IF(Y512&lt;&gt;"",Y512,X512)</f>
        <v>3</v>
      </c>
      <c r="BU512" s="55" t="str">
        <f aca="false">IF(BT512=1,"L1",IF(OR(BT512=2,BT512=3),"L23",IF(BT512="Aussen","Aussen","-")))</f>
        <v>L23</v>
      </c>
      <c r="BV512" s="66" t="n">
        <f aca="false">IF(N(Z512)&gt;0,Z512,0)</f>
        <v>0</v>
      </c>
      <c r="BW512" s="60" t="n">
        <f aca="false">IF(ISNUMBER(AC512),1,0)</f>
        <v>0</v>
      </c>
      <c r="BX512" s="57" t="n">
        <f aca="false">N(AC512)</f>
        <v>0</v>
      </c>
      <c r="BY512" s="57" t="n">
        <f aca="false">N(L512)+N(M512)</f>
        <v>21</v>
      </c>
      <c r="BZ512" s="57" t="n">
        <f aca="false">ROUNDUP(G512/BQ512,0)</f>
        <v>1</v>
      </c>
      <c r="CA512" s="57" t="n">
        <f aca="false">ROUNDUP(BX512/BQ512,0)</f>
        <v>0</v>
      </c>
      <c r="CB512" s="60" t="n">
        <f aca="false">IF(BR512=1,0,IFERROR(VLOOKUP(BP512,'Gebinde-Kategorie'!$A$5:$M$45,5,0)+0,0))</f>
        <v>11</v>
      </c>
      <c r="CC512" s="60" t="n">
        <f aca="false">IFERROR(IF(OR(BT512=1,BT512=2,BT512=3),N(INDEX(Parameter!$I$5:$I$7,BT512)),0),0)</f>
        <v>0</v>
      </c>
      <c r="CD512" s="59" t="n">
        <f aca="false">IF(AND(Parameter!$B$21="Ja",ISNUMBER(U512),N(V512)&gt;0),IFERROR(N(INDEX(Parameter!$L$5:$L$7,U512))*INDEX(Parameter!$E$5:$E$7,U512)*V512/SUMIFS($V$7:$V$1576,$U$7:$U$1576,U512),0),0)</f>
        <v>0</v>
      </c>
    </row>
    <row r="513" customFormat="false" ht="15" hidden="false" customHeight="false" outlineLevel="0" collapsed="false">
      <c r="A513" s="55" t="s">
        <v>1108</v>
      </c>
      <c r="B513" s="55" t="s">
        <v>457</v>
      </c>
      <c r="C513" s="55" t="s">
        <v>160</v>
      </c>
      <c r="D513" s="55" t="s">
        <v>178</v>
      </c>
      <c r="E513" s="55" t="s">
        <v>210</v>
      </c>
      <c r="F513" s="56" t="n">
        <v>0.24</v>
      </c>
      <c r="G513" s="57" t="n">
        <f aca="false">MAX(0,IF(AND(Parameter!$B$21="Ja",ISNUMBER(W513)),W513,IF(Parameter!$B$20="Jahresanfang 2025 + Export",BJ513+BI513,BI513)))</f>
        <v>132</v>
      </c>
      <c r="H513" s="57" t="n">
        <f aca="false">G513*F513</f>
        <v>31.68</v>
      </c>
      <c r="I513" s="57" t="n">
        <f aca="false">BL513*Parameter!$B$18</f>
        <v>211</v>
      </c>
      <c r="J513" s="58" t="n">
        <v>95</v>
      </c>
      <c r="K513" s="59" t="n">
        <v>2.22105263157895</v>
      </c>
      <c r="L513" s="57" t="n">
        <v>8</v>
      </c>
      <c r="M513" s="57" t="n">
        <v>210</v>
      </c>
      <c r="N513" s="60" t="n">
        <v>14</v>
      </c>
      <c r="O513" s="55" t="s">
        <v>319</v>
      </c>
      <c r="P513" s="57" t="n">
        <v>45</v>
      </c>
      <c r="Q513" s="60" t="n">
        <f aca="false">IF(BR513=1,0,IFERROR(VLOOKUP(BP513,'Gebinde-Kategorie'!$A$5:$M$45,13,0)+0,0))</f>
        <v>52</v>
      </c>
      <c r="R513" s="61"/>
      <c r="S513" s="62"/>
      <c r="T513" s="62"/>
      <c r="U513" s="55"/>
      <c r="V513" s="57"/>
      <c r="W513" s="57"/>
      <c r="X513" s="55" t="n">
        <f aca="false">IF(A513="","",IF(AND(Parameter!$B$21="Ja",ISNUMBER(U513)),U513,IF(IFERROR(VLOOKUP(D513,Parameter!$A$35:$C$64,2,0),"Nein")="2+3",IF(ISNUMBER(SEARCH("grosser Artikel",BM513)),2,IFERROR(VLOOKUP(BP513,Parameter!$F$35:$G$64,2,0),2)),IF(OR(IFERROR(VLOOKUP(D513,Parameter!$A$35:$C$64,2,0),"Nein")="Nein",IFERROR(VLOOKUP(D513,Parameter!$A$35:$C$64,2,0),"Nein")=""),"-",VLOOKUP(D513,Parameter!$A$35:$C$64,2,0)))))</f>
        <v>3</v>
      </c>
      <c r="Y513" s="62"/>
      <c r="Z513" s="63"/>
      <c r="AA513" s="57" t="n">
        <f aca="false">AP513</f>
        <v>225</v>
      </c>
      <c r="AB513" s="57" t="n">
        <f aca="false">MAX(AP513,G513)</f>
        <v>225</v>
      </c>
      <c r="AC513" s="64"/>
      <c r="AD513" s="57" t="n">
        <f aca="false">IF(LEFT(Cockpit!$C$5,1)="A",G513,IF(BW513=1,BX513,IF(LEFT(Cockpit!$C$5,1)="B",AH513,MAX(AH513,G513))))</f>
        <v>132</v>
      </c>
      <c r="AE513" s="57" t="n">
        <f aca="false">IF(BR513=1,0,ROUNDUP(AD513/BQ513,0))</f>
        <v>3</v>
      </c>
      <c r="AF513" s="59" t="n">
        <f aca="false">IF(CD513&gt;0,CD513*MAX(1,AD513/V513),IF(BR513=1,IF(AD513&lt;=0,0,BS513*MAX(1,IF(G513&gt;0,AD513/G513,1))),IF(Q513&gt;0,AE513/Q513,0))/MAX(0.1,N(Parameter!$M$21)))</f>
        <v>0.0576923076923077</v>
      </c>
      <c r="AG513" s="57" t="n">
        <f aca="false">AD513*F513</f>
        <v>31.68</v>
      </c>
      <c r="AH513" s="57" t="n">
        <f aca="false">ROUNDUP(MAX(I513/IF(BV513&gt;0,BV513,MAX(0.1,N(Cockpit!$C$6))),BY513)/BQ513,0)*BQ513</f>
        <v>225</v>
      </c>
      <c r="AI513" s="58" t="n">
        <f aca="false">IF(AF513&gt;0,I513/AF513,-1)</f>
        <v>3657.33333333333</v>
      </c>
      <c r="AJ513" s="58" t="n">
        <f aca="false">IF(AND(OR(BU513="L1",BU513="L23"),AF513&gt;0),SUMIFS($AF$7:$AF$1576,$BU$7:$BU$1576,BU513,$AI$7:$AI$1576,"&gt;"&amp;AI513)+SUMIFS($AF$7:$AF$1576,$BU$7:$BU$1576,BU513,$AI$7:$AI$1576,AI513,$BO$7:$BO$1576,"&lt;="&amp;BO513),"")</f>
        <v>4.44267389615216</v>
      </c>
      <c r="AK513" s="65" t="n">
        <f aca="false">IF(AJ513="",0,MAX(0,MIN(1,(IF(BU513="L1",Parameter!$E$5,Parameter!$E$6+Parameter!$E$7)-(AJ513-AF513))/AF513)))</f>
        <v>1</v>
      </c>
      <c r="AL513" s="57" t="n">
        <f aca="false">IF(LEFT(Cockpit!$I$5,1)="A",G513,IF(BW513=1,BX513,IF(LEFT(Cockpit!$I$5,1)="B",AP513,MAX(AP513,G513))))</f>
        <v>225</v>
      </c>
      <c r="AM513" s="57" t="n">
        <f aca="false">IF(BR513=1,0,ROUNDUP(AL513/BQ513,0))</f>
        <v>5</v>
      </c>
      <c r="AN513" s="59" t="n">
        <f aca="false">IF(CD513&gt;0,CD513*MAX(1,AL513/V513),IF(BR513=1,IF(AL513&lt;=0,0,BS513*MAX(1,IF(G513&gt;0,AL513/G513,1))),IF(Q513&gt;0,AM513/Q513,0))/MAX(0.1,N(Parameter!$M$21)))</f>
        <v>0.0961538461538462</v>
      </c>
      <c r="AO513" s="57" t="n">
        <f aca="false">AL513*F513</f>
        <v>54</v>
      </c>
      <c r="AP513" s="57" t="n">
        <f aca="false">ROUNDUP(MAX(I513/IF(BV513&gt;0,BV513,MAX(0.1,N(Cockpit!$I$6))),BY513)/BQ513,0)*BQ513</f>
        <v>225</v>
      </c>
      <c r="AQ513" s="58" t="n">
        <f aca="false">IF(AN513&gt;0,I513/AN513,-1)</f>
        <v>2194.4</v>
      </c>
      <c r="AR513" s="58" t="n">
        <f aca="false">IF(AND(OR(BU513="L1",BU513="L23"),AN513&gt;0),SUMIFS($AN$7:$AN$1576,$BU$7:$BU$1576,BU513,$AQ$7:$AQ$1576,"&gt;"&amp;AQ513)+SUMIFS($AN$7:$AN$1576,$BU$7:$BU$1576,BU513,$AQ$7:$AQ$1576,AQ513,$BO$7:$BO$1576,"&lt;="&amp;BO513),"")</f>
        <v>16.7794570770769</v>
      </c>
      <c r="AS513" s="65" t="n">
        <f aca="false">IF(AR513="",0,MAX(0,MIN(1,(IF(BU513="L1",Parameter!$E$5,Parameter!$E$6+Parameter!$E$7)-(AR513-AN513))/AN513)))</f>
        <v>1</v>
      </c>
      <c r="AT513" s="57" t="n">
        <f aca="false">IF(LEFT(Cockpit!$O$5,1)="A",G513,IF(BW513=1,BX513,IF(LEFT(Cockpit!$O$5,1)="B",AX513,MAX(AX513,G513))))</f>
        <v>225</v>
      </c>
      <c r="AU513" s="57" t="n">
        <f aca="false">IF(BR513=1,0,ROUNDUP(AT513/BQ513,0))</f>
        <v>5</v>
      </c>
      <c r="AV513" s="59" t="n">
        <f aca="false">IF(CD513&gt;0,CD513*MAX(1,AT513/V513),IF(BR513=1,IF(AT513&lt;=0,0,BS513*MAX(1,IF(G513&gt;0,AT513/G513,1))),IF(Q513&gt;0,AU513/Q513,0))/MAX(0.1,N(Parameter!$M$21)))</f>
        <v>0.0961538461538462</v>
      </c>
      <c r="AW513" s="57" t="n">
        <f aca="false">AT513*F513</f>
        <v>54</v>
      </c>
      <c r="AX513" s="57" t="n">
        <f aca="false">ROUNDUP(MAX(I513/IF(BV513&gt;0,BV513,MAX(0.1,N(Cockpit!$O$6))),BY513)/BQ513,0)*BQ513</f>
        <v>225</v>
      </c>
      <c r="AY513" s="58" t="n">
        <f aca="false">IF(AV513&gt;0,I513/AV513,-1)</f>
        <v>2194.4</v>
      </c>
      <c r="AZ513" s="58" t="n">
        <f aca="false">IF(AND(OR(BU513="L1",BU513="L23"),AV513&gt;0),SUMIFS($AV$7:$AV$1576,$BU$7:$BU$1576,BU513,$AY$7:$AY$1576,"&gt;"&amp;AY513)+SUMIFS($AV$7:$AV$1576,$BU$7:$BU$1576,BU513,$AY$7:$AY$1576,AY513,$BO$7:$BO$1576,"&lt;="&amp;BO513),"")</f>
        <v>15.4682682658881</v>
      </c>
      <c r="BA513" s="65" t="n">
        <f aca="false">IF(AZ513="",0,MAX(0,MIN(1,(IF(BU513="L1",Parameter!$E$5,Parameter!$E$6+Parameter!$E$7)-(AZ513-AV513))/AV513)))</f>
        <v>1</v>
      </c>
      <c r="BB513" s="55" t="str">
        <f aca="false">IF(AF513&lt;=0,"",IF(BU513="Aussen","Aussenlager",IF(BU513="-","Nicht im Lift",IF(AK513&gt;=1,"Lift",IF(AK513&lt;=0,"Aussenlager","teilweise")))))</f>
        <v>Lift</v>
      </c>
      <c r="BC513" s="55" t="str">
        <f aca="false">IF(AN513&lt;=0,"",IF(BU513="Aussen","Aussenlager",IF(BU513="-","Nicht im Lift",IF(AS513&gt;=1,"Lift",IF(AS513&lt;=0,"Aussenlager","teilweise")))))</f>
        <v>Lift</v>
      </c>
      <c r="BD513" s="55" t="str">
        <f aca="false">IF(AV513&lt;=0,"",IF(BU513="Aussen","Aussenlager",IF(BU513="-","Nicht im Lift",IF(BA513&gt;=1,"Lift",IF(BA513&lt;=0,"Aussenlager","teilweise")))))</f>
        <v>Lift</v>
      </c>
      <c r="BE513" s="55" t="str">
        <f aca="false">IF(A513="","",IF(BN513=1,"Neu; ","")&amp;IF(AND(BN513=0,BI513&lt;0),"negativer Bestand (Export "&amp;BI513&amp;"); ","")&amp;IF(I513&lt;=0,"Kein Verbrauch; ","")&amp;IF(CD513&gt;0,"Lift "&amp;U513&amp;" lt. Liftbericht (Fach "&amp;V513&amp;" Stk); ",IF(BR513=1,"Lose – Fläche geschätzt; ",""))&amp;IF(G513&gt;AP513,"Überbestand "&amp;ROUND(G513-AP513,0)&amp;" Stk / CHF "&amp;ROUND((G513-AP513)*F513,0)&amp;"; ","")&amp;IF(AND(BW513=1,BX513&lt;BY513),"MAX &lt; MB+LG; ","")&amp;IF(AND(CC513&gt;0,CB513*10&gt;CC513),"zu hoch für Tablar; ","")&amp;IF(AND(BN513=0,OR(BW513=1,Y513&lt;&gt;"",S513&lt;&gt;"",T513&lt;&gt;"",Z513&lt;&gt;"")),"manuell übersteuert; ","")&amp;IF(AND(BR513=0,Q513=0),"Gebinde unbekannt / Stellmass fehlt; ","")&amp;IF(AND(BR513=0,N(T513)&lt;=0,N(P513)&lt;=0),"Menge pro Gebinde fehlt (Ist = 1 Gebinde); ","")&amp;BM513)</f>
        <v/>
      </c>
      <c r="BF513" s="55"/>
      <c r="BG513" s="55"/>
      <c r="BH513" s="62"/>
      <c r="BI513" s="57" t="n">
        <v>132</v>
      </c>
      <c r="BJ513" s="57" t="n">
        <v>71</v>
      </c>
      <c r="BK513" s="56" t="n">
        <v>32.39</v>
      </c>
      <c r="BL513" s="57" t="n">
        <v>211</v>
      </c>
      <c r="BM513" s="55"/>
      <c r="BN513" s="60" t="n">
        <v>0</v>
      </c>
      <c r="BO513" s="60" t="n">
        <v>513</v>
      </c>
      <c r="BP513" s="55" t="str">
        <f aca="false">IF(S513&lt;&gt;"",UPPER(TRIM(S513)),IF(O513="","LOSE",O513))</f>
        <v>S41</v>
      </c>
      <c r="BQ513" s="57" t="n">
        <f aca="false">IF(BP513="LOSE",1,IF(N(T513)&gt;0,T513,IF(N(P513)&gt;0,P513,MAX(1,G513))))</f>
        <v>45</v>
      </c>
      <c r="BR513" s="60" t="n">
        <f aca="false">IF(BP513="LOSE",1,0)</f>
        <v>0</v>
      </c>
      <c r="BS513" s="59" t="n">
        <f aca="false">IF(BR513=0,0,IF(N(R513)&gt;0,R513,IFERROR(VLOOKUP(D513,Parameter!$A$35:$C$64,3,0)+0,0)))</f>
        <v>0</v>
      </c>
      <c r="BT513" s="55" t="n">
        <f aca="false">IF(Y513&lt;&gt;"",Y513,X513)</f>
        <v>3</v>
      </c>
      <c r="BU513" s="55" t="str">
        <f aca="false">IF(BT513=1,"L1",IF(OR(BT513=2,BT513=3),"L23",IF(BT513="Aussen","Aussen","-")))</f>
        <v>L23</v>
      </c>
      <c r="BV513" s="66" t="n">
        <f aca="false">IF(N(Z513)&gt;0,Z513,0)</f>
        <v>0</v>
      </c>
      <c r="BW513" s="60" t="n">
        <f aca="false">IF(ISNUMBER(AC513),1,0)</f>
        <v>0</v>
      </c>
      <c r="BX513" s="57" t="n">
        <f aca="false">N(AC513)</f>
        <v>0</v>
      </c>
      <c r="BY513" s="57" t="n">
        <f aca="false">N(L513)+N(M513)</f>
        <v>218</v>
      </c>
      <c r="BZ513" s="57" t="n">
        <f aca="false">ROUNDUP(G513/BQ513,0)</f>
        <v>3</v>
      </c>
      <c r="CA513" s="57" t="n">
        <f aca="false">ROUNDUP(BX513/BQ513,0)</f>
        <v>0</v>
      </c>
      <c r="CB513" s="60" t="n">
        <f aca="false">IF(BR513=1,0,IFERROR(VLOOKUP(BP513,'Gebinde-Kategorie'!$A$5:$M$45,5,0)+0,0))</f>
        <v>11</v>
      </c>
      <c r="CC513" s="60" t="n">
        <f aca="false">IFERROR(IF(OR(BT513=1,BT513=2,BT513=3),N(INDEX(Parameter!$I$5:$I$7,BT513)),0),0)</f>
        <v>0</v>
      </c>
      <c r="CD513" s="59" t="n">
        <f aca="false">IF(AND(Parameter!$B$21="Ja",ISNUMBER(U513),N(V513)&gt;0),IFERROR(N(INDEX(Parameter!$L$5:$L$7,U513))*INDEX(Parameter!$E$5:$E$7,U513)*V513/SUMIFS($V$7:$V$1576,$U$7:$U$1576,U513),0),0)</f>
        <v>0</v>
      </c>
    </row>
    <row r="514" customFormat="false" ht="15" hidden="false" customHeight="false" outlineLevel="0" collapsed="false">
      <c r="A514" s="55" t="s">
        <v>1109</v>
      </c>
      <c r="B514" s="55" t="s">
        <v>1110</v>
      </c>
      <c r="C514" s="55" t="s">
        <v>160</v>
      </c>
      <c r="D514" s="55" t="s">
        <v>178</v>
      </c>
      <c r="E514" s="55" t="s">
        <v>210</v>
      </c>
      <c r="F514" s="56" t="n">
        <v>2.68</v>
      </c>
      <c r="G514" s="57" t="n">
        <f aca="false">MAX(0,IF(AND(Parameter!$B$21="Ja",ISNUMBER(W514)),W514,IF(Parameter!$B$20="Jahresanfang 2025 + Export",BJ514+BI514,BI514)))</f>
        <v>12</v>
      </c>
      <c r="H514" s="57" t="n">
        <f aca="false">G514*F514</f>
        <v>32.16</v>
      </c>
      <c r="I514" s="57" t="n">
        <f aca="false">BL514*Parameter!$B$18</f>
        <v>0</v>
      </c>
      <c r="J514" s="58" t="n">
        <v>16</v>
      </c>
      <c r="K514" s="59" t="n">
        <v>0</v>
      </c>
      <c r="L514" s="57" t="n">
        <v>0</v>
      </c>
      <c r="M514" s="57" t="n">
        <v>1</v>
      </c>
      <c r="N514" s="60" t="n">
        <v>14</v>
      </c>
      <c r="O514" s="55" t="s">
        <v>225</v>
      </c>
      <c r="P514" s="57" t="n">
        <v>20</v>
      </c>
      <c r="Q514" s="60" t="n">
        <f aca="false">IF(BR514=1,0,IFERROR(VLOOKUP(BP514,'Gebinde-Kategorie'!$A$5:$M$45,13,0)+0,0))</f>
        <v>26</v>
      </c>
      <c r="R514" s="61"/>
      <c r="S514" s="62"/>
      <c r="T514" s="62"/>
      <c r="U514" s="55"/>
      <c r="V514" s="57"/>
      <c r="W514" s="57"/>
      <c r="X514" s="55" t="n">
        <f aca="false">IF(A514="","",IF(AND(Parameter!$B$21="Ja",ISNUMBER(U514)),U514,IF(IFERROR(VLOOKUP(D514,Parameter!$A$35:$C$64,2,0),"Nein")="2+3",IF(ISNUMBER(SEARCH("grosser Artikel",BM514)),2,IFERROR(VLOOKUP(BP514,Parameter!$F$35:$G$64,2,0),2)),IF(OR(IFERROR(VLOOKUP(D514,Parameter!$A$35:$C$64,2,0),"Nein")="Nein",IFERROR(VLOOKUP(D514,Parameter!$A$35:$C$64,2,0),"Nein")=""),"-",VLOOKUP(D514,Parameter!$A$35:$C$64,2,0)))))</f>
        <v>3</v>
      </c>
      <c r="Y514" s="62"/>
      <c r="Z514" s="63"/>
      <c r="AA514" s="57" t="n">
        <f aca="false">AP514</f>
        <v>20</v>
      </c>
      <c r="AB514" s="57" t="n">
        <f aca="false">MAX(AP514,G514)</f>
        <v>20</v>
      </c>
      <c r="AC514" s="64"/>
      <c r="AD514" s="57" t="n">
        <f aca="false">IF(LEFT(Cockpit!$C$5,1)="A",G514,IF(BW514=1,BX514,IF(LEFT(Cockpit!$C$5,1)="B",AH514,MAX(AH514,G514))))</f>
        <v>12</v>
      </c>
      <c r="AE514" s="57" t="n">
        <f aca="false">IF(BR514=1,0,ROUNDUP(AD514/BQ514,0))</f>
        <v>1</v>
      </c>
      <c r="AF514" s="59" t="n">
        <f aca="false">IF(CD514&gt;0,CD514*MAX(1,AD514/V514),IF(BR514=1,IF(AD514&lt;=0,0,BS514*MAX(1,IF(G514&gt;0,AD514/G514,1))),IF(Q514&gt;0,AE514/Q514,0))/MAX(0.1,N(Parameter!$M$21)))</f>
        <v>0.0384615384615385</v>
      </c>
      <c r="AG514" s="57" t="n">
        <f aca="false">AD514*F514</f>
        <v>32.16</v>
      </c>
      <c r="AH514" s="57" t="n">
        <f aca="false">ROUNDUP(MAX(I514/IF(BV514&gt;0,BV514,MAX(0.1,N(Cockpit!$C$6))),BY514)/BQ514,0)*BQ514</f>
        <v>20</v>
      </c>
      <c r="AI514" s="58" t="n">
        <f aca="false">IF(AF514&gt;0,I514/AF514,-1)</f>
        <v>0</v>
      </c>
      <c r="AJ514" s="58" t="n">
        <f aca="false">IF(AND(OR(BU514="L1",BU514="L23"),AF514&gt;0),SUMIFS($AF$7:$AF$1576,$BU$7:$BU$1576,BU514,$AI$7:$AI$1576,"&gt;"&amp;AI514)+SUMIFS($AF$7:$AF$1576,$BU$7:$BU$1576,BU514,$AI$7:$AI$1576,AI514,$BO$7:$BO$1576,"&lt;="&amp;BO514),"")</f>
        <v>42.8408945643728</v>
      </c>
      <c r="AK514" s="65" t="n">
        <f aca="false">IF(AJ514="",0,MAX(0,MIN(1,(IF(BU514="L1",Parameter!$E$5,Parameter!$E$6+Parameter!$E$7)-(AJ514-AF514))/AF514)))</f>
        <v>1</v>
      </c>
      <c r="AL514" s="57" t="n">
        <f aca="false">IF(LEFT(Cockpit!$I$5,1)="A",G514,IF(BW514=1,BX514,IF(LEFT(Cockpit!$I$5,1)="B",AP514,MAX(AP514,G514))))</f>
        <v>20</v>
      </c>
      <c r="AM514" s="57" t="n">
        <f aca="false">IF(BR514=1,0,ROUNDUP(AL514/BQ514,0))</f>
        <v>1</v>
      </c>
      <c r="AN514" s="59" t="n">
        <f aca="false">IF(CD514&gt;0,CD514*MAX(1,AL514/V514),IF(BR514=1,IF(AL514&lt;=0,0,BS514*MAX(1,IF(G514&gt;0,AL514/G514,1))),IF(Q514&gt;0,AM514/Q514,0))/MAX(0.1,N(Parameter!$M$21)))</f>
        <v>0.0384615384615385</v>
      </c>
      <c r="AO514" s="57" t="n">
        <f aca="false">AL514*F514</f>
        <v>53.6</v>
      </c>
      <c r="AP514" s="57" t="n">
        <f aca="false">ROUNDUP(MAX(I514/IF(BV514&gt;0,BV514,MAX(0.1,N(Cockpit!$I$6))),BY514)/BQ514,0)*BQ514</f>
        <v>20</v>
      </c>
      <c r="AQ514" s="58" t="n">
        <f aca="false">IF(AN514&gt;0,I514/AN514,-1)</f>
        <v>0</v>
      </c>
      <c r="AR514" s="58" t="n">
        <f aca="false">IF(AND(OR(BU514="L1",BU514="L23"),AN514&gt;0),SUMIFS($AN$7:$AN$1576,$BU$7:$BU$1576,BU514,$AQ$7:$AQ$1576,"&gt;"&amp;AQ514)+SUMIFS($AN$7:$AN$1576,$BU$7:$BU$1576,BU514,$AQ$7:$AQ$1576,AQ514,$BO$7:$BO$1576,"&lt;="&amp;BO514),"")</f>
        <v>125.837680682891</v>
      </c>
      <c r="AS514" s="65" t="n">
        <f aca="false">IF(AR514="",0,MAX(0,MIN(1,(IF(BU514="L1",Parameter!$E$5,Parameter!$E$6+Parameter!$E$7)-(AR514-AN514))/AN514)))</f>
        <v>0</v>
      </c>
      <c r="AT514" s="57" t="n">
        <f aca="false">IF(LEFT(Cockpit!$O$5,1)="A",G514,IF(BW514=1,BX514,IF(LEFT(Cockpit!$O$5,1)="B",AX514,MAX(AX514,G514))))</f>
        <v>20</v>
      </c>
      <c r="AU514" s="57" t="n">
        <f aca="false">IF(BR514=1,0,ROUNDUP(AT514/BQ514,0))</f>
        <v>1</v>
      </c>
      <c r="AV514" s="59" t="n">
        <f aca="false">IF(CD514&gt;0,CD514*MAX(1,AT514/V514),IF(BR514=1,IF(AT514&lt;=0,0,BS514*MAX(1,IF(G514&gt;0,AT514/G514,1))),IF(Q514&gt;0,AU514/Q514,0))/MAX(0.1,N(Parameter!$M$21)))</f>
        <v>0.0384615384615385</v>
      </c>
      <c r="AW514" s="57" t="n">
        <f aca="false">AT514*F514</f>
        <v>53.6</v>
      </c>
      <c r="AX514" s="57" t="n">
        <f aca="false">ROUNDUP(MAX(I514/IF(BV514&gt;0,BV514,MAX(0.1,N(Cockpit!$O$6))),BY514)/BQ514,0)*BQ514</f>
        <v>20</v>
      </c>
      <c r="AY514" s="58" t="n">
        <f aca="false">IF(AV514&gt;0,I514/AV514,-1)</f>
        <v>0</v>
      </c>
      <c r="AZ514" s="58" t="n">
        <f aca="false">IF(AND(OR(BU514="L1",BU514="L23"),AV514&gt;0),SUMIFS($AV$7:$AV$1576,$BU$7:$BU$1576,BU514,$AY$7:$AY$1576,"&gt;"&amp;AY514)+SUMIFS($AV$7:$AV$1576,$BU$7:$BU$1576,BU514,$AY$7:$AY$1576,AY514,$BO$7:$BO$1576,"&lt;="&amp;BO514),"")</f>
        <v>115.897231132442</v>
      </c>
      <c r="BA514" s="65" t="n">
        <f aca="false">IF(AZ514="",0,MAX(0,MIN(1,(IF(BU514="L1",Parameter!$E$5,Parameter!$E$6+Parameter!$E$7)-(AZ514-AV514))/AV514)))</f>
        <v>0</v>
      </c>
      <c r="BB514" s="55" t="str">
        <f aca="false">IF(AF514&lt;=0,"",IF(BU514="Aussen","Aussenlager",IF(BU514="-","Nicht im Lift",IF(AK514&gt;=1,"Lift",IF(AK514&lt;=0,"Aussenlager","teilweise")))))</f>
        <v>Lift</v>
      </c>
      <c r="BC514" s="55" t="str">
        <f aca="false">IF(AN514&lt;=0,"",IF(BU514="Aussen","Aussenlager",IF(BU514="-","Nicht im Lift",IF(AS514&gt;=1,"Lift",IF(AS514&lt;=0,"Aussenlager","teilweise")))))</f>
        <v>Aussenlager</v>
      </c>
      <c r="BD514" s="55" t="str">
        <f aca="false">IF(AV514&lt;=0,"",IF(BU514="Aussen","Aussenlager",IF(BU514="-","Nicht im Lift",IF(BA514&gt;=1,"Lift",IF(BA514&lt;=0,"Aussenlager","teilweise")))))</f>
        <v>Aussenlager</v>
      </c>
      <c r="BE514" s="55" t="str">
        <f aca="false">IF(A514="","",IF(BN514=1,"Neu; ","")&amp;IF(AND(BN514=0,BI514&lt;0),"negativer Bestand (Export "&amp;BI514&amp;"); ","")&amp;IF(I514&lt;=0,"Kein Verbrauch; ","")&amp;IF(CD514&gt;0,"Lift "&amp;U514&amp;" lt. Liftbericht (Fach "&amp;V514&amp;" Stk); ",IF(BR514=1,"Lose – Fläche geschätzt; ",""))&amp;IF(G514&gt;AP514,"Überbestand "&amp;ROUND(G514-AP514,0)&amp;" Stk / CHF "&amp;ROUND((G514-AP514)*F514,0)&amp;"; ","")&amp;IF(AND(BW514=1,BX514&lt;BY514),"MAX &lt; MB+LG; ","")&amp;IF(AND(CC514&gt;0,CB514*10&gt;CC514),"zu hoch für Tablar; ","")&amp;IF(AND(BN514=0,OR(BW514=1,Y514&lt;&gt;"",S514&lt;&gt;"",T514&lt;&gt;"",Z514&lt;&gt;"")),"manuell übersteuert; ","")&amp;IF(AND(BR514=0,Q514=0),"Gebinde unbekannt / Stellmass fehlt; ","")&amp;IF(AND(BR514=0,N(T514)&lt;=0,N(P514)&lt;=0),"Menge pro Gebinde fehlt (Ist = 1 Gebinde); ","")&amp;BM514)</f>
        <v>Kein Verbrauch; Überbestand</v>
      </c>
      <c r="BF514" s="55"/>
      <c r="BG514" s="55"/>
      <c r="BH514" s="62"/>
      <c r="BI514" s="57" t="n">
        <v>12</v>
      </c>
      <c r="BJ514" s="57" t="n">
        <v>10</v>
      </c>
      <c r="BK514" s="56" t="n">
        <v>32.16</v>
      </c>
      <c r="BL514" s="57" t="n">
        <v>0</v>
      </c>
      <c r="BM514" s="55" t="s">
        <v>382</v>
      </c>
      <c r="BN514" s="60" t="n">
        <v>0</v>
      </c>
      <c r="BO514" s="60" t="n">
        <v>514</v>
      </c>
      <c r="BP514" s="55" t="str">
        <f aca="false">IF(S514&lt;&gt;"",UPPER(TRIM(S514)),IF(O514="","LOSE",O514))</f>
        <v>S52</v>
      </c>
      <c r="BQ514" s="57" t="n">
        <f aca="false">IF(BP514="LOSE",1,IF(N(T514)&gt;0,T514,IF(N(P514)&gt;0,P514,MAX(1,G514))))</f>
        <v>20</v>
      </c>
      <c r="BR514" s="60" t="n">
        <f aca="false">IF(BP514="LOSE",1,0)</f>
        <v>0</v>
      </c>
      <c r="BS514" s="59" t="n">
        <f aca="false">IF(BR514=0,0,IF(N(R514)&gt;0,R514,IFERROR(VLOOKUP(D514,Parameter!$A$35:$C$64,3,0)+0,0)))</f>
        <v>0</v>
      </c>
      <c r="BT514" s="55" t="n">
        <f aca="false">IF(Y514&lt;&gt;"",Y514,X514)</f>
        <v>3</v>
      </c>
      <c r="BU514" s="55" t="str">
        <f aca="false">IF(BT514=1,"L1",IF(OR(BT514=2,BT514=3),"L23",IF(BT514="Aussen","Aussen","-")))</f>
        <v>L23</v>
      </c>
      <c r="BV514" s="66" t="n">
        <f aca="false">IF(N(Z514)&gt;0,Z514,0)</f>
        <v>0</v>
      </c>
      <c r="BW514" s="60" t="n">
        <f aca="false">IF(ISNUMBER(AC514),1,0)</f>
        <v>0</v>
      </c>
      <c r="BX514" s="57" t="n">
        <f aca="false">N(AC514)</f>
        <v>0</v>
      </c>
      <c r="BY514" s="57" t="n">
        <f aca="false">N(L514)+N(M514)</f>
        <v>1</v>
      </c>
      <c r="BZ514" s="57" t="n">
        <f aca="false">ROUNDUP(G514/BQ514,0)</f>
        <v>1</v>
      </c>
      <c r="CA514" s="57" t="n">
        <f aca="false">ROUNDUP(BX514/BQ514,0)</f>
        <v>0</v>
      </c>
      <c r="CB514" s="60" t="n">
        <f aca="false">IF(BR514=1,0,IFERROR(VLOOKUP(BP514,'Gebinde-Kategorie'!$A$5:$M$45,5,0)+0,0))</f>
        <v>21</v>
      </c>
      <c r="CC514" s="60" t="n">
        <f aca="false">IFERROR(IF(OR(BT514=1,BT514=2,BT514=3),N(INDEX(Parameter!$I$5:$I$7,BT514)),0),0)</f>
        <v>0</v>
      </c>
      <c r="CD514" s="59" t="n">
        <f aca="false">IF(AND(Parameter!$B$21="Ja",ISNUMBER(U514),N(V514)&gt;0),IFERROR(N(INDEX(Parameter!$L$5:$L$7,U514))*INDEX(Parameter!$E$5:$E$7,U514)*V514/SUMIFS($V$7:$V$1576,$U$7:$U$1576,U514),0),0)</f>
        <v>0</v>
      </c>
    </row>
    <row r="515" customFormat="false" ht="15" hidden="false" customHeight="false" outlineLevel="0" collapsed="false">
      <c r="A515" s="55" t="s">
        <v>1111</v>
      </c>
      <c r="B515" s="55" t="s">
        <v>1112</v>
      </c>
      <c r="C515" s="55" t="s">
        <v>160</v>
      </c>
      <c r="D515" s="55" t="s">
        <v>178</v>
      </c>
      <c r="E515" s="55" t="s">
        <v>210</v>
      </c>
      <c r="F515" s="56" t="n">
        <v>5.23</v>
      </c>
      <c r="G515" s="57" t="n">
        <f aca="false">MAX(0,IF(AND(Parameter!$B$21="Ja",ISNUMBER(W515)),W515,IF(Parameter!$B$20="Jahresanfang 2025 + Export",BJ515+BI515,BI515)))</f>
        <v>6</v>
      </c>
      <c r="H515" s="57" t="n">
        <f aca="false">G515*F515</f>
        <v>31.38</v>
      </c>
      <c r="I515" s="57" t="n">
        <f aca="false">BL515*Parameter!$B$18</f>
        <v>19</v>
      </c>
      <c r="J515" s="58" t="n">
        <v>86.5</v>
      </c>
      <c r="K515" s="59" t="n">
        <v>0.219653179190751</v>
      </c>
      <c r="L515" s="57" t="n">
        <v>2</v>
      </c>
      <c r="M515" s="57" t="n">
        <v>108</v>
      </c>
      <c r="N515" s="60" t="n">
        <v>42</v>
      </c>
      <c r="O515" s="55" t="s">
        <v>284</v>
      </c>
      <c r="P515" s="57" t="n">
        <v>70</v>
      </c>
      <c r="Q515" s="60" t="n">
        <f aca="false">IF(BR515=1,0,IFERROR(VLOOKUP(BP515,'Gebinde-Kategorie'!$A$5:$M$45,13,0)+0,0))</f>
        <v>12</v>
      </c>
      <c r="R515" s="61"/>
      <c r="S515" s="62"/>
      <c r="T515" s="62"/>
      <c r="U515" s="55"/>
      <c r="V515" s="57"/>
      <c r="W515" s="57"/>
      <c r="X515" s="55" t="n">
        <f aca="false">IF(A515="","",IF(AND(Parameter!$B$21="Ja",ISNUMBER(U515)),U515,IF(IFERROR(VLOOKUP(D515,Parameter!$A$35:$C$64,2,0),"Nein")="2+3",IF(ISNUMBER(SEARCH("grosser Artikel",BM515)),2,IFERROR(VLOOKUP(BP515,Parameter!$F$35:$G$64,2,0),2)),IF(OR(IFERROR(VLOOKUP(D515,Parameter!$A$35:$C$64,2,0),"Nein")="Nein",IFERROR(VLOOKUP(D515,Parameter!$A$35:$C$64,2,0),"Nein")=""),"-",VLOOKUP(D515,Parameter!$A$35:$C$64,2,0)))))</f>
        <v>2</v>
      </c>
      <c r="Y515" s="62"/>
      <c r="Z515" s="63"/>
      <c r="AA515" s="57" t="n">
        <f aca="false">AP515</f>
        <v>140</v>
      </c>
      <c r="AB515" s="57" t="n">
        <f aca="false">MAX(AP515,G515)</f>
        <v>140</v>
      </c>
      <c r="AC515" s="64"/>
      <c r="AD515" s="57" t="n">
        <f aca="false">IF(LEFT(Cockpit!$C$5,1)="A",G515,IF(BW515=1,BX515,IF(LEFT(Cockpit!$C$5,1)="B",AH515,MAX(AH515,G515))))</f>
        <v>6</v>
      </c>
      <c r="AE515" s="57" t="n">
        <f aca="false">IF(BR515=1,0,ROUNDUP(AD515/BQ515,0))</f>
        <v>1</v>
      </c>
      <c r="AF515" s="59" t="n">
        <f aca="false">IF(CD515&gt;0,CD515*MAX(1,AD515/V515),IF(BR515=1,IF(AD515&lt;=0,0,BS515*MAX(1,IF(G515&gt;0,AD515/G515,1))),IF(Q515&gt;0,AE515/Q515,0))/MAX(0.1,N(Parameter!$M$21)))</f>
        <v>0.0833333333333333</v>
      </c>
      <c r="AG515" s="57" t="n">
        <f aca="false">AD515*F515</f>
        <v>31.38</v>
      </c>
      <c r="AH515" s="57" t="n">
        <f aca="false">ROUNDUP(MAX(I515/IF(BV515&gt;0,BV515,MAX(0.1,N(Cockpit!$C$6))),BY515)/BQ515,0)*BQ515</f>
        <v>140</v>
      </c>
      <c r="AI515" s="58" t="n">
        <f aca="false">IF(AF515&gt;0,I515/AF515,-1)</f>
        <v>228</v>
      </c>
      <c r="AJ515" s="58" t="n">
        <f aca="false">IF(AND(OR(BU515="L1",BU515="L23"),AF515&gt;0),SUMIFS($AF$7:$AF$1576,$BU$7:$BU$1576,BU515,$AI$7:$AI$1576,"&gt;"&amp;AI515)+SUMIFS($AF$7:$AF$1576,$BU$7:$BU$1576,BU515,$AI$7:$AI$1576,AI515,$BO$7:$BO$1576,"&lt;="&amp;BO515),"")</f>
        <v>16.369023343806</v>
      </c>
      <c r="AK515" s="65" t="n">
        <f aca="false">IF(AJ515="",0,MAX(0,MIN(1,(IF(BU515="L1",Parameter!$E$5,Parameter!$E$6+Parameter!$E$7)-(AJ515-AF515))/AF515)))</f>
        <v>1</v>
      </c>
      <c r="AL515" s="57" t="n">
        <f aca="false">IF(LEFT(Cockpit!$I$5,1)="A",G515,IF(BW515=1,BX515,IF(LEFT(Cockpit!$I$5,1)="B",AP515,MAX(AP515,G515))))</f>
        <v>140</v>
      </c>
      <c r="AM515" s="57" t="n">
        <f aca="false">IF(BR515=1,0,ROUNDUP(AL515/BQ515,0))</f>
        <v>2</v>
      </c>
      <c r="AN515" s="59" t="n">
        <f aca="false">IF(CD515&gt;0,CD515*MAX(1,AL515/V515),IF(BR515=1,IF(AL515&lt;=0,0,BS515*MAX(1,IF(G515&gt;0,AL515/G515,1))),IF(Q515&gt;0,AM515/Q515,0))/MAX(0.1,N(Parameter!$M$21)))</f>
        <v>0.166666666666667</v>
      </c>
      <c r="AO515" s="57" t="n">
        <f aca="false">AL515*F515</f>
        <v>732.2</v>
      </c>
      <c r="AP515" s="57" t="n">
        <f aca="false">ROUNDUP(MAX(I515/IF(BV515&gt;0,BV515,MAX(0.1,N(Cockpit!$I$6))),BY515)/BQ515,0)*BQ515</f>
        <v>140</v>
      </c>
      <c r="AQ515" s="58" t="n">
        <f aca="false">IF(AN515&gt;0,I515/AN515,-1)</f>
        <v>114</v>
      </c>
      <c r="AR515" s="58" t="n">
        <f aca="false">IF(AND(OR(BU515="L1",BU515="L23"),AN515&gt;0),SUMIFS($AN$7:$AN$1576,$BU$7:$BU$1576,BU515,$AQ$7:$AQ$1576,"&gt;"&amp;AQ515)+SUMIFS($AN$7:$AN$1576,$BU$7:$BU$1576,BU515,$AQ$7:$AQ$1576,AQ515,$BO$7:$BO$1576,"&lt;="&amp;BO515),"")</f>
        <v>66.4436690486802</v>
      </c>
      <c r="AS515" s="65" t="n">
        <f aca="false">IF(AR515="",0,MAX(0,MIN(1,(IF(BU515="L1",Parameter!$E$5,Parameter!$E$6+Parameter!$E$7)-(AR515-AN515))/AN515)))</f>
        <v>1</v>
      </c>
      <c r="AT515" s="57" t="n">
        <f aca="false">IF(LEFT(Cockpit!$O$5,1)="A",G515,IF(BW515=1,BX515,IF(LEFT(Cockpit!$O$5,1)="B",AX515,MAX(AX515,G515))))</f>
        <v>140</v>
      </c>
      <c r="AU515" s="57" t="n">
        <f aca="false">IF(BR515=1,0,ROUNDUP(AT515/BQ515,0))</f>
        <v>2</v>
      </c>
      <c r="AV515" s="59" t="n">
        <f aca="false">IF(CD515&gt;0,CD515*MAX(1,AT515/V515),IF(BR515=1,IF(AT515&lt;=0,0,BS515*MAX(1,IF(G515&gt;0,AT515/G515,1))),IF(Q515&gt;0,AU515/Q515,0))/MAX(0.1,N(Parameter!$M$21)))</f>
        <v>0.166666666666667</v>
      </c>
      <c r="AW515" s="57" t="n">
        <f aca="false">AT515*F515</f>
        <v>732.2</v>
      </c>
      <c r="AX515" s="57" t="n">
        <f aca="false">ROUNDUP(MAX(I515/IF(BV515&gt;0,BV515,MAX(0.1,N(Cockpit!$O$6))),BY515)/BQ515,0)*BQ515</f>
        <v>140</v>
      </c>
      <c r="AY515" s="58" t="n">
        <f aca="false">IF(AV515&gt;0,I515/AV515,-1)</f>
        <v>114</v>
      </c>
      <c r="AZ515" s="58" t="n">
        <f aca="false">IF(AND(OR(BU515="L1",BU515="L23"),AV515&gt;0),SUMIFS($AV$7:$AV$1576,$BU$7:$BU$1576,BU515,$AY$7:$AY$1576,"&gt;"&amp;AY515)+SUMIFS($AV$7:$AV$1576,$BU$7:$BU$1576,BU515,$AY$7:$AY$1576,AY515,$BO$7:$BO$1576,"&lt;="&amp;BO515),"")</f>
        <v>61.772802831564</v>
      </c>
      <c r="BA515" s="65" t="n">
        <f aca="false">IF(AZ515="",0,MAX(0,MIN(1,(IF(BU515="L1",Parameter!$E$5,Parameter!$E$6+Parameter!$E$7)-(AZ515-AV515))/AV515)))</f>
        <v>1</v>
      </c>
      <c r="BB515" s="55" t="str">
        <f aca="false">IF(AF515&lt;=0,"",IF(BU515="Aussen","Aussenlager",IF(BU515="-","Nicht im Lift",IF(AK515&gt;=1,"Lift",IF(AK515&lt;=0,"Aussenlager","teilweise")))))</f>
        <v>Lift</v>
      </c>
      <c r="BC515" s="55" t="str">
        <f aca="false">IF(AN515&lt;=0,"",IF(BU515="Aussen","Aussenlager",IF(BU515="-","Nicht im Lift",IF(AS515&gt;=1,"Lift",IF(AS515&lt;=0,"Aussenlager","teilweise")))))</f>
        <v>Lift</v>
      </c>
      <c r="BD515" s="55" t="str">
        <f aca="false">IF(AV515&lt;=0,"",IF(BU515="Aussen","Aussenlager",IF(BU515="-","Nicht im Lift",IF(BA515&gt;=1,"Lift",IF(BA515&lt;=0,"Aussenlager","teilweise")))))</f>
        <v>Lift</v>
      </c>
      <c r="BE515" s="55" t="str">
        <f aca="false">IF(A515="","",IF(BN515=1,"Neu; ","")&amp;IF(AND(BN515=0,BI515&lt;0),"negativer Bestand (Export "&amp;BI515&amp;"); ","")&amp;IF(I515&lt;=0,"Kein Verbrauch; ","")&amp;IF(CD515&gt;0,"Lift "&amp;U515&amp;" lt. Liftbericht (Fach "&amp;V515&amp;" Stk); ",IF(BR515=1,"Lose – Fläche geschätzt; ",""))&amp;IF(G515&gt;AP515,"Überbestand "&amp;ROUND(G515-AP515,0)&amp;" Stk / CHF "&amp;ROUND((G515-AP515)*F515,0)&amp;"; ","")&amp;IF(AND(BW515=1,BX515&lt;BY515),"MAX &lt; MB+LG; ","")&amp;IF(AND(CC515&gt;0,CB515*10&gt;CC515),"zu hoch für Tablar; ","")&amp;IF(AND(BN515=0,OR(BW515=1,Y515&lt;&gt;"",S515&lt;&gt;"",T515&lt;&gt;"",Z515&lt;&gt;"")),"manuell übersteuert; ","")&amp;IF(AND(BR515=0,Q515=0),"Gebinde unbekannt / Stellmass fehlt; ","")&amp;IF(AND(BR515=0,N(T515)&lt;=0,N(P515)&lt;=0),"Menge pro Gebinde fehlt (Ist = 1 Gebinde); ","")&amp;BM515)</f>
        <v/>
      </c>
      <c r="BF515" s="55"/>
      <c r="BG515" s="55"/>
      <c r="BH515" s="62"/>
      <c r="BI515" s="57" t="n">
        <v>6</v>
      </c>
      <c r="BJ515" s="57" t="n">
        <v>96</v>
      </c>
      <c r="BK515" s="56" t="n">
        <v>31.38</v>
      </c>
      <c r="BL515" s="57" t="n">
        <v>19</v>
      </c>
      <c r="BM515" s="55"/>
      <c r="BN515" s="60" t="n">
        <v>0</v>
      </c>
      <c r="BO515" s="60" t="n">
        <v>515</v>
      </c>
      <c r="BP515" s="55" t="str">
        <f aca="false">IF(S515&lt;&gt;"",UPPER(TRIM(S515)),IF(O515="","LOSE",O515))</f>
        <v>S62</v>
      </c>
      <c r="BQ515" s="57" t="n">
        <f aca="false">IF(BP515="LOSE",1,IF(N(T515)&gt;0,T515,IF(N(P515)&gt;0,P515,MAX(1,G515))))</f>
        <v>70</v>
      </c>
      <c r="BR515" s="60" t="n">
        <f aca="false">IF(BP515="LOSE",1,0)</f>
        <v>0</v>
      </c>
      <c r="BS515" s="59" t="n">
        <f aca="false">IF(BR515=0,0,IF(N(R515)&gt;0,R515,IFERROR(VLOOKUP(D515,Parameter!$A$35:$C$64,3,0)+0,0)))</f>
        <v>0</v>
      </c>
      <c r="BT515" s="55" t="n">
        <f aca="false">IF(Y515&lt;&gt;"",Y515,X515)</f>
        <v>2</v>
      </c>
      <c r="BU515" s="55" t="str">
        <f aca="false">IF(BT515=1,"L1",IF(OR(BT515=2,BT515=3),"L23",IF(BT515="Aussen","Aussen","-")))</f>
        <v>L23</v>
      </c>
      <c r="BV515" s="66" t="n">
        <f aca="false">IF(N(Z515)&gt;0,Z515,0)</f>
        <v>0</v>
      </c>
      <c r="BW515" s="60" t="n">
        <f aca="false">IF(ISNUMBER(AC515),1,0)</f>
        <v>0</v>
      </c>
      <c r="BX515" s="57" t="n">
        <f aca="false">N(AC515)</f>
        <v>0</v>
      </c>
      <c r="BY515" s="57" t="n">
        <f aca="false">N(L515)+N(M515)</f>
        <v>110</v>
      </c>
      <c r="BZ515" s="57" t="n">
        <f aca="false">ROUNDUP(G515/BQ515,0)</f>
        <v>1</v>
      </c>
      <c r="CA515" s="57" t="n">
        <f aca="false">ROUNDUP(BX515/BQ515,0)</f>
        <v>0</v>
      </c>
      <c r="CB515" s="60" t="n">
        <f aca="false">IF(BR515=1,0,IFERROR(VLOOKUP(BP515,'Gebinde-Kategorie'!$A$5:$M$45,5,0)+0,0))</f>
        <v>21</v>
      </c>
      <c r="CC515" s="60" t="n">
        <f aca="false">IFERROR(IF(OR(BT515=1,BT515=2,BT515=3),N(INDEX(Parameter!$I$5:$I$7,BT515)),0),0)</f>
        <v>0</v>
      </c>
      <c r="CD515" s="59" t="n">
        <f aca="false">IF(AND(Parameter!$B$21="Ja",ISNUMBER(U515),N(V515)&gt;0),IFERROR(N(INDEX(Parameter!$L$5:$L$7,U515))*INDEX(Parameter!$E$5:$E$7,U515)*V515/SUMIFS($V$7:$V$1576,$U$7:$U$1576,U515),0),0)</f>
        <v>0</v>
      </c>
    </row>
    <row r="516" customFormat="false" ht="15" hidden="false" customHeight="false" outlineLevel="0" collapsed="false">
      <c r="A516" s="55" t="s">
        <v>1113</v>
      </c>
      <c r="B516" s="55" t="s">
        <v>457</v>
      </c>
      <c r="C516" s="55" t="s">
        <v>160</v>
      </c>
      <c r="D516" s="55" t="s">
        <v>178</v>
      </c>
      <c r="E516" s="55" t="s">
        <v>210</v>
      </c>
      <c r="F516" s="56" t="n">
        <v>0.14</v>
      </c>
      <c r="G516" s="57" t="n">
        <f aca="false">MAX(0,IF(AND(Parameter!$B$21="Ja",ISNUMBER(W516)),W516,IF(Parameter!$B$20="Jahresanfang 2025 + Export",BJ516+BI516,BI516)))</f>
        <v>266</v>
      </c>
      <c r="H516" s="57" t="n">
        <f aca="false">G516*F516</f>
        <v>37.24</v>
      </c>
      <c r="I516" s="57" t="n">
        <f aca="false">BL516*Parameter!$B$18</f>
        <v>360</v>
      </c>
      <c r="J516" s="58" t="n">
        <v>84.5</v>
      </c>
      <c r="K516" s="59" t="n">
        <v>4.2603550295858</v>
      </c>
      <c r="L516" s="57" t="n">
        <v>14</v>
      </c>
      <c r="M516" s="57" t="n">
        <v>360</v>
      </c>
      <c r="N516" s="60" t="n">
        <v>14</v>
      </c>
      <c r="O516" s="55" t="s">
        <v>416</v>
      </c>
      <c r="P516" s="57" t="n">
        <v>81</v>
      </c>
      <c r="Q516" s="60" t="n">
        <f aca="false">IF(BR516=1,0,IFERROR(VLOOKUP(BP516,'Gebinde-Kategorie'!$A$5:$M$45,13,0)+0,0))</f>
        <v>198</v>
      </c>
      <c r="R516" s="61"/>
      <c r="S516" s="62"/>
      <c r="T516" s="62"/>
      <c r="U516" s="55"/>
      <c r="V516" s="57"/>
      <c r="W516" s="57"/>
      <c r="X516" s="55" t="n">
        <f aca="false">IF(A516="","",IF(AND(Parameter!$B$21="Ja",ISNUMBER(U516)),U516,IF(IFERROR(VLOOKUP(D516,Parameter!$A$35:$C$64,2,0),"Nein")="2+3",IF(ISNUMBER(SEARCH("grosser Artikel",BM516)),2,IFERROR(VLOOKUP(BP516,Parameter!$F$35:$G$64,2,0),2)),IF(OR(IFERROR(VLOOKUP(D516,Parameter!$A$35:$C$64,2,0),"Nein")="Nein",IFERROR(VLOOKUP(D516,Parameter!$A$35:$C$64,2,0),"Nein")=""),"-",VLOOKUP(D516,Parameter!$A$35:$C$64,2,0)))))</f>
        <v>3</v>
      </c>
      <c r="Y516" s="62"/>
      <c r="Z516" s="63"/>
      <c r="AA516" s="57" t="n">
        <f aca="false">AP516</f>
        <v>405</v>
      </c>
      <c r="AB516" s="57" t="n">
        <f aca="false">MAX(AP516,G516)</f>
        <v>405</v>
      </c>
      <c r="AC516" s="64"/>
      <c r="AD516" s="57" t="n">
        <f aca="false">IF(LEFT(Cockpit!$C$5,1)="A",G516,IF(BW516=1,BX516,IF(LEFT(Cockpit!$C$5,1)="B",AH516,MAX(AH516,G516))))</f>
        <v>266</v>
      </c>
      <c r="AE516" s="57" t="n">
        <f aca="false">IF(BR516=1,0,ROUNDUP(AD516/BQ516,0))</f>
        <v>4</v>
      </c>
      <c r="AF516" s="59" t="n">
        <f aca="false">IF(CD516&gt;0,CD516*MAX(1,AD516/V516),IF(BR516=1,IF(AD516&lt;=0,0,BS516*MAX(1,IF(G516&gt;0,AD516/G516,1))),IF(Q516&gt;0,AE516/Q516,0))/MAX(0.1,N(Parameter!$M$21)))</f>
        <v>0.0202020202020202</v>
      </c>
      <c r="AG516" s="57" t="n">
        <f aca="false">AD516*F516</f>
        <v>37.24</v>
      </c>
      <c r="AH516" s="57" t="n">
        <f aca="false">ROUNDUP(MAX(I516/IF(BV516&gt;0,BV516,MAX(0.1,N(Cockpit!$C$6))),BY516)/BQ516,0)*BQ516</f>
        <v>405</v>
      </c>
      <c r="AI516" s="58" t="n">
        <f aca="false">IF(AF516&gt;0,I516/AF516,-1)</f>
        <v>17820</v>
      </c>
      <c r="AJ516" s="58" t="n">
        <f aca="false">IF(AND(OR(BU516="L1",BU516="L23"),AF516&gt;0),SUMIFS($AF$7:$AF$1576,$BU$7:$BU$1576,BU516,$AI$7:$AI$1576,"&gt;"&amp;AI516)+SUMIFS($AF$7:$AF$1576,$BU$7:$BU$1576,BU516,$AI$7:$AI$1576,AI516,$BO$7:$BO$1576,"&lt;="&amp;BO516),"")</f>
        <v>2.07091821222256</v>
      </c>
      <c r="AK516" s="65" t="n">
        <f aca="false">IF(AJ516="",0,MAX(0,MIN(1,(IF(BU516="L1",Parameter!$E$5,Parameter!$E$6+Parameter!$E$7)-(AJ516-AF516))/AF516)))</f>
        <v>1</v>
      </c>
      <c r="AL516" s="57" t="n">
        <f aca="false">IF(LEFT(Cockpit!$I$5,1)="A",G516,IF(BW516=1,BX516,IF(LEFT(Cockpit!$I$5,1)="B",AP516,MAX(AP516,G516))))</f>
        <v>405</v>
      </c>
      <c r="AM516" s="57" t="n">
        <f aca="false">IF(BR516=1,0,ROUNDUP(AL516/BQ516,0))</f>
        <v>5</v>
      </c>
      <c r="AN516" s="59" t="n">
        <f aca="false">IF(CD516&gt;0,CD516*MAX(1,AL516/V516),IF(BR516=1,IF(AL516&lt;=0,0,BS516*MAX(1,IF(G516&gt;0,AL516/G516,1))),IF(Q516&gt;0,AM516/Q516,0))/MAX(0.1,N(Parameter!$M$21)))</f>
        <v>0.0252525252525253</v>
      </c>
      <c r="AO516" s="57" t="n">
        <f aca="false">AL516*F516</f>
        <v>56.7</v>
      </c>
      <c r="AP516" s="57" t="n">
        <f aca="false">ROUNDUP(MAX(I516/IF(BV516&gt;0,BV516,MAX(0.1,N(Cockpit!$I$6))),BY516)/BQ516,0)*BQ516</f>
        <v>405</v>
      </c>
      <c r="AQ516" s="58" t="n">
        <f aca="false">IF(AN516&gt;0,I516/AN516,-1)</f>
        <v>14256</v>
      </c>
      <c r="AR516" s="58" t="n">
        <f aca="false">IF(AND(OR(BU516="L1",BU516="L23"),AN516&gt;0),SUMIFS($AN$7:$AN$1576,$BU$7:$BU$1576,BU516,$AQ$7:$AQ$1576,"&gt;"&amp;AQ516)+SUMIFS($AN$7:$AN$1576,$BU$7:$BU$1576,BU516,$AQ$7:$AQ$1576,AQ516,$BO$7:$BO$1576,"&lt;="&amp;BO516),"")</f>
        <v>5.68005439005439</v>
      </c>
      <c r="AS516" s="65" t="n">
        <f aca="false">IF(AR516="",0,MAX(0,MIN(1,(IF(BU516="L1",Parameter!$E$5,Parameter!$E$6+Parameter!$E$7)-(AR516-AN516))/AN516)))</f>
        <v>1</v>
      </c>
      <c r="AT516" s="57" t="n">
        <f aca="false">IF(LEFT(Cockpit!$O$5,1)="A",G516,IF(BW516=1,BX516,IF(LEFT(Cockpit!$O$5,1)="B",AX516,MAX(AX516,G516))))</f>
        <v>405</v>
      </c>
      <c r="AU516" s="57" t="n">
        <f aca="false">IF(BR516=1,0,ROUNDUP(AT516/BQ516,0))</f>
        <v>5</v>
      </c>
      <c r="AV516" s="59" t="n">
        <f aca="false">IF(CD516&gt;0,CD516*MAX(1,AT516/V516),IF(BR516=1,IF(AT516&lt;=0,0,BS516*MAX(1,IF(G516&gt;0,AT516/G516,1))),IF(Q516&gt;0,AU516/Q516,0))/MAX(0.1,N(Parameter!$M$21)))</f>
        <v>0.0252525252525253</v>
      </c>
      <c r="AW516" s="57" t="n">
        <f aca="false">AT516*F516</f>
        <v>56.7</v>
      </c>
      <c r="AX516" s="57" t="n">
        <f aca="false">ROUNDUP(MAX(I516/IF(BV516&gt;0,BV516,MAX(0.1,N(Cockpit!$O$6))),BY516)/BQ516,0)*BQ516</f>
        <v>405</v>
      </c>
      <c r="AY516" s="58" t="n">
        <f aca="false">IF(AV516&gt;0,I516/AV516,-1)</f>
        <v>14256</v>
      </c>
      <c r="AZ516" s="58" t="n">
        <f aca="false">IF(AND(OR(BU516="L1",BU516="L23"),AV516&gt;0),SUMIFS($AV$7:$AV$1576,$BU$7:$BU$1576,BU516,$AY$7:$AY$1576,"&gt;"&amp;AY516)+SUMIFS($AV$7:$AV$1576,$BU$7:$BU$1576,BU516,$AY$7:$AY$1576,AY516,$BO$7:$BO$1576,"&lt;="&amp;BO516),"")</f>
        <v>5.22783993783994</v>
      </c>
      <c r="BA516" s="65" t="n">
        <f aca="false">IF(AZ516="",0,MAX(0,MIN(1,(IF(BU516="L1",Parameter!$E$5,Parameter!$E$6+Parameter!$E$7)-(AZ516-AV516))/AV516)))</f>
        <v>1</v>
      </c>
      <c r="BB516" s="55" t="str">
        <f aca="false">IF(AF516&lt;=0,"",IF(BU516="Aussen","Aussenlager",IF(BU516="-","Nicht im Lift",IF(AK516&gt;=1,"Lift",IF(AK516&lt;=0,"Aussenlager","teilweise")))))</f>
        <v>Lift</v>
      </c>
      <c r="BC516" s="55" t="str">
        <f aca="false">IF(AN516&lt;=0,"",IF(BU516="Aussen","Aussenlager",IF(BU516="-","Nicht im Lift",IF(AS516&gt;=1,"Lift",IF(AS516&lt;=0,"Aussenlager","teilweise")))))</f>
        <v>Lift</v>
      </c>
      <c r="BD516" s="55" t="str">
        <f aca="false">IF(AV516&lt;=0,"",IF(BU516="Aussen","Aussenlager",IF(BU516="-","Nicht im Lift",IF(BA516&gt;=1,"Lift",IF(BA516&lt;=0,"Aussenlager","teilweise")))))</f>
        <v>Lift</v>
      </c>
      <c r="BE516" s="55" t="str">
        <f aca="false">IF(A516="","",IF(BN516=1,"Neu; ","")&amp;IF(AND(BN516=0,BI516&lt;0),"negativer Bestand (Export "&amp;BI516&amp;"); ","")&amp;IF(I516&lt;=0,"Kein Verbrauch; ","")&amp;IF(CD516&gt;0,"Lift "&amp;U516&amp;" lt. Liftbericht (Fach "&amp;V516&amp;" Stk); ",IF(BR516=1,"Lose – Fläche geschätzt; ",""))&amp;IF(G516&gt;AP516,"Überbestand "&amp;ROUND(G516-AP516,0)&amp;" Stk / CHF "&amp;ROUND((G516-AP516)*F516,0)&amp;"; ","")&amp;IF(AND(BW516=1,BX516&lt;BY516),"MAX &lt; MB+LG; ","")&amp;IF(AND(CC516&gt;0,CB516*10&gt;CC516),"zu hoch für Tablar; ","")&amp;IF(AND(BN516=0,OR(BW516=1,Y516&lt;&gt;"",S516&lt;&gt;"",T516&lt;&gt;"",Z516&lt;&gt;"")),"manuell übersteuert; ","")&amp;IF(AND(BR516=0,Q516=0),"Gebinde unbekannt / Stellmass fehlt; ","")&amp;IF(AND(BR516=0,N(T516)&lt;=0,N(P516)&lt;=0),"Menge pro Gebinde fehlt (Ist = 1 Gebinde); ","")&amp;BM516)</f>
        <v/>
      </c>
      <c r="BF516" s="55"/>
      <c r="BG516" s="55"/>
      <c r="BH516" s="62"/>
      <c r="BI516" s="57" t="n">
        <v>266</v>
      </c>
      <c r="BJ516" s="57" t="n">
        <v>89</v>
      </c>
      <c r="BK516" s="56" t="n">
        <v>31.01</v>
      </c>
      <c r="BL516" s="57" t="n">
        <v>360</v>
      </c>
      <c r="BM516" s="55"/>
      <c r="BN516" s="60" t="n">
        <v>0</v>
      </c>
      <c r="BO516" s="60" t="n">
        <v>516</v>
      </c>
      <c r="BP516" s="55" t="str">
        <f aca="false">IF(S516&lt;&gt;"",UPPER(TRIM(S516)),IF(O516="","LOSE",O516))</f>
        <v>S22</v>
      </c>
      <c r="BQ516" s="57" t="n">
        <f aca="false">IF(BP516="LOSE",1,IF(N(T516)&gt;0,T516,IF(N(P516)&gt;0,P516,MAX(1,G516))))</f>
        <v>81</v>
      </c>
      <c r="BR516" s="60" t="n">
        <f aca="false">IF(BP516="LOSE",1,0)</f>
        <v>0</v>
      </c>
      <c r="BS516" s="59" t="n">
        <f aca="false">IF(BR516=0,0,IF(N(R516)&gt;0,R516,IFERROR(VLOOKUP(D516,Parameter!$A$35:$C$64,3,0)+0,0)))</f>
        <v>0</v>
      </c>
      <c r="BT516" s="55" t="n">
        <f aca="false">IF(Y516&lt;&gt;"",Y516,X516)</f>
        <v>3</v>
      </c>
      <c r="BU516" s="55" t="str">
        <f aca="false">IF(BT516=1,"L1",IF(OR(BT516=2,BT516=3),"L23",IF(BT516="Aussen","Aussen","-")))</f>
        <v>L23</v>
      </c>
      <c r="BV516" s="66" t="n">
        <f aca="false">IF(N(Z516)&gt;0,Z516,0)</f>
        <v>0</v>
      </c>
      <c r="BW516" s="60" t="n">
        <f aca="false">IF(ISNUMBER(AC516),1,0)</f>
        <v>0</v>
      </c>
      <c r="BX516" s="57" t="n">
        <f aca="false">N(AC516)</f>
        <v>0</v>
      </c>
      <c r="BY516" s="57" t="n">
        <f aca="false">N(L516)+N(M516)</f>
        <v>374</v>
      </c>
      <c r="BZ516" s="57" t="n">
        <f aca="false">ROUNDUP(G516/BQ516,0)</f>
        <v>4</v>
      </c>
      <c r="CA516" s="57" t="n">
        <f aca="false">ROUNDUP(BX516/BQ516,0)</f>
        <v>0</v>
      </c>
      <c r="CB516" s="60" t="n">
        <f aca="false">IF(BR516=1,0,IFERROR(VLOOKUP(BP516,'Gebinde-Kategorie'!$A$5:$M$45,5,0)+0,0))</f>
        <v>8</v>
      </c>
      <c r="CC516" s="60" t="n">
        <f aca="false">IFERROR(IF(OR(BT516=1,BT516=2,BT516=3),N(INDEX(Parameter!$I$5:$I$7,BT516)),0),0)</f>
        <v>0</v>
      </c>
      <c r="CD516" s="59" t="n">
        <f aca="false">IF(AND(Parameter!$B$21="Ja",ISNUMBER(U516),N(V516)&gt;0),IFERROR(N(INDEX(Parameter!$L$5:$L$7,U516))*INDEX(Parameter!$E$5:$E$7,U516)*V516/SUMIFS($V$7:$V$1576,$U$7:$U$1576,U516),0),0)</f>
        <v>0</v>
      </c>
    </row>
    <row r="517" customFormat="false" ht="15" hidden="false" customHeight="false" outlineLevel="0" collapsed="false">
      <c r="A517" s="55" t="s">
        <v>1114</v>
      </c>
      <c r="B517" s="55" t="s">
        <v>783</v>
      </c>
      <c r="C517" s="55" t="s">
        <v>160</v>
      </c>
      <c r="D517" s="55" t="s">
        <v>178</v>
      </c>
      <c r="E517" s="55" t="s">
        <v>210</v>
      </c>
      <c r="F517" s="56" t="n">
        <v>27.04</v>
      </c>
      <c r="G517" s="57" t="n">
        <f aca="false">MAX(0,IF(AND(Parameter!$B$21="Ja",ISNUMBER(W517)),W517,IF(Parameter!$B$20="Jahresanfang 2025 + Export",BJ517+BI517,BI517)))</f>
        <v>1</v>
      </c>
      <c r="H517" s="57" t="n">
        <f aca="false">G517*F517</f>
        <v>27.04</v>
      </c>
      <c r="I517" s="57" t="n">
        <f aca="false">BL517*Parameter!$B$18</f>
        <v>5</v>
      </c>
      <c r="J517" s="58" t="n">
        <v>4</v>
      </c>
      <c r="K517" s="59" t="n">
        <v>1.25</v>
      </c>
      <c r="L517" s="57" t="n">
        <v>5</v>
      </c>
      <c r="M517" s="57" t="n">
        <v>5</v>
      </c>
      <c r="N517" s="60" t="n">
        <v>14</v>
      </c>
      <c r="O517" s="55" t="s">
        <v>319</v>
      </c>
      <c r="P517" s="57" t="n">
        <v>5</v>
      </c>
      <c r="Q517" s="60" t="n">
        <f aca="false">IF(BR517=1,0,IFERROR(VLOOKUP(BP517,'Gebinde-Kategorie'!$A$5:$M$45,13,0)+0,0))</f>
        <v>52</v>
      </c>
      <c r="R517" s="61"/>
      <c r="S517" s="62"/>
      <c r="T517" s="62"/>
      <c r="U517" s="55"/>
      <c r="V517" s="57"/>
      <c r="W517" s="57"/>
      <c r="X517" s="55" t="n">
        <f aca="false">IF(A517="","",IF(AND(Parameter!$B$21="Ja",ISNUMBER(U517)),U517,IF(IFERROR(VLOOKUP(D517,Parameter!$A$35:$C$64,2,0),"Nein")="2+3",IF(ISNUMBER(SEARCH("grosser Artikel",BM517)),2,IFERROR(VLOOKUP(BP517,Parameter!$F$35:$G$64,2,0),2)),IF(OR(IFERROR(VLOOKUP(D517,Parameter!$A$35:$C$64,2,0),"Nein")="Nein",IFERROR(VLOOKUP(D517,Parameter!$A$35:$C$64,2,0),"Nein")=""),"-",VLOOKUP(D517,Parameter!$A$35:$C$64,2,0)))))</f>
        <v>3</v>
      </c>
      <c r="Y517" s="62"/>
      <c r="Z517" s="63"/>
      <c r="AA517" s="57" t="n">
        <f aca="false">AP517</f>
        <v>10</v>
      </c>
      <c r="AB517" s="57" t="n">
        <f aca="false">MAX(AP517,G517)</f>
        <v>10</v>
      </c>
      <c r="AC517" s="64"/>
      <c r="AD517" s="57" t="n">
        <f aca="false">IF(LEFT(Cockpit!$C$5,1)="A",G517,IF(BW517=1,BX517,IF(LEFT(Cockpit!$C$5,1)="B",AH517,MAX(AH517,G517))))</f>
        <v>1</v>
      </c>
      <c r="AE517" s="57" t="n">
        <f aca="false">IF(BR517=1,0,ROUNDUP(AD517/BQ517,0))</f>
        <v>1</v>
      </c>
      <c r="AF517" s="59" t="n">
        <f aca="false">IF(CD517&gt;0,CD517*MAX(1,AD517/V517),IF(BR517=1,IF(AD517&lt;=0,0,BS517*MAX(1,IF(G517&gt;0,AD517/G517,1))),IF(Q517&gt;0,AE517/Q517,0))/MAX(0.1,N(Parameter!$M$21)))</f>
        <v>0.0192307692307692</v>
      </c>
      <c r="AG517" s="57" t="n">
        <f aca="false">AD517*F517</f>
        <v>27.04</v>
      </c>
      <c r="AH517" s="57" t="n">
        <f aca="false">ROUNDUP(MAX(I517/IF(BV517&gt;0,BV517,MAX(0.1,N(Cockpit!$C$6))),BY517)/BQ517,0)*BQ517</f>
        <v>10</v>
      </c>
      <c r="AI517" s="58" t="n">
        <f aca="false">IF(AF517&gt;0,I517/AF517,-1)</f>
        <v>260</v>
      </c>
      <c r="AJ517" s="58" t="n">
        <f aca="false">IF(AND(OR(BU517="L1",BU517="L23"),AF517&gt;0),SUMIFS($AF$7:$AF$1576,$BU$7:$BU$1576,BU517,$AI$7:$AI$1576,"&gt;"&amp;AI517)+SUMIFS($AF$7:$AF$1576,$BU$7:$BU$1576,BU517,$AI$7:$AI$1576,AI517,$BO$7:$BO$1576,"&lt;="&amp;BO517),"")</f>
        <v>15.7250839498666</v>
      </c>
      <c r="AK517" s="65" t="n">
        <f aca="false">IF(AJ517="",0,MAX(0,MIN(1,(IF(BU517="L1",Parameter!$E$5,Parameter!$E$6+Parameter!$E$7)-(AJ517-AF517))/AF517)))</f>
        <v>1</v>
      </c>
      <c r="AL517" s="57" t="n">
        <f aca="false">IF(LEFT(Cockpit!$I$5,1)="A",G517,IF(BW517=1,BX517,IF(LEFT(Cockpit!$I$5,1)="B",AP517,MAX(AP517,G517))))</f>
        <v>10</v>
      </c>
      <c r="AM517" s="57" t="n">
        <f aca="false">IF(BR517=1,0,ROUNDUP(AL517/BQ517,0))</f>
        <v>2</v>
      </c>
      <c r="AN517" s="59" t="n">
        <f aca="false">IF(CD517&gt;0,CD517*MAX(1,AL517/V517),IF(BR517=1,IF(AL517&lt;=0,0,BS517*MAX(1,IF(G517&gt;0,AL517/G517,1))),IF(Q517&gt;0,AM517/Q517,0))/MAX(0.1,N(Parameter!$M$21)))</f>
        <v>0.0384615384615385</v>
      </c>
      <c r="AO517" s="57" t="n">
        <f aca="false">AL517*F517</f>
        <v>270.4</v>
      </c>
      <c r="AP517" s="57" t="n">
        <f aca="false">ROUNDUP(MAX(I517/IF(BV517&gt;0,BV517,MAX(0.1,N(Cockpit!$I$6))),BY517)/BQ517,0)*BQ517</f>
        <v>10</v>
      </c>
      <c r="AQ517" s="58" t="n">
        <f aca="false">IF(AN517&gt;0,I517/AN517,-1)</f>
        <v>130</v>
      </c>
      <c r="AR517" s="58" t="n">
        <f aca="false">IF(AND(OR(BU517="L1",BU517="L23"),AN517&gt;0),SUMIFS($AN$7:$AN$1576,$BU$7:$BU$1576,BU517,$AQ$7:$AQ$1576,"&gt;"&amp;AQ517)+SUMIFS($AN$7:$AN$1576,$BU$7:$BU$1576,BU517,$AQ$7:$AQ$1576,AQ517,$BO$7:$BO$1576,"&lt;="&amp;BO517),"")</f>
        <v>61.2000793050905</v>
      </c>
      <c r="AS517" s="65" t="n">
        <f aca="false">IF(AR517="",0,MAX(0,MIN(1,(IF(BU517="L1",Parameter!$E$5,Parameter!$E$6+Parameter!$E$7)-(AR517-AN517))/AN517)))</f>
        <v>1</v>
      </c>
      <c r="AT517" s="57" t="n">
        <f aca="false">IF(LEFT(Cockpit!$O$5,1)="A",G517,IF(BW517=1,BX517,IF(LEFT(Cockpit!$O$5,1)="B",AX517,MAX(AX517,G517))))</f>
        <v>10</v>
      </c>
      <c r="AU517" s="57" t="n">
        <f aca="false">IF(BR517=1,0,ROUNDUP(AT517/BQ517,0))</f>
        <v>2</v>
      </c>
      <c r="AV517" s="59" t="n">
        <f aca="false">IF(CD517&gt;0,CD517*MAX(1,AT517/V517),IF(BR517=1,IF(AT517&lt;=0,0,BS517*MAX(1,IF(G517&gt;0,AT517/G517,1))),IF(Q517&gt;0,AU517/Q517,0))/MAX(0.1,N(Parameter!$M$21)))</f>
        <v>0.0384615384615385</v>
      </c>
      <c r="AW517" s="57" t="n">
        <f aca="false">AT517*F517</f>
        <v>270.4</v>
      </c>
      <c r="AX517" s="57" t="n">
        <f aca="false">ROUNDUP(MAX(I517/IF(BV517&gt;0,BV517,MAX(0.1,N(Cockpit!$O$6))),BY517)/BQ517,0)*BQ517</f>
        <v>10</v>
      </c>
      <c r="AY517" s="58" t="n">
        <f aca="false">IF(AV517&gt;0,I517/AV517,-1)</f>
        <v>130</v>
      </c>
      <c r="AZ517" s="58" t="n">
        <f aca="false">IF(AND(OR(BU517="L1",BU517="L23"),AV517&gt;0),SUMIFS($AV$7:$AV$1576,$BU$7:$BU$1576,BU517,$AY$7:$AY$1576,"&gt;"&amp;AY517)+SUMIFS($AV$7:$AV$1576,$BU$7:$BU$1576,BU517,$AY$7:$AY$1576,AY517,$BO$7:$BO$1576,"&lt;="&amp;BO517),"")</f>
        <v>56.5292130879743</v>
      </c>
      <c r="BA517" s="65" t="n">
        <f aca="false">IF(AZ517="",0,MAX(0,MIN(1,(IF(BU517="L1",Parameter!$E$5,Parameter!$E$6+Parameter!$E$7)-(AZ517-AV517))/AV517)))</f>
        <v>1</v>
      </c>
      <c r="BB517" s="55" t="str">
        <f aca="false">IF(AF517&lt;=0,"",IF(BU517="Aussen","Aussenlager",IF(BU517="-","Nicht im Lift",IF(AK517&gt;=1,"Lift",IF(AK517&lt;=0,"Aussenlager","teilweise")))))</f>
        <v>Lift</v>
      </c>
      <c r="BC517" s="55" t="str">
        <f aca="false">IF(AN517&lt;=0,"",IF(BU517="Aussen","Aussenlager",IF(BU517="-","Nicht im Lift",IF(AS517&gt;=1,"Lift",IF(AS517&lt;=0,"Aussenlager","teilweise")))))</f>
        <v>Lift</v>
      </c>
      <c r="BD517" s="55" t="str">
        <f aca="false">IF(AV517&lt;=0,"",IF(BU517="Aussen","Aussenlager",IF(BU517="-","Nicht im Lift",IF(BA517&gt;=1,"Lift",IF(BA517&lt;=0,"Aussenlager","teilweise")))))</f>
        <v>Lift</v>
      </c>
      <c r="BE517" s="55" t="str">
        <f aca="false">IF(A517="","",IF(BN517=1,"Neu; ","")&amp;IF(AND(BN517=0,BI517&lt;0),"negativer Bestand (Export "&amp;BI517&amp;"); ","")&amp;IF(I517&lt;=0,"Kein Verbrauch; ","")&amp;IF(CD517&gt;0,"Lift "&amp;U517&amp;" lt. Liftbericht (Fach "&amp;V517&amp;" Stk); ",IF(BR517=1,"Lose – Fläche geschätzt; ",""))&amp;IF(G517&gt;AP517,"Überbestand "&amp;ROUND(G517-AP517,0)&amp;" Stk / CHF "&amp;ROUND((G517-AP517)*F517,0)&amp;"; ","")&amp;IF(AND(BW517=1,BX517&lt;BY517),"MAX &lt; MB+LG; ","")&amp;IF(AND(CC517&gt;0,CB517*10&gt;CC517),"zu hoch für Tablar; ","")&amp;IF(AND(BN517=0,OR(BW517=1,Y517&lt;&gt;"",S517&lt;&gt;"",T517&lt;&gt;"",Z517&lt;&gt;"")),"manuell übersteuert; ","")&amp;IF(AND(BR517=0,Q517=0),"Gebinde unbekannt / Stellmass fehlt; ","")&amp;IF(AND(BR517=0,N(T517)&lt;=0,N(P517)&lt;=0),"Menge pro Gebinde fehlt (Ist = 1 Gebinde); ","")&amp;BM517)</f>
        <v/>
      </c>
      <c r="BF517" s="55"/>
      <c r="BG517" s="55"/>
      <c r="BH517" s="62"/>
      <c r="BI517" s="57" t="n">
        <v>1</v>
      </c>
      <c r="BJ517" s="57" t="n">
        <v>4</v>
      </c>
      <c r="BK517" s="56" t="n">
        <v>30.96</v>
      </c>
      <c r="BL517" s="57" t="n">
        <v>5</v>
      </c>
      <c r="BM517" s="55"/>
      <c r="BN517" s="60" t="n">
        <v>0</v>
      </c>
      <c r="BO517" s="60" t="n">
        <v>517</v>
      </c>
      <c r="BP517" s="55" t="str">
        <f aca="false">IF(S517&lt;&gt;"",UPPER(TRIM(S517)),IF(O517="","LOSE",O517))</f>
        <v>S41</v>
      </c>
      <c r="BQ517" s="57" t="n">
        <f aca="false">IF(BP517="LOSE",1,IF(N(T517)&gt;0,T517,IF(N(P517)&gt;0,P517,MAX(1,G517))))</f>
        <v>5</v>
      </c>
      <c r="BR517" s="60" t="n">
        <f aca="false">IF(BP517="LOSE",1,0)</f>
        <v>0</v>
      </c>
      <c r="BS517" s="59" t="n">
        <f aca="false">IF(BR517=0,0,IF(N(R517)&gt;0,R517,IFERROR(VLOOKUP(D517,Parameter!$A$35:$C$64,3,0)+0,0)))</f>
        <v>0</v>
      </c>
      <c r="BT517" s="55" t="n">
        <f aca="false">IF(Y517&lt;&gt;"",Y517,X517)</f>
        <v>3</v>
      </c>
      <c r="BU517" s="55" t="str">
        <f aca="false">IF(BT517=1,"L1",IF(OR(BT517=2,BT517=3),"L23",IF(BT517="Aussen","Aussen","-")))</f>
        <v>L23</v>
      </c>
      <c r="BV517" s="66" t="n">
        <f aca="false">IF(N(Z517)&gt;0,Z517,0)</f>
        <v>0</v>
      </c>
      <c r="BW517" s="60" t="n">
        <f aca="false">IF(ISNUMBER(AC517),1,0)</f>
        <v>0</v>
      </c>
      <c r="BX517" s="57" t="n">
        <f aca="false">N(AC517)</f>
        <v>0</v>
      </c>
      <c r="BY517" s="57" t="n">
        <f aca="false">N(L517)+N(M517)</f>
        <v>10</v>
      </c>
      <c r="BZ517" s="57" t="n">
        <f aca="false">ROUNDUP(G517/BQ517,0)</f>
        <v>1</v>
      </c>
      <c r="CA517" s="57" t="n">
        <f aca="false">ROUNDUP(BX517/BQ517,0)</f>
        <v>0</v>
      </c>
      <c r="CB517" s="60" t="n">
        <f aca="false">IF(BR517=1,0,IFERROR(VLOOKUP(BP517,'Gebinde-Kategorie'!$A$5:$M$45,5,0)+0,0))</f>
        <v>11</v>
      </c>
      <c r="CC517" s="60" t="n">
        <f aca="false">IFERROR(IF(OR(BT517=1,BT517=2,BT517=3),N(INDEX(Parameter!$I$5:$I$7,BT517)),0),0)</f>
        <v>0</v>
      </c>
      <c r="CD517" s="59" t="n">
        <f aca="false">IF(AND(Parameter!$B$21="Ja",ISNUMBER(U517),N(V517)&gt;0),IFERROR(N(INDEX(Parameter!$L$5:$L$7,U517))*INDEX(Parameter!$E$5:$E$7,U517)*V517/SUMIFS($V$7:$V$1576,$U$7:$U$1576,U517),0),0)</f>
        <v>0</v>
      </c>
    </row>
    <row r="518" customFormat="false" ht="15" hidden="false" customHeight="false" outlineLevel="0" collapsed="false">
      <c r="A518" s="55" t="s">
        <v>1115</v>
      </c>
      <c r="B518" s="55" t="s">
        <v>1116</v>
      </c>
      <c r="C518" s="55" t="s">
        <v>160</v>
      </c>
      <c r="D518" s="55" t="s">
        <v>178</v>
      </c>
      <c r="E518" s="55" t="s">
        <v>210</v>
      </c>
      <c r="F518" s="56" t="n">
        <v>3.19</v>
      </c>
      <c r="G518" s="57" t="n">
        <f aca="false">MAX(0,IF(AND(Parameter!$B$21="Ja",ISNUMBER(W518)),W518,IF(Parameter!$B$20="Jahresanfang 2025 + Export",BJ518+BI518,BI518)))</f>
        <v>8</v>
      </c>
      <c r="H518" s="57" t="n">
        <f aca="false">G518*F518</f>
        <v>25.52</v>
      </c>
      <c r="I518" s="57" t="n">
        <f aca="false">BL518*Parameter!$B$18</f>
        <v>19</v>
      </c>
      <c r="J518" s="58" t="n">
        <v>9</v>
      </c>
      <c r="K518" s="59" t="n">
        <v>2.11111111111111</v>
      </c>
      <c r="L518" s="57" t="n">
        <v>0</v>
      </c>
      <c r="M518" s="57" t="n">
        <v>20</v>
      </c>
      <c r="N518" s="60" t="n">
        <v>14</v>
      </c>
      <c r="O518" s="55" t="s">
        <v>416</v>
      </c>
      <c r="P518" s="57" t="n">
        <v>10</v>
      </c>
      <c r="Q518" s="60" t="n">
        <f aca="false">IF(BR518=1,0,IFERROR(VLOOKUP(BP518,'Gebinde-Kategorie'!$A$5:$M$45,13,0)+0,0))</f>
        <v>198</v>
      </c>
      <c r="R518" s="61"/>
      <c r="S518" s="62"/>
      <c r="T518" s="62"/>
      <c r="U518" s="55"/>
      <c r="V518" s="57"/>
      <c r="W518" s="57"/>
      <c r="X518" s="55" t="n">
        <f aca="false">IF(A518="","",IF(AND(Parameter!$B$21="Ja",ISNUMBER(U518)),U518,IF(IFERROR(VLOOKUP(D518,Parameter!$A$35:$C$64,2,0),"Nein")="2+3",IF(ISNUMBER(SEARCH("grosser Artikel",BM518)),2,IFERROR(VLOOKUP(BP518,Parameter!$F$35:$G$64,2,0),2)),IF(OR(IFERROR(VLOOKUP(D518,Parameter!$A$35:$C$64,2,0),"Nein")="Nein",IFERROR(VLOOKUP(D518,Parameter!$A$35:$C$64,2,0),"Nein")=""),"-",VLOOKUP(D518,Parameter!$A$35:$C$64,2,0)))))</f>
        <v>3</v>
      </c>
      <c r="Y518" s="62"/>
      <c r="Z518" s="63"/>
      <c r="AA518" s="57" t="n">
        <f aca="false">AP518</f>
        <v>20</v>
      </c>
      <c r="AB518" s="57" t="n">
        <f aca="false">MAX(AP518,G518)</f>
        <v>20</v>
      </c>
      <c r="AC518" s="64"/>
      <c r="AD518" s="57" t="n">
        <f aca="false">IF(LEFT(Cockpit!$C$5,1)="A",G518,IF(BW518=1,BX518,IF(LEFT(Cockpit!$C$5,1)="B",AH518,MAX(AH518,G518))))</f>
        <v>8</v>
      </c>
      <c r="AE518" s="57" t="n">
        <f aca="false">IF(BR518=1,0,ROUNDUP(AD518/BQ518,0))</f>
        <v>1</v>
      </c>
      <c r="AF518" s="59" t="n">
        <f aca="false">IF(CD518&gt;0,CD518*MAX(1,AD518/V518),IF(BR518=1,IF(AD518&lt;=0,0,BS518*MAX(1,IF(G518&gt;0,AD518/G518,1))),IF(Q518&gt;0,AE518/Q518,0))/MAX(0.1,N(Parameter!$M$21)))</f>
        <v>0.00505050505050505</v>
      </c>
      <c r="AG518" s="57" t="n">
        <f aca="false">AD518*F518</f>
        <v>25.52</v>
      </c>
      <c r="AH518" s="57" t="n">
        <f aca="false">ROUNDUP(MAX(I518/IF(BV518&gt;0,BV518,MAX(0.1,N(Cockpit!$C$6))),BY518)/BQ518,0)*BQ518</f>
        <v>20</v>
      </c>
      <c r="AI518" s="58" t="n">
        <f aca="false">IF(AF518&gt;0,I518/AF518,-1)</f>
        <v>3762</v>
      </c>
      <c r="AJ518" s="58" t="n">
        <f aca="false">IF(AND(OR(BU518="L1",BU518="L23"),AF518&gt;0),SUMIFS($AF$7:$AF$1576,$BU$7:$BU$1576,BU518,$AI$7:$AI$1576,"&gt;"&amp;AI518)+SUMIFS($AF$7:$AF$1576,$BU$7:$BU$1576,BU518,$AI$7:$AI$1576,AI518,$BO$7:$BO$1576,"&lt;="&amp;BO518),"")</f>
        <v>4.32728928076754</v>
      </c>
      <c r="AK518" s="65" t="n">
        <f aca="false">IF(AJ518="",0,MAX(0,MIN(1,(IF(BU518="L1",Parameter!$E$5,Parameter!$E$6+Parameter!$E$7)-(AJ518-AF518))/AF518)))</f>
        <v>1</v>
      </c>
      <c r="AL518" s="57" t="n">
        <f aca="false">IF(LEFT(Cockpit!$I$5,1)="A",G518,IF(BW518=1,BX518,IF(LEFT(Cockpit!$I$5,1)="B",AP518,MAX(AP518,G518))))</f>
        <v>20</v>
      </c>
      <c r="AM518" s="57" t="n">
        <f aca="false">IF(BR518=1,0,ROUNDUP(AL518/BQ518,0))</f>
        <v>2</v>
      </c>
      <c r="AN518" s="59" t="n">
        <f aca="false">IF(CD518&gt;0,CD518*MAX(1,AL518/V518),IF(BR518=1,IF(AL518&lt;=0,0,BS518*MAX(1,IF(G518&gt;0,AL518/G518,1))),IF(Q518&gt;0,AM518/Q518,0))/MAX(0.1,N(Parameter!$M$21)))</f>
        <v>0.0101010101010101</v>
      </c>
      <c r="AO518" s="57" t="n">
        <f aca="false">AL518*F518</f>
        <v>63.8</v>
      </c>
      <c r="AP518" s="57" t="n">
        <f aca="false">ROUNDUP(MAX(I518/IF(BV518&gt;0,BV518,MAX(0.1,N(Cockpit!$I$6))),BY518)/BQ518,0)*BQ518</f>
        <v>20</v>
      </c>
      <c r="AQ518" s="58" t="n">
        <f aca="false">IF(AN518&gt;0,I518/AN518,-1)</f>
        <v>1881</v>
      </c>
      <c r="AR518" s="58" t="n">
        <f aca="false">IF(AND(OR(BU518="L1",BU518="L23"),AN518&gt;0),SUMIFS($AN$7:$AN$1576,$BU$7:$BU$1576,BU518,$AQ$7:$AQ$1576,"&gt;"&amp;AQ518)+SUMIFS($AN$7:$AN$1576,$BU$7:$BU$1576,BU518,$AQ$7:$AQ$1576,AQ518,$BO$7:$BO$1576,"&lt;="&amp;BO518),"")</f>
        <v>17.6160673267307</v>
      </c>
      <c r="AS518" s="65" t="n">
        <f aca="false">IF(AR518="",0,MAX(0,MIN(1,(IF(BU518="L1",Parameter!$E$5,Parameter!$E$6+Parameter!$E$7)-(AR518-AN518))/AN518)))</f>
        <v>1</v>
      </c>
      <c r="AT518" s="57" t="n">
        <f aca="false">IF(LEFT(Cockpit!$O$5,1)="A",G518,IF(BW518=1,BX518,IF(LEFT(Cockpit!$O$5,1)="B",AX518,MAX(AX518,G518))))</f>
        <v>20</v>
      </c>
      <c r="AU518" s="57" t="n">
        <f aca="false">IF(BR518=1,0,ROUNDUP(AT518/BQ518,0))</f>
        <v>2</v>
      </c>
      <c r="AV518" s="59" t="n">
        <f aca="false">IF(CD518&gt;0,CD518*MAX(1,AT518/V518),IF(BR518=1,IF(AT518&lt;=0,0,BS518*MAX(1,IF(G518&gt;0,AT518/G518,1))),IF(Q518&gt;0,AU518/Q518,0))/MAX(0.1,N(Parameter!$M$21)))</f>
        <v>0.0101010101010101</v>
      </c>
      <c r="AW518" s="57" t="n">
        <f aca="false">AT518*F518</f>
        <v>63.8</v>
      </c>
      <c r="AX518" s="57" t="n">
        <f aca="false">ROUNDUP(MAX(I518/IF(BV518&gt;0,BV518,MAX(0.1,N(Cockpit!$O$6))),BY518)/BQ518,0)*BQ518</f>
        <v>20</v>
      </c>
      <c r="AY518" s="58" t="n">
        <f aca="false">IF(AV518&gt;0,I518/AV518,-1)</f>
        <v>1881</v>
      </c>
      <c r="AZ518" s="58" t="n">
        <f aca="false">IF(AND(OR(BU518="L1",BU518="L23"),AV518&gt;0),SUMIFS($AV$7:$AV$1576,$BU$7:$BU$1576,BU518,$AY$7:$AY$1576,"&gt;"&amp;AY518)+SUMIFS($AV$7:$AV$1576,$BU$7:$BU$1576,BU518,$AY$7:$AY$1576,AY518,$BO$7:$BO$1576,"&lt;="&amp;BO518),"")</f>
        <v>16.4266733873367</v>
      </c>
      <c r="BA518" s="65" t="n">
        <f aca="false">IF(AZ518="",0,MAX(0,MIN(1,(IF(BU518="L1",Parameter!$E$5,Parameter!$E$6+Parameter!$E$7)-(AZ518-AV518))/AV518)))</f>
        <v>1</v>
      </c>
      <c r="BB518" s="55" t="str">
        <f aca="false">IF(AF518&lt;=0,"",IF(BU518="Aussen","Aussenlager",IF(BU518="-","Nicht im Lift",IF(AK518&gt;=1,"Lift",IF(AK518&lt;=0,"Aussenlager","teilweise")))))</f>
        <v>Lift</v>
      </c>
      <c r="BC518" s="55" t="str">
        <f aca="false">IF(AN518&lt;=0,"",IF(BU518="Aussen","Aussenlager",IF(BU518="-","Nicht im Lift",IF(AS518&gt;=1,"Lift",IF(AS518&lt;=0,"Aussenlager","teilweise")))))</f>
        <v>Lift</v>
      </c>
      <c r="BD518" s="55" t="str">
        <f aca="false">IF(AV518&lt;=0,"",IF(BU518="Aussen","Aussenlager",IF(BU518="-","Nicht im Lift",IF(BA518&gt;=1,"Lift",IF(BA518&lt;=0,"Aussenlager","teilweise")))))</f>
        <v>Lift</v>
      </c>
      <c r="BE518" s="55" t="str">
        <f aca="false">IF(A518="","",IF(BN518=1,"Neu; ","")&amp;IF(AND(BN518=0,BI518&lt;0),"negativer Bestand (Export "&amp;BI518&amp;"); ","")&amp;IF(I518&lt;=0,"Kein Verbrauch; ","")&amp;IF(CD518&gt;0,"Lift "&amp;U518&amp;" lt. Liftbericht (Fach "&amp;V518&amp;" Stk); ",IF(BR518=1,"Lose – Fläche geschätzt; ",""))&amp;IF(G518&gt;AP518,"Überbestand "&amp;ROUND(G518-AP518,0)&amp;" Stk / CHF "&amp;ROUND((G518-AP518)*F518,0)&amp;"; ","")&amp;IF(AND(BW518=1,BX518&lt;BY518),"MAX &lt; MB+LG; ","")&amp;IF(AND(CC518&gt;0,CB518*10&gt;CC518),"zu hoch für Tablar; ","")&amp;IF(AND(BN518=0,OR(BW518=1,Y518&lt;&gt;"",S518&lt;&gt;"",T518&lt;&gt;"",Z518&lt;&gt;"")),"manuell übersteuert; ","")&amp;IF(AND(BR518=0,Q518=0),"Gebinde unbekannt / Stellmass fehlt; ","")&amp;IF(AND(BR518=0,N(T518)&lt;=0,N(P518)&lt;=0),"Menge pro Gebinde fehlt (Ist = 1 Gebinde); ","")&amp;BM518)</f>
        <v/>
      </c>
      <c r="BF518" s="55"/>
      <c r="BG518" s="55"/>
      <c r="BH518" s="62"/>
      <c r="BI518" s="57" t="n">
        <v>8</v>
      </c>
      <c r="BJ518" s="57" t="n">
        <v>10</v>
      </c>
      <c r="BK518" s="56" t="n">
        <v>30.52</v>
      </c>
      <c r="BL518" s="57" t="n">
        <v>19</v>
      </c>
      <c r="BM518" s="55"/>
      <c r="BN518" s="60" t="n">
        <v>0</v>
      </c>
      <c r="BO518" s="60" t="n">
        <v>518</v>
      </c>
      <c r="BP518" s="55" t="str">
        <f aca="false">IF(S518&lt;&gt;"",UPPER(TRIM(S518)),IF(O518="","LOSE",O518))</f>
        <v>S22</v>
      </c>
      <c r="BQ518" s="57" t="n">
        <f aca="false">IF(BP518="LOSE",1,IF(N(T518)&gt;0,T518,IF(N(P518)&gt;0,P518,MAX(1,G518))))</f>
        <v>10</v>
      </c>
      <c r="BR518" s="60" t="n">
        <f aca="false">IF(BP518="LOSE",1,0)</f>
        <v>0</v>
      </c>
      <c r="BS518" s="59" t="n">
        <f aca="false">IF(BR518=0,0,IF(N(R518)&gt;0,R518,IFERROR(VLOOKUP(D518,Parameter!$A$35:$C$64,3,0)+0,0)))</f>
        <v>0</v>
      </c>
      <c r="BT518" s="55" t="n">
        <f aca="false">IF(Y518&lt;&gt;"",Y518,X518)</f>
        <v>3</v>
      </c>
      <c r="BU518" s="55" t="str">
        <f aca="false">IF(BT518=1,"L1",IF(OR(BT518=2,BT518=3),"L23",IF(BT518="Aussen","Aussen","-")))</f>
        <v>L23</v>
      </c>
      <c r="BV518" s="66" t="n">
        <f aca="false">IF(N(Z518)&gt;0,Z518,0)</f>
        <v>0</v>
      </c>
      <c r="BW518" s="60" t="n">
        <f aca="false">IF(ISNUMBER(AC518),1,0)</f>
        <v>0</v>
      </c>
      <c r="BX518" s="57" t="n">
        <f aca="false">N(AC518)</f>
        <v>0</v>
      </c>
      <c r="BY518" s="57" t="n">
        <f aca="false">N(L518)+N(M518)</f>
        <v>20</v>
      </c>
      <c r="BZ518" s="57" t="n">
        <f aca="false">ROUNDUP(G518/BQ518,0)</f>
        <v>1</v>
      </c>
      <c r="CA518" s="57" t="n">
        <f aca="false">ROUNDUP(BX518/BQ518,0)</f>
        <v>0</v>
      </c>
      <c r="CB518" s="60" t="n">
        <f aca="false">IF(BR518=1,0,IFERROR(VLOOKUP(BP518,'Gebinde-Kategorie'!$A$5:$M$45,5,0)+0,0))</f>
        <v>8</v>
      </c>
      <c r="CC518" s="60" t="n">
        <f aca="false">IFERROR(IF(OR(BT518=1,BT518=2,BT518=3),N(INDEX(Parameter!$I$5:$I$7,BT518)),0),0)</f>
        <v>0</v>
      </c>
      <c r="CD518" s="59" t="n">
        <f aca="false">IF(AND(Parameter!$B$21="Ja",ISNUMBER(U518),N(V518)&gt;0),IFERROR(N(INDEX(Parameter!$L$5:$L$7,U518))*INDEX(Parameter!$E$5:$E$7,U518)*V518/SUMIFS($V$7:$V$1576,$U$7:$U$1576,U518),0),0)</f>
        <v>0</v>
      </c>
    </row>
    <row r="519" customFormat="false" ht="15" hidden="false" customHeight="false" outlineLevel="0" collapsed="false">
      <c r="A519" s="55" t="s">
        <v>1117</v>
      </c>
      <c r="B519" s="55" t="s">
        <v>393</v>
      </c>
      <c r="C519" s="55" t="s">
        <v>160</v>
      </c>
      <c r="D519" s="55" t="s">
        <v>984</v>
      </c>
      <c r="E519" s="55" t="s">
        <v>210</v>
      </c>
      <c r="F519" s="56" t="n">
        <v>15.2</v>
      </c>
      <c r="G519" s="57" t="n">
        <f aca="false">MAX(0,IF(AND(Parameter!$B$21="Ja",ISNUMBER(W519)),W519,IF(Parameter!$B$20="Jahresanfang 2025 + Export",BJ519+BI519,BI519)))</f>
        <v>2</v>
      </c>
      <c r="H519" s="57" t="n">
        <f aca="false">G519*F519</f>
        <v>30.4</v>
      </c>
      <c r="I519" s="57" t="n">
        <f aca="false">BL519*Parameter!$B$18</f>
        <v>48</v>
      </c>
      <c r="J519" s="58" t="n">
        <v>1</v>
      </c>
      <c r="K519" s="59" t="n">
        <v>48</v>
      </c>
      <c r="L519" s="57" t="n">
        <v>0</v>
      </c>
      <c r="M519" s="57" t="n">
        <v>50</v>
      </c>
      <c r="N519" s="60" t="n">
        <v>21</v>
      </c>
      <c r="O519" s="55" t="s">
        <v>163</v>
      </c>
      <c r="P519" s="57"/>
      <c r="Q519" s="60" t="n">
        <f aca="false">IF(BR519=1,0,IFERROR(VLOOKUP(BP519,'Gebinde-Kategorie'!$A$5:$M$45,13,0)+0,0))</f>
        <v>0</v>
      </c>
      <c r="R519" s="61"/>
      <c r="S519" s="62"/>
      <c r="T519" s="62"/>
      <c r="U519" s="55"/>
      <c r="V519" s="57"/>
      <c r="W519" s="57"/>
      <c r="X519" s="55" t="str">
        <f aca="false">IF(A519="","",IF(AND(Parameter!$B$21="Ja",ISNUMBER(U519)),U519,IF(IFERROR(VLOOKUP(D519,Parameter!$A$35:$C$64,2,0),"Nein")="2+3",IF(ISNUMBER(SEARCH("grosser Artikel",BM519)),2,IFERROR(VLOOKUP(BP519,Parameter!$F$35:$G$64,2,0),2)),IF(OR(IFERROR(VLOOKUP(D519,Parameter!$A$35:$C$64,2,0),"Nein")="Nein",IFERROR(VLOOKUP(D519,Parameter!$A$35:$C$64,2,0),"Nein")=""),"-",VLOOKUP(D519,Parameter!$A$35:$C$64,2,0)))))</f>
        <v>-</v>
      </c>
      <c r="Y519" s="62"/>
      <c r="Z519" s="63"/>
      <c r="AA519" s="57" t="n">
        <f aca="false">AP519</f>
        <v>50</v>
      </c>
      <c r="AB519" s="57" t="n">
        <f aca="false">MAX(AP519,G519)</f>
        <v>50</v>
      </c>
      <c r="AC519" s="64"/>
      <c r="AD519" s="57" t="n">
        <f aca="false">IF(LEFT(Cockpit!$C$5,1)="A",G519,IF(BW519=1,BX519,IF(LEFT(Cockpit!$C$5,1)="B",AH519,MAX(AH519,G519))))</f>
        <v>2</v>
      </c>
      <c r="AE519" s="57" t="n">
        <f aca="false">IF(BR519=1,0,ROUNDUP(AD519/BQ519,0))</f>
        <v>0</v>
      </c>
      <c r="AF519" s="59" t="n">
        <f aca="false">IF(CD519&gt;0,CD519*MAX(1,AD519/V519),IF(BR519=1,IF(AD519&lt;=0,0,BS519*MAX(1,IF(G519&gt;0,AD519/G519,1))),IF(Q519&gt;0,AE519/Q519,0))/MAX(0.1,N(Parameter!$M$21)))</f>
        <v>0.15</v>
      </c>
      <c r="AG519" s="57" t="n">
        <f aca="false">AD519*F519</f>
        <v>30.4</v>
      </c>
      <c r="AH519" s="57" t="n">
        <f aca="false">ROUNDUP(MAX(I519/IF(BV519&gt;0,BV519,MAX(0.1,N(Cockpit!$C$6))),BY519)/BQ519,0)*BQ519</f>
        <v>50</v>
      </c>
      <c r="AI519" s="58" t="n">
        <f aca="false">IF(AF519&gt;0,I519/AF519,-1)</f>
        <v>320</v>
      </c>
      <c r="AJ519" s="58" t="str">
        <f aca="false">IF(AND(OR(BU519="L1",BU519="L23"),AF519&gt;0),SUMIFS($AF$7:$AF$1576,$BU$7:$BU$1576,BU519,$AI$7:$AI$1576,"&gt;"&amp;AI519)+SUMIFS($AF$7:$AF$1576,$BU$7:$BU$1576,BU519,$AI$7:$AI$1576,AI519,$BO$7:$BO$1576,"&lt;="&amp;BO519),"")</f>
        <v/>
      </c>
      <c r="AK519" s="65" t="n">
        <f aca="false">IF(AJ519="",0,MAX(0,MIN(1,(IF(BU519="L1",Parameter!$E$5,Parameter!$E$6+Parameter!$E$7)-(AJ519-AF519))/AF519)))</f>
        <v>0</v>
      </c>
      <c r="AL519" s="57" t="n">
        <f aca="false">IF(LEFT(Cockpit!$I$5,1)="A",G519,IF(BW519=1,BX519,IF(LEFT(Cockpit!$I$5,1)="B",AP519,MAX(AP519,G519))))</f>
        <v>50</v>
      </c>
      <c r="AM519" s="57" t="n">
        <f aca="false">IF(BR519=1,0,ROUNDUP(AL519/BQ519,0))</f>
        <v>0</v>
      </c>
      <c r="AN519" s="59" t="n">
        <f aca="false">IF(CD519&gt;0,CD519*MAX(1,AL519/V519),IF(BR519=1,IF(AL519&lt;=0,0,BS519*MAX(1,IF(G519&gt;0,AL519/G519,1))),IF(Q519&gt;0,AM519/Q519,0))/MAX(0.1,N(Parameter!$M$21)))</f>
        <v>3.75</v>
      </c>
      <c r="AO519" s="57" t="n">
        <f aca="false">AL519*F519</f>
        <v>760</v>
      </c>
      <c r="AP519" s="57" t="n">
        <f aca="false">ROUNDUP(MAX(I519/IF(BV519&gt;0,BV519,MAX(0.1,N(Cockpit!$I$6))),BY519)/BQ519,0)*BQ519</f>
        <v>50</v>
      </c>
      <c r="AQ519" s="58" t="n">
        <f aca="false">IF(AN519&gt;0,I519/AN519,-1)</f>
        <v>12.8</v>
      </c>
      <c r="AR519" s="58" t="str">
        <f aca="false">IF(AND(OR(BU519="L1",BU519="L23"),AN519&gt;0),SUMIFS($AN$7:$AN$1576,$BU$7:$BU$1576,BU519,$AQ$7:$AQ$1576,"&gt;"&amp;AQ519)+SUMIFS($AN$7:$AN$1576,$BU$7:$BU$1576,BU519,$AQ$7:$AQ$1576,AQ519,$BO$7:$BO$1576,"&lt;="&amp;BO519),"")</f>
        <v/>
      </c>
      <c r="AS519" s="65" t="n">
        <f aca="false">IF(AR519="",0,MAX(0,MIN(1,(IF(BU519="L1",Parameter!$E$5,Parameter!$E$6+Parameter!$E$7)-(AR519-AN519))/AN519)))</f>
        <v>0</v>
      </c>
      <c r="AT519" s="57" t="n">
        <f aca="false">IF(LEFT(Cockpit!$O$5,1)="A",G519,IF(BW519=1,BX519,IF(LEFT(Cockpit!$O$5,1)="B",AX519,MAX(AX519,G519))))</f>
        <v>50</v>
      </c>
      <c r="AU519" s="57" t="n">
        <f aca="false">IF(BR519=1,0,ROUNDUP(AT519/BQ519,0))</f>
        <v>0</v>
      </c>
      <c r="AV519" s="59" t="n">
        <f aca="false">IF(CD519&gt;0,CD519*MAX(1,AT519/V519),IF(BR519=1,IF(AT519&lt;=0,0,BS519*MAX(1,IF(G519&gt;0,AT519/G519,1))),IF(Q519&gt;0,AU519/Q519,0))/MAX(0.1,N(Parameter!$M$21)))</f>
        <v>3.75</v>
      </c>
      <c r="AW519" s="57" t="n">
        <f aca="false">AT519*F519</f>
        <v>760</v>
      </c>
      <c r="AX519" s="57" t="n">
        <f aca="false">ROUNDUP(MAX(I519/IF(BV519&gt;0,BV519,MAX(0.1,N(Cockpit!$O$6))),BY519)/BQ519,0)*BQ519</f>
        <v>50</v>
      </c>
      <c r="AY519" s="58" t="n">
        <f aca="false">IF(AV519&gt;0,I519/AV519,-1)</f>
        <v>12.8</v>
      </c>
      <c r="AZ519" s="58" t="str">
        <f aca="false">IF(AND(OR(BU519="L1",BU519="L23"),AV519&gt;0),SUMIFS($AV$7:$AV$1576,$BU$7:$BU$1576,BU519,$AY$7:$AY$1576,"&gt;"&amp;AY519)+SUMIFS($AV$7:$AV$1576,$BU$7:$BU$1576,BU519,$AY$7:$AY$1576,AY519,$BO$7:$BO$1576,"&lt;="&amp;BO519),"")</f>
        <v/>
      </c>
      <c r="BA519" s="65" t="n">
        <f aca="false">IF(AZ519="",0,MAX(0,MIN(1,(IF(BU519="L1",Parameter!$E$5,Parameter!$E$6+Parameter!$E$7)-(AZ519-AV519))/AV519)))</f>
        <v>0</v>
      </c>
      <c r="BB519" s="55" t="str">
        <f aca="false">IF(AF519&lt;=0,"",IF(BU519="Aussen","Aussenlager",IF(BU519="-","Nicht im Lift",IF(AK519&gt;=1,"Lift",IF(AK519&lt;=0,"Aussenlager","teilweise")))))</f>
        <v>Nicht im Lift</v>
      </c>
      <c r="BC519" s="55" t="str">
        <f aca="false">IF(AN519&lt;=0,"",IF(BU519="Aussen","Aussenlager",IF(BU519="-","Nicht im Lift",IF(AS519&gt;=1,"Lift",IF(AS519&lt;=0,"Aussenlager","teilweise")))))</f>
        <v>Nicht im Lift</v>
      </c>
      <c r="BD519" s="55" t="str">
        <f aca="false">IF(AV519&lt;=0,"",IF(BU519="Aussen","Aussenlager",IF(BU519="-","Nicht im Lift",IF(BA519&gt;=1,"Lift",IF(BA519&lt;=0,"Aussenlager","teilweise")))))</f>
        <v>Nicht im Lift</v>
      </c>
      <c r="BE519" s="55" t="str">
        <f aca="false">IF(A519="","",IF(BN519=1,"Neu; ","")&amp;IF(AND(BN519=0,BI519&lt;0),"negativer Bestand (Export "&amp;BI519&amp;"); ","")&amp;IF(I519&lt;=0,"Kein Verbrauch; ","")&amp;IF(CD519&gt;0,"Lift "&amp;U519&amp;" lt. Liftbericht (Fach "&amp;V519&amp;" Stk); ",IF(BR519=1,"Lose – Fläche geschätzt; ",""))&amp;IF(G519&gt;AP519,"Überbestand "&amp;ROUND(G519-AP519,0)&amp;" Stk / CHF "&amp;ROUND((G519-AP519)*F519,0)&amp;"; ","")&amp;IF(AND(BW519=1,BX519&lt;BY519),"MAX &lt; MB+LG; ","")&amp;IF(AND(CC519&gt;0,CB519*10&gt;CC519),"zu hoch für Tablar; ","")&amp;IF(AND(BN519=0,OR(BW519=1,Y519&lt;&gt;"",S519&lt;&gt;"",T519&lt;&gt;"",Z519&lt;&gt;"")),"manuell übersteuert; ","")&amp;IF(AND(BR519=0,Q519=0),"Gebinde unbekannt / Stellmass fehlt; ","")&amp;IF(AND(BR519=0,N(T519)&lt;=0,N(P519)&lt;=0),"Menge pro Gebinde fehlt (Ist = 1 Gebinde); ","")&amp;BM519)</f>
        <v>Lose – Fläche geschätzt; </v>
      </c>
      <c r="BF519" s="55"/>
      <c r="BG519" s="55"/>
      <c r="BH519" s="62"/>
      <c r="BI519" s="57" t="n">
        <v>2</v>
      </c>
      <c r="BJ519" s="57" t="n">
        <v>0</v>
      </c>
      <c r="BK519" s="56" t="n">
        <v>30.4</v>
      </c>
      <c r="BL519" s="57" t="n">
        <v>48</v>
      </c>
      <c r="BM519" s="55"/>
      <c r="BN519" s="60" t="n">
        <v>0</v>
      </c>
      <c r="BO519" s="60" t="n">
        <v>519</v>
      </c>
      <c r="BP519" s="55" t="str">
        <f aca="false">IF(S519&lt;&gt;"",UPPER(TRIM(S519)),IF(O519="","LOSE",O519))</f>
        <v>LOSE</v>
      </c>
      <c r="BQ519" s="57" t="n">
        <f aca="false">IF(BP519="LOSE",1,IF(N(T519)&gt;0,T519,IF(N(P519)&gt;0,P519,MAX(1,G519))))</f>
        <v>1</v>
      </c>
      <c r="BR519" s="60" t="n">
        <f aca="false">IF(BP519="LOSE",1,0)</f>
        <v>1</v>
      </c>
      <c r="BS519" s="59" t="n">
        <f aca="false">IF(BR519=0,0,IF(N(R519)&gt;0,R519,IFERROR(VLOOKUP(D519,Parameter!$A$35:$C$64,3,0)+0,0)))</f>
        <v>0.15</v>
      </c>
      <c r="BT519" s="55" t="str">
        <f aca="false">IF(Y519&lt;&gt;"",Y519,X519)</f>
        <v>-</v>
      </c>
      <c r="BU519" s="55" t="str">
        <f aca="false">IF(BT519=1,"L1",IF(OR(BT519=2,BT519=3),"L23",IF(BT519="Aussen","Aussen","-")))</f>
        <v>-</v>
      </c>
      <c r="BV519" s="66" t="n">
        <f aca="false">IF(N(Z519)&gt;0,Z519,0)</f>
        <v>0</v>
      </c>
      <c r="BW519" s="60" t="n">
        <f aca="false">IF(ISNUMBER(AC519),1,0)</f>
        <v>0</v>
      </c>
      <c r="BX519" s="57" t="n">
        <f aca="false">N(AC519)</f>
        <v>0</v>
      </c>
      <c r="BY519" s="57" t="n">
        <f aca="false">N(L519)+N(M519)</f>
        <v>50</v>
      </c>
      <c r="BZ519" s="57" t="n">
        <f aca="false">ROUNDUP(G519/BQ519,0)</f>
        <v>2</v>
      </c>
      <c r="CA519" s="57" t="n">
        <f aca="false">ROUNDUP(BX519/BQ519,0)</f>
        <v>0</v>
      </c>
      <c r="CB519" s="60" t="n">
        <f aca="false">IF(BR519=1,0,IFERROR(VLOOKUP(BP519,'Gebinde-Kategorie'!$A$5:$M$45,5,0)+0,0))</f>
        <v>0</v>
      </c>
      <c r="CC519" s="60" t="n">
        <f aca="false">IFERROR(IF(OR(BT519=1,BT519=2,BT519=3),N(INDEX(Parameter!$I$5:$I$7,BT519)),0),0)</f>
        <v>0</v>
      </c>
      <c r="CD519" s="59" t="n">
        <f aca="false">IF(AND(Parameter!$B$21="Ja",ISNUMBER(U519),N(V519)&gt;0),IFERROR(N(INDEX(Parameter!$L$5:$L$7,U519))*INDEX(Parameter!$E$5:$E$7,U519)*V519/SUMIFS($V$7:$V$1576,$U$7:$U$1576,U519),0),0)</f>
        <v>0</v>
      </c>
    </row>
    <row r="520" customFormat="false" ht="15" hidden="false" customHeight="false" outlineLevel="0" collapsed="false">
      <c r="A520" s="55" t="s">
        <v>1118</v>
      </c>
      <c r="B520" s="55" t="s">
        <v>1119</v>
      </c>
      <c r="C520" s="55" t="s">
        <v>160</v>
      </c>
      <c r="D520" s="55" t="s">
        <v>178</v>
      </c>
      <c r="E520" s="55" t="s">
        <v>210</v>
      </c>
      <c r="F520" s="56" t="n">
        <v>29.12</v>
      </c>
      <c r="G520" s="57" t="n">
        <f aca="false">MAX(0,IF(AND(Parameter!$B$21="Ja",ISNUMBER(W520)),W520,IF(Parameter!$B$20="Jahresanfang 2025 + Export",BJ520+BI520,BI520)))</f>
        <v>1</v>
      </c>
      <c r="H520" s="57" t="n">
        <f aca="false">G520*F520</f>
        <v>29.12</v>
      </c>
      <c r="I520" s="57" t="n">
        <f aca="false">BL520*Parameter!$B$18</f>
        <v>0</v>
      </c>
      <c r="J520" s="58" t="n">
        <v>1</v>
      </c>
      <c r="K520" s="59" t="n">
        <v>0</v>
      </c>
      <c r="L520" s="57" t="n">
        <v>0</v>
      </c>
      <c r="M520" s="57" t="n">
        <v>1</v>
      </c>
      <c r="N520" s="60" t="n">
        <v>15</v>
      </c>
      <c r="O520" s="55" t="s">
        <v>319</v>
      </c>
      <c r="P520" s="57" t="n">
        <v>2</v>
      </c>
      <c r="Q520" s="60" t="n">
        <f aca="false">IF(BR520=1,0,IFERROR(VLOOKUP(BP520,'Gebinde-Kategorie'!$A$5:$M$45,13,0)+0,0))</f>
        <v>52</v>
      </c>
      <c r="R520" s="61"/>
      <c r="S520" s="62"/>
      <c r="T520" s="62"/>
      <c r="U520" s="55"/>
      <c r="V520" s="57"/>
      <c r="W520" s="57"/>
      <c r="X520" s="55" t="n">
        <f aca="false">IF(A520="","",IF(AND(Parameter!$B$21="Ja",ISNUMBER(U520)),U520,IF(IFERROR(VLOOKUP(D520,Parameter!$A$35:$C$64,2,0),"Nein")="2+3",IF(ISNUMBER(SEARCH("grosser Artikel",BM520)),2,IFERROR(VLOOKUP(BP520,Parameter!$F$35:$G$64,2,0),2)),IF(OR(IFERROR(VLOOKUP(D520,Parameter!$A$35:$C$64,2,0),"Nein")="Nein",IFERROR(VLOOKUP(D520,Parameter!$A$35:$C$64,2,0),"Nein")=""),"-",VLOOKUP(D520,Parameter!$A$35:$C$64,2,0)))))</f>
        <v>3</v>
      </c>
      <c r="Y520" s="62"/>
      <c r="Z520" s="63"/>
      <c r="AA520" s="57" t="n">
        <f aca="false">AP520</f>
        <v>2</v>
      </c>
      <c r="AB520" s="57" t="n">
        <f aca="false">MAX(AP520,G520)</f>
        <v>2</v>
      </c>
      <c r="AC520" s="64"/>
      <c r="AD520" s="57" t="n">
        <f aca="false">IF(LEFT(Cockpit!$C$5,1)="A",G520,IF(BW520=1,BX520,IF(LEFT(Cockpit!$C$5,1)="B",AH520,MAX(AH520,G520))))</f>
        <v>1</v>
      </c>
      <c r="AE520" s="57" t="n">
        <f aca="false">IF(BR520=1,0,ROUNDUP(AD520/BQ520,0))</f>
        <v>1</v>
      </c>
      <c r="AF520" s="59" t="n">
        <f aca="false">IF(CD520&gt;0,CD520*MAX(1,AD520/V520),IF(BR520=1,IF(AD520&lt;=0,0,BS520*MAX(1,IF(G520&gt;0,AD520/G520,1))),IF(Q520&gt;0,AE520/Q520,0))/MAX(0.1,N(Parameter!$M$21)))</f>
        <v>0.0192307692307692</v>
      </c>
      <c r="AG520" s="57" t="n">
        <f aca="false">AD520*F520</f>
        <v>29.12</v>
      </c>
      <c r="AH520" s="57" t="n">
        <f aca="false">ROUNDUP(MAX(I520/IF(BV520&gt;0,BV520,MAX(0.1,N(Cockpit!$C$6))),BY520)/BQ520,0)*BQ520</f>
        <v>2</v>
      </c>
      <c r="AI520" s="58" t="n">
        <f aca="false">IF(AF520&gt;0,I520/AF520,-1)</f>
        <v>0</v>
      </c>
      <c r="AJ520" s="58" t="n">
        <f aca="false">IF(AND(OR(BU520="L1",BU520="L23"),AF520&gt;0),SUMIFS($AF$7:$AF$1576,$BU$7:$BU$1576,BU520,$AI$7:$AI$1576,"&gt;"&amp;AI520)+SUMIFS($AF$7:$AF$1576,$BU$7:$BU$1576,BU520,$AI$7:$AI$1576,AI520,$BO$7:$BO$1576,"&lt;="&amp;BO520),"")</f>
        <v>42.8601253336036</v>
      </c>
      <c r="AK520" s="65" t="n">
        <f aca="false">IF(AJ520="",0,MAX(0,MIN(1,(IF(BU520="L1",Parameter!$E$5,Parameter!$E$6+Parameter!$E$7)-(AJ520-AF520))/AF520)))</f>
        <v>1</v>
      </c>
      <c r="AL520" s="57" t="n">
        <f aca="false">IF(LEFT(Cockpit!$I$5,1)="A",G520,IF(BW520=1,BX520,IF(LEFT(Cockpit!$I$5,1)="B",AP520,MAX(AP520,G520))))</f>
        <v>2</v>
      </c>
      <c r="AM520" s="57" t="n">
        <f aca="false">IF(BR520=1,0,ROUNDUP(AL520/BQ520,0))</f>
        <v>1</v>
      </c>
      <c r="AN520" s="59" t="n">
        <f aca="false">IF(CD520&gt;0,CD520*MAX(1,AL520/V520),IF(BR520=1,IF(AL520&lt;=0,0,BS520*MAX(1,IF(G520&gt;0,AL520/G520,1))),IF(Q520&gt;0,AM520/Q520,0))/MAX(0.1,N(Parameter!$M$21)))</f>
        <v>0.0192307692307692</v>
      </c>
      <c r="AO520" s="57" t="n">
        <f aca="false">AL520*F520</f>
        <v>58.24</v>
      </c>
      <c r="AP520" s="57" t="n">
        <f aca="false">ROUNDUP(MAX(I520/IF(BV520&gt;0,BV520,MAX(0.1,N(Cockpit!$I$6))),BY520)/BQ520,0)*BQ520</f>
        <v>2</v>
      </c>
      <c r="AQ520" s="58" t="n">
        <f aca="false">IF(AN520&gt;0,I520/AN520,-1)</f>
        <v>0</v>
      </c>
      <c r="AR520" s="58" t="n">
        <f aca="false">IF(AND(OR(BU520="L1",BU520="L23"),AN520&gt;0),SUMIFS($AN$7:$AN$1576,$BU$7:$BU$1576,BU520,$AQ$7:$AQ$1576,"&gt;"&amp;AQ520)+SUMIFS($AN$7:$AN$1576,$BU$7:$BU$1576,BU520,$AQ$7:$AQ$1576,AQ520,$BO$7:$BO$1576,"&lt;="&amp;BO520),"")</f>
        <v>125.856911452122</v>
      </c>
      <c r="AS520" s="65" t="n">
        <f aca="false">IF(AR520="",0,MAX(0,MIN(1,(IF(BU520="L1",Parameter!$E$5,Parameter!$E$6+Parameter!$E$7)-(AR520-AN520))/AN520)))</f>
        <v>0</v>
      </c>
      <c r="AT520" s="57" t="n">
        <f aca="false">IF(LEFT(Cockpit!$O$5,1)="A",G520,IF(BW520=1,BX520,IF(LEFT(Cockpit!$O$5,1)="B",AX520,MAX(AX520,G520))))</f>
        <v>2</v>
      </c>
      <c r="AU520" s="57" t="n">
        <f aca="false">IF(BR520=1,0,ROUNDUP(AT520/BQ520,0))</f>
        <v>1</v>
      </c>
      <c r="AV520" s="59" t="n">
        <f aca="false">IF(CD520&gt;0,CD520*MAX(1,AT520/V520),IF(BR520=1,IF(AT520&lt;=0,0,BS520*MAX(1,IF(G520&gt;0,AT520/G520,1))),IF(Q520&gt;0,AU520/Q520,0))/MAX(0.1,N(Parameter!$M$21)))</f>
        <v>0.0192307692307692</v>
      </c>
      <c r="AW520" s="57" t="n">
        <f aca="false">AT520*F520</f>
        <v>58.24</v>
      </c>
      <c r="AX520" s="57" t="n">
        <f aca="false">ROUNDUP(MAX(I520/IF(BV520&gt;0,BV520,MAX(0.1,N(Cockpit!$O$6))),BY520)/BQ520,0)*BQ520</f>
        <v>2</v>
      </c>
      <c r="AY520" s="58" t="n">
        <f aca="false">IF(AV520&gt;0,I520/AV520,-1)</f>
        <v>0</v>
      </c>
      <c r="AZ520" s="58" t="n">
        <f aca="false">IF(AND(OR(BU520="L1",BU520="L23"),AV520&gt;0),SUMIFS($AV$7:$AV$1576,$BU$7:$BU$1576,BU520,$AY$7:$AY$1576,"&gt;"&amp;AY520)+SUMIFS($AV$7:$AV$1576,$BU$7:$BU$1576,BU520,$AY$7:$AY$1576,AY520,$BO$7:$BO$1576,"&lt;="&amp;BO520),"")</f>
        <v>115.916461901672</v>
      </c>
      <c r="BA520" s="65" t="n">
        <f aca="false">IF(AZ520="",0,MAX(0,MIN(1,(IF(BU520="L1",Parameter!$E$5,Parameter!$E$6+Parameter!$E$7)-(AZ520-AV520))/AV520)))</f>
        <v>0</v>
      </c>
      <c r="BB520" s="55" t="str">
        <f aca="false">IF(AF520&lt;=0,"",IF(BU520="Aussen","Aussenlager",IF(BU520="-","Nicht im Lift",IF(AK520&gt;=1,"Lift",IF(AK520&lt;=0,"Aussenlager","teilweise")))))</f>
        <v>Lift</v>
      </c>
      <c r="BC520" s="55" t="str">
        <f aca="false">IF(AN520&lt;=0,"",IF(BU520="Aussen","Aussenlager",IF(BU520="-","Nicht im Lift",IF(AS520&gt;=1,"Lift",IF(AS520&lt;=0,"Aussenlager","teilweise")))))</f>
        <v>Aussenlager</v>
      </c>
      <c r="BD520" s="55" t="str">
        <f aca="false">IF(AV520&lt;=0,"",IF(BU520="Aussen","Aussenlager",IF(BU520="-","Nicht im Lift",IF(BA520&gt;=1,"Lift",IF(BA520&lt;=0,"Aussenlager","teilweise")))))</f>
        <v>Aussenlager</v>
      </c>
      <c r="BE520" s="55" t="str">
        <f aca="false">IF(A520="","",IF(BN520=1,"Neu; ","")&amp;IF(AND(BN520=0,BI520&lt;0),"negativer Bestand (Export "&amp;BI520&amp;"); ","")&amp;IF(I520&lt;=0,"Kein Verbrauch; ","")&amp;IF(CD520&gt;0,"Lift "&amp;U520&amp;" lt. Liftbericht (Fach "&amp;V520&amp;" Stk); ",IF(BR520=1,"Lose – Fläche geschätzt; ",""))&amp;IF(G520&gt;AP520,"Überbestand "&amp;ROUND(G520-AP520,0)&amp;" Stk / CHF "&amp;ROUND((G520-AP520)*F520,0)&amp;"; ","")&amp;IF(AND(BW520=1,BX520&lt;BY520),"MAX &lt; MB+LG; ","")&amp;IF(AND(CC520&gt;0,CB520*10&gt;CC520),"zu hoch für Tablar; ","")&amp;IF(AND(BN520=0,OR(BW520=1,Y520&lt;&gt;"",S520&lt;&gt;"",T520&lt;&gt;"",Z520&lt;&gt;"")),"manuell übersteuert; ","")&amp;IF(AND(BR520=0,Q520=0),"Gebinde unbekannt / Stellmass fehlt; ","")&amp;IF(AND(BR520=0,N(T520)&lt;=0,N(P520)&lt;=0),"Menge pro Gebinde fehlt (Ist = 1 Gebinde); ","")&amp;BM520)</f>
        <v>Kein Verbrauch; </v>
      </c>
      <c r="BF520" s="55"/>
      <c r="BG520" s="55"/>
      <c r="BH520" s="62"/>
      <c r="BI520" s="57" t="n">
        <v>1</v>
      </c>
      <c r="BJ520" s="57" t="n">
        <v>0</v>
      </c>
      <c r="BK520" s="56" t="n">
        <v>29.12</v>
      </c>
      <c r="BL520" s="57" t="n">
        <v>0</v>
      </c>
      <c r="BM520" s="55"/>
      <c r="BN520" s="60" t="n">
        <v>0</v>
      </c>
      <c r="BO520" s="60" t="n">
        <v>520</v>
      </c>
      <c r="BP520" s="55" t="str">
        <f aca="false">IF(S520&lt;&gt;"",UPPER(TRIM(S520)),IF(O520="","LOSE",O520))</f>
        <v>S41</v>
      </c>
      <c r="BQ520" s="57" t="n">
        <f aca="false">IF(BP520="LOSE",1,IF(N(T520)&gt;0,T520,IF(N(P520)&gt;0,P520,MAX(1,G520))))</f>
        <v>2</v>
      </c>
      <c r="BR520" s="60" t="n">
        <f aca="false">IF(BP520="LOSE",1,0)</f>
        <v>0</v>
      </c>
      <c r="BS520" s="59" t="n">
        <f aca="false">IF(BR520=0,0,IF(N(R520)&gt;0,R520,IFERROR(VLOOKUP(D520,Parameter!$A$35:$C$64,3,0)+0,0)))</f>
        <v>0</v>
      </c>
      <c r="BT520" s="55" t="n">
        <f aca="false">IF(Y520&lt;&gt;"",Y520,X520)</f>
        <v>3</v>
      </c>
      <c r="BU520" s="55" t="str">
        <f aca="false">IF(BT520=1,"L1",IF(OR(BT520=2,BT520=3),"L23",IF(BT520="Aussen","Aussen","-")))</f>
        <v>L23</v>
      </c>
      <c r="BV520" s="66" t="n">
        <f aca="false">IF(N(Z520)&gt;0,Z520,0)</f>
        <v>0</v>
      </c>
      <c r="BW520" s="60" t="n">
        <f aca="false">IF(ISNUMBER(AC520),1,0)</f>
        <v>0</v>
      </c>
      <c r="BX520" s="57" t="n">
        <f aca="false">N(AC520)</f>
        <v>0</v>
      </c>
      <c r="BY520" s="57" t="n">
        <f aca="false">N(L520)+N(M520)</f>
        <v>1</v>
      </c>
      <c r="BZ520" s="57" t="n">
        <f aca="false">ROUNDUP(G520/BQ520,0)</f>
        <v>1</v>
      </c>
      <c r="CA520" s="57" t="n">
        <f aca="false">ROUNDUP(BX520/BQ520,0)</f>
        <v>0</v>
      </c>
      <c r="CB520" s="60" t="n">
        <f aca="false">IF(BR520=1,0,IFERROR(VLOOKUP(BP520,'Gebinde-Kategorie'!$A$5:$M$45,5,0)+0,0))</f>
        <v>11</v>
      </c>
      <c r="CC520" s="60" t="n">
        <f aca="false">IFERROR(IF(OR(BT520=1,BT520=2,BT520=3),N(INDEX(Parameter!$I$5:$I$7,BT520)),0),0)</f>
        <v>0</v>
      </c>
      <c r="CD520" s="59" t="n">
        <f aca="false">IF(AND(Parameter!$B$21="Ja",ISNUMBER(U520),N(V520)&gt;0),IFERROR(N(INDEX(Parameter!$L$5:$L$7,U520))*INDEX(Parameter!$E$5:$E$7,U520)*V520/SUMIFS($V$7:$V$1576,$U$7:$U$1576,U520),0),0)</f>
        <v>0</v>
      </c>
    </row>
    <row r="521" customFormat="false" ht="15" hidden="false" customHeight="false" outlineLevel="0" collapsed="false">
      <c r="A521" s="55" t="s">
        <v>1120</v>
      </c>
      <c r="B521" s="55" t="s">
        <v>578</v>
      </c>
      <c r="C521" s="55" t="s">
        <v>160</v>
      </c>
      <c r="D521" s="55" t="s">
        <v>178</v>
      </c>
      <c r="E521" s="55" t="s">
        <v>210</v>
      </c>
      <c r="F521" s="56" t="n">
        <v>5.8</v>
      </c>
      <c r="G521" s="57" t="n">
        <f aca="false">MAX(0,IF(AND(Parameter!$B$21="Ja",ISNUMBER(W521)),W521,IF(Parameter!$B$20="Jahresanfang 2025 + Export",BJ521+BI521,BI521)))</f>
        <v>5</v>
      </c>
      <c r="H521" s="57" t="n">
        <f aca="false">G521*F521</f>
        <v>29</v>
      </c>
      <c r="I521" s="57" t="n">
        <f aca="false">BL521*Parameter!$B$18</f>
        <v>2</v>
      </c>
      <c r="J521" s="58" t="n">
        <v>1.5</v>
      </c>
      <c r="K521" s="59" t="n">
        <v>1.33333333333333</v>
      </c>
      <c r="L521" s="57" t="n">
        <v>0</v>
      </c>
      <c r="M521" s="57" t="n">
        <v>1</v>
      </c>
      <c r="N521" s="60" t="n">
        <v>14</v>
      </c>
      <c r="O521" s="55" t="s">
        <v>391</v>
      </c>
      <c r="P521" s="57" t="n">
        <v>20</v>
      </c>
      <c r="Q521" s="60" t="n">
        <f aca="false">IF(BR521=1,0,IFERROR(VLOOKUP(BP521,'Gebinde-Kategorie'!$A$5:$M$45,13,0)+0,0))</f>
        <v>414</v>
      </c>
      <c r="R521" s="61"/>
      <c r="S521" s="62"/>
      <c r="T521" s="62"/>
      <c r="U521" s="55"/>
      <c r="V521" s="57"/>
      <c r="W521" s="57"/>
      <c r="X521" s="55" t="n">
        <f aca="false">IF(A521="","",IF(AND(Parameter!$B$21="Ja",ISNUMBER(U521)),U521,IF(IFERROR(VLOOKUP(D521,Parameter!$A$35:$C$64,2,0),"Nein")="2+3",IF(ISNUMBER(SEARCH("grosser Artikel",BM521)),2,IFERROR(VLOOKUP(BP521,Parameter!$F$35:$G$64,2,0),2)),IF(OR(IFERROR(VLOOKUP(D521,Parameter!$A$35:$C$64,2,0),"Nein")="Nein",IFERROR(VLOOKUP(D521,Parameter!$A$35:$C$64,2,0),"Nein")=""),"-",VLOOKUP(D521,Parameter!$A$35:$C$64,2,0)))))</f>
        <v>3</v>
      </c>
      <c r="Y521" s="62"/>
      <c r="Z521" s="63"/>
      <c r="AA521" s="57" t="n">
        <f aca="false">AP521</f>
        <v>20</v>
      </c>
      <c r="AB521" s="57" t="n">
        <f aca="false">MAX(AP521,G521)</f>
        <v>20</v>
      </c>
      <c r="AC521" s="64"/>
      <c r="AD521" s="57" t="n">
        <f aca="false">IF(LEFT(Cockpit!$C$5,1)="A",G521,IF(BW521=1,BX521,IF(LEFT(Cockpit!$C$5,1)="B",AH521,MAX(AH521,G521))))</f>
        <v>5</v>
      </c>
      <c r="AE521" s="57" t="n">
        <f aca="false">IF(BR521=1,0,ROUNDUP(AD521/BQ521,0))</f>
        <v>1</v>
      </c>
      <c r="AF521" s="59" t="n">
        <f aca="false">IF(CD521&gt;0,CD521*MAX(1,AD521/V521),IF(BR521=1,IF(AD521&lt;=0,0,BS521*MAX(1,IF(G521&gt;0,AD521/G521,1))),IF(Q521&gt;0,AE521/Q521,0))/MAX(0.1,N(Parameter!$M$21)))</f>
        <v>0.00241545893719807</v>
      </c>
      <c r="AG521" s="57" t="n">
        <f aca="false">AD521*F521</f>
        <v>29</v>
      </c>
      <c r="AH521" s="57" t="n">
        <f aca="false">ROUNDUP(MAX(I521/IF(BV521&gt;0,BV521,MAX(0.1,N(Cockpit!$C$6))),BY521)/BQ521,0)*BQ521</f>
        <v>20</v>
      </c>
      <c r="AI521" s="58" t="n">
        <f aca="false">IF(AF521&gt;0,I521/AF521,-1)</f>
        <v>828</v>
      </c>
      <c r="AJ521" s="58" t="n">
        <f aca="false">IF(AND(OR(BU521="L1",BU521="L23"),AF521&gt;0),SUMIFS($AF$7:$AF$1576,$BU$7:$BU$1576,BU521,$AI$7:$AI$1576,"&gt;"&amp;AI521)+SUMIFS($AF$7:$AF$1576,$BU$7:$BU$1576,BU521,$AI$7:$AI$1576,AI521,$BO$7:$BO$1576,"&lt;="&amp;BO521),"")</f>
        <v>10.4835407587582</v>
      </c>
      <c r="AK521" s="65" t="n">
        <f aca="false">IF(AJ521="",0,MAX(0,MIN(1,(IF(BU521="L1",Parameter!$E$5,Parameter!$E$6+Parameter!$E$7)-(AJ521-AF521))/AF521)))</f>
        <v>1</v>
      </c>
      <c r="AL521" s="57" t="n">
        <f aca="false">IF(LEFT(Cockpit!$I$5,1)="A",G521,IF(BW521=1,BX521,IF(LEFT(Cockpit!$I$5,1)="B",AP521,MAX(AP521,G521))))</f>
        <v>20</v>
      </c>
      <c r="AM521" s="57" t="n">
        <f aca="false">IF(BR521=1,0,ROUNDUP(AL521/BQ521,0))</f>
        <v>1</v>
      </c>
      <c r="AN521" s="59" t="n">
        <f aca="false">IF(CD521&gt;0,CD521*MAX(1,AL521/V521),IF(BR521=1,IF(AL521&lt;=0,0,BS521*MAX(1,IF(G521&gt;0,AL521/G521,1))),IF(Q521&gt;0,AM521/Q521,0))/MAX(0.1,N(Parameter!$M$21)))</f>
        <v>0.00241545893719807</v>
      </c>
      <c r="AO521" s="57" t="n">
        <f aca="false">AL521*F521</f>
        <v>116</v>
      </c>
      <c r="AP521" s="57" t="n">
        <f aca="false">ROUNDUP(MAX(I521/IF(BV521&gt;0,BV521,MAX(0.1,N(Cockpit!$I$6))),BY521)/BQ521,0)*BQ521</f>
        <v>20</v>
      </c>
      <c r="AQ521" s="58" t="n">
        <f aca="false">IF(AN521&gt;0,I521/AN521,-1)</f>
        <v>828</v>
      </c>
      <c r="AR521" s="58" t="n">
        <f aca="false">IF(AND(OR(BU521="L1",BU521="L23"),AN521&gt;0),SUMIFS($AN$7:$AN$1576,$BU$7:$BU$1576,BU521,$AQ$7:$AQ$1576,"&gt;"&amp;AQ521)+SUMIFS($AN$7:$AN$1576,$BU$7:$BU$1576,BU521,$AQ$7:$AQ$1576,AQ521,$BO$7:$BO$1576,"&lt;="&amp;BO521),"")</f>
        <v>25.5981898901576</v>
      </c>
      <c r="AS521" s="65" t="n">
        <f aca="false">IF(AR521="",0,MAX(0,MIN(1,(IF(BU521="L1",Parameter!$E$5,Parameter!$E$6+Parameter!$E$7)-(AR521-AN521))/AN521)))</f>
        <v>1</v>
      </c>
      <c r="AT521" s="57" t="n">
        <f aca="false">IF(LEFT(Cockpit!$O$5,1)="A",G521,IF(BW521=1,BX521,IF(LEFT(Cockpit!$O$5,1)="B",AX521,MAX(AX521,G521))))</f>
        <v>20</v>
      </c>
      <c r="AU521" s="57" t="n">
        <f aca="false">IF(BR521=1,0,ROUNDUP(AT521/BQ521,0))</f>
        <v>1</v>
      </c>
      <c r="AV521" s="59" t="n">
        <f aca="false">IF(CD521&gt;0,CD521*MAX(1,AT521/V521),IF(BR521=1,IF(AT521&lt;=0,0,BS521*MAX(1,IF(G521&gt;0,AT521/G521,1))),IF(Q521&gt;0,AU521/Q521,0))/MAX(0.1,N(Parameter!$M$21)))</f>
        <v>0.00241545893719807</v>
      </c>
      <c r="AW521" s="57" t="n">
        <f aca="false">AT521*F521</f>
        <v>116</v>
      </c>
      <c r="AX521" s="57" t="n">
        <f aca="false">ROUNDUP(MAX(I521/IF(BV521&gt;0,BV521,MAX(0.1,N(Cockpit!$O$6))),BY521)/BQ521,0)*BQ521</f>
        <v>20</v>
      </c>
      <c r="AY521" s="58" t="n">
        <f aca="false">IF(AV521&gt;0,I521/AV521,-1)</f>
        <v>828</v>
      </c>
      <c r="AZ521" s="58" t="n">
        <f aca="false">IF(AND(OR(BU521="L1",BU521="L23"),AV521&gt;0),SUMIFS($AV$7:$AV$1576,$BU$7:$BU$1576,BU521,$AY$7:$AY$1576,"&gt;"&amp;AY521)+SUMIFS($AV$7:$AV$1576,$BU$7:$BU$1576,BU521,$AY$7:$AY$1576,AY521,$BO$7:$BO$1576,"&lt;="&amp;BO521),"")</f>
        <v>25.9152062071739</v>
      </c>
      <c r="BA521" s="65" t="n">
        <f aca="false">IF(AZ521="",0,MAX(0,MIN(1,(IF(BU521="L1",Parameter!$E$5,Parameter!$E$6+Parameter!$E$7)-(AZ521-AV521))/AV521)))</f>
        <v>1</v>
      </c>
      <c r="BB521" s="55" t="str">
        <f aca="false">IF(AF521&lt;=0,"",IF(BU521="Aussen","Aussenlager",IF(BU521="-","Nicht im Lift",IF(AK521&gt;=1,"Lift",IF(AK521&lt;=0,"Aussenlager","teilweise")))))</f>
        <v>Lift</v>
      </c>
      <c r="BC521" s="55" t="str">
        <f aca="false">IF(AN521&lt;=0,"",IF(BU521="Aussen","Aussenlager",IF(BU521="-","Nicht im Lift",IF(AS521&gt;=1,"Lift",IF(AS521&lt;=0,"Aussenlager","teilweise")))))</f>
        <v>Lift</v>
      </c>
      <c r="BD521" s="55" t="str">
        <f aca="false">IF(AV521&lt;=0,"",IF(BU521="Aussen","Aussenlager",IF(BU521="-","Nicht im Lift",IF(BA521&gt;=1,"Lift",IF(BA521&lt;=0,"Aussenlager","teilweise")))))</f>
        <v>Lift</v>
      </c>
      <c r="BE521" s="55" t="str">
        <f aca="false">IF(A521="","",IF(BN521=1,"Neu; ","")&amp;IF(AND(BN521=0,BI521&lt;0),"negativer Bestand (Export "&amp;BI521&amp;"); ","")&amp;IF(I521&lt;=0,"Kein Verbrauch; ","")&amp;IF(CD521&gt;0,"Lift "&amp;U521&amp;" lt. Liftbericht (Fach "&amp;V521&amp;" Stk); ",IF(BR521=1,"Lose – Fläche geschätzt; ",""))&amp;IF(G521&gt;AP521,"Überbestand "&amp;ROUND(G521-AP521,0)&amp;" Stk / CHF "&amp;ROUND((G521-AP521)*F521,0)&amp;"; ","")&amp;IF(AND(BW521=1,BX521&lt;BY521),"MAX &lt; MB+LG; ","")&amp;IF(AND(CC521&gt;0,CB521*10&gt;CC521),"zu hoch für Tablar; ","")&amp;IF(AND(BN521=0,OR(BW521=1,Y521&lt;&gt;"",S521&lt;&gt;"",T521&lt;&gt;"",Z521&lt;&gt;"")),"manuell übersteuert; ","")&amp;IF(AND(BR521=0,Q521=0),"Gebinde unbekannt / Stellmass fehlt; ","")&amp;IF(AND(BR521=0,N(T521)&lt;=0,N(P521)&lt;=0),"Menge pro Gebinde fehlt (Ist = 1 Gebinde); ","")&amp;BM521)</f>
        <v/>
      </c>
      <c r="BF521" s="55"/>
      <c r="BG521" s="55"/>
      <c r="BH521" s="62"/>
      <c r="BI521" s="57" t="n">
        <v>5</v>
      </c>
      <c r="BJ521" s="57" t="n">
        <v>0</v>
      </c>
      <c r="BK521" s="56" t="n">
        <v>29</v>
      </c>
      <c r="BL521" s="57" t="n">
        <v>2</v>
      </c>
      <c r="BM521" s="55"/>
      <c r="BN521" s="60" t="n">
        <v>0</v>
      </c>
      <c r="BO521" s="60" t="n">
        <v>521</v>
      </c>
      <c r="BP521" s="55" t="str">
        <f aca="false">IF(S521&lt;&gt;"",UPPER(TRIM(S521)),IF(O521="","LOSE",O521))</f>
        <v>S21</v>
      </c>
      <c r="BQ521" s="57" t="n">
        <f aca="false">IF(BP521="LOSE",1,IF(N(T521)&gt;0,T521,IF(N(P521)&gt;0,P521,MAX(1,G521))))</f>
        <v>20</v>
      </c>
      <c r="BR521" s="60" t="n">
        <f aca="false">IF(BP521="LOSE",1,0)</f>
        <v>0</v>
      </c>
      <c r="BS521" s="59" t="n">
        <f aca="false">IF(BR521=0,0,IF(N(R521)&gt;0,R521,IFERROR(VLOOKUP(D521,Parameter!$A$35:$C$64,3,0)+0,0)))</f>
        <v>0</v>
      </c>
      <c r="BT521" s="55" t="n">
        <f aca="false">IF(Y521&lt;&gt;"",Y521,X521)</f>
        <v>3</v>
      </c>
      <c r="BU521" s="55" t="str">
        <f aca="false">IF(BT521=1,"L1",IF(OR(BT521=2,BT521=3),"L23",IF(BT521="Aussen","Aussen","-")))</f>
        <v>L23</v>
      </c>
      <c r="BV521" s="66" t="n">
        <f aca="false">IF(N(Z521)&gt;0,Z521,0)</f>
        <v>0</v>
      </c>
      <c r="BW521" s="60" t="n">
        <f aca="false">IF(ISNUMBER(AC521),1,0)</f>
        <v>0</v>
      </c>
      <c r="BX521" s="57" t="n">
        <f aca="false">N(AC521)</f>
        <v>0</v>
      </c>
      <c r="BY521" s="57" t="n">
        <f aca="false">N(L521)+N(M521)</f>
        <v>1</v>
      </c>
      <c r="BZ521" s="57" t="n">
        <f aca="false">ROUNDUP(G521/BQ521,0)</f>
        <v>1</v>
      </c>
      <c r="CA521" s="57" t="n">
        <f aca="false">ROUNDUP(BX521/BQ521,0)</f>
        <v>0</v>
      </c>
      <c r="CB521" s="60" t="n">
        <f aca="false">IF(BR521=1,0,IFERROR(VLOOKUP(BP521,'Gebinde-Kategorie'!$A$5:$M$45,5,0)+0,0))</f>
        <v>8</v>
      </c>
      <c r="CC521" s="60" t="n">
        <f aca="false">IFERROR(IF(OR(BT521=1,BT521=2,BT521=3),N(INDEX(Parameter!$I$5:$I$7,BT521)),0),0)</f>
        <v>0</v>
      </c>
      <c r="CD521" s="59" t="n">
        <f aca="false">IF(AND(Parameter!$B$21="Ja",ISNUMBER(U521),N(V521)&gt;0),IFERROR(N(INDEX(Parameter!$L$5:$L$7,U521))*INDEX(Parameter!$E$5:$E$7,U521)*V521/SUMIFS($V$7:$V$1576,$U$7:$U$1576,U521),0),0)</f>
        <v>0</v>
      </c>
    </row>
    <row r="522" customFormat="false" ht="15" hidden="false" customHeight="false" outlineLevel="0" collapsed="false">
      <c r="A522" s="55" t="s">
        <v>1121</v>
      </c>
      <c r="B522" s="55" t="s">
        <v>397</v>
      </c>
      <c r="C522" s="55" t="s">
        <v>160</v>
      </c>
      <c r="D522" s="55" t="s">
        <v>178</v>
      </c>
      <c r="E522" s="55" t="s">
        <v>210</v>
      </c>
      <c r="F522" s="56" t="n">
        <v>0.05</v>
      </c>
      <c r="G522" s="57" t="n">
        <f aca="false">MAX(0,IF(AND(Parameter!$B$21="Ja",ISNUMBER(W522)),W522,IF(Parameter!$B$20="Jahresanfang 2025 + Export",BJ522+BI522,BI522)))</f>
        <v>577</v>
      </c>
      <c r="H522" s="57" t="n">
        <f aca="false">G522*F522</f>
        <v>28.85</v>
      </c>
      <c r="I522" s="57" t="n">
        <f aca="false">BL522*Parameter!$B$18</f>
        <v>2038</v>
      </c>
      <c r="J522" s="58" t="n">
        <v>968</v>
      </c>
      <c r="K522" s="59" t="n">
        <v>2.10537190082645</v>
      </c>
      <c r="L522" s="57" t="n">
        <v>118</v>
      </c>
      <c r="M522" s="57" t="n">
        <v>2000</v>
      </c>
      <c r="N522" s="60" t="n">
        <v>21</v>
      </c>
      <c r="O522" s="55" t="s">
        <v>319</v>
      </c>
      <c r="P522" s="57" t="n">
        <v>1546</v>
      </c>
      <c r="Q522" s="60" t="n">
        <f aca="false">IF(BR522=1,0,IFERROR(VLOOKUP(BP522,'Gebinde-Kategorie'!$A$5:$M$45,13,0)+0,0))</f>
        <v>52</v>
      </c>
      <c r="R522" s="61"/>
      <c r="S522" s="62"/>
      <c r="T522" s="62"/>
      <c r="U522" s="55"/>
      <c r="V522" s="57"/>
      <c r="W522" s="57"/>
      <c r="X522" s="55" t="n">
        <f aca="false">IF(A522="","",IF(AND(Parameter!$B$21="Ja",ISNUMBER(U522)),U522,IF(IFERROR(VLOOKUP(D522,Parameter!$A$35:$C$64,2,0),"Nein")="2+3",IF(ISNUMBER(SEARCH("grosser Artikel",BM522)),2,IFERROR(VLOOKUP(BP522,Parameter!$F$35:$G$64,2,0),2)),IF(OR(IFERROR(VLOOKUP(D522,Parameter!$A$35:$C$64,2,0),"Nein")="Nein",IFERROR(VLOOKUP(D522,Parameter!$A$35:$C$64,2,0),"Nein")=""),"-",VLOOKUP(D522,Parameter!$A$35:$C$64,2,0)))))</f>
        <v>3</v>
      </c>
      <c r="Y522" s="62"/>
      <c r="Z522" s="63"/>
      <c r="AA522" s="57" t="n">
        <f aca="false">AP522</f>
        <v>3092</v>
      </c>
      <c r="AB522" s="57" t="n">
        <f aca="false">MAX(AP522,G522)</f>
        <v>3092</v>
      </c>
      <c r="AC522" s="64"/>
      <c r="AD522" s="57" t="n">
        <f aca="false">IF(LEFT(Cockpit!$C$5,1)="A",G522,IF(BW522=1,BX522,IF(LEFT(Cockpit!$C$5,1)="B",AH522,MAX(AH522,G522))))</f>
        <v>577</v>
      </c>
      <c r="AE522" s="57" t="n">
        <f aca="false">IF(BR522=1,0,ROUNDUP(AD522/BQ522,0))</f>
        <v>1</v>
      </c>
      <c r="AF522" s="59" t="n">
        <f aca="false">IF(CD522&gt;0,CD522*MAX(1,AD522/V522),IF(BR522=1,IF(AD522&lt;=0,0,BS522*MAX(1,IF(G522&gt;0,AD522/G522,1))),IF(Q522&gt;0,AE522/Q522,0))/MAX(0.1,N(Parameter!$M$21)))</f>
        <v>0.0192307692307692</v>
      </c>
      <c r="AG522" s="57" t="n">
        <f aca="false">AD522*F522</f>
        <v>28.85</v>
      </c>
      <c r="AH522" s="57" t="n">
        <f aca="false">ROUNDUP(MAX(I522/IF(BV522&gt;0,BV522,MAX(0.1,N(Cockpit!$C$6))),BY522)/BQ522,0)*BQ522</f>
        <v>3092</v>
      </c>
      <c r="AI522" s="58" t="n">
        <f aca="false">IF(AF522&gt;0,I522/AF522,-1)</f>
        <v>105976</v>
      </c>
      <c r="AJ522" s="58" t="n">
        <f aca="false">IF(AND(OR(BU522="L1",BU522="L23"),AF522&gt;0),SUMIFS($AF$7:$AF$1576,$BU$7:$BU$1576,BU522,$AI$7:$AI$1576,"&gt;"&amp;AI522)+SUMIFS($AF$7:$AF$1576,$BU$7:$BU$1576,BU522,$AI$7:$AI$1576,AI522,$BO$7:$BO$1576,"&lt;="&amp;BO522),"")</f>
        <v>0.185762305327523</v>
      </c>
      <c r="AK522" s="65" t="n">
        <f aca="false">IF(AJ522="",0,MAX(0,MIN(1,(IF(BU522="L1",Parameter!$E$5,Parameter!$E$6+Parameter!$E$7)-(AJ522-AF522))/AF522)))</f>
        <v>1</v>
      </c>
      <c r="AL522" s="57" t="n">
        <f aca="false">IF(LEFT(Cockpit!$I$5,1)="A",G522,IF(BW522=1,BX522,IF(LEFT(Cockpit!$I$5,1)="B",AP522,MAX(AP522,G522))))</f>
        <v>3092</v>
      </c>
      <c r="AM522" s="57" t="n">
        <f aca="false">IF(BR522=1,0,ROUNDUP(AL522/BQ522,0))</f>
        <v>2</v>
      </c>
      <c r="AN522" s="59" t="n">
        <f aca="false">IF(CD522&gt;0,CD522*MAX(1,AL522/V522),IF(BR522=1,IF(AL522&lt;=0,0,BS522*MAX(1,IF(G522&gt;0,AL522/G522,1))),IF(Q522&gt;0,AM522/Q522,0))/MAX(0.1,N(Parameter!$M$21)))</f>
        <v>0.0384615384615385</v>
      </c>
      <c r="AO522" s="57" t="n">
        <f aca="false">AL522*F522</f>
        <v>154.6</v>
      </c>
      <c r="AP522" s="57" t="n">
        <f aca="false">ROUNDUP(MAX(I522/IF(BV522&gt;0,BV522,MAX(0.1,N(Cockpit!$I$6))),BY522)/BQ522,0)*BQ522</f>
        <v>3092</v>
      </c>
      <c r="AQ522" s="58" t="n">
        <f aca="false">IF(AN522&gt;0,I522/AN522,-1)</f>
        <v>52988</v>
      </c>
      <c r="AR522" s="58" t="n">
        <f aca="false">IF(AND(OR(BU522="L1",BU522="L23"),AN522&gt;0),SUMIFS($AN$7:$AN$1576,$BU$7:$BU$1576,BU522,$AQ$7:$AQ$1576,"&gt;"&amp;AQ522)+SUMIFS($AN$7:$AN$1576,$BU$7:$BU$1576,BU522,$AQ$7:$AQ$1576,AQ522,$BO$7:$BO$1576,"&lt;="&amp;BO522),"")</f>
        <v>1.16478936522415</v>
      </c>
      <c r="AS522" s="65" t="n">
        <f aca="false">IF(AR522="",0,MAX(0,MIN(1,(IF(BU522="L1",Parameter!$E$5,Parameter!$E$6+Parameter!$E$7)-(AR522-AN522))/AN522)))</f>
        <v>1</v>
      </c>
      <c r="AT522" s="57" t="n">
        <f aca="false">IF(LEFT(Cockpit!$O$5,1)="A",G522,IF(BW522=1,BX522,IF(LEFT(Cockpit!$O$5,1)="B",AX522,MAX(AX522,G522))))</f>
        <v>3092</v>
      </c>
      <c r="AU522" s="57" t="n">
        <f aca="false">IF(BR522=1,0,ROUNDUP(AT522/BQ522,0))</f>
        <v>2</v>
      </c>
      <c r="AV522" s="59" t="n">
        <f aca="false">IF(CD522&gt;0,CD522*MAX(1,AT522/V522),IF(BR522=1,IF(AT522&lt;=0,0,BS522*MAX(1,IF(G522&gt;0,AT522/G522,1))),IF(Q522&gt;0,AU522/Q522,0))/MAX(0.1,N(Parameter!$M$21)))</f>
        <v>0.0384615384615385</v>
      </c>
      <c r="AW522" s="57" t="n">
        <f aca="false">AT522*F522</f>
        <v>154.6</v>
      </c>
      <c r="AX522" s="57" t="n">
        <f aca="false">ROUNDUP(MAX(I522/IF(BV522&gt;0,BV522,MAX(0.1,N(Cockpit!$O$6))),BY522)/BQ522,0)*BQ522</f>
        <v>3092</v>
      </c>
      <c r="AY522" s="58" t="n">
        <f aca="false">IF(AV522&gt;0,I522/AV522,-1)</f>
        <v>52988</v>
      </c>
      <c r="AZ522" s="58" t="n">
        <f aca="false">IF(AND(OR(BU522="L1",BU522="L23"),AV522&gt;0),SUMIFS($AV$7:$AV$1576,$BU$7:$BU$1576,BU522,$AY$7:$AY$1576,"&gt;"&amp;AY522)+SUMIFS($AV$7:$AV$1576,$BU$7:$BU$1576,BU522,$AY$7:$AY$1576,AY522,$BO$7:$BO$1576,"&lt;="&amp;BO522),"")</f>
        <v>1.45558190601669</v>
      </c>
      <c r="BA522" s="65" t="n">
        <f aca="false">IF(AZ522="",0,MAX(0,MIN(1,(IF(BU522="L1",Parameter!$E$5,Parameter!$E$6+Parameter!$E$7)-(AZ522-AV522))/AV522)))</f>
        <v>1</v>
      </c>
      <c r="BB522" s="55" t="str">
        <f aca="false">IF(AF522&lt;=0,"",IF(BU522="Aussen","Aussenlager",IF(BU522="-","Nicht im Lift",IF(AK522&gt;=1,"Lift",IF(AK522&lt;=0,"Aussenlager","teilweise")))))</f>
        <v>Lift</v>
      </c>
      <c r="BC522" s="55" t="str">
        <f aca="false">IF(AN522&lt;=0,"",IF(BU522="Aussen","Aussenlager",IF(BU522="-","Nicht im Lift",IF(AS522&gt;=1,"Lift",IF(AS522&lt;=0,"Aussenlager","teilweise")))))</f>
        <v>Lift</v>
      </c>
      <c r="BD522" s="55" t="str">
        <f aca="false">IF(AV522&lt;=0,"",IF(BU522="Aussen","Aussenlager",IF(BU522="-","Nicht im Lift",IF(BA522&gt;=1,"Lift",IF(BA522&lt;=0,"Aussenlager","teilweise")))))</f>
        <v>Lift</v>
      </c>
      <c r="BE522" s="55" t="str">
        <f aca="false">IF(A522="","",IF(BN522=1,"Neu; ","")&amp;IF(AND(BN522=0,BI522&lt;0),"negativer Bestand (Export "&amp;BI522&amp;"); ","")&amp;IF(I522&lt;=0,"Kein Verbrauch; ","")&amp;IF(CD522&gt;0,"Lift "&amp;U522&amp;" lt. Liftbericht (Fach "&amp;V522&amp;" Stk); ",IF(BR522=1,"Lose – Fläche geschätzt; ",""))&amp;IF(G522&gt;AP522,"Überbestand "&amp;ROUND(G522-AP522,0)&amp;" Stk / CHF "&amp;ROUND((G522-AP522)*F522,0)&amp;"; ","")&amp;IF(AND(BW522=1,BX522&lt;BY522),"MAX &lt; MB+LG; ","")&amp;IF(AND(CC522&gt;0,CB522*10&gt;CC522),"zu hoch für Tablar; ","")&amp;IF(AND(BN522=0,OR(BW522=1,Y522&lt;&gt;"",S522&lt;&gt;"",T522&lt;&gt;"",Z522&lt;&gt;"")),"manuell übersteuert; ","")&amp;IF(AND(BR522=0,Q522=0),"Gebinde unbekannt / Stellmass fehlt; ","")&amp;IF(AND(BR522=0,N(T522)&lt;=0,N(P522)&lt;=0),"Menge pro Gebinde fehlt (Ist = 1 Gebinde); ","")&amp;BM522)</f>
        <v/>
      </c>
      <c r="BF522" s="55"/>
      <c r="BG522" s="55"/>
      <c r="BH522" s="62"/>
      <c r="BI522" s="57" t="n">
        <v>577</v>
      </c>
      <c r="BJ522" s="57" t="n">
        <v>1254</v>
      </c>
      <c r="BK522" s="56" t="n">
        <v>28.8499999999999</v>
      </c>
      <c r="BL522" s="57" t="n">
        <v>2038</v>
      </c>
      <c r="BM522" s="55"/>
      <c r="BN522" s="60" t="n">
        <v>0</v>
      </c>
      <c r="BO522" s="60" t="n">
        <v>522</v>
      </c>
      <c r="BP522" s="55" t="str">
        <f aca="false">IF(S522&lt;&gt;"",UPPER(TRIM(S522)),IF(O522="","LOSE",O522))</f>
        <v>S41</v>
      </c>
      <c r="BQ522" s="57" t="n">
        <f aca="false">IF(BP522="LOSE",1,IF(N(T522)&gt;0,T522,IF(N(P522)&gt;0,P522,MAX(1,G522))))</f>
        <v>1546</v>
      </c>
      <c r="BR522" s="60" t="n">
        <f aca="false">IF(BP522="LOSE",1,0)</f>
        <v>0</v>
      </c>
      <c r="BS522" s="59" t="n">
        <f aca="false">IF(BR522=0,0,IF(N(R522)&gt;0,R522,IFERROR(VLOOKUP(D522,Parameter!$A$35:$C$64,3,0)+0,0)))</f>
        <v>0</v>
      </c>
      <c r="BT522" s="55" t="n">
        <f aca="false">IF(Y522&lt;&gt;"",Y522,X522)</f>
        <v>3</v>
      </c>
      <c r="BU522" s="55" t="str">
        <f aca="false">IF(BT522=1,"L1",IF(OR(BT522=2,BT522=3),"L23",IF(BT522="Aussen","Aussen","-")))</f>
        <v>L23</v>
      </c>
      <c r="BV522" s="66" t="n">
        <f aca="false">IF(N(Z522)&gt;0,Z522,0)</f>
        <v>0</v>
      </c>
      <c r="BW522" s="60" t="n">
        <f aca="false">IF(ISNUMBER(AC522),1,0)</f>
        <v>0</v>
      </c>
      <c r="BX522" s="57" t="n">
        <f aca="false">N(AC522)</f>
        <v>0</v>
      </c>
      <c r="BY522" s="57" t="n">
        <f aca="false">N(L522)+N(M522)</f>
        <v>2118</v>
      </c>
      <c r="BZ522" s="57" t="n">
        <f aca="false">ROUNDUP(G522/BQ522,0)</f>
        <v>1</v>
      </c>
      <c r="CA522" s="57" t="n">
        <f aca="false">ROUNDUP(BX522/BQ522,0)</f>
        <v>0</v>
      </c>
      <c r="CB522" s="60" t="n">
        <f aca="false">IF(BR522=1,0,IFERROR(VLOOKUP(BP522,'Gebinde-Kategorie'!$A$5:$M$45,5,0)+0,0))</f>
        <v>11</v>
      </c>
      <c r="CC522" s="60" t="n">
        <f aca="false">IFERROR(IF(OR(BT522=1,BT522=2,BT522=3),N(INDEX(Parameter!$I$5:$I$7,BT522)),0),0)</f>
        <v>0</v>
      </c>
      <c r="CD522" s="59" t="n">
        <f aca="false">IF(AND(Parameter!$B$21="Ja",ISNUMBER(U522),N(V522)&gt;0),IFERROR(N(INDEX(Parameter!$L$5:$L$7,U522))*INDEX(Parameter!$E$5:$E$7,U522)*V522/SUMIFS($V$7:$V$1576,$U$7:$U$1576,U522),0),0)</f>
        <v>0</v>
      </c>
    </row>
    <row r="523" customFormat="false" ht="15" hidden="false" customHeight="false" outlineLevel="0" collapsed="false">
      <c r="A523" s="55" t="s">
        <v>1122</v>
      </c>
      <c r="B523" s="55" t="s">
        <v>1123</v>
      </c>
      <c r="C523" s="55" t="s">
        <v>160</v>
      </c>
      <c r="D523" s="55" t="s">
        <v>178</v>
      </c>
      <c r="E523" s="55" t="s">
        <v>210</v>
      </c>
      <c r="F523" s="56" t="n">
        <v>121.7</v>
      </c>
      <c r="G523" s="57" t="n">
        <f aca="false">MAX(0,IF(AND(Parameter!$B$21="Ja",ISNUMBER(W523)),W523,IF(Parameter!$B$20="Jahresanfang 2025 + Export",BJ523+BI523,BI523)))</f>
        <v>0</v>
      </c>
      <c r="H523" s="57" t="n">
        <f aca="false">G523*F523</f>
        <v>0</v>
      </c>
      <c r="I523" s="57" t="n">
        <f aca="false">BL523*Parameter!$B$18</f>
        <v>1</v>
      </c>
      <c r="J523" s="58" t="n">
        <v>1</v>
      </c>
      <c r="K523" s="59" t="n">
        <v>1</v>
      </c>
      <c r="L523" s="57" t="n">
        <v>0</v>
      </c>
      <c r="M523" s="57" t="n">
        <v>1</v>
      </c>
      <c r="N523" s="60" t="n">
        <v>35</v>
      </c>
      <c r="O523" s="55" t="s">
        <v>293</v>
      </c>
      <c r="P523" s="57" t="n">
        <v>3</v>
      </c>
      <c r="Q523" s="60" t="n">
        <f aca="false">IF(BR523=1,0,IFERROR(VLOOKUP(BP523,'Gebinde-Kategorie'!$A$5:$M$45,13,0)+0,0))</f>
        <v>26</v>
      </c>
      <c r="R523" s="61"/>
      <c r="S523" s="62"/>
      <c r="T523" s="62"/>
      <c r="U523" s="55"/>
      <c r="V523" s="57"/>
      <c r="W523" s="57"/>
      <c r="X523" s="55" t="n">
        <f aca="false">IF(A523="","",IF(AND(Parameter!$B$21="Ja",ISNUMBER(U523)),U523,IF(IFERROR(VLOOKUP(D523,Parameter!$A$35:$C$64,2,0),"Nein")="2+3",IF(ISNUMBER(SEARCH("grosser Artikel",BM523)),2,IFERROR(VLOOKUP(BP523,Parameter!$F$35:$G$64,2,0),2)),IF(OR(IFERROR(VLOOKUP(D523,Parameter!$A$35:$C$64,2,0),"Nein")="Nein",IFERROR(VLOOKUP(D523,Parameter!$A$35:$C$64,2,0),"Nein")=""),"-",VLOOKUP(D523,Parameter!$A$35:$C$64,2,0)))))</f>
        <v>3</v>
      </c>
      <c r="Y523" s="62"/>
      <c r="Z523" s="63"/>
      <c r="AA523" s="57" t="n">
        <f aca="false">AP523</f>
        <v>3</v>
      </c>
      <c r="AB523" s="57" t="n">
        <f aca="false">MAX(AP523,G523)</f>
        <v>3</v>
      </c>
      <c r="AC523" s="64"/>
      <c r="AD523" s="57" t="n">
        <f aca="false">IF(LEFT(Cockpit!$C$5,1)="A",G523,IF(BW523=1,BX523,IF(LEFT(Cockpit!$C$5,1)="B",AH523,MAX(AH523,G523))))</f>
        <v>0</v>
      </c>
      <c r="AE523" s="57" t="n">
        <f aca="false">IF(BR523=1,0,ROUNDUP(AD523/BQ523,0))</f>
        <v>0</v>
      </c>
      <c r="AF523" s="59" t="n">
        <f aca="false">IF(CD523&gt;0,CD523*MAX(1,AD523/V523),IF(BR523=1,IF(AD523&lt;=0,0,BS523*MAX(1,IF(G523&gt;0,AD523/G523,1))),IF(Q523&gt;0,AE523/Q523,0))/MAX(0.1,N(Parameter!$M$21)))</f>
        <v>0</v>
      </c>
      <c r="AG523" s="57" t="n">
        <f aca="false">AD523*F523</f>
        <v>0</v>
      </c>
      <c r="AH523" s="57" t="n">
        <f aca="false">ROUNDUP(MAX(I523/IF(BV523&gt;0,BV523,MAX(0.1,N(Cockpit!$C$6))),BY523)/BQ523,0)*BQ523</f>
        <v>3</v>
      </c>
      <c r="AI523" s="58" t="n">
        <f aca="false">IF(AF523&gt;0,I523/AF523,-1)</f>
        <v>-1</v>
      </c>
      <c r="AJ523" s="58" t="str">
        <f aca="false">IF(AND(OR(BU523="L1",BU523="L23"),AF523&gt;0),SUMIFS($AF$7:$AF$1576,$BU$7:$BU$1576,BU523,$AI$7:$AI$1576,"&gt;"&amp;AI523)+SUMIFS($AF$7:$AF$1576,$BU$7:$BU$1576,BU523,$AI$7:$AI$1576,AI523,$BO$7:$BO$1576,"&lt;="&amp;BO523),"")</f>
        <v/>
      </c>
      <c r="AK523" s="65" t="n">
        <f aca="false">IF(AJ523="",0,MAX(0,MIN(1,(IF(BU523="L1",Parameter!$E$5,Parameter!$E$6+Parameter!$E$7)-(AJ523-AF523))/AF523)))</f>
        <v>0</v>
      </c>
      <c r="AL523" s="57" t="n">
        <f aca="false">IF(LEFT(Cockpit!$I$5,1)="A",G523,IF(BW523=1,BX523,IF(LEFT(Cockpit!$I$5,1)="B",AP523,MAX(AP523,G523))))</f>
        <v>3</v>
      </c>
      <c r="AM523" s="57" t="n">
        <f aca="false">IF(BR523=1,0,ROUNDUP(AL523/BQ523,0))</f>
        <v>1</v>
      </c>
      <c r="AN523" s="59" t="n">
        <f aca="false">IF(CD523&gt;0,CD523*MAX(1,AL523/V523),IF(BR523=1,IF(AL523&lt;=0,0,BS523*MAX(1,IF(G523&gt;0,AL523/G523,1))),IF(Q523&gt;0,AM523/Q523,0))/MAX(0.1,N(Parameter!$M$21)))</f>
        <v>0.0384615384615385</v>
      </c>
      <c r="AO523" s="57" t="n">
        <f aca="false">AL523*F523</f>
        <v>365.1</v>
      </c>
      <c r="AP523" s="57" t="n">
        <f aca="false">ROUNDUP(MAX(I523/IF(BV523&gt;0,BV523,MAX(0.1,N(Cockpit!$I$6))),BY523)/BQ523,0)*BQ523</f>
        <v>3</v>
      </c>
      <c r="AQ523" s="58" t="n">
        <f aca="false">IF(AN523&gt;0,I523/AN523,-1)</f>
        <v>26</v>
      </c>
      <c r="AR523" s="58" t="n">
        <f aca="false">IF(AND(OR(BU523="L1",BU523="L23"),AN523&gt;0),SUMIFS($AN$7:$AN$1576,$BU$7:$BU$1576,BU523,$AQ$7:$AQ$1576,"&gt;"&amp;AQ523)+SUMIFS($AN$7:$AN$1576,$BU$7:$BU$1576,BU523,$AQ$7:$AQ$1576,AQ523,$BO$7:$BO$1576,"&lt;="&amp;BO523),"")</f>
        <v>97.0847422810034</v>
      </c>
      <c r="AS523" s="65" t="n">
        <f aca="false">IF(AR523="",0,MAX(0,MIN(1,(IF(BU523="L1",Parameter!$E$5,Parameter!$E$6+Parameter!$E$7)-(AR523-AN523))/AN523)))</f>
        <v>1</v>
      </c>
      <c r="AT523" s="57" t="n">
        <f aca="false">IF(LEFT(Cockpit!$O$5,1)="A",G523,IF(BW523=1,BX523,IF(LEFT(Cockpit!$O$5,1)="B",AX523,MAX(AX523,G523))))</f>
        <v>3</v>
      </c>
      <c r="AU523" s="57" t="n">
        <f aca="false">IF(BR523=1,0,ROUNDUP(AT523/BQ523,0))</f>
        <v>1</v>
      </c>
      <c r="AV523" s="59" t="n">
        <f aca="false">IF(CD523&gt;0,CD523*MAX(1,AT523/V523),IF(BR523=1,IF(AT523&lt;=0,0,BS523*MAX(1,IF(G523&gt;0,AT523/G523,1))),IF(Q523&gt;0,AU523/Q523,0))/MAX(0.1,N(Parameter!$M$21)))</f>
        <v>0.0384615384615385</v>
      </c>
      <c r="AW523" s="57" t="n">
        <f aca="false">AT523*F523</f>
        <v>365.1</v>
      </c>
      <c r="AX523" s="57" t="n">
        <f aca="false">ROUNDUP(MAX(I523/IF(BV523&gt;0,BV523,MAX(0.1,N(Cockpit!$O$6))),BY523)/BQ523,0)*BQ523</f>
        <v>3</v>
      </c>
      <c r="AY523" s="58" t="n">
        <f aca="false">IF(AV523&gt;0,I523/AV523,-1)</f>
        <v>26</v>
      </c>
      <c r="AZ523" s="58" t="n">
        <f aca="false">IF(AND(OR(BU523="L1",BU523="L23"),AV523&gt;0),SUMIFS($AV$7:$AV$1576,$BU$7:$BU$1576,BU523,$AY$7:$AY$1576,"&gt;"&amp;AY523)+SUMIFS($AV$7:$AV$1576,$BU$7:$BU$1576,BU523,$AY$7:$AY$1576,AY523,$BO$7:$BO$1576,"&lt;="&amp;BO523),"")</f>
        <v>87.8942927305539</v>
      </c>
      <c r="BA523" s="65" t="n">
        <f aca="false">IF(AZ523="",0,MAX(0,MIN(1,(IF(BU523="L1",Parameter!$E$5,Parameter!$E$6+Parameter!$E$7)-(AZ523-AV523))/AV523)))</f>
        <v>1</v>
      </c>
      <c r="BB523" s="55" t="str">
        <f aca="false">IF(AF523&lt;=0,"",IF(BU523="Aussen","Aussenlager",IF(BU523="-","Nicht im Lift",IF(AK523&gt;=1,"Lift",IF(AK523&lt;=0,"Aussenlager","teilweise")))))</f>
        <v/>
      </c>
      <c r="BC523" s="55" t="str">
        <f aca="false">IF(AN523&lt;=0,"",IF(BU523="Aussen","Aussenlager",IF(BU523="-","Nicht im Lift",IF(AS523&gt;=1,"Lift",IF(AS523&lt;=0,"Aussenlager","teilweise")))))</f>
        <v>Lift</v>
      </c>
      <c r="BD523" s="55" t="str">
        <f aca="false">IF(AV523&lt;=0,"",IF(BU523="Aussen","Aussenlager",IF(BU523="-","Nicht im Lift",IF(BA523&gt;=1,"Lift",IF(BA523&lt;=0,"Aussenlager","teilweise")))))</f>
        <v>Lift</v>
      </c>
      <c r="BE523" s="55" t="str">
        <f aca="false">IF(A523="","",IF(BN523=1,"Neu; ","")&amp;IF(AND(BN523=0,BI523&lt;0),"negativer Bestand (Export "&amp;BI523&amp;"); ","")&amp;IF(I523&lt;=0,"Kein Verbrauch; ","")&amp;IF(CD523&gt;0,"Lift "&amp;U523&amp;" lt. Liftbericht (Fach "&amp;V523&amp;" Stk); ",IF(BR523=1,"Lose – Fläche geschätzt; ",""))&amp;IF(G523&gt;AP523,"Überbestand "&amp;ROUND(G523-AP523,0)&amp;" Stk / CHF "&amp;ROUND((G523-AP523)*F523,0)&amp;"; ","")&amp;IF(AND(BW523=1,BX523&lt;BY523),"MAX &lt; MB+LG; ","")&amp;IF(AND(CC523&gt;0,CB523*10&gt;CC523),"zu hoch für Tablar; ","")&amp;IF(AND(BN523=0,OR(BW523=1,Y523&lt;&gt;"",S523&lt;&gt;"",T523&lt;&gt;"",Z523&lt;&gt;"")),"manuell übersteuert; ","")&amp;IF(AND(BR523=0,Q523=0),"Gebinde unbekannt / Stellmass fehlt; ","")&amp;IF(AND(BR523=0,N(T523)&lt;=0,N(P523)&lt;=0),"Menge pro Gebinde fehlt (Ist = 1 Gebinde); ","")&amp;BM523)</f>
        <v/>
      </c>
      <c r="BF523" s="55"/>
      <c r="BG523" s="55"/>
      <c r="BH523" s="62"/>
      <c r="BI523" s="57" t="n">
        <v>0</v>
      </c>
      <c r="BJ523" s="57" t="n">
        <v>1</v>
      </c>
      <c r="BK523" s="56" t="n">
        <v>28.1</v>
      </c>
      <c r="BL523" s="57" t="n">
        <v>1</v>
      </c>
      <c r="BM523" s="55"/>
      <c r="BN523" s="60" t="n">
        <v>0</v>
      </c>
      <c r="BO523" s="60" t="n">
        <v>523</v>
      </c>
      <c r="BP523" s="55" t="str">
        <f aca="false">IF(S523&lt;&gt;"",UPPER(TRIM(S523)),IF(O523="","LOSE",O523))</f>
        <v>S51</v>
      </c>
      <c r="BQ523" s="57" t="n">
        <f aca="false">IF(BP523="LOSE",1,IF(N(T523)&gt;0,T523,IF(N(P523)&gt;0,P523,MAX(1,G523))))</f>
        <v>3</v>
      </c>
      <c r="BR523" s="60" t="n">
        <f aca="false">IF(BP523="LOSE",1,0)</f>
        <v>0</v>
      </c>
      <c r="BS523" s="59" t="n">
        <f aca="false">IF(BR523=0,0,IF(N(R523)&gt;0,R523,IFERROR(VLOOKUP(D523,Parameter!$A$35:$C$64,3,0)+0,0)))</f>
        <v>0</v>
      </c>
      <c r="BT523" s="55" t="n">
        <f aca="false">IF(Y523&lt;&gt;"",Y523,X523)</f>
        <v>3</v>
      </c>
      <c r="BU523" s="55" t="str">
        <f aca="false">IF(BT523=1,"L1",IF(OR(BT523=2,BT523=3),"L23",IF(BT523="Aussen","Aussen","-")))</f>
        <v>L23</v>
      </c>
      <c r="BV523" s="66" t="n">
        <f aca="false">IF(N(Z523)&gt;0,Z523,0)</f>
        <v>0</v>
      </c>
      <c r="BW523" s="60" t="n">
        <f aca="false">IF(ISNUMBER(AC523),1,0)</f>
        <v>0</v>
      </c>
      <c r="BX523" s="57" t="n">
        <f aca="false">N(AC523)</f>
        <v>0</v>
      </c>
      <c r="BY523" s="57" t="n">
        <f aca="false">N(L523)+N(M523)</f>
        <v>1</v>
      </c>
      <c r="BZ523" s="57" t="n">
        <f aca="false">ROUNDUP(G523/BQ523,0)</f>
        <v>0</v>
      </c>
      <c r="CA523" s="57" t="n">
        <f aca="false">ROUNDUP(BX523/BQ523,0)</f>
        <v>0</v>
      </c>
      <c r="CB523" s="60" t="n">
        <f aca="false">IF(BR523=1,0,IFERROR(VLOOKUP(BP523,'Gebinde-Kategorie'!$A$5:$M$45,5,0)+0,0))</f>
        <v>11</v>
      </c>
      <c r="CC523" s="60" t="n">
        <f aca="false">IFERROR(IF(OR(BT523=1,BT523=2,BT523=3),N(INDEX(Parameter!$I$5:$I$7,BT523)),0),0)</f>
        <v>0</v>
      </c>
      <c r="CD523" s="59" t="n">
        <f aca="false">IF(AND(Parameter!$B$21="Ja",ISNUMBER(U523),N(V523)&gt;0),IFERROR(N(INDEX(Parameter!$L$5:$L$7,U523))*INDEX(Parameter!$E$5:$E$7,U523)*V523/SUMIFS($V$7:$V$1576,$U$7:$U$1576,U523),0),0)</f>
        <v>0</v>
      </c>
    </row>
    <row r="524" customFormat="false" ht="15" hidden="false" customHeight="false" outlineLevel="0" collapsed="false">
      <c r="A524" s="55" t="s">
        <v>1124</v>
      </c>
      <c r="B524" s="55" t="s">
        <v>1125</v>
      </c>
      <c r="C524" s="55" t="s">
        <v>160</v>
      </c>
      <c r="D524" s="55" t="s">
        <v>178</v>
      </c>
      <c r="E524" s="55" t="s">
        <v>210</v>
      </c>
      <c r="F524" s="56" t="n">
        <v>13.95</v>
      </c>
      <c r="G524" s="57" t="n">
        <f aca="false">MAX(0,IF(AND(Parameter!$B$21="Ja",ISNUMBER(W524)),W524,IF(Parameter!$B$20="Jahresanfang 2025 + Export",BJ524+BI524,BI524)))</f>
        <v>2</v>
      </c>
      <c r="H524" s="57" t="n">
        <f aca="false">G524*F524</f>
        <v>27.9</v>
      </c>
      <c r="I524" s="57" t="n">
        <f aca="false">BL524*Parameter!$B$18</f>
        <v>0</v>
      </c>
      <c r="J524" s="58" t="n">
        <v>4</v>
      </c>
      <c r="K524" s="59" t="n">
        <v>0</v>
      </c>
      <c r="L524" s="57" t="n">
        <v>0</v>
      </c>
      <c r="M524" s="57" t="n">
        <v>1</v>
      </c>
      <c r="N524" s="60" t="n">
        <v>14</v>
      </c>
      <c r="O524" s="55" t="s">
        <v>319</v>
      </c>
      <c r="P524" s="57" t="n">
        <v>1</v>
      </c>
      <c r="Q524" s="60" t="n">
        <f aca="false">IF(BR524=1,0,IFERROR(VLOOKUP(BP524,'Gebinde-Kategorie'!$A$5:$M$45,13,0)+0,0))</f>
        <v>52</v>
      </c>
      <c r="R524" s="61"/>
      <c r="S524" s="62"/>
      <c r="T524" s="62"/>
      <c r="U524" s="55"/>
      <c r="V524" s="57"/>
      <c r="W524" s="57"/>
      <c r="X524" s="55" t="n">
        <f aca="false">IF(A524="","",IF(AND(Parameter!$B$21="Ja",ISNUMBER(U524)),U524,IF(IFERROR(VLOOKUP(D524,Parameter!$A$35:$C$64,2,0),"Nein")="2+3",IF(ISNUMBER(SEARCH("grosser Artikel",BM524)),2,IFERROR(VLOOKUP(BP524,Parameter!$F$35:$G$64,2,0),2)),IF(OR(IFERROR(VLOOKUP(D524,Parameter!$A$35:$C$64,2,0),"Nein")="Nein",IFERROR(VLOOKUP(D524,Parameter!$A$35:$C$64,2,0),"Nein")=""),"-",VLOOKUP(D524,Parameter!$A$35:$C$64,2,0)))))</f>
        <v>3</v>
      </c>
      <c r="Y524" s="62"/>
      <c r="Z524" s="63"/>
      <c r="AA524" s="57" t="n">
        <f aca="false">AP524</f>
        <v>1</v>
      </c>
      <c r="AB524" s="57" t="n">
        <f aca="false">MAX(AP524,G524)</f>
        <v>2</v>
      </c>
      <c r="AC524" s="64"/>
      <c r="AD524" s="57" t="n">
        <f aca="false">IF(LEFT(Cockpit!$C$5,1)="A",G524,IF(BW524=1,BX524,IF(LEFT(Cockpit!$C$5,1)="B",AH524,MAX(AH524,G524))))</f>
        <v>2</v>
      </c>
      <c r="AE524" s="57" t="n">
        <f aca="false">IF(BR524=1,0,ROUNDUP(AD524/BQ524,0))</f>
        <v>2</v>
      </c>
      <c r="AF524" s="59" t="n">
        <f aca="false">IF(CD524&gt;0,CD524*MAX(1,AD524/V524),IF(BR524=1,IF(AD524&lt;=0,0,BS524*MAX(1,IF(G524&gt;0,AD524/G524,1))),IF(Q524&gt;0,AE524/Q524,0))/MAX(0.1,N(Parameter!$M$21)))</f>
        <v>0.0384615384615385</v>
      </c>
      <c r="AG524" s="57" t="n">
        <f aca="false">AD524*F524</f>
        <v>27.9</v>
      </c>
      <c r="AH524" s="57" t="n">
        <f aca="false">ROUNDUP(MAX(I524/IF(BV524&gt;0,BV524,MAX(0.1,N(Cockpit!$C$6))),BY524)/BQ524,0)*BQ524</f>
        <v>1</v>
      </c>
      <c r="AI524" s="58" t="n">
        <f aca="false">IF(AF524&gt;0,I524/AF524,-1)</f>
        <v>0</v>
      </c>
      <c r="AJ524" s="58" t="n">
        <f aca="false">IF(AND(OR(BU524="L1",BU524="L23"),AF524&gt;0),SUMIFS($AF$7:$AF$1576,$BU$7:$BU$1576,BU524,$AI$7:$AI$1576,"&gt;"&amp;AI524)+SUMIFS($AF$7:$AF$1576,$BU$7:$BU$1576,BU524,$AI$7:$AI$1576,AI524,$BO$7:$BO$1576,"&lt;="&amp;BO524),"")</f>
        <v>42.8985868720651</v>
      </c>
      <c r="AK524" s="65" t="n">
        <f aca="false">IF(AJ524="",0,MAX(0,MIN(1,(IF(BU524="L1",Parameter!$E$5,Parameter!$E$6+Parameter!$E$7)-(AJ524-AF524))/AF524)))</f>
        <v>1</v>
      </c>
      <c r="AL524" s="57" t="n">
        <f aca="false">IF(LEFT(Cockpit!$I$5,1)="A",G524,IF(BW524=1,BX524,IF(LEFT(Cockpit!$I$5,1)="B",AP524,MAX(AP524,G524))))</f>
        <v>2</v>
      </c>
      <c r="AM524" s="57" t="n">
        <f aca="false">IF(BR524=1,0,ROUNDUP(AL524/BQ524,0))</f>
        <v>2</v>
      </c>
      <c r="AN524" s="59" t="n">
        <f aca="false">IF(CD524&gt;0,CD524*MAX(1,AL524/V524),IF(BR524=1,IF(AL524&lt;=0,0,BS524*MAX(1,IF(G524&gt;0,AL524/G524,1))),IF(Q524&gt;0,AM524/Q524,0))/MAX(0.1,N(Parameter!$M$21)))</f>
        <v>0.0384615384615385</v>
      </c>
      <c r="AO524" s="57" t="n">
        <f aca="false">AL524*F524</f>
        <v>27.9</v>
      </c>
      <c r="AP524" s="57" t="n">
        <f aca="false">ROUNDUP(MAX(I524/IF(BV524&gt;0,BV524,MAX(0.1,N(Cockpit!$I$6))),BY524)/BQ524,0)*BQ524</f>
        <v>1</v>
      </c>
      <c r="AQ524" s="58" t="n">
        <f aca="false">IF(AN524&gt;0,I524/AN524,-1)</f>
        <v>0</v>
      </c>
      <c r="AR524" s="58" t="n">
        <f aca="false">IF(AND(OR(BU524="L1",BU524="L23"),AN524&gt;0),SUMIFS($AN$7:$AN$1576,$BU$7:$BU$1576,BU524,$AQ$7:$AQ$1576,"&gt;"&amp;AQ524)+SUMIFS($AN$7:$AN$1576,$BU$7:$BU$1576,BU524,$AQ$7:$AQ$1576,AQ524,$BO$7:$BO$1576,"&lt;="&amp;BO524),"")</f>
        <v>125.895372990583</v>
      </c>
      <c r="AS524" s="65" t="n">
        <f aca="false">IF(AR524="",0,MAX(0,MIN(1,(IF(BU524="L1",Parameter!$E$5,Parameter!$E$6+Parameter!$E$7)-(AR524-AN524))/AN524)))</f>
        <v>0</v>
      </c>
      <c r="AT524" s="57" t="n">
        <f aca="false">IF(LEFT(Cockpit!$O$5,1)="A",G524,IF(BW524=1,BX524,IF(LEFT(Cockpit!$O$5,1)="B",AX524,MAX(AX524,G524))))</f>
        <v>2</v>
      </c>
      <c r="AU524" s="57" t="n">
        <f aca="false">IF(BR524=1,0,ROUNDUP(AT524/BQ524,0))</f>
        <v>2</v>
      </c>
      <c r="AV524" s="59" t="n">
        <f aca="false">IF(CD524&gt;0,CD524*MAX(1,AT524/V524),IF(BR524=1,IF(AT524&lt;=0,0,BS524*MAX(1,IF(G524&gt;0,AT524/G524,1))),IF(Q524&gt;0,AU524/Q524,0))/MAX(0.1,N(Parameter!$M$21)))</f>
        <v>0.0384615384615385</v>
      </c>
      <c r="AW524" s="57" t="n">
        <f aca="false">AT524*F524</f>
        <v>27.9</v>
      </c>
      <c r="AX524" s="57" t="n">
        <f aca="false">ROUNDUP(MAX(I524/IF(BV524&gt;0,BV524,MAX(0.1,N(Cockpit!$O$6))),BY524)/BQ524,0)*BQ524</f>
        <v>1</v>
      </c>
      <c r="AY524" s="58" t="n">
        <f aca="false">IF(AV524&gt;0,I524/AV524,-1)</f>
        <v>0</v>
      </c>
      <c r="AZ524" s="58" t="n">
        <f aca="false">IF(AND(OR(BU524="L1",BU524="L23"),AV524&gt;0),SUMIFS($AV$7:$AV$1576,$BU$7:$BU$1576,BU524,$AY$7:$AY$1576,"&gt;"&amp;AY524)+SUMIFS($AV$7:$AV$1576,$BU$7:$BU$1576,BU524,$AY$7:$AY$1576,AY524,$BO$7:$BO$1576,"&lt;="&amp;BO524),"")</f>
        <v>115.954923440134</v>
      </c>
      <c r="BA524" s="65" t="n">
        <f aca="false">IF(AZ524="",0,MAX(0,MIN(1,(IF(BU524="L1",Parameter!$E$5,Parameter!$E$6+Parameter!$E$7)-(AZ524-AV524))/AV524)))</f>
        <v>0</v>
      </c>
      <c r="BB524" s="55" t="str">
        <f aca="false">IF(AF524&lt;=0,"",IF(BU524="Aussen","Aussenlager",IF(BU524="-","Nicht im Lift",IF(AK524&gt;=1,"Lift",IF(AK524&lt;=0,"Aussenlager","teilweise")))))</f>
        <v>Lift</v>
      </c>
      <c r="BC524" s="55" t="str">
        <f aca="false">IF(AN524&lt;=0,"",IF(BU524="Aussen","Aussenlager",IF(BU524="-","Nicht im Lift",IF(AS524&gt;=1,"Lift",IF(AS524&lt;=0,"Aussenlager","teilweise")))))</f>
        <v>Aussenlager</v>
      </c>
      <c r="BD524" s="55" t="str">
        <f aca="false">IF(AV524&lt;=0,"",IF(BU524="Aussen","Aussenlager",IF(BU524="-","Nicht im Lift",IF(BA524&gt;=1,"Lift",IF(BA524&lt;=0,"Aussenlager","teilweise")))))</f>
        <v>Aussenlager</v>
      </c>
      <c r="BE524" s="55" t="str">
        <f aca="false">IF(A524="","",IF(BN524=1,"Neu; ","")&amp;IF(AND(BN524=0,BI524&lt;0),"negativer Bestand (Export "&amp;BI524&amp;"); ","")&amp;IF(I524&lt;=0,"Kein Verbrauch; ","")&amp;IF(CD524&gt;0,"Lift "&amp;U524&amp;" lt. Liftbericht (Fach "&amp;V524&amp;" Stk); ",IF(BR524=1,"Lose – Fläche geschätzt; ",""))&amp;IF(G524&gt;AP524,"Überbestand "&amp;ROUND(G524-AP524,0)&amp;" Stk / CHF "&amp;ROUND((G524-AP524)*F524,0)&amp;"; ","")&amp;IF(AND(BW524=1,BX524&lt;BY524),"MAX &lt; MB+LG; ","")&amp;IF(AND(CC524&gt;0,CB524*10&gt;CC524),"zu hoch für Tablar; ","")&amp;IF(AND(BN524=0,OR(BW524=1,Y524&lt;&gt;"",S524&lt;&gt;"",T524&lt;&gt;"",Z524&lt;&gt;"")),"manuell übersteuert; ","")&amp;IF(AND(BR524=0,Q524=0),"Gebinde unbekannt / Stellmass fehlt; ","")&amp;IF(AND(BR524=0,N(T524)&lt;=0,N(P524)&lt;=0),"Menge pro Gebinde fehlt (Ist = 1 Gebinde); ","")&amp;BM524)</f>
        <v>Kein Verbrauch; Überbestand 1 Stk / CHF 14; </v>
      </c>
      <c r="BF524" s="55"/>
      <c r="BG524" s="55"/>
      <c r="BH524" s="62"/>
      <c r="BI524" s="57" t="n">
        <v>2</v>
      </c>
      <c r="BJ524" s="57" t="n">
        <v>4</v>
      </c>
      <c r="BK524" s="56" t="n">
        <v>28.02</v>
      </c>
      <c r="BL524" s="57" t="n">
        <v>0</v>
      </c>
      <c r="BM524" s="55"/>
      <c r="BN524" s="60" t="n">
        <v>0</v>
      </c>
      <c r="BO524" s="60" t="n">
        <v>524</v>
      </c>
      <c r="BP524" s="55" t="str">
        <f aca="false">IF(S524&lt;&gt;"",UPPER(TRIM(S524)),IF(O524="","LOSE",O524))</f>
        <v>S41</v>
      </c>
      <c r="BQ524" s="57" t="n">
        <f aca="false">IF(BP524="LOSE",1,IF(N(T524)&gt;0,T524,IF(N(P524)&gt;0,P524,MAX(1,G524))))</f>
        <v>1</v>
      </c>
      <c r="BR524" s="60" t="n">
        <f aca="false">IF(BP524="LOSE",1,0)</f>
        <v>0</v>
      </c>
      <c r="BS524" s="59" t="n">
        <f aca="false">IF(BR524=0,0,IF(N(R524)&gt;0,R524,IFERROR(VLOOKUP(D524,Parameter!$A$35:$C$64,3,0)+0,0)))</f>
        <v>0</v>
      </c>
      <c r="BT524" s="55" t="n">
        <f aca="false">IF(Y524&lt;&gt;"",Y524,X524)</f>
        <v>3</v>
      </c>
      <c r="BU524" s="55" t="str">
        <f aca="false">IF(BT524=1,"L1",IF(OR(BT524=2,BT524=3),"L23",IF(BT524="Aussen","Aussen","-")))</f>
        <v>L23</v>
      </c>
      <c r="BV524" s="66" t="n">
        <f aca="false">IF(N(Z524)&gt;0,Z524,0)</f>
        <v>0</v>
      </c>
      <c r="BW524" s="60" t="n">
        <f aca="false">IF(ISNUMBER(AC524),1,0)</f>
        <v>0</v>
      </c>
      <c r="BX524" s="57" t="n">
        <f aca="false">N(AC524)</f>
        <v>0</v>
      </c>
      <c r="BY524" s="57" t="n">
        <f aca="false">N(L524)+N(M524)</f>
        <v>1</v>
      </c>
      <c r="BZ524" s="57" t="n">
        <f aca="false">ROUNDUP(G524/BQ524,0)</f>
        <v>2</v>
      </c>
      <c r="CA524" s="57" t="n">
        <f aca="false">ROUNDUP(BX524/BQ524,0)</f>
        <v>0</v>
      </c>
      <c r="CB524" s="60" t="n">
        <f aca="false">IF(BR524=1,0,IFERROR(VLOOKUP(BP524,'Gebinde-Kategorie'!$A$5:$M$45,5,0)+0,0))</f>
        <v>11</v>
      </c>
      <c r="CC524" s="60" t="n">
        <f aca="false">IFERROR(IF(OR(BT524=1,BT524=2,BT524=3),N(INDEX(Parameter!$I$5:$I$7,BT524)),0),0)</f>
        <v>0</v>
      </c>
      <c r="CD524" s="59" t="n">
        <f aca="false">IF(AND(Parameter!$B$21="Ja",ISNUMBER(U524),N(V524)&gt;0),IFERROR(N(INDEX(Parameter!$L$5:$L$7,U524))*INDEX(Parameter!$E$5:$E$7,U524)*V524/SUMIFS($V$7:$V$1576,$U$7:$U$1576,U524),0),0)</f>
        <v>0</v>
      </c>
    </row>
    <row r="525" customFormat="false" ht="15" hidden="false" customHeight="false" outlineLevel="0" collapsed="false">
      <c r="A525" s="55" t="s">
        <v>1126</v>
      </c>
      <c r="B525" s="55" t="s">
        <v>938</v>
      </c>
      <c r="C525" s="55" t="s">
        <v>160</v>
      </c>
      <c r="D525" s="55" t="s">
        <v>178</v>
      </c>
      <c r="E525" s="55" t="s">
        <v>210</v>
      </c>
      <c r="F525" s="56" t="n">
        <v>0.14</v>
      </c>
      <c r="G525" s="57" t="n">
        <f aca="false">MAX(0,IF(AND(Parameter!$B$21="Ja",ISNUMBER(W525)),W525,IF(Parameter!$B$20="Jahresanfang 2025 + Export",BJ525+BI525,BI525)))</f>
        <v>200</v>
      </c>
      <c r="H525" s="57" t="n">
        <f aca="false">G525*F525</f>
        <v>28</v>
      </c>
      <c r="I525" s="57" t="n">
        <f aca="false">BL525*Parameter!$B$18</f>
        <v>200</v>
      </c>
      <c r="J525" s="58" t="n">
        <v>0</v>
      </c>
      <c r="K525" s="59" t="n">
        <v>0</v>
      </c>
      <c r="L525" s="57" t="n">
        <v>12</v>
      </c>
      <c r="M525" s="57" t="n">
        <v>200</v>
      </c>
      <c r="N525" s="60" t="n">
        <v>21</v>
      </c>
      <c r="O525" s="55" t="s">
        <v>163</v>
      </c>
      <c r="P525" s="57"/>
      <c r="Q525" s="60" t="n">
        <f aca="false">IF(BR525=1,0,IFERROR(VLOOKUP(BP525,'Gebinde-Kategorie'!$A$5:$M$45,13,0)+0,0))</f>
        <v>0</v>
      </c>
      <c r="R525" s="61"/>
      <c r="S525" s="62"/>
      <c r="T525" s="62"/>
      <c r="U525" s="55"/>
      <c r="V525" s="57"/>
      <c r="W525" s="57"/>
      <c r="X525" s="55" t="n">
        <f aca="false">IF(A525="","",IF(AND(Parameter!$B$21="Ja",ISNUMBER(U525)),U525,IF(IFERROR(VLOOKUP(D525,Parameter!$A$35:$C$64,2,0),"Nein")="2+3",IF(ISNUMBER(SEARCH("grosser Artikel",BM525)),2,IFERROR(VLOOKUP(BP525,Parameter!$F$35:$G$64,2,0),2)),IF(OR(IFERROR(VLOOKUP(D525,Parameter!$A$35:$C$64,2,0),"Nein")="Nein",IFERROR(VLOOKUP(D525,Parameter!$A$35:$C$64,2,0),"Nein")=""),"-",VLOOKUP(D525,Parameter!$A$35:$C$64,2,0)))))</f>
        <v>2</v>
      </c>
      <c r="Y525" s="62"/>
      <c r="Z525" s="63"/>
      <c r="AA525" s="57" t="n">
        <f aca="false">AP525</f>
        <v>212</v>
      </c>
      <c r="AB525" s="57" t="n">
        <f aca="false">MAX(AP525,G525)</f>
        <v>212</v>
      </c>
      <c r="AC525" s="64"/>
      <c r="AD525" s="57" t="n">
        <f aca="false">IF(LEFT(Cockpit!$C$5,1)="A",G525,IF(BW525=1,BX525,IF(LEFT(Cockpit!$C$5,1)="B",AH525,MAX(AH525,G525))))</f>
        <v>200</v>
      </c>
      <c r="AE525" s="57" t="n">
        <f aca="false">IF(BR525=1,0,ROUNDUP(AD525/BQ525,0))</f>
        <v>0</v>
      </c>
      <c r="AF525" s="59" t="n">
        <f aca="false">IF(CD525&gt;0,CD525*MAX(1,AD525/V525),IF(BR525=1,IF(AD525&lt;=0,0,BS525*MAX(1,IF(G525&gt;0,AD525/G525,1))),IF(Q525&gt;0,AE525/Q525,0))/MAX(0.1,N(Parameter!$M$21)))</f>
        <v>0.03</v>
      </c>
      <c r="AG525" s="57" t="n">
        <f aca="false">AD525*F525</f>
        <v>28</v>
      </c>
      <c r="AH525" s="57" t="n">
        <f aca="false">ROUNDUP(MAX(I525/IF(BV525&gt;0,BV525,MAX(0.1,N(Cockpit!$C$6))),BY525)/BQ525,0)*BQ525</f>
        <v>212</v>
      </c>
      <c r="AI525" s="58" t="n">
        <f aca="false">IF(AF525&gt;0,I525/AF525,-1)</f>
        <v>6666.66666666667</v>
      </c>
      <c r="AJ525" s="58" t="n">
        <f aca="false">IF(AND(OR(BU525="L1",BU525="L23"),AF525&gt;0),SUMIFS($AF$7:$AF$1576,$BU$7:$BU$1576,BU525,$AI$7:$AI$1576,"&gt;"&amp;AI525)+SUMIFS($AF$7:$AF$1576,$BU$7:$BU$1576,BU525,$AI$7:$AI$1576,AI525,$BO$7:$BO$1576,"&lt;="&amp;BO525),"")</f>
        <v>3.38239620283099</v>
      </c>
      <c r="AK525" s="65" t="n">
        <f aca="false">IF(AJ525="",0,MAX(0,MIN(1,(IF(BU525="L1",Parameter!$E$5,Parameter!$E$6+Parameter!$E$7)-(AJ525-AF525))/AF525)))</f>
        <v>1</v>
      </c>
      <c r="AL525" s="57" t="n">
        <f aca="false">IF(LEFT(Cockpit!$I$5,1)="A",G525,IF(BW525=1,BX525,IF(LEFT(Cockpit!$I$5,1)="B",AP525,MAX(AP525,G525))))</f>
        <v>212</v>
      </c>
      <c r="AM525" s="57" t="n">
        <f aca="false">IF(BR525=1,0,ROUNDUP(AL525/BQ525,0))</f>
        <v>0</v>
      </c>
      <c r="AN525" s="59" t="n">
        <f aca="false">IF(CD525&gt;0,CD525*MAX(1,AL525/V525),IF(BR525=1,IF(AL525&lt;=0,0,BS525*MAX(1,IF(G525&gt;0,AL525/G525,1))),IF(Q525&gt;0,AM525/Q525,0))/MAX(0.1,N(Parameter!$M$21)))</f>
        <v>0.0318</v>
      </c>
      <c r="AO525" s="57" t="n">
        <f aca="false">AL525*F525</f>
        <v>29.68</v>
      </c>
      <c r="AP525" s="57" t="n">
        <f aca="false">ROUNDUP(MAX(I525/IF(BV525&gt;0,BV525,MAX(0.1,N(Cockpit!$I$6))),BY525)/BQ525,0)*BQ525</f>
        <v>212</v>
      </c>
      <c r="AQ525" s="58" t="n">
        <f aca="false">IF(AN525&gt;0,I525/AN525,-1)</f>
        <v>6289.30817610063</v>
      </c>
      <c r="AR525" s="58" t="n">
        <f aca="false">IF(AND(OR(BU525="L1",BU525="L23"),AN525&gt;0),SUMIFS($AN$7:$AN$1576,$BU$7:$BU$1576,BU525,$AQ$7:$AQ$1576,"&gt;"&amp;AQ525)+SUMIFS($AN$7:$AN$1576,$BU$7:$BU$1576,BU525,$AQ$7:$AQ$1576,AQ525,$BO$7:$BO$1576,"&lt;="&amp;BO525),"")</f>
        <v>10.1093619066923</v>
      </c>
      <c r="AS525" s="65" t="n">
        <f aca="false">IF(AR525="",0,MAX(0,MIN(1,(IF(BU525="L1",Parameter!$E$5,Parameter!$E$6+Parameter!$E$7)-(AR525-AN525))/AN525)))</f>
        <v>1</v>
      </c>
      <c r="AT525" s="57" t="n">
        <f aca="false">IF(LEFT(Cockpit!$O$5,1)="A",G525,IF(BW525=1,BX525,IF(LEFT(Cockpit!$O$5,1)="B",AX525,MAX(AX525,G525))))</f>
        <v>212</v>
      </c>
      <c r="AU525" s="57" t="n">
        <f aca="false">IF(BR525=1,0,ROUNDUP(AT525/BQ525,0))</f>
        <v>0</v>
      </c>
      <c r="AV525" s="59" t="n">
        <f aca="false">IF(CD525&gt;0,CD525*MAX(1,AT525/V525),IF(BR525=1,IF(AT525&lt;=0,0,BS525*MAX(1,IF(G525&gt;0,AT525/G525,1))),IF(Q525&gt;0,AU525/Q525,0))/MAX(0.1,N(Parameter!$M$21)))</f>
        <v>0.0318</v>
      </c>
      <c r="AW525" s="57" t="n">
        <f aca="false">AT525*F525</f>
        <v>29.68</v>
      </c>
      <c r="AX525" s="57" t="n">
        <f aca="false">ROUNDUP(MAX(I525/IF(BV525&gt;0,BV525,MAX(0.1,N(Cockpit!$O$6))),BY525)/BQ525,0)*BQ525</f>
        <v>212</v>
      </c>
      <c r="AY525" s="58" t="n">
        <f aca="false">IF(AV525&gt;0,I525/AV525,-1)</f>
        <v>6289.30817610063</v>
      </c>
      <c r="AZ525" s="58" t="n">
        <f aca="false">IF(AND(OR(BU525="L1",BU525="L23"),AV525&gt;0),SUMIFS($AV$7:$AV$1576,$BU$7:$BU$1576,BU525,$AY$7:$AY$1576,"&gt;"&amp;AY525)+SUMIFS($AV$7:$AV$1576,$BU$7:$BU$1576,BU525,$AY$7:$AY$1576,AY525,$BO$7:$BO$1576,"&lt;="&amp;BO525),"")</f>
        <v>9.29176283909328</v>
      </c>
      <c r="BA525" s="65" t="n">
        <f aca="false">IF(AZ525="",0,MAX(0,MIN(1,(IF(BU525="L1",Parameter!$E$5,Parameter!$E$6+Parameter!$E$7)-(AZ525-AV525))/AV525)))</f>
        <v>1</v>
      </c>
      <c r="BB525" s="55" t="str">
        <f aca="false">IF(AF525&lt;=0,"",IF(BU525="Aussen","Aussenlager",IF(BU525="-","Nicht im Lift",IF(AK525&gt;=1,"Lift",IF(AK525&lt;=0,"Aussenlager","teilweise")))))</f>
        <v>Lift</v>
      </c>
      <c r="BC525" s="55" t="str">
        <f aca="false">IF(AN525&lt;=0,"",IF(BU525="Aussen","Aussenlager",IF(BU525="-","Nicht im Lift",IF(AS525&gt;=1,"Lift",IF(AS525&lt;=0,"Aussenlager","teilweise")))))</f>
        <v>Lift</v>
      </c>
      <c r="BD525" s="55" t="str">
        <f aca="false">IF(AV525&lt;=0,"",IF(BU525="Aussen","Aussenlager",IF(BU525="-","Nicht im Lift",IF(BA525&gt;=1,"Lift",IF(BA525&lt;=0,"Aussenlager","teilweise")))))</f>
        <v>Lift</v>
      </c>
      <c r="BE525" s="55" t="str">
        <f aca="false">IF(A525="","",IF(BN525=1,"Neu; ","")&amp;IF(AND(BN525=0,BI525&lt;0),"negativer Bestand (Export "&amp;BI525&amp;"); ","")&amp;IF(I525&lt;=0,"Kein Verbrauch; ","")&amp;IF(CD525&gt;0,"Lift "&amp;U525&amp;" lt. Liftbericht (Fach "&amp;V525&amp;" Stk); ",IF(BR525=1,"Lose – Fläche geschätzt; ",""))&amp;IF(G525&gt;AP525,"Überbestand "&amp;ROUND(G525-AP525,0)&amp;" Stk / CHF "&amp;ROUND((G525-AP525)*F525,0)&amp;"; ","")&amp;IF(AND(BW525=1,BX525&lt;BY525),"MAX &lt; MB+LG; ","")&amp;IF(AND(CC525&gt;0,CB525*10&gt;CC525),"zu hoch für Tablar; ","")&amp;IF(AND(BN525=0,OR(BW525=1,Y525&lt;&gt;"",S525&lt;&gt;"",T525&lt;&gt;"",Z525&lt;&gt;"")),"manuell übersteuert; ","")&amp;IF(AND(BR525=0,Q525=0),"Gebinde unbekannt / Stellmass fehlt; ","")&amp;IF(AND(BR525=0,N(T525)&lt;=0,N(P525)&lt;=0),"Menge pro Gebinde fehlt (Ist = 1 Gebinde); ","")&amp;BM525)</f>
        <v>Lose – Fläche geschätzt; </v>
      </c>
      <c r="BF525" s="55"/>
      <c r="BG525" s="55"/>
      <c r="BH525" s="62"/>
      <c r="BI525" s="57" t="n">
        <v>200</v>
      </c>
      <c r="BJ525" s="57" t="n">
        <v>0</v>
      </c>
      <c r="BK525" s="56" t="n">
        <v>28</v>
      </c>
      <c r="BL525" s="57" t="n">
        <v>200</v>
      </c>
      <c r="BM525" s="55"/>
      <c r="BN525" s="60" t="n">
        <v>0</v>
      </c>
      <c r="BO525" s="60" t="n">
        <v>525</v>
      </c>
      <c r="BP525" s="55" t="str">
        <f aca="false">IF(S525&lt;&gt;"",UPPER(TRIM(S525)),IF(O525="","LOSE",O525))</f>
        <v>LOSE</v>
      </c>
      <c r="BQ525" s="57" t="n">
        <f aca="false">IF(BP525="LOSE",1,IF(N(T525)&gt;0,T525,IF(N(P525)&gt;0,P525,MAX(1,G525))))</f>
        <v>1</v>
      </c>
      <c r="BR525" s="60" t="n">
        <f aca="false">IF(BP525="LOSE",1,0)</f>
        <v>1</v>
      </c>
      <c r="BS525" s="59" t="n">
        <f aca="false">IF(BR525=0,0,IF(N(R525)&gt;0,R525,IFERROR(VLOOKUP(D525,Parameter!$A$35:$C$64,3,0)+0,0)))</f>
        <v>0.03</v>
      </c>
      <c r="BT525" s="55" t="n">
        <f aca="false">IF(Y525&lt;&gt;"",Y525,X525)</f>
        <v>2</v>
      </c>
      <c r="BU525" s="55" t="str">
        <f aca="false">IF(BT525=1,"L1",IF(OR(BT525=2,BT525=3),"L23",IF(BT525="Aussen","Aussen","-")))</f>
        <v>L23</v>
      </c>
      <c r="BV525" s="66" t="n">
        <f aca="false">IF(N(Z525)&gt;0,Z525,0)</f>
        <v>0</v>
      </c>
      <c r="BW525" s="60" t="n">
        <f aca="false">IF(ISNUMBER(AC525),1,0)</f>
        <v>0</v>
      </c>
      <c r="BX525" s="57" t="n">
        <f aca="false">N(AC525)</f>
        <v>0</v>
      </c>
      <c r="BY525" s="57" t="n">
        <f aca="false">N(L525)+N(M525)</f>
        <v>212</v>
      </c>
      <c r="BZ525" s="57" t="n">
        <f aca="false">ROUNDUP(G525/BQ525,0)</f>
        <v>200</v>
      </c>
      <c r="CA525" s="57" t="n">
        <f aca="false">ROUNDUP(BX525/BQ525,0)</f>
        <v>0</v>
      </c>
      <c r="CB525" s="60" t="n">
        <f aca="false">IF(BR525=1,0,IFERROR(VLOOKUP(BP525,'Gebinde-Kategorie'!$A$5:$M$45,5,0)+0,0))</f>
        <v>0</v>
      </c>
      <c r="CC525" s="60" t="n">
        <f aca="false">IFERROR(IF(OR(BT525=1,BT525=2,BT525=3),N(INDEX(Parameter!$I$5:$I$7,BT525)),0),0)</f>
        <v>0</v>
      </c>
      <c r="CD525" s="59" t="n">
        <f aca="false">IF(AND(Parameter!$B$21="Ja",ISNUMBER(U525),N(V525)&gt;0),IFERROR(N(INDEX(Parameter!$L$5:$L$7,U525))*INDEX(Parameter!$E$5:$E$7,U525)*V525/SUMIFS($V$7:$V$1576,$U$7:$U$1576,U525),0),0)</f>
        <v>0</v>
      </c>
    </row>
    <row r="526" customFormat="false" ht="15" hidden="false" customHeight="false" outlineLevel="0" collapsed="false">
      <c r="A526" s="55" t="s">
        <v>1127</v>
      </c>
      <c r="B526" s="55" t="s">
        <v>938</v>
      </c>
      <c r="C526" s="55" t="s">
        <v>160</v>
      </c>
      <c r="D526" s="55" t="s">
        <v>178</v>
      </c>
      <c r="E526" s="55" t="s">
        <v>210</v>
      </c>
      <c r="F526" s="56" t="n">
        <v>0.14</v>
      </c>
      <c r="G526" s="57" t="n">
        <f aca="false">MAX(0,IF(AND(Parameter!$B$21="Ja",ISNUMBER(W526)),W526,IF(Parameter!$B$20="Jahresanfang 2025 + Export",BJ526+BI526,BI526)))</f>
        <v>196</v>
      </c>
      <c r="H526" s="57" t="n">
        <f aca="false">G526*F526</f>
        <v>27.44</v>
      </c>
      <c r="I526" s="57" t="n">
        <f aca="false">BL526*Parameter!$B$18</f>
        <v>392</v>
      </c>
      <c r="J526" s="58" t="n">
        <v>237</v>
      </c>
      <c r="K526" s="59" t="n">
        <v>1.65400843881857</v>
      </c>
      <c r="L526" s="57" t="n">
        <v>22</v>
      </c>
      <c r="M526" s="57" t="n">
        <v>400</v>
      </c>
      <c r="N526" s="60" t="n">
        <v>21</v>
      </c>
      <c r="O526" s="55" t="s">
        <v>293</v>
      </c>
      <c r="P526" s="57" t="n">
        <v>219</v>
      </c>
      <c r="Q526" s="60" t="n">
        <f aca="false">IF(BR526=1,0,IFERROR(VLOOKUP(BP526,'Gebinde-Kategorie'!$A$5:$M$45,13,0)+0,0))</f>
        <v>26</v>
      </c>
      <c r="R526" s="61"/>
      <c r="S526" s="62"/>
      <c r="T526" s="62"/>
      <c r="U526" s="55"/>
      <c r="V526" s="57"/>
      <c r="W526" s="57"/>
      <c r="X526" s="55" t="n">
        <f aca="false">IF(A526="","",IF(AND(Parameter!$B$21="Ja",ISNUMBER(U526)),U526,IF(IFERROR(VLOOKUP(D526,Parameter!$A$35:$C$64,2,0),"Nein")="2+3",IF(ISNUMBER(SEARCH("grosser Artikel",BM526)),2,IFERROR(VLOOKUP(BP526,Parameter!$F$35:$G$64,2,0),2)),IF(OR(IFERROR(VLOOKUP(D526,Parameter!$A$35:$C$64,2,0),"Nein")="Nein",IFERROR(VLOOKUP(D526,Parameter!$A$35:$C$64,2,0),"Nein")=""),"-",VLOOKUP(D526,Parameter!$A$35:$C$64,2,0)))))</f>
        <v>3</v>
      </c>
      <c r="Y526" s="62"/>
      <c r="Z526" s="63"/>
      <c r="AA526" s="57" t="n">
        <f aca="false">AP526</f>
        <v>438</v>
      </c>
      <c r="AB526" s="57" t="n">
        <f aca="false">MAX(AP526,G526)</f>
        <v>438</v>
      </c>
      <c r="AC526" s="64"/>
      <c r="AD526" s="57" t="n">
        <f aca="false">IF(LEFT(Cockpit!$C$5,1)="A",G526,IF(BW526=1,BX526,IF(LEFT(Cockpit!$C$5,1)="B",AH526,MAX(AH526,G526))))</f>
        <v>196</v>
      </c>
      <c r="AE526" s="57" t="n">
        <f aca="false">IF(BR526=1,0,ROUNDUP(AD526/BQ526,0))</f>
        <v>1</v>
      </c>
      <c r="AF526" s="59" t="n">
        <f aca="false">IF(CD526&gt;0,CD526*MAX(1,AD526/V526),IF(BR526=1,IF(AD526&lt;=0,0,BS526*MAX(1,IF(G526&gt;0,AD526/G526,1))),IF(Q526&gt;0,AE526/Q526,0))/MAX(0.1,N(Parameter!$M$21)))</f>
        <v>0.0384615384615385</v>
      </c>
      <c r="AG526" s="57" t="n">
        <f aca="false">AD526*F526</f>
        <v>27.44</v>
      </c>
      <c r="AH526" s="57" t="n">
        <f aca="false">ROUNDUP(MAX(I526/IF(BV526&gt;0,BV526,MAX(0.1,N(Cockpit!$C$6))),BY526)/BQ526,0)*BQ526</f>
        <v>438</v>
      </c>
      <c r="AI526" s="58" t="n">
        <f aca="false">IF(AF526&gt;0,I526/AF526,-1)</f>
        <v>10192</v>
      </c>
      <c r="AJ526" s="58" t="n">
        <f aca="false">IF(AND(OR(BU526="L1",BU526="L23"),AF526&gt;0),SUMIFS($AF$7:$AF$1576,$BU$7:$BU$1576,BU526,$AI$7:$AI$1576,"&gt;"&amp;AI526)+SUMIFS($AF$7:$AF$1576,$BU$7:$BU$1576,BU526,$AI$7:$AI$1576,AI526,$BO$7:$BO$1576,"&lt;="&amp;BO526),"")</f>
        <v>2.48939225026182</v>
      </c>
      <c r="AK526" s="65" t="n">
        <f aca="false">IF(AJ526="",0,MAX(0,MIN(1,(IF(BU526="L1",Parameter!$E$5,Parameter!$E$6+Parameter!$E$7)-(AJ526-AF526))/AF526)))</f>
        <v>1</v>
      </c>
      <c r="AL526" s="57" t="n">
        <f aca="false">IF(LEFT(Cockpit!$I$5,1)="A",G526,IF(BW526=1,BX526,IF(LEFT(Cockpit!$I$5,1)="B",AP526,MAX(AP526,G526))))</f>
        <v>438</v>
      </c>
      <c r="AM526" s="57" t="n">
        <f aca="false">IF(BR526=1,0,ROUNDUP(AL526/BQ526,0))</f>
        <v>2</v>
      </c>
      <c r="AN526" s="59" t="n">
        <f aca="false">IF(CD526&gt;0,CD526*MAX(1,AL526/V526),IF(BR526=1,IF(AL526&lt;=0,0,BS526*MAX(1,IF(G526&gt;0,AL526/G526,1))),IF(Q526&gt;0,AM526/Q526,0))/MAX(0.1,N(Parameter!$M$21)))</f>
        <v>0.0769230769230769</v>
      </c>
      <c r="AO526" s="57" t="n">
        <f aca="false">AL526*F526</f>
        <v>61.32</v>
      </c>
      <c r="AP526" s="57" t="n">
        <f aca="false">ROUNDUP(MAX(I526/IF(BV526&gt;0,BV526,MAX(0.1,N(Cockpit!$I$6))),BY526)/BQ526,0)*BQ526</f>
        <v>438</v>
      </c>
      <c r="AQ526" s="58" t="n">
        <f aca="false">IF(AN526&gt;0,I526/AN526,-1)</f>
        <v>5096</v>
      </c>
      <c r="AR526" s="58" t="n">
        <f aca="false">IF(AND(OR(BU526="L1",BU526="L23"),AN526&gt;0),SUMIFS($AN$7:$AN$1576,$BU$7:$BU$1576,BU526,$AQ$7:$AQ$1576,"&gt;"&amp;AQ526)+SUMIFS($AN$7:$AN$1576,$BU$7:$BU$1576,BU526,$AQ$7:$AQ$1576,AQ526,$BO$7:$BO$1576,"&lt;="&amp;BO526),"")</f>
        <v>11.224591037465</v>
      </c>
      <c r="AS526" s="65" t="n">
        <f aca="false">IF(AR526="",0,MAX(0,MIN(1,(IF(BU526="L1",Parameter!$E$5,Parameter!$E$6+Parameter!$E$7)-(AR526-AN526))/AN526)))</f>
        <v>1</v>
      </c>
      <c r="AT526" s="57" t="n">
        <f aca="false">IF(LEFT(Cockpit!$O$5,1)="A",G526,IF(BW526=1,BX526,IF(LEFT(Cockpit!$O$5,1)="B",AX526,MAX(AX526,G526))))</f>
        <v>438</v>
      </c>
      <c r="AU526" s="57" t="n">
        <f aca="false">IF(BR526=1,0,ROUNDUP(AT526/BQ526,0))</f>
        <v>2</v>
      </c>
      <c r="AV526" s="59" t="n">
        <f aca="false">IF(CD526&gt;0,CD526*MAX(1,AT526/V526),IF(BR526=1,IF(AT526&lt;=0,0,BS526*MAX(1,IF(G526&gt;0,AT526/G526,1))),IF(Q526&gt;0,AU526/Q526,0))/MAX(0.1,N(Parameter!$M$21)))</f>
        <v>0.0769230769230769</v>
      </c>
      <c r="AW526" s="57" t="n">
        <f aca="false">AT526*F526</f>
        <v>61.32</v>
      </c>
      <c r="AX526" s="57" t="n">
        <f aca="false">ROUNDUP(MAX(I526/IF(BV526&gt;0,BV526,MAX(0.1,N(Cockpit!$O$6))),BY526)/BQ526,0)*BQ526</f>
        <v>438</v>
      </c>
      <c r="AY526" s="58" t="n">
        <f aca="false">IF(AV526&gt;0,I526/AV526,-1)</f>
        <v>5096</v>
      </c>
      <c r="AZ526" s="58" t="n">
        <f aca="false">IF(AND(OR(BU526="L1",BU526="L23"),AV526&gt;0),SUMIFS($AV$7:$AV$1576,$BU$7:$BU$1576,BU526,$AY$7:$AY$1576,"&gt;"&amp;AY526)+SUMIFS($AV$7:$AV$1576,$BU$7:$BU$1576,BU526,$AY$7:$AY$1576,AY526,$BO$7:$BO$1576,"&lt;="&amp;BO526),"")</f>
        <v>10.4454535083274</v>
      </c>
      <c r="BA526" s="65" t="n">
        <f aca="false">IF(AZ526="",0,MAX(0,MIN(1,(IF(BU526="L1",Parameter!$E$5,Parameter!$E$6+Parameter!$E$7)-(AZ526-AV526))/AV526)))</f>
        <v>1</v>
      </c>
      <c r="BB526" s="55" t="str">
        <f aca="false">IF(AF526&lt;=0,"",IF(BU526="Aussen","Aussenlager",IF(BU526="-","Nicht im Lift",IF(AK526&gt;=1,"Lift",IF(AK526&lt;=0,"Aussenlager","teilweise")))))</f>
        <v>Lift</v>
      </c>
      <c r="BC526" s="55" t="str">
        <f aca="false">IF(AN526&lt;=0,"",IF(BU526="Aussen","Aussenlager",IF(BU526="-","Nicht im Lift",IF(AS526&gt;=1,"Lift",IF(AS526&lt;=0,"Aussenlager","teilweise")))))</f>
        <v>Lift</v>
      </c>
      <c r="BD526" s="55" t="str">
        <f aca="false">IF(AV526&lt;=0,"",IF(BU526="Aussen","Aussenlager",IF(BU526="-","Nicht im Lift",IF(BA526&gt;=1,"Lift",IF(BA526&lt;=0,"Aussenlager","teilweise")))))</f>
        <v>Lift</v>
      </c>
      <c r="BE526" s="55" t="str">
        <f aca="false">IF(A526="","",IF(BN526=1,"Neu; ","")&amp;IF(AND(BN526=0,BI526&lt;0),"negativer Bestand (Export "&amp;BI526&amp;"); ","")&amp;IF(I526&lt;=0,"Kein Verbrauch; ","")&amp;IF(CD526&gt;0,"Lift "&amp;U526&amp;" lt. Liftbericht (Fach "&amp;V526&amp;" Stk); ",IF(BR526=1,"Lose – Fläche geschätzt; ",""))&amp;IF(G526&gt;AP526,"Überbestand "&amp;ROUND(G526-AP526,0)&amp;" Stk / CHF "&amp;ROUND((G526-AP526)*F526,0)&amp;"; ","")&amp;IF(AND(BW526=1,BX526&lt;BY526),"MAX &lt; MB+LG; ","")&amp;IF(AND(CC526&gt;0,CB526*10&gt;CC526),"zu hoch für Tablar; ","")&amp;IF(AND(BN526=0,OR(BW526=1,Y526&lt;&gt;"",S526&lt;&gt;"",T526&lt;&gt;"",Z526&lt;&gt;"")),"manuell übersteuert; ","")&amp;IF(AND(BR526=0,Q526=0),"Gebinde unbekannt / Stellmass fehlt; ","")&amp;IF(AND(BR526=0,N(T526)&lt;=0,N(P526)&lt;=0),"Menge pro Gebinde fehlt (Ist = 1 Gebinde); ","")&amp;BM526)</f>
        <v/>
      </c>
      <c r="BF526" s="55"/>
      <c r="BG526" s="55"/>
      <c r="BH526" s="62"/>
      <c r="BI526" s="57" t="n">
        <v>196</v>
      </c>
      <c r="BJ526" s="57" t="n">
        <v>239</v>
      </c>
      <c r="BK526" s="56" t="n">
        <v>27.79</v>
      </c>
      <c r="BL526" s="57" t="n">
        <v>392</v>
      </c>
      <c r="BM526" s="55"/>
      <c r="BN526" s="60" t="n">
        <v>0</v>
      </c>
      <c r="BO526" s="60" t="n">
        <v>526</v>
      </c>
      <c r="BP526" s="55" t="str">
        <f aca="false">IF(S526&lt;&gt;"",UPPER(TRIM(S526)),IF(O526="","LOSE",O526))</f>
        <v>S51</v>
      </c>
      <c r="BQ526" s="57" t="n">
        <f aca="false">IF(BP526="LOSE",1,IF(N(T526)&gt;0,T526,IF(N(P526)&gt;0,P526,MAX(1,G526))))</f>
        <v>219</v>
      </c>
      <c r="BR526" s="60" t="n">
        <f aca="false">IF(BP526="LOSE",1,0)</f>
        <v>0</v>
      </c>
      <c r="BS526" s="59" t="n">
        <f aca="false">IF(BR526=0,0,IF(N(R526)&gt;0,R526,IFERROR(VLOOKUP(D526,Parameter!$A$35:$C$64,3,0)+0,0)))</f>
        <v>0</v>
      </c>
      <c r="BT526" s="55" t="n">
        <f aca="false">IF(Y526&lt;&gt;"",Y526,X526)</f>
        <v>3</v>
      </c>
      <c r="BU526" s="55" t="str">
        <f aca="false">IF(BT526=1,"L1",IF(OR(BT526=2,BT526=3),"L23",IF(BT526="Aussen","Aussen","-")))</f>
        <v>L23</v>
      </c>
      <c r="BV526" s="66" t="n">
        <f aca="false">IF(N(Z526)&gt;0,Z526,0)</f>
        <v>0</v>
      </c>
      <c r="BW526" s="60" t="n">
        <f aca="false">IF(ISNUMBER(AC526),1,0)</f>
        <v>0</v>
      </c>
      <c r="BX526" s="57" t="n">
        <f aca="false">N(AC526)</f>
        <v>0</v>
      </c>
      <c r="BY526" s="57" t="n">
        <f aca="false">N(L526)+N(M526)</f>
        <v>422</v>
      </c>
      <c r="BZ526" s="57" t="n">
        <f aca="false">ROUNDUP(G526/BQ526,0)</f>
        <v>1</v>
      </c>
      <c r="CA526" s="57" t="n">
        <f aca="false">ROUNDUP(BX526/BQ526,0)</f>
        <v>0</v>
      </c>
      <c r="CB526" s="60" t="n">
        <f aca="false">IF(BR526=1,0,IFERROR(VLOOKUP(BP526,'Gebinde-Kategorie'!$A$5:$M$45,5,0)+0,0))</f>
        <v>11</v>
      </c>
      <c r="CC526" s="60" t="n">
        <f aca="false">IFERROR(IF(OR(BT526=1,BT526=2,BT526=3),N(INDEX(Parameter!$I$5:$I$7,BT526)),0),0)</f>
        <v>0</v>
      </c>
      <c r="CD526" s="59" t="n">
        <f aca="false">IF(AND(Parameter!$B$21="Ja",ISNUMBER(U526),N(V526)&gt;0),IFERROR(N(INDEX(Parameter!$L$5:$L$7,U526))*INDEX(Parameter!$E$5:$E$7,U526)*V526/SUMIFS($V$7:$V$1576,$U$7:$U$1576,U526),0),0)</f>
        <v>0</v>
      </c>
    </row>
    <row r="527" customFormat="false" ht="15" hidden="false" customHeight="false" outlineLevel="0" collapsed="false">
      <c r="A527" s="55" t="s">
        <v>1128</v>
      </c>
      <c r="B527" s="55" t="s">
        <v>395</v>
      </c>
      <c r="C527" s="55" t="s">
        <v>160</v>
      </c>
      <c r="D527" s="55" t="s">
        <v>178</v>
      </c>
      <c r="E527" s="55" t="s">
        <v>210</v>
      </c>
      <c r="F527" s="56" t="n">
        <v>0.03</v>
      </c>
      <c r="G527" s="57" t="n">
        <f aca="false">MAX(0,IF(AND(Parameter!$B$21="Ja",ISNUMBER(W527)),W527,IF(Parameter!$B$20="Jahresanfang 2025 + Export",BJ527+BI527,BI527)))</f>
        <v>920</v>
      </c>
      <c r="H527" s="57" t="n">
        <f aca="false">G527*F527</f>
        <v>27.6</v>
      </c>
      <c r="I527" s="57" t="n">
        <f aca="false">BL527*Parameter!$B$18</f>
        <v>2860</v>
      </c>
      <c r="J527" s="58" t="n">
        <v>1130</v>
      </c>
      <c r="K527" s="59" t="n">
        <v>2.53097345132743</v>
      </c>
      <c r="L527" s="57" t="n">
        <v>166</v>
      </c>
      <c r="M527" s="57" t="n">
        <v>1500</v>
      </c>
      <c r="N527" s="60" t="n">
        <v>21</v>
      </c>
      <c r="O527" s="55" t="s">
        <v>465</v>
      </c>
      <c r="P527" s="57" t="n">
        <v>920</v>
      </c>
      <c r="Q527" s="60" t="n">
        <f aca="false">IF(BR527=1,0,IFERROR(VLOOKUP(BP527,'Gebinde-Kategorie'!$A$5:$M$45,13,0)+0,0))</f>
        <v>66</v>
      </c>
      <c r="R527" s="61"/>
      <c r="S527" s="62"/>
      <c r="T527" s="62"/>
      <c r="U527" s="55"/>
      <c r="V527" s="57"/>
      <c r="W527" s="57"/>
      <c r="X527" s="55" t="n">
        <f aca="false">IF(A527="","",IF(AND(Parameter!$B$21="Ja",ISNUMBER(U527)),U527,IF(IFERROR(VLOOKUP(D527,Parameter!$A$35:$C$64,2,0),"Nein")="2+3",IF(ISNUMBER(SEARCH("grosser Artikel",BM527)),2,IFERROR(VLOOKUP(BP527,Parameter!$F$35:$G$64,2,0),2)),IF(OR(IFERROR(VLOOKUP(D527,Parameter!$A$35:$C$64,2,0),"Nein")="Nein",IFERROR(VLOOKUP(D527,Parameter!$A$35:$C$64,2,0),"Nein")=""),"-",VLOOKUP(D527,Parameter!$A$35:$C$64,2,0)))))</f>
        <v>3</v>
      </c>
      <c r="Y527" s="62"/>
      <c r="Z527" s="63"/>
      <c r="AA527" s="57" t="n">
        <f aca="false">AP527</f>
        <v>1840</v>
      </c>
      <c r="AB527" s="57" t="n">
        <f aca="false">MAX(AP527,G527)</f>
        <v>1840</v>
      </c>
      <c r="AC527" s="64"/>
      <c r="AD527" s="57" t="n">
        <f aca="false">IF(LEFT(Cockpit!$C$5,1)="A",G527,IF(BW527=1,BX527,IF(LEFT(Cockpit!$C$5,1)="B",AH527,MAX(AH527,G527))))</f>
        <v>920</v>
      </c>
      <c r="AE527" s="57" t="n">
        <f aca="false">IF(BR527=1,0,ROUNDUP(AD527/BQ527,0))</f>
        <v>1</v>
      </c>
      <c r="AF527" s="59" t="n">
        <f aca="false">IF(CD527&gt;0,CD527*MAX(1,AD527/V527),IF(BR527=1,IF(AD527&lt;=0,0,BS527*MAX(1,IF(G527&gt;0,AD527/G527,1))),IF(Q527&gt;0,AE527/Q527,0))/MAX(0.1,N(Parameter!$M$21)))</f>
        <v>0.0151515151515152</v>
      </c>
      <c r="AG527" s="57" t="n">
        <f aca="false">AD527*F527</f>
        <v>27.6</v>
      </c>
      <c r="AH527" s="57" t="n">
        <f aca="false">ROUNDUP(MAX(I527/IF(BV527&gt;0,BV527,MAX(0.1,N(Cockpit!$C$6))),BY527)/BQ527,0)*BQ527</f>
        <v>1840</v>
      </c>
      <c r="AI527" s="58" t="n">
        <f aca="false">IF(AF527&gt;0,I527/AF527,-1)</f>
        <v>188760</v>
      </c>
      <c r="AJ527" s="58" t="n">
        <f aca="false">IF(AND(OR(BU527="L1",BU527="L23"),AF527&gt;0),SUMIFS($AF$7:$AF$1576,$BU$7:$BU$1576,BU527,$AI$7:$AI$1576,"&gt;"&amp;AI527)+SUMIFS($AF$7:$AF$1576,$BU$7:$BU$1576,BU527,$AI$7:$AI$1576,AI527,$BO$7:$BO$1576,"&lt;="&amp;BO527),"")</f>
        <v>0.0636042701260093</v>
      </c>
      <c r="AK527" s="65" t="n">
        <f aca="false">IF(AJ527="",0,MAX(0,MIN(1,(IF(BU527="L1",Parameter!$E$5,Parameter!$E$6+Parameter!$E$7)-(AJ527-AF527))/AF527)))</f>
        <v>1</v>
      </c>
      <c r="AL527" s="57" t="n">
        <f aca="false">IF(LEFT(Cockpit!$I$5,1)="A",G527,IF(BW527=1,BX527,IF(LEFT(Cockpit!$I$5,1)="B",AP527,MAX(AP527,G527))))</f>
        <v>1840</v>
      </c>
      <c r="AM527" s="57" t="n">
        <f aca="false">IF(BR527=1,0,ROUNDUP(AL527/BQ527,0))</f>
        <v>2</v>
      </c>
      <c r="AN527" s="59" t="n">
        <f aca="false">IF(CD527&gt;0,CD527*MAX(1,AL527/V527),IF(BR527=1,IF(AL527&lt;=0,0,BS527*MAX(1,IF(G527&gt;0,AL527/G527,1))),IF(Q527&gt;0,AM527/Q527,0))/MAX(0.1,N(Parameter!$M$21)))</f>
        <v>0.0303030303030303</v>
      </c>
      <c r="AO527" s="57" t="n">
        <f aca="false">AL527*F527</f>
        <v>55.2</v>
      </c>
      <c r="AP527" s="57" t="n">
        <f aca="false">ROUNDUP(MAX(I527/IF(BV527&gt;0,BV527,MAX(0.1,N(Cockpit!$I$6))),BY527)/BQ527,0)*BQ527</f>
        <v>1840</v>
      </c>
      <c r="AQ527" s="58" t="n">
        <f aca="false">IF(AN527&gt;0,I527/AN527,-1)</f>
        <v>94380</v>
      </c>
      <c r="AR527" s="58" t="n">
        <f aca="false">IF(AND(OR(BU527="L1",BU527="L23"),AN527&gt;0),SUMIFS($AN$7:$AN$1576,$BU$7:$BU$1576,BU527,$AQ$7:$AQ$1576,"&gt;"&amp;AQ527)+SUMIFS($AN$7:$AN$1576,$BU$7:$BU$1576,BU527,$AQ$7:$AQ$1576,AQ527,$BO$7:$BO$1576,"&lt;="&amp;BO527),"")</f>
        <v>0.469879395966353</v>
      </c>
      <c r="AS527" s="65" t="n">
        <f aca="false">IF(AR527="",0,MAX(0,MIN(1,(IF(BU527="L1",Parameter!$E$5,Parameter!$E$6+Parameter!$E$7)-(AR527-AN527))/AN527)))</f>
        <v>1</v>
      </c>
      <c r="AT527" s="57" t="n">
        <f aca="false">IF(LEFT(Cockpit!$O$5,1)="A",G527,IF(BW527=1,BX527,IF(LEFT(Cockpit!$O$5,1)="B",AX527,MAX(AX527,G527))))</f>
        <v>1840</v>
      </c>
      <c r="AU527" s="57" t="n">
        <f aca="false">IF(BR527=1,0,ROUNDUP(AT527/BQ527,0))</f>
        <v>2</v>
      </c>
      <c r="AV527" s="59" t="n">
        <f aca="false">IF(CD527&gt;0,CD527*MAX(1,AT527/V527),IF(BR527=1,IF(AT527&lt;=0,0,BS527*MAX(1,IF(G527&gt;0,AT527/G527,1))),IF(Q527&gt;0,AU527/Q527,0))/MAX(0.1,N(Parameter!$M$21)))</f>
        <v>0.0303030303030303</v>
      </c>
      <c r="AW527" s="57" t="n">
        <f aca="false">AT527*F527</f>
        <v>55.2</v>
      </c>
      <c r="AX527" s="57" t="n">
        <f aca="false">ROUNDUP(MAX(I527/IF(BV527&gt;0,BV527,MAX(0.1,N(Cockpit!$O$6))),BY527)/BQ527,0)*BQ527</f>
        <v>1840</v>
      </c>
      <c r="AY527" s="58" t="n">
        <f aca="false">IF(AV527&gt;0,I527/AV527,-1)</f>
        <v>94380</v>
      </c>
      <c r="AZ527" s="58" t="n">
        <f aca="false">IF(AND(OR(BU527="L1",BU527="L23"),AV527&gt;0),SUMIFS($AV$7:$AV$1576,$BU$7:$BU$1576,BU527,$AY$7:$AY$1576,"&gt;"&amp;AY527)+SUMIFS($AV$7:$AV$1576,$BU$7:$BU$1576,BU527,$AY$7:$AY$1576,AY527,$BO$7:$BO$1576,"&lt;="&amp;BO527),"")</f>
        <v>0.469879395966353</v>
      </c>
      <c r="BA527" s="65" t="n">
        <f aca="false">IF(AZ527="",0,MAX(0,MIN(1,(IF(BU527="L1",Parameter!$E$5,Parameter!$E$6+Parameter!$E$7)-(AZ527-AV527))/AV527)))</f>
        <v>1</v>
      </c>
      <c r="BB527" s="55" t="str">
        <f aca="false">IF(AF527&lt;=0,"",IF(BU527="Aussen","Aussenlager",IF(BU527="-","Nicht im Lift",IF(AK527&gt;=1,"Lift",IF(AK527&lt;=0,"Aussenlager","teilweise")))))</f>
        <v>Lift</v>
      </c>
      <c r="BC527" s="55" t="str">
        <f aca="false">IF(AN527&lt;=0,"",IF(BU527="Aussen","Aussenlager",IF(BU527="-","Nicht im Lift",IF(AS527&gt;=1,"Lift",IF(AS527&lt;=0,"Aussenlager","teilweise")))))</f>
        <v>Lift</v>
      </c>
      <c r="BD527" s="55" t="str">
        <f aca="false">IF(AV527&lt;=0,"",IF(BU527="Aussen","Aussenlager",IF(BU527="-","Nicht im Lift",IF(BA527&gt;=1,"Lift",IF(BA527&lt;=0,"Aussenlager","teilweise")))))</f>
        <v>Lift</v>
      </c>
      <c r="BE527" s="55" t="str">
        <f aca="false">IF(A527="","",IF(BN527=1,"Neu; ","")&amp;IF(AND(BN527=0,BI527&lt;0),"negativer Bestand (Export "&amp;BI527&amp;"); ","")&amp;IF(I527&lt;=0,"Kein Verbrauch; ","")&amp;IF(CD527&gt;0,"Lift "&amp;U527&amp;" lt. Liftbericht (Fach "&amp;V527&amp;" Stk); ",IF(BR527=1,"Lose – Fläche geschätzt; ",""))&amp;IF(G527&gt;AP527,"Überbestand "&amp;ROUND(G527-AP527,0)&amp;" Stk / CHF "&amp;ROUND((G527-AP527)*F527,0)&amp;"; ","")&amp;IF(AND(BW527=1,BX527&lt;BY527),"MAX &lt; MB+LG; ","")&amp;IF(AND(CC527&gt;0,CB527*10&gt;CC527),"zu hoch für Tablar; ","")&amp;IF(AND(BN527=0,OR(BW527=1,Y527&lt;&gt;"",S527&lt;&gt;"",T527&lt;&gt;"",Z527&lt;&gt;"")),"manuell übersteuert; ","")&amp;IF(AND(BR527=0,Q527=0),"Gebinde unbekannt / Stellmass fehlt; ","")&amp;IF(AND(BR527=0,N(T527)&lt;=0,N(P527)&lt;=0),"Menge pro Gebinde fehlt (Ist = 1 Gebinde); ","")&amp;BM527)</f>
        <v/>
      </c>
      <c r="BF527" s="55"/>
      <c r="BG527" s="55"/>
      <c r="BH527" s="62"/>
      <c r="BI527" s="57" t="n">
        <v>920</v>
      </c>
      <c r="BJ527" s="57" t="n">
        <v>1166</v>
      </c>
      <c r="BK527" s="56" t="n">
        <v>27.6</v>
      </c>
      <c r="BL527" s="57" t="n">
        <v>2860</v>
      </c>
      <c r="BM527" s="55"/>
      <c r="BN527" s="60" t="n">
        <v>0</v>
      </c>
      <c r="BO527" s="60" t="n">
        <v>527</v>
      </c>
      <c r="BP527" s="55" t="str">
        <f aca="false">IF(S527&lt;&gt;"",UPPER(TRIM(S527)),IF(O527="","LOSE",O527))</f>
        <v>S33</v>
      </c>
      <c r="BQ527" s="57" t="n">
        <f aca="false">IF(BP527="LOSE",1,IF(N(T527)&gt;0,T527,IF(N(P527)&gt;0,P527,MAX(1,G527))))</f>
        <v>920</v>
      </c>
      <c r="BR527" s="60" t="n">
        <f aca="false">IF(BP527="LOSE",1,0)</f>
        <v>0</v>
      </c>
      <c r="BS527" s="59" t="n">
        <f aca="false">IF(BR527=0,0,IF(N(R527)&gt;0,R527,IFERROR(VLOOKUP(D527,Parameter!$A$35:$C$64,3,0)+0,0)))</f>
        <v>0</v>
      </c>
      <c r="BT527" s="55" t="n">
        <f aca="false">IF(Y527&lt;&gt;"",Y527,X527)</f>
        <v>3</v>
      </c>
      <c r="BU527" s="55" t="str">
        <f aca="false">IF(BT527=1,"L1",IF(OR(BT527=2,BT527=3),"L23",IF(BT527="Aussen","Aussen","-")))</f>
        <v>L23</v>
      </c>
      <c r="BV527" s="66" t="n">
        <f aca="false">IF(N(Z527)&gt;0,Z527,0)</f>
        <v>0</v>
      </c>
      <c r="BW527" s="60" t="n">
        <f aca="false">IF(ISNUMBER(AC527),1,0)</f>
        <v>0</v>
      </c>
      <c r="BX527" s="57" t="n">
        <f aca="false">N(AC527)</f>
        <v>0</v>
      </c>
      <c r="BY527" s="57" t="n">
        <f aca="false">N(L527)+N(M527)</f>
        <v>1666</v>
      </c>
      <c r="BZ527" s="57" t="n">
        <f aca="false">ROUNDUP(G527/BQ527,0)</f>
        <v>1</v>
      </c>
      <c r="CA527" s="57" t="n">
        <f aca="false">ROUNDUP(BX527/BQ527,0)</f>
        <v>0</v>
      </c>
      <c r="CB527" s="60" t="n">
        <f aca="false">IF(BR527=1,0,IFERROR(VLOOKUP(BP527,'Gebinde-Kategorie'!$A$5:$M$45,5,0)+0,0))</f>
        <v>8</v>
      </c>
      <c r="CC527" s="60" t="n">
        <f aca="false">IFERROR(IF(OR(BT527=1,BT527=2,BT527=3),N(INDEX(Parameter!$I$5:$I$7,BT527)),0),0)</f>
        <v>0</v>
      </c>
      <c r="CD527" s="59" t="n">
        <f aca="false">IF(AND(Parameter!$B$21="Ja",ISNUMBER(U527),N(V527)&gt;0),IFERROR(N(INDEX(Parameter!$L$5:$L$7,U527))*INDEX(Parameter!$E$5:$E$7,U527)*V527/SUMIFS($V$7:$V$1576,$U$7:$U$1576,U527),0),0)</f>
        <v>0</v>
      </c>
    </row>
    <row r="528" customFormat="false" ht="15" hidden="false" customHeight="false" outlineLevel="0" collapsed="false">
      <c r="A528" s="55" t="s">
        <v>1129</v>
      </c>
      <c r="B528" s="55" t="s">
        <v>1130</v>
      </c>
      <c r="C528" s="55" t="s">
        <v>160</v>
      </c>
      <c r="D528" s="55" t="s">
        <v>168</v>
      </c>
      <c r="E528" s="55" t="s">
        <v>210</v>
      </c>
      <c r="F528" s="56" t="n">
        <v>1.36</v>
      </c>
      <c r="G528" s="57" t="n">
        <f aca="false">MAX(0,IF(AND(Parameter!$B$21="Ja",ISNUMBER(W528)),W528,IF(Parameter!$B$20="Jahresanfang 2025 + Export",BJ528+BI528,BI528)))</f>
        <v>20</v>
      </c>
      <c r="H528" s="57" t="n">
        <f aca="false">G528*F528</f>
        <v>27.2</v>
      </c>
      <c r="I528" s="57" t="n">
        <f aca="false">BL528*Parameter!$B$18</f>
        <v>0</v>
      </c>
      <c r="J528" s="58" t="n">
        <v>0</v>
      </c>
      <c r="K528" s="59" t="n">
        <v>0</v>
      </c>
      <c r="L528" s="57" t="n">
        <v>0</v>
      </c>
      <c r="M528" s="57" t="n">
        <v>20</v>
      </c>
      <c r="N528" s="60" t="n">
        <v>28</v>
      </c>
      <c r="O528" s="55" t="s">
        <v>163</v>
      </c>
      <c r="P528" s="57"/>
      <c r="Q528" s="60" t="n">
        <f aca="false">IF(BR528=1,0,IFERROR(VLOOKUP(BP528,'Gebinde-Kategorie'!$A$5:$M$45,13,0)+0,0))</f>
        <v>0</v>
      </c>
      <c r="R528" s="61"/>
      <c r="S528" s="62"/>
      <c r="T528" s="62"/>
      <c r="U528" s="55"/>
      <c r="V528" s="57"/>
      <c r="W528" s="57"/>
      <c r="X528" s="55" t="n">
        <f aca="false">IF(A528="","",IF(AND(Parameter!$B$21="Ja",ISNUMBER(U528)),U528,IF(IFERROR(VLOOKUP(D528,Parameter!$A$35:$C$64,2,0),"Nein")="2+3",IF(ISNUMBER(SEARCH("grosser Artikel",BM528)),2,IFERROR(VLOOKUP(BP528,Parameter!$F$35:$G$64,2,0),2)),IF(OR(IFERROR(VLOOKUP(D528,Parameter!$A$35:$C$64,2,0),"Nein")="Nein",IFERROR(VLOOKUP(D528,Parameter!$A$35:$C$64,2,0),"Nein")=""),"-",VLOOKUP(D528,Parameter!$A$35:$C$64,2,0)))))</f>
        <v>2</v>
      </c>
      <c r="Y528" s="62"/>
      <c r="Z528" s="63"/>
      <c r="AA528" s="57" t="n">
        <f aca="false">AP528</f>
        <v>20</v>
      </c>
      <c r="AB528" s="57" t="n">
        <f aca="false">MAX(AP528,G528)</f>
        <v>20</v>
      </c>
      <c r="AC528" s="64"/>
      <c r="AD528" s="57" t="n">
        <f aca="false">IF(LEFT(Cockpit!$C$5,1)="A",G528,IF(BW528=1,BX528,IF(LEFT(Cockpit!$C$5,1)="B",AH528,MAX(AH528,G528))))</f>
        <v>20</v>
      </c>
      <c r="AE528" s="57" t="n">
        <f aca="false">IF(BR528=1,0,ROUNDUP(AD528/BQ528,0))</f>
        <v>0</v>
      </c>
      <c r="AF528" s="59" t="n">
        <f aca="false">IF(CD528&gt;0,CD528*MAX(1,AD528/V528),IF(BR528=1,IF(AD528&lt;=0,0,BS528*MAX(1,IF(G528&gt;0,AD528/G528,1))),IF(Q528&gt;0,AE528/Q528,0))/MAX(0.1,N(Parameter!$M$21)))</f>
        <v>0.15</v>
      </c>
      <c r="AG528" s="57" t="n">
        <f aca="false">AD528*F528</f>
        <v>27.2</v>
      </c>
      <c r="AH528" s="57" t="n">
        <f aca="false">ROUNDUP(MAX(I528/IF(BV528&gt;0,BV528,MAX(0.1,N(Cockpit!$C$6))),BY528)/BQ528,0)*BQ528</f>
        <v>20</v>
      </c>
      <c r="AI528" s="58" t="n">
        <f aca="false">IF(AF528&gt;0,I528/AF528,-1)</f>
        <v>0</v>
      </c>
      <c r="AJ528" s="58" t="n">
        <f aca="false">IF(AND(OR(BU528="L1",BU528="L23"),AF528&gt;0),SUMIFS($AF$7:$AF$1576,$BU$7:$BU$1576,BU528,$AI$7:$AI$1576,"&gt;"&amp;AI528)+SUMIFS($AF$7:$AF$1576,$BU$7:$BU$1576,BU528,$AI$7:$AI$1576,AI528,$BO$7:$BO$1576,"&lt;="&amp;BO528),"")</f>
        <v>43.0485868720651</v>
      </c>
      <c r="AK528" s="65" t="n">
        <f aca="false">IF(AJ528="",0,MAX(0,MIN(1,(IF(BU528="L1",Parameter!$E$5,Parameter!$E$6+Parameter!$E$7)-(AJ528-AF528))/AF528)))</f>
        <v>1</v>
      </c>
      <c r="AL528" s="57" t="n">
        <f aca="false">IF(LEFT(Cockpit!$I$5,1)="A",G528,IF(BW528=1,BX528,IF(LEFT(Cockpit!$I$5,1)="B",AP528,MAX(AP528,G528))))</f>
        <v>20</v>
      </c>
      <c r="AM528" s="57" t="n">
        <f aca="false">IF(BR528=1,0,ROUNDUP(AL528/BQ528,0))</f>
        <v>0</v>
      </c>
      <c r="AN528" s="59" t="n">
        <f aca="false">IF(CD528&gt;0,CD528*MAX(1,AL528/V528),IF(BR528=1,IF(AL528&lt;=0,0,BS528*MAX(1,IF(G528&gt;0,AL528/G528,1))),IF(Q528&gt;0,AM528/Q528,0))/MAX(0.1,N(Parameter!$M$21)))</f>
        <v>0.15</v>
      </c>
      <c r="AO528" s="57" t="n">
        <f aca="false">AL528*F528</f>
        <v>27.2</v>
      </c>
      <c r="AP528" s="57" t="n">
        <f aca="false">ROUNDUP(MAX(I528/IF(BV528&gt;0,BV528,MAX(0.1,N(Cockpit!$I$6))),BY528)/BQ528,0)*BQ528</f>
        <v>20</v>
      </c>
      <c r="AQ528" s="58" t="n">
        <f aca="false">IF(AN528&gt;0,I528/AN528,-1)</f>
        <v>0</v>
      </c>
      <c r="AR528" s="58" t="n">
        <f aca="false">IF(AND(OR(BU528="L1",BU528="L23"),AN528&gt;0),SUMIFS($AN$7:$AN$1576,$BU$7:$BU$1576,BU528,$AQ$7:$AQ$1576,"&gt;"&amp;AQ528)+SUMIFS($AN$7:$AN$1576,$BU$7:$BU$1576,BU528,$AQ$7:$AQ$1576,AQ528,$BO$7:$BO$1576,"&lt;="&amp;BO528),"")</f>
        <v>126.045372990583</v>
      </c>
      <c r="AS528" s="65" t="n">
        <f aca="false">IF(AR528="",0,MAX(0,MIN(1,(IF(BU528="L1",Parameter!$E$5,Parameter!$E$6+Parameter!$E$7)-(AR528-AN528))/AN528)))</f>
        <v>0</v>
      </c>
      <c r="AT528" s="57" t="n">
        <f aca="false">IF(LEFT(Cockpit!$O$5,1)="A",G528,IF(BW528=1,BX528,IF(LEFT(Cockpit!$O$5,1)="B",AX528,MAX(AX528,G528))))</f>
        <v>20</v>
      </c>
      <c r="AU528" s="57" t="n">
        <f aca="false">IF(BR528=1,0,ROUNDUP(AT528/BQ528,0))</f>
        <v>0</v>
      </c>
      <c r="AV528" s="59" t="n">
        <f aca="false">IF(CD528&gt;0,CD528*MAX(1,AT528/V528),IF(BR528=1,IF(AT528&lt;=0,0,BS528*MAX(1,IF(G528&gt;0,AT528/G528,1))),IF(Q528&gt;0,AU528/Q528,0))/MAX(0.1,N(Parameter!$M$21)))</f>
        <v>0.15</v>
      </c>
      <c r="AW528" s="57" t="n">
        <f aca="false">AT528*F528</f>
        <v>27.2</v>
      </c>
      <c r="AX528" s="57" t="n">
        <f aca="false">ROUNDUP(MAX(I528/IF(BV528&gt;0,BV528,MAX(0.1,N(Cockpit!$O$6))),BY528)/BQ528,0)*BQ528</f>
        <v>20</v>
      </c>
      <c r="AY528" s="58" t="n">
        <f aca="false">IF(AV528&gt;0,I528/AV528,-1)</f>
        <v>0</v>
      </c>
      <c r="AZ528" s="58" t="n">
        <f aca="false">IF(AND(OR(BU528="L1",BU528="L23"),AV528&gt;0),SUMIFS($AV$7:$AV$1576,$BU$7:$BU$1576,BU528,$AY$7:$AY$1576,"&gt;"&amp;AY528)+SUMIFS($AV$7:$AV$1576,$BU$7:$BU$1576,BU528,$AY$7:$AY$1576,AY528,$BO$7:$BO$1576,"&lt;="&amp;BO528),"")</f>
        <v>116.104923440134</v>
      </c>
      <c r="BA528" s="65" t="n">
        <f aca="false">IF(AZ528="",0,MAX(0,MIN(1,(IF(BU528="L1",Parameter!$E$5,Parameter!$E$6+Parameter!$E$7)-(AZ528-AV528))/AV528)))</f>
        <v>0</v>
      </c>
      <c r="BB528" s="55" t="str">
        <f aca="false">IF(AF528&lt;=0,"",IF(BU528="Aussen","Aussenlager",IF(BU528="-","Nicht im Lift",IF(AK528&gt;=1,"Lift",IF(AK528&lt;=0,"Aussenlager","teilweise")))))</f>
        <v>Lift</v>
      </c>
      <c r="BC528" s="55" t="str">
        <f aca="false">IF(AN528&lt;=0,"",IF(BU528="Aussen","Aussenlager",IF(BU528="-","Nicht im Lift",IF(AS528&gt;=1,"Lift",IF(AS528&lt;=0,"Aussenlager","teilweise")))))</f>
        <v>Aussenlager</v>
      </c>
      <c r="BD528" s="55" t="str">
        <f aca="false">IF(AV528&lt;=0,"",IF(BU528="Aussen","Aussenlager",IF(BU528="-","Nicht im Lift",IF(BA528&gt;=1,"Lift",IF(BA528&lt;=0,"Aussenlager","teilweise")))))</f>
        <v>Aussenlager</v>
      </c>
      <c r="BE528" s="55" t="str">
        <f aca="false">IF(A528="","",IF(BN528=1,"Neu; ","")&amp;IF(AND(BN528=0,BI528&lt;0),"negativer Bestand (Export "&amp;BI528&amp;"); ","")&amp;IF(I528&lt;=0,"Kein Verbrauch; ","")&amp;IF(CD528&gt;0,"Lift "&amp;U528&amp;" lt. Liftbericht (Fach "&amp;V528&amp;" Stk); ",IF(BR528=1,"Lose – Fläche geschätzt; ",""))&amp;IF(G528&gt;AP528,"Überbestand "&amp;ROUND(G528-AP528,0)&amp;" Stk / CHF "&amp;ROUND((G528-AP528)*F528,0)&amp;"; ","")&amp;IF(AND(BW528=1,BX528&lt;BY528),"MAX &lt; MB+LG; ","")&amp;IF(AND(CC528&gt;0,CB528*10&gt;CC528),"zu hoch für Tablar; ","")&amp;IF(AND(BN528=0,OR(BW528=1,Y528&lt;&gt;"",S528&lt;&gt;"",T528&lt;&gt;"",Z528&lt;&gt;"")),"manuell übersteuert; ","")&amp;IF(AND(BR528=0,Q528=0),"Gebinde unbekannt / Stellmass fehlt; ","")&amp;IF(AND(BR528=0,N(T528)&lt;=0,N(P528)&lt;=0),"Menge pro Gebinde fehlt (Ist = 1 Gebinde); ","")&amp;BM528)</f>
        <v>Kein Verbrauch; Lose – Fläche geschätzt; </v>
      </c>
      <c r="BF528" s="55"/>
      <c r="BG528" s="55"/>
      <c r="BH528" s="62"/>
      <c r="BI528" s="57" t="n">
        <v>20</v>
      </c>
      <c r="BJ528" s="57" t="n">
        <v>0</v>
      </c>
      <c r="BK528" s="56" t="n">
        <v>27.2</v>
      </c>
      <c r="BL528" s="57" t="n">
        <v>0</v>
      </c>
      <c r="BM528" s="55"/>
      <c r="BN528" s="60" t="n">
        <v>0</v>
      </c>
      <c r="BO528" s="60" t="n">
        <v>528</v>
      </c>
      <c r="BP528" s="55" t="str">
        <f aca="false">IF(S528&lt;&gt;"",UPPER(TRIM(S528)),IF(O528="","LOSE",O528))</f>
        <v>LOSE</v>
      </c>
      <c r="BQ528" s="57" t="n">
        <f aca="false">IF(BP528="LOSE",1,IF(N(T528)&gt;0,T528,IF(N(P528)&gt;0,P528,MAX(1,G528))))</f>
        <v>1</v>
      </c>
      <c r="BR528" s="60" t="n">
        <f aca="false">IF(BP528="LOSE",1,0)</f>
        <v>1</v>
      </c>
      <c r="BS528" s="59" t="n">
        <f aca="false">IF(BR528=0,0,IF(N(R528)&gt;0,R528,IFERROR(VLOOKUP(D528,Parameter!$A$35:$C$64,3,0)+0,0)))</f>
        <v>0.15</v>
      </c>
      <c r="BT528" s="55" t="n">
        <f aca="false">IF(Y528&lt;&gt;"",Y528,X528)</f>
        <v>2</v>
      </c>
      <c r="BU528" s="55" t="str">
        <f aca="false">IF(BT528=1,"L1",IF(OR(BT528=2,BT528=3),"L23",IF(BT528="Aussen","Aussen","-")))</f>
        <v>L23</v>
      </c>
      <c r="BV528" s="66" t="n">
        <f aca="false">IF(N(Z528)&gt;0,Z528,0)</f>
        <v>0</v>
      </c>
      <c r="BW528" s="60" t="n">
        <f aca="false">IF(ISNUMBER(AC528),1,0)</f>
        <v>0</v>
      </c>
      <c r="BX528" s="57" t="n">
        <f aca="false">N(AC528)</f>
        <v>0</v>
      </c>
      <c r="BY528" s="57" t="n">
        <f aca="false">N(L528)+N(M528)</f>
        <v>20</v>
      </c>
      <c r="BZ528" s="57" t="n">
        <f aca="false">ROUNDUP(G528/BQ528,0)</f>
        <v>20</v>
      </c>
      <c r="CA528" s="57" t="n">
        <f aca="false">ROUNDUP(BX528/BQ528,0)</f>
        <v>0</v>
      </c>
      <c r="CB528" s="60" t="n">
        <f aca="false">IF(BR528=1,0,IFERROR(VLOOKUP(BP528,'Gebinde-Kategorie'!$A$5:$M$45,5,0)+0,0))</f>
        <v>0</v>
      </c>
      <c r="CC528" s="60" t="n">
        <f aca="false">IFERROR(IF(OR(BT528=1,BT528=2,BT528=3),N(INDEX(Parameter!$I$5:$I$7,BT528)),0),0)</f>
        <v>0</v>
      </c>
      <c r="CD528" s="59" t="n">
        <f aca="false">IF(AND(Parameter!$B$21="Ja",ISNUMBER(U528),N(V528)&gt;0),IFERROR(N(INDEX(Parameter!$L$5:$L$7,U528))*INDEX(Parameter!$E$5:$E$7,U528)*V528/SUMIFS($V$7:$V$1576,$U$7:$U$1576,U528),0),0)</f>
        <v>0</v>
      </c>
    </row>
    <row r="529" customFormat="false" ht="15" hidden="false" customHeight="false" outlineLevel="0" collapsed="false">
      <c r="A529" s="55" t="s">
        <v>1131</v>
      </c>
      <c r="B529" s="55" t="s">
        <v>1132</v>
      </c>
      <c r="C529" s="55" t="s">
        <v>160</v>
      </c>
      <c r="D529" s="55" t="s">
        <v>168</v>
      </c>
      <c r="E529" s="55" t="s">
        <v>210</v>
      </c>
      <c r="F529" s="56" t="n">
        <v>25.55</v>
      </c>
      <c r="G529" s="57" t="n">
        <f aca="false">MAX(0,IF(AND(Parameter!$B$21="Ja",ISNUMBER(W529)),W529,IF(Parameter!$B$20="Jahresanfang 2025 + Export",BJ529+BI529,BI529)))</f>
        <v>1</v>
      </c>
      <c r="H529" s="57" t="n">
        <f aca="false">G529*F529</f>
        <v>25.55</v>
      </c>
      <c r="I529" s="57" t="n">
        <f aca="false">BL529*Parameter!$B$18</f>
        <v>0</v>
      </c>
      <c r="J529" s="58" t="n">
        <v>0</v>
      </c>
      <c r="K529" s="59" t="n">
        <v>0</v>
      </c>
      <c r="L529" s="57" t="n">
        <v>0</v>
      </c>
      <c r="M529" s="57" t="n">
        <v>1</v>
      </c>
      <c r="N529" s="60" t="n">
        <v>21</v>
      </c>
      <c r="O529" s="55" t="s">
        <v>163</v>
      </c>
      <c r="P529" s="57"/>
      <c r="Q529" s="60" t="n">
        <f aca="false">IF(BR529=1,0,IFERROR(VLOOKUP(BP529,'Gebinde-Kategorie'!$A$5:$M$45,13,0)+0,0))</f>
        <v>0</v>
      </c>
      <c r="R529" s="61"/>
      <c r="S529" s="62"/>
      <c r="T529" s="62"/>
      <c r="U529" s="55"/>
      <c r="V529" s="57"/>
      <c r="W529" s="57"/>
      <c r="X529" s="55" t="n">
        <f aca="false">IF(A529="","",IF(AND(Parameter!$B$21="Ja",ISNUMBER(U529)),U529,IF(IFERROR(VLOOKUP(D529,Parameter!$A$35:$C$64,2,0),"Nein")="2+3",IF(ISNUMBER(SEARCH("grosser Artikel",BM529)),2,IFERROR(VLOOKUP(BP529,Parameter!$F$35:$G$64,2,0),2)),IF(OR(IFERROR(VLOOKUP(D529,Parameter!$A$35:$C$64,2,0),"Nein")="Nein",IFERROR(VLOOKUP(D529,Parameter!$A$35:$C$64,2,0),"Nein")=""),"-",VLOOKUP(D529,Parameter!$A$35:$C$64,2,0)))))</f>
        <v>2</v>
      </c>
      <c r="Y529" s="62"/>
      <c r="Z529" s="63"/>
      <c r="AA529" s="57" t="n">
        <f aca="false">AP529</f>
        <v>1</v>
      </c>
      <c r="AB529" s="57" t="n">
        <f aca="false">MAX(AP529,G529)</f>
        <v>1</v>
      </c>
      <c r="AC529" s="64"/>
      <c r="AD529" s="57" t="n">
        <f aca="false">IF(LEFT(Cockpit!$C$5,1)="A",G529,IF(BW529=1,BX529,IF(LEFT(Cockpit!$C$5,1)="B",AH529,MAX(AH529,G529))))</f>
        <v>1</v>
      </c>
      <c r="AE529" s="57" t="n">
        <f aca="false">IF(BR529=1,0,ROUNDUP(AD529/BQ529,0))</f>
        <v>0</v>
      </c>
      <c r="AF529" s="59" t="n">
        <f aca="false">IF(CD529&gt;0,CD529*MAX(1,AD529/V529),IF(BR529=1,IF(AD529&lt;=0,0,BS529*MAX(1,IF(G529&gt;0,AD529/G529,1))),IF(Q529&gt;0,AE529/Q529,0))/MAX(0.1,N(Parameter!$M$21)))</f>
        <v>0.15</v>
      </c>
      <c r="AG529" s="57" t="n">
        <f aca="false">AD529*F529</f>
        <v>25.55</v>
      </c>
      <c r="AH529" s="57" t="n">
        <f aca="false">ROUNDUP(MAX(I529/IF(BV529&gt;0,BV529,MAX(0.1,N(Cockpit!$C$6))),BY529)/BQ529,0)*BQ529</f>
        <v>1</v>
      </c>
      <c r="AI529" s="58" t="n">
        <f aca="false">IF(AF529&gt;0,I529/AF529,-1)</f>
        <v>0</v>
      </c>
      <c r="AJ529" s="58" t="n">
        <f aca="false">IF(AND(OR(BU529="L1",BU529="L23"),AF529&gt;0),SUMIFS($AF$7:$AF$1576,$BU$7:$BU$1576,BU529,$AI$7:$AI$1576,"&gt;"&amp;AI529)+SUMIFS($AF$7:$AF$1576,$BU$7:$BU$1576,BU529,$AI$7:$AI$1576,AI529,$BO$7:$BO$1576,"&lt;="&amp;BO529),"")</f>
        <v>43.1985868720651</v>
      </c>
      <c r="AK529" s="65" t="n">
        <f aca="false">IF(AJ529="",0,MAX(0,MIN(1,(IF(BU529="L1",Parameter!$E$5,Parameter!$E$6+Parameter!$E$7)-(AJ529-AF529))/AF529)))</f>
        <v>1</v>
      </c>
      <c r="AL529" s="57" t="n">
        <f aca="false">IF(LEFT(Cockpit!$I$5,1)="A",G529,IF(BW529=1,BX529,IF(LEFT(Cockpit!$I$5,1)="B",AP529,MAX(AP529,G529))))</f>
        <v>1</v>
      </c>
      <c r="AM529" s="57" t="n">
        <f aca="false">IF(BR529=1,0,ROUNDUP(AL529/BQ529,0))</f>
        <v>0</v>
      </c>
      <c r="AN529" s="59" t="n">
        <f aca="false">IF(CD529&gt;0,CD529*MAX(1,AL529/V529),IF(BR529=1,IF(AL529&lt;=0,0,BS529*MAX(1,IF(G529&gt;0,AL529/G529,1))),IF(Q529&gt;0,AM529/Q529,0))/MAX(0.1,N(Parameter!$M$21)))</f>
        <v>0.15</v>
      </c>
      <c r="AO529" s="57" t="n">
        <f aca="false">AL529*F529</f>
        <v>25.55</v>
      </c>
      <c r="AP529" s="57" t="n">
        <f aca="false">ROUNDUP(MAX(I529/IF(BV529&gt;0,BV529,MAX(0.1,N(Cockpit!$I$6))),BY529)/BQ529,0)*BQ529</f>
        <v>1</v>
      </c>
      <c r="AQ529" s="58" t="n">
        <f aca="false">IF(AN529&gt;0,I529/AN529,-1)</f>
        <v>0</v>
      </c>
      <c r="AR529" s="58" t="n">
        <f aca="false">IF(AND(OR(BU529="L1",BU529="L23"),AN529&gt;0),SUMIFS($AN$7:$AN$1576,$BU$7:$BU$1576,BU529,$AQ$7:$AQ$1576,"&gt;"&amp;AQ529)+SUMIFS($AN$7:$AN$1576,$BU$7:$BU$1576,BU529,$AQ$7:$AQ$1576,AQ529,$BO$7:$BO$1576,"&lt;="&amp;BO529),"")</f>
        <v>126.195372990583</v>
      </c>
      <c r="AS529" s="65" t="n">
        <f aca="false">IF(AR529="",0,MAX(0,MIN(1,(IF(BU529="L1",Parameter!$E$5,Parameter!$E$6+Parameter!$E$7)-(AR529-AN529))/AN529)))</f>
        <v>0</v>
      </c>
      <c r="AT529" s="57" t="n">
        <f aca="false">IF(LEFT(Cockpit!$O$5,1)="A",G529,IF(BW529=1,BX529,IF(LEFT(Cockpit!$O$5,1)="B",AX529,MAX(AX529,G529))))</f>
        <v>1</v>
      </c>
      <c r="AU529" s="57" t="n">
        <f aca="false">IF(BR529=1,0,ROUNDUP(AT529/BQ529,0))</f>
        <v>0</v>
      </c>
      <c r="AV529" s="59" t="n">
        <f aca="false">IF(CD529&gt;0,CD529*MAX(1,AT529/V529),IF(BR529=1,IF(AT529&lt;=0,0,BS529*MAX(1,IF(G529&gt;0,AT529/G529,1))),IF(Q529&gt;0,AU529/Q529,0))/MAX(0.1,N(Parameter!$M$21)))</f>
        <v>0.15</v>
      </c>
      <c r="AW529" s="57" t="n">
        <f aca="false">AT529*F529</f>
        <v>25.55</v>
      </c>
      <c r="AX529" s="57" t="n">
        <f aca="false">ROUNDUP(MAX(I529/IF(BV529&gt;0,BV529,MAX(0.1,N(Cockpit!$O$6))),BY529)/BQ529,0)*BQ529</f>
        <v>1</v>
      </c>
      <c r="AY529" s="58" t="n">
        <f aca="false">IF(AV529&gt;0,I529/AV529,-1)</f>
        <v>0</v>
      </c>
      <c r="AZ529" s="58" t="n">
        <f aca="false">IF(AND(OR(BU529="L1",BU529="L23"),AV529&gt;0),SUMIFS($AV$7:$AV$1576,$BU$7:$BU$1576,BU529,$AY$7:$AY$1576,"&gt;"&amp;AY529)+SUMIFS($AV$7:$AV$1576,$BU$7:$BU$1576,BU529,$AY$7:$AY$1576,AY529,$BO$7:$BO$1576,"&lt;="&amp;BO529),"")</f>
        <v>116.254923440134</v>
      </c>
      <c r="BA529" s="65" t="n">
        <f aca="false">IF(AZ529="",0,MAX(0,MIN(1,(IF(BU529="L1",Parameter!$E$5,Parameter!$E$6+Parameter!$E$7)-(AZ529-AV529))/AV529)))</f>
        <v>0</v>
      </c>
      <c r="BB529" s="55" t="str">
        <f aca="false">IF(AF529&lt;=0,"",IF(BU529="Aussen","Aussenlager",IF(BU529="-","Nicht im Lift",IF(AK529&gt;=1,"Lift",IF(AK529&lt;=0,"Aussenlager","teilweise")))))</f>
        <v>Lift</v>
      </c>
      <c r="BC529" s="55" t="str">
        <f aca="false">IF(AN529&lt;=0,"",IF(BU529="Aussen","Aussenlager",IF(BU529="-","Nicht im Lift",IF(AS529&gt;=1,"Lift",IF(AS529&lt;=0,"Aussenlager","teilweise")))))</f>
        <v>Aussenlager</v>
      </c>
      <c r="BD529" s="55" t="str">
        <f aca="false">IF(AV529&lt;=0,"",IF(BU529="Aussen","Aussenlager",IF(BU529="-","Nicht im Lift",IF(BA529&gt;=1,"Lift",IF(BA529&lt;=0,"Aussenlager","teilweise")))))</f>
        <v>Aussenlager</v>
      </c>
      <c r="BE529" s="55" t="str">
        <f aca="false">IF(A529="","",IF(BN529=1,"Neu; ","")&amp;IF(AND(BN529=0,BI529&lt;0),"negativer Bestand (Export "&amp;BI529&amp;"); ","")&amp;IF(I529&lt;=0,"Kein Verbrauch; ","")&amp;IF(CD529&gt;0,"Lift "&amp;U529&amp;" lt. Liftbericht (Fach "&amp;V529&amp;" Stk); ",IF(BR529=1,"Lose – Fläche geschätzt; ",""))&amp;IF(G529&gt;AP529,"Überbestand "&amp;ROUND(G529-AP529,0)&amp;" Stk / CHF "&amp;ROUND((G529-AP529)*F529,0)&amp;"; ","")&amp;IF(AND(BW529=1,BX529&lt;BY529),"MAX &lt; MB+LG; ","")&amp;IF(AND(CC529&gt;0,CB529*10&gt;CC529),"zu hoch für Tablar; ","")&amp;IF(AND(BN529=0,OR(BW529=1,Y529&lt;&gt;"",S529&lt;&gt;"",T529&lt;&gt;"",Z529&lt;&gt;"")),"manuell übersteuert; ","")&amp;IF(AND(BR529=0,Q529=0),"Gebinde unbekannt / Stellmass fehlt; ","")&amp;IF(AND(BR529=0,N(T529)&lt;=0,N(P529)&lt;=0),"Menge pro Gebinde fehlt (Ist = 1 Gebinde); ","")&amp;BM529)</f>
        <v>Kein Verbrauch; Lose – Fläche geschätzt; </v>
      </c>
      <c r="BF529" s="55"/>
      <c r="BG529" s="55"/>
      <c r="BH529" s="62"/>
      <c r="BI529" s="57" t="n">
        <v>1</v>
      </c>
      <c r="BJ529" s="57" t="n">
        <v>0</v>
      </c>
      <c r="BK529" s="56" t="n">
        <v>25.55</v>
      </c>
      <c r="BL529" s="57" t="n">
        <v>0</v>
      </c>
      <c r="BM529" s="55"/>
      <c r="BN529" s="60" t="n">
        <v>0</v>
      </c>
      <c r="BO529" s="60" t="n">
        <v>529</v>
      </c>
      <c r="BP529" s="55" t="str">
        <f aca="false">IF(S529&lt;&gt;"",UPPER(TRIM(S529)),IF(O529="","LOSE",O529))</f>
        <v>LOSE</v>
      </c>
      <c r="BQ529" s="57" t="n">
        <f aca="false">IF(BP529="LOSE",1,IF(N(T529)&gt;0,T529,IF(N(P529)&gt;0,P529,MAX(1,G529))))</f>
        <v>1</v>
      </c>
      <c r="BR529" s="60" t="n">
        <f aca="false">IF(BP529="LOSE",1,0)</f>
        <v>1</v>
      </c>
      <c r="BS529" s="59" t="n">
        <f aca="false">IF(BR529=0,0,IF(N(R529)&gt;0,R529,IFERROR(VLOOKUP(D529,Parameter!$A$35:$C$64,3,0)+0,0)))</f>
        <v>0.15</v>
      </c>
      <c r="BT529" s="55" t="n">
        <f aca="false">IF(Y529&lt;&gt;"",Y529,X529)</f>
        <v>2</v>
      </c>
      <c r="BU529" s="55" t="str">
        <f aca="false">IF(BT529=1,"L1",IF(OR(BT529=2,BT529=3),"L23",IF(BT529="Aussen","Aussen","-")))</f>
        <v>L23</v>
      </c>
      <c r="BV529" s="66" t="n">
        <f aca="false">IF(N(Z529)&gt;0,Z529,0)</f>
        <v>0</v>
      </c>
      <c r="BW529" s="60" t="n">
        <f aca="false">IF(ISNUMBER(AC529),1,0)</f>
        <v>0</v>
      </c>
      <c r="BX529" s="57" t="n">
        <f aca="false">N(AC529)</f>
        <v>0</v>
      </c>
      <c r="BY529" s="57" t="n">
        <f aca="false">N(L529)+N(M529)</f>
        <v>1</v>
      </c>
      <c r="BZ529" s="57" t="n">
        <f aca="false">ROUNDUP(G529/BQ529,0)</f>
        <v>1</v>
      </c>
      <c r="CA529" s="57" t="n">
        <f aca="false">ROUNDUP(BX529/BQ529,0)</f>
        <v>0</v>
      </c>
      <c r="CB529" s="60" t="n">
        <f aca="false">IF(BR529=1,0,IFERROR(VLOOKUP(BP529,'Gebinde-Kategorie'!$A$5:$M$45,5,0)+0,0))</f>
        <v>0</v>
      </c>
      <c r="CC529" s="60" t="n">
        <f aca="false">IFERROR(IF(OR(BT529=1,BT529=2,BT529=3),N(INDEX(Parameter!$I$5:$I$7,BT529)),0),0)</f>
        <v>0</v>
      </c>
      <c r="CD529" s="59" t="n">
        <f aca="false">IF(AND(Parameter!$B$21="Ja",ISNUMBER(U529),N(V529)&gt;0),IFERROR(N(INDEX(Parameter!$L$5:$L$7,U529))*INDEX(Parameter!$E$5:$E$7,U529)*V529/SUMIFS($V$7:$V$1576,$U$7:$U$1576,U529),0),0)</f>
        <v>0</v>
      </c>
    </row>
    <row r="530" customFormat="false" ht="15" hidden="false" customHeight="false" outlineLevel="0" collapsed="false">
      <c r="A530" s="55" t="s">
        <v>1133</v>
      </c>
      <c r="B530" s="55" t="s">
        <v>1134</v>
      </c>
      <c r="C530" s="55" t="s">
        <v>160</v>
      </c>
      <c r="D530" s="55" t="s">
        <v>178</v>
      </c>
      <c r="E530" s="55" t="s">
        <v>210</v>
      </c>
      <c r="F530" s="56" t="n">
        <v>1.59</v>
      </c>
      <c r="G530" s="57" t="n">
        <f aca="false">MAX(0,IF(AND(Parameter!$B$21="Ja",ISNUMBER(W530)),W530,IF(Parameter!$B$20="Jahresanfang 2025 + Export",BJ530+BI530,BI530)))</f>
        <v>16</v>
      </c>
      <c r="H530" s="57" t="n">
        <f aca="false">G530*F530</f>
        <v>25.44</v>
      </c>
      <c r="I530" s="57" t="n">
        <f aca="false">BL530*Parameter!$B$18</f>
        <v>14</v>
      </c>
      <c r="J530" s="58" t="n">
        <v>11</v>
      </c>
      <c r="K530" s="59" t="n">
        <v>1.27272727272727</v>
      </c>
      <c r="L530" s="57" t="n">
        <v>0</v>
      </c>
      <c r="M530" s="57" t="n">
        <v>15</v>
      </c>
      <c r="N530" s="60" t="n">
        <v>21</v>
      </c>
      <c r="O530" s="55" t="s">
        <v>391</v>
      </c>
      <c r="P530" s="57" t="n">
        <v>20</v>
      </c>
      <c r="Q530" s="60" t="n">
        <f aca="false">IF(BR530=1,0,IFERROR(VLOOKUP(BP530,'Gebinde-Kategorie'!$A$5:$M$45,13,0)+0,0))</f>
        <v>414</v>
      </c>
      <c r="R530" s="61"/>
      <c r="S530" s="62"/>
      <c r="T530" s="62"/>
      <c r="U530" s="55"/>
      <c r="V530" s="57"/>
      <c r="W530" s="57"/>
      <c r="X530" s="55" t="n">
        <f aca="false">IF(A530="","",IF(AND(Parameter!$B$21="Ja",ISNUMBER(U530)),U530,IF(IFERROR(VLOOKUP(D530,Parameter!$A$35:$C$64,2,0),"Nein")="2+3",IF(ISNUMBER(SEARCH("grosser Artikel",BM530)),2,IFERROR(VLOOKUP(BP530,Parameter!$F$35:$G$64,2,0),2)),IF(OR(IFERROR(VLOOKUP(D530,Parameter!$A$35:$C$64,2,0),"Nein")="Nein",IFERROR(VLOOKUP(D530,Parameter!$A$35:$C$64,2,0),"Nein")=""),"-",VLOOKUP(D530,Parameter!$A$35:$C$64,2,0)))))</f>
        <v>3</v>
      </c>
      <c r="Y530" s="62"/>
      <c r="Z530" s="63"/>
      <c r="AA530" s="57" t="n">
        <f aca="false">AP530</f>
        <v>20</v>
      </c>
      <c r="AB530" s="57" t="n">
        <f aca="false">MAX(AP530,G530)</f>
        <v>20</v>
      </c>
      <c r="AC530" s="64"/>
      <c r="AD530" s="57" t="n">
        <f aca="false">IF(LEFT(Cockpit!$C$5,1)="A",G530,IF(BW530=1,BX530,IF(LEFT(Cockpit!$C$5,1)="B",AH530,MAX(AH530,G530))))</f>
        <v>16</v>
      </c>
      <c r="AE530" s="57" t="n">
        <f aca="false">IF(BR530=1,0,ROUNDUP(AD530/BQ530,0))</f>
        <v>1</v>
      </c>
      <c r="AF530" s="59" t="n">
        <f aca="false">IF(CD530&gt;0,CD530*MAX(1,AD530/V530),IF(BR530=1,IF(AD530&lt;=0,0,BS530*MAX(1,IF(G530&gt;0,AD530/G530,1))),IF(Q530&gt;0,AE530/Q530,0))/MAX(0.1,N(Parameter!$M$21)))</f>
        <v>0.00241545893719807</v>
      </c>
      <c r="AG530" s="57" t="n">
        <f aca="false">AD530*F530</f>
        <v>25.44</v>
      </c>
      <c r="AH530" s="57" t="n">
        <f aca="false">ROUNDUP(MAX(I530/IF(BV530&gt;0,BV530,MAX(0.1,N(Cockpit!$C$6))),BY530)/BQ530,0)*BQ530</f>
        <v>20</v>
      </c>
      <c r="AI530" s="58" t="n">
        <f aca="false">IF(AF530&gt;0,I530/AF530,-1)</f>
        <v>5796</v>
      </c>
      <c r="AJ530" s="58" t="n">
        <f aca="false">IF(AND(OR(BU530="L1",BU530="L23"),AF530&gt;0),SUMIFS($AF$7:$AF$1576,$BU$7:$BU$1576,BU530,$AI$7:$AI$1576,"&gt;"&amp;AI530)+SUMIFS($AF$7:$AF$1576,$BU$7:$BU$1576,BU530,$AI$7:$AI$1576,AI530,$BO$7:$BO$1576,"&lt;="&amp;BO530),"")</f>
        <v>3.60711935407588</v>
      </c>
      <c r="AK530" s="65" t="n">
        <f aca="false">IF(AJ530="",0,MAX(0,MIN(1,(IF(BU530="L1",Parameter!$E$5,Parameter!$E$6+Parameter!$E$7)-(AJ530-AF530))/AF530)))</f>
        <v>1</v>
      </c>
      <c r="AL530" s="57" t="n">
        <f aca="false">IF(LEFT(Cockpit!$I$5,1)="A",G530,IF(BW530=1,BX530,IF(LEFT(Cockpit!$I$5,1)="B",AP530,MAX(AP530,G530))))</f>
        <v>20</v>
      </c>
      <c r="AM530" s="57" t="n">
        <f aca="false">IF(BR530=1,0,ROUNDUP(AL530/BQ530,0))</f>
        <v>1</v>
      </c>
      <c r="AN530" s="59" t="n">
        <f aca="false">IF(CD530&gt;0,CD530*MAX(1,AL530/V530),IF(BR530=1,IF(AL530&lt;=0,0,BS530*MAX(1,IF(G530&gt;0,AL530/G530,1))),IF(Q530&gt;0,AM530/Q530,0))/MAX(0.1,N(Parameter!$M$21)))</f>
        <v>0.00241545893719807</v>
      </c>
      <c r="AO530" s="57" t="n">
        <f aca="false">AL530*F530</f>
        <v>31.8</v>
      </c>
      <c r="AP530" s="57" t="n">
        <f aca="false">ROUNDUP(MAX(I530/IF(BV530&gt;0,BV530,MAX(0.1,N(Cockpit!$I$6))),BY530)/BQ530,0)*BQ530</f>
        <v>20</v>
      </c>
      <c r="AQ530" s="58" t="n">
        <f aca="false">IF(AN530&gt;0,I530/AN530,-1)</f>
        <v>5796</v>
      </c>
      <c r="AR530" s="58" t="n">
        <f aca="false">IF(AND(OR(BU530="L1",BU530="L23"),AN530&gt;0),SUMIFS($AN$7:$AN$1576,$BU$7:$BU$1576,BU530,$AQ$7:$AQ$1576,"&gt;"&amp;AQ530)+SUMIFS($AN$7:$AN$1576,$BU$7:$BU$1576,BU530,$AQ$7:$AQ$1576,AQ530,$BO$7:$BO$1576,"&lt;="&amp;BO530),"")</f>
        <v>10.9060664099186</v>
      </c>
      <c r="AS530" s="65" t="n">
        <f aca="false">IF(AR530="",0,MAX(0,MIN(1,(IF(BU530="L1",Parameter!$E$5,Parameter!$E$6+Parameter!$E$7)-(AR530-AN530))/AN530)))</f>
        <v>1</v>
      </c>
      <c r="AT530" s="57" t="n">
        <f aca="false">IF(LEFT(Cockpit!$O$5,1)="A",G530,IF(BW530=1,BX530,IF(LEFT(Cockpit!$O$5,1)="B",AX530,MAX(AX530,G530))))</f>
        <v>20</v>
      </c>
      <c r="AU530" s="57" t="n">
        <f aca="false">IF(BR530=1,0,ROUNDUP(AT530/BQ530,0))</f>
        <v>1</v>
      </c>
      <c r="AV530" s="59" t="n">
        <f aca="false">IF(CD530&gt;0,CD530*MAX(1,AT530/V530),IF(BR530=1,IF(AT530&lt;=0,0,BS530*MAX(1,IF(G530&gt;0,AT530/G530,1))),IF(Q530&gt;0,AU530/Q530,0))/MAX(0.1,N(Parameter!$M$21)))</f>
        <v>0.00241545893719807</v>
      </c>
      <c r="AW530" s="57" t="n">
        <f aca="false">AT530*F530</f>
        <v>31.8</v>
      </c>
      <c r="AX530" s="57" t="n">
        <f aca="false">ROUNDUP(MAX(I530/IF(BV530&gt;0,BV530,MAX(0.1,N(Cockpit!$O$6))),BY530)/BQ530,0)*BQ530</f>
        <v>20</v>
      </c>
      <c r="AY530" s="58" t="n">
        <f aca="false">IF(AV530&gt;0,I530/AV530,-1)</f>
        <v>5796</v>
      </c>
      <c r="AZ530" s="58" t="n">
        <f aca="false">IF(AND(OR(BU530="L1",BU530="L23"),AV530&gt;0),SUMIFS($AV$7:$AV$1576,$BU$7:$BU$1576,BU530,$AY$7:$AY$1576,"&gt;"&amp;AY530)+SUMIFS($AV$7:$AV$1576,$BU$7:$BU$1576,BU530,$AY$7:$AY$1576,AY530,$BO$7:$BO$1576,"&lt;="&amp;BO530),"")</f>
        <v>10.1269288807811</v>
      </c>
      <c r="BA530" s="65" t="n">
        <f aca="false">IF(AZ530="",0,MAX(0,MIN(1,(IF(BU530="L1",Parameter!$E$5,Parameter!$E$6+Parameter!$E$7)-(AZ530-AV530))/AV530)))</f>
        <v>1</v>
      </c>
      <c r="BB530" s="55" t="str">
        <f aca="false">IF(AF530&lt;=0,"",IF(BU530="Aussen","Aussenlager",IF(BU530="-","Nicht im Lift",IF(AK530&gt;=1,"Lift",IF(AK530&lt;=0,"Aussenlager","teilweise")))))</f>
        <v>Lift</v>
      </c>
      <c r="BC530" s="55" t="str">
        <f aca="false">IF(AN530&lt;=0,"",IF(BU530="Aussen","Aussenlager",IF(BU530="-","Nicht im Lift",IF(AS530&gt;=1,"Lift",IF(AS530&lt;=0,"Aussenlager","teilweise")))))</f>
        <v>Lift</v>
      </c>
      <c r="BD530" s="55" t="str">
        <f aca="false">IF(AV530&lt;=0,"",IF(BU530="Aussen","Aussenlager",IF(BU530="-","Nicht im Lift",IF(BA530&gt;=1,"Lift",IF(BA530&lt;=0,"Aussenlager","teilweise")))))</f>
        <v>Lift</v>
      </c>
      <c r="BE530" s="55" t="str">
        <f aca="false">IF(A530="","",IF(BN530=1,"Neu; ","")&amp;IF(AND(BN530=0,BI530&lt;0),"negativer Bestand (Export "&amp;BI530&amp;"); ","")&amp;IF(I530&lt;=0,"Kein Verbrauch; ","")&amp;IF(CD530&gt;0,"Lift "&amp;U530&amp;" lt. Liftbericht (Fach "&amp;V530&amp;" Stk); ",IF(BR530=1,"Lose – Fläche geschätzt; ",""))&amp;IF(G530&gt;AP530,"Überbestand "&amp;ROUND(G530-AP530,0)&amp;" Stk / CHF "&amp;ROUND((G530-AP530)*F530,0)&amp;"; ","")&amp;IF(AND(BW530=1,BX530&lt;BY530),"MAX &lt; MB+LG; ","")&amp;IF(AND(CC530&gt;0,CB530*10&gt;CC530),"zu hoch für Tablar; ","")&amp;IF(AND(BN530=0,OR(BW530=1,Y530&lt;&gt;"",S530&lt;&gt;"",T530&lt;&gt;"",Z530&lt;&gt;"")),"manuell übersteuert; ","")&amp;IF(AND(BR530=0,Q530=0),"Gebinde unbekannt / Stellmass fehlt; ","")&amp;IF(AND(BR530=0,N(T530)&lt;=0,N(P530)&lt;=0),"Menge pro Gebinde fehlt (Ist = 1 Gebinde); ","")&amp;BM530)</f>
        <v/>
      </c>
      <c r="BF530" s="55"/>
      <c r="BG530" s="55"/>
      <c r="BH530" s="62"/>
      <c r="BI530" s="57" t="n">
        <v>16</v>
      </c>
      <c r="BJ530" s="57" t="n">
        <v>0</v>
      </c>
      <c r="BK530" s="56" t="n">
        <v>25.44</v>
      </c>
      <c r="BL530" s="57" t="n">
        <v>14</v>
      </c>
      <c r="BM530" s="55"/>
      <c r="BN530" s="60" t="n">
        <v>0</v>
      </c>
      <c r="BO530" s="60" t="n">
        <v>530</v>
      </c>
      <c r="BP530" s="55" t="str">
        <f aca="false">IF(S530&lt;&gt;"",UPPER(TRIM(S530)),IF(O530="","LOSE",O530))</f>
        <v>S21</v>
      </c>
      <c r="BQ530" s="57" t="n">
        <f aca="false">IF(BP530="LOSE",1,IF(N(T530)&gt;0,T530,IF(N(P530)&gt;0,P530,MAX(1,G530))))</f>
        <v>20</v>
      </c>
      <c r="BR530" s="60" t="n">
        <f aca="false">IF(BP530="LOSE",1,0)</f>
        <v>0</v>
      </c>
      <c r="BS530" s="59" t="n">
        <f aca="false">IF(BR530=0,0,IF(N(R530)&gt;0,R530,IFERROR(VLOOKUP(D530,Parameter!$A$35:$C$64,3,0)+0,0)))</f>
        <v>0</v>
      </c>
      <c r="BT530" s="55" t="n">
        <f aca="false">IF(Y530&lt;&gt;"",Y530,X530)</f>
        <v>3</v>
      </c>
      <c r="BU530" s="55" t="str">
        <f aca="false">IF(BT530=1,"L1",IF(OR(BT530=2,BT530=3),"L23",IF(BT530="Aussen","Aussen","-")))</f>
        <v>L23</v>
      </c>
      <c r="BV530" s="66" t="n">
        <f aca="false">IF(N(Z530)&gt;0,Z530,0)</f>
        <v>0</v>
      </c>
      <c r="BW530" s="60" t="n">
        <f aca="false">IF(ISNUMBER(AC530),1,0)</f>
        <v>0</v>
      </c>
      <c r="BX530" s="57" t="n">
        <f aca="false">N(AC530)</f>
        <v>0</v>
      </c>
      <c r="BY530" s="57" t="n">
        <f aca="false">N(L530)+N(M530)</f>
        <v>15</v>
      </c>
      <c r="BZ530" s="57" t="n">
        <f aca="false">ROUNDUP(G530/BQ530,0)</f>
        <v>1</v>
      </c>
      <c r="CA530" s="57" t="n">
        <f aca="false">ROUNDUP(BX530/BQ530,0)</f>
        <v>0</v>
      </c>
      <c r="CB530" s="60" t="n">
        <f aca="false">IF(BR530=1,0,IFERROR(VLOOKUP(BP530,'Gebinde-Kategorie'!$A$5:$M$45,5,0)+0,0))</f>
        <v>8</v>
      </c>
      <c r="CC530" s="60" t="n">
        <f aca="false">IFERROR(IF(OR(BT530=1,BT530=2,BT530=3),N(INDEX(Parameter!$I$5:$I$7,BT530)),0),0)</f>
        <v>0</v>
      </c>
      <c r="CD530" s="59" t="n">
        <f aca="false">IF(AND(Parameter!$B$21="Ja",ISNUMBER(U530),N(V530)&gt;0),IFERROR(N(INDEX(Parameter!$L$5:$L$7,U530))*INDEX(Parameter!$E$5:$E$7,U530)*V530/SUMIFS($V$7:$V$1576,$U$7:$U$1576,U530),0),0)</f>
        <v>0</v>
      </c>
    </row>
    <row r="531" customFormat="false" ht="15" hidden="false" customHeight="false" outlineLevel="0" collapsed="false">
      <c r="A531" s="55" t="s">
        <v>1135</v>
      </c>
      <c r="B531" s="55" t="s">
        <v>1136</v>
      </c>
      <c r="C531" s="55" t="s">
        <v>160</v>
      </c>
      <c r="D531" s="55" t="s">
        <v>168</v>
      </c>
      <c r="E531" s="55" t="s">
        <v>210</v>
      </c>
      <c r="F531" s="56" t="n">
        <v>25.44</v>
      </c>
      <c r="G531" s="57" t="n">
        <f aca="false">MAX(0,IF(AND(Parameter!$B$21="Ja",ISNUMBER(W531)),W531,IF(Parameter!$B$20="Jahresanfang 2025 + Export",BJ531+BI531,BI531)))</f>
        <v>1</v>
      </c>
      <c r="H531" s="57" t="n">
        <f aca="false">G531*F531</f>
        <v>25.44</v>
      </c>
      <c r="I531" s="57" t="n">
        <f aca="false">BL531*Parameter!$B$18</f>
        <v>0</v>
      </c>
      <c r="J531" s="58" t="n">
        <v>0</v>
      </c>
      <c r="K531" s="59" t="n">
        <v>0</v>
      </c>
      <c r="L531" s="57" t="n">
        <v>0</v>
      </c>
      <c r="M531" s="57" t="n">
        <v>1</v>
      </c>
      <c r="N531" s="60" t="n">
        <v>21</v>
      </c>
      <c r="O531" s="55" t="s">
        <v>163</v>
      </c>
      <c r="P531" s="57"/>
      <c r="Q531" s="60" t="n">
        <f aca="false">IF(BR531=1,0,IFERROR(VLOOKUP(BP531,'Gebinde-Kategorie'!$A$5:$M$45,13,0)+0,0))</f>
        <v>0</v>
      </c>
      <c r="R531" s="61"/>
      <c r="S531" s="62"/>
      <c r="T531" s="62"/>
      <c r="U531" s="55"/>
      <c r="V531" s="57"/>
      <c r="W531" s="57"/>
      <c r="X531" s="55" t="n">
        <f aca="false">IF(A531="","",IF(AND(Parameter!$B$21="Ja",ISNUMBER(U531)),U531,IF(IFERROR(VLOOKUP(D531,Parameter!$A$35:$C$64,2,0),"Nein")="2+3",IF(ISNUMBER(SEARCH("grosser Artikel",BM531)),2,IFERROR(VLOOKUP(BP531,Parameter!$F$35:$G$64,2,0),2)),IF(OR(IFERROR(VLOOKUP(D531,Parameter!$A$35:$C$64,2,0),"Nein")="Nein",IFERROR(VLOOKUP(D531,Parameter!$A$35:$C$64,2,0),"Nein")=""),"-",VLOOKUP(D531,Parameter!$A$35:$C$64,2,0)))))</f>
        <v>2</v>
      </c>
      <c r="Y531" s="62"/>
      <c r="Z531" s="63"/>
      <c r="AA531" s="57" t="n">
        <f aca="false">AP531</f>
        <v>1</v>
      </c>
      <c r="AB531" s="57" t="n">
        <f aca="false">MAX(AP531,G531)</f>
        <v>1</v>
      </c>
      <c r="AC531" s="64"/>
      <c r="AD531" s="57" t="n">
        <f aca="false">IF(LEFT(Cockpit!$C$5,1)="A",G531,IF(BW531=1,BX531,IF(LEFT(Cockpit!$C$5,1)="B",AH531,MAX(AH531,G531))))</f>
        <v>1</v>
      </c>
      <c r="AE531" s="57" t="n">
        <f aca="false">IF(BR531=1,0,ROUNDUP(AD531/BQ531,0))</f>
        <v>0</v>
      </c>
      <c r="AF531" s="59" t="n">
        <f aca="false">IF(CD531&gt;0,CD531*MAX(1,AD531/V531),IF(BR531=1,IF(AD531&lt;=0,0,BS531*MAX(1,IF(G531&gt;0,AD531/G531,1))),IF(Q531&gt;0,AE531/Q531,0))/MAX(0.1,N(Parameter!$M$21)))</f>
        <v>0.15</v>
      </c>
      <c r="AG531" s="57" t="n">
        <f aca="false">AD531*F531</f>
        <v>25.44</v>
      </c>
      <c r="AH531" s="57" t="n">
        <f aca="false">ROUNDUP(MAX(I531/IF(BV531&gt;0,BV531,MAX(0.1,N(Cockpit!$C$6))),BY531)/BQ531,0)*BQ531</f>
        <v>1</v>
      </c>
      <c r="AI531" s="58" t="n">
        <f aca="false">IF(AF531&gt;0,I531/AF531,-1)</f>
        <v>0</v>
      </c>
      <c r="AJ531" s="58" t="n">
        <f aca="false">IF(AND(OR(BU531="L1",BU531="L23"),AF531&gt;0),SUMIFS($AF$7:$AF$1576,$BU$7:$BU$1576,BU531,$AI$7:$AI$1576,"&gt;"&amp;AI531)+SUMIFS($AF$7:$AF$1576,$BU$7:$BU$1576,BU531,$AI$7:$AI$1576,AI531,$BO$7:$BO$1576,"&lt;="&amp;BO531),"")</f>
        <v>43.3485868720651</v>
      </c>
      <c r="AK531" s="65" t="n">
        <f aca="false">IF(AJ531="",0,MAX(0,MIN(1,(IF(BU531="L1",Parameter!$E$5,Parameter!$E$6+Parameter!$E$7)-(AJ531-AF531))/AF531)))</f>
        <v>1</v>
      </c>
      <c r="AL531" s="57" t="n">
        <f aca="false">IF(LEFT(Cockpit!$I$5,1)="A",G531,IF(BW531=1,BX531,IF(LEFT(Cockpit!$I$5,1)="B",AP531,MAX(AP531,G531))))</f>
        <v>1</v>
      </c>
      <c r="AM531" s="57" t="n">
        <f aca="false">IF(BR531=1,0,ROUNDUP(AL531/BQ531,0))</f>
        <v>0</v>
      </c>
      <c r="AN531" s="59" t="n">
        <f aca="false">IF(CD531&gt;0,CD531*MAX(1,AL531/V531),IF(BR531=1,IF(AL531&lt;=0,0,BS531*MAX(1,IF(G531&gt;0,AL531/G531,1))),IF(Q531&gt;0,AM531/Q531,0))/MAX(0.1,N(Parameter!$M$21)))</f>
        <v>0.15</v>
      </c>
      <c r="AO531" s="57" t="n">
        <f aca="false">AL531*F531</f>
        <v>25.44</v>
      </c>
      <c r="AP531" s="57" t="n">
        <f aca="false">ROUNDUP(MAX(I531/IF(BV531&gt;0,BV531,MAX(0.1,N(Cockpit!$I$6))),BY531)/BQ531,0)*BQ531</f>
        <v>1</v>
      </c>
      <c r="AQ531" s="58" t="n">
        <f aca="false">IF(AN531&gt;0,I531/AN531,-1)</f>
        <v>0</v>
      </c>
      <c r="AR531" s="58" t="n">
        <f aca="false">IF(AND(OR(BU531="L1",BU531="L23"),AN531&gt;0),SUMIFS($AN$7:$AN$1576,$BU$7:$BU$1576,BU531,$AQ$7:$AQ$1576,"&gt;"&amp;AQ531)+SUMIFS($AN$7:$AN$1576,$BU$7:$BU$1576,BU531,$AQ$7:$AQ$1576,AQ531,$BO$7:$BO$1576,"&lt;="&amp;BO531),"")</f>
        <v>126.345372990583</v>
      </c>
      <c r="AS531" s="65" t="n">
        <f aca="false">IF(AR531="",0,MAX(0,MIN(1,(IF(BU531="L1",Parameter!$E$5,Parameter!$E$6+Parameter!$E$7)-(AR531-AN531))/AN531)))</f>
        <v>0</v>
      </c>
      <c r="AT531" s="57" t="n">
        <f aca="false">IF(LEFT(Cockpit!$O$5,1)="A",G531,IF(BW531=1,BX531,IF(LEFT(Cockpit!$O$5,1)="B",AX531,MAX(AX531,G531))))</f>
        <v>1</v>
      </c>
      <c r="AU531" s="57" t="n">
        <f aca="false">IF(BR531=1,0,ROUNDUP(AT531/BQ531,0))</f>
        <v>0</v>
      </c>
      <c r="AV531" s="59" t="n">
        <f aca="false">IF(CD531&gt;0,CD531*MAX(1,AT531/V531),IF(BR531=1,IF(AT531&lt;=0,0,BS531*MAX(1,IF(G531&gt;0,AT531/G531,1))),IF(Q531&gt;0,AU531/Q531,0))/MAX(0.1,N(Parameter!$M$21)))</f>
        <v>0.15</v>
      </c>
      <c r="AW531" s="57" t="n">
        <f aca="false">AT531*F531</f>
        <v>25.44</v>
      </c>
      <c r="AX531" s="57" t="n">
        <f aca="false">ROUNDUP(MAX(I531/IF(BV531&gt;0,BV531,MAX(0.1,N(Cockpit!$O$6))),BY531)/BQ531,0)*BQ531</f>
        <v>1</v>
      </c>
      <c r="AY531" s="58" t="n">
        <f aca="false">IF(AV531&gt;0,I531/AV531,-1)</f>
        <v>0</v>
      </c>
      <c r="AZ531" s="58" t="n">
        <f aca="false">IF(AND(OR(BU531="L1",BU531="L23"),AV531&gt;0),SUMIFS($AV$7:$AV$1576,$BU$7:$BU$1576,BU531,$AY$7:$AY$1576,"&gt;"&amp;AY531)+SUMIFS($AV$7:$AV$1576,$BU$7:$BU$1576,BU531,$AY$7:$AY$1576,AY531,$BO$7:$BO$1576,"&lt;="&amp;BO531),"")</f>
        <v>116.404923440134</v>
      </c>
      <c r="BA531" s="65" t="n">
        <f aca="false">IF(AZ531="",0,MAX(0,MIN(1,(IF(BU531="L1",Parameter!$E$5,Parameter!$E$6+Parameter!$E$7)-(AZ531-AV531))/AV531)))</f>
        <v>0</v>
      </c>
      <c r="BB531" s="55" t="str">
        <f aca="false">IF(AF531&lt;=0,"",IF(BU531="Aussen","Aussenlager",IF(BU531="-","Nicht im Lift",IF(AK531&gt;=1,"Lift",IF(AK531&lt;=0,"Aussenlager","teilweise")))))</f>
        <v>Lift</v>
      </c>
      <c r="BC531" s="55" t="str">
        <f aca="false">IF(AN531&lt;=0,"",IF(BU531="Aussen","Aussenlager",IF(BU531="-","Nicht im Lift",IF(AS531&gt;=1,"Lift",IF(AS531&lt;=0,"Aussenlager","teilweise")))))</f>
        <v>Aussenlager</v>
      </c>
      <c r="BD531" s="55" t="str">
        <f aca="false">IF(AV531&lt;=0,"",IF(BU531="Aussen","Aussenlager",IF(BU531="-","Nicht im Lift",IF(BA531&gt;=1,"Lift",IF(BA531&lt;=0,"Aussenlager","teilweise")))))</f>
        <v>Aussenlager</v>
      </c>
      <c r="BE531" s="55" t="str">
        <f aca="false">IF(A531="","",IF(BN531=1,"Neu; ","")&amp;IF(AND(BN531=0,BI531&lt;0),"negativer Bestand (Export "&amp;BI531&amp;"); ","")&amp;IF(I531&lt;=0,"Kein Verbrauch; ","")&amp;IF(CD531&gt;0,"Lift "&amp;U531&amp;" lt. Liftbericht (Fach "&amp;V531&amp;" Stk); ",IF(BR531=1,"Lose – Fläche geschätzt; ",""))&amp;IF(G531&gt;AP531,"Überbestand "&amp;ROUND(G531-AP531,0)&amp;" Stk / CHF "&amp;ROUND((G531-AP531)*F531,0)&amp;"; ","")&amp;IF(AND(BW531=1,BX531&lt;BY531),"MAX &lt; MB+LG; ","")&amp;IF(AND(CC531&gt;0,CB531*10&gt;CC531),"zu hoch für Tablar; ","")&amp;IF(AND(BN531=0,OR(BW531=1,Y531&lt;&gt;"",S531&lt;&gt;"",T531&lt;&gt;"",Z531&lt;&gt;"")),"manuell übersteuert; ","")&amp;IF(AND(BR531=0,Q531=0),"Gebinde unbekannt / Stellmass fehlt; ","")&amp;IF(AND(BR531=0,N(T531)&lt;=0,N(P531)&lt;=0),"Menge pro Gebinde fehlt (Ist = 1 Gebinde); ","")&amp;BM531)</f>
        <v>Kein Verbrauch; Lose – Fläche geschätzt; </v>
      </c>
      <c r="BF531" s="55"/>
      <c r="BG531" s="55"/>
      <c r="BH531" s="62"/>
      <c r="BI531" s="57" t="n">
        <v>1</v>
      </c>
      <c r="BJ531" s="57" t="n">
        <v>0</v>
      </c>
      <c r="BK531" s="56" t="n">
        <v>25.44</v>
      </c>
      <c r="BL531" s="57" t="n">
        <v>0</v>
      </c>
      <c r="BM531" s="55"/>
      <c r="BN531" s="60" t="n">
        <v>0</v>
      </c>
      <c r="BO531" s="60" t="n">
        <v>531</v>
      </c>
      <c r="BP531" s="55" t="str">
        <f aca="false">IF(S531&lt;&gt;"",UPPER(TRIM(S531)),IF(O531="","LOSE",O531))</f>
        <v>LOSE</v>
      </c>
      <c r="BQ531" s="57" t="n">
        <f aca="false">IF(BP531="LOSE",1,IF(N(T531)&gt;0,T531,IF(N(P531)&gt;0,P531,MAX(1,G531))))</f>
        <v>1</v>
      </c>
      <c r="BR531" s="60" t="n">
        <f aca="false">IF(BP531="LOSE",1,0)</f>
        <v>1</v>
      </c>
      <c r="BS531" s="59" t="n">
        <f aca="false">IF(BR531=0,0,IF(N(R531)&gt;0,R531,IFERROR(VLOOKUP(D531,Parameter!$A$35:$C$64,3,0)+0,0)))</f>
        <v>0.15</v>
      </c>
      <c r="BT531" s="55" t="n">
        <f aca="false">IF(Y531&lt;&gt;"",Y531,X531)</f>
        <v>2</v>
      </c>
      <c r="BU531" s="55" t="str">
        <f aca="false">IF(BT531=1,"L1",IF(OR(BT531=2,BT531=3),"L23",IF(BT531="Aussen","Aussen","-")))</f>
        <v>L23</v>
      </c>
      <c r="BV531" s="66" t="n">
        <f aca="false">IF(N(Z531)&gt;0,Z531,0)</f>
        <v>0</v>
      </c>
      <c r="BW531" s="60" t="n">
        <f aca="false">IF(ISNUMBER(AC531),1,0)</f>
        <v>0</v>
      </c>
      <c r="BX531" s="57" t="n">
        <f aca="false">N(AC531)</f>
        <v>0</v>
      </c>
      <c r="BY531" s="57" t="n">
        <f aca="false">N(L531)+N(M531)</f>
        <v>1</v>
      </c>
      <c r="BZ531" s="57" t="n">
        <f aca="false">ROUNDUP(G531/BQ531,0)</f>
        <v>1</v>
      </c>
      <c r="CA531" s="57" t="n">
        <f aca="false">ROUNDUP(BX531/BQ531,0)</f>
        <v>0</v>
      </c>
      <c r="CB531" s="60" t="n">
        <f aca="false">IF(BR531=1,0,IFERROR(VLOOKUP(BP531,'Gebinde-Kategorie'!$A$5:$M$45,5,0)+0,0))</f>
        <v>0</v>
      </c>
      <c r="CC531" s="60" t="n">
        <f aca="false">IFERROR(IF(OR(BT531=1,BT531=2,BT531=3),N(INDEX(Parameter!$I$5:$I$7,BT531)),0),0)</f>
        <v>0</v>
      </c>
      <c r="CD531" s="59" t="n">
        <f aca="false">IF(AND(Parameter!$B$21="Ja",ISNUMBER(U531),N(V531)&gt;0),IFERROR(N(INDEX(Parameter!$L$5:$L$7,U531))*INDEX(Parameter!$E$5:$E$7,U531)*V531/SUMIFS($V$7:$V$1576,$U$7:$U$1576,U531),0),0)</f>
        <v>0</v>
      </c>
    </row>
    <row r="532" customFormat="false" ht="15" hidden="false" customHeight="false" outlineLevel="0" collapsed="false">
      <c r="A532" s="55" t="s">
        <v>1137</v>
      </c>
      <c r="B532" s="55" t="s">
        <v>881</v>
      </c>
      <c r="C532" s="55" t="s">
        <v>160</v>
      </c>
      <c r="D532" s="55" t="s">
        <v>178</v>
      </c>
      <c r="E532" s="55" t="s">
        <v>210</v>
      </c>
      <c r="F532" s="56" t="n">
        <v>3.29</v>
      </c>
      <c r="G532" s="57" t="n">
        <f aca="false">MAX(0,IF(AND(Parameter!$B$21="Ja",ISNUMBER(W532)),W532,IF(Parameter!$B$20="Jahresanfang 2025 + Export",BJ532+BI532,BI532)))</f>
        <v>14</v>
      </c>
      <c r="H532" s="57" t="n">
        <f aca="false">G532*F532</f>
        <v>46.06</v>
      </c>
      <c r="I532" s="57" t="n">
        <f aca="false">BL532*Parameter!$B$18</f>
        <v>1</v>
      </c>
      <c r="J532" s="58" t="n">
        <v>7.5</v>
      </c>
      <c r="K532" s="59" t="n">
        <v>0.133333333333333</v>
      </c>
      <c r="L532" s="57" t="n">
        <v>0</v>
      </c>
      <c r="M532" s="57" t="n">
        <v>1</v>
      </c>
      <c r="N532" s="60" t="n">
        <v>28</v>
      </c>
      <c r="O532" s="55" t="s">
        <v>411</v>
      </c>
      <c r="P532" s="57" t="n">
        <v>11</v>
      </c>
      <c r="Q532" s="60" t="n">
        <f aca="false">IF(BR532=1,0,IFERROR(VLOOKUP(BP532,'Gebinde-Kategorie'!$A$5:$M$45,13,0)+0,0))</f>
        <v>132</v>
      </c>
      <c r="R532" s="61"/>
      <c r="S532" s="62"/>
      <c r="T532" s="62"/>
      <c r="U532" s="55"/>
      <c r="V532" s="57"/>
      <c r="W532" s="57"/>
      <c r="X532" s="55" t="n">
        <f aca="false">IF(A532="","",IF(AND(Parameter!$B$21="Ja",ISNUMBER(U532)),U532,IF(IFERROR(VLOOKUP(D532,Parameter!$A$35:$C$64,2,0),"Nein")="2+3",IF(ISNUMBER(SEARCH("grosser Artikel",BM532)),2,IFERROR(VLOOKUP(BP532,Parameter!$F$35:$G$64,2,0),2)),IF(OR(IFERROR(VLOOKUP(D532,Parameter!$A$35:$C$64,2,0),"Nein")="Nein",IFERROR(VLOOKUP(D532,Parameter!$A$35:$C$64,2,0),"Nein")=""),"-",VLOOKUP(D532,Parameter!$A$35:$C$64,2,0)))))</f>
        <v>3</v>
      </c>
      <c r="Y532" s="62"/>
      <c r="Z532" s="63"/>
      <c r="AA532" s="57" t="n">
        <f aca="false">AP532</f>
        <v>11</v>
      </c>
      <c r="AB532" s="57" t="n">
        <f aca="false">MAX(AP532,G532)</f>
        <v>14</v>
      </c>
      <c r="AC532" s="64"/>
      <c r="AD532" s="57" t="n">
        <f aca="false">IF(LEFT(Cockpit!$C$5,1)="A",G532,IF(BW532=1,BX532,IF(LEFT(Cockpit!$C$5,1)="B",AH532,MAX(AH532,G532))))</f>
        <v>14</v>
      </c>
      <c r="AE532" s="57" t="n">
        <f aca="false">IF(BR532=1,0,ROUNDUP(AD532/BQ532,0))</f>
        <v>2</v>
      </c>
      <c r="AF532" s="59" t="n">
        <f aca="false">IF(CD532&gt;0,CD532*MAX(1,AD532/V532),IF(BR532=1,IF(AD532&lt;=0,0,BS532*MAX(1,IF(G532&gt;0,AD532/G532,1))),IF(Q532&gt;0,AE532/Q532,0))/MAX(0.1,N(Parameter!$M$21)))</f>
        <v>0.0151515151515152</v>
      </c>
      <c r="AG532" s="57" t="n">
        <f aca="false">AD532*F532</f>
        <v>46.06</v>
      </c>
      <c r="AH532" s="57" t="n">
        <f aca="false">ROUNDUP(MAX(I532/IF(BV532&gt;0,BV532,MAX(0.1,N(Cockpit!$C$6))),BY532)/BQ532,0)*BQ532</f>
        <v>11</v>
      </c>
      <c r="AI532" s="58" t="n">
        <f aca="false">IF(AF532&gt;0,I532/AF532,-1)</f>
        <v>66</v>
      </c>
      <c r="AJ532" s="58" t="n">
        <f aca="false">IF(AND(OR(BU532="L1",BU532="L23"),AF532&gt;0),SUMIFS($AF$7:$AF$1576,$BU$7:$BU$1576,BU532,$AI$7:$AI$1576,"&gt;"&amp;AI532)+SUMIFS($AF$7:$AF$1576,$BU$7:$BU$1576,BU532,$AI$7:$AI$1576,AI532,$BO$7:$BO$1576,"&lt;="&amp;BO532),"")</f>
        <v>24.6982226951792</v>
      </c>
      <c r="AK532" s="65" t="n">
        <f aca="false">IF(AJ532="",0,MAX(0,MIN(1,(IF(BU532="L1",Parameter!$E$5,Parameter!$E$6+Parameter!$E$7)-(AJ532-AF532))/AF532)))</f>
        <v>1</v>
      </c>
      <c r="AL532" s="57" t="n">
        <f aca="false">IF(LEFT(Cockpit!$I$5,1)="A",G532,IF(BW532=1,BX532,IF(LEFT(Cockpit!$I$5,1)="B",AP532,MAX(AP532,G532))))</f>
        <v>14</v>
      </c>
      <c r="AM532" s="57" t="n">
        <f aca="false">IF(BR532=1,0,ROUNDUP(AL532/BQ532,0))</f>
        <v>2</v>
      </c>
      <c r="AN532" s="59" t="n">
        <f aca="false">IF(CD532&gt;0,CD532*MAX(1,AL532/V532),IF(BR532=1,IF(AL532&lt;=0,0,BS532*MAX(1,IF(G532&gt;0,AL532/G532,1))),IF(Q532&gt;0,AM532/Q532,0))/MAX(0.1,N(Parameter!$M$21)))</f>
        <v>0.0151515151515152</v>
      </c>
      <c r="AO532" s="57" t="n">
        <f aca="false">AL532*F532</f>
        <v>46.06</v>
      </c>
      <c r="AP532" s="57" t="n">
        <f aca="false">ROUNDUP(MAX(I532/IF(BV532&gt;0,BV532,MAX(0.1,N(Cockpit!$I$6))),BY532)/BQ532,0)*BQ532</f>
        <v>11</v>
      </c>
      <c r="AQ532" s="58" t="n">
        <f aca="false">IF(AN532&gt;0,I532/AN532,-1)</f>
        <v>66</v>
      </c>
      <c r="AR532" s="58" t="n">
        <f aca="false">IF(AND(OR(BU532="L1",BU532="L23"),AN532&gt;0),SUMIFS($AN$7:$AN$1576,$BU$7:$BU$1576,BU532,$AQ$7:$AQ$1576,"&gt;"&amp;AQ532)+SUMIFS($AN$7:$AN$1576,$BU$7:$BU$1576,BU532,$AQ$7:$AQ$1576,AQ532,$BO$7:$BO$1576,"&lt;="&amp;BO532),"")</f>
        <v>76.2425977588589</v>
      </c>
      <c r="AS532" s="65" t="n">
        <f aca="false">IF(AR532="",0,MAX(0,MIN(1,(IF(BU532="L1",Parameter!$E$5,Parameter!$E$6+Parameter!$E$7)-(AR532-AN532))/AN532)))</f>
        <v>1</v>
      </c>
      <c r="AT532" s="57" t="n">
        <f aca="false">IF(LEFT(Cockpit!$O$5,1)="A",G532,IF(BW532=1,BX532,IF(LEFT(Cockpit!$O$5,1)="B",AX532,MAX(AX532,G532))))</f>
        <v>14</v>
      </c>
      <c r="AU532" s="57" t="n">
        <f aca="false">IF(BR532=1,0,ROUNDUP(AT532/BQ532,0))</f>
        <v>2</v>
      </c>
      <c r="AV532" s="59" t="n">
        <f aca="false">IF(CD532&gt;0,CD532*MAX(1,AT532/V532),IF(BR532=1,IF(AT532&lt;=0,0,BS532*MAX(1,IF(G532&gt;0,AT532/G532,1))),IF(Q532&gt;0,AU532/Q532,0))/MAX(0.1,N(Parameter!$M$21)))</f>
        <v>0.0151515151515152</v>
      </c>
      <c r="AW532" s="57" t="n">
        <f aca="false">AT532*F532</f>
        <v>46.06</v>
      </c>
      <c r="AX532" s="57" t="n">
        <f aca="false">ROUNDUP(MAX(I532/IF(BV532&gt;0,BV532,MAX(0.1,N(Cockpit!$O$6))),BY532)/BQ532,0)*BQ532</f>
        <v>11</v>
      </c>
      <c r="AY532" s="58" t="n">
        <f aca="false">IF(AV532&gt;0,I532/AV532,-1)</f>
        <v>66</v>
      </c>
      <c r="AZ532" s="58" t="n">
        <f aca="false">IF(AND(OR(BU532="L1",BU532="L23"),AV532&gt;0),SUMIFS($AV$7:$AV$1576,$BU$7:$BU$1576,BU532,$AY$7:$AY$1576,"&gt;"&amp;AY532)+SUMIFS($AV$7:$AV$1576,$BU$7:$BU$1576,BU532,$AY$7:$AY$1576,AY532,$BO$7:$BO$1576,"&lt;="&amp;BO532),"")</f>
        <v>74.953814875076</v>
      </c>
      <c r="BA532" s="65" t="n">
        <f aca="false">IF(AZ532="",0,MAX(0,MIN(1,(IF(BU532="L1",Parameter!$E$5,Parameter!$E$6+Parameter!$E$7)-(AZ532-AV532))/AV532)))</f>
        <v>1</v>
      </c>
      <c r="BB532" s="55" t="str">
        <f aca="false">IF(AF532&lt;=0,"",IF(BU532="Aussen","Aussenlager",IF(BU532="-","Nicht im Lift",IF(AK532&gt;=1,"Lift",IF(AK532&lt;=0,"Aussenlager","teilweise")))))</f>
        <v>Lift</v>
      </c>
      <c r="BC532" s="55" t="str">
        <f aca="false">IF(AN532&lt;=0,"",IF(BU532="Aussen","Aussenlager",IF(BU532="-","Nicht im Lift",IF(AS532&gt;=1,"Lift",IF(AS532&lt;=0,"Aussenlager","teilweise")))))</f>
        <v>Lift</v>
      </c>
      <c r="BD532" s="55" t="str">
        <f aca="false">IF(AV532&lt;=0,"",IF(BU532="Aussen","Aussenlager",IF(BU532="-","Nicht im Lift",IF(BA532&gt;=1,"Lift",IF(BA532&lt;=0,"Aussenlager","teilweise")))))</f>
        <v>Lift</v>
      </c>
      <c r="BE532" s="55" t="str">
        <f aca="false">IF(A532="","",IF(BN532=1,"Neu; ","")&amp;IF(AND(BN532=0,BI532&lt;0),"negativer Bestand (Export "&amp;BI532&amp;"); ","")&amp;IF(I532&lt;=0,"Kein Verbrauch; ","")&amp;IF(CD532&gt;0,"Lift "&amp;U532&amp;" lt. Liftbericht (Fach "&amp;V532&amp;" Stk); ",IF(BR532=1,"Lose – Fläche geschätzt; ",""))&amp;IF(G532&gt;AP532,"Überbestand "&amp;ROUND(G532-AP532,0)&amp;" Stk / CHF "&amp;ROUND((G532-AP532)*F532,0)&amp;"; ","")&amp;IF(AND(BW532=1,BX532&lt;BY532),"MAX &lt; MB+LG; ","")&amp;IF(AND(CC532&gt;0,CB532*10&gt;CC532),"zu hoch für Tablar; ","")&amp;IF(AND(BN532=0,OR(BW532=1,Y532&lt;&gt;"",S532&lt;&gt;"",T532&lt;&gt;"",Z532&lt;&gt;"")),"manuell übersteuert; ","")&amp;IF(AND(BR532=0,Q532=0),"Gebinde unbekannt / Stellmass fehlt; ","")&amp;IF(AND(BR532=0,N(T532)&lt;=0,N(P532)&lt;=0),"Menge pro Gebinde fehlt (Ist = 1 Gebinde); ","")&amp;BM532)</f>
        <v>Überbestand 3 Stk / CHF 10; </v>
      </c>
      <c r="BF532" s="55"/>
      <c r="BG532" s="55"/>
      <c r="BH532" s="62"/>
      <c r="BI532" s="57" t="n">
        <v>14</v>
      </c>
      <c r="BJ532" s="57" t="n">
        <v>8</v>
      </c>
      <c r="BK532" s="56" t="n">
        <v>25.34</v>
      </c>
      <c r="BL532" s="57" t="n">
        <v>1</v>
      </c>
      <c r="BM532" s="55"/>
      <c r="BN532" s="60" t="n">
        <v>0</v>
      </c>
      <c r="BO532" s="60" t="n">
        <v>532</v>
      </c>
      <c r="BP532" s="55" t="str">
        <f aca="false">IF(S532&lt;&gt;"",UPPER(TRIM(S532)),IF(O532="","LOSE",O532))</f>
        <v>S32</v>
      </c>
      <c r="BQ532" s="57" t="n">
        <f aca="false">IF(BP532="LOSE",1,IF(N(T532)&gt;0,T532,IF(N(P532)&gt;0,P532,MAX(1,G532))))</f>
        <v>11</v>
      </c>
      <c r="BR532" s="60" t="n">
        <f aca="false">IF(BP532="LOSE",1,0)</f>
        <v>0</v>
      </c>
      <c r="BS532" s="59" t="n">
        <f aca="false">IF(BR532=0,0,IF(N(R532)&gt;0,R532,IFERROR(VLOOKUP(D532,Parameter!$A$35:$C$64,3,0)+0,0)))</f>
        <v>0</v>
      </c>
      <c r="BT532" s="55" t="n">
        <f aca="false">IF(Y532&lt;&gt;"",Y532,X532)</f>
        <v>3</v>
      </c>
      <c r="BU532" s="55" t="str">
        <f aca="false">IF(BT532=1,"L1",IF(OR(BT532=2,BT532=3),"L23",IF(BT532="Aussen","Aussen","-")))</f>
        <v>L23</v>
      </c>
      <c r="BV532" s="66" t="n">
        <f aca="false">IF(N(Z532)&gt;0,Z532,0)</f>
        <v>0</v>
      </c>
      <c r="BW532" s="60" t="n">
        <f aca="false">IF(ISNUMBER(AC532),1,0)</f>
        <v>0</v>
      </c>
      <c r="BX532" s="57" t="n">
        <f aca="false">N(AC532)</f>
        <v>0</v>
      </c>
      <c r="BY532" s="57" t="n">
        <f aca="false">N(L532)+N(M532)</f>
        <v>1</v>
      </c>
      <c r="BZ532" s="57" t="n">
        <f aca="false">ROUNDUP(G532/BQ532,0)</f>
        <v>2</v>
      </c>
      <c r="CA532" s="57" t="n">
        <f aca="false">ROUNDUP(BX532/BQ532,0)</f>
        <v>0</v>
      </c>
      <c r="CB532" s="60" t="n">
        <f aca="false">IF(BR532=1,0,IFERROR(VLOOKUP(BP532,'Gebinde-Kategorie'!$A$5:$M$45,5,0)+0,0))</f>
        <v>8</v>
      </c>
      <c r="CC532" s="60" t="n">
        <f aca="false">IFERROR(IF(OR(BT532=1,BT532=2,BT532=3),N(INDEX(Parameter!$I$5:$I$7,BT532)),0),0)</f>
        <v>0</v>
      </c>
      <c r="CD532" s="59" t="n">
        <f aca="false">IF(AND(Parameter!$B$21="Ja",ISNUMBER(U532),N(V532)&gt;0),IFERROR(N(INDEX(Parameter!$L$5:$L$7,U532))*INDEX(Parameter!$E$5:$E$7,U532)*V532/SUMIFS($V$7:$V$1576,$U$7:$U$1576,U532),0),0)</f>
        <v>0</v>
      </c>
    </row>
    <row r="533" customFormat="false" ht="15" hidden="false" customHeight="false" outlineLevel="0" collapsed="false">
      <c r="A533" s="55" t="s">
        <v>1138</v>
      </c>
      <c r="B533" s="55" t="s">
        <v>395</v>
      </c>
      <c r="C533" s="55" t="s">
        <v>160</v>
      </c>
      <c r="D533" s="55" t="s">
        <v>178</v>
      </c>
      <c r="E533" s="55" t="s">
        <v>210</v>
      </c>
      <c r="F533" s="56" t="n">
        <v>0.06</v>
      </c>
      <c r="G533" s="57" t="n">
        <f aca="false">MAX(0,IF(AND(Parameter!$B$21="Ja",ISNUMBER(W533)),W533,IF(Parameter!$B$20="Jahresanfang 2025 + Export",BJ533+BI533,BI533)))</f>
        <v>421</v>
      </c>
      <c r="H533" s="57" t="n">
        <f aca="false">G533*F533</f>
        <v>25.26</v>
      </c>
      <c r="I533" s="57" t="n">
        <f aca="false">BL533*Parameter!$B$18</f>
        <v>604</v>
      </c>
      <c r="J533" s="58" t="n">
        <v>493.5</v>
      </c>
      <c r="K533" s="59" t="n">
        <v>1.22391084093212</v>
      </c>
      <c r="L533" s="57" t="n">
        <v>35</v>
      </c>
      <c r="M533" s="57" t="n">
        <v>605</v>
      </c>
      <c r="N533" s="60" t="n">
        <v>21</v>
      </c>
      <c r="O533" s="55" t="s">
        <v>411</v>
      </c>
      <c r="P533" s="57" t="n">
        <v>454</v>
      </c>
      <c r="Q533" s="60" t="n">
        <f aca="false">IF(BR533=1,0,IFERROR(VLOOKUP(BP533,'Gebinde-Kategorie'!$A$5:$M$45,13,0)+0,0))</f>
        <v>132</v>
      </c>
      <c r="R533" s="61"/>
      <c r="S533" s="62"/>
      <c r="T533" s="62"/>
      <c r="U533" s="55"/>
      <c r="V533" s="57"/>
      <c r="W533" s="57"/>
      <c r="X533" s="55" t="n">
        <f aca="false">IF(A533="","",IF(AND(Parameter!$B$21="Ja",ISNUMBER(U533)),U533,IF(IFERROR(VLOOKUP(D533,Parameter!$A$35:$C$64,2,0),"Nein")="2+3",IF(ISNUMBER(SEARCH("grosser Artikel",BM533)),2,IFERROR(VLOOKUP(BP533,Parameter!$F$35:$G$64,2,0),2)),IF(OR(IFERROR(VLOOKUP(D533,Parameter!$A$35:$C$64,2,0),"Nein")="Nein",IFERROR(VLOOKUP(D533,Parameter!$A$35:$C$64,2,0),"Nein")=""),"-",VLOOKUP(D533,Parameter!$A$35:$C$64,2,0)))))</f>
        <v>3</v>
      </c>
      <c r="Y533" s="62"/>
      <c r="Z533" s="63"/>
      <c r="AA533" s="57" t="n">
        <f aca="false">AP533</f>
        <v>908</v>
      </c>
      <c r="AB533" s="57" t="n">
        <f aca="false">MAX(AP533,G533)</f>
        <v>908</v>
      </c>
      <c r="AC533" s="64"/>
      <c r="AD533" s="57" t="n">
        <f aca="false">IF(LEFT(Cockpit!$C$5,1)="A",G533,IF(BW533=1,BX533,IF(LEFT(Cockpit!$C$5,1)="B",AH533,MAX(AH533,G533))))</f>
        <v>421</v>
      </c>
      <c r="AE533" s="57" t="n">
        <f aca="false">IF(BR533=1,0,ROUNDUP(AD533/BQ533,0))</f>
        <v>1</v>
      </c>
      <c r="AF533" s="59" t="n">
        <f aca="false">IF(CD533&gt;0,CD533*MAX(1,AD533/V533),IF(BR533=1,IF(AD533&lt;=0,0,BS533*MAX(1,IF(G533&gt;0,AD533/G533,1))),IF(Q533&gt;0,AE533/Q533,0))/MAX(0.1,N(Parameter!$M$21)))</f>
        <v>0.00757575757575758</v>
      </c>
      <c r="AG533" s="57" t="n">
        <f aca="false">AD533*F533</f>
        <v>25.26</v>
      </c>
      <c r="AH533" s="57" t="n">
        <f aca="false">ROUNDUP(MAX(I533/IF(BV533&gt;0,BV533,MAX(0.1,N(Cockpit!$C$6))),BY533)/BQ533,0)*BQ533</f>
        <v>908</v>
      </c>
      <c r="AI533" s="58" t="n">
        <f aca="false">IF(AF533&gt;0,I533/AF533,-1)</f>
        <v>79728</v>
      </c>
      <c r="AJ533" s="58" t="n">
        <f aca="false">IF(AND(OR(BU533="L1",BU533="L23"),AF533&gt;0),SUMIFS($AF$7:$AF$1576,$BU$7:$BU$1576,BU533,$AI$7:$AI$1576,"&gt;"&amp;AI533)+SUMIFS($AF$7:$AF$1576,$BU$7:$BU$1576,BU533,$AI$7:$AI$1576,AI533,$BO$7:$BO$1576,"&lt;="&amp;BO533),"")</f>
        <v>0.458379784466741</v>
      </c>
      <c r="AK533" s="65" t="n">
        <f aca="false">IF(AJ533="",0,MAX(0,MIN(1,(IF(BU533="L1",Parameter!$E$5,Parameter!$E$6+Parameter!$E$7)-(AJ533-AF533))/AF533)))</f>
        <v>1</v>
      </c>
      <c r="AL533" s="57" t="n">
        <f aca="false">IF(LEFT(Cockpit!$I$5,1)="A",G533,IF(BW533=1,BX533,IF(LEFT(Cockpit!$I$5,1)="B",AP533,MAX(AP533,G533))))</f>
        <v>908</v>
      </c>
      <c r="AM533" s="57" t="n">
        <f aca="false">IF(BR533=1,0,ROUNDUP(AL533/BQ533,0))</f>
        <v>2</v>
      </c>
      <c r="AN533" s="59" t="n">
        <f aca="false">IF(CD533&gt;0,CD533*MAX(1,AL533/V533),IF(BR533=1,IF(AL533&lt;=0,0,BS533*MAX(1,IF(G533&gt;0,AL533/G533,1))),IF(Q533&gt;0,AM533/Q533,0))/MAX(0.1,N(Parameter!$M$21)))</f>
        <v>0.0151515151515152</v>
      </c>
      <c r="AO533" s="57" t="n">
        <f aca="false">AL533*F533</f>
        <v>54.48</v>
      </c>
      <c r="AP533" s="57" t="n">
        <f aca="false">ROUNDUP(MAX(I533/IF(BV533&gt;0,BV533,MAX(0.1,N(Cockpit!$I$6))),BY533)/BQ533,0)*BQ533</f>
        <v>908</v>
      </c>
      <c r="AQ533" s="58" t="n">
        <f aca="false">IF(AN533&gt;0,I533/AN533,-1)</f>
        <v>39864</v>
      </c>
      <c r="AR533" s="58" t="n">
        <f aca="false">IF(AND(OR(BU533="L1",BU533="L23"),AN533&gt;0),SUMIFS($AN$7:$AN$1576,$BU$7:$BU$1576,BU533,$AQ$7:$AQ$1576,"&gt;"&amp;AQ533)+SUMIFS($AN$7:$AN$1576,$BU$7:$BU$1576,BU533,$AQ$7:$AQ$1576,AQ533,$BO$7:$BO$1576,"&lt;="&amp;BO533),"")</f>
        <v>1.82248336204858</v>
      </c>
      <c r="AS533" s="65" t="n">
        <f aca="false">IF(AR533="",0,MAX(0,MIN(1,(IF(BU533="L1",Parameter!$E$5,Parameter!$E$6+Parameter!$E$7)-(AR533-AN533))/AN533)))</f>
        <v>1</v>
      </c>
      <c r="AT533" s="57" t="n">
        <f aca="false">IF(LEFT(Cockpit!$O$5,1)="A",G533,IF(BW533=1,BX533,IF(LEFT(Cockpit!$O$5,1)="B",AX533,MAX(AX533,G533))))</f>
        <v>908</v>
      </c>
      <c r="AU533" s="57" t="n">
        <f aca="false">IF(BR533=1,0,ROUNDUP(AT533/BQ533,0))</f>
        <v>2</v>
      </c>
      <c r="AV533" s="59" t="n">
        <f aca="false">IF(CD533&gt;0,CD533*MAX(1,AT533/V533),IF(BR533=1,IF(AT533&lt;=0,0,BS533*MAX(1,IF(G533&gt;0,AT533/G533,1))),IF(Q533&gt;0,AU533/Q533,0))/MAX(0.1,N(Parameter!$M$21)))</f>
        <v>0.0151515151515152</v>
      </c>
      <c r="AW533" s="57" t="n">
        <f aca="false">AT533*F533</f>
        <v>54.48</v>
      </c>
      <c r="AX533" s="57" t="n">
        <f aca="false">ROUNDUP(MAX(I533/IF(BV533&gt;0,BV533,MAX(0.1,N(Cockpit!$O$6))),BY533)/BQ533,0)*BQ533</f>
        <v>908</v>
      </c>
      <c r="AY533" s="58" t="n">
        <f aca="false">IF(AV533&gt;0,I533/AV533,-1)</f>
        <v>39864</v>
      </c>
      <c r="AZ533" s="58" t="n">
        <f aca="false">IF(AND(OR(BU533="L1",BU533="L23"),AV533&gt;0),SUMIFS($AV$7:$AV$1576,$BU$7:$BU$1576,BU533,$AY$7:$AY$1576,"&gt;"&amp;AY533)+SUMIFS($AV$7:$AV$1576,$BU$7:$BU$1576,BU533,$AY$7:$AY$1576,AY533,$BO$7:$BO$1576,"&lt;="&amp;BO533),"")</f>
        <v>2.1441616837269</v>
      </c>
      <c r="BA533" s="65" t="n">
        <f aca="false">IF(AZ533="",0,MAX(0,MIN(1,(IF(BU533="L1",Parameter!$E$5,Parameter!$E$6+Parameter!$E$7)-(AZ533-AV533))/AV533)))</f>
        <v>1</v>
      </c>
      <c r="BB533" s="55" t="str">
        <f aca="false">IF(AF533&lt;=0,"",IF(BU533="Aussen","Aussenlager",IF(BU533="-","Nicht im Lift",IF(AK533&gt;=1,"Lift",IF(AK533&lt;=0,"Aussenlager","teilweise")))))</f>
        <v>Lift</v>
      </c>
      <c r="BC533" s="55" t="str">
        <f aca="false">IF(AN533&lt;=0,"",IF(BU533="Aussen","Aussenlager",IF(BU533="-","Nicht im Lift",IF(AS533&gt;=1,"Lift",IF(AS533&lt;=0,"Aussenlager","teilweise")))))</f>
        <v>Lift</v>
      </c>
      <c r="BD533" s="55" t="str">
        <f aca="false">IF(AV533&lt;=0,"",IF(BU533="Aussen","Aussenlager",IF(BU533="-","Nicht im Lift",IF(BA533&gt;=1,"Lift",IF(BA533&lt;=0,"Aussenlager","teilweise")))))</f>
        <v>Lift</v>
      </c>
      <c r="BE533" s="55" t="str">
        <f aca="false">IF(A533="","",IF(BN533=1,"Neu; ","")&amp;IF(AND(BN533=0,BI533&lt;0),"negativer Bestand (Export "&amp;BI533&amp;"); ","")&amp;IF(I533&lt;=0,"Kein Verbrauch; ","")&amp;IF(CD533&gt;0,"Lift "&amp;U533&amp;" lt. Liftbericht (Fach "&amp;V533&amp;" Stk); ",IF(BR533=1,"Lose – Fläche geschätzt; ",""))&amp;IF(G533&gt;AP533,"Überbestand "&amp;ROUND(G533-AP533,0)&amp;" Stk / CHF "&amp;ROUND((G533-AP533)*F533,0)&amp;"; ","")&amp;IF(AND(BW533=1,BX533&lt;BY533),"MAX &lt; MB+LG; ","")&amp;IF(AND(CC533&gt;0,CB533*10&gt;CC533),"zu hoch für Tablar; ","")&amp;IF(AND(BN533=0,OR(BW533=1,Y533&lt;&gt;"",S533&lt;&gt;"",T533&lt;&gt;"",Z533&lt;&gt;"")),"manuell übersteuert; ","")&amp;IF(AND(BR533=0,Q533=0),"Gebinde unbekannt / Stellmass fehlt; ","")&amp;IF(AND(BR533=0,N(T533)&lt;=0,N(P533)&lt;=0),"Menge pro Gebinde fehlt (Ist = 1 Gebinde); ","")&amp;BM533)</f>
        <v/>
      </c>
      <c r="BF533" s="55"/>
      <c r="BG533" s="55"/>
      <c r="BH533" s="62"/>
      <c r="BI533" s="57" t="n">
        <v>421</v>
      </c>
      <c r="BJ533" s="57" t="n">
        <v>548</v>
      </c>
      <c r="BK533" s="56" t="n">
        <v>25.26</v>
      </c>
      <c r="BL533" s="57" t="n">
        <v>604</v>
      </c>
      <c r="BM533" s="55"/>
      <c r="BN533" s="60" t="n">
        <v>0</v>
      </c>
      <c r="BO533" s="60" t="n">
        <v>533</v>
      </c>
      <c r="BP533" s="55" t="str">
        <f aca="false">IF(S533&lt;&gt;"",UPPER(TRIM(S533)),IF(O533="","LOSE",O533))</f>
        <v>S32</v>
      </c>
      <c r="BQ533" s="57" t="n">
        <f aca="false">IF(BP533="LOSE",1,IF(N(T533)&gt;0,T533,IF(N(P533)&gt;0,P533,MAX(1,G533))))</f>
        <v>454</v>
      </c>
      <c r="BR533" s="60" t="n">
        <f aca="false">IF(BP533="LOSE",1,0)</f>
        <v>0</v>
      </c>
      <c r="BS533" s="59" t="n">
        <f aca="false">IF(BR533=0,0,IF(N(R533)&gt;0,R533,IFERROR(VLOOKUP(D533,Parameter!$A$35:$C$64,3,0)+0,0)))</f>
        <v>0</v>
      </c>
      <c r="BT533" s="55" t="n">
        <f aca="false">IF(Y533&lt;&gt;"",Y533,X533)</f>
        <v>3</v>
      </c>
      <c r="BU533" s="55" t="str">
        <f aca="false">IF(BT533=1,"L1",IF(OR(BT533=2,BT533=3),"L23",IF(BT533="Aussen","Aussen","-")))</f>
        <v>L23</v>
      </c>
      <c r="BV533" s="66" t="n">
        <f aca="false">IF(N(Z533)&gt;0,Z533,0)</f>
        <v>0</v>
      </c>
      <c r="BW533" s="60" t="n">
        <f aca="false">IF(ISNUMBER(AC533),1,0)</f>
        <v>0</v>
      </c>
      <c r="BX533" s="57" t="n">
        <f aca="false">N(AC533)</f>
        <v>0</v>
      </c>
      <c r="BY533" s="57" t="n">
        <f aca="false">N(L533)+N(M533)</f>
        <v>640</v>
      </c>
      <c r="BZ533" s="57" t="n">
        <f aca="false">ROUNDUP(G533/BQ533,0)</f>
        <v>1</v>
      </c>
      <c r="CA533" s="57" t="n">
        <f aca="false">ROUNDUP(BX533/BQ533,0)</f>
        <v>0</v>
      </c>
      <c r="CB533" s="60" t="n">
        <f aca="false">IF(BR533=1,0,IFERROR(VLOOKUP(BP533,'Gebinde-Kategorie'!$A$5:$M$45,5,0)+0,0))</f>
        <v>8</v>
      </c>
      <c r="CC533" s="60" t="n">
        <f aca="false">IFERROR(IF(OR(BT533=1,BT533=2,BT533=3),N(INDEX(Parameter!$I$5:$I$7,BT533)),0),0)</f>
        <v>0</v>
      </c>
      <c r="CD533" s="59" t="n">
        <f aca="false">IF(AND(Parameter!$B$21="Ja",ISNUMBER(U533),N(V533)&gt;0),IFERROR(N(INDEX(Parameter!$L$5:$L$7,U533))*INDEX(Parameter!$E$5:$E$7,U533)*V533/SUMIFS($V$7:$V$1576,$U$7:$U$1576,U533),0),0)</f>
        <v>0</v>
      </c>
    </row>
    <row r="534" customFormat="false" ht="15" hidden="false" customHeight="false" outlineLevel="0" collapsed="false">
      <c r="A534" s="55" t="s">
        <v>1139</v>
      </c>
      <c r="B534" s="55" t="s">
        <v>1140</v>
      </c>
      <c r="C534" s="55" t="s">
        <v>160</v>
      </c>
      <c r="D534" s="55" t="s">
        <v>178</v>
      </c>
      <c r="E534" s="55" t="s">
        <v>210</v>
      </c>
      <c r="F534" s="56" t="n">
        <v>24.7</v>
      </c>
      <c r="G534" s="57" t="n">
        <f aca="false">MAX(0,IF(AND(Parameter!$B$21="Ja",ISNUMBER(W534)),W534,IF(Parameter!$B$20="Jahresanfang 2025 + Export",BJ534+BI534,BI534)))</f>
        <v>1</v>
      </c>
      <c r="H534" s="57" t="n">
        <f aca="false">G534*F534</f>
        <v>24.7</v>
      </c>
      <c r="I534" s="57" t="n">
        <f aca="false">BL534*Parameter!$B$18</f>
        <v>0</v>
      </c>
      <c r="J534" s="58" t="n">
        <v>50.5</v>
      </c>
      <c r="K534" s="59" t="n">
        <v>0</v>
      </c>
      <c r="L534" s="57" t="n">
        <v>0</v>
      </c>
      <c r="M534" s="57" t="n">
        <v>1</v>
      </c>
      <c r="N534" s="60" t="n">
        <v>14</v>
      </c>
      <c r="O534" s="55" t="s">
        <v>411</v>
      </c>
      <c r="P534" s="57" t="n">
        <v>47</v>
      </c>
      <c r="Q534" s="60" t="n">
        <f aca="false">IF(BR534=1,0,IFERROR(VLOOKUP(BP534,'Gebinde-Kategorie'!$A$5:$M$45,13,0)+0,0))</f>
        <v>132</v>
      </c>
      <c r="R534" s="61"/>
      <c r="S534" s="62"/>
      <c r="T534" s="62"/>
      <c r="U534" s="55"/>
      <c r="V534" s="57"/>
      <c r="W534" s="57"/>
      <c r="X534" s="55" t="n">
        <f aca="false">IF(A534="","",IF(AND(Parameter!$B$21="Ja",ISNUMBER(U534)),U534,IF(IFERROR(VLOOKUP(D534,Parameter!$A$35:$C$64,2,0),"Nein")="2+3",IF(ISNUMBER(SEARCH("grosser Artikel",BM534)),2,IFERROR(VLOOKUP(BP534,Parameter!$F$35:$G$64,2,0),2)),IF(OR(IFERROR(VLOOKUP(D534,Parameter!$A$35:$C$64,2,0),"Nein")="Nein",IFERROR(VLOOKUP(D534,Parameter!$A$35:$C$64,2,0),"Nein")=""),"-",VLOOKUP(D534,Parameter!$A$35:$C$64,2,0)))))</f>
        <v>3</v>
      </c>
      <c r="Y534" s="62"/>
      <c r="Z534" s="63"/>
      <c r="AA534" s="57" t="n">
        <f aca="false">AP534</f>
        <v>47</v>
      </c>
      <c r="AB534" s="57" t="n">
        <f aca="false">MAX(AP534,G534)</f>
        <v>47</v>
      </c>
      <c r="AC534" s="64"/>
      <c r="AD534" s="57" t="n">
        <f aca="false">IF(LEFT(Cockpit!$C$5,1)="A",G534,IF(BW534=1,BX534,IF(LEFT(Cockpit!$C$5,1)="B",AH534,MAX(AH534,G534))))</f>
        <v>1</v>
      </c>
      <c r="AE534" s="57" t="n">
        <f aca="false">IF(BR534=1,0,ROUNDUP(AD534/BQ534,0))</f>
        <v>1</v>
      </c>
      <c r="AF534" s="59" t="n">
        <f aca="false">IF(CD534&gt;0,CD534*MAX(1,AD534/V534),IF(BR534=1,IF(AD534&lt;=0,0,BS534*MAX(1,IF(G534&gt;0,AD534/G534,1))),IF(Q534&gt;0,AE534/Q534,0))/MAX(0.1,N(Parameter!$M$21)))</f>
        <v>0.00757575757575758</v>
      </c>
      <c r="AG534" s="57" t="n">
        <f aca="false">AD534*F534</f>
        <v>24.7</v>
      </c>
      <c r="AH534" s="57" t="n">
        <f aca="false">ROUNDUP(MAX(I534/IF(BV534&gt;0,BV534,MAX(0.1,N(Cockpit!$C$6))),BY534)/BQ534,0)*BQ534</f>
        <v>47</v>
      </c>
      <c r="AI534" s="58" t="n">
        <f aca="false">IF(AF534&gt;0,I534/AF534,-1)</f>
        <v>0</v>
      </c>
      <c r="AJ534" s="58" t="n">
        <f aca="false">IF(AND(OR(BU534="L1",BU534="L23"),AF534&gt;0),SUMIFS($AF$7:$AF$1576,$BU$7:$BU$1576,BU534,$AI$7:$AI$1576,"&gt;"&amp;AI534)+SUMIFS($AF$7:$AF$1576,$BU$7:$BU$1576,BU534,$AI$7:$AI$1576,AI534,$BO$7:$BO$1576,"&lt;="&amp;BO534),"")</f>
        <v>43.3561626296409</v>
      </c>
      <c r="AK534" s="65" t="n">
        <f aca="false">IF(AJ534="",0,MAX(0,MIN(1,(IF(BU534="L1",Parameter!$E$5,Parameter!$E$6+Parameter!$E$7)-(AJ534-AF534))/AF534)))</f>
        <v>1</v>
      </c>
      <c r="AL534" s="57" t="n">
        <f aca="false">IF(LEFT(Cockpit!$I$5,1)="A",G534,IF(BW534=1,BX534,IF(LEFT(Cockpit!$I$5,1)="B",AP534,MAX(AP534,G534))))</f>
        <v>47</v>
      </c>
      <c r="AM534" s="57" t="n">
        <f aca="false">IF(BR534=1,0,ROUNDUP(AL534/BQ534,0))</f>
        <v>1</v>
      </c>
      <c r="AN534" s="59" t="n">
        <f aca="false">IF(CD534&gt;0,CD534*MAX(1,AL534/V534),IF(BR534=1,IF(AL534&lt;=0,0,BS534*MAX(1,IF(G534&gt;0,AL534/G534,1))),IF(Q534&gt;0,AM534/Q534,0))/MAX(0.1,N(Parameter!$M$21)))</f>
        <v>0.00757575757575758</v>
      </c>
      <c r="AO534" s="57" t="n">
        <f aca="false">AL534*F534</f>
        <v>1160.9</v>
      </c>
      <c r="AP534" s="57" t="n">
        <f aca="false">ROUNDUP(MAX(I534/IF(BV534&gt;0,BV534,MAX(0.1,N(Cockpit!$I$6))),BY534)/BQ534,0)*BQ534</f>
        <v>47</v>
      </c>
      <c r="AQ534" s="58" t="n">
        <f aca="false">IF(AN534&gt;0,I534/AN534,-1)</f>
        <v>0</v>
      </c>
      <c r="AR534" s="58" t="n">
        <f aca="false">IF(AND(OR(BU534="L1",BU534="L23"),AN534&gt;0),SUMIFS($AN$7:$AN$1576,$BU$7:$BU$1576,BU534,$AQ$7:$AQ$1576,"&gt;"&amp;AQ534)+SUMIFS($AN$7:$AN$1576,$BU$7:$BU$1576,BU534,$AQ$7:$AQ$1576,AQ534,$BO$7:$BO$1576,"&lt;="&amp;BO534),"")</f>
        <v>126.352948748159</v>
      </c>
      <c r="AS534" s="65" t="n">
        <f aca="false">IF(AR534="",0,MAX(0,MIN(1,(IF(BU534="L1",Parameter!$E$5,Parameter!$E$6+Parameter!$E$7)-(AR534-AN534))/AN534)))</f>
        <v>0</v>
      </c>
      <c r="AT534" s="57" t="n">
        <f aca="false">IF(LEFT(Cockpit!$O$5,1)="A",G534,IF(BW534=1,BX534,IF(LEFT(Cockpit!$O$5,1)="B",AX534,MAX(AX534,G534))))</f>
        <v>47</v>
      </c>
      <c r="AU534" s="57" t="n">
        <f aca="false">IF(BR534=1,0,ROUNDUP(AT534/BQ534,0))</f>
        <v>1</v>
      </c>
      <c r="AV534" s="59" t="n">
        <f aca="false">IF(CD534&gt;0,CD534*MAX(1,AT534/V534),IF(BR534=1,IF(AT534&lt;=0,0,BS534*MAX(1,IF(G534&gt;0,AT534/G534,1))),IF(Q534&gt;0,AU534/Q534,0))/MAX(0.1,N(Parameter!$M$21)))</f>
        <v>0.00757575757575758</v>
      </c>
      <c r="AW534" s="57" t="n">
        <f aca="false">AT534*F534</f>
        <v>1160.9</v>
      </c>
      <c r="AX534" s="57" t="n">
        <f aca="false">ROUNDUP(MAX(I534/IF(BV534&gt;0,BV534,MAX(0.1,N(Cockpit!$O$6))),BY534)/BQ534,0)*BQ534</f>
        <v>47</v>
      </c>
      <c r="AY534" s="58" t="n">
        <f aca="false">IF(AV534&gt;0,I534/AV534,-1)</f>
        <v>0</v>
      </c>
      <c r="AZ534" s="58" t="n">
        <f aca="false">IF(AND(OR(BU534="L1",BU534="L23"),AV534&gt;0),SUMIFS($AV$7:$AV$1576,$BU$7:$BU$1576,BU534,$AY$7:$AY$1576,"&gt;"&amp;AY534)+SUMIFS($AV$7:$AV$1576,$BU$7:$BU$1576,BU534,$AY$7:$AY$1576,AY534,$BO$7:$BO$1576,"&lt;="&amp;BO534),"")</f>
        <v>116.41249919771</v>
      </c>
      <c r="BA534" s="65" t="n">
        <f aca="false">IF(AZ534="",0,MAX(0,MIN(1,(IF(BU534="L1",Parameter!$E$5,Parameter!$E$6+Parameter!$E$7)-(AZ534-AV534))/AV534)))</f>
        <v>0</v>
      </c>
      <c r="BB534" s="55" t="str">
        <f aca="false">IF(AF534&lt;=0,"",IF(BU534="Aussen","Aussenlager",IF(BU534="-","Nicht im Lift",IF(AK534&gt;=1,"Lift",IF(AK534&lt;=0,"Aussenlager","teilweise")))))</f>
        <v>Lift</v>
      </c>
      <c r="BC534" s="55" t="str">
        <f aca="false">IF(AN534&lt;=0,"",IF(BU534="Aussen","Aussenlager",IF(BU534="-","Nicht im Lift",IF(AS534&gt;=1,"Lift",IF(AS534&lt;=0,"Aussenlager","teilweise")))))</f>
        <v>Aussenlager</v>
      </c>
      <c r="BD534" s="55" t="str">
        <f aca="false">IF(AV534&lt;=0,"",IF(BU534="Aussen","Aussenlager",IF(BU534="-","Nicht im Lift",IF(BA534&gt;=1,"Lift",IF(BA534&lt;=0,"Aussenlager","teilweise")))))</f>
        <v>Aussenlager</v>
      </c>
      <c r="BE534" s="55" t="str">
        <f aca="false">IF(A534="","",IF(BN534=1,"Neu; ","")&amp;IF(AND(BN534=0,BI534&lt;0),"negativer Bestand (Export "&amp;BI534&amp;"); ","")&amp;IF(I534&lt;=0,"Kein Verbrauch; ","")&amp;IF(CD534&gt;0,"Lift "&amp;U534&amp;" lt. Liftbericht (Fach "&amp;V534&amp;" Stk); ",IF(BR534=1,"Lose – Fläche geschätzt; ",""))&amp;IF(G534&gt;AP534,"Überbestand "&amp;ROUND(G534-AP534,0)&amp;" Stk / CHF "&amp;ROUND((G534-AP534)*F534,0)&amp;"; ","")&amp;IF(AND(BW534=1,BX534&lt;BY534),"MAX &lt; MB+LG; ","")&amp;IF(AND(CC534&gt;0,CB534*10&gt;CC534),"zu hoch für Tablar; ","")&amp;IF(AND(BN534=0,OR(BW534=1,Y534&lt;&gt;"",S534&lt;&gt;"",T534&lt;&gt;"",Z534&lt;&gt;"")),"manuell übersteuert; ","")&amp;IF(AND(BR534=0,Q534=0),"Gebinde unbekannt / Stellmass fehlt; ","")&amp;IF(AND(BR534=0,N(T534)&lt;=0,N(P534)&lt;=0),"Menge pro Gebinde fehlt (Ist = 1 Gebinde); ","")&amp;BM534)</f>
        <v>Kein Verbrauch; Twin</v>
      </c>
      <c r="BF534" s="55"/>
      <c r="BG534" s="55"/>
      <c r="BH534" s="62"/>
      <c r="BI534" s="57" t="n">
        <v>1</v>
      </c>
      <c r="BJ534" s="57" t="n">
        <v>50</v>
      </c>
      <c r="BK534" s="56" t="n">
        <v>24.7</v>
      </c>
      <c r="BL534" s="57" t="n">
        <v>0</v>
      </c>
      <c r="BM534" s="55" t="s">
        <v>206</v>
      </c>
      <c r="BN534" s="60" t="n">
        <v>0</v>
      </c>
      <c r="BO534" s="60" t="n">
        <v>534</v>
      </c>
      <c r="BP534" s="55" t="str">
        <f aca="false">IF(S534&lt;&gt;"",UPPER(TRIM(S534)),IF(O534="","LOSE",O534))</f>
        <v>S32</v>
      </c>
      <c r="BQ534" s="57" t="n">
        <f aca="false">IF(BP534="LOSE",1,IF(N(T534)&gt;0,T534,IF(N(P534)&gt;0,P534,MAX(1,G534))))</f>
        <v>47</v>
      </c>
      <c r="BR534" s="60" t="n">
        <f aca="false">IF(BP534="LOSE",1,0)</f>
        <v>0</v>
      </c>
      <c r="BS534" s="59" t="n">
        <f aca="false">IF(BR534=0,0,IF(N(R534)&gt;0,R534,IFERROR(VLOOKUP(D534,Parameter!$A$35:$C$64,3,0)+0,0)))</f>
        <v>0</v>
      </c>
      <c r="BT534" s="55" t="n">
        <f aca="false">IF(Y534&lt;&gt;"",Y534,X534)</f>
        <v>3</v>
      </c>
      <c r="BU534" s="55" t="str">
        <f aca="false">IF(BT534=1,"L1",IF(OR(BT534=2,BT534=3),"L23",IF(BT534="Aussen","Aussen","-")))</f>
        <v>L23</v>
      </c>
      <c r="BV534" s="66" t="n">
        <f aca="false">IF(N(Z534)&gt;0,Z534,0)</f>
        <v>0</v>
      </c>
      <c r="BW534" s="60" t="n">
        <f aca="false">IF(ISNUMBER(AC534),1,0)</f>
        <v>0</v>
      </c>
      <c r="BX534" s="57" t="n">
        <f aca="false">N(AC534)</f>
        <v>0</v>
      </c>
      <c r="BY534" s="57" t="n">
        <f aca="false">N(L534)+N(M534)</f>
        <v>1</v>
      </c>
      <c r="BZ534" s="57" t="n">
        <f aca="false">ROUNDUP(G534/BQ534,0)</f>
        <v>1</v>
      </c>
      <c r="CA534" s="57" t="n">
        <f aca="false">ROUNDUP(BX534/BQ534,0)</f>
        <v>0</v>
      </c>
      <c r="CB534" s="60" t="n">
        <f aca="false">IF(BR534=1,0,IFERROR(VLOOKUP(BP534,'Gebinde-Kategorie'!$A$5:$M$45,5,0)+0,0))</f>
        <v>8</v>
      </c>
      <c r="CC534" s="60" t="n">
        <f aca="false">IFERROR(IF(OR(BT534=1,BT534=2,BT534=3),N(INDEX(Parameter!$I$5:$I$7,BT534)),0),0)</f>
        <v>0</v>
      </c>
      <c r="CD534" s="59" t="n">
        <f aca="false">IF(AND(Parameter!$B$21="Ja",ISNUMBER(U534),N(V534)&gt;0),IFERROR(N(INDEX(Parameter!$L$5:$L$7,U534))*INDEX(Parameter!$E$5:$E$7,U534)*V534/SUMIFS($V$7:$V$1576,$U$7:$U$1576,U534),0),0)</f>
        <v>0</v>
      </c>
    </row>
    <row r="535" customFormat="false" ht="15" hidden="false" customHeight="false" outlineLevel="0" collapsed="false">
      <c r="A535" s="55" t="s">
        <v>1141</v>
      </c>
      <c r="B535" s="55" t="s">
        <v>393</v>
      </c>
      <c r="C535" s="55" t="s">
        <v>160</v>
      </c>
      <c r="D535" s="55" t="s">
        <v>984</v>
      </c>
      <c r="E535" s="55" t="s">
        <v>210</v>
      </c>
      <c r="F535" s="56" t="n">
        <v>2.02</v>
      </c>
      <c r="G535" s="57" t="n">
        <f aca="false">MAX(0,IF(AND(Parameter!$B$21="Ja",ISNUMBER(W535)),W535,IF(Parameter!$B$20="Jahresanfang 2025 + Export",BJ535+BI535,BI535)))</f>
        <v>12</v>
      </c>
      <c r="H535" s="57" t="n">
        <f aca="false">G535*F535</f>
        <v>24.24</v>
      </c>
      <c r="I535" s="57" t="n">
        <f aca="false">BL535*Parameter!$B$18</f>
        <v>48</v>
      </c>
      <c r="J535" s="58" t="n">
        <v>6</v>
      </c>
      <c r="K535" s="59" t="n">
        <v>8</v>
      </c>
      <c r="L535" s="57" t="n">
        <v>0</v>
      </c>
      <c r="M535" s="57" t="n">
        <v>1</v>
      </c>
      <c r="N535" s="60" t="n">
        <v>28</v>
      </c>
      <c r="O535" s="55" t="s">
        <v>163</v>
      </c>
      <c r="P535" s="57"/>
      <c r="Q535" s="60" t="n">
        <f aca="false">IF(BR535=1,0,IFERROR(VLOOKUP(BP535,'Gebinde-Kategorie'!$A$5:$M$45,13,0)+0,0))</f>
        <v>0</v>
      </c>
      <c r="R535" s="61"/>
      <c r="S535" s="62"/>
      <c r="T535" s="62"/>
      <c r="U535" s="55"/>
      <c r="V535" s="57"/>
      <c r="W535" s="57"/>
      <c r="X535" s="55" t="str">
        <f aca="false">IF(A535="","",IF(AND(Parameter!$B$21="Ja",ISNUMBER(U535)),U535,IF(IFERROR(VLOOKUP(D535,Parameter!$A$35:$C$64,2,0),"Nein")="2+3",IF(ISNUMBER(SEARCH("grosser Artikel",BM535)),2,IFERROR(VLOOKUP(BP535,Parameter!$F$35:$G$64,2,0),2)),IF(OR(IFERROR(VLOOKUP(D535,Parameter!$A$35:$C$64,2,0),"Nein")="Nein",IFERROR(VLOOKUP(D535,Parameter!$A$35:$C$64,2,0),"Nein")=""),"-",VLOOKUP(D535,Parameter!$A$35:$C$64,2,0)))))</f>
        <v>-</v>
      </c>
      <c r="Y535" s="62"/>
      <c r="Z535" s="63"/>
      <c r="AA535" s="57" t="n">
        <f aca="false">AP535</f>
        <v>24</v>
      </c>
      <c r="AB535" s="57" t="n">
        <f aca="false">MAX(AP535,G535)</f>
        <v>24</v>
      </c>
      <c r="AC535" s="64"/>
      <c r="AD535" s="57" t="n">
        <f aca="false">IF(LEFT(Cockpit!$C$5,1)="A",G535,IF(BW535=1,BX535,IF(LEFT(Cockpit!$C$5,1)="B",AH535,MAX(AH535,G535))))</f>
        <v>12</v>
      </c>
      <c r="AE535" s="57" t="n">
        <f aca="false">IF(BR535=1,0,ROUNDUP(AD535/BQ535,0))</f>
        <v>0</v>
      </c>
      <c r="AF535" s="59" t="n">
        <f aca="false">IF(CD535&gt;0,CD535*MAX(1,AD535/V535),IF(BR535=1,IF(AD535&lt;=0,0,BS535*MAX(1,IF(G535&gt;0,AD535/G535,1))),IF(Q535&gt;0,AE535/Q535,0))/MAX(0.1,N(Parameter!$M$21)))</f>
        <v>0.15</v>
      </c>
      <c r="AG535" s="57" t="n">
        <f aca="false">AD535*F535</f>
        <v>24.24</v>
      </c>
      <c r="AH535" s="57" t="n">
        <f aca="false">ROUNDUP(MAX(I535/IF(BV535&gt;0,BV535,MAX(0.1,N(Cockpit!$C$6))),BY535)/BQ535,0)*BQ535</f>
        <v>24</v>
      </c>
      <c r="AI535" s="58" t="n">
        <f aca="false">IF(AF535&gt;0,I535/AF535,-1)</f>
        <v>320</v>
      </c>
      <c r="AJ535" s="58" t="str">
        <f aca="false">IF(AND(OR(BU535="L1",BU535="L23"),AF535&gt;0),SUMIFS($AF$7:$AF$1576,$BU$7:$BU$1576,BU535,$AI$7:$AI$1576,"&gt;"&amp;AI535)+SUMIFS($AF$7:$AF$1576,$BU$7:$BU$1576,BU535,$AI$7:$AI$1576,AI535,$BO$7:$BO$1576,"&lt;="&amp;BO535),"")</f>
        <v/>
      </c>
      <c r="AK535" s="65" t="n">
        <f aca="false">IF(AJ535="",0,MAX(0,MIN(1,(IF(BU535="L1",Parameter!$E$5,Parameter!$E$6+Parameter!$E$7)-(AJ535-AF535))/AF535)))</f>
        <v>0</v>
      </c>
      <c r="AL535" s="57" t="n">
        <f aca="false">IF(LEFT(Cockpit!$I$5,1)="A",G535,IF(BW535=1,BX535,IF(LEFT(Cockpit!$I$5,1)="B",AP535,MAX(AP535,G535))))</f>
        <v>24</v>
      </c>
      <c r="AM535" s="57" t="n">
        <f aca="false">IF(BR535=1,0,ROUNDUP(AL535/BQ535,0))</f>
        <v>0</v>
      </c>
      <c r="AN535" s="59" t="n">
        <f aca="false">IF(CD535&gt;0,CD535*MAX(1,AL535/V535),IF(BR535=1,IF(AL535&lt;=0,0,BS535*MAX(1,IF(G535&gt;0,AL535/G535,1))),IF(Q535&gt;0,AM535/Q535,0))/MAX(0.1,N(Parameter!$M$21)))</f>
        <v>0.3</v>
      </c>
      <c r="AO535" s="57" t="n">
        <f aca="false">AL535*F535</f>
        <v>48.48</v>
      </c>
      <c r="AP535" s="57" t="n">
        <f aca="false">ROUNDUP(MAX(I535/IF(BV535&gt;0,BV535,MAX(0.1,N(Cockpit!$I$6))),BY535)/BQ535,0)*BQ535</f>
        <v>24</v>
      </c>
      <c r="AQ535" s="58" t="n">
        <f aca="false">IF(AN535&gt;0,I535/AN535,-1)</f>
        <v>160</v>
      </c>
      <c r="AR535" s="58" t="str">
        <f aca="false">IF(AND(OR(BU535="L1",BU535="L23"),AN535&gt;0),SUMIFS($AN$7:$AN$1576,$BU$7:$BU$1576,BU535,$AQ$7:$AQ$1576,"&gt;"&amp;AQ535)+SUMIFS($AN$7:$AN$1576,$BU$7:$BU$1576,BU535,$AQ$7:$AQ$1576,AQ535,$BO$7:$BO$1576,"&lt;="&amp;BO535),"")</f>
        <v/>
      </c>
      <c r="AS535" s="65" t="n">
        <f aca="false">IF(AR535="",0,MAX(0,MIN(1,(IF(BU535="L1",Parameter!$E$5,Parameter!$E$6+Parameter!$E$7)-(AR535-AN535))/AN535)))</f>
        <v>0</v>
      </c>
      <c r="AT535" s="57" t="n">
        <f aca="false">IF(LEFT(Cockpit!$O$5,1)="A",G535,IF(BW535=1,BX535,IF(LEFT(Cockpit!$O$5,1)="B",AX535,MAX(AX535,G535))))</f>
        <v>16</v>
      </c>
      <c r="AU535" s="57" t="n">
        <f aca="false">IF(BR535=1,0,ROUNDUP(AT535/BQ535,0))</f>
        <v>0</v>
      </c>
      <c r="AV535" s="59" t="n">
        <f aca="false">IF(CD535&gt;0,CD535*MAX(1,AT535/V535),IF(BR535=1,IF(AT535&lt;=0,0,BS535*MAX(1,IF(G535&gt;0,AT535/G535,1))),IF(Q535&gt;0,AU535/Q535,0))/MAX(0.1,N(Parameter!$M$21)))</f>
        <v>0.2</v>
      </c>
      <c r="AW535" s="57" t="n">
        <f aca="false">AT535*F535</f>
        <v>32.32</v>
      </c>
      <c r="AX535" s="57" t="n">
        <f aca="false">ROUNDUP(MAX(I535/IF(BV535&gt;0,BV535,MAX(0.1,N(Cockpit!$O$6))),BY535)/BQ535,0)*BQ535</f>
        <v>16</v>
      </c>
      <c r="AY535" s="58" t="n">
        <f aca="false">IF(AV535&gt;0,I535/AV535,-1)</f>
        <v>240</v>
      </c>
      <c r="AZ535" s="58" t="str">
        <f aca="false">IF(AND(OR(BU535="L1",BU535="L23"),AV535&gt;0),SUMIFS($AV$7:$AV$1576,$BU$7:$BU$1576,BU535,$AY$7:$AY$1576,"&gt;"&amp;AY535)+SUMIFS($AV$7:$AV$1576,$BU$7:$BU$1576,BU535,$AY$7:$AY$1576,AY535,$BO$7:$BO$1576,"&lt;="&amp;BO535),"")</f>
        <v/>
      </c>
      <c r="BA535" s="65" t="n">
        <f aca="false">IF(AZ535="",0,MAX(0,MIN(1,(IF(BU535="L1",Parameter!$E$5,Parameter!$E$6+Parameter!$E$7)-(AZ535-AV535))/AV535)))</f>
        <v>0</v>
      </c>
      <c r="BB535" s="55" t="str">
        <f aca="false">IF(AF535&lt;=0,"",IF(BU535="Aussen","Aussenlager",IF(BU535="-","Nicht im Lift",IF(AK535&gt;=1,"Lift",IF(AK535&lt;=0,"Aussenlager","teilweise")))))</f>
        <v>Nicht im Lift</v>
      </c>
      <c r="BC535" s="55" t="str">
        <f aca="false">IF(AN535&lt;=0,"",IF(BU535="Aussen","Aussenlager",IF(BU535="-","Nicht im Lift",IF(AS535&gt;=1,"Lift",IF(AS535&lt;=0,"Aussenlager","teilweise")))))</f>
        <v>Nicht im Lift</v>
      </c>
      <c r="BD535" s="55" t="str">
        <f aca="false">IF(AV535&lt;=0,"",IF(BU535="Aussen","Aussenlager",IF(BU535="-","Nicht im Lift",IF(BA535&gt;=1,"Lift",IF(BA535&lt;=0,"Aussenlager","teilweise")))))</f>
        <v>Nicht im Lift</v>
      </c>
      <c r="BE535" s="55" t="str">
        <f aca="false">IF(A535="","",IF(BN535=1,"Neu; ","")&amp;IF(AND(BN535=0,BI535&lt;0),"negativer Bestand (Export "&amp;BI535&amp;"); ","")&amp;IF(I535&lt;=0,"Kein Verbrauch; ","")&amp;IF(CD535&gt;0,"Lift "&amp;U535&amp;" lt. Liftbericht (Fach "&amp;V535&amp;" Stk); ",IF(BR535=1,"Lose – Fläche geschätzt; ",""))&amp;IF(G535&gt;AP535,"Überbestand "&amp;ROUND(G535-AP535,0)&amp;" Stk / CHF "&amp;ROUND((G535-AP535)*F535,0)&amp;"; ","")&amp;IF(AND(BW535=1,BX535&lt;BY535),"MAX &lt; MB+LG; ","")&amp;IF(AND(CC535&gt;0,CB535*10&gt;CC535),"zu hoch für Tablar; ","")&amp;IF(AND(BN535=0,OR(BW535=1,Y535&lt;&gt;"",S535&lt;&gt;"",T535&lt;&gt;"",Z535&lt;&gt;"")),"manuell übersteuert; ","")&amp;IF(AND(BR535=0,Q535=0),"Gebinde unbekannt / Stellmass fehlt; ","")&amp;IF(AND(BR535=0,N(T535)&lt;=0,N(P535)&lt;=0),"Menge pro Gebinde fehlt (Ist = 1 Gebinde); ","")&amp;BM535)</f>
        <v>Lose – Fläche geschätzt; </v>
      </c>
      <c r="BF535" s="55"/>
      <c r="BG535" s="55"/>
      <c r="BH535" s="62"/>
      <c r="BI535" s="57" t="n">
        <v>12</v>
      </c>
      <c r="BJ535" s="57" t="n">
        <v>0</v>
      </c>
      <c r="BK535" s="56" t="n">
        <v>24.24</v>
      </c>
      <c r="BL535" s="57" t="n">
        <v>48</v>
      </c>
      <c r="BM535" s="55"/>
      <c r="BN535" s="60" t="n">
        <v>0</v>
      </c>
      <c r="BO535" s="60" t="n">
        <v>535</v>
      </c>
      <c r="BP535" s="55" t="str">
        <f aca="false">IF(S535&lt;&gt;"",UPPER(TRIM(S535)),IF(O535="","LOSE",O535))</f>
        <v>LOSE</v>
      </c>
      <c r="BQ535" s="57" t="n">
        <f aca="false">IF(BP535="LOSE",1,IF(N(T535)&gt;0,T535,IF(N(P535)&gt;0,P535,MAX(1,G535))))</f>
        <v>1</v>
      </c>
      <c r="BR535" s="60" t="n">
        <f aca="false">IF(BP535="LOSE",1,0)</f>
        <v>1</v>
      </c>
      <c r="BS535" s="59" t="n">
        <f aca="false">IF(BR535=0,0,IF(N(R535)&gt;0,R535,IFERROR(VLOOKUP(D535,Parameter!$A$35:$C$64,3,0)+0,0)))</f>
        <v>0.15</v>
      </c>
      <c r="BT535" s="55" t="str">
        <f aca="false">IF(Y535&lt;&gt;"",Y535,X535)</f>
        <v>-</v>
      </c>
      <c r="BU535" s="55" t="str">
        <f aca="false">IF(BT535=1,"L1",IF(OR(BT535=2,BT535=3),"L23",IF(BT535="Aussen","Aussen","-")))</f>
        <v>-</v>
      </c>
      <c r="BV535" s="66" t="n">
        <f aca="false">IF(N(Z535)&gt;0,Z535,0)</f>
        <v>0</v>
      </c>
      <c r="BW535" s="60" t="n">
        <f aca="false">IF(ISNUMBER(AC535),1,0)</f>
        <v>0</v>
      </c>
      <c r="BX535" s="57" t="n">
        <f aca="false">N(AC535)</f>
        <v>0</v>
      </c>
      <c r="BY535" s="57" t="n">
        <f aca="false">N(L535)+N(M535)</f>
        <v>1</v>
      </c>
      <c r="BZ535" s="57" t="n">
        <f aca="false">ROUNDUP(G535/BQ535,0)</f>
        <v>12</v>
      </c>
      <c r="CA535" s="57" t="n">
        <f aca="false">ROUNDUP(BX535/BQ535,0)</f>
        <v>0</v>
      </c>
      <c r="CB535" s="60" t="n">
        <f aca="false">IF(BR535=1,0,IFERROR(VLOOKUP(BP535,'Gebinde-Kategorie'!$A$5:$M$45,5,0)+0,0))</f>
        <v>0</v>
      </c>
      <c r="CC535" s="60" t="n">
        <f aca="false">IFERROR(IF(OR(BT535=1,BT535=2,BT535=3),N(INDEX(Parameter!$I$5:$I$7,BT535)),0),0)</f>
        <v>0</v>
      </c>
      <c r="CD535" s="59" t="n">
        <f aca="false">IF(AND(Parameter!$B$21="Ja",ISNUMBER(U535),N(V535)&gt;0),IFERROR(N(INDEX(Parameter!$L$5:$L$7,U535))*INDEX(Parameter!$E$5:$E$7,U535)*V535/SUMIFS($V$7:$V$1576,$U$7:$U$1576,U535),0),0)</f>
        <v>0</v>
      </c>
    </row>
    <row r="536" customFormat="false" ht="15" hidden="false" customHeight="false" outlineLevel="0" collapsed="false">
      <c r="A536" s="55" t="s">
        <v>1142</v>
      </c>
      <c r="B536" s="55" t="s">
        <v>513</v>
      </c>
      <c r="C536" s="55" t="s">
        <v>160</v>
      </c>
      <c r="D536" s="55" t="s">
        <v>178</v>
      </c>
      <c r="E536" s="55" t="s">
        <v>210</v>
      </c>
      <c r="F536" s="56" t="n">
        <v>4.46</v>
      </c>
      <c r="G536" s="57" t="n">
        <f aca="false">MAX(0,IF(AND(Parameter!$B$21="Ja",ISNUMBER(W536)),W536,IF(Parameter!$B$20="Jahresanfang 2025 + Export",BJ536+BI536,BI536)))</f>
        <v>4</v>
      </c>
      <c r="H536" s="57" t="n">
        <f aca="false">G536*F536</f>
        <v>17.84</v>
      </c>
      <c r="I536" s="57" t="n">
        <f aca="false">BL536*Parameter!$B$18</f>
        <v>0</v>
      </c>
      <c r="J536" s="58" t="n">
        <v>5</v>
      </c>
      <c r="K536" s="59" t="n">
        <v>0</v>
      </c>
      <c r="L536" s="57" t="n">
        <v>0</v>
      </c>
      <c r="M536" s="57" t="n">
        <v>1</v>
      </c>
      <c r="N536" s="60" t="n">
        <v>14</v>
      </c>
      <c r="O536" s="55" t="s">
        <v>319</v>
      </c>
      <c r="P536" s="57" t="n">
        <v>25</v>
      </c>
      <c r="Q536" s="60" t="n">
        <f aca="false">IF(BR536=1,0,IFERROR(VLOOKUP(BP536,'Gebinde-Kategorie'!$A$5:$M$45,13,0)+0,0))</f>
        <v>52</v>
      </c>
      <c r="R536" s="61"/>
      <c r="S536" s="62"/>
      <c r="T536" s="62"/>
      <c r="U536" s="55"/>
      <c r="V536" s="57"/>
      <c r="W536" s="57"/>
      <c r="X536" s="55" t="n">
        <f aca="false">IF(A536="","",IF(AND(Parameter!$B$21="Ja",ISNUMBER(U536)),U536,IF(IFERROR(VLOOKUP(D536,Parameter!$A$35:$C$64,2,0),"Nein")="2+3",IF(ISNUMBER(SEARCH("grosser Artikel",BM536)),2,IFERROR(VLOOKUP(BP536,Parameter!$F$35:$G$64,2,0),2)),IF(OR(IFERROR(VLOOKUP(D536,Parameter!$A$35:$C$64,2,0),"Nein")="Nein",IFERROR(VLOOKUP(D536,Parameter!$A$35:$C$64,2,0),"Nein")=""),"-",VLOOKUP(D536,Parameter!$A$35:$C$64,2,0)))))</f>
        <v>3</v>
      </c>
      <c r="Y536" s="62"/>
      <c r="Z536" s="63"/>
      <c r="AA536" s="57" t="n">
        <f aca="false">AP536</f>
        <v>25</v>
      </c>
      <c r="AB536" s="57" t="n">
        <f aca="false">MAX(AP536,G536)</f>
        <v>25</v>
      </c>
      <c r="AC536" s="64"/>
      <c r="AD536" s="57" t="n">
        <f aca="false">IF(LEFT(Cockpit!$C$5,1)="A",G536,IF(BW536=1,BX536,IF(LEFT(Cockpit!$C$5,1)="B",AH536,MAX(AH536,G536))))</f>
        <v>4</v>
      </c>
      <c r="AE536" s="57" t="n">
        <f aca="false">IF(BR536=1,0,ROUNDUP(AD536/BQ536,0))</f>
        <v>1</v>
      </c>
      <c r="AF536" s="59" t="n">
        <f aca="false">IF(CD536&gt;0,CD536*MAX(1,AD536/V536),IF(BR536=1,IF(AD536&lt;=0,0,BS536*MAX(1,IF(G536&gt;0,AD536/G536,1))),IF(Q536&gt;0,AE536/Q536,0))/MAX(0.1,N(Parameter!$M$21)))</f>
        <v>0.0192307692307692</v>
      </c>
      <c r="AG536" s="57" t="n">
        <f aca="false">AD536*F536</f>
        <v>17.84</v>
      </c>
      <c r="AH536" s="57" t="n">
        <f aca="false">ROUNDUP(MAX(I536/IF(BV536&gt;0,BV536,MAX(0.1,N(Cockpit!$C$6))),BY536)/BQ536,0)*BQ536</f>
        <v>25</v>
      </c>
      <c r="AI536" s="58" t="n">
        <f aca="false">IF(AF536&gt;0,I536/AF536,-1)</f>
        <v>0</v>
      </c>
      <c r="AJ536" s="58" t="n">
        <f aca="false">IF(AND(OR(BU536="L1",BU536="L23"),AF536&gt;0),SUMIFS($AF$7:$AF$1576,$BU$7:$BU$1576,BU536,$AI$7:$AI$1576,"&gt;"&amp;AI536)+SUMIFS($AF$7:$AF$1576,$BU$7:$BU$1576,BU536,$AI$7:$AI$1576,AI536,$BO$7:$BO$1576,"&lt;="&amp;BO536),"")</f>
        <v>43.3753933988717</v>
      </c>
      <c r="AK536" s="65" t="n">
        <f aca="false">IF(AJ536="",0,MAX(0,MIN(1,(IF(BU536="L1",Parameter!$E$5,Parameter!$E$6+Parameter!$E$7)-(AJ536-AF536))/AF536)))</f>
        <v>1</v>
      </c>
      <c r="AL536" s="57" t="n">
        <f aca="false">IF(LEFT(Cockpit!$I$5,1)="A",G536,IF(BW536=1,BX536,IF(LEFT(Cockpit!$I$5,1)="B",AP536,MAX(AP536,G536))))</f>
        <v>25</v>
      </c>
      <c r="AM536" s="57" t="n">
        <f aca="false">IF(BR536=1,0,ROUNDUP(AL536/BQ536,0))</f>
        <v>1</v>
      </c>
      <c r="AN536" s="59" t="n">
        <f aca="false">IF(CD536&gt;0,CD536*MAX(1,AL536/V536),IF(BR536=1,IF(AL536&lt;=0,0,BS536*MAX(1,IF(G536&gt;0,AL536/G536,1))),IF(Q536&gt;0,AM536/Q536,0))/MAX(0.1,N(Parameter!$M$21)))</f>
        <v>0.0192307692307692</v>
      </c>
      <c r="AO536" s="57" t="n">
        <f aca="false">AL536*F536</f>
        <v>111.5</v>
      </c>
      <c r="AP536" s="57" t="n">
        <f aca="false">ROUNDUP(MAX(I536/IF(BV536&gt;0,BV536,MAX(0.1,N(Cockpit!$I$6))),BY536)/BQ536,0)*BQ536</f>
        <v>25</v>
      </c>
      <c r="AQ536" s="58" t="n">
        <f aca="false">IF(AN536&gt;0,I536/AN536,-1)</f>
        <v>0</v>
      </c>
      <c r="AR536" s="58" t="n">
        <f aca="false">IF(AND(OR(BU536="L1",BU536="L23"),AN536&gt;0),SUMIFS($AN$7:$AN$1576,$BU$7:$BU$1576,BU536,$AQ$7:$AQ$1576,"&gt;"&amp;AQ536)+SUMIFS($AN$7:$AN$1576,$BU$7:$BU$1576,BU536,$AQ$7:$AQ$1576,AQ536,$BO$7:$BO$1576,"&lt;="&amp;BO536),"")</f>
        <v>126.37217951739</v>
      </c>
      <c r="AS536" s="65" t="n">
        <f aca="false">IF(AR536="",0,MAX(0,MIN(1,(IF(BU536="L1",Parameter!$E$5,Parameter!$E$6+Parameter!$E$7)-(AR536-AN536))/AN536)))</f>
        <v>0</v>
      </c>
      <c r="AT536" s="57" t="n">
        <f aca="false">IF(LEFT(Cockpit!$O$5,1)="A",G536,IF(BW536=1,BX536,IF(LEFT(Cockpit!$O$5,1)="B",AX536,MAX(AX536,G536))))</f>
        <v>25</v>
      </c>
      <c r="AU536" s="57" t="n">
        <f aca="false">IF(BR536=1,0,ROUNDUP(AT536/BQ536,0))</f>
        <v>1</v>
      </c>
      <c r="AV536" s="59" t="n">
        <f aca="false">IF(CD536&gt;0,CD536*MAX(1,AT536/V536),IF(BR536=1,IF(AT536&lt;=0,0,BS536*MAX(1,IF(G536&gt;0,AT536/G536,1))),IF(Q536&gt;0,AU536/Q536,0))/MAX(0.1,N(Parameter!$M$21)))</f>
        <v>0.0192307692307692</v>
      </c>
      <c r="AW536" s="57" t="n">
        <f aca="false">AT536*F536</f>
        <v>111.5</v>
      </c>
      <c r="AX536" s="57" t="n">
        <f aca="false">ROUNDUP(MAX(I536/IF(BV536&gt;0,BV536,MAX(0.1,N(Cockpit!$O$6))),BY536)/BQ536,0)*BQ536</f>
        <v>25</v>
      </c>
      <c r="AY536" s="58" t="n">
        <f aca="false">IF(AV536&gt;0,I536/AV536,-1)</f>
        <v>0</v>
      </c>
      <c r="AZ536" s="58" t="n">
        <f aca="false">IF(AND(OR(BU536="L1",BU536="L23"),AV536&gt;0),SUMIFS($AV$7:$AV$1576,$BU$7:$BU$1576,BU536,$AY$7:$AY$1576,"&gt;"&amp;AY536)+SUMIFS($AV$7:$AV$1576,$BU$7:$BU$1576,BU536,$AY$7:$AY$1576,AY536,$BO$7:$BO$1576,"&lt;="&amp;BO536),"")</f>
        <v>116.43172996694</v>
      </c>
      <c r="BA536" s="65" t="n">
        <f aca="false">IF(AZ536="",0,MAX(0,MIN(1,(IF(BU536="L1",Parameter!$E$5,Parameter!$E$6+Parameter!$E$7)-(AZ536-AV536))/AV536)))</f>
        <v>0</v>
      </c>
      <c r="BB536" s="55" t="str">
        <f aca="false">IF(AF536&lt;=0,"",IF(BU536="Aussen","Aussenlager",IF(BU536="-","Nicht im Lift",IF(AK536&gt;=1,"Lift",IF(AK536&lt;=0,"Aussenlager","teilweise")))))</f>
        <v>Lift</v>
      </c>
      <c r="BC536" s="55" t="str">
        <f aca="false">IF(AN536&lt;=0,"",IF(BU536="Aussen","Aussenlager",IF(BU536="-","Nicht im Lift",IF(AS536&gt;=1,"Lift",IF(AS536&lt;=0,"Aussenlager","teilweise")))))</f>
        <v>Aussenlager</v>
      </c>
      <c r="BD536" s="55" t="str">
        <f aca="false">IF(AV536&lt;=0,"",IF(BU536="Aussen","Aussenlager",IF(BU536="-","Nicht im Lift",IF(BA536&gt;=1,"Lift",IF(BA536&lt;=0,"Aussenlager","teilweise")))))</f>
        <v>Aussenlager</v>
      </c>
      <c r="BE536" s="55" t="str">
        <f aca="false">IF(A536="","",IF(BN536=1,"Neu; ","")&amp;IF(AND(BN536=0,BI536&lt;0),"negativer Bestand (Export "&amp;BI536&amp;"); ","")&amp;IF(I536&lt;=0,"Kein Verbrauch; ","")&amp;IF(CD536&gt;0,"Lift "&amp;U536&amp;" lt. Liftbericht (Fach "&amp;V536&amp;" Stk); ",IF(BR536=1,"Lose – Fläche geschätzt; ",""))&amp;IF(G536&gt;AP536,"Überbestand "&amp;ROUND(G536-AP536,0)&amp;" Stk / CHF "&amp;ROUND((G536-AP536)*F536,0)&amp;"; ","")&amp;IF(AND(BW536=1,BX536&lt;BY536),"MAX &lt; MB+LG; ","")&amp;IF(AND(CC536&gt;0,CB536*10&gt;CC536),"zu hoch für Tablar; ","")&amp;IF(AND(BN536=0,OR(BW536=1,Y536&lt;&gt;"",S536&lt;&gt;"",T536&lt;&gt;"",Z536&lt;&gt;"")),"manuell übersteuert; ","")&amp;IF(AND(BR536=0,Q536=0),"Gebinde unbekannt / Stellmass fehlt; ","")&amp;IF(AND(BR536=0,N(T536)&lt;=0,N(P536)&lt;=0),"Menge pro Gebinde fehlt (Ist = 1 Gebinde); ","")&amp;BM536)</f>
        <v>Kein Verbrauch; Überbestand</v>
      </c>
      <c r="BF536" s="55"/>
      <c r="BG536" s="55"/>
      <c r="BH536" s="62"/>
      <c r="BI536" s="57" t="n">
        <v>4</v>
      </c>
      <c r="BJ536" s="57" t="n">
        <v>5</v>
      </c>
      <c r="BK536" s="56" t="n">
        <v>23.99</v>
      </c>
      <c r="BL536" s="57" t="n">
        <v>0</v>
      </c>
      <c r="BM536" s="55" t="s">
        <v>382</v>
      </c>
      <c r="BN536" s="60" t="n">
        <v>0</v>
      </c>
      <c r="BO536" s="60" t="n">
        <v>536</v>
      </c>
      <c r="BP536" s="55" t="str">
        <f aca="false">IF(S536&lt;&gt;"",UPPER(TRIM(S536)),IF(O536="","LOSE",O536))</f>
        <v>S41</v>
      </c>
      <c r="BQ536" s="57" t="n">
        <f aca="false">IF(BP536="LOSE",1,IF(N(T536)&gt;0,T536,IF(N(P536)&gt;0,P536,MAX(1,G536))))</f>
        <v>25</v>
      </c>
      <c r="BR536" s="60" t="n">
        <f aca="false">IF(BP536="LOSE",1,0)</f>
        <v>0</v>
      </c>
      <c r="BS536" s="59" t="n">
        <f aca="false">IF(BR536=0,0,IF(N(R536)&gt;0,R536,IFERROR(VLOOKUP(D536,Parameter!$A$35:$C$64,3,0)+0,0)))</f>
        <v>0</v>
      </c>
      <c r="BT536" s="55" t="n">
        <f aca="false">IF(Y536&lt;&gt;"",Y536,X536)</f>
        <v>3</v>
      </c>
      <c r="BU536" s="55" t="str">
        <f aca="false">IF(BT536=1,"L1",IF(OR(BT536=2,BT536=3),"L23",IF(BT536="Aussen","Aussen","-")))</f>
        <v>L23</v>
      </c>
      <c r="BV536" s="66" t="n">
        <f aca="false">IF(N(Z536)&gt;0,Z536,0)</f>
        <v>0</v>
      </c>
      <c r="BW536" s="60" t="n">
        <f aca="false">IF(ISNUMBER(AC536),1,0)</f>
        <v>0</v>
      </c>
      <c r="BX536" s="57" t="n">
        <f aca="false">N(AC536)</f>
        <v>0</v>
      </c>
      <c r="BY536" s="57" t="n">
        <f aca="false">N(L536)+N(M536)</f>
        <v>1</v>
      </c>
      <c r="BZ536" s="57" t="n">
        <f aca="false">ROUNDUP(G536/BQ536,0)</f>
        <v>1</v>
      </c>
      <c r="CA536" s="57" t="n">
        <f aca="false">ROUNDUP(BX536/BQ536,0)</f>
        <v>0</v>
      </c>
      <c r="CB536" s="60" t="n">
        <f aca="false">IF(BR536=1,0,IFERROR(VLOOKUP(BP536,'Gebinde-Kategorie'!$A$5:$M$45,5,0)+0,0))</f>
        <v>11</v>
      </c>
      <c r="CC536" s="60" t="n">
        <f aca="false">IFERROR(IF(OR(BT536=1,BT536=2,BT536=3),N(INDEX(Parameter!$I$5:$I$7,BT536)),0),0)</f>
        <v>0</v>
      </c>
      <c r="CD536" s="59" t="n">
        <f aca="false">IF(AND(Parameter!$B$21="Ja",ISNUMBER(U536),N(V536)&gt;0),IFERROR(N(INDEX(Parameter!$L$5:$L$7,U536))*INDEX(Parameter!$E$5:$E$7,U536)*V536/SUMIFS($V$7:$V$1576,$U$7:$U$1576,U536),0),0)</f>
        <v>0</v>
      </c>
    </row>
    <row r="537" customFormat="false" ht="15" hidden="false" customHeight="false" outlineLevel="0" collapsed="false">
      <c r="A537" s="55" t="s">
        <v>1143</v>
      </c>
      <c r="B537" s="55" t="s">
        <v>1144</v>
      </c>
      <c r="C537" s="55" t="s">
        <v>160</v>
      </c>
      <c r="D537" s="55" t="s">
        <v>168</v>
      </c>
      <c r="E537" s="55" t="s">
        <v>210</v>
      </c>
      <c r="F537" s="56" t="n">
        <v>41.41</v>
      </c>
      <c r="G537" s="57" t="n">
        <f aca="false">MAX(0,IF(AND(Parameter!$B$21="Ja",ISNUMBER(W537)),W537,IF(Parameter!$B$20="Jahresanfang 2025 + Export",BJ537+BI537,BI537)))</f>
        <v>1</v>
      </c>
      <c r="H537" s="57" t="n">
        <f aca="false">G537*F537</f>
        <v>41.41</v>
      </c>
      <c r="I537" s="57" t="n">
        <f aca="false">BL537*Parameter!$B$18</f>
        <v>12</v>
      </c>
      <c r="J537" s="58" t="n">
        <v>2.5</v>
      </c>
      <c r="K537" s="59" t="n">
        <v>4.8</v>
      </c>
      <c r="L537" s="57" t="n">
        <v>1</v>
      </c>
      <c r="M537" s="57" t="n">
        <v>4</v>
      </c>
      <c r="N537" s="60" t="n">
        <v>14</v>
      </c>
      <c r="O537" s="55" t="s">
        <v>163</v>
      </c>
      <c r="P537" s="57"/>
      <c r="Q537" s="60" t="n">
        <f aca="false">IF(BR537=1,0,IFERROR(VLOOKUP(BP537,'Gebinde-Kategorie'!$A$5:$M$45,13,0)+0,0))</f>
        <v>0</v>
      </c>
      <c r="R537" s="61"/>
      <c r="S537" s="62"/>
      <c r="T537" s="62"/>
      <c r="U537" s="55"/>
      <c r="V537" s="57"/>
      <c r="W537" s="57"/>
      <c r="X537" s="55" t="n">
        <f aca="false">IF(A537="","",IF(AND(Parameter!$B$21="Ja",ISNUMBER(U537)),U537,IF(IFERROR(VLOOKUP(D537,Parameter!$A$35:$C$64,2,0),"Nein")="2+3",IF(ISNUMBER(SEARCH("grosser Artikel",BM537)),2,IFERROR(VLOOKUP(BP537,Parameter!$F$35:$G$64,2,0),2)),IF(OR(IFERROR(VLOOKUP(D537,Parameter!$A$35:$C$64,2,0),"Nein")="Nein",IFERROR(VLOOKUP(D537,Parameter!$A$35:$C$64,2,0),"Nein")=""),"-",VLOOKUP(D537,Parameter!$A$35:$C$64,2,0)))))</f>
        <v>2</v>
      </c>
      <c r="Y537" s="62"/>
      <c r="Z537" s="63"/>
      <c r="AA537" s="57" t="n">
        <f aca="false">AP537</f>
        <v>6</v>
      </c>
      <c r="AB537" s="57" t="n">
        <f aca="false">MAX(AP537,G537)</f>
        <v>6</v>
      </c>
      <c r="AC537" s="64"/>
      <c r="AD537" s="57" t="n">
        <f aca="false">IF(LEFT(Cockpit!$C$5,1)="A",G537,IF(BW537=1,BX537,IF(LEFT(Cockpit!$C$5,1)="B",AH537,MAX(AH537,G537))))</f>
        <v>1</v>
      </c>
      <c r="AE537" s="57" t="n">
        <f aca="false">IF(BR537=1,0,ROUNDUP(AD537/BQ537,0))</f>
        <v>0</v>
      </c>
      <c r="AF537" s="59" t="n">
        <f aca="false">IF(CD537&gt;0,CD537*MAX(1,AD537/V537),IF(BR537=1,IF(AD537&lt;=0,0,BS537*MAX(1,IF(G537&gt;0,AD537/G537,1))),IF(Q537&gt;0,AE537/Q537,0))/MAX(0.1,N(Parameter!$M$21)))</f>
        <v>0.15</v>
      </c>
      <c r="AG537" s="57" t="n">
        <f aca="false">AD537*F537</f>
        <v>41.41</v>
      </c>
      <c r="AH537" s="57" t="n">
        <f aca="false">ROUNDUP(MAX(I537/IF(BV537&gt;0,BV537,MAX(0.1,N(Cockpit!$C$6))),BY537)/BQ537,0)*BQ537</f>
        <v>6</v>
      </c>
      <c r="AI537" s="58" t="n">
        <f aca="false">IF(AF537&gt;0,I537/AF537,-1)</f>
        <v>80</v>
      </c>
      <c r="AJ537" s="58" t="n">
        <f aca="false">IF(AND(OR(BU537="L1",BU537="L23"),AF537&gt;0),SUMIFS($AF$7:$AF$1576,$BU$7:$BU$1576,BU537,$AI$7:$AI$1576,"&gt;"&amp;AI537)+SUMIFS($AF$7:$AF$1576,$BU$7:$BU$1576,BU537,$AI$7:$AI$1576,AI537,$BO$7:$BO$1576,"&lt;="&amp;BO537),"")</f>
        <v>23.2179196648762</v>
      </c>
      <c r="AK537" s="65" t="n">
        <f aca="false">IF(AJ537="",0,MAX(0,MIN(1,(IF(BU537="L1",Parameter!$E$5,Parameter!$E$6+Parameter!$E$7)-(AJ537-AF537))/AF537)))</f>
        <v>1</v>
      </c>
      <c r="AL537" s="57" t="n">
        <f aca="false">IF(LEFT(Cockpit!$I$5,1)="A",G537,IF(BW537=1,BX537,IF(LEFT(Cockpit!$I$5,1)="B",AP537,MAX(AP537,G537))))</f>
        <v>6</v>
      </c>
      <c r="AM537" s="57" t="n">
        <f aca="false">IF(BR537=1,0,ROUNDUP(AL537/BQ537,0))</f>
        <v>0</v>
      </c>
      <c r="AN537" s="59" t="n">
        <f aca="false">IF(CD537&gt;0,CD537*MAX(1,AL537/V537),IF(BR537=1,IF(AL537&lt;=0,0,BS537*MAX(1,IF(G537&gt;0,AL537/G537,1))),IF(Q537&gt;0,AM537/Q537,0))/MAX(0.1,N(Parameter!$M$21)))</f>
        <v>0.9</v>
      </c>
      <c r="AO537" s="57" t="n">
        <f aca="false">AL537*F537</f>
        <v>248.46</v>
      </c>
      <c r="AP537" s="57" t="n">
        <f aca="false">ROUNDUP(MAX(I537/IF(BV537&gt;0,BV537,MAX(0.1,N(Cockpit!$I$6))),BY537)/BQ537,0)*BQ537</f>
        <v>6</v>
      </c>
      <c r="AQ537" s="58" t="n">
        <f aca="false">IF(AN537&gt;0,I537/AN537,-1)</f>
        <v>13.3333333333333</v>
      </c>
      <c r="AR537" s="58" t="n">
        <f aca="false">IF(AND(OR(BU537="L1",BU537="L23"),AN537&gt;0),SUMIFS($AN$7:$AN$1576,$BU$7:$BU$1576,BU537,$AQ$7:$AQ$1576,"&gt;"&amp;AQ537)+SUMIFS($AN$7:$AN$1576,$BU$7:$BU$1576,BU537,$AQ$7:$AQ$1576,AQ537,$BO$7:$BO$1576,"&lt;="&amp;BO537),"")</f>
        <v>105.118075614337</v>
      </c>
      <c r="AS537" s="65" t="n">
        <f aca="false">IF(AR537="",0,MAX(0,MIN(1,(IF(BU537="L1",Parameter!$E$5,Parameter!$E$6+Parameter!$E$7)-(AR537-AN537))/AN537)))</f>
        <v>0</v>
      </c>
      <c r="AT537" s="57" t="n">
        <f aca="false">IF(LEFT(Cockpit!$O$5,1)="A",G537,IF(BW537=1,BX537,IF(LEFT(Cockpit!$O$5,1)="B",AX537,MAX(AX537,G537))))</f>
        <v>5</v>
      </c>
      <c r="AU537" s="57" t="n">
        <f aca="false">IF(BR537=1,0,ROUNDUP(AT537/BQ537,0))</f>
        <v>0</v>
      </c>
      <c r="AV537" s="59" t="n">
        <f aca="false">IF(CD537&gt;0,CD537*MAX(1,AT537/V537),IF(BR537=1,IF(AT537&lt;=0,0,BS537*MAX(1,IF(G537&gt;0,AT537/G537,1))),IF(Q537&gt;0,AU537/Q537,0))/MAX(0.1,N(Parameter!$M$21)))</f>
        <v>0.75</v>
      </c>
      <c r="AW537" s="57" t="n">
        <f aca="false">AT537*F537</f>
        <v>207.05</v>
      </c>
      <c r="AX537" s="57" t="n">
        <f aca="false">ROUNDUP(MAX(I537/IF(BV537&gt;0,BV537,MAX(0.1,N(Cockpit!$O$6))),BY537)/BQ537,0)*BQ537</f>
        <v>5</v>
      </c>
      <c r="AY537" s="58" t="n">
        <f aca="false">IF(AV537&gt;0,I537/AV537,-1)</f>
        <v>16</v>
      </c>
      <c r="AZ537" s="58" t="n">
        <f aca="false">IF(AND(OR(BU537="L1",BU537="L23"),AV537&gt;0),SUMIFS($AV$7:$AV$1576,$BU$7:$BU$1576,BU537,$AY$7:$AY$1576,"&gt;"&amp;AY537)+SUMIFS($AV$7:$AV$1576,$BU$7:$BU$1576,BU537,$AY$7:$AY$1576,AY537,$BO$7:$BO$1576,"&lt;="&amp;BO537),"")</f>
        <v>94.8776260638872</v>
      </c>
      <c r="BA537" s="65" t="n">
        <f aca="false">IF(AZ537="",0,MAX(0,MIN(1,(IF(BU537="L1",Parameter!$E$5,Parameter!$E$6+Parameter!$E$7)-(AZ537-AV537))/AV537)))</f>
        <v>1</v>
      </c>
      <c r="BB537" s="55" t="str">
        <f aca="false">IF(AF537&lt;=0,"",IF(BU537="Aussen","Aussenlager",IF(BU537="-","Nicht im Lift",IF(AK537&gt;=1,"Lift",IF(AK537&lt;=0,"Aussenlager","teilweise")))))</f>
        <v>Lift</v>
      </c>
      <c r="BC537" s="55" t="str">
        <f aca="false">IF(AN537&lt;=0,"",IF(BU537="Aussen","Aussenlager",IF(BU537="-","Nicht im Lift",IF(AS537&gt;=1,"Lift",IF(AS537&lt;=0,"Aussenlager","teilweise")))))</f>
        <v>Aussenlager</v>
      </c>
      <c r="BD537" s="55" t="str">
        <f aca="false">IF(AV537&lt;=0,"",IF(BU537="Aussen","Aussenlager",IF(BU537="-","Nicht im Lift",IF(BA537&gt;=1,"Lift",IF(BA537&lt;=0,"Aussenlager","teilweise")))))</f>
        <v>Lift</v>
      </c>
      <c r="BE537" s="55" t="str">
        <f aca="false">IF(A537="","",IF(BN537=1,"Neu; ","")&amp;IF(AND(BN537=0,BI537&lt;0),"negativer Bestand (Export "&amp;BI537&amp;"); ","")&amp;IF(I537&lt;=0,"Kein Verbrauch; ","")&amp;IF(CD537&gt;0,"Lift "&amp;U537&amp;" lt. Liftbericht (Fach "&amp;V537&amp;" Stk); ",IF(BR537=1,"Lose – Fläche geschätzt; ",""))&amp;IF(G537&gt;AP537,"Überbestand "&amp;ROUND(G537-AP537,0)&amp;" Stk / CHF "&amp;ROUND((G537-AP537)*F537,0)&amp;"; ","")&amp;IF(AND(BW537=1,BX537&lt;BY537),"MAX &lt; MB+LG; ","")&amp;IF(AND(CC537&gt;0,CB537*10&gt;CC537),"zu hoch für Tablar; ","")&amp;IF(AND(BN537=0,OR(BW537=1,Y537&lt;&gt;"",S537&lt;&gt;"",T537&lt;&gt;"",Z537&lt;&gt;"")),"manuell übersteuert; ","")&amp;IF(AND(BR537=0,Q537=0),"Gebinde unbekannt / Stellmass fehlt; ","")&amp;IF(AND(BR537=0,N(T537)&lt;=0,N(P537)&lt;=0),"Menge pro Gebinde fehlt (Ist = 1 Gebinde); ","")&amp;BM537)</f>
        <v>Lose – Fläche geschätzt; grosser Artikel &amp; nicht im KTL</v>
      </c>
      <c r="BF537" s="55"/>
      <c r="BG537" s="55"/>
      <c r="BH537" s="62"/>
      <c r="BI537" s="57" t="n">
        <v>1</v>
      </c>
      <c r="BJ537" s="57" t="n">
        <v>2</v>
      </c>
      <c r="BK537" s="56" t="n">
        <v>23.6300000000001</v>
      </c>
      <c r="BL537" s="57" t="n">
        <v>12</v>
      </c>
      <c r="BM537" s="55" t="s">
        <v>253</v>
      </c>
      <c r="BN537" s="60" t="n">
        <v>0</v>
      </c>
      <c r="BO537" s="60" t="n">
        <v>537</v>
      </c>
      <c r="BP537" s="55" t="str">
        <f aca="false">IF(S537&lt;&gt;"",UPPER(TRIM(S537)),IF(O537="","LOSE",O537))</f>
        <v>LOSE</v>
      </c>
      <c r="BQ537" s="57" t="n">
        <f aca="false">IF(BP537="LOSE",1,IF(N(T537)&gt;0,T537,IF(N(P537)&gt;0,P537,MAX(1,G537))))</f>
        <v>1</v>
      </c>
      <c r="BR537" s="60" t="n">
        <f aca="false">IF(BP537="LOSE",1,0)</f>
        <v>1</v>
      </c>
      <c r="BS537" s="59" t="n">
        <f aca="false">IF(BR537=0,0,IF(N(R537)&gt;0,R537,IFERROR(VLOOKUP(D537,Parameter!$A$35:$C$64,3,0)+0,0)))</f>
        <v>0.15</v>
      </c>
      <c r="BT537" s="55" t="n">
        <f aca="false">IF(Y537&lt;&gt;"",Y537,X537)</f>
        <v>2</v>
      </c>
      <c r="BU537" s="55" t="str">
        <f aca="false">IF(BT537=1,"L1",IF(OR(BT537=2,BT537=3),"L23",IF(BT537="Aussen","Aussen","-")))</f>
        <v>L23</v>
      </c>
      <c r="BV537" s="66" t="n">
        <f aca="false">IF(N(Z537)&gt;0,Z537,0)</f>
        <v>0</v>
      </c>
      <c r="BW537" s="60" t="n">
        <f aca="false">IF(ISNUMBER(AC537),1,0)</f>
        <v>0</v>
      </c>
      <c r="BX537" s="57" t="n">
        <f aca="false">N(AC537)</f>
        <v>0</v>
      </c>
      <c r="BY537" s="57" t="n">
        <f aca="false">N(L537)+N(M537)</f>
        <v>5</v>
      </c>
      <c r="BZ537" s="57" t="n">
        <f aca="false">ROUNDUP(G537/BQ537,0)</f>
        <v>1</v>
      </c>
      <c r="CA537" s="57" t="n">
        <f aca="false">ROUNDUP(BX537/BQ537,0)</f>
        <v>0</v>
      </c>
      <c r="CB537" s="60" t="n">
        <f aca="false">IF(BR537=1,0,IFERROR(VLOOKUP(BP537,'Gebinde-Kategorie'!$A$5:$M$45,5,0)+0,0))</f>
        <v>0</v>
      </c>
      <c r="CC537" s="60" t="n">
        <f aca="false">IFERROR(IF(OR(BT537=1,BT537=2,BT537=3),N(INDEX(Parameter!$I$5:$I$7,BT537)),0),0)</f>
        <v>0</v>
      </c>
      <c r="CD537" s="59" t="n">
        <f aca="false">IF(AND(Parameter!$B$21="Ja",ISNUMBER(U537),N(V537)&gt;0),IFERROR(N(INDEX(Parameter!$L$5:$L$7,U537))*INDEX(Parameter!$E$5:$E$7,U537)*V537/SUMIFS($V$7:$V$1576,$U$7:$U$1576,U537),0),0)</f>
        <v>0</v>
      </c>
    </row>
    <row r="538" customFormat="false" ht="15" hidden="false" customHeight="false" outlineLevel="0" collapsed="false">
      <c r="A538" s="55" t="s">
        <v>1145</v>
      </c>
      <c r="B538" s="55" t="s">
        <v>1146</v>
      </c>
      <c r="C538" s="55" t="s">
        <v>160</v>
      </c>
      <c r="D538" s="55" t="s">
        <v>178</v>
      </c>
      <c r="E538" s="55" t="s">
        <v>210</v>
      </c>
      <c r="F538" s="56" t="n">
        <v>0.01</v>
      </c>
      <c r="G538" s="57" t="n">
        <f aca="false">MAX(0,IF(AND(Parameter!$B$21="Ja",ISNUMBER(W538)),W538,IF(Parameter!$B$20="Jahresanfang 2025 + Export",BJ538+BI538,BI538)))</f>
        <v>2328</v>
      </c>
      <c r="H538" s="57" t="n">
        <f aca="false">G538*F538</f>
        <v>23.28</v>
      </c>
      <c r="I538" s="57" t="n">
        <f aca="false">BL538*Parameter!$B$18</f>
        <v>0</v>
      </c>
      <c r="J538" s="58" t="n">
        <v>0</v>
      </c>
      <c r="K538" s="59" t="n">
        <v>0</v>
      </c>
      <c r="L538" s="57" t="n">
        <v>10</v>
      </c>
      <c r="M538" s="57" t="n">
        <v>600</v>
      </c>
      <c r="N538" s="60" t="n">
        <v>10</v>
      </c>
      <c r="O538" s="55" t="s">
        <v>163</v>
      </c>
      <c r="P538" s="57"/>
      <c r="Q538" s="60" t="n">
        <f aca="false">IF(BR538=1,0,IFERROR(VLOOKUP(BP538,'Gebinde-Kategorie'!$A$5:$M$45,13,0)+0,0))</f>
        <v>0</v>
      </c>
      <c r="R538" s="61"/>
      <c r="S538" s="62"/>
      <c r="T538" s="62"/>
      <c r="U538" s="55"/>
      <c r="V538" s="57"/>
      <c r="W538" s="57"/>
      <c r="X538" s="55" t="n">
        <f aca="false">IF(A538="","",IF(AND(Parameter!$B$21="Ja",ISNUMBER(U538)),U538,IF(IFERROR(VLOOKUP(D538,Parameter!$A$35:$C$64,2,0),"Nein")="2+3",IF(ISNUMBER(SEARCH("grosser Artikel",BM538)),2,IFERROR(VLOOKUP(BP538,Parameter!$F$35:$G$64,2,0),2)),IF(OR(IFERROR(VLOOKUP(D538,Parameter!$A$35:$C$64,2,0),"Nein")="Nein",IFERROR(VLOOKUP(D538,Parameter!$A$35:$C$64,2,0),"Nein")=""),"-",VLOOKUP(D538,Parameter!$A$35:$C$64,2,0)))))</f>
        <v>2</v>
      </c>
      <c r="Y538" s="62"/>
      <c r="Z538" s="63"/>
      <c r="AA538" s="57" t="n">
        <f aca="false">AP538</f>
        <v>610</v>
      </c>
      <c r="AB538" s="57" t="n">
        <f aca="false">MAX(AP538,G538)</f>
        <v>2328</v>
      </c>
      <c r="AC538" s="64"/>
      <c r="AD538" s="57" t="n">
        <f aca="false">IF(LEFT(Cockpit!$C$5,1)="A",G538,IF(BW538=1,BX538,IF(LEFT(Cockpit!$C$5,1)="B",AH538,MAX(AH538,G538))))</f>
        <v>2328</v>
      </c>
      <c r="AE538" s="57" t="n">
        <f aca="false">IF(BR538=1,0,ROUNDUP(AD538/BQ538,0))</f>
        <v>0</v>
      </c>
      <c r="AF538" s="59" t="n">
        <f aca="false">IF(CD538&gt;0,CD538*MAX(1,AD538/V538),IF(BR538=1,IF(AD538&lt;=0,0,BS538*MAX(1,IF(G538&gt;0,AD538/G538,1))),IF(Q538&gt;0,AE538/Q538,0))/MAX(0.1,N(Parameter!$M$21)))</f>
        <v>0.03</v>
      </c>
      <c r="AG538" s="57" t="n">
        <f aca="false">AD538*F538</f>
        <v>23.28</v>
      </c>
      <c r="AH538" s="57" t="n">
        <f aca="false">ROUNDUP(MAX(I538/IF(BV538&gt;0,BV538,MAX(0.1,N(Cockpit!$C$6))),BY538)/BQ538,0)*BQ538</f>
        <v>610</v>
      </c>
      <c r="AI538" s="58" t="n">
        <f aca="false">IF(AF538&gt;0,I538/AF538,-1)</f>
        <v>0</v>
      </c>
      <c r="AJ538" s="58" t="n">
        <f aca="false">IF(AND(OR(BU538="L1",BU538="L23"),AF538&gt;0),SUMIFS($AF$7:$AF$1576,$BU$7:$BU$1576,BU538,$AI$7:$AI$1576,"&gt;"&amp;AI538)+SUMIFS($AF$7:$AF$1576,$BU$7:$BU$1576,BU538,$AI$7:$AI$1576,AI538,$BO$7:$BO$1576,"&lt;="&amp;BO538),"")</f>
        <v>43.4053933988717</v>
      </c>
      <c r="AK538" s="65" t="n">
        <f aca="false">IF(AJ538="",0,MAX(0,MIN(1,(IF(BU538="L1",Parameter!$E$5,Parameter!$E$6+Parameter!$E$7)-(AJ538-AF538))/AF538)))</f>
        <v>1</v>
      </c>
      <c r="AL538" s="57" t="n">
        <f aca="false">IF(LEFT(Cockpit!$I$5,1)="A",G538,IF(BW538=1,BX538,IF(LEFT(Cockpit!$I$5,1)="B",AP538,MAX(AP538,G538))))</f>
        <v>2328</v>
      </c>
      <c r="AM538" s="57" t="n">
        <f aca="false">IF(BR538=1,0,ROUNDUP(AL538/BQ538,0))</f>
        <v>0</v>
      </c>
      <c r="AN538" s="59" t="n">
        <f aca="false">IF(CD538&gt;0,CD538*MAX(1,AL538/V538),IF(BR538=1,IF(AL538&lt;=0,0,BS538*MAX(1,IF(G538&gt;0,AL538/G538,1))),IF(Q538&gt;0,AM538/Q538,0))/MAX(0.1,N(Parameter!$M$21)))</f>
        <v>0.03</v>
      </c>
      <c r="AO538" s="57" t="n">
        <f aca="false">AL538*F538</f>
        <v>23.28</v>
      </c>
      <c r="AP538" s="57" t="n">
        <f aca="false">ROUNDUP(MAX(I538/IF(BV538&gt;0,BV538,MAX(0.1,N(Cockpit!$I$6))),BY538)/BQ538,0)*BQ538</f>
        <v>610</v>
      </c>
      <c r="AQ538" s="58" t="n">
        <f aca="false">IF(AN538&gt;0,I538/AN538,-1)</f>
        <v>0</v>
      </c>
      <c r="AR538" s="58" t="n">
        <f aca="false">IF(AND(OR(BU538="L1",BU538="L23"),AN538&gt;0),SUMIFS($AN$7:$AN$1576,$BU$7:$BU$1576,BU538,$AQ$7:$AQ$1576,"&gt;"&amp;AQ538)+SUMIFS($AN$7:$AN$1576,$BU$7:$BU$1576,BU538,$AQ$7:$AQ$1576,AQ538,$BO$7:$BO$1576,"&lt;="&amp;BO538),"")</f>
        <v>126.40217951739</v>
      </c>
      <c r="AS538" s="65" t="n">
        <f aca="false">IF(AR538="",0,MAX(0,MIN(1,(IF(BU538="L1",Parameter!$E$5,Parameter!$E$6+Parameter!$E$7)-(AR538-AN538))/AN538)))</f>
        <v>0</v>
      </c>
      <c r="AT538" s="57" t="n">
        <f aca="false">IF(LEFT(Cockpit!$O$5,1)="A",G538,IF(BW538=1,BX538,IF(LEFT(Cockpit!$O$5,1)="B",AX538,MAX(AX538,G538))))</f>
        <v>2328</v>
      </c>
      <c r="AU538" s="57" t="n">
        <f aca="false">IF(BR538=1,0,ROUNDUP(AT538/BQ538,0))</f>
        <v>0</v>
      </c>
      <c r="AV538" s="59" t="n">
        <f aca="false">IF(CD538&gt;0,CD538*MAX(1,AT538/V538),IF(BR538=1,IF(AT538&lt;=0,0,BS538*MAX(1,IF(G538&gt;0,AT538/G538,1))),IF(Q538&gt;0,AU538/Q538,0))/MAX(0.1,N(Parameter!$M$21)))</f>
        <v>0.03</v>
      </c>
      <c r="AW538" s="57" t="n">
        <f aca="false">AT538*F538</f>
        <v>23.28</v>
      </c>
      <c r="AX538" s="57" t="n">
        <f aca="false">ROUNDUP(MAX(I538/IF(BV538&gt;0,BV538,MAX(0.1,N(Cockpit!$O$6))),BY538)/BQ538,0)*BQ538</f>
        <v>610</v>
      </c>
      <c r="AY538" s="58" t="n">
        <f aca="false">IF(AV538&gt;0,I538/AV538,-1)</f>
        <v>0</v>
      </c>
      <c r="AZ538" s="58" t="n">
        <f aca="false">IF(AND(OR(BU538="L1",BU538="L23"),AV538&gt;0),SUMIFS($AV$7:$AV$1576,$BU$7:$BU$1576,BU538,$AY$7:$AY$1576,"&gt;"&amp;AY538)+SUMIFS($AV$7:$AV$1576,$BU$7:$BU$1576,BU538,$AY$7:$AY$1576,AY538,$BO$7:$BO$1576,"&lt;="&amp;BO538),"")</f>
        <v>116.46172996694</v>
      </c>
      <c r="BA538" s="65" t="n">
        <f aca="false">IF(AZ538="",0,MAX(0,MIN(1,(IF(BU538="L1",Parameter!$E$5,Parameter!$E$6+Parameter!$E$7)-(AZ538-AV538))/AV538)))</f>
        <v>0</v>
      </c>
      <c r="BB538" s="55" t="str">
        <f aca="false">IF(AF538&lt;=0,"",IF(BU538="Aussen","Aussenlager",IF(BU538="-","Nicht im Lift",IF(AK538&gt;=1,"Lift",IF(AK538&lt;=0,"Aussenlager","teilweise")))))</f>
        <v>Lift</v>
      </c>
      <c r="BC538" s="55" t="str">
        <f aca="false">IF(AN538&lt;=0,"",IF(BU538="Aussen","Aussenlager",IF(BU538="-","Nicht im Lift",IF(AS538&gt;=1,"Lift",IF(AS538&lt;=0,"Aussenlager","teilweise")))))</f>
        <v>Aussenlager</v>
      </c>
      <c r="BD538" s="55" t="str">
        <f aca="false">IF(AV538&lt;=0,"",IF(BU538="Aussen","Aussenlager",IF(BU538="-","Nicht im Lift",IF(BA538&gt;=1,"Lift",IF(BA538&lt;=0,"Aussenlager","teilweise")))))</f>
        <v>Aussenlager</v>
      </c>
      <c r="BE538" s="55" t="str">
        <f aca="false">IF(A538="","",IF(BN538=1,"Neu; ","")&amp;IF(AND(BN538=0,BI538&lt;0),"negativer Bestand (Export "&amp;BI538&amp;"); ","")&amp;IF(I538&lt;=0,"Kein Verbrauch; ","")&amp;IF(CD538&gt;0,"Lift "&amp;U538&amp;" lt. Liftbericht (Fach "&amp;V538&amp;" Stk); ",IF(BR538=1,"Lose – Fläche geschätzt; ",""))&amp;IF(G538&gt;AP538,"Überbestand "&amp;ROUND(G538-AP538,0)&amp;" Stk / CHF "&amp;ROUND((G538-AP538)*F538,0)&amp;"; ","")&amp;IF(AND(BW538=1,BX538&lt;BY538),"MAX &lt; MB+LG; ","")&amp;IF(AND(CC538&gt;0,CB538*10&gt;CC538),"zu hoch für Tablar; ","")&amp;IF(AND(BN538=0,OR(BW538=1,Y538&lt;&gt;"",S538&lt;&gt;"",T538&lt;&gt;"",Z538&lt;&gt;"")),"manuell übersteuert; ","")&amp;IF(AND(BR538=0,Q538=0),"Gebinde unbekannt / Stellmass fehlt; ","")&amp;IF(AND(BR538=0,N(T538)&lt;=0,N(P538)&lt;=0),"Menge pro Gebinde fehlt (Ist = 1 Gebinde); ","")&amp;BM538)</f>
        <v>Kein Verbrauch; Lose – Fläche geschätzt; Überbestand 1718 Stk / CHF 17; </v>
      </c>
      <c r="BF538" s="55"/>
      <c r="BG538" s="55"/>
      <c r="BH538" s="62"/>
      <c r="BI538" s="57" t="n">
        <v>2328</v>
      </c>
      <c r="BJ538" s="57" t="n">
        <v>0</v>
      </c>
      <c r="BK538" s="56" t="n">
        <v>23.2800000000001</v>
      </c>
      <c r="BL538" s="57" t="n">
        <v>0</v>
      </c>
      <c r="BM538" s="55"/>
      <c r="BN538" s="60" t="n">
        <v>0</v>
      </c>
      <c r="BO538" s="60" t="n">
        <v>538</v>
      </c>
      <c r="BP538" s="55" t="str">
        <f aca="false">IF(S538&lt;&gt;"",UPPER(TRIM(S538)),IF(O538="","LOSE",O538))</f>
        <v>LOSE</v>
      </c>
      <c r="BQ538" s="57" t="n">
        <f aca="false">IF(BP538="LOSE",1,IF(N(T538)&gt;0,T538,IF(N(P538)&gt;0,P538,MAX(1,G538))))</f>
        <v>1</v>
      </c>
      <c r="BR538" s="60" t="n">
        <f aca="false">IF(BP538="LOSE",1,0)</f>
        <v>1</v>
      </c>
      <c r="BS538" s="59" t="n">
        <f aca="false">IF(BR538=0,0,IF(N(R538)&gt;0,R538,IFERROR(VLOOKUP(D538,Parameter!$A$35:$C$64,3,0)+0,0)))</f>
        <v>0.03</v>
      </c>
      <c r="BT538" s="55" t="n">
        <f aca="false">IF(Y538&lt;&gt;"",Y538,X538)</f>
        <v>2</v>
      </c>
      <c r="BU538" s="55" t="str">
        <f aca="false">IF(BT538=1,"L1",IF(OR(BT538=2,BT538=3),"L23",IF(BT538="Aussen","Aussen","-")))</f>
        <v>L23</v>
      </c>
      <c r="BV538" s="66" t="n">
        <f aca="false">IF(N(Z538)&gt;0,Z538,0)</f>
        <v>0</v>
      </c>
      <c r="BW538" s="60" t="n">
        <f aca="false">IF(ISNUMBER(AC538),1,0)</f>
        <v>0</v>
      </c>
      <c r="BX538" s="57" t="n">
        <f aca="false">N(AC538)</f>
        <v>0</v>
      </c>
      <c r="BY538" s="57" t="n">
        <f aca="false">N(L538)+N(M538)</f>
        <v>610</v>
      </c>
      <c r="BZ538" s="57" t="n">
        <f aca="false">ROUNDUP(G538/BQ538,0)</f>
        <v>2328</v>
      </c>
      <c r="CA538" s="57" t="n">
        <f aca="false">ROUNDUP(BX538/BQ538,0)</f>
        <v>0</v>
      </c>
      <c r="CB538" s="60" t="n">
        <f aca="false">IF(BR538=1,0,IFERROR(VLOOKUP(BP538,'Gebinde-Kategorie'!$A$5:$M$45,5,0)+0,0))</f>
        <v>0</v>
      </c>
      <c r="CC538" s="60" t="n">
        <f aca="false">IFERROR(IF(OR(BT538=1,BT538=2,BT538=3),N(INDEX(Parameter!$I$5:$I$7,BT538)),0),0)</f>
        <v>0</v>
      </c>
      <c r="CD538" s="59" t="n">
        <f aca="false">IF(AND(Parameter!$B$21="Ja",ISNUMBER(U538),N(V538)&gt;0),IFERROR(N(INDEX(Parameter!$L$5:$L$7,U538))*INDEX(Parameter!$E$5:$E$7,U538)*V538/SUMIFS($V$7:$V$1576,$U$7:$U$1576,U538),0),0)</f>
        <v>0</v>
      </c>
    </row>
    <row r="539" customFormat="false" ht="15" hidden="false" customHeight="false" outlineLevel="0" collapsed="false">
      <c r="A539" s="55" t="s">
        <v>1147</v>
      </c>
      <c r="B539" s="55" t="s">
        <v>415</v>
      </c>
      <c r="C539" s="55" t="s">
        <v>160</v>
      </c>
      <c r="D539" s="55" t="s">
        <v>178</v>
      </c>
      <c r="E539" s="55" t="s">
        <v>210</v>
      </c>
      <c r="F539" s="56" t="n">
        <v>20.6</v>
      </c>
      <c r="G539" s="57" t="n">
        <f aca="false">MAX(0,IF(AND(Parameter!$B$21="Ja",ISNUMBER(W539)),W539,IF(Parameter!$B$20="Jahresanfang 2025 + Export",BJ539+BI539,BI539)))</f>
        <v>1</v>
      </c>
      <c r="H539" s="57" t="n">
        <f aca="false">G539*F539</f>
        <v>20.6</v>
      </c>
      <c r="I539" s="57" t="n">
        <f aca="false">BL539*Parameter!$B$18</f>
        <v>10</v>
      </c>
      <c r="J539" s="58" t="n">
        <v>2.5</v>
      </c>
      <c r="K539" s="59" t="n">
        <v>4</v>
      </c>
      <c r="L539" s="57" t="n">
        <v>1</v>
      </c>
      <c r="M539" s="57" t="n">
        <v>10</v>
      </c>
      <c r="N539" s="60" t="n">
        <v>40</v>
      </c>
      <c r="O539" s="55" t="s">
        <v>163</v>
      </c>
      <c r="P539" s="57"/>
      <c r="Q539" s="60" t="n">
        <f aca="false">IF(BR539=1,0,IFERROR(VLOOKUP(BP539,'Gebinde-Kategorie'!$A$5:$M$45,13,0)+0,0))</f>
        <v>0</v>
      </c>
      <c r="R539" s="61"/>
      <c r="S539" s="62"/>
      <c r="T539" s="62"/>
      <c r="U539" s="55"/>
      <c r="V539" s="57"/>
      <c r="W539" s="57"/>
      <c r="X539" s="55" t="n">
        <f aca="false">IF(A539="","",IF(AND(Parameter!$B$21="Ja",ISNUMBER(U539)),U539,IF(IFERROR(VLOOKUP(D539,Parameter!$A$35:$C$64,2,0),"Nein")="2+3",IF(ISNUMBER(SEARCH("grosser Artikel",BM539)),2,IFERROR(VLOOKUP(BP539,Parameter!$F$35:$G$64,2,0),2)),IF(OR(IFERROR(VLOOKUP(D539,Parameter!$A$35:$C$64,2,0),"Nein")="Nein",IFERROR(VLOOKUP(D539,Parameter!$A$35:$C$64,2,0),"Nein")=""),"-",VLOOKUP(D539,Parameter!$A$35:$C$64,2,0)))))</f>
        <v>2</v>
      </c>
      <c r="Y539" s="62"/>
      <c r="Z539" s="63"/>
      <c r="AA539" s="57" t="n">
        <f aca="false">AP539</f>
        <v>11</v>
      </c>
      <c r="AB539" s="57" t="n">
        <f aca="false">MAX(AP539,G539)</f>
        <v>11</v>
      </c>
      <c r="AC539" s="64"/>
      <c r="AD539" s="57" t="n">
        <f aca="false">IF(LEFT(Cockpit!$C$5,1)="A",G539,IF(BW539=1,BX539,IF(LEFT(Cockpit!$C$5,1)="B",AH539,MAX(AH539,G539))))</f>
        <v>1</v>
      </c>
      <c r="AE539" s="57" t="n">
        <f aca="false">IF(BR539=1,0,ROUNDUP(AD539/BQ539,0))</f>
        <v>0</v>
      </c>
      <c r="AF539" s="59" t="n">
        <f aca="false">IF(CD539&gt;0,CD539*MAX(1,AD539/V539),IF(BR539=1,IF(AD539&lt;=0,0,BS539*MAX(1,IF(G539&gt;0,AD539/G539,1))),IF(Q539&gt;0,AE539/Q539,0))/MAX(0.1,N(Parameter!$M$21)))</f>
        <v>0.03</v>
      </c>
      <c r="AG539" s="57" t="n">
        <f aca="false">AD539*F539</f>
        <v>20.6</v>
      </c>
      <c r="AH539" s="57" t="n">
        <f aca="false">ROUNDUP(MAX(I539/IF(BV539&gt;0,BV539,MAX(0.1,N(Cockpit!$C$6))),BY539)/BQ539,0)*BQ539</f>
        <v>11</v>
      </c>
      <c r="AI539" s="58" t="n">
        <f aca="false">IF(AF539&gt;0,I539/AF539,-1)</f>
        <v>333.333333333333</v>
      </c>
      <c r="AJ539" s="58" t="n">
        <f aca="false">IF(AND(OR(BU539="L1",BU539="L23"),AF539&gt;0),SUMIFS($AF$7:$AF$1576,$BU$7:$BU$1576,BU539,$AI$7:$AI$1576,"&gt;"&amp;AI539)+SUMIFS($AF$7:$AF$1576,$BU$7:$BU$1576,BU539,$AI$7:$AI$1576,AI539,$BO$7:$BO$1576,"&lt;="&amp;BO539),"")</f>
        <v>14.4643846491673</v>
      </c>
      <c r="AK539" s="65" t="n">
        <f aca="false">IF(AJ539="",0,MAX(0,MIN(1,(IF(BU539="L1",Parameter!$E$5,Parameter!$E$6+Parameter!$E$7)-(AJ539-AF539))/AF539)))</f>
        <v>1</v>
      </c>
      <c r="AL539" s="57" t="n">
        <f aca="false">IF(LEFT(Cockpit!$I$5,1)="A",G539,IF(BW539=1,BX539,IF(LEFT(Cockpit!$I$5,1)="B",AP539,MAX(AP539,G539))))</f>
        <v>11</v>
      </c>
      <c r="AM539" s="57" t="n">
        <f aca="false">IF(BR539=1,0,ROUNDUP(AL539/BQ539,0))</f>
        <v>0</v>
      </c>
      <c r="AN539" s="59" t="n">
        <f aca="false">IF(CD539&gt;0,CD539*MAX(1,AL539/V539),IF(BR539=1,IF(AL539&lt;=0,0,BS539*MAX(1,IF(G539&gt;0,AL539/G539,1))),IF(Q539&gt;0,AM539/Q539,0))/MAX(0.1,N(Parameter!$M$21)))</f>
        <v>0.33</v>
      </c>
      <c r="AO539" s="57" t="n">
        <f aca="false">AL539*F539</f>
        <v>226.6</v>
      </c>
      <c r="AP539" s="57" t="n">
        <f aca="false">ROUNDUP(MAX(I539/IF(BV539&gt;0,BV539,MAX(0.1,N(Cockpit!$I$6))),BY539)/BQ539,0)*BQ539</f>
        <v>11</v>
      </c>
      <c r="AQ539" s="58" t="n">
        <f aca="false">IF(AN539&gt;0,I539/AN539,-1)</f>
        <v>30.3030303030303</v>
      </c>
      <c r="AR539" s="58" t="n">
        <f aca="false">IF(AND(OR(BU539="L1",BU539="L23"),AN539&gt;0),SUMIFS($AN$7:$AN$1576,$BU$7:$BU$1576,BU539,$AQ$7:$AQ$1576,"&gt;"&amp;AQ539)+SUMIFS($AN$7:$AN$1576,$BU$7:$BU$1576,BU539,$AQ$7:$AQ$1576,AQ539,$BO$7:$BO$1576,"&lt;="&amp;BO539),"")</f>
        <v>94.9674345886957</v>
      </c>
      <c r="AS539" s="65" t="n">
        <f aca="false">IF(AR539="",0,MAX(0,MIN(1,(IF(BU539="L1",Parameter!$E$5,Parameter!$E$6+Parameter!$E$7)-(AR539-AN539))/AN539)))</f>
        <v>1</v>
      </c>
      <c r="AT539" s="57" t="n">
        <f aca="false">IF(LEFT(Cockpit!$O$5,1)="A",G539,IF(BW539=1,BX539,IF(LEFT(Cockpit!$O$5,1)="B",AX539,MAX(AX539,G539))))</f>
        <v>11</v>
      </c>
      <c r="AU539" s="57" t="n">
        <f aca="false">IF(BR539=1,0,ROUNDUP(AT539/BQ539,0))</f>
        <v>0</v>
      </c>
      <c r="AV539" s="59" t="n">
        <f aca="false">IF(CD539&gt;0,CD539*MAX(1,AT539/V539),IF(BR539=1,IF(AT539&lt;=0,0,BS539*MAX(1,IF(G539&gt;0,AT539/G539,1))),IF(Q539&gt;0,AU539/Q539,0))/MAX(0.1,N(Parameter!$M$21)))</f>
        <v>0.33</v>
      </c>
      <c r="AW539" s="57" t="n">
        <f aca="false">AT539*F539</f>
        <v>226.6</v>
      </c>
      <c r="AX539" s="57" t="n">
        <f aca="false">ROUNDUP(MAX(I539/IF(BV539&gt;0,BV539,MAX(0.1,N(Cockpit!$O$6))),BY539)/BQ539,0)*BQ539</f>
        <v>11</v>
      </c>
      <c r="AY539" s="58" t="n">
        <f aca="false">IF(AV539&gt;0,I539/AV539,-1)</f>
        <v>30.3030303030303</v>
      </c>
      <c r="AZ539" s="58" t="n">
        <f aca="false">IF(AND(OR(BU539="L1",BU539="L23"),AV539&gt;0),SUMIFS($AV$7:$AV$1576,$BU$7:$BU$1576,BU539,$AY$7:$AY$1576,"&gt;"&amp;AY539)+SUMIFS($AV$7:$AV$1576,$BU$7:$BU$1576,BU539,$AY$7:$AY$1576,AY539,$BO$7:$BO$1576,"&lt;="&amp;BO539),"")</f>
        <v>86.7519850382462</v>
      </c>
      <c r="BA539" s="65" t="n">
        <f aca="false">IF(AZ539="",0,MAX(0,MIN(1,(IF(BU539="L1",Parameter!$E$5,Parameter!$E$6+Parameter!$E$7)-(AZ539-AV539))/AV539)))</f>
        <v>1</v>
      </c>
      <c r="BB539" s="55" t="str">
        <f aca="false">IF(AF539&lt;=0,"",IF(BU539="Aussen","Aussenlager",IF(BU539="-","Nicht im Lift",IF(AK539&gt;=1,"Lift",IF(AK539&lt;=0,"Aussenlager","teilweise")))))</f>
        <v>Lift</v>
      </c>
      <c r="BC539" s="55" t="str">
        <f aca="false">IF(AN539&lt;=0,"",IF(BU539="Aussen","Aussenlager",IF(BU539="-","Nicht im Lift",IF(AS539&gt;=1,"Lift",IF(AS539&lt;=0,"Aussenlager","teilweise")))))</f>
        <v>Lift</v>
      </c>
      <c r="BD539" s="55" t="str">
        <f aca="false">IF(AV539&lt;=0,"",IF(BU539="Aussen","Aussenlager",IF(BU539="-","Nicht im Lift",IF(BA539&gt;=1,"Lift",IF(BA539&lt;=0,"Aussenlager","teilweise")))))</f>
        <v>Lift</v>
      </c>
      <c r="BE539" s="55" t="str">
        <f aca="false">IF(A539="","",IF(BN539=1,"Neu; ","")&amp;IF(AND(BN539=0,BI539&lt;0),"negativer Bestand (Export "&amp;BI539&amp;"); ","")&amp;IF(I539&lt;=0,"Kein Verbrauch; ","")&amp;IF(CD539&gt;0,"Lift "&amp;U539&amp;" lt. Liftbericht (Fach "&amp;V539&amp;" Stk); ",IF(BR539=1,"Lose – Fläche geschätzt; ",""))&amp;IF(G539&gt;AP539,"Überbestand "&amp;ROUND(G539-AP539,0)&amp;" Stk / CHF "&amp;ROUND((G539-AP539)*F539,0)&amp;"; ","")&amp;IF(AND(BW539=1,BX539&lt;BY539),"MAX &lt; MB+LG; ","")&amp;IF(AND(CC539&gt;0,CB539*10&gt;CC539),"zu hoch für Tablar; ","")&amp;IF(AND(BN539=0,OR(BW539=1,Y539&lt;&gt;"",S539&lt;&gt;"",T539&lt;&gt;"",Z539&lt;&gt;"")),"manuell übersteuert; ","")&amp;IF(AND(BR539=0,Q539=0),"Gebinde unbekannt / Stellmass fehlt; ","")&amp;IF(AND(BR539=0,N(T539)&lt;=0,N(P539)&lt;=0),"Menge pro Gebinde fehlt (Ist = 1 Gebinde); ","")&amp;BM539)</f>
        <v>Lose – Fläche geschätzt; </v>
      </c>
      <c r="BF539" s="55"/>
      <c r="BG539" s="55"/>
      <c r="BH539" s="62"/>
      <c r="BI539" s="57" t="n">
        <v>1</v>
      </c>
      <c r="BJ539" s="57" t="n">
        <v>2</v>
      </c>
      <c r="BK539" s="56" t="n">
        <v>22.6</v>
      </c>
      <c r="BL539" s="57" t="n">
        <v>10</v>
      </c>
      <c r="BM539" s="55"/>
      <c r="BN539" s="60" t="n">
        <v>0</v>
      </c>
      <c r="BO539" s="60" t="n">
        <v>539</v>
      </c>
      <c r="BP539" s="55" t="str">
        <f aca="false">IF(S539&lt;&gt;"",UPPER(TRIM(S539)),IF(O539="","LOSE",O539))</f>
        <v>LOSE</v>
      </c>
      <c r="BQ539" s="57" t="n">
        <f aca="false">IF(BP539="LOSE",1,IF(N(T539)&gt;0,T539,IF(N(P539)&gt;0,P539,MAX(1,G539))))</f>
        <v>1</v>
      </c>
      <c r="BR539" s="60" t="n">
        <f aca="false">IF(BP539="LOSE",1,0)</f>
        <v>1</v>
      </c>
      <c r="BS539" s="59" t="n">
        <f aca="false">IF(BR539=0,0,IF(N(R539)&gt;0,R539,IFERROR(VLOOKUP(D539,Parameter!$A$35:$C$64,3,0)+0,0)))</f>
        <v>0.03</v>
      </c>
      <c r="BT539" s="55" t="n">
        <f aca="false">IF(Y539&lt;&gt;"",Y539,X539)</f>
        <v>2</v>
      </c>
      <c r="BU539" s="55" t="str">
        <f aca="false">IF(BT539=1,"L1",IF(OR(BT539=2,BT539=3),"L23",IF(BT539="Aussen","Aussen","-")))</f>
        <v>L23</v>
      </c>
      <c r="BV539" s="66" t="n">
        <f aca="false">IF(N(Z539)&gt;0,Z539,0)</f>
        <v>0</v>
      </c>
      <c r="BW539" s="60" t="n">
        <f aca="false">IF(ISNUMBER(AC539),1,0)</f>
        <v>0</v>
      </c>
      <c r="BX539" s="57" t="n">
        <f aca="false">N(AC539)</f>
        <v>0</v>
      </c>
      <c r="BY539" s="57" t="n">
        <f aca="false">N(L539)+N(M539)</f>
        <v>11</v>
      </c>
      <c r="BZ539" s="57" t="n">
        <f aca="false">ROUNDUP(G539/BQ539,0)</f>
        <v>1</v>
      </c>
      <c r="CA539" s="57" t="n">
        <f aca="false">ROUNDUP(BX539/BQ539,0)</f>
        <v>0</v>
      </c>
      <c r="CB539" s="60" t="n">
        <f aca="false">IF(BR539=1,0,IFERROR(VLOOKUP(BP539,'Gebinde-Kategorie'!$A$5:$M$45,5,0)+0,0))</f>
        <v>0</v>
      </c>
      <c r="CC539" s="60" t="n">
        <f aca="false">IFERROR(IF(OR(BT539=1,BT539=2,BT539=3),N(INDEX(Parameter!$I$5:$I$7,BT539)),0),0)</f>
        <v>0</v>
      </c>
      <c r="CD539" s="59" t="n">
        <f aca="false">IF(AND(Parameter!$B$21="Ja",ISNUMBER(U539),N(V539)&gt;0),IFERROR(N(INDEX(Parameter!$L$5:$L$7,U539))*INDEX(Parameter!$E$5:$E$7,U539)*V539/SUMIFS($V$7:$V$1576,$U$7:$U$1576,U539),0),0)</f>
        <v>0</v>
      </c>
    </row>
    <row r="540" customFormat="false" ht="15" hidden="false" customHeight="false" outlineLevel="0" collapsed="false">
      <c r="A540" s="55" t="s">
        <v>1148</v>
      </c>
      <c r="B540" s="55" t="s">
        <v>1149</v>
      </c>
      <c r="C540" s="55" t="s">
        <v>160</v>
      </c>
      <c r="D540" s="55" t="s">
        <v>178</v>
      </c>
      <c r="E540" s="55" t="s">
        <v>210</v>
      </c>
      <c r="F540" s="56" t="n">
        <v>8.77</v>
      </c>
      <c r="G540" s="57" t="n">
        <f aca="false">MAX(0,IF(AND(Parameter!$B$21="Ja",ISNUMBER(W540)),W540,IF(Parameter!$B$20="Jahresanfang 2025 + Export",BJ540+BI540,BI540)))</f>
        <v>5</v>
      </c>
      <c r="H540" s="57" t="n">
        <f aca="false">G540*F540</f>
        <v>43.85</v>
      </c>
      <c r="I540" s="57" t="n">
        <f aca="false">BL540*Parameter!$B$18</f>
        <v>5</v>
      </c>
      <c r="J540" s="58" t="n">
        <v>4</v>
      </c>
      <c r="K540" s="59" t="n">
        <v>1.25</v>
      </c>
      <c r="L540" s="57" t="n">
        <v>0</v>
      </c>
      <c r="M540" s="57" t="n">
        <v>5</v>
      </c>
      <c r="N540" s="60" t="n">
        <v>14</v>
      </c>
      <c r="O540" s="55" t="s">
        <v>416</v>
      </c>
      <c r="P540" s="57" t="n">
        <v>13</v>
      </c>
      <c r="Q540" s="60" t="n">
        <f aca="false">IF(BR540=1,0,IFERROR(VLOOKUP(BP540,'Gebinde-Kategorie'!$A$5:$M$45,13,0)+0,0))</f>
        <v>198</v>
      </c>
      <c r="R540" s="61"/>
      <c r="S540" s="62"/>
      <c r="T540" s="62"/>
      <c r="U540" s="55"/>
      <c r="V540" s="57"/>
      <c r="W540" s="57"/>
      <c r="X540" s="55" t="n">
        <f aca="false">IF(A540="","",IF(AND(Parameter!$B$21="Ja",ISNUMBER(U540)),U540,IF(IFERROR(VLOOKUP(D540,Parameter!$A$35:$C$64,2,0),"Nein")="2+3",IF(ISNUMBER(SEARCH("grosser Artikel",BM540)),2,IFERROR(VLOOKUP(BP540,Parameter!$F$35:$G$64,2,0),2)),IF(OR(IFERROR(VLOOKUP(D540,Parameter!$A$35:$C$64,2,0),"Nein")="Nein",IFERROR(VLOOKUP(D540,Parameter!$A$35:$C$64,2,0),"Nein")=""),"-",VLOOKUP(D540,Parameter!$A$35:$C$64,2,0)))))</f>
        <v>3</v>
      </c>
      <c r="Y540" s="62"/>
      <c r="Z540" s="63"/>
      <c r="AA540" s="57" t="n">
        <f aca="false">AP540</f>
        <v>13</v>
      </c>
      <c r="AB540" s="57" t="n">
        <f aca="false">MAX(AP540,G540)</f>
        <v>13</v>
      </c>
      <c r="AC540" s="64"/>
      <c r="AD540" s="57" t="n">
        <f aca="false">IF(LEFT(Cockpit!$C$5,1)="A",G540,IF(BW540=1,BX540,IF(LEFT(Cockpit!$C$5,1)="B",AH540,MAX(AH540,G540))))</f>
        <v>5</v>
      </c>
      <c r="AE540" s="57" t="n">
        <f aca="false">IF(BR540=1,0,ROUNDUP(AD540/BQ540,0))</f>
        <v>1</v>
      </c>
      <c r="AF540" s="59" t="n">
        <f aca="false">IF(CD540&gt;0,CD540*MAX(1,AD540/V540),IF(BR540=1,IF(AD540&lt;=0,0,BS540*MAX(1,IF(G540&gt;0,AD540/G540,1))),IF(Q540&gt;0,AE540/Q540,0))/MAX(0.1,N(Parameter!$M$21)))</f>
        <v>0.00505050505050505</v>
      </c>
      <c r="AG540" s="57" t="n">
        <f aca="false">AD540*F540</f>
        <v>43.85</v>
      </c>
      <c r="AH540" s="57" t="n">
        <f aca="false">ROUNDUP(MAX(I540/IF(BV540&gt;0,BV540,MAX(0.1,N(Cockpit!$C$6))),BY540)/BQ540,0)*BQ540</f>
        <v>13</v>
      </c>
      <c r="AI540" s="58" t="n">
        <f aca="false">IF(AF540&gt;0,I540/AF540,-1)</f>
        <v>990</v>
      </c>
      <c r="AJ540" s="58" t="n">
        <f aca="false">IF(AND(OR(BU540="L1",BU540="L23"),AF540&gt;0),SUMIFS($AF$7:$AF$1576,$BU$7:$BU$1576,BU540,$AI$7:$AI$1576,"&gt;"&amp;AI540)+SUMIFS($AF$7:$AF$1576,$BU$7:$BU$1576,BU540,$AI$7:$AI$1576,AI540,$BO$7:$BO$1576,"&lt;="&amp;BO540),"")</f>
        <v>9.40721225634269</v>
      </c>
      <c r="AK540" s="65" t="n">
        <f aca="false">IF(AJ540="",0,MAX(0,MIN(1,(IF(BU540="L1",Parameter!$E$5,Parameter!$E$6+Parameter!$E$7)-(AJ540-AF540))/AF540)))</f>
        <v>1</v>
      </c>
      <c r="AL540" s="57" t="n">
        <f aca="false">IF(LEFT(Cockpit!$I$5,1)="A",G540,IF(BW540=1,BX540,IF(LEFT(Cockpit!$I$5,1)="B",AP540,MAX(AP540,G540))))</f>
        <v>13</v>
      </c>
      <c r="AM540" s="57" t="n">
        <f aca="false">IF(BR540=1,0,ROUNDUP(AL540/BQ540,0))</f>
        <v>1</v>
      </c>
      <c r="AN540" s="59" t="n">
        <f aca="false">IF(CD540&gt;0,CD540*MAX(1,AL540/V540),IF(BR540=1,IF(AL540&lt;=0,0,BS540*MAX(1,IF(G540&gt;0,AL540/G540,1))),IF(Q540&gt;0,AM540/Q540,0))/MAX(0.1,N(Parameter!$M$21)))</f>
        <v>0.00505050505050505</v>
      </c>
      <c r="AO540" s="57" t="n">
        <f aca="false">AL540*F540</f>
        <v>114.01</v>
      </c>
      <c r="AP540" s="57" t="n">
        <f aca="false">ROUNDUP(MAX(I540/IF(BV540&gt;0,BV540,MAX(0.1,N(Cockpit!$I$6))),BY540)/BQ540,0)*BQ540</f>
        <v>13</v>
      </c>
      <c r="AQ540" s="58" t="n">
        <f aca="false">IF(AN540&gt;0,I540/AN540,-1)</f>
        <v>990</v>
      </c>
      <c r="AR540" s="58" t="n">
        <f aca="false">IF(AND(OR(BU540="L1",BU540="L23"),AN540&gt;0),SUMIFS($AN$7:$AN$1576,$BU$7:$BU$1576,BU540,$AQ$7:$AQ$1576,"&gt;"&amp;AQ540)+SUMIFS($AN$7:$AN$1576,$BU$7:$BU$1576,BU540,$AQ$7:$AQ$1576,AQ540,$BO$7:$BO$1576,"&lt;="&amp;BO540),"")</f>
        <v>22.9259504387877</v>
      </c>
      <c r="AS540" s="65" t="n">
        <f aca="false">IF(AR540="",0,MAX(0,MIN(1,(IF(BU540="L1",Parameter!$E$5,Parameter!$E$6+Parameter!$E$7)-(AR540-AN540))/AN540)))</f>
        <v>1</v>
      </c>
      <c r="AT540" s="57" t="n">
        <f aca="false">IF(LEFT(Cockpit!$O$5,1)="A",G540,IF(BW540=1,BX540,IF(LEFT(Cockpit!$O$5,1)="B",AX540,MAX(AX540,G540))))</f>
        <v>13</v>
      </c>
      <c r="AU540" s="57" t="n">
        <f aca="false">IF(BR540=1,0,ROUNDUP(AT540/BQ540,0))</f>
        <v>1</v>
      </c>
      <c r="AV540" s="59" t="n">
        <f aca="false">IF(CD540&gt;0,CD540*MAX(1,AT540/V540),IF(BR540=1,IF(AT540&lt;=0,0,BS540*MAX(1,IF(G540&gt;0,AT540/G540,1))),IF(Q540&gt;0,AU540/Q540,0))/MAX(0.1,N(Parameter!$M$21)))</f>
        <v>0.00505050505050505</v>
      </c>
      <c r="AW540" s="57" t="n">
        <f aca="false">AT540*F540</f>
        <v>114.01</v>
      </c>
      <c r="AX540" s="57" t="n">
        <f aca="false">ROUNDUP(MAX(I540/IF(BV540&gt;0,BV540,MAX(0.1,N(Cockpit!$O$6))),BY540)/BQ540,0)*BQ540</f>
        <v>13</v>
      </c>
      <c r="AY540" s="58" t="n">
        <f aca="false">IF(AV540&gt;0,I540/AV540,-1)</f>
        <v>990</v>
      </c>
      <c r="AZ540" s="58" t="n">
        <f aca="false">IF(AND(OR(BU540="L1",BU540="L23"),AV540&gt;0),SUMIFS($AV$7:$AV$1576,$BU$7:$BU$1576,BU540,$AY$7:$AY$1576,"&gt;"&amp;AY540)+SUMIFS($AV$7:$AV$1576,$BU$7:$BU$1576,BU540,$AY$7:$AY$1576,AY540,$BO$7:$BO$1576,"&lt;="&amp;BO540),"")</f>
        <v>22.1596334224707</v>
      </c>
      <c r="BA540" s="65" t="n">
        <f aca="false">IF(AZ540="",0,MAX(0,MIN(1,(IF(BU540="L1",Parameter!$E$5,Parameter!$E$6+Parameter!$E$7)-(AZ540-AV540))/AV540)))</f>
        <v>1</v>
      </c>
      <c r="BB540" s="55" t="str">
        <f aca="false">IF(AF540&lt;=0,"",IF(BU540="Aussen","Aussenlager",IF(BU540="-","Nicht im Lift",IF(AK540&gt;=1,"Lift",IF(AK540&lt;=0,"Aussenlager","teilweise")))))</f>
        <v>Lift</v>
      </c>
      <c r="BC540" s="55" t="str">
        <f aca="false">IF(AN540&lt;=0,"",IF(BU540="Aussen","Aussenlager",IF(BU540="-","Nicht im Lift",IF(AS540&gt;=1,"Lift",IF(AS540&lt;=0,"Aussenlager","teilweise")))))</f>
        <v>Lift</v>
      </c>
      <c r="BD540" s="55" t="str">
        <f aca="false">IF(AV540&lt;=0,"",IF(BU540="Aussen","Aussenlager",IF(BU540="-","Nicht im Lift",IF(BA540&gt;=1,"Lift",IF(BA540&lt;=0,"Aussenlager","teilweise")))))</f>
        <v>Lift</v>
      </c>
      <c r="BE540" s="55" t="str">
        <f aca="false">IF(A540="","",IF(BN540=1,"Neu; ","")&amp;IF(AND(BN540=0,BI540&lt;0),"negativer Bestand (Export "&amp;BI540&amp;"); ","")&amp;IF(I540&lt;=0,"Kein Verbrauch; ","")&amp;IF(CD540&gt;0,"Lift "&amp;U540&amp;" lt. Liftbericht (Fach "&amp;V540&amp;" Stk); ",IF(BR540=1,"Lose – Fläche geschätzt; ",""))&amp;IF(G540&gt;AP540,"Überbestand "&amp;ROUND(G540-AP540,0)&amp;" Stk / CHF "&amp;ROUND((G540-AP540)*F540,0)&amp;"; ","")&amp;IF(AND(BW540=1,BX540&lt;BY540),"MAX &lt; MB+LG; ","")&amp;IF(AND(CC540&gt;0,CB540*10&gt;CC540),"zu hoch für Tablar; ","")&amp;IF(AND(BN540=0,OR(BW540=1,Y540&lt;&gt;"",S540&lt;&gt;"",T540&lt;&gt;"",Z540&lt;&gt;"")),"manuell übersteuert; ","")&amp;IF(AND(BR540=0,Q540=0),"Gebinde unbekannt / Stellmass fehlt; ","")&amp;IF(AND(BR540=0,N(T540)&lt;=0,N(P540)&lt;=0),"Menge pro Gebinde fehlt (Ist = 1 Gebinde); ","")&amp;BM540)</f>
        <v/>
      </c>
      <c r="BF540" s="55"/>
      <c r="BG540" s="55"/>
      <c r="BH540" s="62"/>
      <c r="BI540" s="57" t="n">
        <v>5</v>
      </c>
      <c r="BJ540" s="57" t="n">
        <v>6</v>
      </c>
      <c r="BK540" s="56" t="n">
        <v>22.13</v>
      </c>
      <c r="BL540" s="57" t="n">
        <v>5</v>
      </c>
      <c r="BM540" s="55"/>
      <c r="BN540" s="60" t="n">
        <v>0</v>
      </c>
      <c r="BO540" s="60" t="n">
        <v>540</v>
      </c>
      <c r="BP540" s="55" t="str">
        <f aca="false">IF(S540&lt;&gt;"",UPPER(TRIM(S540)),IF(O540="","LOSE",O540))</f>
        <v>S22</v>
      </c>
      <c r="BQ540" s="57" t="n">
        <f aca="false">IF(BP540="LOSE",1,IF(N(T540)&gt;0,T540,IF(N(P540)&gt;0,P540,MAX(1,G540))))</f>
        <v>13</v>
      </c>
      <c r="BR540" s="60" t="n">
        <f aca="false">IF(BP540="LOSE",1,0)</f>
        <v>0</v>
      </c>
      <c r="BS540" s="59" t="n">
        <f aca="false">IF(BR540=0,0,IF(N(R540)&gt;0,R540,IFERROR(VLOOKUP(D540,Parameter!$A$35:$C$64,3,0)+0,0)))</f>
        <v>0</v>
      </c>
      <c r="BT540" s="55" t="n">
        <f aca="false">IF(Y540&lt;&gt;"",Y540,X540)</f>
        <v>3</v>
      </c>
      <c r="BU540" s="55" t="str">
        <f aca="false">IF(BT540=1,"L1",IF(OR(BT540=2,BT540=3),"L23",IF(BT540="Aussen","Aussen","-")))</f>
        <v>L23</v>
      </c>
      <c r="BV540" s="66" t="n">
        <f aca="false">IF(N(Z540)&gt;0,Z540,0)</f>
        <v>0</v>
      </c>
      <c r="BW540" s="60" t="n">
        <f aca="false">IF(ISNUMBER(AC540),1,0)</f>
        <v>0</v>
      </c>
      <c r="BX540" s="57" t="n">
        <f aca="false">N(AC540)</f>
        <v>0</v>
      </c>
      <c r="BY540" s="57" t="n">
        <f aca="false">N(L540)+N(M540)</f>
        <v>5</v>
      </c>
      <c r="BZ540" s="57" t="n">
        <f aca="false">ROUNDUP(G540/BQ540,0)</f>
        <v>1</v>
      </c>
      <c r="CA540" s="57" t="n">
        <f aca="false">ROUNDUP(BX540/BQ540,0)</f>
        <v>0</v>
      </c>
      <c r="CB540" s="60" t="n">
        <f aca="false">IF(BR540=1,0,IFERROR(VLOOKUP(BP540,'Gebinde-Kategorie'!$A$5:$M$45,5,0)+0,0))</f>
        <v>8</v>
      </c>
      <c r="CC540" s="60" t="n">
        <f aca="false">IFERROR(IF(OR(BT540=1,BT540=2,BT540=3),N(INDEX(Parameter!$I$5:$I$7,BT540)),0),0)</f>
        <v>0</v>
      </c>
      <c r="CD540" s="59" t="n">
        <f aca="false">IF(AND(Parameter!$B$21="Ja",ISNUMBER(U540),N(V540)&gt;0),IFERROR(N(INDEX(Parameter!$L$5:$L$7,U540))*INDEX(Parameter!$E$5:$E$7,U540)*V540/SUMIFS($V$7:$V$1576,$U$7:$U$1576,U540),0),0)</f>
        <v>0</v>
      </c>
    </row>
    <row r="541" customFormat="false" ht="15" hidden="false" customHeight="false" outlineLevel="0" collapsed="false">
      <c r="A541" s="55" t="s">
        <v>1150</v>
      </c>
      <c r="B541" s="55" t="s">
        <v>1151</v>
      </c>
      <c r="C541" s="55" t="s">
        <v>162</v>
      </c>
      <c r="D541" s="55" t="s">
        <v>178</v>
      </c>
      <c r="E541" s="55" t="s">
        <v>210</v>
      </c>
      <c r="F541" s="56" t="n">
        <v>7.21</v>
      </c>
      <c r="G541" s="57" t="n">
        <f aca="false">MAX(0,IF(AND(Parameter!$B$21="Ja",ISNUMBER(W541)),W541,IF(Parameter!$B$20="Jahresanfang 2025 + Export",BJ541+BI541,BI541)))</f>
        <v>3</v>
      </c>
      <c r="H541" s="57" t="n">
        <f aca="false">G541*F541</f>
        <v>21.63</v>
      </c>
      <c r="I541" s="57" t="n">
        <f aca="false">BL541*Parameter!$B$18</f>
        <v>0</v>
      </c>
      <c r="J541" s="58" t="n">
        <v>135.5</v>
      </c>
      <c r="K541" s="59" t="n">
        <v>0</v>
      </c>
      <c r="L541" s="57" t="n">
        <v>0</v>
      </c>
      <c r="M541" s="57" t="n">
        <v>1</v>
      </c>
      <c r="N541" s="60" t="n">
        <v>56</v>
      </c>
      <c r="O541" s="55" t="s">
        <v>218</v>
      </c>
      <c r="P541" s="57" t="n">
        <v>137</v>
      </c>
      <c r="Q541" s="60" t="n">
        <f aca="false">IF(BR541=1,0,IFERROR(VLOOKUP(BP541,'Gebinde-Kategorie'!$A$5:$M$45,13,0)+0,0))</f>
        <v>12</v>
      </c>
      <c r="R541" s="61"/>
      <c r="S541" s="62"/>
      <c r="T541" s="62"/>
      <c r="U541" s="55"/>
      <c r="V541" s="57"/>
      <c r="W541" s="57"/>
      <c r="X541" s="55" t="n">
        <f aca="false">IF(A541="","",IF(AND(Parameter!$B$21="Ja",ISNUMBER(U541)),U541,IF(IFERROR(VLOOKUP(D541,Parameter!$A$35:$C$64,2,0),"Nein")="2+3",IF(ISNUMBER(SEARCH("grosser Artikel",BM541)),2,IFERROR(VLOOKUP(BP541,Parameter!$F$35:$G$64,2,0),2)),IF(OR(IFERROR(VLOOKUP(D541,Parameter!$A$35:$C$64,2,0),"Nein")="Nein",IFERROR(VLOOKUP(D541,Parameter!$A$35:$C$64,2,0),"Nein")=""),"-",VLOOKUP(D541,Parameter!$A$35:$C$64,2,0)))))</f>
        <v>2</v>
      </c>
      <c r="Y541" s="62"/>
      <c r="Z541" s="63"/>
      <c r="AA541" s="57" t="n">
        <f aca="false">AP541</f>
        <v>137</v>
      </c>
      <c r="AB541" s="57" t="n">
        <f aca="false">MAX(AP541,G541)</f>
        <v>137</v>
      </c>
      <c r="AC541" s="64"/>
      <c r="AD541" s="57" t="n">
        <f aca="false">IF(LEFT(Cockpit!$C$5,1)="A",G541,IF(BW541=1,BX541,IF(LEFT(Cockpit!$C$5,1)="B",AH541,MAX(AH541,G541))))</f>
        <v>3</v>
      </c>
      <c r="AE541" s="57" t="n">
        <f aca="false">IF(BR541=1,0,ROUNDUP(AD541/BQ541,0))</f>
        <v>1</v>
      </c>
      <c r="AF541" s="59" t="n">
        <f aca="false">IF(CD541&gt;0,CD541*MAX(1,AD541/V541),IF(BR541=1,IF(AD541&lt;=0,0,BS541*MAX(1,IF(G541&gt;0,AD541/G541,1))),IF(Q541&gt;0,AE541/Q541,0))/MAX(0.1,N(Parameter!$M$21)))</f>
        <v>0.0833333333333333</v>
      </c>
      <c r="AG541" s="57" t="n">
        <f aca="false">AD541*F541</f>
        <v>21.63</v>
      </c>
      <c r="AH541" s="57" t="n">
        <f aca="false">ROUNDUP(MAX(I541/IF(BV541&gt;0,BV541,MAX(0.1,N(Cockpit!$C$6))),BY541)/BQ541,0)*BQ541</f>
        <v>137</v>
      </c>
      <c r="AI541" s="58" t="n">
        <f aca="false">IF(AF541&gt;0,I541/AF541,-1)</f>
        <v>0</v>
      </c>
      <c r="AJ541" s="58" t="n">
        <f aca="false">IF(AND(OR(BU541="L1",BU541="L23"),AF541&gt;0),SUMIFS($AF$7:$AF$1576,$BU$7:$BU$1576,BU541,$AI$7:$AI$1576,"&gt;"&amp;AI541)+SUMIFS($AF$7:$AF$1576,$BU$7:$BU$1576,BU541,$AI$7:$AI$1576,AI541,$BO$7:$BO$1576,"&lt;="&amp;BO541),"")</f>
        <v>43.488726732205</v>
      </c>
      <c r="AK541" s="65" t="n">
        <f aca="false">IF(AJ541="",0,MAX(0,MIN(1,(IF(BU541="L1",Parameter!$E$5,Parameter!$E$6+Parameter!$E$7)-(AJ541-AF541))/AF541)))</f>
        <v>1</v>
      </c>
      <c r="AL541" s="57" t="n">
        <f aca="false">IF(LEFT(Cockpit!$I$5,1)="A",G541,IF(BW541=1,BX541,IF(LEFT(Cockpit!$I$5,1)="B",AP541,MAX(AP541,G541))))</f>
        <v>137</v>
      </c>
      <c r="AM541" s="57" t="n">
        <f aca="false">IF(BR541=1,0,ROUNDUP(AL541/BQ541,0))</f>
        <v>1</v>
      </c>
      <c r="AN541" s="59" t="n">
        <f aca="false">IF(CD541&gt;0,CD541*MAX(1,AL541/V541),IF(BR541=1,IF(AL541&lt;=0,0,BS541*MAX(1,IF(G541&gt;0,AL541/G541,1))),IF(Q541&gt;0,AM541/Q541,0))/MAX(0.1,N(Parameter!$M$21)))</f>
        <v>0.0833333333333333</v>
      </c>
      <c r="AO541" s="57" t="n">
        <f aca="false">AL541*F541</f>
        <v>987.77</v>
      </c>
      <c r="AP541" s="57" t="n">
        <f aca="false">ROUNDUP(MAX(I541/IF(BV541&gt;0,BV541,MAX(0.1,N(Cockpit!$I$6))),BY541)/BQ541,0)*BQ541</f>
        <v>137</v>
      </c>
      <c r="AQ541" s="58" t="n">
        <f aca="false">IF(AN541&gt;0,I541/AN541,-1)</f>
        <v>0</v>
      </c>
      <c r="AR541" s="58" t="n">
        <f aca="false">IF(AND(OR(BU541="L1",BU541="L23"),AN541&gt;0),SUMIFS($AN$7:$AN$1576,$BU$7:$BU$1576,BU541,$AQ$7:$AQ$1576,"&gt;"&amp;AQ541)+SUMIFS($AN$7:$AN$1576,$BU$7:$BU$1576,BU541,$AQ$7:$AQ$1576,AQ541,$BO$7:$BO$1576,"&lt;="&amp;BO541),"")</f>
        <v>126.485512850723</v>
      </c>
      <c r="AS541" s="65" t="n">
        <f aca="false">IF(AR541="",0,MAX(0,MIN(1,(IF(BU541="L1",Parameter!$E$5,Parameter!$E$6+Parameter!$E$7)-(AR541-AN541))/AN541)))</f>
        <v>0</v>
      </c>
      <c r="AT541" s="57" t="n">
        <f aca="false">IF(LEFT(Cockpit!$O$5,1)="A",G541,IF(BW541=1,BX541,IF(LEFT(Cockpit!$O$5,1)="B",AX541,MAX(AX541,G541))))</f>
        <v>137</v>
      </c>
      <c r="AU541" s="57" t="n">
        <f aca="false">IF(BR541=1,0,ROUNDUP(AT541/BQ541,0))</f>
        <v>1</v>
      </c>
      <c r="AV541" s="59" t="n">
        <f aca="false">IF(CD541&gt;0,CD541*MAX(1,AT541/V541),IF(BR541=1,IF(AT541&lt;=0,0,BS541*MAX(1,IF(G541&gt;0,AT541/G541,1))),IF(Q541&gt;0,AU541/Q541,0))/MAX(0.1,N(Parameter!$M$21)))</f>
        <v>0.0833333333333333</v>
      </c>
      <c r="AW541" s="57" t="n">
        <f aca="false">AT541*F541</f>
        <v>987.77</v>
      </c>
      <c r="AX541" s="57" t="n">
        <f aca="false">ROUNDUP(MAX(I541/IF(BV541&gt;0,BV541,MAX(0.1,N(Cockpit!$O$6))),BY541)/BQ541,0)*BQ541</f>
        <v>137</v>
      </c>
      <c r="AY541" s="58" t="n">
        <f aca="false">IF(AV541&gt;0,I541/AV541,-1)</f>
        <v>0</v>
      </c>
      <c r="AZ541" s="58" t="n">
        <f aca="false">IF(AND(OR(BU541="L1",BU541="L23"),AV541&gt;0),SUMIFS($AV$7:$AV$1576,$BU$7:$BU$1576,BU541,$AY$7:$AY$1576,"&gt;"&amp;AY541)+SUMIFS($AV$7:$AV$1576,$BU$7:$BU$1576,BU541,$AY$7:$AY$1576,AY541,$BO$7:$BO$1576,"&lt;="&amp;BO541),"")</f>
        <v>116.545063300274</v>
      </c>
      <c r="BA541" s="65" t="n">
        <f aca="false">IF(AZ541="",0,MAX(0,MIN(1,(IF(BU541="L1",Parameter!$E$5,Parameter!$E$6+Parameter!$E$7)-(AZ541-AV541))/AV541)))</f>
        <v>0</v>
      </c>
      <c r="BB541" s="55" t="str">
        <f aca="false">IF(AF541&lt;=0,"",IF(BU541="Aussen","Aussenlager",IF(BU541="-","Nicht im Lift",IF(AK541&gt;=1,"Lift",IF(AK541&lt;=0,"Aussenlager","teilweise")))))</f>
        <v>Lift</v>
      </c>
      <c r="BC541" s="55" t="str">
        <f aca="false">IF(AN541&lt;=0,"",IF(BU541="Aussen","Aussenlager",IF(BU541="-","Nicht im Lift",IF(AS541&gt;=1,"Lift",IF(AS541&lt;=0,"Aussenlager","teilweise")))))</f>
        <v>Aussenlager</v>
      </c>
      <c r="BD541" s="55" t="str">
        <f aca="false">IF(AV541&lt;=0,"",IF(BU541="Aussen","Aussenlager",IF(BU541="-","Nicht im Lift",IF(BA541&gt;=1,"Lift",IF(BA541&lt;=0,"Aussenlager","teilweise")))))</f>
        <v>Aussenlager</v>
      </c>
      <c r="BE541" s="55" t="str">
        <f aca="false">IF(A541="","",IF(BN541=1,"Neu; ","")&amp;IF(AND(BN541=0,BI541&lt;0),"negativer Bestand (Export "&amp;BI541&amp;"); ","")&amp;IF(I541&lt;=0,"Kein Verbrauch; ","")&amp;IF(CD541&gt;0,"Lift "&amp;U541&amp;" lt. Liftbericht (Fach "&amp;V541&amp;" Stk); ",IF(BR541=1,"Lose – Fläche geschätzt; ",""))&amp;IF(G541&gt;AP541,"Überbestand "&amp;ROUND(G541-AP541,0)&amp;" Stk / CHF "&amp;ROUND((G541-AP541)*F541,0)&amp;"; ","")&amp;IF(AND(BW541=1,BX541&lt;BY541),"MAX &lt; MB+LG; ","")&amp;IF(AND(CC541&gt;0,CB541*10&gt;CC541),"zu hoch für Tablar; ","")&amp;IF(AND(BN541=0,OR(BW541=1,Y541&lt;&gt;"",S541&lt;&gt;"",T541&lt;&gt;"",Z541&lt;&gt;"")),"manuell übersteuert; ","")&amp;IF(AND(BR541=0,Q541=0),"Gebinde unbekannt / Stellmass fehlt; ","")&amp;IF(AND(BR541=0,N(T541)&lt;=0,N(P541)&lt;=0),"Menge pro Gebinde fehlt (Ist = 1 Gebinde); ","")&amp;BM541)</f>
        <v>Kein Verbrauch; </v>
      </c>
      <c r="BF541" s="55"/>
      <c r="BG541" s="55"/>
      <c r="BH541" s="62"/>
      <c r="BI541" s="57" t="n">
        <v>3</v>
      </c>
      <c r="BJ541" s="57" t="n">
        <v>134</v>
      </c>
      <c r="BK541" s="56" t="n">
        <v>21.63</v>
      </c>
      <c r="BL541" s="57" t="n">
        <v>0</v>
      </c>
      <c r="BM541" s="55"/>
      <c r="BN541" s="60" t="n">
        <v>0</v>
      </c>
      <c r="BO541" s="60" t="n">
        <v>541</v>
      </c>
      <c r="BP541" s="55" t="str">
        <f aca="false">IF(S541&lt;&gt;"",UPPER(TRIM(S541)),IF(O541="","LOSE",O541))</f>
        <v>S63</v>
      </c>
      <c r="BQ541" s="57" t="n">
        <f aca="false">IF(BP541="LOSE",1,IF(N(T541)&gt;0,T541,IF(N(P541)&gt;0,P541,MAX(1,G541))))</f>
        <v>137</v>
      </c>
      <c r="BR541" s="60" t="n">
        <f aca="false">IF(BP541="LOSE",1,0)</f>
        <v>0</v>
      </c>
      <c r="BS541" s="59" t="n">
        <f aca="false">IF(BR541=0,0,IF(N(R541)&gt;0,R541,IFERROR(VLOOKUP(D541,Parameter!$A$35:$C$64,3,0)+0,0)))</f>
        <v>0</v>
      </c>
      <c r="BT541" s="55" t="n">
        <f aca="false">IF(Y541&lt;&gt;"",Y541,X541)</f>
        <v>2</v>
      </c>
      <c r="BU541" s="55" t="str">
        <f aca="false">IF(BT541=1,"L1",IF(OR(BT541=2,BT541=3),"L23",IF(BT541="Aussen","Aussen","-")))</f>
        <v>L23</v>
      </c>
      <c r="BV541" s="66" t="n">
        <f aca="false">IF(N(Z541)&gt;0,Z541,0)</f>
        <v>0</v>
      </c>
      <c r="BW541" s="60" t="n">
        <f aca="false">IF(ISNUMBER(AC541),1,0)</f>
        <v>0</v>
      </c>
      <c r="BX541" s="57" t="n">
        <f aca="false">N(AC541)</f>
        <v>0</v>
      </c>
      <c r="BY541" s="57" t="n">
        <f aca="false">N(L541)+N(M541)</f>
        <v>1</v>
      </c>
      <c r="BZ541" s="57" t="n">
        <f aca="false">ROUNDUP(G541/BQ541,0)</f>
        <v>1</v>
      </c>
      <c r="CA541" s="57" t="n">
        <f aca="false">ROUNDUP(BX541/BQ541,0)</f>
        <v>0</v>
      </c>
      <c r="CB541" s="60" t="n">
        <f aca="false">IF(BR541=1,0,IFERROR(VLOOKUP(BP541,'Gebinde-Kategorie'!$A$5:$M$45,5,0)+0,0))</f>
        <v>31</v>
      </c>
      <c r="CC541" s="60" t="n">
        <f aca="false">IFERROR(IF(OR(BT541=1,BT541=2,BT541=3),N(INDEX(Parameter!$I$5:$I$7,BT541)),0),0)</f>
        <v>0</v>
      </c>
      <c r="CD541" s="59" t="n">
        <f aca="false">IF(AND(Parameter!$B$21="Ja",ISNUMBER(U541),N(V541)&gt;0),IFERROR(N(INDEX(Parameter!$L$5:$L$7,U541))*INDEX(Parameter!$E$5:$E$7,U541)*V541/SUMIFS($V$7:$V$1576,$U$7:$U$1576,U541),0),0)</f>
        <v>0</v>
      </c>
    </row>
    <row r="542" customFormat="false" ht="15" hidden="false" customHeight="false" outlineLevel="0" collapsed="false">
      <c r="A542" s="55" t="s">
        <v>1152</v>
      </c>
      <c r="B542" s="55" t="s">
        <v>587</v>
      </c>
      <c r="C542" s="55" t="s">
        <v>160</v>
      </c>
      <c r="D542" s="55" t="s">
        <v>178</v>
      </c>
      <c r="E542" s="55" t="s">
        <v>210</v>
      </c>
      <c r="F542" s="56" t="n">
        <v>20.09</v>
      </c>
      <c r="G542" s="57" t="n">
        <f aca="false">MAX(0,IF(AND(Parameter!$B$21="Ja",ISNUMBER(W542)),W542,IF(Parameter!$B$20="Jahresanfang 2025 + Export",BJ542+BI542,BI542)))</f>
        <v>1</v>
      </c>
      <c r="H542" s="57" t="n">
        <f aca="false">G542*F542</f>
        <v>20.09</v>
      </c>
      <c r="I542" s="57" t="n">
        <f aca="false">BL542*Parameter!$B$18</f>
        <v>0</v>
      </c>
      <c r="J542" s="58" t="n">
        <v>101.5</v>
      </c>
      <c r="K542" s="59" t="n">
        <v>0</v>
      </c>
      <c r="L542" s="57" t="n">
        <v>0</v>
      </c>
      <c r="M542" s="57" t="n">
        <v>1</v>
      </c>
      <c r="N542" s="60" t="n">
        <v>28</v>
      </c>
      <c r="O542" s="55" t="s">
        <v>293</v>
      </c>
      <c r="P542" s="57" t="n">
        <v>120</v>
      </c>
      <c r="Q542" s="60" t="n">
        <f aca="false">IF(BR542=1,0,IFERROR(VLOOKUP(BP542,'Gebinde-Kategorie'!$A$5:$M$45,13,0)+0,0))</f>
        <v>26</v>
      </c>
      <c r="R542" s="61"/>
      <c r="S542" s="62"/>
      <c r="T542" s="62"/>
      <c r="U542" s="55"/>
      <c r="V542" s="57"/>
      <c r="W542" s="57"/>
      <c r="X542" s="55" t="n">
        <f aca="false">IF(A542="","",IF(AND(Parameter!$B$21="Ja",ISNUMBER(U542)),U542,IF(IFERROR(VLOOKUP(D542,Parameter!$A$35:$C$64,2,0),"Nein")="2+3",IF(ISNUMBER(SEARCH("grosser Artikel",BM542)),2,IFERROR(VLOOKUP(BP542,Parameter!$F$35:$G$64,2,0),2)),IF(OR(IFERROR(VLOOKUP(D542,Parameter!$A$35:$C$64,2,0),"Nein")="Nein",IFERROR(VLOOKUP(D542,Parameter!$A$35:$C$64,2,0),"Nein")=""),"-",VLOOKUP(D542,Parameter!$A$35:$C$64,2,0)))))</f>
        <v>3</v>
      </c>
      <c r="Y542" s="62"/>
      <c r="Z542" s="63"/>
      <c r="AA542" s="57" t="n">
        <f aca="false">AP542</f>
        <v>120</v>
      </c>
      <c r="AB542" s="57" t="n">
        <f aca="false">MAX(AP542,G542)</f>
        <v>120</v>
      </c>
      <c r="AC542" s="64"/>
      <c r="AD542" s="57" t="n">
        <f aca="false">IF(LEFT(Cockpit!$C$5,1)="A",G542,IF(BW542=1,BX542,IF(LEFT(Cockpit!$C$5,1)="B",AH542,MAX(AH542,G542))))</f>
        <v>1</v>
      </c>
      <c r="AE542" s="57" t="n">
        <f aca="false">IF(BR542=1,0,ROUNDUP(AD542/BQ542,0))</f>
        <v>1</v>
      </c>
      <c r="AF542" s="59" t="n">
        <f aca="false">IF(CD542&gt;0,CD542*MAX(1,AD542/V542),IF(BR542=1,IF(AD542&lt;=0,0,BS542*MAX(1,IF(G542&gt;0,AD542/G542,1))),IF(Q542&gt;0,AE542/Q542,0))/MAX(0.1,N(Parameter!$M$21)))</f>
        <v>0.0384615384615385</v>
      </c>
      <c r="AG542" s="57" t="n">
        <f aca="false">AD542*F542</f>
        <v>20.09</v>
      </c>
      <c r="AH542" s="57" t="n">
        <f aca="false">ROUNDUP(MAX(I542/IF(BV542&gt;0,BV542,MAX(0.1,N(Cockpit!$C$6))),BY542)/BQ542,0)*BQ542</f>
        <v>120</v>
      </c>
      <c r="AI542" s="58" t="n">
        <f aca="false">IF(AF542&gt;0,I542/AF542,-1)</f>
        <v>0</v>
      </c>
      <c r="AJ542" s="58" t="n">
        <f aca="false">IF(AND(OR(BU542="L1",BU542="L23"),AF542&gt;0),SUMIFS($AF$7:$AF$1576,$BU$7:$BU$1576,BU542,$AI$7:$AI$1576,"&gt;"&amp;AI542)+SUMIFS($AF$7:$AF$1576,$BU$7:$BU$1576,BU542,$AI$7:$AI$1576,AI542,$BO$7:$BO$1576,"&lt;="&amp;BO542),"")</f>
        <v>43.5271882706665</v>
      </c>
      <c r="AK542" s="65" t="n">
        <f aca="false">IF(AJ542="",0,MAX(0,MIN(1,(IF(BU542="L1",Parameter!$E$5,Parameter!$E$6+Parameter!$E$7)-(AJ542-AF542))/AF542)))</f>
        <v>1</v>
      </c>
      <c r="AL542" s="57" t="n">
        <f aca="false">IF(LEFT(Cockpit!$I$5,1)="A",G542,IF(BW542=1,BX542,IF(LEFT(Cockpit!$I$5,1)="B",AP542,MAX(AP542,G542))))</f>
        <v>120</v>
      </c>
      <c r="AM542" s="57" t="n">
        <f aca="false">IF(BR542=1,0,ROUNDUP(AL542/BQ542,0))</f>
        <v>1</v>
      </c>
      <c r="AN542" s="59" t="n">
        <f aca="false">IF(CD542&gt;0,CD542*MAX(1,AL542/V542),IF(BR542=1,IF(AL542&lt;=0,0,BS542*MAX(1,IF(G542&gt;0,AL542/G542,1))),IF(Q542&gt;0,AM542/Q542,0))/MAX(0.1,N(Parameter!$M$21)))</f>
        <v>0.0384615384615385</v>
      </c>
      <c r="AO542" s="57" t="n">
        <f aca="false">AL542*F542</f>
        <v>2410.8</v>
      </c>
      <c r="AP542" s="57" t="n">
        <f aca="false">ROUNDUP(MAX(I542/IF(BV542&gt;0,BV542,MAX(0.1,N(Cockpit!$I$6))),BY542)/BQ542,0)*BQ542</f>
        <v>120</v>
      </c>
      <c r="AQ542" s="58" t="n">
        <f aca="false">IF(AN542&gt;0,I542/AN542,-1)</f>
        <v>0</v>
      </c>
      <c r="AR542" s="58" t="n">
        <f aca="false">IF(AND(OR(BU542="L1",BU542="L23"),AN542&gt;0),SUMIFS($AN$7:$AN$1576,$BU$7:$BU$1576,BU542,$AQ$7:$AQ$1576,"&gt;"&amp;AQ542)+SUMIFS($AN$7:$AN$1576,$BU$7:$BU$1576,BU542,$AQ$7:$AQ$1576,AQ542,$BO$7:$BO$1576,"&lt;="&amp;BO542),"")</f>
        <v>126.523974389185</v>
      </c>
      <c r="AS542" s="65" t="n">
        <f aca="false">IF(AR542="",0,MAX(0,MIN(1,(IF(BU542="L1",Parameter!$E$5,Parameter!$E$6+Parameter!$E$7)-(AR542-AN542))/AN542)))</f>
        <v>0</v>
      </c>
      <c r="AT542" s="57" t="n">
        <f aca="false">IF(LEFT(Cockpit!$O$5,1)="A",G542,IF(BW542=1,BX542,IF(LEFT(Cockpit!$O$5,1)="B",AX542,MAX(AX542,G542))))</f>
        <v>120</v>
      </c>
      <c r="AU542" s="57" t="n">
        <f aca="false">IF(BR542=1,0,ROUNDUP(AT542/BQ542,0))</f>
        <v>1</v>
      </c>
      <c r="AV542" s="59" t="n">
        <f aca="false">IF(CD542&gt;0,CD542*MAX(1,AT542/V542),IF(BR542=1,IF(AT542&lt;=0,0,BS542*MAX(1,IF(G542&gt;0,AT542/G542,1))),IF(Q542&gt;0,AU542/Q542,0))/MAX(0.1,N(Parameter!$M$21)))</f>
        <v>0.0384615384615385</v>
      </c>
      <c r="AW542" s="57" t="n">
        <f aca="false">AT542*F542</f>
        <v>2410.8</v>
      </c>
      <c r="AX542" s="57" t="n">
        <f aca="false">ROUNDUP(MAX(I542/IF(BV542&gt;0,BV542,MAX(0.1,N(Cockpit!$O$6))),BY542)/BQ542,0)*BQ542</f>
        <v>120</v>
      </c>
      <c r="AY542" s="58" t="n">
        <f aca="false">IF(AV542&gt;0,I542/AV542,-1)</f>
        <v>0</v>
      </c>
      <c r="AZ542" s="58" t="n">
        <f aca="false">IF(AND(OR(BU542="L1",BU542="L23"),AV542&gt;0),SUMIFS($AV$7:$AV$1576,$BU$7:$BU$1576,BU542,$AY$7:$AY$1576,"&gt;"&amp;AY542)+SUMIFS($AV$7:$AV$1576,$BU$7:$BU$1576,BU542,$AY$7:$AY$1576,AY542,$BO$7:$BO$1576,"&lt;="&amp;BO542),"")</f>
        <v>116.583524838735</v>
      </c>
      <c r="BA542" s="65" t="n">
        <f aca="false">IF(AZ542="",0,MAX(0,MIN(1,(IF(BU542="L1",Parameter!$E$5,Parameter!$E$6+Parameter!$E$7)-(AZ542-AV542))/AV542)))</f>
        <v>0</v>
      </c>
      <c r="BB542" s="55" t="str">
        <f aca="false">IF(AF542&lt;=0,"",IF(BU542="Aussen","Aussenlager",IF(BU542="-","Nicht im Lift",IF(AK542&gt;=1,"Lift",IF(AK542&lt;=0,"Aussenlager","teilweise")))))</f>
        <v>Lift</v>
      </c>
      <c r="BC542" s="55" t="str">
        <f aca="false">IF(AN542&lt;=0,"",IF(BU542="Aussen","Aussenlager",IF(BU542="-","Nicht im Lift",IF(AS542&gt;=1,"Lift",IF(AS542&lt;=0,"Aussenlager","teilweise")))))</f>
        <v>Aussenlager</v>
      </c>
      <c r="BD542" s="55" t="str">
        <f aca="false">IF(AV542&lt;=0,"",IF(BU542="Aussen","Aussenlager",IF(BU542="-","Nicht im Lift",IF(BA542&gt;=1,"Lift",IF(BA542&lt;=0,"Aussenlager","teilweise")))))</f>
        <v>Aussenlager</v>
      </c>
      <c r="BE542" s="55" t="str">
        <f aca="false">IF(A542="","",IF(BN542=1,"Neu; ","")&amp;IF(AND(BN542=0,BI542&lt;0),"negativer Bestand (Export "&amp;BI542&amp;"); ","")&amp;IF(I542&lt;=0,"Kein Verbrauch; ","")&amp;IF(CD542&gt;0,"Lift "&amp;U542&amp;" lt. Liftbericht (Fach "&amp;V542&amp;" Stk); ",IF(BR542=1,"Lose – Fläche geschätzt; ",""))&amp;IF(G542&gt;AP542,"Überbestand "&amp;ROUND(G542-AP542,0)&amp;" Stk / CHF "&amp;ROUND((G542-AP542)*F542,0)&amp;"; ","")&amp;IF(AND(BW542=1,BX542&lt;BY542),"MAX &lt; MB+LG; ","")&amp;IF(AND(CC542&gt;0,CB542*10&gt;CC542),"zu hoch für Tablar; ","")&amp;IF(AND(BN542=0,OR(BW542=1,Y542&lt;&gt;"",S542&lt;&gt;"",T542&lt;&gt;"",Z542&lt;&gt;"")),"manuell übersteuert; ","")&amp;IF(AND(BR542=0,Q542=0),"Gebinde unbekannt / Stellmass fehlt; ","")&amp;IF(AND(BR542=0,N(T542)&lt;=0,N(P542)&lt;=0),"Menge pro Gebinde fehlt (Ist = 1 Gebinde); ","")&amp;BM542)</f>
        <v>Kein Verbrauch; Überbestand</v>
      </c>
      <c r="BF542" s="55"/>
      <c r="BG542" s="55"/>
      <c r="BH542" s="62"/>
      <c r="BI542" s="57" t="n">
        <v>1</v>
      </c>
      <c r="BJ542" s="57" t="n">
        <v>101</v>
      </c>
      <c r="BK542" s="56" t="n">
        <v>20.09</v>
      </c>
      <c r="BL542" s="57" t="n">
        <v>0</v>
      </c>
      <c r="BM542" s="55" t="s">
        <v>382</v>
      </c>
      <c r="BN542" s="60" t="n">
        <v>0</v>
      </c>
      <c r="BO542" s="60" t="n">
        <v>542</v>
      </c>
      <c r="BP542" s="55" t="str">
        <f aca="false">IF(S542&lt;&gt;"",UPPER(TRIM(S542)),IF(O542="","LOSE",O542))</f>
        <v>S51</v>
      </c>
      <c r="BQ542" s="57" t="n">
        <f aca="false">IF(BP542="LOSE",1,IF(N(T542)&gt;0,T542,IF(N(P542)&gt;0,P542,MAX(1,G542))))</f>
        <v>120</v>
      </c>
      <c r="BR542" s="60" t="n">
        <f aca="false">IF(BP542="LOSE",1,0)</f>
        <v>0</v>
      </c>
      <c r="BS542" s="59" t="n">
        <f aca="false">IF(BR542=0,0,IF(N(R542)&gt;0,R542,IFERROR(VLOOKUP(D542,Parameter!$A$35:$C$64,3,0)+0,0)))</f>
        <v>0</v>
      </c>
      <c r="BT542" s="55" t="n">
        <f aca="false">IF(Y542&lt;&gt;"",Y542,X542)</f>
        <v>3</v>
      </c>
      <c r="BU542" s="55" t="str">
        <f aca="false">IF(BT542=1,"L1",IF(OR(BT542=2,BT542=3),"L23",IF(BT542="Aussen","Aussen","-")))</f>
        <v>L23</v>
      </c>
      <c r="BV542" s="66" t="n">
        <f aca="false">IF(N(Z542)&gt;0,Z542,0)</f>
        <v>0</v>
      </c>
      <c r="BW542" s="60" t="n">
        <f aca="false">IF(ISNUMBER(AC542),1,0)</f>
        <v>0</v>
      </c>
      <c r="BX542" s="57" t="n">
        <f aca="false">N(AC542)</f>
        <v>0</v>
      </c>
      <c r="BY542" s="57" t="n">
        <f aca="false">N(L542)+N(M542)</f>
        <v>1</v>
      </c>
      <c r="BZ542" s="57" t="n">
        <f aca="false">ROUNDUP(G542/BQ542,0)</f>
        <v>1</v>
      </c>
      <c r="CA542" s="57" t="n">
        <f aca="false">ROUNDUP(BX542/BQ542,0)</f>
        <v>0</v>
      </c>
      <c r="CB542" s="60" t="n">
        <f aca="false">IF(BR542=1,0,IFERROR(VLOOKUP(BP542,'Gebinde-Kategorie'!$A$5:$M$45,5,0)+0,0))</f>
        <v>11</v>
      </c>
      <c r="CC542" s="60" t="n">
        <f aca="false">IFERROR(IF(OR(BT542=1,BT542=2,BT542=3),N(INDEX(Parameter!$I$5:$I$7,BT542)),0),0)</f>
        <v>0</v>
      </c>
      <c r="CD542" s="59" t="n">
        <f aca="false">IF(AND(Parameter!$B$21="Ja",ISNUMBER(U542),N(V542)&gt;0),IFERROR(N(INDEX(Parameter!$L$5:$L$7,U542))*INDEX(Parameter!$E$5:$E$7,U542)*V542/SUMIFS($V$7:$V$1576,$U$7:$U$1576,U542),0),0)</f>
        <v>0</v>
      </c>
    </row>
    <row r="543" customFormat="false" ht="15" hidden="false" customHeight="false" outlineLevel="0" collapsed="false">
      <c r="A543" s="55" t="s">
        <v>1153</v>
      </c>
      <c r="B543" s="55" t="s">
        <v>1154</v>
      </c>
      <c r="C543" s="55" t="s">
        <v>160</v>
      </c>
      <c r="D543" s="55" t="s">
        <v>178</v>
      </c>
      <c r="E543" s="55" t="s">
        <v>210</v>
      </c>
      <c r="F543" s="56" t="n">
        <v>14.65</v>
      </c>
      <c r="G543" s="57" t="n">
        <f aca="false">MAX(0,IF(AND(Parameter!$B$21="Ja",ISNUMBER(W543)),W543,IF(Parameter!$B$20="Jahresanfang 2025 + Export",BJ543+BI543,BI543)))</f>
        <v>2</v>
      </c>
      <c r="H543" s="57" t="n">
        <f aca="false">G543*F543</f>
        <v>29.3</v>
      </c>
      <c r="I543" s="57" t="n">
        <f aca="false">BL543*Parameter!$B$18</f>
        <v>6</v>
      </c>
      <c r="J543" s="58" t="n">
        <v>3.5</v>
      </c>
      <c r="K543" s="59" t="n">
        <v>1.71428571428571</v>
      </c>
      <c r="L543" s="57" t="n">
        <v>0</v>
      </c>
      <c r="M543" s="57" t="n">
        <v>5</v>
      </c>
      <c r="N543" s="60" t="n">
        <v>18</v>
      </c>
      <c r="O543" s="55" t="s">
        <v>465</v>
      </c>
      <c r="P543" s="57" t="n">
        <v>4</v>
      </c>
      <c r="Q543" s="60" t="n">
        <f aca="false">IF(BR543=1,0,IFERROR(VLOOKUP(BP543,'Gebinde-Kategorie'!$A$5:$M$45,13,0)+0,0))</f>
        <v>66</v>
      </c>
      <c r="R543" s="61"/>
      <c r="S543" s="62"/>
      <c r="T543" s="62"/>
      <c r="U543" s="55"/>
      <c r="V543" s="57"/>
      <c r="W543" s="57"/>
      <c r="X543" s="55" t="n">
        <f aca="false">IF(A543="","",IF(AND(Parameter!$B$21="Ja",ISNUMBER(U543)),U543,IF(IFERROR(VLOOKUP(D543,Parameter!$A$35:$C$64,2,0),"Nein")="2+3",IF(ISNUMBER(SEARCH("grosser Artikel",BM543)),2,IFERROR(VLOOKUP(BP543,Parameter!$F$35:$G$64,2,0),2)),IF(OR(IFERROR(VLOOKUP(D543,Parameter!$A$35:$C$64,2,0),"Nein")="Nein",IFERROR(VLOOKUP(D543,Parameter!$A$35:$C$64,2,0),"Nein")=""),"-",VLOOKUP(D543,Parameter!$A$35:$C$64,2,0)))))</f>
        <v>3</v>
      </c>
      <c r="Y543" s="62"/>
      <c r="Z543" s="63"/>
      <c r="AA543" s="57" t="n">
        <f aca="false">AP543</f>
        <v>8</v>
      </c>
      <c r="AB543" s="57" t="n">
        <f aca="false">MAX(AP543,G543)</f>
        <v>8</v>
      </c>
      <c r="AC543" s="64"/>
      <c r="AD543" s="57" t="n">
        <f aca="false">IF(LEFT(Cockpit!$C$5,1)="A",G543,IF(BW543=1,BX543,IF(LEFT(Cockpit!$C$5,1)="B",AH543,MAX(AH543,G543))))</f>
        <v>2</v>
      </c>
      <c r="AE543" s="57" t="n">
        <f aca="false">IF(BR543=1,0,ROUNDUP(AD543/BQ543,0))</f>
        <v>1</v>
      </c>
      <c r="AF543" s="59" t="n">
        <f aca="false">IF(CD543&gt;0,CD543*MAX(1,AD543/V543),IF(BR543=1,IF(AD543&lt;=0,0,BS543*MAX(1,IF(G543&gt;0,AD543/G543,1))),IF(Q543&gt;0,AE543/Q543,0))/MAX(0.1,N(Parameter!$M$21)))</f>
        <v>0.0151515151515152</v>
      </c>
      <c r="AG543" s="57" t="n">
        <f aca="false">AD543*F543</f>
        <v>29.3</v>
      </c>
      <c r="AH543" s="57" t="n">
        <f aca="false">ROUNDUP(MAX(I543/IF(BV543&gt;0,BV543,MAX(0.1,N(Cockpit!$C$6))),BY543)/BQ543,0)*BQ543</f>
        <v>8</v>
      </c>
      <c r="AI543" s="58" t="n">
        <f aca="false">IF(AF543&gt;0,I543/AF543,-1)</f>
        <v>396</v>
      </c>
      <c r="AJ543" s="58" t="n">
        <f aca="false">IF(AND(OR(BU543="L1",BU543="L23"),AF543&gt;0),SUMIFS($AF$7:$AF$1576,$BU$7:$BU$1576,BU543,$AI$7:$AI$1576,"&gt;"&amp;AI543)+SUMIFS($AF$7:$AF$1576,$BU$7:$BU$1576,BU543,$AI$7:$AI$1576,AI543,$BO$7:$BO$1576,"&lt;="&amp;BO543),"")</f>
        <v>13.5062572210398</v>
      </c>
      <c r="AK543" s="65" t="n">
        <f aca="false">IF(AJ543="",0,MAX(0,MIN(1,(IF(BU543="L1",Parameter!$E$5,Parameter!$E$6+Parameter!$E$7)-(AJ543-AF543))/AF543)))</f>
        <v>1</v>
      </c>
      <c r="AL543" s="57" t="n">
        <f aca="false">IF(LEFT(Cockpit!$I$5,1)="A",G543,IF(BW543=1,BX543,IF(LEFT(Cockpit!$I$5,1)="B",AP543,MAX(AP543,G543))))</f>
        <v>8</v>
      </c>
      <c r="AM543" s="57" t="n">
        <f aca="false">IF(BR543=1,0,ROUNDUP(AL543/BQ543,0))</f>
        <v>2</v>
      </c>
      <c r="AN543" s="59" t="n">
        <f aca="false">IF(CD543&gt;0,CD543*MAX(1,AL543/V543),IF(BR543=1,IF(AL543&lt;=0,0,BS543*MAX(1,IF(G543&gt;0,AL543/G543,1))),IF(Q543&gt;0,AM543/Q543,0))/MAX(0.1,N(Parameter!$M$21)))</f>
        <v>0.0303030303030303</v>
      </c>
      <c r="AO543" s="57" t="n">
        <f aca="false">AL543*F543</f>
        <v>117.2</v>
      </c>
      <c r="AP543" s="57" t="n">
        <f aca="false">ROUNDUP(MAX(I543/IF(BV543&gt;0,BV543,MAX(0.1,N(Cockpit!$I$6))),BY543)/BQ543,0)*BQ543</f>
        <v>8</v>
      </c>
      <c r="AQ543" s="58" t="n">
        <f aca="false">IF(AN543&gt;0,I543/AN543,-1)</f>
        <v>198</v>
      </c>
      <c r="AR543" s="58" t="n">
        <f aca="false">IF(AND(OR(BU543="L1",BU543="L23"),AN543&gt;0),SUMIFS($AN$7:$AN$1576,$BU$7:$BU$1576,BU543,$AQ$7:$AQ$1576,"&gt;"&amp;AQ543)+SUMIFS($AN$7:$AN$1576,$BU$7:$BU$1576,BU543,$AQ$7:$AQ$1576,AQ543,$BO$7:$BO$1576,"&lt;="&amp;BO543),"")</f>
        <v>50.8898029148141</v>
      </c>
      <c r="AS543" s="65" t="n">
        <f aca="false">IF(AR543="",0,MAX(0,MIN(1,(IF(BU543="L1",Parameter!$E$5,Parameter!$E$6+Parameter!$E$7)-(AR543-AN543))/AN543)))</f>
        <v>1</v>
      </c>
      <c r="AT543" s="57" t="n">
        <f aca="false">IF(LEFT(Cockpit!$O$5,1)="A",G543,IF(BW543=1,BX543,IF(LEFT(Cockpit!$O$5,1)="B",AX543,MAX(AX543,G543))))</f>
        <v>8</v>
      </c>
      <c r="AU543" s="57" t="n">
        <f aca="false">IF(BR543=1,0,ROUNDUP(AT543/BQ543,0))</f>
        <v>2</v>
      </c>
      <c r="AV543" s="59" t="n">
        <f aca="false">IF(CD543&gt;0,CD543*MAX(1,AT543/V543),IF(BR543=1,IF(AT543&lt;=0,0,BS543*MAX(1,IF(G543&gt;0,AT543/G543,1))),IF(Q543&gt;0,AU543/Q543,0))/MAX(0.1,N(Parameter!$M$21)))</f>
        <v>0.0303030303030303</v>
      </c>
      <c r="AW543" s="57" t="n">
        <f aca="false">AT543*F543</f>
        <v>117.2</v>
      </c>
      <c r="AX543" s="57" t="n">
        <f aca="false">ROUNDUP(MAX(I543/IF(BV543&gt;0,BV543,MAX(0.1,N(Cockpit!$O$6))),BY543)/BQ543,0)*BQ543</f>
        <v>8</v>
      </c>
      <c r="AY543" s="58" t="n">
        <f aca="false">IF(AV543&gt;0,I543/AV543,-1)</f>
        <v>198</v>
      </c>
      <c r="AZ543" s="58" t="n">
        <f aca="false">IF(AND(OR(BU543="L1",BU543="L23"),AV543&gt;0),SUMIFS($AV$7:$AV$1576,$BU$7:$BU$1576,BU543,$AY$7:$AY$1576,"&gt;"&amp;AY543)+SUMIFS($AV$7:$AV$1576,$BU$7:$BU$1576,BU543,$AY$7:$AY$1576,AY543,$BO$7:$BO$1576,"&lt;="&amp;BO543),"")</f>
        <v>47.0860633210745</v>
      </c>
      <c r="BA543" s="65" t="n">
        <f aca="false">IF(AZ543="",0,MAX(0,MIN(1,(IF(BU543="L1",Parameter!$E$5,Parameter!$E$6+Parameter!$E$7)-(AZ543-AV543))/AV543)))</f>
        <v>1</v>
      </c>
      <c r="BB543" s="55" t="str">
        <f aca="false">IF(AF543&lt;=0,"",IF(BU543="Aussen","Aussenlager",IF(BU543="-","Nicht im Lift",IF(AK543&gt;=1,"Lift",IF(AK543&lt;=0,"Aussenlager","teilweise")))))</f>
        <v>Lift</v>
      </c>
      <c r="BC543" s="55" t="str">
        <f aca="false">IF(AN543&lt;=0,"",IF(BU543="Aussen","Aussenlager",IF(BU543="-","Nicht im Lift",IF(AS543&gt;=1,"Lift",IF(AS543&lt;=0,"Aussenlager","teilweise")))))</f>
        <v>Lift</v>
      </c>
      <c r="BD543" s="55" t="str">
        <f aca="false">IF(AV543&lt;=0,"",IF(BU543="Aussen","Aussenlager",IF(BU543="-","Nicht im Lift",IF(BA543&gt;=1,"Lift",IF(BA543&lt;=0,"Aussenlager","teilweise")))))</f>
        <v>Lift</v>
      </c>
      <c r="BE543" s="55" t="str">
        <f aca="false">IF(A543="","",IF(BN543=1,"Neu; ","")&amp;IF(AND(BN543=0,BI543&lt;0),"negativer Bestand (Export "&amp;BI543&amp;"); ","")&amp;IF(I543&lt;=0,"Kein Verbrauch; ","")&amp;IF(CD543&gt;0,"Lift "&amp;U543&amp;" lt. Liftbericht (Fach "&amp;V543&amp;" Stk); ",IF(BR543=1,"Lose – Fläche geschätzt; ",""))&amp;IF(G543&gt;AP543,"Überbestand "&amp;ROUND(G543-AP543,0)&amp;" Stk / CHF "&amp;ROUND((G543-AP543)*F543,0)&amp;"; ","")&amp;IF(AND(BW543=1,BX543&lt;BY543),"MAX &lt; MB+LG; ","")&amp;IF(AND(CC543&gt;0,CB543*10&gt;CC543),"zu hoch für Tablar; ","")&amp;IF(AND(BN543=0,OR(BW543=1,Y543&lt;&gt;"",S543&lt;&gt;"",T543&lt;&gt;"",Z543&lt;&gt;"")),"manuell übersteuert; ","")&amp;IF(AND(BR543=0,Q543=0),"Gebinde unbekannt / Stellmass fehlt; ","")&amp;IF(AND(BR543=0,N(T543)&lt;=0,N(P543)&lt;=0),"Menge pro Gebinde fehlt (Ist = 1 Gebinde); ","")&amp;BM543)</f>
        <v/>
      </c>
      <c r="BF543" s="55"/>
      <c r="BG543" s="55"/>
      <c r="BH543" s="62"/>
      <c r="BI543" s="57" t="n">
        <v>2</v>
      </c>
      <c r="BJ543" s="57" t="n">
        <v>5</v>
      </c>
      <c r="BK543" s="56" t="n">
        <v>19.52</v>
      </c>
      <c r="BL543" s="57" t="n">
        <v>6</v>
      </c>
      <c r="BM543" s="55"/>
      <c r="BN543" s="60" t="n">
        <v>0</v>
      </c>
      <c r="BO543" s="60" t="n">
        <v>543</v>
      </c>
      <c r="BP543" s="55" t="str">
        <f aca="false">IF(S543&lt;&gt;"",UPPER(TRIM(S543)),IF(O543="","LOSE",O543))</f>
        <v>S33</v>
      </c>
      <c r="BQ543" s="57" t="n">
        <f aca="false">IF(BP543="LOSE",1,IF(N(T543)&gt;0,T543,IF(N(P543)&gt;0,P543,MAX(1,G543))))</f>
        <v>4</v>
      </c>
      <c r="BR543" s="60" t="n">
        <f aca="false">IF(BP543="LOSE",1,0)</f>
        <v>0</v>
      </c>
      <c r="BS543" s="59" t="n">
        <f aca="false">IF(BR543=0,0,IF(N(R543)&gt;0,R543,IFERROR(VLOOKUP(D543,Parameter!$A$35:$C$64,3,0)+0,0)))</f>
        <v>0</v>
      </c>
      <c r="BT543" s="55" t="n">
        <f aca="false">IF(Y543&lt;&gt;"",Y543,X543)</f>
        <v>3</v>
      </c>
      <c r="BU543" s="55" t="str">
        <f aca="false">IF(BT543=1,"L1",IF(OR(BT543=2,BT543=3),"L23",IF(BT543="Aussen","Aussen","-")))</f>
        <v>L23</v>
      </c>
      <c r="BV543" s="66" t="n">
        <f aca="false">IF(N(Z543)&gt;0,Z543,0)</f>
        <v>0</v>
      </c>
      <c r="BW543" s="60" t="n">
        <f aca="false">IF(ISNUMBER(AC543),1,0)</f>
        <v>0</v>
      </c>
      <c r="BX543" s="57" t="n">
        <f aca="false">N(AC543)</f>
        <v>0</v>
      </c>
      <c r="BY543" s="57" t="n">
        <f aca="false">N(L543)+N(M543)</f>
        <v>5</v>
      </c>
      <c r="BZ543" s="57" t="n">
        <f aca="false">ROUNDUP(G543/BQ543,0)</f>
        <v>1</v>
      </c>
      <c r="CA543" s="57" t="n">
        <f aca="false">ROUNDUP(BX543/BQ543,0)</f>
        <v>0</v>
      </c>
      <c r="CB543" s="60" t="n">
        <f aca="false">IF(BR543=1,0,IFERROR(VLOOKUP(BP543,'Gebinde-Kategorie'!$A$5:$M$45,5,0)+0,0))</f>
        <v>8</v>
      </c>
      <c r="CC543" s="60" t="n">
        <f aca="false">IFERROR(IF(OR(BT543=1,BT543=2,BT543=3),N(INDEX(Parameter!$I$5:$I$7,BT543)),0),0)</f>
        <v>0</v>
      </c>
      <c r="CD543" s="59" t="n">
        <f aca="false">IF(AND(Parameter!$B$21="Ja",ISNUMBER(U543),N(V543)&gt;0),IFERROR(N(INDEX(Parameter!$L$5:$L$7,U543))*INDEX(Parameter!$E$5:$E$7,U543)*V543/SUMIFS($V$7:$V$1576,$U$7:$U$1576,U543),0),0)</f>
        <v>0</v>
      </c>
    </row>
    <row r="544" customFormat="false" ht="15" hidden="false" customHeight="false" outlineLevel="0" collapsed="false">
      <c r="A544" s="55" t="s">
        <v>1155</v>
      </c>
      <c r="B544" s="55" t="s">
        <v>1156</v>
      </c>
      <c r="C544" s="55" t="s">
        <v>160</v>
      </c>
      <c r="D544" s="55" t="s">
        <v>178</v>
      </c>
      <c r="E544" s="55" t="s">
        <v>210</v>
      </c>
      <c r="F544" s="56" t="n">
        <v>0.06</v>
      </c>
      <c r="G544" s="57" t="n">
        <f aca="false">MAX(0,IF(AND(Parameter!$B$21="Ja",ISNUMBER(W544)),W544,IF(Parameter!$B$20="Jahresanfang 2025 + Export",BJ544+BI544,BI544)))</f>
        <v>319</v>
      </c>
      <c r="H544" s="57" t="n">
        <f aca="false">G544*F544</f>
        <v>19.14</v>
      </c>
      <c r="I544" s="57" t="n">
        <f aca="false">BL544*Parameter!$B$18</f>
        <v>722</v>
      </c>
      <c r="J544" s="58" t="n">
        <v>322.5</v>
      </c>
      <c r="K544" s="59" t="n">
        <v>2.23875968992248</v>
      </c>
      <c r="L544" s="57" t="n">
        <v>28</v>
      </c>
      <c r="M544" s="57" t="n">
        <v>750</v>
      </c>
      <c r="N544" s="60" t="n">
        <v>14</v>
      </c>
      <c r="O544" s="55" t="s">
        <v>293</v>
      </c>
      <c r="P544" s="57" t="n">
        <v>334</v>
      </c>
      <c r="Q544" s="60" t="n">
        <f aca="false">IF(BR544=1,0,IFERROR(VLOOKUP(BP544,'Gebinde-Kategorie'!$A$5:$M$45,13,0)+0,0))</f>
        <v>26</v>
      </c>
      <c r="R544" s="61"/>
      <c r="S544" s="62"/>
      <c r="T544" s="62"/>
      <c r="U544" s="55"/>
      <c r="V544" s="57"/>
      <c r="W544" s="57"/>
      <c r="X544" s="55" t="n">
        <f aca="false">IF(A544="","",IF(AND(Parameter!$B$21="Ja",ISNUMBER(U544)),U544,IF(IFERROR(VLOOKUP(D544,Parameter!$A$35:$C$64,2,0),"Nein")="2+3",IF(ISNUMBER(SEARCH("grosser Artikel",BM544)),2,IFERROR(VLOOKUP(BP544,Parameter!$F$35:$G$64,2,0),2)),IF(OR(IFERROR(VLOOKUP(D544,Parameter!$A$35:$C$64,2,0),"Nein")="Nein",IFERROR(VLOOKUP(D544,Parameter!$A$35:$C$64,2,0),"Nein")=""),"-",VLOOKUP(D544,Parameter!$A$35:$C$64,2,0)))))</f>
        <v>3</v>
      </c>
      <c r="Y544" s="62"/>
      <c r="Z544" s="63"/>
      <c r="AA544" s="57" t="n">
        <f aca="false">AP544</f>
        <v>1002</v>
      </c>
      <c r="AB544" s="57" t="n">
        <f aca="false">MAX(AP544,G544)</f>
        <v>1002</v>
      </c>
      <c r="AC544" s="64"/>
      <c r="AD544" s="57" t="n">
        <f aca="false">IF(LEFT(Cockpit!$C$5,1)="A",G544,IF(BW544=1,BX544,IF(LEFT(Cockpit!$C$5,1)="B",AH544,MAX(AH544,G544))))</f>
        <v>319</v>
      </c>
      <c r="AE544" s="57" t="n">
        <f aca="false">IF(BR544=1,0,ROUNDUP(AD544/BQ544,0))</f>
        <v>1</v>
      </c>
      <c r="AF544" s="59" t="n">
        <f aca="false">IF(CD544&gt;0,CD544*MAX(1,AD544/V544),IF(BR544=1,IF(AD544&lt;=0,0,BS544*MAX(1,IF(G544&gt;0,AD544/G544,1))),IF(Q544&gt;0,AE544/Q544,0))/MAX(0.1,N(Parameter!$M$21)))</f>
        <v>0.0384615384615385</v>
      </c>
      <c r="AG544" s="57" t="n">
        <f aca="false">AD544*F544</f>
        <v>19.14</v>
      </c>
      <c r="AH544" s="57" t="n">
        <f aca="false">ROUNDUP(MAX(I544/IF(BV544&gt;0,BV544,MAX(0.1,N(Cockpit!$C$6))),BY544)/BQ544,0)*BQ544</f>
        <v>1002</v>
      </c>
      <c r="AI544" s="58" t="n">
        <f aca="false">IF(AF544&gt;0,I544/AF544,-1)</f>
        <v>18772</v>
      </c>
      <c r="AJ544" s="58" t="n">
        <f aca="false">IF(AND(OR(BU544="L1",BU544="L23"),AF544&gt;0),SUMIFS($AF$7:$AF$1576,$BU$7:$BU$1576,BU544,$AI$7:$AI$1576,"&gt;"&amp;AI544)+SUMIFS($AF$7:$AF$1576,$BU$7:$BU$1576,BU544,$AI$7:$AI$1576,AI544,$BO$7:$BO$1576,"&lt;="&amp;BO544),"")</f>
        <v>1.89203912029999</v>
      </c>
      <c r="AK544" s="65" t="n">
        <f aca="false">IF(AJ544="",0,MAX(0,MIN(1,(IF(BU544="L1",Parameter!$E$5,Parameter!$E$6+Parameter!$E$7)-(AJ544-AF544))/AF544)))</f>
        <v>1</v>
      </c>
      <c r="AL544" s="57" t="n">
        <f aca="false">IF(LEFT(Cockpit!$I$5,1)="A",G544,IF(BW544=1,BX544,IF(LEFT(Cockpit!$I$5,1)="B",AP544,MAX(AP544,G544))))</f>
        <v>1002</v>
      </c>
      <c r="AM544" s="57" t="n">
        <f aca="false">IF(BR544=1,0,ROUNDUP(AL544/BQ544,0))</f>
        <v>3</v>
      </c>
      <c r="AN544" s="59" t="n">
        <f aca="false">IF(CD544&gt;0,CD544*MAX(1,AL544/V544),IF(BR544=1,IF(AL544&lt;=0,0,BS544*MAX(1,IF(G544&gt;0,AL544/G544,1))),IF(Q544&gt;0,AM544/Q544,0))/MAX(0.1,N(Parameter!$M$21)))</f>
        <v>0.115384615384615</v>
      </c>
      <c r="AO544" s="57" t="n">
        <f aca="false">AL544*F544</f>
        <v>60.12</v>
      </c>
      <c r="AP544" s="57" t="n">
        <f aca="false">ROUNDUP(MAX(I544/IF(BV544&gt;0,BV544,MAX(0.1,N(Cockpit!$I$6))),BY544)/BQ544,0)*BQ544</f>
        <v>1002</v>
      </c>
      <c r="AQ544" s="58" t="n">
        <f aca="false">IF(AN544&gt;0,I544/AN544,-1)</f>
        <v>6257.33333333333</v>
      </c>
      <c r="AR544" s="58" t="n">
        <f aca="false">IF(AND(OR(BU544="L1",BU544="L23"),AN544&gt;0),SUMIFS($AN$7:$AN$1576,$BU$7:$BU$1576,BU544,$AQ$7:$AQ$1576,"&gt;"&amp;AQ544)+SUMIFS($AN$7:$AN$1576,$BU$7:$BU$1576,BU544,$AQ$7:$AQ$1576,AQ544,$BO$7:$BO$1576,"&lt;="&amp;BO544),"")</f>
        <v>10.5580798554103</v>
      </c>
      <c r="AS544" s="65" t="n">
        <f aca="false">IF(AR544="",0,MAX(0,MIN(1,(IF(BU544="L1",Parameter!$E$5,Parameter!$E$6+Parameter!$E$7)-(AR544-AN544))/AN544)))</f>
        <v>1</v>
      </c>
      <c r="AT544" s="57" t="n">
        <f aca="false">IF(LEFT(Cockpit!$O$5,1)="A",G544,IF(BW544=1,BX544,IF(LEFT(Cockpit!$O$5,1)="B",AX544,MAX(AX544,G544))))</f>
        <v>1002</v>
      </c>
      <c r="AU544" s="57" t="n">
        <f aca="false">IF(BR544=1,0,ROUNDUP(AT544/BQ544,0))</f>
        <v>3</v>
      </c>
      <c r="AV544" s="59" t="n">
        <f aca="false">IF(CD544&gt;0,CD544*MAX(1,AT544/V544),IF(BR544=1,IF(AT544&lt;=0,0,BS544*MAX(1,IF(G544&gt;0,AT544/G544,1))),IF(Q544&gt;0,AU544/Q544,0))/MAX(0.1,N(Parameter!$M$21)))</f>
        <v>0.115384615384615</v>
      </c>
      <c r="AW544" s="57" t="n">
        <f aca="false">AT544*F544</f>
        <v>60.12</v>
      </c>
      <c r="AX544" s="57" t="n">
        <f aca="false">ROUNDUP(MAX(I544/IF(BV544&gt;0,BV544,MAX(0.1,N(Cockpit!$O$6))),BY544)/BQ544,0)*BQ544</f>
        <v>1002</v>
      </c>
      <c r="AY544" s="58" t="n">
        <f aca="false">IF(AV544&gt;0,I544/AV544,-1)</f>
        <v>6257.33333333333</v>
      </c>
      <c r="AZ544" s="58" t="n">
        <f aca="false">IF(AND(OR(BU544="L1",BU544="L23"),AV544&gt;0),SUMIFS($AV$7:$AV$1576,$BU$7:$BU$1576,BU544,$AY$7:$AY$1576,"&gt;"&amp;AY544)+SUMIFS($AV$7:$AV$1576,$BU$7:$BU$1576,BU544,$AY$7:$AY$1576,AY544,$BO$7:$BO$1576,"&lt;="&amp;BO544),"")</f>
        <v>9.74048078781122</v>
      </c>
      <c r="BA544" s="65" t="n">
        <f aca="false">IF(AZ544="",0,MAX(0,MIN(1,(IF(BU544="L1",Parameter!$E$5,Parameter!$E$6+Parameter!$E$7)-(AZ544-AV544))/AV544)))</f>
        <v>1</v>
      </c>
      <c r="BB544" s="55" t="str">
        <f aca="false">IF(AF544&lt;=0,"",IF(BU544="Aussen","Aussenlager",IF(BU544="-","Nicht im Lift",IF(AK544&gt;=1,"Lift",IF(AK544&lt;=0,"Aussenlager","teilweise")))))</f>
        <v>Lift</v>
      </c>
      <c r="BC544" s="55" t="str">
        <f aca="false">IF(AN544&lt;=0,"",IF(BU544="Aussen","Aussenlager",IF(BU544="-","Nicht im Lift",IF(AS544&gt;=1,"Lift",IF(AS544&lt;=0,"Aussenlager","teilweise")))))</f>
        <v>Lift</v>
      </c>
      <c r="BD544" s="55" t="str">
        <f aca="false">IF(AV544&lt;=0,"",IF(BU544="Aussen","Aussenlager",IF(BU544="-","Nicht im Lift",IF(BA544&gt;=1,"Lift",IF(BA544&lt;=0,"Aussenlager","teilweise")))))</f>
        <v>Lift</v>
      </c>
      <c r="BE544" s="55" t="str">
        <f aca="false">IF(A544="","",IF(BN544=1,"Neu; ","")&amp;IF(AND(BN544=0,BI544&lt;0),"negativer Bestand (Export "&amp;BI544&amp;"); ","")&amp;IF(I544&lt;=0,"Kein Verbrauch; ","")&amp;IF(CD544&gt;0,"Lift "&amp;U544&amp;" lt. Liftbericht (Fach "&amp;V544&amp;" Stk); ",IF(BR544=1,"Lose – Fläche geschätzt; ",""))&amp;IF(G544&gt;AP544,"Überbestand "&amp;ROUND(G544-AP544,0)&amp;" Stk / CHF "&amp;ROUND((G544-AP544)*F544,0)&amp;"; ","")&amp;IF(AND(BW544=1,BX544&lt;BY544),"MAX &lt; MB+LG; ","")&amp;IF(AND(CC544&gt;0,CB544*10&gt;CC544),"zu hoch für Tablar; ","")&amp;IF(AND(BN544=0,OR(BW544=1,Y544&lt;&gt;"",S544&lt;&gt;"",T544&lt;&gt;"",Z544&lt;&gt;"")),"manuell übersteuert; ","")&amp;IF(AND(BR544=0,Q544=0),"Gebinde unbekannt / Stellmass fehlt; ","")&amp;IF(AND(BR544=0,N(T544)&lt;=0,N(P544)&lt;=0),"Menge pro Gebinde fehlt (Ist = 1 Gebinde); ","")&amp;BM544)</f>
        <v/>
      </c>
      <c r="BF544" s="55"/>
      <c r="BG544" s="55"/>
      <c r="BH544" s="62"/>
      <c r="BI544" s="57" t="n">
        <v>319</v>
      </c>
      <c r="BJ544" s="57" t="n">
        <v>331</v>
      </c>
      <c r="BK544" s="56" t="n">
        <v>19.14</v>
      </c>
      <c r="BL544" s="57" t="n">
        <v>722</v>
      </c>
      <c r="BM544" s="55"/>
      <c r="BN544" s="60" t="n">
        <v>0</v>
      </c>
      <c r="BO544" s="60" t="n">
        <v>544</v>
      </c>
      <c r="BP544" s="55" t="str">
        <f aca="false">IF(S544&lt;&gt;"",UPPER(TRIM(S544)),IF(O544="","LOSE",O544))</f>
        <v>S51</v>
      </c>
      <c r="BQ544" s="57" t="n">
        <f aca="false">IF(BP544="LOSE",1,IF(N(T544)&gt;0,T544,IF(N(P544)&gt;0,P544,MAX(1,G544))))</f>
        <v>334</v>
      </c>
      <c r="BR544" s="60" t="n">
        <f aca="false">IF(BP544="LOSE",1,0)</f>
        <v>0</v>
      </c>
      <c r="BS544" s="59" t="n">
        <f aca="false">IF(BR544=0,0,IF(N(R544)&gt;0,R544,IFERROR(VLOOKUP(D544,Parameter!$A$35:$C$64,3,0)+0,0)))</f>
        <v>0</v>
      </c>
      <c r="BT544" s="55" t="n">
        <f aca="false">IF(Y544&lt;&gt;"",Y544,X544)</f>
        <v>3</v>
      </c>
      <c r="BU544" s="55" t="str">
        <f aca="false">IF(BT544=1,"L1",IF(OR(BT544=2,BT544=3),"L23",IF(BT544="Aussen","Aussen","-")))</f>
        <v>L23</v>
      </c>
      <c r="BV544" s="66" t="n">
        <f aca="false">IF(N(Z544)&gt;0,Z544,0)</f>
        <v>0</v>
      </c>
      <c r="BW544" s="60" t="n">
        <f aca="false">IF(ISNUMBER(AC544),1,0)</f>
        <v>0</v>
      </c>
      <c r="BX544" s="57" t="n">
        <f aca="false">N(AC544)</f>
        <v>0</v>
      </c>
      <c r="BY544" s="57" t="n">
        <f aca="false">N(L544)+N(M544)</f>
        <v>778</v>
      </c>
      <c r="BZ544" s="57" t="n">
        <f aca="false">ROUNDUP(G544/BQ544,0)</f>
        <v>1</v>
      </c>
      <c r="CA544" s="57" t="n">
        <f aca="false">ROUNDUP(BX544/BQ544,0)</f>
        <v>0</v>
      </c>
      <c r="CB544" s="60" t="n">
        <f aca="false">IF(BR544=1,0,IFERROR(VLOOKUP(BP544,'Gebinde-Kategorie'!$A$5:$M$45,5,0)+0,0))</f>
        <v>11</v>
      </c>
      <c r="CC544" s="60" t="n">
        <f aca="false">IFERROR(IF(OR(BT544=1,BT544=2,BT544=3),N(INDEX(Parameter!$I$5:$I$7,BT544)),0),0)</f>
        <v>0</v>
      </c>
      <c r="CD544" s="59" t="n">
        <f aca="false">IF(AND(Parameter!$B$21="Ja",ISNUMBER(U544),N(V544)&gt;0),IFERROR(N(INDEX(Parameter!$L$5:$L$7,U544))*INDEX(Parameter!$E$5:$E$7,U544)*V544/SUMIFS($V$7:$V$1576,$U$7:$U$1576,U544),0),0)</f>
        <v>0</v>
      </c>
    </row>
    <row r="545" customFormat="false" ht="15" hidden="false" customHeight="false" outlineLevel="0" collapsed="false">
      <c r="A545" s="55" t="s">
        <v>1157</v>
      </c>
      <c r="B545" s="55" t="s">
        <v>744</v>
      </c>
      <c r="C545" s="55" t="s">
        <v>160</v>
      </c>
      <c r="D545" s="55" t="s">
        <v>178</v>
      </c>
      <c r="E545" s="55" t="s">
        <v>210</v>
      </c>
      <c r="F545" s="56" t="n">
        <v>74.2</v>
      </c>
      <c r="G545" s="57" t="n">
        <f aca="false">MAX(0,IF(AND(Parameter!$B$21="Ja",ISNUMBER(W545)),W545,IF(Parameter!$B$20="Jahresanfang 2025 + Export",BJ545+BI545,BI545)))</f>
        <v>0</v>
      </c>
      <c r="H545" s="57" t="n">
        <f aca="false">G545*F545</f>
        <v>0</v>
      </c>
      <c r="I545" s="57" t="n">
        <f aca="false">BL545*Parameter!$B$18</f>
        <v>1</v>
      </c>
      <c r="J545" s="58" t="n">
        <v>4.5</v>
      </c>
      <c r="K545" s="59" t="n">
        <v>0.222222222222222</v>
      </c>
      <c r="L545" s="57" t="n">
        <v>0</v>
      </c>
      <c r="M545" s="57" t="n">
        <v>1</v>
      </c>
      <c r="N545" s="60" t="n">
        <v>35</v>
      </c>
      <c r="O545" s="55" t="s">
        <v>416</v>
      </c>
      <c r="P545" s="57" t="n">
        <v>6</v>
      </c>
      <c r="Q545" s="60" t="n">
        <f aca="false">IF(BR545=1,0,IFERROR(VLOOKUP(BP545,'Gebinde-Kategorie'!$A$5:$M$45,13,0)+0,0))</f>
        <v>198</v>
      </c>
      <c r="R545" s="61"/>
      <c r="S545" s="62"/>
      <c r="T545" s="62"/>
      <c r="U545" s="55"/>
      <c r="V545" s="57"/>
      <c r="W545" s="57"/>
      <c r="X545" s="55" t="n">
        <f aca="false">IF(A545="","",IF(AND(Parameter!$B$21="Ja",ISNUMBER(U545)),U545,IF(IFERROR(VLOOKUP(D545,Parameter!$A$35:$C$64,2,0),"Nein")="2+3",IF(ISNUMBER(SEARCH("grosser Artikel",BM545)),2,IFERROR(VLOOKUP(BP545,Parameter!$F$35:$G$64,2,0),2)),IF(OR(IFERROR(VLOOKUP(D545,Parameter!$A$35:$C$64,2,0),"Nein")="Nein",IFERROR(VLOOKUP(D545,Parameter!$A$35:$C$64,2,0),"Nein")=""),"-",VLOOKUP(D545,Parameter!$A$35:$C$64,2,0)))))</f>
        <v>3</v>
      </c>
      <c r="Y545" s="62"/>
      <c r="Z545" s="63"/>
      <c r="AA545" s="57" t="n">
        <f aca="false">AP545</f>
        <v>6</v>
      </c>
      <c r="AB545" s="57" t="n">
        <f aca="false">MAX(AP545,G545)</f>
        <v>6</v>
      </c>
      <c r="AC545" s="64"/>
      <c r="AD545" s="57" t="n">
        <f aca="false">IF(LEFT(Cockpit!$C$5,1)="A",G545,IF(BW545=1,BX545,IF(LEFT(Cockpit!$C$5,1)="B",AH545,MAX(AH545,G545))))</f>
        <v>0</v>
      </c>
      <c r="AE545" s="57" t="n">
        <f aca="false">IF(BR545=1,0,ROUNDUP(AD545/BQ545,0))</f>
        <v>0</v>
      </c>
      <c r="AF545" s="59" t="n">
        <f aca="false">IF(CD545&gt;0,CD545*MAX(1,AD545/V545),IF(BR545=1,IF(AD545&lt;=0,0,BS545*MAX(1,IF(G545&gt;0,AD545/G545,1))),IF(Q545&gt;0,AE545/Q545,0))/MAX(0.1,N(Parameter!$M$21)))</f>
        <v>0</v>
      </c>
      <c r="AG545" s="57" t="n">
        <f aca="false">AD545*F545</f>
        <v>0</v>
      </c>
      <c r="AH545" s="57" t="n">
        <f aca="false">ROUNDUP(MAX(I545/IF(BV545&gt;0,BV545,MAX(0.1,N(Cockpit!$C$6))),BY545)/BQ545,0)*BQ545</f>
        <v>6</v>
      </c>
      <c r="AI545" s="58" t="n">
        <f aca="false">IF(AF545&gt;0,I545/AF545,-1)</f>
        <v>-1</v>
      </c>
      <c r="AJ545" s="58" t="str">
        <f aca="false">IF(AND(OR(BU545="L1",BU545="L23"),AF545&gt;0),SUMIFS($AF$7:$AF$1576,$BU$7:$BU$1576,BU545,$AI$7:$AI$1576,"&gt;"&amp;AI545)+SUMIFS($AF$7:$AF$1576,$BU$7:$BU$1576,BU545,$AI$7:$AI$1576,AI545,$BO$7:$BO$1576,"&lt;="&amp;BO545),"")</f>
        <v/>
      </c>
      <c r="AK545" s="65" t="n">
        <f aca="false">IF(AJ545="",0,MAX(0,MIN(1,(IF(BU545="L1",Parameter!$E$5,Parameter!$E$6+Parameter!$E$7)-(AJ545-AF545))/AF545)))</f>
        <v>0</v>
      </c>
      <c r="AL545" s="57" t="n">
        <f aca="false">IF(LEFT(Cockpit!$I$5,1)="A",G545,IF(BW545=1,BX545,IF(LEFT(Cockpit!$I$5,1)="B",AP545,MAX(AP545,G545))))</f>
        <v>6</v>
      </c>
      <c r="AM545" s="57" t="n">
        <f aca="false">IF(BR545=1,0,ROUNDUP(AL545/BQ545,0))</f>
        <v>1</v>
      </c>
      <c r="AN545" s="59" t="n">
        <f aca="false">IF(CD545&gt;0,CD545*MAX(1,AL545/V545),IF(BR545=1,IF(AL545&lt;=0,0,BS545*MAX(1,IF(G545&gt;0,AL545/G545,1))),IF(Q545&gt;0,AM545/Q545,0))/MAX(0.1,N(Parameter!$M$21)))</f>
        <v>0.00505050505050505</v>
      </c>
      <c r="AO545" s="57" t="n">
        <f aca="false">AL545*F545</f>
        <v>445.2</v>
      </c>
      <c r="AP545" s="57" t="n">
        <f aca="false">ROUNDUP(MAX(I545/IF(BV545&gt;0,BV545,MAX(0.1,N(Cockpit!$I$6))),BY545)/BQ545,0)*BQ545</f>
        <v>6</v>
      </c>
      <c r="AQ545" s="58" t="n">
        <f aca="false">IF(AN545&gt;0,I545/AN545,-1)</f>
        <v>198</v>
      </c>
      <c r="AR545" s="58" t="n">
        <f aca="false">IF(AND(OR(BU545="L1",BU545="L23"),AN545&gt;0),SUMIFS($AN$7:$AN$1576,$BU$7:$BU$1576,BU545,$AQ$7:$AQ$1576,"&gt;"&amp;AQ545)+SUMIFS($AN$7:$AN$1576,$BU$7:$BU$1576,BU545,$AQ$7:$AQ$1576,AQ545,$BO$7:$BO$1576,"&lt;="&amp;BO545),"")</f>
        <v>50.8948534198646</v>
      </c>
      <c r="AS545" s="65" t="n">
        <f aca="false">IF(AR545="",0,MAX(0,MIN(1,(IF(BU545="L1",Parameter!$E$5,Parameter!$E$6+Parameter!$E$7)-(AR545-AN545))/AN545)))</f>
        <v>1</v>
      </c>
      <c r="AT545" s="57" t="n">
        <f aca="false">IF(LEFT(Cockpit!$O$5,1)="A",G545,IF(BW545=1,BX545,IF(LEFT(Cockpit!$O$5,1)="B",AX545,MAX(AX545,G545))))</f>
        <v>6</v>
      </c>
      <c r="AU545" s="57" t="n">
        <f aca="false">IF(BR545=1,0,ROUNDUP(AT545/BQ545,0))</f>
        <v>1</v>
      </c>
      <c r="AV545" s="59" t="n">
        <f aca="false">IF(CD545&gt;0,CD545*MAX(1,AT545/V545),IF(BR545=1,IF(AT545&lt;=0,0,BS545*MAX(1,IF(G545&gt;0,AT545/G545,1))),IF(Q545&gt;0,AU545/Q545,0))/MAX(0.1,N(Parameter!$M$21)))</f>
        <v>0.00505050505050505</v>
      </c>
      <c r="AW545" s="57" t="n">
        <f aca="false">AT545*F545</f>
        <v>445.2</v>
      </c>
      <c r="AX545" s="57" t="n">
        <f aca="false">ROUNDUP(MAX(I545/IF(BV545&gt;0,BV545,MAX(0.1,N(Cockpit!$O$6))),BY545)/BQ545,0)*BQ545</f>
        <v>6</v>
      </c>
      <c r="AY545" s="58" t="n">
        <f aca="false">IF(AV545&gt;0,I545/AV545,-1)</f>
        <v>198</v>
      </c>
      <c r="AZ545" s="58" t="n">
        <f aca="false">IF(AND(OR(BU545="L1",BU545="L23"),AV545&gt;0),SUMIFS($AV$7:$AV$1576,$BU$7:$BU$1576,BU545,$AY$7:$AY$1576,"&gt;"&amp;AY545)+SUMIFS($AV$7:$AV$1576,$BU$7:$BU$1576,BU545,$AY$7:$AY$1576,AY545,$BO$7:$BO$1576,"&lt;="&amp;BO545),"")</f>
        <v>47.091113826125</v>
      </c>
      <c r="BA545" s="65" t="n">
        <f aca="false">IF(AZ545="",0,MAX(0,MIN(1,(IF(BU545="L1",Parameter!$E$5,Parameter!$E$6+Parameter!$E$7)-(AZ545-AV545))/AV545)))</f>
        <v>1</v>
      </c>
      <c r="BB545" s="55" t="str">
        <f aca="false">IF(AF545&lt;=0,"",IF(BU545="Aussen","Aussenlager",IF(BU545="-","Nicht im Lift",IF(AK545&gt;=1,"Lift",IF(AK545&lt;=0,"Aussenlager","teilweise")))))</f>
        <v/>
      </c>
      <c r="BC545" s="55" t="str">
        <f aca="false">IF(AN545&lt;=0,"",IF(BU545="Aussen","Aussenlager",IF(BU545="-","Nicht im Lift",IF(AS545&gt;=1,"Lift",IF(AS545&lt;=0,"Aussenlager","teilweise")))))</f>
        <v>Lift</v>
      </c>
      <c r="BD545" s="55" t="str">
        <f aca="false">IF(AV545&lt;=0,"",IF(BU545="Aussen","Aussenlager",IF(BU545="-","Nicht im Lift",IF(BA545&gt;=1,"Lift",IF(BA545&lt;=0,"Aussenlager","teilweise")))))</f>
        <v>Lift</v>
      </c>
      <c r="BE545" s="55" t="str">
        <f aca="false">IF(A545="","",IF(BN545=1,"Neu; ","")&amp;IF(AND(BN545=0,BI545&lt;0),"negativer Bestand (Export "&amp;BI545&amp;"); ","")&amp;IF(I545&lt;=0,"Kein Verbrauch; ","")&amp;IF(CD545&gt;0,"Lift "&amp;U545&amp;" lt. Liftbericht (Fach "&amp;V545&amp;" Stk); ",IF(BR545=1,"Lose – Fläche geschätzt; ",""))&amp;IF(G545&gt;AP545,"Überbestand "&amp;ROUND(G545-AP545,0)&amp;" Stk / CHF "&amp;ROUND((G545-AP545)*F545,0)&amp;"; ","")&amp;IF(AND(BW545=1,BX545&lt;BY545),"MAX &lt; MB+LG; ","")&amp;IF(AND(CC545&gt;0,CB545*10&gt;CC545),"zu hoch für Tablar; ","")&amp;IF(AND(BN545=0,OR(BW545=1,Y545&lt;&gt;"",S545&lt;&gt;"",T545&lt;&gt;"",Z545&lt;&gt;"")),"manuell übersteuert; ","")&amp;IF(AND(BR545=0,Q545=0),"Gebinde unbekannt / Stellmass fehlt; ","")&amp;IF(AND(BR545=0,N(T545)&lt;=0,N(P545)&lt;=0),"Menge pro Gebinde fehlt (Ist = 1 Gebinde); ","")&amp;BM545)</f>
        <v/>
      </c>
      <c r="BF545" s="55"/>
      <c r="BG545" s="55"/>
      <c r="BH545" s="62"/>
      <c r="BI545" s="57" t="n">
        <v>0</v>
      </c>
      <c r="BJ545" s="57" t="n">
        <v>5</v>
      </c>
      <c r="BK545" s="56" t="n">
        <v>18.75</v>
      </c>
      <c r="BL545" s="57" t="n">
        <v>1</v>
      </c>
      <c r="BM545" s="55"/>
      <c r="BN545" s="60" t="n">
        <v>0</v>
      </c>
      <c r="BO545" s="60" t="n">
        <v>545</v>
      </c>
      <c r="BP545" s="55" t="str">
        <f aca="false">IF(S545&lt;&gt;"",UPPER(TRIM(S545)),IF(O545="","LOSE",O545))</f>
        <v>S22</v>
      </c>
      <c r="BQ545" s="57" t="n">
        <f aca="false">IF(BP545="LOSE",1,IF(N(T545)&gt;0,T545,IF(N(P545)&gt;0,P545,MAX(1,G545))))</f>
        <v>6</v>
      </c>
      <c r="BR545" s="60" t="n">
        <f aca="false">IF(BP545="LOSE",1,0)</f>
        <v>0</v>
      </c>
      <c r="BS545" s="59" t="n">
        <f aca="false">IF(BR545=0,0,IF(N(R545)&gt;0,R545,IFERROR(VLOOKUP(D545,Parameter!$A$35:$C$64,3,0)+0,0)))</f>
        <v>0</v>
      </c>
      <c r="BT545" s="55" t="n">
        <f aca="false">IF(Y545&lt;&gt;"",Y545,X545)</f>
        <v>3</v>
      </c>
      <c r="BU545" s="55" t="str">
        <f aca="false">IF(BT545=1,"L1",IF(OR(BT545=2,BT545=3),"L23",IF(BT545="Aussen","Aussen","-")))</f>
        <v>L23</v>
      </c>
      <c r="BV545" s="66" t="n">
        <f aca="false">IF(N(Z545)&gt;0,Z545,0)</f>
        <v>0</v>
      </c>
      <c r="BW545" s="60" t="n">
        <f aca="false">IF(ISNUMBER(AC545),1,0)</f>
        <v>0</v>
      </c>
      <c r="BX545" s="57" t="n">
        <f aca="false">N(AC545)</f>
        <v>0</v>
      </c>
      <c r="BY545" s="57" t="n">
        <f aca="false">N(L545)+N(M545)</f>
        <v>1</v>
      </c>
      <c r="BZ545" s="57" t="n">
        <f aca="false">ROUNDUP(G545/BQ545,0)</f>
        <v>0</v>
      </c>
      <c r="CA545" s="57" t="n">
        <f aca="false">ROUNDUP(BX545/BQ545,0)</f>
        <v>0</v>
      </c>
      <c r="CB545" s="60" t="n">
        <f aca="false">IF(BR545=1,0,IFERROR(VLOOKUP(BP545,'Gebinde-Kategorie'!$A$5:$M$45,5,0)+0,0))</f>
        <v>8</v>
      </c>
      <c r="CC545" s="60" t="n">
        <f aca="false">IFERROR(IF(OR(BT545=1,BT545=2,BT545=3),N(INDEX(Parameter!$I$5:$I$7,BT545)),0),0)</f>
        <v>0</v>
      </c>
      <c r="CD545" s="59" t="n">
        <f aca="false">IF(AND(Parameter!$B$21="Ja",ISNUMBER(U545),N(V545)&gt;0),IFERROR(N(INDEX(Parameter!$L$5:$L$7,U545))*INDEX(Parameter!$E$5:$E$7,U545)*V545/SUMIFS($V$7:$V$1576,$U$7:$U$1576,U545),0),0)</f>
        <v>0</v>
      </c>
    </row>
    <row r="546" customFormat="false" ht="15" hidden="false" customHeight="false" outlineLevel="0" collapsed="false">
      <c r="A546" s="55" t="s">
        <v>1158</v>
      </c>
      <c r="B546" s="55" t="s">
        <v>1159</v>
      </c>
      <c r="C546" s="55" t="s">
        <v>160</v>
      </c>
      <c r="D546" s="55" t="s">
        <v>178</v>
      </c>
      <c r="E546" s="55" t="s">
        <v>210</v>
      </c>
      <c r="F546" s="56" t="n">
        <v>3.84</v>
      </c>
      <c r="G546" s="57" t="n">
        <f aca="false">MAX(0,IF(AND(Parameter!$B$21="Ja",ISNUMBER(W546)),W546,IF(Parameter!$B$20="Jahresanfang 2025 + Export",BJ546+BI546,BI546)))</f>
        <v>4</v>
      </c>
      <c r="H546" s="57" t="n">
        <f aca="false">G546*F546</f>
        <v>15.36</v>
      </c>
      <c r="I546" s="57" t="n">
        <f aca="false">BL546*Parameter!$B$18</f>
        <v>72</v>
      </c>
      <c r="J546" s="58" t="n">
        <v>73.5</v>
      </c>
      <c r="K546" s="59" t="n">
        <v>0.979591836734694</v>
      </c>
      <c r="L546" s="57" t="n">
        <v>7</v>
      </c>
      <c r="M546" s="57" t="n">
        <v>100</v>
      </c>
      <c r="N546" s="60" t="n">
        <v>35</v>
      </c>
      <c r="O546" s="55" t="s">
        <v>319</v>
      </c>
      <c r="P546" s="57" t="n">
        <v>39</v>
      </c>
      <c r="Q546" s="60" t="n">
        <f aca="false">IF(BR546=1,0,IFERROR(VLOOKUP(BP546,'Gebinde-Kategorie'!$A$5:$M$45,13,0)+0,0))</f>
        <v>52</v>
      </c>
      <c r="R546" s="61"/>
      <c r="S546" s="62"/>
      <c r="T546" s="62"/>
      <c r="U546" s="55"/>
      <c r="V546" s="57"/>
      <c r="W546" s="57"/>
      <c r="X546" s="55" t="n">
        <f aca="false">IF(A546="","",IF(AND(Parameter!$B$21="Ja",ISNUMBER(U546)),U546,IF(IFERROR(VLOOKUP(D546,Parameter!$A$35:$C$64,2,0),"Nein")="2+3",IF(ISNUMBER(SEARCH("grosser Artikel",BM546)),2,IFERROR(VLOOKUP(BP546,Parameter!$F$35:$G$64,2,0),2)),IF(OR(IFERROR(VLOOKUP(D546,Parameter!$A$35:$C$64,2,0),"Nein")="Nein",IFERROR(VLOOKUP(D546,Parameter!$A$35:$C$64,2,0),"Nein")=""),"-",VLOOKUP(D546,Parameter!$A$35:$C$64,2,0)))))</f>
        <v>3</v>
      </c>
      <c r="Y546" s="62"/>
      <c r="Z546" s="63"/>
      <c r="AA546" s="57" t="n">
        <f aca="false">AP546</f>
        <v>117</v>
      </c>
      <c r="AB546" s="57" t="n">
        <f aca="false">MAX(AP546,G546)</f>
        <v>117</v>
      </c>
      <c r="AC546" s="64"/>
      <c r="AD546" s="57" t="n">
        <f aca="false">IF(LEFT(Cockpit!$C$5,1)="A",G546,IF(BW546=1,BX546,IF(LEFT(Cockpit!$C$5,1)="B",AH546,MAX(AH546,G546))))</f>
        <v>4</v>
      </c>
      <c r="AE546" s="57" t="n">
        <f aca="false">IF(BR546=1,0,ROUNDUP(AD546/BQ546,0))</f>
        <v>1</v>
      </c>
      <c r="AF546" s="59" t="n">
        <f aca="false">IF(CD546&gt;0,CD546*MAX(1,AD546/V546),IF(BR546=1,IF(AD546&lt;=0,0,BS546*MAX(1,IF(G546&gt;0,AD546/G546,1))),IF(Q546&gt;0,AE546/Q546,0))/MAX(0.1,N(Parameter!$M$21)))</f>
        <v>0.0192307692307692</v>
      </c>
      <c r="AG546" s="57" t="n">
        <f aca="false">AD546*F546</f>
        <v>15.36</v>
      </c>
      <c r="AH546" s="57" t="n">
        <f aca="false">ROUNDUP(MAX(I546/IF(BV546&gt;0,BV546,MAX(0.1,N(Cockpit!$C$6))),BY546)/BQ546,0)*BQ546</f>
        <v>117</v>
      </c>
      <c r="AI546" s="58" t="n">
        <f aca="false">IF(AF546&gt;0,I546/AF546,-1)</f>
        <v>3744</v>
      </c>
      <c r="AJ546" s="58" t="n">
        <f aca="false">IF(AND(OR(BU546="L1",BU546="L23"),AF546&gt;0),SUMIFS($AF$7:$AF$1576,$BU$7:$BU$1576,BU546,$AI$7:$AI$1576,"&gt;"&amp;AI546)+SUMIFS($AF$7:$AF$1576,$BU$7:$BU$1576,BU546,$AI$7:$AI$1576,AI546,$BO$7:$BO$1576,"&lt;="&amp;BO546),"")</f>
        <v>4.34652004999831</v>
      </c>
      <c r="AK546" s="65" t="n">
        <f aca="false">IF(AJ546="",0,MAX(0,MIN(1,(IF(BU546="L1",Parameter!$E$5,Parameter!$E$6+Parameter!$E$7)-(AJ546-AF546))/AF546)))</f>
        <v>1</v>
      </c>
      <c r="AL546" s="57" t="n">
        <f aca="false">IF(LEFT(Cockpit!$I$5,1)="A",G546,IF(BW546=1,BX546,IF(LEFT(Cockpit!$I$5,1)="B",AP546,MAX(AP546,G546))))</f>
        <v>117</v>
      </c>
      <c r="AM546" s="57" t="n">
        <f aca="false">IF(BR546=1,0,ROUNDUP(AL546/BQ546,0))</f>
        <v>3</v>
      </c>
      <c r="AN546" s="59" t="n">
        <f aca="false">IF(CD546&gt;0,CD546*MAX(1,AL546/V546),IF(BR546=1,IF(AL546&lt;=0,0,BS546*MAX(1,IF(G546&gt;0,AL546/G546,1))),IF(Q546&gt;0,AM546/Q546,0))/MAX(0.1,N(Parameter!$M$21)))</f>
        <v>0.0576923076923077</v>
      </c>
      <c r="AO546" s="57" t="n">
        <f aca="false">AL546*F546</f>
        <v>449.28</v>
      </c>
      <c r="AP546" s="57" t="n">
        <f aca="false">ROUNDUP(MAX(I546/IF(BV546&gt;0,BV546,MAX(0.1,N(Cockpit!$I$6))),BY546)/BQ546,0)*BQ546</f>
        <v>117</v>
      </c>
      <c r="AQ546" s="58" t="n">
        <f aca="false">IF(AN546&gt;0,I546/AN546,-1)</f>
        <v>1248</v>
      </c>
      <c r="AR546" s="58" t="n">
        <f aca="false">IF(AND(OR(BU546="L1",BU546="L23"),AN546&gt;0),SUMIFS($AN$7:$AN$1576,$BU$7:$BU$1576,BU546,$AQ$7:$AQ$1576,"&gt;"&amp;AQ546)+SUMIFS($AN$7:$AN$1576,$BU$7:$BU$1576,BU546,$AQ$7:$AQ$1576,AQ546,$BO$7:$BO$1576,"&lt;="&amp;BO546),"")</f>
        <v>20.7266936569222</v>
      </c>
      <c r="AS546" s="65" t="n">
        <f aca="false">IF(AR546="",0,MAX(0,MIN(1,(IF(BU546="L1",Parameter!$E$5,Parameter!$E$6+Parameter!$E$7)-(AR546-AN546))/AN546)))</f>
        <v>1</v>
      </c>
      <c r="AT546" s="57" t="n">
        <f aca="false">IF(LEFT(Cockpit!$O$5,1)="A",G546,IF(BW546=1,BX546,IF(LEFT(Cockpit!$O$5,1)="B",AX546,MAX(AX546,G546))))</f>
        <v>117</v>
      </c>
      <c r="AU546" s="57" t="n">
        <f aca="false">IF(BR546=1,0,ROUNDUP(AT546/BQ546,0))</f>
        <v>3</v>
      </c>
      <c r="AV546" s="59" t="n">
        <f aca="false">IF(CD546&gt;0,CD546*MAX(1,AT546/V546),IF(BR546=1,IF(AT546&lt;=0,0,BS546*MAX(1,IF(G546&gt;0,AT546/G546,1))),IF(Q546&gt;0,AU546/Q546,0))/MAX(0.1,N(Parameter!$M$21)))</f>
        <v>0.0576923076923077</v>
      </c>
      <c r="AW546" s="57" t="n">
        <f aca="false">AT546*F546</f>
        <v>449.28</v>
      </c>
      <c r="AX546" s="57" t="n">
        <f aca="false">ROUNDUP(MAX(I546/IF(BV546&gt;0,BV546,MAX(0.1,N(Cockpit!$O$6))),BY546)/BQ546,0)*BQ546</f>
        <v>117</v>
      </c>
      <c r="AY546" s="58" t="n">
        <f aca="false">IF(AV546&gt;0,I546/AV546,-1)</f>
        <v>1248</v>
      </c>
      <c r="AZ546" s="58" t="n">
        <f aca="false">IF(AND(OR(BU546="L1",BU546="L23"),AV546&gt;0),SUMIFS($AV$7:$AV$1576,$BU$7:$BU$1576,BU546,$AY$7:$AY$1576,"&gt;"&amp;AY546)+SUMIFS($AV$7:$AV$1576,$BU$7:$BU$1576,BU546,$AY$7:$AY$1576,AY546,$BO$7:$BO$1576,"&lt;="&amp;BO546),"")</f>
        <v>19.7872997175283</v>
      </c>
      <c r="BA546" s="65" t="n">
        <f aca="false">IF(AZ546="",0,MAX(0,MIN(1,(IF(BU546="L1",Parameter!$E$5,Parameter!$E$6+Parameter!$E$7)-(AZ546-AV546))/AV546)))</f>
        <v>1</v>
      </c>
      <c r="BB546" s="55" t="str">
        <f aca="false">IF(AF546&lt;=0,"",IF(BU546="Aussen","Aussenlager",IF(BU546="-","Nicht im Lift",IF(AK546&gt;=1,"Lift",IF(AK546&lt;=0,"Aussenlager","teilweise")))))</f>
        <v>Lift</v>
      </c>
      <c r="BC546" s="55" t="str">
        <f aca="false">IF(AN546&lt;=0,"",IF(BU546="Aussen","Aussenlager",IF(BU546="-","Nicht im Lift",IF(AS546&gt;=1,"Lift",IF(AS546&lt;=0,"Aussenlager","teilweise")))))</f>
        <v>Lift</v>
      </c>
      <c r="BD546" s="55" t="str">
        <f aca="false">IF(AV546&lt;=0,"",IF(BU546="Aussen","Aussenlager",IF(BU546="-","Nicht im Lift",IF(BA546&gt;=1,"Lift",IF(BA546&lt;=0,"Aussenlager","teilweise")))))</f>
        <v>Lift</v>
      </c>
      <c r="BE546" s="55" t="str">
        <f aca="false">IF(A546="","",IF(BN546=1,"Neu; ","")&amp;IF(AND(BN546=0,BI546&lt;0),"negativer Bestand (Export "&amp;BI546&amp;"); ","")&amp;IF(I546&lt;=0,"Kein Verbrauch; ","")&amp;IF(CD546&gt;0,"Lift "&amp;U546&amp;" lt. Liftbericht (Fach "&amp;V546&amp;" Stk); ",IF(BR546=1,"Lose – Fläche geschätzt; ",""))&amp;IF(G546&gt;AP546,"Überbestand "&amp;ROUND(G546-AP546,0)&amp;" Stk / CHF "&amp;ROUND((G546-AP546)*F546,0)&amp;"; ","")&amp;IF(AND(BW546=1,BX546&lt;BY546),"MAX &lt; MB+LG; ","")&amp;IF(AND(CC546&gt;0,CB546*10&gt;CC546),"zu hoch für Tablar; ","")&amp;IF(AND(BN546=0,OR(BW546=1,Y546&lt;&gt;"",S546&lt;&gt;"",T546&lt;&gt;"",Z546&lt;&gt;"")),"manuell übersteuert; ","")&amp;IF(AND(BR546=0,Q546=0),"Gebinde unbekannt / Stellmass fehlt; ","")&amp;IF(AND(BR546=0,N(T546)&lt;=0,N(P546)&lt;=0),"Menge pro Gebinde fehlt (Ist = 1 Gebinde); ","")&amp;BM546)</f>
        <v/>
      </c>
      <c r="BF546" s="55"/>
      <c r="BG546" s="55"/>
      <c r="BH546" s="62"/>
      <c r="BI546" s="57" t="n">
        <v>4</v>
      </c>
      <c r="BJ546" s="57" t="n">
        <v>105</v>
      </c>
      <c r="BK546" s="56" t="n">
        <v>18.5100000000001</v>
      </c>
      <c r="BL546" s="57" t="n">
        <v>72</v>
      </c>
      <c r="BM546" s="55"/>
      <c r="BN546" s="60" t="n">
        <v>0</v>
      </c>
      <c r="BO546" s="60" t="n">
        <v>546</v>
      </c>
      <c r="BP546" s="55" t="str">
        <f aca="false">IF(S546&lt;&gt;"",UPPER(TRIM(S546)),IF(O546="","LOSE",O546))</f>
        <v>S41</v>
      </c>
      <c r="BQ546" s="57" t="n">
        <f aca="false">IF(BP546="LOSE",1,IF(N(T546)&gt;0,T546,IF(N(P546)&gt;0,P546,MAX(1,G546))))</f>
        <v>39</v>
      </c>
      <c r="BR546" s="60" t="n">
        <f aca="false">IF(BP546="LOSE",1,0)</f>
        <v>0</v>
      </c>
      <c r="BS546" s="59" t="n">
        <f aca="false">IF(BR546=0,0,IF(N(R546)&gt;0,R546,IFERROR(VLOOKUP(D546,Parameter!$A$35:$C$64,3,0)+0,0)))</f>
        <v>0</v>
      </c>
      <c r="BT546" s="55" t="n">
        <f aca="false">IF(Y546&lt;&gt;"",Y546,X546)</f>
        <v>3</v>
      </c>
      <c r="BU546" s="55" t="str">
        <f aca="false">IF(BT546=1,"L1",IF(OR(BT546=2,BT546=3),"L23",IF(BT546="Aussen","Aussen","-")))</f>
        <v>L23</v>
      </c>
      <c r="BV546" s="66" t="n">
        <f aca="false">IF(N(Z546)&gt;0,Z546,0)</f>
        <v>0</v>
      </c>
      <c r="BW546" s="60" t="n">
        <f aca="false">IF(ISNUMBER(AC546),1,0)</f>
        <v>0</v>
      </c>
      <c r="BX546" s="57" t="n">
        <f aca="false">N(AC546)</f>
        <v>0</v>
      </c>
      <c r="BY546" s="57" t="n">
        <f aca="false">N(L546)+N(M546)</f>
        <v>107</v>
      </c>
      <c r="BZ546" s="57" t="n">
        <f aca="false">ROUNDUP(G546/BQ546,0)</f>
        <v>1</v>
      </c>
      <c r="CA546" s="57" t="n">
        <f aca="false">ROUNDUP(BX546/BQ546,0)</f>
        <v>0</v>
      </c>
      <c r="CB546" s="60" t="n">
        <f aca="false">IF(BR546=1,0,IFERROR(VLOOKUP(BP546,'Gebinde-Kategorie'!$A$5:$M$45,5,0)+0,0))</f>
        <v>11</v>
      </c>
      <c r="CC546" s="60" t="n">
        <f aca="false">IFERROR(IF(OR(BT546=1,BT546=2,BT546=3),N(INDEX(Parameter!$I$5:$I$7,BT546)),0),0)</f>
        <v>0</v>
      </c>
      <c r="CD546" s="59" t="n">
        <f aca="false">IF(AND(Parameter!$B$21="Ja",ISNUMBER(U546),N(V546)&gt;0),IFERROR(N(INDEX(Parameter!$L$5:$L$7,U546))*INDEX(Parameter!$E$5:$E$7,U546)*V546/SUMIFS($V$7:$V$1576,$U$7:$U$1576,U546),0),0)</f>
        <v>0</v>
      </c>
    </row>
    <row r="547" customFormat="false" ht="15" hidden="false" customHeight="false" outlineLevel="0" collapsed="false">
      <c r="A547" s="55" t="s">
        <v>1160</v>
      </c>
      <c r="B547" s="55" t="s">
        <v>1161</v>
      </c>
      <c r="C547" s="55" t="s">
        <v>160</v>
      </c>
      <c r="D547" s="55" t="s">
        <v>178</v>
      </c>
      <c r="E547" s="55" t="s">
        <v>210</v>
      </c>
      <c r="F547" s="56" t="n">
        <v>14.86</v>
      </c>
      <c r="G547" s="57" t="n">
        <f aca="false">MAX(0,IF(AND(Parameter!$B$21="Ja",ISNUMBER(W547)),W547,IF(Parameter!$B$20="Jahresanfang 2025 + Export",BJ547+BI547,BI547)))</f>
        <v>0</v>
      </c>
      <c r="H547" s="57" t="n">
        <f aca="false">G547*F547</f>
        <v>0</v>
      </c>
      <c r="I547" s="57" t="n">
        <f aca="false">BL547*Parameter!$B$18</f>
        <v>7</v>
      </c>
      <c r="J547" s="58" t="n">
        <v>8</v>
      </c>
      <c r="K547" s="59" t="n">
        <v>0.875</v>
      </c>
      <c r="L547" s="57" t="n">
        <v>0</v>
      </c>
      <c r="M547" s="57" t="n">
        <v>5</v>
      </c>
      <c r="N547" s="60" t="n">
        <v>21</v>
      </c>
      <c r="O547" s="55" t="s">
        <v>411</v>
      </c>
      <c r="P547" s="57" t="n">
        <v>11</v>
      </c>
      <c r="Q547" s="60" t="n">
        <f aca="false">IF(BR547=1,0,IFERROR(VLOOKUP(BP547,'Gebinde-Kategorie'!$A$5:$M$45,13,0)+0,0))</f>
        <v>132</v>
      </c>
      <c r="R547" s="61"/>
      <c r="S547" s="62"/>
      <c r="T547" s="62"/>
      <c r="U547" s="55"/>
      <c r="V547" s="57"/>
      <c r="W547" s="57"/>
      <c r="X547" s="55" t="n">
        <f aca="false">IF(A547="","",IF(AND(Parameter!$B$21="Ja",ISNUMBER(U547)),U547,IF(IFERROR(VLOOKUP(D547,Parameter!$A$35:$C$64,2,0),"Nein")="2+3",IF(ISNUMBER(SEARCH("grosser Artikel",BM547)),2,IFERROR(VLOOKUP(BP547,Parameter!$F$35:$G$64,2,0),2)),IF(OR(IFERROR(VLOOKUP(D547,Parameter!$A$35:$C$64,2,0),"Nein")="Nein",IFERROR(VLOOKUP(D547,Parameter!$A$35:$C$64,2,0),"Nein")=""),"-",VLOOKUP(D547,Parameter!$A$35:$C$64,2,0)))))</f>
        <v>3</v>
      </c>
      <c r="Y547" s="62"/>
      <c r="Z547" s="63"/>
      <c r="AA547" s="57" t="n">
        <f aca="false">AP547</f>
        <v>11</v>
      </c>
      <c r="AB547" s="57" t="n">
        <f aca="false">MAX(AP547,G547)</f>
        <v>11</v>
      </c>
      <c r="AC547" s="64"/>
      <c r="AD547" s="57" t="n">
        <f aca="false">IF(LEFT(Cockpit!$C$5,1)="A",G547,IF(BW547=1,BX547,IF(LEFT(Cockpit!$C$5,1)="B",AH547,MAX(AH547,G547))))</f>
        <v>0</v>
      </c>
      <c r="AE547" s="57" t="n">
        <f aca="false">IF(BR547=1,0,ROUNDUP(AD547/BQ547,0))</f>
        <v>0</v>
      </c>
      <c r="AF547" s="59" t="n">
        <f aca="false">IF(CD547&gt;0,CD547*MAX(1,AD547/V547),IF(BR547=1,IF(AD547&lt;=0,0,BS547*MAX(1,IF(G547&gt;0,AD547/G547,1))),IF(Q547&gt;0,AE547/Q547,0))/MAX(0.1,N(Parameter!$M$21)))</f>
        <v>0</v>
      </c>
      <c r="AG547" s="57" t="n">
        <f aca="false">AD547*F547</f>
        <v>0</v>
      </c>
      <c r="AH547" s="57" t="n">
        <f aca="false">ROUNDUP(MAX(I547/IF(BV547&gt;0,BV547,MAX(0.1,N(Cockpit!$C$6))),BY547)/BQ547,0)*BQ547</f>
        <v>11</v>
      </c>
      <c r="AI547" s="58" t="n">
        <f aca="false">IF(AF547&gt;0,I547/AF547,-1)</f>
        <v>-1</v>
      </c>
      <c r="AJ547" s="58" t="str">
        <f aca="false">IF(AND(OR(BU547="L1",BU547="L23"),AF547&gt;0),SUMIFS($AF$7:$AF$1576,$BU$7:$BU$1576,BU547,$AI$7:$AI$1576,"&gt;"&amp;AI547)+SUMIFS($AF$7:$AF$1576,$BU$7:$BU$1576,BU547,$AI$7:$AI$1576,AI547,$BO$7:$BO$1576,"&lt;="&amp;BO547),"")</f>
        <v/>
      </c>
      <c r="AK547" s="65" t="n">
        <f aca="false">IF(AJ547="",0,MAX(0,MIN(1,(IF(BU547="L1",Parameter!$E$5,Parameter!$E$6+Parameter!$E$7)-(AJ547-AF547))/AF547)))</f>
        <v>0</v>
      </c>
      <c r="AL547" s="57" t="n">
        <f aca="false">IF(LEFT(Cockpit!$I$5,1)="A",G547,IF(BW547=1,BX547,IF(LEFT(Cockpit!$I$5,1)="B",AP547,MAX(AP547,G547))))</f>
        <v>11</v>
      </c>
      <c r="AM547" s="57" t="n">
        <f aca="false">IF(BR547=1,0,ROUNDUP(AL547/BQ547,0))</f>
        <v>1</v>
      </c>
      <c r="AN547" s="59" t="n">
        <f aca="false">IF(CD547&gt;0,CD547*MAX(1,AL547/V547),IF(BR547=1,IF(AL547&lt;=0,0,BS547*MAX(1,IF(G547&gt;0,AL547/G547,1))),IF(Q547&gt;0,AM547/Q547,0))/MAX(0.1,N(Parameter!$M$21)))</f>
        <v>0.00757575757575758</v>
      </c>
      <c r="AO547" s="57" t="n">
        <f aca="false">AL547*F547</f>
        <v>163.46</v>
      </c>
      <c r="AP547" s="57" t="n">
        <f aca="false">ROUNDUP(MAX(I547/IF(BV547&gt;0,BV547,MAX(0.1,N(Cockpit!$I$6))),BY547)/BQ547,0)*BQ547</f>
        <v>11</v>
      </c>
      <c r="AQ547" s="58" t="n">
        <f aca="false">IF(AN547&gt;0,I547/AN547,-1)</f>
        <v>924</v>
      </c>
      <c r="AR547" s="58" t="n">
        <f aca="false">IF(AND(OR(BU547="L1",BU547="L23"),AN547&gt;0),SUMIFS($AN$7:$AN$1576,$BU$7:$BU$1576,BU547,$AQ$7:$AQ$1576,"&gt;"&amp;AQ547)+SUMIFS($AN$7:$AN$1576,$BU$7:$BU$1576,BU547,$AQ$7:$AQ$1576,AQ547,$BO$7:$BO$1576,"&lt;="&amp;BO547),"")</f>
        <v>24.1159348987721</v>
      </c>
      <c r="AS547" s="65" t="n">
        <f aca="false">IF(AR547="",0,MAX(0,MIN(1,(IF(BU547="L1",Parameter!$E$5,Parameter!$E$6+Parameter!$E$7)-(AR547-AN547))/AN547)))</f>
        <v>1</v>
      </c>
      <c r="AT547" s="57" t="n">
        <f aca="false">IF(LEFT(Cockpit!$O$5,1)="A",G547,IF(BW547=1,BX547,IF(LEFT(Cockpit!$O$5,1)="B",AX547,MAX(AX547,G547))))</f>
        <v>11</v>
      </c>
      <c r="AU547" s="57" t="n">
        <f aca="false">IF(BR547=1,0,ROUNDUP(AT547/BQ547,0))</f>
        <v>1</v>
      </c>
      <c r="AV547" s="59" t="n">
        <f aca="false">IF(CD547&gt;0,CD547*MAX(1,AT547/V547),IF(BR547=1,IF(AT547&lt;=0,0,BS547*MAX(1,IF(G547&gt;0,AT547/G547,1))),IF(Q547&gt;0,AU547/Q547,0))/MAX(0.1,N(Parameter!$M$21)))</f>
        <v>0.00757575757575758</v>
      </c>
      <c r="AW547" s="57" t="n">
        <f aca="false">AT547*F547</f>
        <v>163.46</v>
      </c>
      <c r="AX547" s="57" t="n">
        <f aca="false">ROUNDUP(MAX(I547/IF(BV547&gt;0,BV547,MAX(0.1,N(Cockpit!$O$6))),BY547)/BQ547,0)*BQ547</f>
        <v>11</v>
      </c>
      <c r="AY547" s="58" t="n">
        <f aca="false">IF(AV547&gt;0,I547/AV547,-1)</f>
        <v>924</v>
      </c>
      <c r="AZ547" s="58" t="n">
        <f aca="false">IF(AND(OR(BU547="L1",BU547="L23"),AV547&gt;0),SUMIFS($AV$7:$AV$1576,$BU$7:$BU$1576,BU547,$AY$7:$AY$1576,"&gt;"&amp;AY547)+SUMIFS($AV$7:$AV$1576,$BU$7:$BU$1576,BU547,$AY$7:$AY$1576,AY547,$BO$7:$BO$1576,"&lt;="&amp;BO547),"")</f>
        <v>23.3496178824551</v>
      </c>
      <c r="BA547" s="65" t="n">
        <f aca="false">IF(AZ547="",0,MAX(0,MIN(1,(IF(BU547="L1",Parameter!$E$5,Parameter!$E$6+Parameter!$E$7)-(AZ547-AV547))/AV547)))</f>
        <v>1</v>
      </c>
      <c r="BB547" s="55" t="str">
        <f aca="false">IF(AF547&lt;=0,"",IF(BU547="Aussen","Aussenlager",IF(BU547="-","Nicht im Lift",IF(AK547&gt;=1,"Lift",IF(AK547&lt;=0,"Aussenlager","teilweise")))))</f>
        <v/>
      </c>
      <c r="BC547" s="55" t="str">
        <f aca="false">IF(AN547&lt;=0,"",IF(BU547="Aussen","Aussenlager",IF(BU547="-","Nicht im Lift",IF(AS547&gt;=1,"Lift",IF(AS547&lt;=0,"Aussenlager","teilweise")))))</f>
        <v>Lift</v>
      </c>
      <c r="BD547" s="55" t="str">
        <f aca="false">IF(AV547&lt;=0,"",IF(BU547="Aussen","Aussenlager",IF(BU547="-","Nicht im Lift",IF(BA547&gt;=1,"Lift",IF(BA547&lt;=0,"Aussenlager","teilweise")))))</f>
        <v>Lift</v>
      </c>
      <c r="BE547" s="55" t="str">
        <f aca="false">IF(A547="","",IF(BN547=1,"Neu; ","")&amp;IF(AND(BN547=0,BI547&lt;0),"negativer Bestand (Export "&amp;BI547&amp;"); ","")&amp;IF(I547&lt;=0,"Kein Verbrauch; ","")&amp;IF(CD547&gt;0,"Lift "&amp;U547&amp;" lt. Liftbericht (Fach "&amp;V547&amp;" Stk); ",IF(BR547=1,"Lose – Fläche geschätzt; ",""))&amp;IF(G547&gt;AP547,"Überbestand "&amp;ROUND(G547-AP547,0)&amp;" Stk / CHF "&amp;ROUND((G547-AP547)*F547,0)&amp;"; ","")&amp;IF(AND(BW547=1,BX547&lt;BY547),"MAX &lt; MB+LG; ","")&amp;IF(AND(CC547&gt;0,CB547*10&gt;CC547),"zu hoch für Tablar; ","")&amp;IF(AND(BN547=0,OR(BW547=1,Y547&lt;&gt;"",S547&lt;&gt;"",T547&lt;&gt;"",Z547&lt;&gt;"")),"manuell übersteuert; ","")&amp;IF(AND(BR547=0,Q547=0),"Gebinde unbekannt / Stellmass fehlt; ","")&amp;IF(AND(BR547=0,N(T547)&lt;=0,N(P547)&lt;=0),"Menge pro Gebinde fehlt (Ist = 1 Gebinde); ","")&amp;BM547)</f>
        <v/>
      </c>
      <c r="BF547" s="55"/>
      <c r="BG547" s="55"/>
      <c r="BH547" s="62"/>
      <c r="BI547" s="57" t="n">
        <v>0</v>
      </c>
      <c r="BJ547" s="57" t="n">
        <v>12</v>
      </c>
      <c r="BK547" s="56" t="n">
        <v>18.48</v>
      </c>
      <c r="BL547" s="57" t="n">
        <v>7</v>
      </c>
      <c r="BM547" s="55"/>
      <c r="BN547" s="60" t="n">
        <v>0</v>
      </c>
      <c r="BO547" s="60" t="n">
        <v>547</v>
      </c>
      <c r="BP547" s="55" t="str">
        <f aca="false">IF(S547&lt;&gt;"",UPPER(TRIM(S547)),IF(O547="","LOSE",O547))</f>
        <v>S32</v>
      </c>
      <c r="BQ547" s="57" t="n">
        <f aca="false">IF(BP547="LOSE",1,IF(N(T547)&gt;0,T547,IF(N(P547)&gt;0,P547,MAX(1,G547))))</f>
        <v>11</v>
      </c>
      <c r="BR547" s="60" t="n">
        <f aca="false">IF(BP547="LOSE",1,0)</f>
        <v>0</v>
      </c>
      <c r="BS547" s="59" t="n">
        <f aca="false">IF(BR547=0,0,IF(N(R547)&gt;0,R547,IFERROR(VLOOKUP(D547,Parameter!$A$35:$C$64,3,0)+0,0)))</f>
        <v>0</v>
      </c>
      <c r="BT547" s="55" t="n">
        <f aca="false">IF(Y547&lt;&gt;"",Y547,X547)</f>
        <v>3</v>
      </c>
      <c r="BU547" s="55" t="str">
        <f aca="false">IF(BT547=1,"L1",IF(OR(BT547=2,BT547=3),"L23",IF(BT547="Aussen","Aussen","-")))</f>
        <v>L23</v>
      </c>
      <c r="BV547" s="66" t="n">
        <f aca="false">IF(N(Z547)&gt;0,Z547,0)</f>
        <v>0</v>
      </c>
      <c r="BW547" s="60" t="n">
        <f aca="false">IF(ISNUMBER(AC547),1,0)</f>
        <v>0</v>
      </c>
      <c r="BX547" s="57" t="n">
        <f aca="false">N(AC547)</f>
        <v>0</v>
      </c>
      <c r="BY547" s="57" t="n">
        <f aca="false">N(L547)+N(M547)</f>
        <v>5</v>
      </c>
      <c r="BZ547" s="57" t="n">
        <f aca="false">ROUNDUP(G547/BQ547,0)</f>
        <v>0</v>
      </c>
      <c r="CA547" s="57" t="n">
        <f aca="false">ROUNDUP(BX547/BQ547,0)</f>
        <v>0</v>
      </c>
      <c r="CB547" s="60" t="n">
        <f aca="false">IF(BR547=1,0,IFERROR(VLOOKUP(BP547,'Gebinde-Kategorie'!$A$5:$M$45,5,0)+0,0))</f>
        <v>8</v>
      </c>
      <c r="CC547" s="60" t="n">
        <f aca="false">IFERROR(IF(OR(BT547=1,BT547=2,BT547=3),N(INDEX(Parameter!$I$5:$I$7,BT547)),0),0)</f>
        <v>0</v>
      </c>
      <c r="CD547" s="59" t="n">
        <f aca="false">IF(AND(Parameter!$B$21="Ja",ISNUMBER(U547),N(V547)&gt;0),IFERROR(N(INDEX(Parameter!$L$5:$L$7,U547))*INDEX(Parameter!$E$5:$E$7,U547)*V547/SUMIFS($V$7:$V$1576,$U$7:$U$1576,U547),0),0)</f>
        <v>0</v>
      </c>
    </row>
    <row r="548" customFormat="false" ht="15" hidden="false" customHeight="false" outlineLevel="0" collapsed="false">
      <c r="A548" s="55" t="s">
        <v>1162</v>
      </c>
      <c r="B548" s="55" t="s">
        <v>1084</v>
      </c>
      <c r="C548" s="55" t="s">
        <v>160</v>
      </c>
      <c r="D548" s="55" t="s">
        <v>178</v>
      </c>
      <c r="E548" s="55" t="s">
        <v>210</v>
      </c>
      <c r="F548" s="56" t="n">
        <v>6.05</v>
      </c>
      <c r="G548" s="57" t="n">
        <f aca="false">MAX(0,IF(AND(Parameter!$B$21="Ja",ISNUMBER(W548)),W548,IF(Parameter!$B$20="Jahresanfang 2025 + Export",BJ548+BI548,BI548)))</f>
        <v>3</v>
      </c>
      <c r="H548" s="57" t="n">
        <f aca="false">G548*F548</f>
        <v>18.15</v>
      </c>
      <c r="I548" s="57" t="n">
        <f aca="false">BL548*Parameter!$B$18</f>
        <v>4</v>
      </c>
      <c r="J548" s="58" t="n">
        <v>2.5</v>
      </c>
      <c r="K548" s="59" t="n">
        <v>1.6</v>
      </c>
      <c r="L548" s="57" t="n">
        <v>0</v>
      </c>
      <c r="M548" s="57" t="n">
        <v>5</v>
      </c>
      <c r="N548" s="60" t="n">
        <v>14</v>
      </c>
      <c r="O548" s="55" t="s">
        <v>391</v>
      </c>
      <c r="P548" s="57" t="n">
        <v>3</v>
      </c>
      <c r="Q548" s="60" t="n">
        <f aca="false">IF(BR548=1,0,IFERROR(VLOOKUP(BP548,'Gebinde-Kategorie'!$A$5:$M$45,13,0)+0,0))</f>
        <v>414</v>
      </c>
      <c r="R548" s="61"/>
      <c r="S548" s="62"/>
      <c r="T548" s="62"/>
      <c r="U548" s="55"/>
      <c r="V548" s="57"/>
      <c r="W548" s="57"/>
      <c r="X548" s="55" t="n">
        <f aca="false">IF(A548="","",IF(AND(Parameter!$B$21="Ja",ISNUMBER(U548)),U548,IF(IFERROR(VLOOKUP(D548,Parameter!$A$35:$C$64,2,0),"Nein")="2+3",IF(ISNUMBER(SEARCH("grosser Artikel",BM548)),2,IFERROR(VLOOKUP(BP548,Parameter!$F$35:$G$64,2,0),2)),IF(OR(IFERROR(VLOOKUP(D548,Parameter!$A$35:$C$64,2,0),"Nein")="Nein",IFERROR(VLOOKUP(D548,Parameter!$A$35:$C$64,2,0),"Nein")=""),"-",VLOOKUP(D548,Parameter!$A$35:$C$64,2,0)))))</f>
        <v>3</v>
      </c>
      <c r="Y548" s="62"/>
      <c r="Z548" s="63"/>
      <c r="AA548" s="57" t="n">
        <f aca="false">AP548</f>
        <v>6</v>
      </c>
      <c r="AB548" s="57" t="n">
        <f aca="false">MAX(AP548,G548)</f>
        <v>6</v>
      </c>
      <c r="AC548" s="64"/>
      <c r="AD548" s="57" t="n">
        <f aca="false">IF(LEFT(Cockpit!$C$5,1)="A",G548,IF(BW548=1,BX548,IF(LEFT(Cockpit!$C$5,1)="B",AH548,MAX(AH548,G548))))</f>
        <v>3</v>
      </c>
      <c r="AE548" s="57" t="n">
        <f aca="false">IF(BR548=1,0,ROUNDUP(AD548/BQ548,0))</f>
        <v>1</v>
      </c>
      <c r="AF548" s="59" t="n">
        <f aca="false">IF(CD548&gt;0,CD548*MAX(1,AD548/V548),IF(BR548=1,IF(AD548&lt;=0,0,BS548*MAX(1,IF(G548&gt;0,AD548/G548,1))),IF(Q548&gt;0,AE548/Q548,0))/MAX(0.1,N(Parameter!$M$21)))</f>
        <v>0.00241545893719807</v>
      </c>
      <c r="AG548" s="57" t="n">
        <f aca="false">AD548*F548</f>
        <v>18.15</v>
      </c>
      <c r="AH548" s="57" t="n">
        <f aca="false">ROUNDUP(MAX(I548/IF(BV548&gt;0,BV548,MAX(0.1,N(Cockpit!$C$6))),BY548)/BQ548,0)*BQ548</f>
        <v>6</v>
      </c>
      <c r="AI548" s="58" t="n">
        <f aca="false">IF(AF548&gt;0,I548/AF548,-1)</f>
        <v>1656</v>
      </c>
      <c r="AJ548" s="58" t="n">
        <f aca="false">IF(AND(OR(BU548="L1",BU548="L23"),AF548&gt;0),SUMIFS($AF$7:$AF$1576,$BU$7:$BU$1576,BU548,$AI$7:$AI$1576,"&gt;"&amp;AI548)+SUMIFS($AF$7:$AF$1576,$BU$7:$BU$1576,BU548,$AI$7:$AI$1576,AI548,$BO$7:$BO$1576,"&lt;="&amp;BO548),"")</f>
        <v>7.63485997094693</v>
      </c>
      <c r="AK548" s="65" t="n">
        <f aca="false">IF(AJ548="",0,MAX(0,MIN(1,(IF(BU548="L1",Parameter!$E$5,Parameter!$E$6+Parameter!$E$7)-(AJ548-AF548))/AF548)))</f>
        <v>1</v>
      </c>
      <c r="AL548" s="57" t="n">
        <f aca="false">IF(LEFT(Cockpit!$I$5,1)="A",G548,IF(BW548=1,BX548,IF(LEFT(Cockpit!$I$5,1)="B",AP548,MAX(AP548,G548))))</f>
        <v>6</v>
      </c>
      <c r="AM548" s="57" t="n">
        <f aca="false">IF(BR548=1,0,ROUNDUP(AL548/BQ548,0))</f>
        <v>2</v>
      </c>
      <c r="AN548" s="59" t="n">
        <f aca="false">IF(CD548&gt;0,CD548*MAX(1,AL548/V548),IF(BR548=1,IF(AL548&lt;=0,0,BS548*MAX(1,IF(G548&gt;0,AL548/G548,1))),IF(Q548&gt;0,AM548/Q548,0))/MAX(0.1,N(Parameter!$M$21)))</f>
        <v>0.00483091787439614</v>
      </c>
      <c r="AO548" s="57" t="n">
        <f aca="false">AL548*F548</f>
        <v>36.3</v>
      </c>
      <c r="AP548" s="57" t="n">
        <f aca="false">ROUNDUP(MAX(I548/IF(BV548&gt;0,BV548,MAX(0.1,N(Cockpit!$I$6))),BY548)/BQ548,0)*BQ548</f>
        <v>6</v>
      </c>
      <c r="AQ548" s="58" t="n">
        <f aca="false">IF(AN548&gt;0,I548/AN548,-1)</f>
        <v>828</v>
      </c>
      <c r="AR548" s="58" t="n">
        <f aca="false">IF(AND(OR(BU548="L1",BU548="L23"),AN548&gt;0),SUMIFS($AN$7:$AN$1576,$BU$7:$BU$1576,BU548,$AQ$7:$AQ$1576,"&gt;"&amp;AQ548)+SUMIFS($AN$7:$AN$1576,$BU$7:$BU$1576,BU548,$AQ$7:$AQ$1576,AQ548,$BO$7:$BO$1576,"&lt;="&amp;BO548),"")</f>
        <v>25.603020808032</v>
      </c>
      <c r="AS548" s="65" t="n">
        <f aca="false">IF(AR548="",0,MAX(0,MIN(1,(IF(BU548="L1",Parameter!$E$5,Parameter!$E$6+Parameter!$E$7)-(AR548-AN548))/AN548)))</f>
        <v>1</v>
      </c>
      <c r="AT548" s="57" t="n">
        <f aca="false">IF(LEFT(Cockpit!$O$5,1)="A",G548,IF(BW548=1,BX548,IF(LEFT(Cockpit!$O$5,1)="B",AX548,MAX(AX548,G548))))</f>
        <v>6</v>
      </c>
      <c r="AU548" s="57" t="n">
        <f aca="false">IF(BR548=1,0,ROUNDUP(AT548/BQ548,0))</f>
        <v>2</v>
      </c>
      <c r="AV548" s="59" t="n">
        <f aca="false">IF(CD548&gt;0,CD548*MAX(1,AT548/V548),IF(BR548=1,IF(AT548&lt;=0,0,BS548*MAX(1,IF(G548&gt;0,AT548/G548,1))),IF(Q548&gt;0,AU548/Q548,0))/MAX(0.1,N(Parameter!$M$21)))</f>
        <v>0.00483091787439614</v>
      </c>
      <c r="AW548" s="57" t="n">
        <f aca="false">AT548*F548</f>
        <v>36.3</v>
      </c>
      <c r="AX548" s="57" t="n">
        <f aca="false">ROUNDUP(MAX(I548/IF(BV548&gt;0,BV548,MAX(0.1,N(Cockpit!$O$6))),BY548)/BQ548,0)*BQ548</f>
        <v>6</v>
      </c>
      <c r="AY548" s="58" t="n">
        <f aca="false">IF(AV548&gt;0,I548/AV548,-1)</f>
        <v>828</v>
      </c>
      <c r="AZ548" s="58" t="n">
        <f aca="false">IF(AND(OR(BU548="L1",BU548="L23"),AV548&gt;0),SUMIFS($AV$7:$AV$1576,$BU$7:$BU$1576,BU548,$AY$7:$AY$1576,"&gt;"&amp;AY548)+SUMIFS($AV$7:$AV$1576,$BU$7:$BU$1576,BU548,$AY$7:$AY$1576,AY548,$BO$7:$BO$1576,"&lt;="&amp;BO548),"")</f>
        <v>25.9200371250483</v>
      </c>
      <c r="BA548" s="65" t="n">
        <f aca="false">IF(AZ548="",0,MAX(0,MIN(1,(IF(BU548="L1",Parameter!$E$5,Parameter!$E$6+Parameter!$E$7)-(AZ548-AV548))/AV548)))</f>
        <v>1</v>
      </c>
      <c r="BB548" s="55" t="str">
        <f aca="false">IF(AF548&lt;=0,"",IF(BU548="Aussen","Aussenlager",IF(BU548="-","Nicht im Lift",IF(AK548&gt;=1,"Lift",IF(AK548&lt;=0,"Aussenlager","teilweise")))))</f>
        <v>Lift</v>
      </c>
      <c r="BC548" s="55" t="str">
        <f aca="false">IF(AN548&lt;=0,"",IF(BU548="Aussen","Aussenlager",IF(BU548="-","Nicht im Lift",IF(AS548&gt;=1,"Lift",IF(AS548&lt;=0,"Aussenlager","teilweise")))))</f>
        <v>Lift</v>
      </c>
      <c r="BD548" s="55" t="str">
        <f aca="false">IF(AV548&lt;=0,"",IF(BU548="Aussen","Aussenlager",IF(BU548="-","Nicht im Lift",IF(BA548&gt;=1,"Lift",IF(BA548&lt;=0,"Aussenlager","teilweise")))))</f>
        <v>Lift</v>
      </c>
      <c r="BE548" s="55" t="str">
        <f aca="false">IF(A548="","",IF(BN548=1,"Neu; ","")&amp;IF(AND(BN548=0,BI548&lt;0),"negativer Bestand (Export "&amp;BI548&amp;"); ","")&amp;IF(I548&lt;=0,"Kein Verbrauch; ","")&amp;IF(CD548&gt;0,"Lift "&amp;U548&amp;" lt. Liftbericht (Fach "&amp;V548&amp;" Stk); ",IF(BR548=1,"Lose – Fläche geschätzt; ",""))&amp;IF(G548&gt;AP548,"Überbestand "&amp;ROUND(G548-AP548,0)&amp;" Stk / CHF "&amp;ROUND((G548-AP548)*F548,0)&amp;"; ","")&amp;IF(AND(BW548=1,BX548&lt;BY548),"MAX &lt; MB+LG; ","")&amp;IF(AND(CC548&gt;0,CB548*10&gt;CC548),"zu hoch für Tablar; ","")&amp;IF(AND(BN548=0,OR(BW548=1,Y548&lt;&gt;"",S548&lt;&gt;"",T548&lt;&gt;"",Z548&lt;&gt;"")),"manuell übersteuert; ","")&amp;IF(AND(BR548=0,Q548=0),"Gebinde unbekannt / Stellmass fehlt; ","")&amp;IF(AND(BR548=0,N(T548)&lt;=0,N(P548)&lt;=0),"Menge pro Gebinde fehlt (Ist = 1 Gebinde); ","")&amp;BM548)</f>
        <v/>
      </c>
      <c r="BF548" s="55"/>
      <c r="BG548" s="55"/>
      <c r="BH548" s="62"/>
      <c r="BI548" s="57" t="n">
        <v>3</v>
      </c>
      <c r="BJ548" s="57" t="n">
        <v>0</v>
      </c>
      <c r="BK548" s="56" t="n">
        <v>18.15</v>
      </c>
      <c r="BL548" s="57" t="n">
        <v>4</v>
      </c>
      <c r="BM548" s="55"/>
      <c r="BN548" s="60" t="n">
        <v>0</v>
      </c>
      <c r="BO548" s="60" t="n">
        <v>548</v>
      </c>
      <c r="BP548" s="55" t="str">
        <f aca="false">IF(S548&lt;&gt;"",UPPER(TRIM(S548)),IF(O548="","LOSE",O548))</f>
        <v>S21</v>
      </c>
      <c r="BQ548" s="57" t="n">
        <f aca="false">IF(BP548="LOSE",1,IF(N(T548)&gt;0,T548,IF(N(P548)&gt;0,P548,MAX(1,G548))))</f>
        <v>3</v>
      </c>
      <c r="BR548" s="60" t="n">
        <f aca="false">IF(BP548="LOSE",1,0)</f>
        <v>0</v>
      </c>
      <c r="BS548" s="59" t="n">
        <f aca="false">IF(BR548=0,0,IF(N(R548)&gt;0,R548,IFERROR(VLOOKUP(D548,Parameter!$A$35:$C$64,3,0)+0,0)))</f>
        <v>0</v>
      </c>
      <c r="BT548" s="55" t="n">
        <f aca="false">IF(Y548&lt;&gt;"",Y548,X548)</f>
        <v>3</v>
      </c>
      <c r="BU548" s="55" t="str">
        <f aca="false">IF(BT548=1,"L1",IF(OR(BT548=2,BT548=3),"L23",IF(BT548="Aussen","Aussen","-")))</f>
        <v>L23</v>
      </c>
      <c r="BV548" s="66" t="n">
        <f aca="false">IF(N(Z548)&gt;0,Z548,0)</f>
        <v>0</v>
      </c>
      <c r="BW548" s="60" t="n">
        <f aca="false">IF(ISNUMBER(AC548),1,0)</f>
        <v>0</v>
      </c>
      <c r="BX548" s="57" t="n">
        <f aca="false">N(AC548)</f>
        <v>0</v>
      </c>
      <c r="BY548" s="57" t="n">
        <f aca="false">N(L548)+N(M548)</f>
        <v>5</v>
      </c>
      <c r="BZ548" s="57" t="n">
        <f aca="false">ROUNDUP(G548/BQ548,0)</f>
        <v>1</v>
      </c>
      <c r="CA548" s="57" t="n">
        <f aca="false">ROUNDUP(BX548/BQ548,0)</f>
        <v>0</v>
      </c>
      <c r="CB548" s="60" t="n">
        <f aca="false">IF(BR548=1,0,IFERROR(VLOOKUP(BP548,'Gebinde-Kategorie'!$A$5:$M$45,5,0)+0,0))</f>
        <v>8</v>
      </c>
      <c r="CC548" s="60" t="n">
        <f aca="false">IFERROR(IF(OR(BT548=1,BT548=2,BT548=3),N(INDEX(Parameter!$I$5:$I$7,BT548)),0),0)</f>
        <v>0</v>
      </c>
      <c r="CD548" s="59" t="n">
        <f aca="false">IF(AND(Parameter!$B$21="Ja",ISNUMBER(U548),N(V548)&gt;0),IFERROR(N(INDEX(Parameter!$L$5:$L$7,U548))*INDEX(Parameter!$E$5:$E$7,U548)*V548/SUMIFS($V$7:$V$1576,$U$7:$U$1576,U548),0),0)</f>
        <v>0</v>
      </c>
    </row>
    <row r="549" customFormat="false" ht="15" hidden="false" customHeight="false" outlineLevel="0" collapsed="false">
      <c r="A549" s="55" t="s">
        <v>1163</v>
      </c>
      <c r="B549" s="55" t="s">
        <v>836</v>
      </c>
      <c r="C549" s="55" t="s">
        <v>160</v>
      </c>
      <c r="D549" s="55" t="s">
        <v>178</v>
      </c>
      <c r="E549" s="55" t="s">
        <v>210</v>
      </c>
      <c r="F549" s="56" t="n">
        <v>15.69</v>
      </c>
      <c r="G549" s="57" t="n">
        <f aca="false">MAX(0,IF(AND(Parameter!$B$21="Ja",ISNUMBER(W549)),W549,IF(Parameter!$B$20="Jahresanfang 2025 + Export",BJ549+BI549,BI549)))</f>
        <v>1</v>
      </c>
      <c r="H549" s="57" t="n">
        <f aca="false">G549*F549</f>
        <v>15.69</v>
      </c>
      <c r="I549" s="57" t="n">
        <f aca="false">BL549*Parameter!$B$18</f>
        <v>7</v>
      </c>
      <c r="J549" s="58" t="n">
        <v>6</v>
      </c>
      <c r="K549" s="59" t="n">
        <v>1.16666666666667</v>
      </c>
      <c r="L549" s="57" t="n">
        <v>0</v>
      </c>
      <c r="M549" s="57" t="n">
        <v>5</v>
      </c>
      <c r="N549" s="60" t="n">
        <v>14</v>
      </c>
      <c r="O549" s="55" t="s">
        <v>465</v>
      </c>
      <c r="P549" s="57" t="n">
        <v>10</v>
      </c>
      <c r="Q549" s="60" t="n">
        <f aca="false">IF(BR549=1,0,IFERROR(VLOOKUP(BP549,'Gebinde-Kategorie'!$A$5:$M$45,13,0)+0,0))</f>
        <v>66</v>
      </c>
      <c r="R549" s="61"/>
      <c r="S549" s="62"/>
      <c r="T549" s="62"/>
      <c r="U549" s="55"/>
      <c r="V549" s="57"/>
      <c r="W549" s="57"/>
      <c r="X549" s="55" t="n">
        <f aca="false">IF(A549="","",IF(AND(Parameter!$B$21="Ja",ISNUMBER(U549)),U549,IF(IFERROR(VLOOKUP(D549,Parameter!$A$35:$C$64,2,0),"Nein")="2+3",IF(ISNUMBER(SEARCH("grosser Artikel",BM549)),2,IFERROR(VLOOKUP(BP549,Parameter!$F$35:$G$64,2,0),2)),IF(OR(IFERROR(VLOOKUP(D549,Parameter!$A$35:$C$64,2,0),"Nein")="Nein",IFERROR(VLOOKUP(D549,Parameter!$A$35:$C$64,2,0),"Nein")=""),"-",VLOOKUP(D549,Parameter!$A$35:$C$64,2,0)))))</f>
        <v>3</v>
      </c>
      <c r="Y549" s="62"/>
      <c r="Z549" s="63"/>
      <c r="AA549" s="57" t="n">
        <f aca="false">AP549</f>
        <v>10</v>
      </c>
      <c r="AB549" s="57" t="n">
        <f aca="false">MAX(AP549,G549)</f>
        <v>10</v>
      </c>
      <c r="AC549" s="64"/>
      <c r="AD549" s="57" t="n">
        <f aca="false">IF(LEFT(Cockpit!$C$5,1)="A",G549,IF(BW549=1,BX549,IF(LEFT(Cockpit!$C$5,1)="B",AH549,MAX(AH549,G549))))</f>
        <v>1</v>
      </c>
      <c r="AE549" s="57" t="n">
        <f aca="false">IF(BR549=1,0,ROUNDUP(AD549/BQ549,0))</f>
        <v>1</v>
      </c>
      <c r="AF549" s="59" t="n">
        <f aca="false">IF(CD549&gt;0,CD549*MAX(1,AD549/V549),IF(BR549=1,IF(AD549&lt;=0,0,BS549*MAX(1,IF(G549&gt;0,AD549/G549,1))),IF(Q549&gt;0,AE549/Q549,0))/MAX(0.1,N(Parameter!$M$21)))</f>
        <v>0.0151515151515152</v>
      </c>
      <c r="AG549" s="57" t="n">
        <f aca="false">AD549*F549</f>
        <v>15.69</v>
      </c>
      <c r="AH549" s="57" t="n">
        <f aca="false">ROUNDUP(MAX(I549/IF(BV549&gt;0,BV549,MAX(0.1,N(Cockpit!$C$6))),BY549)/BQ549,0)*BQ549</f>
        <v>10</v>
      </c>
      <c r="AI549" s="58" t="n">
        <f aca="false">IF(AF549&gt;0,I549/AF549,-1)</f>
        <v>462</v>
      </c>
      <c r="AJ549" s="58" t="n">
        <f aca="false">IF(AND(OR(BU549="L1",BU549="L23"),AF549&gt;0),SUMIFS($AF$7:$AF$1576,$BU$7:$BU$1576,BU549,$AI$7:$AI$1576,"&gt;"&amp;AI549)+SUMIFS($AF$7:$AF$1576,$BU$7:$BU$1576,BU549,$AI$7:$AI$1576,AI549,$BO$7:$BO$1576,"&lt;="&amp;BO549),"")</f>
        <v>12.854572142833</v>
      </c>
      <c r="AK549" s="65" t="n">
        <f aca="false">IF(AJ549="",0,MAX(0,MIN(1,(IF(BU549="L1",Parameter!$E$5,Parameter!$E$6+Parameter!$E$7)-(AJ549-AF549))/AF549)))</f>
        <v>1</v>
      </c>
      <c r="AL549" s="57" t="n">
        <f aca="false">IF(LEFT(Cockpit!$I$5,1)="A",G549,IF(BW549=1,BX549,IF(LEFT(Cockpit!$I$5,1)="B",AP549,MAX(AP549,G549))))</f>
        <v>10</v>
      </c>
      <c r="AM549" s="57" t="n">
        <f aca="false">IF(BR549=1,0,ROUNDUP(AL549/BQ549,0))</f>
        <v>1</v>
      </c>
      <c r="AN549" s="59" t="n">
        <f aca="false">IF(CD549&gt;0,CD549*MAX(1,AL549/V549),IF(BR549=1,IF(AL549&lt;=0,0,BS549*MAX(1,IF(G549&gt;0,AL549/G549,1))),IF(Q549&gt;0,AM549/Q549,0))/MAX(0.1,N(Parameter!$M$21)))</f>
        <v>0.0151515151515152</v>
      </c>
      <c r="AO549" s="57" t="n">
        <f aca="false">AL549*F549</f>
        <v>156.9</v>
      </c>
      <c r="AP549" s="57" t="n">
        <f aca="false">ROUNDUP(MAX(I549/IF(BV549&gt;0,BV549,MAX(0.1,N(Cockpit!$I$6))),BY549)/BQ549,0)*BQ549</f>
        <v>10</v>
      </c>
      <c r="AQ549" s="58" t="n">
        <f aca="false">IF(AN549&gt;0,I549/AN549,-1)</f>
        <v>462</v>
      </c>
      <c r="AR549" s="58" t="n">
        <f aca="false">IF(AND(OR(BU549="L1",BU549="L23"),AN549&gt;0),SUMIFS($AN$7:$AN$1576,$BU$7:$BU$1576,BU549,$AQ$7:$AQ$1576,"&gt;"&amp;AQ549)+SUMIFS($AN$7:$AN$1576,$BU$7:$BU$1576,BU549,$AQ$7:$AQ$1576,AQ549,$BO$7:$BO$1576,"&lt;="&amp;BO549),"")</f>
        <v>35.2324132995984</v>
      </c>
      <c r="AS549" s="65" t="n">
        <f aca="false">IF(AR549="",0,MAX(0,MIN(1,(IF(BU549="L1",Parameter!$E$5,Parameter!$E$6+Parameter!$E$7)-(AR549-AN549))/AN549)))</f>
        <v>1</v>
      </c>
      <c r="AT549" s="57" t="n">
        <f aca="false">IF(LEFT(Cockpit!$O$5,1)="A",G549,IF(BW549=1,BX549,IF(LEFT(Cockpit!$O$5,1)="B",AX549,MAX(AX549,G549))))</f>
        <v>10</v>
      </c>
      <c r="AU549" s="57" t="n">
        <f aca="false">IF(BR549=1,0,ROUNDUP(AT549/BQ549,0))</f>
        <v>1</v>
      </c>
      <c r="AV549" s="59" t="n">
        <f aca="false">IF(CD549&gt;0,CD549*MAX(1,AT549/V549),IF(BR549=1,IF(AT549&lt;=0,0,BS549*MAX(1,IF(G549&gt;0,AT549/G549,1))),IF(Q549&gt;0,AU549/Q549,0))/MAX(0.1,N(Parameter!$M$21)))</f>
        <v>0.0151515151515152</v>
      </c>
      <c r="AW549" s="57" t="n">
        <f aca="false">AT549*F549</f>
        <v>156.9</v>
      </c>
      <c r="AX549" s="57" t="n">
        <f aca="false">ROUNDUP(MAX(I549/IF(BV549&gt;0,BV549,MAX(0.1,N(Cockpit!$O$6))),BY549)/BQ549,0)*BQ549</f>
        <v>10</v>
      </c>
      <c r="AY549" s="58" t="n">
        <f aca="false">IF(AV549&gt;0,I549/AV549,-1)</f>
        <v>462</v>
      </c>
      <c r="AZ549" s="58" t="n">
        <f aca="false">IF(AND(OR(BU549="L1",BU549="L23"),AV549&gt;0),SUMIFS($AV$7:$AV$1576,$BU$7:$BU$1576,BU549,$AY$7:$AY$1576,"&gt;"&amp;AY549)+SUMIFS($AV$7:$AV$1576,$BU$7:$BU$1576,BU549,$AY$7:$AY$1576,AY549,$BO$7:$BO$1576,"&lt;="&amp;BO549),"")</f>
        <v>34.3843380415231</v>
      </c>
      <c r="BA549" s="65" t="n">
        <f aca="false">IF(AZ549="",0,MAX(0,MIN(1,(IF(BU549="L1",Parameter!$E$5,Parameter!$E$6+Parameter!$E$7)-(AZ549-AV549))/AV549)))</f>
        <v>1</v>
      </c>
      <c r="BB549" s="55" t="str">
        <f aca="false">IF(AF549&lt;=0,"",IF(BU549="Aussen","Aussenlager",IF(BU549="-","Nicht im Lift",IF(AK549&gt;=1,"Lift",IF(AK549&lt;=0,"Aussenlager","teilweise")))))</f>
        <v>Lift</v>
      </c>
      <c r="BC549" s="55" t="str">
        <f aca="false">IF(AN549&lt;=0,"",IF(BU549="Aussen","Aussenlager",IF(BU549="-","Nicht im Lift",IF(AS549&gt;=1,"Lift",IF(AS549&lt;=0,"Aussenlager","teilweise")))))</f>
        <v>Lift</v>
      </c>
      <c r="BD549" s="55" t="str">
        <f aca="false">IF(AV549&lt;=0,"",IF(BU549="Aussen","Aussenlager",IF(BU549="-","Nicht im Lift",IF(BA549&gt;=1,"Lift",IF(BA549&lt;=0,"Aussenlager","teilweise")))))</f>
        <v>Lift</v>
      </c>
      <c r="BE549" s="55" t="str">
        <f aca="false">IF(A549="","",IF(BN549=1,"Neu; ","")&amp;IF(AND(BN549=0,BI549&lt;0),"negativer Bestand (Export "&amp;BI549&amp;"); ","")&amp;IF(I549&lt;=0,"Kein Verbrauch; ","")&amp;IF(CD549&gt;0,"Lift "&amp;U549&amp;" lt. Liftbericht (Fach "&amp;V549&amp;" Stk); ",IF(BR549=1,"Lose – Fläche geschätzt; ",""))&amp;IF(G549&gt;AP549,"Überbestand "&amp;ROUND(G549-AP549,0)&amp;" Stk / CHF "&amp;ROUND((G549-AP549)*F549,0)&amp;"; ","")&amp;IF(AND(BW549=1,BX549&lt;BY549),"MAX &lt; MB+LG; ","")&amp;IF(AND(CC549&gt;0,CB549*10&gt;CC549),"zu hoch für Tablar; ","")&amp;IF(AND(BN549=0,OR(BW549=1,Y549&lt;&gt;"",S549&lt;&gt;"",T549&lt;&gt;"",Z549&lt;&gt;"")),"manuell übersteuert; ","")&amp;IF(AND(BR549=0,Q549=0),"Gebinde unbekannt / Stellmass fehlt; ","")&amp;IF(AND(BR549=0,N(T549)&lt;=0,N(P549)&lt;=0),"Menge pro Gebinde fehlt (Ist = 1 Gebinde); ","")&amp;BM549)</f>
        <v/>
      </c>
      <c r="BF549" s="55"/>
      <c r="BG549" s="55"/>
      <c r="BH549" s="62"/>
      <c r="BI549" s="57" t="n">
        <v>1</v>
      </c>
      <c r="BJ549" s="57" t="n">
        <v>5</v>
      </c>
      <c r="BK549" s="56" t="n">
        <v>17.74</v>
      </c>
      <c r="BL549" s="57" t="n">
        <v>7</v>
      </c>
      <c r="BM549" s="55"/>
      <c r="BN549" s="60" t="n">
        <v>0</v>
      </c>
      <c r="BO549" s="60" t="n">
        <v>549</v>
      </c>
      <c r="BP549" s="55" t="str">
        <f aca="false">IF(S549&lt;&gt;"",UPPER(TRIM(S549)),IF(O549="","LOSE",O549))</f>
        <v>S33</v>
      </c>
      <c r="BQ549" s="57" t="n">
        <f aca="false">IF(BP549="LOSE",1,IF(N(T549)&gt;0,T549,IF(N(P549)&gt;0,P549,MAX(1,G549))))</f>
        <v>10</v>
      </c>
      <c r="BR549" s="60" t="n">
        <f aca="false">IF(BP549="LOSE",1,0)</f>
        <v>0</v>
      </c>
      <c r="BS549" s="59" t="n">
        <f aca="false">IF(BR549=0,0,IF(N(R549)&gt;0,R549,IFERROR(VLOOKUP(D549,Parameter!$A$35:$C$64,3,0)+0,0)))</f>
        <v>0</v>
      </c>
      <c r="BT549" s="55" t="n">
        <f aca="false">IF(Y549&lt;&gt;"",Y549,X549)</f>
        <v>3</v>
      </c>
      <c r="BU549" s="55" t="str">
        <f aca="false">IF(BT549=1,"L1",IF(OR(BT549=2,BT549=3),"L23",IF(BT549="Aussen","Aussen","-")))</f>
        <v>L23</v>
      </c>
      <c r="BV549" s="66" t="n">
        <f aca="false">IF(N(Z549)&gt;0,Z549,0)</f>
        <v>0</v>
      </c>
      <c r="BW549" s="60" t="n">
        <f aca="false">IF(ISNUMBER(AC549),1,0)</f>
        <v>0</v>
      </c>
      <c r="BX549" s="57" t="n">
        <f aca="false">N(AC549)</f>
        <v>0</v>
      </c>
      <c r="BY549" s="57" t="n">
        <f aca="false">N(L549)+N(M549)</f>
        <v>5</v>
      </c>
      <c r="BZ549" s="57" t="n">
        <f aca="false">ROUNDUP(G549/BQ549,0)</f>
        <v>1</v>
      </c>
      <c r="CA549" s="57" t="n">
        <f aca="false">ROUNDUP(BX549/BQ549,0)</f>
        <v>0</v>
      </c>
      <c r="CB549" s="60" t="n">
        <f aca="false">IF(BR549=1,0,IFERROR(VLOOKUP(BP549,'Gebinde-Kategorie'!$A$5:$M$45,5,0)+0,0))</f>
        <v>8</v>
      </c>
      <c r="CC549" s="60" t="n">
        <f aca="false">IFERROR(IF(OR(BT549=1,BT549=2,BT549=3),N(INDEX(Parameter!$I$5:$I$7,BT549)),0),0)</f>
        <v>0</v>
      </c>
      <c r="CD549" s="59" t="n">
        <f aca="false">IF(AND(Parameter!$B$21="Ja",ISNUMBER(U549),N(V549)&gt;0),IFERROR(N(INDEX(Parameter!$L$5:$L$7,U549))*INDEX(Parameter!$E$5:$E$7,U549)*V549/SUMIFS($V$7:$V$1576,$U$7:$U$1576,U549),0),0)</f>
        <v>0</v>
      </c>
    </row>
    <row r="550" customFormat="false" ht="15" hidden="false" customHeight="false" outlineLevel="0" collapsed="false">
      <c r="A550" s="55" t="s">
        <v>1164</v>
      </c>
      <c r="B550" s="55" t="s">
        <v>1165</v>
      </c>
      <c r="C550" s="55" t="s">
        <v>160</v>
      </c>
      <c r="D550" s="55" t="s">
        <v>178</v>
      </c>
      <c r="E550" s="55" t="s">
        <v>210</v>
      </c>
      <c r="F550" s="56" t="n">
        <v>4.21</v>
      </c>
      <c r="G550" s="57" t="n">
        <f aca="false">MAX(0,IF(AND(Parameter!$B$21="Ja",ISNUMBER(W550)),W550,IF(Parameter!$B$20="Jahresanfang 2025 + Export",BJ550+BI550,BI550)))</f>
        <v>4</v>
      </c>
      <c r="H550" s="57" t="n">
        <f aca="false">G550*F550</f>
        <v>16.84</v>
      </c>
      <c r="I550" s="57" t="n">
        <f aca="false">BL550*Parameter!$B$18</f>
        <v>7</v>
      </c>
      <c r="J550" s="58" t="n">
        <v>19.5</v>
      </c>
      <c r="K550" s="59" t="n">
        <v>0.358974358974359</v>
      </c>
      <c r="L550" s="57" t="n">
        <v>0</v>
      </c>
      <c r="M550" s="57" t="n">
        <v>5</v>
      </c>
      <c r="N550" s="60" t="n">
        <v>21</v>
      </c>
      <c r="O550" s="55" t="s">
        <v>179</v>
      </c>
      <c r="P550" s="57" t="n">
        <v>29</v>
      </c>
      <c r="Q550" s="60" t="n">
        <f aca="false">IF(BR550=1,0,IFERROR(VLOOKUP(BP550,'Gebinde-Kategorie'!$A$5:$M$45,13,0)+0,0))</f>
        <v>12</v>
      </c>
      <c r="R550" s="61"/>
      <c r="S550" s="62"/>
      <c r="T550" s="62"/>
      <c r="U550" s="55"/>
      <c r="V550" s="57"/>
      <c r="W550" s="57"/>
      <c r="X550" s="55" t="n">
        <f aca="false">IF(A550="","",IF(AND(Parameter!$B$21="Ja",ISNUMBER(U550)),U550,IF(IFERROR(VLOOKUP(D550,Parameter!$A$35:$C$64,2,0),"Nein")="2+3",IF(ISNUMBER(SEARCH("grosser Artikel",BM550)),2,IFERROR(VLOOKUP(BP550,Parameter!$F$35:$G$64,2,0),2)),IF(OR(IFERROR(VLOOKUP(D550,Parameter!$A$35:$C$64,2,0),"Nein")="Nein",IFERROR(VLOOKUP(D550,Parameter!$A$35:$C$64,2,0),"Nein")=""),"-",VLOOKUP(D550,Parameter!$A$35:$C$64,2,0)))))</f>
        <v>2</v>
      </c>
      <c r="Y550" s="62"/>
      <c r="Z550" s="63"/>
      <c r="AA550" s="57" t="n">
        <f aca="false">AP550</f>
        <v>29</v>
      </c>
      <c r="AB550" s="57" t="n">
        <f aca="false">MAX(AP550,G550)</f>
        <v>29</v>
      </c>
      <c r="AC550" s="64"/>
      <c r="AD550" s="57" t="n">
        <f aca="false">IF(LEFT(Cockpit!$C$5,1)="A",G550,IF(BW550=1,BX550,IF(LEFT(Cockpit!$C$5,1)="B",AH550,MAX(AH550,G550))))</f>
        <v>4</v>
      </c>
      <c r="AE550" s="57" t="n">
        <f aca="false">IF(BR550=1,0,ROUNDUP(AD550/BQ550,0))</f>
        <v>1</v>
      </c>
      <c r="AF550" s="59" t="n">
        <f aca="false">IF(CD550&gt;0,CD550*MAX(1,AD550/V550),IF(BR550=1,IF(AD550&lt;=0,0,BS550*MAX(1,IF(G550&gt;0,AD550/G550,1))),IF(Q550&gt;0,AE550/Q550,0))/MAX(0.1,N(Parameter!$M$21)))</f>
        <v>0.0833333333333333</v>
      </c>
      <c r="AG550" s="57" t="n">
        <f aca="false">AD550*F550</f>
        <v>16.84</v>
      </c>
      <c r="AH550" s="57" t="n">
        <f aca="false">ROUNDUP(MAX(I550/IF(BV550&gt;0,BV550,MAX(0.1,N(Cockpit!$C$6))),BY550)/BQ550,0)*BQ550</f>
        <v>29</v>
      </c>
      <c r="AI550" s="58" t="n">
        <f aca="false">IF(AF550&gt;0,I550/AF550,-1)</f>
        <v>84</v>
      </c>
      <c r="AJ550" s="58" t="n">
        <f aca="false">IF(AND(OR(BU550="L1",BU550="L23"),AF550&gt;0),SUMIFS($AF$7:$AF$1576,$BU$7:$BU$1576,BU550,$AI$7:$AI$1576,"&gt;"&amp;AI550)+SUMIFS($AF$7:$AF$1576,$BU$7:$BU$1576,BU550,$AI$7:$AI$1576,AI550,$BO$7:$BO$1576,"&lt;="&amp;BO550),"")</f>
        <v>22.9179196648762</v>
      </c>
      <c r="AK550" s="65" t="n">
        <f aca="false">IF(AJ550="",0,MAX(0,MIN(1,(IF(BU550="L1",Parameter!$E$5,Parameter!$E$6+Parameter!$E$7)-(AJ550-AF550))/AF550)))</f>
        <v>1</v>
      </c>
      <c r="AL550" s="57" t="n">
        <f aca="false">IF(LEFT(Cockpit!$I$5,1)="A",G550,IF(BW550=1,BX550,IF(LEFT(Cockpit!$I$5,1)="B",AP550,MAX(AP550,G550))))</f>
        <v>29</v>
      </c>
      <c r="AM550" s="57" t="n">
        <f aca="false">IF(BR550=1,0,ROUNDUP(AL550/BQ550,0))</f>
        <v>1</v>
      </c>
      <c r="AN550" s="59" t="n">
        <f aca="false">IF(CD550&gt;0,CD550*MAX(1,AL550/V550),IF(BR550=1,IF(AL550&lt;=0,0,BS550*MAX(1,IF(G550&gt;0,AL550/G550,1))),IF(Q550&gt;0,AM550/Q550,0))/MAX(0.1,N(Parameter!$M$21)))</f>
        <v>0.0833333333333333</v>
      </c>
      <c r="AO550" s="57" t="n">
        <f aca="false">AL550*F550</f>
        <v>122.09</v>
      </c>
      <c r="AP550" s="57" t="n">
        <f aca="false">ROUNDUP(MAX(I550/IF(BV550&gt;0,BV550,MAX(0.1,N(Cockpit!$I$6))),BY550)/BQ550,0)*BQ550</f>
        <v>29</v>
      </c>
      <c r="AQ550" s="58" t="n">
        <f aca="false">IF(AN550&gt;0,I550/AN550,-1)</f>
        <v>84</v>
      </c>
      <c r="AR550" s="58" t="n">
        <f aca="false">IF(AND(OR(BU550="L1",BU550="L23"),AN550&gt;0),SUMIFS($AN$7:$AN$1576,$BU$7:$BU$1576,BU550,$AQ$7:$AQ$1576,"&gt;"&amp;AQ550)+SUMIFS($AN$7:$AN$1576,$BU$7:$BU$1576,BU550,$AQ$7:$AQ$1576,AQ550,$BO$7:$BO$1576,"&lt;="&amp;BO550),"")</f>
        <v>73.9641595304207</v>
      </c>
      <c r="AS550" s="65" t="n">
        <f aca="false">IF(AR550="",0,MAX(0,MIN(1,(IF(BU550="L1",Parameter!$E$5,Parameter!$E$6+Parameter!$E$7)-(AR550-AN550))/AN550)))</f>
        <v>1</v>
      </c>
      <c r="AT550" s="57" t="n">
        <f aca="false">IF(LEFT(Cockpit!$O$5,1)="A",G550,IF(BW550=1,BX550,IF(LEFT(Cockpit!$O$5,1)="B",AX550,MAX(AX550,G550))))</f>
        <v>29</v>
      </c>
      <c r="AU550" s="57" t="n">
        <f aca="false">IF(BR550=1,0,ROUNDUP(AT550/BQ550,0))</f>
        <v>1</v>
      </c>
      <c r="AV550" s="59" t="n">
        <f aca="false">IF(CD550&gt;0,CD550*MAX(1,AT550/V550),IF(BR550=1,IF(AT550&lt;=0,0,BS550*MAX(1,IF(G550&gt;0,AT550/G550,1))),IF(Q550&gt;0,AU550/Q550,0))/MAX(0.1,N(Parameter!$M$21)))</f>
        <v>0.0833333333333333</v>
      </c>
      <c r="AW550" s="57" t="n">
        <f aca="false">AT550*F550</f>
        <v>122.09</v>
      </c>
      <c r="AX550" s="57" t="n">
        <f aca="false">ROUNDUP(MAX(I550/IF(BV550&gt;0,BV550,MAX(0.1,N(Cockpit!$O$6))),BY550)/BQ550,0)*BQ550</f>
        <v>29</v>
      </c>
      <c r="AY550" s="58" t="n">
        <f aca="false">IF(AV550&gt;0,I550/AV550,-1)</f>
        <v>84</v>
      </c>
      <c r="AZ550" s="58" t="n">
        <f aca="false">IF(AND(OR(BU550="L1",BU550="L23"),AV550&gt;0),SUMIFS($AV$7:$AV$1576,$BU$7:$BU$1576,BU550,$AY$7:$AY$1576,"&gt;"&amp;AY550)+SUMIFS($AV$7:$AV$1576,$BU$7:$BU$1576,BU550,$AY$7:$AY$1576,AY550,$BO$7:$BO$1576,"&lt;="&amp;BO550),"")</f>
        <v>67.5245433133045</v>
      </c>
      <c r="BA550" s="65" t="n">
        <f aca="false">IF(AZ550="",0,MAX(0,MIN(1,(IF(BU550="L1",Parameter!$E$5,Parameter!$E$6+Parameter!$E$7)-(AZ550-AV550))/AV550)))</f>
        <v>1</v>
      </c>
      <c r="BB550" s="55" t="str">
        <f aca="false">IF(AF550&lt;=0,"",IF(BU550="Aussen","Aussenlager",IF(BU550="-","Nicht im Lift",IF(AK550&gt;=1,"Lift",IF(AK550&lt;=0,"Aussenlager","teilweise")))))</f>
        <v>Lift</v>
      </c>
      <c r="BC550" s="55" t="str">
        <f aca="false">IF(AN550&lt;=0,"",IF(BU550="Aussen","Aussenlager",IF(BU550="-","Nicht im Lift",IF(AS550&gt;=1,"Lift",IF(AS550&lt;=0,"Aussenlager","teilweise")))))</f>
        <v>Lift</v>
      </c>
      <c r="BD550" s="55" t="str">
        <f aca="false">IF(AV550&lt;=0,"",IF(BU550="Aussen","Aussenlager",IF(BU550="-","Nicht im Lift",IF(BA550&gt;=1,"Lift",IF(BA550&lt;=0,"Aussenlager","teilweise")))))</f>
        <v>Lift</v>
      </c>
      <c r="BE550" s="55" t="str">
        <f aca="false">IF(A550="","",IF(BN550=1,"Neu; ","")&amp;IF(AND(BN550=0,BI550&lt;0),"negativer Bestand (Export "&amp;BI550&amp;"); ","")&amp;IF(I550&lt;=0,"Kein Verbrauch; ","")&amp;IF(CD550&gt;0,"Lift "&amp;U550&amp;" lt. Liftbericht (Fach "&amp;V550&amp;" Stk); ",IF(BR550=1,"Lose – Fläche geschätzt; ",""))&amp;IF(G550&gt;AP550,"Überbestand "&amp;ROUND(G550-AP550,0)&amp;" Stk / CHF "&amp;ROUND((G550-AP550)*F550,0)&amp;"; ","")&amp;IF(AND(BW550=1,BX550&lt;BY550),"MAX &lt; MB+LG; ","")&amp;IF(AND(CC550&gt;0,CB550*10&gt;CC550),"zu hoch für Tablar; ","")&amp;IF(AND(BN550=0,OR(BW550=1,Y550&lt;&gt;"",S550&lt;&gt;"",T550&lt;&gt;"",Z550&lt;&gt;"")),"manuell übersteuert; ","")&amp;IF(AND(BR550=0,Q550=0),"Gebinde unbekannt / Stellmass fehlt; ","")&amp;IF(AND(BR550=0,N(T550)&lt;=0,N(P550)&lt;=0),"Menge pro Gebinde fehlt (Ist = 1 Gebinde); ","")&amp;BM550)</f>
        <v/>
      </c>
      <c r="BF550" s="55"/>
      <c r="BG550" s="55"/>
      <c r="BH550" s="62"/>
      <c r="BI550" s="57" t="n">
        <v>4</v>
      </c>
      <c r="BJ550" s="57" t="n">
        <v>17</v>
      </c>
      <c r="BK550" s="56" t="n">
        <v>16.84</v>
      </c>
      <c r="BL550" s="57" t="n">
        <v>7</v>
      </c>
      <c r="BM550" s="55"/>
      <c r="BN550" s="60" t="n">
        <v>0</v>
      </c>
      <c r="BO550" s="60" t="n">
        <v>550</v>
      </c>
      <c r="BP550" s="55" t="str">
        <f aca="false">IF(S550&lt;&gt;"",UPPER(TRIM(S550)),IF(O550="","LOSE",O550))</f>
        <v>S61</v>
      </c>
      <c r="BQ550" s="57" t="n">
        <f aca="false">IF(BP550="LOSE",1,IF(N(T550)&gt;0,T550,IF(N(P550)&gt;0,P550,MAX(1,G550))))</f>
        <v>29</v>
      </c>
      <c r="BR550" s="60" t="n">
        <f aca="false">IF(BP550="LOSE",1,0)</f>
        <v>0</v>
      </c>
      <c r="BS550" s="59" t="n">
        <f aca="false">IF(BR550=0,0,IF(N(R550)&gt;0,R550,IFERROR(VLOOKUP(D550,Parameter!$A$35:$C$64,3,0)+0,0)))</f>
        <v>0</v>
      </c>
      <c r="BT550" s="55" t="n">
        <f aca="false">IF(Y550&lt;&gt;"",Y550,X550)</f>
        <v>2</v>
      </c>
      <c r="BU550" s="55" t="str">
        <f aca="false">IF(BT550=1,"L1",IF(OR(BT550=2,BT550=3),"L23",IF(BT550="Aussen","Aussen","-")))</f>
        <v>L23</v>
      </c>
      <c r="BV550" s="66" t="n">
        <f aca="false">IF(N(Z550)&gt;0,Z550,0)</f>
        <v>0</v>
      </c>
      <c r="BW550" s="60" t="n">
        <f aca="false">IF(ISNUMBER(AC550),1,0)</f>
        <v>0</v>
      </c>
      <c r="BX550" s="57" t="n">
        <f aca="false">N(AC550)</f>
        <v>0</v>
      </c>
      <c r="BY550" s="57" t="n">
        <f aca="false">N(L550)+N(M550)</f>
        <v>5</v>
      </c>
      <c r="BZ550" s="57" t="n">
        <f aca="false">ROUNDUP(G550/BQ550,0)</f>
        <v>1</v>
      </c>
      <c r="CA550" s="57" t="n">
        <f aca="false">ROUNDUP(BX550/BQ550,0)</f>
        <v>0</v>
      </c>
      <c r="CB550" s="60" t="n">
        <f aca="false">IF(BR550=1,0,IFERROR(VLOOKUP(BP550,'Gebinde-Kategorie'!$A$5:$M$45,5,0)+0,0))</f>
        <v>11</v>
      </c>
      <c r="CC550" s="60" t="n">
        <f aca="false">IFERROR(IF(OR(BT550=1,BT550=2,BT550=3),N(INDEX(Parameter!$I$5:$I$7,BT550)),0),0)</f>
        <v>0</v>
      </c>
      <c r="CD550" s="59" t="n">
        <f aca="false">IF(AND(Parameter!$B$21="Ja",ISNUMBER(U550),N(V550)&gt;0),IFERROR(N(INDEX(Parameter!$L$5:$L$7,U550))*INDEX(Parameter!$E$5:$E$7,U550)*V550/SUMIFS($V$7:$V$1576,$U$7:$U$1576,U550),0),0)</f>
        <v>0</v>
      </c>
    </row>
    <row r="551" customFormat="false" ht="15" hidden="false" customHeight="false" outlineLevel="0" collapsed="false">
      <c r="A551" s="55" t="s">
        <v>1166</v>
      </c>
      <c r="B551" s="55" t="s">
        <v>936</v>
      </c>
      <c r="C551" s="55" t="s">
        <v>160</v>
      </c>
      <c r="D551" s="55" t="s">
        <v>178</v>
      </c>
      <c r="E551" s="55" t="s">
        <v>210</v>
      </c>
      <c r="F551" s="56" t="n">
        <v>1.68</v>
      </c>
      <c r="G551" s="57" t="n">
        <f aca="false">MAX(0,IF(AND(Parameter!$B$21="Ja",ISNUMBER(W551)),W551,IF(Parameter!$B$20="Jahresanfang 2025 + Export",BJ551+BI551,BI551)))</f>
        <v>9</v>
      </c>
      <c r="H551" s="57" t="n">
        <f aca="false">G551*F551</f>
        <v>15.12</v>
      </c>
      <c r="I551" s="57" t="n">
        <f aca="false">BL551*Parameter!$B$18</f>
        <v>151</v>
      </c>
      <c r="J551" s="58" t="n">
        <v>46.5</v>
      </c>
      <c r="K551" s="59" t="n">
        <v>3.24731182795699</v>
      </c>
      <c r="L551" s="57" t="n">
        <v>8</v>
      </c>
      <c r="M551" s="57" t="n">
        <v>150</v>
      </c>
      <c r="N551" s="60" t="n">
        <v>21</v>
      </c>
      <c r="O551" s="55" t="s">
        <v>411</v>
      </c>
      <c r="P551" s="57" t="n">
        <v>91</v>
      </c>
      <c r="Q551" s="60" t="n">
        <f aca="false">IF(BR551=1,0,IFERROR(VLOOKUP(BP551,'Gebinde-Kategorie'!$A$5:$M$45,13,0)+0,0))</f>
        <v>132</v>
      </c>
      <c r="R551" s="61"/>
      <c r="S551" s="62"/>
      <c r="T551" s="62"/>
      <c r="U551" s="55"/>
      <c r="V551" s="57"/>
      <c r="W551" s="57"/>
      <c r="X551" s="55" t="n">
        <f aca="false">IF(A551="","",IF(AND(Parameter!$B$21="Ja",ISNUMBER(U551)),U551,IF(IFERROR(VLOOKUP(D551,Parameter!$A$35:$C$64,2,0),"Nein")="2+3",IF(ISNUMBER(SEARCH("grosser Artikel",BM551)),2,IFERROR(VLOOKUP(BP551,Parameter!$F$35:$G$64,2,0),2)),IF(OR(IFERROR(VLOOKUP(D551,Parameter!$A$35:$C$64,2,0),"Nein")="Nein",IFERROR(VLOOKUP(D551,Parameter!$A$35:$C$64,2,0),"Nein")=""),"-",VLOOKUP(D551,Parameter!$A$35:$C$64,2,0)))))</f>
        <v>3</v>
      </c>
      <c r="Y551" s="62"/>
      <c r="Z551" s="63"/>
      <c r="AA551" s="57" t="n">
        <f aca="false">AP551</f>
        <v>182</v>
      </c>
      <c r="AB551" s="57" t="n">
        <f aca="false">MAX(AP551,G551)</f>
        <v>182</v>
      </c>
      <c r="AC551" s="64"/>
      <c r="AD551" s="57" t="n">
        <f aca="false">IF(LEFT(Cockpit!$C$5,1)="A",G551,IF(BW551=1,BX551,IF(LEFT(Cockpit!$C$5,1)="B",AH551,MAX(AH551,G551))))</f>
        <v>9</v>
      </c>
      <c r="AE551" s="57" t="n">
        <f aca="false">IF(BR551=1,0,ROUNDUP(AD551/BQ551,0))</f>
        <v>1</v>
      </c>
      <c r="AF551" s="59" t="n">
        <f aca="false">IF(CD551&gt;0,CD551*MAX(1,AD551/V551),IF(BR551=1,IF(AD551&lt;=0,0,BS551*MAX(1,IF(G551&gt;0,AD551/G551,1))),IF(Q551&gt;0,AE551/Q551,0))/MAX(0.1,N(Parameter!$M$21)))</f>
        <v>0.00757575757575758</v>
      </c>
      <c r="AG551" s="57" t="n">
        <f aca="false">AD551*F551</f>
        <v>15.12</v>
      </c>
      <c r="AH551" s="57" t="n">
        <f aca="false">ROUNDUP(MAX(I551/IF(BV551&gt;0,BV551,MAX(0.1,N(Cockpit!$C$6))),BY551)/BQ551,0)*BQ551</f>
        <v>182</v>
      </c>
      <c r="AI551" s="58" t="n">
        <f aca="false">IF(AF551&gt;0,I551/AF551,-1)</f>
        <v>19932</v>
      </c>
      <c r="AJ551" s="58" t="n">
        <f aca="false">IF(AND(OR(BU551="L1",BU551="L23"),AF551&gt;0),SUMIFS($AF$7:$AF$1576,$BU$7:$BU$1576,BU551,$AI$7:$AI$1576,"&gt;"&amp;AI551)+SUMIFS($AF$7:$AF$1576,$BU$7:$BU$1576,BU551,$AI$7:$AI$1576,AI551,$BO$7:$BO$1576,"&lt;="&amp;BO551),"")</f>
        <v>1.81919529745617</v>
      </c>
      <c r="AK551" s="65" t="n">
        <f aca="false">IF(AJ551="",0,MAX(0,MIN(1,(IF(BU551="L1",Parameter!$E$5,Parameter!$E$6+Parameter!$E$7)-(AJ551-AF551))/AF551)))</f>
        <v>1</v>
      </c>
      <c r="AL551" s="57" t="n">
        <f aca="false">IF(LEFT(Cockpit!$I$5,1)="A",G551,IF(BW551=1,BX551,IF(LEFT(Cockpit!$I$5,1)="B",AP551,MAX(AP551,G551))))</f>
        <v>182</v>
      </c>
      <c r="AM551" s="57" t="n">
        <f aca="false">IF(BR551=1,0,ROUNDUP(AL551/BQ551,0))</f>
        <v>2</v>
      </c>
      <c r="AN551" s="59" t="n">
        <f aca="false">IF(CD551&gt;0,CD551*MAX(1,AL551/V551),IF(BR551=1,IF(AL551&lt;=0,0,BS551*MAX(1,IF(G551&gt;0,AL551/G551,1))),IF(Q551&gt;0,AM551/Q551,0))/MAX(0.1,N(Parameter!$M$21)))</f>
        <v>0.0151515151515152</v>
      </c>
      <c r="AO551" s="57" t="n">
        <f aca="false">AL551*F551</f>
        <v>305.76</v>
      </c>
      <c r="AP551" s="57" t="n">
        <f aca="false">ROUNDUP(MAX(I551/IF(BV551&gt;0,BV551,MAX(0.1,N(Cockpit!$I$6))),BY551)/BQ551,0)*BQ551</f>
        <v>182</v>
      </c>
      <c r="AQ551" s="58" t="n">
        <f aca="false">IF(AN551&gt;0,I551/AN551,-1)</f>
        <v>9966</v>
      </c>
      <c r="AR551" s="58" t="n">
        <f aca="false">IF(AND(OR(BU551="L1",BU551="L23"),AN551&gt;0),SUMIFS($AN$7:$AN$1576,$BU$7:$BU$1576,BU551,$AQ$7:$AQ$1576,"&gt;"&amp;AQ551)+SUMIFS($AN$7:$AN$1576,$BU$7:$BU$1576,BU551,$AQ$7:$AQ$1576,AQ551,$BO$7:$BO$1576,"&lt;="&amp;BO551),"")</f>
        <v>7.16845951150299</v>
      </c>
      <c r="AS551" s="65" t="n">
        <f aca="false">IF(AR551="",0,MAX(0,MIN(1,(IF(BU551="L1",Parameter!$E$5,Parameter!$E$6+Parameter!$E$7)-(AR551-AN551))/AN551)))</f>
        <v>1</v>
      </c>
      <c r="AT551" s="57" t="n">
        <f aca="false">IF(LEFT(Cockpit!$O$5,1)="A",G551,IF(BW551=1,BX551,IF(LEFT(Cockpit!$O$5,1)="B",AX551,MAX(AX551,G551))))</f>
        <v>182</v>
      </c>
      <c r="AU551" s="57" t="n">
        <f aca="false">IF(BR551=1,0,ROUNDUP(AT551/BQ551,0))</f>
        <v>2</v>
      </c>
      <c r="AV551" s="59" t="n">
        <f aca="false">IF(CD551&gt;0,CD551*MAX(1,AT551/V551),IF(BR551=1,IF(AT551&lt;=0,0,BS551*MAX(1,IF(G551&gt;0,AT551/G551,1))),IF(Q551&gt;0,AU551/Q551,0))/MAX(0.1,N(Parameter!$M$21)))</f>
        <v>0.0151515151515152</v>
      </c>
      <c r="AW551" s="57" t="n">
        <f aca="false">AT551*F551</f>
        <v>305.76</v>
      </c>
      <c r="AX551" s="57" t="n">
        <f aca="false">ROUNDUP(MAX(I551/IF(BV551&gt;0,BV551,MAX(0.1,N(Cockpit!$O$6))),BY551)/BQ551,0)*BQ551</f>
        <v>182</v>
      </c>
      <c r="AY551" s="58" t="n">
        <f aca="false">IF(AV551&gt;0,I551/AV551,-1)</f>
        <v>9966</v>
      </c>
      <c r="AZ551" s="58" t="n">
        <f aca="false">IF(AND(OR(BU551="L1",BU551="L23"),AV551&gt;0),SUMIFS($AV$7:$AV$1576,$BU$7:$BU$1576,BU551,$AY$7:$AY$1576,"&gt;"&amp;AY551)+SUMIFS($AV$7:$AV$1576,$BU$7:$BU$1576,BU551,$AY$7:$AY$1576,AY551,$BO$7:$BO$1576,"&lt;="&amp;BO551),"")</f>
        <v>6.87009121313469</v>
      </c>
      <c r="BA551" s="65" t="n">
        <f aca="false">IF(AZ551="",0,MAX(0,MIN(1,(IF(BU551="L1",Parameter!$E$5,Parameter!$E$6+Parameter!$E$7)-(AZ551-AV551))/AV551)))</f>
        <v>1</v>
      </c>
      <c r="BB551" s="55" t="str">
        <f aca="false">IF(AF551&lt;=0,"",IF(BU551="Aussen","Aussenlager",IF(BU551="-","Nicht im Lift",IF(AK551&gt;=1,"Lift",IF(AK551&lt;=0,"Aussenlager","teilweise")))))</f>
        <v>Lift</v>
      </c>
      <c r="BC551" s="55" t="str">
        <f aca="false">IF(AN551&lt;=0,"",IF(BU551="Aussen","Aussenlager",IF(BU551="-","Nicht im Lift",IF(AS551&gt;=1,"Lift",IF(AS551&lt;=0,"Aussenlager","teilweise")))))</f>
        <v>Lift</v>
      </c>
      <c r="BD551" s="55" t="str">
        <f aca="false">IF(AV551&lt;=0,"",IF(BU551="Aussen","Aussenlager",IF(BU551="-","Nicht im Lift",IF(BA551&gt;=1,"Lift",IF(BA551&lt;=0,"Aussenlager","teilweise")))))</f>
        <v>Lift</v>
      </c>
      <c r="BE551" s="55" t="str">
        <f aca="false">IF(A551="","",IF(BN551=1,"Neu; ","")&amp;IF(AND(BN551=0,BI551&lt;0),"negativer Bestand (Export "&amp;BI551&amp;"); ","")&amp;IF(I551&lt;=0,"Kein Verbrauch; ","")&amp;IF(CD551&gt;0,"Lift "&amp;U551&amp;" lt. Liftbericht (Fach "&amp;V551&amp;" Stk); ",IF(BR551=1,"Lose – Fläche geschätzt; ",""))&amp;IF(G551&gt;AP551,"Überbestand "&amp;ROUND(G551-AP551,0)&amp;" Stk / CHF "&amp;ROUND((G551-AP551)*F551,0)&amp;"; ","")&amp;IF(AND(BW551=1,BX551&lt;BY551),"MAX &lt; MB+LG; ","")&amp;IF(AND(CC551&gt;0,CB551*10&gt;CC551),"zu hoch für Tablar; ","")&amp;IF(AND(BN551=0,OR(BW551=1,Y551&lt;&gt;"",S551&lt;&gt;"",T551&lt;&gt;"",Z551&lt;&gt;"")),"manuell übersteuert; ","")&amp;IF(AND(BR551=0,Q551=0),"Gebinde unbekannt / Stellmass fehlt; ","")&amp;IF(AND(BR551=0,N(T551)&lt;=0,N(P551)&lt;=0),"Menge pro Gebinde fehlt (Ist = 1 Gebinde); ","")&amp;BM551)</f>
        <v/>
      </c>
      <c r="BF551" s="55"/>
      <c r="BG551" s="55"/>
      <c r="BH551" s="62"/>
      <c r="BI551" s="57" t="n">
        <v>9</v>
      </c>
      <c r="BJ551" s="57" t="n">
        <v>47</v>
      </c>
      <c r="BK551" s="56" t="n">
        <v>16.53</v>
      </c>
      <c r="BL551" s="57" t="n">
        <v>151</v>
      </c>
      <c r="BM551" s="55"/>
      <c r="BN551" s="60" t="n">
        <v>0</v>
      </c>
      <c r="BO551" s="60" t="n">
        <v>551</v>
      </c>
      <c r="BP551" s="55" t="str">
        <f aca="false">IF(S551&lt;&gt;"",UPPER(TRIM(S551)),IF(O551="","LOSE",O551))</f>
        <v>S32</v>
      </c>
      <c r="BQ551" s="57" t="n">
        <f aca="false">IF(BP551="LOSE",1,IF(N(T551)&gt;0,T551,IF(N(P551)&gt;0,P551,MAX(1,G551))))</f>
        <v>91</v>
      </c>
      <c r="BR551" s="60" t="n">
        <f aca="false">IF(BP551="LOSE",1,0)</f>
        <v>0</v>
      </c>
      <c r="BS551" s="59" t="n">
        <f aca="false">IF(BR551=0,0,IF(N(R551)&gt;0,R551,IFERROR(VLOOKUP(D551,Parameter!$A$35:$C$64,3,0)+0,0)))</f>
        <v>0</v>
      </c>
      <c r="BT551" s="55" t="n">
        <f aca="false">IF(Y551&lt;&gt;"",Y551,X551)</f>
        <v>3</v>
      </c>
      <c r="BU551" s="55" t="str">
        <f aca="false">IF(BT551=1,"L1",IF(OR(BT551=2,BT551=3),"L23",IF(BT551="Aussen","Aussen","-")))</f>
        <v>L23</v>
      </c>
      <c r="BV551" s="66" t="n">
        <f aca="false">IF(N(Z551)&gt;0,Z551,0)</f>
        <v>0</v>
      </c>
      <c r="BW551" s="60" t="n">
        <f aca="false">IF(ISNUMBER(AC551),1,0)</f>
        <v>0</v>
      </c>
      <c r="BX551" s="57" t="n">
        <f aca="false">N(AC551)</f>
        <v>0</v>
      </c>
      <c r="BY551" s="57" t="n">
        <f aca="false">N(L551)+N(M551)</f>
        <v>158</v>
      </c>
      <c r="BZ551" s="57" t="n">
        <f aca="false">ROUNDUP(G551/BQ551,0)</f>
        <v>1</v>
      </c>
      <c r="CA551" s="57" t="n">
        <f aca="false">ROUNDUP(BX551/BQ551,0)</f>
        <v>0</v>
      </c>
      <c r="CB551" s="60" t="n">
        <f aca="false">IF(BR551=1,0,IFERROR(VLOOKUP(BP551,'Gebinde-Kategorie'!$A$5:$M$45,5,0)+0,0))</f>
        <v>8</v>
      </c>
      <c r="CC551" s="60" t="n">
        <f aca="false">IFERROR(IF(OR(BT551=1,BT551=2,BT551=3),N(INDEX(Parameter!$I$5:$I$7,BT551)),0),0)</f>
        <v>0</v>
      </c>
      <c r="CD551" s="59" t="n">
        <f aca="false">IF(AND(Parameter!$B$21="Ja",ISNUMBER(U551),N(V551)&gt;0),IFERROR(N(INDEX(Parameter!$L$5:$L$7,U551))*INDEX(Parameter!$E$5:$E$7,U551)*V551/SUMIFS($V$7:$V$1576,$U$7:$U$1576,U551),0),0)</f>
        <v>0</v>
      </c>
    </row>
    <row r="552" customFormat="false" ht="15" hidden="false" customHeight="false" outlineLevel="0" collapsed="false">
      <c r="A552" s="55" t="s">
        <v>1167</v>
      </c>
      <c r="B552" s="55" t="s">
        <v>617</v>
      </c>
      <c r="C552" s="55" t="s">
        <v>160</v>
      </c>
      <c r="D552" s="55" t="s">
        <v>178</v>
      </c>
      <c r="E552" s="55" t="s">
        <v>210</v>
      </c>
      <c r="F552" s="56" t="n">
        <v>9.57</v>
      </c>
      <c r="G552" s="57" t="n">
        <f aca="false">MAX(0,IF(AND(Parameter!$B$21="Ja",ISNUMBER(W552)),W552,IF(Parameter!$B$20="Jahresanfang 2025 + Export",BJ552+BI552,BI552)))</f>
        <v>3</v>
      </c>
      <c r="H552" s="57" t="n">
        <f aca="false">G552*F552</f>
        <v>28.71</v>
      </c>
      <c r="I552" s="57" t="n">
        <f aca="false">BL552*Parameter!$B$18</f>
        <v>18</v>
      </c>
      <c r="J552" s="58" t="n">
        <v>8</v>
      </c>
      <c r="K552" s="59" t="n">
        <v>2.25</v>
      </c>
      <c r="L552" s="57" t="n">
        <v>0</v>
      </c>
      <c r="M552" s="57" t="n">
        <v>5</v>
      </c>
      <c r="N552" s="60" t="n">
        <v>14</v>
      </c>
      <c r="O552" s="55" t="s">
        <v>391</v>
      </c>
      <c r="P552" s="57" t="n">
        <v>31</v>
      </c>
      <c r="Q552" s="60" t="n">
        <f aca="false">IF(BR552=1,0,IFERROR(VLOOKUP(BP552,'Gebinde-Kategorie'!$A$5:$M$45,13,0)+0,0))</f>
        <v>414</v>
      </c>
      <c r="R552" s="61"/>
      <c r="S552" s="62"/>
      <c r="T552" s="62"/>
      <c r="U552" s="55"/>
      <c r="V552" s="57"/>
      <c r="W552" s="57"/>
      <c r="X552" s="55" t="n">
        <f aca="false">IF(A552="","",IF(AND(Parameter!$B$21="Ja",ISNUMBER(U552)),U552,IF(IFERROR(VLOOKUP(D552,Parameter!$A$35:$C$64,2,0),"Nein")="2+3",IF(ISNUMBER(SEARCH("grosser Artikel",BM552)),2,IFERROR(VLOOKUP(BP552,Parameter!$F$35:$G$64,2,0),2)),IF(OR(IFERROR(VLOOKUP(D552,Parameter!$A$35:$C$64,2,0),"Nein")="Nein",IFERROR(VLOOKUP(D552,Parameter!$A$35:$C$64,2,0),"Nein")=""),"-",VLOOKUP(D552,Parameter!$A$35:$C$64,2,0)))))</f>
        <v>3</v>
      </c>
      <c r="Y552" s="62"/>
      <c r="Z552" s="63"/>
      <c r="AA552" s="57" t="n">
        <f aca="false">AP552</f>
        <v>31</v>
      </c>
      <c r="AB552" s="57" t="n">
        <f aca="false">MAX(AP552,G552)</f>
        <v>31</v>
      </c>
      <c r="AC552" s="64"/>
      <c r="AD552" s="57" t="n">
        <f aca="false">IF(LEFT(Cockpit!$C$5,1)="A",G552,IF(BW552=1,BX552,IF(LEFT(Cockpit!$C$5,1)="B",AH552,MAX(AH552,G552))))</f>
        <v>3</v>
      </c>
      <c r="AE552" s="57" t="n">
        <f aca="false">IF(BR552=1,0,ROUNDUP(AD552/BQ552,0))</f>
        <v>1</v>
      </c>
      <c r="AF552" s="59" t="n">
        <f aca="false">IF(CD552&gt;0,CD552*MAX(1,AD552/V552),IF(BR552=1,IF(AD552&lt;=0,0,BS552*MAX(1,IF(G552&gt;0,AD552/G552,1))),IF(Q552&gt;0,AE552/Q552,0))/MAX(0.1,N(Parameter!$M$21)))</f>
        <v>0.00241545893719807</v>
      </c>
      <c r="AG552" s="57" t="n">
        <f aca="false">AD552*F552</f>
        <v>28.71</v>
      </c>
      <c r="AH552" s="57" t="n">
        <f aca="false">ROUNDUP(MAX(I552/IF(BV552&gt;0,BV552,MAX(0.1,N(Cockpit!$C$6))),BY552)/BQ552,0)*BQ552</f>
        <v>31</v>
      </c>
      <c r="AI552" s="58" t="n">
        <f aca="false">IF(AF552&gt;0,I552/AF552,-1)</f>
        <v>7452</v>
      </c>
      <c r="AJ552" s="58" t="n">
        <f aca="false">IF(AND(OR(BU552="L1",BU552="L23"),AF552&gt;0),SUMIFS($AF$7:$AF$1576,$BU$7:$BU$1576,BU552,$AI$7:$AI$1576,"&gt;"&amp;AI552)+SUMIFS($AF$7:$AF$1576,$BU$7:$BU$1576,BU552,$AI$7:$AI$1576,AI552,$BO$7:$BO$1576,"&lt;="&amp;BO552),"")</f>
        <v>3.05996419039897</v>
      </c>
      <c r="AK552" s="65" t="n">
        <f aca="false">IF(AJ552="",0,MAX(0,MIN(1,(IF(BU552="L1",Parameter!$E$5,Parameter!$E$6+Parameter!$E$7)-(AJ552-AF552))/AF552)))</f>
        <v>1</v>
      </c>
      <c r="AL552" s="57" t="n">
        <f aca="false">IF(LEFT(Cockpit!$I$5,1)="A",G552,IF(BW552=1,BX552,IF(LEFT(Cockpit!$I$5,1)="B",AP552,MAX(AP552,G552))))</f>
        <v>31</v>
      </c>
      <c r="AM552" s="57" t="n">
        <f aca="false">IF(BR552=1,0,ROUNDUP(AL552/BQ552,0))</f>
        <v>1</v>
      </c>
      <c r="AN552" s="59" t="n">
        <f aca="false">IF(CD552&gt;0,CD552*MAX(1,AL552/V552),IF(BR552=1,IF(AL552&lt;=0,0,BS552*MAX(1,IF(G552&gt;0,AL552/G552,1))),IF(Q552&gt;0,AM552/Q552,0))/MAX(0.1,N(Parameter!$M$21)))</f>
        <v>0.00241545893719807</v>
      </c>
      <c r="AO552" s="57" t="n">
        <f aca="false">AL552*F552</f>
        <v>296.67</v>
      </c>
      <c r="AP552" s="57" t="n">
        <f aca="false">ROUNDUP(MAX(I552/IF(BV552&gt;0,BV552,MAX(0.1,N(Cockpit!$I$6))),BY552)/BQ552,0)*BQ552</f>
        <v>31</v>
      </c>
      <c r="AQ552" s="58" t="n">
        <f aca="false">IF(AN552&gt;0,I552/AN552,-1)</f>
        <v>7452</v>
      </c>
      <c r="AR552" s="58" t="n">
        <f aca="false">IF(AND(OR(BU552="L1",BU552="L23"),AN552&gt;0),SUMIFS($AN$7:$AN$1576,$BU$7:$BU$1576,BU552,$AQ$7:$AQ$1576,"&gt;"&amp;AQ552)+SUMIFS($AN$7:$AN$1576,$BU$7:$BU$1576,BU552,$AQ$7:$AQ$1576,AQ552,$BO$7:$BO$1576,"&lt;="&amp;BO552),"")</f>
        <v>8.01039897300767</v>
      </c>
      <c r="AS552" s="65" t="n">
        <f aca="false">IF(AR552="",0,MAX(0,MIN(1,(IF(BU552="L1",Parameter!$E$5,Parameter!$E$6+Parameter!$E$7)-(AR552-AN552))/AN552)))</f>
        <v>1</v>
      </c>
      <c r="AT552" s="57" t="n">
        <f aca="false">IF(LEFT(Cockpit!$O$5,1)="A",G552,IF(BW552=1,BX552,IF(LEFT(Cockpit!$O$5,1)="B",AX552,MAX(AX552,G552))))</f>
        <v>31</v>
      </c>
      <c r="AU552" s="57" t="n">
        <f aca="false">IF(BR552=1,0,ROUNDUP(AT552/BQ552,0))</f>
        <v>1</v>
      </c>
      <c r="AV552" s="59" t="n">
        <f aca="false">IF(CD552&gt;0,CD552*MAX(1,AT552/V552),IF(BR552=1,IF(AT552&lt;=0,0,BS552*MAX(1,IF(G552&gt;0,AT552/G552,1))),IF(Q552&gt;0,AU552/Q552,0))/MAX(0.1,N(Parameter!$M$21)))</f>
        <v>0.00241545893719807</v>
      </c>
      <c r="AW552" s="57" t="n">
        <f aca="false">AT552*F552</f>
        <v>296.67</v>
      </c>
      <c r="AX552" s="57" t="n">
        <f aca="false">ROUNDUP(MAX(I552/IF(BV552&gt;0,BV552,MAX(0.1,N(Cockpit!$O$6))),BY552)/BQ552,0)*BQ552</f>
        <v>31</v>
      </c>
      <c r="AY552" s="58" t="n">
        <f aca="false">IF(AV552&gt;0,I552/AV552,-1)</f>
        <v>7452</v>
      </c>
      <c r="AZ552" s="58" t="n">
        <f aca="false">IF(AND(OR(BU552="L1",BU552="L23"),AV552&gt;0),SUMIFS($AV$7:$AV$1576,$BU$7:$BU$1576,BU552,$AY$7:$AY$1576,"&gt;"&amp;AY552)+SUMIFS($AV$7:$AV$1576,$BU$7:$BU$1576,BU552,$AY$7:$AY$1576,AY552,$BO$7:$BO$1576,"&lt;="&amp;BO552),"")</f>
        <v>8.02613323874193</v>
      </c>
      <c r="BA552" s="65" t="n">
        <f aca="false">IF(AZ552="",0,MAX(0,MIN(1,(IF(BU552="L1",Parameter!$E$5,Parameter!$E$6+Parameter!$E$7)-(AZ552-AV552))/AV552)))</f>
        <v>1</v>
      </c>
      <c r="BB552" s="55" t="str">
        <f aca="false">IF(AF552&lt;=0,"",IF(BU552="Aussen","Aussenlager",IF(BU552="-","Nicht im Lift",IF(AK552&gt;=1,"Lift",IF(AK552&lt;=0,"Aussenlager","teilweise")))))</f>
        <v>Lift</v>
      </c>
      <c r="BC552" s="55" t="str">
        <f aca="false">IF(AN552&lt;=0,"",IF(BU552="Aussen","Aussenlager",IF(BU552="-","Nicht im Lift",IF(AS552&gt;=1,"Lift",IF(AS552&lt;=0,"Aussenlager","teilweise")))))</f>
        <v>Lift</v>
      </c>
      <c r="BD552" s="55" t="str">
        <f aca="false">IF(AV552&lt;=0,"",IF(BU552="Aussen","Aussenlager",IF(BU552="-","Nicht im Lift",IF(BA552&gt;=1,"Lift",IF(BA552&lt;=0,"Aussenlager","teilweise")))))</f>
        <v>Lift</v>
      </c>
      <c r="BE552" s="55" t="str">
        <f aca="false">IF(A552="","",IF(BN552=1,"Neu; ","")&amp;IF(AND(BN552=0,BI552&lt;0),"negativer Bestand (Export "&amp;BI552&amp;"); ","")&amp;IF(I552&lt;=0,"Kein Verbrauch; ","")&amp;IF(CD552&gt;0,"Lift "&amp;U552&amp;" lt. Liftbericht (Fach "&amp;V552&amp;" Stk); ",IF(BR552=1,"Lose – Fläche geschätzt; ",""))&amp;IF(G552&gt;AP552,"Überbestand "&amp;ROUND(G552-AP552,0)&amp;" Stk / CHF "&amp;ROUND((G552-AP552)*F552,0)&amp;"; ","")&amp;IF(AND(BW552=1,BX552&lt;BY552),"MAX &lt; MB+LG; ","")&amp;IF(AND(CC552&gt;0,CB552*10&gt;CC552),"zu hoch für Tablar; ","")&amp;IF(AND(BN552=0,OR(BW552=1,Y552&lt;&gt;"",S552&lt;&gt;"",T552&lt;&gt;"",Z552&lt;&gt;"")),"manuell übersteuert; ","")&amp;IF(AND(BR552=0,Q552=0),"Gebinde unbekannt / Stellmass fehlt; ","")&amp;IF(AND(BR552=0,N(T552)&lt;=0,N(P552)&lt;=0),"Menge pro Gebinde fehlt (Ist = 1 Gebinde); ","")&amp;BM552)</f>
        <v/>
      </c>
      <c r="BF552" s="55"/>
      <c r="BG552" s="55"/>
      <c r="BH552" s="62"/>
      <c r="BI552" s="57" t="n">
        <v>3</v>
      </c>
      <c r="BJ552" s="57" t="n">
        <v>7</v>
      </c>
      <c r="BK552" s="56" t="n">
        <v>16.1</v>
      </c>
      <c r="BL552" s="57" t="n">
        <v>18</v>
      </c>
      <c r="BM552" s="55"/>
      <c r="BN552" s="60" t="n">
        <v>0</v>
      </c>
      <c r="BO552" s="60" t="n">
        <v>552</v>
      </c>
      <c r="BP552" s="55" t="str">
        <f aca="false">IF(S552&lt;&gt;"",UPPER(TRIM(S552)),IF(O552="","LOSE",O552))</f>
        <v>S21</v>
      </c>
      <c r="BQ552" s="57" t="n">
        <f aca="false">IF(BP552="LOSE",1,IF(N(T552)&gt;0,T552,IF(N(P552)&gt;0,P552,MAX(1,G552))))</f>
        <v>31</v>
      </c>
      <c r="BR552" s="60" t="n">
        <f aca="false">IF(BP552="LOSE",1,0)</f>
        <v>0</v>
      </c>
      <c r="BS552" s="59" t="n">
        <f aca="false">IF(BR552=0,0,IF(N(R552)&gt;0,R552,IFERROR(VLOOKUP(D552,Parameter!$A$35:$C$64,3,0)+0,0)))</f>
        <v>0</v>
      </c>
      <c r="BT552" s="55" t="n">
        <f aca="false">IF(Y552&lt;&gt;"",Y552,X552)</f>
        <v>3</v>
      </c>
      <c r="BU552" s="55" t="str">
        <f aca="false">IF(BT552=1,"L1",IF(OR(BT552=2,BT552=3),"L23",IF(BT552="Aussen","Aussen","-")))</f>
        <v>L23</v>
      </c>
      <c r="BV552" s="66" t="n">
        <f aca="false">IF(N(Z552)&gt;0,Z552,0)</f>
        <v>0</v>
      </c>
      <c r="BW552" s="60" t="n">
        <f aca="false">IF(ISNUMBER(AC552),1,0)</f>
        <v>0</v>
      </c>
      <c r="BX552" s="57" t="n">
        <f aca="false">N(AC552)</f>
        <v>0</v>
      </c>
      <c r="BY552" s="57" t="n">
        <f aca="false">N(L552)+N(M552)</f>
        <v>5</v>
      </c>
      <c r="BZ552" s="57" t="n">
        <f aca="false">ROUNDUP(G552/BQ552,0)</f>
        <v>1</v>
      </c>
      <c r="CA552" s="57" t="n">
        <f aca="false">ROUNDUP(BX552/BQ552,0)</f>
        <v>0</v>
      </c>
      <c r="CB552" s="60" t="n">
        <f aca="false">IF(BR552=1,0,IFERROR(VLOOKUP(BP552,'Gebinde-Kategorie'!$A$5:$M$45,5,0)+0,0))</f>
        <v>8</v>
      </c>
      <c r="CC552" s="60" t="n">
        <f aca="false">IFERROR(IF(OR(BT552=1,BT552=2,BT552=3),N(INDEX(Parameter!$I$5:$I$7,BT552)),0),0)</f>
        <v>0</v>
      </c>
      <c r="CD552" s="59" t="n">
        <f aca="false">IF(AND(Parameter!$B$21="Ja",ISNUMBER(U552),N(V552)&gt;0),IFERROR(N(INDEX(Parameter!$L$5:$L$7,U552))*INDEX(Parameter!$E$5:$E$7,U552)*V552/SUMIFS($V$7:$V$1576,$U$7:$U$1576,U552),0),0)</f>
        <v>0</v>
      </c>
    </row>
    <row r="553" customFormat="false" ht="15" hidden="false" customHeight="false" outlineLevel="0" collapsed="false">
      <c r="A553" s="55" t="s">
        <v>1168</v>
      </c>
      <c r="B553" s="55" t="s">
        <v>395</v>
      </c>
      <c r="C553" s="55" t="s">
        <v>160</v>
      </c>
      <c r="D553" s="55" t="s">
        <v>168</v>
      </c>
      <c r="E553" s="55" t="s">
        <v>210</v>
      </c>
      <c r="F553" s="56" t="n">
        <v>0.17</v>
      </c>
      <c r="G553" s="57" t="n">
        <f aca="false">MAX(0,IF(AND(Parameter!$B$21="Ja",ISNUMBER(W553)),W553,IF(Parameter!$B$20="Jahresanfang 2025 + Export",BJ553+BI553,BI553)))</f>
        <v>252</v>
      </c>
      <c r="H553" s="57" t="n">
        <f aca="false">G553*F553</f>
        <v>42.84</v>
      </c>
      <c r="I553" s="57" t="n">
        <f aca="false">BL553*Parameter!$B$18</f>
        <v>1832</v>
      </c>
      <c r="J553" s="58" t="n">
        <v>730.5</v>
      </c>
      <c r="K553" s="59" t="n">
        <v>2.50787132101301</v>
      </c>
      <c r="L553" s="57" t="n">
        <v>340</v>
      </c>
      <c r="M553" s="57" t="n">
        <v>400</v>
      </c>
      <c r="N553" s="60" t="n">
        <v>14</v>
      </c>
      <c r="O553" s="55" t="s">
        <v>225</v>
      </c>
      <c r="P553" s="57" t="n">
        <v>931</v>
      </c>
      <c r="Q553" s="60" t="n">
        <f aca="false">IF(BR553=1,0,IFERROR(VLOOKUP(BP553,'Gebinde-Kategorie'!$A$5:$M$45,13,0)+0,0))</f>
        <v>26</v>
      </c>
      <c r="R553" s="61"/>
      <c r="S553" s="62"/>
      <c r="T553" s="62"/>
      <c r="U553" s="55"/>
      <c r="V553" s="57"/>
      <c r="W553" s="57"/>
      <c r="X553" s="55" t="n">
        <f aca="false">IF(A553="","",IF(AND(Parameter!$B$21="Ja",ISNUMBER(U553)),U553,IF(IFERROR(VLOOKUP(D553,Parameter!$A$35:$C$64,2,0),"Nein")="2+3",IF(ISNUMBER(SEARCH("grosser Artikel",BM553)),2,IFERROR(VLOOKUP(BP553,Parameter!$F$35:$G$64,2,0),2)),IF(OR(IFERROR(VLOOKUP(D553,Parameter!$A$35:$C$64,2,0),"Nein")="Nein",IFERROR(VLOOKUP(D553,Parameter!$A$35:$C$64,2,0),"Nein")=""),"-",VLOOKUP(D553,Parameter!$A$35:$C$64,2,0)))))</f>
        <v>3</v>
      </c>
      <c r="Y553" s="62"/>
      <c r="Z553" s="63"/>
      <c r="AA553" s="57" t="n">
        <f aca="false">AP553</f>
        <v>931</v>
      </c>
      <c r="AB553" s="57" t="n">
        <f aca="false">MAX(AP553,G553)</f>
        <v>931</v>
      </c>
      <c r="AC553" s="64"/>
      <c r="AD553" s="57" t="n">
        <f aca="false">IF(LEFT(Cockpit!$C$5,1)="A",G553,IF(BW553=1,BX553,IF(LEFT(Cockpit!$C$5,1)="B",AH553,MAX(AH553,G553))))</f>
        <v>252</v>
      </c>
      <c r="AE553" s="57" t="n">
        <f aca="false">IF(BR553=1,0,ROUNDUP(AD553/BQ553,0))</f>
        <v>1</v>
      </c>
      <c r="AF553" s="59" t="n">
        <f aca="false">IF(CD553&gt;0,CD553*MAX(1,AD553/V553),IF(BR553=1,IF(AD553&lt;=0,0,BS553*MAX(1,IF(G553&gt;0,AD553/G553,1))),IF(Q553&gt;0,AE553/Q553,0))/MAX(0.1,N(Parameter!$M$21)))</f>
        <v>0.0384615384615385</v>
      </c>
      <c r="AG553" s="57" t="n">
        <f aca="false">AD553*F553</f>
        <v>42.84</v>
      </c>
      <c r="AH553" s="57" t="n">
        <f aca="false">ROUNDUP(MAX(I553/IF(BV553&gt;0,BV553,MAX(0.1,N(Cockpit!$C$6))),BY553)/BQ553,0)*BQ553</f>
        <v>931</v>
      </c>
      <c r="AI553" s="58" t="n">
        <f aca="false">IF(AF553&gt;0,I553/AF553,-1)</f>
        <v>47632</v>
      </c>
      <c r="AJ553" s="58" t="n">
        <f aca="false">IF(AND(OR(BU553="L1",BU553="L23"),AF553&gt;0),SUMIFS($AF$7:$AF$1576,$BU$7:$BU$1576,BU553,$AI$7:$AI$1576,"&gt;"&amp;AI553)+SUMIFS($AF$7:$AF$1576,$BU$7:$BU$1576,BU553,$AI$7:$AI$1576,AI553,$BO$7:$BO$1576,"&lt;="&amp;BO553),"")</f>
        <v>0.851297253471167</v>
      </c>
      <c r="AK553" s="65" t="n">
        <f aca="false">IF(AJ553="",0,MAX(0,MIN(1,(IF(BU553="L1",Parameter!$E$5,Parameter!$E$6+Parameter!$E$7)-(AJ553-AF553))/AF553)))</f>
        <v>1</v>
      </c>
      <c r="AL553" s="57" t="n">
        <f aca="false">IF(LEFT(Cockpit!$I$5,1)="A",G553,IF(BW553=1,BX553,IF(LEFT(Cockpit!$I$5,1)="B",AP553,MAX(AP553,G553))))</f>
        <v>931</v>
      </c>
      <c r="AM553" s="57" t="n">
        <f aca="false">IF(BR553=1,0,ROUNDUP(AL553/BQ553,0))</f>
        <v>1</v>
      </c>
      <c r="AN553" s="59" t="n">
        <f aca="false">IF(CD553&gt;0,CD553*MAX(1,AL553/V553),IF(BR553=1,IF(AL553&lt;=0,0,BS553*MAX(1,IF(G553&gt;0,AL553/G553,1))),IF(Q553&gt;0,AM553/Q553,0))/MAX(0.1,N(Parameter!$M$21)))</f>
        <v>0.0384615384615385</v>
      </c>
      <c r="AO553" s="57" t="n">
        <f aca="false">AL553*F553</f>
        <v>158.27</v>
      </c>
      <c r="AP553" s="57" t="n">
        <f aca="false">ROUNDUP(MAX(I553/IF(BV553&gt;0,BV553,MAX(0.1,N(Cockpit!$I$6))),BY553)/BQ553,0)*BQ553</f>
        <v>931</v>
      </c>
      <c r="AQ553" s="58" t="n">
        <f aca="false">IF(AN553&gt;0,I553/AN553,-1)</f>
        <v>47632</v>
      </c>
      <c r="AR553" s="58" t="n">
        <f aca="false">IF(AND(OR(BU553="L1",BU553="L23"),AN553&gt;0),SUMIFS($AN$7:$AN$1576,$BU$7:$BU$1576,BU553,$AQ$7:$AQ$1576,"&gt;"&amp;AQ553)+SUMIFS($AN$7:$AN$1576,$BU$7:$BU$1576,BU553,$AQ$7:$AQ$1576,AQ553,$BO$7:$BO$1576,"&lt;="&amp;BO553),"")</f>
        <v>1.35679301374954</v>
      </c>
      <c r="AS553" s="65" t="n">
        <f aca="false">IF(AR553="",0,MAX(0,MIN(1,(IF(BU553="L1",Parameter!$E$5,Parameter!$E$6+Parameter!$E$7)-(AR553-AN553))/AN553)))</f>
        <v>1</v>
      </c>
      <c r="AT553" s="57" t="n">
        <f aca="false">IF(LEFT(Cockpit!$O$5,1)="A",G553,IF(BW553=1,BX553,IF(LEFT(Cockpit!$O$5,1)="B",AX553,MAX(AX553,G553))))</f>
        <v>931</v>
      </c>
      <c r="AU553" s="57" t="n">
        <f aca="false">IF(BR553=1,0,ROUNDUP(AT553/BQ553,0))</f>
        <v>1</v>
      </c>
      <c r="AV553" s="59" t="n">
        <f aca="false">IF(CD553&gt;0,CD553*MAX(1,AT553/V553),IF(BR553=1,IF(AT553&lt;=0,0,BS553*MAX(1,IF(G553&gt;0,AT553/G553,1))),IF(Q553&gt;0,AU553/Q553,0))/MAX(0.1,N(Parameter!$M$21)))</f>
        <v>0.0384615384615385</v>
      </c>
      <c r="AW553" s="57" t="n">
        <f aca="false">AT553*F553</f>
        <v>158.27</v>
      </c>
      <c r="AX553" s="57" t="n">
        <f aca="false">ROUNDUP(MAX(I553/IF(BV553&gt;0,BV553,MAX(0.1,N(Cockpit!$O$6))),BY553)/BQ553,0)*BQ553</f>
        <v>931</v>
      </c>
      <c r="AY553" s="58" t="n">
        <f aca="false">IF(AV553&gt;0,I553/AV553,-1)</f>
        <v>47632</v>
      </c>
      <c r="AZ553" s="58" t="n">
        <f aca="false">IF(AND(OR(BU553="L1",BU553="L23"),AV553&gt;0),SUMIFS($AV$7:$AV$1576,$BU$7:$BU$1576,BU553,$AY$7:$AY$1576,"&gt;"&amp;AY553)+SUMIFS($AV$7:$AV$1576,$BU$7:$BU$1576,BU553,$AY$7:$AY$1576,AY553,$BO$7:$BO$1576,"&lt;="&amp;BO553),"")</f>
        <v>1.68604709300361</v>
      </c>
      <c r="BA553" s="65" t="n">
        <f aca="false">IF(AZ553="",0,MAX(0,MIN(1,(IF(BU553="L1",Parameter!$E$5,Parameter!$E$6+Parameter!$E$7)-(AZ553-AV553))/AV553)))</f>
        <v>1</v>
      </c>
      <c r="BB553" s="55" t="str">
        <f aca="false">IF(AF553&lt;=0,"",IF(BU553="Aussen","Aussenlager",IF(BU553="-","Nicht im Lift",IF(AK553&gt;=1,"Lift",IF(AK553&lt;=0,"Aussenlager","teilweise")))))</f>
        <v>Lift</v>
      </c>
      <c r="BC553" s="55" t="str">
        <f aca="false">IF(AN553&lt;=0,"",IF(BU553="Aussen","Aussenlager",IF(BU553="-","Nicht im Lift",IF(AS553&gt;=1,"Lift",IF(AS553&lt;=0,"Aussenlager","teilweise")))))</f>
        <v>Lift</v>
      </c>
      <c r="BD553" s="55" t="str">
        <f aca="false">IF(AV553&lt;=0,"",IF(BU553="Aussen","Aussenlager",IF(BU553="-","Nicht im Lift",IF(BA553&gt;=1,"Lift",IF(BA553&lt;=0,"Aussenlager","teilweise")))))</f>
        <v>Lift</v>
      </c>
      <c r="BE553" s="55" t="str">
        <f aca="false">IF(A553="","",IF(BN553=1,"Neu; ","")&amp;IF(AND(BN553=0,BI553&lt;0),"negativer Bestand (Export "&amp;BI553&amp;"); ","")&amp;IF(I553&lt;=0,"Kein Verbrauch; ","")&amp;IF(CD553&gt;0,"Lift "&amp;U553&amp;" lt. Liftbericht (Fach "&amp;V553&amp;" Stk); ",IF(BR553=1,"Lose – Fläche geschätzt; ",""))&amp;IF(G553&gt;AP553,"Überbestand "&amp;ROUND(G553-AP553,0)&amp;" Stk / CHF "&amp;ROUND((G553-AP553)*F553,0)&amp;"; ","")&amp;IF(AND(BW553=1,BX553&lt;BY553),"MAX &lt; MB+LG; ","")&amp;IF(AND(CC553&gt;0,CB553*10&gt;CC553),"zu hoch für Tablar; ","")&amp;IF(AND(BN553=0,OR(BW553=1,Y553&lt;&gt;"",S553&lt;&gt;"",T553&lt;&gt;"",Z553&lt;&gt;"")),"manuell übersteuert; ","")&amp;IF(AND(BR553=0,Q553=0),"Gebinde unbekannt / Stellmass fehlt; ","")&amp;IF(AND(BR553=0,N(T553)&lt;=0,N(P553)&lt;=0),"Menge pro Gebinde fehlt (Ist = 1 Gebinde); ","")&amp;BM553)</f>
        <v/>
      </c>
      <c r="BF553" s="55"/>
      <c r="BG553" s="55"/>
      <c r="BH553" s="62"/>
      <c r="BI553" s="57" t="n">
        <v>252</v>
      </c>
      <c r="BJ553" s="57" t="n">
        <v>552</v>
      </c>
      <c r="BK553" s="56" t="n">
        <v>15.84</v>
      </c>
      <c r="BL553" s="57" t="n">
        <v>1832</v>
      </c>
      <c r="BM553" s="55"/>
      <c r="BN553" s="60" t="n">
        <v>0</v>
      </c>
      <c r="BO553" s="60" t="n">
        <v>553</v>
      </c>
      <c r="BP553" s="55" t="str">
        <f aca="false">IF(S553&lt;&gt;"",UPPER(TRIM(S553)),IF(O553="","LOSE",O553))</f>
        <v>S52</v>
      </c>
      <c r="BQ553" s="57" t="n">
        <f aca="false">IF(BP553="LOSE",1,IF(N(T553)&gt;0,T553,IF(N(P553)&gt;0,P553,MAX(1,G553))))</f>
        <v>931</v>
      </c>
      <c r="BR553" s="60" t="n">
        <f aca="false">IF(BP553="LOSE",1,0)</f>
        <v>0</v>
      </c>
      <c r="BS553" s="59" t="n">
        <f aca="false">IF(BR553=0,0,IF(N(R553)&gt;0,R553,IFERROR(VLOOKUP(D553,Parameter!$A$35:$C$64,3,0)+0,0)))</f>
        <v>0</v>
      </c>
      <c r="BT553" s="55" t="n">
        <f aca="false">IF(Y553&lt;&gt;"",Y553,X553)</f>
        <v>3</v>
      </c>
      <c r="BU553" s="55" t="str">
        <f aca="false">IF(BT553=1,"L1",IF(OR(BT553=2,BT553=3),"L23",IF(BT553="Aussen","Aussen","-")))</f>
        <v>L23</v>
      </c>
      <c r="BV553" s="66" t="n">
        <f aca="false">IF(N(Z553)&gt;0,Z553,0)</f>
        <v>0</v>
      </c>
      <c r="BW553" s="60" t="n">
        <f aca="false">IF(ISNUMBER(AC553),1,0)</f>
        <v>0</v>
      </c>
      <c r="BX553" s="57" t="n">
        <f aca="false">N(AC553)</f>
        <v>0</v>
      </c>
      <c r="BY553" s="57" t="n">
        <f aca="false">N(L553)+N(M553)</f>
        <v>740</v>
      </c>
      <c r="BZ553" s="57" t="n">
        <f aca="false">ROUNDUP(G553/BQ553,0)</f>
        <v>1</v>
      </c>
      <c r="CA553" s="57" t="n">
        <f aca="false">ROUNDUP(BX553/BQ553,0)</f>
        <v>0</v>
      </c>
      <c r="CB553" s="60" t="n">
        <f aca="false">IF(BR553=1,0,IFERROR(VLOOKUP(BP553,'Gebinde-Kategorie'!$A$5:$M$45,5,0)+0,0))</f>
        <v>21</v>
      </c>
      <c r="CC553" s="60" t="n">
        <f aca="false">IFERROR(IF(OR(BT553=1,BT553=2,BT553=3),N(INDEX(Parameter!$I$5:$I$7,BT553)),0),0)</f>
        <v>0</v>
      </c>
      <c r="CD553" s="59" t="n">
        <f aca="false">IF(AND(Parameter!$B$21="Ja",ISNUMBER(U553),N(V553)&gt;0),IFERROR(N(INDEX(Parameter!$L$5:$L$7,U553))*INDEX(Parameter!$E$5:$E$7,U553)*V553/SUMIFS($V$7:$V$1576,$U$7:$U$1576,U553),0),0)</f>
        <v>0</v>
      </c>
    </row>
    <row r="554" customFormat="false" ht="15" hidden="false" customHeight="false" outlineLevel="0" collapsed="false">
      <c r="A554" s="55" t="s">
        <v>1169</v>
      </c>
      <c r="B554" s="55" t="s">
        <v>395</v>
      </c>
      <c r="C554" s="55" t="s">
        <v>160</v>
      </c>
      <c r="D554" s="55" t="s">
        <v>178</v>
      </c>
      <c r="E554" s="55" t="s">
        <v>210</v>
      </c>
      <c r="F554" s="56" t="n">
        <v>1.89</v>
      </c>
      <c r="G554" s="57" t="n">
        <f aca="false">MAX(0,IF(AND(Parameter!$B$21="Ja",ISNUMBER(W554)),W554,IF(Parameter!$B$20="Jahresanfang 2025 + Export",BJ554+BI554,BI554)))</f>
        <v>8</v>
      </c>
      <c r="H554" s="57" t="n">
        <f aca="false">G554*F554</f>
        <v>15.12</v>
      </c>
      <c r="I554" s="57" t="n">
        <f aca="false">BL554*Parameter!$B$18</f>
        <v>0</v>
      </c>
      <c r="J554" s="58" t="n">
        <v>193</v>
      </c>
      <c r="K554" s="59" t="n">
        <v>0</v>
      </c>
      <c r="L554" s="57" t="n">
        <v>0</v>
      </c>
      <c r="M554" s="57" t="n">
        <v>1</v>
      </c>
      <c r="N554" s="60" t="n">
        <v>14</v>
      </c>
      <c r="O554" s="55" t="s">
        <v>225</v>
      </c>
      <c r="P554" s="57" t="n">
        <v>250</v>
      </c>
      <c r="Q554" s="60" t="n">
        <f aca="false">IF(BR554=1,0,IFERROR(VLOOKUP(BP554,'Gebinde-Kategorie'!$A$5:$M$45,13,0)+0,0))</f>
        <v>26</v>
      </c>
      <c r="R554" s="61"/>
      <c r="S554" s="62"/>
      <c r="T554" s="62"/>
      <c r="U554" s="55"/>
      <c r="V554" s="57"/>
      <c r="W554" s="57"/>
      <c r="X554" s="55" t="n">
        <f aca="false">IF(A554="","",IF(AND(Parameter!$B$21="Ja",ISNUMBER(U554)),U554,IF(IFERROR(VLOOKUP(D554,Parameter!$A$35:$C$64,2,0),"Nein")="2+3",IF(ISNUMBER(SEARCH("grosser Artikel",BM554)),2,IFERROR(VLOOKUP(BP554,Parameter!$F$35:$G$64,2,0),2)),IF(OR(IFERROR(VLOOKUP(D554,Parameter!$A$35:$C$64,2,0),"Nein")="Nein",IFERROR(VLOOKUP(D554,Parameter!$A$35:$C$64,2,0),"Nein")=""),"-",VLOOKUP(D554,Parameter!$A$35:$C$64,2,0)))))</f>
        <v>3</v>
      </c>
      <c r="Y554" s="62"/>
      <c r="Z554" s="63"/>
      <c r="AA554" s="57" t="n">
        <f aca="false">AP554</f>
        <v>250</v>
      </c>
      <c r="AB554" s="57" t="n">
        <f aca="false">MAX(AP554,G554)</f>
        <v>250</v>
      </c>
      <c r="AC554" s="64"/>
      <c r="AD554" s="57" t="n">
        <f aca="false">IF(LEFT(Cockpit!$C$5,1)="A",G554,IF(BW554=1,BX554,IF(LEFT(Cockpit!$C$5,1)="B",AH554,MAX(AH554,G554))))</f>
        <v>8</v>
      </c>
      <c r="AE554" s="57" t="n">
        <f aca="false">IF(BR554=1,0,ROUNDUP(AD554/BQ554,0))</f>
        <v>1</v>
      </c>
      <c r="AF554" s="59" t="n">
        <f aca="false">IF(CD554&gt;0,CD554*MAX(1,AD554/V554),IF(BR554=1,IF(AD554&lt;=0,0,BS554*MAX(1,IF(G554&gt;0,AD554/G554,1))),IF(Q554&gt;0,AE554/Q554,0))/MAX(0.1,N(Parameter!$M$21)))</f>
        <v>0.0384615384615385</v>
      </c>
      <c r="AG554" s="57" t="n">
        <f aca="false">AD554*F554</f>
        <v>15.12</v>
      </c>
      <c r="AH554" s="57" t="n">
        <f aca="false">ROUNDUP(MAX(I554/IF(BV554&gt;0,BV554,MAX(0.1,N(Cockpit!$C$6))),BY554)/BQ554,0)*BQ554</f>
        <v>250</v>
      </c>
      <c r="AI554" s="58" t="n">
        <f aca="false">IF(AF554&gt;0,I554/AF554,-1)</f>
        <v>0</v>
      </c>
      <c r="AJ554" s="58" t="n">
        <f aca="false">IF(AND(OR(BU554="L1",BU554="L23"),AF554&gt;0),SUMIFS($AF$7:$AF$1576,$BU$7:$BU$1576,BU554,$AI$7:$AI$1576,"&gt;"&amp;AI554)+SUMIFS($AF$7:$AF$1576,$BU$7:$BU$1576,BU554,$AI$7:$AI$1576,AI554,$BO$7:$BO$1576,"&lt;="&amp;BO554),"")</f>
        <v>43.5656498091281</v>
      </c>
      <c r="AK554" s="65" t="n">
        <f aca="false">IF(AJ554="",0,MAX(0,MIN(1,(IF(BU554="L1",Parameter!$E$5,Parameter!$E$6+Parameter!$E$7)-(AJ554-AF554))/AF554)))</f>
        <v>1</v>
      </c>
      <c r="AL554" s="57" t="n">
        <f aca="false">IF(LEFT(Cockpit!$I$5,1)="A",G554,IF(BW554=1,BX554,IF(LEFT(Cockpit!$I$5,1)="B",AP554,MAX(AP554,G554))))</f>
        <v>250</v>
      </c>
      <c r="AM554" s="57" t="n">
        <f aca="false">IF(BR554=1,0,ROUNDUP(AL554/BQ554,0))</f>
        <v>1</v>
      </c>
      <c r="AN554" s="59" t="n">
        <f aca="false">IF(CD554&gt;0,CD554*MAX(1,AL554/V554),IF(BR554=1,IF(AL554&lt;=0,0,BS554*MAX(1,IF(G554&gt;0,AL554/G554,1))),IF(Q554&gt;0,AM554/Q554,0))/MAX(0.1,N(Parameter!$M$21)))</f>
        <v>0.0384615384615385</v>
      </c>
      <c r="AO554" s="57" t="n">
        <f aca="false">AL554*F554</f>
        <v>472.5</v>
      </c>
      <c r="AP554" s="57" t="n">
        <f aca="false">ROUNDUP(MAX(I554/IF(BV554&gt;0,BV554,MAX(0.1,N(Cockpit!$I$6))),BY554)/BQ554,0)*BQ554</f>
        <v>250</v>
      </c>
      <c r="AQ554" s="58" t="n">
        <f aca="false">IF(AN554&gt;0,I554/AN554,-1)</f>
        <v>0</v>
      </c>
      <c r="AR554" s="58" t="n">
        <f aca="false">IF(AND(OR(BU554="L1",BU554="L23"),AN554&gt;0),SUMIFS($AN$7:$AN$1576,$BU$7:$BU$1576,BU554,$AQ$7:$AQ$1576,"&gt;"&amp;AQ554)+SUMIFS($AN$7:$AN$1576,$BU$7:$BU$1576,BU554,$AQ$7:$AQ$1576,AQ554,$BO$7:$BO$1576,"&lt;="&amp;BO554),"")</f>
        <v>126.562435927646</v>
      </c>
      <c r="AS554" s="65" t="n">
        <f aca="false">IF(AR554="",0,MAX(0,MIN(1,(IF(BU554="L1",Parameter!$E$5,Parameter!$E$6+Parameter!$E$7)-(AR554-AN554))/AN554)))</f>
        <v>0</v>
      </c>
      <c r="AT554" s="57" t="n">
        <f aca="false">IF(LEFT(Cockpit!$O$5,1)="A",G554,IF(BW554=1,BX554,IF(LEFT(Cockpit!$O$5,1)="B",AX554,MAX(AX554,G554))))</f>
        <v>250</v>
      </c>
      <c r="AU554" s="57" t="n">
        <f aca="false">IF(BR554=1,0,ROUNDUP(AT554/BQ554,0))</f>
        <v>1</v>
      </c>
      <c r="AV554" s="59" t="n">
        <f aca="false">IF(CD554&gt;0,CD554*MAX(1,AT554/V554),IF(BR554=1,IF(AT554&lt;=0,0,BS554*MAX(1,IF(G554&gt;0,AT554/G554,1))),IF(Q554&gt;0,AU554/Q554,0))/MAX(0.1,N(Parameter!$M$21)))</f>
        <v>0.0384615384615385</v>
      </c>
      <c r="AW554" s="57" t="n">
        <f aca="false">AT554*F554</f>
        <v>472.5</v>
      </c>
      <c r="AX554" s="57" t="n">
        <f aca="false">ROUNDUP(MAX(I554/IF(BV554&gt;0,BV554,MAX(0.1,N(Cockpit!$O$6))),BY554)/BQ554,0)*BQ554</f>
        <v>250</v>
      </c>
      <c r="AY554" s="58" t="n">
        <f aca="false">IF(AV554&gt;0,I554/AV554,-1)</f>
        <v>0</v>
      </c>
      <c r="AZ554" s="58" t="n">
        <f aca="false">IF(AND(OR(BU554="L1",BU554="L23"),AV554&gt;0),SUMIFS($AV$7:$AV$1576,$BU$7:$BU$1576,BU554,$AY$7:$AY$1576,"&gt;"&amp;AY554)+SUMIFS($AV$7:$AV$1576,$BU$7:$BU$1576,BU554,$AY$7:$AY$1576,AY554,$BO$7:$BO$1576,"&lt;="&amp;BO554),"")</f>
        <v>116.621986377197</v>
      </c>
      <c r="BA554" s="65" t="n">
        <f aca="false">IF(AZ554="",0,MAX(0,MIN(1,(IF(BU554="L1",Parameter!$E$5,Parameter!$E$6+Parameter!$E$7)-(AZ554-AV554))/AV554)))</f>
        <v>0</v>
      </c>
      <c r="BB554" s="55" t="str">
        <f aca="false">IF(AF554&lt;=0,"",IF(BU554="Aussen","Aussenlager",IF(BU554="-","Nicht im Lift",IF(AK554&gt;=1,"Lift",IF(AK554&lt;=0,"Aussenlager","teilweise")))))</f>
        <v>Lift</v>
      </c>
      <c r="BC554" s="55" t="str">
        <f aca="false">IF(AN554&lt;=0,"",IF(BU554="Aussen","Aussenlager",IF(BU554="-","Nicht im Lift",IF(AS554&gt;=1,"Lift",IF(AS554&lt;=0,"Aussenlager","teilweise")))))</f>
        <v>Aussenlager</v>
      </c>
      <c r="BD554" s="55" t="str">
        <f aca="false">IF(AV554&lt;=0,"",IF(BU554="Aussen","Aussenlager",IF(BU554="-","Nicht im Lift",IF(BA554&gt;=1,"Lift",IF(BA554&lt;=0,"Aussenlager","teilweise")))))</f>
        <v>Aussenlager</v>
      </c>
      <c r="BE554" s="55" t="str">
        <f aca="false">IF(A554="","",IF(BN554=1,"Neu; ","")&amp;IF(AND(BN554=0,BI554&lt;0),"negativer Bestand (Export "&amp;BI554&amp;"); ","")&amp;IF(I554&lt;=0,"Kein Verbrauch; ","")&amp;IF(CD554&gt;0,"Lift "&amp;U554&amp;" lt. Liftbericht (Fach "&amp;V554&amp;" Stk); ",IF(BR554=1,"Lose – Fläche geschätzt; ",""))&amp;IF(G554&gt;AP554,"Überbestand "&amp;ROUND(G554-AP554,0)&amp;" Stk / CHF "&amp;ROUND((G554-AP554)*F554,0)&amp;"; ","")&amp;IF(AND(BW554=1,BX554&lt;BY554),"MAX &lt; MB+LG; ","")&amp;IF(AND(CC554&gt;0,CB554*10&gt;CC554),"zu hoch für Tablar; ","")&amp;IF(AND(BN554=0,OR(BW554=1,Y554&lt;&gt;"",S554&lt;&gt;"",T554&lt;&gt;"",Z554&lt;&gt;"")),"manuell übersteuert; ","")&amp;IF(AND(BR554=0,Q554=0),"Gebinde unbekannt / Stellmass fehlt; ","")&amp;IF(AND(BR554=0,N(T554)&lt;=0,N(P554)&lt;=0),"Menge pro Gebinde fehlt (Ist = 1 Gebinde); ","")&amp;BM554)</f>
        <v>Kein Verbrauch; </v>
      </c>
      <c r="BF554" s="55"/>
      <c r="BG554" s="55"/>
      <c r="BH554" s="62"/>
      <c r="BI554" s="57" t="n">
        <v>8</v>
      </c>
      <c r="BJ554" s="57" t="n">
        <v>189</v>
      </c>
      <c r="BK554" s="56" t="n">
        <v>15.12</v>
      </c>
      <c r="BL554" s="57" t="n">
        <v>0</v>
      </c>
      <c r="BM554" s="55"/>
      <c r="BN554" s="60" t="n">
        <v>0</v>
      </c>
      <c r="BO554" s="60" t="n">
        <v>554</v>
      </c>
      <c r="BP554" s="55" t="str">
        <f aca="false">IF(S554&lt;&gt;"",UPPER(TRIM(S554)),IF(O554="","LOSE",O554))</f>
        <v>S52</v>
      </c>
      <c r="BQ554" s="57" t="n">
        <f aca="false">IF(BP554="LOSE",1,IF(N(T554)&gt;0,T554,IF(N(P554)&gt;0,P554,MAX(1,G554))))</f>
        <v>250</v>
      </c>
      <c r="BR554" s="60" t="n">
        <f aca="false">IF(BP554="LOSE",1,0)</f>
        <v>0</v>
      </c>
      <c r="BS554" s="59" t="n">
        <f aca="false">IF(BR554=0,0,IF(N(R554)&gt;0,R554,IFERROR(VLOOKUP(D554,Parameter!$A$35:$C$64,3,0)+0,0)))</f>
        <v>0</v>
      </c>
      <c r="BT554" s="55" t="n">
        <f aca="false">IF(Y554&lt;&gt;"",Y554,X554)</f>
        <v>3</v>
      </c>
      <c r="BU554" s="55" t="str">
        <f aca="false">IF(BT554=1,"L1",IF(OR(BT554=2,BT554=3),"L23",IF(BT554="Aussen","Aussen","-")))</f>
        <v>L23</v>
      </c>
      <c r="BV554" s="66" t="n">
        <f aca="false">IF(N(Z554)&gt;0,Z554,0)</f>
        <v>0</v>
      </c>
      <c r="BW554" s="60" t="n">
        <f aca="false">IF(ISNUMBER(AC554),1,0)</f>
        <v>0</v>
      </c>
      <c r="BX554" s="57" t="n">
        <f aca="false">N(AC554)</f>
        <v>0</v>
      </c>
      <c r="BY554" s="57" t="n">
        <f aca="false">N(L554)+N(M554)</f>
        <v>1</v>
      </c>
      <c r="BZ554" s="57" t="n">
        <f aca="false">ROUNDUP(G554/BQ554,0)</f>
        <v>1</v>
      </c>
      <c r="CA554" s="57" t="n">
        <f aca="false">ROUNDUP(BX554/BQ554,0)</f>
        <v>0</v>
      </c>
      <c r="CB554" s="60" t="n">
        <f aca="false">IF(BR554=1,0,IFERROR(VLOOKUP(BP554,'Gebinde-Kategorie'!$A$5:$M$45,5,0)+0,0))</f>
        <v>21</v>
      </c>
      <c r="CC554" s="60" t="n">
        <f aca="false">IFERROR(IF(OR(BT554=1,BT554=2,BT554=3),N(INDEX(Parameter!$I$5:$I$7,BT554)),0),0)</f>
        <v>0</v>
      </c>
      <c r="CD554" s="59" t="n">
        <f aca="false">IF(AND(Parameter!$B$21="Ja",ISNUMBER(U554),N(V554)&gt;0),IFERROR(N(INDEX(Parameter!$L$5:$L$7,U554))*INDEX(Parameter!$E$5:$E$7,U554)*V554/SUMIFS($V$7:$V$1576,$U$7:$U$1576,U554),0),0)</f>
        <v>0</v>
      </c>
    </row>
    <row r="555" customFormat="false" ht="15" hidden="false" customHeight="false" outlineLevel="0" collapsed="false">
      <c r="A555" s="55" t="s">
        <v>1170</v>
      </c>
      <c r="B555" s="55" t="s">
        <v>846</v>
      </c>
      <c r="C555" s="55" t="s">
        <v>160</v>
      </c>
      <c r="D555" s="55" t="s">
        <v>178</v>
      </c>
      <c r="E555" s="55" t="s">
        <v>210</v>
      </c>
      <c r="F555" s="56" t="n">
        <v>73.46</v>
      </c>
      <c r="G555" s="57" t="n">
        <f aca="false">MAX(0,IF(AND(Parameter!$B$21="Ja",ISNUMBER(W555)),W555,IF(Parameter!$B$20="Jahresanfang 2025 + Export",BJ555+BI555,BI555)))</f>
        <v>0</v>
      </c>
      <c r="H555" s="57" t="n">
        <f aca="false">G555*F555</f>
        <v>0</v>
      </c>
      <c r="I555" s="57" t="n">
        <f aca="false">BL555*Parameter!$B$18</f>
        <v>1</v>
      </c>
      <c r="J555" s="58" t="n">
        <v>4.5</v>
      </c>
      <c r="K555" s="59" t="n">
        <v>0.222222222222222</v>
      </c>
      <c r="L555" s="57" t="n">
        <v>0</v>
      </c>
      <c r="M555" s="57" t="n">
        <v>1</v>
      </c>
      <c r="N555" s="60" t="n">
        <v>35</v>
      </c>
      <c r="O555" s="55" t="s">
        <v>416</v>
      </c>
      <c r="P555" s="57" t="n">
        <v>6</v>
      </c>
      <c r="Q555" s="60" t="n">
        <f aca="false">IF(BR555=1,0,IFERROR(VLOOKUP(BP555,'Gebinde-Kategorie'!$A$5:$M$45,13,0)+0,0))</f>
        <v>198</v>
      </c>
      <c r="R555" s="61"/>
      <c r="S555" s="62"/>
      <c r="T555" s="62"/>
      <c r="U555" s="55"/>
      <c r="V555" s="57"/>
      <c r="W555" s="57"/>
      <c r="X555" s="55" t="n">
        <f aca="false">IF(A555="","",IF(AND(Parameter!$B$21="Ja",ISNUMBER(U555)),U555,IF(IFERROR(VLOOKUP(D555,Parameter!$A$35:$C$64,2,0),"Nein")="2+3",IF(ISNUMBER(SEARCH("grosser Artikel",BM555)),2,IFERROR(VLOOKUP(BP555,Parameter!$F$35:$G$64,2,0),2)),IF(OR(IFERROR(VLOOKUP(D555,Parameter!$A$35:$C$64,2,0),"Nein")="Nein",IFERROR(VLOOKUP(D555,Parameter!$A$35:$C$64,2,0),"Nein")=""),"-",VLOOKUP(D555,Parameter!$A$35:$C$64,2,0)))))</f>
        <v>3</v>
      </c>
      <c r="Y555" s="62"/>
      <c r="Z555" s="63"/>
      <c r="AA555" s="57" t="n">
        <f aca="false">AP555</f>
        <v>6</v>
      </c>
      <c r="AB555" s="57" t="n">
        <f aca="false">MAX(AP555,G555)</f>
        <v>6</v>
      </c>
      <c r="AC555" s="64"/>
      <c r="AD555" s="57" t="n">
        <f aca="false">IF(LEFT(Cockpit!$C$5,1)="A",G555,IF(BW555=1,BX555,IF(LEFT(Cockpit!$C$5,1)="B",AH555,MAX(AH555,G555))))</f>
        <v>0</v>
      </c>
      <c r="AE555" s="57" t="n">
        <f aca="false">IF(BR555=1,0,ROUNDUP(AD555/BQ555,0))</f>
        <v>0</v>
      </c>
      <c r="AF555" s="59" t="n">
        <f aca="false">IF(CD555&gt;0,CD555*MAX(1,AD555/V555),IF(BR555=1,IF(AD555&lt;=0,0,BS555*MAX(1,IF(G555&gt;0,AD555/G555,1))),IF(Q555&gt;0,AE555/Q555,0))/MAX(0.1,N(Parameter!$M$21)))</f>
        <v>0</v>
      </c>
      <c r="AG555" s="57" t="n">
        <f aca="false">AD555*F555</f>
        <v>0</v>
      </c>
      <c r="AH555" s="57" t="n">
        <f aca="false">ROUNDUP(MAX(I555/IF(BV555&gt;0,BV555,MAX(0.1,N(Cockpit!$C$6))),BY555)/BQ555,0)*BQ555</f>
        <v>6</v>
      </c>
      <c r="AI555" s="58" t="n">
        <f aca="false">IF(AF555&gt;0,I555/AF555,-1)</f>
        <v>-1</v>
      </c>
      <c r="AJ555" s="58" t="str">
        <f aca="false">IF(AND(OR(BU555="L1",BU555="L23"),AF555&gt;0),SUMIFS($AF$7:$AF$1576,$BU$7:$BU$1576,BU555,$AI$7:$AI$1576,"&gt;"&amp;AI555)+SUMIFS($AF$7:$AF$1576,$BU$7:$BU$1576,BU555,$AI$7:$AI$1576,AI555,$BO$7:$BO$1576,"&lt;="&amp;BO555),"")</f>
        <v/>
      </c>
      <c r="AK555" s="65" t="n">
        <f aca="false">IF(AJ555="",0,MAX(0,MIN(1,(IF(BU555="L1",Parameter!$E$5,Parameter!$E$6+Parameter!$E$7)-(AJ555-AF555))/AF555)))</f>
        <v>0</v>
      </c>
      <c r="AL555" s="57" t="n">
        <f aca="false">IF(LEFT(Cockpit!$I$5,1)="A",G555,IF(BW555=1,BX555,IF(LEFT(Cockpit!$I$5,1)="B",AP555,MAX(AP555,G555))))</f>
        <v>6</v>
      </c>
      <c r="AM555" s="57" t="n">
        <f aca="false">IF(BR555=1,0,ROUNDUP(AL555/BQ555,0))</f>
        <v>1</v>
      </c>
      <c r="AN555" s="59" t="n">
        <f aca="false">IF(CD555&gt;0,CD555*MAX(1,AL555/V555),IF(BR555=1,IF(AL555&lt;=0,0,BS555*MAX(1,IF(G555&gt;0,AL555/G555,1))),IF(Q555&gt;0,AM555/Q555,0))/MAX(0.1,N(Parameter!$M$21)))</f>
        <v>0.00505050505050505</v>
      </c>
      <c r="AO555" s="57" t="n">
        <f aca="false">AL555*F555</f>
        <v>440.76</v>
      </c>
      <c r="AP555" s="57" t="n">
        <f aca="false">ROUNDUP(MAX(I555/IF(BV555&gt;0,BV555,MAX(0.1,N(Cockpit!$I$6))),BY555)/BQ555,0)*BQ555</f>
        <v>6</v>
      </c>
      <c r="AQ555" s="58" t="n">
        <f aca="false">IF(AN555&gt;0,I555/AN555,-1)</f>
        <v>198</v>
      </c>
      <c r="AR555" s="58" t="n">
        <f aca="false">IF(AND(OR(BU555="L1",BU555="L23"),AN555&gt;0),SUMIFS($AN$7:$AN$1576,$BU$7:$BU$1576,BU555,$AQ$7:$AQ$1576,"&gt;"&amp;AQ555)+SUMIFS($AN$7:$AN$1576,$BU$7:$BU$1576,BU555,$AQ$7:$AQ$1576,AQ555,$BO$7:$BO$1576,"&lt;="&amp;BO555),"")</f>
        <v>50.8999039249151</v>
      </c>
      <c r="AS555" s="65" t="n">
        <f aca="false">IF(AR555="",0,MAX(0,MIN(1,(IF(BU555="L1",Parameter!$E$5,Parameter!$E$6+Parameter!$E$7)-(AR555-AN555))/AN555)))</f>
        <v>1</v>
      </c>
      <c r="AT555" s="57" t="n">
        <f aca="false">IF(LEFT(Cockpit!$O$5,1)="A",G555,IF(BW555=1,BX555,IF(LEFT(Cockpit!$O$5,1)="B",AX555,MAX(AX555,G555))))</f>
        <v>6</v>
      </c>
      <c r="AU555" s="57" t="n">
        <f aca="false">IF(BR555=1,0,ROUNDUP(AT555/BQ555,0))</f>
        <v>1</v>
      </c>
      <c r="AV555" s="59" t="n">
        <f aca="false">IF(CD555&gt;0,CD555*MAX(1,AT555/V555),IF(BR555=1,IF(AT555&lt;=0,0,BS555*MAX(1,IF(G555&gt;0,AT555/G555,1))),IF(Q555&gt;0,AU555/Q555,0))/MAX(0.1,N(Parameter!$M$21)))</f>
        <v>0.00505050505050505</v>
      </c>
      <c r="AW555" s="57" t="n">
        <f aca="false">AT555*F555</f>
        <v>440.76</v>
      </c>
      <c r="AX555" s="57" t="n">
        <f aca="false">ROUNDUP(MAX(I555/IF(BV555&gt;0,BV555,MAX(0.1,N(Cockpit!$O$6))),BY555)/BQ555,0)*BQ555</f>
        <v>6</v>
      </c>
      <c r="AY555" s="58" t="n">
        <f aca="false">IF(AV555&gt;0,I555/AV555,-1)</f>
        <v>198</v>
      </c>
      <c r="AZ555" s="58" t="n">
        <f aca="false">IF(AND(OR(BU555="L1",BU555="L23"),AV555&gt;0),SUMIFS($AV$7:$AV$1576,$BU$7:$BU$1576,BU555,$AY$7:$AY$1576,"&gt;"&amp;AY555)+SUMIFS($AV$7:$AV$1576,$BU$7:$BU$1576,BU555,$AY$7:$AY$1576,AY555,$BO$7:$BO$1576,"&lt;="&amp;BO555),"")</f>
        <v>47.0961643311755</v>
      </c>
      <c r="BA555" s="65" t="n">
        <f aca="false">IF(AZ555="",0,MAX(0,MIN(1,(IF(BU555="L1",Parameter!$E$5,Parameter!$E$6+Parameter!$E$7)-(AZ555-AV555))/AV555)))</f>
        <v>1</v>
      </c>
      <c r="BB555" s="55" t="str">
        <f aca="false">IF(AF555&lt;=0,"",IF(BU555="Aussen","Aussenlager",IF(BU555="-","Nicht im Lift",IF(AK555&gt;=1,"Lift",IF(AK555&lt;=0,"Aussenlager","teilweise")))))</f>
        <v/>
      </c>
      <c r="BC555" s="55" t="str">
        <f aca="false">IF(AN555&lt;=0,"",IF(BU555="Aussen","Aussenlager",IF(BU555="-","Nicht im Lift",IF(AS555&gt;=1,"Lift",IF(AS555&lt;=0,"Aussenlager","teilweise")))))</f>
        <v>Lift</v>
      </c>
      <c r="BD555" s="55" t="str">
        <f aca="false">IF(AV555&lt;=0,"",IF(BU555="Aussen","Aussenlager",IF(BU555="-","Nicht im Lift",IF(BA555&gt;=1,"Lift",IF(BA555&lt;=0,"Aussenlager","teilweise")))))</f>
        <v>Lift</v>
      </c>
      <c r="BE555" s="55" t="str">
        <f aca="false">IF(A555="","",IF(BN555=1,"Neu; ","")&amp;IF(AND(BN555=0,BI555&lt;0),"negativer Bestand (Export "&amp;BI555&amp;"); ","")&amp;IF(I555&lt;=0,"Kein Verbrauch; ","")&amp;IF(CD555&gt;0,"Lift "&amp;U555&amp;" lt. Liftbericht (Fach "&amp;V555&amp;" Stk); ",IF(BR555=1,"Lose – Fläche geschätzt; ",""))&amp;IF(G555&gt;AP555,"Überbestand "&amp;ROUND(G555-AP555,0)&amp;" Stk / CHF "&amp;ROUND((G555-AP555)*F555,0)&amp;"; ","")&amp;IF(AND(BW555=1,BX555&lt;BY555),"MAX &lt; MB+LG; ","")&amp;IF(AND(CC555&gt;0,CB555*10&gt;CC555),"zu hoch für Tablar; ","")&amp;IF(AND(BN555=0,OR(BW555=1,Y555&lt;&gt;"",S555&lt;&gt;"",T555&lt;&gt;"",Z555&lt;&gt;"")),"manuell übersteuert; ","")&amp;IF(AND(BR555=0,Q555=0),"Gebinde unbekannt / Stellmass fehlt; ","")&amp;IF(AND(BR555=0,N(T555)&lt;=0,N(P555)&lt;=0),"Menge pro Gebinde fehlt (Ist = 1 Gebinde); ","")&amp;BM555)</f>
        <v/>
      </c>
      <c r="BF555" s="55"/>
      <c r="BG555" s="55"/>
      <c r="BH555" s="62"/>
      <c r="BI555" s="57" t="n">
        <v>0</v>
      </c>
      <c r="BJ555" s="57" t="n">
        <v>5</v>
      </c>
      <c r="BK555" s="56" t="n">
        <v>15.05</v>
      </c>
      <c r="BL555" s="57" t="n">
        <v>1</v>
      </c>
      <c r="BM555" s="55"/>
      <c r="BN555" s="60" t="n">
        <v>0</v>
      </c>
      <c r="BO555" s="60" t="n">
        <v>555</v>
      </c>
      <c r="BP555" s="55" t="str">
        <f aca="false">IF(S555&lt;&gt;"",UPPER(TRIM(S555)),IF(O555="","LOSE",O555))</f>
        <v>S22</v>
      </c>
      <c r="BQ555" s="57" t="n">
        <f aca="false">IF(BP555="LOSE",1,IF(N(T555)&gt;0,T555,IF(N(P555)&gt;0,P555,MAX(1,G555))))</f>
        <v>6</v>
      </c>
      <c r="BR555" s="60" t="n">
        <f aca="false">IF(BP555="LOSE",1,0)</f>
        <v>0</v>
      </c>
      <c r="BS555" s="59" t="n">
        <f aca="false">IF(BR555=0,0,IF(N(R555)&gt;0,R555,IFERROR(VLOOKUP(D555,Parameter!$A$35:$C$64,3,0)+0,0)))</f>
        <v>0</v>
      </c>
      <c r="BT555" s="55" t="n">
        <f aca="false">IF(Y555&lt;&gt;"",Y555,X555)</f>
        <v>3</v>
      </c>
      <c r="BU555" s="55" t="str">
        <f aca="false">IF(BT555=1,"L1",IF(OR(BT555=2,BT555=3),"L23",IF(BT555="Aussen","Aussen","-")))</f>
        <v>L23</v>
      </c>
      <c r="BV555" s="66" t="n">
        <f aca="false">IF(N(Z555)&gt;0,Z555,0)</f>
        <v>0</v>
      </c>
      <c r="BW555" s="60" t="n">
        <f aca="false">IF(ISNUMBER(AC555),1,0)</f>
        <v>0</v>
      </c>
      <c r="BX555" s="57" t="n">
        <f aca="false">N(AC555)</f>
        <v>0</v>
      </c>
      <c r="BY555" s="57" t="n">
        <f aca="false">N(L555)+N(M555)</f>
        <v>1</v>
      </c>
      <c r="BZ555" s="57" t="n">
        <f aca="false">ROUNDUP(G555/BQ555,0)</f>
        <v>0</v>
      </c>
      <c r="CA555" s="57" t="n">
        <f aca="false">ROUNDUP(BX555/BQ555,0)</f>
        <v>0</v>
      </c>
      <c r="CB555" s="60" t="n">
        <f aca="false">IF(BR555=1,0,IFERROR(VLOOKUP(BP555,'Gebinde-Kategorie'!$A$5:$M$45,5,0)+0,0))</f>
        <v>8</v>
      </c>
      <c r="CC555" s="60" t="n">
        <f aca="false">IFERROR(IF(OR(BT555=1,BT555=2,BT555=3),N(INDEX(Parameter!$I$5:$I$7,BT555)),0),0)</f>
        <v>0</v>
      </c>
      <c r="CD555" s="59" t="n">
        <f aca="false">IF(AND(Parameter!$B$21="Ja",ISNUMBER(U555),N(V555)&gt;0),IFERROR(N(INDEX(Parameter!$L$5:$L$7,U555))*INDEX(Parameter!$E$5:$E$7,U555)*V555/SUMIFS($V$7:$V$1576,$U$7:$U$1576,U555),0),0)</f>
        <v>0</v>
      </c>
    </row>
    <row r="556" customFormat="false" ht="15" hidden="false" customHeight="false" outlineLevel="0" collapsed="false">
      <c r="A556" s="55" t="s">
        <v>1171</v>
      </c>
      <c r="B556" s="55" t="s">
        <v>1172</v>
      </c>
      <c r="C556" s="55" t="s">
        <v>160</v>
      </c>
      <c r="D556" s="55" t="s">
        <v>178</v>
      </c>
      <c r="E556" s="55" t="s">
        <v>210</v>
      </c>
      <c r="F556" s="56" t="n">
        <v>1.06</v>
      </c>
      <c r="G556" s="57" t="n">
        <f aca="false">MAX(0,IF(AND(Parameter!$B$21="Ja",ISNUMBER(W556)),W556,IF(Parameter!$B$20="Jahresanfang 2025 + Export",BJ556+BI556,BI556)))</f>
        <v>14</v>
      </c>
      <c r="H556" s="57" t="n">
        <f aca="false">G556*F556</f>
        <v>14.84</v>
      </c>
      <c r="I556" s="57" t="n">
        <f aca="false">BL556*Parameter!$B$18</f>
        <v>0</v>
      </c>
      <c r="J556" s="58" t="n">
        <v>10</v>
      </c>
      <c r="K556" s="59" t="n">
        <v>0</v>
      </c>
      <c r="L556" s="57" t="n">
        <v>0</v>
      </c>
      <c r="M556" s="57" t="n">
        <v>1</v>
      </c>
      <c r="N556" s="60" t="n">
        <v>31</v>
      </c>
      <c r="O556" s="55" t="s">
        <v>391</v>
      </c>
      <c r="P556" s="57" t="n">
        <v>20</v>
      </c>
      <c r="Q556" s="60" t="n">
        <f aca="false">IF(BR556=1,0,IFERROR(VLOOKUP(BP556,'Gebinde-Kategorie'!$A$5:$M$45,13,0)+0,0))</f>
        <v>414</v>
      </c>
      <c r="R556" s="61"/>
      <c r="S556" s="62"/>
      <c r="T556" s="62"/>
      <c r="U556" s="55"/>
      <c r="V556" s="57"/>
      <c r="W556" s="57"/>
      <c r="X556" s="55" t="n">
        <f aca="false">IF(A556="","",IF(AND(Parameter!$B$21="Ja",ISNUMBER(U556)),U556,IF(IFERROR(VLOOKUP(D556,Parameter!$A$35:$C$64,2,0),"Nein")="2+3",IF(ISNUMBER(SEARCH("grosser Artikel",BM556)),2,IFERROR(VLOOKUP(BP556,Parameter!$F$35:$G$64,2,0),2)),IF(OR(IFERROR(VLOOKUP(D556,Parameter!$A$35:$C$64,2,0),"Nein")="Nein",IFERROR(VLOOKUP(D556,Parameter!$A$35:$C$64,2,0),"Nein")=""),"-",VLOOKUP(D556,Parameter!$A$35:$C$64,2,0)))))</f>
        <v>3</v>
      </c>
      <c r="Y556" s="62"/>
      <c r="Z556" s="63"/>
      <c r="AA556" s="57" t="n">
        <f aca="false">AP556</f>
        <v>20</v>
      </c>
      <c r="AB556" s="57" t="n">
        <f aca="false">MAX(AP556,G556)</f>
        <v>20</v>
      </c>
      <c r="AC556" s="64"/>
      <c r="AD556" s="57" t="n">
        <f aca="false">IF(LEFT(Cockpit!$C$5,1)="A",G556,IF(BW556=1,BX556,IF(LEFT(Cockpit!$C$5,1)="B",AH556,MAX(AH556,G556))))</f>
        <v>14</v>
      </c>
      <c r="AE556" s="57" t="n">
        <f aca="false">IF(BR556=1,0,ROUNDUP(AD556/BQ556,0))</f>
        <v>1</v>
      </c>
      <c r="AF556" s="59" t="n">
        <f aca="false">IF(CD556&gt;0,CD556*MAX(1,AD556/V556),IF(BR556=1,IF(AD556&lt;=0,0,BS556*MAX(1,IF(G556&gt;0,AD556/G556,1))),IF(Q556&gt;0,AE556/Q556,0))/MAX(0.1,N(Parameter!$M$21)))</f>
        <v>0.00241545893719807</v>
      </c>
      <c r="AG556" s="57" t="n">
        <f aca="false">AD556*F556</f>
        <v>14.84</v>
      </c>
      <c r="AH556" s="57" t="n">
        <f aca="false">ROUNDUP(MAX(I556/IF(BV556&gt;0,BV556,MAX(0.1,N(Cockpit!$C$6))),BY556)/BQ556,0)*BQ556</f>
        <v>20</v>
      </c>
      <c r="AI556" s="58" t="n">
        <f aca="false">IF(AF556&gt;0,I556/AF556,-1)</f>
        <v>0</v>
      </c>
      <c r="AJ556" s="58" t="n">
        <f aca="false">IF(AND(OR(BU556="L1",BU556="L23"),AF556&gt;0),SUMIFS($AF$7:$AF$1576,$BU$7:$BU$1576,BU556,$AI$7:$AI$1576,"&gt;"&amp;AI556)+SUMIFS($AF$7:$AF$1576,$BU$7:$BU$1576,BU556,$AI$7:$AI$1576,AI556,$BO$7:$BO$1576,"&lt;="&amp;BO556),"")</f>
        <v>43.5680652680653</v>
      </c>
      <c r="AK556" s="65" t="n">
        <f aca="false">IF(AJ556="",0,MAX(0,MIN(1,(IF(BU556="L1",Parameter!$E$5,Parameter!$E$6+Parameter!$E$7)-(AJ556-AF556))/AF556)))</f>
        <v>1</v>
      </c>
      <c r="AL556" s="57" t="n">
        <f aca="false">IF(LEFT(Cockpit!$I$5,1)="A",G556,IF(BW556=1,BX556,IF(LEFT(Cockpit!$I$5,1)="B",AP556,MAX(AP556,G556))))</f>
        <v>20</v>
      </c>
      <c r="AM556" s="57" t="n">
        <f aca="false">IF(BR556=1,0,ROUNDUP(AL556/BQ556,0))</f>
        <v>1</v>
      </c>
      <c r="AN556" s="59" t="n">
        <f aca="false">IF(CD556&gt;0,CD556*MAX(1,AL556/V556),IF(BR556=1,IF(AL556&lt;=0,0,BS556*MAX(1,IF(G556&gt;0,AL556/G556,1))),IF(Q556&gt;0,AM556/Q556,0))/MAX(0.1,N(Parameter!$M$21)))</f>
        <v>0.00241545893719807</v>
      </c>
      <c r="AO556" s="57" t="n">
        <f aca="false">AL556*F556</f>
        <v>21.2</v>
      </c>
      <c r="AP556" s="57" t="n">
        <f aca="false">ROUNDUP(MAX(I556/IF(BV556&gt;0,BV556,MAX(0.1,N(Cockpit!$I$6))),BY556)/BQ556,0)*BQ556</f>
        <v>20</v>
      </c>
      <c r="AQ556" s="58" t="n">
        <f aca="false">IF(AN556&gt;0,I556/AN556,-1)</f>
        <v>0</v>
      </c>
      <c r="AR556" s="58" t="n">
        <f aca="false">IF(AND(OR(BU556="L1",BU556="L23"),AN556&gt;0),SUMIFS($AN$7:$AN$1576,$BU$7:$BU$1576,BU556,$AQ$7:$AQ$1576,"&gt;"&amp;AQ556)+SUMIFS($AN$7:$AN$1576,$BU$7:$BU$1576,BU556,$AQ$7:$AQ$1576,AQ556,$BO$7:$BO$1576,"&lt;="&amp;BO556),"")</f>
        <v>126.564851386584</v>
      </c>
      <c r="AS556" s="65" t="n">
        <f aca="false">IF(AR556="",0,MAX(0,MIN(1,(IF(BU556="L1",Parameter!$E$5,Parameter!$E$6+Parameter!$E$7)-(AR556-AN556))/AN556)))</f>
        <v>0</v>
      </c>
      <c r="AT556" s="57" t="n">
        <f aca="false">IF(LEFT(Cockpit!$O$5,1)="A",G556,IF(BW556=1,BX556,IF(LEFT(Cockpit!$O$5,1)="B",AX556,MAX(AX556,G556))))</f>
        <v>20</v>
      </c>
      <c r="AU556" s="57" t="n">
        <f aca="false">IF(BR556=1,0,ROUNDUP(AT556/BQ556,0))</f>
        <v>1</v>
      </c>
      <c r="AV556" s="59" t="n">
        <f aca="false">IF(CD556&gt;0,CD556*MAX(1,AT556/V556),IF(BR556=1,IF(AT556&lt;=0,0,BS556*MAX(1,IF(G556&gt;0,AT556/G556,1))),IF(Q556&gt;0,AU556/Q556,0))/MAX(0.1,N(Parameter!$M$21)))</f>
        <v>0.00241545893719807</v>
      </c>
      <c r="AW556" s="57" t="n">
        <f aca="false">AT556*F556</f>
        <v>21.2</v>
      </c>
      <c r="AX556" s="57" t="n">
        <f aca="false">ROUNDUP(MAX(I556/IF(BV556&gt;0,BV556,MAX(0.1,N(Cockpit!$O$6))),BY556)/BQ556,0)*BQ556</f>
        <v>20</v>
      </c>
      <c r="AY556" s="58" t="n">
        <f aca="false">IF(AV556&gt;0,I556/AV556,-1)</f>
        <v>0</v>
      </c>
      <c r="AZ556" s="58" t="n">
        <f aca="false">IF(AND(OR(BU556="L1",BU556="L23"),AV556&gt;0),SUMIFS($AV$7:$AV$1576,$BU$7:$BU$1576,BU556,$AY$7:$AY$1576,"&gt;"&amp;AY556)+SUMIFS($AV$7:$AV$1576,$BU$7:$BU$1576,BU556,$AY$7:$AY$1576,AY556,$BO$7:$BO$1576,"&lt;="&amp;BO556),"")</f>
        <v>116.624401836134</v>
      </c>
      <c r="BA556" s="65" t="n">
        <f aca="false">IF(AZ556="",0,MAX(0,MIN(1,(IF(BU556="L1",Parameter!$E$5,Parameter!$E$6+Parameter!$E$7)-(AZ556-AV556))/AV556)))</f>
        <v>0</v>
      </c>
      <c r="BB556" s="55" t="str">
        <f aca="false">IF(AF556&lt;=0,"",IF(BU556="Aussen","Aussenlager",IF(BU556="-","Nicht im Lift",IF(AK556&gt;=1,"Lift",IF(AK556&lt;=0,"Aussenlager","teilweise")))))</f>
        <v>Lift</v>
      </c>
      <c r="BC556" s="55" t="str">
        <f aca="false">IF(AN556&lt;=0,"",IF(BU556="Aussen","Aussenlager",IF(BU556="-","Nicht im Lift",IF(AS556&gt;=1,"Lift",IF(AS556&lt;=0,"Aussenlager","teilweise")))))</f>
        <v>Aussenlager</v>
      </c>
      <c r="BD556" s="55" t="str">
        <f aca="false">IF(AV556&lt;=0,"",IF(BU556="Aussen","Aussenlager",IF(BU556="-","Nicht im Lift",IF(BA556&gt;=1,"Lift",IF(BA556&lt;=0,"Aussenlager","teilweise")))))</f>
        <v>Aussenlager</v>
      </c>
      <c r="BE556" s="55" t="str">
        <f aca="false">IF(A556="","",IF(BN556=1,"Neu; ","")&amp;IF(AND(BN556=0,BI556&lt;0),"negativer Bestand (Export "&amp;BI556&amp;"); ","")&amp;IF(I556&lt;=0,"Kein Verbrauch; ","")&amp;IF(CD556&gt;0,"Lift "&amp;U556&amp;" lt. Liftbericht (Fach "&amp;V556&amp;" Stk); ",IF(BR556=1,"Lose – Fläche geschätzt; ",""))&amp;IF(G556&gt;AP556,"Überbestand "&amp;ROUND(G556-AP556,0)&amp;" Stk / CHF "&amp;ROUND((G556-AP556)*F556,0)&amp;"; ","")&amp;IF(AND(BW556=1,BX556&lt;BY556),"MAX &lt; MB+LG; ","")&amp;IF(AND(CC556&gt;0,CB556*10&gt;CC556),"zu hoch für Tablar; ","")&amp;IF(AND(BN556=0,OR(BW556=1,Y556&lt;&gt;"",S556&lt;&gt;"",T556&lt;&gt;"",Z556&lt;&gt;"")),"manuell übersteuert; ","")&amp;IF(AND(BR556=0,Q556=0),"Gebinde unbekannt / Stellmass fehlt; ","")&amp;IF(AND(BR556=0,N(T556)&lt;=0,N(P556)&lt;=0),"Menge pro Gebinde fehlt (Ist = 1 Gebinde); ","")&amp;BM556)</f>
        <v>Kein Verbrauch; </v>
      </c>
      <c r="BF556" s="55"/>
      <c r="BG556" s="55"/>
      <c r="BH556" s="62"/>
      <c r="BI556" s="57" t="n">
        <v>14</v>
      </c>
      <c r="BJ556" s="57" t="n">
        <v>0</v>
      </c>
      <c r="BK556" s="56" t="n">
        <v>14.84</v>
      </c>
      <c r="BL556" s="57" t="n">
        <v>0</v>
      </c>
      <c r="BM556" s="55"/>
      <c r="BN556" s="60" t="n">
        <v>0</v>
      </c>
      <c r="BO556" s="60" t="n">
        <v>556</v>
      </c>
      <c r="BP556" s="55" t="str">
        <f aca="false">IF(S556&lt;&gt;"",UPPER(TRIM(S556)),IF(O556="","LOSE",O556))</f>
        <v>S21</v>
      </c>
      <c r="BQ556" s="57" t="n">
        <f aca="false">IF(BP556="LOSE",1,IF(N(T556)&gt;0,T556,IF(N(P556)&gt;0,P556,MAX(1,G556))))</f>
        <v>20</v>
      </c>
      <c r="BR556" s="60" t="n">
        <f aca="false">IF(BP556="LOSE",1,0)</f>
        <v>0</v>
      </c>
      <c r="BS556" s="59" t="n">
        <f aca="false">IF(BR556=0,0,IF(N(R556)&gt;0,R556,IFERROR(VLOOKUP(D556,Parameter!$A$35:$C$64,3,0)+0,0)))</f>
        <v>0</v>
      </c>
      <c r="BT556" s="55" t="n">
        <f aca="false">IF(Y556&lt;&gt;"",Y556,X556)</f>
        <v>3</v>
      </c>
      <c r="BU556" s="55" t="str">
        <f aca="false">IF(BT556=1,"L1",IF(OR(BT556=2,BT556=3),"L23",IF(BT556="Aussen","Aussen","-")))</f>
        <v>L23</v>
      </c>
      <c r="BV556" s="66" t="n">
        <f aca="false">IF(N(Z556)&gt;0,Z556,0)</f>
        <v>0</v>
      </c>
      <c r="BW556" s="60" t="n">
        <f aca="false">IF(ISNUMBER(AC556),1,0)</f>
        <v>0</v>
      </c>
      <c r="BX556" s="57" t="n">
        <f aca="false">N(AC556)</f>
        <v>0</v>
      </c>
      <c r="BY556" s="57" t="n">
        <f aca="false">N(L556)+N(M556)</f>
        <v>1</v>
      </c>
      <c r="BZ556" s="57" t="n">
        <f aca="false">ROUNDUP(G556/BQ556,0)</f>
        <v>1</v>
      </c>
      <c r="CA556" s="57" t="n">
        <f aca="false">ROUNDUP(BX556/BQ556,0)</f>
        <v>0</v>
      </c>
      <c r="CB556" s="60" t="n">
        <f aca="false">IF(BR556=1,0,IFERROR(VLOOKUP(BP556,'Gebinde-Kategorie'!$A$5:$M$45,5,0)+0,0))</f>
        <v>8</v>
      </c>
      <c r="CC556" s="60" t="n">
        <f aca="false">IFERROR(IF(OR(BT556=1,BT556=2,BT556=3),N(INDEX(Parameter!$I$5:$I$7,BT556)),0),0)</f>
        <v>0</v>
      </c>
      <c r="CD556" s="59" t="n">
        <f aca="false">IF(AND(Parameter!$B$21="Ja",ISNUMBER(U556),N(V556)&gt;0),IFERROR(N(INDEX(Parameter!$L$5:$L$7,U556))*INDEX(Parameter!$E$5:$E$7,U556)*V556/SUMIFS($V$7:$V$1576,$U$7:$U$1576,U556),0),0)</f>
        <v>0</v>
      </c>
    </row>
    <row r="557" customFormat="false" ht="15" hidden="false" customHeight="false" outlineLevel="0" collapsed="false">
      <c r="A557" s="55" t="s">
        <v>1173</v>
      </c>
      <c r="B557" s="55" t="s">
        <v>1174</v>
      </c>
      <c r="C557" s="55" t="s">
        <v>160</v>
      </c>
      <c r="D557" s="55" t="s">
        <v>168</v>
      </c>
      <c r="E557" s="55" t="s">
        <v>210</v>
      </c>
      <c r="F557" s="56" t="n">
        <v>4.33</v>
      </c>
      <c r="G557" s="57" t="n">
        <f aca="false">MAX(0,IF(AND(Parameter!$B$21="Ja",ISNUMBER(W557)),W557,IF(Parameter!$B$20="Jahresanfang 2025 + Export",BJ557+BI557,BI557)))</f>
        <v>3</v>
      </c>
      <c r="H557" s="57" t="n">
        <f aca="false">G557*F557</f>
        <v>12.99</v>
      </c>
      <c r="I557" s="57" t="n">
        <f aca="false">BL557*Parameter!$B$18</f>
        <v>24</v>
      </c>
      <c r="J557" s="58" t="n">
        <v>43.5</v>
      </c>
      <c r="K557" s="59" t="n">
        <v>0.551724137931035</v>
      </c>
      <c r="L557" s="57" t="n">
        <v>3</v>
      </c>
      <c r="M557" s="57" t="n">
        <v>25</v>
      </c>
      <c r="N557" s="60" t="n">
        <v>49</v>
      </c>
      <c r="O557" s="55" t="s">
        <v>169</v>
      </c>
      <c r="P557" s="57" t="n">
        <v>48</v>
      </c>
      <c r="Q557" s="60" t="n">
        <f aca="false">IF(BR557=1,0,IFERROR(VLOOKUP(BP557,'Gebinde-Kategorie'!$A$5:$M$45,13,0)+0,0))</f>
        <v>6</v>
      </c>
      <c r="R557" s="61"/>
      <c r="S557" s="62"/>
      <c r="T557" s="62"/>
      <c r="U557" s="55"/>
      <c r="V557" s="57"/>
      <c r="W557" s="57"/>
      <c r="X557" s="55" t="n">
        <f aca="false">IF(A557="","",IF(AND(Parameter!$B$21="Ja",ISNUMBER(U557)),U557,IF(IFERROR(VLOOKUP(D557,Parameter!$A$35:$C$64,2,0),"Nein")="2+3",IF(ISNUMBER(SEARCH("grosser Artikel",BM557)),2,IFERROR(VLOOKUP(BP557,Parameter!$F$35:$G$64,2,0),2)),IF(OR(IFERROR(VLOOKUP(D557,Parameter!$A$35:$C$64,2,0),"Nein")="Nein",IFERROR(VLOOKUP(D557,Parameter!$A$35:$C$64,2,0),"Nein")=""),"-",VLOOKUP(D557,Parameter!$A$35:$C$64,2,0)))))</f>
        <v>2</v>
      </c>
      <c r="Y557" s="62"/>
      <c r="Z557" s="63"/>
      <c r="AA557" s="57" t="n">
        <f aca="false">AP557</f>
        <v>48</v>
      </c>
      <c r="AB557" s="57" t="n">
        <f aca="false">MAX(AP557,G557)</f>
        <v>48</v>
      </c>
      <c r="AC557" s="64"/>
      <c r="AD557" s="57" t="n">
        <f aca="false">IF(LEFT(Cockpit!$C$5,1)="A",G557,IF(BW557=1,BX557,IF(LEFT(Cockpit!$C$5,1)="B",AH557,MAX(AH557,G557))))</f>
        <v>3</v>
      </c>
      <c r="AE557" s="57" t="n">
        <f aca="false">IF(BR557=1,0,ROUNDUP(AD557/BQ557,0))</f>
        <v>1</v>
      </c>
      <c r="AF557" s="59" t="n">
        <f aca="false">IF(CD557&gt;0,CD557*MAX(1,AD557/V557),IF(BR557=1,IF(AD557&lt;=0,0,BS557*MAX(1,IF(G557&gt;0,AD557/G557,1))),IF(Q557&gt;0,AE557/Q557,0))/MAX(0.1,N(Parameter!$M$21)))</f>
        <v>0.166666666666667</v>
      </c>
      <c r="AG557" s="57" t="n">
        <f aca="false">AD557*F557</f>
        <v>12.99</v>
      </c>
      <c r="AH557" s="57" t="n">
        <f aca="false">ROUNDUP(MAX(I557/IF(BV557&gt;0,BV557,MAX(0.1,N(Cockpit!$C$6))),BY557)/BQ557,0)*BQ557</f>
        <v>48</v>
      </c>
      <c r="AI557" s="58" t="n">
        <f aca="false">IF(AF557&gt;0,I557/AF557,-1)</f>
        <v>144</v>
      </c>
      <c r="AJ557" s="58" t="n">
        <f aca="false">IF(AND(OR(BU557="L1",BU557="L23"),AF557&gt;0),SUMIFS($AF$7:$AF$1576,$BU$7:$BU$1576,BU557,$AI$7:$AI$1576,"&gt;"&amp;AI557)+SUMIFS($AF$7:$AF$1576,$BU$7:$BU$1576,BU557,$AI$7:$AI$1576,AI557,$BO$7:$BO$1576,"&lt;="&amp;BO557),"")</f>
        <v>19.5378108847674</v>
      </c>
      <c r="AK557" s="65" t="n">
        <f aca="false">IF(AJ557="",0,MAX(0,MIN(1,(IF(BU557="L1",Parameter!$E$5,Parameter!$E$6+Parameter!$E$7)-(AJ557-AF557))/AF557)))</f>
        <v>1</v>
      </c>
      <c r="AL557" s="57" t="n">
        <f aca="false">IF(LEFT(Cockpit!$I$5,1)="A",G557,IF(BW557=1,BX557,IF(LEFT(Cockpit!$I$5,1)="B",AP557,MAX(AP557,G557))))</f>
        <v>48</v>
      </c>
      <c r="AM557" s="57" t="n">
        <f aca="false">IF(BR557=1,0,ROUNDUP(AL557/BQ557,0))</f>
        <v>1</v>
      </c>
      <c r="AN557" s="59" t="n">
        <f aca="false">IF(CD557&gt;0,CD557*MAX(1,AL557/V557),IF(BR557=1,IF(AL557&lt;=0,0,BS557*MAX(1,IF(G557&gt;0,AL557/G557,1))),IF(Q557&gt;0,AM557/Q557,0))/MAX(0.1,N(Parameter!$M$21)))</f>
        <v>0.166666666666667</v>
      </c>
      <c r="AO557" s="57" t="n">
        <f aca="false">AL557*F557</f>
        <v>207.84</v>
      </c>
      <c r="AP557" s="57" t="n">
        <f aca="false">ROUNDUP(MAX(I557/IF(BV557&gt;0,BV557,MAX(0.1,N(Cockpit!$I$6))),BY557)/BQ557,0)*BQ557</f>
        <v>48</v>
      </c>
      <c r="AQ557" s="58" t="n">
        <f aca="false">IF(AN557&gt;0,I557/AN557,-1)</f>
        <v>144</v>
      </c>
      <c r="AR557" s="58" t="n">
        <f aca="false">IF(AND(OR(BU557="L1",BU557="L23"),AN557&gt;0),SUMIFS($AN$7:$AN$1576,$BU$7:$BU$1576,BU557,$AQ$7:$AQ$1576,"&gt;"&amp;AQ557)+SUMIFS($AN$7:$AN$1576,$BU$7:$BU$1576,BU557,$AQ$7:$AQ$1576,AQ557,$BO$7:$BO$1576,"&lt;="&amp;BO557),"")</f>
        <v>56.7629930580042</v>
      </c>
      <c r="AS557" s="65" t="n">
        <f aca="false">IF(AR557="",0,MAX(0,MIN(1,(IF(BU557="L1",Parameter!$E$5,Parameter!$E$6+Parameter!$E$7)-(AR557-AN557))/AN557)))</f>
        <v>1</v>
      </c>
      <c r="AT557" s="57" t="n">
        <f aca="false">IF(LEFT(Cockpit!$O$5,1)="A",G557,IF(BW557=1,BX557,IF(LEFT(Cockpit!$O$5,1)="B",AX557,MAX(AX557,G557))))</f>
        <v>48</v>
      </c>
      <c r="AU557" s="57" t="n">
        <f aca="false">IF(BR557=1,0,ROUNDUP(AT557/BQ557,0))</f>
        <v>1</v>
      </c>
      <c r="AV557" s="59" t="n">
        <f aca="false">IF(CD557&gt;0,CD557*MAX(1,AT557/V557),IF(BR557=1,IF(AT557&lt;=0,0,BS557*MAX(1,IF(G557&gt;0,AT557/G557,1))),IF(Q557&gt;0,AU557/Q557,0))/MAX(0.1,N(Parameter!$M$21)))</f>
        <v>0.166666666666667</v>
      </c>
      <c r="AW557" s="57" t="n">
        <f aca="false">AT557*F557</f>
        <v>207.84</v>
      </c>
      <c r="AX557" s="57" t="n">
        <f aca="false">ROUNDUP(MAX(I557/IF(BV557&gt;0,BV557,MAX(0.1,N(Cockpit!$O$6))),BY557)/BQ557,0)*BQ557</f>
        <v>48</v>
      </c>
      <c r="AY557" s="58" t="n">
        <f aca="false">IF(AV557&gt;0,I557/AV557,-1)</f>
        <v>144</v>
      </c>
      <c r="AZ557" s="58" t="n">
        <f aca="false">IF(AND(OR(BU557="L1",BU557="L23"),AV557&gt;0),SUMIFS($AV$7:$AV$1576,$BU$7:$BU$1576,BU557,$AY$7:$AY$1576,"&gt;"&amp;AY557)+SUMIFS($AV$7:$AV$1576,$BU$7:$BU$1576,BU557,$AY$7:$AY$1576,AY557,$BO$7:$BO$1576,"&lt;="&amp;BO557),"")</f>
        <v>52.092126840888</v>
      </c>
      <c r="BA557" s="65" t="n">
        <f aca="false">IF(AZ557="",0,MAX(0,MIN(1,(IF(BU557="L1",Parameter!$E$5,Parameter!$E$6+Parameter!$E$7)-(AZ557-AV557))/AV557)))</f>
        <v>1</v>
      </c>
      <c r="BB557" s="55" t="str">
        <f aca="false">IF(AF557&lt;=0,"",IF(BU557="Aussen","Aussenlager",IF(BU557="-","Nicht im Lift",IF(AK557&gt;=1,"Lift",IF(AK557&lt;=0,"Aussenlager","teilweise")))))</f>
        <v>Lift</v>
      </c>
      <c r="BC557" s="55" t="str">
        <f aca="false">IF(AN557&lt;=0,"",IF(BU557="Aussen","Aussenlager",IF(BU557="-","Nicht im Lift",IF(AS557&gt;=1,"Lift",IF(AS557&lt;=0,"Aussenlager","teilweise")))))</f>
        <v>Lift</v>
      </c>
      <c r="BD557" s="55" t="str">
        <f aca="false">IF(AV557&lt;=0,"",IF(BU557="Aussen","Aussenlager",IF(BU557="-","Nicht im Lift",IF(BA557&gt;=1,"Lift",IF(BA557&lt;=0,"Aussenlager","teilweise")))))</f>
        <v>Lift</v>
      </c>
      <c r="BE557" s="55" t="str">
        <f aca="false">IF(A557="","",IF(BN557=1,"Neu; ","")&amp;IF(AND(BN557=0,BI557&lt;0),"negativer Bestand (Export "&amp;BI557&amp;"); ","")&amp;IF(I557&lt;=0,"Kein Verbrauch; ","")&amp;IF(CD557&gt;0,"Lift "&amp;U557&amp;" lt. Liftbericht (Fach "&amp;V557&amp;" Stk); ",IF(BR557=1,"Lose – Fläche geschätzt; ",""))&amp;IF(G557&gt;AP557,"Überbestand "&amp;ROUND(G557-AP557,0)&amp;" Stk / CHF "&amp;ROUND((G557-AP557)*F557,0)&amp;"; ","")&amp;IF(AND(BW557=1,BX557&lt;BY557),"MAX &lt; MB+LG; ","")&amp;IF(AND(CC557&gt;0,CB557*10&gt;CC557),"zu hoch für Tablar; ","")&amp;IF(AND(BN557=0,OR(BW557=1,Y557&lt;&gt;"",S557&lt;&gt;"",T557&lt;&gt;"",Z557&lt;&gt;"")),"manuell übersteuert; ","")&amp;IF(AND(BR557=0,Q557=0),"Gebinde unbekannt / Stellmass fehlt; ","")&amp;IF(AND(BR557=0,N(T557)&lt;=0,N(P557)&lt;=0),"Menge pro Gebinde fehlt (Ist = 1 Gebinde); ","")&amp;BM557)</f>
        <v/>
      </c>
      <c r="BF557" s="55"/>
      <c r="BG557" s="55"/>
      <c r="BH557" s="62"/>
      <c r="BI557" s="57" t="n">
        <v>3</v>
      </c>
      <c r="BJ557" s="57" t="n">
        <v>29</v>
      </c>
      <c r="BK557" s="56" t="n">
        <v>14.7300000000001</v>
      </c>
      <c r="BL557" s="57" t="n">
        <v>24</v>
      </c>
      <c r="BM557" s="55"/>
      <c r="BN557" s="60" t="n">
        <v>0</v>
      </c>
      <c r="BO557" s="60" t="n">
        <v>557</v>
      </c>
      <c r="BP557" s="55" t="str">
        <f aca="false">IF(S557&lt;&gt;"",UPPER(TRIM(S557)),IF(O557="","LOSE",O557))</f>
        <v>S71</v>
      </c>
      <c r="BQ557" s="57" t="n">
        <f aca="false">IF(BP557="LOSE",1,IF(N(T557)&gt;0,T557,IF(N(P557)&gt;0,P557,MAX(1,G557))))</f>
        <v>48</v>
      </c>
      <c r="BR557" s="60" t="n">
        <f aca="false">IF(BP557="LOSE",1,0)</f>
        <v>0</v>
      </c>
      <c r="BS557" s="59" t="n">
        <f aca="false">IF(BR557=0,0,IF(N(R557)&gt;0,R557,IFERROR(VLOOKUP(D557,Parameter!$A$35:$C$64,3,0)+0,0)))</f>
        <v>0</v>
      </c>
      <c r="BT557" s="55" t="n">
        <f aca="false">IF(Y557&lt;&gt;"",Y557,X557)</f>
        <v>2</v>
      </c>
      <c r="BU557" s="55" t="str">
        <f aca="false">IF(BT557=1,"L1",IF(OR(BT557=2,BT557=3),"L23",IF(BT557="Aussen","Aussen","-")))</f>
        <v>L23</v>
      </c>
      <c r="BV557" s="66" t="n">
        <f aca="false">IF(N(Z557)&gt;0,Z557,0)</f>
        <v>0</v>
      </c>
      <c r="BW557" s="60" t="n">
        <f aca="false">IF(ISNUMBER(AC557),1,0)</f>
        <v>0</v>
      </c>
      <c r="BX557" s="57" t="n">
        <f aca="false">N(AC557)</f>
        <v>0</v>
      </c>
      <c r="BY557" s="57" t="n">
        <f aca="false">N(L557)+N(M557)</f>
        <v>28</v>
      </c>
      <c r="BZ557" s="57" t="n">
        <f aca="false">ROUNDUP(G557/BQ557,0)</f>
        <v>1</v>
      </c>
      <c r="CA557" s="57" t="n">
        <f aca="false">ROUNDUP(BX557/BQ557,0)</f>
        <v>0</v>
      </c>
      <c r="CB557" s="60" t="n">
        <f aca="false">IF(BR557=1,0,IFERROR(VLOOKUP(BP557,'Gebinde-Kategorie'!$A$5:$M$45,5,0)+0,0))</f>
        <v>20</v>
      </c>
      <c r="CC557" s="60" t="n">
        <f aca="false">IFERROR(IF(OR(BT557=1,BT557=2,BT557=3),N(INDEX(Parameter!$I$5:$I$7,BT557)),0),0)</f>
        <v>0</v>
      </c>
      <c r="CD557" s="59" t="n">
        <f aca="false">IF(AND(Parameter!$B$21="Ja",ISNUMBER(U557),N(V557)&gt;0),IFERROR(N(INDEX(Parameter!$L$5:$L$7,U557))*INDEX(Parameter!$E$5:$E$7,U557)*V557/SUMIFS($V$7:$V$1576,$U$7:$U$1576,U557),0),0)</f>
        <v>0</v>
      </c>
    </row>
    <row r="558" customFormat="false" ht="15" hidden="false" customHeight="false" outlineLevel="0" collapsed="false">
      <c r="A558" s="55" t="s">
        <v>1175</v>
      </c>
      <c r="B558" s="55" t="s">
        <v>1176</v>
      </c>
      <c r="C558" s="55" t="s">
        <v>160</v>
      </c>
      <c r="D558" s="55" t="s">
        <v>178</v>
      </c>
      <c r="E558" s="55" t="s">
        <v>210</v>
      </c>
      <c r="F558" s="56" t="n">
        <v>3</v>
      </c>
      <c r="G558" s="57" t="n">
        <f aca="false">MAX(0,IF(AND(Parameter!$B$21="Ja",ISNUMBER(W558)),W558,IF(Parameter!$B$20="Jahresanfang 2025 + Export",BJ558+BI558,BI558)))</f>
        <v>3</v>
      </c>
      <c r="H558" s="57" t="n">
        <f aca="false">G558*F558</f>
        <v>9</v>
      </c>
      <c r="I558" s="57" t="n">
        <f aca="false">BL558*Parameter!$B$18</f>
        <v>0</v>
      </c>
      <c r="J558" s="58" t="n">
        <v>8.5</v>
      </c>
      <c r="K558" s="59" t="n">
        <v>0</v>
      </c>
      <c r="L558" s="57" t="n">
        <v>0</v>
      </c>
      <c r="M558" s="57" t="n">
        <v>1</v>
      </c>
      <c r="N558" s="60" t="n">
        <v>28</v>
      </c>
      <c r="O558" s="55" t="s">
        <v>391</v>
      </c>
      <c r="P558" s="57" t="n">
        <v>10</v>
      </c>
      <c r="Q558" s="60" t="n">
        <f aca="false">IF(BR558=1,0,IFERROR(VLOOKUP(BP558,'Gebinde-Kategorie'!$A$5:$M$45,13,0)+0,0))</f>
        <v>414</v>
      </c>
      <c r="R558" s="61"/>
      <c r="S558" s="62"/>
      <c r="T558" s="62"/>
      <c r="U558" s="55"/>
      <c r="V558" s="57"/>
      <c r="W558" s="57"/>
      <c r="X558" s="55" t="n">
        <f aca="false">IF(A558="","",IF(AND(Parameter!$B$21="Ja",ISNUMBER(U558)),U558,IF(IFERROR(VLOOKUP(D558,Parameter!$A$35:$C$64,2,0),"Nein")="2+3",IF(ISNUMBER(SEARCH("grosser Artikel",BM558)),2,IFERROR(VLOOKUP(BP558,Parameter!$F$35:$G$64,2,0),2)),IF(OR(IFERROR(VLOOKUP(D558,Parameter!$A$35:$C$64,2,0),"Nein")="Nein",IFERROR(VLOOKUP(D558,Parameter!$A$35:$C$64,2,0),"Nein")=""),"-",VLOOKUP(D558,Parameter!$A$35:$C$64,2,0)))))</f>
        <v>3</v>
      </c>
      <c r="Y558" s="62"/>
      <c r="Z558" s="63"/>
      <c r="AA558" s="57" t="n">
        <f aca="false">AP558</f>
        <v>10</v>
      </c>
      <c r="AB558" s="57" t="n">
        <f aca="false">MAX(AP558,G558)</f>
        <v>10</v>
      </c>
      <c r="AC558" s="64"/>
      <c r="AD558" s="57" t="n">
        <f aca="false">IF(LEFT(Cockpit!$C$5,1)="A",G558,IF(BW558=1,BX558,IF(LEFT(Cockpit!$C$5,1)="B",AH558,MAX(AH558,G558))))</f>
        <v>3</v>
      </c>
      <c r="AE558" s="57" t="n">
        <f aca="false">IF(BR558=1,0,ROUNDUP(AD558/BQ558,0))</f>
        <v>1</v>
      </c>
      <c r="AF558" s="59" t="n">
        <f aca="false">IF(CD558&gt;0,CD558*MAX(1,AD558/V558),IF(BR558=1,IF(AD558&lt;=0,0,BS558*MAX(1,IF(G558&gt;0,AD558/G558,1))),IF(Q558&gt;0,AE558/Q558,0))/MAX(0.1,N(Parameter!$M$21)))</f>
        <v>0.00241545893719807</v>
      </c>
      <c r="AG558" s="57" t="n">
        <f aca="false">AD558*F558</f>
        <v>9</v>
      </c>
      <c r="AH558" s="57" t="n">
        <f aca="false">ROUNDUP(MAX(I558/IF(BV558&gt;0,BV558,MAX(0.1,N(Cockpit!$C$6))),BY558)/BQ558,0)*BQ558</f>
        <v>10</v>
      </c>
      <c r="AI558" s="58" t="n">
        <f aca="false">IF(AF558&gt;0,I558/AF558,-1)</f>
        <v>0</v>
      </c>
      <c r="AJ558" s="58" t="n">
        <f aca="false">IF(AND(OR(BU558="L1",BU558="L23"),AF558&gt;0),SUMIFS($AF$7:$AF$1576,$BU$7:$BU$1576,BU558,$AI$7:$AI$1576,"&gt;"&amp;AI558)+SUMIFS($AF$7:$AF$1576,$BU$7:$BU$1576,BU558,$AI$7:$AI$1576,AI558,$BO$7:$BO$1576,"&lt;="&amp;BO558),"")</f>
        <v>43.5704807270025</v>
      </c>
      <c r="AK558" s="65" t="n">
        <f aca="false">IF(AJ558="",0,MAX(0,MIN(1,(IF(BU558="L1",Parameter!$E$5,Parameter!$E$6+Parameter!$E$7)-(AJ558-AF558))/AF558)))</f>
        <v>1</v>
      </c>
      <c r="AL558" s="57" t="n">
        <f aca="false">IF(LEFT(Cockpit!$I$5,1)="A",G558,IF(BW558=1,BX558,IF(LEFT(Cockpit!$I$5,1)="B",AP558,MAX(AP558,G558))))</f>
        <v>10</v>
      </c>
      <c r="AM558" s="57" t="n">
        <f aca="false">IF(BR558=1,0,ROUNDUP(AL558/BQ558,0))</f>
        <v>1</v>
      </c>
      <c r="AN558" s="59" t="n">
        <f aca="false">IF(CD558&gt;0,CD558*MAX(1,AL558/V558),IF(BR558=1,IF(AL558&lt;=0,0,BS558*MAX(1,IF(G558&gt;0,AL558/G558,1))),IF(Q558&gt;0,AM558/Q558,0))/MAX(0.1,N(Parameter!$M$21)))</f>
        <v>0.00241545893719807</v>
      </c>
      <c r="AO558" s="57" t="n">
        <f aca="false">AL558*F558</f>
        <v>30</v>
      </c>
      <c r="AP558" s="57" t="n">
        <f aca="false">ROUNDUP(MAX(I558/IF(BV558&gt;0,BV558,MAX(0.1,N(Cockpit!$I$6))),BY558)/BQ558,0)*BQ558</f>
        <v>10</v>
      </c>
      <c r="AQ558" s="58" t="n">
        <f aca="false">IF(AN558&gt;0,I558/AN558,-1)</f>
        <v>0</v>
      </c>
      <c r="AR558" s="58" t="n">
        <f aca="false">IF(AND(OR(BU558="L1",BU558="L23"),AN558&gt;0),SUMIFS($AN$7:$AN$1576,$BU$7:$BU$1576,BU558,$AQ$7:$AQ$1576,"&gt;"&amp;AQ558)+SUMIFS($AN$7:$AN$1576,$BU$7:$BU$1576,BU558,$AQ$7:$AQ$1576,AQ558,$BO$7:$BO$1576,"&lt;="&amp;BO558),"")</f>
        <v>126.567266845521</v>
      </c>
      <c r="AS558" s="65" t="n">
        <f aca="false">IF(AR558="",0,MAX(0,MIN(1,(IF(BU558="L1",Parameter!$E$5,Parameter!$E$6+Parameter!$E$7)-(AR558-AN558))/AN558)))</f>
        <v>0</v>
      </c>
      <c r="AT558" s="57" t="n">
        <f aca="false">IF(LEFT(Cockpit!$O$5,1)="A",G558,IF(BW558=1,BX558,IF(LEFT(Cockpit!$O$5,1)="B",AX558,MAX(AX558,G558))))</f>
        <v>10</v>
      </c>
      <c r="AU558" s="57" t="n">
        <f aca="false">IF(BR558=1,0,ROUNDUP(AT558/BQ558,0))</f>
        <v>1</v>
      </c>
      <c r="AV558" s="59" t="n">
        <f aca="false">IF(CD558&gt;0,CD558*MAX(1,AT558/V558),IF(BR558=1,IF(AT558&lt;=0,0,BS558*MAX(1,IF(G558&gt;0,AT558/G558,1))),IF(Q558&gt;0,AU558/Q558,0))/MAX(0.1,N(Parameter!$M$21)))</f>
        <v>0.00241545893719807</v>
      </c>
      <c r="AW558" s="57" t="n">
        <f aca="false">AT558*F558</f>
        <v>30</v>
      </c>
      <c r="AX558" s="57" t="n">
        <f aca="false">ROUNDUP(MAX(I558/IF(BV558&gt;0,BV558,MAX(0.1,N(Cockpit!$O$6))),BY558)/BQ558,0)*BQ558</f>
        <v>10</v>
      </c>
      <c r="AY558" s="58" t="n">
        <f aca="false">IF(AV558&gt;0,I558/AV558,-1)</f>
        <v>0</v>
      </c>
      <c r="AZ558" s="58" t="n">
        <f aca="false">IF(AND(OR(BU558="L1",BU558="L23"),AV558&gt;0),SUMIFS($AV$7:$AV$1576,$BU$7:$BU$1576,BU558,$AY$7:$AY$1576,"&gt;"&amp;AY558)+SUMIFS($AV$7:$AV$1576,$BU$7:$BU$1576,BU558,$AY$7:$AY$1576,AY558,$BO$7:$BO$1576,"&lt;="&amp;BO558),"")</f>
        <v>116.626817295071</v>
      </c>
      <c r="BA558" s="65" t="n">
        <f aca="false">IF(AZ558="",0,MAX(0,MIN(1,(IF(BU558="L1",Parameter!$E$5,Parameter!$E$6+Parameter!$E$7)-(AZ558-AV558))/AV558)))</f>
        <v>0</v>
      </c>
      <c r="BB558" s="55" t="str">
        <f aca="false">IF(AF558&lt;=0,"",IF(BU558="Aussen","Aussenlager",IF(BU558="-","Nicht im Lift",IF(AK558&gt;=1,"Lift",IF(AK558&lt;=0,"Aussenlager","teilweise")))))</f>
        <v>Lift</v>
      </c>
      <c r="BC558" s="55" t="str">
        <f aca="false">IF(AN558&lt;=0,"",IF(BU558="Aussen","Aussenlager",IF(BU558="-","Nicht im Lift",IF(AS558&gt;=1,"Lift",IF(AS558&lt;=0,"Aussenlager","teilweise")))))</f>
        <v>Aussenlager</v>
      </c>
      <c r="BD558" s="55" t="str">
        <f aca="false">IF(AV558&lt;=0,"",IF(BU558="Aussen","Aussenlager",IF(BU558="-","Nicht im Lift",IF(BA558&gt;=1,"Lift",IF(BA558&lt;=0,"Aussenlager","teilweise")))))</f>
        <v>Aussenlager</v>
      </c>
      <c r="BE558" s="55" t="str">
        <f aca="false">IF(A558="","",IF(BN558=1,"Neu; ","")&amp;IF(AND(BN558=0,BI558&lt;0),"negativer Bestand (Export "&amp;BI558&amp;"); ","")&amp;IF(I558&lt;=0,"Kein Verbrauch; ","")&amp;IF(CD558&gt;0,"Lift "&amp;U558&amp;" lt. Liftbericht (Fach "&amp;V558&amp;" Stk); ",IF(BR558=1,"Lose – Fläche geschätzt; ",""))&amp;IF(G558&gt;AP558,"Überbestand "&amp;ROUND(G558-AP558,0)&amp;" Stk / CHF "&amp;ROUND((G558-AP558)*F558,0)&amp;"; ","")&amp;IF(AND(BW558=1,BX558&lt;BY558),"MAX &lt; MB+LG; ","")&amp;IF(AND(CC558&gt;0,CB558*10&gt;CC558),"zu hoch für Tablar; ","")&amp;IF(AND(BN558=0,OR(BW558=1,Y558&lt;&gt;"",S558&lt;&gt;"",T558&lt;&gt;"",Z558&lt;&gt;"")),"manuell übersteuert; ","")&amp;IF(AND(BR558=0,Q558=0),"Gebinde unbekannt / Stellmass fehlt; ","")&amp;IF(AND(BR558=0,N(T558)&lt;=0,N(P558)&lt;=0),"Menge pro Gebinde fehlt (Ist = 1 Gebinde); ","")&amp;BM558)</f>
        <v>Kein Verbrauch; </v>
      </c>
      <c r="BF558" s="55"/>
      <c r="BG558" s="55"/>
      <c r="BH558" s="62"/>
      <c r="BI558" s="57" t="n">
        <v>3</v>
      </c>
      <c r="BJ558" s="57" t="n">
        <v>7</v>
      </c>
      <c r="BK558" s="56" t="n">
        <v>14.6</v>
      </c>
      <c r="BL558" s="57" t="n">
        <v>0</v>
      </c>
      <c r="BM558" s="55"/>
      <c r="BN558" s="60" t="n">
        <v>0</v>
      </c>
      <c r="BO558" s="60" t="n">
        <v>558</v>
      </c>
      <c r="BP558" s="55" t="str">
        <f aca="false">IF(S558&lt;&gt;"",UPPER(TRIM(S558)),IF(O558="","LOSE",O558))</f>
        <v>S21</v>
      </c>
      <c r="BQ558" s="57" t="n">
        <f aca="false">IF(BP558="LOSE",1,IF(N(T558)&gt;0,T558,IF(N(P558)&gt;0,P558,MAX(1,G558))))</f>
        <v>10</v>
      </c>
      <c r="BR558" s="60" t="n">
        <f aca="false">IF(BP558="LOSE",1,0)</f>
        <v>0</v>
      </c>
      <c r="BS558" s="59" t="n">
        <f aca="false">IF(BR558=0,0,IF(N(R558)&gt;0,R558,IFERROR(VLOOKUP(D558,Parameter!$A$35:$C$64,3,0)+0,0)))</f>
        <v>0</v>
      </c>
      <c r="BT558" s="55" t="n">
        <f aca="false">IF(Y558&lt;&gt;"",Y558,X558)</f>
        <v>3</v>
      </c>
      <c r="BU558" s="55" t="str">
        <f aca="false">IF(BT558=1,"L1",IF(OR(BT558=2,BT558=3),"L23",IF(BT558="Aussen","Aussen","-")))</f>
        <v>L23</v>
      </c>
      <c r="BV558" s="66" t="n">
        <f aca="false">IF(N(Z558)&gt;0,Z558,0)</f>
        <v>0</v>
      </c>
      <c r="BW558" s="60" t="n">
        <f aca="false">IF(ISNUMBER(AC558),1,0)</f>
        <v>0</v>
      </c>
      <c r="BX558" s="57" t="n">
        <f aca="false">N(AC558)</f>
        <v>0</v>
      </c>
      <c r="BY558" s="57" t="n">
        <f aca="false">N(L558)+N(M558)</f>
        <v>1</v>
      </c>
      <c r="BZ558" s="57" t="n">
        <f aca="false">ROUNDUP(G558/BQ558,0)</f>
        <v>1</v>
      </c>
      <c r="CA558" s="57" t="n">
        <f aca="false">ROUNDUP(BX558/BQ558,0)</f>
        <v>0</v>
      </c>
      <c r="CB558" s="60" t="n">
        <f aca="false">IF(BR558=1,0,IFERROR(VLOOKUP(BP558,'Gebinde-Kategorie'!$A$5:$M$45,5,0)+0,0))</f>
        <v>8</v>
      </c>
      <c r="CC558" s="60" t="n">
        <f aca="false">IFERROR(IF(OR(BT558=1,BT558=2,BT558=3),N(INDEX(Parameter!$I$5:$I$7,BT558)),0),0)</f>
        <v>0</v>
      </c>
      <c r="CD558" s="59" t="n">
        <f aca="false">IF(AND(Parameter!$B$21="Ja",ISNUMBER(U558),N(V558)&gt;0),IFERROR(N(INDEX(Parameter!$L$5:$L$7,U558))*INDEX(Parameter!$E$5:$E$7,U558)*V558/SUMIFS($V$7:$V$1576,$U$7:$U$1576,U558),0),0)</f>
        <v>0</v>
      </c>
    </row>
    <row r="559" customFormat="false" ht="15" hidden="false" customHeight="false" outlineLevel="0" collapsed="false">
      <c r="A559" s="55" t="s">
        <v>1177</v>
      </c>
      <c r="B559" s="55" t="s">
        <v>1178</v>
      </c>
      <c r="C559" s="55" t="s">
        <v>160</v>
      </c>
      <c r="D559" s="55" t="s">
        <v>178</v>
      </c>
      <c r="E559" s="55" t="s">
        <v>210</v>
      </c>
      <c r="F559" s="56" t="n">
        <v>0.11</v>
      </c>
      <c r="G559" s="57" t="n">
        <f aca="false">MAX(0,IF(AND(Parameter!$B$21="Ja",ISNUMBER(W559)),W559,IF(Parameter!$B$20="Jahresanfang 2025 + Export",BJ559+BI559,BI559)))</f>
        <v>132</v>
      </c>
      <c r="H559" s="57" t="n">
        <f aca="false">G559*F559</f>
        <v>14.52</v>
      </c>
      <c r="I559" s="57" t="n">
        <f aca="false">BL559*Parameter!$B$18</f>
        <v>2</v>
      </c>
      <c r="J559" s="58" t="n">
        <v>457</v>
      </c>
      <c r="K559" s="59" t="n">
        <v>0.00437636761487965</v>
      </c>
      <c r="L559" s="57" t="n">
        <v>0</v>
      </c>
      <c r="M559" s="57" t="n">
        <v>1</v>
      </c>
      <c r="N559" s="60" t="n">
        <v>21</v>
      </c>
      <c r="O559" s="55" t="s">
        <v>411</v>
      </c>
      <c r="P559" s="57" t="n">
        <v>451</v>
      </c>
      <c r="Q559" s="60" t="n">
        <f aca="false">IF(BR559=1,0,IFERROR(VLOOKUP(BP559,'Gebinde-Kategorie'!$A$5:$M$45,13,0)+0,0))</f>
        <v>132</v>
      </c>
      <c r="R559" s="61"/>
      <c r="S559" s="62"/>
      <c r="T559" s="62"/>
      <c r="U559" s="55"/>
      <c r="V559" s="57"/>
      <c r="W559" s="57"/>
      <c r="X559" s="55" t="n">
        <f aca="false">IF(A559="","",IF(AND(Parameter!$B$21="Ja",ISNUMBER(U559)),U559,IF(IFERROR(VLOOKUP(D559,Parameter!$A$35:$C$64,2,0),"Nein")="2+3",IF(ISNUMBER(SEARCH("grosser Artikel",BM559)),2,IFERROR(VLOOKUP(BP559,Parameter!$F$35:$G$64,2,0),2)),IF(OR(IFERROR(VLOOKUP(D559,Parameter!$A$35:$C$64,2,0),"Nein")="Nein",IFERROR(VLOOKUP(D559,Parameter!$A$35:$C$64,2,0),"Nein")=""),"-",VLOOKUP(D559,Parameter!$A$35:$C$64,2,0)))))</f>
        <v>3</v>
      </c>
      <c r="Y559" s="62"/>
      <c r="Z559" s="63"/>
      <c r="AA559" s="57" t="n">
        <f aca="false">AP559</f>
        <v>451</v>
      </c>
      <c r="AB559" s="57" t="n">
        <f aca="false">MAX(AP559,G559)</f>
        <v>451</v>
      </c>
      <c r="AC559" s="64"/>
      <c r="AD559" s="57" t="n">
        <f aca="false">IF(LEFT(Cockpit!$C$5,1)="A",G559,IF(BW559=1,BX559,IF(LEFT(Cockpit!$C$5,1)="B",AH559,MAX(AH559,G559))))</f>
        <v>132</v>
      </c>
      <c r="AE559" s="57" t="n">
        <f aca="false">IF(BR559=1,0,ROUNDUP(AD559/BQ559,0))</f>
        <v>1</v>
      </c>
      <c r="AF559" s="59" t="n">
        <f aca="false">IF(CD559&gt;0,CD559*MAX(1,AD559/V559),IF(BR559=1,IF(AD559&lt;=0,0,BS559*MAX(1,IF(G559&gt;0,AD559/G559,1))),IF(Q559&gt;0,AE559/Q559,0))/MAX(0.1,N(Parameter!$M$21)))</f>
        <v>0.00757575757575758</v>
      </c>
      <c r="AG559" s="57" t="n">
        <f aca="false">AD559*F559</f>
        <v>14.52</v>
      </c>
      <c r="AH559" s="57" t="n">
        <f aca="false">ROUNDUP(MAX(I559/IF(BV559&gt;0,BV559,MAX(0.1,N(Cockpit!$C$6))),BY559)/BQ559,0)*BQ559</f>
        <v>451</v>
      </c>
      <c r="AI559" s="58" t="n">
        <f aca="false">IF(AF559&gt;0,I559/AF559,-1)</f>
        <v>264</v>
      </c>
      <c r="AJ559" s="58" t="n">
        <f aca="false">IF(AND(OR(BU559="L1",BU559="L23"),AF559&gt;0),SUMIFS($AF$7:$AF$1576,$BU$7:$BU$1576,BU559,$AI$7:$AI$1576,"&gt;"&amp;AI559)+SUMIFS($AF$7:$AF$1576,$BU$7:$BU$1576,BU559,$AI$7:$AI$1576,AI559,$BO$7:$BO$1576,"&lt;="&amp;BO559),"")</f>
        <v>15.69827742306</v>
      </c>
      <c r="AK559" s="65" t="n">
        <f aca="false">IF(AJ559="",0,MAX(0,MIN(1,(IF(BU559="L1",Parameter!$E$5,Parameter!$E$6+Parameter!$E$7)-(AJ559-AF559))/AF559)))</f>
        <v>1</v>
      </c>
      <c r="AL559" s="57" t="n">
        <f aca="false">IF(LEFT(Cockpit!$I$5,1)="A",G559,IF(BW559=1,BX559,IF(LEFT(Cockpit!$I$5,1)="B",AP559,MAX(AP559,G559))))</f>
        <v>451</v>
      </c>
      <c r="AM559" s="57" t="n">
        <f aca="false">IF(BR559=1,0,ROUNDUP(AL559/BQ559,0))</f>
        <v>1</v>
      </c>
      <c r="AN559" s="59" t="n">
        <f aca="false">IF(CD559&gt;0,CD559*MAX(1,AL559/V559),IF(BR559=1,IF(AL559&lt;=0,0,BS559*MAX(1,IF(G559&gt;0,AL559/G559,1))),IF(Q559&gt;0,AM559/Q559,0))/MAX(0.1,N(Parameter!$M$21)))</f>
        <v>0.00757575757575758</v>
      </c>
      <c r="AO559" s="57" t="n">
        <f aca="false">AL559*F559</f>
        <v>49.61</v>
      </c>
      <c r="AP559" s="57" t="n">
        <f aca="false">ROUNDUP(MAX(I559/IF(BV559&gt;0,BV559,MAX(0.1,N(Cockpit!$I$6))),BY559)/BQ559,0)*BQ559</f>
        <v>451</v>
      </c>
      <c r="AQ559" s="58" t="n">
        <f aca="false">IF(AN559&gt;0,I559/AN559,-1)</f>
        <v>264</v>
      </c>
      <c r="AR559" s="58" t="n">
        <f aca="false">IF(AND(OR(BU559="L1",BU559="L23"),AN559&gt;0),SUMIFS($AN$7:$AN$1576,$BU$7:$BU$1576,BU559,$AQ$7:$AQ$1576,"&gt;"&amp;AQ559)+SUMIFS($AN$7:$AN$1576,$BU$7:$BU$1576,BU559,$AQ$7:$AQ$1576,AQ559,$BO$7:$BO$1576,"&lt;="&amp;BO559),"")</f>
        <v>45.3276354204727</v>
      </c>
      <c r="AS559" s="65" t="n">
        <f aca="false">IF(AR559="",0,MAX(0,MIN(1,(IF(BU559="L1",Parameter!$E$5,Parameter!$E$6+Parameter!$E$7)-(AR559-AN559))/AN559)))</f>
        <v>1</v>
      </c>
      <c r="AT559" s="57" t="n">
        <f aca="false">IF(LEFT(Cockpit!$O$5,1)="A",G559,IF(BW559=1,BX559,IF(LEFT(Cockpit!$O$5,1)="B",AX559,MAX(AX559,G559))))</f>
        <v>451</v>
      </c>
      <c r="AU559" s="57" t="n">
        <f aca="false">IF(BR559=1,0,ROUNDUP(AT559/BQ559,0))</f>
        <v>1</v>
      </c>
      <c r="AV559" s="59" t="n">
        <f aca="false">IF(CD559&gt;0,CD559*MAX(1,AT559/V559),IF(BR559=1,IF(AT559&lt;=0,0,BS559*MAX(1,IF(G559&gt;0,AT559/G559,1))),IF(Q559&gt;0,AU559/Q559,0))/MAX(0.1,N(Parameter!$M$21)))</f>
        <v>0.00757575757575758</v>
      </c>
      <c r="AW559" s="57" t="n">
        <f aca="false">AT559*F559</f>
        <v>49.61</v>
      </c>
      <c r="AX559" s="57" t="n">
        <f aca="false">ROUNDUP(MAX(I559/IF(BV559&gt;0,BV559,MAX(0.1,N(Cockpit!$O$6))),BY559)/BQ559,0)*BQ559</f>
        <v>451</v>
      </c>
      <c r="AY559" s="58" t="n">
        <f aca="false">IF(AV559&gt;0,I559/AV559,-1)</f>
        <v>264</v>
      </c>
      <c r="AZ559" s="58" t="n">
        <f aca="false">IF(AND(OR(BU559="L1",BU559="L23"),AV559&gt;0),SUMIFS($AV$7:$AV$1576,$BU$7:$BU$1576,BU559,$AY$7:$AY$1576,"&gt;"&amp;AY559)+SUMIFS($AV$7:$AV$1576,$BU$7:$BU$1576,BU559,$AY$7:$AY$1576,AY559,$BO$7:$BO$1576,"&lt;="&amp;BO559),"")</f>
        <v>41.6057140085513</v>
      </c>
      <c r="BA559" s="65" t="n">
        <f aca="false">IF(AZ559="",0,MAX(0,MIN(1,(IF(BU559="L1",Parameter!$E$5,Parameter!$E$6+Parameter!$E$7)-(AZ559-AV559))/AV559)))</f>
        <v>1</v>
      </c>
      <c r="BB559" s="55" t="str">
        <f aca="false">IF(AF559&lt;=0,"",IF(BU559="Aussen","Aussenlager",IF(BU559="-","Nicht im Lift",IF(AK559&gt;=1,"Lift",IF(AK559&lt;=0,"Aussenlager","teilweise")))))</f>
        <v>Lift</v>
      </c>
      <c r="BC559" s="55" t="str">
        <f aca="false">IF(AN559&lt;=0,"",IF(BU559="Aussen","Aussenlager",IF(BU559="-","Nicht im Lift",IF(AS559&gt;=1,"Lift",IF(AS559&lt;=0,"Aussenlager","teilweise")))))</f>
        <v>Lift</v>
      </c>
      <c r="BD559" s="55" t="str">
        <f aca="false">IF(AV559&lt;=0,"",IF(BU559="Aussen","Aussenlager",IF(BU559="-","Nicht im Lift",IF(BA559&gt;=1,"Lift",IF(BA559&lt;=0,"Aussenlager","teilweise")))))</f>
        <v>Lift</v>
      </c>
      <c r="BE559" s="55" t="str">
        <f aca="false">IF(A559="","",IF(BN559=1,"Neu; ","")&amp;IF(AND(BN559=0,BI559&lt;0),"negativer Bestand (Export "&amp;BI559&amp;"); ","")&amp;IF(I559&lt;=0,"Kein Verbrauch; ","")&amp;IF(CD559&gt;0,"Lift "&amp;U559&amp;" lt. Liftbericht (Fach "&amp;V559&amp;" Stk); ",IF(BR559=1,"Lose – Fläche geschätzt; ",""))&amp;IF(G559&gt;AP559,"Überbestand "&amp;ROUND(G559-AP559,0)&amp;" Stk / CHF "&amp;ROUND((G559-AP559)*F559,0)&amp;"; ","")&amp;IF(AND(BW559=1,BX559&lt;BY559),"MAX &lt; MB+LG; ","")&amp;IF(AND(CC559&gt;0,CB559*10&gt;CC559),"zu hoch für Tablar; ","")&amp;IF(AND(BN559=0,OR(BW559=1,Y559&lt;&gt;"",S559&lt;&gt;"",T559&lt;&gt;"",Z559&lt;&gt;"")),"manuell übersteuert; ","")&amp;IF(AND(BR559=0,Q559=0),"Gebinde unbekannt / Stellmass fehlt; ","")&amp;IF(AND(BR559=0,N(T559)&lt;=0,N(P559)&lt;=0),"Menge pro Gebinde fehlt (Ist = 1 Gebinde); ","")&amp;BM559)</f>
        <v>Handlager</v>
      </c>
      <c r="BF559" s="55"/>
      <c r="BG559" s="55"/>
      <c r="BH559" s="62"/>
      <c r="BI559" s="57" t="n">
        <v>132</v>
      </c>
      <c r="BJ559" s="57" t="n">
        <v>423</v>
      </c>
      <c r="BK559" s="56" t="n">
        <v>14.52</v>
      </c>
      <c r="BL559" s="57" t="n">
        <v>2</v>
      </c>
      <c r="BM559" s="55" t="s">
        <v>884</v>
      </c>
      <c r="BN559" s="60" t="n">
        <v>0</v>
      </c>
      <c r="BO559" s="60" t="n">
        <v>559</v>
      </c>
      <c r="BP559" s="55" t="str">
        <f aca="false">IF(S559&lt;&gt;"",UPPER(TRIM(S559)),IF(O559="","LOSE",O559))</f>
        <v>S32</v>
      </c>
      <c r="BQ559" s="57" t="n">
        <f aca="false">IF(BP559="LOSE",1,IF(N(T559)&gt;0,T559,IF(N(P559)&gt;0,P559,MAX(1,G559))))</f>
        <v>451</v>
      </c>
      <c r="BR559" s="60" t="n">
        <f aca="false">IF(BP559="LOSE",1,0)</f>
        <v>0</v>
      </c>
      <c r="BS559" s="59" t="n">
        <f aca="false">IF(BR559=0,0,IF(N(R559)&gt;0,R559,IFERROR(VLOOKUP(D559,Parameter!$A$35:$C$64,3,0)+0,0)))</f>
        <v>0</v>
      </c>
      <c r="BT559" s="55" t="n">
        <f aca="false">IF(Y559&lt;&gt;"",Y559,X559)</f>
        <v>3</v>
      </c>
      <c r="BU559" s="55" t="str">
        <f aca="false">IF(BT559=1,"L1",IF(OR(BT559=2,BT559=3),"L23",IF(BT559="Aussen","Aussen","-")))</f>
        <v>L23</v>
      </c>
      <c r="BV559" s="66" t="n">
        <f aca="false">IF(N(Z559)&gt;0,Z559,0)</f>
        <v>0</v>
      </c>
      <c r="BW559" s="60" t="n">
        <f aca="false">IF(ISNUMBER(AC559),1,0)</f>
        <v>0</v>
      </c>
      <c r="BX559" s="57" t="n">
        <f aca="false">N(AC559)</f>
        <v>0</v>
      </c>
      <c r="BY559" s="57" t="n">
        <f aca="false">N(L559)+N(M559)</f>
        <v>1</v>
      </c>
      <c r="BZ559" s="57" t="n">
        <f aca="false">ROUNDUP(G559/BQ559,0)</f>
        <v>1</v>
      </c>
      <c r="CA559" s="57" t="n">
        <f aca="false">ROUNDUP(BX559/BQ559,0)</f>
        <v>0</v>
      </c>
      <c r="CB559" s="60" t="n">
        <f aca="false">IF(BR559=1,0,IFERROR(VLOOKUP(BP559,'Gebinde-Kategorie'!$A$5:$M$45,5,0)+0,0))</f>
        <v>8</v>
      </c>
      <c r="CC559" s="60" t="n">
        <f aca="false">IFERROR(IF(OR(BT559=1,BT559=2,BT559=3),N(INDEX(Parameter!$I$5:$I$7,BT559)),0),0)</f>
        <v>0</v>
      </c>
      <c r="CD559" s="59" t="n">
        <f aca="false">IF(AND(Parameter!$B$21="Ja",ISNUMBER(U559),N(V559)&gt;0),IFERROR(N(INDEX(Parameter!$L$5:$L$7,U559))*INDEX(Parameter!$E$5:$E$7,U559)*V559/SUMIFS($V$7:$V$1576,$U$7:$U$1576,U559),0),0)</f>
        <v>0</v>
      </c>
    </row>
    <row r="560" customFormat="false" ht="15" hidden="false" customHeight="false" outlineLevel="0" collapsed="false">
      <c r="A560" s="55" t="s">
        <v>1179</v>
      </c>
      <c r="B560" s="55" t="s">
        <v>850</v>
      </c>
      <c r="C560" s="55" t="s">
        <v>160</v>
      </c>
      <c r="D560" s="55" t="s">
        <v>178</v>
      </c>
      <c r="E560" s="55" t="s">
        <v>210</v>
      </c>
      <c r="F560" s="56" t="n">
        <v>3.55</v>
      </c>
      <c r="G560" s="57" t="n">
        <f aca="false">MAX(0,IF(AND(Parameter!$B$21="Ja",ISNUMBER(W560)),W560,IF(Parameter!$B$20="Jahresanfang 2025 + Export",BJ560+BI560,BI560)))</f>
        <v>4</v>
      </c>
      <c r="H560" s="57" t="n">
        <f aca="false">G560*F560</f>
        <v>14.2</v>
      </c>
      <c r="I560" s="57" t="n">
        <f aca="false">BL560*Parameter!$B$18</f>
        <v>2</v>
      </c>
      <c r="J560" s="58" t="n">
        <v>1.5</v>
      </c>
      <c r="K560" s="59" t="n">
        <v>1.33333333333333</v>
      </c>
      <c r="L560" s="57" t="n">
        <v>0</v>
      </c>
      <c r="M560" s="57" t="n">
        <v>1</v>
      </c>
      <c r="N560" s="60" t="n">
        <v>14</v>
      </c>
      <c r="O560" s="55" t="s">
        <v>391</v>
      </c>
      <c r="P560" s="57" t="n">
        <v>5</v>
      </c>
      <c r="Q560" s="60" t="n">
        <f aca="false">IF(BR560=1,0,IFERROR(VLOOKUP(BP560,'Gebinde-Kategorie'!$A$5:$M$45,13,0)+0,0))</f>
        <v>414</v>
      </c>
      <c r="R560" s="61"/>
      <c r="S560" s="62"/>
      <c r="T560" s="62"/>
      <c r="U560" s="55"/>
      <c r="V560" s="57"/>
      <c r="W560" s="57"/>
      <c r="X560" s="55" t="n">
        <f aca="false">IF(A560="","",IF(AND(Parameter!$B$21="Ja",ISNUMBER(U560)),U560,IF(IFERROR(VLOOKUP(D560,Parameter!$A$35:$C$64,2,0),"Nein")="2+3",IF(ISNUMBER(SEARCH("grosser Artikel",BM560)),2,IFERROR(VLOOKUP(BP560,Parameter!$F$35:$G$64,2,0),2)),IF(OR(IFERROR(VLOOKUP(D560,Parameter!$A$35:$C$64,2,0),"Nein")="Nein",IFERROR(VLOOKUP(D560,Parameter!$A$35:$C$64,2,0),"Nein")=""),"-",VLOOKUP(D560,Parameter!$A$35:$C$64,2,0)))))</f>
        <v>3</v>
      </c>
      <c r="Y560" s="62"/>
      <c r="Z560" s="63"/>
      <c r="AA560" s="57" t="n">
        <f aca="false">AP560</f>
        <v>5</v>
      </c>
      <c r="AB560" s="57" t="n">
        <f aca="false">MAX(AP560,G560)</f>
        <v>5</v>
      </c>
      <c r="AC560" s="64"/>
      <c r="AD560" s="57" t="n">
        <f aca="false">IF(LEFT(Cockpit!$C$5,1)="A",G560,IF(BW560=1,BX560,IF(LEFT(Cockpit!$C$5,1)="B",AH560,MAX(AH560,G560))))</f>
        <v>4</v>
      </c>
      <c r="AE560" s="57" t="n">
        <f aca="false">IF(BR560=1,0,ROUNDUP(AD560/BQ560,0))</f>
        <v>1</v>
      </c>
      <c r="AF560" s="59" t="n">
        <f aca="false">IF(CD560&gt;0,CD560*MAX(1,AD560/V560),IF(BR560=1,IF(AD560&lt;=0,0,BS560*MAX(1,IF(G560&gt;0,AD560/G560,1))),IF(Q560&gt;0,AE560/Q560,0))/MAX(0.1,N(Parameter!$M$21)))</f>
        <v>0.00241545893719807</v>
      </c>
      <c r="AG560" s="57" t="n">
        <f aca="false">AD560*F560</f>
        <v>14.2</v>
      </c>
      <c r="AH560" s="57" t="n">
        <f aca="false">ROUNDUP(MAX(I560/IF(BV560&gt;0,BV560,MAX(0.1,N(Cockpit!$C$6))),BY560)/BQ560,0)*BQ560</f>
        <v>5</v>
      </c>
      <c r="AI560" s="58" t="n">
        <f aca="false">IF(AF560&gt;0,I560/AF560,-1)</f>
        <v>828</v>
      </c>
      <c r="AJ560" s="58" t="n">
        <f aca="false">IF(AND(OR(BU560="L1",BU560="L23"),AF560&gt;0),SUMIFS($AF$7:$AF$1576,$BU$7:$BU$1576,BU560,$AI$7:$AI$1576,"&gt;"&amp;AI560)+SUMIFS($AF$7:$AF$1576,$BU$7:$BU$1576,BU560,$AI$7:$AI$1576,AI560,$BO$7:$BO$1576,"&lt;="&amp;BO560),"")</f>
        <v>10.4859562176953</v>
      </c>
      <c r="AK560" s="65" t="n">
        <f aca="false">IF(AJ560="",0,MAX(0,MIN(1,(IF(BU560="L1",Parameter!$E$5,Parameter!$E$6+Parameter!$E$7)-(AJ560-AF560))/AF560)))</f>
        <v>1</v>
      </c>
      <c r="AL560" s="57" t="n">
        <f aca="false">IF(LEFT(Cockpit!$I$5,1)="A",G560,IF(BW560=1,BX560,IF(LEFT(Cockpit!$I$5,1)="B",AP560,MAX(AP560,G560))))</f>
        <v>5</v>
      </c>
      <c r="AM560" s="57" t="n">
        <f aca="false">IF(BR560=1,0,ROUNDUP(AL560/BQ560,0))</f>
        <v>1</v>
      </c>
      <c r="AN560" s="59" t="n">
        <f aca="false">IF(CD560&gt;0,CD560*MAX(1,AL560/V560),IF(BR560=1,IF(AL560&lt;=0,0,BS560*MAX(1,IF(G560&gt;0,AL560/G560,1))),IF(Q560&gt;0,AM560/Q560,0))/MAX(0.1,N(Parameter!$M$21)))</f>
        <v>0.00241545893719807</v>
      </c>
      <c r="AO560" s="57" t="n">
        <f aca="false">AL560*F560</f>
        <v>17.75</v>
      </c>
      <c r="AP560" s="57" t="n">
        <f aca="false">ROUNDUP(MAX(I560/IF(BV560&gt;0,BV560,MAX(0.1,N(Cockpit!$I$6))),BY560)/BQ560,0)*BQ560</f>
        <v>5</v>
      </c>
      <c r="AQ560" s="58" t="n">
        <f aca="false">IF(AN560&gt;0,I560/AN560,-1)</f>
        <v>828</v>
      </c>
      <c r="AR560" s="58" t="n">
        <f aca="false">IF(AND(OR(BU560="L1",BU560="L23"),AN560&gt;0),SUMIFS($AN$7:$AN$1576,$BU$7:$BU$1576,BU560,$AQ$7:$AQ$1576,"&gt;"&amp;AQ560)+SUMIFS($AN$7:$AN$1576,$BU$7:$BU$1576,BU560,$AQ$7:$AQ$1576,AQ560,$BO$7:$BO$1576,"&lt;="&amp;BO560),"")</f>
        <v>25.6054362669692</v>
      </c>
      <c r="AS560" s="65" t="n">
        <f aca="false">IF(AR560="",0,MAX(0,MIN(1,(IF(BU560="L1",Parameter!$E$5,Parameter!$E$6+Parameter!$E$7)-(AR560-AN560))/AN560)))</f>
        <v>1</v>
      </c>
      <c r="AT560" s="57" t="n">
        <f aca="false">IF(LEFT(Cockpit!$O$5,1)="A",G560,IF(BW560=1,BX560,IF(LEFT(Cockpit!$O$5,1)="B",AX560,MAX(AX560,G560))))</f>
        <v>5</v>
      </c>
      <c r="AU560" s="57" t="n">
        <f aca="false">IF(BR560=1,0,ROUNDUP(AT560/BQ560,0))</f>
        <v>1</v>
      </c>
      <c r="AV560" s="59" t="n">
        <f aca="false">IF(CD560&gt;0,CD560*MAX(1,AT560/V560),IF(BR560=1,IF(AT560&lt;=0,0,BS560*MAX(1,IF(G560&gt;0,AT560/G560,1))),IF(Q560&gt;0,AU560/Q560,0))/MAX(0.1,N(Parameter!$M$21)))</f>
        <v>0.00241545893719807</v>
      </c>
      <c r="AW560" s="57" t="n">
        <f aca="false">AT560*F560</f>
        <v>17.75</v>
      </c>
      <c r="AX560" s="57" t="n">
        <f aca="false">ROUNDUP(MAX(I560/IF(BV560&gt;0,BV560,MAX(0.1,N(Cockpit!$O$6))),BY560)/BQ560,0)*BQ560</f>
        <v>5</v>
      </c>
      <c r="AY560" s="58" t="n">
        <f aca="false">IF(AV560&gt;0,I560/AV560,-1)</f>
        <v>828</v>
      </c>
      <c r="AZ560" s="58" t="n">
        <f aca="false">IF(AND(OR(BU560="L1",BU560="L23"),AV560&gt;0),SUMIFS($AV$7:$AV$1576,$BU$7:$BU$1576,BU560,$AY$7:$AY$1576,"&gt;"&amp;AY560)+SUMIFS($AV$7:$AV$1576,$BU$7:$BU$1576,BU560,$AY$7:$AY$1576,AY560,$BO$7:$BO$1576,"&lt;="&amp;BO560),"")</f>
        <v>25.9224525839855</v>
      </c>
      <c r="BA560" s="65" t="n">
        <f aca="false">IF(AZ560="",0,MAX(0,MIN(1,(IF(BU560="L1",Parameter!$E$5,Parameter!$E$6+Parameter!$E$7)-(AZ560-AV560))/AV560)))</f>
        <v>1</v>
      </c>
      <c r="BB560" s="55" t="str">
        <f aca="false">IF(AF560&lt;=0,"",IF(BU560="Aussen","Aussenlager",IF(BU560="-","Nicht im Lift",IF(AK560&gt;=1,"Lift",IF(AK560&lt;=0,"Aussenlager","teilweise")))))</f>
        <v>Lift</v>
      </c>
      <c r="BC560" s="55" t="str">
        <f aca="false">IF(AN560&lt;=0,"",IF(BU560="Aussen","Aussenlager",IF(BU560="-","Nicht im Lift",IF(AS560&gt;=1,"Lift",IF(AS560&lt;=0,"Aussenlager","teilweise")))))</f>
        <v>Lift</v>
      </c>
      <c r="BD560" s="55" t="str">
        <f aca="false">IF(AV560&lt;=0,"",IF(BU560="Aussen","Aussenlager",IF(BU560="-","Nicht im Lift",IF(BA560&gt;=1,"Lift",IF(BA560&lt;=0,"Aussenlager","teilweise")))))</f>
        <v>Lift</v>
      </c>
      <c r="BE560" s="55" t="str">
        <f aca="false">IF(A560="","",IF(BN560=1,"Neu; ","")&amp;IF(AND(BN560=0,BI560&lt;0),"negativer Bestand (Export "&amp;BI560&amp;"); ","")&amp;IF(I560&lt;=0,"Kein Verbrauch; ","")&amp;IF(CD560&gt;0,"Lift "&amp;U560&amp;" lt. Liftbericht (Fach "&amp;V560&amp;" Stk); ",IF(BR560=1,"Lose – Fläche geschätzt; ",""))&amp;IF(G560&gt;AP560,"Überbestand "&amp;ROUND(G560-AP560,0)&amp;" Stk / CHF "&amp;ROUND((G560-AP560)*F560,0)&amp;"; ","")&amp;IF(AND(BW560=1,BX560&lt;BY560),"MAX &lt; MB+LG; ","")&amp;IF(AND(CC560&gt;0,CB560*10&gt;CC560),"zu hoch für Tablar; ","")&amp;IF(AND(BN560=0,OR(BW560=1,Y560&lt;&gt;"",S560&lt;&gt;"",T560&lt;&gt;"",Z560&lt;&gt;"")),"manuell übersteuert; ","")&amp;IF(AND(BR560=0,Q560=0),"Gebinde unbekannt / Stellmass fehlt; ","")&amp;IF(AND(BR560=0,N(T560)&lt;=0,N(P560)&lt;=0),"Menge pro Gebinde fehlt (Ist = 1 Gebinde); ","")&amp;BM560)</f>
        <v/>
      </c>
      <c r="BF560" s="55"/>
      <c r="BG560" s="55"/>
      <c r="BH560" s="62"/>
      <c r="BI560" s="57" t="n">
        <v>4</v>
      </c>
      <c r="BJ560" s="57" t="n">
        <v>0</v>
      </c>
      <c r="BK560" s="56" t="n">
        <v>14.2</v>
      </c>
      <c r="BL560" s="57" t="n">
        <v>2</v>
      </c>
      <c r="BM560" s="55"/>
      <c r="BN560" s="60" t="n">
        <v>0</v>
      </c>
      <c r="BO560" s="60" t="n">
        <v>560</v>
      </c>
      <c r="BP560" s="55" t="str">
        <f aca="false">IF(S560&lt;&gt;"",UPPER(TRIM(S560)),IF(O560="","LOSE",O560))</f>
        <v>S21</v>
      </c>
      <c r="BQ560" s="57" t="n">
        <f aca="false">IF(BP560="LOSE",1,IF(N(T560)&gt;0,T560,IF(N(P560)&gt;0,P560,MAX(1,G560))))</f>
        <v>5</v>
      </c>
      <c r="BR560" s="60" t="n">
        <f aca="false">IF(BP560="LOSE",1,0)</f>
        <v>0</v>
      </c>
      <c r="BS560" s="59" t="n">
        <f aca="false">IF(BR560=0,0,IF(N(R560)&gt;0,R560,IFERROR(VLOOKUP(D560,Parameter!$A$35:$C$64,3,0)+0,0)))</f>
        <v>0</v>
      </c>
      <c r="BT560" s="55" t="n">
        <f aca="false">IF(Y560&lt;&gt;"",Y560,X560)</f>
        <v>3</v>
      </c>
      <c r="BU560" s="55" t="str">
        <f aca="false">IF(BT560=1,"L1",IF(OR(BT560=2,BT560=3),"L23",IF(BT560="Aussen","Aussen","-")))</f>
        <v>L23</v>
      </c>
      <c r="BV560" s="66" t="n">
        <f aca="false">IF(N(Z560)&gt;0,Z560,0)</f>
        <v>0</v>
      </c>
      <c r="BW560" s="60" t="n">
        <f aca="false">IF(ISNUMBER(AC560),1,0)</f>
        <v>0</v>
      </c>
      <c r="BX560" s="57" t="n">
        <f aca="false">N(AC560)</f>
        <v>0</v>
      </c>
      <c r="BY560" s="57" t="n">
        <f aca="false">N(L560)+N(M560)</f>
        <v>1</v>
      </c>
      <c r="BZ560" s="57" t="n">
        <f aca="false">ROUNDUP(G560/BQ560,0)</f>
        <v>1</v>
      </c>
      <c r="CA560" s="57" t="n">
        <f aca="false">ROUNDUP(BX560/BQ560,0)</f>
        <v>0</v>
      </c>
      <c r="CB560" s="60" t="n">
        <f aca="false">IF(BR560=1,0,IFERROR(VLOOKUP(BP560,'Gebinde-Kategorie'!$A$5:$M$45,5,0)+0,0))</f>
        <v>8</v>
      </c>
      <c r="CC560" s="60" t="n">
        <f aca="false">IFERROR(IF(OR(BT560=1,BT560=2,BT560=3),N(INDEX(Parameter!$I$5:$I$7,BT560)),0),0)</f>
        <v>0</v>
      </c>
      <c r="CD560" s="59" t="n">
        <f aca="false">IF(AND(Parameter!$B$21="Ja",ISNUMBER(U560),N(V560)&gt;0),IFERROR(N(INDEX(Parameter!$L$5:$L$7,U560))*INDEX(Parameter!$E$5:$E$7,U560)*V560/SUMIFS($V$7:$V$1576,$U$7:$U$1576,U560),0),0)</f>
        <v>0</v>
      </c>
    </row>
    <row r="561" customFormat="false" ht="15" hidden="false" customHeight="false" outlineLevel="0" collapsed="false">
      <c r="A561" s="55" t="s">
        <v>1180</v>
      </c>
      <c r="B561" s="55" t="s">
        <v>484</v>
      </c>
      <c r="C561" s="55" t="s">
        <v>160</v>
      </c>
      <c r="D561" s="55" t="s">
        <v>178</v>
      </c>
      <c r="E561" s="55" t="s">
        <v>210</v>
      </c>
      <c r="F561" s="56" t="n">
        <v>0.22</v>
      </c>
      <c r="G561" s="57" t="n">
        <f aca="false">MAX(0,IF(AND(Parameter!$B$21="Ja",ISNUMBER(W561)),W561,IF(Parameter!$B$20="Jahresanfang 2025 + Export",BJ561+BI561,BI561)))</f>
        <v>165</v>
      </c>
      <c r="H561" s="57" t="n">
        <f aca="false">G561*F561</f>
        <v>36.3</v>
      </c>
      <c r="I561" s="57" t="n">
        <f aca="false">BL561*Parameter!$B$18</f>
        <v>309</v>
      </c>
      <c r="J561" s="58" t="n">
        <v>143</v>
      </c>
      <c r="K561" s="59" t="n">
        <v>2.16083916083916</v>
      </c>
      <c r="L561" s="57" t="n">
        <v>18</v>
      </c>
      <c r="M561" s="57" t="n">
        <v>310</v>
      </c>
      <c r="N561" s="60" t="n">
        <v>21</v>
      </c>
      <c r="O561" s="55" t="s">
        <v>391</v>
      </c>
      <c r="P561" s="57" t="n">
        <v>119</v>
      </c>
      <c r="Q561" s="60" t="n">
        <f aca="false">IF(BR561=1,0,IFERROR(VLOOKUP(BP561,'Gebinde-Kategorie'!$A$5:$M$45,13,0)+0,0))</f>
        <v>414</v>
      </c>
      <c r="R561" s="61"/>
      <c r="S561" s="62"/>
      <c r="T561" s="62"/>
      <c r="U561" s="55"/>
      <c r="V561" s="57"/>
      <c r="W561" s="57"/>
      <c r="X561" s="55" t="n">
        <f aca="false">IF(A561="","",IF(AND(Parameter!$B$21="Ja",ISNUMBER(U561)),U561,IF(IFERROR(VLOOKUP(D561,Parameter!$A$35:$C$64,2,0),"Nein")="2+3",IF(ISNUMBER(SEARCH("grosser Artikel",BM561)),2,IFERROR(VLOOKUP(BP561,Parameter!$F$35:$G$64,2,0),2)),IF(OR(IFERROR(VLOOKUP(D561,Parameter!$A$35:$C$64,2,0),"Nein")="Nein",IFERROR(VLOOKUP(D561,Parameter!$A$35:$C$64,2,0),"Nein")=""),"-",VLOOKUP(D561,Parameter!$A$35:$C$64,2,0)))))</f>
        <v>3</v>
      </c>
      <c r="Y561" s="62"/>
      <c r="Z561" s="63"/>
      <c r="AA561" s="57" t="n">
        <f aca="false">AP561</f>
        <v>357</v>
      </c>
      <c r="AB561" s="57" t="n">
        <f aca="false">MAX(AP561,G561)</f>
        <v>357</v>
      </c>
      <c r="AC561" s="64"/>
      <c r="AD561" s="57" t="n">
        <f aca="false">IF(LEFT(Cockpit!$C$5,1)="A",G561,IF(BW561=1,BX561,IF(LEFT(Cockpit!$C$5,1)="B",AH561,MAX(AH561,G561))))</f>
        <v>165</v>
      </c>
      <c r="AE561" s="57" t="n">
        <f aca="false">IF(BR561=1,0,ROUNDUP(AD561/BQ561,0))</f>
        <v>2</v>
      </c>
      <c r="AF561" s="59" t="n">
        <f aca="false">IF(CD561&gt;0,CD561*MAX(1,AD561/V561),IF(BR561=1,IF(AD561&lt;=0,0,BS561*MAX(1,IF(G561&gt;0,AD561/G561,1))),IF(Q561&gt;0,AE561/Q561,0))/MAX(0.1,N(Parameter!$M$21)))</f>
        <v>0.00483091787439614</v>
      </c>
      <c r="AG561" s="57" t="n">
        <f aca="false">AD561*F561</f>
        <v>36.3</v>
      </c>
      <c r="AH561" s="57" t="n">
        <f aca="false">ROUNDUP(MAX(I561/IF(BV561&gt;0,BV561,MAX(0.1,N(Cockpit!$C$6))),BY561)/BQ561,0)*BQ561</f>
        <v>357</v>
      </c>
      <c r="AI561" s="58" t="n">
        <f aca="false">IF(AF561&gt;0,I561/AF561,-1)</f>
        <v>63963</v>
      </c>
      <c r="AJ561" s="58" t="n">
        <f aca="false">IF(AND(OR(BU561="L1",BU561="L23"),AF561&gt;0),SUMIFS($AF$7:$AF$1576,$BU$7:$BU$1576,BU561,$AI$7:$AI$1576,"&gt;"&amp;AI561)+SUMIFS($AF$7:$AF$1576,$BU$7:$BU$1576,BU561,$AI$7:$AI$1576,AI561,$BO$7:$BO$1576,"&lt;="&amp;BO561),"")</f>
        <v>0.551957704131617</v>
      </c>
      <c r="AK561" s="65" t="n">
        <f aca="false">IF(AJ561="",0,MAX(0,MIN(1,(IF(BU561="L1",Parameter!$E$5,Parameter!$E$6+Parameter!$E$7)-(AJ561-AF561))/AF561)))</f>
        <v>1</v>
      </c>
      <c r="AL561" s="57" t="n">
        <f aca="false">IF(LEFT(Cockpit!$I$5,1)="A",G561,IF(BW561=1,BX561,IF(LEFT(Cockpit!$I$5,1)="B",AP561,MAX(AP561,G561))))</f>
        <v>357</v>
      </c>
      <c r="AM561" s="57" t="n">
        <f aca="false">IF(BR561=1,0,ROUNDUP(AL561/BQ561,0))</f>
        <v>3</v>
      </c>
      <c r="AN561" s="59" t="n">
        <f aca="false">IF(CD561&gt;0,CD561*MAX(1,AL561/V561),IF(BR561=1,IF(AL561&lt;=0,0,BS561*MAX(1,IF(G561&gt;0,AL561/G561,1))),IF(Q561&gt;0,AM561/Q561,0))/MAX(0.1,N(Parameter!$M$21)))</f>
        <v>0.0072463768115942</v>
      </c>
      <c r="AO561" s="57" t="n">
        <f aca="false">AL561*F561</f>
        <v>78.54</v>
      </c>
      <c r="AP561" s="57" t="n">
        <f aca="false">ROUNDUP(MAX(I561/IF(BV561&gt;0,BV561,MAX(0.1,N(Cockpit!$I$6))),BY561)/BQ561,0)*BQ561</f>
        <v>357</v>
      </c>
      <c r="AQ561" s="58" t="n">
        <f aca="false">IF(AN561&gt;0,I561/AN561,-1)</f>
        <v>42642</v>
      </c>
      <c r="AR561" s="58" t="n">
        <f aca="false">IF(AND(OR(BU561="L1",BU561="L23"),AN561&gt;0),SUMIFS($AN$7:$AN$1576,$BU$7:$BU$1576,BU561,$AQ$7:$AQ$1576,"&gt;"&amp;AQ561)+SUMIFS($AN$7:$AN$1576,$BU$7:$BU$1576,BU561,$AQ$7:$AQ$1576,AQ561,$BO$7:$BO$1576,"&lt;="&amp;BO561),"")</f>
        <v>1.76187730144252</v>
      </c>
      <c r="AS561" s="65" t="n">
        <f aca="false">IF(AR561="",0,MAX(0,MIN(1,(IF(BU561="L1",Parameter!$E$5,Parameter!$E$6+Parameter!$E$7)-(AR561-AN561))/AN561)))</f>
        <v>1</v>
      </c>
      <c r="AT561" s="57" t="n">
        <f aca="false">IF(LEFT(Cockpit!$O$5,1)="A",G561,IF(BW561=1,BX561,IF(LEFT(Cockpit!$O$5,1)="B",AX561,MAX(AX561,G561))))</f>
        <v>357</v>
      </c>
      <c r="AU561" s="57" t="n">
        <f aca="false">IF(BR561=1,0,ROUNDUP(AT561/BQ561,0))</f>
        <v>3</v>
      </c>
      <c r="AV561" s="59" t="n">
        <f aca="false">IF(CD561&gt;0,CD561*MAX(1,AT561/V561),IF(BR561=1,IF(AT561&lt;=0,0,BS561*MAX(1,IF(G561&gt;0,AT561/G561,1))),IF(Q561&gt;0,AU561/Q561,0))/MAX(0.1,N(Parameter!$M$21)))</f>
        <v>0.0072463768115942</v>
      </c>
      <c r="AW561" s="57" t="n">
        <f aca="false">AT561*F561</f>
        <v>78.54</v>
      </c>
      <c r="AX561" s="57" t="n">
        <f aca="false">ROUNDUP(MAX(I561/IF(BV561&gt;0,BV561,MAX(0.1,N(Cockpit!$O$6))),BY561)/BQ561,0)*BQ561</f>
        <v>357</v>
      </c>
      <c r="AY561" s="58" t="n">
        <f aca="false">IF(AV561&gt;0,I561/AV561,-1)</f>
        <v>42642</v>
      </c>
      <c r="AZ561" s="58" t="n">
        <f aca="false">IF(AND(OR(BU561="L1",BU561="L23"),AV561&gt;0),SUMIFS($AV$7:$AV$1576,$BU$7:$BU$1576,BU561,$AY$7:$AY$1576,"&gt;"&amp;AY561)+SUMIFS($AV$7:$AV$1576,$BU$7:$BU$1576,BU561,$AY$7:$AY$1576,AY561,$BO$7:$BO$1576,"&lt;="&amp;BO561),"")</f>
        <v>2.09870713827236</v>
      </c>
      <c r="BA561" s="65" t="n">
        <f aca="false">IF(AZ561="",0,MAX(0,MIN(1,(IF(BU561="L1",Parameter!$E$5,Parameter!$E$6+Parameter!$E$7)-(AZ561-AV561))/AV561)))</f>
        <v>1</v>
      </c>
      <c r="BB561" s="55" t="str">
        <f aca="false">IF(AF561&lt;=0,"",IF(BU561="Aussen","Aussenlager",IF(BU561="-","Nicht im Lift",IF(AK561&gt;=1,"Lift",IF(AK561&lt;=0,"Aussenlager","teilweise")))))</f>
        <v>Lift</v>
      </c>
      <c r="BC561" s="55" t="str">
        <f aca="false">IF(AN561&lt;=0,"",IF(BU561="Aussen","Aussenlager",IF(BU561="-","Nicht im Lift",IF(AS561&gt;=1,"Lift",IF(AS561&lt;=0,"Aussenlager","teilweise")))))</f>
        <v>Lift</v>
      </c>
      <c r="BD561" s="55" t="str">
        <f aca="false">IF(AV561&lt;=0,"",IF(BU561="Aussen","Aussenlager",IF(BU561="-","Nicht im Lift",IF(BA561&gt;=1,"Lift",IF(BA561&lt;=0,"Aussenlager","teilweise")))))</f>
        <v>Lift</v>
      </c>
      <c r="BE561" s="55" t="str">
        <f aca="false">IF(A561="","",IF(BN561=1,"Neu; ","")&amp;IF(AND(BN561=0,BI561&lt;0),"negativer Bestand (Export "&amp;BI561&amp;"); ","")&amp;IF(I561&lt;=0,"Kein Verbrauch; ","")&amp;IF(CD561&gt;0,"Lift "&amp;U561&amp;" lt. Liftbericht (Fach "&amp;V561&amp;" Stk); ",IF(BR561=1,"Lose – Fläche geschätzt; ",""))&amp;IF(G561&gt;AP561,"Überbestand "&amp;ROUND(G561-AP561,0)&amp;" Stk / CHF "&amp;ROUND((G561-AP561)*F561,0)&amp;"; ","")&amp;IF(AND(BW561=1,BX561&lt;BY561),"MAX &lt; MB+LG; ","")&amp;IF(AND(CC561&gt;0,CB561*10&gt;CC561),"zu hoch für Tablar; ","")&amp;IF(AND(BN561=0,OR(BW561=1,Y561&lt;&gt;"",S561&lt;&gt;"",T561&lt;&gt;"",Z561&lt;&gt;"")),"manuell übersteuert; ","")&amp;IF(AND(BR561=0,Q561=0),"Gebinde unbekannt / Stellmass fehlt; ","")&amp;IF(AND(BR561=0,N(T561)&lt;=0,N(P561)&lt;=0),"Menge pro Gebinde fehlt (Ist = 1 Gebinde); ","")&amp;BM561)</f>
        <v/>
      </c>
      <c r="BF561" s="55"/>
      <c r="BG561" s="55"/>
      <c r="BH561" s="62"/>
      <c r="BI561" s="57" t="n">
        <v>165</v>
      </c>
      <c r="BJ561" s="57" t="n">
        <v>148</v>
      </c>
      <c r="BK561" s="56" t="n">
        <v>14.1</v>
      </c>
      <c r="BL561" s="57" t="n">
        <v>309</v>
      </c>
      <c r="BM561" s="55"/>
      <c r="BN561" s="60" t="n">
        <v>0</v>
      </c>
      <c r="BO561" s="60" t="n">
        <v>561</v>
      </c>
      <c r="BP561" s="55" t="str">
        <f aca="false">IF(S561&lt;&gt;"",UPPER(TRIM(S561)),IF(O561="","LOSE",O561))</f>
        <v>S21</v>
      </c>
      <c r="BQ561" s="57" t="n">
        <f aca="false">IF(BP561="LOSE",1,IF(N(T561)&gt;0,T561,IF(N(P561)&gt;0,P561,MAX(1,G561))))</f>
        <v>119</v>
      </c>
      <c r="BR561" s="60" t="n">
        <f aca="false">IF(BP561="LOSE",1,0)</f>
        <v>0</v>
      </c>
      <c r="BS561" s="59" t="n">
        <f aca="false">IF(BR561=0,0,IF(N(R561)&gt;0,R561,IFERROR(VLOOKUP(D561,Parameter!$A$35:$C$64,3,0)+0,0)))</f>
        <v>0</v>
      </c>
      <c r="BT561" s="55" t="n">
        <f aca="false">IF(Y561&lt;&gt;"",Y561,X561)</f>
        <v>3</v>
      </c>
      <c r="BU561" s="55" t="str">
        <f aca="false">IF(BT561=1,"L1",IF(OR(BT561=2,BT561=3),"L23",IF(BT561="Aussen","Aussen","-")))</f>
        <v>L23</v>
      </c>
      <c r="BV561" s="66" t="n">
        <f aca="false">IF(N(Z561)&gt;0,Z561,0)</f>
        <v>0</v>
      </c>
      <c r="BW561" s="60" t="n">
        <f aca="false">IF(ISNUMBER(AC561),1,0)</f>
        <v>0</v>
      </c>
      <c r="BX561" s="57" t="n">
        <f aca="false">N(AC561)</f>
        <v>0</v>
      </c>
      <c r="BY561" s="57" t="n">
        <f aca="false">N(L561)+N(M561)</f>
        <v>328</v>
      </c>
      <c r="BZ561" s="57" t="n">
        <f aca="false">ROUNDUP(G561/BQ561,0)</f>
        <v>2</v>
      </c>
      <c r="CA561" s="57" t="n">
        <f aca="false">ROUNDUP(BX561/BQ561,0)</f>
        <v>0</v>
      </c>
      <c r="CB561" s="60" t="n">
        <f aca="false">IF(BR561=1,0,IFERROR(VLOOKUP(BP561,'Gebinde-Kategorie'!$A$5:$M$45,5,0)+0,0))</f>
        <v>8</v>
      </c>
      <c r="CC561" s="60" t="n">
        <f aca="false">IFERROR(IF(OR(BT561=1,BT561=2,BT561=3),N(INDEX(Parameter!$I$5:$I$7,BT561)),0),0)</f>
        <v>0</v>
      </c>
      <c r="CD561" s="59" t="n">
        <f aca="false">IF(AND(Parameter!$B$21="Ja",ISNUMBER(U561),N(V561)&gt;0),IFERROR(N(INDEX(Parameter!$L$5:$L$7,U561))*INDEX(Parameter!$E$5:$E$7,U561)*V561/SUMIFS($V$7:$V$1576,$U$7:$U$1576,U561),0),0)</f>
        <v>0</v>
      </c>
    </row>
    <row r="562" customFormat="false" ht="15" hidden="false" customHeight="false" outlineLevel="0" collapsed="false">
      <c r="A562" s="55" t="s">
        <v>1181</v>
      </c>
      <c r="B562" s="55" t="s">
        <v>1182</v>
      </c>
      <c r="C562" s="55" t="s">
        <v>160</v>
      </c>
      <c r="D562" s="55" t="s">
        <v>178</v>
      </c>
      <c r="E562" s="55" t="s">
        <v>210</v>
      </c>
      <c r="F562" s="56" t="n">
        <v>1.4</v>
      </c>
      <c r="G562" s="57" t="n">
        <f aca="false">MAX(0,IF(AND(Parameter!$B$21="Ja",ISNUMBER(W562)),W562,IF(Parameter!$B$20="Jahresanfang 2025 + Export",BJ562+BI562,BI562)))</f>
        <v>10</v>
      </c>
      <c r="H562" s="57" t="n">
        <f aca="false">G562*F562</f>
        <v>14</v>
      </c>
      <c r="I562" s="57" t="n">
        <f aca="false">BL562*Parameter!$B$18</f>
        <v>15</v>
      </c>
      <c r="J562" s="58" t="n">
        <v>7.5</v>
      </c>
      <c r="K562" s="59" t="n">
        <v>2</v>
      </c>
      <c r="L562" s="57" t="n">
        <v>1</v>
      </c>
      <c r="M562" s="57" t="n">
        <v>15</v>
      </c>
      <c r="N562" s="60" t="n">
        <v>28</v>
      </c>
      <c r="O562" s="55" t="s">
        <v>411</v>
      </c>
      <c r="P562" s="57" t="n">
        <v>27</v>
      </c>
      <c r="Q562" s="60" t="n">
        <f aca="false">IF(BR562=1,0,IFERROR(VLOOKUP(BP562,'Gebinde-Kategorie'!$A$5:$M$45,13,0)+0,0))</f>
        <v>132</v>
      </c>
      <c r="R562" s="61"/>
      <c r="S562" s="62"/>
      <c r="T562" s="62"/>
      <c r="U562" s="55"/>
      <c r="V562" s="57"/>
      <c r="W562" s="57"/>
      <c r="X562" s="55" t="n">
        <f aca="false">IF(A562="","",IF(AND(Parameter!$B$21="Ja",ISNUMBER(U562)),U562,IF(IFERROR(VLOOKUP(D562,Parameter!$A$35:$C$64,2,0),"Nein")="2+3",IF(ISNUMBER(SEARCH("grosser Artikel",BM562)),2,IFERROR(VLOOKUP(BP562,Parameter!$F$35:$G$64,2,0),2)),IF(OR(IFERROR(VLOOKUP(D562,Parameter!$A$35:$C$64,2,0),"Nein")="Nein",IFERROR(VLOOKUP(D562,Parameter!$A$35:$C$64,2,0),"Nein")=""),"-",VLOOKUP(D562,Parameter!$A$35:$C$64,2,0)))))</f>
        <v>3</v>
      </c>
      <c r="Y562" s="62"/>
      <c r="Z562" s="63"/>
      <c r="AA562" s="57" t="n">
        <f aca="false">AP562</f>
        <v>27</v>
      </c>
      <c r="AB562" s="57" t="n">
        <f aca="false">MAX(AP562,G562)</f>
        <v>27</v>
      </c>
      <c r="AC562" s="64"/>
      <c r="AD562" s="57" t="n">
        <f aca="false">IF(LEFT(Cockpit!$C$5,1)="A",G562,IF(BW562=1,BX562,IF(LEFT(Cockpit!$C$5,1)="B",AH562,MAX(AH562,G562))))</f>
        <v>10</v>
      </c>
      <c r="AE562" s="57" t="n">
        <f aca="false">IF(BR562=1,0,ROUNDUP(AD562/BQ562,0))</f>
        <v>1</v>
      </c>
      <c r="AF562" s="59" t="n">
        <f aca="false">IF(CD562&gt;0,CD562*MAX(1,AD562/V562),IF(BR562=1,IF(AD562&lt;=0,0,BS562*MAX(1,IF(G562&gt;0,AD562/G562,1))),IF(Q562&gt;0,AE562/Q562,0))/MAX(0.1,N(Parameter!$M$21)))</f>
        <v>0.00757575757575758</v>
      </c>
      <c r="AG562" s="57" t="n">
        <f aca="false">AD562*F562</f>
        <v>14</v>
      </c>
      <c r="AH562" s="57" t="n">
        <f aca="false">ROUNDUP(MAX(I562/IF(BV562&gt;0,BV562,MAX(0.1,N(Cockpit!$C$6))),BY562)/BQ562,0)*BQ562</f>
        <v>27</v>
      </c>
      <c r="AI562" s="58" t="n">
        <f aca="false">IF(AF562&gt;0,I562/AF562,-1)</f>
        <v>1980</v>
      </c>
      <c r="AJ562" s="58" t="n">
        <f aca="false">IF(AND(OR(BU562="L1",BU562="L23"),AF562&gt;0),SUMIFS($AF$7:$AF$1576,$BU$7:$BU$1576,BU562,$AI$7:$AI$1576,"&gt;"&amp;AI562)+SUMIFS($AF$7:$AF$1576,$BU$7:$BU$1576,BU562,$AI$7:$AI$1576,AI562,$BO$7:$BO$1576,"&lt;="&amp;BO562),"")</f>
        <v>6.56280497280497</v>
      </c>
      <c r="AK562" s="65" t="n">
        <f aca="false">IF(AJ562="",0,MAX(0,MIN(1,(IF(BU562="L1",Parameter!$E$5,Parameter!$E$6+Parameter!$E$7)-(AJ562-AF562))/AF562)))</f>
        <v>1</v>
      </c>
      <c r="AL562" s="57" t="n">
        <f aca="false">IF(LEFT(Cockpit!$I$5,1)="A",G562,IF(BW562=1,BX562,IF(LEFT(Cockpit!$I$5,1)="B",AP562,MAX(AP562,G562))))</f>
        <v>27</v>
      </c>
      <c r="AM562" s="57" t="n">
        <f aca="false">IF(BR562=1,0,ROUNDUP(AL562/BQ562,0))</f>
        <v>1</v>
      </c>
      <c r="AN562" s="59" t="n">
        <f aca="false">IF(CD562&gt;0,CD562*MAX(1,AL562/V562),IF(BR562=1,IF(AL562&lt;=0,0,BS562*MAX(1,IF(G562&gt;0,AL562/G562,1))),IF(Q562&gt;0,AM562/Q562,0))/MAX(0.1,N(Parameter!$M$21)))</f>
        <v>0.00757575757575758</v>
      </c>
      <c r="AO562" s="57" t="n">
        <f aca="false">AL562*F562</f>
        <v>37.8</v>
      </c>
      <c r="AP562" s="57" t="n">
        <f aca="false">ROUNDUP(MAX(I562/IF(BV562&gt;0,BV562,MAX(0.1,N(Cockpit!$I$6))),BY562)/BQ562,0)*BQ562</f>
        <v>27</v>
      </c>
      <c r="AQ562" s="58" t="n">
        <f aca="false">IF(AN562&gt;0,I562/AN562,-1)</f>
        <v>1980</v>
      </c>
      <c r="AR562" s="58" t="n">
        <f aca="false">IF(AND(OR(BU562="L1",BU562="L23"),AN562&gt;0),SUMIFS($AN$7:$AN$1576,$BU$7:$BU$1576,BU562,$AQ$7:$AQ$1576,"&gt;"&amp;AQ562)+SUMIFS($AN$7:$AN$1576,$BU$7:$BU$1576,BU562,$AQ$7:$AQ$1576,AQ562,$BO$7:$BO$1576,"&lt;="&amp;BO562),"")</f>
        <v>17.2730214836848</v>
      </c>
      <c r="AS562" s="65" t="n">
        <f aca="false">IF(AR562="",0,MAX(0,MIN(1,(IF(BU562="L1",Parameter!$E$5,Parameter!$E$6+Parameter!$E$7)-(AR562-AN562))/AN562)))</f>
        <v>1</v>
      </c>
      <c r="AT562" s="57" t="n">
        <f aca="false">IF(LEFT(Cockpit!$O$5,1)="A",G562,IF(BW562=1,BX562,IF(LEFT(Cockpit!$O$5,1)="B",AX562,MAX(AX562,G562))))</f>
        <v>27</v>
      </c>
      <c r="AU562" s="57" t="n">
        <f aca="false">IF(BR562=1,0,ROUNDUP(AT562/BQ562,0))</f>
        <v>1</v>
      </c>
      <c r="AV562" s="59" t="n">
        <f aca="false">IF(CD562&gt;0,CD562*MAX(1,AT562/V562),IF(BR562=1,IF(AT562&lt;=0,0,BS562*MAX(1,IF(G562&gt;0,AT562/G562,1))),IF(Q562&gt;0,AU562/Q562,0))/MAX(0.1,N(Parameter!$M$21)))</f>
        <v>0.00757575757575758</v>
      </c>
      <c r="AW562" s="57" t="n">
        <f aca="false">AT562*F562</f>
        <v>37.8</v>
      </c>
      <c r="AX562" s="57" t="n">
        <f aca="false">ROUNDUP(MAX(I562/IF(BV562&gt;0,BV562,MAX(0.1,N(Cockpit!$O$6))),BY562)/BQ562,0)*BQ562</f>
        <v>27</v>
      </c>
      <c r="AY562" s="58" t="n">
        <f aca="false">IF(AV562&gt;0,I562/AV562,-1)</f>
        <v>1980</v>
      </c>
      <c r="AZ562" s="58" t="n">
        <f aca="false">IF(AND(OR(BU562="L1",BU562="L23"),AV562&gt;0),SUMIFS($AV$7:$AV$1576,$BU$7:$BU$1576,BU562,$AY$7:$AY$1576,"&gt;"&amp;AY562)+SUMIFS($AV$7:$AV$1576,$BU$7:$BU$1576,BU562,$AY$7:$AY$1576,AY562,$BO$7:$BO$1576,"&lt;="&amp;BO562),"")</f>
        <v>16.0002942109575</v>
      </c>
      <c r="BA562" s="65" t="n">
        <f aca="false">IF(AZ562="",0,MAX(0,MIN(1,(IF(BU562="L1",Parameter!$E$5,Parameter!$E$6+Parameter!$E$7)-(AZ562-AV562))/AV562)))</f>
        <v>1</v>
      </c>
      <c r="BB562" s="55" t="str">
        <f aca="false">IF(AF562&lt;=0,"",IF(BU562="Aussen","Aussenlager",IF(BU562="-","Nicht im Lift",IF(AK562&gt;=1,"Lift",IF(AK562&lt;=0,"Aussenlager","teilweise")))))</f>
        <v>Lift</v>
      </c>
      <c r="BC562" s="55" t="str">
        <f aca="false">IF(AN562&lt;=0,"",IF(BU562="Aussen","Aussenlager",IF(BU562="-","Nicht im Lift",IF(AS562&gt;=1,"Lift",IF(AS562&lt;=0,"Aussenlager","teilweise")))))</f>
        <v>Lift</v>
      </c>
      <c r="BD562" s="55" t="str">
        <f aca="false">IF(AV562&lt;=0,"",IF(BU562="Aussen","Aussenlager",IF(BU562="-","Nicht im Lift",IF(BA562&gt;=1,"Lift",IF(BA562&lt;=0,"Aussenlager","teilweise")))))</f>
        <v>Lift</v>
      </c>
      <c r="BE562" s="55" t="str">
        <f aca="false">IF(A562="","",IF(BN562=1,"Neu; ","")&amp;IF(AND(BN562=0,BI562&lt;0),"negativer Bestand (Export "&amp;BI562&amp;"); ","")&amp;IF(I562&lt;=0,"Kein Verbrauch; ","")&amp;IF(CD562&gt;0,"Lift "&amp;U562&amp;" lt. Liftbericht (Fach "&amp;V562&amp;" Stk); ",IF(BR562=1,"Lose – Fläche geschätzt; ",""))&amp;IF(G562&gt;AP562,"Überbestand "&amp;ROUND(G562-AP562,0)&amp;" Stk / CHF "&amp;ROUND((G562-AP562)*F562,0)&amp;"; ","")&amp;IF(AND(BW562=1,BX562&lt;BY562),"MAX &lt; MB+LG; ","")&amp;IF(AND(CC562&gt;0,CB562*10&gt;CC562),"zu hoch für Tablar; ","")&amp;IF(AND(BN562=0,OR(BW562=1,Y562&lt;&gt;"",S562&lt;&gt;"",T562&lt;&gt;"",Z562&lt;&gt;"")),"manuell übersteuert; ","")&amp;IF(AND(BR562=0,Q562=0),"Gebinde unbekannt / Stellmass fehlt; ","")&amp;IF(AND(BR562=0,N(T562)&lt;=0,N(P562)&lt;=0),"Menge pro Gebinde fehlt (Ist = 1 Gebinde); ","")&amp;BM562)</f>
        <v/>
      </c>
      <c r="BF562" s="55"/>
      <c r="BG562" s="55"/>
      <c r="BH562" s="62"/>
      <c r="BI562" s="57" t="n">
        <v>10</v>
      </c>
      <c r="BJ562" s="57" t="n">
        <v>5</v>
      </c>
      <c r="BK562" s="56" t="n">
        <v>14.1</v>
      </c>
      <c r="BL562" s="57" t="n">
        <v>15</v>
      </c>
      <c r="BM562" s="55"/>
      <c r="BN562" s="60" t="n">
        <v>0</v>
      </c>
      <c r="BO562" s="60" t="n">
        <v>562</v>
      </c>
      <c r="BP562" s="55" t="str">
        <f aca="false">IF(S562&lt;&gt;"",UPPER(TRIM(S562)),IF(O562="","LOSE",O562))</f>
        <v>S32</v>
      </c>
      <c r="BQ562" s="57" t="n">
        <f aca="false">IF(BP562="LOSE",1,IF(N(T562)&gt;0,T562,IF(N(P562)&gt;0,P562,MAX(1,G562))))</f>
        <v>27</v>
      </c>
      <c r="BR562" s="60" t="n">
        <f aca="false">IF(BP562="LOSE",1,0)</f>
        <v>0</v>
      </c>
      <c r="BS562" s="59" t="n">
        <f aca="false">IF(BR562=0,0,IF(N(R562)&gt;0,R562,IFERROR(VLOOKUP(D562,Parameter!$A$35:$C$64,3,0)+0,0)))</f>
        <v>0</v>
      </c>
      <c r="BT562" s="55" t="n">
        <f aca="false">IF(Y562&lt;&gt;"",Y562,X562)</f>
        <v>3</v>
      </c>
      <c r="BU562" s="55" t="str">
        <f aca="false">IF(BT562=1,"L1",IF(OR(BT562=2,BT562=3),"L23",IF(BT562="Aussen","Aussen","-")))</f>
        <v>L23</v>
      </c>
      <c r="BV562" s="66" t="n">
        <f aca="false">IF(N(Z562)&gt;0,Z562,0)</f>
        <v>0</v>
      </c>
      <c r="BW562" s="60" t="n">
        <f aca="false">IF(ISNUMBER(AC562),1,0)</f>
        <v>0</v>
      </c>
      <c r="BX562" s="57" t="n">
        <f aca="false">N(AC562)</f>
        <v>0</v>
      </c>
      <c r="BY562" s="57" t="n">
        <f aca="false">N(L562)+N(M562)</f>
        <v>16</v>
      </c>
      <c r="BZ562" s="57" t="n">
        <f aca="false">ROUNDUP(G562/BQ562,0)</f>
        <v>1</v>
      </c>
      <c r="CA562" s="57" t="n">
        <f aca="false">ROUNDUP(BX562/BQ562,0)</f>
        <v>0</v>
      </c>
      <c r="CB562" s="60" t="n">
        <f aca="false">IF(BR562=1,0,IFERROR(VLOOKUP(BP562,'Gebinde-Kategorie'!$A$5:$M$45,5,0)+0,0))</f>
        <v>8</v>
      </c>
      <c r="CC562" s="60" t="n">
        <f aca="false">IFERROR(IF(OR(BT562=1,BT562=2,BT562=3),N(INDEX(Parameter!$I$5:$I$7,BT562)),0),0)</f>
        <v>0</v>
      </c>
      <c r="CD562" s="59" t="n">
        <f aca="false">IF(AND(Parameter!$B$21="Ja",ISNUMBER(U562),N(V562)&gt;0),IFERROR(N(INDEX(Parameter!$L$5:$L$7,U562))*INDEX(Parameter!$E$5:$E$7,U562)*V562/SUMIFS($V$7:$V$1576,$U$7:$U$1576,U562),0),0)</f>
        <v>0</v>
      </c>
    </row>
    <row r="563" customFormat="false" ht="15" hidden="false" customHeight="false" outlineLevel="0" collapsed="false">
      <c r="A563" s="55" t="s">
        <v>1183</v>
      </c>
      <c r="B563" s="55" t="s">
        <v>1184</v>
      </c>
      <c r="C563" s="55" t="s">
        <v>160</v>
      </c>
      <c r="D563" s="55" t="s">
        <v>178</v>
      </c>
      <c r="E563" s="55" t="s">
        <v>210</v>
      </c>
      <c r="F563" s="56" t="n">
        <v>2</v>
      </c>
      <c r="G563" s="57" t="n">
        <f aca="false">MAX(0,IF(AND(Parameter!$B$21="Ja",ISNUMBER(W563)),W563,IF(Parameter!$B$20="Jahresanfang 2025 + Export",BJ563+BI563,BI563)))</f>
        <v>7</v>
      </c>
      <c r="H563" s="57" t="n">
        <f aca="false">G563*F563</f>
        <v>14</v>
      </c>
      <c r="I563" s="57" t="n">
        <f aca="false">BL563*Parameter!$B$18</f>
        <v>0</v>
      </c>
      <c r="J563" s="58" t="n">
        <v>7.5</v>
      </c>
      <c r="K563" s="59" t="n">
        <v>0</v>
      </c>
      <c r="L563" s="57" t="n">
        <v>0</v>
      </c>
      <c r="M563" s="57" t="n">
        <v>1</v>
      </c>
      <c r="N563" s="60" t="n">
        <v>28</v>
      </c>
      <c r="O563" s="55" t="s">
        <v>391</v>
      </c>
      <c r="P563" s="57" t="n">
        <v>4</v>
      </c>
      <c r="Q563" s="60" t="n">
        <f aca="false">IF(BR563=1,0,IFERROR(VLOOKUP(BP563,'Gebinde-Kategorie'!$A$5:$M$45,13,0)+0,0))</f>
        <v>414</v>
      </c>
      <c r="R563" s="61"/>
      <c r="S563" s="62"/>
      <c r="T563" s="62"/>
      <c r="U563" s="55"/>
      <c r="V563" s="57"/>
      <c r="W563" s="57"/>
      <c r="X563" s="55" t="n">
        <f aca="false">IF(A563="","",IF(AND(Parameter!$B$21="Ja",ISNUMBER(U563)),U563,IF(IFERROR(VLOOKUP(D563,Parameter!$A$35:$C$64,2,0),"Nein")="2+3",IF(ISNUMBER(SEARCH("grosser Artikel",BM563)),2,IFERROR(VLOOKUP(BP563,Parameter!$F$35:$G$64,2,0),2)),IF(OR(IFERROR(VLOOKUP(D563,Parameter!$A$35:$C$64,2,0),"Nein")="Nein",IFERROR(VLOOKUP(D563,Parameter!$A$35:$C$64,2,0),"Nein")=""),"-",VLOOKUP(D563,Parameter!$A$35:$C$64,2,0)))))</f>
        <v>3</v>
      </c>
      <c r="Y563" s="62"/>
      <c r="Z563" s="63"/>
      <c r="AA563" s="57" t="n">
        <f aca="false">AP563</f>
        <v>4</v>
      </c>
      <c r="AB563" s="57" t="n">
        <f aca="false">MAX(AP563,G563)</f>
        <v>7</v>
      </c>
      <c r="AC563" s="64"/>
      <c r="AD563" s="57" t="n">
        <f aca="false">IF(LEFT(Cockpit!$C$5,1)="A",G563,IF(BW563=1,BX563,IF(LEFT(Cockpit!$C$5,1)="B",AH563,MAX(AH563,G563))))</f>
        <v>7</v>
      </c>
      <c r="AE563" s="57" t="n">
        <f aca="false">IF(BR563=1,0,ROUNDUP(AD563/BQ563,0))</f>
        <v>2</v>
      </c>
      <c r="AF563" s="59" t="n">
        <f aca="false">IF(CD563&gt;0,CD563*MAX(1,AD563/V563),IF(BR563=1,IF(AD563&lt;=0,0,BS563*MAX(1,IF(G563&gt;0,AD563/G563,1))),IF(Q563&gt;0,AE563/Q563,0))/MAX(0.1,N(Parameter!$M$21)))</f>
        <v>0.00483091787439614</v>
      </c>
      <c r="AG563" s="57" t="n">
        <f aca="false">AD563*F563</f>
        <v>14</v>
      </c>
      <c r="AH563" s="57" t="n">
        <f aca="false">ROUNDUP(MAX(I563/IF(BV563&gt;0,BV563,MAX(0.1,N(Cockpit!$C$6))),BY563)/BQ563,0)*BQ563</f>
        <v>4</v>
      </c>
      <c r="AI563" s="58" t="n">
        <f aca="false">IF(AF563&gt;0,I563/AF563,-1)</f>
        <v>0</v>
      </c>
      <c r="AJ563" s="58" t="n">
        <f aca="false">IF(AND(OR(BU563="L1",BU563="L23"),AF563&gt;0),SUMIFS($AF$7:$AF$1576,$BU$7:$BU$1576,BU563,$AI$7:$AI$1576,"&gt;"&amp;AI563)+SUMIFS($AF$7:$AF$1576,$BU$7:$BU$1576,BU563,$AI$7:$AI$1576,AI563,$BO$7:$BO$1576,"&lt;="&amp;BO563),"")</f>
        <v>43.5753116448769</v>
      </c>
      <c r="AK563" s="65" t="n">
        <f aca="false">IF(AJ563="",0,MAX(0,MIN(1,(IF(BU563="L1",Parameter!$E$5,Parameter!$E$6+Parameter!$E$7)-(AJ563-AF563))/AF563)))</f>
        <v>1</v>
      </c>
      <c r="AL563" s="57" t="n">
        <f aca="false">IF(LEFT(Cockpit!$I$5,1)="A",G563,IF(BW563=1,BX563,IF(LEFT(Cockpit!$I$5,1)="B",AP563,MAX(AP563,G563))))</f>
        <v>7</v>
      </c>
      <c r="AM563" s="57" t="n">
        <f aca="false">IF(BR563=1,0,ROUNDUP(AL563/BQ563,0))</f>
        <v>2</v>
      </c>
      <c r="AN563" s="59" t="n">
        <f aca="false">IF(CD563&gt;0,CD563*MAX(1,AL563/V563),IF(BR563=1,IF(AL563&lt;=0,0,BS563*MAX(1,IF(G563&gt;0,AL563/G563,1))),IF(Q563&gt;0,AM563/Q563,0))/MAX(0.1,N(Parameter!$M$21)))</f>
        <v>0.00483091787439614</v>
      </c>
      <c r="AO563" s="57" t="n">
        <f aca="false">AL563*F563</f>
        <v>14</v>
      </c>
      <c r="AP563" s="57" t="n">
        <f aca="false">ROUNDUP(MAX(I563/IF(BV563&gt;0,BV563,MAX(0.1,N(Cockpit!$I$6))),BY563)/BQ563,0)*BQ563</f>
        <v>4</v>
      </c>
      <c r="AQ563" s="58" t="n">
        <f aca="false">IF(AN563&gt;0,I563/AN563,-1)</f>
        <v>0</v>
      </c>
      <c r="AR563" s="58" t="n">
        <f aca="false">IF(AND(OR(BU563="L1",BU563="L23"),AN563&gt;0),SUMIFS($AN$7:$AN$1576,$BU$7:$BU$1576,BU563,$AQ$7:$AQ$1576,"&gt;"&amp;AQ563)+SUMIFS($AN$7:$AN$1576,$BU$7:$BU$1576,BU563,$AQ$7:$AQ$1576,AQ563,$BO$7:$BO$1576,"&lt;="&amp;BO563),"")</f>
        <v>126.572097763395</v>
      </c>
      <c r="AS563" s="65" t="n">
        <f aca="false">IF(AR563="",0,MAX(0,MIN(1,(IF(BU563="L1",Parameter!$E$5,Parameter!$E$6+Parameter!$E$7)-(AR563-AN563))/AN563)))</f>
        <v>0</v>
      </c>
      <c r="AT563" s="57" t="n">
        <f aca="false">IF(LEFT(Cockpit!$O$5,1)="A",G563,IF(BW563=1,BX563,IF(LEFT(Cockpit!$O$5,1)="B",AX563,MAX(AX563,G563))))</f>
        <v>7</v>
      </c>
      <c r="AU563" s="57" t="n">
        <f aca="false">IF(BR563=1,0,ROUNDUP(AT563/BQ563,0))</f>
        <v>2</v>
      </c>
      <c r="AV563" s="59" t="n">
        <f aca="false">IF(CD563&gt;0,CD563*MAX(1,AT563/V563),IF(BR563=1,IF(AT563&lt;=0,0,BS563*MAX(1,IF(G563&gt;0,AT563/G563,1))),IF(Q563&gt;0,AU563/Q563,0))/MAX(0.1,N(Parameter!$M$21)))</f>
        <v>0.00483091787439614</v>
      </c>
      <c r="AW563" s="57" t="n">
        <f aca="false">AT563*F563</f>
        <v>14</v>
      </c>
      <c r="AX563" s="57" t="n">
        <f aca="false">ROUNDUP(MAX(I563/IF(BV563&gt;0,BV563,MAX(0.1,N(Cockpit!$O$6))),BY563)/BQ563,0)*BQ563</f>
        <v>4</v>
      </c>
      <c r="AY563" s="58" t="n">
        <f aca="false">IF(AV563&gt;0,I563/AV563,-1)</f>
        <v>0</v>
      </c>
      <c r="AZ563" s="58" t="n">
        <f aca="false">IF(AND(OR(BU563="L1",BU563="L23"),AV563&gt;0),SUMIFS($AV$7:$AV$1576,$BU$7:$BU$1576,BU563,$AY$7:$AY$1576,"&gt;"&amp;AY563)+SUMIFS($AV$7:$AV$1576,$BU$7:$BU$1576,BU563,$AY$7:$AY$1576,AY563,$BO$7:$BO$1576,"&lt;="&amp;BO563),"")</f>
        <v>116.631648212946</v>
      </c>
      <c r="BA563" s="65" t="n">
        <f aca="false">IF(AZ563="",0,MAX(0,MIN(1,(IF(BU563="L1",Parameter!$E$5,Parameter!$E$6+Parameter!$E$7)-(AZ563-AV563))/AV563)))</f>
        <v>0</v>
      </c>
      <c r="BB563" s="55" t="str">
        <f aca="false">IF(AF563&lt;=0,"",IF(BU563="Aussen","Aussenlager",IF(BU563="-","Nicht im Lift",IF(AK563&gt;=1,"Lift",IF(AK563&lt;=0,"Aussenlager","teilweise")))))</f>
        <v>Lift</v>
      </c>
      <c r="BC563" s="55" t="str">
        <f aca="false">IF(AN563&lt;=0,"",IF(BU563="Aussen","Aussenlager",IF(BU563="-","Nicht im Lift",IF(AS563&gt;=1,"Lift",IF(AS563&lt;=0,"Aussenlager","teilweise")))))</f>
        <v>Aussenlager</v>
      </c>
      <c r="BD563" s="55" t="str">
        <f aca="false">IF(AV563&lt;=0,"",IF(BU563="Aussen","Aussenlager",IF(BU563="-","Nicht im Lift",IF(BA563&gt;=1,"Lift",IF(BA563&lt;=0,"Aussenlager","teilweise")))))</f>
        <v>Aussenlager</v>
      </c>
      <c r="BE563" s="55" t="str">
        <f aca="false">IF(A563="","",IF(BN563=1,"Neu; ","")&amp;IF(AND(BN563=0,BI563&lt;0),"negativer Bestand (Export "&amp;BI563&amp;"); ","")&amp;IF(I563&lt;=0,"Kein Verbrauch; ","")&amp;IF(CD563&gt;0,"Lift "&amp;U563&amp;" lt. Liftbericht (Fach "&amp;V563&amp;" Stk); ",IF(BR563=1,"Lose – Fläche geschätzt; ",""))&amp;IF(G563&gt;AP563,"Überbestand "&amp;ROUND(G563-AP563,0)&amp;" Stk / CHF "&amp;ROUND((G563-AP563)*F563,0)&amp;"; ","")&amp;IF(AND(BW563=1,BX563&lt;BY563),"MAX &lt; MB+LG; ","")&amp;IF(AND(CC563&gt;0,CB563*10&gt;CC563),"zu hoch für Tablar; ","")&amp;IF(AND(BN563=0,OR(BW563=1,Y563&lt;&gt;"",S563&lt;&gt;"",T563&lt;&gt;"",Z563&lt;&gt;"")),"manuell übersteuert; ","")&amp;IF(AND(BR563=0,Q563=0),"Gebinde unbekannt / Stellmass fehlt; ","")&amp;IF(AND(BR563=0,N(T563)&lt;=0,N(P563)&lt;=0),"Menge pro Gebinde fehlt (Ist = 1 Gebinde); ","")&amp;BM563)</f>
        <v>Kein Verbrauch; Überbestand 3 Stk / CHF 6; </v>
      </c>
      <c r="BF563" s="55"/>
      <c r="BG563" s="55"/>
      <c r="BH563" s="62"/>
      <c r="BI563" s="57" t="n">
        <v>7</v>
      </c>
      <c r="BJ563" s="57" t="n">
        <v>4</v>
      </c>
      <c r="BK563" s="56" t="n">
        <v>14</v>
      </c>
      <c r="BL563" s="57" t="n">
        <v>0</v>
      </c>
      <c r="BM563" s="55"/>
      <c r="BN563" s="60" t="n">
        <v>0</v>
      </c>
      <c r="BO563" s="60" t="n">
        <v>563</v>
      </c>
      <c r="BP563" s="55" t="str">
        <f aca="false">IF(S563&lt;&gt;"",UPPER(TRIM(S563)),IF(O563="","LOSE",O563))</f>
        <v>S21</v>
      </c>
      <c r="BQ563" s="57" t="n">
        <f aca="false">IF(BP563="LOSE",1,IF(N(T563)&gt;0,T563,IF(N(P563)&gt;0,P563,MAX(1,G563))))</f>
        <v>4</v>
      </c>
      <c r="BR563" s="60" t="n">
        <f aca="false">IF(BP563="LOSE",1,0)</f>
        <v>0</v>
      </c>
      <c r="BS563" s="59" t="n">
        <f aca="false">IF(BR563=0,0,IF(N(R563)&gt;0,R563,IFERROR(VLOOKUP(D563,Parameter!$A$35:$C$64,3,0)+0,0)))</f>
        <v>0</v>
      </c>
      <c r="BT563" s="55" t="n">
        <f aca="false">IF(Y563&lt;&gt;"",Y563,X563)</f>
        <v>3</v>
      </c>
      <c r="BU563" s="55" t="str">
        <f aca="false">IF(BT563=1,"L1",IF(OR(BT563=2,BT563=3),"L23",IF(BT563="Aussen","Aussen","-")))</f>
        <v>L23</v>
      </c>
      <c r="BV563" s="66" t="n">
        <f aca="false">IF(N(Z563)&gt;0,Z563,0)</f>
        <v>0</v>
      </c>
      <c r="BW563" s="60" t="n">
        <f aca="false">IF(ISNUMBER(AC563),1,0)</f>
        <v>0</v>
      </c>
      <c r="BX563" s="57" t="n">
        <f aca="false">N(AC563)</f>
        <v>0</v>
      </c>
      <c r="BY563" s="57" t="n">
        <f aca="false">N(L563)+N(M563)</f>
        <v>1</v>
      </c>
      <c r="BZ563" s="57" t="n">
        <f aca="false">ROUNDUP(G563/BQ563,0)</f>
        <v>2</v>
      </c>
      <c r="CA563" s="57" t="n">
        <f aca="false">ROUNDUP(BX563/BQ563,0)</f>
        <v>0</v>
      </c>
      <c r="CB563" s="60" t="n">
        <f aca="false">IF(BR563=1,0,IFERROR(VLOOKUP(BP563,'Gebinde-Kategorie'!$A$5:$M$45,5,0)+0,0))</f>
        <v>8</v>
      </c>
      <c r="CC563" s="60" t="n">
        <f aca="false">IFERROR(IF(OR(BT563=1,BT563=2,BT563=3),N(INDEX(Parameter!$I$5:$I$7,BT563)),0),0)</f>
        <v>0</v>
      </c>
      <c r="CD563" s="59" t="n">
        <f aca="false">IF(AND(Parameter!$B$21="Ja",ISNUMBER(U563),N(V563)&gt;0),IFERROR(N(INDEX(Parameter!$L$5:$L$7,U563))*INDEX(Parameter!$E$5:$E$7,U563)*V563/SUMIFS($V$7:$V$1576,$U$7:$U$1576,U563),0),0)</f>
        <v>0</v>
      </c>
    </row>
    <row r="564" customFormat="false" ht="15" hidden="false" customHeight="false" outlineLevel="0" collapsed="false">
      <c r="A564" s="55" t="s">
        <v>1185</v>
      </c>
      <c r="B564" s="55" t="s">
        <v>643</v>
      </c>
      <c r="C564" s="55" t="s">
        <v>160</v>
      </c>
      <c r="D564" s="55" t="s">
        <v>178</v>
      </c>
      <c r="E564" s="55" t="s">
        <v>210</v>
      </c>
      <c r="F564" s="56" t="n">
        <v>0.06</v>
      </c>
      <c r="G564" s="57" t="n">
        <f aca="false">MAX(0,IF(AND(Parameter!$B$21="Ja",ISNUMBER(W564)),W564,IF(Parameter!$B$20="Jahresanfang 2025 + Export",BJ564+BI564,BI564)))</f>
        <v>233</v>
      </c>
      <c r="H564" s="57" t="n">
        <f aca="false">G564*F564</f>
        <v>13.98</v>
      </c>
      <c r="I564" s="57" t="n">
        <f aca="false">BL564*Parameter!$B$18</f>
        <v>382</v>
      </c>
      <c r="J564" s="58" t="n">
        <v>289</v>
      </c>
      <c r="K564" s="59" t="n">
        <v>1.32179930795848</v>
      </c>
      <c r="L564" s="57" t="n">
        <v>22</v>
      </c>
      <c r="M564" s="57" t="n">
        <v>500</v>
      </c>
      <c r="N564" s="60" t="n">
        <v>21</v>
      </c>
      <c r="O564" s="55" t="s">
        <v>293</v>
      </c>
      <c r="P564" s="57" t="n">
        <v>437</v>
      </c>
      <c r="Q564" s="60" t="n">
        <f aca="false">IF(BR564=1,0,IFERROR(VLOOKUP(BP564,'Gebinde-Kategorie'!$A$5:$M$45,13,0)+0,0))</f>
        <v>26</v>
      </c>
      <c r="R564" s="61"/>
      <c r="S564" s="62"/>
      <c r="T564" s="62"/>
      <c r="U564" s="55"/>
      <c r="V564" s="57"/>
      <c r="W564" s="57"/>
      <c r="X564" s="55" t="n">
        <f aca="false">IF(A564="","",IF(AND(Parameter!$B$21="Ja",ISNUMBER(U564)),U564,IF(IFERROR(VLOOKUP(D564,Parameter!$A$35:$C$64,2,0),"Nein")="2+3",IF(ISNUMBER(SEARCH("grosser Artikel",BM564)),2,IFERROR(VLOOKUP(BP564,Parameter!$F$35:$G$64,2,0),2)),IF(OR(IFERROR(VLOOKUP(D564,Parameter!$A$35:$C$64,2,0),"Nein")="Nein",IFERROR(VLOOKUP(D564,Parameter!$A$35:$C$64,2,0),"Nein")=""),"-",VLOOKUP(D564,Parameter!$A$35:$C$64,2,0)))))</f>
        <v>3</v>
      </c>
      <c r="Y564" s="62"/>
      <c r="Z564" s="63"/>
      <c r="AA564" s="57" t="n">
        <f aca="false">AP564</f>
        <v>874</v>
      </c>
      <c r="AB564" s="57" t="n">
        <f aca="false">MAX(AP564,G564)</f>
        <v>874</v>
      </c>
      <c r="AC564" s="64"/>
      <c r="AD564" s="57" t="n">
        <f aca="false">IF(LEFT(Cockpit!$C$5,1)="A",G564,IF(BW564=1,BX564,IF(LEFT(Cockpit!$C$5,1)="B",AH564,MAX(AH564,G564))))</f>
        <v>233</v>
      </c>
      <c r="AE564" s="57" t="n">
        <f aca="false">IF(BR564=1,0,ROUNDUP(AD564/BQ564,0))</f>
        <v>1</v>
      </c>
      <c r="AF564" s="59" t="n">
        <f aca="false">IF(CD564&gt;0,CD564*MAX(1,AD564/V564),IF(BR564=1,IF(AD564&lt;=0,0,BS564*MAX(1,IF(G564&gt;0,AD564/G564,1))),IF(Q564&gt;0,AE564/Q564,0))/MAX(0.1,N(Parameter!$M$21)))</f>
        <v>0.0384615384615385</v>
      </c>
      <c r="AG564" s="57" t="n">
        <f aca="false">AD564*F564</f>
        <v>13.98</v>
      </c>
      <c r="AH564" s="57" t="n">
        <f aca="false">ROUNDUP(MAX(I564/IF(BV564&gt;0,BV564,MAX(0.1,N(Cockpit!$C$6))),BY564)/BQ564,0)*BQ564</f>
        <v>874</v>
      </c>
      <c r="AI564" s="58" t="n">
        <f aca="false">IF(AF564&gt;0,I564/AF564,-1)</f>
        <v>9932</v>
      </c>
      <c r="AJ564" s="58" t="n">
        <f aca="false">IF(AND(OR(BU564="L1",BU564="L23"),AF564&gt;0),SUMIFS($AF$7:$AF$1576,$BU$7:$BU$1576,BU564,$AI$7:$AI$1576,"&gt;"&amp;AI564)+SUMIFS($AF$7:$AF$1576,$BU$7:$BU$1576,BU564,$AI$7:$AI$1576,AI564,$BO$7:$BO$1576,"&lt;="&amp;BO564),"")</f>
        <v>2.59661835748792</v>
      </c>
      <c r="AK564" s="65" t="n">
        <f aca="false">IF(AJ564="",0,MAX(0,MIN(1,(IF(BU564="L1",Parameter!$E$5,Parameter!$E$6+Parameter!$E$7)-(AJ564-AF564))/AF564)))</f>
        <v>1</v>
      </c>
      <c r="AL564" s="57" t="n">
        <f aca="false">IF(LEFT(Cockpit!$I$5,1)="A",G564,IF(BW564=1,BX564,IF(LEFT(Cockpit!$I$5,1)="B",AP564,MAX(AP564,G564))))</f>
        <v>874</v>
      </c>
      <c r="AM564" s="57" t="n">
        <f aca="false">IF(BR564=1,0,ROUNDUP(AL564/BQ564,0))</f>
        <v>2</v>
      </c>
      <c r="AN564" s="59" t="n">
        <f aca="false">IF(CD564&gt;0,CD564*MAX(1,AL564/V564),IF(BR564=1,IF(AL564&lt;=0,0,BS564*MAX(1,IF(G564&gt;0,AL564/G564,1))),IF(Q564&gt;0,AM564/Q564,0))/MAX(0.1,N(Parameter!$M$21)))</f>
        <v>0.0769230769230769</v>
      </c>
      <c r="AO564" s="57" t="n">
        <f aca="false">AL564*F564</f>
        <v>52.44</v>
      </c>
      <c r="AP564" s="57" t="n">
        <f aca="false">ROUNDUP(MAX(I564/IF(BV564&gt;0,BV564,MAX(0.1,N(Cockpit!$I$6))),BY564)/BQ564,0)*BQ564</f>
        <v>874</v>
      </c>
      <c r="AQ564" s="58" t="n">
        <f aca="false">IF(AN564&gt;0,I564/AN564,-1)</f>
        <v>4966</v>
      </c>
      <c r="AR564" s="58" t="n">
        <f aca="false">IF(AND(OR(BU564="L1",BU564="L23"),AN564&gt;0),SUMIFS($AN$7:$AN$1576,$BU$7:$BU$1576,BU564,$AQ$7:$AQ$1576,"&gt;"&amp;AQ564)+SUMIFS($AN$7:$AN$1576,$BU$7:$BU$1576,BU564,$AQ$7:$AQ$1576,AQ564,$BO$7:$BO$1576,"&lt;="&amp;BO564),"")</f>
        <v>11.3399756528496</v>
      </c>
      <c r="AS564" s="65" t="n">
        <f aca="false">IF(AR564="",0,MAX(0,MIN(1,(IF(BU564="L1",Parameter!$E$5,Parameter!$E$6+Parameter!$E$7)-(AR564-AN564))/AN564)))</f>
        <v>1</v>
      </c>
      <c r="AT564" s="57" t="n">
        <f aca="false">IF(LEFT(Cockpit!$O$5,1)="A",G564,IF(BW564=1,BX564,IF(LEFT(Cockpit!$O$5,1)="B",AX564,MAX(AX564,G564))))</f>
        <v>874</v>
      </c>
      <c r="AU564" s="57" t="n">
        <f aca="false">IF(BR564=1,0,ROUNDUP(AT564/BQ564,0))</f>
        <v>2</v>
      </c>
      <c r="AV564" s="59" t="n">
        <f aca="false">IF(CD564&gt;0,CD564*MAX(1,AT564/V564),IF(BR564=1,IF(AT564&lt;=0,0,BS564*MAX(1,IF(G564&gt;0,AT564/G564,1))),IF(Q564&gt;0,AU564/Q564,0))/MAX(0.1,N(Parameter!$M$21)))</f>
        <v>0.0769230769230769</v>
      </c>
      <c r="AW564" s="57" t="n">
        <f aca="false">AT564*F564</f>
        <v>52.44</v>
      </c>
      <c r="AX564" s="57" t="n">
        <f aca="false">ROUNDUP(MAX(I564/IF(BV564&gt;0,BV564,MAX(0.1,N(Cockpit!$O$6))),BY564)/BQ564,0)*BQ564</f>
        <v>874</v>
      </c>
      <c r="AY564" s="58" t="n">
        <f aca="false">IF(AV564&gt;0,I564/AV564,-1)</f>
        <v>4966</v>
      </c>
      <c r="AZ564" s="58" t="n">
        <f aca="false">IF(AND(OR(BU564="L1",BU564="L23"),AV564&gt;0),SUMIFS($AV$7:$AV$1576,$BU$7:$BU$1576,BU564,$AY$7:$AY$1576,"&gt;"&amp;AY564)+SUMIFS($AV$7:$AV$1576,$BU$7:$BU$1576,BU564,$AY$7:$AY$1576,AY564,$BO$7:$BO$1576,"&lt;="&amp;BO564),"")</f>
        <v>10.560838123712</v>
      </c>
      <c r="BA564" s="65" t="n">
        <f aca="false">IF(AZ564="",0,MAX(0,MIN(1,(IF(BU564="L1",Parameter!$E$5,Parameter!$E$6+Parameter!$E$7)-(AZ564-AV564))/AV564)))</f>
        <v>1</v>
      </c>
      <c r="BB564" s="55" t="str">
        <f aca="false">IF(AF564&lt;=0,"",IF(BU564="Aussen","Aussenlager",IF(BU564="-","Nicht im Lift",IF(AK564&gt;=1,"Lift",IF(AK564&lt;=0,"Aussenlager","teilweise")))))</f>
        <v>Lift</v>
      </c>
      <c r="BC564" s="55" t="str">
        <f aca="false">IF(AN564&lt;=0,"",IF(BU564="Aussen","Aussenlager",IF(BU564="-","Nicht im Lift",IF(AS564&gt;=1,"Lift",IF(AS564&lt;=0,"Aussenlager","teilweise")))))</f>
        <v>Lift</v>
      </c>
      <c r="BD564" s="55" t="str">
        <f aca="false">IF(AV564&lt;=0,"",IF(BU564="Aussen","Aussenlager",IF(BU564="-","Nicht im Lift",IF(BA564&gt;=1,"Lift",IF(BA564&lt;=0,"Aussenlager","teilweise")))))</f>
        <v>Lift</v>
      </c>
      <c r="BE564" s="55" t="str">
        <f aca="false">IF(A564="","",IF(BN564=1,"Neu; ","")&amp;IF(AND(BN564=0,BI564&lt;0),"negativer Bestand (Export "&amp;BI564&amp;"); ","")&amp;IF(I564&lt;=0,"Kein Verbrauch; ","")&amp;IF(CD564&gt;0,"Lift "&amp;U564&amp;" lt. Liftbericht (Fach "&amp;V564&amp;" Stk); ",IF(BR564=1,"Lose – Fläche geschätzt; ",""))&amp;IF(G564&gt;AP564,"Überbestand "&amp;ROUND(G564-AP564,0)&amp;" Stk / CHF "&amp;ROUND((G564-AP564)*F564,0)&amp;"; ","")&amp;IF(AND(BW564=1,BX564&lt;BY564),"MAX &lt; MB+LG; ","")&amp;IF(AND(CC564&gt;0,CB564*10&gt;CC564),"zu hoch für Tablar; ","")&amp;IF(AND(BN564=0,OR(BW564=1,Y564&lt;&gt;"",S564&lt;&gt;"",T564&lt;&gt;"",Z564&lt;&gt;"")),"manuell übersteuert; ","")&amp;IF(AND(BR564=0,Q564=0),"Gebinde unbekannt / Stellmass fehlt; ","")&amp;IF(AND(BR564=0,N(T564)&lt;=0,N(P564)&lt;=0),"Menge pro Gebinde fehlt (Ist = 1 Gebinde); ","")&amp;BM564)</f>
        <v/>
      </c>
      <c r="BF564" s="55"/>
      <c r="BG564" s="55"/>
      <c r="BH564" s="62"/>
      <c r="BI564" s="57" t="n">
        <v>233</v>
      </c>
      <c r="BJ564" s="57" t="n">
        <v>312</v>
      </c>
      <c r="BK564" s="56" t="n">
        <v>13.98</v>
      </c>
      <c r="BL564" s="57" t="n">
        <v>382</v>
      </c>
      <c r="BM564" s="55"/>
      <c r="BN564" s="60" t="n">
        <v>0</v>
      </c>
      <c r="BO564" s="60" t="n">
        <v>564</v>
      </c>
      <c r="BP564" s="55" t="str">
        <f aca="false">IF(S564&lt;&gt;"",UPPER(TRIM(S564)),IF(O564="","LOSE",O564))</f>
        <v>S51</v>
      </c>
      <c r="BQ564" s="57" t="n">
        <f aca="false">IF(BP564="LOSE",1,IF(N(T564)&gt;0,T564,IF(N(P564)&gt;0,P564,MAX(1,G564))))</f>
        <v>437</v>
      </c>
      <c r="BR564" s="60" t="n">
        <f aca="false">IF(BP564="LOSE",1,0)</f>
        <v>0</v>
      </c>
      <c r="BS564" s="59" t="n">
        <f aca="false">IF(BR564=0,0,IF(N(R564)&gt;0,R564,IFERROR(VLOOKUP(D564,Parameter!$A$35:$C$64,3,0)+0,0)))</f>
        <v>0</v>
      </c>
      <c r="BT564" s="55" t="n">
        <f aca="false">IF(Y564&lt;&gt;"",Y564,X564)</f>
        <v>3</v>
      </c>
      <c r="BU564" s="55" t="str">
        <f aca="false">IF(BT564=1,"L1",IF(OR(BT564=2,BT564=3),"L23",IF(BT564="Aussen","Aussen","-")))</f>
        <v>L23</v>
      </c>
      <c r="BV564" s="66" t="n">
        <f aca="false">IF(N(Z564)&gt;0,Z564,0)</f>
        <v>0</v>
      </c>
      <c r="BW564" s="60" t="n">
        <f aca="false">IF(ISNUMBER(AC564),1,0)</f>
        <v>0</v>
      </c>
      <c r="BX564" s="57" t="n">
        <f aca="false">N(AC564)</f>
        <v>0</v>
      </c>
      <c r="BY564" s="57" t="n">
        <f aca="false">N(L564)+N(M564)</f>
        <v>522</v>
      </c>
      <c r="BZ564" s="57" t="n">
        <f aca="false">ROUNDUP(G564/BQ564,0)</f>
        <v>1</v>
      </c>
      <c r="CA564" s="57" t="n">
        <f aca="false">ROUNDUP(BX564/BQ564,0)</f>
        <v>0</v>
      </c>
      <c r="CB564" s="60" t="n">
        <f aca="false">IF(BR564=1,0,IFERROR(VLOOKUP(BP564,'Gebinde-Kategorie'!$A$5:$M$45,5,0)+0,0))</f>
        <v>11</v>
      </c>
      <c r="CC564" s="60" t="n">
        <f aca="false">IFERROR(IF(OR(BT564=1,BT564=2,BT564=3),N(INDEX(Parameter!$I$5:$I$7,BT564)),0),0)</f>
        <v>0</v>
      </c>
      <c r="CD564" s="59" t="n">
        <f aca="false">IF(AND(Parameter!$B$21="Ja",ISNUMBER(U564),N(V564)&gt;0),IFERROR(N(INDEX(Parameter!$L$5:$L$7,U564))*INDEX(Parameter!$E$5:$E$7,U564)*V564/SUMIFS($V$7:$V$1576,$U$7:$U$1576,U564),0),0)</f>
        <v>0</v>
      </c>
    </row>
    <row r="565" customFormat="false" ht="15" hidden="false" customHeight="false" outlineLevel="0" collapsed="false">
      <c r="A565" s="55" t="s">
        <v>1186</v>
      </c>
      <c r="B565" s="55" t="s">
        <v>395</v>
      </c>
      <c r="C565" s="55" t="s">
        <v>160</v>
      </c>
      <c r="D565" s="55" t="s">
        <v>178</v>
      </c>
      <c r="E565" s="55" t="s">
        <v>210</v>
      </c>
      <c r="F565" s="56" t="n">
        <v>0.06</v>
      </c>
      <c r="G565" s="57" t="n">
        <f aca="false">MAX(0,IF(AND(Parameter!$B$21="Ja",ISNUMBER(W565)),W565,IF(Parameter!$B$20="Jahresanfang 2025 + Export",BJ565+BI565,BI565)))</f>
        <v>259</v>
      </c>
      <c r="H565" s="57" t="n">
        <f aca="false">G565*F565</f>
        <v>15.54</v>
      </c>
      <c r="I565" s="57" t="n">
        <f aca="false">BL565*Parameter!$B$18</f>
        <v>295</v>
      </c>
      <c r="J565" s="58" t="n">
        <v>144.5</v>
      </c>
      <c r="K565" s="59" t="n">
        <v>2.04152249134948</v>
      </c>
      <c r="L565" s="57" t="n">
        <v>17</v>
      </c>
      <c r="M565" s="57" t="n">
        <v>400</v>
      </c>
      <c r="N565" s="60" t="n">
        <v>21</v>
      </c>
      <c r="O565" s="55" t="s">
        <v>411</v>
      </c>
      <c r="P565" s="57" t="n">
        <v>150</v>
      </c>
      <c r="Q565" s="60" t="n">
        <f aca="false">IF(BR565=1,0,IFERROR(VLOOKUP(BP565,'Gebinde-Kategorie'!$A$5:$M$45,13,0)+0,0))</f>
        <v>132</v>
      </c>
      <c r="R565" s="61"/>
      <c r="S565" s="62"/>
      <c r="T565" s="62"/>
      <c r="U565" s="55"/>
      <c r="V565" s="57"/>
      <c r="W565" s="57"/>
      <c r="X565" s="55" t="n">
        <f aca="false">IF(A565="","",IF(AND(Parameter!$B$21="Ja",ISNUMBER(U565)),U565,IF(IFERROR(VLOOKUP(D565,Parameter!$A$35:$C$64,2,0),"Nein")="2+3",IF(ISNUMBER(SEARCH("grosser Artikel",BM565)),2,IFERROR(VLOOKUP(BP565,Parameter!$F$35:$G$64,2,0),2)),IF(OR(IFERROR(VLOOKUP(D565,Parameter!$A$35:$C$64,2,0),"Nein")="Nein",IFERROR(VLOOKUP(D565,Parameter!$A$35:$C$64,2,0),"Nein")=""),"-",VLOOKUP(D565,Parameter!$A$35:$C$64,2,0)))))</f>
        <v>3</v>
      </c>
      <c r="Y565" s="62"/>
      <c r="Z565" s="63"/>
      <c r="AA565" s="57" t="n">
        <f aca="false">AP565</f>
        <v>450</v>
      </c>
      <c r="AB565" s="57" t="n">
        <f aca="false">MAX(AP565,G565)</f>
        <v>450</v>
      </c>
      <c r="AC565" s="64"/>
      <c r="AD565" s="57" t="n">
        <f aca="false">IF(LEFT(Cockpit!$C$5,1)="A",G565,IF(BW565=1,BX565,IF(LEFT(Cockpit!$C$5,1)="B",AH565,MAX(AH565,G565))))</f>
        <v>259</v>
      </c>
      <c r="AE565" s="57" t="n">
        <f aca="false">IF(BR565=1,0,ROUNDUP(AD565/BQ565,0))</f>
        <v>2</v>
      </c>
      <c r="AF565" s="59" t="n">
        <f aca="false">IF(CD565&gt;0,CD565*MAX(1,AD565/V565),IF(BR565=1,IF(AD565&lt;=0,0,BS565*MAX(1,IF(G565&gt;0,AD565/G565,1))),IF(Q565&gt;0,AE565/Q565,0))/MAX(0.1,N(Parameter!$M$21)))</f>
        <v>0.0151515151515152</v>
      </c>
      <c r="AG565" s="57" t="n">
        <f aca="false">AD565*F565</f>
        <v>15.54</v>
      </c>
      <c r="AH565" s="57" t="n">
        <f aca="false">ROUNDUP(MAX(I565/IF(BV565&gt;0,BV565,MAX(0.1,N(Cockpit!$C$6))),BY565)/BQ565,0)*BQ565</f>
        <v>450</v>
      </c>
      <c r="AI565" s="58" t="n">
        <f aca="false">IF(AF565&gt;0,I565/AF565,-1)</f>
        <v>19470</v>
      </c>
      <c r="AJ565" s="58" t="n">
        <f aca="false">IF(AND(OR(BU565="L1",BU565="L23"),AF565&gt;0),SUMIFS($AF$7:$AF$1576,$BU$7:$BU$1576,BU565,$AI$7:$AI$1576,"&gt;"&amp;AI565)+SUMIFS($AF$7:$AF$1576,$BU$7:$BU$1576,BU565,$AI$7:$AI$1576,AI565,$BO$7:$BO$1576,"&lt;="&amp;BO565),"")</f>
        <v>1.85357758183845</v>
      </c>
      <c r="AK565" s="65" t="n">
        <f aca="false">IF(AJ565="",0,MAX(0,MIN(1,(IF(BU565="L1",Parameter!$E$5,Parameter!$E$6+Parameter!$E$7)-(AJ565-AF565))/AF565)))</f>
        <v>1</v>
      </c>
      <c r="AL565" s="57" t="n">
        <f aca="false">IF(LEFT(Cockpit!$I$5,1)="A",G565,IF(BW565=1,BX565,IF(LEFT(Cockpit!$I$5,1)="B",AP565,MAX(AP565,G565))))</f>
        <v>450</v>
      </c>
      <c r="AM565" s="57" t="n">
        <f aca="false">IF(BR565=1,0,ROUNDUP(AL565/BQ565,0))</f>
        <v>3</v>
      </c>
      <c r="AN565" s="59" t="n">
        <f aca="false">IF(CD565&gt;0,CD565*MAX(1,AL565/V565),IF(BR565=1,IF(AL565&lt;=0,0,BS565*MAX(1,IF(G565&gt;0,AL565/G565,1))),IF(Q565&gt;0,AM565/Q565,0))/MAX(0.1,N(Parameter!$M$21)))</f>
        <v>0.0227272727272727</v>
      </c>
      <c r="AO565" s="57" t="n">
        <f aca="false">AL565*F565</f>
        <v>27</v>
      </c>
      <c r="AP565" s="57" t="n">
        <f aca="false">ROUNDUP(MAX(I565/IF(BV565&gt;0,BV565,MAX(0.1,N(Cockpit!$I$6))),BY565)/BQ565,0)*BQ565</f>
        <v>450</v>
      </c>
      <c r="AQ565" s="58" t="n">
        <f aca="false">IF(AN565&gt;0,I565/AN565,-1)</f>
        <v>12980</v>
      </c>
      <c r="AR565" s="58" t="n">
        <f aca="false">IF(AND(OR(BU565="L1",BU565="L23"),AN565&gt;0),SUMIFS($AN$7:$AN$1576,$BU$7:$BU$1576,BU565,$AQ$7:$AQ$1576,"&gt;"&amp;AQ565)+SUMIFS($AN$7:$AN$1576,$BU$7:$BU$1576,BU565,$AQ$7:$AQ$1576,AQ565,$BO$7:$BO$1576,"&lt;="&amp;BO565),"")</f>
        <v>6.13226884226884</v>
      </c>
      <c r="AS565" s="65" t="n">
        <f aca="false">IF(AR565="",0,MAX(0,MIN(1,(IF(BU565="L1",Parameter!$E$5,Parameter!$E$6+Parameter!$E$7)-(AR565-AN565))/AN565)))</f>
        <v>1</v>
      </c>
      <c r="AT565" s="57" t="n">
        <f aca="false">IF(LEFT(Cockpit!$O$5,1)="A",G565,IF(BW565=1,BX565,IF(LEFT(Cockpit!$O$5,1)="B",AX565,MAX(AX565,G565))))</f>
        <v>450</v>
      </c>
      <c r="AU565" s="57" t="n">
        <f aca="false">IF(BR565=1,0,ROUNDUP(AT565/BQ565,0))</f>
        <v>3</v>
      </c>
      <c r="AV565" s="59" t="n">
        <f aca="false">IF(CD565&gt;0,CD565*MAX(1,AT565/V565),IF(BR565=1,IF(AT565&lt;=0,0,BS565*MAX(1,IF(G565&gt;0,AT565/G565,1))),IF(Q565&gt;0,AU565/Q565,0))/MAX(0.1,N(Parameter!$M$21)))</f>
        <v>0.0227272727272727</v>
      </c>
      <c r="AW565" s="57" t="n">
        <f aca="false">AT565*F565</f>
        <v>27</v>
      </c>
      <c r="AX565" s="57" t="n">
        <f aca="false">ROUNDUP(MAX(I565/IF(BV565&gt;0,BV565,MAX(0.1,N(Cockpit!$O$6))),BY565)/BQ565,0)*BQ565</f>
        <v>450</v>
      </c>
      <c r="AY565" s="58" t="n">
        <f aca="false">IF(AV565&gt;0,I565/AV565,-1)</f>
        <v>12980</v>
      </c>
      <c r="AZ565" s="58" t="n">
        <f aca="false">IF(AND(OR(BU565="L1",BU565="L23"),AV565&gt;0),SUMIFS($AV$7:$AV$1576,$BU$7:$BU$1576,BU565,$AY$7:$AY$1576,"&gt;"&amp;AY565)+SUMIFS($AV$7:$AV$1576,$BU$7:$BU$1576,BU565,$AY$7:$AY$1576,AY565,$BO$7:$BO$1576,"&lt;="&amp;BO565),"")</f>
        <v>5.68005439005439</v>
      </c>
      <c r="BA565" s="65" t="n">
        <f aca="false">IF(AZ565="",0,MAX(0,MIN(1,(IF(BU565="L1",Parameter!$E$5,Parameter!$E$6+Parameter!$E$7)-(AZ565-AV565))/AV565)))</f>
        <v>1</v>
      </c>
      <c r="BB565" s="55" t="str">
        <f aca="false">IF(AF565&lt;=0,"",IF(BU565="Aussen","Aussenlager",IF(BU565="-","Nicht im Lift",IF(AK565&gt;=1,"Lift",IF(AK565&lt;=0,"Aussenlager","teilweise")))))</f>
        <v>Lift</v>
      </c>
      <c r="BC565" s="55" t="str">
        <f aca="false">IF(AN565&lt;=0,"",IF(BU565="Aussen","Aussenlager",IF(BU565="-","Nicht im Lift",IF(AS565&gt;=1,"Lift",IF(AS565&lt;=0,"Aussenlager","teilweise")))))</f>
        <v>Lift</v>
      </c>
      <c r="BD565" s="55" t="str">
        <f aca="false">IF(AV565&lt;=0,"",IF(BU565="Aussen","Aussenlager",IF(BU565="-","Nicht im Lift",IF(BA565&gt;=1,"Lift",IF(BA565&lt;=0,"Aussenlager","teilweise")))))</f>
        <v>Lift</v>
      </c>
      <c r="BE565" s="55" t="str">
        <f aca="false">IF(A565="","",IF(BN565=1,"Neu; ","")&amp;IF(AND(BN565=0,BI565&lt;0),"negativer Bestand (Export "&amp;BI565&amp;"); ","")&amp;IF(I565&lt;=0,"Kein Verbrauch; ","")&amp;IF(CD565&gt;0,"Lift "&amp;U565&amp;" lt. Liftbericht (Fach "&amp;V565&amp;" Stk); ",IF(BR565=1,"Lose – Fläche geschätzt; ",""))&amp;IF(G565&gt;AP565,"Überbestand "&amp;ROUND(G565-AP565,0)&amp;" Stk / CHF "&amp;ROUND((G565-AP565)*F565,0)&amp;"; ","")&amp;IF(AND(BW565=1,BX565&lt;BY565),"MAX &lt; MB+LG; ","")&amp;IF(AND(CC565&gt;0,CB565*10&gt;CC565),"zu hoch für Tablar; ","")&amp;IF(AND(BN565=0,OR(BW565=1,Y565&lt;&gt;"",S565&lt;&gt;"",T565&lt;&gt;"",Z565&lt;&gt;"")),"manuell übersteuert; ","")&amp;IF(AND(BR565=0,Q565=0),"Gebinde unbekannt / Stellmass fehlt; ","")&amp;IF(AND(BR565=0,N(T565)&lt;=0,N(P565)&lt;=0),"Menge pro Gebinde fehlt (Ist = 1 Gebinde); ","")&amp;BM565)</f>
        <v>nicht im KTL vorhanden</v>
      </c>
      <c r="BF565" s="55"/>
      <c r="BG565" s="55"/>
      <c r="BH565" s="62"/>
      <c r="BI565" s="57" t="n">
        <v>259</v>
      </c>
      <c r="BJ565" s="57" t="n">
        <v>116</v>
      </c>
      <c r="BK565" s="56" t="n">
        <v>13.22</v>
      </c>
      <c r="BL565" s="57" t="n">
        <v>295</v>
      </c>
      <c r="BM565" s="55" t="s">
        <v>222</v>
      </c>
      <c r="BN565" s="60" t="n">
        <v>0</v>
      </c>
      <c r="BO565" s="60" t="n">
        <v>565</v>
      </c>
      <c r="BP565" s="55" t="str">
        <f aca="false">IF(S565&lt;&gt;"",UPPER(TRIM(S565)),IF(O565="","LOSE",O565))</f>
        <v>S32</v>
      </c>
      <c r="BQ565" s="57" t="n">
        <f aca="false">IF(BP565="LOSE",1,IF(N(T565)&gt;0,T565,IF(N(P565)&gt;0,P565,MAX(1,G565))))</f>
        <v>150</v>
      </c>
      <c r="BR565" s="60" t="n">
        <f aca="false">IF(BP565="LOSE",1,0)</f>
        <v>0</v>
      </c>
      <c r="BS565" s="59" t="n">
        <f aca="false">IF(BR565=0,0,IF(N(R565)&gt;0,R565,IFERROR(VLOOKUP(D565,Parameter!$A$35:$C$64,3,0)+0,0)))</f>
        <v>0</v>
      </c>
      <c r="BT565" s="55" t="n">
        <f aca="false">IF(Y565&lt;&gt;"",Y565,X565)</f>
        <v>3</v>
      </c>
      <c r="BU565" s="55" t="str">
        <f aca="false">IF(BT565=1,"L1",IF(OR(BT565=2,BT565=3),"L23",IF(BT565="Aussen","Aussen","-")))</f>
        <v>L23</v>
      </c>
      <c r="BV565" s="66" t="n">
        <f aca="false">IF(N(Z565)&gt;0,Z565,0)</f>
        <v>0</v>
      </c>
      <c r="BW565" s="60" t="n">
        <f aca="false">IF(ISNUMBER(AC565),1,0)</f>
        <v>0</v>
      </c>
      <c r="BX565" s="57" t="n">
        <f aca="false">N(AC565)</f>
        <v>0</v>
      </c>
      <c r="BY565" s="57" t="n">
        <f aca="false">N(L565)+N(M565)</f>
        <v>417</v>
      </c>
      <c r="BZ565" s="57" t="n">
        <f aca="false">ROUNDUP(G565/BQ565,0)</f>
        <v>2</v>
      </c>
      <c r="CA565" s="57" t="n">
        <f aca="false">ROUNDUP(BX565/BQ565,0)</f>
        <v>0</v>
      </c>
      <c r="CB565" s="60" t="n">
        <f aca="false">IF(BR565=1,0,IFERROR(VLOOKUP(BP565,'Gebinde-Kategorie'!$A$5:$M$45,5,0)+0,0))</f>
        <v>8</v>
      </c>
      <c r="CC565" s="60" t="n">
        <f aca="false">IFERROR(IF(OR(BT565=1,BT565=2,BT565=3),N(INDEX(Parameter!$I$5:$I$7,BT565)),0),0)</f>
        <v>0</v>
      </c>
      <c r="CD565" s="59" t="n">
        <f aca="false">IF(AND(Parameter!$B$21="Ja",ISNUMBER(U565),N(V565)&gt;0),IFERROR(N(INDEX(Parameter!$L$5:$L$7,U565))*INDEX(Parameter!$E$5:$E$7,U565)*V565/SUMIFS($V$7:$V$1576,$U$7:$U$1576,U565),0),0)</f>
        <v>0</v>
      </c>
    </row>
    <row r="566" customFormat="false" ht="15" hidden="false" customHeight="false" outlineLevel="0" collapsed="false">
      <c r="A566" s="55" t="s">
        <v>1187</v>
      </c>
      <c r="B566" s="55" t="s">
        <v>395</v>
      </c>
      <c r="C566" s="55" t="s">
        <v>160</v>
      </c>
      <c r="D566" s="55" t="s">
        <v>178</v>
      </c>
      <c r="E566" s="55" t="s">
        <v>210</v>
      </c>
      <c r="F566" s="56" t="n">
        <v>0.03</v>
      </c>
      <c r="G566" s="57" t="n">
        <f aca="false">MAX(0,IF(AND(Parameter!$B$21="Ja",ISNUMBER(W566)),W566,IF(Parameter!$B$20="Jahresanfang 2025 + Export",BJ566+BI566,BI566)))</f>
        <v>439</v>
      </c>
      <c r="H566" s="57" t="n">
        <f aca="false">G566*F566</f>
        <v>13.17</v>
      </c>
      <c r="I566" s="57" t="n">
        <f aca="false">BL566*Parameter!$B$18</f>
        <v>604</v>
      </c>
      <c r="J566" s="58" t="n">
        <v>521.5</v>
      </c>
      <c r="K566" s="59" t="n">
        <v>1.1581975071908</v>
      </c>
      <c r="L566" s="57" t="n">
        <v>35</v>
      </c>
      <c r="M566" s="57" t="n">
        <v>500</v>
      </c>
      <c r="N566" s="60" t="n">
        <v>21</v>
      </c>
      <c r="O566" s="55" t="s">
        <v>411</v>
      </c>
      <c r="P566" s="57" t="n">
        <v>504</v>
      </c>
      <c r="Q566" s="60" t="n">
        <f aca="false">IF(BR566=1,0,IFERROR(VLOOKUP(BP566,'Gebinde-Kategorie'!$A$5:$M$45,13,0)+0,0))</f>
        <v>132</v>
      </c>
      <c r="R566" s="61"/>
      <c r="S566" s="62"/>
      <c r="T566" s="62"/>
      <c r="U566" s="55"/>
      <c r="V566" s="57"/>
      <c r="W566" s="57"/>
      <c r="X566" s="55" t="n">
        <f aca="false">IF(A566="","",IF(AND(Parameter!$B$21="Ja",ISNUMBER(U566)),U566,IF(IFERROR(VLOOKUP(D566,Parameter!$A$35:$C$64,2,0),"Nein")="2+3",IF(ISNUMBER(SEARCH("grosser Artikel",BM566)),2,IFERROR(VLOOKUP(BP566,Parameter!$F$35:$G$64,2,0),2)),IF(OR(IFERROR(VLOOKUP(D566,Parameter!$A$35:$C$64,2,0),"Nein")="Nein",IFERROR(VLOOKUP(D566,Parameter!$A$35:$C$64,2,0),"Nein")=""),"-",VLOOKUP(D566,Parameter!$A$35:$C$64,2,0)))))</f>
        <v>3</v>
      </c>
      <c r="Y566" s="62"/>
      <c r="Z566" s="63"/>
      <c r="AA566" s="57" t="n">
        <f aca="false">AP566</f>
        <v>1008</v>
      </c>
      <c r="AB566" s="57" t="n">
        <f aca="false">MAX(AP566,G566)</f>
        <v>1008</v>
      </c>
      <c r="AC566" s="64"/>
      <c r="AD566" s="57" t="n">
        <f aca="false">IF(LEFT(Cockpit!$C$5,1)="A",G566,IF(BW566=1,BX566,IF(LEFT(Cockpit!$C$5,1)="B",AH566,MAX(AH566,G566))))</f>
        <v>439</v>
      </c>
      <c r="AE566" s="57" t="n">
        <f aca="false">IF(BR566=1,0,ROUNDUP(AD566/BQ566,0))</f>
        <v>1</v>
      </c>
      <c r="AF566" s="59" t="n">
        <f aca="false">IF(CD566&gt;0,CD566*MAX(1,AD566/V566),IF(BR566=1,IF(AD566&lt;=0,0,BS566*MAX(1,IF(G566&gt;0,AD566/G566,1))),IF(Q566&gt;0,AE566/Q566,0))/MAX(0.1,N(Parameter!$M$21)))</f>
        <v>0.00757575757575758</v>
      </c>
      <c r="AG566" s="57" t="n">
        <f aca="false">AD566*F566</f>
        <v>13.17</v>
      </c>
      <c r="AH566" s="57" t="n">
        <f aca="false">ROUNDUP(MAX(I566/IF(BV566&gt;0,BV566,MAX(0.1,N(Cockpit!$C$6))),BY566)/BQ566,0)*BQ566</f>
        <v>1008</v>
      </c>
      <c r="AI566" s="58" t="n">
        <f aca="false">IF(AF566&gt;0,I566/AF566,-1)</f>
        <v>79728</v>
      </c>
      <c r="AJ566" s="58" t="n">
        <f aca="false">IF(AND(OR(BU566="L1",BU566="L23"),AF566&gt;0),SUMIFS($AF$7:$AF$1576,$BU$7:$BU$1576,BU566,$AI$7:$AI$1576,"&gt;"&amp;AI566)+SUMIFS($AF$7:$AF$1576,$BU$7:$BU$1576,BU566,$AI$7:$AI$1576,AI566,$BO$7:$BO$1576,"&lt;="&amp;BO566),"")</f>
        <v>0.465955542042499</v>
      </c>
      <c r="AK566" s="65" t="n">
        <f aca="false">IF(AJ566="",0,MAX(0,MIN(1,(IF(BU566="L1",Parameter!$E$5,Parameter!$E$6+Parameter!$E$7)-(AJ566-AF566))/AF566)))</f>
        <v>1</v>
      </c>
      <c r="AL566" s="57" t="n">
        <f aca="false">IF(LEFT(Cockpit!$I$5,1)="A",G566,IF(BW566=1,BX566,IF(LEFT(Cockpit!$I$5,1)="B",AP566,MAX(AP566,G566))))</f>
        <v>1008</v>
      </c>
      <c r="AM566" s="57" t="n">
        <f aca="false">IF(BR566=1,0,ROUNDUP(AL566/BQ566,0))</f>
        <v>2</v>
      </c>
      <c r="AN566" s="59" t="n">
        <f aca="false">IF(CD566&gt;0,CD566*MAX(1,AL566/V566),IF(BR566=1,IF(AL566&lt;=0,0,BS566*MAX(1,IF(G566&gt;0,AL566/G566,1))),IF(Q566&gt;0,AM566/Q566,0))/MAX(0.1,N(Parameter!$M$21)))</f>
        <v>0.0151515151515152</v>
      </c>
      <c r="AO566" s="57" t="n">
        <f aca="false">AL566*F566</f>
        <v>30.24</v>
      </c>
      <c r="AP566" s="57" t="n">
        <f aca="false">ROUNDUP(MAX(I566/IF(BV566&gt;0,BV566,MAX(0.1,N(Cockpit!$I$6))),BY566)/BQ566,0)*BQ566</f>
        <v>1008</v>
      </c>
      <c r="AQ566" s="58" t="n">
        <f aca="false">IF(AN566&gt;0,I566/AN566,-1)</f>
        <v>39864</v>
      </c>
      <c r="AR566" s="58" t="n">
        <f aca="false">IF(AND(OR(BU566="L1",BU566="L23"),AN566&gt;0),SUMIFS($AN$7:$AN$1576,$BU$7:$BU$1576,BU566,$AQ$7:$AQ$1576,"&gt;"&amp;AQ566)+SUMIFS($AN$7:$AN$1576,$BU$7:$BU$1576,BU566,$AQ$7:$AQ$1576,AQ566,$BO$7:$BO$1576,"&lt;="&amp;BO566),"")</f>
        <v>1.83763487720009</v>
      </c>
      <c r="AS566" s="65" t="n">
        <f aca="false">IF(AR566="",0,MAX(0,MIN(1,(IF(BU566="L1",Parameter!$E$5,Parameter!$E$6+Parameter!$E$7)-(AR566-AN566))/AN566)))</f>
        <v>1</v>
      </c>
      <c r="AT566" s="57" t="n">
        <f aca="false">IF(LEFT(Cockpit!$O$5,1)="A",G566,IF(BW566=1,BX566,IF(LEFT(Cockpit!$O$5,1)="B",AX566,MAX(AX566,G566))))</f>
        <v>1008</v>
      </c>
      <c r="AU566" s="57" t="n">
        <f aca="false">IF(BR566=1,0,ROUNDUP(AT566/BQ566,0))</f>
        <v>2</v>
      </c>
      <c r="AV566" s="59" t="n">
        <f aca="false">IF(CD566&gt;0,CD566*MAX(1,AT566/V566),IF(BR566=1,IF(AT566&lt;=0,0,BS566*MAX(1,IF(G566&gt;0,AT566/G566,1))),IF(Q566&gt;0,AU566/Q566,0))/MAX(0.1,N(Parameter!$M$21)))</f>
        <v>0.0151515151515152</v>
      </c>
      <c r="AW566" s="57" t="n">
        <f aca="false">AT566*F566</f>
        <v>30.24</v>
      </c>
      <c r="AX566" s="57" t="n">
        <f aca="false">ROUNDUP(MAX(I566/IF(BV566&gt;0,BV566,MAX(0.1,N(Cockpit!$O$6))),BY566)/BQ566,0)*BQ566</f>
        <v>1008</v>
      </c>
      <c r="AY566" s="58" t="n">
        <f aca="false">IF(AV566&gt;0,I566/AV566,-1)</f>
        <v>39864</v>
      </c>
      <c r="AZ566" s="58" t="n">
        <f aca="false">IF(AND(OR(BU566="L1",BU566="L23"),AV566&gt;0),SUMIFS($AV$7:$AV$1576,$BU$7:$BU$1576,BU566,$AY$7:$AY$1576,"&gt;"&amp;AY566)+SUMIFS($AV$7:$AV$1576,$BU$7:$BU$1576,BU566,$AY$7:$AY$1576,AY566,$BO$7:$BO$1576,"&lt;="&amp;BO566),"")</f>
        <v>2.15931319887842</v>
      </c>
      <c r="BA566" s="65" t="n">
        <f aca="false">IF(AZ566="",0,MAX(0,MIN(1,(IF(BU566="L1",Parameter!$E$5,Parameter!$E$6+Parameter!$E$7)-(AZ566-AV566))/AV566)))</f>
        <v>1</v>
      </c>
      <c r="BB566" s="55" t="str">
        <f aca="false">IF(AF566&lt;=0,"",IF(BU566="Aussen","Aussenlager",IF(BU566="-","Nicht im Lift",IF(AK566&gt;=1,"Lift",IF(AK566&lt;=0,"Aussenlager","teilweise")))))</f>
        <v>Lift</v>
      </c>
      <c r="BC566" s="55" t="str">
        <f aca="false">IF(AN566&lt;=0,"",IF(BU566="Aussen","Aussenlager",IF(BU566="-","Nicht im Lift",IF(AS566&gt;=1,"Lift",IF(AS566&lt;=0,"Aussenlager","teilweise")))))</f>
        <v>Lift</v>
      </c>
      <c r="BD566" s="55" t="str">
        <f aca="false">IF(AV566&lt;=0,"",IF(BU566="Aussen","Aussenlager",IF(BU566="-","Nicht im Lift",IF(BA566&gt;=1,"Lift",IF(BA566&lt;=0,"Aussenlager","teilweise")))))</f>
        <v>Lift</v>
      </c>
      <c r="BE566" s="55" t="str">
        <f aca="false">IF(A566="","",IF(BN566=1,"Neu; ","")&amp;IF(AND(BN566=0,BI566&lt;0),"negativer Bestand (Export "&amp;BI566&amp;"); ","")&amp;IF(I566&lt;=0,"Kein Verbrauch; ","")&amp;IF(CD566&gt;0,"Lift "&amp;U566&amp;" lt. Liftbericht (Fach "&amp;V566&amp;" Stk); ",IF(BR566=1,"Lose – Fläche geschätzt; ",""))&amp;IF(G566&gt;AP566,"Überbestand "&amp;ROUND(G566-AP566,0)&amp;" Stk / CHF "&amp;ROUND((G566-AP566)*F566,0)&amp;"; ","")&amp;IF(AND(BW566=1,BX566&lt;BY566),"MAX &lt; MB+LG; ","")&amp;IF(AND(CC566&gt;0,CB566*10&gt;CC566),"zu hoch für Tablar; ","")&amp;IF(AND(BN566=0,OR(BW566=1,Y566&lt;&gt;"",S566&lt;&gt;"",T566&lt;&gt;"",Z566&lt;&gt;"")),"manuell übersteuert; ","")&amp;IF(AND(BR566=0,Q566=0),"Gebinde unbekannt / Stellmass fehlt; ","")&amp;IF(AND(BR566=0,N(T566)&lt;=0,N(P566)&lt;=0),"Menge pro Gebinde fehlt (Ist = 1 Gebinde); ","")&amp;BM566)</f>
        <v/>
      </c>
      <c r="BF566" s="55"/>
      <c r="BG566" s="55"/>
      <c r="BH566" s="62"/>
      <c r="BI566" s="57" t="n">
        <v>439</v>
      </c>
      <c r="BJ566" s="57" t="n">
        <v>582</v>
      </c>
      <c r="BK566" s="56" t="n">
        <v>13.17</v>
      </c>
      <c r="BL566" s="57" t="n">
        <v>604</v>
      </c>
      <c r="BM566" s="55"/>
      <c r="BN566" s="60" t="n">
        <v>0</v>
      </c>
      <c r="BO566" s="60" t="n">
        <v>566</v>
      </c>
      <c r="BP566" s="55" t="str">
        <f aca="false">IF(S566&lt;&gt;"",UPPER(TRIM(S566)),IF(O566="","LOSE",O566))</f>
        <v>S32</v>
      </c>
      <c r="BQ566" s="57" t="n">
        <f aca="false">IF(BP566="LOSE",1,IF(N(T566)&gt;0,T566,IF(N(P566)&gt;0,P566,MAX(1,G566))))</f>
        <v>504</v>
      </c>
      <c r="BR566" s="60" t="n">
        <f aca="false">IF(BP566="LOSE",1,0)</f>
        <v>0</v>
      </c>
      <c r="BS566" s="59" t="n">
        <f aca="false">IF(BR566=0,0,IF(N(R566)&gt;0,R566,IFERROR(VLOOKUP(D566,Parameter!$A$35:$C$64,3,0)+0,0)))</f>
        <v>0</v>
      </c>
      <c r="BT566" s="55" t="n">
        <f aca="false">IF(Y566&lt;&gt;"",Y566,X566)</f>
        <v>3</v>
      </c>
      <c r="BU566" s="55" t="str">
        <f aca="false">IF(BT566=1,"L1",IF(OR(BT566=2,BT566=3),"L23",IF(BT566="Aussen","Aussen","-")))</f>
        <v>L23</v>
      </c>
      <c r="BV566" s="66" t="n">
        <f aca="false">IF(N(Z566)&gt;0,Z566,0)</f>
        <v>0</v>
      </c>
      <c r="BW566" s="60" t="n">
        <f aca="false">IF(ISNUMBER(AC566),1,0)</f>
        <v>0</v>
      </c>
      <c r="BX566" s="57" t="n">
        <f aca="false">N(AC566)</f>
        <v>0</v>
      </c>
      <c r="BY566" s="57" t="n">
        <f aca="false">N(L566)+N(M566)</f>
        <v>535</v>
      </c>
      <c r="BZ566" s="57" t="n">
        <f aca="false">ROUNDUP(G566/BQ566,0)</f>
        <v>1</v>
      </c>
      <c r="CA566" s="57" t="n">
        <f aca="false">ROUNDUP(BX566/BQ566,0)</f>
        <v>0</v>
      </c>
      <c r="CB566" s="60" t="n">
        <f aca="false">IF(BR566=1,0,IFERROR(VLOOKUP(BP566,'Gebinde-Kategorie'!$A$5:$M$45,5,0)+0,0))</f>
        <v>8</v>
      </c>
      <c r="CC566" s="60" t="n">
        <f aca="false">IFERROR(IF(OR(BT566=1,BT566=2,BT566=3),N(INDEX(Parameter!$I$5:$I$7,BT566)),0),0)</f>
        <v>0</v>
      </c>
      <c r="CD566" s="59" t="n">
        <f aca="false">IF(AND(Parameter!$B$21="Ja",ISNUMBER(U566),N(V566)&gt;0),IFERROR(N(INDEX(Parameter!$L$5:$L$7,U566))*INDEX(Parameter!$E$5:$E$7,U566)*V566/SUMIFS($V$7:$V$1576,$U$7:$U$1576,U566),0),0)</f>
        <v>0</v>
      </c>
    </row>
    <row r="567" customFormat="false" ht="15" hidden="false" customHeight="false" outlineLevel="0" collapsed="false">
      <c r="A567" s="55" t="s">
        <v>1188</v>
      </c>
      <c r="B567" s="55" t="s">
        <v>938</v>
      </c>
      <c r="C567" s="55" t="s">
        <v>160</v>
      </c>
      <c r="D567" s="55" t="s">
        <v>178</v>
      </c>
      <c r="E567" s="55" t="s">
        <v>210</v>
      </c>
      <c r="F567" s="56" t="n">
        <v>3.84</v>
      </c>
      <c r="G567" s="57" t="n">
        <f aca="false">MAX(0,IF(AND(Parameter!$B$21="Ja",ISNUMBER(W567)),W567,IF(Parameter!$B$20="Jahresanfang 2025 + Export",BJ567+BI567,BI567)))</f>
        <v>11</v>
      </c>
      <c r="H567" s="57" t="n">
        <f aca="false">G567*F567</f>
        <v>42.24</v>
      </c>
      <c r="I567" s="57" t="n">
        <f aca="false">BL567*Parameter!$B$18</f>
        <v>106</v>
      </c>
      <c r="J567" s="58" t="n">
        <v>140.5</v>
      </c>
      <c r="K567" s="59" t="n">
        <v>0.754448398576513</v>
      </c>
      <c r="L567" s="57" t="n">
        <v>16</v>
      </c>
      <c r="M567" s="57" t="n">
        <v>105</v>
      </c>
      <c r="N567" s="60" t="n">
        <v>56</v>
      </c>
      <c r="O567" s="55" t="s">
        <v>411</v>
      </c>
      <c r="P567" s="57" t="n">
        <v>88</v>
      </c>
      <c r="Q567" s="60" t="n">
        <f aca="false">IF(BR567=1,0,IFERROR(VLOOKUP(BP567,'Gebinde-Kategorie'!$A$5:$M$45,13,0)+0,0))</f>
        <v>132</v>
      </c>
      <c r="R567" s="61"/>
      <c r="S567" s="62"/>
      <c r="T567" s="62"/>
      <c r="U567" s="55"/>
      <c r="V567" s="57"/>
      <c r="W567" s="57"/>
      <c r="X567" s="55" t="n">
        <f aca="false">IF(A567="","",IF(AND(Parameter!$B$21="Ja",ISNUMBER(U567)),U567,IF(IFERROR(VLOOKUP(D567,Parameter!$A$35:$C$64,2,0),"Nein")="2+3",IF(ISNUMBER(SEARCH("grosser Artikel",BM567)),2,IFERROR(VLOOKUP(BP567,Parameter!$F$35:$G$64,2,0),2)),IF(OR(IFERROR(VLOOKUP(D567,Parameter!$A$35:$C$64,2,0),"Nein")="Nein",IFERROR(VLOOKUP(D567,Parameter!$A$35:$C$64,2,0),"Nein")=""),"-",VLOOKUP(D567,Parameter!$A$35:$C$64,2,0)))))</f>
        <v>3</v>
      </c>
      <c r="Y567" s="62"/>
      <c r="Z567" s="63"/>
      <c r="AA567" s="57" t="n">
        <f aca="false">AP567</f>
        <v>176</v>
      </c>
      <c r="AB567" s="57" t="n">
        <f aca="false">MAX(AP567,G567)</f>
        <v>176</v>
      </c>
      <c r="AC567" s="64"/>
      <c r="AD567" s="57" t="n">
        <f aca="false">IF(LEFT(Cockpit!$C$5,1)="A",G567,IF(BW567=1,BX567,IF(LEFT(Cockpit!$C$5,1)="B",AH567,MAX(AH567,G567))))</f>
        <v>11</v>
      </c>
      <c r="AE567" s="57" t="n">
        <f aca="false">IF(BR567=1,0,ROUNDUP(AD567/BQ567,0))</f>
        <v>1</v>
      </c>
      <c r="AF567" s="59" t="n">
        <f aca="false">IF(CD567&gt;0,CD567*MAX(1,AD567/V567),IF(BR567=1,IF(AD567&lt;=0,0,BS567*MAX(1,IF(G567&gt;0,AD567/G567,1))),IF(Q567&gt;0,AE567/Q567,0))/MAX(0.1,N(Parameter!$M$21)))</f>
        <v>0.00757575757575758</v>
      </c>
      <c r="AG567" s="57" t="n">
        <f aca="false">AD567*F567</f>
        <v>42.24</v>
      </c>
      <c r="AH567" s="57" t="n">
        <f aca="false">ROUNDUP(MAX(I567/IF(BV567&gt;0,BV567,MAX(0.1,N(Cockpit!$C$6))),BY567)/BQ567,0)*BQ567</f>
        <v>176</v>
      </c>
      <c r="AI567" s="58" t="n">
        <f aca="false">IF(AF567&gt;0,I567/AF567,-1)</f>
        <v>13992</v>
      </c>
      <c r="AJ567" s="58" t="n">
        <f aca="false">IF(AND(OR(BU567="L1",BU567="L23"),AF567&gt;0),SUMIFS($AF$7:$AF$1576,$BU$7:$BU$1576,BU567,$AI$7:$AI$1576,"&gt;"&amp;AI567)+SUMIFS($AF$7:$AF$1576,$BU$7:$BU$1576,BU567,$AI$7:$AI$1576,AI567,$BO$7:$BO$1576,"&lt;="&amp;BO567),"")</f>
        <v>2.31292861727644</v>
      </c>
      <c r="AK567" s="65" t="n">
        <f aca="false">IF(AJ567="",0,MAX(0,MIN(1,(IF(BU567="L1",Parameter!$E$5,Parameter!$E$6+Parameter!$E$7)-(AJ567-AF567))/AF567)))</f>
        <v>1</v>
      </c>
      <c r="AL567" s="57" t="n">
        <f aca="false">IF(LEFT(Cockpit!$I$5,1)="A",G567,IF(BW567=1,BX567,IF(LEFT(Cockpit!$I$5,1)="B",AP567,MAX(AP567,G567))))</f>
        <v>176</v>
      </c>
      <c r="AM567" s="57" t="n">
        <f aca="false">IF(BR567=1,0,ROUNDUP(AL567/BQ567,0))</f>
        <v>2</v>
      </c>
      <c r="AN567" s="59" t="n">
        <f aca="false">IF(CD567&gt;0,CD567*MAX(1,AL567/V567),IF(BR567=1,IF(AL567&lt;=0,0,BS567*MAX(1,IF(G567&gt;0,AL567/G567,1))),IF(Q567&gt;0,AM567/Q567,0))/MAX(0.1,N(Parameter!$M$21)))</f>
        <v>0.0151515151515152</v>
      </c>
      <c r="AO567" s="57" t="n">
        <f aca="false">AL567*F567</f>
        <v>675.84</v>
      </c>
      <c r="AP567" s="57" t="n">
        <f aca="false">ROUNDUP(MAX(I567/IF(BV567&gt;0,BV567,MAX(0.1,N(Cockpit!$I$6))),BY567)/BQ567,0)*BQ567</f>
        <v>176</v>
      </c>
      <c r="AQ567" s="58" t="n">
        <f aca="false">IF(AN567&gt;0,I567/AN567,-1)</f>
        <v>6996</v>
      </c>
      <c r="AR567" s="58" t="n">
        <f aca="false">IF(AND(OR(BU567="L1",BU567="L23"),AN567&gt;0),SUMIFS($AN$7:$AN$1576,$BU$7:$BU$1576,BU567,$AQ$7:$AQ$1576,"&gt;"&amp;AQ567)+SUMIFS($AN$7:$AN$1576,$BU$7:$BU$1576,BU567,$AQ$7:$AQ$1576,AQ567,$BO$7:$BO$1576,"&lt;="&amp;BO567),"")</f>
        <v>8.76592243505287</v>
      </c>
      <c r="AS567" s="65" t="n">
        <f aca="false">IF(AR567="",0,MAX(0,MIN(1,(IF(BU567="L1",Parameter!$E$5,Parameter!$E$6+Parameter!$E$7)-(AR567-AN567))/AN567)))</f>
        <v>1</v>
      </c>
      <c r="AT567" s="57" t="n">
        <f aca="false">IF(LEFT(Cockpit!$O$5,1)="A",G567,IF(BW567=1,BX567,IF(LEFT(Cockpit!$O$5,1)="B",AX567,MAX(AX567,G567))))</f>
        <v>176</v>
      </c>
      <c r="AU567" s="57" t="n">
        <f aca="false">IF(BR567=1,0,ROUNDUP(AT567/BQ567,0))</f>
        <v>2</v>
      </c>
      <c r="AV567" s="59" t="n">
        <f aca="false">IF(CD567&gt;0,CD567*MAX(1,AT567/V567),IF(BR567=1,IF(AT567&lt;=0,0,BS567*MAX(1,IF(G567&gt;0,AT567/G567,1))),IF(Q567&gt;0,AU567/Q567,0))/MAX(0.1,N(Parameter!$M$21)))</f>
        <v>0.0151515151515152</v>
      </c>
      <c r="AW567" s="57" t="n">
        <f aca="false">AT567*F567</f>
        <v>675.84</v>
      </c>
      <c r="AX567" s="57" t="n">
        <f aca="false">ROUNDUP(MAX(I567/IF(BV567&gt;0,BV567,MAX(0.1,N(Cockpit!$O$6))),BY567)/BQ567,0)*BQ567</f>
        <v>176</v>
      </c>
      <c r="AY567" s="58" t="n">
        <f aca="false">IF(AV567&gt;0,I567/AV567,-1)</f>
        <v>6996</v>
      </c>
      <c r="AZ567" s="58" t="n">
        <f aca="false">IF(AND(OR(BU567="L1",BU567="L23"),AV567&gt;0),SUMIFS($AV$7:$AV$1576,$BU$7:$BU$1576,BU567,$AY$7:$AY$1576,"&gt;"&amp;AY567)+SUMIFS($AV$7:$AV$1576,$BU$7:$BU$1576,BU567,$AY$7:$AY$1576,AY567,$BO$7:$BO$1576,"&lt;="&amp;BO567),"")</f>
        <v>8.4483233674538</v>
      </c>
      <c r="BA567" s="65" t="n">
        <f aca="false">IF(AZ567="",0,MAX(0,MIN(1,(IF(BU567="L1",Parameter!$E$5,Parameter!$E$6+Parameter!$E$7)-(AZ567-AV567))/AV567)))</f>
        <v>1</v>
      </c>
      <c r="BB567" s="55" t="str">
        <f aca="false">IF(AF567&lt;=0,"",IF(BU567="Aussen","Aussenlager",IF(BU567="-","Nicht im Lift",IF(AK567&gt;=1,"Lift",IF(AK567&lt;=0,"Aussenlager","teilweise")))))</f>
        <v>Lift</v>
      </c>
      <c r="BC567" s="55" t="str">
        <f aca="false">IF(AN567&lt;=0,"",IF(BU567="Aussen","Aussenlager",IF(BU567="-","Nicht im Lift",IF(AS567&gt;=1,"Lift",IF(AS567&lt;=0,"Aussenlager","teilweise")))))</f>
        <v>Lift</v>
      </c>
      <c r="BD567" s="55" t="str">
        <f aca="false">IF(AV567&lt;=0,"",IF(BU567="Aussen","Aussenlager",IF(BU567="-","Nicht im Lift",IF(BA567&gt;=1,"Lift",IF(BA567&lt;=0,"Aussenlager","teilweise")))))</f>
        <v>Lift</v>
      </c>
      <c r="BE567" s="55" t="str">
        <f aca="false">IF(A567="","",IF(BN567=1,"Neu; ","")&amp;IF(AND(BN567=0,BI567&lt;0),"negativer Bestand (Export "&amp;BI567&amp;"); ","")&amp;IF(I567&lt;=0,"Kein Verbrauch; ","")&amp;IF(CD567&gt;0,"Lift "&amp;U567&amp;" lt. Liftbericht (Fach "&amp;V567&amp;" Stk); ",IF(BR567=1,"Lose – Fläche geschätzt; ",""))&amp;IF(G567&gt;AP567,"Überbestand "&amp;ROUND(G567-AP567,0)&amp;" Stk / CHF "&amp;ROUND((G567-AP567)*F567,0)&amp;"; ","")&amp;IF(AND(BW567=1,BX567&lt;BY567),"MAX &lt; MB+LG; ","")&amp;IF(AND(CC567&gt;0,CB567*10&gt;CC567),"zu hoch für Tablar; ","")&amp;IF(AND(BN567=0,OR(BW567=1,Y567&lt;&gt;"",S567&lt;&gt;"",T567&lt;&gt;"",Z567&lt;&gt;"")),"manuell übersteuert; ","")&amp;IF(AND(BR567=0,Q567=0),"Gebinde unbekannt / Stellmass fehlt; ","")&amp;IF(AND(BR567=0,N(T567)&lt;=0,N(P567)&lt;=0),"Menge pro Gebinde fehlt (Ist = 1 Gebinde); ","")&amp;BM567)</f>
        <v/>
      </c>
      <c r="BF567" s="55"/>
      <c r="BG567" s="55"/>
      <c r="BH567" s="62"/>
      <c r="BI567" s="57" t="n">
        <v>11</v>
      </c>
      <c r="BJ567" s="57" t="n">
        <v>194</v>
      </c>
      <c r="BK567" s="56" t="n">
        <v>13.1399999999993</v>
      </c>
      <c r="BL567" s="57" t="n">
        <v>106</v>
      </c>
      <c r="BM567" s="55"/>
      <c r="BN567" s="60" t="n">
        <v>0</v>
      </c>
      <c r="BO567" s="60" t="n">
        <v>567</v>
      </c>
      <c r="BP567" s="55" t="str">
        <f aca="false">IF(S567&lt;&gt;"",UPPER(TRIM(S567)),IF(O567="","LOSE",O567))</f>
        <v>S32</v>
      </c>
      <c r="BQ567" s="57" t="n">
        <f aca="false">IF(BP567="LOSE",1,IF(N(T567)&gt;0,T567,IF(N(P567)&gt;0,P567,MAX(1,G567))))</f>
        <v>88</v>
      </c>
      <c r="BR567" s="60" t="n">
        <f aca="false">IF(BP567="LOSE",1,0)</f>
        <v>0</v>
      </c>
      <c r="BS567" s="59" t="n">
        <f aca="false">IF(BR567=0,0,IF(N(R567)&gt;0,R567,IFERROR(VLOOKUP(D567,Parameter!$A$35:$C$64,3,0)+0,0)))</f>
        <v>0</v>
      </c>
      <c r="BT567" s="55" t="n">
        <f aca="false">IF(Y567&lt;&gt;"",Y567,X567)</f>
        <v>3</v>
      </c>
      <c r="BU567" s="55" t="str">
        <f aca="false">IF(BT567=1,"L1",IF(OR(BT567=2,BT567=3),"L23",IF(BT567="Aussen","Aussen","-")))</f>
        <v>L23</v>
      </c>
      <c r="BV567" s="66" t="n">
        <f aca="false">IF(N(Z567)&gt;0,Z567,0)</f>
        <v>0</v>
      </c>
      <c r="BW567" s="60" t="n">
        <f aca="false">IF(ISNUMBER(AC567),1,0)</f>
        <v>0</v>
      </c>
      <c r="BX567" s="57" t="n">
        <f aca="false">N(AC567)</f>
        <v>0</v>
      </c>
      <c r="BY567" s="57" t="n">
        <f aca="false">N(L567)+N(M567)</f>
        <v>121</v>
      </c>
      <c r="BZ567" s="57" t="n">
        <f aca="false">ROUNDUP(G567/BQ567,0)</f>
        <v>1</v>
      </c>
      <c r="CA567" s="57" t="n">
        <f aca="false">ROUNDUP(BX567/BQ567,0)</f>
        <v>0</v>
      </c>
      <c r="CB567" s="60" t="n">
        <f aca="false">IF(BR567=1,0,IFERROR(VLOOKUP(BP567,'Gebinde-Kategorie'!$A$5:$M$45,5,0)+0,0))</f>
        <v>8</v>
      </c>
      <c r="CC567" s="60" t="n">
        <f aca="false">IFERROR(IF(OR(BT567=1,BT567=2,BT567=3),N(INDEX(Parameter!$I$5:$I$7,BT567)),0),0)</f>
        <v>0</v>
      </c>
      <c r="CD567" s="59" t="n">
        <f aca="false">IF(AND(Parameter!$B$21="Ja",ISNUMBER(U567),N(V567)&gt;0),IFERROR(N(INDEX(Parameter!$L$5:$L$7,U567))*INDEX(Parameter!$E$5:$E$7,U567)*V567/SUMIFS($V$7:$V$1576,$U$7:$U$1576,U567),0),0)</f>
        <v>0</v>
      </c>
    </row>
    <row r="568" customFormat="false" ht="15" hidden="false" customHeight="false" outlineLevel="0" collapsed="false">
      <c r="A568" s="55" t="s">
        <v>1189</v>
      </c>
      <c r="B568" s="55" t="s">
        <v>457</v>
      </c>
      <c r="C568" s="55" t="s">
        <v>160</v>
      </c>
      <c r="D568" s="55" t="s">
        <v>178</v>
      </c>
      <c r="E568" s="55" t="s">
        <v>210</v>
      </c>
      <c r="F568" s="56" t="n">
        <v>0.14</v>
      </c>
      <c r="G568" s="57" t="n">
        <f aca="false">MAX(0,IF(AND(Parameter!$B$21="Ja",ISNUMBER(W568)),W568,IF(Parameter!$B$20="Jahresanfang 2025 + Export",BJ568+BI568,BI568)))</f>
        <v>92</v>
      </c>
      <c r="H568" s="57" t="n">
        <f aca="false">G568*F568</f>
        <v>12.88</v>
      </c>
      <c r="I568" s="57" t="n">
        <f aca="false">BL568*Parameter!$B$18</f>
        <v>222</v>
      </c>
      <c r="J568" s="58" t="n">
        <v>129.5</v>
      </c>
      <c r="K568" s="59" t="n">
        <v>1.71428571428571</v>
      </c>
      <c r="L568" s="57" t="n">
        <v>8</v>
      </c>
      <c r="M568" s="57" t="n">
        <v>220</v>
      </c>
      <c r="N568" s="60" t="n">
        <v>14</v>
      </c>
      <c r="O568" s="55" t="s">
        <v>391</v>
      </c>
      <c r="P568" s="57" t="n">
        <v>210</v>
      </c>
      <c r="Q568" s="60" t="n">
        <f aca="false">IF(BR568=1,0,IFERROR(VLOOKUP(BP568,'Gebinde-Kategorie'!$A$5:$M$45,13,0)+0,0))</f>
        <v>414</v>
      </c>
      <c r="R568" s="61"/>
      <c r="S568" s="62"/>
      <c r="T568" s="62"/>
      <c r="U568" s="55"/>
      <c r="V568" s="57"/>
      <c r="W568" s="57"/>
      <c r="X568" s="55" t="n">
        <f aca="false">IF(A568="","",IF(AND(Parameter!$B$21="Ja",ISNUMBER(U568)),U568,IF(IFERROR(VLOOKUP(D568,Parameter!$A$35:$C$64,2,0),"Nein")="2+3",IF(ISNUMBER(SEARCH("grosser Artikel",BM568)),2,IFERROR(VLOOKUP(BP568,Parameter!$F$35:$G$64,2,0),2)),IF(OR(IFERROR(VLOOKUP(D568,Parameter!$A$35:$C$64,2,0),"Nein")="Nein",IFERROR(VLOOKUP(D568,Parameter!$A$35:$C$64,2,0),"Nein")=""),"-",VLOOKUP(D568,Parameter!$A$35:$C$64,2,0)))))</f>
        <v>3</v>
      </c>
      <c r="Y568" s="62"/>
      <c r="Z568" s="63"/>
      <c r="AA568" s="57" t="n">
        <f aca="false">AP568</f>
        <v>420</v>
      </c>
      <c r="AB568" s="57" t="n">
        <f aca="false">MAX(AP568,G568)</f>
        <v>420</v>
      </c>
      <c r="AC568" s="64"/>
      <c r="AD568" s="57" t="n">
        <f aca="false">IF(LEFT(Cockpit!$C$5,1)="A",G568,IF(BW568=1,BX568,IF(LEFT(Cockpit!$C$5,1)="B",AH568,MAX(AH568,G568))))</f>
        <v>92</v>
      </c>
      <c r="AE568" s="57" t="n">
        <f aca="false">IF(BR568=1,0,ROUNDUP(AD568/BQ568,0))</f>
        <v>1</v>
      </c>
      <c r="AF568" s="59" t="n">
        <f aca="false">IF(CD568&gt;0,CD568*MAX(1,AD568/V568),IF(BR568=1,IF(AD568&lt;=0,0,BS568*MAX(1,IF(G568&gt;0,AD568/G568,1))),IF(Q568&gt;0,AE568/Q568,0))/MAX(0.1,N(Parameter!$M$21)))</f>
        <v>0.00241545893719807</v>
      </c>
      <c r="AG568" s="57" t="n">
        <f aca="false">AD568*F568</f>
        <v>12.88</v>
      </c>
      <c r="AH568" s="57" t="n">
        <f aca="false">ROUNDUP(MAX(I568/IF(BV568&gt;0,BV568,MAX(0.1,N(Cockpit!$C$6))),BY568)/BQ568,0)*BQ568</f>
        <v>420</v>
      </c>
      <c r="AI568" s="58" t="n">
        <f aca="false">IF(AF568&gt;0,I568/AF568,-1)</f>
        <v>91908</v>
      </c>
      <c r="AJ568" s="58" t="n">
        <f aca="false">IF(AND(OR(BU568="L1",BU568="L23"),AF568&gt;0),SUMIFS($AF$7:$AF$1576,$BU$7:$BU$1576,BU568,$AI$7:$AI$1576,"&gt;"&amp;AI568)+SUMIFS($AF$7:$AF$1576,$BU$7:$BU$1576,BU568,$AI$7:$AI$1576,AI568,$BO$7:$BO$1576,"&lt;="&amp;BO568),"")</f>
        <v>0.359894935981893</v>
      </c>
      <c r="AK568" s="65" t="n">
        <f aca="false">IF(AJ568="",0,MAX(0,MIN(1,(IF(BU568="L1",Parameter!$E$5,Parameter!$E$6+Parameter!$E$7)-(AJ568-AF568))/AF568)))</f>
        <v>1</v>
      </c>
      <c r="AL568" s="57" t="n">
        <f aca="false">IF(LEFT(Cockpit!$I$5,1)="A",G568,IF(BW568=1,BX568,IF(LEFT(Cockpit!$I$5,1)="B",AP568,MAX(AP568,G568))))</f>
        <v>420</v>
      </c>
      <c r="AM568" s="57" t="n">
        <f aca="false">IF(BR568=1,0,ROUNDUP(AL568/BQ568,0))</f>
        <v>2</v>
      </c>
      <c r="AN568" s="59" t="n">
        <f aca="false">IF(CD568&gt;0,CD568*MAX(1,AL568/V568),IF(BR568=1,IF(AL568&lt;=0,0,BS568*MAX(1,IF(G568&gt;0,AL568/G568,1))),IF(Q568&gt;0,AM568/Q568,0))/MAX(0.1,N(Parameter!$M$21)))</f>
        <v>0.00483091787439614</v>
      </c>
      <c r="AO568" s="57" t="n">
        <f aca="false">AL568*F568</f>
        <v>58.8</v>
      </c>
      <c r="AP568" s="57" t="n">
        <f aca="false">ROUNDUP(MAX(I568/IF(BV568&gt;0,BV568,MAX(0.1,N(Cockpit!$I$6))),BY568)/BQ568,0)*BQ568</f>
        <v>420</v>
      </c>
      <c r="AQ568" s="58" t="n">
        <f aca="false">IF(AN568&gt;0,I568/AN568,-1)</f>
        <v>45954</v>
      </c>
      <c r="AR568" s="58" t="n">
        <f aca="false">IF(AND(OR(BU568="L1",BU568="L23"),AN568&gt;0),SUMIFS($AN$7:$AN$1576,$BU$7:$BU$1576,BU568,$AQ$7:$AQ$1576,"&gt;"&amp;AQ568)+SUMIFS($AN$7:$AN$1576,$BU$7:$BU$1576,BU568,$AQ$7:$AQ$1576,AQ568,$BO$7:$BO$1576,"&lt;="&amp;BO568),"")</f>
        <v>1.36919968919969</v>
      </c>
      <c r="AS568" s="65" t="n">
        <f aca="false">IF(AR568="",0,MAX(0,MIN(1,(IF(BU568="L1",Parameter!$E$5,Parameter!$E$6+Parameter!$E$7)-(AR568-AN568))/AN568)))</f>
        <v>1</v>
      </c>
      <c r="AT568" s="57" t="n">
        <f aca="false">IF(LEFT(Cockpit!$O$5,1)="A",G568,IF(BW568=1,BX568,IF(LEFT(Cockpit!$O$5,1)="B",AX568,MAX(AX568,G568))))</f>
        <v>420</v>
      </c>
      <c r="AU568" s="57" t="n">
        <f aca="false">IF(BR568=1,0,ROUNDUP(AT568/BQ568,0))</f>
        <v>2</v>
      </c>
      <c r="AV568" s="59" t="n">
        <f aca="false">IF(CD568&gt;0,CD568*MAX(1,AT568/V568),IF(BR568=1,IF(AT568&lt;=0,0,BS568*MAX(1,IF(G568&gt;0,AT568/G568,1))),IF(Q568&gt;0,AU568/Q568,0))/MAX(0.1,N(Parameter!$M$21)))</f>
        <v>0.00483091787439614</v>
      </c>
      <c r="AW568" s="57" t="n">
        <f aca="false">AT568*F568</f>
        <v>58.8</v>
      </c>
      <c r="AX568" s="57" t="n">
        <f aca="false">ROUNDUP(MAX(I568/IF(BV568&gt;0,BV568,MAX(0.1,N(Cockpit!$O$6))),BY568)/BQ568,0)*BQ568</f>
        <v>420</v>
      </c>
      <c r="AY568" s="58" t="n">
        <f aca="false">IF(AV568&gt;0,I568/AV568,-1)</f>
        <v>45954</v>
      </c>
      <c r="AZ568" s="58" t="n">
        <f aca="false">IF(AND(OR(BU568="L1",BU568="L23"),AV568&gt;0),SUMIFS($AV$7:$AV$1576,$BU$7:$BU$1576,BU568,$AY$7:$AY$1576,"&gt;"&amp;AY568)+SUMIFS($AV$7:$AV$1576,$BU$7:$BU$1576,BU568,$AY$7:$AY$1576,AY568,$BO$7:$BO$1576,"&lt;="&amp;BO568),"")</f>
        <v>1.69845376845377</v>
      </c>
      <c r="BA568" s="65" t="n">
        <f aca="false">IF(AZ568="",0,MAX(0,MIN(1,(IF(BU568="L1",Parameter!$E$5,Parameter!$E$6+Parameter!$E$7)-(AZ568-AV568))/AV568)))</f>
        <v>1</v>
      </c>
      <c r="BB568" s="55" t="str">
        <f aca="false">IF(AF568&lt;=0,"",IF(BU568="Aussen","Aussenlager",IF(BU568="-","Nicht im Lift",IF(AK568&gt;=1,"Lift",IF(AK568&lt;=0,"Aussenlager","teilweise")))))</f>
        <v>Lift</v>
      </c>
      <c r="BC568" s="55" t="str">
        <f aca="false">IF(AN568&lt;=0,"",IF(BU568="Aussen","Aussenlager",IF(BU568="-","Nicht im Lift",IF(AS568&gt;=1,"Lift",IF(AS568&lt;=0,"Aussenlager","teilweise")))))</f>
        <v>Lift</v>
      </c>
      <c r="BD568" s="55" t="str">
        <f aca="false">IF(AV568&lt;=0,"",IF(BU568="Aussen","Aussenlager",IF(BU568="-","Nicht im Lift",IF(BA568&gt;=1,"Lift",IF(BA568&lt;=0,"Aussenlager","teilweise")))))</f>
        <v>Lift</v>
      </c>
      <c r="BE568" s="55" t="str">
        <f aca="false">IF(A568="","",IF(BN568=1,"Neu; ","")&amp;IF(AND(BN568=0,BI568&lt;0),"negativer Bestand (Export "&amp;BI568&amp;"); ","")&amp;IF(I568&lt;=0,"Kein Verbrauch; ","")&amp;IF(CD568&gt;0,"Lift "&amp;U568&amp;" lt. Liftbericht (Fach "&amp;V568&amp;" Stk); ",IF(BR568=1,"Lose – Fläche geschätzt; ",""))&amp;IF(G568&gt;AP568,"Überbestand "&amp;ROUND(G568-AP568,0)&amp;" Stk / CHF "&amp;ROUND((G568-AP568)*F568,0)&amp;"; ","")&amp;IF(AND(BW568=1,BX568&lt;BY568),"MAX &lt; MB+LG; ","")&amp;IF(AND(CC568&gt;0,CB568*10&gt;CC568),"zu hoch für Tablar; ","")&amp;IF(AND(BN568=0,OR(BW568=1,Y568&lt;&gt;"",S568&lt;&gt;"",T568&lt;&gt;"",Z568&lt;&gt;"")),"manuell übersteuert; ","")&amp;IF(AND(BR568=0,Q568=0),"Gebinde unbekannt / Stellmass fehlt; ","")&amp;IF(AND(BR568=0,N(T568)&lt;=0,N(P568)&lt;=0),"Menge pro Gebinde fehlt (Ist = 1 Gebinde); ","")&amp;BM568)</f>
        <v/>
      </c>
      <c r="BF568" s="55"/>
      <c r="BG568" s="55"/>
      <c r="BH568" s="62"/>
      <c r="BI568" s="57" t="n">
        <v>92</v>
      </c>
      <c r="BJ568" s="57" t="n">
        <v>143</v>
      </c>
      <c r="BK568" s="56" t="n">
        <v>12.88</v>
      </c>
      <c r="BL568" s="57" t="n">
        <v>222</v>
      </c>
      <c r="BM568" s="55"/>
      <c r="BN568" s="60" t="n">
        <v>0</v>
      </c>
      <c r="BO568" s="60" t="n">
        <v>568</v>
      </c>
      <c r="BP568" s="55" t="str">
        <f aca="false">IF(S568&lt;&gt;"",UPPER(TRIM(S568)),IF(O568="","LOSE",O568))</f>
        <v>S21</v>
      </c>
      <c r="BQ568" s="57" t="n">
        <f aca="false">IF(BP568="LOSE",1,IF(N(T568)&gt;0,T568,IF(N(P568)&gt;0,P568,MAX(1,G568))))</f>
        <v>210</v>
      </c>
      <c r="BR568" s="60" t="n">
        <f aca="false">IF(BP568="LOSE",1,0)</f>
        <v>0</v>
      </c>
      <c r="BS568" s="59" t="n">
        <f aca="false">IF(BR568=0,0,IF(N(R568)&gt;0,R568,IFERROR(VLOOKUP(D568,Parameter!$A$35:$C$64,3,0)+0,0)))</f>
        <v>0</v>
      </c>
      <c r="BT568" s="55" t="n">
        <f aca="false">IF(Y568&lt;&gt;"",Y568,X568)</f>
        <v>3</v>
      </c>
      <c r="BU568" s="55" t="str">
        <f aca="false">IF(BT568=1,"L1",IF(OR(BT568=2,BT568=3),"L23",IF(BT568="Aussen","Aussen","-")))</f>
        <v>L23</v>
      </c>
      <c r="BV568" s="66" t="n">
        <f aca="false">IF(N(Z568)&gt;0,Z568,0)</f>
        <v>0</v>
      </c>
      <c r="BW568" s="60" t="n">
        <f aca="false">IF(ISNUMBER(AC568),1,0)</f>
        <v>0</v>
      </c>
      <c r="BX568" s="57" t="n">
        <f aca="false">N(AC568)</f>
        <v>0</v>
      </c>
      <c r="BY568" s="57" t="n">
        <f aca="false">N(L568)+N(M568)</f>
        <v>228</v>
      </c>
      <c r="BZ568" s="57" t="n">
        <f aca="false">ROUNDUP(G568/BQ568,0)</f>
        <v>1</v>
      </c>
      <c r="CA568" s="57" t="n">
        <f aca="false">ROUNDUP(BX568/BQ568,0)</f>
        <v>0</v>
      </c>
      <c r="CB568" s="60" t="n">
        <f aca="false">IF(BR568=1,0,IFERROR(VLOOKUP(BP568,'Gebinde-Kategorie'!$A$5:$M$45,5,0)+0,0))</f>
        <v>8</v>
      </c>
      <c r="CC568" s="60" t="n">
        <f aca="false">IFERROR(IF(OR(BT568=1,BT568=2,BT568=3),N(INDEX(Parameter!$I$5:$I$7,BT568)),0),0)</f>
        <v>0</v>
      </c>
      <c r="CD568" s="59" t="n">
        <f aca="false">IF(AND(Parameter!$B$21="Ja",ISNUMBER(U568),N(V568)&gt;0),IFERROR(N(INDEX(Parameter!$L$5:$L$7,U568))*INDEX(Parameter!$E$5:$E$7,U568)*V568/SUMIFS($V$7:$V$1576,$U$7:$U$1576,U568),0),0)</f>
        <v>0</v>
      </c>
    </row>
    <row r="569" customFormat="false" ht="15" hidden="false" customHeight="false" outlineLevel="0" collapsed="false">
      <c r="A569" s="55" t="s">
        <v>1190</v>
      </c>
      <c r="B569" s="55" t="s">
        <v>580</v>
      </c>
      <c r="C569" s="55" t="s">
        <v>160</v>
      </c>
      <c r="D569" s="55" t="s">
        <v>178</v>
      </c>
      <c r="E569" s="55" t="s">
        <v>210</v>
      </c>
      <c r="F569" s="56" t="n">
        <v>27.68</v>
      </c>
      <c r="G569" s="57" t="n">
        <f aca="false">MAX(0,IF(AND(Parameter!$B$21="Ja",ISNUMBER(W569)),W569,IF(Parameter!$B$20="Jahresanfang 2025 + Export",BJ569+BI569,BI569)))</f>
        <v>3</v>
      </c>
      <c r="H569" s="57" t="n">
        <f aca="false">G569*F569</f>
        <v>83.04</v>
      </c>
      <c r="I569" s="57" t="n">
        <f aca="false">BL569*Parameter!$B$18</f>
        <v>13</v>
      </c>
      <c r="J569" s="58" t="n">
        <v>88.5</v>
      </c>
      <c r="K569" s="59" t="n">
        <v>0.146892655367232</v>
      </c>
      <c r="L569" s="57" t="n">
        <v>2</v>
      </c>
      <c r="M569" s="57" t="n">
        <v>30</v>
      </c>
      <c r="N569" s="60" t="n">
        <v>21</v>
      </c>
      <c r="O569" s="55" t="s">
        <v>293</v>
      </c>
      <c r="P569" s="57" t="n">
        <v>75</v>
      </c>
      <c r="Q569" s="60" t="n">
        <f aca="false">IF(BR569=1,0,IFERROR(VLOOKUP(BP569,'Gebinde-Kategorie'!$A$5:$M$45,13,0)+0,0))</f>
        <v>26</v>
      </c>
      <c r="R569" s="61"/>
      <c r="S569" s="62"/>
      <c r="T569" s="62"/>
      <c r="U569" s="55"/>
      <c r="V569" s="57"/>
      <c r="W569" s="57"/>
      <c r="X569" s="55" t="n">
        <f aca="false">IF(A569="","",IF(AND(Parameter!$B$21="Ja",ISNUMBER(U569)),U569,IF(IFERROR(VLOOKUP(D569,Parameter!$A$35:$C$64,2,0),"Nein")="2+3",IF(ISNUMBER(SEARCH("grosser Artikel",BM569)),2,IFERROR(VLOOKUP(BP569,Parameter!$F$35:$G$64,2,0),2)),IF(OR(IFERROR(VLOOKUP(D569,Parameter!$A$35:$C$64,2,0),"Nein")="Nein",IFERROR(VLOOKUP(D569,Parameter!$A$35:$C$64,2,0),"Nein")=""),"-",VLOOKUP(D569,Parameter!$A$35:$C$64,2,0)))))</f>
        <v>3</v>
      </c>
      <c r="Y569" s="62"/>
      <c r="Z569" s="63"/>
      <c r="AA569" s="57" t="n">
        <f aca="false">AP569</f>
        <v>75</v>
      </c>
      <c r="AB569" s="57" t="n">
        <f aca="false">MAX(AP569,G569)</f>
        <v>75</v>
      </c>
      <c r="AC569" s="64"/>
      <c r="AD569" s="57" t="n">
        <f aca="false">IF(LEFT(Cockpit!$C$5,1)="A",G569,IF(BW569=1,BX569,IF(LEFT(Cockpit!$C$5,1)="B",AH569,MAX(AH569,G569))))</f>
        <v>3</v>
      </c>
      <c r="AE569" s="57" t="n">
        <f aca="false">IF(BR569=1,0,ROUNDUP(AD569/BQ569,0))</f>
        <v>1</v>
      </c>
      <c r="AF569" s="59" t="n">
        <f aca="false">IF(CD569&gt;0,CD569*MAX(1,AD569/V569),IF(BR569=1,IF(AD569&lt;=0,0,BS569*MAX(1,IF(G569&gt;0,AD569/G569,1))),IF(Q569&gt;0,AE569/Q569,0))/MAX(0.1,N(Parameter!$M$21)))</f>
        <v>0.0384615384615385</v>
      </c>
      <c r="AG569" s="57" t="n">
        <f aca="false">AD569*F569</f>
        <v>83.04</v>
      </c>
      <c r="AH569" s="57" t="n">
        <f aca="false">ROUNDUP(MAX(I569/IF(BV569&gt;0,BV569,MAX(0.1,N(Cockpit!$C$6))),BY569)/BQ569,0)*BQ569</f>
        <v>75</v>
      </c>
      <c r="AI569" s="58" t="n">
        <f aca="false">IF(AF569&gt;0,I569/AF569,-1)</f>
        <v>338</v>
      </c>
      <c r="AJ569" s="58" t="n">
        <f aca="false">IF(AND(OR(BU569="L1",BU569="L23"),AF569&gt;0),SUMIFS($AF$7:$AF$1576,$BU$7:$BU$1576,BU569,$AI$7:$AI$1576,"&gt;"&amp;AI569)+SUMIFS($AF$7:$AF$1576,$BU$7:$BU$1576,BU569,$AI$7:$AI$1576,AI569,$BO$7:$BO$1576,"&lt;="&amp;BO569),"")</f>
        <v>14.4343846491673</v>
      </c>
      <c r="AK569" s="65" t="n">
        <f aca="false">IF(AJ569="",0,MAX(0,MIN(1,(IF(BU569="L1",Parameter!$E$5,Parameter!$E$6+Parameter!$E$7)-(AJ569-AF569))/AF569)))</f>
        <v>1</v>
      </c>
      <c r="AL569" s="57" t="n">
        <f aca="false">IF(LEFT(Cockpit!$I$5,1)="A",G569,IF(BW569=1,BX569,IF(LEFT(Cockpit!$I$5,1)="B",AP569,MAX(AP569,G569))))</f>
        <v>75</v>
      </c>
      <c r="AM569" s="57" t="n">
        <f aca="false">IF(BR569=1,0,ROUNDUP(AL569/BQ569,0))</f>
        <v>1</v>
      </c>
      <c r="AN569" s="59" t="n">
        <f aca="false">IF(CD569&gt;0,CD569*MAX(1,AL569/V569),IF(BR569=1,IF(AL569&lt;=0,0,BS569*MAX(1,IF(G569&gt;0,AL569/G569,1))),IF(Q569&gt;0,AM569/Q569,0))/MAX(0.1,N(Parameter!$M$21)))</f>
        <v>0.0384615384615385</v>
      </c>
      <c r="AO569" s="57" t="n">
        <f aca="false">AL569*F569</f>
        <v>2076</v>
      </c>
      <c r="AP569" s="57" t="n">
        <f aca="false">ROUNDUP(MAX(I569/IF(BV569&gt;0,BV569,MAX(0.1,N(Cockpit!$I$6))),BY569)/BQ569,0)*BQ569</f>
        <v>75</v>
      </c>
      <c r="AQ569" s="58" t="n">
        <f aca="false">IF(AN569&gt;0,I569/AN569,-1)</f>
        <v>338</v>
      </c>
      <c r="AR569" s="58" t="n">
        <f aca="false">IF(AND(OR(BU569="L1",BU569="L23"),AN569&gt;0),SUMIFS($AN$7:$AN$1576,$BU$7:$BU$1576,BU569,$AQ$7:$AQ$1576,"&gt;"&amp;AQ569)+SUMIFS($AN$7:$AN$1576,$BU$7:$BU$1576,BU569,$AQ$7:$AQ$1576,AQ569,$BO$7:$BO$1576,"&lt;="&amp;BO569),"")</f>
        <v>41.4526470754843</v>
      </c>
      <c r="AS569" s="65" t="n">
        <f aca="false">IF(AR569="",0,MAX(0,MIN(1,(IF(BU569="L1",Parameter!$E$5,Parameter!$E$6+Parameter!$E$7)-(AR569-AN569))/AN569)))</f>
        <v>1</v>
      </c>
      <c r="AT569" s="57" t="n">
        <f aca="false">IF(LEFT(Cockpit!$O$5,1)="A",G569,IF(BW569=1,BX569,IF(LEFT(Cockpit!$O$5,1)="B",AX569,MAX(AX569,G569))))</f>
        <v>75</v>
      </c>
      <c r="AU569" s="57" t="n">
        <f aca="false">IF(BR569=1,0,ROUNDUP(AT569/BQ569,0))</f>
        <v>1</v>
      </c>
      <c r="AV569" s="59" t="n">
        <f aca="false">IF(CD569&gt;0,CD569*MAX(1,AT569/V569),IF(BR569=1,IF(AT569&lt;=0,0,BS569*MAX(1,IF(G569&gt;0,AT569/G569,1))),IF(Q569&gt;0,AU569/Q569,0))/MAX(0.1,N(Parameter!$M$21)))</f>
        <v>0.0384615384615385</v>
      </c>
      <c r="AW569" s="57" t="n">
        <f aca="false">AT569*F569</f>
        <v>2076</v>
      </c>
      <c r="AX569" s="57" t="n">
        <f aca="false">ROUNDUP(MAX(I569/IF(BV569&gt;0,BV569,MAX(0.1,N(Cockpit!$O$6))),BY569)/BQ569,0)*BQ569</f>
        <v>75</v>
      </c>
      <c r="AY569" s="58" t="n">
        <f aca="false">IF(AV569&gt;0,I569/AV569,-1)</f>
        <v>338</v>
      </c>
      <c r="AZ569" s="58" t="n">
        <f aca="false">IF(AND(OR(BU569="L1",BU569="L23"),AV569&gt;0),SUMIFS($AV$7:$AV$1576,$BU$7:$BU$1576,BU569,$AY$7:$AY$1576,"&gt;"&amp;AY569)+SUMIFS($AV$7:$AV$1576,$BU$7:$BU$1576,BU569,$AY$7:$AY$1576,AY569,$BO$7:$BO$1576,"&lt;="&amp;BO569),"")</f>
        <v>38.2007256635629</v>
      </c>
      <c r="BA569" s="65" t="n">
        <f aca="false">IF(AZ569="",0,MAX(0,MIN(1,(IF(BU569="L1",Parameter!$E$5,Parameter!$E$6+Parameter!$E$7)-(AZ569-AV569))/AV569)))</f>
        <v>1</v>
      </c>
      <c r="BB569" s="55" t="str">
        <f aca="false">IF(AF569&lt;=0,"",IF(BU569="Aussen","Aussenlager",IF(BU569="-","Nicht im Lift",IF(AK569&gt;=1,"Lift",IF(AK569&lt;=0,"Aussenlager","teilweise")))))</f>
        <v>Lift</v>
      </c>
      <c r="BC569" s="55" t="str">
        <f aca="false">IF(AN569&lt;=0,"",IF(BU569="Aussen","Aussenlager",IF(BU569="-","Nicht im Lift",IF(AS569&gt;=1,"Lift",IF(AS569&lt;=0,"Aussenlager","teilweise")))))</f>
        <v>Lift</v>
      </c>
      <c r="BD569" s="55" t="str">
        <f aca="false">IF(AV569&lt;=0,"",IF(BU569="Aussen","Aussenlager",IF(BU569="-","Nicht im Lift",IF(BA569&gt;=1,"Lift",IF(BA569&lt;=0,"Aussenlager","teilweise")))))</f>
        <v>Lift</v>
      </c>
      <c r="BE569" s="55" t="str">
        <f aca="false">IF(A569="","",IF(BN569=1,"Neu; ","")&amp;IF(AND(BN569=0,BI569&lt;0),"negativer Bestand (Export "&amp;BI569&amp;"); ","")&amp;IF(I569&lt;=0,"Kein Verbrauch; ","")&amp;IF(CD569&gt;0,"Lift "&amp;U569&amp;" lt. Liftbericht (Fach "&amp;V569&amp;" Stk); ",IF(BR569=1,"Lose – Fläche geschätzt; ",""))&amp;IF(G569&gt;AP569,"Überbestand "&amp;ROUND(G569-AP569,0)&amp;" Stk / CHF "&amp;ROUND((G569-AP569)*F569,0)&amp;"; ","")&amp;IF(AND(BW569=1,BX569&lt;BY569),"MAX &lt; MB+LG; ","")&amp;IF(AND(CC569&gt;0,CB569*10&gt;CC569),"zu hoch für Tablar; ","")&amp;IF(AND(BN569=0,OR(BW569=1,Y569&lt;&gt;"",S569&lt;&gt;"",T569&lt;&gt;"",Z569&lt;&gt;"")),"manuell übersteuert; ","")&amp;IF(AND(BR569=0,Q569=0),"Gebinde unbekannt / Stellmass fehlt; ","")&amp;IF(AND(BR569=0,N(T569)&lt;=0,N(P569)&lt;=0),"Menge pro Gebinde fehlt (Ist = 1 Gebinde); ","")&amp;BM569)</f>
        <v>Neu</v>
      </c>
      <c r="BF569" s="55"/>
      <c r="BG569" s="55"/>
      <c r="BH569" s="62"/>
      <c r="BI569" s="57" t="n">
        <v>3</v>
      </c>
      <c r="BJ569" s="57" t="n">
        <v>80</v>
      </c>
      <c r="BK569" s="56" t="n">
        <v>12.64</v>
      </c>
      <c r="BL569" s="57" t="n">
        <v>13</v>
      </c>
      <c r="BM569" s="55" t="s">
        <v>615</v>
      </c>
      <c r="BN569" s="60" t="n">
        <v>0</v>
      </c>
      <c r="BO569" s="60" t="n">
        <v>569</v>
      </c>
      <c r="BP569" s="55" t="str">
        <f aca="false">IF(S569&lt;&gt;"",UPPER(TRIM(S569)),IF(O569="","LOSE",O569))</f>
        <v>S51</v>
      </c>
      <c r="BQ569" s="57" t="n">
        <f aca="false">IF(BP569="LOSE",1,IF(N(T569)&gt;0,T569,IF(N(P569)&gt;0,P569,MAX(1,G569))))</f>
        <v>75</v>
      </c>
      <c r="BR569" s="60" t="n">
        <f aca="false">IF(BP569="LOSE",1,0)</f>
        <v>0</v>
      </c>
      <c r="BS569" s="59" t="n">
        <f aca="false">IF(BR569=0,0,IF(N(R569)&gt;0,R569,IFERROR(VLOOKUP(D569,Parameter!$A$35:$C$64,3,0)+0,0)))</f>
        <v>0</v>
      </c>
      <c r="BT569" s="55" t="n">
        <f aca="false">IF(Y569&lt;&gt;"",Y569,X569)</f>
        <v>3</v>
      </c>
      <c r="BU569" s="55" t="str">
        <f aca="false">IF(BT569=1,"L1",IF(OR(BT569=2,BT569=3),"L23",IF(BT569="Aussen","Aussen","-")))</f>
        <v>L23</v>
      </c>
      <c r="BV569" s="66" t="n">
        <f aca="false">IF(N(Z569)&gt;0,Z569,0)</f>
        <v>0</v>
      </c>
      <c r="BW569" s="60" t="n">
        <f aca="false">IF(ISNUMBER(AC569),1,0)</f>
        <v>0</v>
      </c>
      <c r="BX569" s="57" t="n">
        <f aca="false">N(AC569)</f>
        <v>0</v>
      </c>
      <c r="BY569" s="57" t="n">
        <f aca="false">N(L569)+N(M569)</f>
        <v>32</v>
      </c>
      <c r="BZ569" s="57" t="n">
        <f aca="false">ROUNDUP(G569/BQ569,0)</f>
        <v>1</v>
      </c>
      <c r="CA569" s="57" t="n">
        <f aca="false">ROUNDUP(BX569/BQ569,0)</f>
        <v>0</v>
      </c>
      <c r="CB569" s="60" t="n">
        <f aca="false">IF(BR569=1,0,IFERROR(VLOOKUP(BP569,'Gebinde-Kategorie'!$A$5:$M$45,5,0)+0,0))</f>
        <v>11</v>
      </c>
      <c r="CC569" s="60" t="n">
        <f aca="false">IFERROR(IF(OR(BT569=1,BT569=2,BT569=3),N(INDEX(Parameter!$I$5:$I$7,BT569)),0),0)</f>
        <v>0</v>
      </c>
      <c r="CD569" s="59" t="n">
        <f aca="false">IF(AND(Parameter!$B$21="Ja",ISNUMBER(U569),N(V569)&gt;0),IFERROR(N(INDEX(Parameter!$L$5:$L$7,U569))*INDEX(Parameter!$E$5:$E$7,U569)*V569/SUMIFS($V$7:$V$1576,$U$7:$U$1576,U569),0),0)</f>
        <v>0</v>
      </c>
    </row>
    <row r="570" customFormat="false" ht="15" hidden="false" customHeight="false" outlineLevel="0" collapsed="false">
      <c r="A570" s="55" t="s">
        <v>1191</v>
      </c>
      <c r="B570" s="55" t="s">
        <v>395</v>
      </c>
      <c r="C570" s="55" t="s">
        <v>160</v>
      </c>
      <c r="D570" s="55" t="s">
        <v>178</v>
      </c>
      <c r="E570" s="55" t="s">
        <v>210</v>
      </c>
      <c r="F570" s="56" t="n">
        <v>0.11</v>
      </c>
      <c r="G570" s="57" t="n">
        <f aca="false">MAX(0,IF(AND(Parameter!$B$21="Ja",ISNUMBER(W570)),W570,IF(Parameter!$B$20="Jahresanfang 2025 + Export",BJ570+BI570,BI570)))</f>
        <v>34</v>
      </c>
      <c r="H570" s="57" t="n">
        <f aca="false">G570*F570</f>
        <v>3.74</v>
      </c>
      <c r="I570" s="57" t="n">
        <f aca="false">BL570*Parameter!$B$18</f>
        <v>198</v>
      </c>
      <c r="J570" s="58" t="n">
        <v>164</v>
      </c>
      <c r="K570" s="59" t="n">
        <v>1.20731707317073</v>
      </c>
      <c r="L570" s="57" t="n">
        <v>11</v>
      </c>
      <c r="M570" s="57" t="n">
        <v>200</v>
      </c>
      <c r="N570" s="60" t="n">
        <v>21</v>
      </c>
      <c r="O570" s="55" t="s">
        <v>411</v>
      </c>
      <c r="P570" s="57" t="n">
        <v>304</v>
      </c>
      <c r="Q570" s="60" t="n">
        <f aca="false">IF(BR570=1,0,IFERROR(VLOOKUP(BP570,'Gebinde-Kategorie'!$A$5:$M$45,13,0)+0,0))</f>
        <v>132</v>
      </c>
      <c r="R570" s="61"/>
      <c r="S570" s="62"/>
      <c r="T570" s="62"/>
      <c r="U570" s="55"/>
      <c r="V570" s="57"/>
      <c r="W570" s="57"/>
      <c r="X570" s="55" t="n">
        <f aca="false">IF(A570="","",IF(AND(Parameter!$B$21="Ja",ISNUMBER(U570)),U570,IF(IFERROR(VLOOKUP(D570,Parameter!$A$35:$C$64,2,0),"Nein")="2+3",IF(ISNUMBER(SEARCH("grosser Artikel",BM570)),2,IFERROR(VLOOKUP(BP570,Parameter!$F$35:$G$64,2,0),2)),IF(OR(IFERROR(VLOOKUP(D570,Parameter!$A$35:$C$64,2,0),"Nein")="Nein",IFERROR(VLOOKUP(D570,Parameter!$A$35:$C$64,2,0),"Nein")=""),"-",VLOOKUP(D570,Parameter!$A$35:$C$64,2,0)))))</f>
        <v>3</v>
      </c>
      <c r="Y570" s="62"/>
      <c r="Z570" s="63"/>
      <c r="AA570" s="57" t="n">
        <f aca="false">AP570</f>
        <v>304</v>
      </c>
      <c r="AB570" s="57" t="n">
        <f aca="false">MAX(AP570,G570)</f>
        <v>304</v>
      </c>
      <c r="AC570" s="64"/>
      <c r="AD570" s="57" t="n">
        <f aca="false">IF(LEFT(Cockpit!$C$5,1)="A",G570,IF(BW570=1,BX570,IF(LEFT(Cockpit!$C$5,1)="B",AH570,MAX(AH570,G570))))</f>
        <v>34</v>
      </c>
      <c r="AE570" s="57" t="n">
        <f aca="false">IF(BR570=1,0,ROUNDUP(AD570/BQ570,0))</f>
        <v>1</v>
      </c>
      <c r="AF570" s="59" t="n">
        <f aca="false">IF(CD570&gt;0,CD570*MAX(1,AD570/V570),IF(BR570=1,IF(AD570&lt;=0,0,BS570*MAX(1,IF(G570&gt;0,AD570/G570,1))),IF(Q570&gt;0,AE570/Q570,0))/MAX(0.1,N(Parameter!$M$21)))</f>
        <v>0.00757575757575758</v>
      </c>
      <c r="AG570" s="57" t="n">
        <f aca="false">AD570*F570</f>
        <v>3.74</v>
      </c>
      <c r="AH570" s="57" t="n">
        <f aca="false">ROUNDUP(MAX(I570/IF(BV570&gt;0,BV570,MAX(0.1,N(Cockpit!$C$6))),BY570)/BQ570,0)*BQ570</f>
        <v>304</v>
      </c>
      <c r="AI570" s="58" t="n">
        <f aca="false">IF(AF570&gt;0,I570/AF570,-1)</f>
        <v>26136</v>
      </c>
      <c r="AJ570" s="58" t="n">
        <f aca="false">IF(AND(OR(BU570="L1",BU570="L23"),AF570&gt;0),SUMIFS($AF$7:$AF$1576,$BU$7:$BU$1576,BU570,$AI$7:$AI$1576,"&gt;"&amp;AI570)+SUMIFS($AF$7:$AF$1576,$BU$7:$BU$1576,BU570,$AI$7:$AI$1576,AI570,$BO$7:$BO$1576,"&lt;="&amp;BO570),"")</f>
        <v>1.63213236039323</v>
      </c>
      <c r="AK570" s="65" t="n">
        <f aca="false">IF(AJ570="",0,MAX(0,MIN(1,(IF(BU570="L1",Parameter!$E$5,Parameter!$E$6+Parameter!$E$7)-(AJ570-AF570))/AF570)))</f>
        <v>1</v>
      </c>
      <c r="AL570" s="57" t="n">
        <f aca="false">IF(LEFT(Cockpit!$I$5,1)="A",G570,IF(BW570=1,BX570,IF(LEFT(Cockpit!$I$5,1)="B",AP570,MAX(AP570,G570))))</f>
        <v>304</v>
      </c>
      <c r="AM570" s="57" t="n">
        <f aca="false">IF(BR570=1,0,ROUNDUP(AL570/BQ570,0))</f>
        <v>1</v>
      </c>
      <c r="AN570" s="59" t="n">
        <f aca="false">IF(CD570&gt;0,CD570*MAX(1,AL570/V570),IF(BR570=1,IF(AL570&lt;=0,0,BS570*MAX(1,IF(G570&gt;0,AL570/G570,1))),IF(Q570&gt;0,AM570/Q570,0))/MAX(0.1,N(Parameter!$M$21)))</f>
        <v>0.00757575757575758</v>
      </c>
      <c r="AO570" s="57" t="n">
        <f aca="false">AL570*F570</f>
        <v>33.44</v>
      </c>
      <c r="AP570" s="57" t="n">
        <f aca="false">ROUNDUP(MAX(I570/IF(BV570&gt;0,BV570,MAX(0.1,N(Cockpit!$I$6))),BY570)/BQ570,0)*BQ570</f>
        <v>304</v>
      </c>
      <c r="AQ570" s="58" t="n">
        <f aca="false">IF(AN570&gt;0,I570/AN570,-1)</f>
        <v>26136</v>
      </c>
      <c r="AR570" s="58" t="n">
        <f aca="false">IF(AND(OR(BU570="L1",BU570="L23"),AN570&gt;0),SUMIFS($AN$7:$AN$1576,$BU$7:$BU$1576,BU570,$AQ$7:$AQ$1576,"&gt;"&amp;AQ570)+SUMIFS($AN$7:$AN$1576,$BU$7:$BU$1576,BU570,$AQ$7:$AQ$1576,AQ570,$BO$7:$BO$1576,"&lt;="&amp;BO570),"")</f>
        <v>3.22802810715854</v>
      </c>
      <c r="AS570" s="65" t="n">
        <f aca="false">IF(AR570="",0,MAX(0,MIN(1,(IF(BU570="L1",Parameter!$E$5,Parameter!$E$6+Parameter!$E$7)-(AR570-AN570))/AN570)))</f>
        <v>1</v>
      </c>
      <c r="AT570" s="57" t="n">
        <f aca="false">IF(LEFT(Cockpit!$O$5,1)="A",G570,IF(BW570=1,BX570,IF(LEFT(Cockpit!$O$5,1)="B",AX570,MAX(AX570,G570))))</f>
        <v>304</v>
      </c>
      <c r="AU570" s="57" t="n">
        <f aca="false">IF(BR570=1,0,ROUNDUP(AT570/BQ570,0))</f>
        <v>1</v>
      </c>
      <c r="AV570" s="59" t="n">
        <f aca="false">IF(CD570&gt;0,CD570*MAX(1,AT570/V570),IF(BR570=1,IF(AT570&lt;=0,0,BS570*MAX(1,IF(G570&gt;0,AT570/G570,1))),IF(Q570&gt;0,AU570/Q570,0))/MAX(0.1,N(Parameter!$M$21)))</f>
        <v>0.00757575757575758</v>
      </c>
      <c r="AW570" s="57" t="n">
        <f aca="false">AT570*F570</f>
        <v>33.44</v>
      </c>
      <c r="AX570" s="57" t="n">
        <f aca="false">ROUNDUP(MAX(I570/IF(BV570&gt;0,BV570,MAX(0.1,N(Cockpit!$O$6))),BY570)/BQ570,0)*BQ570</f>
        <v>304</v>
      </c>
      <c r="AY570" s="58" t="n">
        <f aca="false">IF(AV570&gt;0,I570/AV570,-1)</f>
        <v>26136</v>
      </c>
      <c r="AZ570" s="58" t="n">
        <f aca="false">IF(AND(OR(BU570="L1",BU570="L23"),AV570&gt;0),SUMIFS($AV$7:$AV$1576,$BU$7:$BU$1576,BU570,$AY$7:$AY$1576,"&gt;"&amp;AY570)+SUMIFS($AV$7:$AV$1576,$BU$7:$BU$1576,BU570,$AY$7:$AY$1576,AY570,$BO$7:$BO$1576,"&lt;="&amp;BO570),"")</f>
        <v>2.99609337522381</v>
      </c>
      <c r="BA570" s="65" t="n">
        <f aca="false">IF(AZ570="",0,MAX(0,MIN(1,(IF(BU570="L1",Parameter!$E$5,Parameter!$E$6+Parameter!$E$7)-(AZ570-AV570))/AV570)))</f>
        <v>1</v>
      </c>
      <c r="BB570" s="55" t="str">
        <f aca="false">IF(AF570&lt;=0,"",IF(BU570="Aussen","Aussenlager",IF(BU570="-","Nicht im Lift",IF(AK570&gt;=1,"Lift",IF(AK570&lt;=0,"Aussenlager","teilweise")))))</f>
        <v>Lift</v>
      </c>
      <c r="BC570" s="55" t="str">
        <f aca="false">IF(AN570&lt;=0,"",IF(BU570="Aussen","Aussenlager",IF(BU570="-","Nicht im Lift",IF(AS570&gt;=1,"Lift",IF(AS570&lt;=0,"Aussenlager","teilweise")))))</f>
        <v>Lift</v>
      </c>
      <c r="BD570" s="55" t="str">
        <f aca="false">IF(AV570&lt;=0,"",IF(BU570="Aussen","Aussenlager",IF(BU570="-","Nicht im Lift",IF(BA570&gt;=1,"Lift",IF(BA570&lt;=0,"Aussenlager","teilweise")))))</f>
        <v>Lift</v>
      </c>
      <c r="BE570" s="55" t="str">
        <f aca="false">IF(A570="","",IF(BN570=1,"Neu; ","")&amp;IF(AND(BN570=0,BI570&lt;0),"negativer Bestand (Export "&amp;BI570&amp;"); ","")&amp;IF(I570&lt;=0,"Kein Verbrauch; ","")&amp;IF(CD570&gt;0,"Lift "&amp;U570&amp;" lt. Liftbericht (Fach "&amp;V570&amp;" Stk); ",IF(BR570=1,"Lose – Fläche geschätzt; ",""))&amp;IF(G570&gt;AP570,"Überbestand "&amp;ROUND(G570-AP570,0)&amp;" Stk / CHF "&amp;ROUND((G570-AP570)*F570,0)&amp;"; ","")&amp;IF(AND(BW570=1,BX570&lt;BY570),"MAX &lt; MB+LG; ","")&amp;IF(AND(CC570&gt;0,CB570*10&gt;CC570),"zu hoch für Tablar; ","")&amp;IF(AND(BN570=0,OR(BW570=1,Y570&lt;&gt;"",S570&lt;&gt;"",T570&lt;&gt;"",Z570&lt;&gt;"")),"manuell übersteuert; ","")&amp;IF(AND(BR570=0,Q570=0),"Gebinde unbekannt / Stellmass fehlt; ","")&amp;IF(AND(BR570=0,N(T570)&lt;=0,N(P570)&lt;=0),"Menge pro Gebinde fehlt (Ist = 1 Gebinde); ","")&amp;BM570)</f>
        <v/>
      </c>
      <c r="BF570" s="55"/>
      <c r="BG570" s="55"/>
      <c r="BH570" s="62"/>
      <c r="BI570" s="57" t="n">
        <v>34</v>
      </c>
      <c r="BJ570" s="57" t="n">
        <v>160</v>
      </c>
      <c r="BK570" s="56" t="n">
        <v>11.74</v>
      </c>
      <c r="BL570" s="57" t="n">
        <v>198</v>
      </c>
      <c r="BM570" s="55"/>
      <c r="BN570" s="60" t="n">
        <v>0</v>
      </c>
      <c r="BO570" s="60" t="n">
        <v>570</v>
      </c>
      <c r="BP570" s="55" t="str">
        <f aca="false">IF(S570&lt;&gt;"",UPPER(TRIM(S570)),IF(O570="","LOSE",O570))</f>
        <v>S32</v>
      </c>
      <c r="BQ570" s="57" t="n">
        <f aca="false">IF(BP570="LOSE",1,IF(N(T570)&gt;0,T570,IF(N(P570)&gt;0,P570,MAX(1,G570))))</f>
        <v>304</v>
      </c>
      <c r="BR570" s="60" t="n">
        <f aca="false">IF(BP570="LOSE",1,0)</f>
        <v>0</v>
      </c>
      <c r="BS570" s="59" t="n">
        <f aca="false">IF(BR570=0,0,IF(N(R570)&gt;0,R570,IFERROR(VLOOKUP(D570,Parameter!$A$35:$C$64,3,0)+0,0)))</f>
        <v>0</v>
      </c>
      <c r="BT570" s="55" t="n">
        <f aca="false">IF(Y570&lt;&gt;"",Y570,X570)</f>
        <v>3</v>
      </c>
      <c r="BU570" s="55" t="str">
        <f aca="false">IF(BT570=1,"L1",IF(OR(BT570=2,BT570=3),"L23",IF(BT570="Aussen","Aussen","-")))</f>
        <v>L23</v>
      </c>
      <c r="BV570" s="66" t="n">
        <f aca="false">IF(N(Z570)&gt;0,Z570,0)</f>
        <v>0</v>
      </c>
      <c r="BW570" s="60" t="n">
        <f aca="false">IF(ISNUMBER(AC570),1,0)</f>
        <v>0</v>
      </c>
      <c r="BX570" s="57" t="n">
        <f aca="false">N(AC570)</f>
        <v>0</v>
      </c>
      <c r="BY570" s="57" t="n">
        <f aca="false">N(L570)+N(M570)</f>
        <v>211</v>
      </c>
      <c r="BZ570" s="57" t="n">
        <f aca="false">ROUNDUP(G570/BQ570,0)</f>
        <v>1</v>
      </c>
      <c r="CA570" s="57" t="n">
        <f aca="false">ROUNDUP(BX570/BQ570,0)</f>
        <v>0</v>
      </c>
      <c r="CB570" s="60" t="n">
        <f aca="false">IF(BR570=1,0,IFERROR(VLOOKUP(BP570,'Gebinde-Kategorie'!$A$5:$M$45,5,0)+0,0))</f>
        <v>8</v>
      </c>
      <c r="CC570" s="60" t="n">
        <f aca="false">IFERROR(IF(OR(BT570=1,BT570=2,BT570=3),N(INDEX(Parameter!$I$5:$I$7,BT570)),0),0)</f>
        <v>0</v>
      </c>
      <c r="CD570" s="59" t="n">
        <f aca="false">IF(AND(Parameter!$B$21="Ja",ISNUMBER(U570),N(V570)&gt;0),IFERROR(N(INDEX(Parameter!$L$5:$L$7,U570))*INDEX(Parameter!$E$5:$E$7,U570)*V570/SUMIFS($V$7:$V$1576,$U$7:$U$1576,U570),0),0)</f>
        <v>0</v>
      </c>
    </row>
    <row r="571" customFormat="false" ht="15" hidden="false" customHeight="false" outlineLevel="0" collapsed="false">
      <c r="A571" s="55" t="s">
        <v>1192</v>
      </c>
      <c r="B571" s="55" t="s">
        <v>395</v>
      </c>
      <c r="C571" s="55" t="s">
        <v>160</v>
      </c>
      <c r="D571" s="55" t="s">
        <v>178</v>
      </c>
      <c r="E571" s="55" t="s">
        <v>210</v>
      </c>
      <c r="F571" s="56" t="n">
        <v>0.15</v>
      </c>
      <c r="G571" s="57" t="n">
        <f aca="false">MAX(0,IF(AND(Parameter!$B$21="Ja",ISNUMBER(W571)),W571,IF(Parameter!$B$20="Jahresanfang 2025 + Export",BJ571+BI571,BI571)))</f>
        <v>77</v>
      </c>
      <c r="H571" s="57" t="n">
        <f aca="false">G571*F571</f>
        <v>11.55</v>
      </c>
      <c r="I571" s="57" t="n">
        <f aca="false">BL571*Parameter!$B$18</f>
        <v>368</v>
      </c>
      <c r="J571" s="58" t="n">
        <v>177</v>
      </c>
      <c r="K571" s="59" t="n">
        <v>2.07909604519774</v>
      </c>
      <c r="L571" s="57" t="n">
        <v>14</v>
      </c>
      <c r="M571" s="57" t="n">
        <v>400</v>
      </c>
      <c r="N571" s="60" t="n">
        <v>14</v>
      </c>
      <c r="O571" s="55" t="s">
        <v>225</v>
      </c>
      <c r="P571" s="57" t="n">
        <v>400</v>
      </c>
      <c r="Q571" s="60" t="n">
        <f aca="false">IF(BR571=1,0,IFERROR(VLOOKUP(BP571,'Gebinde-Kategorie'!$A$5:$M$45,13,0)+0,0))</f>
        <v>26</v>
      </c>
      <c r="R571" s="61"/>
      <c r="S571" s="62"/>
      <c r="T571" s="62"/>
      <c r="U571" s="55"/>
      <c r="V571" s="57"/>
      <c r="W571" s="57"/>
      <c r="X571" s="55" t="n">
        <f aca="false">IF(A571="","",IF(AND(Parameter!$B$21="Ja",ISNUMBER(U571)),U571,IF(IFERROR(VLOOKUP(D571,Parameter!$A$35:$C$64,2,0),"Nein")="2+3",IF(ISNUMBER(SEARCH("grosser Artikel",BM571)),2,IFERROR(VLOOKUP(BP571,Parameter!$F$35:$G$64,2,0),2)),IF(OR(IFERROR(VLOOKUP(D571,Parameter!$A$35:$C$64,2,0),"Nein")="Nein",IFERROR(VLOOKUP(D571,Parameter!$A$35:$C$64,2,0),"Nein")=""),"-",VLOOKUP(D571,Parameter!$A$35:$C$64,2,0)))))</f>
        <v>3</v>
      </c>
      <c r="Y571" s="62"/>
      <c r="Z571" s="63"/>
      <c r="AA571" s="57" t="n">
        <f aca="false">AP571</f>
        <v>800</v>
      </c>
      <c r="AB571" s="57" t="n">
        <f aca="false">MAX(AP571,G571)</f>
        <v>800</v>
      </c>
      <c r="AC571" s="64"/>
      <c r="AD571" s="57" t="n">
        <f aca="false">IF(LEFT(Cockpit!$C$5,1)="A",G571,IF(BW571=1,BX571,IF(LEFT(Cockpit!$C$5,1)="B",AH571,MAX(AH571,G571))))</f>
        <v>77</v>
      </c>
      <c r="AE571" s="57" t="n">
        <f aca="false">IF(BR571=1,0,ROUNDUP(AD571/BQ571,0))</f>
        <v>1</v>
      </c>
      <c r="AF571" s="59" t="n">
        <f aca="false">IF(CD571&gt;0,CD571*MAX(1,AD571/V571),IF(BR571=1,IF(AD571&lt;=0,0,BS571*MAX(1,IF(G571&gt;0,AD571/G571,1))),IF(Q571&gt;0,AE571/Q571,0))/MAX(0.1,N(Parameter!$M$21)))</f>
        <v>0.0384615384615385</v>
      </c>
      <c r="AG571" s="57" t="n">
        <f aca="false">AD571*F571</f>
        <v>11.55</v>
      </c>
      <c r="AH571" s="57" t="n">
        <f aca="false">ROUNDUP(MAX(I571/IF(BV571&gt;0,BV571,MAX(0.1,N(Cockpit!$C$6))),BY571)/BQ571,0)*BQ571</f>
        <v>800</v>
      </c>
      <c r="AI571" s="58" t="n">
        <f aca="false">IF(AF571&gt;0,I571/AF571,-1)</f>
        <v>9568</v>
      </c>
      <c r="AJ571" s="58" t="n">
        <f aca="false">IF(AND(OR(BU571="L1",BU571="L23"),AF571&gt;0),SUMIFS($AF$7:$AF$1576,$BU$7:$BU$1576,BU571,$AI$7:$AI$1576,"&gt;"&amp;AI571)+SUMIFS($AF$7:$AF$1576,$BU$7:$BU$1576,BU571,$AI$7:$AI$1576,AI571,$BO$7:$BO$1576,"&lt;="&amp;BO571),"")</f>
        <v>2.71394547481504</v>
      </c>
      <c r="AK571" s="65" t="n">
        <f aca="false">IF(AJ571="",0,MAX(0,MIN(1,(IF(BU571="L1",Parameter!$E$5,Parameter!$E$6+Parameter!$E$7)-(AJ571-AF571))/AF571)))</f>
        <v>1</v>
      </c>
      <c r="AL571" s="57" t="n">
        <f aca="false">IF(LEFT(Cockpit!$I$5,1)="A",G571,IF(BW571=1,BX571,IF(LEFT(Cockpit!$I$5,1)="B",AP571,MAX(AP571,G571))))</f>
        <v>800</v>
      </c>
      <c r="AM571" s="57" t="n">
        <f aca="false">IF(BR571=1,0,ROUNDUP(AL571/BQ571,0))</f>
        <v>2</v>
      </c>
      <c r="AN571" s="59" t="n">
        <f aca="false">IF(CD571&gt;0,CD571*MAX(1,AL571/V571),IF(BR571=1,IF(AL571&lt;=0,0,BS571*MAX(1,IF(G571&gt;0,AL571/G571,1))),IF(Q571&gt;0,AM571/Q571,0))/MAX(0.1,N(Parameter!$M$21)))</f>
        <v>0.0769230769230769</v>
      </c>
      <c r="AO571" s="57" t="n">
        <f aca="false">AL571*F571</f>
        <v>120</v>
      </c>
      <c r="AP571" s="57" t="n">
        <f aca="false">ROUNDUP(MAX(I571/IF(BV571&gt;0,BV571,MAX(0.1,N(Cockpit!$I$6))),BY571)/BQ571,0)*BQ571</f>
        <v>800</v>
      </c>
      <c r="AQ571" s="58" t="n">
        <f aca="false">IF(AN571&gt;0,I571/AN571,-1)</f>
        <v>4784</v>
      </c>
      <c r="AR571" s="58" t="n">
        <f aca="false">IF(AND(OR(BU571="L1",BU571="L23"),AN571&gt;0),SUMIFS($AN$7:$AN$1576,$BU$7:$BU$1576,BU571,$AQ$7:$AQ$1576,"&gt;"&amp;AQ571)+SUMIFS($AN$7:$AN$1576,$BU$7:$BU$1576,BU571,$AQ$7:$AQ$1576,AQ571,$BO$7:$BO$1576,"&lt;="&amp;BO571),"")</f>
        <v>11.6756399885139</v>
      </c>
      <c r="AS571" s="65" t="n">
        <f aca="false">IF(AR571="",0,MAX(0,MIN(1,(IF(BU571="L1",Parameter!$E$5,Parameter!$E$6+Parameter!$E$7)-(AR571-AN571))/AN571)))</f>
        <v>1</v>
      </c>
      <c r="AT571" s="57" t="n">
        <f aca="false">IF(LEFT(Cockpit!$O$5,1)="A",G571,IF(BW571=1,BX571,IF(LEFT(Cockpit!$O$5,1)="B",AX571,MAX(AX571,G571))))</f>
        <v>800</v>
      </c>
      <c r="AU571" s="57" t="n">
        <f aca="false">IF(BR571=1,0,ROUNDUP(AT571/BQ571,0))</f>
        <v>2</v>
      </c>
      <c r="AV571" s="59" t="n">
        <f aca="false">IF(CD571&gt;0,CD571*MAX(1,AT571/V571),IF(BR571=1,IF(AT571&lt;=0,0,BS571*MAX(1,IF(G571&gt;0,AT571/G571,1))),IF(Q571&gt;0,AU571/Q571,0))/MAX(0.1,N(Parameter!$M$21)))</f>
        <v>0.0769230769230769</v>
      </c>
      <c r="AW571" s="57" t="n">
        <f aca="false">AT571*F571</f>
        <v>120</v>
      </c>
      <c r="AX571" s="57" t="n">
        <f aca="false">ROUNDUP(MAX(I571/IF(BV571&gt;0,BV571,MAX(0.1,N(Cockpit!$O$6))),BY571)/BQ571,0)*BQ571</f>
        <v>800</v>
      </c>
      <c r="AY571" s="58" t="n">
        <f aca="false">IF(AV571&gt;0,I571/AV571,-1)</f>
        <v>4784</v>
      </c>
      <c r="AZ571" s="58" t="n">
        <f aca="false">IF(AND(OR(BU571="L1",BU571="L23"),AV571&gt;0),SUMIFS($AV$7:$AV$1576,$BU$7:$BU$1576,BU571,$AY$7:$AY$1576,"&gt;"&amp;AY571)+SUMIFS($AV$7:$AV$1576,$BU$7:$BU$1576,BU571,$AY$7:$AY$1576,AY571,$BO$7:$BO$1576,"&lt;="&amp;BO571),"")</f>
        <v>10.8965024593764</v>
      </c>
      <c r="BA571" s="65" t="n">
        <f aca="false">IF(AZ571="",0,MAX(0,MIN(1,(IF(BU571="L1",Parameter!$E$5,Parameter!$E$6+Parameter!$E$7)-(AZ571-AV571))/AV571)))</f>
        <v>1</v>
      </c>
      <c r="BB571" s="55" t="str">
        <f aca="false">IF(AF571&lt;=0,"",IF(BU571="Aussen","Aussenlager",IF(BU571="-","Nicht im Lift",IF(AK571&gt;=1,"Lift",IF(AK571&lt;=0,"Aussenlager","teilweise")))))</f>
        <v>Lift</v>
      </c>
      <c r="BC571" s="55" t="str">
        <f aca="false">IF(AN571&lt;=0,"",IF(BU571="Aussen","Aussenlager",IF(BU571="-","Nicht im Lift",IF(AS571&gt;=1,"Lift",IF(AS571&lt;=0,"Aussenlager","teilweise")))))</f>
        <v>Lift</v>
      </c>
      <c r="BD571" s="55" t="str">
        <f aca="false">IF(AV571&lt;=0,"",IF(BU571="Aussen","Aussenlager",IF(BU571="-","Nicht im Lift",IF(BA571&gt;=1,"Lift",IF(BA571&lt;=0,"Aussenlager","teilweise")))))</f>
        <v>Lift</v>
      </c>
      <c r="BE571" s="55" t="str">
        <f aca="false">IF(A571="","",IF(BN571=1,"Neu; ","")&amp;IF(AND(BN571=0,BI571&lt;0),"negativer Bestand (Export "&amp;BI571&amp;"); ","")&amp;IF(I571&lt;=0,"Kein Verbrauch; ","")&amp;IF(CD571&gt;0,"Lift "&amp;U571&amp;" lt. Liftbericht (Fach "&amp;V571&amp;" Stk); ",IF(BR571=1,"Lose – Fläche geschätzt; ",""))&amp;IF(G571&gt;AP571,"Überbestand "&amp;ROUND(G571-AP571,0)&amp;" Stk / CHF "&amp;ROUND((G571-AP571)*F571,0)&amp;"; ","")&amp;IF(AND(BW571=1,BX571&lt;BY571),"MAX &lt; MB+LG; ","")&amp;IF(AND(CC571&gt;0,CB571*10&gt;CC571),"zu hoch für Tablar; ","")&amp;IF(AND(BN571=0,OR(BW571=1,Y571&lt;&gt;"",S571&lt;&gt;"",T571&lt;&gt;"",Z571&lt;&gt;"")),"manuell übersteuert; ","")&amp;IF(AND(BR571=0,Q571=0),"Gebinde unbekannt / Stellmass fehlt; ","")&amp;IF(AND(BR571=0,N(T571)&lt;=0,N(P571)&lt;=0),"Menge pro Gebinde fehlt (Ist = 1 Gebinde); ","")&amp;BM571)</f>
        <v>nicht im KTL vorhanden</v>
      </c>
      <c r="BF571" s="55"/>
      <c r="BG571" s="55"/>
      <c r="BH571" s="62"/>
      <c r="BI571" s="57" t="n">
        <v>77</v>
      </c>
      <c r="BJ571" s="57" t="n">
        <v>301</v>
      </c>
      <c r="BK571" s="56" t="n">
        <v>11.55</v>
      </c>
      <c r="BL571" s="57" t="n">
        <v>368</v>
      </c>
      <c r="BM571" s="55" t="s">
        <v>222</v>
      </c>
      <c r="BN571" s="60" t="n">
        <v>0</v>
      </c>
      <c r="BO571" s="60" t="n">
        <v>571</v>
      </c>
      <c r="BP571" s="55" t="str">
        <f aca="false">IF(S571&lt;&gt;"",UPPER(TRIM(S571)),IF(O571="","LOSE",O571))</f>
        <v>S52</v>
      </c>
      <c r="BQ571" s="57" t="n">
        <f aca="false">IF(BP571="LOSE",1,IF(N(T571)&gt;0,T571,IF(N(P571)&gt;0,P571,MAX(1,G571))))</f>
        <v>400</v>
      </c>
      <c r="BR571" s="60" t="n">
        <f aca="false">IF(BP571="LOSE",1,0)</f>
        <v>0</v>
      </c>
      <c r="BS571" s="59" t="n">
        <f aca="false">IF(BR571=0,0,IF(N(R571)&gt;0,R571,IFERROR(VLOOKUP(D571,Parameter!$A$35:$C$64,3,0)+0,0)))</f>
        <v>0</v>
      </c>
      <c r="BT571" s="55" t="n">
        <f aca="false">IF(Y571&lt;&gt;"",Y571,X571)</f>
        <v>3</v>
      </c>
      <c r="BU571" s="55" t="str">
        <f aca="false">IF(BT571=1,"L1",IF(OR(BT571=2,BT571=3),"L23",IF(BT571="Aussen","Aussen","-")))</f>
        <v>L23</v>
      </c>
      <c r="BV571" s="66" t="n">
        <f aca="false">IF(N(Z571)&gt;0,Z571,0)</f>
        <v>0</v>
      </c>
      <c r="BW571" s="60" t="n">
        <f aca="false">IF(ISNUMBER(AC571),1,0)</f>
        <v>0</v>
      </c>
      <c r="BX571" s="57" t="n">
        <f aca="false">N(AC571)</f>
        <v>0</v>
      </c>
      <c r="BY571" s="57" t="n">
        <f aca="false">N(L571)+N(M571)</f>
        <v>414</v>
      </c>
      <c r="BZ571" s="57" t="n">
        <f aca="false">ROUNDUP(G571/BQ571,0)</f>
        <v>1</v>
      </c>
      <c r="CA571" s="57" t="n">
        <f aca="false">ROUNDUP(BX571/BQ571,0)</f>
        <v>0</v>
      </c>
      <c r="CB571" s="60" t="n">
        <f aca="false">IF(BR571=1,0,IFERROR(VLOOKUP(BP571,'Gebinde-Kategorie'!$A$5:$M$45,5,0)+0,0))</f>
        <v>21</v>
      </c>
      <c r="CC571" s="60" t="n">
        <f aca="false">IFERROR(IF(OR(BT571=1,BT571=2,BT571=3),N(INDEX(Parameter!$I$5:$I$7,BT571)),0),0)</f>
        <v>0</v>
      </c>
      <c r="CD571" s="59" t="n">
        <f aca="false">IF(AND(Parameter!$B$21="Ja",ISNUMBER(U571),N(V571)&gt;0),IFERROR(N(INDEX(Parameter!$L$5:$L$7,U571))*INDEX(Parameter!$E$5:$E$7,U571)*V571/SUMIFS($V$7:$V$1576,$U$7:$U$1576,U571),0),0)</f>
        <v>0</v>
      </c>
    </row>
    <row r="572" customFormat="false" ht="15" hidden="false" customHeight="false" outlineLevel="0" collapsed="false">
      <c r="A572" s="55" t="s">
        <v>1193</v>
      </c>
      <c r="B572" s="55" t="s">
        <v>1194</v>
      </c>
      <c r="C572" s="55" t="s">
        <v>160</v>
      </c>
      <c r="D572" s="55" t="s">
        <v>178</v>
      </c>
      <c r="E572" s="55" t="s">
        <v>210</v>
      </c>
      <c r="F572" s="56" t="n">
        <v>0.05</v>
      </c>
      <c r="G572" s="57" t="n">
        <f aca="false">MAX(0,IF(AND(Parameter!$B$21="Ja",ISNUMBER(W572)),W572,IF(Parameter!$B$20="Jahresanfang 2025 + Export",BJ572+BI572,BI572)))</f>
        <v>0</v>
      </c>
      <c r="H572" s="57" t="n">
        <f aca="false">G572*F572</f>
        <v>0</v>
      </c>
      <c r="I572" s="57" t="n">
        <f aca="false">BL572*Parameter!$B$18</f>
        <v>500</v>
      </c>
      <c r="J572" s="58" t="n">
        <v>959.5</v>
      </c>
      <c r="K572" s="59" t="n">
        <v>0.521104742053153</v>
      </c>
      <c r="L572" s="57" t="n">
        <v>29</v>
      </c>
      <c r="M572" s="57" t="n">
        <v>500</v>
      </c>
      <c r="N572" s="60" t="n">
        <v>21</v>
      </c>
      <c r="O572" s="55" t="s">
        <v>416</v>
      </c>
      <c r="P572" s="57" t="n">
        <v>415</v>
      </c>
      <c r="Q572" s="60" t="n">
        <f aca="false">IF(BR572=1,0,IFERROR(VLOOKUP(BP572,'Gebinde-Kategorie'!$A$5:$M$45,13,0)+0,0))</f>
        <v>198</v>
      </c>
      <c r="R572" s="61"/>
      <c r="S572" s="62"/>
      <c r="T572" s="62"/>
      <c r="U572" s="55"/>
      <c r="V572" s="57"/>
      <c r="W572" s="57"/>
      <c r="X572" s="55" t="n">
        <f aca="false">IF(A572="","",IF(AND(Parameter!$B$21="Ja",ISNUMBER(U572)),U572,IF(IFERROR(VLOOKUP(D572,Parameter!$A$35:$C$64,2,0),"Nein")="2+3",IF(ISNUMBER(SEARCH("grosser Artikel",BM572)),2,IFERROR(VLOOKUP(BP572,Parameter!$F$35:$G$64,2,0),2)),IF(OR(IFERROR(VLOOKUP(D572,Parameter!$A$35:$C$64,2,0),"Nein")="Nein",IFERROR(VLOOKUP(D572,Parameter!$A$35:$C$64,2,0),"Nein")=""),"-",VLOOKUP(D572,Parameter!$A$35:$C$64,2,0)))))</f>
        <v>3</v>
      </c>
      <c r="Y572" s="62"/>
      <c r="Z572" s="63"/>
      <c r="AA572" s="57" t="n">
        <f aca="false">AP572</f>
        <v>830</v>
      </c>
      <c r="AB572" s="57" t="n">
        <f aca="false">MAX(AP572,G572)</f>
        <v>830</v>
      </c>
      <c r="AC572" s="64"/>
      <c r="AD572" s="57" t="n">
        <f aca="false">IF(LEFT(Cockpit!$C$5,1)="A",G572,IF(BW572=1,BX572,IF(LEFT(Cockpit!$C$5,1)="B",AH572,MAX(AH572,G572))))</f>
        <v>0</v>
      </c>
      <c r="AE572" s="57" t="n">
        <f aca="false">IF(BR572=1,0,ROUNDUP(AD572/BQ572,0))</f>
        <v>0</v>
      </c>
      <c r="AF572" s="59" t="n">
        <f aca="false">IF(CD572&gt;0,CD572*MAX(1,AD572/V572),IF(BR572=1,IF(AD572&lt;=0,0,BS572*MAX(1,IF(G572&gt;0,AD572/G572,1))),IF(Q572&gt;0,AE572/Q572,0))/MAX(0.1,N(Parameter!$M$21)))</f>
        <v>0</v>
      </c>
      <c r="AG572" s="57" t="n">
        <f aca="false">AD572*F572</f>
        <v>0</v>
      </c>
      <c r="AH572" s="57" t="n">
        <f aca="false">ROUNDUP(MAX(I572/IF(BV572&gt;0,BV572,MAX(0.1,N(Cockpit!$C$6))),BY572)/BQ572,0)*BQ572</f>
        <v>830</v>
      </c>
      <c r="AI572" s="58" t="n">
        <f aca="false">IF(AF572&gt;0,I572/AF572,-1)</f>
        <v>-1</v>
      </c>
      <c r="AJ572" s="58" t="str">
        <f aca="false">IF(AND(OR(BU572="L1",BU572="L23"),AF572&gt;0),SUMIFS($AF$7:$AF$1576,$BU$7:$BU$1576,BU572,$AI$7:$AI$1576,"&gt;"&amp;AI572)+SUMIFS($AF$7:$AF$1576,$BU$7:$BU$1576,BU572,$AI$7:$AI$1576,AI572,$BO$7:$BO$1576,"&lt;="&amp;BO572),"")</f>
        <v/>
      </c>
      <c r="AK572" s="65" t="n">
        <f aca="false">IF(AJ572="",0,MAX(0,MIN(1,(IF(BU572="L1",Parameter!$E$5,Parameter!$E$6+Parameter!$E$7)-(AJ572-AF572))/AF572)))</f>
        <v>0</v>
      </c>
      <c r="AL572" s="57" t="n">
        <f aca="false">IF(LEFT(Cockpit!$I$5,1)="A",G572,IF(BW572=1,BX572,IF(LEFT(Cockpit!$I$5,1)="B",AP572,MAX(AP572,G572))))</f>
        <v>830</v>
      </c>
      <c r="AM572" s="57" t="n">
        <f aca="false">IF(BR572=1,0,ROUNDUP(AL572/BQ572,0))</f>
        <v>2</v>
      </c>
      <c r="AN572" s="59" t="n">
        <f aca="false">IF(CD572&gt;0,CD572*MAX(1,AL572/V572),IF(BR572=1,IF(AL572&lt;=0,0,BS572*MAX(1,IF(G572&gt;0,AL572/G572,1))),IF(Q572&gt;0,AM572/Q572,0))/MAX(0.1,N(Parameter!$M$21)))</f>
        <v>0.0101010101010101</v>
      </c>
      <c r="AO572" s="57" t="n">
        <f aca="false">AL572*F572</f>
        <v>41.5</v>
      </c>
      <c r="AP572" s="57" t="n">
        <f aca="false">ROUNDUP(MAX(I572/IF(BV572&gt;0,BV572,MAX(0.1,N(Cockpit!$I$6))),BY572)/BQ572,0)*BQ572</f>
        <v>830</v>
      </c>
      <c r="AQ572" s="58" t="n">
        <f aca="false">IF(AN572&gt;0,I572/AN572,-1)</f>
        <v>49500</v>
      </c>
      <c r="AR572" s="58" t="n">
        <f aca="false">IF(AND(OR(BU572="L1",BU572="L23"),AN572&gt;0),SUMIFS($AN$7:$AN$1576,$BU$7:$BU$1576,BU572,$AQ$7:$AQ$1576,"&gt;"&amp;AQ572)+SUMIFS($AN$7:$AN$1576,$BU$7:$BU$1576,BU572,$AQ$7:$AQ$1576,AQ572,$BO$7:$BO$1576,"&lt;="&amp;BO572),"")</f>
        <v>1.3159160163508</v>
      </c>
      <c r="AS572" s="65" t="n">
        <f aca="false">IF(AR572="",0,MAX(0,MIN(1,(IF(BU572="L1",Parameter!$E$5,Parameter!$E$6+Parameter!$E$7)-(AR572-AN572))/AN572)))</f>
        <v>1</v>
      </c>
      <c r="AT572" s="57" t="n">
        <f aca="false">IF(LEFT(Cockpit!$O$5,1)="A",G572,IF(BW572=1,BX572,IF(LEFT(Cockpit!$O$5,1)="B",AX572,MAX(AX572,G572))))</f>
        <v>830</v>
      </c>
      <c r="AU572" s="57" t="n">
        <f aca="false">IF(BR572=1,0,ROUNDUP(AT572/BQ572,0))</f>
        <v>2</v>
      </c>
      <c r="AV572" s="59" t="n">
        <f aca="false">IF(CD572&gt;0,CD572*MAX(1,AT572/V572),IF(BR572=1,IF(AT572&lt;=0,0,BS572*MAX(1,IF(G572&gt;0,AT572/G572,1))),IF(Q572&gt;0,AU572/Q572,0))/MAX(0.1,N(Parameter!$M$21)))</f>
        <v>0.0101010101010101</v>
      </c>
      <c r="AW572" s="57" t="n">
        <f aca="false">AT572*F572</f>
        <v>41.5</v>
      </c>
      <c r="AX572" s="57" t="n">
        <f aca="false">ROUNDUP(MAX(I572/IF(BV572&gt;0,BV572,MAX(0.1,N(Cockpit!$O$6))),BY572)/BQ572,0)*BQ572</f>
        <v>830</v>
      </c>
      <c r="AY572" s="58" t="n">
        <f aca="false">IF(AV572&gt;0,I572/AV572,-1)</f>
        <v>49500</v>
      </c>
      <c r="AZ572" s="58" t="n">
        <f aca="false">IF(AND(OR(BU572="L1",BU572="L23"),AV572&gt;0),SUMIFS($AV$7:$AV$1576,$BU$7:$BU$1576,BU572,$AY$7:$AY$1576,"&gt;"&amp;AY572)+SUMIFS($AV$7:$AV$1576,$BU$7:$BU$1576,BU572,$AY$7:$AY$1576,AY572,$BO$7:$BO$1576,"&lt;="&amp;BO572),"")</f>
        <v>1.64517009560488</v>
      </c>
      <c r="BA572" s="65" t="n">
        <f aca="false">IF(AZ572="",0,MAX(0,MIN(1,(IF(BU572="L1",Parameter!$E$5,Parameter!$E$6+Parameter!$E$7)-(AZ572-AV572))/AV572)))</f>
        <v>1</v>
      </c>
      <c r="BB572" s="55" t="str">
        <f aca="false">IF(AF572&lt;=0,"",IF(BU572="Aussen","Aussenlager",IF(BU572="-","Nicht im Lift",IF(AK572&gt;=1,"Lift",IF(AK572&lt;=0,"Aussenlager","teilweise")))))</f>
        <v/>
      </c>
      <c r="BC572" s="55" t="str">
        <f aca="false">IF(AN572&lt;=0,"",IF(BU572="Aussen","Aussenlager",IF(BU572="-","Nicht im Lift",IF(AS572&gt;=1,"Lift",IF(AS572&lt;=0,"Aussenlager","teilweise")))))</f>
        <v>Lift</v>
      </c>
      <c r="BD572" s="55" t="str">
        <f aca="false">IF(AV572&lt;=0,"",IF(BU572="Aussen","Aussenlager",IF(BU572="-","Nicht im Lift",IF(BA572&gt;=1,"Lift",IF(BA572&lt;=0,"Aussenlager","teilweise")))))</f>
        <v>Lift</v>
      </c>
      <c r="BE572" s="55" t="str">
        <f aca="false">IF(A572="","",IF(BN572=1,"Neu; ","")&amp;IF(AND(BN572=0,BI572&lt;0),"negativer Bestand (Export "&amp;BI572&amp;"); ","")&amp;IF(I572&lt;=0,"Kein Verbrauch; ","")&amp;IF(CD572&gt;0,"Lift "&amp;U572&amp;" lt. Liftbericht (Fach "&amp;V572&amp;" Stk); ",IF(BR572=1,"Lose – Fläche geschätzt; ",""))&amp;IF(G572&gt;AP572,"Überbestand "&amp;ROUND(G572-AP572,0)&amp;" Stk / CHF "&amp;ROUND((G572-AP572)*F572,0)&amp;"; ","")&amp;IF(AND(BW572=1,BX572&lt;BY572),"MAX &lt; MB+LG; ","")&amp;IF(AND(CC572&gt;0,CB572*10&gt;CC572),"zu hoch für Tablar; ","")&amp;IF(AND(BN572=0,OR(BW572=1,Y572&lt;&gt;"",S572&lt;&gt;"",T572&lt;&gt;"",Z572&lt;&gt;"")),"manuell übersteuert; ","")&amp;IF(AND(BR572=0,Q572=0),"Gebinde unbekannt / Stellmass fehlt; ","")&amp;IF(AND(BR572=0,N(T572)&lt;=0,N(P572)&lt;=0),"Menge pro Gebinde fehlt (Ist = 1 Gebinde); ","")&amp;BM572)</f>
        <v>negativer Bestand (Export -101); </v>
      </c>
      <c r="BF572" s="55"/>
      <c r="BG572" s="55"/>
      <c r="BH572" s="62"/>
      <c r="BI572" s="57" t="n">
        <v>-101</v>
      </c>
      <c r="BJ572" s="57" t="n">
        <v>804</v>
      </c>
      <c r="BK572" s="56" t="n">
        <v>11.03</v>
      </c>
      <c r="BL572" s="57" t="n">
        <v>500</v>
      </c>
      <c r="BM572" s="55"/>
      <c r="BN572" s="60" t="n">
        <v>0</v>
      </c>
      <c r="BO572" s="60" t="n">
        <v>572</v>
      </c>
      <c r="BP572" s="55" t="str">
        <f aca="false">IF(S572&lt;&gt;"",UPPER(TRIM(S572)),IF(O572="","LOSE",O572))</f>
        <v>S22</v>
      </c>
      <c r="BQ572" s="57" t="n">
        <f aca="false">IF(BP572="LOSE",1,IF(N(T572)&gt;0,T572,IF(N(P572)&gt;0,P572,MAX(1,G572))))</f>
        <v>415</v>
      </c>
      <c r="BR572" s="60" t="n">
        <f aca="false">IF(BP572="LOSE",1,0)</f>
        <v>0</v>
      </c>
      <c r="BS572" s="59" t="n">
        <f aca="false">IF(BR572=0,0,IF(N(R572)&gt;0,R572,IFERROR(VLOOKUP(D572,Parameter!$A$35:$C$64,3,0)+0,0)))</f>
        <v>0</v>
      </c>
      <c r="BT572" s="55" t="n">
        <f aca="false">IF(Y572&lt;&gt;"",Y572,X572)</f>
        <v>3</v>
      </c>
      <c r="BU572" s="55" t="str">
        <f aca="false">IF(BT572=1,"L1",IF(OR(BT572=2,BT572=3),"L23",IF(BT572="Aussen","Aussen","-")))</f>
        <v>L23</v>
      </c>
      <c r="BV572" s="66" t="n">
        <f aca="false">IF(N(Z572)&gt;0,Z572,0)</f>
        <v>0</v>
      </c>
      <c r="BW572" s="60" t="n">
        <f aca="false">IF(ISNUMBER(AC572),1,0)</f>
        <v>0</v>
      </c>
      <c r="BX572" s="57" t="n">
        <f aca="false">N(AC572)</f>
        <v>0</v>
      </c>
      <c r="BY572" s="57" t="n">
        <f aca="false">N(L572)+N(M572)</f>
        <v>529</v>
      </c>
      <c r="BZ572" s="57" t="n">
        <f aca="false">ROUNDUP(G572/BQ572,0)</f>
        <v>0</v>
      </c>
      <c r="CA572" s="57" t="n">
        <f aca="false">ROUNDUP(BX572/BQ572,0)</f>
        <v>0</v>
      </c>
      <c r="CB572" s="60" t="n">
        <f aca="false">IF(BR572=1,0,IFERROR(VLOOKUP(BP572,'Gebinde-Kategorie'!$A$5:$M$45,5,0)+0,0))</f>
        <v>8</v>
      </c>
      <c r="CC572" s="60" t="n">
        <f aca="false">IFERROR(IF(OR(BT572=1,BT572=2,BT572=3),N(INDEX(Parameter!$I$5:$I$7,BT572)),0),0)</f>
        <v>0</v>
      </c>
      <c r="CD572" s="59" t="n">
        <f aca="false">IF(AND(Parameter!$B$21="Ja",ISNUMBER(U572),N(V572)&gt;0),IFERROR(N(INDEX(Parameter!$L$5:$L$7,U572))*INDEX(Parameter!$E$5:$E$7,U572)*V572/SUMIFS($V$7:$V$1576,$U$7:$U$1576,U572),0),0)</f>
        <v>0</v>
      </c>
    </row>
    <row r="573" customFormat="false" ht="15" hidden="false" customHeight="false" outlineLevel="0" collapsed="false">
      <c r="A573" s="55" t="s">
        <v>1195</v>
      </c>
      <c r="B573" s="55" t="s">
        <v>1196</v>
      </c>
      <c r="C573" s="55" t="s">
        <v>160</v>
      </c>
      <c r="D573" s="55" t="s">
        <v>168</v>
      </c>
      <c r="E573" s="55" t="s">
        <v>210</v>
      </c>
      <c r="F573" s="56" t="n">
        <v>10.5</v>
      </c>
      <c r="G573" s="57" t="n">
        <f aca="false">MAX(0,IF(AND(Parameter!$B$21="Ja",ISNUMBER(W573)),W573,IF(Parameter!$B$20="Jahresanfang 2025 + Export",BJ573+BI573,BI573)))</f>
        <v>1</v>
      </c>
      <c r="H573" s="57" t="n">
        <f aca="false">G573*F573</f>
        <v>10.5</v>
      </c>
      <c r="I573" s="57" t="n">
        <f aca="false">BL573*Parameter!$B$18</f>
        <v>0</v>
      </c>
      <c r="J573" s="58" t="n">
        <v>0</v>
      </c>
      <c r="K573" s="59" t="n">
        <v>0</v>
      </c>
      <c r="L573" s="57" t="n">
        <v>0</v>
      </c>
      <c r="M573" s="57" t="n">
        <v>1</v>
      </c>
      <c r="N573" s="60" t="n">
        <v>21</v>
      </c>
      <c r="O573" s="55" t="s">
        <v>163</v>
      </c>
      <c r="P573" s="57"/>
      <c r="Q573" s="60" t="n">
        <f aca="false">IF(BR573=1,0,IFERROR(VLOOKUP(BP573,'Gebinde-Kategorie'!$A$5:$M$45,13,0)+0,0))</f>
        <v>0</v>
      </c>
      <c r="R573" s="61"/>
      <c r="S573" s="62"/>
      <c r="T573" s="62"/>
      <c r="U573" s="55"/>
      <c r="V573" s="57"/>
      <c r="W573" s="57"/>
      <c r="X573" s="55" t="n">
        <f aca="false">IF(A573="","",IF(AND(Parameter!$B$21="Ja",ISNUMBER(U573)),U573,IF(IFERROR(VLOOKUP(D573,Parameter!$A$35:$C$64,2,0),"Nein")="2+3",IF(ISNUMBER(SEARCH("grosser Artikel",BM573)),2,IFERROR(VLOOKUP(BP573,Parameter!$F$35:$G$64,2,0),2)),IF(OR(IFERROR(VLOOKUP(D573,Parameter!$A$35:$C$64,2,0),"Nein")="Nein",IFERROR(VLOOKUP(D573,Parameter!$A$35:$C$64,2,0),"Nein")=""),"-",VLOOKUP(D573,Parameter!$A$35:$C$64,2,0)))))</f>
        <v>2</v>
      </c>
      <c r="Y573" s="62"/>
      <c r="Z573" s="63"/>
      <c r="AA573" s="57" t="n">
        <f aca="false">AP573</f>
        <v>1</v>
      </c>
      <c r="AB573" s="57" t="n">
        <f aca="false">MAX(AP573,G573)</f>
        <v>1</v>
      </c>
      <c r="AC573" s="64"/>
      <c r="AD573" s="57" t="n">
        <f aca="false">IF(LEFT(Cockpit!$C$5,1)="A",G573,IF(BW573=1,BX573,IF(LEFT(Cockpit!$C$5,1)="B",AH573,MAX(AH573,G573))))</f>
        <v>1</v>
      </c>
      <c r="AE573" s="57" t="n">
        <f aca="false">IF(BR573=1,0,ROUNDUP(AD573/BQ573,0))</f>
        <v>0</v>
      </c>
      <c r="AF573" s="59" t="n">
        <f aca="false">IF(CD573&gt;0,CD573*MAX(1,AD573/V573),IF(BR573=1,IF(AD573&lt;=0,0,BS573*MAX(1,IF(G573&gt;0,AD573/G573,1))),IF(Q573&gt;0,AE573/Q573,0))/MAX(0.1,N(Parameter!$M$21)))</f>
        <v>0.15</v>
      </c>
      <c r="AG573" s="57" t="n">
        <f aca="false">AD573*F573</f>
        <v>10.5</v>
      </c>
      <c r="AH573" s="57" t="n">
        <f aca="false">ROUNDUP(MAX(I573/IF(BV573&gt;0,BV573,MAX(0.1,N(Cockpit!$C$6))),BY573)/BQ573,0)*BQ573</f>
        <v>1</v>
      </c>
      <c r="AI573" s="58" t="n">
        <f aca="false">IF(AF573&gt;0,I573/AF573,-1)</f>
        <v>0</v>
      </c>
      <c r="AJ573" s="58" t="n">
        <f aca="false">IF(AND(OR(BU573="L1",BU573="L23"),AF573&gt;0),SUMIFS($AF$7:$AF$1576,$BU$7:$BU$1576,BU573,$AI$7:$AI$1576,"&gt;"&amp;AI573)+SUMIFS($AF$7:$AF$1576,$BU$7:$BU$1576,BU573,$AI$7:$AI$1576,AI573,$BO$7:$BO$1576,"&lt;="&amp;BO573),"")</f>
        <v>43.7253116448769</v>
      </c>
      <c r="AK573" s="65" t="n">
        <f aca="false">IF(AJ573="",0,MAX(0,MIN(1,(IF(BU573="L1",Parameter!$E$5,Parameter!$E$6+Parameter!$E$7)-(AJ573-AF573))/AF573)))</f>
        <v>1</v>
      </c>
      <c r="AL573" s="57" t="n">
        <f aca="false">IF(LEFT(Cockpit!$I$5,1)="A",G573,IF(BW573=1,BX573,IF(LEFT(Cockpit!$I$5,1)="B",AP573,MAX(AP573,G573))))</f>
        <v>1</v>
      </c>
      <c r="AM573" s="57" t="n">
        <f aca="false">IF(BR573=1,0,ROUNDUP(AL573/BQ573,0))</f>
        <v>0</v>
      </c>
      <c r="AN573" s="59" t="n">
        <f aca="false">IF(CD573&gt;0,CD573*MAX(1,AL573/V573),IF(BR573=1,IF(AL573&lt;=0,0,BS573*MAX(1,IF(G573&gt;0,AL573/G573,1))),IF(Q573&gt;0,AM573/Q573,0))/MAX(0.1,N(Parameter!$M$21)))</f>
        <v>0.15</v>
      </c>
      <c r="AO573" s="57" t="n">
        <f aca="false">AL573*F573</f>
        <v>10.5</v>
      </c>
      <c r="AP573" s="57" t="n">
        <f aca="false">ROUNDUP(MAX(I573/IF(BV573&gt;0,BV573,MAX(0.1,N(Cockpit!$I$6))),BY573)/BQ573,0)*BQ573</f>
        <v>1</v>
      </c>
      <c r="AQ573" s="58" t="n">
        <f aca="false">IF(AN573&gt;0,I573/AN573,-1)</f>
        <v>0</v>
      </c>
      <c r="AR573" s="58" t="n">
        <f aca="false">IF(AND(OR(BU573="L1",BU573="L23"),AN573&gt;0),SUMIFS($AN$7:$AN$1576,$BU$7:$BU$1576,BU573,$AQ$7:$AQ$1576,"&gt;"&amp;AQ573)+SUMIFS($AN$7:$AN$1576,$BU$7:$BU$1576,BU573,$AQ$7:$AQ$1576,AQ573,$BO$7:$BO$1576,"&lt;="&amp;BO573),"")</f>
        <v>126.722097763395</v>
      </c>
      <c r="AS573" s="65" t="n">
        <f aca="false">IF(AR573="",0,MAX(0,MIN(1,(IF(BU573="L1",Parameter!$E$5,Parameter!$E$6+Parameter!$E$7)-(AR573-AN573))/AN573)))</f>
        <v>0</v>
      </c>
      <c r="AT573" s="57" t="n">
        <f aca="false">IF(LEFT(Cockpit!$O$5,1)="A",G573,IF(BW573=1,BX573,IF(LEFT(Cockpit!$O$5,1)="B",AX573,MAX(AX573,G573))))</f>
        <v>1</v>
      </c>
      <c r="AU573" s="57" t="n">
        <f aca="false">IF(BR573=1,0,ROUNDUP(AT573/BQ573,0))</f>
        <v>0</v>
      </c>
      <c r="AV573" s="59" t="n">
        <f aca="false">IF(CD573&gt;0,CD573*MAX(1,AT573/V573),IF(BR573=1,IF(AT573&lt;=0,0,BS573*MAX(1,IF(G573&gt;0,AT573/G573,1))),IF(Q573&gt;0,AU573/Q573,0))/MAX(0.1,N(Parameter!$M$21)))</f>
        <v>0.15</v>
      </c>
      <c r="AW573" s="57" t="n">
        <f aca="false">AT573*F573</f>
        <v>10.5</v>
      </c>
      <c r="AX573" s="57" t="n">
        <f aca="false">ROUNDUP(MAX(I573/IF(BV573&gt;0,BV573,MAX(0.1,N(Cockpit!$O$6))),BY573)/BQ573,0)*BQ573</f>
        <v>1</v>
      </c>
      <c r="AY573" s="58" t="n">
        <f aca="false">IF(AV573&gt;0,I573/AV573,-1)</f>
        <v>0</v>
      </c>
      <c r="AZ573" s="58" t="n">
        <f aca="false">IF(AND(OR(BU573="L1",BU573="L23"),AV573&gt;0),SUMIFS($AV$7:$AV$1576,$BU$7:$BU$1576,BU573,$AY$7:$AY$1576,"&gt;"&amp;AY573)+SUMIFS($AV$7:$AV$1576,$BU$7:$BU$1576,BU573,$AY$7:$AY$1576,AY573,$BO$7:$BO$1576,"&lt;="&amp;BO573),"")</f>
        <v>116.781648212946</v>
      </c>
      <c r="BA573" s="65" t="n">
        <f aca="false">IF(AZ573="",0,MAX(0,MIN(1,(IF(BU573="L1",Parameter!$E$5,Parameter!$E$6+Parameter!$E$7)-(AZ573-AV573))/AV573)))</f>
        <v>0</v>
      </c>
      <c r="BB573" s="55" t="str">
        <f aca="false">IF(AF573&lt;=0,"",IF(BU573="Aussen","Aussenlager",IF(BU573="-","Nicht im Lift",IF(AK573&gt;=1,"Lift",IF(AK573&lt;=0,"Aussenlager","teilweise")))))</f>
        <v>Lift</v>
      </c>
      <c r="BC573" s="55" t="str">
        <f aca="false">IF(AN573&lt;=0,"",IF(BU573="Aussen","Aussenlager",IF(BU573="-","Nicht im Lift",IF(AS573&gt;=1,"Lift",IF(AS573&lt;=0,"Aussenlager","teilweise")))))</f>
        <v>Aussenlager</v>
      </c>
      <c r="BD573" s="55" t="str">
        <f aca="false">IF(AV573&lt;=0,"",IF(BU573="Aussen","Aussenlager",IF(BU573="-","Nicht im Lift",IF(BA573&gt;=1,"Lift",IF(BA573&lt;=0,"Aussenlager","teilweise")))))</f>
        <v>Aussenlager</v>
      </c>
      <c r="BE573" s="55" t="str">
        <f aca="false">IF(A573="","",IF(BN573=1,"Neu; ","")&amp;IF(AND(BN573=0,BI573&lt;0),"negativer Bestand (Export "&amp;BI573&amp;"); ","")&amp;IF(I573&lt;=0,"Kein Verbrauch; ","")&amp;IF(CD573&gt;0,"Lift "&amp;U573&amp;" lt. Liftbericht (Fach "&amp;V573&amp;" Stk); ",IF(BR573=1,"Lose – Fläche geschätzt; ",""))&amp;IF(G573&gt;AP573,"Überbestand "&amp;ROUND(G573-AP573,0)&amp;" Stk / CHF "&amp;ROUND((G573-AP573)*F573,0)&amp;"; ","")&amp;IF(AND(BW573=1,BX573&lt;BY573),"MAX &lt; MB+LG; ","")&amp;IF(AND(CC573&gt;0,CB573*10&gt;CC573),"zu hoch für Tablar; ","")&amp;IF(AND(BN573=0,OR(BW573=1,Y573&lt;&gt;"",S573&lt;&gt;"",T573&lt;&gt;"",Z573&lt;&gt;"")),"manuell übersteuert; ","")&amp;IF(AND(BR573=0,Q573=0),"Gebinde unbekannt / Stellmass fehlt; ","")&amp;IF(AND(BR573=0,N(T573)&lt;=0,N(P573)&lt;=0),"Menge pro Gebinde fehlt (Ist = 1 Gebinde); ","")&amp;BM573)</f>
        <v>Kein Verbrauch; Lose – Fläche geschätzt; </v>
      </c>
      <c r="BF573" s="55"/>
      <c r="BG573" s="55"/>
      <c r="BH573" s="62"/>
      <c r="BI573" s="57" t="n">
        <v>1</v>
      </c>
      <c r="BJ573" s="57" t="n">
        <v>0</v>
      </c>
      <c r="BK573" s="56" t="n">
        <v>10.5</v>
      </c>
      <c r="BL573" s="57" t="n">
        <v>0</v>
      </c>
      <c r="BM573" s="55"/>
      <c r="BN573" s="60" t="n">
        <v>0</v>
      </c>
      <c r="BO573" s="60" t="n">
        <v>573</v>
      </c>
      <c r="BP573" s="55" t="str">
        <f aca="false">IF(S573&lt;&gt;"",UPPER(TRIM(S573)),IF(O573="","LOSE",O573))</f>
        <v>LOSE</v>
      </c>
      <c r="BQ573" s="57" t="n">
        <f aca="false">IF(BP573="LOSE",1,IF(N(T573)&gt;0,T573,IF(N(P573)&gt;0,P573,MAX(1,G573))))</f>
        <v>1</v>
      </c>
      <c r="BR573" s="60" t="n">
        <f aca="false">IF(BP573="LOSE",1,0)</f>
        <v>1</v>
      </c>
      <c r="BS573" s="59" t="n">
        <f aca="false">IF(BR573=0,0,IF(N(R573)&gt;0,R573,IFERROR(VLOOKUP(D573,Parameter!$A$35:$C$64,3,0)+0,0)))</f>
        <v>0.15</v>
      </c>
      <c r="BT573" s="55" t="n">
        <f aca="false">IF(Y573&lt;&gt;"",Y573,X573)</f>
        <v>2</v>
      </c>
      <c r="BU573" s="55" t="str">
        <f aca="false">IF(BT573=1,"L1",IF(OR(BT573=2,BT573=3),"L23",IF(BT573="Aussen","Aussen","-")))</f>
        <v>L23</v>
      </c>
      <c r="BV573" s="66" t="n">
        <f aca="false">IF(N(Z573)&gt;0,Z573,0)</f>
        <v>0</v>
      </c>
      <c r="BW573" s="60" t="n">
        <f aca="false">IF(ISNUMBER(AC573),1,0)</f>
        <v>0</v>
      </c>
      <c r="BX573" s="57" t="n">
        <f aca="false">N(AC573)</f>
        <v>0</v>
      </c>
      <c r="BY573" s="57" t="n">
        <f aca="false">N(L573)+N(M573)</f>
        <v>1</v>
      </c>
      <c r="BZ573" s="57" t="n">
        <f aca="false">ROUNDUP(G573/BQ573,0)</f>
        <v>1</v>
      </c>
      <c r="CA573" s="57" t="n">
        <f aca="false">ROUNDUP(BX573/BQ573,0)</f>
        <v>0</v>
      </c>
      <c r="CB573" s="60" t="n">
        <f aca="false">IF(BR573=1,0,IFERROR(VLOOKUP(BP573,'Gebinde-Kategorie'!$A$5:$M$45,5,0)+0,0))</f>
        <v>0</v>
      </c>
      <c r="CC573" s="60" t="n">
        <f aca="false">IFERROR(IF(OR(BT573=1,BT573=2,BT573=3),N(INDEX(Parameter!$I$5:$I$7,BT573)),0),0)</f>
        <v>0</v>
      </c>
      <c r="CD573" s="59" t="n">
        <f aca="false">IF(AND(Parameter!$B$21="Ja",ISNUMBER(U573),N(V573)&gt;0),IFERROR(N(INDEX(Parameter!$L$5:$L$7,U573))*INDEX(Parameter!$E$5:$E$7,U573)*V573/SUMIFS($V$7:$V$1576,$U$7:$U$1576,U573),0),0)</f>
        <v>0</v>
      </c>
    </row>
    <row r="574" customFormat="false" ht="15" hidden="false" customHeight="false" outlineLevel="0" collapsed="false">
      <c r="A574" s="55" t="s">
        <v>1197</v>
      </c>
      <c r="B574" s="55" t="s">
        <v>1198</v>
      </c>
      <c r="C574" s="55" t="s">
        <v>160</v>
      </c>
      <c r="D574" s="55" t="s">
        <v>178</v>
      </c>
      <c r="E574" s="55" t="s">
        <v>210</v>
      </c>
      <c r="F574" s="56" t="n">
        <v>0.05</v>
      </c>
      <c r="G574" s="57" t="n">
        <f aca="false">MAX(0,IF(AND(Parameter!$B$21="Ja",ISNUMBER(W574)),W574,IF(Parameter!$B$20="Jahresanfang 2025 + Export",BJ574+BI574,BI574)))</f>
        <v>210</v>
      </c>
      <c r="H574" s="57" t="n">
        <f aca="false">G574*F574</f>
        <v>10.5</v>
      </c>
      <c r="I574" s="57" t="n">
        <f aca="false">BL574*Parameter!$B$18</f>
        <v>0</v>
      </c>
      <c r="J574" s="58" t="n">
        <v>705</v>
      </c>
      <c r="K574" s="59" t="n">
        <v>0</v>
      </c>
      <c r="L574" s="57" t="n">
        <v>0</v>
      </c>
      <c r="M574" s="57" t="n">
        <v>1</v>
      </c>
      <c r="N574" s="60" t="n">
        <v>14</v>
      </c>
      <c r="O574" s="55" t="s">
        <v>391</v>
      </c>
      <c r="P574" s="57" t="n">
        <v>512</v>
      </c>
      <c r="Q574" s="60" t="n">
        <f aca="false">IF(BR574=1,0,IFERROR(VLOOKUP(BP574,'Gebinde-Kategorie'!$A$5:$M$45,13,0)+0,0))</f>
        <v>414</v>
      </c>
      <c r="R574" s="61"/>
      <c r="S574" s="62"/>
      <c r="T574" s="62"/>
      <c r="U574" s="55"/>
      <c r="V574" s="57"/>
      <c r="W574" s="57"/>
      <c r="X574" s="55" t="n">
        <f aca="false">IF(A574="","",IF(AND(Parameter!$B$21="Ja",ISNUMBER(U574)),U574,IF(IFERROR(VLOOKUP(D574,Parameter!$A$35:$C$64,2,0),"Nein")="2+3",IF(ISNUMBER(SEARCH("grosser Artikel",BM574)),2,IFERROR(VLOOKUP(BP574,Parameter!$F$35:$G$64,2,0),2)),IF(OR(IFERROR(VLOOKUP(D574,Parameter!$A$35:$C$64,2,0),"Nein")="Nein",IFERROR(VLOOKUP(D574,Parameter!$A$35:$C$64,2,0),"Nein")=""),"-",VLOOKUP(D574,Parameter!$A$35:$C$64,2,0)))))</f>
        <v>3</v>
      </c>
      <c r="Y574" s="62"/>
      <c r="Z574" s="63"/>
      <c r="AA574" s="57" t="n">
        <f aca="false">AP574</f>
        <v>512</v>
      </c>
      <c r="AB574" s="57" t="n">
        <f aca="false">MAX(AP574,G574)</f>
        <v>512</v>
      </c>
      <c r="AC574" s="64"/>
      <c r="AD574" s="57" t="n">
        <f aca="false">IF(LEFT(Cockpit!$C$5,1)="A",G574,IF(BW574=1,BX574,IF(LEFT(Cockpit!$C$5,1)="B",AH574,MAX(AH574,G574))))</f>
        <v>210</v>
      </c>
      <c r="AE574" s="57" t="n">
        <f aca="false">IF(BR574=1,0,ROUNDUP(AD574/BQ574,0))</f>
        <v>1</v>
      </c>
      <c r="AF574" s="59" t="n">
        <f aca="false">IF(CD574&gt;0,CD574*MAX(1,AD574/V574),IF(BR574=1,IF(AD574&lt;=0,0,BS574*MAX(1,IF(G574&gt;0,AD574/G574,1))),IF(Q574&gt;0,AE574/Q574,0))/MAX(0.1,N(Parameter!$M$21)))</f>
        <v>0.00241545893719807</v>
      </c>
      <c r="AG574" s="57" t="n">
        <f aca="false">AD574*F574</f>
        <v>10.5</v>
      </c>
      <c r="AH574" s="57" t="n">
        <f aca="false">ROUNDUP(MAX(I574/IF(BV574&gt;0,BV574,MAX(0.1,N(Cockpit!$C$6))),BY574)/BQ574,0)*BQ574</f>
        <v>512</v>
      </c>
      <c r="AI574" s="58" t="n">
        <f aca="false">IF(AF574&gt;0,I574/AF574,-1)</f>
        <v>0</v>
      </c>
      <c r="AJ574" s="58" t="n">
        <f aca="false">IF(AND(OR(BU574="L1",BU574="L23"),AF574&gt;0),SUMIFS($AF$7:$AF$1576,$BU$7:$BU$1576,BU574,$AI$7:$AI$1576,"&gt;"&amp;AI574)+SUMIFS($AF$7:$AF$1576,$BU$7:$BU$1576,BU574,$AI$7:$AI$1576,AI574,$BO$7:$BO$1576,"&lt;="&amp;BO574),"")</f>
        <v>43.7277271038141</v>
      </c>
      <c r="AK574" s="65" t="n">
        <f aca="false">IF(AJ574="",0,MAX(0,MIN(1,(IF(BU574="L1",Parameter!$E$5,Parameter!$E$6+Parameter!$E$7)-(AJ574-AF574))/AF574)))</f>
        <v>1</v>
      </c>
      <c r="AL574" s="57" t="n">
        <f aca="false">IF(LEFT(Cockpit!$I$5,1)="A",G574,IF(BW574=1,BX574,IF(LEFT(Cockpit!$I$5,1)="B",AP574,MAX(AP574,G574))))</f>
        <v>512</v>
      </c>
      <c r="AM574" s="57" t="n">
        <f aca="false">IF(BR574=1,0,ROUNDUP(AL574/BQ574,0))</f>
        <v>1</v>
      </c>
      <c r="AN574" s="59" t="n">
        <f aca="false">IF(CD574&gt;0,CD574*MAX(1,AL574/V574),IF(BR574=1,IF(AL574&lt;=0,0,BS574*MAX(1,IF(G574&gt;0,AL574/G574,1))),IF(Q574&gt;0,AM574/Q574,0))/MAX(0.1,N(Parameter!$M$21)))</f>
        <v>0.00241545893719807</v>
      </c>
      <c r="AO574" s="57" t="n">
        <f aca="false">AL574*F574</f>
        <v>25.6</v>
      </c>
      <c r="AP574" s="57" t="n">
        <f aca="false">ROUNDUP(MAX(I574/IF(BV574&gt;0,BV574,MAX(0.1,N(Cockpit!$I$6))),BY574)/BQ574,0)*BQ574</f>
        <v>512</v>
      </c>
      <c r="AQ574" s="58" t="n">
        <f aca="false">IF(AN574&gt;0,I574/AN574,-1)</f>
        <v>0</v>
      </c>
      <c r="AR574" s="58" t="n">
        <f aca="false">IF(AND(OR(BU574="L1",BU574="L23"),AN574&gt;0),SUMIFS($AN$7:$AN$1576,$BU$7:$BU$1576,BU574,$AQ$7:$AQ$1576,"&gt;"&amp;AQ574)+SUMIFS($AN$7:$AN$1576,$BU$7:$BU$1576,BU574,$AQ$7:$AQ$1576,AQ574,$BO$7:$BO$1576,"&lt;="&amp;BO574),"")</f>
        <v>126.724513222332</v>
      </c>
      <c r="AS574" s="65" t="n">
        <f aca="false">IF(AR574="",0,MAX(0,MIN(1,(IF(BU574="L1",Parameter!$E$5,Parameter!$E$6+Parameter!$E$7)-(AR574-AN574))/AN574)))</f>
        <v>0</v>
      </c>
      <c r="AT574" s="57" t="n">
        <f aca="false">IF(LEFT(Cockpit!$O$5,1)="A",G574,IF(BW574=1,BX574,IF(LEFT(Cockpit!$O$5,1)="B",AX574,MAX(AX574,G574))))</f>
        <v>512</v>
      </c>
      <c r="AU574" s="57" t="n">
        <f aca="false">IF(BR574=1,0,ROUNDUP(AT574/BQ574,0))</f>
        <v>1</v>
      </c>
      <c r="AV574" s="59" t="n">
        <f aca="false">IF(CD574&gt;0,CD574*MAX(1,AT574/V574),IF(BR574=1,IF(AT574&lt;=0,0,BS574*MAX(1,IF(G574&gt;0,AT574/G574,1))),IF(Q574&gt;0,AU574/Q574,0))/MAX(0.1,N(Parameter!$M$21)))</f>
        <v>0.00241545893719807</v>
      </c>
      <c r="AW574" s="57" t="n">
        <f aca="false">AT574*F574</f>
        <v>25.6</v>
      </c>
      <c r="AX574" s="57" t="n">
        <f aca="false">ROUNDUP(MAX(I574/IF(BV574&gt;0,BV574,MAX(0.1,N(Cockpit!$O$6))),BY574)/BQ574,0)*BQ574</f>
        <v>512</v>
      </c>
      <c r="AY574" s="58" t="n">
        <f aca="false">IF(AV574&gt;0,I574/AV574,-1)</f>
        <v>0</v>
      </c>
      <c r="AZ574" s="58" t="n">
        <f aca="false">IF(AND(OR(BU574="L1",BU574="L23"),AV574&gt;0),SUMIFS($AV$7:$AV$1576,$BU$7:$BU$1576,BU574,$AY$7:$AY$1576,"&gt;"&amp;AY574)+SUMIFS($AV$7:$AV$1576,$BU$7:$BU$1576,BU574,$AY$7:$AY$1576,AY574,$BO$7:$BO$1576,"&lt;="&amp;BO574),"")</f>
        <v>116.784063671883</v>
      </c>
      <c r="BA574" s="65" t="n">
        <f aca="false">IF(AZ574="",0,MAX(0,MIN(1,(IF(BU574="L1",Parameter!$E$5,Parameter!$E$6+Parameter!$E$7)-(AZ574-AV574))/AV574)))</f>
        <v>0</v>
      </c>
      <c r="BB574" s="55" t="str">
        <f aca="false">IF(AF574&lt;=0,"",IF(BU574="Aussen","Aussenlager",IF(BU574="-","Nicht im Lift",IF(AK574&gt;=1,"Lift",IF(AK574&lt;=0,"Aussenlager","teilweise")))))</f>
        <v>Lift</v>
      </c>
      <c r="BC574" s="55" t="str">
        <f aca="false">IF(AN574&lt;=0,"",IF(BU574="Aussen","Aussenlager",IF(BU574="-","Nicht im Lift",IF(AS574&gt;=1,"Lift",IF(AS574&lt;=0,"Aussenlager","teilweise")))))</f>
        <v>Aussenlager</v>
      </c>
      <c r="BD574" s="55" t="str">
        <f aca="false">IF(AV574&lt;=0,"",IF(BU574="Aussen","Aussenlager",IF(BU574="-","Nicht im Lift",IF(BA574&gt;=1,"Lift",IF(BA574&lt;=0,"Aussenlager","teilweise")))))</f>
        <v>Aussenlager</v>
      </c>
      <c r="BE574" s="55" t="str">
        <f aca="false">IF(A574="","",IF(BN574=1,"Neu; ","")&amp;IF(AND(BN574=0,BI574&lt;0),"negativer Bestand (Export "&amp;BI574&amp;"); ","")&amp;IF(I574&lt;=0,"Kein Verbrauch; ","")&amp;IF(CD574&gt;0,"Lift "&amp;U574&amp;" lt. Liftbericht (Fach "&amp;V574&amp;" Stk); ",IF(BR574=1,"Lose – Fläche geschätzt; ",""))&amp;IF(G574&gt;AP574,"Überbestand "&amp;ROUND(G574-AP574,0)&amp;" Stk / CHF "&amp;ROUND((G574-AP574)*F574,0)&amp;"; ","")&amp;IF(AND(BW574=1,BX574&lt;BY574),"MAX &lt; MB+LG; ","")&amp;IF(AND(CC574&gt;0,CB574*10&gt;CC574),"zu hoch für Tablar; ","")&amp;IF(AND(BN574=0,OR(BW574=1,Y574&lt;&gt;"",S574&lt;&gt;"",T574&lt;&gt;"",Z574&lt;&gt;"")),"manuell übersteuert; ","")&amp;IF(AND(BR574=0,Q574=0),"Gebinde unbekannt / Stellmass fehlt; ","")&amp;IF(AND(BR574=0,N(T574)&lt;=0,N(P574)&lt;=0),"Menge pro Gebinde fehlt (Ist = 1 Gebinde); ","")&amp;BM574)</f>
        <v>Kein Verbrauch; Handlager</v>
      </c>
      <c r="BF574" s="55"/>
      <c r="BG574" s="55"/>
      <c r="BH574" s="62"/>
      <c r="BI574" s="57" t="n">
        <v>210</v>
      </c>
      <c r="BJ574" s="57" t="n">
        <v>600</v>
      </c>
      <c r="BK574" s="56" t="n">
        <v>10.5</v>
      </c>
      <c r="BL574" s="57" t="n">
        <v>0</v>
      </c>
      <c r="BM574" s="55" t="s">
        <v>884</v>
      </c>
      <c r="BN574" s="60" t="n">
        <v>0</v>
      </c>
      <c r="BO574" s="60" t="n">
        <v>574</v>
      </c>
      <c r="BP574" s="55" t="str">
        <f aca="false">IF(S574&lt;&gt;"",UPPER(TRIM(S574)),IF(O574="","LOSE",O574))</f>
        <v>S21</v>
      </c>
      <c r="BQ574" s="57" t="n">
        <f aca="false">IF(BP574="LOSE",1,IF(N(T574)&gt;0,T574,IF(N(P574)&gt;0,P574,MAX(1,G574))))</f>
        <v>512</v>
      </c>
      <c r="BR574" s="60" t="n">
        <f aca="false">IF(BP574="LOSE",1,0)</f>
        <v>0</v>
      </c>
      <c r="BS574" s="59" t="n">
        <f aca="false">IF(BR574=0,0,IF(N(R574)&gt;0,R574,IFERROR(VLOOKUP(D574,Parameter!$A$35:$C$64,3,0)+0,0)))</f>
        <v>0</v>
      </c>
      <c r="BT574" s="55" t="n">
        <f aca="false">IF(Y574&lt;&gt;"",Y574,X574)</f>
        <v>3</v>
      </c>
      <c r="BU574" s="55" t="str">
        <f aca="false">IF(BT574=1,"L1",IF(OR(BT574=2,BT574=3),"L23",IF(BT574="Aussen","Aussen","-")))</f>
        <v>L23</v>
      </c>
      <c r="BV574" s="66" t="n">
        <f aca="false">IF(N(Z574)&gt;0,Z574,0)</f>
        <v>0</v>
      </c>
      <c r="BW574" s="60" t="n">
        <f aca="false">IF(ISNUMBER(AC574),1,0)</f>
        <v>0</v>
      </c>
      <c r="BX574" s="57" t="n">
        <f aca="false">N(AC574)</f>
        <v>0</v>
      </c>
      <c r="BY574" s="57" t="n">
        <f aca="false">N(L574)+N(M574)</f>
        <v>1</v>
      </c>
      <c r="BZ574" s="57" t="n">
        <f aca="false">ROUNDUP(G574/BQ574,0)</f>
        <v>1</v>
      </c>
      <c r="CA574" s="57" t="n">
        <f aca="false">ROUNDUP(BX574/BQ574,0)</f>
        <v>0</v>
      </c>
      <c r="CB574" s="60" t="n">
        <f aca="false">IF(BR574=1,0,IFERROR(VLOOKUP(BP574,'Gebinde-Kategorie'!$A$5:$M$45,5,0)+0,0))</f>
        <v>8</v>
      </c>
      <c r="CC574" s="60" t="n">
        <f aca="false">IFERROR(IF(OR(BT574=1,BT574=2,BT574=3),N(INDEX(Parameter!$I$5:$I$7,BT574)),0),0)</f>
        <v>0</v>
      </c>
      <c r="CD574" s="59" t="n">
        <f aca="false">IF(AND(Parameter!$B$21="Ja",ISNUMBER(U574),N(V574)&gt;0),IFERROR(N(INDEX(Parameter!$L$5:$L$7,U574))*INDEX(Parameter!$E$5:$E$7,U574)*V574/SUMIFS($V$7:$V$1576,$U$7:$U$1576,U574),0),0)</f>
        <v>0</v>
      </c>
    </row>
    <row r="575" customFormat="false" ht="15" hidden="false" customHeight="false" outlineLevel="0" collapsed="false">
      <c r="A575" s="55" t="s">
        <v>1199</v>
      </c>
      <c r="B575" s="55" t="s">
        <v>1200</v>
      </c>
      <c r="C575" s="55" t="s">
        <v>160</v>
      </c>
      <c r="D575" s="55" t="s">
        <v>178</v>
      </c>
      <c r="E575" s="55" t="s">
        <v>210</v>
      </c>
      <c r="F575" s="56" t="n">
        <v>2.8</v>
      </c>
      <c r="G575" s="57" t="n">
        <f aca="false">MAX(0,IF(AND(Parameter!$B$21="Ja",ISNUMBER(W575)),W575,IF(Parameter!$B$20="Jahresanfang 2025 + Export",BJ575+BI575,BI575)))</f>
        <v>2</v>
      </c>
      <c r="H575" s="57" t="n">
        <f aca="false">G575*F575</f>
        <v>5.6</v>
      </c>
      <c r="I575" s="57" t="n">
        <f aca="false">BL575*Parameter!$B$18</f>
        <v>0</v>
      </c>
      <c r="J575" s="58" t="n">
        <v>19</v>
      </c>
      <c r="K575" s="59" t="n">
        <v>0</v>
      </c>
      <c r="L575" s="57" t="n">
        <v>0</v>
      </c>
      <c r="M575" s="57" t="n">
        <v>1</v>
      </c>
      <c r="N575" s="60" t="n">
        <v>42</v>
      </c>
      <c r="O575" s="55" t="s">
        <v>411</v>
      </c>
      <c r="P575" s="57" t="n">
        <v>18</v>
      </c>
      <c r="Q575" s="60" t="n">
        <f aca="false">IF(BR575=1,0,IFERROR(VLOOKUP(BP575,'Gebinde-Kategorie'!$A$5:$M$45,13,0)+0,0))</f>
        <v>132</v>
      </c>
      <c r="R575" s="61"/>
      <c r="S575" s="62"/>
      <c r="T575" s="62"/>
      <c r="U575" s="55"/>
      <c r="V575" s="57"/>
      <c r="W575" s="57"/>
      <c r="X575" s="55" t="n">
        <f aca="false">IF(A575="","",IF(AND(Parameter!$B$21="Ja",ISNUMBER(U575)),U575,IF(IFERROR(VLOOKUP(D575,Parameter!$A$35:$C$64,2,0),"Nein")="2+3",IF(ISNUMBER(SEARCH("grosser Artikel",BM575)),2,IFERROR(VLOOKUP(BP575,Parameter!$F$35:$G$64,2,0),2)),IF(OR(IFERROR(VLOOKUP(D575,Parameter!$A$35:$C$64,2,0),"Nein")="Nein",IFERROR(VLOOKUP(D575,Parameter!$A$35:$C$64,2,0),"Nein")=""),"-",VLOOKUP(D575,Parameter!$A$35:$C$64,2,0)))))</f>
        <v>3</v>
      </c>
      <c r="Y575" s="62"/>
      <c r="Z575" s="63"/>
      <c r="AA575" s="57" t="n">
        <f aca="false">AP575</f>
        <v>18</v>
      </c>
      <c r="AB575" s="57" t="n">
        <f aca="false">MAX(AP575,G575)</f>
        <v>18</v>
      </c>
      <c r="AC575" s="64"/>
      <c r="AD575" s="57" t="n">
        <f aca="false">IF(LEFT(Cockpit!$C$5,1)="A",G575,IF(BW575=1,BX575,IF(LEFT(Cockpit!$C$5,1)="B",AH575,MAX(AH575,G575))))</f>
        <v>2</v>
      </c>
      <c r="AE575" s="57" t="n">
        <f aca="false">IF(BR575=1,0,ROUNDUP(AD575/BQ575,0))</f>
        <v>1</v>
      </c>
      <c r="AF575" s="59" t="n">
        <f aca="false">IF(CD575&gt;0,CD575*MAX(1,AD575/V575),IF(BR575=1,IF(AD575&lt;=0,0,BS575*MAX(1,IF(G575&gt;0,AD575/G575,1))),IF(Q575&gt;0,AE575/Q575,0))/MAX(0.1,N(Parameter!$M$21)))</f>
        <v>0.00757575757575758</v>
      </c>
      <c r="AG575" s="57" t="n">
        <f aca="false">AD575*F575</f>
        <v>5.6</v>
      </c>
      <c r="AH575" s="57" t="n">
        <f aca="false">ROUNDUP(MAX(I575/IF(BV575&gt;0,BV575,MAX(0.1,N(Cockpit!$C$6))),BY575)/BQ575,0)*BQ575</f>
        <v>18</v>
      </c>
      <c r="AI575" s="58" t="n">
        <f aca="false">IF(AF575&gt;0,I575/AF575,-1)</f>
        <v>0</v>
      </c>
      <c r="AJ575" s="58" t="n">
        <f aca="false">IF(AND(OR(BU575="L1",BU575="L23"),AF575&gt;0),SUMIFS($AF$7:$AF$1576,$BU$7:$BU$1576,BU575,$AI$7:$AI$1576,"&gt;"&amp;AI575)+SUMIFS($AF$7:$AF$1576,$BU$7:$BU$1576,BU575,$AI$7:$AI$1576,AI575,$BO$7:$BO$1576,"&lt;="&amp;BO575),"")</f>
        <v>43.7353028613898</v>
      </c>
      <c r="AK575" s="65" t="n">
        <f aca="false">IF(AJ575="",0,MAX(0,MIN(1,(IF(BU575="L1",Parameter!$E$5,Parameter!$E$6+Parameter!$E$7)-(AJ575-AF575))/AF575)))</f>
        <v>1</v>
      </c>
      <c r="AL575" s="57" t="n">
        <f aca="false">IF(LEFT(Cockpit!$I$5,1)="A",G575,IF(BW575=1,BX575,IF(LEFT(Cockpit!$I$5,1)="B",AP575,MAX(AP575,G575))))</f>
        <v>18</v>
      </c>
      <c r="AM575" s="57" t="n">
        <f aca="false">IF(BR575=1,0,ROUNDUP(AL575/BQ575,0))</f>
        <v>1</v>
      </c>
      <c r="AN575" s="59" t="n">
        <f aca="false">IF(CD575&gt;0,CD575*MAX(1,AL575/V575),IF(BR575=1,IF(AL575&lt;=0,0,BS575*MAX(1,IF(G575&gt;0,AL575/G575,1))),IF(Q575&gt;0,AM575/Q575,0))/MAX(0.1,N(Parameter!$M$21)))</f>
        <v>0.00757575757575758</v>
      </c>
      <c r="AO575" s="57" t="n">
        <f aca="false">AL575*F575</f>
        <v>50.4</v>
      </c>
      <c r="AP575" s="57" t="n">
        <f aca="false">ROUNDUP(MAX(I575/IF(BV575&gt;0,BV575,MAX(0.1,N(Cockpit!$I$6))),BY575)/BQ575,0)*BQ575</f>
        <v>18</v>
      </c>
      <c r="AQ575" s="58" t="n">
        <f aca="false">IF(AN575&gt;0,I575/AN575,-1)</f>
        <v>0</v>
      </c>
      <c r="AR575" s="58" t="n">
        <f aca="false">IF(AND(OR(BU575="L1",BU575="L23"),AN575&gt;0),SUMIFS($AN$7:$AN$1576,$BU$7:$BU$1576,BU575,$AQ$7:$AQ$1576,"&gt;"&amp;AQ575)+SUMIFS($AN$7:$AN$1576,$BU$7:$BU$1576,BU575,$AQ$7:$AQ$1576,AQ575,$BO$7:$BO$1576,"&lt;="&amp;BO575),"")</f>
        <v>126.732088979908</v>
      </c>
      <c r="AS575" s="65" t="n">
        <f aca="false">IF(AR575="",0,MAX(0,MIN(1,(IF(BU575="L1",Parameter!$E$5,Parameter!$E$6+Parameter!$E$7)-(AR575-AN575))/AN575)))</f>
        <v>0</v>
      </c>
      <c r="AT575" s="57" t="n">
        <f aca="false">IF(LEFT(Cockpit!$O$5,1)="A",G575,IF(BW575=1,BX575,IF(LEFT(Cockpit!$O$5,1)="B",AX575,MAX(AX575,G575))))</f>
        <v>18</v>
      </c>
      <c r="AU575" s="57" t="n">
        <f aca="false">IF(BR575=1,0,ROUNDUP(AT575/BQ575,0))</f>
        <v>1</v>
      </c>
      <c r="AV575" s="59" t="n">
        <f aca="false">IF(CD575&gt;0,CD575*MAX(1,AT575/V575),IF(BR575=1,IF(AT575&lt;=0,0,BS575*MAX(1,IF(G575&gt;0,AT575/G575,1))),IF(Q575&gt;0,AU575/Q575,0))/MAX(0.1,N(Parameter!$M$21)))</f>
        <v>0.00757575757575758</v>
      </c>
      <c r="AW575" s="57" t="n">
        <f aca="false">AT575*F575</f>
        <v>50.4</v>
      </c>
      <c r="AX575" s="57" t="n">
        <f aca="false">ROUNDUP(MAX(I575/IF(BV575&gt;0,BV575,MAX(0.1,N(Cockpit!$O$6))),BY575)/BQ575,0)*BQ575</f>
        <v>18</v>
      </c>
      <c r="AY575" s="58" t="n">
        <f aca="false">IF(AV575&gt;0,I575/AV575,-1)</f>
        <v>0</v>
      </c>
      <c r="AZ575" s="58" t="n">
        <f aca="false">IF(AND(OR(BU575="L1",BU575="L23"),AV575&gt;0),SUMIFS($AV$7:$AV$1576,$BU$7:$BU$1576,BU575,$AY$7:$AY$1576,"&gt;"&amp;AY575)+SUMIFS($AV$7:$AV$1576,$BU$7:$BU$1576,BU575,$AY$7:$AY$1576,AY575,$BO$7:$BO$1576,"&lt;="&amp;BO575),"")</f>
        <v>116.791639429459</v>
      </c>
      <c r="BA575" s="65" t="n">
        <f aca="false">IF(AZ575="",0,MAX(0,MIN(1,(IF(BU575="L1",Parameter!$E$5,Parameter!$E$6+Parameter!$E$7)-(AZ575-AV575))/AV575)))</f>
        <v>0</v>
      </c>
      <c r="BB575" s="55" t="str">
        <f aca="false">IF(AF575&lt;=0,"",IF(BU575="Aussen","Aussenlager",IF(BU575="-","Nicht im Lift",IF(AK575&gt;=1,"Lift",IF(AK575&lt;=0,"Aussenlager","teilweise")))))</f>
        <v>Lift</v>
      </c>
      <c r="BC575" s="55" t="str">
        <f aca="false">IF(AN575&lt;=0,"",IF(BU575="Aussen","Aussenlager",IF(BU575="-","Nicht im Lift",IF(AS575&gt;=1,"Lift",IF(AS575&lt;=0,"Aussenlager","teilweise")))))</f>
        <v>Aussenlager</v>
      </c>
      <c r="BD575" s="55" t="str">
        <f aca="false">IF(AV575&lt;=0,"",IF(BU575="Aussen","Aussenlager",IF(BU575="-","Nicht im Lift",IF(BA575&gt;=1,"Lift",IF(BA575&lt;=0,"Aussenlager","teilweise")))))</f>
        <v>Aussenlager</v>
      </c>
      <c r="BE575" s="55" t="str">
        <f aca="false">IF(A575="","",IF(BN575=1,"Neu; ","")&amp;IF(AND(BN575=0,BI575&lt;0),"negativer Bestand (Export "&amp;BI575&amp;"); ","")&amp;IF(I575&lt;=0,"Kein Verbrauch; ","")&amp;IF(CD575&gt;0,"Lift "&amp;U575&amp;" lt. Liftbericht (Fach "&amp;V575&amp;" Stk); ",IF(BR575=1,"Lose – Fläche geschätzt; ",""))&amp;IF(G575&gt;AP575,"Überbestand "&amp;ROUND(G575-AP575,0)&amp;" Stk / CHF "&amp;ROUND((G575-AP575)*F575,0)&amp;"; ","")&amp;IF(AND(BW575=1,BX575&lt;BY575),"MAX &lt; MB+LG; ","")&amp;IF(AND(CC575&gt;0,CB575*10&gt;CC575),"zu hoch für Tablar; ","")&amp;IF(AND(BN575=0,OR(BW575=1,Y575&lt;&gt;"",S575&lt;&gt;"",T575&lt;&gt;"",Z575&lt;&gt;"")),"manuell übersteuert; ","")&amp;IF(AND(BR575=0,Q575=0),"Gebinde unbekannt / Stellmass fehlt; ","")&amp;IF(AND(BR575=0,N(T575)&lt;=0,N(P575)&lt;=0),"Menge pro Gebinde fehlt (Ist = 1 Gebinde); ","")&amp;BM575)</f>
        <v>Kein Verbrauch; Überbestand</v>
      </c>
      <c r="BF575" s="55"/>
      <c r="BG575" s="55"/>
      <c r="BH575" s="62"/>
      <c r="BI575" s="57" t="n">
        <v>2</v>
      </c>
      <c r="BJ575" s="57" t="n">
        <v>18</v>
      </c>
      <c r="BK575" s="56" t="n">
        <v>10.1</v>
      </c>
      <c r="BL575" s="57" t="n">
        <v>0</v>
      </c>
      <c r="BM575" s="55" t="s">
        <v>382</v>
      </c>
      <c r="BN575" s="60" t="n">
        <v>0</v>
      </c>
      <c r="BO575" s="60" t="n">
        <v>575</v>
      </c>
      <c r="BP575" s="55" t="str">
        <f aca="false">IF(S575&lt;&gt;"",UPPER(TRIM(S575)),IF(O575="","LOSE",O575))</f>
        <v>S32</v>
      </c>
      <c r="BQ575" s="57" t="n">
        <f aca="false">IF(BP575="LOSE",1,IF(N(T575)&gt;0,T575,IF(N(P575)&gt;0,P575,MAX(1,G575))))</f>
        <v>18</v>
      </c>
      <c r="BR575" s="60" t="n">
        <f aca="false">IF(BP575="LOSE",1,0)</f>
        <v>0</v>
      </c>
      <c r="BS575" s="59" t="n">
        <f aca="false">IF(BR575=0,0,IF(N(R575)&gt;0,R575,IFERROR(VLOOKUP(D575,Parameter!$A$35:$C$64,3,0)+0,0)))</f>
        <v>0</v>
      </c>
      <c r="BT575" s="55" t="n">
        <f aca="false">IF(Y575&lt;&gt;"",Y575,X575)</f>
        <v>3</v>
      </c>
      <c r="BU575" s="55" t="str">
        <f aca="false">IF(BT575=1,"L1",IF(OR(BT575=2,BT575=3),"L23",IF(BT575="Aussen","Aussen","-")))</f>
        <v>L23</v>
      </c>
      <c r="BV575" s="66" t="n">
        <f aca="false">IF(N(Z575)&gt;0,Z575,0)</f>
        <v>0</v>
      </c>
      <c r="BW575" s="60" t="n">
        <f aca="false">IF(ISNUMBER(AC575),1,0)</f>
        <v>0</v>
      </c>
      <c r="BX575" s="57" t="n">
        <f aca="false">N(AC575)</f>
        <v>0</v>
      </c>
      <c r="BY575" s="57" t="n">
        <f aca="false">N(L575)+N(M575)</f>
        <v>1</v>
      </c>
      <c r="BZ575" s="57" t="n">
        <f aca="false">ROUNDUP(G575/BQ575,0)</f>
        <v>1</v>
      </c>
      <c r="CA575" s="57" t="n">
        <f aca="false">ROUNDUP(BX575/BQ575,0)</f>
        <v>0</v>
      </c>
      <c r="CB575" s="60" t="n">
        <f aca="false">IF(BR575=1,0,IFERROR(VLOOKUP(BP575,'Gebinde-Kategorie'!$A$5:$M$45,5,0)+0,0))</f>
        <v>8</v>
      </c>
      <c r="CC575" s="60" t="n">
        <f aca="false">IFERROR(IF(OR(BT575=1,BT575=2,BT575=3),N(INDEX(Parameter!$I$5:$I$7,BT575)),0),0)</f>
        <v>0</v>
      </c>
      <c r="CD575" s="59" t="n">
        <f aca="false">IF(AND(Parameter!$B$21="Ja",ISNUMBER(U575),N(V575)&gt;0),IFERROR(N(INDEX(Parameter!$L$5:$L$7,U575))*INDEX(Parameter!$E$5:$E$7,U575)*V575/SUMIFS($V$7:$V$1576,$U$7:$U$1576,U575),0),0)</f>
        <v>0</v>
      </c>
    </row>
    <row r="576" customFormat="false" ht="15" hidden="false" customHeight="false" outlineLevel="0" collapsed="false">
      <c r="A576" s="55" t="s">
        <v>1201</v>
      </c>
      <c r="B576" s="55" t="s">
        <v>732</v>
      </c>
      <c r="C576" s="55" t="s">
        <v>160</v>
      </c>
      <c r="D576" s="55" t="s">
        <v>178</v>
      </c>
      <c r="E576" s="55" t="s">
        <v>210</v>
      </c>
      <c r="F576" s="56" t="n">
        <v>35.51</v>
      </c>
      <c r="G576" s="57" t="n">
        <f aca="false">MAX(0,IF(AND(Parameter!$B$21="Ja",ISNUMBER(W576)),W576,IF(Parameter!$B$20="Jahresanfang 2025 + Export",BJ576+BI576,BI576)))</f>
        <v>2</v>
      </c>
      <c r="H576" s="57" t="n">
        <f aca="false">G576*F576</f>
        <v>71.02</v>
      </c>
      <c r="I576" s="57" t="n">
        <f aca="false">BL576*Parameter!$B$18</f>
        <v>29</v>
      </c>
      <c r="J576" s="58" t="n">
        <v>25.5</v>
      </c>
      <c r="K576" s="59" t="n">
        <v>1.13725490196078</v>
      </c>
      <c r="L576" s="57" t="n">
        <v>2</v>
      </c>
      <c r="M576" s="57" t="n">
        <v>30</v>
      </c>
      <c r="N576" s="60" t="n">
        <v>28</v>
      </c>
      <c r="O576" s="55" t="s">
        <v>225</v>
      </c>
      <c r="P576" s="57" t="n">
        <v>30</v>
      </c>
      <c r="Q576" s="60" t="n">
        <f aca="false">IF(BR576=1,0,IFERROR(VLOOKUP(BP576,'Gebinde-Kategorie'!$A$5:$M$45,13,0)+0,0))</f>
        <v>26</v>
      </c>
      <c r="R576" s="61"/>
      <c r="S576" s="62"/>
      <c r="T576" s="62"/>
      <c r="U576" s="55"/>
      <c r="V576" s="57"/>
      <c r="W576" s="57"/>
      <c r="X576" s="55" t="n">
        <f aca="false">IF(A576="","",IF(AND(Parameter!$B$21="Ja",ISNUMBER(U576)),U576,IF(IFERROR(VLOOKUP(D576,Parameter!$A$35:$C$64,2,0),"Nein")="2+3",IF(ISNUMBER(SEARCH("grosser Artikel",BM576)),2,IFERROR(VLOOKUP(BP576,Parameter!$F$35:$G$64,2,0),2)),IF(OR(IFERROR(VLOOKUP(D576,Parameter!$A$35:$C$64,2,0),"Nein")="Nein",IFERROR(VLOOKUP(D576,Parameter!$A$35:$C$64,2,0),"Nein")=""),"-",VLOOKUP(D576,Parameter!$A$35:$C$64,2,0)))))</f>
        <v>3</v>
      </c>
      <c r="Y576" s="62"/>
      <c r="Z576" s="63"/>
      <c r="AA576" s="57" t="n">
        <f aca="false">AP576</f>
        <v>60</v>
      </c>
      <c r="AB576" s="57" t="n">
        <f aca="false">MAX(AP576,G576)</f>
        <v>60</v>
      </c>
      <c r="AC576" s="64"/>
      <c r="AD576" s="57" t="n">
        <f aca="false">IF(LEFT(Cockpit!$C$5,1)="A",G576,IF(BW576=1,BX576,IF(LEFT(Cockpit!$C$5,1)="B",AH576,MAX(AH576,G576))))</f>
        <v>2</v>
      </c>
      <c r="AE576" s="57" t="n">
        <f aca="false">IF(BR576=1,0,ROUNDUP(AD576/BQ576,0))</f>
        <v>1</v>
      </c>
      <c r="AF576" s="59" t="n">
        <f aca="false">IF(CD576&gt;0,CD576*MAX(1,AD576/V576),IF(BR576=1,IF(AD576&lt;=0,0,BS576*MAX(1,IF(G576&gt;0,AD576/G576,1))),IF(Q576&gt;0,AE576/Q576,0))/MAX(0.1,N(Parameter!$M$21)))</f>
        <v>0.0384615384615385</v>
      </c>
      <c r="AG576" s="57" t="n">
        <f aca="false">AD576*F576</f>
        <v>71.02</v>
      </c>
      <c r="AH576" s="57" t="n">
        <f aca="false">ROUNDUP(MAX(I576/IF(BV576&gt;0,BV576,MAX(0.1,N(Cockpit!$C$6))),BY576)/BQ576,0)*BQ576</f>
        <v>60</v>
      </c>
      <c r="AI576" s="58" t="n">
        <f aca="false">IF(AF576&gt;0,I576/AF576,-1)</f>
        <v>754</v>
      </c>
      <c r="AJ576" s="58" t="n">
        <f aca="false">IF(AND(OR(BU576="L1",BU576="L23"),AF576&gt;0),SUMIFS($AF$7:$AF$1576,$BU$7:$BU$1576,BU576,$AI$7:$AI$1576,"&gt;"&amp;AI576)+SUMIFS($AF$7:$AF$1576,$BU$7:$BU$1576,BU576,$AI$7:$AI$1576,AI576,$BO$7:$BO$1576,"&lt;="&amp;BO576),"")</f>
        <v>10.9790476673085</v>
      </c>
      <c r="AK576" s="65" t="n">
        <f aca="false">IF(AJ576="",0,MAX(0,MIN(1,(IF(BU576="L1",Parameter!$E$5,Parameter!$E$6+Parameter!$E$7)-(AJ576-AF576))/AF576)))</f>
        <v>1</v>
      </c>
      <c r="AL576" s="57" t="n">
        <f aca="false">IF(LEFT(Cockpit!$I$5,1)="A",G576,IF(BW576=1,BX576,IF(LEFT(Cockpit!$I$5,1)="B",AP576,MAX(AP576,G576))))</f>
        <v>60</v>
      </c>
      <c r="AM576" s="57" t="n">
        <f aca="false">IF(BR576=1,0,ROUNDUP(AL576/BQ576,0))</f>
        <v>2</v>
      </c>
      <c r="AN576" s="59" t="n">
        <f aca="false">IF(CD576&gt;0,CD576*MAX(1,AL576/V576),IF(BR576=1,IF(AL576&lt;=0,0,BS576*MAX(1,IF(G576&gt;0,AL576/G576,1))),IF(Q576&gt;0,AM576/Q576,0))/MAX(0.1,N(Parameter!$M$21)))</f>
        <v>0.0769230769230769</v>
      </c>
      <c r="AO576" s="57" t="n">
        <f aca="false">AL576*F576</f>
        <v>2130.6</v>
      </c>
      <c r="AP576" s="57" t="n">
        <f aca="false">ROUNDUP(MAX(I576/IF(BV576&gt;0,BV576,MAX(0.1,N(Cockpit!$I$6))),BY576)/BQ576,0)*BQ576</f>
        <v>60</v>
      </c>
      <c r="AQ576" s="58" t="n">
        <f aca="false">IF(AN576&gt;0,I576/AN576,-1)</f>
        <v>377</v>
      </c>
      <c r="AR576" s="58" t="n">
        <f aca="false">IF(AND(OR(BU576="L1",BU576="L23"),AN576&gt;0),SUMIFS($AN$7:$AN$1576,$BU$7:$BU$1576,BU576,$AQ$7:$AQ$1576,"&gt;"&amp;AQ576)+SUMIFS($AN$7:$AN$1576,$BU$7:$BU$1576,BU576,$AQ$7:$AQ$1576,AQ576,$BO$7:$BO$1576,"&lt;="&amp;BO576),"")</f>
        <v>37.5116214344587</v>
      </c>
      <c r="AS576" s="65" t="n">
        <f aca="false">IF(AR576="",0,MAX(0,MIN(1,(IF(BU576="L1",Parameter!$E$5,Parameter!$E$6+Parameter!$E$7)-(AR576-AN576))/AN576)))</f>
        <v>1</v>
      </c>
      <c r="AT576" s="57" t="n">
        <f aca="false">IF(LEFT(Cockpit!$O$5,1)="A",G576,IF(BW576=1,BX576,IF(LEFT(Cockpit!$O$5,1)="B",AX576,MAX(AX576,G576))))</f>
        <v>60</v>
      </c>
      <c r="AU576" s="57" t="n">
        <f aca="false">IF(BR576=1,0,ROUNDUP(AT576/BQ576,0))</f>
        <v>2</v>
      </c>
      <c r="AV576" s="59" t="n">
        <f aca="false">IF(CD576&gt;0,CD576*MAX(1,AT576/V576),IF(BR576=1,IF(AT576&lt;=0,0,BS576*MAX(1,IF(G576&gt;0,AT576/G576,1))),IF(Q576&gt;0,AU576/Q576,0))/MAX(0.1,N(Parameter!$M$21)))</f>
        <v>0.0769230769230769</v>
      </c>
      <c r="AW576" s="57" t="n">
        <f aca="false">AT576*F576</f>
        <v>2130.6</v>
      </c>
      <c r="AX576" s="57" t="n">
        <f aca="false">ROUNDUP(MAX(I576/IF(BV576&gt;0,BV576,MAX(0.1,N(Cockpit!$O$6))),BY576)/BQ576,0)*BQ576</f>
        <v>60</v>
      </c>
      <c r="AY576" s="58" t="n">
        <f aca="false">IF(AV576&gt;0,I576/AV576,-1)</f>
        <v>377</v>
      </c>
      <c r="AZ576" s="58" t="n">
        <f aca="false">IF(AND(OR(BU576="L1",BU576="L23"),AV576&gt;0),SUMIFS($AV$7:$AV$1576,$BU$7:$BU$1576,BU576,$AY$7:$AY$1576,"&gt;"&amp;AY576)+SUMIFS($AV$7:$AV$1576,$BU$7:$BU$1576,BU576,$AY$7:$AY$1576,AY576,$BO$7:$BO$1576,"&lt;="&amp;BO576),"")</f>
        <v>36.3430333558706</v>
      </c>
      <c r="BA576" s="65" t="n">
        <f aca="false">IF(AZ576="",0,MAX(0,MIN(1,(IF(BU576="L1",Parameter!$E$5,Parameter!$E$6+Parameter!$E$7)-(AZ576-AV576))/AV576)))</f>
        <v>1</v>
      </c>
      <c r="BB576" s="55" t="str">
        <f aca="false">IF(AF576&lt;=0,"",IF(BU576="Aussen","Aussenlager",IF(BU576="-","Nicht im Lift",IF(AK576&gt;=1,"Lift",IF(AK576&lt;=0,"Aussenlager","teilweise")))))</f>
        <v>Lift</v>
      </c>
      <c r="BC576" s="55" t="str">
        <f aca="false">IF(AN576&lt;=0,"",IF(BU576="Aussen","Aussenlager",IF(BU576="-","Nicht im Lift",IF(AS576&gt;=1,"Lift",IF(AS576&lt;=0,"Aussenlager","teilweise")))))</f>
        <v>Lift</v>
      </c>
      <c r="BD576" s="55" t="str">
        <f aca="false">IF(AV576&lt;=0,"",IF(BU576="Aussen","Aussenlager",IF(BU576="-","Nicht im Lift",IF(BA576&gt;=1,"Lift",IF(BA576&lt;=0,"Aussenlager","teilweise")))))</f>
        <v>Lift</v>
      </c>
      <c r="BE576" s="55" t="str">
        <f aca="false">IF(A576="","",IF(BN576=1,"Neu; ","")&amp;IF(AND(BN576=0,BI576&lt;0),"negativer Bestand (Export "&amp;BI576&amp;"); ","")&amp;IF(I576&lt;=0,"Kein Verbrauch; ","")&amp;IF(CD576&gt;0,"Lift "&amp;U576&amp;" lt. Liftbericht (Fach "&amp;V576&amp;" Stk); ",IF(BR576=1,"Lose – Fläche geschätzt; ",""))&amp;IF(G576&gt;AP576,"Überbestand "&amp;ROUND(G576-AP576,0)&amp;" Stk / CHF "&amp;ROUND((G576-AP576)*F576,0)&amp;"; ","")&amp;IF(AND(BW576=1,BX576&lt;BY576),"MAX &lt; MB+LG; ","")&amp;IF(AND(CC576&gt;0,CB576*10&gt;CC576),"zu hoch für Tablar; ","")&amp;IF(AND(BN576=0,OR(BW576=1,Y576&lt;&gt;"",S576&lt;&gt;"",T576&lt;&gt;"",Z576&lt;&gt;"")),"manuell übersteuert; ","")&amp;IF(AND(BR576=0,Q576=0),"Gebinde unbekannt / Stellmass fehlt; ","")&amp;IF(AND(BR576=0,N(T576)&lt;=0,N(P576)&lt;=0),"Menge pro Gebinde fehlt (Ist = 1 Gebinde); ","")&amp;BM576)</f>
        <v/>
      </c>
      <c r="BF576" s="55"/>
      <c r="BG576" s="55"/>
      <c r="BH576" s="62"/>
      <c r="BI576" s="57" t="n">
        <v>2</v>
      </c>
      <c r="BJ576" s="57" t="n">
        <v>20</v>
      </c>
      <c r="BK576" s="56" t="n">
        <v>10.0200000000007</v>
      </c>
      <c r="BL576" s="57" t="n">
        <v>29</v>
      </c>
      <c r="BM576" s="55"/>
      <c r="BN576" s="60" t="n">
        <v>0</v>
      </c>
      <c r="BO576" s="60" t="n">
        <v>576</v>
      </c>
      <c r="BP576" s="55" t="str">
        <f aca="false">IF(S576&lt;&gt;"",UPPER(TRIM(S576)),IF(O576="","LOSE",O576))</f>
        <v>S52</v>
      </c>
      <c r="BQ576" s="57" t="n">
        <f aca="false">IF(BP576="LOSE",1,IF(N(T576)&gt;0,T576,IF(N(P576)&gt;0,P576,MAX(1,G576))))</f>
        <v>30</v>
      </c>
      <c r="BR576" s="60" t="n">
        <f aca="false">IF(BP576="LOSE",1,0)</f>
        <v>0</v>
      </c>
      <c r="BS576" s="59" t="n">
        <f aca="false">IF(BR576=0,0,IF(N(R576)&gt;0,R576,IFERROR(VLOOKUP(D576,Parameter!$A$35:$C$64,3,0)+0,0)))</f>
        <v>0</v>
      </c>
      <c r="BT576" s="55" t="n">
        <f aca="false">IF(Y576&lt;&gt;"",Y576,X576)</f>
        <v>3</v>
      </c>
      <c r="BU576" s="55" t="str">
        <f aca="false">IF(BT576=1,"L1",IF(OR(BT576=2,BT576=3),"L23",IF(BT576="Aussen","Aussen","-")))</f>
        <v>L23</v>
      </c>
      <c r="BV576" s="66" t="n">
        <f aca="false">IF(N(Z576)&gt;0,Z576,0)</f>
        <v>0</v>
      </c>
      <c r="BW576" s="60" t="n">
        <f aca="false">IF(ISNUMBER(AC576),1,0)</f>
        <v>0</v>
      </c>
      <c r="BX576" s="57" t="n">
        <f aca="false">N(AC576)</f>
        <v>0</v>
      </c>
      <c r="BY576" s="57" t="n">
        <f aca="false">N(L576)+N(M576)</f>
        <v>32</v>
      </c>
      <c r="BZ576" s="57" t="n">
        <f aca="false">ROUNDUP(G576/BQ576,0)</f>
        <v>1</v>
      </c>
      <c r="CA576" s="57" t="n">
        <f aca="false">ROUNDUP(BX576/BQ576,0)</f>
        <v>0</v>
      </c>
      <c r="CB576" s="60" t="n">
        <f aca="false">IF(BR576=1,0,IFERROR(VLOOKUP(BP576,'Gebinde-Kategorie'!$A$5:$M$45,5,0)+0,0))</f>
        <v>21</v>
      </c>
      <c r="CC576" s="60" t="n">
        <f aca="false">IFERROR(IF(OR(BT576=1,BT576=2,BT576=3),N(INDEX(Parameter!$I$5:$I$7,BT576)),0),0)</f>
        <v>0</v>
      </c>
      <c r="CD576" s="59" t="n">
        <f aca="false">IF(AND(Parameter!$B$21="Ja",ISNUMBER(U576),N(V576)&gt;0),IFERROR(N(INDEX(Parameter!$L$5:$L$7,U576))*INDEX(Parameter!$E$5:$E$7,U576)*V576/SUMIFS($V$7:$V$1576,$U$7:$U$1576,U576),0),0)</f>
        <v>0</v>
      </c>
    </row>
    <row r="577" customFormat="false" ht="15" hidden="false" customHeight="false" outlineLevel="0" collapsed="false">
      <c r="A577" s="55" t="s">
        <v>1202</v>
      </c>
      <c r="B577" s="55" t="s">
        <v>1203</v>
      </c>
      <c r="C577" s="55" t="s">
        <v>160</v>
      </c>
      <c r="D577" s="55" t="s">
        <v>178</v>
      </c>
      <c r="E577" s="55" t="s">
        <v>210</v>
      </c>
      <c r="F577" s="56" t="n">
        <v>0.05</v>
      </c>
      <c r="G577" s="57" t="n">
        <f aca="false">MAX(0,IF(AND(Parameter!$B$21="Ja",ISNUMBER(W577)),W577,IF(Parameter!$B$20="Jahresanfang 2025 + Export",BJ577+BI577,BI577)))</f>
        <v>86</v>
      </c>
      <c r="H577" s="57" t="n">
        <f aca="false">G577*F577</f>
        <v>4.3</v>
      </c>
      <c r="I577" s="57" t="n">
        <f aca="false">BL577*Parameter!$B$18</f>
        <v>670</v>
      </c>
      <c r="J577" s="58" t="n">
        <v>867</v>
      </c>
      <c r="K577" s="59" t="n">
        <v>0.77277970011534</v>
      </c>
      <c r="L577" s="57" t="n">
        <v>52</v>
      </c>
      <c r="M577" s="57" t="n">
        <v>670</v>
      </c>
      <c r="N577" s="60" t="n">
        <v>28</v>
      </c>
      <c r="O577" s="55" t="s">
        <v>391</v>
      </c>
      <c r="P577" s="57" t="n">
        <v>773</v>
      </c>
      <c r="Q577" s="60" t="n">
        <f aca="false">IF(BR577=1,0,IFERROR(VLOOKUP(BP577,'Gebinde-Kategorie'!$A$5:$M$45,13,0)+0,0))</f>
        <v>414</v>
      </c>
      <c r="R577" s="61"/>
      <c r="S577" s="62"/>
      <c r="T577" s="62"/>
      <c r="U577" s="55"/>
      <c r="V577" s="57"/>
      <c r="W577" s="57"/>
      <c r="X577" s="55" t="n">
        <f aca="false">IF(A577="","",IF(AND(Parameter!$B$21="Ja",ISNUMBER(U577)),U577,IF(IFERROR(VLOOKUP(D577,Parameter!$A$35:$C$64,2,0),"Nein")="2+3",IF(ISNUMBER(SEARCH("grosser Artikel",BM577)),2,IFERROR(VLOOKUP(BP577,Parameter!$F$35:$G$64,2,0),2)),IF(OR(IFERROR(VLOOKUP(D577,Parameter!$A$35:$C$64,2,0),"Nein")="Nein",IFERROR(VLOOKUP(D577,Parameter!$A$35:$C$64,2,0),"Nein")=""),"-",VLOOKUP(D577,Parameter!$A$35:$C$64,2,0)))))</f>
        <v>3</v>
      </c>
      <c r="Y577" s="62"/>
      <c r="Z577" s="63"/>
      <c r="AA577" s="57" t="n">
        <f aca="false">AP577</f>
        <v>773</v>
      </c>
      <c r="AB577" s="57" t="n">
        <f aca="false">MAX(AP577,G577)</f>
        <v>773</v>
      </c>
      <c r="AC577" s="64"/>
      <c r="AD577" s="57" t="n">
        <f aca="false">IF(LEFT(Cockpit!$C$5,1)="A",G577,IF(BW577=1,BX577,IF(LEFT(Cockpit!$C$5,1)="B",AH577,MAX(AH577,G577))))</f>
        <v>86</v>
      </c>
      <c r="AE577" s="57" t="n">
        <f aca="false">IF(BR577=1,0,ROUNDUP(AD577/BQ577,0))</f>
        <v>1</v>
      </c>
      <c r="AF577" s="59" t="n">
        <f aca="false">IF(CD577&gt;0,CD577*MAX(1,AD577/V577),IF(BR577=1,IF(AD577&lt;=0,0,BS577*MAX(1,IF(G577&gt;0,AD577/G577,1))),IF(Q577&gt;0,AE577/Q577,0))/MAX(0.1,N(Parameter!$M$21)))</f>
        <v>0.00241545893719807</v>
      </c>
      <c r="AG577" s="57" t="n">
        <f aca="false">AD577*F577</f>
        <v>4.3</v>
      </c>
      <c r="AH577" s="57" t="n">
        <f aca="false">ROUNDUP(MAX(I577/IF(BV577&gt;0,BV577,MAX(0.1,N(Cockpit!$C$6))),BY577)/BQ577,0)*BQ577</f>
        <v>773</v>
      </c>
      <c r="AI577" s="58" t="n">
        <f aca="false">IF(AF577&gt;0,I577/AF577,-1)</f>
        <v>277380</v>
      </c>
      <c r="AJ577" s="58" t="n">
        <f aca="false">IF(AND(OR(BU577="L1",BU577="L23"),AF577&gt;0),SUMIFS($AF$7:$AF$1576,$BU$7:$BU$1576,BU577,$AI$7:$AI$1576,"&gt;"&amp;AI577)+SUMIFS($AF$7:$AF$1576,$BU$7:$BU$1576,BU577,$AI$7:$AI$1576,AI577,$BO$7:$BO$1576,"&lt;="&amp;BO577),"")</f>
        <v>0.00999121651295564</v>
      </c>
      <c r="AK577" s="65" t="n">
        <f aca="false">IF(AJ577="",0,MAX(0,MIN(1,(IF(BU577="L1",Parameter!$E$5,Parameter!$E$6+Parameter!$E$7)-(AJ577-AF577))/AF577)))</f>
        <v>1</v>
      </c>
      <c r="AL577" s="57" t="n">
        <f aca="false">IF(LEFT(Cockpit!$I$5,1)="A",G577,IF(BW577=1,BX577,IF(LEFT(Cockpit!$I$5,1)="B",AP577,MAX(AP577,G577))))</f>
        <v>773</v>
      </c>
      <c r="AM577" s="57" t="n">
        <f aca="false">IF(BR577=1,0,ROUNDUP(AL577/BQ577,0))</f>
        <v>1</v>
      </c>
      <c r="AN577" s="59" t="n">
        <f aca="false">IF(CD577&gt;0,CD577*MAX(1,AL577/V577),IF(BR577=1,IF(AL577&lt;=0,0,BS577*MAX(1,IF(G577&gt;0,AL577/G577,1))),IF(Q577&gt;0,AM577/Q577,0))/MAX(0.1,N(Parameter!$M$21)))</f>
        <v>0.00241545893719807</v>
      </c>
      <c r="AO577" s="57" t="n">
        <f aca="false">AL577*F577</f>
        <v>38.65</v>
      </c>
      <c r="AP577" s="57" t="n">
        <f aca="false">ROUNDUP(MAX(I577/IF(BV577&gt;0,BV577,MAX(0.1,N(Cockpit!$I$6))),BY577)/BQ577,0)*BQ577</f>
        <v>773</v>
      </c>
      <c r="AQ577" s="58" t="n">
        <f aca="false">IF(AN577&gt;0,I577/AN577,-1)</f>
        <v>277380</v>
      </c>
      <c r="AR577" s="58" t="n">
        <f aca="false">IF(AND(OR(BU577="L1",BU577="L23"),AN577&gt;0),SUMIFS($AN$7:$AN$1576,$BU$7:$BU$1576,BU577,$AQ$7:$AQ$1576,"&gt;"&amp;AQ577)+SUMIFS($AN$7:$AN$1576,$BU$7:$BU$1576,BU577,$AQ$7:$AQ$1576,AQ577,$BO$7:$BO$1576,"&lt;="&amp;BO577),"")</f>
        <v>0.0367977433194825</v>
      </c>
      <c r="AS577" s="65" t="n">
        <f aca="false">IF(AR577="",0,MAX(0,MIN(1,(IF(BU577="L1",Parameter!$E$5,Parameter!$E$6+Parameter!$E$7)-(AR577-AN577))/AN577)))</f>
        <v>1</v>
      </c>
      <c r="AT577" s="57" t="n">
        <f aca="false">IF(LEFT(Cockpit!$O$5,1)="A",G577,IF(BW577=1,BX577,IF(LEFT(Cockpit!$O$5,1)="B",AX577,MAX(AX577,G577))))</f>
        <v>773</v>
      </c>
      <c r="AU577" s="57" t="n">
        <f aca="false">IF(BR577=1,0,ROUNDUP(AT577/BQ577,0))</f>
        <v>1</v>
      </c>
      <c r="AV577" s="59" t="n">
        <f aca="false">IF(CD577&gt;0,CD577*MAX(1,AT577/V577),IF(BR577=1,IF(AT577&lt;=0,0,BS577*MAX(1,IF(G577&gt;0,AT577/G577,1))),IF(Q577&gt;0,AU577/Q577,0))/MAX(0.1,N(Parameter!$M$21)))</f>
        <v>0.00241545893719807</v>
      </c>
      <c r="AW577" s="57" t="n">
        <f aca="false">AT577*F577</f>
        <v>38.65</v>
      </c>
      <c r="AX577" s="57" t="n">
        <f aca="false">ROUNDUP(MAX(I577/IF(BV577&gt;0,BV577,MAX(0.1,N(Cockpit!$O$6))),BY577)/BQ577,0)*BQ577</f>
        <v>773</v>
      </c>
      <c r="AY577" s="58" t="n">
        <f aca="false">IF(AV577&gt;0,I577/AV577,-1)</f>
        <v>277380</v>
      </c>
      <c r="AZ577" s="58" t="n">
        <f aca="false">IF(AND(OR(BU577="L1",BU577="L23"),AV577&gt;0),SUMIFS($AV$7:$AV$1576,$BU$7:$BU$1576,BU577,$AY$7:$AY$1576,"&gt;"&amp;AY577)+SUMIFS($AV$7:$AV$1576,$BU$7:$BU$1576,BU577,$AY$7:$AY$1576,AY577,$BO$7:$BO$1576,"&lt;="&amp;BO577),"")</f>
        <v>0.0367977433194825</v>
      </c>
      <c r="BA577" s="65" t="n">
        <f aca="false">IF(AZ577="",0,MAX(0,MIN(1,(IF(BU577="L1",Parameter!$E$5,Parameter!$E$6+Parameter!$E$7)-(AZ577-AV577))/AV577)))</f>
        <v>1</v>
      </c>
      <c r="BB577" s="55" t="str">
        <f aca="false">IF(AF577&lt;=0,"",IF(BU577="Aussen","Aussenlager",IF(BU577="-","Nicht im Lift",IF(AK577&gt;=1,"Lift",IF(AK577&lt;=0,"Aussenlager","teilweise")))))</f>
        <v>Lift</v>
      </c>
      <c r="BC577" s="55" t="str">
        <f aca="false">IF(AN577&lt;=0,"",IF(BU577="Aussen","Aussenlager",IF(BU577="-","Nicht im Lift",IF(AS577&gt;=1,"Lift",IF(AS577&lt;=0,"Aussenlager","teilweise")))))</f>
        <v>Lift</v>
      </c>
      <c r="BD577" s="55" t="str">
        <f aca="false">IF(AV577&lt;=0,"",IF(BU577="Aussen","Aussenlager",IF(BU577="-","Nicht im Lift",IF(BA577&gt;=1,"Lift",IF(BA577&lt;=0,"Aussenlager","teilweise")))))</f>
        <v>Lift</v>
      </c>
      <c r="BE577" s="55" t="str">
        <f aca="false">IF(A577="","",IF(BN577=1,"Neu; ","")&amp;IF(AND(BN577=0,BI577&lt;0),"negativer Bestand (Export "&amp;BI577&amp;"); ","")&amp;IF(I577&lt;=0,"Kein Verbrauch; ","")&amp;IF(CD577&gt;0,"Lift "&amp;U577&amp;" lt. Liftbericht (Fach "&amp;V577&amp;" Stk); ",IF(BR577=1,"Lose – Fläche geschätzt; ",""))&amp;IF(G577&gt;AP577,"Überbestand "&amp;ROUND(G577-AP577,0)&amp;" Stk / CHF "&amp;ROUND((G577-AP577)*F577,0)&amp;"; ","")&amp;IF(AND(BW577=1,BX577&lt;BY577),"MAX &lt; MB+LG; ","")&amp;IF(AND(CC577&gt;0,CB577*10&gt;CC577),"zu hoch für Tablar; ","")&amp;IF(AND(BN577=0,OR(BW577=1,Y577&lt;&gt;"",S577&lt;&gt;"",T577&lt;&gt;"",Z577&lt;&gt;"")),"manuell übersteuert; ","")&amp;IF(AND(BR577=0,Q577=0),"Gebinde unbekannt / Stellmass fehlt; ","")&amp;IF(AND(BR577=0,N(T577)&lt;=0,N(P577)&lt;=0),"Menge pro Gebinde fehlt (Ist = 1 Gebinde); ","")&amp;BM577)</f>
        <v>Handlager</v>
      </c>
      <c r="BF577" s="55"/>
      <c r="BG577" s="55"/>
      <c r="BH577" s="62"/>
      <c r="BI577" s="57" t="n">
        <v>86</v>
      </c>
      <c r="BJ577" s="57" t="n">
        <v>705</v>
      </c>
      <c r="BK577" s="56" t="n">
        <v>10</v>
      </c>
      <c r="BL577" s="57" t="n">
        <v>670</v>
      </c>
      <c r="BM577" s="55" t="s">
        <v>884</v>
      </c>
      <c r="BN577" s="60" t="n">
        <v>0</v>
      </c>
      <c r="BO577" s="60" t="n">
        <v>577</v>
      </c>
      <c r="BP577" s="55" t="str">
        <f aca="false">IF(S577&lt;&gt;"",UPPER(TRIM(S577)),IF(O577="","LOSE",O577))</f>
        <v>S21</v>
      </c>
      <c r="BQ577" s="57" t="n">
        <f aca="false">IF(BP577="LOSE",1,IF(N(T577)&gt;0,T577,IF(N(P577)&gt;0,P577,MAX(1,G577))))</f>
        <v>773</v>
      </c>
      <c r="BR577" s="60" t="n">
        <f aca="false">IF(BP577="LOSE",1,0)</f>
        <v>0</v>
      </c>
      <c r="BS577" s="59" t="n">
        <f aca="false">IF(BR577=0,0,IF(N(R577)&gt;0,R577,IFERROR(VLOOKUP(D577,Parameter!$A$35:$C$64,3,0)+0,0)))</f>
        <v>0</v>
      </c>
      <c r="BT577" s="55" t="n">
        <f aca="false">IF(Y577&lt;&gt;"",Y577,X577)</f>
        <v>3</v>
      </c>
      <c r="BU577" s="55" t="str">
        <f aca="false">IF(BT577=1,"L1",IF(OR(BT577=2,BT577=3),"L23",IF(BT577="Aussen","Aussen","-")))</f>
        <v>L23</v>
      </c>
      <c r="BV577" s="66" t="n">
        <f aca="false">IF(N(Z577)&gt;0,Z577,0)</f>
        <v>0</v>
      </c>
      <c r="BW577" s="60" t="n">
        <f aca="false">IF(ISNUMBER(AC577),1,0)</f>
        <v>0</v>
      </c>
      <c r="BX577" s="57" t="n">
        <f aca="false">N(AC577)</f>
        <v>0</v>
      </c>
      <c r="BY577" s="57" t="n">
        <f aca="false">N(L577)+N(M577)</f>
        <v>722</v>
      </c>
      <c r="BZ577" s="57" t="n">
        <f aca="false">ROUNDUP(G577/BQ577,0)</f>
        <v>1</v>
      </c>
      <c r="CA577" s="57" t="n">
        <f aca="false">ROUNDUP(BX577/BQ577,0)</f>
        <v>0</v>
      </c>
      <c r="CB577" s="60" t="n">
        <f aca="false">IF(BR577=1,0,IFERROR(VLOOKUP(BP577,'Gebinde-Kategorie'!$A$5:$M$45,5,0)+0,0))</f>
        <v>8</v>
      </c>
      <c r="CC577" s="60" t="n">
        <f aca="false">IFERROR(IF(OR(BT577=1,BT577=2,BT577=3),N(INDEX(Parameter!$I$5:$I$7,BT577)),0),0)</f>
        <v>0</v>
      </c>
      <c r="CD577" s="59" t="n">
        <f aca="false">IF(AND(Parameter!$B$21="Ja",ISNUMBER(U577),N(V577)&gt;0),IFERROR(N(INDEX(Parameter!$L$5:$L$7,U577))*INDEX(Parameter!$E$5:$E$7,U577)*V577/SUMIFS($V$7:$V$1576,$U$7:$U$1576,U577),0),0)</f>
        <v>0</v>
      </c>
    </row>
    <row r="578" customFormat="false" ht="15" hidden="false" customHeight="false" outlineLevel="0" collapsed="false">
      <c r="A578" s="55" t="s">
        <v>1204</v>
      </c>
      <c r="B578" s="55" t="s">
        <v>643</v>
      </c>
      <c r="C578" s="55" t="s">
        <v>160</v>
      </c>
      <c r="D578" s="55" t="s">
        <v>178</v>
      </c>
      <c r="E578" s="55" t="s">
        <v>210</v>
      </c>
      <c r="F578" s="56" t="n">
        <v>0.07</v>
      </c>
      <c r="G578" s="57" t="n">
        <f aca="false">MAX(0,IF(AND(Parameter!$B$21="Ja",ISNUMBER(W578)),W578,IF(Parameter!$B$20="Jahresanfang 2025 + Export",BJ578+BI578,BI578)))</f>
        <v>0</v>
      </c>
      <c r="H578" s="57" t="n">
        <f aca="false">G578*F578</f>
        <v>0</v>
      </c>
      <c r="I578" s="57" t="n">
        <f aca="false">BL578*Parameter!$B$18</f>
        <v>140</v>
      </c>
      <c r="J578" s="58" t="n">
        <v>129.5</v>
      </c>
      <c r="K578" s="59" t="n">
        <v>1.08108108108108</v>
      </c>
      <c r="L578" s="57" t="n">
        <v>8</v>
      </c>
      <c r="M578" s="57" t="n">
        <v>200</v>
      </c>
      <c r="N578" s="60" t="n">
        <v>21</v>
      </c>
      <c r="O578" s="55" t="s">
        <v>391</v>
      </c>
      <c r="P578" s="57" t="n">
        <v>250</v>
      </c>
      <c r="Q578" s="60" t="n">
        <f aca="false">IF(BR578=1,0,IFERROR(VLOOKUP(BP578,'Gebinde-Kategorie'!$A$5:$M$45,13,0)+0,0))</f>
        <v>414</v>
      </c>
      <c r="R578" s="61"/>
      <c r="S578" s="62"/>
      <c r="T578" s="62"/>
      <c r="U578" s="55"/>
      <c r="V578" s="57"/>
      <c r="W578" s="57"/>
      <c r="X578" s="55" t="n">
        <f aca="false">IF(A578="","",IF(AND(Parameter!$B$21="Ja",ISNUMBER(U578)),U578,IF(IFERROR(VLOOKUP(D578,Parameter!$A$35:$C$64,2,0),"Nein")="2+3",IF(ISNUMBER(SEARCH("grosser Artikel",BM578)),2,IFERROR(VLOOKUP(BP578,Parameter!$F$35:$G$64,2,0),2)),IF(OR(IFERROR(VLOOKUP(D578,Parameter!$A$35:$C$64,2,0),"Nein")="Nein",IFERROR(VLOOKUP(D578,Parameter!$A$35:$C$64,2,0),"Nein")=""),"-",VLOOKUP(D578,Parameter!$A$35:$C$64,2,0)))))</f>
        <v>3</v>
      </c>
      <c r="Y578" s="62"/>
      <c r="Z578" s="63"/>
      <c r="AA578" s="57" t="n">
        <f aca="false">AP578</f>
        <v>250</v>
      </c>
      <c r="AB578" s="57" t="n">
        <f aca="false">MAX(AP578,G578)</f>
        <v>250</v>
      </c>
      <c r="AC578" s="64"/>
      <c r="AD578" s="57" t="n">
        <f aca="false">IF(LEFT(Cockpit!$C$5,1)="A",G578,IF(BW578=1,BX578,IF(LEFT(Cockpit!$C$5,1)="B",AH578,MAX(AH578,G578))))</f>
        <v>0</v>
      </c>
      <c r="AE578" s="57" t="n">
        <f aca="false">IF(BR578=1,0,ROUNDUP(AD578/BQ578,0))</f>
        <v>0</v>
      </c>
      <c r="AF578" s="59" t="n">
        <f aca="false">IF(CD578&gt;0,CD578*MAX(1,AD578/V578),IF(BR578=1,IF(AD578&lt;=0,0,BS578*MAX(1,IF(G578&gt;0,AD578/G578,1))),IF(Q578&gt;0,AE578/Q578,0))/MAX(0.1,N(Parameter!$M$21)))</f>
        <v>0</v>
      </c>
      <c r="AG578" s="57" t="n">
        <f aca="false">AD578*F578</f>
        <v>0</v>
      </c>
      <c r="AH578" s="57" t="n">
        <f aca="false">ROUNDUP(MAX(I578/IF(BV578&gt;0,BV578,MAX(0.1,N(Cockpit!$C$6))),BY578)/BQ578,0)*BQ578</f>
        <v>250</v>
      </c>
      <c r="AI578" s="58" t="n">
        <f aca="false">IF(AF578&gt;0,I578/AF578,-1)</f>
        <v>-1</v>
      </c>
      <c r="AJ578" s="58" t="str">
        <f aca="false">IF(AND(OR(BU578="L1",BU578="L23"),AF578&gt;0),SUMIFS($AF$7:$AF$1576,$BU$7:$BU$1576,BU578,$AI$7:$AI$1576,"&gt;"&amp;AI578)+SUMIFS($AF$7:$AF$1576,$BU$7:$BU$1576,BU578,$AI$7:$AI$1576,AI578,$BO$7:$BO$1576,"&lt;="&amp;BO578),"")</f>
        <v/>
      </c>
      <c r="AK578" s="65" t="n">
        <f aca="false">IF(AJ578="",0,MAX(0,MIN(1,(IF(BU578="L1",Parameter!$E$5,Parameter!$E$6+Parameter!$E$7)-(AJ578-AF578))/AF578)))</f>
        <v>0</v>
      </c>
      <c r="AL578" s="57" t="n">
        <f aca="false">IF(LEFT(Cockpit!$I$5,1)="A",G578,IF(BW578=1,BX578,IF(LEFT(Cockpit!$I$5,1)="B",AP578,MAX(AP578,G578))))</f>
        <v>250</v>
      </c>
      <c r="AM578" s="57" t="n">
        <f aca="false">IF(BR578=1,0,ROUNDUP(AL578/BQ578,0))</f>
        <v>1</v>
      </c>
      <c r="AN578" s="59" t="n">
        <f aca="false">IF(CD578&gt;0,CD578*MAX(1,AL578/V578),IF(BR578=1,IF(AL578&lt;=0,0,BS578*MAX(1,IF(G578&gt;0,AL578/G578,1))),IF(Q578&gt;0,AM578/Q578,0))/MAX(0.1,N(Parameter!$M$21)))</f>
        <v>0.00241545893719807</v>
      </c>
      <c r="AO578" s="57" t="n">
        <f aca="false">AL578*F578</f>
        <v>17.5</v>
      </c>
      <c r="AP578" s="57" t="n">
        <f aca="false">ROUNDUP(MAX(I578/IF(BV578&gt;0,BV578,MAX(0.1,N(Cockpit!$I$6))),BY578)/BQ578,0)*BQ578</f>
        <v>250</v>
      </c>
      <c r="AQ578" s="58" t="n">
        <f aca="false">IF(AN578&gt;0,I578/AN578,-1)</f>
        <v>57960</v>
      </c>
      <c r="AR578" s="58" t="n">
        <f aca="false">IF(AND(OR(BU578="L1",BU578="L23"),AN578&gt;0),SUMIFS($AN$7:$AN$1576,$BU$7:$BU$1576,BU578,$AQ$7:$AQ$1576,"&gt;"&amp;AQ578)+SUMIFS($AN$7:$AN$1576,$BU$7:$BU$1576,BU578,$AQ$7:$AQ$1576,AQ578,$BO$7:$BO$1576,"&lt;="&amp;BO578),"")</f>
        <v>0.960404378230465</v>
      </c>
      <c r="AS578" s="65" t="n">
        <f aca="false">IF(AR578="",0,MAX(0,MIN(1,(IF(BU578="L1",Parameter!$E$5,Parameter!$E$6+Parameter!$E$7)-(AR578-AN578))/AN578)))</f>
        <v>1</v>
      </c>
      <c r="AT578" s="57" t="n">
        <f aca="false">IF(LEFT(Cockpit!$O$5,1)="A",G578,IF(BW578=1,BX578,IF(LEFT(Cockpit!$O$5,1)="B",AX578,MAX(AX578,G578))))</f>
        <v>250</v>
      </c>
      <c r="AU578" s="57" t="n">
        <f aca="false">IF(BR578=1,0,ROUNDUP(AT578/BQ578,0))</f>
        <v>1</v>
      </c>
      <c r="AV578" s="59" t="n">
        <f aca="false">IF(CD578&gt;0,CD578*MAX(1,AT578/V578),IF(BR578=1,IF(AT578&lt;=0,0,BS578*MAX(1,IF(G578&gt;0,AT578/G578,1))),IF(Q578&gt;0,AU578/Q578,0))/MAX(0.1,N(Parameter!$M$21)))</f>
        <v>0.00241545893719807</v>
      </c>
      <c r="AW578" s="57" t="n">
        <f aca="false">AT578*F578</f>
        <v>17.5</v>
      </c>
      <c r="AX578" s="57" t="n">
        <f aca="false">ROUNDUP(MAX(I578/IF(BV578&gt;0,BV578,MAX(0.1,N(Cockpit!$O$6))),BY578)/BQ578,0)*BQ578</f>
        <v>250</v>
      </c>
      <c r="AY578" s="58" t="n">
        <f aca="false">IF(AV578&gt;0,I578/AV578,-1)</f>
        <v>57960</v>
      </c>
      <c r="AZ578" s="58" t="n">
        <f aca="false">IF(AND(OR(BU578="L1",BU578="L23"),AV578&gt;0),SUMIFS($AV$7:$AV$1576,$BU$7:$BU$1576,BU578,$AY$7:$AY$1576,"&gt;"&amp;AY578)+SUMIFS($AV$7:$AV$1576,$BU$7:$BU$1576,BU578,$AY$7:$AY$1576,AY578,$BO$7:$BO$1576,"&lt;="&amp;BO578),"")</f>
        <v>1.03324820107429</v>
      </c>
      <c r="BA578" s="65" t="n">
        <f aca="false">IF(AZ578="",0,MAX(0,MIN(1,(IF(BU578="L1",Parameter!$E$5,Parameter!$E$6+Parameter!$E$7)-(AZ578-AV578))/AV578)))</f>
        <v>1</v>
      </c>
      <c r="BB578" s="55" t="str">
        <f aca="false">IF(AF578&lt;=0,"",IF(BU578="Aussen","Aussenlager",IF(BU578="-","Nicht im Lift",IF(AK578&gt;=1,"Lift",IF(AK578&lt;=0,"Aussenlager","teilweise")))))</f>
        <v/>
      </c>
      <c r="BC578" s="55" t="str">
        <f aca="false">IF(AN578&lt;=0,"",IF(BU578="Aussen","Aussenlager",IF(BU578="-","Nicht im Lift",IF(AS578&gt;=1,"Lift",IF(AS578&lt;=0,"Aussenlager","teilweise")))))</f>
        <v>Lift</v>
      </c>
      <c r="BD578" s="55" t="str">
        <f aca="false">IF(AV578&lt;=0,"",IF(BU578="Aussen","Aussenlager",IF(BU578="-","Nicht im Lift",IF(BA578&gt;=1,"Lift",IF(BA578&lt;=0,"Aussenlager","teilweise")))))</f>
        <v>Lift</v>
      </c>
      <c r="BE578" s="55" t="str">
        <f aca="false">IF(A578="","",IF(BN578=1,"Neu; ","")&amp;IF(AND(BN578=0,BI578&lt;0),"negativer Bestand (Export "&amp;BI578&amp;"); ","")&amp;IF(I578&lt;=0,"Kein Verbrauch; ","")&amp;IF(CD578&gt;0,"Lift "&amp;U578&amp;" lt. Liftbericht (Fach "&amp;V578&amp;" Stk); ",IF(BR578=1,"Lose – Fläche geschätzt; ",""))&amp;IF(G578&gt;AP578,"Überbestand "&amp;ROUND(G578-AP578,0)&amp;" Stk / CHF "&amp;ROUND((G578-AP578)*F578,0)&amp;"; ","")&amp;IF(AND(BW578=1,BX578&lt;BY578),"MAX &lt; MB+LG; ","")&amp;IF(AND(CC578&gt;0,CB578*10&gt;CC578),"zu hoch für Tablar; ","")&amp;IF(AND(BN578=0,OR(BW578=1,Y578&lt;&gt;"",S578&lt;&gt;"",T578&lt;&gt;"",Z578&lt;&gt;"")),"manuell übersteuert; ","")&amp;IF(AND(BR578=0,Q578=0),"Gebinde unbekannt / Stellmass fehlt; ","")&amp;IF(AND(BR578=0,N(T578)&lt;=0,N(P578)&lt;=0),"Menge pro Gebinde fehlt (Ist = 1 Gebinde); ","")&amp;BM578)</f>
        <v>negativer Bestand (Export -1); </v>
      </c>
      <c r="BF578" s="55"/>
      <c r="BG578" s="55"/>
      <c r="BH578" s="62"/>
      <c r="BI578" s="57" t="n">
        <v>-1</v>
      </c>
      <c r="BJ578" s="57" t="n">
        <v>199</v>
      </c>
      <c r="BK578" s="56" t="n">
        <v>9.88</v>
      </c>
      <c r="BL578" s="57" t="n">
        <v>140</v>
      </c>
      <c r="BM578" s="55"/>
      <c r="BN578" s="60" t="n">
        <v>0</v>
      </c>
      <c r="BO578" s="60" t="n">
        <v>578</v>
      </c>
      <c r="BP578" s="55" t="str">
        <f aca="false">IF(S578&lt;&gt;"",UPPER(TRIM(S578)),IF(O578="","LOSE",O578))</f>
        <v>S21</v>
      </c>
      <c r="BQ578" s="57" t="n">
        <f aca="false">IF(BP578="LOSE",1,IF(N(T578)&gt;0,T578,IF(N(P578)&gt;0,P578,MAX(1,G578))))</f>
        <v>250</v>
      </c>
      <c r="BR578" s="60" t="n">
        <f aca="false">IF(BP578="LOSE",1,0)</f>
        <v>0</v>
      </c>
      <c r="BS578" s="59" t="n">
        <f aca="false">IF(BR578=0,0,IF(N(R578)&gt;0,R578,IFERROR(VLOOKUP(D578,Parameter!$A$35:$C$64,3,0)+0,0)))</f>
        <v>0</v>
      </c>
      <c r="BT578" s="55" t="n">
        <f aca="false">IF(Y578&lt;&gt;"",Y578,X578)</f>
        <v>3</v>
      </c>
      <c r="BU578" s="55" t="str">
        <f aca="false">IF(BT578=1,"L1",IF(OR(BT578=2,BT578=3),"L23",IF(BT578="Aussen","Aussen","-")))</f>
        <v>L23</v>
      </c>
      <c r="BV578" s="66" t="n">
        <f aca="false">IF(N(Z578)&gt;0,Z578,0)</f>
        <v>0</v>
      </c>
      <c r="BW578" s="60" t="n">
        <f aca="false">IF(ISNUMBER(AC578),1,0)</f>
        <v>0</v>
      </c>
      <c r="BX578" s="57" t="n">
        <f aca="false">N(AC578)</f>
        <v>0</v>
      </c>
      <c r="BY578" s="57" t="n">
        <f aca="false">N(L578)+N(M578)</f>
        <v>208</v>
      </c>
      <c r="BZ578" s="57" t="n">
        <f aca="false">ROUNDUP(G578/BQ578,0)</f>
        <v>0</v>
      </c>
      <c r="CA578" s="57" t="n">
        <f aca="false">ROUNDUP(BX578/BQ578,0)</f>
        <v>0</v>
      </c>
      <c r="CB578" s="60" t="n">
        <f aca="false">IF(BR578=1,0,IFERROR(VLOOKUP(BP578,'Gebinde-Kategorie'!$A$5:$M$45,5,0)+0,0))</f>
        <v>8</v>
      </c>
      <c r="CC578" s="60" t="n">
        <f aca="false">IFERROR(IF(OR(BT578=1,BT578=2,BT578=3),N(INDEX(Parameter!$I$5:$I$7,BT578)),0),0)</f>
        <v>0</v>
      </c>
      <c r="CD578" s="59" t="n">
        <f aca="false">IF(AND(Parameter!$B$21="Ja",ISNUMBER(U578),N(V578)&gt;0),IFERROR(N(INDEX(Parameter!$L$5:$L$7,U578))*INDEX(Parameter!$E$5:$E$7,U578)*V578/SUMIFS($V$7:$V$1576,$U$7:$U$1576,U578),0),0)</f>
        <v>0</v>
      </c>
    </row>
    <row r="579" customFormat="false" ht="15" hidden="false" customHeight="false" outlineLevel="0" collapsed="false">
      <c r="A579" s="55" t="s">
        <v>1205</v>
      </c>
      <c r="B579" s="55" t="s">
        <v>1206</v>
      </c>
      <c r="C579" s="55" t="s">
        <v>160</v>
      </c>
      <c r="D579" s="55" t="s">
        <v>168</v>
      </c>
      <c r="E579" s="55" t="s">
        <v>210</v>
      </c>
      <c r="F579" s="56" t="n">
        <v>9.55</v>
      </c>
      <c r="G579" s="57" t="n">
        <f aca="false">MAX(0,IF(AND(Parameter!$B$21="Ja",ISNUMBER(W579)),W579,IF(Parameter!$B$20="Jahresanfang 2025 + Export",BJ579+BI579,BI579)))</f>
        <v>1</v>
      </c>
      <c r="H579" s="57" t="n">
        <f aca="false">G579*F579</f>
        <v>9.55</v>
      </c>
      <c r="I579" s="57" t="n">
        <f aca="false">BL579*Parameter!$B$18</f>
        <v>0</v>
      </c>
      <c r="J579" s="58" t="n">
        <v>0</v>
      </c>
      <c r="K579" s="59" t="n">
        <v>0</v>
      </c>
      <c r="L579" s="57" t="n">
        <v>0</v>
      </c>
      <c r="M579" s="57" t="n">
        <v>1</v>
      </c>
      <c r="N579" s="60" t="n">
        <v>21</v>
      </c>
      <c r="O579" s="55" t="s">
        <v>163</v>
      </c>
      <c r="P579" s="57"/>
      <c r="Q579" s="60" t="n">
        <f aca="false">IF(BR579=1,0,IFERROR(VLOOKUP(BP579,'Gebinde-Kategorie'!$A$5:$M$45,13,0)+0,0))</f>
        <v>0</v>
      </c>
      <c r="R579" s="61"/>
      <c r="S579" s="62"/>
      <c r="T579" s="62"/>
      <c r="U579" s="55"/>
      <c r="V579" s="57"/>
      <c r="W579" s="57"/>
      <c r="X579" s="55" t="n">
        <f aca="false">IF(A579="","",IF(AND(Parameter!$B$21="Ja",ISNUMBER(U579)),U579,IF(IFERROR(VLOOKUP(D579,Parameter!$A$35:$C$64,2,0),"Nein")="2+3",IF(ISNUMBER(SEARCH("grosser Artikel",BM579)),2,IFERROR(VLOOKUP(BP579,Parameter!$F$35:$G$64,2,0),2)),IF(OR(IFERROR(VLOOKUP(D579,Parameter!$A$35:$C$64,2,0),"Nein")="Nein",IFERROR(VLOOKUP(D579,Parameter!$A$35:$C$64,2,0),"Nein")=""),"-",VLOOKUP(D579,Parameter!$A$35:$C$64,2,0)))))</f>
        <v>2</v>
      </c>
      <c r="Y579" s="62"/>
      <c r="Z579" s="63"/>
      <c r="AA579" s="57" t="n">
        <f aca="false">AP579</f>
        <v>1</v>
      </c>
      <c r="AB579" s="57" t="n">
        <f aca="false">MAX(AP579,G579)</f>
        <v>1</v>
      </c>
      <c r="AC579" s="64"/>
      <c r="AD579" s="57" t="n">
        <f aca="false">IF(LEFT(Cockpit!$C$5,1)="A",G579,IF(BW579=1,BX579,IF(LEFT(Cockpit!$C$5,1)="B",AH579,MAX(AH579,G579))))</f>
        <v>1</v>
      </c>
      <c r="AE579" s="57" t="n">
        <f aca="false">IF(BR579=1,0,ROUNDUP(AD579/BQ579,0))</f>
        <v>0</v>
      </c>
      <c r="AF579" s="59" t="n">
        <f aca="false">IF(CD579&gt;0,CD579*MAX(1,AD579/V579),IF(BR579=1,IF(AD579&lt;=0,0,BS579*MAX(1,IF(G579&gt;0,AD579/G579,1))),IF(Q579&gt;0,AE579/Q579,0))/MAX(0.1,N(Parameter!$M$21)))</f>
        <v>0.15</v>
      </c>
      <c r="AG579" s="57" t="n">
        <f aca="false">AD579*F579</f>
        <v>9.55</v>
      </c>
      <c r="AH579" s="57" t="n">
        <f aca="false">ROUNDUP(MAX(I579/IF(BV579&gt;0,BV579,MAX(0.1,N(Cockpit!$C$6))),BY579)/BQ579,0)*BQ579</f>
        <v>1</v>
      </c>
      <c r="AI579" s="58" t="n">
        <f aca="false">IF(AF579&gt;0,I579/AF579,-1)</f>
        <v>0</v>
      </c>
      <c r="AJ579" s="58" t="n">
        <f aca="false">IF(AND(OR(BU579="L1",BU579="L23"),AF579&gt;0),SUMIFS($AF$7:$AF$1576,$BU$7:$BU$1576,BU579,$AI$7:$AI$1576,"&gt;"&amp;AI579)+SUMIFS($AF$7:$AF$1576,$BU$7:$BU$1576,BU579,$AI$7:$AI$1576,AI579,$BO$7:$BO$1576,"&lt;="&amp;BO579),"")</f>
        <v>43.8853028613898</v>
      </c>
      <c r="AK579" s="65" t="n">
        <f aca="false">IF(AJ579="",0,MAX(0,MIN(1,(IF(BU579="L1",Parameter!$E$5,Parameter!$E$6+Parameter!$E$7)-(AJ579-AF579))/AF579)))</f>
        <v>1</v>
      </c>
      <c r="AL579" s="57" t="n">
        <f aca="false">IF(LEFT(Cockpit!$I$5,1)="A",G579,IF(BW579=1,BX579,IF(LEFT(Cockpit!$I$5,1)="B",AP579,MAX(AP579,G579))))</f>
        <v>1</v>
      </c>
      <c r="AM579" s="57" t="n">
        <f aca="false">IF(BR579=1,0,ROUNDUP(AL579/BQ579,0))</f>
        <v>0</v>
      </c>
      <c r="AN579" s="59" t="n">
        <f aca="false">IF(CD579&gt;0,CD579*MAX(1,AL579/V579),IF(BR579=1,IF(AL579&lt;=0,0,BS579*MAX(1,IF(G579&gt;0,AL579/G579,1))),IF(Q579&gt;0,AM579/Q579,0))/MAX(0.1,N(Parameter!$M$21)))</f>
        <v>0.15</v>
      </c>
      <c r="AO579" s="57" t="n">
        <f aca="false">AL579*F579</f>
        <v>9.55</v>
      </c>
      <c r="AP579" s="57" t="n">
        <f aca="false">ROUNDUP(MAX(I579/IF(BV579&gt;0,BV579,MAX(0.1,N(Cockpit!$I$6))),BY579)/BQ579,0)*BQ579</f>
        <v>1</v>
      </c>
      <c r="AQ579" s="58" t="n">
        <f aca="false">IF(AN579&gt;0,I579/AN579,-1)</f>
        <v>0</v>
      </c>
      <c r="AR579" s="58" t="n">
        <f aca="false">IF(AND(OR(BU579="L1",BU579="L23"),AN579&gt;0),SUMIFS($AN$7:$AN$1576,$BU$7:$BU$1576,BU579,$AQ$7:$AQ$1576,"&gt;"&amp;AQ579)+SUMIFS($AN$7:$AN$1576,$BU$7:$BU$1576,BU579,$AQ$7:$AQ$1576,AQ579,$BO$7:$BO$1576,"&lt;="&amp;BO579),"")</f>
        <v>126.882088979908</v>
      </c>
      <c r="AS579" s="65" t="n">
        <f aca="false">IF(AR579="",0,MAX(0,MIN(1,(IF(BU579="L1",Parameter!$E$5,Parameter!$E$6+Parameter!$E$7)-(AR579-AN579))/AN579)))</f>
        <v>0</v>
      </c>
      <c r="AT579" s="57" t="n">
        <f aca="false">IF(LEFT(Cockpit!$O$5,1)="A",G579,IF(BW579=1,BX579,IF(LEFT(Cockpit!$O$5,1)="B",AX579,MAX(AX579,G579))))</f>
        <v>1</v>
      </c>
      <c r="AU579" s="57" t="n">
        <f aca="false">IF(BR579=1,0,ROUNDUP(AT579/BQ579,0))</f>
        <v>0</v>
      </c>
      <c r="AV579" s="59" t="n">
        <f aca="false">IF(CD579&gt;0,CD579*MAX(1,AT579/V579),IF(BR579=1,IF(AT579&lt;=0,0,BS579*MAX(1,IF(G579&gt;0,AT579/G579,1))),IF(Q579&gt;0,AU579/Q579,0))/MAX(0.1,N(Parameter!$M$21)))</f>
        <v>0.15</v>
      </c>
      <c r="AW579" s="57" t="n">
        <f aca="false">AT579*F579</f>
        <v>9.55</v>
      </c>
      <c r="AX579" s="57" t="n">
        <f aca="false">ROUNDUP(MAX(I579/IF(BV579&gt;0,BV579,MAX(0.1,N(Cockpit!$O$6))),BY579)/BQ579,0)*BQ579</f>
        <v>1</v>
      </c>
      <c r="AY579" s="58" t="n">
        <f aca="false">IF(AV579&gt;0,I579/AV579,-1)</f>
        <v>0</v>
      </c>
      <c r="AZ579" s="58" t="n">
        <f aca="false">IF(AND(OR(BU579="L1",BU579="L23"),AV579&gt;0),SUMIFS($AV$7:$AV$1576,$BU$7:$BU$1576,BU579,$AY$7:$AY$1576,"&gt;"&amp;AY579)+SUMIFS($AV$7:$AV$1576,$BU$7:$BU$1576,BU579,$AY$7:$AY$1576,AY579,$BO$7:$BO$1576,"&lt;="&amp;BO579),"")</f>
        <v>116.941639429459</v>
      </c>
      <c r="BA579" s="65" t="n">
        <f aca="false">IF(AZ579="",0,MAX(0,MIN(1,(IF(BU579="L1",Parameter!$E$5,Parameter!$E$6+Parameter!$E$7)-(AZ579-AV579))/AV579)))</f>
        <v>0</v>
      </c>
      <c r="BB579" s="55" t="str">
        <f aca="false">IF(AF579&lt;=0,"",IF(BU579="Aussen","Aussenlager",IF(BU579="-","Nicht im Lift",IF(AK579&gt;=1,"Lift",IF(AK579&lt;=0,"Aussenlager","teilweise")))))</f>
        <v>Lift</v>
      </c>
      <c r="BC579" s="55" t="str">
        <f aca="false">IF(AN579&lt;=0,"",IF(BU579="Aussen","Aussenlager",IF(BU579="-","Nicht im Lift",IF(AS579&gt;=1,"Lift",IF(AS579&lt;=0,"Aussenlager","teilweise")))))</f>
        <v>Aussenlager</v>
      </c>
      <c r="BD579" s="55" t="str">
        <f aca="false">IF(AV579&lt;=0,"",IF(BU579="Aussen","Aussenlager",IF(BU579="-","Nicht im Lift",IF(BA579&gt;=1,"Lift",IF(BA579&lt;=0,"Aussenlager","teilweise")))))</f>
        <v>Aussenlager</v>
      </c>
      <c r="BE579" s="55" t="str">
        <f aca="false">IF(A579="","",IF(BN579=1,"Neu; ","")&amp;IF(AND(BN579=0,BI579&lt;0),"negativer Bestand (Export "&amp;BI579&amp;"); ","")&amp;IF(I579&lt;=0,"Kein Verbrauch; ","")&amp;IF(CD579&gt;0,"Lift "&amp;U579&amp;" lt. Liftbericht (Fach "&amp;V579&amp;" Stk); ",IF(BR579=1,"Lose – Fläche geschätzt; ",""))&amp;IF(G579&gt;AP579,"Überbestand "&amp;ROUND(G579-AP579,0)&amp;" Stk / CHF "&amp;ROUND((G579-AP579)*F579,0)&amp;"; ","")&amp;IF(AND(BW579=1,BX579&lt;BY579),"MAX &lt; MB+LG; ","")&amp;IF(AND(CC579&gt;0,CB579*10&gt;CC579),"zu hoch für Tablar; ","")&amp;IF(AND(BN579=0,OR(BW579=1,Y579&lt;&gt;"",S579&lt;&gt;"",T579&lt;&gt;"",Z579&lt;&gt;"")),"manuell übersteuert; ","")&amp;IF(AND(BR579=0,Q579=0),"Gebinde unbekannt / Stellmass fehlt; ","")&amp;IF(AND(BR579=0,N(T579)&lt;=0,N(P579)&lt;=0),"Menge pro Gebinde fehlt (Ist = 1 Gebinde); ","")&amp;BM579)</f>
        <v>Kein Verbrauch; Lose – Fläche geschätzt; </v>
      </c>
      <c r="BF579" s="55"/>
      <c r="BG579" s="55"/>
      <c r="BH579" s="62"/>
      <c r="BI579" s="57" t="n">
        <v>1</v>
      </c>
      <c r="BJ579" s="57" t="n">
        <v>0</v>
      </c>
      <c r="BK579" s="56" t="n">
        <v>9.55</v>
      </c>
      <c r="BL579" s="57" t="n">
        <v>0</v>
      </c>
      <c r="BM579" s="55"/>
      <c r="BN579" s="60" t="n">
        <v>0</v>
      </c>
      <c r="BO579" s="60" t="n">
        <v>579</v>
      </c>
      <c r="BP579" s="55" t="str">
        <f aca="false">IF(S579&lt;&gt;"",UPPER(TRIM(S579)),IF(O579="","LOSE",O579))</f>
        <v>LOSE</v>
      </c>
      <c r="BQ579" s="57" t="n">
        <f aca="false">IF(BP579="LOSE",1,IF(N(T579)&gt;0,T579,IF(N(P579)&gt;0,P579,MAX(1,G579))))</f>
        <v>1</v>
      </c>
      <c r="BR579" s="60" t="n">
        <f aca="false">IF(BP579="LOSE",1,0)</f>
        <v>1</v>
      </c>
      <c r="BS579" s="59" t="n">
        <f aca="false">IF(BR579=0,0,IF(N(R579)&gt;0,R579,IFERROR(VLOOKUP(D579,Parameter!$A$35:$C$64,3,0)+0,0)))</f>
        <v>0.15</v>
      </c>
      <c r="BT579" s="55" t="n">
        <f aca="false">IF(Y579&lt;&gt;"",Y579,X579)</f>
        <v>2</v>
      </c>
      <c r="BU579" s="55" t="str">
        <f aca="false">IF(BT579=1,"L1",IF(OR(BT579=2,BT579=3),"L23",IF(BT579="Aussen","Aussen","-")))</f>
        <v>L23</v>
      </c>
      <c r="BV579" s="66" t="n">
        <f aca="false">IF(N(Z579)&gt;0,Z579,0)</f>
        <v>0</v>
      </c>
      <c r="BW579" s="60" t="n">
        <f aca="false">IF(ISNUMBER(AC579),1,0)</f>
        <v>0</v>
      </c>
      <c r="BX579" s="57" t="n">
        <f aca="false">N(AC579)</f>
        <v>0</v>
      </c>
      <c r="BY579" s="57" t="n">
        <f aca="false">N(L579)+N(M579)</f>
        <v>1</v>
      </c>
      <c r="BZ579" s="57" t="n">
        <f aca="false">ROUNDUP(G579/BQ579,0)</f>
        <v>1</v>
      </c>
      <c r="CA579" s="57" t="n">
        <f aca="false">ROUNDUP(BX579/BQ579,0)</f>
        <v>0</v>
      </c>
      <c r="CB579" s="60" t="n">
        <f aca="false">IF(BR579=1,0,IFERROR(VLOOKUP(BP579,'Gebinde-Kategorie'!$A$5:$M$45,5,0)+0,0))</f>
        <v>0</v>
      </c>
      <c r="CC579" s="60" t="n">
        <f aca="false">IFERROR(IF(OR(BT579=1,BT579=2,BT579=3),N(INDEX(Parameter!$I$5:$I$7,BT579)),0),0)</f>
        <v>0</v>
      </c>
      <c r="CD579" s="59" t="n">
        <f aca="false">IF(AND(Parameter!$B$21="Ja",ISNUMBER(U579),N(V579)&gt;0),IFERROR(N(INDEX(Parameter!$L$5:$L$7,U579))*INDEX(Parameter!$E$5:$E$7,U579)*V579/SUMIFS($V$7:$V$1576,$U$7:$U$1576,U579),0),0)</f>
        <v>0</v>
      </c>
    </row>
    <row r="580" customFormat="false" ht="15" hidden="false" customHeight="false" outlineLevel="0" collapsed="false">
      <c r="A580" s="55" t="s">
        <v>1207</v>
      </c>
      <c r="B580" s="55" t="s">
        <v>1154</v>
      </c>
      <c r="C580" s="55" t="s">
        <v>160</v>
      </c>
      <c r="D580" s="55" t="s">
        <v>168</v>
      </c>
      <c r="E580" s="55" t="s">
        <v>210</v>
      </c>
      <c r="F580" s="56" t="n">
        <v>9.5</v>
      </c>
      <c r="G580" s="57" t="n">
        <f aca="false">MAX(0,IF(AND(Parameter!$B$21="Ja",ISNUMBER(W580)),W580,IF(Parameter!$B$20="Jahresanfang 2025 + Export",BJ580+BI580,BI580)))</f>
        <v>1</v>
      </c>
      <c r="H580" s="57" t="n">
        <f aca="false">G580*F580</f>
        <v>9.5</v>
      </c>
      <c r="I580" s="57" t="n">
        <f aca="false">BL580*Parameter!$B$18</f>
        <v>0</v>
      </c>
      <c r="J580" s="58" t="n">
        <v>0</v>
      </c>
      <c r="K580" s="59" t="n">
        <v>0</v>
      </c>
      <c r="L580" s="57" t="n">
        <v>0</v>
      </c>
      <c r="M580" s="57" t="n">
        <v>1</v>
      </c>
      <c r="N580" s="60" t="n">
        <v>21</v>
      </c>
      <c r="O580" s="55" t="s">
        <v>163</v>
      </c>
      <c r="P580" s="57"/>
      <c r="Q580" s="60" t="n">
        <f aca="false">IF(BR580=1,0,IFERROR(VLOOKUP(BP580,'Gebinde-Kategorie'!$A$5:$M$45,13,0)+0,0))</f>
        <v>0</v>
      </c>
      <c r="R580" s="61"/>
      <c r="S580" s="62"/>
      <c r="T580" s="62"/>
      <c r="U580" s="55"/>
      <c r="V580" s="57"/>
      <c r="W580" s="57"/>
      <c r="X580" s="55" t="n">
        <f aca="false">IF(A580="","",IF(AND(Parameter!$B$21="Ja",ISNUMBER(U580)),U580,IF(IFERROR(VLOOKUP(D580,Parameter!$A$35:$C$64,2,0),"Nein")="2+3",IF(ISNUMBER(SEARCH("grosser Artikel",BM580)),2,IFERROR(VLOOKUP(BP580,Parameter!$F$35:$G$64,2,0),2)),IF(OR(IFERROR(VLOOKUP(D580,Parameter!$A$35:$C$64,2,0),"Nein")="Nein",IFERROR(VLOOKUP(D580,Parameter!$A$35:$C$64,2,0),"Nein")=""),"-",VLOOKUP(D580,Parameter!$A$35:$C$64,2,0)))))</f>
        <v>2</v>
      </c>
      <c r="Y580" s="62"/>
      <c r="Z580" s="63"/>
      <c r="AA580" s="57" t="n">
        <f aca="false">AP580</f>
        <v>1</v>
      </c>
      <c r="AB580" s="57" t="n">
        <f aca="false">MAX(AP580,G580)</f>
        <v>1</v>
      </c>
      <c r="AC580" s="64"/>
      <c r="AD580" s="57" t="n">
        <f aca="false">IF(LEFT(Cockpit!$C$5,1)="A",G580,IF(BW580=1,BX580,IF(LEFT(Cockpit!$C$5,1)="B",AH580,MAX(AH580,G580))))</f>
        <v>1</v>
      </c>
      <c r="AE580" s="57" t="n">
        <f aca="false">IF(BR580=1,0,ROUNDUP(AD580/BQ580,0))</f>
        <v>0</v>
      </c>
      <c r="AF580" s="59" t="n">
        <f aca="false">IF(CD580&gt;0,CD580*MAX(1,AD580/V580),IF(BR580=1,IF(AD580&lt;=0,0,BS580*MAX(1,IF(G580&gt;0,AD580/G580,1))),IF(Q580&gt;0,AE580/Q580,0))/MAX(0.1,N(Parameter!$M$21)))</f>
        <v>0.15</v>
      </c>
      <c r="AG580" s="57" t="n">
        <f aca="false">AD580*F580</f>
        <v>9.5</v>
      </c>
      <c r="AH580" s="57" t="n">
        <f aca="false">ROUNDUP(MAX(I580/IF(BV580&gt;0,BV580,MAX(0.1,N(Cockpit!$C$6))),BY580)/BQ580,0)*BQ580</f>
        <v>1</v>
      </c>
      <c r="AI580" s="58" t="n">
        <f aca="false">IF(AF580&gt;0,I580/AF580,-1)</f>
        <v>0</v>
      </c>
      <c r="AJ580" s="58" t="n">
        <f aca="false">IF(AND(OR(BU580="L1",BU580="L23"),AF580&gt;0),SUMIFS($AF$7:$AF$1576,$BU$7:$BU$1576,BU580,$AI$7:$AI$1576,"&gt;"&amp;AI580)+SUMIFS($AF$7:$AF$1576,$BU$7:$BU$1576,BU580,$AI$7:$AI$1576,AI580,$BO$7:$BO$1576,"&lt;="&amp;BO580),"")</f>
        <v>44.0353028613898</v>
      </c>
      <c r="AK580" s="65" t="n">
        <f aca="false">IF(AJ580="",0,MAX(0,MIN(1,(IF(BU580="L1",Parameter!$E$5,Parameter!$E$6+Parameter!$E$7)-(AJ580-AF580))/AF580)))</f>
        <v>1</v>
      </c>
      <c r="AL580" s="57" t="n">
        <f aca="false">IF(LEFT(Cockpit!$I$5,1)="A",G580,IF(BW580=1,BX580,IF(LEFT(Cockpit!$I$5,1)="B",AP580,MAX(AP580,G580))))</f>
        <v>1</v>
      </c>
      <c r="AM580" s="57" t="n">
        <f aca="false">IF(BR580=1,0,ROUNDUP(AL580/BQ580,0))</f>
        <v>0</v>
      </c>
      <c r="AN580" s="59" t="n">
        <f aca="false">IF(CD580&gt;0,CD580*MAX(1,AL580/V580),IF(BR580=1,IF(AL580&lt;=0,0,BS580*MAX(1,IF(G580&gt;0,AL580/G580,1))),IF(Q580&gt;0,AM580/Q580,0))/MAX(0.1,N(Parameter!$M$21)))</f>
        <v>0.15</v>
      </c>
      <c r="AO580" s="57" t="n">
        <f aca="false">AL580*F580</f>
        <v>9.5</v>
      </c>
      <c r="AP580" s="57" t="n">
        <f aca="false">ROUNDUP(MAX(I580/IF(BV580&gt;0,BV580,MAX(0.1,N(Cockpit!$I$6))),BY580)/BQ580,0)*BQ580</f>
        <v>1</v>
      </c>
      <c r="AQ580" s="58" t="n">
        <f aca="false">IF(AN580&gt;0,I580/AN580,-1)</f>
        <v>0</v>
      </c>
      <c r="AR580" s="58" t="n">
        <f aca="false">IF(AND(OR(BU580="L1",BU580="L23"),AN580&gt;0),SUMIFS($AN$7:$AN$1576,$BU$7:$BU$1576,BU580,$AQ$7:$AQ$1576,"&gt;"&amp;AQ580)+SUMIFS($AN$7:$AN$1576,$BU$7:$BU$1576,BU580,$AQ$7:$AQ$1576,AQ580,$BO$7:$BO$1576,"&lt;="&amp;BO580),"")</f>
        <v>127.032088979908</v>
      </c>
      <c r="AS580" s="65" t="n">
        <f aca="false">IF(AR580="",0,MAX(0,MIN(1,(IF(BU580="L1",Parameter!$E$5,Parameter!$E$6+Parameter!$E$7)-(AR580-AN580))/AN580)))</f>
        <v>0</v>
      </c>
      <c r="AT580" s="57" t="n">
        <f aca="false">IF(LEFT(Cockpit!$O$5,1)="A",G580,IF(BW580=1,BX580,IF(LEFT(Cockpit!$O$5,1)="B",AX580,MAX(AX580,G580))))</f>
        <v>1</v>
      </c>
      <c r="AU580" s="57" t="n">
        <f aca="false">IF(BR580=1,0,ROUNDUP(AT580/BQ580,0))</f>
        <v>0</v>
      </c>
      <c r="AV580" s="59" t="n">
        <f aca="false">IF(CD580&gt;0,CD580*MAX(1,AT580/V580),IF(BR580=1,IF(AT580&lt;=0,0,BS580*MAX(1,IF(G580&gt;0,AT580/G580,1))),IF(Q580&gt;0,AU580/Q580,0))/MAX(0.1,N(Parameter!$M$21)))</f>
        <v>0.15</v>
      </c>
      <c r="AW580" s="57" t="n">
        <f aca="false">AT580*F580</f>
        <v>9.5</v>
      </c>
      <c r="AX580" s="57" t="n">
        <f aca="false">ROUNDUP(MAX(I580/IF(BV580&gt;0,BV580,MAX(0.1,N(Cockpit!$O$6))),BY580)/BQ580,0)*BQ580</f>
        <v>1</v>
      </c>
      <c r="AY580" s="58" t="n">
        <f aca="false">IF(AV580&gt;0,I580/AV580,-1)</f>
        <v>0</v>
      </c>
      <c r="AZ580" s="58" t="n">
        <f aca="false">IF(AND(OR(BU580="L1",BU580="L23"),AV580&gt;0),SUMIFS($AV$7:$AV$1576,$BU$7:$BU$1576,BU580,$AY$7:$AY$1576,"&gt;"&amp;AY580)+SUMIFS($AV$7:$AV$1576,$BU$7:$BU$1576,BU580,$AY$7:$AY$1576,AY580,$BO$7:$BO$1576,"&lt;="&amp;BO580),"")</f>
        <v>117.091639429459</v>
      </c>
      <c r="BA580" s="65" t="n">
        <f aca="false">IF(AZ580="",0,MAX(0,MIN(1,(IF(BU580="L1",Parameter!$E$5,Parameter!$E$6+Parameter!$E$7)-(AZ580-AV580))/AV580)))</f>
        <v>0</v>
      </c>
      <c r="BB580" s="55" t="str">
        <f aca="false">IF(AF580&lt;=0,"",IF(BU580="Aussen","Aussenlager",IF(BU580="-","Nicht im Lift",IF(AK580&gt;=1,"Lift",IF(AK580&lt;=0,"Aussenlager","teilweise")))))</f>
        <v>Lift</v>
      </c>
      <c r="BC580" s="55" t="str">
        <f aca="false">IF(AN580&lt;=0,"",IF(BU580="Aussen","Aussenlager",IF(BU580="-","Nicht im Lift",IF(AS580&gt;=1,"Lift",IF(AS580&lt;=0,"Aussenlager","teilweise")))))</f>
        <v>Aussenlager</v>
      </c>
      <c r="BD580" s="55" t="str">
        <f aca="false">IF(AV580&lt;=0,"",IF(BU580="Aussen","Aussenlager",IF(BU580="-","Nicht im Lift",IF(BA580&gt;=1,"Lift",IF(BA580&lt;=0,"Aussenlager","teilweise")))))</f>
        <v>Aussenlager</v>
      </c>
      <c r="BE580" s="55" t="str">
        <f aca="false">IF(A580="","",IF(BN580=1,"Neu; ","")&amp;IF(AND(BN580=0,BI580&lt;0),"negativer Bestand (Export "&amp;BI580&amp;"); ","")&amp;IF(I580&lt;=0,"Kein Verbrauch; ","")&amp;IF(CD580&gt;0,"Lift "&amp;U580&amp;" lt. Liftbericht (Fach "&amp;V580&amp;" Stk); ",IF(BR580=1,"Lose – Fläche geschätzt; ",""))&amp;IF(G580&gt;AP580,"Überbestand "&amp;ROUND(G580-AP580,0)&amp;" Stk / CHF "&amp;ROUND((G580-AP580)*F580,0)&amp;"; ","")&amp;IF(AND(BW580=1,BX580&lt;BY580),"MAX &lt; MB+LG; ","")&amp;IF(AND(CC580&gt;0,CB580*10&gt;CC580),"zu hoch für Tablar; ","")&amp;IF(AND(BN580=0,OR(BW580=1,Y580&lt;&gt;"",S580&lt;&gt;"",T580&lt;&gt;"",Z580&lt;&gt;"")),"manuell übersteuert; ","")&amp;IF(AND(BR580=0,Q580=0),"Gebinde unbekannt / Stellmass fehlt; ","")&amp;IF(AND(BR580=0,N(T580)&lt;=0,N(P580)&lt;=0),"Menge pro Gebinde fehlt (Ist = 1 Gebinde); ","")&amp;BM580)</f>
        <v>Kein Verbrauch; Lose – Fläche geschätzt; </v>
      </c>
      <c r="BF580" s="55"/>
      <c r="BG580" s="55"/>
      <c r="BH580" s="62"/>
      <c r="BI580" s="57" t="n">
        <v>1</v>
      </c>
      <c r="BJ580" s="57" t="n">
        <v>0</v>
      </c>
      <c r="BK580" s="56" t="n">
        <v>9.5</v>
      </c>
      <c r="BL580" s="57" t="n">
        <v>0</v>
      </c>
      <c r="BM580" s="55"/>
      <c r="BN580" s="60" t="n">
        <v>0</v>
      </c>
      <c r="BO580" s="60" t="n">
        <v>580</v>
      </c>
      <c r="BP580" s="55" t="str">
        <f aca="false">IF(S580&lt;&gt;"",UPPER(TRIM(S580)),IF(O580="","LOSE",O580))</f>
        <v>LOSE</v>
      </c>
      <c r="BQ580" s="57" t="n">
        <f aca="false">IF(BP580="LOSE",1,IF(N(T580)&gt;0,T580,IF(N(P580)&gt;0,P580,MAX(1,G580))))</f>
        <v>1</v>
      </c>
      <c r="BR580" s="60" t="n">
        <f aca="false">IF(BP580="LOSE",1,0)</f>
        <v>1</v>
      </c>
      <c r="BS580" s="59" t="n">
        <f aca="false">IF(BR580=0,0,IF(N(R580)&gt;0,R580,IFERROR(VLOOKUP(D580,Parameter!$A$35:$C$64,3,0)+0,0)))</f>
        <v>0.15</v>
      </c>
      <c r="BT580" s="55" t="n">
        <f aca="false">IF(Y580&lt;&gt;"",Y580,X580)</f>
        <v>2</v>
      </c>
      <c r="BU580" s="55" t="str">
        <f aca="false">IF(BT580=1,"L1",IF(OR(BT580=2,BT580=3),"L23",IF(BT580="Aussen","Aussen","-")))</f>
        <v>L23</v>
      </c>
      <c r="BV580" s="66" t="n">
        <f aca="false">IF(N(Z580)&gt;0,Z580,0)</f>
        <v>0</v>
      </c>
      <c r="BW580" s="60" t="n">
        <f aca="false">IF(ISNUMBER(AC580),1,0)</f>
        <v>0</v>
      </c>
      <c r="BX580" s="57" t="n">
        <f aca="false">N(AC580)</f>
        <v>0</v>
      </c>
      <c r="BY580" s="57" t="n">
        <f aca="false">N(L580)+N(M580)</f>
        <v>1</v>
      </c>
      <c r="BZ580" s="57" t="n">
        <f aca="false">ROUNDUP(G580/BQ580,0)</f>
        <v>1</v>
      </c>
      <c r="CA580" s="57" t="n">
        <f aca="false">ROUNDUP(BX580/BQ580,0)</f>
        <v>0</v>
      </c>
      <c r="CB580" s="60" t="n">
        <f aca="false">IF(BR580=1,0,IFERROR(VLOOKUP(BP580,'Gebinde-Kategorie'!$A$5:$M$45,5,0)+0,0))</f>
        <v>0</v>
      </c>
      <c r="CC580" s="60" t="n">
        <f aca="false">IFERROR(IF(OR(BT580=1,BT580=2,BT580=3),N(INDEX(Parameter!$I$5:$I$7,BT580)),0),0)</f>
        <v>0</v>
      </c>
      <c r="CD580" s="59" t="n">
        <f aca="false">IF(AND(Parameter!$B$21="Ja",ISNUMBER(U580),N(V580)&gt;0),IFERROR(N(INDEX(Parameter!$L$5:$L$7,U580))*INDEX(Parameter!$E$5:$E$7,U580)*V580/SUMIFS($V$7:$V$1576,$U$7:$U$1576,U580),0),0)</f>
        <v>0</v>
      </c>
    </row>
    <row r="581" customFormat="false" ht="15" hidden="false" customHeight="false" outlineLevel="0" collapsed="false">
      <c r="A581" s="55" t="s">
        <v>1208</v>
      </c>
      <c r="B581" s="55" t="s">
        <v>850</v>
      </c>
      <c r="C581" s="55" t="s">
        <v>160</v>
      </c>
      <c r="D581" s="55" t="s">
        <v>178</v>
      </c>
      <c r="E581" s="55" t="s">
        <v>210</v>
      </c>
      <c r="F581" s="56" t="n">
        <v>3.15</v>
      </c>
      <c r="G581" s="57" t="n">
        <f aca="false">MAX(0,IF(AND(Parameter!$B$21="Ja",ISNUMBER(W581)),W581,IF(Parameter!$B$20="Jahresanfang 2025 + Export",BJ581+BI581,BI581)))</f>
        <v>3</v>
      </c>
      <c r="H581" s="57" t="n">
        <f aca="false">G581*F581</f>
        <v>9.45</v>
      </c>
      <c r="I581" s="57" t="n">
        <f aca="false">BL581*Parameter!$B$18</f>
        <v>4</v>
      </c>
      <c r="J581" s="58" t="n">
        <v>3</v>
      </c>
      <c r="K581" s="59" t="n">
        <v>1.33333333333333</v>
      </c>
      <c r="L581" s="57" t="n">
        <v>0</v>
      </c>
      <c r="M581" s="57" t="n">
        <v>5</v>
      </c>
      <c r="N581" s="60" t="n">
        <v>14</v>
      </c>
      <c r="O581" s="55" t="s">
        <v>391</v>
      </c>
      <c r="P581" s="57" t="n">
        <v>3</v>
      </c>
      <c r="Q581" s="60" t="n">
        <f aca="false">IF(BR581=1,0,IFERROR(VLOOKUP(BP581,'Gebinde-Kategorie'!$A$5:$M$45,13,0)+0,0))</f>
        <v>414</v>
      </c>
      <c r="R581" s="61"/>
      <c r="S581" s="62"/>
      <c r="T581" s="62"/>
      <c r="U581" s="55"/>
      <c r="V581" s="57"/>
      <c r="W581" s="57"/>
      <c r="X581" s="55" t="n">
        <f aca="false">IF(A581="","",IF(AND(Parameter!$B$21="Ja",ISNUMBER(U581)),U581,IF(IFERROR(VLOOKUP(D581,Parameter!$A$35:$C$64,2,0),"Nein")="2+3",IF(ISNUMBER(SEARCH("grosser Artikel",BM581)),2,IFERROR(VLOOKUP(BP581,Parameter!$F$35:$G$64,2,0),2)),IF(OR(IFERROR(VLOOKUP(D581,Parameter!$A$35:$C$64,2,0),"Nein")="Nein",IFERROR(VLOOKUP(D581,Parameter!$A$35:$C$64,2,0),"Nein")=""),"-",VLOOKUP(D581,Parameter!$A$35:$C$64,2,0)))))</f>
        <v>3</v>
      </c>
      <c r="Y581" s="62"/>
      <c r="Z581" s="63"/>
      <c r="AA581" s="57" t="n">
        <f aca="false">AP581</f>
        <v>6</v>
      </c>
      <c r="AB581" s="57" t="n">
        <f aca="false">MAX(AP581,G581)</f>
        <v>6</v>
      </c>
      <c r="AC581" s="64"/>
      <c r="AD581" s="57" t="n">
        <f aca="false">IF(LEFT(Cockpit!$C$5,1)="A",G581,IF(BW581=1,BX581,IF(LEFT(Cockpit!$C$5,1)="B",AH581,MAX(AH581,G581))))</f>
        <v>3</v>
      </c>
      <c r="AE581" s="57" t="n">
        <f aca="false">IF(BR581=1,0,ROUNDUP(AD581/BQ581,0))</f>
        <v>1</v>
      </c>
      <c r="AF581" s="59" t="n">
        <f aca="false">IF(CD581&gt;0,CD581*MAX(1,AD581/V581),IF(BR581=1,IF(AD581&lt;=0,0,BS581*MAX(1,IF(G581&gt;0,AD581/G581,1))),IF(Q581&gt;0,AE581/Q581,0))/MAX(0.1,N(Parameter!$M$21)))</f>
        <v>0.00241545893719807</v>
      </c>
      <c r="AG581" s="57" t="n">
        <f aca="false">AD581*F581</f>
        <v>9.45</v>
      </c>
      <c r="AH581" s="57" t="n">
        <f aca="false">ROUNDUP(MAX(I581/IF(BV581&gt;0,BV581,MAX(0.1,N(Cockpit!$C$6))),BY581)/BQ581,0)*BQ581</f>
        <v>6</v>
      </c>
      <c r="AI581" s="58" t="n">
        <f aca="false">IF(AF581&gt;0,I581/AF581,-1)</f>
        <v>1656</v>
      </c>
      <c r="AJ581" s="58" t="n">
        <f aca="false">IF(AND(OR(BU581="L1",BU581="L23"),AF581&gt;0),SUMIFS($AF$7:$AF$1576,$BU$7:$BU$1576,BU581,$AI$7:$AI$1576,"&gt;"&amp;AI581)+SUMIFS($AF$7:$AF$1576,$BU$7:$BU$1576,BU581,$AI$7:$AI$1576,AI581,$BO$7:$BO$1576,"&lt;="&amp;BO581),"")</f>
        <v>7.63727542988413</v>
      </c>
      <c r="AK581" s="65" t="n">
        <f aca="false">IF(AJ581="",0,MAX(0,MIN(1,(IF(BU581="L1",Parameter!$E$5,Parameter!$E$6+Parameter!$E$7)-(AJ581-AF581))/AF581)))</f>
        <v>1</v>
      </c>
      <c r="AL581" s="57" t="n">
        <f aca="false">IF(LEFT(Cockpit!$I$5,1)="A",G581,IF(BW581=1,BX581,IF(LEFT(Cockpit!$I$5,1)="B",AP581,MAX(AP581,G581))))</f>
        <v>6</v>
      </c>
      <c r="AM581" s="57" t="n">
        <f aca="false">IF(BR581=1,0,ROUNDUP(AL581/BQ581,0))</f>
        <v>2</v>
      </c>
      <c r="AN581" s="59" t="n">
        <f aca="false">IF(CD581&gt;0,CD581*MAX(1,AL581/V581),IF(BR581=1,IF(AL581&lt;=0,0,BS581*MAX(1,IF(G581&gt;0,AL581/G581,1))),IF(Q581&gt;0,AM581/Q581,0))/MAX(0.1,N(Parameter!$M$21)))</f>
        <v>0.00483091787439614</v>
      </c>
      <c r="AO581" s="57" t="n">
        <f aca="false">AL581*F581</f>
        <v>18.9</v>
      </c>
      <c r="AP581" s="57" t="n">
        <f aca="false">ROUNDUP(MAX(I581/IF(BV581&gt;0,BV581,MAX(0.1,N(Cockpit!$I$6))),BY581)/BQ581,0)*BQ581</f>
        <v>6</v>
      </c>
      <c r="AQ581" s="58" t="n">
        <f aca="false">IF(AN581&gt;0,I581/AN581,-1)</f>
        <v>828</v>
      </c>
      <c r="AR581" s="58" t="n">
        <f aca="false">IF(AND(OR(BU581="L1",BU581="L23"),AN581&gt;0),SUMIFS($AN$7:$AN$1576,$BU$7:$BU$1576,BU581,$AQ$7:$AQ$1576,"&gt;"&amp;AQ581)+SUMIFS($AN$7:$AN$1576,$BU$7:$BU$1576,BU581,$AQ$7:$AQ$1576,AQ581,$BO$7:$BO$1576,"&lt;="&amp;BO581),"")</f>
        <v>25.6102671848436</v>
      </c>
      <c r="AS581" s="65" t="n">
        <f aca="false">IF(AR581="",0,MAX(0,MIN(1,(IF(BU581="L1",Parameter!$E$5,Parameter!$E$6+Parameter!$E$7)-(AR581-AN581))/AN581)))</f>
        <v>1</v>
      </c>
      <c r="AT581" s="57" t="n">
        <f aca="false">IF(LEFT(Cockpit!$O$5,1)="A",G581,IF(BW581=1,BX581,IF(LEFT(Cockpit!$O$5,1)="B",AX581,MAX(AX581,G581))))</f>
        <v>6</v>
      </c>
      <c r="AU581" s="57" t="n">
        <f aca="false">IF(BR581=1,0,ROUNDUP(AT581/BQ581,0))</f>
        <v>2</v>
      </c>
      <c r="AV581" s="59" t="n">
        <f aca="false">IF(CD581&gt;0,CD581*MAX(1,AT581/V581),IF(BR581=1,IF(AT581&lt;=0,0,BS581*MAX(1,IF(G581&gt;0,AT581/G581,1))),IF(Q581&gt;0,AU581/Q581,0))/MAX(0.1,N(Parameter!$M$21)))</f>
        <v>0.00483091787439614</v>
      </c>
      <c r="AW581" s="57" t="n">
        <f aca="false">AT581*F581</f>
        <v>18.9</v>
      </c>
      <c r="AX581" s="57" t="n">
        <f aca="false">ROUNDUP(MAX(I581/IF(BV581&gt;0,BV581,MAX(0.1,N(Cockpit!$O$6))),BY581)/BQ581,0)*BQ581</f>
        <v>6</v>
      </c>
      <c r="AY581" s="58" t="n">
        <f aca="false">IF(AV581&gt;0,I581/AV581,-1)</f>
        <v>828</v>
      </c>
      <c r="AZ581" s="58" t="n">
        <f aca="false">IF(AND(OR(BU581="L1",BU581="L23"),AV581&gt;0),SUMIFS($AV$7:$AV$1576,$BU$7:$BU$1576,BU581,$AY$7:$AY$1576,"&gt;"&amp;AY581)+SUMIFS($AV$7:$AV$1576,$BU$7:$BU$1576,BU581,$AY$7:$AY$1576,AY581,$BO$7:$BO$1576,"&lt;="&amp;BO581),"")</f>
        <v>25.9272835018599</v>
      </c>
      <c r="BA581" s="65" t="n">
        <f aca="false">IF(AZ581="",0,MAX(0,MIN(1,(IF(BU581="L1",Parameter!$E$5,Parameter!$E$6+Parameter!$E$7)-(AZ581-AV581))/AV581)))</f>
        <v>1</v>
      </c>
      <c r="BB581" s="55" t="str">
        <f aca="false">IF(AF581&lt;=0,"",IF(BU581="Aussen","Aussenlager",IF(BU581="-","Nicht im Lift",IF(AK581&gt;=1,"Lift",IF(AK581&lt;=0,"Aussenlager","teilweise")))))</f>
        <v>Lift</v>
      </c>
      <c r="BC581" s="55" t="str">
        <f aca="false">IF(AN581&lt;=0,"",IF(BU581="Aussen","Aussenlager",IF(BU581="-","Nicht im Lift",IF(AS581&gt;=1,"Lift",IF(AS581&lt;=0,"Aussenlager","teilweise")))))</f>
        <v>Lift</v>
      </c>
      <c r="BD581" s="55" t="str">
        <f aca="false">IF(AV581&lt;=0,"",IF(BU581="Aussen","Aussenlager",IF(BU581="-","Nicht im Lift",IF(BA581&gt;=1,"Lift",IF(BA581&lt;=0,"Aussenlager","teilweise")))))</f>
        <v>Lift</v>
      </c>
      <c r="BE581" s="55" t="str">
        <f aca="false">IF(A581="","",IF(BN581=1,"Neu; ","")&amp;IF(AND(BN581=0,BI581&lt;0),"negativer Bestand (Export "&amp;BI581&amp;"); ","")&amp;IF(I581&lt;=0,"Kein Verbrauch; ","")&amp;IF(CD581&gt;0,"Lift "&amp;U581&amp;" lt. Liftbericht (Fach "&amp;V581&amp;" Stk); ",IF(BR581=1,"Lose – Fläche geschätzt; ",""))&amp;IF(G581&gt;AP581,"Überbestand "&amp;ROUND(G581-AP581,0)&amp;" Stk / CHF "&amp;ROUND((G581-AP581)*F581,0)&amp;"; ","")&amp;IF(AND(BW581=1,BX581&lt;BY581),"MAX &lt; MB+LG; ","")&amp;IF(AND(CC581&gt;0,CB581*10&gt;CC581),"zu hoch für Tablar; ","")&amp;IF(AND(BN581=0,OR(BW581=1,Y581&lt;&gt;"",S581&lt;&gt;"",T581&lt;&gt;"",Z581&lt;&gt;"")),"manuell übersteuert; ","")&amp;IF(AND(BR581=0,Q581=0),"Gebinde unbekannt / Stellmass fehlt; ","")&amp;IF(AND(BR581=0,N(T581)&lt;=0,N(P581)&lt;=0),"Menge pro Gebinde fehlt (Ist = 1 Gebinde); ","")&amp;BM581)</f>
        <v/>
      </c>
      <c r="BF581" s="55"/>
      <c r="BG581" s="55"/>
      <c r="BH581" s="62"/>
      <c r="BI581" s="57" t="n">
        <v>3</v>
      </c>
      <c r="BJ581" s="57" t="n">
        <v>0</v>
      </c>
      <c r="BK581" s="56" t="n">
        <v>9.45</v>
      </c>
      <c r="BL581" s="57" t="n">
        <v>4</v>
      </c>
      <c r="BM581" s="55"/>
      <c r="BN581" s="60" t="n">
        <v>0</v>
      </c>
      <c r="BO581" s="60" t="n">
        <v>581</v>
      </c>
      <c r="BP581" s="55" t="str">
        <f aca="false">IF(S581&lt;&gt;"",UPPER(TRIM(S581)),IF(O581="","LOSE",O581))</f>
        <v>S21</v>
      </c>
      <c r="BQ581" s="57" t="n">
        <f aca="false">IF(BP581="LOSE",1,IF(N(T581)&gt;0,T581,IF(N(P581)&gt;0,P581,MAX(1,G581))))</f>
        <v>3</v>
      </c>
      <c r="BR581" s="60" t="n">
        <f aca="false">IF(BP581="LOSE",1,0)</f>
        <v>0</v>
      </c>
      <c r="BS581" s="59" t="n">
        <f aca="false">IF(BR581=0,0,IF(N(R581)&gt;0,R581,IFERROR(VLOOKUP(D581,Parameter!$A$35:$C$64,3,0)+0,0)))</f>
        <v>0</v>
      </c>
      <c r="BT581" s="55" t="n">
        <f aca="false">IF(Y581&lt;&gt;"",Y581,X581)</f>
        <v>3</v>
      </c>
      <c r="BU581" s="55" t="str">
        <f aca="false">IF(BT581=1,"L1",IF(OR(BT581=2,BT581=3),"L23",IF(BT581="Aussen","Aussen","-")))</f>
        <v>L23</v>
      </c>
      <c r="BV581" s="66" t="n">
        <f aca="false">IF(N(Z581)&gt;0,Z581,0)</f>
        <v>0</v>
      </c>
      <c r="BW581" s="60" t="n">
        <f aca="false">IF(ISNUMBER(AC581),1,0)</f>
        <v>0</v>
      </c>
      <c r="BX581" s="57" t="n">
        <f aca="false">N(AC581)</f>
        <v>0</v>
      </c>
      <c r="BY581" s="57" t="n">
        <f aca="false">N(L581)+N(M581)</f>
        <v>5</v>
      </c>
      <c r="BZ581" s="57" t="n">
        <f aca="false">ROUNDUP(G581/BQ581,0)</f>
        <v>1</v>
      </c>
      <c r="CA581" s="57" t="n">
        <f aca="false">ROUNDUP(BX581/BQ581,0)</f>
        <v>0</v>
      </c>
      <c r="CB581" s="60" t="n">
        <f aca="false">IF(BR581=1,0,IFERROR(VLOOKUP(BP581,'Gebinde-Kategorie'!$A$5:$M$45,5,0)+0,0))</f>
        <v>8</v>
      </c>
      <c r="CC581" s="60" t="n">
        <f aca="false">IFERROR(IF(OR(BT581=1,BT581=2,BT581=3),N(INDEX(Parameter!$I$5:$I$7,BT581)),0),0)</f>
        <v>0</v>
      </c>
      <c r="CD581" s="59" t="n">
        <f aca="false">IF(AND(Parameter!$B$21="Ja",ISNUMBER(U581),N(V581)&gt;0),IFERROR(N(INDEX(Parameter!$L$5:$L$7,U581))*INDEX(Parameter!$E$5:$E$7,U581)*V581/SUMIFS($V$7:$V$1576,$U$7:$U$1576,U581),0),0)</f>
        <v>0</v>
      </c>
    </row>
    <row r="582" customFormat="false" ht="15" hidden="false" customHeight="false" outlineLevel="0" collapsed="false">
      <c r="A582" s="55" t="s">
        <v>1209</v>
      </c>
      <c r="B582" s="55" t="s">
        <v>639</v>
      </c>
      <c r="C582" s="55" t="s">
        <v>160</v>
      </c>
      <c r="D582" s="55" t="s">
        <v>178</v>
      </c>
      <c r="E582" s="55" t="s">
        <v>210</v>
      </c>
      <c r="F582" s="56" t="n">
        <v>9.27</v>
      </c>
      <c r="G582" s="57" t="n">
        <f aca="false">MAX(0,IF(AND(Parameter!$B$21="Ja",ISNUMBER(W582)),W582,IF(Parameter!$B$20="Jahresanfang 2025 + Export",BJ582+BI582,BI582)))</f>
        <v>1</v>
      </c>
      <c r="H582" s="57" t="n">
        <f aca="false">G582*F582</f>
        <v>9.27</v>
      </c>
      <c r="I582" s="57" t="n">
        <f aca="false">BL582*Parameter!$B$18</f>
        <v>1</v>
      </c>
      <c r="J582" s="58" t="n">
        <v>110.5</v>
      </c>
      <c r="K582" s="59" t="n">
        <v>0.00904977375565611</v>
      </c>
      <c r="L582" s="57" t="n">
        <v>0</v>
      </c>
      <c r="M582" s="57" t="n">
        <v>1</v>
      </c>
      <c r="N582" s="60" t="n">
        <v>28</v>
      </c>
      <c r="O582" s="55" t="s">
        <v>293</v>
      </c>
      <c r="P582" s="57" t="n">
        <v>23</v>
      </c>
      <c r="Q582" s="60" t="n">
        <f aca="false">IF(BR582=1,0,IFERROR(VLOOKUP(BP582,'Gebinde-Kategorie'!$A$5:$M$45,13,0)+0,0))</f>
        <v>26</v>
      </c>
      <c r="R582" s="61"/>
      <c r="S582" s="62"/>
      <c r="T582" s="62"/>
      <c r="U582" s="55"/>
      <c r="V582" s="57"/>
      <c r="W582" s="57"/>
      <c r="X582" s="55" t="n">
        <f aca="false">IF(A582="","",IF(AND(Parameter!$B$21="Ja",ISNUMBER(U582)),U582,IF(IFERROR(VLOOKUP(D582,Parameter!$A$35:$C$64,2,0),"Nein")="2+3",IF(ISNUMBER(SEARCH("grosser Artikel",BM582)),2,IFERROR(VLOOKUP(BP582,Parameter!$F$35:$G$64,2,0),2)),IF(OR(IFERROR(VLOOKUP(D582,Parameter!$A$35:$C$64,2,0),"Nein")="Nein",IFERROR(VLOOKUP(D582,Parameter!$A$35:$C$64,2,0),"Nein")=""),"-",VLOOKUP(D582,Parameter!$A$35:$C$64,2,0)))))</f>
        <v>3</v>
      </c>
      <c r="Y582" s="62"/>
      <c r="Z582" s="63"/>
      <c r="AA582" s="57" t="n">
        <f aca="false">AP582</f>
        <v>23</v>
      </c>
      <c r="AB582" s="57" t="n">
        <f aca="false">MAX(AP582,G582)</f>
        <v>23</v>
      </c>
      <c r="AC582" s="64"/>
      <c r="AD582" s="57" t="n">
        <f aca="false">IF(LEFT(Cockpit!$C$5,1)="A",G582,IF(BW582=1,BX582,IF(LEFT(Cockpit!$C$5,1)="B",AH582,MAX(AH582,G582))))</f>
        <v>1</v>
      </c>
      <c r="AE582" s="57" t="n">
        <f aca="false">IF(BR582=1,0,ROUNDUP(AD582/BQ582,0))</f>
        <v>1</v>
      </c>
      <c r="AF582" s="59" t="n">
        <f aca="false">IF(CD582&gt;0,CD582*MAX(1,AD582/V582),IF(BR582=1,IF(AD582&lt;=0,0,BS582*MAX(1,IF(G582&gt;0,AD582/G582,1))),IF(Q582&gt;0,AE582/Q582,0))/MAX(0.1,N(Parameter!$M$21)))</f>
        <v>0.0384615384615385</v>
      </c>
      <c r="AG582" s="57" t="n">
        <f aca="false">AD582*F582</f>
        <v>9.27</v>
      </c>
      <c r="AH582" s="57" t="n">
        <f aca="false">ROUNDUP(MAX(I582/IF(BV582&gt;0,BV582,MAX(0.1,N(Cockpit!$C$6))),BY582)/BQ582,0)*BQ582</f>
        <v>23</v>
      </c>
      <c r="AI582" s="58" t="n">
        <f aca="false">IF(AF582&gt;0,I582/AF582,-1)</f>
        <v>26</v>
      </c>
      <c r="AJ582" s="58" t="n">
        <f aca="false">IF(AND(OR(BU582="L1",BU582="L23"),AF582&gt;0),SUMIFS($AF$7:$AF$1576,$BU$7:$BU$1576,BU582,$AI$7:$AI$1576,"&gt;"&amp;AI582)+SUMIFS($AF$7:$AF$1576,$BU$7:$BU$1576,BU582,$AI$7:$AI$1576,AI582,$BO$7:$BO$1576,"&lt;="&amp;BO582),"")</f>
        <v>28.4159150028715</v>
      </c>
      <c r="AK582" s="65" t="n">
        <f aca="false">IF(AJ582="",0,MAX(0,MIN(1,(IF(BU582="L1",Parameter!$E$5,Parameter!$E$6+Parameter!$E$7)-(AJ582-AF582))/AF582)))</f>
        <v>1</v>
      </c>
      <c r="AL582" s="57" t="n">
        <f aca="false">IF(LEFT(Cockpit!$I$5,1)="A",G582,IF(BW582=1,BX582,IF(LEFT(Cockpit!$I$5,1)="B",AP582,MAX(AP582,G582))))</f>
        <v>23</v>
      </c>
      <c r="AM582" s="57" t="n">
        <f aca="false">IF(BR582=1,0,ROUNDUP(AL582/BQ582,0))</f>
        <v>1</v>
      </c>
      <c r="AN582" s="59" t="n">
        <f aca="false">IF(CD582&gt;0,CD582*MAX(1,AL582/V582),IF(BR582=1,IF(AL582&lt;=0,0,BS582*MAX(1,IF(G582&gt;0,AL582/G582,1))),IF(Q582&gt;0,AM582/Q582,0))/MAX(0.1,N(Parameter!$M$21)))</f>
        <v>0.0384615384615385</v>
      </c>
      <c r="AO582" s="57" t="n">
        <f aca="false">AL582*F582</f>
        <v>213.21</v>
      </c>
      <c r="AP582" s="57" t="n">
        <f aca="false">ROUNDUP(MAX(I582/IF(BV582&gt;0,BV582,MAX(0.1,N(Cockpit!$I$6))),BY582)/BQ582,0)*BQ582</f>
        <v>23</v>
      </c>
      <c r="AQ582" s="58" t="n">
        <f aca="false">IF(AN582&gt;0,I582/AN582,-1)</f>
        <v>26</v>
      </c>
      <c r="AR582" s="58" t="n">
        <f aca="false">IF(AND(OR(BU582="L1",BU582="L23"),AN582&gt;0),SUMIFS($AN$7:$AN$1576,$BU$7:$BU$1576,BU582,$AQ$7:$AQ$1576,"&gt;"&amp;AQ582)+SUMIFS($AN$7:$AN$1576,$BU$7:$BU$1576,BU582,$AQ$7:$AQ$1576,AQ582,$BO$7:$BO$1576,"&lt;="&amp;BO582),"")</f>
        <v>97.123203819465</v>
      </c>
      <c r="AS582" s="65" t="n">
        <f aca="false">IF(AR582="",0,MAX(0,MIN(1,(IF(BU582="L1",Parameter!$E$5,Parameter!$E$6+Parameter!$E$7)-(AR582-AN582))/AN582)))</f>
        <v>1</v>
      </c>
      <c r="AT582" s="57" t="n">
        <f aca="false">IF(LEFT(Cockpit!$O$5,1)="A",G582,IF(BW582=1,BX582,IF(LEFT(Cockpit!$O$5,1)="B",AX582,MAX(AX582,G582))))</f>
        <v>23</v>
      </c>
      <c r="AU582" s="57" t="n">
        <f aca="false">IF(BR582=1,0,ROUNDUP(AT582/BQ582,0))</f>
        <v>1</v>
      </c>
      <c r="AV582" s="59" t="n">
        <f aca="false">IF(CD582&gt;0,CD582*MAX(1,AT582/V582),IF(BR582=1,IF(AT582&lt;=0,0,BS582*MAX(1,IF(G582&gt;0,AT582/G582,1))),IF(Q582&gt;0,AU582/Q582,0))/MAX(0.1,N(Parameter!$M$21)))</f>
        <v>0.0384615384615385</v>
      </c>
      <c r="AW582" s="57" t="n">
        <f aca="false">AT582*F582</f>
        <v>213.21</v>
      </c>
      <c r="AX582" s="57" t="n">
        <f aca="false">ROUNDUP(MAX(I582/IF(BV582&gt;0,BV582,MAX(0.1,N(Cockpit!$O$6))),BY582)/BQ582,0)*BQ582</f>
        <v>23</v>
      </c>
      <c r="AY582" s="58" t="n">
        <f aca="false">IF(AV582&gt;0,I582/AV582,-1)</f>
        <v>26</v>
      </c>
      <c r="AZ582" s="58" t="n">
        <f aca="false">IF(AND(OR(BU582="L1",BU582="L23"),AV582&gt;0),SUMIFS($AV$7:$AV$1576,$BU$7:$BU$1576,BU582,$AY$7:$AY$1576,"&gt;"&amp;AY582)+SUMIFS($AV$7:$AV$1576,$BU$7:$BU$1576,BU582,$AY$7:$AY$1576,AY582,$BO$7:$BO$1576,"&lt;="&amp;BO582),"")</f>
        <v>87.9327542690154</v>
      </c>
      <c r="BA582" s="65" t="n">
        <f aca="false">IF(AZ582="",0,MAX(0,MIN(1,(IF(BU582="L1",Parameter!$E$5,Parameter!$E$6+Parameter!$E$7)-(AZ582-AV582))/AV582)))</f>
        <v>1</v>
      </c>
      <c r="BB582" s="55" t="str">
        <f aca="false">IF(AF582&lt;=0,"",IF(BU582="Aussen","Aussenlager",IF(BU582="-","Nicht im Lift",IF(AK582&gt;=1,"Lift",IF(AK582&lt;=0,"Aussenlager","teilweise")))))</f>
        <v>Lift</v>
      </c>
      <c r="BC582" s="55" t="str">
        <f aca="false">IF(AN582&lt;=0,"",IF(BU582="Aussen","Aussenlager",IF(BU582="-","Nicht im Lift",IF(AS582&gt;=1,"Lift",IF(AS582&lt;=0,"Aussenlager","teilweise")))))</f>
        <v>Lift</v>
      </c>
      <c r="BD582" s="55" t="str">
        <f aca="false">IF(AV582&lt;=0,"",IF(BU582="Aussen","Aussenlager",IF(BU582="-","Nicht im Lift",IF(BA582&gt;=1,"Lift",IF(BA582&lt;=0,"Aussenlager","teilweise")))))</f>
        <v>Lift</v>
      </c>
      <c r="BE582" s="55" t="str">
        <f aca="false">IF(A582="","",IF(BN582=1,"Neu; ","")&amp;IF(AND(BN582=0,BI582&lt;0),"negativer Bestand (Export "&amp;BI582&amp;"); ","")&amp;IF(I582&lt;=0,"Kein Verbrauch; ","")&amp;IF(CD582&gt;0,"Lift "&amp;U582&amp;" lt. Liftbericht (Fach "&amp;V582&amp;" Stk); ",IF(BR582=1,"Lose – Fläche geschätzt; ",""))&amp;IF(G582&gt;AP582,"Überbestand "&amp;ROUND(G582-AP582,0)&amp;" Stk / CHF "&amp;ROUND((G582-AP582)*F582,0)&amp;"; ","")&amp;IF(AND(BW582=1,BX582&lt;BY582),"MAX &lt; MB+LG; ","")&amp;IF(AND(CC582&gt;0,CB582*10&gt;CC582),"zu hoch für Tablar; ","")&amp;IF(AND(BN582=0,OR(BW582=1,Y582&lt;&gt;"",S582&lt;&gt;"",T582&lt;&gt;"",Z582&lt;&gt;"")),"manuell übersteuert; ","")&amp;IF(AND(BR582=0,Q582=0),"Gebinde unbekannt / Stellmass fehlt; ","")&amp;IF(AND(BR582=0,N(T582)&lt;=0,N(P582)&lt;=0),"Menge pro Gebinde fehlt (Ist = 1 Gebinde); ","")&amp;BM582)</f>
        <v/>
      </c>
      <c r="BF582" s="55"/>
      <c r="BG582" s="55"/>
      <c r="BH582" s="62"/>
      <c r="BI582" s="57" t="n">
        <v>1</v>
      </c>
      <c r="BJ582" s="57" t="n">
        <v>109</v>
      </c>
      <c r="BK582" s="56" t="n">
        <v>9.27</v>
      </c>
      <c r="BL582" s="57" t="n">
        <v>1</v>
      </c>
      <c r="BM582" s="55"/>
      <c r="BN582" s="60" t="n">
        <v>0</v>
      </c>
      <c r="BO582" s="60" t="n">
        <v>582</v>
      </c>
      <c r="BP582" s="55" t="str">
        <f aca="false">IF(S582&lt;&gt;"",UPPER(TRIM(S582)),IF(O582="","LOSE",O582))</f>
        <v>S51</v>
      </c>
      <c r="BQ582" s="57" t="n">
        <f aca="false">IF(BP582="LOSE",1,IF(N(T582)&gt;0,T582,IF(N(P582)&gt;0,P582,MAX(1,G582))))</f>
        <v>23</v>
      </c>
      <c r="BR582" s="60" t="n">
        <f aca="false">IF(BP582="LOSE",1,0)</f>
        <v>0</v>
      </c>
      <c r="BS582" s="59" t="n">
        <f aca="false">IF(BR582=0,0,IF(N(R582)&gt;0,R582,IFERROR(VLOOKUP(D582,Parameter!$A$35:$C$64,3,0)+0,0)))</f>
        <v>0</v>
      </c>
      <c r="BT582" s="55" t="n">
        <f aca="false">IF(Y582&lt;&gt;"",Y582,X582)</f>
        <v>3</v>
      </c>
      <c r="BU582" s="55" t="str">
        <f aca="false">IF(BT582=1,"L1",IF(OR(BT582=2,BT582=3),"L23",IF(BT582="Aussen","Aussen","-")))</f>
        <v>L23</v>
      </c>
      <c r="BV582" s="66" t="n">
        <f aca="false">IF(N(Z582)&gt;0,Z582,0)</f>
        <v>0</v>
      </c>
      <c r="BW582" s="60" t="n">
        <f aca="false">IF(ISNUMBER(AC582),1,0)</f>
        <v>0</v>
      </c>
      <c r="BX582" s="57" t="n">
        <f aca="false">N(AC582)</f>
        <v>0</v>
      </c>
      <c r="BY582" s="57" t="n">
        <f aca="false">N(L582)+N(M582)</f>
        <v>1</v>
      </c>
      <c r="BZ582" s="57" t="n">
        <f aca="false">ROUNDUP(G582/BQ582,0)</f>
        <v>1</v>
      </c>
      <c r="CA582" s="57" t="n">
        <f aca="false">ROUNDUP(BX582/BQ582,0)</f>
        <v>0</v>
      </c>
      <c r="CB582" s="60" t="n">
        <f aca="false">IF(BR582=1,0,IFERROR(VLOOKUP(BP582,'Gebinde-Kategorie'!$A$5:$M$45,5,0)+0,0))</f>
        <v>11</v>
      </c>
      <c r="CC582" s="60" t="n">
        <f aca="false">IFERROR(IF(OR(BT582=1,BT582=2,BT582=3),N(INDEX(Parameter!$I$5:$I$7,BT582)),0),0)</f>
        <v>0</v>
      </c>
      <c r="CD582" s="59" t="n">
        <f aca="false">IF(AND(Parameter!$B$21="Ja",ISNUMBER(U582),N(V582)&gt;0),IFERROR(N(INDEX(Parameter!$L$5:$L$7,U582))*INDEX(Parameter!$E$5:$E$7,U582)*V582/SUMIFS($V$7:$V$1576,$U$7:$U$1576,U582),0),0)</f>
        <v>0</v>
      </c>
    </row>
    <row r="583" customFormat="false" ht="15" hidden="false" customHeight="false" outlineLevel="0" collapsed="false">
      <c r="A583" s="55" t="s">
        <v>1210</v>
      </c>
      <c r="B583" s="55" t="s">
        <v>1211</v>
      </c>
      <c r="C583" s="55" t="s">
        <v>160</v>
      </c>
      <c r="D583" s="55" t="s">
        <v>168</v>
      </c>
      <c r="E583" s="55" t="s">
        <v>210</v>
      </c>
      <c r="F583" s="56" t="n">
        <v>0.53</v>
      </c>
      <c r="G583" s="57" t="n">
        <f aca="false">MAX(0,IF(AND(Parameter!$B$21="Ja",ISNUMBER(W583)),W583,IF(Parameter!$B$20="Jahresanfang 2025 + Export",BJ583+BI583,BI583)))</f>
        <v>17</v>
      </c>
      <c r="H583" s="57" t="n">
        <f aca="false">G583*F583</f>
        <v>9.01</v>
      </c>
      <c r="I583" s="57" t="n">
        <f aca="false">BL583*Parameter!$B$18</f>
        <v>2</v>
      </c>
      <c r="J583" s="58" t="n">
        <v>0</v>
      </c>
      <c r="K583" s="59" t="n">
        <v>0</v>
      </c>
      <c r="L583" s="57" t="n">
        <v>0</v>
      </c>
      <c r="M583" s="57" t="n">
        <v>1</v>
      </c>
      <c r="N583" s="60" t="n">
        <v>31</v>
      </c>
      <c r="O583" s="55" t="s">
        <v>163</v>
      </c>
      <c r="P583" s="57"/>
      <c r="Q583" s="60" t="n">
        <f aca="false">IF(BR583=1,0,IFERROR(VLOOKUP(BP583,'Gebinde-Kategorie'!$A$5:$M$45,13,0)+0,0))</f>
        <v>0</v>
      </c>
      <c r="R583" s="61"/>
      <c r="S583" s="62"/>
      <c r="T583" s="62"/>
      <c r="U583" s="55"/>
      <c r="V583" s="57"/>
      <c r="W583" s="57"/>
      <c r="X583" s="55" t="n">
        <f aca="false">IF(A583="","",IF(AND(Parameter!$B$21="Ja",ISNUMBER(U583)),U583,IF(IFERROR(VLOOKUP(D583,Parameter!$A$35:$C$64,2,0),"Nein")="2+3",IF(ISNUMBER(SEARCH("grosser Artikel",BM583)),2,IFERROR(VLOOKUP(BP583,Parameter!$F$35:$G$64,2,0),2)),IF(OR(IFERROR(VLOOKUP(D583,Parameter!$A$35:$C$64,2,0),"Nein")="Nein",IFERROR(VLOOKUP(D583,Parameter!$A$35:$C$64,2,0),"Nein")=""),"-",VLOOKUP(D583,Parameter!$A$35:$C$64,2,0)))))</f>
        <v>2</v>
      </c>
      <c r="Y583" s="62"/>
      <c r="Z583" s="63"/>
      <c r="AA583" s="57" t="n">
        <f aca="false">AP583</f>
        <v>1</v>
      </c>
      <c r="AB583" s="57" t="n">
        <f aca="false">MAX(AP583,G583)</f>
        <v>17</v>
      </c>
      <c r="AC583" s="64"/>
      <c r="AD583" s="57" t="n">
        <f aca="false">IF(LEFT(Cockpit!$C$5,1)="A",G583,IF(BW583=1,BX583,IF(LEFT(Cockpit!$C$5,1)="B",AH583,MAX(AH583,G583))))</f>
        <v>17</v>
      </c>
      <c r="AE583" s="57" t="n">
        <f aca="false">IF(BR583=1,0,ROUNDUP(AD583/BQ583,0))</f>
        <v>0</v>
      </c>
      <c r="AF583" s="59" t="n">
        <f aca="false">IF(CD583&gt;0,CD583*MAX(1,AD583/V583),IF(BR583=1,IF(AD583&lt;=0,0,BS583*MAX(1,IF(G583&gt;0,AD583/G583,1))),IF(Q583&gt;0,AE583/Q583,0))/MAX(0.1,N(Parameter!$M$21)))</f>
        <v>0.15</v>
      </c>
      <c r="AG583" s="57" t="n">
        <f aca="false">AD583*F583</f>
        <v>9.01</v>
      </c>
      <c r="AH583" s="57" t="n">
        <f aca="false">ROUNDUP(MAX(I583/IF(BV583&gt;0,BV583,MAX(0.1,N(Cockpit!$C$6))),BY583)/BQ583,0)*BQ583</f>
        <v>1</v>
      </c>
      <c r="AI583" s="58" t="n">
        <f aca="false">IF(AF583&gt;0,I583/AF583,-1)</f>
        <v>13.3333333333333</v>
      </c>
      <c r="AJ583" s="58" t="n">
        <f aca="false">IF(AND(OR(BU583="L1",BU583="L23"),AF583&gt;0),SUMIFS($AF$7:$AF$1576,$BU$7:$BU$1576,BU583,$AI$7:$AI$1576,"&gt;"&amp;AI583)+SUMIFS($AF$7:$AF$1576,$BU$7:$BU$1576,BU583,$AI$7:$AI$1576,AI583,$BO$7:$BO$1576,"&lt;="&amp;BO583),"")</f>
        <v>30.9325816695382</v>
      </c>
      <c r="AK583" s="65" t="n">
        <f aca="false">IF(AJ583="",0,MAX(0,MIN(1,(IF(BU583="L1",Parameter!$E$5,Parameter!$E$6+Parameter!$E$7)-(AJ583-AF583))/AF583)))</f>
        <v>1</v>
      </c>
      <c r="AL583" s="57" t="n">
        <f aca="false">IF(LEFT(Cockpit!$I$5,1)="A",G583,IF(BW583=1,BX583,IF(LEFT(Cockpit!$I$5,1)="B",AP583,MAX(AP583,G583))))</f>
        <v>17</v>
      </c>
      <c r="AM583" s="57" t="n">
        <f aca="false">IF(BR583=1,0,ROUNDUP(AL583/BQ583,0))</f>
        <v>0</v>
      </c>
      <c r="AN583" s="59" t="n">
        <f aca="false">IF(CD583&gt;0,CD583*MAX(1,AL583/V583),IF(BR583=1,IF(AL583&lt;=0,0,BS583*MAX(1,IF(G583&gt;0,AL583/G583,1))),IF(Q583&gt;0,AM583/Q583,0))/MAX(0.1,N(Parameter!$M$21)))</f>
        <v>0.15</v>
      </c>
      <c r="AO583" s="57" t="n">
        <f aca="false">AL583*F583</f>
        <v>9.01</v>
      </c>
      <c r="AP583" s="57" t="n">
        <f aca="false">ROUNDUP(MAX(I583/IF(BV583&gt;0,BV583,MAX(0.1,N(Cockpit!$I$6))),BY583)/BQ583,0)*BQ583</f>
        <v>1</v>
      </c>
      <c r="AQ583" s="58" t="n">
        <f aca="false">IF(AN583&gt;0,I583/AN583,-1)</f>
        <v>13.3333333333333</v>
      </c>
      <c r="AR583" s="58" t="n">
        <f aca="false">IF(AND(OR(BU583="L1",BU583="L23"),AN583&gt;0),SUMIFS($AN$7:$AN$1576,$BU$7:$BU$1576,BU583,$AQ$7:$AQ$1576,"&gt;"&amp;AQ583)+SUMIFS($AN$7:$AN$1576,$BU$7:$BU$1576,BU583,$AQ$7:$AQ$1576,AQ583,$BO$7:$BO$1576,"&lt;="&amp;BO583),"")</f>
        <v>105.268075614337</v>
      </c>
      <c r="AS583" s="65" t="n">
        <f aca="false">IF(AR583="",0,MAX(0,MIN(1,(IF(BU583="L1",Parameter!$E$5,Parameter!$E$6+Parameter!$E$7)-(AR583-AN583))/AN583)))</f>
        <v>0</v>
      </c>
      <c r="AT583" s="57" t="n">
        <f aca="false">IF(LEFT(Cockpit!$O$5,1)="A",G583,IF(BW583=1,BX583,IF(LEFT(Cockpit!$O$5,1)="B",AX583,MAX(AX583,G583))))</f>
        <v>17</v>
      </c>
      <c r="AU583" s="57" t="n">
        <f aca="false">IF(BR583=1,0,ROUNDUP(AT583/BQ583,0))</f>
        <v>0</v>
      </c>
      <c r="AV583" s="59" t="n">
        <f aca="false">IF(CD583&gt;0,CD583*MAX(1,AT583/V583),IF(BR583=1,IF(AT583&lt;=0,0,BS583*MAX(1,IF(G583&gt;0,AT583/G583,1))),IF(Q583&gt;0,AU583/Q583,0))/MAX(0.1,N(Parameter!$M$21)))</f>
        <v>0.15</v>
      </c>
      <c r="AW583" s="57" t="n">
        <f aca="false">AT583*F583</f>
        <v>9.01</v>
      </c>
      <c r="AX583" s="57" t="n">
        <f aca="false">ROUNDUP(MAX(I583/IF(BV583&gt;0,BV583,MAX(0.1,N(Cockpit!$O$6))),BY583)/BQ583,0)*BQ583</f>
        <v>1</v>
      </c>
      <c r="AY583" s="58" t="n">
        <f aca="false">IF(AV583&gt;0,I583/AV583,-1)</f>
        <v>13.3333333333333</v>
      </c>
      <c r="AZ583" s="58" t="n">
        <f aca="false">IF(AND(OR(BU583="L1",BU583="L23"),AV583&gt;0),SUMIFS($AV$7:$AV$1576,$BU$7:$BU$1576,BU583,$AY$7:$AY$1576,"&gt;"&amp;AY583)+SUMIFS($AV$7:$AV$1576,$BU$7:$BU$1576,BU583,$AY$7:$AY$1576,AY583,$BO$7:$BO$1576,"&lt;="&amp;BO583),"")</f>
        <v>95.3276260638872</v>
      </c>
      <c r="BA583" s="65" t="n">
        <f aca="false">IF(AZ583="",0,MAX(0,MIN(1,(IF(BU583="L1",Parameter!$E$5,Parameter!$E$6+Parameter!$E$7)-(AZ583-AV583))/AV583)))</f>
        <v>1</v>
      </c>
      <c r="BB583" s="55" t="str">
        <f aca="false">IF(AF583&lt;=0,"",IF(BU583="Aussen","Aussenlager",IF(BU583="-","Nicht im Lift",IF(AK583&gt;=1,"Lift",IF(AK583&lt;=0,"Aussenlager","teilweise")))))</f>
        <v>Lift</v>
      </c>
      <c r="BC583" s="55" t="str">
        <f aca="false">IF(AN583&lt;=0,"",IF(BU583="Aussen","Aussenlager",IF(BU583="-","Nicht im Lift",IF(AS583&gt;=1,"Lift",IF(AS583&lt;=0,"Aussenlager","teilweise")))))</f>
        <v>Aussenlager</v>
      </c>
      <c r="BD583" s="55" t="str">
        <f aca="false">IF(AV583&lt;=0,"",IF(BU583="Aussen","Aussenlager",IF(BU583="-","Nicht im Lift",IF(BA583&gt;=1,"Lift",IF(BA583&lt;=0,"Aussenlager","teilweise")))))</f>
        <v>Lift</v>
      </c>
      <c r="BE583" s="55" t="str">
        <f aca="false">IF(A583="","",IF(BN583=1,"Neu; ","")&amp;IF(AND(BN583=0,BI583&lt;0),"negativer Bestand (Export "&amp;BI583&amp;"); ","")&amp;IF(I583&lt;=0,"Kein Verbrauch; ","")&amp;IF(CD583&gt;0,"Lift "&amp;U583&amp;" lt. Liftbericht (Fach "&amp;V583&amp;" Stk); ",IF(BR583=1,"Lose – Fläche geschätzt; ",""))&amp;IF(G583&gt;AP583,"Überbestand "&amp;ROUND(G583-AP583,0)&amp;" Stk / CHF "&amp;ROUND((G583-AP583)*F583,0)&amp;"; ","")&amp;IF(AND(BW583=1,BX583&lt;BY583),"MAX &lt; MB+LG; ","")&amp;IF(AND(CC583&gt;0,CB583*10&gt;CC583),"zu hoch für Tablar; ","")&amp;IF(AND(BN583=0,OR(BW583=1,Y583&lt;&gt;"",S583&lt;&gt;"",T583&lt;&gt;"",Z583&lt;&gt;"")),"manuell übersteuert; ","")&amp;IF(AND(BR583=0,Q583=0),"Gebinde unbekannt / Stellmass fehlt; ","")&amp;IF(AND(BR583=0,N(T583)&lt;=0,N(P583)&lt;=0),"Menge pro Gebinde fehlt (Ist = 1 Gebinde); ","")&amp;BM583)</f>
        <v>Lose – Fläche geschätzt; Überbestand 16 Stk / CHF 8; </v>
      </c>
      <c r="BF583" s="55"/>
      <c r="BG583" s="55"/>
      <c r="BH583" s="62"/>
      <c r="BI583" s="57" t="n">
        <v>17</v>
      </c>
      <c r="BJ583" s="57" t="n">
        <v>0</v>
      </c>
      <c r="BK583" s="56" t="n">
        <v>9.01</v>
      </c>
      <c r="BL583" s="57" t="n">
        <v>2</v>
      </c>
      <c r="BM583" s="55"/>
      <c r="BN583" s="60" t="n">
        <v>0</v>
      </c>
      <c r="BO583" s="60" t="n">
        <v>583</v>
      </c>
      <c r="BP583" s="55" t="str">
        <f aca="false">IF(S583&lt;&gt;"",UPPER(TRIM(S583)),IF(O583="","LOSE",O583))</f>
        <v>LOSE</v>
      </c>
      <c r="BQ583" s="57" t="n">
        <f aca="false">IF(BP583="LOSE",1,IF(N(T583)&gt;0,T583,IF(N(P583)&gt;0,P583,MAX(1,G583))))</f>
        <v>1</v>
      </c>
      <c r="BR583" s="60" t="n">
        <f aca="false">IF(BP583="LOSE",1,0)</f>
        <v>1</v>
      </c>
      <c r="BS583" s="59" t="n">
        <f aca="false">IF(BR583=0,0,IF(N(R583)&gt;0,R583,IFERROR(VLOOKUP(D583,Parameter!$A$35:$C$64,3,0)+0,0)))</f>
        <v>0.15</v>
      </c>
      <c r="BT583" s="55" t="n">
        <f aca="false">IF(Y583&lt;&gt;"",Y583,X583)</f>
        <v>2</v>
      </c>
      <c r="BU583" s="55" t="str">
        <f aca="false">IF(BT583=1,"L1",IF(OR(BT583=2,BT583=3),"L23",IF(BT583="Aussen","Aussen","-")))</f>
        <v>L23</v>
      </c>
      <c r="BV583" s="66" t="n">
        <f aca="false">IF(N(Z583)&gt;0,Z583,0)</f>
        <v>0</v>
      </c>
      <c r="BW583" s="60" t="n">
        <f aca="false">IF(ISNUMBER(AC583),1,0)</f>
        <v>0</v>
      </c>
      <c r="BX583" s="57" t="n">
        <f aca="false">N(AC583)</f>
        <v>0</v>
      </c>
      <c r="BY583" s="57" t="n">
        <f aca="false">N(L583)+N(M583)</f>
        <v>1</v>
      </c>
      <c r="BZ583" s="57" t="n">
        <f aca="false">ROUNDUP(G583/BQ583,0)</f>
        <v>17</v>
      </c>
      <c r="CA583" s="57" t="n">
        <f aca="false">ROUNDUP(BX583/BQ583,0)</f>
        <v>0</v>
      </c>
      <c r="CB583" s="60" t="n">
        <f aca="false">IF(BR583=1,0,IFERROR(VLOOKUP(BP583,'Gebinde-Kategorie'!$A$5:$M$45,5,0)+0,0))</f>
        <v>0</v>
      </c>
      <c r="CC583" s="60" t="n">
        <f aca="false">IFERROR(IF(OR(BT583=1,BT583=2,BT583=3),N(INDEX(Parameter!$I$5:$I$7,BT583)),0),0)</f>
        <v>0</v>
      </c>
      <c r="CD583" s="59" t="n">
        <f aca="false">IF(AND(Parameter!$B$21="Ja",ISNUMBER(U583),N(V583)&gt;0),IFERROR(N(INDEX(Parameter!$L$5:$L$7,U583))*INDEX(Parameter!$E$5:$E$7,U583)*V583/SUMIFS($V$7:$V$1576,$U$7:$U$1576,U583),0),0)</f>
        <v>0</v>
      </c>
    </row>
    <row r="584" customFormat="false" ht="15" hidden="false" customHeight="false" outlineLevel="0" collapsed="false">
      <c r="A584" s="55" t="s">
        <v>1212</v>
      </c>
      <c r="B584" s="55" t="s">
        <v>457</v>
      </c>
      <c r="C584" s="55" t="s">
        <v>160</v>
      </c>
      <c r="D584" s="55" t="s">
        <v>178</v>
      </c>
      <c r="E584" s="55" t="s">
        <v>210</v>
      </c>
      <c r="F584" s="56" t="n">
        <v>0.1</v>
      </c>
      <c r="G584" s="57" t="n">
        <f aca="false">MAX(0,IF(AND(Parameter!$B$21="Ja",ISNUMBER(W584)),W584,IF(Parameter!$B$20="Jahresanfang 2025 + Export",BJ584+BI584,BI584)))</f>
        <v>88</v>
      </c>
      <c r="H584" s="57" t="n">
        <f aca="false">G584*F584</f>
        <v>8.8</v>
      </c>
      <c r="I584" s="57" t="n">
        <f aca="false">BL584*Parameter!$B$18</f>
        <v>620</v>
      </c>
      <c r="J584" s="58" t="n">
        <v>480.5</v>
      </c>
      <c r="K584" s="59" t="n">
        <v>1.29032258064516</v>
      </c>
      <c r="L584" s="57" t="n">
        <v>48</v>
      </c>
      <c r="M584" s="57" t="n">
        <v>620</v>
      </c>
      <c r="N584" s="60" t="n">
        <v>28</v>
      </c>
      <c r="O584" s="55" t="s">
        <v>416</v>
      </c>
      <c r="P584" s="57" t="n">
        <v>177</v>
      </c>
      <c r="Q584" s="60" t="n">
        <f aca="false">IF(BR584=1,0,IFERROR(VLOOKUP(BP584,'Gebinde-Kategorie'!$A$5:$M$45,13,0)+0,0))</f>
        <v>198</v>
      </c>
      <c r="R584" s="61"/>
      <c r="S584" s="62"/>
      <c r="T584" s="62"/>
      <c r="U584" s="55"/>
      <c r="V584" s="57"/>
      <c r="W584" s="57"/>
      <c r="X584" s="55" t="n">
        <f aca="false">IF(A584="","",IF(AND(Parameter!$B$21="Ja",ISNUMBER(U584)),U584,IF(IFERROR(VLOOKUP(D584,Parameter!$A$35:$C$64,2,0),"Nein")="2+3",IF(ISNUMBER(SEARCH("grosser Artikel",BM584)),2,IFERROR(VLOOKUP(BP584,Parameter!$F$35:$G$64,2,0),2)),IF(OR(IFERROR(VLOOKUP(D584,Parameter!$A$35:$C$64,2,0),"Nein")="Nein",IFERROR(VLOOKUP(D584,Parameter!$A$35:$C$64,2,0),"Nein")=""),"-",VLOOKUP(D584,Parameter!$A$35:$C$64,2,0)))))</f>
        <v>3</v>
      </c>
      <c r="Y584" s="62"/>
      <c r="Z584" s="63"/>
      <c r="AA584" s="57" t="n">
        <f aca="false">AP584</f>
        <v>708</v>
      </c>
      <c r="AB584" s="57" t="n">
        <f aca="false">MAX(AP584,G584)</f>
        <v>708</v>
      </c>
      <c r="AC584" s="64"/>
      <c r="AD584" s="57" t="n">
        <f aca="false">IF(LEFT(Cockpit!$C$5,1)="A",G584,IF(BW584=1,BX584,IF(LEFT(Cockpit!$C$5,1)="B",AH584,MAX(AH584,G584))))</f>
        <v>88</v>
      </c>
      <c r="AE584" s="57" t="n">
        <f aca="false">IF(BR584=1,0,ROUNDUP(AD584/BQ584,0))</f>
        <v>1</v>
      </c>
      <c r="AF584" s="59" t="n">
        <f aca="false">IF(CD584&gt;0,CD584*MAX(1,AD584/V584),IF(BR584=1,IF(AD584&lt;=0,0,BS584*MAX(1,IF(G584&gt;0,AD584/G584,1))),IF(Q584&gt;0,AE584/Q584,0))/MAX(0.1,N(Parameter!$M$21)))</f>
        <v>0.00505050505050505</v>
      </c>
      <c r="AG584" s="57" t="n">
        <f aca="false">AD584*F584</f>
        <v>8.8</v>
      </c>
      <c r="AH584" s="57" t="n">
        <f aca="false">ROUNDUP(MAX(I584/IF(BV584&gt;0,BV584,MAX(0.1,N(Cockpit!$C$6))),BY584)/BQ584,0)*BQ584</f>
        <v>708</v>
      </c>
      <c r="AI584" s="58" t="n">
        <f aca="false">IF(AF584&gt;0,I584/AF584,-1)</f>
        <v>122760</v>
      </c>
      <c r="AJ584" s="58" t="n">
        <f aca="false">IF(AND(OR(BU584="L1",BU584="L23"),AF584&gt;0),SUMIFS($AF$7:$AF$1576,$BU$7:$BU$1576,BU584,$AI$7:$AI$1576,"&gt;"&amp;AI584)+SUMIFS($AF$7:$AF$1576,$BU$7:$BU$1576,BU584,$AI$7:$AI$1576,AI584,$BO$7:$BO$1576,"&lt;="&amp;BO584),"")</f>
        <v>0.12301949258471</v>
      </c>
      <c r="AK584" s="65" t="n">
        <f aca="false">IF(AJ584="",0,MAX(0,MIN(1,(IF(BU584="L1",Parameter!$E$5,Parameter!$E$6+Parameter!$E$7)-(AJ584-AF584))/AF584)))</f>
        <v>1</v>
      </c>
      <c r="AL584" s="57" t="n">
        <f aca="false">IF(LEFT(Cockpit!$I$5,1)="A",G584,IF(BW584=1,BX584,IF(LEFT(Cockpit!$I$5,1)="B",AP584,MAX(AP584,G584))))</f>
        <v>708</v>
      </c>
      <c r="AM584" s="57" t="n">
        <f aca="false">IF(BR584=1,0,ROUNDUP(AL584/BQ584,0))</f>
        <v>4</v>
      </c>
      <c r="AN584" s="59" t="n">
        <f aca="false">IF(CD584&gt;0,CD584*MAX(1,AL584/V584),IF(BR584=1,IF(AL584&lt;=0,0,BS584*MAX(1,IF(G584&gt;0,AL584/G584,1))),IF(Q584&gt;0,AM584/Q584,0))/MAX(0.1,N(Parameter!$M$21)))</f>
        <v>0.0202020202020202</v>
      </c>
      <c r="AO584" s="57" t="n">
        <f aca="false">AL584*F584</f>
        <v>70.8</v>
      </c>
      <c r="AP584" s="57" t="n">
        <f aca="false">ROUNDUP(MAX(I584/IF(BV584&gt;0,BV584,MAX(0.1,N(Cockpit!$I$6))),BY584)/BQ584,0)*BQ584</f>
        <v>708</v>
      </c>
      <c r="AQ584" s="58" t="n">
        <f aca="false">IF(AN584&gt;0,I584/AN584,-1)</f>
        <v>30690</v>
      </c>
      <c r="AR584" s="58" t="n">
        <f aca="false">IF(AND(OR(BU584="L1",BU584="L23"),AN584&gt;0),SUMIFS($AN$7:$AN$1576,$BU$7:$BU$1576,BU584,$AQ$7:$AQ$1576,"&gt;"&amp;AQ584)+SUMIFS($AN$7:$AN$1576,$BU$7:$BU$1576,BU584,$AQ$7:$AQ$1576,AQ584,$BO$7:$BO$1576,"&lt;="&amp;BO584),"")</f>
        <v>2.76088172696868</v>
      </c>
      <c r="AS584" s="65" t="n">
        <f aca="false">IF(AR584="",0,MAX(0,MIN(1,(IF(BU584="L1",Parameter!$E$5,Parameter!$E$6+Parameter!$E$7)-(AR584-AN584))/AN584)))</f>
        <v>1</v>
      </c>
      <c r="AT584" s="57" t="n">
        <f aca="false">IF(LEFT(Cockpit!$O$5,1)="A",G584,IF(BW584=1,BX584,IF(LEFT(Cockpit!$O$5,1)="B",AX584,MAX(AX584,G584))))</f>
        <v>708</v>
      </c>
      <c r="AU584" s="57" t="n">
        <f aca="false">IF(BR584=1,0,ROUNDUP(AT584/BQ584,0))</f>
        <v>4</v>
      </c>
      <c r="AV584" s="59" t="n">
        <f aca="false">IF(CD584&gt;0,CD584*MAX(1,AT584/V584),IF(BR584=1,IF(AT584&lt;=0,0,BS584*MAX(1,IF(G584&gt;0,AT584/G584,1))),IF(Q584&gt;0,AU584/Q584,0))/MAX(0.1,N(Parameter!$M$21)))</f>
        <v>0.0202020202020202</v>
      </c>
      <c r="AW584" s="57" t="n">
        <f aca="false">AT584*F584</f>
        <v>70.8</v>
      </c>
      <c r="AX584" s="57" t="n">
        <f aca="false">ROUNDUP(MAX(I584/IF(BV584&gt;0,BV584,MAX(0.1,N(Cockpit!$O$6))),BY584)/BQ584,0)*BQ584</f>
        <v>708</v>
      </c>
      <c r="AY584" s="58" t="n">
        <f aca="false">IF(AV584&gt;0,I584/AV584,-1)</f>
        <v>30690</v>
      </c>
      <c r="AZ584" s="58" t="n">
        <f aca="false">IF(AND(OR(BU584="L1",BU584="L23"),AV584&gt;0),SUMIFS($AV$7:$AV$1576,$BU$7:$BU$1576,BU584,$AY$7:$AY$1576,"&gt;"&amp;AY584)+SUMIFS($AV$7:$AV$1576,$BU$7:$BU$1576,BU584,$AY$7:$AY$1576,AY584,$BO$7:$BO$1576,"&lt;="&amp;BO584),"")</f>
        <v>2.56740853349549</v>
      </c>
      <c r="BA584" s="65" t="n">
        <f aca="false">IF(AZ584="",0,MAX(0,MIN(1,(IF(BU584="L1",Parameter!$E$5,Parameter!$E$6+Parameter!$E$7)-(AZ584-AV584))/AV584)))</f>
        <v>1</v>
      </c>
      <c r="BB584" s="55" t="str">
        <f aca="false">IF(AF584&lt;=0,"",IF(BU584="Aussen","Aussenlager",IF(BU584="-","Nicht im Lift",IF(AK584&gt;=1,"Lift",IF(AK584&lt;=0,"Aussenlager","teilweise")))))</f>
        <v>Lift</v>
      </c>
      <c r="BC584" s="55" t="str">
        <f aca="false">IF(AN584&lt;=0,"",IF(BU584="Aussen","Aussenlager",IF(BU584="-","Nicht im Lift",IF(AS584&gt;=1,"Lift",IF(AS584&lt;=0,"Aussenlager","teilweise")))))</f>
        <v>Lift</v>
      </c>
      <c r="BD584" s="55" t="str">
        <f aca="false">IF(AV584&lt;=0,"",IF(BU584="Aussen","Aussenlager",IF(BU584="-","Nicht im Lift",IF(BA584&gt;=1,"Lift",IF(BA584&lt;=0,"Aussenlager","teilweise")))))</f>
        <v>Lift</v>
      </c>
      <c r="BE584" s="55" t="str">
        <f aca="false">IF(A584="","",IF(BN584=1,"Neu; ","")&amp;IF(AND(BN584=0,BI584&lt;0),"negativer Bestand (Export "&amp;BI584&amp;"); ","")&amp;IF(I584&lt;=0,"Kein Verbrauch; ","")&amp;IF(CD584&gt;0,"Lift "&amp;U584&amp;" lt. Liftbericht (Fach "&amp;V584&amp;" Stk); ",IF(BR584=1,"Lose – Fläche geschätzt; ",""))&amp;IF(G584&gt;AP584,"Überbestand "&amp;ROUND(G584-AP584,0)&amp;" Stk / CHF "&amp;ROUND((G584-AP584)*F584,0)&amp;"; ","")&amp;IF(AND(BW584=1,BX584&lt;BY584),"MAX &lt; MB+LG; ","")&amp;IF(AND(CC584&gt;0,CB584*10&gt;CC584),"zu hoch für Tablar; ","")&amp;IF(AND(BN584=0,OR(BW584=1,Y584&lt;&gt;"",S584&lt;&gt;"",T584&lt;&gt;"",Z584&lt;&gt;"")),"manuell übersteuert; ","")&amp;IF(AND(BR584=0,Q584=0),"Gebinde unbekannt / Stellmass fehlt; ","")&amp;IF(AND(BR584=0,N(T584)&lt;=0,N(P584)&lt;=0),"Menge pro Gebinde fehlt (Ist = 1 Gebinde); ","")&amp;BM584)</f>
        <v/>
      </c>
      <c r="BF584" s="55"/>
      <c r="BG584" s="55"/>
      <c r="BH584" s="62"/>
      <c r="BI584" s="57" t="n">
        <v>88</v>
      </c>
      <c r="BJ584" s="57" t="n">
        <v>301</v>
      </c>
      <c r="BK584" s="56" t="n">
        <v>8.8</v>
      </c>
      <c r="BL584" s="57" t="n">
        <v>620</v>
      </c>
      <c r="BM584" s="55"/>
      <c r="BN584" s="60" t="n">
        <v>0</v>
      </c>
      <c r="BO584" s="60" t="n">
        <v>584</v>
      </c>
      <c r="BP584" s="55" t="str">
        <f aca="false">IF(S584&lt;&gt;"",UPPER(TRIM(S584)),IF(O584="","LOSE",O584))</f>
        <v>S22</v>
      </c>
      <c r="BQ584" s="57" t="n">
        <f aca="false">IF(BP584="LOSE",1,IF(N(T584)&gt;0,T584,IF(N(P584)&gt;0,P584,MAX(1,G584))))</f>
        <v>177</v>
      </c>
      <c r="BR584" s="60" t="n">
        <f aca="false">IF(BP584="LOSE",1,0)</f>
        <v>0</v>
      </c>
      <c r="BS584" s="59" t="n">
        <f aca="false">IF(BR584=0,0,IF(N(R584)&gt;0,R584,IFERROR(VLOOKUP(D584,Parameter!$A$35:$C$64,3,0)+0,0)))</f>
        <v>0</v>
      </c>
      <c r="BT584" s="55" t="n">
        <f aca="false">IF(Y584&lt;&gt;"",Y584,X584)</f>
        <v>3</v>
      </c>
      <c r="BU584" s="55" t="str">
        <f aca="false">IF(BT584=1,"L1",IF(OR(BT584=2,BT584=3),"L23",IF(BT584="Aussen","Aussen","-")))</f>
        <v>L23</v>
      </c>
      <c r="BV584" s="66" t="n">
        <f aca="false">IF(N(Z584)&gt;0,Z584,0)</f>
        <v>0</v>
      </c>
      <c r="BW584" s="60" t="n">
        <f aca="false">IF(ISNUMBER(AC584),1,0)</f>
        <v>0</v>
      </c>
      <c r="BX584" s="57" t="n">
        <f aca="false">N(AC584)</f>
        <v>0</v>
      </c>
      <c r="BY584" s="57" t="n">
        <f aca="false">N(L584)+N(M584)</f>
        <v>668</v>
      </c>
      <c r="BZ584" s="57" t="n">
        <f aca="false">ROUNDUP(G584/BQ584,0)</f>
        <v>1</v>
      </c>
      <c r="CA584" s="57" t="n">
        <f aca="false">ROUNDUP(BX584/BQ584,0)</f>
        <v>0</v>
      </c>
      <c r="CB584" s="60" t="n">
        <f aca="false">IF(BR584=1,0,IFERROR(VLOOKUP(BP584,'Gebinde-Kategorie'!$A$5:$M$45,5,0)+0,0))</f>
        <v>8</v>
      </c>
      <c r="CC584" s="60" t="n">
        <f aca="false">IFERROR(IF(OR(BT584=1,BT584=2,BT584=3),N(INDEX(Parameter!$I$5:$I$7,BT584)),0),0)</f>
        <v>0</v>
      </c>
      <c r="CD584" s="59" t="n">
        <f aca="false">IF(AND(Parameter!$B$21="Ja",ISNUMBER(U584),N(V584)&gt;0),IFERROR(N(INDEX(Parameter!$L$5:$L$7,U584))*INDEX(Parameter!$E$5:$E$7,U584)*V584/SUMIFS($V$7:$V$1576,$U$7:$U$1576,U584),0),0)</f>
        <v>0</v>
      </c>
    </row>
    <row r="585" customFormat="false" ht="15" hidden="false" customHeight="false" outlineLevel="0" collapsed="false">
      <c r="A585" s="55" t="s">
        <v>1213</v>
      </c>
      <c r="B585" s="55" t="s">
        <v>1214</v>
      </c>
      <c r="C585" s="55" t="s">
        <v>160</v>
      </c>
      <c r="D585" s="55" t="s">
        <v>178</v>
      </c>
      <c r="E585" s="55" t="s">
        <v>210</v>
      </c>
      <c r="F585" s="56" t="n">
        <v>8.61</v>
      </c>
      <c r="G585" s="57" t="n">
        <f aca="false">MAX(0,IF(AND(Parameter!$B$21="Ja",ISNUMBER(W585)),W585,IF(Parameter!$B$20="Jahresanfang 2025 + Export",BJ585+BI585,BI585)))</f>
        <v>1</v>
      </c>
      <c r="H585" s="57" t="n">
        <f aca="false">G585*F585</f>
        <v>8.61</v>
      </c>
      <c r="I585" s="57" t="n">
        <f aca="false">BL585*Parameter!$B$18</f>
        <v>0</v>
      </c>
      <c r="J585" s="58" t="n">
        <v>39</v>
      </c>
      <c r="K585" s="59" t="n">
        <v>0</v>
      </c>
      <c r="L585" s="57" t="n">
        <v>0</v>
      </c>
      <c r="M585" s="57" t="n">
        <v>1</v>
      </c>
      <c r="N585" s="60" t="n">
        <v>28</v>
      </c>
      <c r="O585" s="55" t="s">
        <v>284</v>
      </c>
      <c r="P585" s="57" t="n">
        <v>40</v>
      </c>
      <c r="Q585" s="60" t="n">
        <f aca="false">IF(BR585=1,0,IFERROR(VLOOKUP(BP585,'Gebinde-Kategorie'!$A$5:$M$45,13,0)+0,0))</f>
        <v>12</v>
      </c>
      <c r="R585" s="61"/>
      <c r="S585" s="62"/>
      <c r="T585" s="62"/>
      <c r="U585" s="55"/>
      <c r="V585" s="57"/>
      <c r="W585" s="57"/>
      <c r="X585" s="55" t="n">
        <f aca="false">IF(A585="","",IF(AND(Parameter!$B$21="Ja",ISNUMBER(U585)),U585,IF(IFERROR(VLOOKUP(D585,Parameter!$A$35:$C$64,2,0),"Nein")="2+3",IF(ISNUMBER(SEARCH("grosser Artikel",BM585)),2,IFERROR(VLOOKUP(BP585,Parameter!$F$35:$G$64,2,0),2)),IF(OR(IFERROR(VLOOKUP(D585,Parameter!$A$35:$C$64,2,0),"Nein")="Nein",IFERROR(VLOOKUP(D585,Parameter!$A$35:$C$64,2,0),"Nein")=""),"-",VLOOKUP(D585,Parameter!$A$35:$C$64,2,0)))))</f>
        <v>2</v>
      </c>
      <c r="Y585" s="62"/>
      <c r="Z585" s="63"/>
      <c r="AA585" s="57" t="n">
        <f aca="false">AP585</f>
        <v>40</v>
      </c>
      <c r="AB585" s="57" t="n">
        <f aca="false">MAX(AP585,G585)</f>
        <v>40</v>
      </c>
      <c r="AC585" s="64"/>
      <c r="AD585" s="57" t="n">
        <f aca="false">IF(LEFT(Cockpit!$C$5,1)="A",G585,IF(BW585=1,BX585,IF(LEFT(Cockpit!$C$5,1)="B",AH585,MAX(AH585,G585))))</f>
        <v>1</v>
      </c>
      <c r="AE585" s="57" t="n">
        <f aca="false">IF(BR585=1,0,ROUNDUP(AD585/BQ585,0))</f>
        <v>1</v>
      </c>
      <c r="AF585" s="59" t="n">
        <f aca="false">IF(CD585&gt;0,CD585*MAX(1,AD585/V585),IF(BR585=1,IF(AD585&lt;=0,0,BS585*MAX(1,IF(G585&gt;0,AD585/G585,1))),IF(Q585&gt;0,AE585/Q585,0))/MAX(0.1,N(Parameter!$M$21)))</f>
        <v>0.0833333333333333</v>
      </c>
      <c r="AG585" s="57" t="n">
        <f aca="false">AD585*F585</f>
        <v>8.61</v>
      </c>
      <c r="AH585" s="57" t="n">
        <f aca="false">ROUNDUP(MAX(I585/IF(BV585&gt;0,BV585,MAX(0.1,N(Cockpit!$C$6))),BY585)/BQ585,0)*BQ585</f>
        <v>40</v>
      </c>
      <c r="AI585" s="58" t="n">
        <f aca="false">IF(AF585&gt;0,I585/AF585,-1)</f>
        <v>0</v>
      </c>
      <c r="AJ585" s="58" t="n">
        <f aca="false">IF(AND(OR(BU585="L1",BU585="L23"),AF585&gt;0),SUMIFS($AF$7:$AF$1576,$BU$7:$BU$1576,BU585,$AI$7:$AI$1576,"&gt;"&amp;AI585)+SUMIFS($AF$7:$AF$1576,$BU$7:$BU$1576,BU585,$AI$7:$AI$1576,AI585,$BO$7:$BO$1576,"&lt;="&amp;BO585),"")</f>
        <v>44.1186361947232</v>
      </c>
      <c r="AK585" s="65" t="n">
        <f aca="false">IF(AJ585="",0,MAX(0,MIN(1,(IF(BU585="L1",Parameter!$E$5,Parameter!$E$6+Parameter!$E$7)-(AJ585-AF585))/AF585)))</f>
        <v>1</v>
      </c>
      <c r="AL585" s="57" t="n">
        <f aca="false">IF(LEFT(Cockpit!$I$5,1)="A",G585,IF(BW585=1,BX585,IF(LEFT(Cockpit!$I$5,1)="B",AP585,MAX(AP585,G585))))</f>
        <v>40</v>
      </c>
      <c r="AM585" s="57" t="n">
        <f aca="false">IF(BR585=1,0,ROUNDUP(AL585/BQ585,0))</f>
        <v>1</v>
      </c>
      <c r="AN585" s="59" t="n">
        <f aca="false">IF(CD585&gt;0,CD585*MAX(1,AL585/V585),IF(BR585=1,IF(AL585&lt;=0,0,BS585*MAX(1,IF(G585&gt;0,AL585/G585,1))),IF(Q585&gt;0,AM585/Q585,0))/MAX(0.1,N(Parameter!$M$21)))</f>
        <v>0.0833333333333333</v>
      </c>
      <c r="AO585" s="57" t="n">
        <f aca="false">AL585*F585</f>
        <v>344.4</v>
      </c>
      <c r="AP585" s="57" t="n">
        <f aca="false">ROUNDUP(MAX(I585/IF(BV585&gt;0,BV585,MAX(0.1,N(Cockpit!$I$6))),BY585)/BQ585,0)*BQ585</f>
        <v>40</v>
      </c>
      <c r="AQ585" s="58" t="n">
        <f aca="false">IF(AN585&gt;0,I585/AN585,-1)</f>
        <v>0</v>
      </c>
      <c r="AR585" s="58" t="n">
        <f aca="false">IF(AND(OR(BU585="L1",BU585="L23"),AN585&gt;0),SUMIFS($AN$7:$AN$1576,$BU$7:$BU$1576,BU585,$AQ$7:$AQ$1576,"&gt;"&amp;AQ585)+SUMIFS($AN$7:$AN$1576,$BU$7:$BU$1576,BU585,$AQ$7:$AQ$1576,AQ585,$BO$7:$BO$1576,"&lt;="&amp;BO585),"")</f>
        <v>127.115422313242</v>
      </c>
      <c r="AS585" s="65" t="n">
        <f aca="false">IF(AR585="",0,MAX(0,MIN(1,(IF(BU585="L1",Parameter!$E$5,Parameter!$E$6+Parameter!$E$7)-(AR585-AN585))/AN585)))</f>
        <v>0</v>
      </c>
      <c r="AT585" s="57" t="n">
        <f aca="false">IF(LEFT(Cockpit!$O$5,1)="A",G585,IF(BW585=1,BX585,IF(LEFT(Cockpit!$O$5,1)="B",AX585,MAX(AX585,G585))))</f>
        <v>40</v>
      </c>
      <c r="AU585" s="57" t="n">
        <f aca="false">IF(BR585=1,0,ROUNDUP(AT585/BQ585,0))</f>
        <v>1</v>
      </c>
      <c r="AV585" s="59" t="n">
        <f aca="false">IF(CD585&gt;0,CD585*MAX(1,AT585/V585),IF(BR585=1,IF(AT585&lt;=0,0,BS585*MAX(1,IF(G585&gt;0,AT585/G585,1))),IF(Q585&gt;0,AU585/Q585,0))/MAX(0.1,N(Parameter!$M$21)))</f>
        <v>0.0833333333333333</v>
      </c>
      <c r="AW585" s="57" t="n">
        <f aca="false">AT585*F585</f>
        <v>344.4</v>
      </c>
      <c r="AX585" s="57" t="n">
        <f aca="false">ROUNDUP(MAX(I585/IF(BV585&gt;0,BV585,MAX(0.1,N(Cockpit!$O$6))),BY585)/BQ585,0)*BQ585</f>
        <v>40</v>
      </c>
      <c r="AY585" s="58" t="n">
        <f aca="false">IF(AV585&gt;0,I585/AV585,-1)</f>
        <v>0</v>
      </c>
      <c r="AZ585" s="58" t="n">
        <f aca="false">IF(AND(OR(BU585="L1",BU585="L23"),AV585&gt;0),SUMIFS($AV$7:$AV$1576,$BU$7:$BU$1576,BU585,$AY$7:$AY$1576,"&gt;"&amp;AY585)+SUMIFS($AV$7:$AV$1576,$BU$7:$BU$1576,BU585,$AY$7:$AY$1576,AY585,$BO$7:$BO$1576,"&lt;="&amp;BO585),"")</f>
        <v>117.174972762792</v>
      </c>
      <c r="BA585" s="65" t="n">
        <f aca="false">IF(AZ585="",0,MAX(0,MIN(1,(IF(BU585="L1",Parameter!$E$5,Parameter!$E$6+Parameter!$E$7)-(AZ585-AV585))/AV585)))</f>
        <v>0</v>
      </c>
      <c r="BB585" s="55" t="str">
        <f aca="false">IF(AF585&lt;=0,"",IF(BU585="Aussen","Aussenlager",IF(BU585="-","Nicht im Lift",IF(AK585&gt;=1,"Lift",IF(AK585&lt;=0,"Aussenlager","teilweise")))))</f>
        <v>Lift</v>
      </c>
      <c r="BC585" s="55" t="str">
        <f aca="false">IF(AN585&lt;=0,"",IF(BU585="Aussen","Aussenlager",IF(BU585="-","Nicht im Lift",IF(AS585&gt;=1,"Lift",IF(AS585&lt;=0,"Aussenlager","teilweise")))))</f>
        <v>Aussenlager</v>
      </c>
      <c r="BD585" s="55" t="str">
        <f aca="false">IF(AV585&lt;=0,"",IF(BU585="Aussen","Aussenlager",IF(BU585="-","Nicht im Lift",IF(BA585&gt;=1,"Lift",IF(BA585&lt;=0,"Aussenlager","teilweise")))))</f>
        <v>Aussenlager</v>
      </c>
      <c r="BE585" s="55" t="str">
        <f aca="false">IF(A585="","",IF(BN585=1,"Neu; ","")&amp;IF(AND(BN585=0,BI585&lt;0),"negativer Bestand (Export "&amp;BI585&amp;"); ","")&amp;IF(I585&lt;=0,"Kein Verbrauch; ","")&amp;IF(CD585&gt;0,"Lift "&amp;U585&amp;" lt. Liftbericht (Fach "&amp;V585&amp;" Stk); ",IF(BR585=1,"Lose – Fläche geschätzt; ",""))&amp;IF(G585&gt;AP585,"Überbestand "&amp;ROUND(G585-AP585,0)&amp;" Stk / CHF "&amp;ROUND((G585-AP585)*F585,0)&amp;"; ","")&amp;IF(AND(BW585=1,BX585&lt;BY585),"MAX &lt; MB+LG; ","")&amp;IF(AND(CC585&gt;0,CB585*10&gt;CC585),"zu hoch für Tablar; ","")&amp;IF(AND(BN585=0,OR(BW585=1,Y585&lt;&gt;"",S585&lt;&gt;"",T585&lt;&gt;"",Z585&lt;&gt;"")),"manuell übersteuert; ","")&amp;IF(AND(BR585=0,Q585=0),"Gebinde unbekannt / Stellmass fehlt; ","")&amp;IF(AND(BR585=0,N(T585)&lt;=0,N(P585)&lt;=0),"Menge pro Gebinde fehlt (Ist = 1 Gebinde); ","")&amp;BM585)</f>
        <v>Kein Verbrauch; </v>
      </c>
      <c r="BF585" s="55"/>
      <c r="BG585" s="55"/>
      <c r="BH585" s="62"/>
      <c r="BI585" s="57" t="n">
        <v>1</v>
      </c>
      <c r="BJ585" s="57" t="n">
        <v>38</v>
      </c>
      <c r="BK585" s="56" t="n">
        <v>8.61</v>
      </c>
      <c r="BL585" s="57" t="n">
        <v>0</v>
      </c>
      <c r="BM585" s="55"/>
      <c r="BN585" s="60" t="n">
        <v>0</v>
      </c>
      <c r="BO585" s="60" t="n">
        <v>585</v>
      </c>
      <c r="BP585" s="55" t="str">
        <f aca="false">IF(S585&lt;&gt;"",UPPER(TRIM(S585)),IF(O585="","LOSE",O585))</f>
        <v>S62</v>
      </c>
      <c r="BQ585" s="57" t="n">
        <f aca="false">IF(BP585="LOSE",1,IF(N(T585)&gt;0,T585,IF(N(P585)&gt;0,P585,MAX(1,G585))))</f>
        <v>40</v>
      </c>
      <c r="BR585" s="60" t="n">
        <f aca="false">IF(BP585="LOSE",1,0)</f>
        <v>0</v>
      </c>
      <c r="BS585" s="59" t="n">
        <f aca="false">IF(BR585=0,0,IF(N(R585)&gt;0,R585,IFERROR(VLOOKUP(D585,Parameter!$A$35:$C$64,3,0)+0,0)))</f>
        <v>0</v>
      </c>
      <c r="BT585" s="55" t="n">
        <f aca="false">IF(Y585&lt;&gt;"",Y585,X585)</f>
        <v>2</v>
      </c>
      <c r="BU585" s="55" t="str">
        <f aca="false">IF(BT585=1,"L1",IF(OR(BT585=2,BT585=3),"L23",IF(BT585="Aussen","Aussen","-")))</f>
        <v>L23</v>
      </c>
      <c r="BV585" s="66" t="n">
        <f aca="false">IF(N(Z585)&gt;0,Z585,0)</f>
        <v>0</v>
      </c>
      <c r="BW585" s="60" t="n">
        <f aca="false">IF(ISNUMBER(AC585),1,0)</f>
        <v>0</v>
      </c>
      <c r="BX585" s="57" t="n">
        <f aca="false">N(AC585)</f>
        <v>0</v>
      </c>
      <c r="BY585" s="57" t="n">
        <f aca="false">N(L585)+N(M585)</f>
        <v>1</v>
      </c>
      <c r="BZ585" s="57" t="n">
        <f aca="false">ROUNDUP(G585/BQ585,0)</f>
        <v>1</v>
      </c>
      <c r="CA585" s="57" t="n">
        <f aca="false">ROUNDUP(BX585/BQ585,0)</f>
        <v>0</v>
      </c>
      <c r="CB585" s="60" t="n">
        <f aca="false">IF(BR585=1,0,IFERROR(VLOOKUP(BP585,'Gebinde-Kategorie'!$A$5:$M$45,5,0)+0,0))</f>
        <v>21</v>
      </c>
      <c r="CC585" s="60" t="n">
        <f aca="false">IFERROR(IF(OR(BT585=1,BT585=2,BT585=3),N(INDEX(Parameter!$I$5:$I$7,BT585)),0),0)</f>
        <v>0</v>
      </c>
      <c r="CD585" s="59" t="n">
        <f aca="false">IF(AND(Parameter!$B$21="Ja",ISNUMBER(U585),N(V585)&gt;0),IFERROR(N(INDEX(Parameter!$L$5:$L$7,U585))*INDEX(Parameter!$E$5:$E$7,U585)*V585/SUMIFS($V$7:$V$1576,$U$7:$U$1576,U585),0),0)</f>
        <v>0</v>
      </c>
    </row>
    <row r="586" customFormat="false" ht="15" hidden="false" customHeight="false" outlineLevel="0" collapsed="false">
      <c r="A586" s="55" t="s">
        <v>1215</v>
      </c>
      <c r="B586" s="55" t="s">
        <v>938</v>
      </c>
      <c r="C586" s="55" t="s">
        <v>160</v>
      </c>
      <c r="D586" s="55" t="s">
        <v>178</v>
      </c>
      <c r="E586" s="55" t="s">
        <v>210</v>
      </c>
      <c r="F586" s="56" t="n">
        <v>0.05</v>
      </c>
      <c r="G586" s="57" t="n">
        <f aca="false">MAX(0,IF(AND(Parameter!$B$21="Ja",ISNUMBER(W586)),W586,IF(Parameter!$B$20="Jahresanfang 2025 + Export",BJ586+BI586,BI586)))</f>
        <v>168</v>
      </c>
      <c r="H586" s="57" t="n">
        <f aca="false">G586*F586</f>
        <v>8.4</v>
      </c>
      <c r="I586" s="57" t="n">
        <f aca="false">BL586*Parameter!$B$18</f>
        <v>424</v>
      </c>
      <c r="J586" s="58" t="n">
        <v>206</v>
      </c>
      <c r="K586" s="59" t="n">
        <v>2.05825242718447</v>
      </c>
      <c r="L586" s="57" t="n">
        <v>24</v>
      </c>
      <c r="M586" s="57" t="n">
        <v>500</v>
      </c>
      <c r="N586" s="60" t="n">
        <v>21</v>
      </c>
      <c r="O586" s="55" t="s">
        <v>293</v>
      </c>
      <c r="P586" s="57" t="n">
        <v>133</v>
      </c>
      <c r="Q586" s="60" t="n">
        <f aca="false">IF(BR586=1,0,IFERROR(VLOOKUP(BP586,'Gebinde-Kategorie'!$A$5:$M$45,13,0)+0,0))</f>
        <v>26</v>
      </c>
      <c r="R586" s="61"/>
      <c r="S586" s="62"/>
      <c r="T586" s="62"/>
      <c r="U586" s="55"/>
      <c r="V586" s="57"/>
      <c r="W586" s="57"/>
      <c r="X586" s="55" t="n">
        <f aca="false">IF(A586="","",IF(AND(Parameter!$B$21="Ja",ISNUMBER(U586)),U586,IF(IFERROR(VLOOKUP(D586,Parameter!$A$35:$C$64,2,0),"Nein")="2+3",IF(ISNUMBER(SEARCH("grosser Artikel",BM586)),2,IFERROR(VLOOKUP(BP586,Parameter!$F$35:$G$64,2,0),2)),IF(OR(IFERROR(VLOOKUP(D586,Parameter!$A$35:$C$64,2,0),"Nein")="Nein",IFERROR(VLOOKUP(D586,Parameter!$A$35:$C$64,2,0),"Nein")=""),"-",VLOOKUP(D586,Parameter!$A$35:$C$64,2,0)))))</f>
        <v>3</v>
      </c>
      <c r="Y586" s="62"/>
      <c r="Z586" s="63"/>
      <c r="AA586" s="57" t="n">
        <f aca="false">AP586</f>
        <v>532</v>
      </c>
      <c r="AB586" s="57" t="n">
        <f aca="false">MAX(AP586,G586)</f>
        <v>532</v>
      </c>
      <c r="AC586" s="64"/>
      <c r="AD586" s="57" t="n">
        <f aca="false">IF(LEFT(Cockpit!$C$5,1)="A",G586,IF(BW586=1,BX586,IF(LEFT(Cockpit!$C$5,1)="B",AH586,MAX(AH586,G586))))</f>
        <v>168</v>
      </c>
      <c r="AE586" s="57" t="n">
        <f aca="false">IF(BR586=1,0,ROUNDUP(AD586/BQ586,0))</f>
        <v>2</v>
      </c>
      <c r="AF586" s="59" t="n">
        <f aca="false">IF(CD586&gt;0,CD586*MAX(1,AD586/V586),IF(BR586=1,IF(AD586&lt;=0,0,BS586*MAX(1,IF(G586&gt;0,AD586/G586,1))),IF(Q586&gt;0,AE586/Q586,0))/MAX(0.1,N(Parameter!$M$21)))</f>
        <v>0.0769230769230769</v>
      </c>
      <c r="AG586" s="57" t="n">
        <f aca="false">AD586*F586</f>
        <v>8.4</v>
      </c>
      <c r="AH586" s="57" t="n">
        <f aca="false">ROUNDUP(MAX(I586/IF(BV586&gt;0,BV586,MAX(0.1,N(Cockpit!$C$6))),BY586)/BQ586,0)*BQ586</f>
        <v>532</v>
      </c>
      <c r="AI586" s="58" t="n">
        <f aca="false">IF(AF586&gt;0,I586/AF586,-1)</f>
        <v>5512</v>
      </c>
      <c r="AJ586" s="58" t="n">
        <f aca="false">IF(AND(OR(BU586="L1",BU586="L23"),AF586&gt;0),SUMIFS($AF$7:$AF$1576,$BU$7:$BU$1576,BU586,$AI$7:$AI$1576,"&gt;"&amp;AI586)+SUMIFS($AF$7:$AF$1576,$BU$7:$BU$1576,BU586,$AI$7:$AI$1576,AI586,$BO$7:$BO$1576,"&lt;="&amp;BO586),"")</f>
        <v>3.68404243099895</v>
      </c>
      <c r="AK586" s="65" t="n">
        <f aca="false">IF(AJ586="",0,MAX(0,MIN(1,(IF(BU586="L1",Parameter!$E$5,Parameter!$E$6+Parameter!$E$7)-(AJ586-AF586))/AF586)))</f>
        <v>1</v>
      </c>
      <c r="AL586" s="57" t="n">
        <f aca="false">IF(LEFT(Cockpit!$I$5,1)="A",G586,IF(BW586=1,BX586,IF(LEFT(Cockpit!$I$5,1)="B",AP586,MAX(AP586,G586))))</f>
        <v>532</v>
      </c>
      <c r="AM586" s="57" t="n">
        <f aca="false">IF(BR586=1,0,ROUNDUP(AL586/BQ586,0))</f>
        <v>4</v>
      </c>
      <c r="AN586" s="59" t="n">
        <f aca="false">IF(CD586&gt;0,CD586*MAX(1,AL586/V586),IF(BR586=1,IF(AL586&lt;=0,0,BS586*MAX(1,IF(G586&gt;0,AL586/G586,1))),IF(Q586&gt;0,AM586/Q586,0))/MAX(0.1,N(Parameter!$M$21)))</f>
        <v>0.153846153846154</v>
      </c>
      <c r="AO586" s="57" t="n">
        <f aca="false">AL586*F586</f>
        <v>26.6</v>
      </c>
      <c r="AP586" s="57" t="n">
        <f aca="false">ROUNDUP(MAX(I586/IF(BV586&gt;0,BV586,MAX(0.1,N(Cockpit!$I$6))),BY586)/BQ586,0)*BQ586</f>
        <v>532</v>
      </c>
      <c r="AQ586" s="58" t="n">
        <f aca="false">IF(AN586&gt;0,I586/AN586,-1)</f>
        <v>2756</v>
      </c>
      <c r="AR586" s="58" t="n">
        <f aca="false">IF(AND(OR(BU586="L1",BU586="L23"),AN586&gt;0),SUMIFS($AN$7:$AN$1576,$BU$7:$BU$1576,BU586,$AQ$7:$AQ$1576,"&gt;"&amp;AQ586)+SUMIFS($AN$7:$AN$1576,$BU$7:$BU$1576,BU586,$AQ$7:$AQ$1576,AQ586,$BO$7:$BO$1576,"&lt;="&amp;BO586),"")</f>
        <v>14.7904310428702</v>
      </c>
      <c r="AS586" s="65" t="n">
        <f aca="false">IF(AR586="",0,MAX(0,MIN(1,(IF(BU586="L1",Parameter!$E$5,Parameter!$E$6+Parameter!$E$7)-(AR586-AN586))/AN586)))</f>
        <v>1</v>
      </c>
      <c r="AT586" s="57" t="n">
        <f aca="false">IF(LEFT(Cockpit!$O$5,1)="A",G586,IF(BW586=1,BX586,IF(LEFT(Cockpit!$O$5,1)="B",AX586,MAX(AX586,G586))))</f>
        <v>532</v>
      </c>
      <c r="AU586" s="57" t="n">
        <f aca="false">IF(BR586=1,0,ROUNDUP(AT586/BQ586,0))</f>
        <v>4</v>
      </c>
      <c r="AV586" s="59" t="n">
        <f aca="false">IF(CD586&gt;0,CD586*MAX(1,AT586/V586),IF(BR586=1,IF(AT586&lt;=0,0,BS586*MAX(1,IF(G586&gt;0,AT586/G586,1))),IF(Q586&gt;0,AU586/Q586,0))/MAX(0.1,N(Parameter!$M$21)))</f>
        <v>0.153846153846154</v>
      </c>
      <c r="AW586" s="57" t="n">
        <f aca="false">AT586*F586</f>
        <v>26.6</v>
      </c>
      <c r="AX586" s="57" t="n">
        <f aca="false">ROUNDUP(MAX(I586/IF(BV586&gt;0,BV586,MAX(0.1,N(Cockpit!$O$6))),BY586)/BQ586,0)*BQ586</f>
        <v>532</v>
      </c>
      <c r="AY586" s="58" t="n">
        <f aca="false">IF(AV586&gt;0,I586/AV586,-1)</f>
        <v>2756</v>
      </c>
      <c r="AZ586" s="58" t="n">
        <f aca="false">IF(AND(OR(BU586="L1",BU586="L23"),AV586&gt;0),SUMIFS($AV$7:$AV$1576,$BU$7:$BU$1576,BU586,$AY$7:$AY$1576,"&gt;"&amp;AY586)+SUMIFS($AV$7:$AV$1576,$BU$7:$BU$1576,BU586,$AY$7:$AY$1576,AY586,$BO$7:$BO$1576,"&lt;="&amp;BO586),"")</f>
        <v>13.594626847066</v>
      </c>
      <c r="BA586" s="65" t="n">
        <f aca="false">IF(AZ586="",0,MAX(0,MIN(1,(IF(BU586="L1",Parameter!$E$5,Parameter!$E$6+Parameter!$E$7)-(AZ586-AV586))/AV586)))</f>
        <v>1</v>
      </c>
      <c r="BB586" s="55" t="str">
        <f aca="false">IF(AF586&lt;=0,"",IF(BU586="Aussen","Aussenlager",IF(BU586="-","Nicht im Lift",IF(AK586&gt;=1,"Lift",IF(AK586&lt;=0,"Aussenlager","teilweise")))))</f>
        <v>Lift</v>
      </c>
      <c r="BC586" s="55" t="str">
        <f aca="false">IF(AN586&lt;=0,"",IF(BU586="Aussen","Aussenlager",IF(BU586="-","Nicht im Lift",IF(AS586&gt;=1,"Lift",IF(AS586&lt;=0,"Aussenlager","teilweise")))))</f>
        <v>Lift</v>
      </c>
      <c r="BD586" s="55" t="str">
        <f aca="false">IF(AV586&lt;=0,"",IF(BU586="Aussen","Aussenlager",IF(BU586="-","Nicht im Lift",IF(BA586&gt;=1,"Lift",IF(BA586&lt;=0,"Aussenlager","teilweise")))))</f>
        <v>Lift</v>
      </c>
      <c r="BE586" s="55" t="str">
        <f aca="false">IF(A586="","",IF(BN586=1,"Neu; ","")&amp;IF(AND(BN586=0,BI586&lt;0),"negativer Bestand (Export "&amp;BI586&amp;"); ","")&amp;IF(I586&lt;=0,"Kein Verbrauch; ","")&amp;IF(CD586&gt;0,"Lift "&amp;U586&amp;" lt. Liftbericht (Fach "&amp;V586&amp;" Stk); ",IF(BR586=1,"Lose – Fläche geschätzt; ",""))&amp;IF(G586&gt;AP586,"Überbestand "&amp;ROUND(G586-AP586,0)&amp;" Stk / CHF "&amp;ROUND((G586-AP586)*F586,0)&amp;"; ","")&amp;IF(AND(BW586=1,BX586&lt;BY586),"MAX &lt; MB+LG; ","")&amp;IF(AND(CC586&gt;0,CB586*10&gt;CC586),"zu hoch für Tablar; ","")&amp;IF(AND(BN586=0,OR(BW586=1,Y586&lt;&gt;"",S586&lt;&gt;"",T586&lt;&gt;"",Z586&lt;&gt;"")),"manuell übersteuert; ","")&amp;IF(AND(BR586=0,Q586=0),"Gebinde unbekannt / Stellmass fehlt; ","")&amp;IF(AND(BR586=0,N(T586)&lt;=0,N(P586)&lt;=0),"Menge pro Gebinde fehlt (Ist = 1 Gebinde); ","")&amp;BM586)</f>
        <v/>
      </c>
      <c r="BF586" s="55"/>
      <c r="BG586" s="55"/>
      <c r="BH586" s="62"/>
      <c r="BI586" s="57" t="n">
        <v>168</v>
      </c>
      <c r="BJ586" s="57" t="n">
        <v>272</v>
      </c>
      <c r="BK586" s="56" t="n">
        <v>8.4</v>
      </c>
      <c r="BL586" s="57" t="n">
        <v>424</v>
      </c>
      <c r="BM586" s="55"/>
      <c r="BN586" s="60" t="n">
        <v>0</v>
      </c>
      <c r="BO586" s="60" t="n">
        <v>586</v>
      </c>
      <c r="BP586" s="55" t="str">
        <f aca="false">IF(S586&lt;&gt;"",UPPER(TRIM(S586)),IF(O586="","LOSE",O586))</f>
        <v>S51</v>
      </c>
      <c r="BQ586" s="57" t="n">
        <f aca="false">IF(BP586="LOSE",1,IF(N(T586)&gt;0,T586,IF(N(P586)&gt;0,P586,MAX(1,G586))))</f>
        <v>133</v>
      </c>
      <c r="BR586" s="60" t="n">
        <f aca="false">IF(BP586="LOSE",1,0)</f>
        <v>0</v>
      </c>
      <c r="BS586" s="59" t="n">
        <f aca="false">IF(BR586=0,0,IF(N(R586)&gt;0,R586,IFERROR(VLOOKUP(D586,Parameter!$A$35:$C$64,3,0)+0,0)))</f>
        <v>0</v>
      </c>
      <c r="BT586" s="55" t="n">
        <f aca="false">IF(Y586&lt;&gt;"",Y586,X586)</f>
        <v>3</v>
      </c>
      <c r="BU586" s="55" t="str">
        <f aca="false">IF(BT586=1,"L1",IF(OR(BT586=2,BT586=3),"L23",IF(BT586="Aussen","Aussen","-")))</f>
        <v>L23</v>
      </c>
      <c r="BV586" s="66" t="n">
        <f aca="false">IF(N(Z586)&gt;0,Z586,0)</f>
        <v>0</v>
      </c>
      <c r="BW586" s="60" t="n">
        <f aca="false">IF(ISNUMBER(AC586),1,0)</f>
        <v>0</v>
      </c>
      <c r="BX586" s="57" t="n">
        <f aca="false">N(AC586)</f>
        <v>0</v>
      </c>
      <c r="BY586" s="57" t="n">
        <f aca="false">N(L586)+N(M586)</f>
        <v>524</v>
      </c>
      <c r="BZ586" s="57" t="n">
        <f aca="false">ROUNDUP(G586/BQ586,0)</f>
        <v>2</v>
      </c>
      <c r="CA586" s="57" t="n">
        <f aca="false">ROUNDUP(BX586/BQ586,0)</f>
        <v>0</v>
      </c>
      <c r="CB586" s="60" t="n">
        <f aca="false">IF(BR586=1,0,IFERROR(VLOOKUP(BP586,'Gebinde-Kategorie'!$A$5:$M$45,5,0)+0,0))</f>
        <v>11</v>
      </c>
      <c r="CC586" s="60" t="n">
        <f aca="false">IFERROR(IF(OR(BT586=1,BT586=2,BT586=3),N(INDEX(Parameter!$I$5:$I$7,BT586)),0),0)</f>
        <v>0</v>
      </c>
      <c r="CD586" s="59" t="n">
        <f aca="false">IF(AND(Parameter!$B$21="Ja",ISNUMBER(U586),N(V586)&gt;0),IFERROR(N(INDEX(Parameter!$L$5:$L$7,U586))*INDEX(Parameter!$E$5:$E$7,U586)*V586/SUMIFS($V$7:$V$1576,$U$7:$U$1576,U586),0),0)</f>
        <v>0</v>
      </c>
    </row>
    <row r="587" customFormat="false" ht="15" hidden="false" customHeight="false" outlineLevel="0" collapsed="false">
      <c r="A587" s="55" t="s">
        <v>1216</v>
      </c>
      <c r="B587" s="55" t="s">
        <v>1081</v>
      </c>
      <c r="C587" s="55" t="s">
        <v>160</v>
      </c>
      <c r="D587" s="55" t="s">
        <v>168</v>
      </c>
      <c r="E587" s="55" t="s">
        <v>210</v>
      </c>
      <c r="F587" s="56" t="n">
        <v>8.3</v>
      </c>
      <c r="G587" s="57" t="n">
        <f aca="false">MAX(0,IF(AND(Parameter!$B$21="Ja",ISNUMBER(W587)),W587,IF(Parameter!$B$20="Jahresanfang 2025 + Export",BJ587+BI587,BI587)))</f>
        <v>1</v>
      </c>
      <c r="H587" s="57" t="n">
        <f aca="false">G587*F587</f>
        <v>8.3</v>
      </c>
      <c r="I587" s="57" t="n">
        <f aca="false">BL587*Parameter!$B$18</f>
        <v>0</v>
      </c>
      <c r="J587" s="58" t="n">
        <v>0</v>
      </c>
      <c r="K587" s="59" t="n">
        <v>0</v>
      </c>
      <c r="L587" s="57" t="n">
        <v>0</v>
      </c>
      <c r="M587" s="57" t="n">
        <v>1</v>
      </c>
      <c r="N587" s="60" t="n">
        <v>21</v>
      </c>
      <c r="O587" s="55" t="s">
        <v>163</v>
      </c>
      <c r="P587" s="57"/>
      <c r="Q587" s="60" t="n">
        <f aca="false">IF(BR587=1,0,IFERROR(VLOOKUP(BP587,'Gebinde-Kategorie'!$A$5:$M$45,13,0)+0,0))</f>
        <v>0</v>
      </c>
      <c r="R587" s="61"/>
      <c r="S587" s="62"/>
      <c r="T587" s="62"/>
      <c r="U587" s="55"/>
      <c r="V587" s="57"/>
      <c r="W587" s="57"/>
      <c r="X587" s="55" t="n">
        <f aca="false">IF(A587="","",IF(AND(Parameter!$B$21="Ja",ISNUMBER(U587)),U587,IF(IFERROR(VLOOKUP(D587,Parameter!$A$35:$C$64,2,0),"Nein")="2+3",IF(ISNUMBER(SEARCH("grosser Artikel",BM587)),2,IFERROR(VLOOKUP(BP587,Parameter!$F$35:$G$64,2,0),2)),IF(OR(IFERROR(VLOOKUP(D587,Parameter!$A$35:$C$64,2,0),"Nein")="Nein",IFERROR(VLOOKUP(D587,Parameter!$A$35:$C$64,2,0),"Nein")=""),"-",VLOOKUP(D587,Parameter!$A$35:$C$64,2,0)))))</f>
        <v>2</v>
      </c>
      <c r="Y587" s="62"/>
      <c r="Z587" s="63"/>
      <c r="AA587" s="57" t="n">
        <f aca="false">AP587</f>
        <v>1</v>
      </c>
      <c r="AB587" s="57" t="n">
        <f aca="false">MAX(AP587,G587)</f>
        <v>1</v>
      </c>
      <c r="AC587" s="64"/>
      <c r="AD587" s="57" t="n">
        <f aca="false">IF(LEFT(Cockpit!$C$5,1)="A",G587,IF(BW587=1,BX587,IF(LEFT(Cockpit!$C$5,1)="B",AH587,MAX(AH587,G587))))</f>
        <v>1</v>
      </c>
      <c r="AE587" s="57" t="n">
        <f aca="false">IF(BR587=1,0,ROUNDUP(AD587/BQ587,0))</f>
        <v>0</v>
      </c>
      <c r="AF587" s="59" t="n">
        <f aca="false">IF(CD587&gt;0,CD587*MAX(1,AD587/V587),IF(BR587=1,IF(AD587&lt;=0,0,BS587*MAX(1,IF(G587&gt;0,AD587/G587,1))),IF(Q587&gt;0,AE587/Q587,0))/MAX(0.1,N(Parameter!$M$21)))</f>
        <v>0.15</v>
      </c>
      <c r="AG587" s="57" t="n">
        <f aca="false">AD587*F587</f>
        <v>8.3</v>
      </c>
      <c r="AH587" s="57" t="n">
        <f aca="false">ROUNDUP(MAX(I587/IF(BV587&gt;0,BV587,MAX(0.1,N(Cockpit!$C$6))),BY587)/BQ587,0)*BQ587</f>
        <v>1</v>
      </c>
      <c r="AI587" s="58" t="n">
        <f aca="false">IF(AF587&gt;0,I587/AF587,-1)</f>
        <v>0</v>
      </c>
      <c r="AJ587" s="58" t="n">
        <f aca="false">IF(AND(OR(BU587="L1",BU587="L23"),AF587&gt;0),SUMIFS($AF$7:$AF$1576,$BU$7:$BU$1576,BU587,$AI$7:$AI$1576,"&gt;"&amp;AI587)+SUMIFS($AF$7:$AF$1576,$BU$7:$BU$1576,BU587,$AI$7:$AI$1576,AI587,$BO$7:$BO$1576,"&lt;="&amp;BO587),"")</f>
        <v>44.2686361947231</v>
      </c>
      <c r="AK587" s="65" t="n">
        <f aca="false">IF(AJ587="",0,MAX(0,MIN(1,(IF(BU587="L1",Parameter!$E$5,Parameter!$E$6+Parameter!$E$7)-(AJ587-AF587))/AF587)))</f>
        <v>1</v>
      </c>
      <c r="AL587" s="57" t="n">
        <f aca="false">IF(LEFT(Cockpit!$I$5,1)="A",G587,IF(BW587=1,BX587,IF(LEFT(Cockpit!$I$5,1)="B",AP587,MAX(AP587,G587))))</f>
        <v>1</v>
      </c>
      <c r="AM587" s="57" t="n">
        <f aca="false">IF(BR587=1,0,ROUNDUP(AL587/BQ587,0))</f>
        <v>0</v>
      </c>
      <c r="AN587" s="59" t="n">
        <f aca="false">IF(CD587&gt;0,CD587*MAX(1,AL587/V587),IF(BR587=1,IF(AL587&lt;=0,0,BS587*MAX(1,IF(G587&gt;0,AL587/G587,1))),IF(Q587&gt;0,AM587/Q587,0))/MAX(0.1,N(Parameter!$M$21)))</f>
        <v>0.15</v>
      </c>
      <c r="AO587" s="57" t="n">
        <f aca="false">AL587*F587</f>
        <v>8.3</v>
      </c>
      <c r="AP587" s="57" t="n">
        <f aca="false">ROUNDUP(MAX(I587/IF(BV587&gt;0,BV587,MAX(0.1,N(Cockpit!$I$6))),BY587)/BQ587,0)*BQ587</f>
        <v>1</v>
      </c>
      <c r="AQ587" s="58" t="n">
        <f aca="false">IF(AN587&gt;0,I587/AN587,-1)</f>
        <v>0</v>
      </c>
      <c r="AR587" s="58" t="n">
        <f aca="false">IF(AND(OR(BU587="L1",BU587="L23"),AN587&gt;0),SUMIFS($AN$7:$AN$1576,$BU$7:$BU$1576,BU587,$AQ$7:$AQ$1576,"&gt;"&amp;AQ587)+SUMIFS($AN$7:$AN$1576,$BU$7:$BU$1576,BU587,$AQ$7:$AQ$1576,AQ587,$BO$7:$BO$1576,"&lt;="&amp;BO587),"")</f>
        <v>127.265422313242</v>
      </c>
      <c r="AS587" s="65" t="n">
        <f aca="false">IF(AR587="",0,MAX(0,MIN(1,(IF(BU587="L1",Parameter!$E$5,Parameter!$E$6+Parameter!$E$7)-(AR587-AN587))/AN587)))</f>
        <v>0</v>
      </c>
      <c r="AT587" s="57" t="n">
        <f aca="false">IF(LEFT(Cockpit!$O$5,1)="A",G587,IF(BW587=1,BX587,IF(LEFT(Cockpit!$O$5,1)="B",AX587,MAX(AX587,G587))))</f>
        <v>1</v>
      </c>
      <c r="AU587" s="57" t="n">
        <f aca="false">IF(BR587=1,0,ROUNDUP(AT587/BQ587,0))</f>
        <v>0</v>
      </c>
      <c r="AV587" s="59" t="n">
        <f aca="false">IF(CD587&gt;0,CD587*MAX(1,AT587/V587),IF(BR587=1,IF(AT587&lt;=0,0,BS587*MAX(1,IF(G587&gt;0,AT587/G587,1))),IF(Q587&gt;0,AU587/Q587,0))/MAX(0.1,N(Parameter!$M$21)))</f>
        <v>0.15</v>
      </c>
      <c r="AW587" s="57" t="n">
        <f aca="false">AT587*F587</f>
        <v>8.3</v>
      </c>
      <c r="AX587" s="57" t="n">
        <f aca="false">ROUNDUP(MAX(I587/IF(BV587&gt;0,BV587,MAX(0.1,N(Cockpit!$O$6))),BY587)/BQ587,0)*BQ587</f>
        <v>1</v>
      </c>
      <c r="AY587" s="58" t="n">
        <f aca="false">IF(AV587&gt;0,I587/AV587,-1)</f>
        <v>0</v>
      </c>
      <c r="AZ587" s="58" t="n">
        <f aca="false">IF(AND(OR(BU587="L1",BU587="L23"),AV587&gt;0),SUMIFS($AV$7:$AV$1576,$BU$7:$BU$1576,BU587,$AY$7:$AY$1576,"&gt;"&amp;AY587)+SUMIFS($AV$7:$AV$1576,$BU$7:$BU$1576,BU587,$AY$7:$AY$1576,AY587,$BO$7:$BO$1576,"&lt;="&amp;BO587),"")</f>
        <v>117.324972762792</v>
      </c>
      <c r="BA587" s="65" t="n">
        <f aca="false">IF(AZ587="",0,MAX(0,MIN(1,(IF(BU587="L1",Parameter!$E$5,Parameter!$E$6+Parameter!$E$7)-(AZ587-AV587))/AV587)))</f>
        <v>0</v>
      </c>
      <c r="BB587" s="55" t="str">
        <f aca="false">IF(AF587&lt;=0,"",IF(BU587="Aussen","Aussenlager",IF(BU587="-","Nicht im Lift",IF(AK587&gt;=1,"Lift",IF(AK587&lt;=0,"Aussenlager","teilweise")))))</f>
        <v>Lift</v>
      </c>
      <c r="BC587" s="55" t="str">
        <f aca="false">IF(AN587&lt;=0,"",IF(BU587="Aussen","Aussenlager",IF(BU587="-","Nicht im Lift",IF(AS587&gt;=1,"Lift",IF(AS587&lt;=0,"Aussenlager","teilweise")))))</f>
        <v>Aussenlager</v>
      </c>
      <c r="BD587" s="55" t="str">
        <f aca="false">IF(AV587&lt;=0,"",IF(BU587="Aussen","Aussenlager",IF(BU587="-","Nicht im Lift",IF(BA587&gt;=1,"Lift",IF(BA587&lt;=0,"Aussenlager","teilweise")))))</f>
        <v>Aussenlager</v>
      </c>
      <c r="BE587" s="55" t="str">
        <f aca="false">IF(A587="","",IF(BN587=1,"Neu; ","")&amp;IF(AND(BN587=0,BI587&lt;0),"negativer Bestand (Export "&amp;BI587&amp;"); ","")&amp;IF(I587&lt;=0,"Kein Verbrauch; ","")&amp;IF(CD587&gt;0,"Lift "&amp;U587&amp;" lt. Liftbericht (Fach "&amp;V587&amp;" Stk); ",IF(BR587=1,"Lose – Fläche geschätzt; ",""))&amp;IF(G587&gt;AP587,"Überbestand "&amp;ROUND(G587-AP587,0)&amp;" Stk / CHF "&amp;ROUND((G587-AP587)*F587,0)&amp;"; ","")&amp;IF(AND(BW587=1,BX587&lt;BY587),"MAX &lt; MB+LG; ","")&amp;IF(AND(CC587&gt;0,CB587*10&gt;CC587),"zu hoch für Tablar; ","")&amp;IF(AND(BN587=0,OR(BW587=1,Y587&lt;&gt;"",S587&lt;&gt;"",T587&lt;&gt;"",Z587&lt;&gt;"")),"manuell übersteuert; ","")&amp;IF(AND(BR587=0,Q587=0),"Gebinde unbekannt / Stellmass fehlt; ","")&amp;IF(AND(BR587=0,N(T587)&lt;=0,N(P587)&lt;=0),"Menge pro Gebinde fehlt (Ist = 1 Gebinde); ","")&amp;BM587)</f>
        <v>Kein Verbrauch; Lose – Fläche geschätzt; </v>
      </c>
      <c r="BF587" s="55"/>
      <c r="BG587" s="55"/>
      <c r="BH587" s="62"/>
      <c r="BI587" s="57" t="n">
        <v>1</v>
      </c>
      <c r="BJ587" s="57" t="n">
        <v>0</v>
      </c>
      <c r="BK587" s="56" t="n">
        <v>8.3</v>
      </c>
      <c r="BL587" s="57" t="n">
        <v>0</v>
      </c>
      <c r="BM587" s="55"/>
      <c r="BN587" s="60" t="n">
        <v>0</v>
      </c>
      <c r="BO587" s="60" t="n">
        <v>587</v>
      </c>
      <c r="BP587" s="55" t="str">
        <f aca="false">IF(S587&lt;&gt;"",UPPER(TRIM(S587)),IF(O587="","LOSE",O587))</f>
        <v>LOSE</v>
      </c>
      <c r="BQ587" s="57" t="n">
        <f aca="false">IF(BP587="LOSE",1,IF(N(T587)&gt;0,T587,IF(N(P587)&gt;0,P587,MAX(1,G587))))</f>
        <v>1</v>
      </c>
      <c r="BR587" s="60" t="n">
        <f aca="false">IF(BP587="LOSE",1,0)</f>
        <v>1</v>
      </c>
      <c r="BS587" s="59" t="n">
        <f aca="false">IF(BR587=0,0,IF(N(R587)&gt;0,R587,IFERROR(VLOOKUP(D587,Parameter!$A$35:$C$64,3,0)+0,0)))</f>
        <v>0.15</v>
      </c>
      <c r="BT587" s="55" t="n">
        <f aca="false">IF(Y587&lt;&gt;"",Y587,X587)</f>
        <v>2</v>
      </c>
      <c r="BU587" s="55" t="str">
        <f aca="false">IF(BT587=1,"L1",IF(OR(BT587=2,BT587=3),"L23",IF(BT587="Aussen","Aussen","-")))</f>
        <v>L23</v>
      </c>
      <c r="BV587" s="66" t="n">
        <f aca="false">IF(N(Z587)&gt;0,Z587,0)</f>
        <v>0</v>
      </c>
      <c r="BW587" s="60" t="n">
        <f aca="false">IF(ISNUMBER(AC587),1,0)</f>
        <v>0</v>
      </c>
      <c r="BX587" s="57" t="n">
        <f aca="false">N(AC587)</f>
        <v>0</v>
      </c>
      <c r="BY587" s="57" t="n">
        <f aca="false">N(L587)+N(M587)</f>
        <v>1</v>
      </c>
      <c r="BZ587" s="57" t="n">
        <f aca="false">ROUNDUP(G587/BQ587,0)</f>
        <v>1</v>
      </c>
      <c r="CA587" s="57" t="n">
        <f aca="false">ROUNDUP(BX587/BQ587,0)</f>
        <v>0</v>
      </c>
      <c r="CB587" s="60" t="n">
        <f aca="false">IF(BR587=1,0,IFERROR(VLOOKUP(BP587,'Gebinde-Kategorie'!$A$5:$M$45,5,0)+0,0))</f>
        <v>0</v>
      </c>
      <c r="CC587" s="60" t="n">
        <f aca="false">IFERROR(IF(OR(BT587=1,BT587=2,BT587=3),N(INDEX(Parameter!$I$5:$I$7,BT587)),0),0)</f>
        <v>0</v>
      </c>
      <c r="CD587" s="59" t="n">
        <f aca="false">IF(AND(Parameter!$B$21="Ja",ISNUMBER(U587),N(V587)&gt;0),IFERROR(N(INDEX(Parameter!$L$5:$L$7,U587))*INDEX(Parameter!$E$5:$E$7,U587)*V587/SUMIFS($V$7:$V$1576,$U$7:$U$1576,U587),0),0)</f>
        <v>0</v>
      </c>
    </row>
    <row r="588" customFormat="false" ht="15" hidden="false" customHeight="false" outlineLevel="0" collapsed="false">
      <c r="A588" s="55" t="s">
        <v>1217</v>
      </c>
      <c r="B588" s="55" t="s">
        <v>987</v>
      </c>
      <c r="C588" s="55" t="s">
        <v>160</v>
      </c>
      <c r="D588" s="55" t="s">
        <v>178</v>
      </c>
      <c r="E588" s="55" t="s">
        <v>210</v>
      </c>
      <c r="F588" s="56" t="n">
        <v>0.68</v>
      </c>
      <c r="G588" s="57" t="n">
        <f aca="false">MAX(0,IF(AND(Parameter!$B$21="Ja",ISNUMBER(W588)),W588,IF(Parameter!$B$20="Jahresanfang 2025 + Export",BJ588+BI588,BI588)))</f>
        <v>12</v>
      </c>
      <c r="H588" s="57" t="n">
        <f aca="false">G588*F588</f>
        <v>8.16</v>
      </c>
      <c r="I588" s="57" t="n">
        <f aca="false">BL588*Parameter!$B$18</f>
        <v>0</v>
      </c>
      <c r="J588" s="58" t="n">
        <v>78</v>
      </c>
      <c r="K588" s="59" t="n">
        <v>0</v>
      </c>
      <c r="L588" s="57" t="n">
        <v>0</v>
      </c>
      <c r="M588" s="57" t="n">
        <v>1</v>
      </c>
      <c r="N588" s="60" t="n">
        <v>21</v>
      </c>
      <c r="O588" s="55" t="s">
        <v>391</v>
      </c>
      <c r="P588" s="57" t="n">
        <v>100</v>
      </c>
      <c r="Q588" s="60" t="n">
        <f aca="false">IF(BR588=1,0,IFERROR(VLOOKUP(BP588,'Gebinde-Kategorie'!$A$5:$M$45,13,0)+0,0))</f>
        <v>414</v>
      </c>
      <c r="R588" s="61"/>
      <c r="S588" s="62"/>
      <c r="T588" s="62"/>
      <c r="U588" s="55"/>
      <c r="V588" s="57"/>
      <c r="W588" s="57"/>
      <c r="X588" s="55" t="n">
        <f aca="false">IF(A588="","",IF(AND(Parameter!$B$21="Ja",ISNUMBER(U588)),U588,IF(IFERROR(VLOOKUP(D588,Parameter!$A$35:$C$64,2,0),"Nein")="2+3",IF(ISNUMBER(SEARCH("grosser Artikel",BM588)),2,IFERROR(VLOOKUP(BP588,Parameter!$F$35:$G$64,2,0),2)),IF(OR(IFERROR(VLOOKUP(D588,Parameter!$A$35:$C$64,2,0),"Nein")="Nein",IFERROR(VLOOKUP(D588,Parameter!$A$35:$C$64,2,0),"Nein")=""),"-",VLOOKUP(D588,Parameter!$A$35:$C$64,2,0)))))</f>
        <v>3</v>
      </c>
      <c r="Y588" s="62"/>
      <c r="Z588" s="63"/>
      <c r="AA588" s="57" t="n">
        <f aca="false">AP588</f>
        <v>100</v>
      </c>
      <c r="AB588" s="57" t="n">
        <f aca="false">MAX(AP588,G588)</f>
        <v>100</v>
      </c>
      <c r="AC588" s="64"/>
      <c r="AD588" s="57" t="n">
        <f aca="false">IF(LEFT(Cockpit!$C$5,1)="A",G588,IF(BW588=1,BX588,IF(LEFT(Cockpit!$C$5,1)="B",AH588,MAX(AH588,G588))))</f>
        <v>12</v>
      </c>
      <c r="AE588" s="57" t="n">
        <f aca="false">IF(BR588=1,0,ROUNDUP(AD588/BQ588,0))</f>
        <v>1</v>
      </c>
      <c r="AF588" s="59" t="n">
        <f aca="false">IF(CD588&gt;0,CD588*MAX(1,AD588/V588),IF(BR588=1,IF(AD588&lt;=0,0,BS588*MAX(1,IF(G588&gt;0,AD588/G588,1))),IF(Q588&gt;0,AE588/Q588,0))/MAX(0.1,N(Parameter!$M$21)))</f>
        <v>0.00241545893719807</v>
      </c>
      <c r="AG588" s="57" t="n">
        <f aca="false">AD588*F588</f>
        <v>8.16</v>
      </c>
      <c r="AH588" s="57" t="n">
        <f aca="false">ROUNDUP(MAX(I588/IF(BV588&gt;0,BV588,MAX(0.1,N(Cockpit!$C$6))),BY588)/BQ588,0)*BQ588</f>
        <v>100</v>
      </c>
      <c r="AI588" s="58" t="n">
        <f aca="false">IF(AF588&gt;0,I588/AF588,-1)</f>
        <v>0</v>
      </c>
      <c r="AJ588" s="58" t="n">
        <f aca="false">IF(AND(OR(BU588="L1",BU588="L23"),AF588&gt;0),SUMIFS($AF$7:$AF$1576,$BU$7:$BU$1576,BU588,$AI$7:$AI$1576,"&gt;"&amp;AI588)+SUMIFS($AF$7:$AF$1576,$BU$7:$BU$1576,BU588,$AI$7:$AI$1576,AI588,$BO$7:$BO$1576,"&lt;="&amp;BO588),"")</f>
        <v>44.2710516536603</v>
      </c>
      <c r="AK588" s="65" t="n">
        <f aca="false">IF(AJ588="",0,MAX(0,MIN(1,(IF(BU588="L1",Parameter!$E$5,Parameter!$E$6+Parameter!$E$7)-(AJ588-AF588))/AF588)))</f>
        <v>1</v>
      </c>
      <c r="AL588" s="57" t="n">
        <f aca="false">IF(LEFT(Cockpit!$I$5,1)="A",G588,IF(BW588=1,BX588,IF(LEFT(Cockpit!$I$5,1)="B",AP588,MAX(AP588,G588))))</f>
        <v>100</v>
      </c>
      <c r="AM588" s="57" t="n">
        <f aca="false">IF(BR588=1,0,ROUNDUP(AL588/BQ588,0))</f>
        <v>1</v>
      </c>
      <c r="AN588" s="59" t="n">
        <f aca="false">IF(CD588&gt;0,CD588*MAX(1,AL588/V588),IF(BR588=1,IF(AL588&lt;=0,0,BS588*MAX(1,IF(G588&gt;0,AL588/G588,1))),IF(Q588&gt;0,AM588/Q588,0))/MAX(0.1,N(Parameter!$M$21)))</f>
        <v>0.00241545893719807</v>
      </c>
      <c r="AO588" s="57" t="n">
        <f aca="false">AL588*F588</f>
        <v>68</v>
      </c>
      <c r="AP588" s="57" t="n">
        <f aca="false">ROUNDUP(MAX(I588/IF(BV588&gt;0,BV588,MAX(0.1,N(Cockpit!$I$6))),BY588)/BQ588,0)*BQ588</f>
        <v>100</v>
      </c>
      <c r="AQ588" s="58" t="n">
        <f aca="false">IF(AN588&gt;0,I588/AN588,-1)</f>
        <v>0</v>
      </c>
      <c r="AR588" s="58" t="n">
        <f aca="false">IF(AND(OR(BU588="L1",BU588="L23"),AN588&gt;0),SUMIFS($AN$7:$AN$1576,$BU$7:$BU$1576,BU588,$AQ$7:$AQ$1576,"&gt;"&amp;AQ588)+SUMIFS($AN$7:$AN$1576,$BU$7:$BU$1576,BU588,$AQ$7:$AQ$1576,AQ588,$BO$7:$BO$1576,"&lt;="&amp;BO588),"")</f>
        <v>127.267837772179</v>
      </c>
      <c r="AS588" s="65" t="n">
        <f aca="false">IF(AR588="",0,MAX(0,MIN(1,(IF(BU588="L1",Parameter!$E$5,Parameter!$E$6+Parameter!$E$7)-(AR588-AN588))/AN588)))</f>
        <v>0</v>
      </c>
      <c r="AT588" s="57" t="n">
        <f aca="false">IF(LEFT(Cockpit!$O$5,1)="A",G588,IF(BW588=1,BX588,IF(LEFT(Cockpit!$O$5,1)="B",AX588,MAX(AX588,G588))))</f>
        <v>100</v>
      </c>
      <c r="AU588" s="57" t="n">
        <f aca="false">IF(BR588=1,0,ROUNDUP(AT588/BQ588,0))</f>
        <v>1</v>
      </c>
      <c r="AV588" s="59" t="n">
        <f aca="false">IF(CD588&gt;0,CD588*MAX(1,AT588/V588),IF(BR588=1,IF(AT588&lt;=0,0,BS588*MAX(1,IF(G588&gt;0,AT588/G588,1))),IF(Q588&gt;0,AU588/Q588,0))/MAX(0.1,N(Parameter!$M$21)))</f>
        <v>0.00241545893719807</v>
      </c>
      <c r="AW588" s="57" t="n">
        <f aca="false">AT588*F588</f>
        <v>68</v>
      </c>
      <c r="AX588" s="57" t="n">
        <f aca="false">ROUNDUP(MAX(I588/IF(BV588&gt;0,BV588,MAX(0.1,N(Cockpit!$O$6))),BY588)/BQ588,0)*BQ588</f>
        <v>100</v>
      </c>
      <c r="AY588" s="58" t="n">
        <f aca="false">IF(AV588&gt;0,I588/AV588,-1)</f>
        <v>0</v>
      </c>
      <c r="AZ588" s="58" t="n">
        <f aca="false">IF(AND(OR(BU588="L1",BU588="L23"),AV588&gt;0),SUMIFS($AV$7:$AV$1576,$BU$7:$BU$1576,BU588,$AY$7:$AY$1576,"&gt;"&amp;AY588)+SUMIFS($AV$7:$AV$1576,$BU$7:$BU$1576,BU588,$AY$7:$AY$1576,AY588,$BO$7:$BO$1576,"&lt;="&amp;BO588),"")</f>
        <v>117.327388221729</v>
      </c>
      <c r="BA588" s="65" t="n">
        <f aca="false">IF(AZ588="",0,MAX(0,MIN(1,(IF(BU588="L1",Parameter!$E$5,Parameter!$E$6+Parameter!$E$7)-(AZ588-AV588))/AV588)))</f>
        <v>0</v>
      </c>
      <c r="BB588" s="55" t="str">
        <f aca="false">IF(AF588&lt;=0,"",IF(BU588="Aussen","Aussenlager",IF(BU588="-","Nicht im Lift",IF(AK588&gt;=1,"Lift",IF(AK588&lt;=0,"Aussenlager","teilweise")))))</f>
        <v>Lift</v>
      </c>
      <c r="BC588" s="55" t="str">
        <f aca="false">IF(AN588&lt;=0,"",IF(BU588="Aussen","Aussenlager",IF(BU588="-","Nicht im Lift",IF(AS588&gt;=1,"Lift",IF(AS588&lt;=0,"Aussenlager","teilweise")))))</f>
        <v>Aussenlager</v>
      </c>
      <c r="BD588" s="55" t="str">
        <f aca="false">IF(AV588&lt;=0,"",IF(BU588="Aussen","Aussenlager",IF(BU588="-","Nicht im Lift",IF(BA588&gt;=1,"Lift",IF(BA588&lt;=0,"Aussenlager","teilweise")))))</f>
        <v>Aussenlager</v>
      </c>
      <c r="BE588" s="55" t="str">
        <f aca="false">IF(A588="","",IF(BN588=1,"Neu; ","")&amp;IF(AND(BN588=0,BI588&lt;0),"negativer Bestand (Export "&amp;BI588&amp;"); ","")&amp;IF(I588&lt;=0,"Kein Verbrauch; ","")&amp;IF(CD588&gt;0,"Lift "&amp;U588&amp;" lt. Liftbericht (Fach "&amp;V588&amp;" Stk); ",IF(BR588=1,"Lose – Fläche geschätzt; ",""))&amp;IF(G588&gt;AP588,"Überbestand "&amp;ROUND(G588-AP588,0)&amp;" Stk / CHF "&amp;ROUND((G588-AP588)*F588,0)&amp;"; ","")&amp;IF(AND(BW588=1,BX588&lt;BY588),"MAX &lt; MB+LG; ","")&amp;IF(AND(CC588&gt;0,CB588*10&gt;CC588),"zu hoch für Tablar; ","")&amp;IF(AND(BN588=0,OR(BW588=1,Y588&lt;&gt;"",S588&lt;&gt;"",T588&lt;&gt;"",Z588&lt;&gt;"")),"manuell übersteuert; ","")&amp;IF(AND(BR588=0,Q588=0),"Gebinde unbekannt / Stellmass fehlt; ","")&amp;IF(AND(BR588=0,N(T588)&lt;=0,N(P588)&lt;=0),"Menge pro Gebinde fehlt (Ist = 1 Gebinde); ","")&amp;BM588)</f>
        <v>Kein Verbrauch; Neuer Art.</v>
      </c>
      <c r="BF588" s="55"/>
      <c r="BG588" s="55"/>
      <c r="BH588" s="62"/>
      <c r="BI588" s="57" t="n">
        <v>12</v>
      </c>
      <c r="BJ588" s="57" t="n">
        <v>72</v>
      </c>
      <c r="BK588" s="56" t="n">
        <v>8.16</v>
      </c>
      <c r="BL588" s="57" t="n">
        <v>0</v>
      </c>
      <c r="BM588" s="55" t="s">
        <v>501</v>
      </c>
      <c r="BN588" s="60" t="n">
        <v>0</v>
      </c>
      <c r="BO588" s="60" t="n">
        <v>588</v>
      </c>
      <c r="BP588" s="55" t="str">
        <f aca="false">IF(S588&lt;&gt;"",UPPER(TRIM(S588)),IF(O588="","LOSE",O588))</f>
        <v>S21</v>
      </c>
      <c r="BQ588" s="57" t="n">
        <f aca="false">IF(BP588="LOSE",1,IF(N(T588)&gt;0,T588,IF(N(P588)&gt;0,P588,MAX(1,G588))))</f>
        <v>100</v>
      </c>
      <c r="BR588" s="60" t="n">
        <f aca="false">IF(BP588="LOSE",1,0)</f>
        <v>0</v>
      </c>
      <c r="BS588" s="59" t="n">
        <f aca="false">IF(BR588=0,0,IF(N(R588)&gt;0,R588,IFERROR(VLOOKUP(D588,Parameter!$A$35:$C$64,3,0)+0,0)))</f>
        <v>0</v>
      </c>
      <c r="BT588" s="55" t="n">
        <f aca="false">IF(Y588&lt;&gt;"",Y588,X588)</f>
        <v>3</v>
      </c>
      <c r="BU588" s="55" t="str">
        <f aca="false">IF(BT588=1,"L1",IF(OR(BT588=2,BT588=3),"L23",IF(BT588="Aussen","Aussen","-")))</f>
        <v>L23</v>
      </c>
      <c r="BV588" s="66" t="n">
        <f aca="false">IF(N(Z588)&gt;0,Z588,0)</f>
        <v>0</v>
      </c>
      <c r="BW588" s="60" t="n">
        <f aca="false">IF(ISNUMBER(AC588),1,0)</f>
        <v>0</v>
      </c>
      <c r="BX588" s="57" t="n">
        <f aca="false">N(AC588)</f>
        <v>0</v>
      </c>
      <c r="BY588" s="57" t="n">
        <f aca="false">N(L588)+N(M588)</f>
        <v>1</v>
      </c>
      <c r="BZ588" s="57" t="n">
        <f aca="false">ROUNDUP(G588/BQ588,0)</f>
        <v>1</v>
      </c>
      <c r="CA588" s="57" t="n">
        <f aca="false">ROUNDUP(BX588/BQ588,0)</f>
        <v>0</v>
      </c>
      <c r="CB588" s="60" t="n">
        <f aca="false">IF(BR588=1,0,IFERROR(VLOOKUP(BP588,'Gebinde-Kategorie'!$A$5:$M$45,5,0)+0,0))</f>
        <v>8</v>
      </c>
      <c r="CC588" s="60" t="n">
        <f aca="false">IFERROR(IF(OR(BT588=1,BT588=2,BT588=3),N(INDEX(Parameter!$I$5:$I$7,BT588)),0),0)</f>
        <v>0</v>
      </c>
      <c r="CD588" s="59" t="n">
        <f aca="false">IF(AND(Parameter!$B$21="Ja",ISNUMBER(U588),N(V588)&gt;0),IFERROR(N(INDEX(Parameter!$L$5:$L$7,U588))*INDEX(Parameter!$E$5:$E$7,U588)*V588/SUMIFS($V$7:$V$1576,$U$7:$U$1576,U588),0),0)</f>
        <v>0</v>
      </c>
    </row>
    <row r="589" customFormat="false" ht="15" hidden="false" customHeight="false" outlineLevel="0" collapsed="false">
      <c r="A589" s="55" t="s">
        <v>1218</v>
      </c>
      <c r="B589" s="55" t="s">
        <v>587</v>
      </c>
      <c r="C589" s="55" t="s">
        <v>160</v>
      </c>
      <c r="D589" s="55" t="s">
        <v>178</v>
      </c>
      <c r="E589" s="55" t="s">
        <v>210</v>
      </c>
      <c r="F589" s="56" t="n">
        <v>43.93</v>
      </c>
      <c r="G589" s="57" t="n">
        <f aca="false">MAX(0,IF(AND(Parameter!$B$21="Ja",ISNUMBER(W589)),W589,IF(Parameter!$B$20="Jahresanfang 2025 + Export",BJ589+BI589,BI589)))</f>
        <v>0</v>
      </c>
      <c r="H589" s="57" t="n">
        <f aca="false">G589*F589</f>
        <v>0</v>
      </c>
      <c r="I589" s="57" t="n">
        <f aca="false">BL589*Parameter!$B$18</f>
        <v>12</v>
      </c>
      <c r="J589" s="58" t="n">
        <v>7.5</v>
      </c>
      <c r="K589" s="59" t="n">
        <v>1.6</v>
      </c>
      <c r="L589" s="57" t="n">
        <v>1</v>
      </c>
      <c r="M589" s="57" t="n">
        <v>10</v>
      </c>
      <c r="N589" s="60" t="n">
        <v>35</v>
      </c>
      <c r="O589" s="55" t="s">
        <v>465</v>
      </c>
      <c r="P589" s="57" t="n">
        <v>27</v>
      </c>
      <c r="Q589" s="60" t="n">
        <f aca="false">IF(BR589=1,0,IFERROR(VLOOKUP(BP589,'Gebinde-Kategorie'!$A$5:$M$45,13,0)+0,0))</f>
        <v>66</v>
      </c>
      <c r="R589" s="61"/>
      <c r="S589" s="62"/>
      <c r="T589" s="62"/>
      <c r="U589" s="55"/>
      <c r="V589" s="57"/>
      <c r="W589" s="57"/>
      <c r="X589" s="55" t="n">
        <f aca="false">IF(A589="","",IF(AND(Parameter!$B$21="Ja",ISNUMBER(U589)),U589,IF(IFERROR(VLOOKUP(D589,Parameter!$A$35:$C$64,2,0),"Nein")="2+3",IF(ISNUMBER(SEARCH("grosser Artikel",BM589)),2,IFERROR(VLOOKUP(BP589,Parameter!$F$35:$G$64,2,0),2)),IF(OR(IFERROR(VLOOKUP(D589,Parameter!$A$35:$C$64,2,0),"Nein")="Nein",IFERROR(VLOOKUP(D589,Parameter!$A$35:$C$64,2,0),"Nein")=""),"-",VLOOKUP(D589,Parameter!$A$35:$C$64,2,0)))))</f>
        <v>3</v>
      </c>
      <c r="Y589" s="62"/>
      <c r="Z589" s="63"/>
      <c r="AA589" s="57" t="n">
        <f aca="false">AP589</f>
        <v>27</v>
      </c>
      <c r="AB589" s="57" t="n">
        <f aca="false">MAX(AP589,G589)</f>
        <v>27</v>
      </c>
      <c r="AC589" s="64"/>
      <c r="AD589" s="57" t="n">
        <f aca="false">IF(LEFT(Cockpit!$C$5,1)="A",G589,IF(BW589=1,BX589,IF(LEFT(Cockpit!$C$5,1)="B",AH589,MAX(AH589,G589))))</f>
        <v>0</v>
      </c>
      <c r="AE589" s="57" t="n">
        <f aca="false">IF(BR589=1,0,ROUNDUP(AD589/BQ589,0))</f>
        <v>0</v>
      </c>
      <c r="AF589" s="59" t="n">
        <f aca="false">IF(CD589&gt;0,CD589*MAX(1,AD589/V589),IF(BR589=1,IF(AD589&lt;=0,0,BS589*MAX(1,IF(G589&gt;0,AD589/G589,1))),IF(Q589&gt;0,AE589/Q589,0))/MAX(0.1,N(Parameter!$M$21)))</f>
        <v>0</v>
      </c>
      <c r="AG589" s="57" t="n">
        <f aca="false">AD589*F589</f>
        <v>0</v>
      </c>
      <c r="AH589" s="57" t="n">
        <f aca="false">ROUNDUP(MAX(I589/IF(BV589&gt;0,BV589,MAX(0.1,N(Cockpit!$C$6))),BY589)/BQ589,0)*BQ589</f>
        <v>27</v>
      </c>
      <c r="AI589" s="58" t="n">
        <f aca="false">IF(AF589&gt;0,I589/AF589,-1)</f>
        <v>-1</v>
      </c>
      <c r="AJ589" s="58" t="str">
        <f aca="false">IF(AND(OR(BU589="L1",BU589="L23"),AF589&gt;0),SUMIFS($AF$7:$AF$1576,$BU$7:$BU$1576,BU589,$AI$7:$AI$1576,"&gt;"&amp;AI589)+SUMIFS($AF$7:$AF$1576,$BU$7:$BU$1576,BU589,$AI$7:$AI$1576,AI589,$BO$7:$BO$1576,"&lt;="&amp;BO589),"")</f>
        <v/>
      </c>
      <c r="AK589" s="65" t="n">
        <f aca="false">IF(AJ589="",0,MAX(0,MIN(1,(IF(BU589="L1",Parameter!$E$5,Parameter!$E$6+Parameter!$E$7)-(AJ589-AF589))/AF589)))</f>
        <v>0</v>
      </c>
      <c r="AL589" s="57" t="n">
        <f aca="false">IF(LEFT(Cockpit!$I$5,1)="A",G589,IF(BW589=1,BX589,IF(LEFT(Cockpit!$I$5,1)="B",AP589,MAX(AP589,G589))))</f>
        <v>27</v>
      </c>
      <c r="AM589" s="57" t="n">
        <f aca="false">IF(BR589=1,0,ROUNDUP(AL589/BQ589,0))</f>
        <v>1</v>
      </c>
      <c r="AN589" s="59" t="n">
        <f aca="false">IF(CD589&gt;0,CD589*MAX(1,AL589/V589),IF(BR589=1,IF(AL589&lt;=0,0,BS589*MAX(1,IF(G589&gt;0,AL589/G589,1))),IF(Q589&gt;0,AM589/Q589,0))/MAX(0.1,N(Parameter!$M$21)))</f>
        <v>0.0151515151515152</v>
      </c>
      <c r="AO589" s="57" t="n">
        <f aca="false">AL589*F589</f>
        <v>1186.11</v>
      </c>
      <c r="AP589" s="57" t="n">
        <f aca="false">ROUNDUP(MAX(I589/IF(BV589&gt;0,BV589,MAX(0.1,N(Cockpit!$I$6))),BY589)/BQ589,0)*BQ589</f>
        <v>27</v>
      </c>
      <c r="AQ589" s="58" t="n">
        <f aca="false">IF(AN589&gt;0,I589/AN589,-1)</f>
        <v>792</v>
      </c>
      <c r="AR589" s="58" t="n">
        <f aca="false">IF(AND(OR(BU589="L1",BU589="L23"),AN589&gt;0),SUMIFS($AN$7:$AN$1576,$BU$7:$BU$1576,BU589,$AQ$7:$AQ$1576,"&gt;"&amp;AQ589)+SUMIFS($AN$7:$AN$1576,$BU$7:$BU$1576,BU589,$AQ$7:$AQ$1576,AQ589,$BO$7:$BO$1576,"&lt;="&amp;BO589),"")</f>
        <v>26.1846987918839</v>
      </c>
      <c r="AS589" s="65" t="n">
        <f aca="false">IF(AR589="",0,MAX(0,MIN(1,(IF(BU589="L1",Parameter!$E$5,Parameter!$E$6+Parameter!$E$7)-(AR589-AN589))/AN589)))</f>
        <v>1</v>
      </c>
      <c r="AT589" s="57" t="n">
        <f aca="false">IF(LEFT(Cockpit!$O$5,1)="A",G589,IF(BW589=1,BX589,IF(LEFT(Cockpit!$O$5,1)="B",AX589,MAX(AX589,G589))))</f>
        <v>27</v>
      </c>
      <c r="AU589" s="57" t="n">
        <f aca="false">IF(BR589=1,0,ROUNDUP(AT589/BQ589,0))</f>
        <v>1</v>
      </c>
      <c r="AV589" s="59" t="n">
        <f aca="false">IF(CD589&gt;0,CD589*MAX(1,AT589/V589),IF(BR589=1,IF(AT589&lt;=0,0,BS589*MAX(1,IF(G589&gt;0,AT589/G589,1))),IF(Q589&gt;0,AU589/Q589,0))/MAX(0.1,N(Parameter!$M$21)))</f>
        <v>0.0151515151515152</v>
      </c>
      <c r="AW589" s="57" t="n">
        <f aca="false">AT589*F589</f>
        <v>1186.11</v>
      </c>
      <c r="AX589" s="57" t="n">
        <f aca="false">ROUNDUP(MAX(I589/IF(BV589&gt;0,BV589,MAX(0.1,N(Cockpit!$O$6))),BY589)/BQ589,0)*BQ589</f>
        <v>27</v>
      </c>
      <c r="AY589" s="58" t="n">
        <f aca="false">IF(AV589&gt;0,I589/AV589,-1)</f>
        <v>792</v>
      </c>
      <c r="AZ589" s="58" t="n">
        <f aca="false">IF(AND(OR(BU589="L1",BU589="L23"),AV589&gt;0),SUMIFS($AV$7:$AV$1576,$BU$7:$BU$1576,BU589,$AY$7:$AY$1576,"&gt;"&amp;AY589)+SUMIFS($AV$7:$AV$1576,$BU$7:$BU$1576,BU589,$AY$7:$AY$1576,AY589,$BO$7:$BO$1576,"&lt;="&amp;BO589),"")</f>
        <v>26.0850484422335</v>
      </c>
      <c r="BA589" s="65" t="n">
        <f aca="false">IF(AZ589="",0,MAX(0,MIN(1,(IF(BU589="L1",Parameter!$E$5,Parameter!$E$6+Parameter!$E$7)-(AZ589-AV589))/AV589)))</f>
        <v>1</v>
      </c>
      <c r="BB589" s="55" t="str">
        <f aca="false">IF(AF589&lt;=0,"",IF(BU589="Aussen","Aussenlager",IF(BU589="-","Nicht im Lift",IF(AK589&gt;=1,"Lift",IF(AK589&lt;=0,"Aussenlager","teilweise")))))</f>
        <v/>
      </c>
      <c r="BC589" s="55" t="str">
        <f aca="false">IF(AN589&lt;=0,"",IF(BU589="Aussen","Aussenlager",IF(BU589="-","Nicht im Lift",IF(AS589&gt;=1,"Lift",IF(AS589&lt;=0,"Aussenlager","teilweise")))))</f>
        <v>Lift</v>
      </c>
      <c r="BD589" s="55" t="str">
        <f aca="false">IF(AV589&lt;=0,"",IF(BU589="Aussen","Aussenlager",IF(BU589="-","Nicht im Lift",IF(BA589&gt;=1,"Lift",IF(BA589&lt;=0,"Aussenlager","teilweise")))))</f>
        <v>Lift</v>
      </c>
      <c r="BE589" s="55" t="str">
        <f aca="false">IF(A589="","",IF(BN589=1,"Neu; ","")&amp;IF(AND(BN589=0,BI589&lt;0),"negativer Bestand (Export "&amp;BI589&amp;"); ","")&amp;IF(I589&lt;=0,"Kein Verbrauch; ","")&amp;IF(CD589&gt;0,"Lift "&amp;U589&amp;" lt. Liftbericht (Fach "&amp;V589&amp;" Stk); ",IF(BR589=1,"Lose – Fläche geschätzt; ",""))&amp;IF(G589&gt;AP589,"Überbestand "&amp;ROUND(G589-AP589,0)&amp;" Stk / CHF "&amp;ROUND((G589-AP589)*F589,0)&amp;"; ","")&amp;IF(AND(BW589=1,BX589&lt;BY589),"MAX &lt; MB+LG; ","")&amp;IF(AND(CC589&gt;0,CB589*10&gt;CC589),"zu hoch für Tablar; ","")&amp;IF(AND(BN589=0,OR(BW589=1,Y589&lt;&gt;"",S589&lt;&gt;"",T589&lt;&gt;"",Z589&lt;&gt;"")),"manuell übersteuert; ","")&amp;IF(AND(BR589=0,Q589=0),"Gebinde unbekannt / Stellmass fehlt; ","")&amp;IF(AND(BR589=0,N(T589)&lt;=0,N(P589)&lt;=0),"Menge pro Gebinde fehlt (Ist = 1 Gebinde); ","")&amp;BM589)</f>
        <v/>
      </c>
      <c r="BF589" s="55"/>
      <c r="BG589" s="55"/>
      <c r="BH589" s="62"/>
      <c r="BI589" s="57" t="n">
        <v>0</v>
      </c>
      <c r="BJ589" s="57" t="n">
        <v>8</v>
      </c>
      <c r="BK589" s="56" t="n">
        <v>8.15999999999988</v>
      </c>
      <c r="BL589" s="57" t="n">
        <v>12</v>
      </c>
      <c r="BM589" s="55"/>
      <c r="BN589" s="60" t="n">
        <v>0</v>
      </c>
      <c r="BO589" s="60" t="n">
        <v>589</v>
      </c>
      <c r="BP589" s="55" t="str">
        <f aca="false">IF(S589&lt;&gt;"",UPPER(TRIM(S589)),IF(O589="","LOSE",O589))</f>
        <v>S33</v>
      </c>
      <c r="BQ589" s="57" t="n">
        <f aca="false">IF(BP589="LOSE",1,IF(N(T589)&gt;0,T589,IF(N(P589)&gt;0,P589,MAX(1,G589))))</f>
        <v>27</v>
      </c>
      <c r="BR589" s="60" t="n">
        <f aca="false">IF(BP589="LOSE",1,0)</f>
        <v>0</v>
      </c>
      <c r="BS589" s="59" t="n">
        <f aca="false">IF(BR589=0,0,IF(N(R589)&gt;0,R589,IFERROR(VLOOKUP(D589,Parameter!$A$35:$C$64,3,0)+0,0)))</f>
        <v>0</v>
      </c>
      <c r="BT589" s="55" t="n">
        <f aca="false">IF(Y589&lt;&gt;"",Y589,X589)</f>
        <v>3</v>
      </c>
      <c r="BU589" s="55" t="str">
        <f aca="false">IF(BT589=1,"L1",IF(OR(BT589=2,BT589=3),"L23",IF(BT589="Aussen","Aussen","-")))</f>
        <v>L23</v>
      </c>
      <c r="BV589" s="66" t="n">
        <f aca="false">IF(N(Z589)&gt;0,Z589,0)</f>
        <v>0</v>
      </c>
      <c r="BW589" s="60" t="n">
        <f aca="false">IF(ISNUMBER(AC589),1,0)</f>
        <v>0</v>
      </c>
      <c r="BX589" s="57" t="n">
        <f aca="false">N(AC589)</f>
        <v>0</v>
      </c>
      <c r="BY589" s="57" t="n">
        <f aca="false">N(L589)+N(M589)</f>
        <v>11</v>
      </c>
      <c r="BZ589" s="57" t="n">
        <f aca="false">ROUNDUP(G589/BQ589,0)</f>
        <v>0</v>
      </c>
      <c r="CA589" s="57" t="n">
        <f aca="false">ROUNDUP(BX589/BQ589,0)</f>
        <v>0</v>
      </c>
      <c r="CB589" s="60" t="n">
        <f aca="false">IF(BR589=1,0,IFERROR(VLOOKUP(BP589,'Gebinde-Kategorie'!$A$5:$M$45,5,0)+0,0))</f>
        <v>8</v>
      </c>
      <c r="CC589" s="60" t="n">
        <f aca="false">IFERROR(IF(OR(BT589=1,BT589=2,BT589=3),N(INDEX(Parameter!$I$5:$I$7,BT589)),0),0)</f>
        <v>0</v>
      </c>
      <c r="CD589" s="59" t="n">
        <f aca="false">IF(AND(Parameter!$B$21="Ja",ISNUMBER(U589),N(V589)&gt;0),IFERROR(N(INDEX(Parameter!$L$5:$L$7,U589))*INDEX(Parameter!$E$5:$E$7,U589)*V589/SUMIFS($V$7:$V$1576,$U$7:$U$1576,U589),0),0)</f>
        <v>0</v>
      </c>
    </row>
    <row r="590" customFormat="false" ht="15" hidden="false" customHeight="false" outlineLevel="0" collapsed="false">
      <c r="A590" s="55" t="s">
        <v>1219</v>
      </c>
      <c r="B590" s="55" t="s">
        <v>620</v>
      </c>
      <c r="C590" s="55" t="s">
        <v>160</v>
      </c>
      <c r="D590" s="55" t="s">
        <v>178</v>
      </c>
      <c r="E590" s="55" t="s">
        <v>210</v>
      </c>
      <c r="F590" s="56" t="n">
        <v>2.6</v>
      </c>
      <c r="G590" s="57" t="n">
        <f aca="false">MAX(0,IF(AND(Parameter!$B$21="Ja",ISNUMBER(W590)),W590,IF(Parameter!$B$20="Jahresanfang 2025 + Export",BJ590+BI590,BI590)))</f>
        <v>3</v>
      </c>
      <c r="H590" s="57" t="n">
        <f aca="false">G590*F590</f>
        <v>7.8</v>
      </c>
      <c r="I590" s="57" t="n">
        <f aca="false">BL590*Parameter!$B$18</f>
        <v>0</v>
      </c>
      <c r="J590" s="58" t="n">
        <v>68.5</v>
      </c>
      <c r="K590" s="59" t="n">
        <v>0</v>
      </c>
      <c r="L590" s="57" t="n">
        <v>0</v>
      </c>
      <c r="M590" s="57" t="n">
        <v>1</v>
      </c>
      <c r="N590" s="60" t="n">
        <v>28</v>
      </c>
      <c r="O590" s="55" t="s">
        <v>391</v>
      </c>
      <c r="P590" s="57" t="n">
        <v>100</v>
      </c>
      <c r="Q590" s="60" t="n">
        <f aca="false">IF(BR590=1,0,IFERROR(VLOOKUP(BP590,'Gebinde-Kategorie'!$A$5:$M$45,13,0)+0,0))</f>
        <v>414</v>
      </c>
      <c r="R590" s="61"/>
      <c r="S590" s="62"/>
      <c r="T590" s="62"/>
      <c r="U590" s="55"/>
      <c r="V590" s="57"/>
      <c r="W590" s="57"/>
      <c r="X590" s="55" t="n">
        <f aca="false">IF(A590="","",IF(AND(Parameter!$B$21="Ja",ISNUMBER(U590)),U590,IF(IFERROR(VLOOKUP(D590,Parameter!$A$35:$C$64,2,0),"Nein")="2+3",IF(ISNUMBER(SEARCH("grosser Artikel",BM590)),2,IFERROR(VLOOKUP(BP590,Parameter!$F$35:$G$64,2,0),2)),IF(OR(IFERROR(VLOOKUP(D590,Parameter!$A$35:$C$64,2,0),"Nein")="Nein",IFERROR(VLOOKUP(D590,Parameter!$A$35:$C$64,2,0),"Nein")=""),"-",VLOOKUP(D590,Parameter!$A$35:$C$64,2,0)))))</f>
        <v>3</v>
      </c>
      <c r="Y590" s="62"/>
      <c r="Z590" s="63"/>
      <c r="AA590" s="57" t="n">
        <f aca="false">AP590</f>
        <v>100</v>
      </c>
      <c r="AB590" s="57" t="n">
        <f aca="false">MAX(AP590,G590)</f>
        <v>100</v>
      </c>
      <c r="AC590" s="64"/>
      <c r="AD590" s="57" t="n">
        <f aca="false">IF(LEFT(Cockpit!$C$5,1)="A",G590,IF(BW590=1,BX590,IF(LEFT(Cockpit!$C$5,1)="B",AH590,MAX(AH590,G590))))</f>
        <v>3</v>
      </c>
      <c r="AE590" s="57" t="n">
        <f aca="false">IF(BR590=1,0,ROUNDUP(AD590/BQ590,0))</f>
        <v>1</v>
      </c>
      <c r="AF590" s="59" t="n">
        <f aca="false">IF(CD590&gt;0,CD590*MAX(1,AD590/V590),IF(BR590=1,IF(AD590&lt;=0,0,BS590*MAX(1,IF(G590&gt;0,AD590/G590,1))),IF(Q590&gt;0,AE590/Q590,0))/MAX(0.1,N(Parameter!$M$21)))</f>
        <v>0.00241545893719807</v>
      </c>
      <c r="AG590" s="57" t="n">
        <f aca="false">AD590*F590</f>
        <v>7.8</v>
      </c>
      <c r="AH590" s="57" t="n">
        <f aca="false">ROUNDUP(MAX(I590/IF(BV590&gt;0,BV590,MAX(0.1,N(Cockpit!$C$6))),BY590)/BQ590,0)*BQ590</f>
        <v>100</v>
      </c>
      <c r="AI590" s="58" t="n">
        <f aca="false">IF(AF590&gt;0,I590/AF590,-1)</f>
        <v>0</v>
      </c>
      <c r="AJ590" s="58" t="n">
        <f aca="false">IF(AND(OR(BU590="L1",BU590="L23"),AF590&gt;0),SUMIFS($AF$7:$AF$1576,$BU$7:$BU$1576,BU590,$AI$7:$AI$1576,"&gt;"&amp;AI590)+SUMIFS($AF$7:$AF$1576,$BU$7:$BU$1576,BU590,$AI$7:$AI$1576,AI590,$BO$7:$BO$1576,"&lt;="&amp;BO590),"")</f>
        <v>44.2734671125975</v>
      </c>
      <c r="AK590" s="65" t="n">
        <f aca="false">IF(AJ590="",0,MAX(0,MIN(1,(IF(BU590="L1",Parameter!$E$5,Parameter!$E$6+Parameter!$E$7)-(AJ590-AF590))/AF590)))</f>
        <v>1</v>
      </c>
      <c r="AL590" s="57" t="n">
        <f aca="false">IF(LEFT(Cockpit!$I$5,1)="A",G590,IF(BW590=1,BX590,IF(LEFT(Cockpit!$I$5,1)="B",AP590,MAX(AP590,G590))))</f>
        <v>100</v>
      </c>
      <c r="AM590" s="57" t="n">
        <f aca="false">IF(BR590=1,0,ROUNDUP(AL590/BQ590,0))</f>
        <v>1</v>
      </c>
      <c r="AN590" s="59" t="n">
        <f aca="false">IF(CD590&gt;0,CD590*MAX(1,AL590/V590),IF(BR590=1,IF(AL590&lt;=0,0,BS590*MAX(1,IF(G590&gt;0,AL590/G590,1))),IF(Q590&gt;0,AM590/Q590,0))/MAX(0.1,N(Parameter!$M$21)))</f>
        <v>0.00241545893719807</v>
      </c>
      <c r="AO590" s="57" t="n">
        <f aca="false">AL590*F590</f>
        <v>260</v>
      </c>
      <c r="AP590" s="57" t="n">
        <f aca="false">ROUNDUP(MAX(I590/IF(BV590&gt;0,BV590,MAX(0.1,N(Cockpit!$I$6))),BY590)/BQ590,0)*BQ590</f>
        <v>100</v>
      </c>
      <c r="AQ590" s="58" t="n">
        <f aca="false">IF(AN590&gt;0,I590/AN590,-1)</f>
        <v>0</v>
      </c>
      <c r="AR590" s="58" t="n">
        <f aca="false">IF(AND(OR(BU590="L1",BU590="L23"),AN590&gt;0),SUMIFS($AN$7:$AN$1576,$BU$7:$BU$1576,BU590,$AQ$7:$AQ$1576,"&gt;"&amp;AQ590)+SUMIFS($AN$7:$AN$1576,$BU$7:$BU$1576,BU590,$AQ$7:$AQ$1576,AQ590,$BO$7:$BO$1576,"&lt;="&amp;BO590),"")</f>
        <v>127.270253231116</v>
      </c>
      <c r="AS590" s="65" t="n">
        <f aca="false">IF(AR590="",0,MAX(0,MIN(1,(IF(BU590="L1",Parameter!$E$5,Parameter!$E$6+Parameter!$E$7)-(AR590-AN590))/AN590)))</f>
        <v>0</v>
      </c>
      <c r="AT590" s="57" t="n">
        <f aca="false">IF(LEFT(Cockpit!$O$5,1)="A",G590,IF(BW590=1,BX590,IF(LEFT(Cockpit!$O$5,1)="B",AX590,MAX(AX590,G590))))</f>
        <v>100</v>
      </c>
      <c r="AU590" s="57" t="n">
        <f aca="false">IF(BR590=1,0,ROUNDUP(AT590/BQ590,0))</f>
        <v>1</v>
      </c>
      <c r="AV590" s="59" t="n">
        <f aca="false">IF(CD590&gt;0,CD590*MAX(1,AT590/V590),IF(BR590=1,IF(AT590&lt;=0,0,BS590*MAX(1,IF(G590&gt;0,AT590/G590,1))),IF(Q590&gt;0,AU590/Q590,0))/MAX(0.1,N(Parameter!$M$21)))</f>
        <v>0.00241545893719807</v>
      </c>
      <c r="AW590" s="57" t="n">
        <f aca="false">AT590*F590</f>
        <v>260</v>
      </c>
      <c r="AX590" s="57" t="n">
        <f aca="false">ROUNDUP(MAX(I590/IF(BV590&gt;0,BV590,MAX(0.1,N(Cockpit!$O$6))),BY590)/BQ590,0)*BQ590</f>
        <v>100</v>
      </c>
      <c r="AY590" s="58" t="n">
        <f aca="false">IF(AV590&gt;0,I590/AV590,-1)</f>
        <v>0</v>
      </c>
      <c r="AZ590" s="58" t="n">
        <f aca="false">IF(AND(OR(BU590="L1",BU590="L23"),AV590&gt;0),SUMIFS($AV$7:$AV$1576,$BU$7:$BU$1576,BU590,$AY$7:$AY$1576,"&gt;"&amp;AY590)+SUMIFS($AV$7:$AV$1576,$BU$7:$BU$1576,BU590,$AY$7:$AY$1576,AY590,$BO$7:$BO$1576,"&lt;="&amp;BO590),"")</f>
        <v>117.329803680666</v>
      </c>
      <c r="BA590" s="65" t="n">
        <f aca="false">IF(AZ590="",0,MAX(0,MIN(1,(IF(BU590="L1",Parameter!$E$5,Parameter!$E$6+Parameter!$E$7)-(AZ590-AV590))/AV590)))</f>
        <v>0</v>
      </c>
      <c r="BB590" s="55" t="str">
        <f aca="false">IF(AF590&lt;=0,"",IF(BU590="Aussen","Aussenlager",IF(BU590="-","Nicht im Lift",IF(AK590&gt;=1,"Lift",IF(AK590&lt;=0,"Aussenlager","teilweise")))))</f>
        <v>Lift</v>
      </c>
      <c r="BC590" s="55" t="str">
        <f aca="false">IF(AN590&lt;=0,"",IF(BU590="Aussen","Aussenlager",IF(BU590="-","Nicht im Lift",IF(AS590&gt;=1,"Lift",IF(AS590&lt;=0,"Aussenlager","teilweise")))))</f>
        <v>Aussenlager</v>
      </c>
      <c r="BD590" s="55" t="str">
        <f aca="false">IF(AV590&lt;=0,"",IF(BU590="Aussen","Aussenlager",IF(BU590="-","Nicht im Lift",IF(BA590&gt;=1,"Lift",IF(BA590&lt;=0,"Aussenlager","teilweise")))))</f>
        <v>Aussenlager</v>
      </c>
      <c r="BE590" s="55" t="str">
        <f aca="false">IF(A590="","",IF(BN590=1,"Neu; ","")&amp;IF(AND(BN590=0,BI590&lt;0),"negativer Bestand (Export "&amp;BI590&amp;"); ","")&amp;IF(I590&lt;=0,"Kein Verbrauch; ","")&amp;IF(CD590&gt;0,"Lift "&amp;U590&amp;" lt. Liftbericht (Fach "&amp;V590&amp;" Stk); ",IF(BR590=1,"Lose – Fläche geschätzt; ",""))&amp;IF(G590&gt;AP590,"Überbestand "&amp;ROUND(G590-AP590,0)&amp;" Stk / CHF "&amp;ROUND((G590-AP590)*F590,0)&amp;"; ","")&amp;IF(AND(BW590=1,BX590&lt;BY590),"MAX &lt; MB+LG; ","")&amp;IF(AND(CC590&gt;0,CB590*10&gt;CC590),"zu hoch für Tablar; ","")&amp;IF(AND(BN590=0,OR(BW590=1,Y590&lt;&gt;"",S590&lt;&gt;"",T590&lt;&gt;"",Z590&lt;&gt;"")),"manuell übersteuert; ","")&amp;IF(AND(BR590=0,Q590=0),"Gebinde unbekannt / Stellmass fehlt; ","")&amp;IF(AND(BR590=0,N(T590)&lt;=0,N(P590)&lt;=0),"Menge pro Gebinde fehlt (Ist = 1 Gebinde); ","")&amp;BM590)</f>
        <v>Kein Verbrauch; </v>
      </c>
      <c r="BF590" s="55"/>
      <c r="BG590" s="55"/>
      <c r="BH590" s="62"/>
      <c r="BI590" s="57" t="n">
        <v>3</v>
      </c>
      <c r="BJ590" s="57" t="n">
        <v>67</v>
      </c>
      <c r="BK590" s="56" t="n">
        <v>7.8</v>
      </c>
      <c r="BL590" s="57" t="n">
        <v>0</v>
      </c>
      <c r="BM590" s="55"/>
      <c r="BN590" s="60" t="n">
        <v>0</v>
      </c>
      <c r="BO590" s="60" t="n">
        <v>590</v>
      </c>
      <c r="BP590" s="55" t="str">
        <f aca="false">IF(S590&lt;&gt;"",UPPER(TRIM(S590)),IF(O590="","LOSE",O590))</f>
        <v>S21</v>
      </c>
      <c r="BQ590" s="57" t="n">
        <f aca="false">IF(BP590="LOSE",1,IF(N(T590)&gt;0,T590,IF(N(P590)&gt;0,P590,MAX(1,G590))))</f>
        <v>100</v>
      </c>
      <c r="BR590" s="60" t="n">
        <f aca="false">IF(BP590="LOSE",1,0)</f>
        <v>0</v>
      </c>
      <c r="BS590" s="59" t="n">
        <f aca="false">IF(BR590=0,0,IF(N(R590)&gt;0,R590,IFERROR(VLOOKUP(D590,Parameter!$A$35:$C$64,3,0)+0,0)))</f>
        <v>0</v>
      </c>
      <c r="BT590" s="55" t="n">
        <f aca="false">IF(Y590&lt;&gt;"",Y590,X590)</f>
        <v>3</v>
      </c>
      <c r="BU590" s="55" t="str">
        <f aca="false">IF(BT590=1,"L1",IF(OR(BT590=2,BT590=3),"L23",IF(BT590="Aussen","Aussen","-")))</f>
        <v>L23</v>
      </c>
      <c r="BV590" s="66" t="n">
        <f aca="false">IF(N(Z590)&gt;0,Z590,0)</f>
        <v>0</v>
      </c>
      <c r="BW590" s="60" t="n">
        <f aca="false">IF(ISNUMBER(AC590),1,0)</f>
        <v>0</v>
      </c>
      <c r="BX590" s="57" t="n">
        <f aca="false">N(AC590)</f>
        <v>0</v>
      </c>
      <c r="BY590" s="57" t="n">
        <f aca="false">N(L590)+N(M590)</f>
        <v>1</v>
      </c>
      <c r="BZ590" s="57" t="n">
        <f aca="false">ROUNDUP(G590/BQ590,0)</f>
        <v>1</v>
      </c>
      <c r="CA590" s="57" t="n">
        <f aca="false">ROUNDUP(BX590/BQ590,0)</f>
        <v>0</v>
      </c>
      <c r="CB590" s="60" t="n">
        <f aca="false">IF(BR590=1,0,IFERROR(VLOOKUP(BP590,'Gebinde-Kategorie'!$A$5:$M$45,5,0)+0,0))</f>
        <v>8</v>
      </c>
      <c r="CC590" s="60" t="n">
        <f aca="false">IFERROR(IF(OR(BT590=1,BT590=2,BT590=3),N(INDEX(Parameter!$I$5:$I$7,BT590)),0),0)</f>
        <v>0</v>
      </c>
      <c r="CD590" s="59" t="n">
        <f aca="false">IF(AND(Parameter!$B$21="Ja",ISNUMBER(U590),N(V590)&gt;0),IFERROR(N(INDEX(Parameter!$L$5:$L$7,U590))*INDEX(Parameter!$E$5:$E$7,U590)*V590/SUMIFS($V$7:$V$1576,$U$7:$U$1576,U590),0),0)</f>
        <v>0</v>
      </c>
    </row>
    <row r="591" customFormat="false" ht="15" hidden="false" customHeight="false" outlineLevel="0" collapsed="false">
      <c r="A591" s="55" t="s">
        <v>1220</v>
      </c>
      <c r="B591" s="55" t="s">
        <v>578</v>
      </c>
      <c r="C591" s="55" t="s">
        <v>160</v>
      </c>
      <c r="D591" s="55" t="s">
        <v>178</v>
      </c>
      <c r="E591" s="55" t="s">
        <v>210</v>
      </c>
      <c r="F591" s="56" t="n">
        <v>2.6</v>
      </c>
      <c r="G591" s="57" t="n">
        <f aca="false">MAX(0,IF(AND(Parameter!$B$21="Ja",ISNUMBER(W591)),W591,IF(Parameter!$B$20="Jahresanfang 2025 + Export",BJ591+BI591,BI591)))</f>
        <v>3</v>
      </c>
      <c r="H591" s="57" t="n">
        <f aca="false">G591*F591</f>
        <v>7.8</v>
      </c>
      <c r="I591" s="57" t="n">
        <f aca="false">BL591*Parameter!$B$18</f>
        <v>2</v>
      </c>
      <c r="J591" s="58" t="n">
        <v>9</v>
      </c>
      <c r="K591" s="59" t="n">
        <v>0.222222222222222</v>
      </c>
      <c r="L591" s="57" t="n">
        <v>0</v>
      </c>
      <c r="M591" s="57" t="n">
        <v>10</v>
      </c>
      <c r="N591" s="60" t="n">
        <v>14</v>
      </c>
      <c r="O591" s="55" t="s">
        <v>391</v>
      </c>
      <c r="P591" s="57" t="n">
        <v>20</v>
      </c>
      <c r="Q591" s="60" t="n">
        <f aca="false">IF(BR591=1,0,IFERROR(VLOOKUP(BP591,'Gebinde-Kategorie'!$A$5:$M$45,13,0)+0,0))</f>
        <v>414</v>
      </c>
      <c r="R591" s="61"/>
      <c r="S591" s="62"/>
      <c r="T591" s="62"/>
      <c r="U591" s="55"/>
      <c r="V591" s="57"/>
      <c r="W591" s="57"/>
      <c r="X591" s="55" t="n">
        <f aca="false">IF(A591="","",IF(AND(Parameter!$B$21="Ja",ISNUMBER(U591)),U591,IF(IFERROR(VLOOKUP(D591,Parameter!$A$35:$C$64,2,0),"Nein")="2+3",IF(ISNUMBER(SEARCH("grosser Artikel",BM591)),2,IFERROR(VLOOKUP(BP591,Parameter!$F$35:$G$64,2,0),2)),IF(OR(IFERROR(VLOOKUP(D591,Parameter!$A$35:$C$64,2,0),"Nein")="Nein",IFERROR(VLOOKUP(D591,Parameter!$A$35:$C$64,2,0),"Nein")=""),"-",VLOOKUP(D591,Parameter!$A$35:$C$64,2,0)))))</f>
        <v>3</v>
      </c>
      <c r="Y591" s="62"/>
      <c r="Z591" s="63"/>
      <c r="AA591" s="57" t="n">
        <f aca="false">AP591</f>
        <v>20</v>
      </c>
      <c r="AB591" s="57" t="n">
        <f aca="false">MAX(AP591,G591)</f>
        <v>20</v>
      </c>
      <c r="AC591" s="64"/>
      <c r="AD591" s="57" t="n">
        <f aca="false">IF(LEFT(Cockpit!$C$5,1)="A",G591,IF(BW591=1,BX591,IF(LEFT(Cockpit!$C$5,1)="B",AH591,MAX(AH591,G591))))</f>
        <v>3</v>
      </c>
      <c r="AE591" s="57" t="n">
        <f aca="false">IF(BR591=1,0,ROUNDUP(AD591/BQ591,0))</f>
        <v>1</v>
      </c>
      <c r="AF591" s="59" t="n">
        <f aca="false">IF(CD591&gt;0,CD591*MAX(1,AD591/V591),IF(BR591=1,IF(AD591&lt;=0,0,BS591*MAX(1,IF(G591&gt;0,AD591/G591,1))),IF(Q591&gt;0,AE591/Q591,0))/MAX(0.1,N(Parameter!$M$21)))</f>
        <v>0.00241545893719807</v>
      </c>
      <c r="AG591" s="57" t="n">
        <f aca="false">AD591*F591</f>
        <v>7.8</v>
      </c>
      <c r="AH591" s="57" t="n">
        <f aca="false">ROUNDUP(MAX(I591/IF(BV591&gt;0,BV591,MAX(0.1,N(Cockpit!$C$6))),BY591)/BQ591,0)*BQ591</f>
        <v>20</v>
      </c>
      <c r="AI591" s="58" t="n">
        <f aca="false">IF(AF591&gt;0,I591/AF591,-1)</f>
        <v>828</v>
      </c>
      <c r="AJ591" s="58" t="n">
        <f aca="false">IF(AND(OR(BU591="L1",BU591="L23"),AF591&gt;0),SUMIFS($AF$7:$AF$1576,$BU$7:$BU$1576,BU591,$AI$7:$AI$1576,"&gt;"&amp;AI591)+SUMIFS($AF$7:$AF$1576,$BU$7:$BU$1576,BU591,$AI$7:$AI$1576,AI591,$BO$7:$BO$1576,"&lt;="&amp;BO591),"")</f>
        <v>10.4883716766325</v>
      </c>
      <c r="AK591" s="65" t="n">
        <f aca="false">IF(AJ591="",0,MAX(0,MIN(1,(IF(BU591="L1",Parameter!$E$5,Parameter!$E$6+Parameter!$E$7)-(AJ591-AF591))/AF591)))</f>
        <v>1</v>
      </c>
      <c r="AL591" s="57" t="n">
        <f aca="false">IF(LEFT(Cockpit!$I$5,1)="A",G591,IF(BW591=1,BX591,IF(LEFT(Cockpit!$I$5,1)="B",AP591,MAX(AP591,G591))))</f>
        <v>20</v>
      </c>
      <c r="AM591" s="57" t="n">
        <f aca="false">IF(BR591=1,0,ROUNDUP(AL591/BQ591,0))</f>
        <v>1</v>
      </c>
      <c r="AN591" s="59" t="n">
        <f aca="false">IF(CD591&gt;0,CD591*MAX(1,AL591/V591),IF(BR591=1,IF(AL591&lt;=0,0,BS591*MAX(1,IF(G591&gt;0,AL591/G591,1))),IF(Q591&gt;0,AM591/Q591,0))/MAX(0.1,N(Parameter!$M$21)))</f>
        <v>0.00241545893719807</v>
      </c>
      <c r="AO591" s="57" t="n">
        <f aca="false">AL591*F591</f>
        <v>52</v>
      </c>
      <c r="AP591" s="57" t="n">
        <f aca="false">ROUNDUP(MAX(I591/IF(BV591&gt;0,BV591,MAX(0.1,N(Cockpit!$I$6))),BY591)/BQ591,0)*BQ591</f>
        <v>20</v>
      </c>
      <c r="AQ591" s="58" t="n">
        <f aca="false">IF(AN591&gt;0,I591/AN591,-1)</f>
        <v>828</v>
      </c>
      <c r="AR591" s="58" t="n">
        <f aca="false">IF(AND(OR(BU591="L1",BU591="L23"),AN591&gt;0),SUMIFS($AN$7:$AN$1576,$BU$7:$BU$1576,BU591,$AQ$7:$AQ$1576,"&gt;"&amp;AQ591)+SUMIFS($AN$7:$AN$1576,$BU$7:$BU$1576,BU591,$AQ$7:$AQ$1576,AQ591,$BO$7:$BO$1576,"&lt;="&amp;BO591),"")</f>
        <v>25.6126826437808</v>
      </c>
      <c r="AS591" s="65" t="n">
        <f aca="false">IF(AR591="",0,MAX(0,MIN(1,(IF(BU591="L1",Parameter!$E$5,Parameter!$E$6+Parameter!$E$7)-(AR591-AN591))/AN591)))</f>
        <v>1</v>
      </c>
      <c r="AT591" s="57" t="n">
        <f aca="false">IF(LEFT(Cockpit!$O$5,1)="A",G591,IF(BW591=1,BX591,IF(LEFT(Cockpit!$O$5,1)="B",AX591,MAX(AX591,G591))))</f>
        <v>20</v>
      </c>
      <c r="AU591" s="57" t="n">
        <f aca="false">IF(BR591=1,0,ROUNDUP(AT591/BQ591,0))</f>
        <v>1</v>
      </c>
      <c r="AV591" s="59" t="n">
        <f aca="false">IF(CD591&gt;0,CD591*MAX(1,AT591/V591),IF(BR591=1,IF(AT591&lt;=0,0,BS591*MAX(1,IF(G591&gt;0,AT591/G591,1))),IF(Q591&gt;0,AU591/Q591,0))/MAX(0.1,N(Parameter!$M$21)))</f>
        <v>0.00241545893719807</v>
      </c>
      <c r="AW591" s="57" t="n">
        <f aca="false">AT591*F591</f>
        <v>52</v>
      </c>
      <c r="AX591" s="57" t="n">
        <f aca="false">ROUNDUP(MAX(I591/IF(BV591&gt;0,BV591,MAX(0.1,N(Cockpit!$O$6))),BY591)/BQ591,0)*BQ591</f>
        <v>20</v>
      </c>
      <c r="AY591" s="58" t="n">
        <f aca="false">IF(AV591&gt;0,I591/AV591,-1)</f>
        <v>828</v>
      </c>
      <c r="AZ591" s="58" t="n">
        <f aca="false">IF(AND(OR(BU591="L1",BU591="L23"),AV591&gt;0),SUMIFS($AV$7:$AV$1576,$BU$7:$BU$1576,BU591,$AY$7:$AY$1576,"&gt;"&amp;AY591)+SUMIFS($AV$7:$AV$1576,$BU$7:$BU$1576,BU591,$AY$7:$AY$1576,AY591,$BO$7:$BO$1576,"&lt;="&amp;BO591),"")</f>
        <v>25.9296989607971</v>
      </c>
      <c r="BA591" s="65" t="n">
        <f aca="false">IF(AZ591="",0,MAX(0,MIN(1,(IF(BU591="L1",Parameter!$E$5,Parameter!$E$6+Parameter!$E$7)-(AZ591-AV591))/AV591)))</f>
        <v>1</v>
      </c>
      <c r="BB591" s="55" t="str">
        <f aca="false">IF(AF591&lt;=0,"",IF(BU591="Aussen","Aussenlager",IF(BU591="-","Nicht im Lift",IF(AK591&gt;=1,"Lift",IF(AK591&lt;=0,"Aussenlager","teilweise")))))</f>
        <v>Lift</v>
      </c>
      <c r="BC591" s="55" t="str">
        <f aca="false">IF(AN591&lt;=0,"",IF(BU591="Aussen","Aussenlager",IF(BU591="-","Nicht im Lift",IF(AS591&gt;=1,"Lift",IF(AS591&lt;=0,"Aussenlager","teilweise")))))</f>
        <v>Lift</v>
      </c>
      <c r="BD591" s="55" t="str">
        <f aca="false">IF(AV591&lt;=0,"",IF(BU591="Aussen","Aussenlager",IF(BU591="-","Nicht im Lift",IF(BA591&gt;=1,"Lift",IF(BA591&lt;=0,"Aussenlager","teilweise")))))</f>
        <v>Lift</v>
      </c>
      <c r="BE591" s="55" t="str">
        <f aca="false">IF(A591="","",IF(BN591=1,"Neu; ","")&amp;IF(AND(BN591=0,BI591&lt;0),"negativer Bestand (Export "&amp;BI591&amp;"); ","")&amp;IF(I591&lt;=0,"Kein Verbrauch; ","")&amp;IF(CD591&gt;0,"Lift "&amp;U591&amp;" lt. Liftbericht (Fach "&amp;V591&amp;" Stk); ",IF(BR591=1,"Lose – Fläche geschätzt; ",""))&amp;IF(G591&gt;AP591,"Überbestand "&amp;ROUND(G591-AP591,0)&amp;" Stk / CHF "&amp;ROUND((G591-AP591)*F591,0)&amp;"; ","")&amp;IF(AND(BW591=1,BX591&lt;BY591),"MAX &lt; MB+LG; ","")&amp;IF(AND(CC591&gt;0,CB591*10&gt;CC591),"zu hoch für Tablar; ","")&amp;IF(AND(BN591=0,OR(BW591=1,Y591&lt;&gt;"",S591&lt;&gt;"",T591&lt;&gt;"",Z591&lt;&gt;"")),"manuell übersteuert; ","")&amp;IF(AND(BR591=0,Q591=0),"Gebinde unbekannt / Stellmass fehlt; ","")&amp;IF(AND(BR591=0,N(T591)&lt;=0,N(P591)&lt;=0),"Menge pro Gebinde fehlt (Ist = 1 Gebinde); ","")&amp;BM591)</f>
        <v/>
      </c>
      <c r="BF591" s="55"/>
      <c r="BG591" s="55"/>
      <c r="BH591" s="62"/>
      <c r="BI591" s="57" t="n">
        <v>3</v>
      </c>
      <c r="BJ591" s="57" t="n">
        <v>0</v>
      </c>
      <c r="BK591" s="56" t="n">
        <v>7.8</v>
      </c>
      <c r="BL591" s="57" t="n">
        <v>2</v>
      </c>
      <c r="BM591" s="55"/>
      <c r="BN591" s="60" t="n">
        <v>0</v>
      </c>
      <c r="BO591" s="60" t="n">
        <v>591</v>
      </c>
      <c r="BP591" s="55" t="str">
        <f aca="false">IF(S591&lt;&gt;"",UPPER(TRIM(S591)),IF(O591="","LOSE",O591))</f>
        <v>S21</v>
      </c>
      <c r="BQ591" s="57" t="n">
        <f aca="false">IF(BP591="LOSE",1,IF(N(T591)&gt;0,T591,IF(N(P591)&gt;0,P591,MAX(1,G591))))</f>
        <v>20</v>
      </c>
      <c r="BR591" s="60" t="n">
        <f aca="false">IF(BP591="LOSE",1,0)</f>
        <v>0</v>
      </c>
      <c r="BS591" s="59" t="n">
        <f aca="false">IF(BR591=0,0,IF(N(R591)&gt;0,R591,IFERROR(VLOOKUP(D591,Parameter!$A$35:$C$64,3,0)+0,0)))</f>
        <v>0</v>
      </c>
      <c r="BT591" s="55" t="n">
        <f aca="false">IF(Y591&lt;&gt;"",Y591,X591)</f>
        <v>3</v>
      </c>
      <c r="BU591" s="55" t="str">
        <f aca="false">IF(BT591=1,"L1",IF(OR(BT591=2,BT591=3),"L23",IF(BT591="Aussen","Aussen","-")))</f>
        <v>L23</v>
      </c>
      <c r="BV591" s="66" t="n">
        <f aca="false">IF(N(Z591)&gt;0,Z591,0)</f>
        <v>0</v>
      </c>
      <c r="BW591" s="60" t="n">
        <f aca="false">IF(ISNUMBER(AC591),1,0)</f>
        <v>0</v>
      </c>
      <c r="BX591" s="57" t="n">
        <f aca="false">N(AC591)</f>
        <v>0</v>
      </c>
      <c r="BY591" s="57" t="n">
        <f aca="false">N(L591)+N(M591)</f>
        <v>10</v>
      </c>
      <c r="BZ591" s="57" t="n">
        <f aca="false">ROUNDUP(G591/BQ591,0)</f>
        <v>1</v>
      </c>
      <c r="CA591" s="57" t="n">
        <f aca="false">ROUNDUP(BX591/BQ591,0)</f>
        <v>0</v>
      </c>
      <c r="CB591" s="60" t="n">
        <f aca="false">IF(BR591=1,0,IFERROR(VLOOKUP(BP591,'Gebinde-Kategorie'!$A$5:$M$45,5,0)+0,0))</f>
        <v>8</v>
      </c>
      <c r="CC591" s="60" t="n">
        <f aca="false">IFERROR(IF(OR(BT591=1,BT591=2,BT591=3),N(INDEX(Parameter!$I$5:$I$7,BT591)),0),0)</f>
        <v>0</v>
      </c>
      <c r="CD591" s="59" t="n">
        <f aca="false">IF(AND(Parameter!$B$21="Ja",ISNUMBER(U591),N(V591)&gt;0),IFERROR(N(INDEX(Parameter!$L$5:$L$7,U591))*INDEX(Parameter!$E$5:$E$7,U591)*V591/SUMIFS($V$7:$V$1576,$U$7:$U$1576,U591),0),0)</f>
        <v>0</v>
      </c>
    </row>
    <row r="592" customFormat="false" ht="15" hidden="false" customHeight="false" outlineLevel="0" collapsed="false">
      <c r="A592" s="55" t="s">
        <v>1221</v>
      </c>
      <c r="B592" s="55" t="s">
        <v>1222</v>
      </c>
      <c r="C592" s="55" t="s">
        <v>160</v>
      </c>
      <c r="D592" s="55" t="s">
        <v>178</v>
      </c>
      <c r="E592" s="55" t="s">
        <v>210</v>
      </c>
      <c r="F592" s="56" t="n">
        <v>7.76</v>
      </c>
      <c r="G592" s="57" t="n">
        <f aca="false">MAX(0,IF(AND(Parameter!$B$21="Ja",ISNUMBER(W592)),W592,IF(Parameter!$B$20="Jahresanfang 2025 + Export",BJ592+BI592,BI592)))</f>
        <v>1</v>
      </c>
      <c r="H592" s="57" t="n">
        <f aca="false">G592*F592</f>
        <v>7.76</v>
      </c>
      <c r="I592" s="57" t="n">
        <f aca="false">BL592*Parameter!$B$18</f>
        <v>0</v>
      </c>
      <c r="J592" s="58" t="n">
        <v>2.5</v>
      </c>
      <c r="K592" s="59" t="n">
        <v>0</v>
      </c>
      <c r="L592" s="57" t="n">
        <v>0</v>
      </c>
      <c r="M592" s="57" t="n">
        <v>1</v>
      </c>
      <c r="N592" s="60" t="n">
        <v>14</v>
      </c>
      <c r="O592" s="55" t="s">
        <v>465</v>
      </c>
      <c r="P592" s="57" t="n">
        <v>30</v>
      </c>
      <c r="Q592" s="60" t="n">
        <f aca="false">IF(BR592=1,0,IFERROR(VLOOKUP(BP592,'Gebinde-Kategorie'!$A$5:$M$45,13,0)+0,0))</f>
        <v>66</v>
      </c>
      <c r="R592" s="61"/>
      <c r="S592" s="62"/>
      <c r="T592" s="62"/>
      <c r="U592" s="55"/>
      <c r="V592" s="57"/>
      <c r="W592" s="57"/>
      <c r="X592" s="55" t="n">
        <f aca="false">IF(A592="","",IF(AND(Parameter!$B$21="Ja",ISNUMBER(U592)),U592,IF(IFERROR(VLOOKUP(D592,Parameter!$A$35:$C$64,2,0),"Nein")="2+3",IF(ISNUMBER(SEARCH("grosser Artikel",BM592)),2,IFERROR(VLOOKUP(BP592,Parameter!$F$35:$G$64,2,0),2)),IF(OR(IFERROR(VLOOKUP(D592,Parameter!$A$35:$C$64,2,0),"Nein")="Nein",IFERROR(VLOOKUP(D592,Parameter!$A$35:$C$64,2,0),"Nein")=""),"-",VLOOKUP(D592,Parameter!$A$35:$C$64,2,0)))))</f>
        <v>3</v>
      </c>
      <c r="Y592" s="62"/>
      <c r="Z592" s="63"/>
      <c r="AA592" s="57" t="n">
        <f aca="false">AP592</f>
        <v>30</v>
      </c>
      <c r="AB592" s="57" t="n">
        <f aca="false">MAX(AP592,G592)</f>
        <v>30</v>
      </c>
      <c r="AC592" s="64"/>
      <c r="AD592" s="57" t="n">
        <f aca="false">IF(LEFT(Cockpit!$C$5,1)="A",G592,IF(BW592=1,BX592,IF(LEFT(Cockpit!$C$5,1)="B",AH592,MAX(AH592,G592))))</f>
        <v>1</v>
      </c>
      <c r="AE592" s="57" t="n">
        <f aca="false">IF(BR592=1,0,ROUNDUP(AD592/BQ592,0))</f>
        <v>1</v>
      </c>
      <c r="AF592" s="59" t="n">
        <f aca="false">IF(CD592&gt;0,CD592*MAX(1,AD592/V592),IF(BR592=1,IF(AD592&lt;=0,0,BS592*MAX(1,IF(G592&gt;0,AD592/G592,1))),IF(Q592&gt;0,AE592/Q592,0))/MAX(0.1,N(Parameter!$M$21)))</f>
        <v>0.0151515151515152</v>
      </c>
      <c r="AG592" s="57" t="n">
        <f aca="false">AD592*F592</f>
        <v>7.76</v>
      </c>
      <c r="AH592" s="57" t="n">
        <f aca="false">ROUNDUP(MAX(I592/IF(BV592&gt;0,BV592,MAX(0.1,N(Cockpit!$C$6))),BY592)/BQ592,0)*BQ592</f>
        <v>30</v>
      </c>
      <c r="AI592" s="58" t="n">
        <f aca="false">IF(AF592&gt;0,I592/AF592,-1)</f>
        <v>0</v>
      </c>
      <c r="AJ592" s="58" t="n">
        <f aca="false">IF(AND(OR(BU592="L1",BU592="L23"),AF592&gt;0),SUMIFS($AF$7:$AF$1576,$BU$7:$BU$1576,BU592,$AI$7:$AI$1576,"&gt;"&amp;AI592)+SUMIFS($AF$7:$AF$1576,$BU$7:$BU$1576,BU592,$AI$7:$AI$1576,AI592,$BO$7:$BO$1576,"&lt;="&amp;BO592),"")</f>
        <v>44.2886186277491</v>
      </c>
      <c r="AK592" s="65" t="n">
        <f aca="false">IF(AJ592="",0,MAX(0,MIN(1,(IF(BU592="L1",Parameter!$E$5,Parameter!$E$6+Parameter!$E$7)-(AJ592-AF592))/AF592)))</f>
        <v>1</v>
      </c>
      <c r="AL592" s="57" t="n">
        <f aca="false">IF(LEFT(Cockpit!$I$5,1)="A",G592,IF(BW592=1,BX592,IF(LEFT(Cockpit!$I$5,1)="B",AP592,MAX(AP592,G592))))</f>
        <v>30</v>
      </c>
      <c r="AM592" s="57" t="n">
        <f aca="false">IF(BR592=1,0,ROUNDUP(AL592/BQ592,0))</f>
        <v>1</v>
      </c>
      <c r="AN592" s="59" t="n">
        <f aca="false">IF(CD592&gt;0,CD592*MAX(1,AL592/V592),IF(BR592=1,IF(AL592&lt;=0,0,BS592*MAX(1,IF(G592&gt;0,AL592/G592,1))),IF(Q592&gt;0,AM592/Q592,0))/MAX(0.1,N(Parameter!$M$21)))</f>
        <v>0.0151515151515152</v>
      </c>
      <c r="AO592" s="57" t="n">
        <f aca="false">AL592*F592</f>
        <v>232.8</v>
      </c>
      <c r="AP592" s="57" t="n">
        <f aca="false">ROUNDUP(MAX(I592/IF(BV592&gt;0,BV592,MAX(0.1,N(Cockpit!$I$6))),BY592)/BQ592,0)*BQ592</f>
        <v>30</v>
      </c>
      <c r="AQ592" s="58" t="n">
        <f aca="false">IF(AN592&gt;0,I592/AN592,-1)</f>
        <v>0</v>
      </c>
      <c r="AR592" s="58" t="n">
        <f aca="false">IF(AND(OR(BU592="L1",BU592="L23"),AN592&gt;0),SUMIFS($AN$7:$AN$1576,$BU$7:$BU$1576,BU592,$AQ$7:$AQ$1576,"&gt;"&amp;AQ592)+SUMIFS($AN$7:$AN$1576,$BU$7:$BU$1576,BU592,$AQ$7:$AQ$1576,AQ592,$BO$7:$BO$1576,"&lt;="&amp;BO592),"")</f>
        <v>127.285404746267</v>
      </c>
      <c r="AS592" s="65" t="n">
        <f aca="false">IF(AR592="",0,MAX(0,MIN(1,(IF(BU592="L1",Parameter!$E$5,Parameter!$E$6+Parameter!$E$7)-(AR592-AN592))/AN592)))</f>
        <v>0</v>
      </c>
      <c r="AT592" s="57" t="n">
        <f aca="false">IF(LEFT(Cockpit!$O$5,1)="A",G592,IF(BW592=1,BX592,IF(LEFT(Cockpit!$O$5,1)="B",AX592,MAX(AX592,G592))))</f>
        <v>30</v>
      </c>
      <c r="AU592" s="57" t="n">
        <f aca="false">IF(BR592=1,0,ROUNDUP(AT592/BQ592,0))</f>
        <v>1</v>
      </c>
      <c r="AV592" s="59" t="n">
        <f aca="false">IF(CD592&gt;0,CD592*MAX(1,AT592/V592),IF(BR592=1,IF(AT592&lt;=0,0,BS592*MAX(1,IF(G592&gt;0,AT592/G592,1))),IF(Q592&gt;0,AU592/Q592,0))/MAX(0.1,N(Parameter!$M$21)))</f>
        <v>0.0151515151515152</v>
      </c>
      <c r="AW592" s="57" t="n">
        <f aca="false">AT592*F592</f>
        <v>232.8</v>
      </c>
      <c r="AX592" s="57" t="n">
        <f aca="false">ROUNDUP(MAX(I592/IF(BV592&gt;0,BV592,MAX(0.1,N(Cockpit!$O$6))),BY592)/BQ592,0)*BQ592</f>
        <v>30</v>
      </c>
      <c r="AY592" s="58" t="n">
        <f aca="false">IF(AV592&gt;0,I592/AV592,-1)</f>
        <v>0</v>
      </c>
      <c r="AZ592" s="58" t="n">
        <f aca="false">IF(AND(OR(BU592="L1",BU592="L23"),AV592&gt;0),SUMIFS($AV$7:$AV$1576,$BU$7:$BU$1576,BU592,$AY$7:$AY$1576,"&gt;"&amp;AY592)+SUMIFS($AV$7:$AV$1576,$BU$7:$BU$1576,BU592,$AY$7:$AY$1576,AY592,$BO$7:$BO$1576,"&lt;="&amp;BO592),"")</f>
        <v>117.344955195818</v>
      </c>
      <c r="BA592" s="65" t="n">
        <f aca="false">IF(AZ592="",0,MAX(0,MIN(1,(IF(BU592="L1",Parameter!$E$5,Parameter!$E$6+Parameter!$E$7)-(AZ592-AV592))/AV592)))</f>
        <v>0</v>
      </c>
      <c r="BB592" s="55" t="str">
        <f aca="false">IF(AF592&lt;=0,"",IF(BU592="Aussen","Aussenlager",IF(BU592="-","Nicht im Lift",IF(AK592&gt;=1,"Lift",IF(AK592&lt;=0,"Aussenlager","teilweise")))))</f>
        <v>Lift</v>
      </c>
      <c r="BC592" s="55" t="str">
        <f aca="false">IF(AN592&lt;=0,"",IF(BU592="Aussen","Aussenlager",IF(BU592="-","Nicht im Lift",IF(AS592&gt;=1,"Lift",IF(AS592&lt;=0,"Aussenlager","teilweise")))))</f>
        <v>Aussenlager</v>
      </c>
      <c r="BD592" s="55" t="str">
        <f aca="false">IF(AV592&lt;=0,"",IF(BU592="Aussen","Aussenlager",IF(BU592="-","Nicht im Lift",IF(BA592&gt;=1,"Lift",IF(BA592&lt;=0,"Aussenlager","teilweise")))))</f>
        <v>Aussenlager</v>
      </c>
      <c r="BE592" s="55" t="str">
        <f aca="false">IF(A592="","",IF(BN592=1,"Neu; ","")&amp;IF(AND(BN592=0,BI592&lt;0),"negativer Bestand (Export "&amp;BI592&amp;"); ","")&amp;IF(I592&lt;=0,"Kein Verbrauch; ","")&amp;IF(CD592&gt;0,"Lift "&amp;U592&amp;" lt. Liftbericht (Fach "&amp;V592&amp;" Stk); ",IF(BR592=1,"Lose – Fläche geschätzt; ",""))&amp;IF(G592&gt;AP592,"Überbestand "&amp;ROUND(G592-AP592,0)&amp;" Stk / CHF "&amp;ROUND((G592-AP592)*F592,0)&amp;"; ","")&amp;IF(AND(BW592=1,BX592&lt;BY592),"MAX &lt; MB+LG; ","")&amp;IF(AND(CC592&gt;0,CB592*10&gt;CC592),"zu hoch für Tablar; ","")&amp;IF(AND(BN592=0,OR(BW592=1,Y592&lt;&gt;"",S592&lt;&gt;"",T592&lt;&gt;"",Z592&lt;&gt;"")),"manuell übersteuert; ","")&amp;IF(AND(BR592=0,Q592=0),"Gebinde unbekannt / Stellmass fehlt; ","")&amp;IF(AND(BR592=0,N(T592)&lt;=0,N(P592)&lt;=0),"Menge pro Gebinde fehlt (Ist = 1 Gebinde); ","")&amp;BM592)</f>
        <v>Kein Verbrauch; </v>
      </c>
      <c r="BF592" s="55"/>
      <c r="BG592" s="55"/>
      <c r="BH592" s="62"/>
      <c r="BI592" s="57" t="n">
        <v>1</v>
      </c>
      <c r="BJ592" s="57" t="n">
        <v>2</v>
      </c>
      <c r="BK592" s="56" t="n">
        <v>7.76</v>
      </c>
      <c r="BL592" s="57" t="n">
        <v>0</v>
      </c>
      <c r="BM592" s="55"/>
      <c r="BN592" s="60" t="n">
        <v>0</v>
      </c>
      <c r="BO592" s="60" t="n">
        <v>592</v>
      </c>
      <c r="BP592" s="55" t="str">
        <f aca="false">IF(S592&lt;&gt;"",UPPER(TRIM(S592)),IF(O592="","LOSE",O592))</f>
        <v>S33</v>
      </c>
      <c r="BQ592" s="57" t="n">
        <f aca="false">IF(BP592="LOSE",1,IF(N(T592)&gt;0,T592,IF(N(P592)&gt;0,P592,MAX(1,G592))))</f>
        <v>30</v>
      </c>
      <c r="BR592" s="60" t="n">
        <f aca="false">IF(BP592="LOSE",1,0)</f>
        <v>0</v>
      </c>
      <c r="BS592" s="59" t="n">
        <f aca="false">IF(BR592=0,0,IF(N(R592)&gt;0,R592,IFERROR(VLOOKUP(D592,Parameter!$A$35:$C$64,3,0)+0,0)))</f>
        <v>0</v>
      </c>
      <c r="BT592" s="55" t="n">
        <f aca="false">IF(Y592&lt;&gt;"",Y592,X592)</f>
        <v>3</v>
      </c>
      <c r="BU592" s="55" t="str">
        <f aca="false">IF(BT592=1,"L1",IF(OR(BT592=2,BT592=3),"L23",IF(BT592="Aussen","Aussen","-")))</f>
        <v>L23</v>
      </c>
      <c r="BV592" s="66" t="n">
        <f aca="false">IF(N(Z592)&gt;0,Z592,0)</f>
        <v>0</v>
      </c>
      <c r="BW592" s="60" t="n">
        <f aca="false">IF(ISNUMBER(AC592),1,0)</f>
        <v>0</v>
      </c>
      <c r="BX592" s="57" t="n">
        <f aca="false">N(AC592)</f>
        <v>0</v>
      </c>
      <c r="BY592" s="57" t="n">
        <f aca="false">N(L592)+N(M592)</f>
        <v>1</v>
      </c>
      <c r="BZ592" s="57" t="n">
        <f aca="false">ROUNDUP(G592/BQ592,0)</f>
        <v>1</v>
      </c>
      <c r="CA592" s="57" t="n">
        <f aca="false">ROUNDUP(BX592/BQ592,0)</f>
        <v>0</v>
      </c>
      <c r="CB592" s="60" t="n">
        <f aca="false">IF(BR592=1,0,IFERROR(VLOOKUP(BP592,'Gebinde-Kategorie'!$A$5:$M$45,5,0)+0,0))</f>
        <v>8</v>
      </c>
      <c r="CC592" s="60" t="n">
        <f aca="false">IFERROR(IF(OR(BT592=1,BT592=2,BT592=3),N(INDEX(Parameter!$I$5:$I$7,BT592)),0),0)</f>
        <v>0</v>
      </c>
      <c r="CD592" s="59" t="n">
        <f aca="false">IF(AND(Parameter!$B$21="Ja",ISNUMBER(U592),N(V592)&gt;0),IFERROR(N(INDEX(Parameter!$L$5:$L$7,U592))*INDEX(Parameter!$E$5:$E$7,U592)*V592/SUMIFS($V$7:$V$1576,$U$7:$U$1576,U592),0),0)</f>
        <v>0</v>
      </c>
    </row>
    <row r="593" customFormat="false" ht="15" hidden="false" customHeight="false" outlineLevel="0" collapsed="false">
      <c r="A593" s="55" t="s">
        <v>1223</v>
      </c>
      <c r="B593" s="55" t="s">
        <v>395</v>
      </c>
      <c r="C593" s="55" t="s">
        <v>160</v>
      </c>
      <c r="D593" s="55" t="s">
        <v>178</v>
      </c>
      <c r="E593" s="55" t="s">
        <v>210</v>
      </c>
      <c r="F593" s="56" t="n">
        <v>1.23</v>
      </c>
      <c r="G593" s="57" t="n">
        <f aca="false">MAX(0,IF(AND(Parameter!$B$21="Ja",ISNUMBER(W593)),W593,IF(Parameter!$B$20="Jahresanfang 2025 + Export",BJ593+BI593,BI593)))</f>
        <v>6</v>
      </c>
      <c r="H593" s="57" t="n">
        <f aca="false">G593*F593</f>
        <v>7.38</v>
      </c>
      <c r="I593" s="57" t="n">
        <f aca="false">BL593*Parameter!$B$18</f>
        <v>0</v>
      </c>
      <c r="J593" s="58" t="n">
        <v>263</v>
      </c>
      <c r="K593" s="59" t="n">
        <v>0</v>
      </c>
      <c r="L593" s="57" t="n">
        <v>0</v>
      </c>
      <c r="M593" s="57" t="n">
        <v>1</v>
      </c>
      <c r="N593" s="60" t="n">
        <v>21</v>
      </c>
      <c r="O593" s="55" t="s">
        <v>225</v>
      </c>
      <c r="P593" s="57" t="n">
        <v>286</v>
      </c>
      <c r="Q593" s="60" t="n">
        <f aca="false">IF(BR593=1,0,IFERROR(VLOOKUP(BP593,'Gebinde-Kategorie'!$A$5:$M$45,13,0)+0,0))</f>
        <v>26</v>
      </c>
      <c r="R593" s="61"/>
      <c r="S593" s="62"/>
      <c r="T593" s="62"/>
      <c r="U593" s="55"/>
      <c r="V593" s="57"/>
      <c r="W593" s="57"/>
      <c r="X593" s="55" t="n">
        <f aca="false">IF(A593="","",IF(AND(Parameter!$B$21="Ja",ISNUMBER(U593)),U593,IF(IFERROR(VLOOKUP(D593,Parameter!$A$35:$C$64,2,0),"Nein")="2+3",IF(ISNUMBER(SEARCH("grosser Artikel",BM593)),2,IFERROR(VLOOKUP(BP593,Parameter!$F$35:$G$64,2,0),2)),IF(OR(IFERROR(VLOOKUP(D593,Parameter!$A$35:$C$64,2,0),"Nein")="Nein",IFERROR(VLOOKUP(D593,Parameter!$A$35:$C$64,2,0),"Nein")=""),"-",VLOOKUP(D593,Parameter!$A$35:$C$64,2,0)))))</f>
        <v>3</v>
      </c>
      <c r="Y593" s="62"/>
      <c r="Z593" s="63"/>
      <c r="AA593" s="57" t="n">
        <f aca="false">AP593</f>
        <v>286</v>
      </c>
      <c r="AB593" s="57" t="n">
        <f aca="false">MAX(AP593,G593)</f>
        <v>286</v>
      </c>
      <c r="AC593" s="64"/>
      <c r="AD593" s="57" t="n">
        <f aca="false">IF(LEFT(Cockpit!$C$5,1)="A",G593,IF(BW593=1,BX593,IF(LEFT(Cockpit!$C$5,1)="B",AH593,MAX(AH593,G593))))</f>
        <v>6</v>
      </c>
      <c r="AE593" s="57" t="n">
        <f aca="false">IF(BR593=1,0,ROUNDUP(AD593/BQ593,0))</f>
        <v>1</v>
      </c>
      <c r="AF593" s="59" t="n">
        <f aca="false">IF(CD593&gt;0,CD593*MAX(1,AD593/V593),IF(BR593=1,IF(AD593&lt;=0,0,BS593*MAX(1,IF(G593&gt;0,AD593/G593,1))),IF(Q593&gt;0,AE593/Q593,0))/MAX(0.1,N(Parameter!$M$21)))</f>
        <v>0.0384615384615385</v>
      </c>
      <c r="AG593" s="57" t="n">
        <f aca="false">AD593*F593</f>
        <v>7.38</v>
      </c>
      <c r="AH593" s="57" t="n">
        <f aca="false">ROUNDUP(MAX(I593/IF(BV593&gt;0,BV593,MAX(0.1,N(Cockpit!$C$6))),BY593)/BQ593,0)*BQ593</f>
        <v>286</v>
      </c>
      <c r="AI593" s="58" t="n">
        <f aca="false">IF(AF593&gt;0,I593/AF593,-1)</f>
        <v>0</v>
      </c>
      <c r="AJ593" s="58" t="n">
        <f aca="false">IF(AND(OR(BU593="L1",BU593="L23"),AF593&gt;0),SUMIFS($AF$7:$AF$1576,$BU$7:$BU$1576,BU593,$AI$7:$AI$1576,"&gt;"&amp;AI593)+SUMIFS($AF$7:$AF$1576,$BU$7:$BU$1576,BU593,$AI$7:$AI$1576,AI593,$BO$7:$BO$1576,"&lt;="&amp;BO593),"")</f>
        <v>44.3270801662106</v>
      </c>
      <c r="AK593" s="65" t="n">
        <f aca="false">IF(AJ593="",0,MAX(0,MIN(1,(IF(BU593="L1",Parameter!$E$5,Parameter!$E$6+Parameter!$E$7)-(AJ593-AF593))/AF593)))</f>
        <v>1</v>
      </c>
      <c r="AL593" s="57" t="n">
        <f aca="false">IF(LEFT(Cockpit!$I$5,1)="A",G593,IF(BW593=1,BX593,IF(LEFT(Cockpit!$I$5,1)="B",AP593,MAX(AP593,G593))))</f>
        <v>286</v>
      </c>
      <c r="AM593" s="57" t="n">
        <f aca="false">IF(BR593=1,0,ROUNDUP(AL593/BQ593,0))</f>
        <v>1</v>
      </c>
      <c r="AN593" s="59" t="n">
        <f aca="false">IF(CD593&gt;0,CD593*MAX(1,AL593/V593),IF(BR593=1,IF(AL593&lt;=0,0,BS593*MAX(1,IF(G593&gt;0,AL593/G593,1))),IF(Q593&gt;0,AM593/Q593,0))/MAX(0.1,N(Parameter!$M$21)))</f>
        <v>0.0384615384615385</v>
      </c>
      <c r="AO593" s="57" t="n">
        <f aca="false">AL593*F593</f>
        <v>351.78</v>
      </c>
      <c r="AP593" s="57" t="n">
        <f aca="false">ROUNDUP(MAX(I593/IF(BV593&gt;0,BV593,MAX(0.1,N(Cockpit!$I$6))),BY593)/BQ593,0)*BQ593</f>
        <v>286</v>
      </c>
      <c r="AQ593" s="58" t="n">
        <f aca="false">IF(AN593&gt;0,I593/AN593,-1)</f>
        <v>0</v>
      </c>
      <c r="AR593" s="58" t="n">
        <f aca="false">IF(AND(OR(BU593="L1",BU593="L23"),AN593&gt;0),SUMIFS($AN$7:$AN$1576,$BU$7:$BU$1576,BU593,$AQ$7:$AQ$1576,"&gt;"&amp;AQ593)+SUMIFS($AN$7:$AN$1576,$BU$7:$BU$1576,BU593,$AQ$7:$AQ$1576,AQ593,$BO$7:$BO$1576,"&lt;="&amp;BO593),"")</f>
        <v>127.323866284729</v>
      </c>
      <c r="AS593" s="65" t="n">
        <f aca="false">IF(AR593="",0,MAX(0,MIN(1,(IF(BU593="L1",Parameter!$E$5,Parameter!$E$6+Parameter!$E$7)-(AR593-AN593))/AN593)))</f>
        <v>0</v>
      </c>
      <c r="AT593" s="57" t="n">
        <f aca="false">IF(LEFT(Cockpit!$O$5,1)="A",G593,IF(BW593=1,BX593,IF(LEFT(Cockpit!$O$5,1)="B",AX593,MAX(AX593,G593))))</f>
        <v>286</v>
      </c>
      <c r="AU593" s="57" t="n">
        <f aca="false">IF(BR593=1,0,ROUNDUP(AT593/BQ593,0))</f>
        <v>1</v>
      </c>
      <c r="AV593" s="59" t="n">
        <f aca="false">IF(CD593&gt;0,CD593*MAX(1,AT593/V593),IF(BR593=1,IF(AT593&lt;=0,0,BS593*MAX(1,IF(G593&gt;0,AT593/G593,1))),IF(Q593&gt;0,AU593/Q593,0))/MAX(0.1,N(Parameter!$M$21)))</f>
        <v>0.0384615384615385</v>
      </c>
      <c r="AW593" s="57" t="n">
        <f aca="false">AT593*F593</f>
        <v>351.78</v>
      </c>
      <c r="AX593" s="57" t="n">
        <f aca="false">ROUNDUP(MAX(I593/IF(BV593&gt;0,BV593,MAX(0.1,N(Cockpit!$O$6))),BY593)/BQ593,0)*BQ593</f>
        <v>286</v>
      </c>
      <c r="AY593" s="58" t="n">
        <f aca="false">IF(AV593&gt;0,I593/AV593,-1)</f>
        <v>0</v>
      </c>
      <c r="AZ593" s="58" t="n">
        <f aca="false">IF(AND(OR(BU593="L1",BU593="L23"),AV593&gt;0),SUMIFS($AV$7:$AV$1576,$BU$7:$BU$1576,BU593,$AY$7:$AY$1576,"&gt;"&amp;AY593)+SUMIFS($AV$7:$AV$1576,$BU$7:$BU$1576,BU593,$AY$7:$AY$1576,AY593,$BO$7:$BO$1576,"&lt;="&amp;BO593),"")</f>
        <v>117.383416734279</v>
      </c>
      <c r="BA593" s="65" t="n">
        <f aca="false">IF(AZ593="",0,MAX(0,MIN(1,(IF(BU593="L1",Parameter!$E$5,Parameter!$E$6+Parameter!$E$7)-(AZ593-AV593))/AV593)))</f>
        <v>0</v>
      </c>
      <c r="BB593" s="55" t="str">
        <f aca="false">IF(AF593&lt;=0,"",IF(BU593="Aussen","Aussenlager",IF(BU593="-","Nicht im Lift",IF(AK593&gt;=1,"Lift",IF(AK593&lt;=0,"Aussenlager","teilweise")))))</f>
        <v>Lift</v>
      </c>
      <c r="BC593" s="55" t="str">
        <f aca="false">IF(AN593&lt;=0,"",IF(BU593="Aussen","Aussenlager",IF(BU593="-","Nicht im Lift",IF(AS593&gt;=1,"Lift",IF(AS593&lt;=0,"Aussenlager","teilweise")))))</f>
        <v>Aussenlager</v>
      </c>
      <c r="BD593" s="55" t="str">
        <f aca="false">IF(AV593&lt;=0,"",IF(BU593="Aussen","Aussenlager",IF(BU593="-","Nicht im Lift",IF(BA593&gt;=1,"Lift",IF(BA593&lt;=0,"Aussenlager","teilweise")))))</f>
        <v>Aussenlager</v>
      </c>
      <c r="BE593" s="55" t="str">
        <f aca="false">IF(A593="","",IF(BN593=1,"Neu; ","")&amp;IF(AND(BN593=0,BI593&lt;0),"negativer Bestand (Export "&amp;BI593&amp;"); ","")&amp;IF(I593&lt;=0,"Kein Verbrauch; ","")&amp;IF(CD593&gt;0,"Lift "&amp;U593&amp;" lt. Liftbericht (Fach "&amp;V593&amp;" Stk); ",IF(BR593=1,"Lose – Fläche geschätzt; ",""))&amp;IF(G593&gt;AP593,"Überbestand "&amp;ROUND(G593-AP593,0)&amp;" Stk / CHF "&amp;ROUND((G593-AP593)*F593,0)&amp;"; ","")&amp;IF(AND(BW593=1,BX593&lt;BY593),"MAX &lt; MB+LG; ","")&amp;IF(AND(CC593&gt;0,CB593*10&gt;CC593),"zu hoch für Tablar; ","")&amp;IF(AND(BN593=0,OR(BW593=1,Y593&lt;&gt;"",S593&lt;&gt;"",T593&lt;&gt;"",Z593&lt;&gt;"")),"manuell übersteuert; ","")&amp;IF(AND(BR593=0,Q593=0),"Gebinde unbekannt / Stellmass fehlt; ","")&amp;IF(AND(BR593=0,N(T593)&lt;=0,N(P593)&lt;=0),"Menge pro Gebinde fehlt (Ist = 1 Gebinde); ","")&amp;BM593)</f>
        <v>Kein Verbrauch; Überbestand</v>
      </c>
      <c r="BF593" s="55"/>
      <c r="BG593" s="55"/>
      <c r="BH593" s="62"/>
      <c r="BI593" s="57" t="n">
        <v>6</v>
      </c>
      <c r="BJ593" s="57" t="n">
        <v>260</v>
      </c>
      <c r="BK593" s="56" t="n">
        <v>7.38</v>
      </c>
      <c r="BL593" s="57" t="n">
        <v>0</v>
      </c>
      <c r="BM593" s="55" t="s">
        <v>382</v>
      </c>
      <c r="BN593" s="60" t="n">
        <v>0</v>
      </c>
      <c r="BO593" s="60" t="n">
        <v>593</v>
      </c>
      <c r="BP593" s="55" t="str">
        <f aca="false">IF(S593&lt;&gt;"",UPPER(TRIM(S593)),IF(O593="","LOSE",O593))</f>
        <v>S52</v>
      </c>
      <c r="BQ593" s="57" t="n">
        <f aca="false">IF(BP593="LOSE",1,IF(N(T593)&gt;0,T593,IF(N(P593)&gt;0,P593,MAX(1,G593))))</f>
        <v>286</v>
      </c>
      <c r="BR593" s="60" t="n">
        <f aca="false">IF(BP593="LOSE",1,0)</f>
        <v>0</v>
      </c>
      <c r="BS593" s="59" t="n">
        <f aca="false">IF(BR593=0,0,IF(N(R593)&gt;0,R593,IFERROR(VLOOKUP(D593,Parameter!$A$35:$C$64,3,0)+0,0)))</f>
        <v>0</v>
      </c>
      <c r="BT593" s="55" t="n">
        <f aca="false">IF(Y593&lt;&gt;"",Y593,X593)</f>
        <v>3</v>
      </c>
      <c r="BU593" s="55" t="str">
        <f aca="false">IF(BT593=1,"L1",IF(OR(BT593=2,BT593=3),"L23",IF(BT593="Aussen","Aussen","-")))</f>
        <v>L23</v>
      </c>
      <c r="BV593" s="66" t="n">
        <f aca="false">IF(N(Z593)&gt;0,Z593,0)</f>
        <v>0</v>
      </c>
      <c r="BW593" s="60" t="n">
        <f aca="false">IF(ISNUMBER(AC593),1,0)</f>
        <v>0</v>
      </c>
      <c r="BX593" s="57" t="n">
        <f aca="false">N(AC593)</f>
        <v>0</v>
      </c>
      <c r="BY593" s="57" t="n">
        <f aca="false">N(L593)+N(M593)</f>
        <v>1</v>
      </c>
      <c r="BZ593" s="57" t="n">
        <f aca="false">ROUNDUP(G593/BQ593,0)</f>
        <v>1</v>
      </c>
      <c r="CA593" s="57" t="n">
        <f aca="false">ROUNDUP(BX593/BQ593,0)</f>
        <v>0</v>
      </c>
      <c r="CB593" s="60" t="n">
        <f aca="false">IF(BR593=1,0,IFERROR(VLOOKUP(BP593,'Gebinde-Kategorie'!$A$5:$M$45,5,0)+0,0))</f>
        <v>21</v>
      </c>
      <c r="CC593" s="60" t="n">
        <f aca="false">IFERROR(IF(OR(BT593=1,BT593=2,BT593=3),N(INDEX(Parameter!$I$5:$I$7,BT593)),0),0)</f>
        <v>0</v>
      </c>
      <c r="CD593" s="59" t="n">
        <f aca="false">IF(AND(Parameter!$B$21="Ja",ISNUMBER(U593),N(V593)&gt;0),IFERROR(N(INDEX(Parameter!$L$5:$L$7,U593))*INDEX(Parameter!$E$5:$E$7,U593)*V593/SUMIFS($V$7:$V$1576,$U$7:$U$1576,U593),0),0)</f>
        <v>0</v>
      </c>
    </row>
    <row r="594" customFormat="false" ht="15" hidden="false" customHeight="false" outlineLevel="0" collapsed="false">
      <c r="A594" s="55" t="s">
        <v>1224</v>
      </c>
      <c r="B594" s="55" t="s">
        <v>1225</v>
      </c>
      <c r="C594" s="55" t="s">
        <v>160</v>
      </c>
      <c r="D594" s="55" t="s">
        <v>178</v>
      </c>
      <c r="E594" s="55" t="s">
        <v>210</v>
      </c>
      <c r="F594" s="56" t="n">
        <v>0.01</v>
      </c>
      <c r="G594" s="57" t="n">
        <f aca="false">MAX(0,IF(AND(Parameter!$B$21="Ja",ISNUMBER(W594)),W594,IF(Parameter!$B$20="Jahresanfang 2025 + Export",BJ594+BI594,BI594)))</f>
        <v>738</v>
      </c>
      <c r="H594" s="57" t="n">
        <f aca="false">G594*F594</f>
        <v>7.38</v>
      </c>
      <c r="I594" s="57" t="n">
        <f aca="false">BL594*Parameter!$B$18</f>
        <v>1359</v>
      </c>
      <c r="J594" s="58" t="n">
        <v>1235</v>
      </c>
      <c r="K594" s="59" t="n">
        <v>1.1004048582996</v>
      </c>
      <c r="L594" s="57" t="n">
        <v>79</v>
      </c>
      <c r="M594" s="57" t="n">
        <v>1000</v>
      </c>
      <c r="N594" s="60" t="n">
        <v>21</v>
      </c>
      <c r="O594" s="55" t="s">
        <v>411</v>
      </c>
      <c r="P594" s="57" t="n">
        <v>326</v>
      </c>
      <c r="Q594" s="60" t="n">
        <f aca="false">IF(BR594=1,0,IFERROR(VLOOKUP(BP594,'Gebinde-Kategorie'!$A$5:$M$45,13,0)+0,0))</f>
        <v>132</v>
      </c>
      <c r="R594" s="61"/>
      <c r="S594" s="62"/>
      <c r="T594" s="62"/>
      <c r="U594" s="55"/>
      <c r="V594" s="57"/>
      <c r="W594" s="57"/>
      <c r="X594" s="55" t="n">
        <f aca="false">IF(A594="","",IF(AND(Parameter!$B$21="Ja",ISNUMBER(U594)),U594,IF(IFERROR(VLOOKUP(D594,Parameter!$A$35:$C$64,2,0),"Nein")="2+3",IF(ISNUMBER(SEARCH("grosser Artikel",BM594)),2,IFERROR(VLOOKUP(BP594,Parameter!$F$35:$G$64,2,0),2)),IF(OR(IFERROR(VLOOKUP(D594,Parameter!$A$35:$C$64,2,0),"Nein")="Nein",IFERROR(VLOOKUP(D594,Parameter!$A$35:$C$64,2,0),"Nein")=""),"-",VLOOKUP(D594,Parameter!$A$35:$C$64,2,0)))))</f>
        <v>3</v>
      </c>
      <c r="Y594" s="62"/>
      <c r="Z594" s="63"/>
      <c r="AA594" s="57" t="n">
        <f aca="false">AP594</f>
        <v>1304</v>
      </c>
      <c r="AB594" s="57" t="n">
        <f aca="false">MAX(AP594,G594)</f>
        <v>1304</v>
      </c>
      <c r="AC594" s="64"/>
      <c r="AD594" s="57" t="n">
        <f aca="false">IF(LEFT(Cockpit!$C$5,1)="A",G594,IF(BW594=1,BX594,IF(LEFT(Cockpit!$C$5,1)="B",AH594,MAX(AH594,G594))))</f>
        <v>738</v>
      </c>
      <c r="AE594" s="57" t="n">
        <f aca="false">IF(BR594=1,0,ROUNDUP(AD594/BQ594,0))</f>
        <v>3</v>
      </c>
      <c r="AF594" s="59" t="n">
        <f aca="false">IF(CD594&gt;0,CD594*MAX(1,AD594/V594),IF(BR594=1,IF(AD594&lt;=0,0,BS594*MAX(1,IF(G594&gt;0,AD594/G594,1))),IF(Q594&gt;0,AE594/Q594,0))/MAX(0.1,N(Parameter!$M$21)))</f>
        <v>0.0227272727272727</v>
      </c>
      <c r="AG594" s="57" t="n">
        <f aca="false">AD594*F594</f>
        <v>7.38</v>
      </c>
      <c r="AH594" s="57" t="n">
        <f aca="false">ROUNDUP(MAX(I594/IF(BV594&gt;0,BV594,MAX(0.1,N(Cockpit!$C$6))),BY594)/BQ594,0)*BQ594</f>
        <v>1304</v>
      </c>
      <c r="AI594" s="58" t="n">
        <f aca="false">IF(AF594&gt;0,I594/AF594,-1)</f>
        <v>59796</v>
      </c>
      <c r="AJ594" s="58" t="n">
        <f aca="false">IF(AND(OR(BU594="L1",BU594="L23"),AF594&gt;0),SUMIFS($AF$7:$AF$1576,$BU$7:$BU$1576,BU594,$AI$7:$AI$1576,"&gt;"&amp;AI594)+SUMIFS($AF$7:$AF$1576,$BU$7:$BU$1576,BU594,$AI$7:$AI$1576,AI594,$BO$7:$BO$1576,"&lt;="&amp;BO594),"")</f>
        <v>0.593915746089659</v>
      </c>
      <c r="AK594" s="65" t="n">
        <f aca="false">IF(AJ594="",0,MAX(0,MIN(1,(IF(BU594="L1",Parameter!$E$5,Parameter!$E$6+Parameter!$E$7)-(AJ594-AF594))/AF594)))</f>
        <v>1</v>
      </c>
      <c r="AL594" s="57" t="n">
        <f aca="false">IF(LEFT(Cockpit!$I$5,1)="A",G594,IF(BW594=1,BX594,IF(LEFT(Cockpit!$I$5,1)="B",AP594,MAX(AP594,G594))))</f>
        <v>1304</v>
      </c>
      <c r="AM594" s="57" t="n">
        <f aca="false">IF(BR594=1,0,ROUNDUP(AL594/BQ594,0))</f>
        <v>4</v>
      </c>
      <c r="AN594" s="59" t="n">
        <f aca="false">IF(CD594&gt;0,CD594*MAX(1,AL594/V594),IF(BR594=1,IF(AL594&lt;=0,0,BS594*MAX(1,IF(G594&gt;0,AL594/G594,1))),IF(Q594&gt;0,AM594/Q594,0))/MAX(0.1,N(Parameter!$M$21)))</f>
        <v>0.0303030303030303</v>
      </c>
      <c r="AO594" s="57" t="n">
        <f aca="false">AL594*F594</f>
        <v>13.04</v>
      </c>
      <c r="AP594" s="57" t="n">
        <f aca="false">ROUNDUP(MAX(I594/IF(BV594&gt;0,BV594,MAX(0.1,N(Cockpit!$I$6))),BY594)/BQ594,0)*BQ594</f>
        <v>1304</v>
      </c>
      <c r="AQ594" s="58" t="n">
        <f aca="false">IF(AN594&gt;0,I594/AN594,-1)</f>
        <v>44847</v>
      </c>
      <c r="AR594" s="58" t="n">
        <f aca="false">IF(AND(OR(BU594="L1",BU594="L23"),AN594&gt;0),SUMIFS($AN$7:$AN$1576,$BU$7:$BU$1576,BU594,$AQ$7:$AQ$1576,"&gt;"&amp;AQ594)+SUMIFS($AN$7:$AN$1576,$BU$7:$BU$1576,BU594,$AQ$7:$AQ$1576,AQ594,$BO$7:$BO$1576,"&lt;="&amp;BO594),"")</f>
        <v>1.39950271950272</v>
      </c>
      <c r="AS594" s="65" t="n">
        <f aca="false">IF(AR594="",0,MAX(0,MIN(1,(IF(BU594="L1",Parameter!$E$5,Parameter!$E$6+Parameter!$E$7)-(AR594-AN594))/AN594)))</f>
        <v>1</v>
      </c>
      <c r="AT594" s="57" t="n">
        <f aca="false">IF(LEFT(Cockpit!$O$5,1)="A",G594,IF(BW594=1,BX594,IF(LEFT(Cockpit!$O$5,1)="B",AX594,MAX(AX594,G594))))</f>
        <v>1304</v>
      </c>
      <c r="AU594" s="57" t="n">
        <f aca="false">IF(BR594=1,0,ROUNDUP(AT594/BQ594,0))</f>
        <v>4</v>
      </c>
      <c r="AV594" s="59" t="n">
        <f aca="false">IF(CD594&gt;0,CD594*MAX(1,AT594/V594),IF(BR594=1,IF(AT594&lt;=0,0,BS594*MAX(1,IF(G594&gt;0,AT594/G594,1))),IF(Q594&gt;0,AU594/Q594,0))/MAX(0.1,N(Parameter!$M$21)))</f>
        <v>0.0303030303030303</v>
      </c>
      <c r="AW594" s="57" t="n">
        <f aca="false">AT594*F594</f>
        <v>13.04</v>
      </c>
      <c r="AX594" s="57" t="n">
        <f aca="false">ROUNDUP(MAX(I594/IF(BV594&gt;0,BV594,MAX(0.1,N(Cockpit!$O$6))),BY594)/BQ594,0)*BQ594</f>
        <v>1304</v>
      </c>
      <c r="AY594" s="58" t="n">
        <f aca="false">IF(AV594&gt;0,I594/AV594,-1)</f>
        <v>44847</v>
      </c>
      <c r="AZ594" s="58" t="n">
        <f aca="false">IF(AND(OR(BU594="L1",BU594="L23"),AV594&gt;0),SUMIFS($AV$7:$AV$1576,$BU$7:$BU$1576,BU594,$AY$7:$AY$1576,"&gt;"&amp;AY594)+SUMIFS($AV$7:$AV$1576,$BU$7:$BU$1576,BU594,$AY$7:$AY$1576,AY594,$BO$7:$BO$1576,"&lt;="&amp;BO594),"")</f>
        <v>1.7287567987568</v>
      </c>
      <c r="BA594" s="65" t="n">
        <f aca="false">IF(AZ594="",0,MAX(0,MIN(1,(IF(BU594="L1",Parameter!$E$5,Parameter!$E$6+Parameter!$E$7)-(AZ594-AV594))/AV594)))</f>
        <v>1</v>
      </c>
      <c r="BB594" s="55" t="str">
        <f aca="false">IF(AF594&lt;=0,"",IF(BU594="Aussen","Aussenlager",IF(BU594="-","Nicht im Lift",IF(AK594&gt;=1,"Lift",IF(AK594&lt;=0,"Aussenlager","teilweise")))))</f>
        <v>Lift</v>
      </c>
      <c r="BC594" s="55" t="str">
        <f aca="false">IF(AN594&lt;=0,"",IF(BU594="Aussen","Aussenlager",IF(BU594="-","Nicht im Lift",IF(AS594&gt;=1,"Lift",IF(AS594&lt;=0,"Aussenlager","teilweise")))))</f>
        <v>Lift</v>
      </c>
      <c r="BD594" s="55" t="str">
        <f aca="false">IF(AV594&lt;=0,"",IF(BU594="Aussen","Aussenlager",IF(BU594="-","Nicht im Lift",IF(BA594&gt;=1,"Lift",IF(BA594&lt;=0,"Aussenlager","teilweise")))))</f>
        <v>Lift</v>
      </c>
      <c r="BE594" s="55" t="str">
        <f aca="false">IF(A594="","",IF(BN594=1,"Neu; ","")&amp;IF(AND(BN594=0,BI594&lt;0),"negativer Bestand (Export "&amp;BI594&amp;"); ","")&amp;IF(I594&lt;=0,"Kein Verbrauch; ","")&amp;IF(CD594&gt;0,"Lift "&amp;U594&amp;" lt. Liftbericht (Fach "&amp;V594&amp;" Stk); ",IF(BR594=1,"Lose – Fläche geschätzt; ",""))&amp;IF(G594&gt;AP594,"Überbestand "&amp;ROUND(G594-AP594,0)&amp;" Stk / CHF "&amp;ROUND((G594-AP594)*F594,0)&amp;"; ","")&amp;IF(AND(BW594=1,BX594&lt;BY594),"MAX &lt; MB+LG; ","")&amp;IF(AND(CC594&gt;0,CB594*10&gt;CC594),"zu hoch für Tablar; ","")&amp;IF(AND(BN594=0,OR(BW594=1,Y594&lt;&gt;"",S594&lt;&gt;"",T594&lt;&gt;"",Z594&lt;&gt;"")),"manuell übersteuert; ","")&amp;IF(AND(BR594=0,Q594=0),"Gebinde unbekannt / Stellmass fehlt; ","")&amp;IF(AND(BR594=0,N(T594)&lt;=0,N(P594)&lt;=0),"Menge pro Gebinde fehlt (Ist = 1 Gebinde); ","")&amp;BM594)</f>
        <v/>
      </c>
      <c r="BF594" s="55"/>
      <c r="BG594" s="55"/>
      <c r="BH594" s="62"/>
      <c r="BI594" s="57" t="n">
        <v>738</v>
      </c>
      <c r="BJ594" s="57" t="n">
        <v>1216</v>
      </c>
      <c r="BK594" s="56" t="n">
        <v>7.37999999999999</v>
      </c>
      <c r="BL594" s="57" t="n">
        <v>1359</v>
      </c>
      <c r="BM594" s="55"/>
      <c r="BN594" s="60" t="n">
        <v>0</v>
      </c>
      <c r="BO594" s="60" t="n">
        <v>594</v>
      </c>
      <c r="BP594" s="55" t="str">
        <f aca="false">IF(S594&lt;&gt;"",UPPER(TRIM(S594)),IF(O594="","LOSE",O594))</f>
        <v>S32</v>
      </c>
      <c r="BQ594" s="57" t="n">
        <f aca="false">IF(BP594="LOSE",1,IF(N(T594)&gt;0,T594,IF(N(P594)&gt;0,P594,MAX(1,G594))))</f>
        <v>326</v>
      </c>
      <c r="BR594" s="60" t="n">
        <f aca="false">IF(BP594="LOSE",1,0)</f>
        <v>0</v>
      </c>
      <c r="BS594" s="59" t="n">
        <f aca="false">IF(BR594=0,0,IF(N(R594)&gt;0,R594,IFERROR(VLOOKUP(D594,Parameter!$A$35:$C$64,3,0)+0,0)))</f>
        <v>0</v>
      </c>
      <c r="BT594" s="55" t="n">
        <f aca="false">IF(Y594&lt;&gt;"",Y594,X594)</f>
        <v>3</v>
      </c>
      <c r="BU594" s="55" t="str">
        <f aca="false">IF(BT594=1,"L1",IF(OR(BT594=2,BT594=3),"L23",IF(BT594="Aussen","Aussen","-")))</f>
        <v>L23</v>
      </c>
      <c r="BV594" s="66" t="n">
        <f aca="false">IF(N(Z594)&gt;0,Z594,0)</f>
        <v>0</v>
      </c>
      <c r="BW594" s="60" t="n">
        <f aca="false">IF(ISNUMBER(AC594),1,0)</f>
        <v>0</v>
      </c>
      <c r="BX594" s="57" t="n">
        <f aca="false">N(AC594)</f>
        <v>0</v>
      </c>
      <c r="BY594" s="57" t="n">
        <f aca="false">N(L594)+N(M594)</f>
        <v>1079</v>
      </c>
      <c r="BZ594" s="57" t="n">
        <f aca="false">ROUNDUP(G594/BQ594,0)</f>
        <v>3</v>
      </c>
      <c r="CA594" s="57" t="n">
        <f aca="false">ROUNDUP(BX594/BQ594,0)</f>
        <v>0</v>
      </c>
      <c r="CB594" s="60" t="n">
        <f aca="false">IF(BR594=1,0,IFERROR(VLOOKUP(BP594,'Gebinde-Kategorie'!$A$5:$M$45,5,0)+0,0))</f>
        <v>8</v>
      </c>
      <c r="CC594" s="60" t="n">
        <f aca="false">IFERROR(IF(OR(BT594=1,BT594=2,BT594=3),N(INDEX(Parameter!$I$5:$I$7,BT594)),0),0)</f>
        <v>0</v>
      </c>
      <c r="CD594" s="59" t="n">
        <f aca="false">IF(AND(Parameter!$B$21="Ja",ISNUMBER(U594),N(V594)&gt;0),IFERROR(N(INDEX(Parameter!$L$5:$L$7,U594))*INDEX(Parameter!$E$5:$E$7,U594)*V594/SUMIFS($V$7:$V$1576,$U$7:$U$1576,U594),0),0)</f>
        <v>0</v>
      </c>
    </row>
    <row r="595" customFormat="false" ht="15" hidden="false" customHeight="false" outlineLevel="0" collapsed="false">
      <c r="A595" s="55" t="s">
        <v>1226</v>
      </c>
      <c r="B595" s="55" t="s">
        <v>1227</v>
      </c>
      <c r="C595" s="55" t="s">
        <v>160</v>
      </c>
      <c r="D595" s="55" t="s">
        <v>178</v>
      </c>
      <c r="E595" s="55" t="s">
        <v>210</v>
      </c>
      <c r="F595" s="56" t="n">
        <v>0.17</v>
      </c>
      <c r="G595" s="57" t="n">
        <f aca="false">MAX(0,IF(AND(Parameter!$B$21="Ja",ISNUMBER(W595)),W595,IF(Parameter!$B$20="Jahresanfang 2025 + Export",BJ595+BI595,BI595)))</f>
        <v>42</v>
      </c>
      <c r="H595" s="57" t="n">
        <f aca="false">G595*F595</f>
        <v>7.14</v>
      </c>
      <c r="I595" s="57" t="n">
        <f aca="false">BL595*Parameter!$B$18</f>
        <v>1680</v>
      </c>
      <c r="J595" s="58" t="n">
        <v>832</v>
      </c>
      <c r="K595" s="59" t="n">
        <v>2.01923076923077</v>
      </c>
      <c r="L595" s="57" t="n">
        <v>65</v>
      </c>
      <c r="M595" s="57" t="n">
        <v>2000</v>
      </c>
      <c r="N595" s="60" t="n">
        <v>14</v>
      </c>
      <c r="O595" s="55" t="s">
        <v>293</v>
      </c>
      <c r="P595" s="57" t="n">
        <v>2303</v>
      </c>
      <c r="Q595" s="60" t="n">
        <f aca="false">IF(BR595=1,0,IFERROR(VLOOKUP(BP595,'Gebinde-Kategorie'!$A$5:$M$45,13,0)+0,0))</f>
        <v>26</v>
      </c>
      <c r="R595" s="61"/>
      <c r="S595" s="62"/>
      <c r="T595" s="62"/>
      <c r="U595" s="55"/>
      <c r="V595" s="57"/>
      <c r="W595" s="57"/>
      <c r="X595" s="55" t="n">
        <f aca="false">IF(A595="","",IF(AND(Parameter!$B$21="Ja",ISNUMBER(U595)),U595,IF(IFERROR(VLOOKUP(D595,Parameter!$A$35:$C$64,2,0),"Nein")="2+3",IF(ISNUMBER(SEARCH("grosser Artikel",BM595)),2,IFERROR(VLOOKUP(BP595,Parameter!$F$35:$G$64,2,0),2)),IF(OR(IFERROR(VLOOKUP(D595,Parameter!$A$35:$C$64,2,0),"Nein")="Nein",IFERROR(VLOOKUP(D595,Parameter!$A$35:$C$64,2,0),"Nein")=""),"-",VLOOKUP(D595,Parameter!$A$35:$C$64,2,0)))))</f>
        <v>3</v>
      </c>
      <c r="Y595" s="62"/>
      <c r="Z595" s="63"/>
      <c r="AA595" s="57" t="n">
        <f aca="false">AP595</f>
        <v>2303</v>
      </c>
      <c r="AB595" s="57" t="n">
        <f aca="false">MAX(AP595,G595)</f>
        <v>2303</v>
      </c>
      <c r="AC595" s="64"/>
      <c r="AD595" s="57" t="n">
        <f aca="false">IF(LEFT(Cockpit!$C$5,1)="A",G595,IF(BW595=1,BX595,IF(LEFT(Cockpit!$C$5,1)="B",AH595,MAX(AH595,G595))))</f>
        <v>42</v>
      </c>
      <c r="AE595" s="57" t="n">
        <f aca="false">IF(BR595=1,0,ROUNDUP(AD595/BQ595,0))</f>
        <v>1</v>
      </c>
      <c r="AF595" s="59" t="n">
        <f aca="false">IF(CD595&gt;0,CD595*MAX(1,AD595/V595),IF(BR595=1,IF(AD595&lt;=0,0,BS595*MAX(1,IF(G595&gt;0,AD595/G595,1))),IF(Q595&gt;0,AE595/Q595,0))/MAX(0.1,N(Parameter!$M$21)))</f>
        <v>0.0384615384615385</v>
      </c>
      <c r="AG595" s="57" t="n">
        <f aca="false">AD595*F595</f>
        <v>7.14</v>
      </c>
      <c r="AH595" s="57" t="n">
        <f aca="false">ROUNDUP(MAX(I595/IF(BV595&gt;0,BV595,MAX(0.1,N(Cockpit!$C$6))),BY595)/BQ595,0)*BQ595</f>
        <v>2303</v>
      </c>
      <c r="AI595" s="58" t="n">
        <f aca="false">IF(AF595&gt;0,I595/AF595,-1)</f>
        <v>43680</v>
      </c>
      <c r="AJ595" s="58" t="n">
        <f aca="false">IF(AND(OR(BU595="L1",BU595="L23"),AF595&gt;0),SUMIFS($AF$7:$AF$1576,$BU$7:$BU$1576,BU595,$AI$7:$AI$1576,"&gt;"&amp;AI595)+SUMIFS($AF$7:$AF$1576,$BU$7:$BU$1576,BU595,$AI$7:$AI$1576,AI595,$BO$7:$BO$1576,"&lt;="&amp;BO595),"")</f>
        <v>1.07915273132664</v>
      </c>
      <c r="AK595" s="65" t="n">
        <f aca="false">IF(AJ595="",0,MAX(0,MIN(1,(IF(BU595="L1",Parameter!$E$5,Parameter!$E$6+Parameter!$E$7)-(AJ595-AF595))/AF595)))</f>
        <v>1</v>
      </c>
      <c r="AL595" s="57" t="n">
        <f aca="false">IF(LEFT(Cockpit!$I$5,1)="A",G595,IF(BW595=1,BX595,IF(LEFT(Cockpit!$I$5,1)="B",AP595,MAX(AP595,G595))))</f>
        <v>2303</v>
      </c>
      <c r="AM595" s="57" t="n">
        <f aca="false">IF(BR595=1,0,ROUNDUP(AL595/BQ595,0))</f>
        <v>1</v>
      </c>
      <c r="AN595" s="59" t="n">
        <f aca="false">IF(CD595&gt;0,CD595*MAX(1,AL595/V595),IF(BR595=1,IF(AL595&lt;=0,0,BS595*MAX(1,IF(G595&gt;0,AL595/G595,1))),IF(Q595&gt;0,AM595/Q595,0))/MAX(0.1,N(Parameter!$M$21)))</f>
        <v>0.0384615384615385</v>
      </c>
      <c r="AO595" s="57" t="n">
        <f aca="false">AL595*F595</f>
        <v>391.51</v>
      </c>
      <c r="AP595" s="57" t="n">
        <f aca="false">ROUNDUP(MAX(I595/IF(BV595&gt;0,BV595,MAX(0.1,N(Cockpit!$I$6))),BY595)/BQ595,0)*BQ595</f>
        <v>2303</v>
      </c>
      <c r="AQ595" s="58" t="n">
        <f aca="false">IF(AN595&gt;0,I595/AN595,-1)</f>
        <v>43680</v>
      </c>
      <c r="AR595" s="58" t="n">
        <f aca="false">IF(AND(OR(BU595="L1",BU595="L23"),AN595&gt;0),SUMIFS($AN$7:$AN$1576,$BU$7:$BU$1576,BU595,$AQ$7:$AQ$1576,"&gt;"&amp;AQ595)+SUMIFS($AN$7:$AN$1576,$BU$7:$BU$1576,BU595,$AQ$7:$AQ$1576,AQ595,$BO$7:$BO$1576,"&lt;="&amp;BO595),"")</f>
        <v>1.60463092463092</v>
      </c>
      <c r="AS595" s="65" t="n">
        <f aca="false">IF(AR595="",0,MAX(0,MIN(1,(IF(BU595="L1",Parameter!$E$5,Parameter!$E$6+Parameter!$E$7)-(AR595-AN595))/AN595)))</f>
        <v>1</v>
      </c>
      <c r="AT595" s="57" t="n">
        <f aca="false">IF(LEFT(Cockpit!$O$5,1)="A",G595,IF(BW595=1,BX595,IF(LEFT(Cockpit!$O$5,1)="B",AX595,MAX(AX595,G595))))</f>
        <v>2303</v>
      </c>
      <c r="AU595" s="57" t="n">
        <f aca="false">IF(BR595=1,0,ROUNDUP(AT595/BQ595,0))</f>
        <v>1</v>
      </c>
      <c r="AV595" s="59" t="n">
        <f aca="false">IF(CD595&gt;0,CD595*MAX(1,AT595/V595),IF(BR595=1,IF(AT595&lt;=0,0,BS595*MAX(1,IF(G595&gt;0,AT595/G595,1))),IF(Q595&gt;0,AU595/Q595,0))/MAX(0.1,N(Parameter!$M$21)))</f>
        <v>0.0384615384615385</v>
      </c>
      <c r="AW595" s="57" t="n">
        <f aca="false">AT595*F595</f>
        <v>391.51</v>
      </c>
      <c r="AX595" s="57" t="n">
        <f aca="false">ROUNDUP(MAX(I595/IF(BV595&gt;0,BV595,MAX(0.1,N(Cockpit!$O$6))),BY595)/BQ595,0)*BQ595</f>
        <v>2303</v>
      </c>
      <c r="AY595" s="58" t="n">
        <f aca="false">IF(AV595&gt;0,I595/AV595,-1)</f>
        <v>43680</v>
      </c>
      <c r="AZ595" s="58" t="n">
        <f aca="false">IF(AND(OR(BU595="L1",BU595="L23"),AV595&gt;0),SUMIFS($AV$7:$AV$1576,$BU$7:$BU$1576,BU595,$AY$7:$AY$1576,"&gt;"&amp;AY595)+SUMIFS($AV$7:$AV$1576,$BU$7:$BU$1576,BU595,$AY$7:$AY$1576,AY595,$BO$7:$BO$1576,"&lt;="&amp;BO595),"")</f>
        <v>1.933885003885</v>
      </c>
      <c r="BA595" s="65" t="n">
        <f aca="false">IF(AZ595="",0,MAX(0,MIN(1,(IF(BU595="L1",Parameter!$E$5,Parameter!$E$6+Parameter!$E$7)-(AZ595-AV595))/AV595)))</f>
        <v>1</v>
      </c>
      <c r="BB595" s="55" t="str">
        <f aca="false">IF(AF595&lt;=0,"",IF(BU595="Aussen","Aussenlager",IF(BU595="-","Nicht im Lift",IF(AK595&gt;=1,"Lift",IF(AK595&lt;=0,"Aussenlager","teilweise")))))</f>
        <v>Lift</v>
      </c>
      <c r="BC595" s="55" t="str">
        <f aca="false">IF(AN595&lt;=0,"",IF(BU595="Aussen","Aussenlager",IF(BU595="-","Nicht im Lift",IF(AS595&gt;=1,"Lift",IF(AS595&lt;=0,"Aussenlager","teilweise")))))</f>
        <v>Lift</v>
      </c>
      <c r="BD595" s="55" t="str">
        <f aca="false">IF(AV595&lt;=0,"",IF(BU595="Aussen","Aussenlager",IF(BU595="-","Nicht im Lift",IF(BA595&gt;=1,"Lift",IF(BA595&lt;=0,"Aussenlager","teilweise")))))</f>
        <v>Lift</v>
      </c>
      <c r="BE595" s="55" t="str">
        <f aca="false">IF(A595="","",IF(BN595=1,"Neu; ","")&amp;IF(AND(BN595=0,BI595&lt;0),"negativer Bestand (Export "&amp;BI595&amp;"); ","")&amp;IF(I595&lt;=0,"Kein Verbrauch; ","")&amp;IF(CD595&gt;0,"Lift "&amp;U595&amp;" lt. Liftbericht (Fach "&amp;V595&amp;" Stk); ",IF(BR595=1,"Lose – Fläche geschätzt; ",""))&amp;IF(G595&gt;AP595,"Überbestand "&amp;ROUND(G595-AP595,0)&amp;" Stk / CHF "&amp;ROUND((G595-AP595)*F595,0)&amp;"; ","")&amp;IF(AND(BW595=1,BX595&lt;BY595),"MAX &lt; MB+LG; ","")&amp;IF(AND(CC595&gt;0,CB595*10&gt;CC595),"zu hoch für Tablar; ","")&amp;IF(AND(BN595=0,OR(BW595=1,Y595&lt;&gt;"",S595&lt;&gt;"",T595&lt;&gt;"",Z595&lt;&gt;"")),"manuell übersteuert; ","")&amp;IF(AND(BR595=0,Q595=0),"Gebinde unbekannt / Stellmass fehlt; ","")&amp;IF(AND(BR595=0,N(T595)&lt;=0,N(P595)&lt;=0),"Menge pro Gebinde fehlt (Ist = 1 Gebinde); ","")&amp;BM595)</f>
        <v/>
      </c>
      <c r="BF595" s="55"/>
      <c r="BG595" s="55"/>
      <c r="BH595" s="62"/>
      <c r="BI595" s="57" t="n">
        <v>42</v>
      </c>
      <c r="BJ595" s="57" t="n">
        <v>669</v>
      </c>
      <c r="BK595" s="56" t="n">
        <v>7.14</v>
      </c>
      <c r="BL595" s="57" t="n">
        <v>1680</v>
      </c>
      <c r="BM595" s="55"/>
      <c r="BN595" s="60" t="n">
        <v>0</v>
      </c>
      <c r="BO595" s="60" t="n">
        <v>595</v>
      </c>
      <c r="BP595" s="55" t="str">
        <f aca="false">IF(S595&lt;&gt;"",UPPER(TRIM(S595)),IF(O595="","LOSE",O595))</f>
        <v>S51</v>
      </c>
      <c r="BQ595" s="57" t="n">
        <f aca="false">IF(BP595="LOSE",1,IF(N(T595)&gt;0,T595,IF(N(P595)&gt;0,P595,MAX(1,G595))))</f>
        <v>2303</v>
      </c>
      <c r="BR595" s="60" t="n">
        <f aca="false">IF(BP595="LOSE",1,0)</f>
        <v>0</v>
      </c>
      <c r="BS595" s="59" t="n">
        <f aca="false">IF(BR595=0,0,IF(N(R595)&gt;0,R595,IFERROR(VLOOKUP(D595,Parameter!$A$35:$C$64,3,0)+0,0)))</f>
        <v>0</v>
      </c>
      <c r="BT595" s="55" t="n">
        <f aca="false">IF(Y595&lt;&gt;"",Y595,X595)</f>
        <v>3</v>
      </c>
      <c r="BU595" s="55" t="str">
        <f aca="false">IF(BT595=1,"L1",IF(OR(BT595=2,BT595=3),"L23",IF(BT595="Aussen","Aussen","-")))</f>
        <v>L23</v>
      </c>
      <c r="BV595" s="66" t="n">
        <f aca="false">IF(N(Z595)&gt;0,Z595,0)</f>
        <v>0</v>
      </c>
      <c r="BW595" s="60" t="n">
        <f aca="false">IF(ISNUMBER(AC595),1,0)</f>
        <v>0</v>
      </c>
      <c r="BX595" s="57" t="n">
        <f aca="false">N(AC595)</f>
        <v>0</v>
      </c>
      <c r="BY595" s="57" t="n">
        <f aca="false">N(L595)+N(M595)</f>
        <v>2065</v>
      </c>
      <c r="BZ595" s="57" t="n">
        <f aca="false">ROUNDUP(G595/BQ595,0)</f>
        <v>1</v>
      </c>
      <c r="CA595" s="57" t="n">
        <f aca="false">ROUNDUP(BX595/BQ595,0)</f>
        <v>0</v>
      </c>
      <c r="CB595" s="60" t="n">
        <f aca="false">IF(BR595=1,0,IFERROR(VLOOKUP(BP595,'Gebinde-Kategorie'!$A$5:$M$45,5,0)+0,0))</f>
        <v>11</v>
      </c>
      <c r="CC595" s="60" t="n">
        <f aca="false">IFERROR(IF(OR(BT595=1,BT595=2,BT595=3),N(INDEX(Parameter!$I$5:$I$7,BT595)),0),0)</f>
        <v>0</v>
      </c>
      <c r="CD595" s="59" t="n">
        <f aca="false">IF(AND(Parameter!$B$21="Ja",ISNUMBER(U595),N(V595)&gt;0),IFERROR(N(INDEX(Parameter!$L$5:$L$7,U595))*INDEX(Parameter!$E$5:$E$7,U595)*V595/SUMIFS($V$7:$V$1576,$U$7:$U$1576,U595),0),0)</f>
        <v>0</v>
      </c>
    </row>
    <row r="596" customFormat="false" ht="15" hidden="false" customHeight="false" outlineLevel="0" collapsed="false">
      <c r="A596" s="55" t="s">
        <v>1228</v>
      </c>
      <c r="B596" s="55" t="s">
        <v>364</v>
      </c>
      <c r="C596" s="55" t="s">
        <v>160</v>
      </c>
      <c r="D596" s="55" t="s">
        <v>178</v>
      </c>
      <c r="E596" s="55" t="s">
        <v>210</v>
      </c>
      <c r="F596" s="56" t="n">
        <v>0.15</v>
      </c>
      <c r="G596" s="57" t="n">
        <f aca="false">MAX(0,IF(AND(Parameter!$B$21="Ja",ISNUMBER(W596)),W596,IF(Parameter!$B$20="Jahresanfang 2025 + Export",BJ596+BI596,BI596)))</f>
        <v>46</v>
      </c>
      <c r="H596" s="57" t="n">
        <f aca="false">G596*F596</f>
        <v>6.9</v>
      </c>
      <c r="I596" s="57" t="n">
        <f aca="false">BL596*Parameter!$B$18</f>
        <v>0</v>
      </c>
      <c r="J596" s="58" t="n">
        <v>423</v>
      </c>
      <c r="K596" s="59" t="n">
        <v>0</v>
      </c>
      <c r="L596" s="57" t="n">
        <v>0</v>
      </c>
      <c r="M596" s="57" t="n">
        <v>1</v>
      </c>
      <c r="N596" s="60" t="n">
        <v>21</v>
      </c>
      <c r="O596" s="55" t="s">
        <v>411</v>
      </c>
      <c r="P596" s="57" t="n">
        <v>406</v>
      </c>
      <c r="Q596" s="60" t="n">
        <f aca="false">IF(BR596=1,0,IFERROR(VLOOKUP(BP596,'Gebinde-Kategorie'!$A$5:$M$45,13,0)+0,0))</f>
        <v>132</v>
      </c>
      <c r="R596" s="61"/>
      <c r="S596" s="62"/>
      <c r="T596" s="62"/>
      <c r="U596" s="55"/>
      <c r="V596" s="57"/>
      <c r="W596" s="57"/>
      <c r="X596" s="55" t="n">
        <f aca="false">IF(A596="","",IF(AND(Parameter!$B$21="Ja",ISNUMBER(U596)),U596,IF(IFERROR(VLOOKUP(D596,Parameter!$A$35:$C$64,2,0),"Nein")="2+3",IF(ISNUMBER(SEARCH("grosser Artikel",BM596)),2,IFERROR(VLOOKUP(BP596,Parameter!$F$35:$G$64,2,0),2)),IF(OR(IFERROR(VLOOKUP(D596,Parameter!$A$35:$C$64,2,0),"Nein")="Nein",IFERROR(VLOOKUP(D596,Parameter!$A$35:$C$64,2,0),"Nein")=""),"-",VLOOKUP(D596,Parameter!$A$35:$C$64,2,0)))))</f>
        <v>3</v>
      </c>
      <c r="Y596" s="62"/>
      <c r="Z596" s="63"/>
      <c r="AA596" s="57" t="n">
        <f aca="false">AP596</f>
        <v>406</v>
      </c>
      <c r="AB596" s="57" t="n">
        <f aca="false">MAX(AP596,G596)</f>
        <v>406</v>
      </c>
      <c r="AC596" s="64"/>
      <c r="AD596" s="57" t="n">
        <f aca="false">IF(LEFT(Cockpit!$C$5,1)="A",G596,IF(BW596=1,BX596,IF(LEFT(Cockpit!$C$5,1)="B",AH596,MAX(AH596,G596))))</f>
        <v>46</v>
      </c>
      <c r="AE596" s="57" t="n">
        <f aca="false">IF(BR596=1,0,ROUNDUP(AD596/BQ596,0))</f>
        <v>1</v>
      </c>
      <c r="AF596" s="59" t="n">
        <f aca="false">IF(CD596&gt;0,CD596*MAX(1,AD596/V596),IF(BR596=1,IF(AD596&lt;=0,0,BS596*MAX(1,IF(G596&gt;0,AD596/G596,1))),IF(Q596&gt;0,AE596/Q596,0))/MAX(0.1,N(Parameter!$M$21)))</f>
        <v>0.00757575757575758</v>
      </c>
      <c r="AG596" s="57" t="n">
        <f aca="false">AD596*F596</f>
        <v>6.9</v>
      </c>
      <c r="AH596" s="57" t="n">
        <f aca="false">ROUNDUP(MAX(I596/IF(BV596&gt;0,BV596,MAX(0.1,N(Cockpit!$C$6))),BY596)/BQ596,0)*BQ596</f>
        <v>406</v>
      </c>
      <c r="AI596" s="58" t="n">
        <f aca="false">IF(AF596&gt;0,I596/AF596,-1)</f>
        <v>0</v>
      </c>
      <c r="AJ596" s="58" t="n">
        <f aca="false">IF(AND(OR(BU596="L1",BU596="L23"),AF596&gt;0),SUMIFS($AF$7:$AF$1576,$BU$7:$BU$1576,BU596,$AI$7:$AI$1576,"&gt;"&amp;AI596)+SUMIFS($AF$7:$AF$1576,$BU$7:$BU$1576,BU596,$AI$7:$AI$1576,AI596,$BO$7:$BO$1576,"&lt;="&amp;BO596),"")</f>
        <v>44.3346559237864</v>
      </c>
      <c r="AK596" s="65" t="n">
        <f aca="false">IF(AJ596="",0,MAX(0,MIN(1,(IF(BU596="L1",Parameter!$E$5,Parameter!$E$6+Parameter!$E$7)-(AJ596-AF596))/AF596)))</f>
        <v>1</v>
      </c>
      <c r="AL596" s="57" t="n">
        <f aca="false">IF(LEFT(Cockpit!$I$5,1)="A",G596,IF(BW596=1,BX596,IF(LEFT(Cockpit!$I$5,1)="B",AP596,MAX(AP596,G596))))</f>
        <v>406</v>
      </c>
      <c r="AM596" s="57" t="n">
        <f aca="false">IF(BR596=1,0,ROUNDUP(AL596/BQ596,0))</f>
        <v>1</v>
      </c>
      <c r="AN596" s="59" t="n">
        <f aca="false">IF(CD596&gt;0,CD596*MAX(1,AL596/V596),IF(BR596=1,IF(AL596&lt;=0,0,BS596*MAX(1,IF(G596&gt;0,AL596/G596,1))),IF(Q596&gt;0,AM596/Q596,0))/MAX(0.1,N(Parameter!$M$21)))</f>
        <v>0.00757575757575758</v>
      </c>
      <c r="AO596" s="57" t="n">
        <f aca="false">AL596*F596</f>
        <v>60.9</v>
      </c>
      <c r="AP596" s="57" t="n">
        <f aca="false">ROUNDUP(MAX(I596/IF(BV596&gt;0,BV596,MAX(0.1,N(Cockpit!$I$6))),BY596)/BQ596,0)*BQ596</f>
        <v>406</v>
      </c>
      <c r="AQ596" s="58" t="n">
        <f aca="false">IF(AN596&gt;0,I596/AN596,-1)</f>
        <v>0</v>
      </c>
      <c r="AR596" s="58" t="n">
        <f aca="false">IF(AND(OR(BU596="L1",BU596="L23"),AN596&gt;0),SUMIFS($AN$7:$AN$1576,$BU$7:$BU$1576,BU596,$AQ$7:$AQ$1576,"&gt;"&amp;AQ596)+SUMIFS($AN$7:$AN$1576,$BU$7:$BU$1576,BU596,$AQ$7:$AQ$1576,AQ596,$BO$7:$BO$1576,"&lt;="&amp;BO596),"")</f>
        <v>127.331442042305</v>
      </c>
      <c r="AS596" s="65" t="n">
        <f aca="false">IF(AR596="",0,MAX(0,MIN(1,(IF(BU596="L1",Parameter!$E$5,Parameter!$E$6+Parameter!$E$7)-(AR596-AN596))/AN596)))</f>
        <v>0</v>
      </c>
      <c r="AT596" s="57" t="n">
        <f aca="false">IF(LEFT(Cockpit!$O$5,1)="A",G596,IF(BW596=1,BX596,IF(LEFT(Cockpit!$O$5,1)="B",AX596,MAX(AX596,G596))))</f>
        <v>406</v>
      </c>
      <c r="AU596" s="57" t="n">
        <f aca="false">IF(BR596=1,0,ROUNDUP(AT596/BQ596,0))</f>
        <v>1</v>
      </c>
      <c r="AV596" s="59" t="n">
        <f aca="false">IF(CD596&gt;0,CD596*MAX(1,AT596/V596),IF(BR596=1,IF(AT596&lt;=0,0,BS596*MAX(1,IF(G596&gt;0,AT596/G596,1))),IF(Q596&gt;0,AU596/Q596,0))/MAX(0.1,N(Parameter!$M$21)))</f>
        <v>0.00757575757575758</v>
      </c>
      <c r="AW596" s="57" t="n">
        <f aca="false">AT596*F596</f>
        <v>60.9</v>
      </c>
      <c r="AX596" s="57" t="n">
        <f aca="false">ROUNDUP(MAX(I596/IF(BV596&gt;0,BV596,MAX(0.1,N(Cockpit!$O$6))),BY596)/BQ596,0)*BQ596</f>
        <v>406</v>
      </c>
      <c r="AY596" s="58" t="n">
        <f aca="false">IF(AV596&gt;0,I596/AV596,-1)</f>
        <v>0</v>
      </c>
      <c r="AZ596" s="58" t="n">
        <f aca="false">IF(AND(OR(BU596="L1",BU596="L23"),AV596&gt;0),SUMIFS($AV$7:$AV$1576,$BU$7:$BU$1576,BU596,$AY$7:$AY$1576,"&gt;"&amp;AY596)+SUMIFS($AV$7:$AV$1576,$BU$7:$BU$1576,BU596,$AY$7:$AY$1576,AY596,$BO$7:$BO$1576,"&lt;="&amp;BO596),"")</f>
        <v>117.390992491855</v>
      </c>
      <c r="BA596" s="65" t="n">
        <f aca="false">IF(AZ596="",0,MAX(0,MIN(1,(IF(BU596="L1",Parameter!$E$5,Parameter!$E$6+Parameter!$E$7)-(AZ596-AV596))/AV596)))</f>
        <v>0</v>
      </c>
      <c r="BB596" s="55" t="str">
        <f aca="false">IF(AF596&lt;=0,"",IF(BU596="Aussen","Aussenlager",IF(BU596="-","Nicht im Lift",IF(AK596&gt;=1,"Lift",IF(AK596&lt;=0,"Aussenlager","teilweise")))))</f>
        <v>Lift</v>
      </c>
      <c r="BC596" s="55" t="str">
        <f aca="false">IF(AN596&lt;=0,"",IF(BU596="Aussen","Aussenlager",IF(BU596="-","Nicht im Lift",IF(AS596&gt;=1,"Lift",IF(AS596&lt;=0,"Aussenlager","teilweise")))))</f>
        <v>Aussenlager</v>
      </c>
      <c r="BD596" s="55" t="str">
        <f aca="false">IF(AV596&lt;=0,"",IF(BU596="Aussen","Aussenlager",IF(BU596="-","Nicht im Lift",IF(BA596&gt;=1,"Lift",IF(BA596&lt;=0,"Aussenlager","teilweise")))))</f>
        <v>Aussenlager</v>
      </c>
      <c r="BE596" s="55" t="str">
        <f aca="false">IF(A596="","",IF(BN596=1,"Neu; ","")&amp;IF(AND(BN596=0,BI596&lt;0),"negativer Bestand (Export "&amp;BI596&amp;"); ","")&amp;IF(I596&lt;=0,"Kein Verbrauch; ","")&amp;IF(CD596&gt;0,"Lift "&amp;U596&amp;" lt. Liftbericht (Fach "&amp;V596&amp;" Stk); ",IF(BR596=1,"Lose – Fläche geschätzt; ",""))&amp;IF(G596&gt;AP596,"Überbestand "&amp;ROUND(G596-AP596,0)&amp;" Stk / CHF "&amp;ROUND((G596-AP596)*F596,0)&amp;"; ","")&amp;IF(AND(BW596=1,BX596&lt;BY596),"MAX &lt; MB+LG; ","")&amp;IF(AND(CC596&gt;0,CB596*10&gt;CC596),"zu hoch für Tablar; ","")&amp;IF(AND(BN596=0,OR(BW596=1,Y596&lt;&gt;"",S596&lt;&gt;"",T596&lt;&gt;"",Z596&lt;&gt;"")),"manuell übersteuert; ","")&amp;IF(AND(BR596=0,Q596=0),"Gebinde unbekannt / Stellmass fehlt; ","")&amp;IF(AND(BR596=0,N(T596)&lt;=0,N(P596)&lt;=0),"Menge pro Gebinde fehlt (Ist = 1 Gebinde); ","")&amp;BM596)</f>
        <v>Kein Verbrauch; Neu</v>
      </c>
      <c r="BF596" s="55"/>
      <c r="BG596" s="55"/>
      <c r="BH596" s="62"/>
      <c r="BI596" s="57" t="n">
        <v>46</v>
      </c>
      <c r="BJ596" s="57" t="n">
        <v>400</v>
      </c>
      <c r="BK596" s="56" t="n">
        <v>6.9</v>
      </c>
      <c r="BL596" s="57" t="n">
        <v>0</v>
      </c>
      <c r="BM596" s="55" t="s">
        <v>615</v>
      </c>
      <c r="BN596" s="60" t="n">
        <v>0</v>
      </c>
      <c r="BO596" s="60" t="n">
        <v>596</v>
      </c>
      <c r="BP596" s="55" t="str">
        <f aca="false">IF(S596&lt;&gt;"",UPPER(TRIM(S596)),IF(O596="","LOSE",O596))</f>
        <v>S32</v>
      </c>
      <c r="BQ596" s="57" t="n">
        <f aca="false">IF(BP596="LOSE",1,IF(N(T596)&gt;0,T596,IF(N(P596)&gt;0,P596,MAX(1,G596))))</f>
        <v>406</v>
      </c>
      <c r="BR596" s="60" t="n">
        <f aca="false">IF(BP596="LOSE",1,0)</f>
        <v>0</v>
      </c>
      <c r="BS596" s="59" t="n">
        <f aca="false">IF(BR596=0,0,IF(N(R596)&gt;0,R596,IFERROR(VLOOKUP(D596,Parameter!$A$35:$C$64,3,0)+0,0)))</f>
        <v>0</v>
      </c>
      <c r="BT596" s="55" t="n">
        <f aca="false">IF(Y596&lt;&gt;"",Y596,X596)</f>
        <v>3</v>
      </c>
      <c r="BU596" s="55" t="str">
        <f aca="false">IF(BT596=1,"L1",IF(OR(BT596=2,BT596=3),"L23",IF(BT596="Aussen","Aussen","-")))</f>
        <v>L23</v>
      </c>
      <c r="BV596" s="66" t="n">
        <f aca="false">IF(N(Z596)&gt;0,Z596,0)</f>
        <v>0</v>
      </c>
      <c r="BW596" s="60" t="n">
        <f aca="false">IF(ISNUMBER(AC596),1,0)</f>
        <v>0</v>
      </c>
      <c r="BX596" s="57" t="n">
        <f aca="false">N(AC596)</f>
        <v>0</v>
      </c>
      <c r="BY596" s="57" t="n">
        <f aca="false">N(L596)+N(M596)</f>
        <v>1</v>
      </c>
      <c r="BZ596" s="57" t="n">
        <f aca="false">ROUNDUP(G596/BQ596,0)</f>
        <v>1</v>
      </c>
      <c r="CA596" s="57" t="n">
        <f aca="false">ROUNDUP(BX596/BQ596,0)</f>
        <v>0</v>
      </c>
      <c r="CB596" s="60" t="n">
        <f aca="false">IF(BR596=1,0,IFERROR(VLOOKUP(BP596,'Gebinde-Kategorie'!$A$5:$M$45,5,0)+0,0))</f>
        <v>8</v>
      </c>
      <c r="CC596" s="60" t="n">
        <f aca="false">IFERROR(IF(OR(BT596=1,BT596=2,BT596=3),N(INDEX(Parameter!$I$5:$I$7,BT596)),0),0)</f>
        <v>0</v>
      </c>
      <c r="CD596" s="59" t="n">
        <f aca="false">IF(AND(Parameter!$B$21="Ja",ISNUMBER(U596),N(V596)&gt;0),IFERROR(N(INDEX(Parameter!$L$5:$L$7,U596))*INDEX(Parameter!$E$5:$E$7,U596)*V596/SUMIFS($V$7:$V$1576,$U$7:$U$1576,U596),0),0)</f>
        <v>0</v>
      </c>
    </row>
    <row r="597" customFormat="false" ht="15" hidden="false" customHeight="false" outlineLevel="0" collapsed="false">
      <c r="A597" s="55" t="s">
        <v>1229</v>
      </c>
      <c r="B597" s="55" t="s">
        <v>1154</v>
      </c>
      <c r="C597" s="55" t="s">
        <v>160</v>
      </c>
      <c r="D597" s="55" t="s">
        <v>168</v>
      </c>
      <c r="E597" s="55" t="s">
        <v>210</v>
      </c>
      <c r="F597" s="56" t="n">
        <v>6.8</v>
      </c>
      <c r="G597" s="57" t="n">
        <f aca="false">MAX(0,IF(AND(Parameter!$B$21="Ja",ISNUMBER(W597)),W597,IF(Parameter!$B$20="Jahresanfang 2025 + Export",BJ597+BI597,BI597)))</f>
        <v>1</v>
      </c>
      <c r="H597" s="57" t="n">
        <f aca="false">G597*F597</f>
        <v>6.8</v>
      </c>
      <c r="I597" s="57" t="n">
        <f aca="false">BL597*Parameter!$B$18</f>
        <v>0</v>
      </c>
      <c r="J597" s="58" t="n">
        <v>0</v>
      </c>
      <c r="K597" s="59" t="n">
        <v>0</v>
      </c>
      <c r="L597" s="57" t="n">
        <v>0</v>
      </c>
      <c r="M597" s="57" t="n">
        <v>1</v>
      </c>
      <c r="N597" s="60" t="n">
        <v>21</v>
      </c>
      <c r="O597" s="55" t="s">
        <v>163</v>
      </c>
      <c r="P597" s="57"/>
      <c r="Q597" s="60" t="n">
        <f aca="false">IF(BR597=1,0,IFERROR(VLOOKUP(BP597,'Gebinde-Kategorie'!$A$5:$M$45,13,0)+0,0))</f>
        <v>0</v>
      </c>
      <c r="R597" s="61"/>
      <c r="S597" s="62"/>
      <c r="T597" s="62"/>
      <c r="U597" s="55"/>
      <c r="V597" s="57"/>
      <c r="W597" s="57"/>
      <c r="X597" s="55" t="n">
        <f aca="false">IF(A597="","",IF(AND(Parameter!$B$21="Ja",ISNUMBER(U597)),U597,IF(IFERROR(VLOOKUP(D597,Parameter!$A$35:$C$64,2,0),"Nein")="2+3",IF(ISNUMBER(SEARCH("grosser Artikel",BM597)),2,IFERROR(VLOOKUP(BP597,Parameter!$F$35:$G$64,2,0),2)),IF(OR(IFERROR(VLOOKUP(D597,Parameter!$A$35:$C$64,2,0),"Nein")="Nein",IFERROR(VLOOKUP(D597,Parameter!$A$35:$C$64,2,0),"Nein")=""),"-",VLOOKUP(D597,Parameter!$A$35:$C$64,2,0)))))</f>
        <v>2</v>
      </c>
      <c r="Y597" s="62"/>
      <c r="Z597" s="63"/>
      <c r="AA597" s="57" t="n">
        <f aca="false">AP597</f>
        <v>1</v>
      </c>
      <c r="AB597" s="57" t="n">
        <f aca="false">MAX(AP597,G597)</f>
        <v>1</v>
      </c>
      <c r="AC597" s="64"/>
      <c r="AD597" s="57" t="n">
        <f aca="false">IF(LEFT(Cockpit!$C$5,1)="A",G597,IF(BW597=1,BX597,IF(LEFT(Cockpit!$C$5,1)="B",AH597,MAX(AH597,G597))))</f>
        <v>1</v>
      </c>
      <c r="AE597" s="57" t="n">
        <f aca="false">IF(BR597=1,0,ROUNDUP(AD597/BQ597,0))</f>
        <v>0</v>
      </c>
      <c r="AF597" s="59" t="n">
        <f aca="false">IF(CD597&gt;0,CD597*MAX(1,AD597/V597),IF(BR597=1,IF(AD597&lt;=0,0,BS597*MAX(1,IF(G597&gt;0,AD597/G597,1))),IF(Q597&gt;0,AE597/Q597,0))/MAX(0.1,N(Parameter!$M$21)))</f>
        <v>0.15</v>
      </c>
      <c r="AG597" s="57" t="n">
        <f aca="false">AD597*F597</f>
        <v>6.8</v>
      </c>
      <c r="AH597" s="57" t="n">
        <f aca="false">ROUNDUP(MAX(I597/IF(BV597&gt;0,BV597,MAX(0.1,N(Cockpit!$C$6))),BY597)/BQ597,0)*BQ597</f>
        <v>1</v>
      </c>
      <c r="AI597" s="58" t="n">
        <f aca="false">IF(AF597&gt;0,I597/AF597,-1)</f>
        <v>0</v>
      </c>
      <c r="AJ597" s="58" t="n">
        <f aca="false">IF(AND(OR(BU597="L1",BU597="L23"),AF597&gt;0),SUMIFS($AF$7:$AF$1576,$BU$7:$BU$1576,BU597,$AI$7:$AI$1576,"&gt;"&amp;AI597)+SUMIFS($AF$7:$AF$1576,$BU$7:$BU$1576,BU597,$AI$7:$AI$1576,AI597,$BO$7:$BO$1576,"&lt;="&amp;BO597),"")</f>
        <v>44.4846559237864</v>
      </c>
      <c r="AK597" s="65" t="n">
        <f aca="false">IF(AJ597="",0,MAX(0,MIN(1,(IF(BU597="L1",Parameter!$E$5,Parameter!$E$6+Parameter!$E$7)-(AJ597-AF597))/AF597)))</f>
        <v>1</v>
      </c>
      <c r="AL597" s="57" t="n">
        <f aca="false">IF(LEFT(Cockpit!$I$5,1)="A",G597,IF(BW597=1,BX597,IF(LEFT(Cockpit!$I$5,1)="B",AP597,MAX(AP597,G597))))</f>
        <v>1</v>
      </c>
      <c r="AM597" s="57" t="n">
        <f aca="false">IF(BR597=1,0,ROUNDUP(AL597/BQ597,0))</f>
        <v>0</v>
      </c>
      <c r="AN597" s="59" t="n">
        <f aca="false">IF(CD597&gt;0,CD597*MAX(1,AL597/V597),IF(BR597=1,IF(AL597&lt;=0,0,BS597*MAX(1,IF(G597&gt;0,AL597/G597,1))),IF(Q597&gt;0,AM597/Q597,0))/MAX(0.1,N(Parameter!$M$21)))</f>
        <v>0.15</v>
      </c>
      <c r="AO597" s="57" t="n">
        <f aca="false">AL597*F597</f>
        <v>6.8</v>
      </c>
      <c r="AP597" s="57" t="n">
        <f aca="false">ROUNDUP(MAX(I597/IF(BV597&gt;0,BV597,MAX(0.1,N(Cockpit!$I$6))),BY597)/BQ597,0)*BQ597</f>
        <v>1</v>
      </c>
      <c r="AQ597" s="58" t="n">
        <f aca="false">IF(AN597&gt;0,I597/AN597,-1)</f>
        <v>0</v>
      </c>
      <c r="AR597" s="58" t="n">
        <f aca="false">IF(AND(OR(BU597="L1",BU597="L23"),AN597&gt;0),SUMIFS($AN$7:$AN$1576,$BU$7:$BU$1576,BU597,$AQ$7:$AQ$1576,"&gt;"&amp;AQ597)+SUMIFS($AN$7:$AN$1576,$BU$7:$BU$1576,BU597,$AQ$7:$AQ$1576,AQ597,$BO$7:$BO$1576,"&lt;="&amp;BO597),"")</f>
        <v>127.481442042305</v>
      </c>
      <c r="AS597" s="65" t="n">
        <f aca="false">IF(AR597="",0,MAX(0,MIN(1,(IF(BU597="L1",Parameter!$E$5,Parameter!$E$6+Parameter!$E$7)-(AR597-AN597))/AN597)))</f>
        <v>0</v>
      </c>
      <c r="AT597" s="57" t="n">
        <f aca="false">IF(LEFT(Cockpit!$O$5,1)="A",G597,IF(BW597=1,BX597,IF(LEFT(Cockpit!$O$5,1)="B",AX597,MAX(AX597,G597))))</f>
        <v>1</v>
      </c>
      <c r="AU597" s="57" t="n">
        <f aca="false">IF(BR597=1,0,ROUNDUP(AT597/BQ597,0))</f>
        <v>0</v>
      </c>
      <c r="AV597" s="59" t="n">
        <f aca="false">IF(CD597&gt;0,CD597*MAX(1,AT597/V597),IF(BR597=1,IF(AT597&lt;=0,0,BS597*MAX(1,IF(G597&gt;0,AT597/G597,1))),IF(Q597&gt;0,AU597/Q597,0))/MAX(0.1,N(Parameter!$M$21)))</f>
        <v>0.15</v>
      </c>
      <c r="AW597" s="57" t="n">
        <f aca="false">AT597*F597</f>
        <v>6.8</v>
      </c>
      <c r="AX597" s="57" t="n">
        <f aca="false">ROUNDUP(MAX(I597/IF(BV597&gt;0,BV597,MAX(0.1,N(Cockpit!$O$6))),BY597)/BQ597,0)*BQ597</f>
        <v>1</v>
      </c>
      <c r="AY597" s="58" t="n">
        <f aca="false">IF(AV597&gt;0,I597/AV597,-1)</f>
        <v>0</v>
      </c>
      <c r="AZ597" s="58" t="n">
        <f aca="false">IF(AND(OR(BU597="L1",BU597="L23"),AV597&gt;0),SUMIFS($AV$7:$AV$1576,$BU$7:$BU$1576,BU597,$AY$7:$AY$1576,"&gt;"&amp;AY597)+SUMIFS($AV$7:$AV$1576,$BU$7:$BU$1576,BU597,$AY$7:$AY$1576,AY597,$BO$7:$BO$1576,"&lt;="&amp;BO597),"")</f>
        <v>117.540992491855</v>
      </c>
      <c r="BA597" s="65" t="n">
        <f aca="false">IF(AZ597="",0,MAX(0,MIN(1,(IF(BU597="L1",Parameter!$E$5,Parameter!$E$6+Parameter!$E$7)-(AZ597-AV597))/AV597)))</f>
        <v>0</v>
      </c>
      <c r="BB597" s="55" t="str">
        <f aca="false">IF(AF597&lt;=0,"",IF(BU597="Aussen","Aussenlager",IF(BU597="-","Nicht im Lift",IF(AK597&gt;=1,"Lift",IF(AK597&lt;=0,"Aussenlager","teilweise")))))</f>
        <v>Lift</v>
      </c>
      <c r="BC597" s="55" t="str">
        <f aca="false">IF(AN597&lt;=0,"",IF(BU597="Aussen","Aussenlager",IF(BU597="-","Nicht im Lift",IF(AS597&gt;=1,"Lift",IF(AS597&lt;=0,"Aussenlager","teilweise")))))</f>
        <v>Aussenlager</v>
      </c>
      <c r="BD597" s="55" t="str">
        <f aca="false">IF(AV597&lt;=0,"",IF(BU597="Aussen","Aussenlager",IF(BU597="-","Nicht im Lift",IF(BA597&gt;=1,"Lift",IF(BA597&lt;=0,"Aussenlager","teilweise")))))</f>
        <v>Aussenlager</v>
      </c>
      <c r="BE597" s="55" t="str">
        <f aca="false">IF(A597="","",IF(BN597=1,"Neu; ","")&amp;IF(AND(BN597=0,BI597&lt;0),"negativer Bestand (Export "&amp;BI597&amp;"); ","")&amp;IF(I597&lt;=0,"Kein Verbrauch; ","")&amp;IF(CD597&gt;0,"Lift "&amp;U597&amp;" lt. Liftbericht (Fach "&amp;V597&amp;" Stk); ",IF(BR597=1,"Lose – Fläche geschätzt; ",""))&amp;IF(G597&gt;AP597,"Überbestand "&amp;ROUND(G597-AP597,0)&amp;" Stk / CHF "&amp;ROUND((G597-AP597)*F597,0)&amp;"; ","")&amp;IF(AND(BW597=1,BX597&lt;BY597),"MAX &lt; MB+LG; ","")&amp;IF(AND(CC597&gt;0,CB597*10&gt;CC597),"zu hoch für Tablar; ","")&amp;IF(AND(BN597=0,OR(BW597=1,Y597&lt;&gt;"",S597&lt;&gt;"",T597&lt;&gt;"",Z597&lt;&gt;"")),"manuell übersteuert; ","")&amp;IF(AND(BR597=0,Q597=0),"Gebinde unbekannt / Stellmass fehlt; ","")&amp;IF(AND(BR597=0,N(T597)&lt;=0,N(P597)&lt;=0),"Menge pro Gebinde fehlt (Ist = 1 Gebinde); ","")&amp;BM597)</f>
        <v>Kein Verbrauch; Lose – Fläche geschätzt; </v>
      </c>
      <c r="BF597" s="55"/>
      <c r="BG597" s="55"/>
      <c r="BH597" s="62"/>
      <c r="BI597" s="57" t="n">
        <v>1</v>
      </c>
      <c r="BJ597" s="57" t="n">
        <v>0</v>
      </c>
      <c r="BK597" s="56" t="n">
        <v>6.8</v>
      </c>
      <c r="BL597" s="57" t="n">
        <v>0</v>
      </c>
      <c r="BM597" s="55"/>
      <c r="BN597" s="60" t="n">
        <v>0</v>
      </c>
      <c r="BO597" s="60" t="n">
        <v>597</v>
      </c>
      <c r="BP597" s="55" t="str">
        <f aca="false">IF(S597&lt;&gt;"",UPPER(TRIM(S597)),IF(O597="","LOSE",O597))</f>
        <v>LOSE</v>
      </c>
      <c r="BQ597" s="57" t="n">
        <f aca="false">IF(BP597="LOSE",1,IF(N(T597)&gt;0,T597,IF(N(P597)&gt;0,P597,MAX(1,G597))))</f>
        <v>1</v>
      </c>
      <c r="BR597" s="60" t="n">
        <f aca="false">IF(BP597="LOSE",1,0)</f>
        <v>1</v>
      </c>
      <c r="BS597" s="59" t="n">
        <f aca="false">IF(BR597=0,0,IF(N(R597)&gt;0,R597,IFERROR(VLOOKUP(D597,Parameter!$A$35:$C$64,3,0)+0,0)))</f>
        <v>0.15</v>
      </c>
      <c r="BT597" s="55" t="n">
        <f aca="false">IF(Y597&lt;&gt;"",Y597,X597)</f>
        <v>2</v>
      </c>
      <c r="BU597" s="55" t="str">
        <f aca="false">IF(BT597=1,"L1",IF(OR(BT597=2,BT597=3),"L23",IF(BT597="Aussen","Aussen","-")))</f>
        <v>L23</v>
      </c>
      <c r="BV597" s="66" t="n">
        <f aca="false">IF(N(Z597)&gt;0,Z597,0)</f>
        <v>0</v>
      </c>
      <c r="BW597" s="60" t="n">
        <f aca="false">IF(ISNUMBER(AC597),1,0)</f>
        <v>0</v>
      </c>
      <c r="BX597" s="57" t="n">
        <f aca="false">N(AC597)</f>
        <v>0</v>
      </c>
      <c r="BY597" s="57" t="n">
        <f aca="false">N(L597)+N(M597)</f>
        <v>1</v>
      </c>
      <c r="BZ597" s="57" t="n">
        <f aca="false">ROUNDUP(G597/BQ597,0)</f>
        <v>1</v>
      </c>
      <c r="CA597" s="57" t="n">
        <f aca="false">ROUNDUP(BX597/BQ597,0)</f>
        <v>0</v>
      </c>
      <c r="CB597" s="60" t="n">
        <f aca="false">IF(BR597=1,0,IFERROR(VLOOKUP(BP597,'Gebinde-Kategorie'!$A$5:$M$45,5,0)+0,0))</f>
        <v>0</v>
      </c>
      <c r="CC597" s="60" t="n">
        <f aca="false">IFERROR(IF(OR(BT597=1,BT597=2,BT597=3),N(INDEX(Parameter!$I$5:$I$7,BT597)),0),0)</f>
        <v>0</v>
      </c>
      <c r="CD597" s="59" t="n">
        <f aca="false">IF(AND(Parameter!$B$21="Ja",ISNUMBER(U597),N(V597)&gt;0),IFERROR(N(INDEX(Parameter!$L$5:$L$7,U597))*INDEX(Parameter!$E$5:$E$7,U597)*V597/SUMIFS($V$7:$V$1576,$U$7:$U$1576,U597),0),0)</f>
        <v>0</v>
      </c>
    </row>
    <row r="598" customFormat="false" ht="15" hidden="false" customHeight="false" outlineLevel="0" collapsed="false">
      <c r="A598" s="55" t="s">
        <v>1230</v>
      </c>
      <c r="B598" s="55" t="s">
        <v>457</v>
      </c>
      <c r="C598" s="55" t="s">
        <v>160</v>
      </c>
      <c r="D598" s="55" t="s">
        <v>178</v>
      </c>
      <c r="E598" s="55" t="s">
        <v>210</v>
      </c>
      <c r="F598" s="56" t="n">
        <v>0.37</v>
      </c>
      <c r="G598" s="57" t="n">
        <f aca="false">MAX(0,IF(AND(Parameter!$B$21="Ja",ISNUMBER(W598)),W598,IF(Parameter!$B$20="Jahresanfang 2025 + Export",BJ598+BI598,BI598)))</f>
        <v>18</v>
      </c>
      <c r="H598" s="57" t="n">
        <f aca="false">G598*F598</f>
        <v>6.66</v>
      </c>
      <c r="I598" s="57" t="n">
        <f aca="false">BL598*Parameter!$B$18</f>
        <v>20</v>
      </c>
      <c r="J598" s="58" t="n">
        <v>24</v>
      </c>
      <c r="K598" s="59" t="n">
        <v>0.833333333333333</v>
      </c>
      <c r="L598" s="57" t="n">
        <v>1</v>
      </c>
      <c r="M598" s="57" t="n">
        <v>20</v>
      </c>
      <c r="N598" s="60" t="n">
        <v>35</v>
      </c>
      <c r="O598" s="55" t="s">
        <v>391</v>
      </c>
      <c r="P598" s="57" t="n">
        <v>30</v>
      </c>
      <c r="Q598" s="60" t="n">
        <f aca="false">IF(BR598=1,0,IFERROR(VLOOKUP(BP598,'Gebinde-Kategorie'!$A$5:$M$45,13,0)+0,0))</f>
        <v>414</v>
      </c>
      <c r="R598" s="61"/>
      <c r="S598" s="62"/>
      <c r="T598" s="62"/>
      <c r="U598" s="55"/>
      <c r="V598" s="57"/>
      <c r="W598" s="57"/>
      <c r="X598" s="55" t="n">
        <f aca="false">IF(A598="","",IF(AND(Parameter!$B$21="Ja",ISNUMBER(U598)),U598,IF(IFERROR(VLOOKUP(D598,Parameter!$A$35:$C$64,2,0),"Nein")="2+3",IF(ISNUMBER(SEARCH("grosser Artikel",BM598)),2,IFERROR(VLOOKUP(BP598,Parameter!$F$35:$G$64,2,0),2)),IF(OR(IFERROR(VLOOKUP(D598,Parameter!$A$35:$C$64,2,0),"Nein")="Nein",IFERROR(VLOOKUP(D598,Parameter!$A$35:$C$64,2,0),"Nein")=""),"-",VLOOKUP(D598,Parameter!$A$35:$C$64,2,0)))))</f>
        <v>3</v>
      </c>
      <c r="Y598" s="62"/>
      <c r="Z598" s="63"/>
      <c r="AA598" s="57" t="n">
        <f aca="false">AP598</f>
        <v>30</v>
      </c>
      <c r="AB598" s="57" t="n">
        <f aca="false">MAX(AP598,G598)</f>
        <v>30</v>
      </c>
      <c r="AC598" s="64"/>
      <c r="AD598" s="57" t="n">
        <f aca="false">IF(LEFT(Cockpit!$C$5,1)="A",G598,IF(BW598=1,BX598,IF(LEFT(Cockpit!$C$5,1)="B",AH598,MAX(AH598,G598))))</f>
        <v>18</v>
      </c>
      <c r="AE598" s="57" t="n">
        <f aca="false">IF(BR598=1,0,ROUNDUP(AD598/BQ598,0))</f>
        <v>1</v>
      </c>
      <c r="AF598" s="59" t="n">
        <f aca="false">IF(CD598&gt;0,CD598*MAX(1,AD598/V598),IF(BR598=1,IF(AD598&lt;=0,0,BS598*MAX(1,IF(G598&gt;0,AD598/G598,1))),IF(Q598&gt;0,AE598/Q598,0))/MAX(0.1,N(Parameter!$M$21)))</f>
        <v>0.00241545893719807</v>
      </c>
      <c r="AG598" s="57" t="n">
        <f aca="false">AD598*F598</f>
        <v>6.66</v>
      </c>
      <c r="AH598" s="57" t="n">
        <f aca="false">ROUNDUP(MAX(I598/IF(BV598&gt;0,BV598,MAX(0.1,N(Cockpit!$C$6))),BY598)/BQ598,0)*BQ598</f>
        <v>30</v>
      </c>
      <c r="AI598" s="58" t="n">
        <f aca="false">IF(AF598&gt;0,I598/AF598,-1)</f>
        <v>8280</v>
      </c>
      <c r="AJ598" s="58" t="n">
        <f aca="false">IF(AND(OR(BU598="L1",BU598="L23"),AF598&gt;0),SUMIFS($AF$7:$AF$1576,$BU$7:$BU$1576,BU598,$AI$7:$AI$1576,"&gt;"&amp;AI598)+SUMIFS($AF$7:$AF$1576,$BU$7:$BU$1576,BU598,$AI$7:$AI$1576,AI598,$BO$7:$BO$1576,"&lt;="&amp;BO598),"")</f>
        <v>2.88719131110436</v>
      </c>
      <c r="AK598" s="65" t="n">
        <f aca="false">IF(AJ598="",0,MAX(0,MIN(1,(IF(BU598="L1",Parameter!$E$5,Parameter!$E$6+Parameter!$E$7)-(AJ598-AF598))/AF598)))</f>
        <v>1</v>
      </c>
      <c r="AL598" s="57" t="n">
        <f aca="false">IF(LEFT(Cockpit!$I$5,1)="A",G598,IF(BW598=1,BX598,IF(LEFT(Cockpit!$I$5,1)="B",AP598,MAX(AP598,G598))))</f>
        <v>30</v>
      </c>
      <c r="AM598" s="57" t="n">
        <f aca="false">IF(BR598=1,0,ROUNDUP(AL598/BQ598,0))</f>
        <v>1</v>
      </c>
      <c r="AN598" s="59" t="n">
        <f aca="false">IF(CD598&gt;0,CD598*MAX(1,AL598/V598),IF(BR598=1,IF(AL598&lt;=0,0,BS598*MAX(1,IF(G598&gt;0,AL598/G598,1))),IF(Q598&gt;0,AM598/Q598,0))/MAX(0.1,N(Parameter!$M$21)))</f>
        <v>0.00241545893719807</v>
      </c>
      <c r="AO598" s="57" t="n">
        <f aca="false">AL598*F598</f>
        <v>11.1</v>
      </c>
      <c r="AP598" s="57" t="n">
        <f aca="false">ROUNDUP(MAX(I598/IF(BV598&gt;0,BV598,MAX(0.1,N(Cockpit!$I$6))),BY598)/BQ598,0)*BQ598</f>
        <v>30</v>
      </c>
      <c r="AQ598" s="58" t="n">
        <f aca="false">IF(AN598&gt;0,I598/AN598,-1)</f>
        <v>8280</v>
      </c>
      <c r="AR598" s="58" t="n">
        <f aca="false">IF(AND(OR(BU598="L1",BU598="L23"),AN598&gt;0),SUMIFS($AN$7:$AN$1576,$BU$7:$BU$1576,BU598,$AQ$7:$AQ$1576,"&gt;"&amp;AQ598)+SUMIFS($AN$7:$AN$1576,$BU$7:$BU$1576,BU598,$AQ$7:$AQ$1576,AQ598,$BO$7:$BO$1576,"&lt;="&amp;BO598),"")</f>
        <v>7.99283199891896</v>
      </c>
      <c r="AS598" s="65" t="n">
        <f aca="false">IF(AR598="",0,MAX(0,MIN(1,(IF(BU598="L1",Parameter!$E$5,Parameter!$E$6+Parameter!$E$7)-(AR598-AN598))/AN598)))</f>
        <v>1</v>
      </c>
      <c r="AT598" s="57" t="n">
        <f aca="false">IF(LEFT(Cockpit!$O$5,1)="A",G598,IF(BW598=1,BX598,IF(LEFT(Cockpit!$O$5,1)="B",AX598,MAX(AX598,G598))))</f>
        <v>30</v>
      </c>
      <c r="AU598" s="57" t="n">
        <f aca="false">IF(BR598=1,0,ROUNDUP(AT598/BQ598,0))</f>
        <v>1</v>
      </c>
      <c r="AV598" s="59" t="n">
        <f aca="false">IF(CD598&gt;0,CD598*MAX(1,AT598/V598),IF(BR598=1,IF(AT598&lt;=0,0,BS598*MAX(1,IF(G598&gt;0,AT598/G598,1))),IF(Q598&gt;0,AU598/Q598,0))/MAX(0.1,N(Parameter!$M$21)))</f>
        <v>0.00241545893719807</v>
      </c>
      <c r="AW598" s="57" t="n">
        <f aca="false">AT598*F598</f>
        <v>11.1</v>
      </c>
      <c r="AX598" s="57" t="n">
        <f aca="false">ROUNDUP(MAX(I598/IF(BV598&gt;0,BV598,MAX(0.1,N(Cockpit!$O$6))),BY598)/BQ598,0)*BQ598</f>
        <v>30</v>
      </c>
      <c r="AY598" s="58" t="n">
        <f aca="false">IF(AV598&gt;0,I598/AV598,-1)</f>
        <v>8280</v>
      </c>
      <c r="AZ598" s="58" t="n">
        <f aca="false">IF(AND(OR(BU598="L1",BU598="L23"),AV598&gt;0),SUMIFS($AV$7:$AV$1576,$BU$7:$BU$1576,BU598,$AY$7:$AY$1576,"&gt;"&amp;AY598)+SUMIFS($AV$7:$AV$1576,$BU$7:$BU$1576,BU598,$AY$7:$AY$1576,AY598,$BO$7:$BO$1576,"&lt;="&amp;BO598),"")</f>
        <v>8.00856626465322</v>
      </c>
      <c r="BA598" s="65" t="n">
        <f aca="false">IF(AZ598="",0,MAX(0,MIN(1,(IF(BU598="L1",Parameter!$E$5,Parameter!$E$6+Parameter!$E$7)-(AZ598-AV598))/AV598)))</f>
        <v>1</v>
      </c>
      <c r="BB598" s="55" t="str">
        <f aca="false">IF(AF598&lt;=0,"",IF(BU598="Aussen","Aussenlager",IF(BU598="-","Nicht im Lift",IF(AK598&gt;=1,"Lift",IF(AK598&lt;=0,"Aussenlager","teilweise")))))</f>
        <v>Lift</v>
      </c>
      <c r="BC598" s="55" t="str">
        <f aca="false">IF(AN598&lt;=0,"",IF(BU598="Aussen","Aussenlager",IF(BU598="-","Nicht im Lift",IF(AS598&gt;=1,"Lift",IF(AS598&lt;=0,"Aussenlager","teilweise")))))</f>
        <v>Lift</v>
      </c>
      <c r="BD598" s="55" t="str">
        <f aca="false">IF(AV598&lt;=0,"",IF(BU598="Aussen","Aussenlager",IF(BU598="-","Nicht im Lift",IF(BA598&gt;=1,"Lift",IF(BA598&lt;=0,"Aussenlager","teilweise")))))</f>
        <v>Lift</v>
      </c>
      <c r="BE598" s="55" t="str">
        <f aca="false">IF(A598="","",IF(BN598=1,"Neu; ","")&amp;IF(AND(BN598=0,BI598&lt;0),"negativer Bestand (Export "&amp;BI598&amp;"); ","")&amp;IF(I598&lt;=0,"Kein Verbrauch; ","")&amp;IF(CD598&gt;0,"Lift "&amp;U598&amp;" lt. Liftbericht (Fach "&amp;V598&amp;" Stk); ",IF(BR598=1,"Lose – Fläche geschätzt; ",""))&amp;IF(G598&gt;AP598,"Überbestand "&amp;ROUND(G598-AP598,0)&amp;" Stk / CHF "&amp;ROUND((G598-AP598)*F598,0)&amp;"; ","")&amp;IF(AND(BW598=1,BX598&lt;BY598),"MAX &lt; MB+LG; ","")&amp;IF(AND(CC598&gt;0,CB598*10&gt;CC598),"zu hoch für Tablar; ","")&amp;IF(AND(BN598=0,OR(BW598=1,Y598&lt;&gt;"",S598&lt;&gt;"",T598&lt;&gt;"",Z598&lt;&gt;"")),"manuell übersteuert; ","")&amp;IF(AND(BR598=0,Q598=0),"Gebinde unbekannt / Stellmass fehlt; ","")&amp;IF(AND(BR598=0,N(T598)&lt;=0,N(P598)&lt;=0),"Menge pro Gebinde fehlt (Ist = 1 Gebinde); ","")&amp;BM598)</f>
        <v/>
      </c>
      <c r="BF598" s="55"/>
      <c r="BG598" s="55"/>
      <c r="BH598" s="62"/>
      <c r="BI598" s="57" t="n">
        <v>18</v>
      </c>
      <c r="BJ598" s="57" t="n">
        <v>0</v>
      </c>
      <c r="BK598" s="56" t="n">
        <v>6.66</v>
      </c>
      <c r="BL598" s="57" t="n">
        <v>20</v>
      </c>
      <c r="BM598" s="55"/>
      <c r="BN598" s="60" t="n">
        <v>0</v>
      </c>
      <c r="BO598" s="60" t="n">
        <v>598</v>
      </c>
      <c r="BP598" s="55" t="str">
        <f aca="false">IF(S598&lt;&gt;"",UPPER(TRIM(S598)),IF(O598="","LOSE",O598))</f>
        <v>S21</v>
      </c>
      <c r="BQ598" s="57" t="n">
        <f aca="false">IF(BP598="LOSE",1,IF(N(T598)&gt;0,T598,IF(N(P598)&gt;0,P598,MAX(1,G598))))</f>
        <v>30</v>
      </c>
      <c r="BR598" s="60" t="n">
        <f aca="false">IF(BP598="LOSE",1,0)</f>
        <v>0</v>
      </c>
      <c r="BS598" s="59" t="n">
        <f aca="false">IF(BR598=0,0,IF(N(R598)&gt;0,R598,IFERROR(VLOOKUP(D598,Parameter!$A$35:$C$64,3,0)+0,0)))</f>
        <v>0</v>
      </c>
      <c r="BT598" s="55" t="n">
        <f aca="false">IF(Y598&lt;&gt;"",Y598,X598)</f>
        <v>3</v>
      </c>
      <c r="BU598" s="55" t="str">
        <f aca="false">IF(BT598=1,"L1",IF(OR(BT598=2,BT598=3),"L23",IF(BT598="Aussen","Aussen","-")))</f>
        <v>L23</v>
      </c>
      <c r="BV598" s="66" t="n">
        <f aca="false">IF(N(Z598)&gt;0,Z598,0)</f>
        <v>0</v>
      </c>
      <c r="BW598" s="60" t="n">
        <f aca="false">IF(ISNUMBER(AC598),1,0)</f>
        <v>0</v>
      </c>
      <c r="BX598" s="57" t="n">
        <f aca="false">N(AC598)</f>
        <v>0</v>
      </c>
      <c r="BY598" s="57" t="n">
        <f aca="false">N(L598)+N(M598)</f>
        <v>21</v>
      </c>
      <c r="BZ598" s="57" t="n">
        <f aca="false">ROUNDUP(G598/BQ598,0)</f>
        <v>1</v>
      </c>
      <c r="CA598" s="57" t="n">
        <f aca="false">ROUNDUP(BX598/BQ598,0)</f>
        <v>0</v>
      </c>
      <c r="CB598" s="60" t="n">
        <f aca="false">IF(BR598=1,0,IFERROR(VLOOKUP(BP598,'Gebinde-Kategorie'!$A$5:$M$45,5,0)+0,0))</f>
        <v>8</v>
      </c>
      <c r="CC598" s="60" t="n">
        <f aca="false">IFERROR(IF(OR(BT598=1,BT598=2,BT598=3),N(INDEX(Parameter!$I$5:$I$7,BT598)),0),0)</f>
        <v>0</v>
      </c>
      <c r="CD598" s="59" t="n">
        <f aca="false">IF(AND(Parameter!$B$21="Ja",ISNUMBER(U598),N(V598)&gt;0),IFERROR(N(INDEX(Parameter!$L$5:$L$7,U598))*INDEX(Parameter!$E$5:$E$7,U598)*V598/SUMIFS($V$7:$V$1576,$U$7:$U$1576,U598),0),0)</f>
        <v>0</v>
      </c>
    </row>
    <row r="599" customFormat="false" ht="15" hidden="false" customHeight="false" outlineLevel="0" collapsed="false">
      <c r="A599" s="55" t="s">
        <v>1231</v>
      </c>
      <c r="B599" s="55" t="s">
        <v>998</v>
      </c>
      <c r="C599" s="55" t="s">
        <v>160</v>
      </c>
      <c r="D599" s="55" t="s">
        <v>178</v>
      </c>
      <c r="E599" s="55" t="s">
        <v>210</v>
      </c>
      <c r="F599" s="56" t="n">
        <v>6.65</v>
      </c>
      <c r="G599" s="57" t="n">
        <f aca="false">MAX(0,IF(AND(Parameter!$B$21="Ja",ISNUMBER(W599)),W599,IF(Parameter!$B$20="Jahresanfang 2025 + Export",BJ599+BI599,BI599)))</f>
        <v>1</v>
      </c>
      <c r="H599" s="57" t="n">
        <f aca="false">G599*F599</f>
        <v>6.65</v>
      </c>
      <c r="I599" s="57" t="n">
        <f aca="false">BL599*Parameter!$B$18</f>
        <v>0</v>
      </c>
      <c r="J599" s="58" t="n">
        <v>50.5</v>
      </c>
      <c r="K599" s="59" t="n">
        <v>0</v>
      </c>
      <c r="L599" s="57" t="n">
        <v>0</v>
      </c>
      <c r="M599" s="57" t="n">
        <v>1</v>
      </c>
      <c r="N599" s="60" t="n">
        <v>70</v>
      </c>
      <c r="O599" s="55" t="s">
        <v>465</v>
      </c>
      <c r="P599" s="57" t="n">
        <v>55</v>
      </c>
      <c r="Q599" s="60" t="n">
        <f aca="false">IF(BR599=1,0,IFERROR(VLOOKUP(BP599,'Gebinde-Kategorie'!$A$5:$M$45,13,0)+0,0))</f>
        <v>66</v>
      </c>
      <c r="R599" s="61"/>
      <c r="S599" s="62"/>
      <c r="T599" s="62"/>
      <c r="U599" s="55"/>
      <c r="V599" s="57"/>
      <c r="W599" s="57"/>
      <c r="X599" s="55" t="n">
        <f aca="false">IF(A599="","",IF(AND(Parameter!$B$21="Ja",ISNUMBER(U599)),U599,IF(IFERROR(VLOOKUP(D599,Parameter!$A$35:$C$64,2,0),"Nein")="2+3",IF(ISNUMBER(SEARCH("grosser Artikel",BM599)),2,IFERROR(VLOOKUP(BP599,Parameter!$F$35:$G$64,2,0),2)),IF(OR(IFERROR(VLOOKUP(D599,Parameter!$A$35:$C$64,2,0),"Nein")="Nein",IFERROR(VLOOKUP(D599,Parameter!$A$35:$C$64,2,0),"Nein")=""),"-",VLOOKUP(D599,Parameter!$A$35:$C$64,2,0)))))</f>
        <v>3</v>
      </c>
      <c r="Y599" s="62"/>
      <c r="Z599" s="63"/>
      <c r="AA599" s="57" t="n">
        <f aca="false">AP599</f>
        <v>55</v>
      </c>
      <c r="AB599" s="57" t="n">
        <f aca="false">MAX(AP599,G599)</f>
        <v>55</v>
      </c>
      <c r="AC599" s="64"/>
      <c r="AD599" s="57" t="n">
        <f aca="false">IF(LEFT(Cockpit!$C$5,1)="A",G599,IF(BW599=1,BX599,IF(LEFT(Cockpit!$C$5,1)="B",AH599,MAX(AH599,G599))))</f>
        <v>1</v>
      </c>
      <c r="AE599" s="57" t="n">
        <f aca="false">IF(BR599=1,0,ROUNDUP(AD599/BQ599,0))</f>
        <v>1</v>
      </c>
      <c r="AF599" s="59" t="n">
        <f aca="false">IF(CD599&gt;0,CD599*MAX(1,AD599/V599),IF(BR599=1,IF(AD599&lt;=0,0,BS599*MAX(1,IF(G599&gt;0,AD599/G599,1))),IF(Q599&gt;0,AE599/Q599,0))/MAX(0.1,N(Parameter!$M$21)))</f>
        <v>0.0151515151515152</v>
      </c>
      <c r="AG599" s="57" t="n">
        <f aca="false">AD599*F599</f>
        <v>6.65</v>
      </c>
      <c r="AH599" s="57" t="n">
        <f aca="false">ROUNDUP(MAX(I599/IF(BV599&gt;0,BV599,MAX(0.1,N(Cockpit!$C$6))),BY599)/BQ599,0)*BQ599</f>
        <v>55</v>
      </c>
      <c r="AI599" s="58" t="n">
        <f aca="false">IF(AF599&gt;0,I599/AF599,-1)</f>
        <v>0</v>
      </c>
      <c r="AJ599" s="58" t="n">
        <f aca="false">IF(AND(OR(BU599="L1",BU599="L23"),AF599&gt;0),SUMIFS($AF$7:$AF$1576,$BU$7:$BU$1576,BU599,$AI$7:$AI$1576,"&gt;"&amp;AI599)+SUMIFS($AF$7:$AF$1576,$BU$7:$BU$1576,BU599,$AI$7:$AI$1576,AI599,$BO$7:$BO$1576,"&lt;="&amp;BO599),"")</f>
        <v>44.4998074389379</v>
      </c>
      <c r="AK599" s="65" t="n">
        <f aca="false">IF(AJ599="",0,MAX(0,MIN(1,(IF(BU599="L1",Parameter!$E$5,Parameter!$E$6+Parameter!$E$7)-(AJ599-AF599))/AF599)))</f>
        <v>1</v>
      </c>
      <c r="AL599" s="57" t="n">
        <f aca="false">IF(LEFT(Cockpit!$I$5,1)="A",G599,IF(BW599=1,BX599,IF(LEFT(Cockpit!$I$5,1)="B",AP599,MAX(AP599,G599))))</f>
        <v>55</v>
      </c>
      <c r="AM599" s="57" t="n">
        <f aca="false">IF(BR599=1,0,ROUNDUP(AL599/BQ599,0))</f>
        <v>1</v>
      </c>
      <c r="AN599" s="59" t="n">
        <f aca="false">IF(CD599&gt;0,CD599*MAX(1,AL599/V599),IF(BR599=1,IF(AL599&lt;=0,0,BS599*MAX(1,IF(G599&gt;0,AL599/G599,1))),IF(Q599&gt;0,AM599/Q599,0))/MAX(0.1,N(Parameter!$M$21)))</f>
        <v>0.0151515151515152</v>
      </c>
      <c r="AO599" s="57" t="n">
        <f aca="false">AL599*F599</f>
        <v>365.75</v>
      </c>
      <c r="AP599" s="57" t="n">
        <f aca="false">ROUNDUP(MAX(I599/IF(BV599&gt;0,BV599,MAX(0.1,N(Cockpit!$I$6))),BY599)/BQ599,0)*BQ599</f>
        <v>55</v>
      </c>
      <c r="AQ599" s="58" t="n">
        <f aca="false">IF(AN599&gt;0,I599/AN599,-1)</f>
        <v>0</v>
      </c>
      <c r="AR599" s="58" t="n">
        <f aca="false">IF(AND(OR(BU599="L1",BU599="L23"),AN599&gt;0),SUMIFS($AN$7:$AN$1576,$BU$7:$BU$1576,BU599,$AQ$7:$AQ$1576,"&gt;"&amp;AQ599)+SUMIFS($AN$7:$AN$1576,$BU$7:$BU$1576,BU599,$AQ$7:$AQ$1576,AQ599,$BO$7:$BO$1576,"&lt;="&amp;BO599),"")</f>
        <v>127.496593557456</v>
      </c>
      <c r="AS599" s="65" t="n">
        <f aca="false">IF(AR599="",0,MAX(0,MIN(1,(IF(BU599="L1",Parameter!$E$5,Parameter!$E$6+Parameter!$E$7)-(AR599-AN599))/AN599)))</f>
        <v>0</v>
      </c>
      <c r="AT599" s="57" t="n">
        <f aca="false">IF(LEFT(Cockpit!$O$5,1)="A",G599,IF(BW599=1,BX599,IF(LEFT(Cockpit!$O$5,1)="B",AX599,MAX(AX599,G599))))</f>
        <v>55</v>
      </c>
      <c r="AU599" s="57" t="n">
        <f aca="false">IF(BR599=1,0,ROUNDUP(AT599/BQ599,0))</f>
        <v>1</v>
      </c>
      <c r="AV599" s="59" t="n">
        <f aca="false">IF(CD599&gt;0,CD599*MAX(1,AT599/V599),IF(BR599=1,IF(AT599&lt;=0,0,BS599*MAX(1,IF(G599&gt;0,AT599/G599,1))),IF(Q599&gt;0,AU599/Q599,0))/MAX(0.1,N(Parameter!$M$21)))</f>
        <v>0.0151515151515152</v>
      </c>
      <c r="AW599" s="57" t="n">
        <f aca="false">AT599*F599</f>
        <v>365.75</v>
      </c>
      <c r="AX599" s="57" t="n">
        <f aca="false">ROUNDUP(MAX(I599/IF(BV599&gt;0,BV599,MAX(0.1,N(Cockpit!$O$6))),BY599)/BQ599,0)*BQ599</f>
        <v>55</v>
      </c>
      <c r="AY599" s="58" t="n">
        <f aca="false">IF(AV599&gt;0,I599/AV599,-1)</f>
        <v>0</v>
      </c>
      <c r="AZ599" s="58" t="n">
        <f aca="false">IF(AND(OR(BU599="L1",BU599="L23"),AV599&gt;0),SUMIFS($AV$7:$AV$1576,$BU$7:$BU$1576,BU599,$AY$7:$AY$1576,"&gt;"&amp;AY599)+SUMIFS($AV$7:$AV$1576,$BU$7:$BU$1576,BU599,$AY$7:$AY$1576,AY599,$BO$7:$BO$1576,"&lt;="&amp;BO599),"")</f>
        <v>117.556144007007</v>
      </c>
      <c r="BA599" s="65" t="n">
        <f aca="false">IF(AZ599="",0,MAX(0,MIN(1,(IF(BU599="L1",Parameter!$E$5,Parameter!$E$6+Parameter!$E$7)-(AZ599-AV599))/AV599)))</f>
        <v>0</v>
      </c>
      <c r="BB599" s="55" t="str">
        <f aca="false">IF(AF599&lt;=0,"",IF(BU599="Aussen","Aussenlager",IF(BU599="-","Nicht im Lift",IF(AK599&gt;=1,"Lift",IF(AK599&lt;=0,"Aussenlager","teilweise")))))</f>
        <v>Lift</v>
      </c>
      <c r="BC599" s="55" t="str">
        <f aca="false">IF(AN599&lt;=0,"",IF(BU599="Aussen","Aussenlager",IF(BU599="-","Nicht im Lift",IF(AS599&gt;=1,"Lift",IF(AS599&lt;=0,"Aussenlager","teilweise")))))</f>
        <v>Aussenlager</v>
      </c>
      <c r="BD599" s="55" t="str">
        <f aca="false">IF(AV599&lt;=0,"",IF(BU599="Aussen","Aussenlager",IF(BU599="-","Nicht im Lift",IF(BA599&gt;=1,"Lift",IF(BA599&lt;=0,"Aussenlager","teilweise")))))</f>
        <v>Aussenlager</v>
      </c>
      <c r="BE599" s="55" t="str">
        <f aca="false">IF(A599="","",IF(BN599=1,"Neu; ","")&amp;IF(AND(BN599=0,BI599&lt;0),"negativer Bestand (Export "&amp;BI599&amp;"); ","")&amp;IF(I599&lt;=0,"Kein Verbrauch; ","")&amp;IF(CD599&gt;0,"Lift "&amp;U599&amp;" lt. Liftbericht (Fach "&amp;V599&amp;" Stk); ",IF(BR599=1,"Lose – Fläche geschätzt; ",""))&amp;IF(G599&gt;AP599,"Überbestand "&amp;ROUND(G599-AP599,0)&amp;" Stk / CHF "&amp;ROUND((G599-AP599)*F599,0)&amp;"; ","")&amp;IF(AND(BW599=1,BX599&lt;BY599),"MAX &lt; MB+LG; ","")&amp;IF(AND(CC599&gt;0,CB599*10&gt;CC599),"zu hoch für Tablar; ","")&amp;IF(AND(BN599=0,OR(BW599=1,Y599&lt;&gt;"",S599&lt;&gt;"",T599&lt;&gt;"",Z599&lt;&gt;"")),"manuell übersteuert; ","")&amp;IF(AND(BR599=0,Q599=0),"Gebinde unbekannt / Stellmass fehlt; ","")&amp;IF(AND(BR599=0,N(T599)&lt;=0,N(P599)&lt;=0),"Menge pro Gebinde fehlt (Ist = 1 Gebinde); ","")&amp;BM599)</f>
        <v>Kein Verbrauch; </v>
      </c>
      <c r="BF599" s="55"/>
      <c r="BG599" s="55"/>
      <c r="BH599" s="62"/>
      <c r="BI599" s="57" t="n">
        <v>1</v>
      </c>
      <c r="BJ599" s="57" t="n">
        <v>50</v>
      </c>
      <c r="BK599" s="56" t="n">
        <v>6.65</v>
      </c>
      <c r="BL599" s="57" t="n">
        <v>0</v>
      </c>
      <c r="BM599" s="55"/>
      <c r="BN599" s="60" t="n">
        <v>0</v>
      </c>
      <c r="BO599" s="60" t="n">
        <v>599</v>
      </c>
      <c r="BP599" s="55" t="str">
        <f aca="false">IF(S599&lt;&gt;"",UPPER(TRIM(S599)),IF(O599="","LOSE",O599))</f>
        <v>S33</v>
      </c>
      <c r="BQ599" s="57" t="n">
        <f aca="false">IF(BP599="LOSE",1,IF(N(T599)&gt;0,T599,IF(N(P599)&gt;0,P599,MAX(1,G599))))</f>
        <v>55</v>
      </c>
      <c r="BR599" s="60" t="n">
        <f aca="false">IF(BP599="LOSE",1,0)</f>
        <v>0</v>
      </c>
      <c r="BS599" s="59" t="n">
        <f aca="false">IF(BR599=0,0,IF(N(R599)&gt;0,R599,IFERROR(VLOOKUP(D599,Parameter!$A$35:$C$64,3,0)+0,0)))</f>
        <v>0</v>
      </c>
      <c r="BT599" s="55" t="n">
        <f aca="false">IF(Y599&lt;&gt;"",Y599,X599)</f>
        <v>3</v>
      </c>
      <c r="BU599" s="55" t="str">
        <f aca="false">IF(BT599=1,"L1",IF(OR(BT599=2,BT599=3),"L23",IF(BT599="Aussen","Aussen","-")))</f>
        <v>L23</v>
      </c>
      <c r="BV599" s="66" t="n">
        <f aca="false">IF(N(Z599)&gt;0,Z599,0)</f>
        <v>0</v>
      </c>
      <c r="BW599" s="60" t="n">
        <f aca="false">IF(ISNUMBER(AC599),1,0)</f>
        <v>0</v>
      </c>
      <c r="BX599" s="57" t="n">
        <f aca="false">N(AC599)</f>
        <v>0</v>
      </c>
      <c r="BY599" s="57" t="n">
        <f aca="false">N(L599)+N(M599)</f>
        <v>1</v>
      </c>
      <c r="BZ599" s="57" t="n">
        <f aca="false">ROUNDUP(G599/BQ599,0)</f>
        <v>1</v>
      </c>
      <c r="CA599" s="57" t="n">
        <f aca="false">ROUNDUP(BX599/BQ599,0)</f>
        <v>0</v>
      </c>
      <c r="CB599" s="60" t="n">
        <f aca="false">IF(BR599=1,0,IFERROR(VLOOKUP(BP599,'Gebinde-Kategorie'!$A$5:$M$45,5,0)+0,0))</f>
        <v>8</v>
      </c>
      <c r="CC599" s="60" t="n">
        <f aca="false">IFERROR(IF(OR(BT599=1,BT599=2,BT599=3),N(INDEX(Parameter!$I$5:$I$7,BT599)),0),0)</f>
        <v>0</v>
      </c>
      <c r="CD599" s="59" t="n">
        <f aca="false">IF(AND(Parameter!$B$21="Ja",ISNUMBER(U599),N(V599)&gt;0),IFERROR(N(INDEX(Parameter!$L$5:$L$7,U599))*INDEX(Parameter!$E$5:$E$7,U599)*V599/SUMIFS($V$7:$V$1576,$U$7:$U$1576,U599),0),0)</f>
        <v>0</v>
      </c>
    </row>
    <row r="600" customFormat="false" ht="15" hidden="false" customHeight="false" outlineLevel="0" collapsed="false">
      <c r="A600" s="55" t="s">
        <v>1232</v>
      </c>
      <c r="B600" s="55" t="s">
        <v>1233</v>
      </c>
      <c r="C600" s="55" t="s">
        <v>160</v>
      </c>
      <c r="D600" s="55" t="s">
        <v>178</v>
      </c>
      <c r="E600" s="55" t="s">
        <v>210</v>
      </c>
      <c r="F600" s="56" t="n">
        <v>0.14</v>
      </c>
      <c r="G600" s="57" t="n">
        <f aca="false">MAX(0,IF(AND(Parameter!$B$21="Ja",ISNUMBER(W600)),W600,IF(Parameter!$B$20="Jahresanfang 2025 + Export",BJ600+BI600,BI600)))</f>
        <v>50</v>
      </c>
      <c r="H600" s="57" t="n">
        <f aca="false">G600*F600</f>
        <v>7</v>
      </c>
      <c r="I600" s="57" t="n">
        <f aca="false">BL600*Parameter!$B$18</f>
        <v>51</v>
      </c>
      <c r="J600" s="58" t="n">
        <v>200</v>
      </c>
      <c r="K600" s="59" t="n">
        <v>0.255</v>
      </c>
      <c r="L600" s="57" t="n">
        <v>2</v>
      </c>
      <c r="M600" s="57" t="n">
        <v>500</v>
      </c>
      <c r="N600" s="60" t="n">
        <v>21</v>
      </c>
      <c r="O600" s="55" t="s">
        <v>293</v>
      </c>
      <c r="P600" s="57" t="n">
        <v>600</v>
      </c>
      <c r="Q600" s="60" t="n">
        <f aca="false">IF(BR600=1,0,IFERROR(VLOOKUP(BP600,'Gebinde-Kategorie'!$A$5:$M$45,13,0)+0,0))</f>
        <v>26</v>
      </c>
      <c r="R600" s="61"/>
      <c r="S600" s="62"/>
      <c r="T600" s="62"/>
      <c r="U600" s="55"/>
      <c r="V600" s="57"/>
      <c r="W600" s="57"/>
      <c r="X600" s="55" t="n">
        <f aca="false">IF(A600="","",IF(AND(Parameter!$B$21="Ja",ISNUMBER(U600)),U600,IF(IFERROR(VLOOKUP(D600,Parameter!$A$35:$C$64,2,0),"Nein")="2+3",IF(ISNUMBER(SEARCH("grosser Artikel",BM600)),2,IFERROR(VLOOKUP(BP600,Parameter!$F$35:$G$64,2,0),2)),IF(OR(IFERROR(VLOOKUP(D600,Parameter!$A$35:$C$64,2,0),"Nein")="Nein",IFERROR(VLOOKUP(D600,Parameter!$A$35:$C$64,2,0),"Nein")=""),"-",VLOOKUP(D600,Parameter!$A$35:$C$64,2,0)))))</f>
        <v>3</v>
      </c>
      <c r="Y600" s="62"/>
      <c r="Z600" s="63"/>
      <c r="AA600" s="57" t="n">
        <f aca="false">AP600</f>
        <v>600</v>
      </c>
      <c r="AB600" s="57" t="n">
        <f aca="false">MAX(AP600,G600)</f>
        <v>600</v>
      </c>
      <c r="AC600" s="64"/>
      <c r="AD600" s="57" t="n">
        <f aca="false">IF(LEFT(Cockpit!$C$5,1)="A",G600,IF(BW600=1,BX600,IF(LEFT(Cockpit!$C$5,1)="B",AH600,MAX(AH600,G600))))</f>
        <v>50</v>
      </c>
      <c r="AE600" s="57" t="n">
        <f aca="false">IF(BR600=1,0,ROUNDUP(AD600/BQ600,0))</f>
        <v>1</v>
      </c>
      <c r="AF600" s="59" t="n">
        <f aca="false">IF(CD600&gt;0,CD600*MAX(1,AD600/V600),IF(BR600=1,IF(AD600&lt;=0,0,BS600*MAX(1,IF(G600&gt;0,AD600/G600,1))),IF(Q600&gt;0,AE600/Q600,0))/MAX(0.1,N(Parameter!$M$21)))</f>
        <v>0.0384615384615385</v>
      </c>
      <c r="AG600" s="57" t="n">
        <f aca="false">AD600*F600</f>
        <v>7</v>
      </c>
      <c r="AH600" s="57" t="n">
        <f aca="false">ROUNDUP(MAX(I600/IF(BV600&gt;0,BV600,MAX(0.1,N(Cockpit!$C$6))),BY600)/BQ600,0)*BQ600</f>
        <v>600</v>
      </c>
      <c r="AI600" s="58" t="n">
        <f aca="false">IF(AF600&gt;0,I600/AF600,-1)</f>
        <v>1326</v>
      </c>
      <c r="AJ600" s="58" t="n">
        <f aca="false">IF(AND(OR(BU600="L1",BU600="L23"),AF600&gt;0),SUMIFS($AF$7:$AF$1576,$BU$7:$BU$1576,BU600,$AI$7:$AI$1576,"&gt;"&amp;AI600)+SUMIFS($AF$7:$AF$1576,$BU$7:$BU$1576,BU600,$AI$7:$AI$1576,AI600,$BO$7:$BO$1576,"&lt;="&amp;BO600),"")</f>
        <v>8.23953548866592</v>
      </c>
      <c r="AK600" s="65" t="n">
        <f aca="false">IF(AJ600="",0,MAX(0,MIN(1,(IF(BU600="L1",Parameter!$E$5,Parameter!$E$6+Parameter!$E$7)-(AJ600-AF600))/AF600)))</f>
        <v>1</v>
      </c>
      <c r="AL600" s="57" t="n">
        <f aca="false">IF(LEFT(Cockpit!$I$5,1)="A",G600,IF(BW600=1,BX600,IF(LEFT(Cockpit!$I$5,1)="B",AP600,MAX(AP600,G600))))</f>
        <v>600</v>
      </c>
      <c r="AM600" s="57" t="n">
        <f aca="false">IF(BR600=1,0,ROUNDUP(AL600/BQ600,0))</f>
        <v>1</v>
      </c>
      <c r="AN600" s="59" t="n">
        <f aca="false">IF(CD600&gt;0,CD600*MAX(1,AL600/V600),IF(BR600=1,IF(AL600&lt;=0,0,BS600*MAX(1,IF(G600&gt;0,AL600/G600,1))),IF(Q600&gt;0,AM600/Q600,0))/MAX(0.1,N(Parameter!$M$21)))</f>
        <v>0.0384615384615385</v>
      </c>
      <c r="AO600" s="57" t="n">
        <f aca="false">AL600*F600</f>
        <v>84</v>
      </c>
      <c r="AP600" s="57" t="n">
        <f aca="false">ROUNDUP(MAX(I600/IF(BV600&gt;0,BV600,MAX(0.1,N(Cockpit!$I$6))),BY600)/BQ600,0)*BQ600</f>
        <v>600</v>
      </c>
      <c r="AQ600" s="58" t="n">
        <f aca="false">IF(AN600&gt;0,I600/AN600,-1)</f>
        <v>1326</v>
      </c>
      <c r="AR600" s="58" t="n">
        <f aca="false">IF(AND(OR(BU600="L1",BU600="L23"),AN600&gt;0),SUMIFS($AN$7:$AN$1576,$BU$7:$BU$1576,BU600,$AQ$7:$AQ$1576,"&gt;"&amp;AQ600)+SUMIFS($AN$7:$AN$1576,$BU$7:$BU$1576,BU600,$AQ$7:$AQ$1576,AQ600,$BO$7:$BO$1576,"&lt;="&amp;BO600),"")</f>
        <v>20.1932437734723</v>
      </c>
      <c r="AS600" s="65" t="n">
        <f aca="false">IF(AR600="",0,MAX(0,MIN(1,(IF(BU600="L1",Parameter!$E$5,Parameter!$E$6+Parameter!$E$7)-(AR600-AN600))/AN600)))</f>
        <v>1</v>
      </c>
      <c r="AT600" s="57" t="n">
        <f aca="false">IF(LEFT(Cockpit!$O$5,1)="A",G600,IF(BW600=1,BX600,IF(LEFT(Cockpit!$O$5,1)="B",AX600,MAX(AX600,G600))))</f>
        <v>600</v>
      </c>
      <c r="AU600" s="57" t="n">
        <f aca="false">IF(BR600=1,0,ROUNDUP(AT600/BQ600,0))</f>
        <v>1</v>
      </c>
      <c r="AV600" s="59" t="n">
        <f aca="false">IF(CD600&gt;0,CD600*MAX(1,AT600/V600),IF(BR600=1,IF(AT600&lt;=0,0,BS600*MAX(1,IF(G600&gt;0,AT600/G600,1))),IF(Q600&gt;0,AU600/Q600,0))/MAX(0.1,N(Parameter!$M$21)))</f>
        <v>0.0384615384615385</v>
      </c>
      <c r="AW600" s="57" t="n">
        <f aca="false">AT600*F600</f>
        <v>84</v>
      </c>
      <c r="AX600" s="57" t="n">
        <f aca="false">ROUNDUP(MAX(I600/IF(BV600&gt;0,BV600,MAX(0.1,N(Cockpit!$O$6))),BY600)/BQ600,0)*BQ600</f>
        <v>600</v>
      </c>
      <c r="AY600" s="58" t="n">
        <f aca="false">IF(AV600&gt;0,I600/AV600,-1)</f>
        <v>1326</v>
      </c>
      <c r="AZ600" s="58" t="n">
        <f aca="false">IF(AND(OR(BU600="L1",BU600="L23"),AV600&gt;0),SUMIFS($AV$7:$AV$1576,$BU$7:$BU$1576,BU600,$AY$7:$AY$1576,"&gt;"&amp;AY600)+SUMIFS($AV$7:$AV$1576,$BU$7:$BU$1576,BU600,$AY$7:$AY$1576,AY600,$BO$7:$BO$1576,"&lt;="&amp;BO600),"")</f>
        <v>19.2538498340784</v>
      </c>
      <c r="BA600" s="65" t="n">
        <f aca="false">IF(AZ600="",0,MAX(0,MIN(1,(IF(BU600="L1",Parameter!$E$5,Parameter!$E$6+Parameter!$E$7)-(AZ600-AV600))/AV600)))</f>
        <v>1</v>
      </c>
      <c r="BB600" s="55" t="str">
        <f aca="false">IF(AF600&lt;=0,"",IF(BU600="Aussen","Aussenlager",IF(BU600="-","Nicht im Lift",IF(AK600&gt;=1,"Lift",IF(AK600&lt;=0,"Aussenlager","teilweise")))))</f>
        <v>Lift</v>
      </c>
      <c r="BC600" s="55" t="str">
        <f aca="false">IF(AN600&lt;=0,"",IF(BU600="Aussen","Aussenlager",IF(BU600="-","Nicht im Lift",IF(AS600&gt;=1,"Lift",IF(AS600&lt;=0,"Aussenlager","teilweise")))))</f>
        <v>Lift</v>
      </c>
      <c r="BD600" s="55" t="str">
        <f aca="false">IF(AV600&lt;=0,"",IF(BU600="Aussen","Aussenlager",IF(BU600="-","Nicht im Lift",IF(BA600&gt;=1,"Lift",IF(BA600&lt;=0,"Aussenlager","teilweise")))))</f>
        <v>Lift</v>
      </c>
      <c r="BE600" s="55" t="str">
        <f aca="false">IF(A600="","",IF(BN600=1,"Neu; ","")&amp;IF(AND(BN600=0,BI600&lt;0),"negativer Bestand (Export "&amp;BI600&amp;"); ","")&amp;IF(I600&lt;=0,"Kein Verbrauch; ","")&amp;IF(CD600&gt;0,"Lift "&amp;U600&amp;" lt. Liftbericht (Fach "&amp;V600&amp;" Stk); ",IF(BR600=1,"Lose – Fläche geschätzt; ",""))&amp;IF(G600&gt;AP600,"Überbestand "&amp;ROUND(G600-AP600,0)&amp;" Stk / CHF "&amp;ROUND((G600-AP600)*F600,0)&amp;"; ","")&amp;IF(AND(BW600=1,BX600&lt;BY600),"MAX &lt; MB+LG; ","")&amp;IF(AND(CC600&gt;0,CB600*10&gt;CC600),"zu hoch für Tablar; ","")&amp;IF(AND(BN600=0,OR(BW600=1,Y600&lt;&gt;"",S600&lt;&gt;"",T600&lt;&gt;"",Z600&lt;&gt;"")),"manuell übersteuert; ","")&amp;IF(AND(BR600=0,Q600=0),"Gebinde unbekannt / Stellmass fehlt; ","")&amp;IF(AND(BR600=0,N(T600)&lt;=0,N(P600)&lt;=0),"Menge pro Gebinde fehlt (Ist = 1 Gebinde); ","")&amp;BM600)</f>
        <v/>
      </c>
      <c r="BF600" s="55"/>
      <c r="BG600" s="55"/>
      <c r="BH600" s="62"/>
      <c r="BI600" s="57" t="n">
        <v>50</v>
      </c>
      <c r="BJ600" s="57" t="n">
        <v>100</v>
      </c>
      <c r="BK600" s="56" t="n">
        <v>5.99999999999999</v>
      </c>
      <c r="BL600" s="57" t="n">
        <v>51</v>
      </c>
      <c r="BM600" s="55"/>
      <c r="BN600" s="60" t="n">
        <v>0</v>
      </c>
      <c r="BO600" s="60" t="n">
        <v>600</v>
      </c>
      <c r="BP600" s="55" t="str">
        <f aca="false">IF(S600&lt;&gt;"",UPPER(TRIM(S600)),IF(O600="","LOSE",O600))</f>
        <v>S51</v>
      </c>
      <c r="BQ600" s="57" t="n">
        <f aca="false">IF(BP600="LOSE",1,IF(N(T600)&gt;0,T600,IF(N(P600)&gt;0,P600,MAX(1,G600))))</f>
        <v>600</v>
      </c>
      <c r="BR600" s="60" t="n">
        <f aca="false">IF(BP600="LOSE",1,0)</f>
        <v>0</v>
      </c>
      <c r="BS600" s="59" t="n">
        <f aca="false">IF(BR600=0,0,IF(N(R600)&gt;0,R600,IFERROR(VLOOKUP(D600,Parameter!$A$35:$C$64,3,0)+0,0)))</f>
        <v>0</v>
      </c>
      <c r="BT600" s="55" t="n">
        <f aca="false">IF(Y600&lt;&gt;"",Y600,X600)</f>
        <v>3</v>
      </c>
      <c r="BU600" s="55" t="str">
        <f aca="false">IF(BT600=1,"L1",IF(OR(BT600=2,BT600=3),"L23",IF(BT600="Aussen","Aussen","-")))</f>
        <v>L23</v>
      </c>
      <c r="BV600" s="66" t="n">
        <f aca="false">IF(N(Z600)&gt;0,Z600,0)</f>
        <v>0</v>
      </c>
      <c r="BW600" s="60" t="n">
        <f aca="false">IF(ISNUMBER(AC600),1,0)</f>
        <v>0</v>
      </c>
      <c r="BX600" s="57" t="n">
        <f aca="false">N(AC600)</f>
        <v>0</v>
      </c>
      <c r="BY600" s="57" t="n">
        <f aca="false">N(L600)+N(M600)</f>
        <v>502</v>
      </c>
      <c r="BZ600" s="57" t="n">
        <f aca="false">ROUNDUP(G600/BQ600,0)</f>
        <v>1</v>
      </c>
      <c r="CA600" s="57" t="n">
        <f aca="false">ROUNDUP(BX600/BQ600,0)</f>
        <v>0</v>
      </c>
      <c r="CB600" s="60" t="n">
        <f aca="false">IF(BR600=1,0,IFERROR(VLOOKUP(BP600,'Gebinde-Kategorie'!$A$5:$M$45,5,0)+0,0))</f>
        <v>11</v>
      </c>
      <c r="CC600" s="60" t="n">
        <f aca="false">IFERROR(IF(OR(BT600=1,BT600=2,BT600=3),N(INDEX(Parameter!$I$5:$I$7,BT600)),0),0)</f>
        <v>0</v>
      </c>
      <c r="CD600" s="59" t="n">
        <f aca="false">IF(AND(Parameter!$B$21="Ja",ISNUMBER(U600),N(V600)&gt;0),IFERROR(N(INDEX(Parameter!$L$5:$L$7,U600))*INDEX(Parameter!$E$5:$E$7,U600)*V600/SUMIFS($V$7:$V$1576,$U$7:$U$1576,U600),0),0)</f>
        <v>0</v>
      </c>
    </row>
    <row r="601" customFormat="false" ht="15" hidden="false" customHeight="false" outlineLevel="0" collapsed="false">
      <c r="A601" s="55" t="s">
        <v>1234</v>
      </c>
      <c r="B601" s="55" t="s">
        <v>1235</v>
      </c>
      <c r="C601" s="55" t="s">
        <v>160</v>
      </c>
      <c r="D601" s="55" t="s">
        <v>178</v>
      </c>
      <c r="E601" s="55" t="s">
        <v>210</v>
      </c>
      <c r="F601" s="56" t="n">
        <v>4.65</v>
      </c>
      <c r="G601" s="57" t="n">
        <f aca="false">MAX(0,IF(AND(Parameter!$B$21="Ja",ISNUMBER(W601)),W601,IF(Parameter!$B$20="Jahresanfang 2025 + Export",BJ601+BI601,BI601)))</f>
        <v>2</v>
      </c>
      <c r="H601" s="57" t="n">
        <f aca="false">G601*F601</f>
        <v>9.3</v>
      </c>
      <c r="I601" s="57" t="n">
        <f aca="false">BL601*Parameter!$B$18</f>
        <v>8</v>
      </c>
      <c r="J601" s="58" t="n">
        <v>11.5</v>
      </c>
      <c r="K601" s="59" t="n">
        <v>0.695652173913044</v>
      </c>
      <c r="L601" s="57" t="n">
        <v>0</v>
      </c>
      <c r="M601" s="57" t="n">
        <v>10</v>
      </c>
      <c r="N601" s="60" t="n">
        <v>14</v>
      </c>
      <c r="O601" s="55" t="s">
        <v>411</v>
      </c>
      <c r="P601" s="57" t="n">
        <v>7</v>
      </c>
      <c r="Q601" s="60" t="n">
        <f aca="false">IF(BR601=1,0,IFERROR(VLOOKUP(BP601,'Gebinde-Kategorie'!$A$5:$M$45,13,0)+0,0))</f>
        <v>132</v>
      </c>
      <c r="R601" s="61"/>
      <c r="S601" s="62"/>
      <c r="T601" s="62"/>
      <c r="U601" s="55"/>
      <c r="V601" s="57"/>
      <c r="W601" s="57"/>
      <c r="X601" s="55" t="n">
        <f aca="false">IF(A601="","",IF(AND(Parameter!$B$21="Ja",ISNUMBER(U601)),U601,IF(IFERROR(VLOOKUP(D601,Parameter!$A$35:$C$64,2,0),"Nein")="2+3",IF(ISNUMBER(SEARCH("grosser Artikel",BM601)),2,IFERROR(VLOOKUP(BP601,Parameter!$F$35:$G$64,2,0),2)),IF(OR(IFERROR(VLOOKUP(D601,Parameter!$A$35:$C$64,2,0),"Nein")="Nein",IFERROR(VLOOKUP(D601,Parameter!$A$35:$C$64,2,0),"Nein")=""),"-",VLOOKUP(D601,Parameter!$A$35:$C$64,2,0)))))</f>
        <v>3</v>
      </c>
      <c r="Y601" s="62"/>
      <c r="Z601" s="63"/>
      <c r="AA601" s="57" t="n">
        <f aca="false">AP601</f>
        <v>14</v>
      </c>
      <c r="AB601" s="57" t="n">
        <f aca="false">MAX(AP601,G601)</f>
        <v>14</v>
      </c>
      <c r="AC601" s="64"/>
      <c r="AD601" s="57" t="n">
        <f aca="false">IF(LEFT(Cockpit!$C$5,1)="A",G601,IF(BW601=1,BX601,IF(LEFT(Cockpit!$C$5,1)="B",AH601,MAX(AH601,G601))))</f>
        <v>2</v>
      </c>
      <c r="AE601" s="57" t="n">
        <f aca="false">IF(BR601=1,0,ROUNDUP(AD601/BQ601,0))</f>
        <v>1</v>
      </c>
      <c r="AF601" s="59" t="n">
        <f aca="false">IF(CD601&gt;0,CD601*MAX(1,AD601/V601),IF(BR601=1,IF(AD601&lt;=0,0,BS601*MAX(1,IF(G601&gt;0,AD601/G601,1))),IF(Q601&gt;0,AE601/Q601,0))/MAX(0.1,N(Parameter!$M$21)))</f>
        <v>0.00757575757575758</v>
      </c>
      <c r="AG601" s="57" t="n">
        <f aca="false">AD601*F601</f>
        <v>9.3</v>
      </c>
      <c r="AH601" s="57" t="n">
        <f aca="false">ROUNDUP(MAX(I601/IF(BV601&gt;0,BV601,MAX(0.1,N(Cockpit!$C$6))),BY601)/BQ601,0)*BQ601</f>
        <v>14</v>
      </c>
      <c r="AI601" s="58" t="n">
        <f aca="false">IF(AF601&gt;0,I601/AF601,-1)</f>
        <v>1056</v>
      </c>
      <c r="AJ601" s="58" t="n">
        <f aca="false">IF(AND(OR(BU601="L1",BU601="L23"),AF601&gt;0),SUMIFS($AF$7:$AF$1576,$BU$7:$BU$1576,BU601,$AI$7:$AI$1576,"&gt;"&amp;AI601)+SUMIFS($AF$7:$AF$1576,$BU$7:$BU$1576,BU601,$AI$7:$AI$1576,AI601,$BO$7:$BO$1576,"&lt;="&amp;BO601),"")</f>
        <v>8.9194111685416</v>
      </c>
      <c r="AK601" s="65" t="n">
        <f aca="false">IF(AJ601="",0,MAX(0,MIN(1,(IF(BU601="L1",Parameter!$E$5,Parameter!$E$6+Parameter!$E$7)-(AJ601-AF601))/AF601)))</f>
        <v>1</v>
      </c>
      <c r="AL601" s="57" t="n">
        <f aca="false">IF(LEFT(Cockpit!$I$5,1)="A",G601,IF(BW601=1,BX601,IF(LEFT(Cockpit!$I$5,1)="B",AP601,MAX(AP601,G601))))</f>
        <v>14</v>
      </c>
      <c r="AM601" s="57" t="n">
        <f aca="false">IF(BR601=1,0,ROUNDUP(AL601/BQ601,0))</f>
        <v>2</v>
      </c>
      <c r="AN601" s="59" t="n">
        <f aca="false">IF(CD601&gt;0,CD601*MAX(1,AL601/V601),IF(BR601=1,IF(AL601&lt;=0,0,BS601*MAX(1,IF(G601&gt;0,AL601/G601,1))),IF(Q601&gt;0,AM601/Q601,0))/MAX(0.1,N(Parameter!$M$21)))</f>
        <v>0.0151515151515152</v>
      </c>
      <c r="AO601" s="57" t="n">
        <f aca="false">AL601*F601</f>
        <v>65.1</v>
      </c>
      <c r="AP601" s="57" t="n">
        <f aca="false">ROUNDUP(MAX(I601/IF(BV601&gt;0,BV601,MAX(0.1,N(Cockpit!$I$6))),BY601)/BQ601,0)*BQ601</f>
        <v>14</v>
      </c>
      <c r="AQ601" s="58" t="n">
        <f aca="false">IF(AN601&gt;0,I601/AN601,-1)</f>
        <v>528</v>
      </c>
      <c r="AR601" s="58" t="n">
        <f aca="false">IF(AND(OR(BU601="L1",BU601="L23"),AN601&gt;0),SUMIFS($AN$7:$AN$1576,$BU$7:$BU$1576,BU601,$AQ$7:$AQ$1576,"&gt;"&amp;AQ601)+SUMIFS($AN$7:$AN$1576,$BU$7:$BU$1576,BU601,$AQ$7:$AQ$1576,AQ601,$BO$7:$BO$1576,"&lt;="&amp;BO601),"")</f>
        <v>32.8968355440206</v>
      </c>
      <c r="AS601" s="65" t="n">
        <f aca="false">IF(AR601="",0,MAX(0,MIN(1,(IF(BU601="L1",Parameter!$E$5,Parameter!$E$6+Parameter!$E$7)-(AR601-AN601))/AN601)))</f>
        <v>1</v>
      </c>
      <c r="AT601" s="57" t="n">
        <f aca="false">IF(LEFT(Cockpit!$O$5,1)="A",G601,IF(BW601=1,BX601,IF(LEFT(Cockpit!$O$5,1)="B",AX601,MAX(AX601,G601))))</f>
        <v>14</v>
      </c>
      <c r="AU601" s="57" t="n">
        <f aca="false">IF(BR601=1,0,ROUNDUP(AT601/BQ601,0))</f>
        <v>2</v>
      </c>
      <c r="AV601" s="59" t="n">
        <f aca="false">IF(CD601&gt;0,CD601*MAX(1,AT601/V601),IF(BR601=1,IF(AT601&lt;=0,0,BS601*MAX(1,IF(G601&gt;0,AT601/G601,1))),IF(Q601&gt;0,AU601/Q601,0))/MAX(0.1,N(Parameter!$M$21)))</f>
        <v>0.0151515151515152</v>
      </c>
      <c r="AW601" s="57" t="n">
        <f aca="false">AT601*F601</f>
        <v>65.1</v>
      </c>
      <c r="AX601" s="57" t="n">
        <f aca="false">ROUNDUP(MAX(I601/IF(BV601&gt;0,BV601,MAX(0.1,N(Cockpit!$O$6))),BY601)/BQ601,0)*BQ601</f>
        <v>14</v>
      </c>
      <c r="AY601" s="58" t="n">
        <f aca="false">IF(AV601&gt;0,I601/AV601,-1)</f>
        <v>528</v>
      </c>
      <c r="AZ601" s="58" t="n">
        <f aca="false">IF(AND(OR(BU601="L1",BU601="L23"),AV601&gt;0),SUMIFS($AV$7:$AV$1576,$BU$7:$BU$1576,BU601,$AY$7:$AY$1576,"&gt;"&amp;AY601)+SUMIFS($AV$7:$AV$1576,$BU$7:$BU$1576,BU601,$AY$7:$AY$1576,AY601,$BO$7:$BO$1576,"&lt;="&amp;BO601),"")</f>
        <v>30.9735221907073</v>
      </c>
      <c r="BA601" s="65" t="n">
        <f aca="false">IF(AZ601="",0,MAX(0,MIN(1,(IF(BU601="L1",Parameter!$E$5,Parameter!$E$6+Parameter!$E$7)-(AZ601-AV601))/AV601)))</f>
        <v>1</v>
      </c>
      <c r="BB601" s="55" t="str">
        <f aca="false">IF(AF601&lt;=0,"",IF(BU601="Aussen","Aussenlager",IF(BU601="-","Nicht im Lift",IF(AK601&gt;=1,"Lift",IF(AK601&lt;=0,"Aussenlager","teilweise")))))</f>
        <v>Lift</v>
      </c>
      <c r="BC601" s="55" t="str">
        <f aca="false">IF(AN601&lt;=0,"",IF(BU601="Aussen","Aussenlager",IF(BU601="-","Nicht im Lift",IF(AS601&gt;=1,"Lift",IF(AS601&lt;=0,"Aussenlager","teilweise")))))</f>
        <v>Lift</v>
      </c>
      <c r="BD601" s="55" t="str">
        <f aca="false">IF(AV601&lt;=0,"",IF(BU601="Aussen","Aussenlager",IF(BU601="-","Nicht im Lift",IF(BA601&gt;=1,"Lift",IF(BA601&lt;=0,"Aussenlager","teilweise")))))</f>
        <v>Lift</v>
      </c>
      <c r="BE601" s="55" t="str">
        <f aca="false">IF(A601="","",IF(BN601=1,"Neu; ","")&amp;IF(AND(BN601=0,BI601&lt;0),"negativer Bestand (Export "&amp;BI601&amp;"); ","")&amp;IF(I601&lt;=0,"Kein Verbrauch; ","")&amp;IF(CD601&gt;0,"Lift "&amp;U601&amp;" lt. Liftbericht (Fach "&amp;V601&amp;" Stk); ",IF(BR601=1,"Lose – Fläche geschätzt; ",""))&amp;IF(G601&gt;AP601,"Überbestand "&amp;ROUND(G601-AP601,0)&amp;" Stk / CHF "&amp;ROUND((G601-AP601)*F601,0)&amp;"; ","")&amp;IF(AND(BW601=1,BX601&lt;BY601),"MAX &lt; MB+LG; ","")&amp;IF(AND(CC601&gt;0,CB601*10&gt;CC601),"zu hoch für Tablar; ","")&amp;IF(AND(BN601=0,OR(BW601=1,Y601&lt;&gt;"",S601&lt;&gt;"",T601&lt;&gt;"",Z601&lt;&gt;"")),"manuell übersteuert; ","")&amp;IF(AND(BR601=0,Q601=0),"Gebinde unbekannt / Stellmass fehlt; ","")&amp;IF(AND(BR601=0,N(T601)&lt;=0,N(P601)&lt;=0),"Menge pro Gebinde fehlt (Ist = 1 Gebinde); ","")&amp;BM601)</f>
        <v/>
      </c>
      <c r="BF601" s="55"/>
      <c r="BG601" s="55"/>
      <c r="BH601" s="62"/>
      <c r="BI601" s="57" t="n">
        <v>2</v>
      </c>
      <c r="BJ601" s="57" t="n">
        <v>7</v>
      </c>
      <c r="BK601" s="56" t="n">
        <v>5.66</v>
      </c>
      <c r="BL601" s="57" t="n">
        <v>8</v>
      </c>
      <c r="BM601" s="55"/>
      <c r="BN601" s="60" t="n">
        <v>0</v>
      </c>
      <c r="BO601" s="60" t="n">
        <v>601</v>
      </c>
      <c r="BP601" s="55" t="str">
        <f aca="false">IF(S601&lt;&gt;"",UPPER(TRIM(S601)),IF(O601="","LOSE",O601))</f>
        <v>S32</v>
      </c>
      <c r="BQ601" s="57" t="n">
        <f aca="false">IF(BP601="LOSE",1,IF(N(T601)&gt;0,T601,IF(N(P601)&gt;0,P601,MAX(1,G601))))</f>
        <v>7</v>
      </c>
      <c r="BR601" s="60" t="n">
        <f aca="false">IF(BP601="LOSE",1,0)</f>
        <v>0</v>
      </c>
      <c r="BS601" s="59" t="n">
        <f aca="false">IF(BR601=0,0,IF(N(R601)&gt;0,R601,IFERROR(VLOOKUP(D601,Parameter!$A$35:$C$64,3,0)+0,0)))</f>
        <v>0</v>
      </c>
      <c r="BT601" s="55" t="n">
        <f aca="false">IF(Y601&lt;&gt;"",Y601,X601)</f>
        <v>3</v>
      </c>
      <c r="BU601" s="55" t="str">
        <f aca="false">IF(BT601=1,"L1",IF(OR(BT601=2,BT601=3),"L23",IF(BT601="Aussen","Aussen","-")))</f>
        <v>L23</v>
      </c>
      <c r="BV601" s="66" t="n">
        <f aca="false">IF(N(Z601)&gt;0,Z601,0)</f>
        <v>0</v>
      </c>
      <c r="BW601" s="60" t="n">
        <f aca="false">IF(ISNUMBER(AC601),1,0)</f>
        <v>0</v>
      </c>
      <c r="BX601" s="57" t="n">
        <f aca="false">N(AC601)</f>
        <v>0</v>
      </c>
      <c r="BY601" s="57" t="n">
        <f aca="false">N(L601)+N(M601)</f>
        <v>10</v>
      </c>
      <c r="BZ601" s="57" t="n">
        <f aca="false">ROUNDUP(G601/BQ601,0)</f>
        <v>1</v>
      </c>
      <c r="CA601" s="57" t="n">
        <f aca="false">ROUNDUP(BX601/BQ601,0)</f>
        <v>0</v>
      </c>
      <c r="CB601" s="60" t="n">
        <f aca="false">IF(BR601=1,0,IFERROR(VLOOKUP(BP601,'Gebinde-Kategorie'!$A$5:$M$45,5,0)+0,0))</f>
        <v>8</v>
      </c>
      <c r="CC601" s="60" t="n">
        <f aca="false">IFERROR(IF(OR(BT601=1,BT601=2,BT601=3),N(INDEX(Parameter!$I$5:$I$7,BT601)),0),0)</f>
        <v>0</v>
      </c>
      <c r="CD601" s="59" t="n">
        <f aca="false">IF(AND(Parameter!$B$21="Ja",ISNUMBER(U601),N(V601)&gt;0),IFERROR(N(INDEX(Parameter!$L$5:$L$7,U601))*INDEX(Parameter!$E$5:$E$7,U601)*V601/SUMIFS($V$7:$V$1576,$U$7:$U$1576,U601),0),0)</f>
        <v>0</v>
      </c>
    </row>
    <row r="602" customFormat="false" ht="15" hidden="false" customHeight="false" outlineLevel="0" collapsed="false">
      <c r="A602" s="55" t="s">
        <v>1236</v>
      </c>
      <c r="B602" s="55" t="s">
        <v>850</v>
      </c>
      <c r="C602" s="55" t="s">
        <v>160</v>
      </c>
      <c r="D602" s="55" t="s">
        <v>984</v>
      </c>
      <c r="E602" s="55" t="s">
        <v>210</v>
      </c>
      <c r="F602" s="56" t="n">
        <v>2.8</v>
      </c>
      <c r="G602" s="57" t="n">
        <f aca="false">MAX(0,IF(AND(Parameter!$B$21="Ja",ISNUMBER(W602)),W602,IF(Parameter!$B$20="Jahresanfang 2025 + Export",BJ602+BI602,BI602)))</f>
        <v>2</v>
      </c>
      <c r="H602" s="57" t="n">
        <f aca="false">G602*F602</f>
        <v>5.6</v>
      </c>
      <c r="I602" s="57" t="n">
        <f aca="false">BL602*Parameter!$B$18</f>
        <v>23</v>
      </c>
      <c r="J602" s="58" t="n">
        <v>1</v>
      </c>
      <c r="K602" s="59" t="n">
        <v>23</v>
      </c>
      <c r="L602" s="57" t="n">
        <v>0</v>
      </c>
      <c r="M602" s="57" t="n">
        <v>10</v>
      </c>
      <c r="N602" s="60" t="n">
        <v>14</v>
      </c>
      <c r="O602" s="55" t="s">
        <v>163</v>
      </c>
      <c r="P602" s="57"/>
      <c r="Q602" s="60" t="n">
        <f aca="false">IF(BR602=1,0,IFERROR(VLOOKUP(BP602,'Gebinde-Kategorie'!$A$5:$M$45,13,0)+0,0))</f>
        <v>0</v>
      </c>
      <c r="R602" s="61"/>
      <c r="S602" s="62"/>
      <c r="T602" s="62"/>
      <c r="U602" s="55"/>
      <c r="V602" s="57"/>
      <c r="W602" s="57"/>
      <c r="X602" s="55" t="str">
        <f aca="false">IF(A602="","",IF(AND(Parameter!$B$21="Ja",ISNUMBER(U602)),U602,IF(IFERROR(VLOOKUP(D602,Parameter!$A$35:$C$64,2,0),"Nein")="2+3",IF(ISNUMBER(SEARCH("grosser Artikel",BM602)),2,IFERROR(VLOOKUP(BP602,Parameter!$F$35:$G$64,2,0),2)),IF(OR(IFERROR(VLOOKUP(D602,Parameter!$A$35:$C$64,2,0),"Nein")="Nein",IFERROR(VLOOKUP(D602,Parameter!$A$35:$C$64,2,0),"Nein")=""),"-",VLOOKUP(D602,Parameter!$A$35:$C$64,2,0)))))</f>
        <v>-</v>
      </c>
      <c r="Y602" s="62"/>
      <c r="Z602" s="63"/>
      <c r="AA602" s="57" t="n">
        <f aca="false">AP602</f>
        <v>12</v>
      </c>
      <c r="AB602" s="57" t="n">
        <f aca="false">MAX(AP602,G602)</f>
        <v>12</v>
      </c>
      <c r="AC602" s="64"/>
      <c r="AD602" s="57" t="n">
        <f aca="false">IF(LEFT(Cockpit!$C$5,1)="A",G602,IF(BW602=1,BX602,IF(LEFT(Cockpit!$C$5,1)="B",AH602,MAX(AH602,G602))))</f>
        <v>2</v>
      </c>
      <c r="AE602" s="57" t="n">
        <f aca="false">IF(BR602=1,0,ROUNDUP(AD602/BQ602,0))</f>
        <v>0</v>
      </c>
      <c r="AF602" s="59" t="n">
        <f aca="false">IF(CD602&gt;0,CD602*MAX(1,AD602/V602),IF(BR602=1,IF(AD602&lt;=0,0,BS602*MAX(1,IF(G602&gt;0,AD602/G602,1))),IF(Q602&gt;0,AE602/Q602,0))/MAX(0.1,N(Parameter!$M$21)))</f>
        <v>0.15</v>
      </c>
      <c r="AG602" s="57" t="n">
        <f aca="false">AD602*F602</f>
        <v>5.6</v>
      </c>
      <c r="AH602" s="57" t="n">
        <f aca="false">ROUNDUP(MAX(I602/IF(BV602&gt;0,BV602,MAX(0.1,N(Cockpit!$C$6))),BY602)/BQ602,0)*BQ602</f>
        <v>12</v>
      </c>
      <c r="AI602" s="58" t="n">
        <f aca="false">IF(AF602&gt;0,I602/AF602,-1)</f>
        <v>153.333333333333</v>
      </c>
      <c r="AJ602" s="58" t="str">
        <f aca="false">IF(AND(OR(BU602="L1",BU602="L23"),AF602&gt;0),SUMIFS($AF$7:$AF$1576,$BU$7:$BU$1576,BU602,$AI$7:$AI$1576,"&gt;"&amp;AI602)+SUMIFS($AF$7:$AF$1576,$BU$7:$BU$1576,BU602,$AI$7:$AI$1576,AI602,$BO$7:$BO$1576,"&lt;="&amp;BO602),"")</f>
        <v/>
      </c>
      <c r="AK602" s="65" t="n">
        <f aca="false">IF(AJ602="",0,MAX(0,MIN(1,(IF(BU602="L1",Parameter!$E$5,Parameter!$E$6+Parameter!$E$7)-(AJ602-AF602))/AF602)))</f>
        <v>0</v>
      </c>
      <c r="AL602" s="57" t="n">
        <f aca="false">IF(LEFT(Cockpit!$I$5,1)="A",G602,IF(BW602=1,BX602,IF(LEFT(Cockpit!$I$5,1)="B",AP602,MAX(AP602,G602))))</f>
        <v>12</v>
      </c>
      <c r="AM602" s="57" t="n">
        <f aca="false">IF(BR602=1,0,ROUNDUP(AL602/BQ602,0))</f>
        <v>0</v>
      </c>
      <c r="AN602" s="59" t="n">
        <f aca="false">IF(CD602&gt;0,CD602*MAX(1,AL602/V602),IF(BR602=1,IF(AL602&lt;=0,0,BS602*MAX(1,IF(G602&gt;0,AL602/G602,1))),IF(Q602&gt;0,AM602/Q602,0))/MAX(0.1,N(Parameter!$M$21)))</f>
        <v>0.9</v>
      </c>
      <c r="AO602" s="57" t="n">
        <f aca="false">AL602*F602</f>
        <v>33.6</v>
      </c>
      <c r="AP602" s="57" t="n">
        <f aca="false">ROUNDUP(MAX(I602/IF(BV602&gt;0,BV602,MAX(0.1,N(Cockpit!$I$6))),BY602)/BQ602,0)*BQ602</f>
        <v>12</v>
      </c>
      <c r="AQ602" s="58" t="n">
        <f aca="false">IF(AN602&gt;0,I602/AN602,-1)</f>
        <v>25.5555555555556</v>
      </c>
      <c r="AR602" s="58" t="str">
        <f aca="false">IF(AND(OR(BU602="L1",BU602="L23"),AN602&gt;0),SUMIFS($AN$7:$AN$1576,$BU$7:$BU$1576,BU602,$AQ$7:$AQ$1576,"&gt;"&amp;AQ602)+SUMIFS($AN$7:$AN$1576,$BU$7:$BU$1576,BU602,$AQ$7:$AQ$1576,AQ602,$BO$7:$BO$1576,"&lt;="&amp;BO602),"")</f>
        <v/>
      </c>
      <c r="AS602" s="65" t="n">
        <f aca="false">IF(AR602="",0,MAX(0,MIN(1,(IF(BU602="L1",Parameter!$E$5,Parameter!$E$6+Parameter!$E$7)-(AR602-AN602))/AN602)))</f>
        <v>0</v>
      </c>
      <c r="AT602" s="57" t="n">
        <f aca="false">IF(LEFT(Cockpit!$O$5,1)="A",G602,IF(BW602=1,BX602,IF(LEFT(Cockpit!$O$5,1)="B",AX602,MAX(AX602,G602))))</f>
        <v>10</v>
      </c>
      <c r="AU602" s="57" t="n">
        <f aca="false">IF(BR602=1,0,ROUNDUP(AT602/BQ602,0))</f>
        <v>0</v>
      </c>
      <c r="AV602" s="59" t="n">
        <f aca="false">IF(CD602&gt;0,CD602*MAX(1,AT602/V602),IF(BR602=1,IF(AT602&lt;=0,0,BS602*MAX(1,IF(G602&gt;0,AT602/G602,1))),IF(Q602&gt;0,AU602/Q602,0))/MAX(0.1,N(Parameter!$M$21)))</f>
        <v>0.75</v>
      </c>
      <c r="AW602" s="57" t="n">
        <f aca="false">AT602*F602</f>
        <v>28</v>
      </c>
      <c r="AX602" s="57" t="n">
        <f aca="false">ROUNDUP(MAX(I602/IF(BV602&gt;0,BV602,MAX(0.1,N(Cockpit!$O$6))),BY602)/BQ602,0)*BQ602</f>
        <v>10</v>
      </c>
      <c r="AY602" s="58" t="n">
        <f aca="false">IF(AV602&gt;0,I602/AV602,-1)</f>
        <v>30.6666666666667</v>
      </c>
      <c r="AZ602" s="58" t="str">
        <f aca="false">IF(AND(OR(BU602="L1",BU602="L23"),AV602&gt;0),SUMIFS($AV$7:$AV$1576,$BU$7:$BU$1576,BU602,$AY$7:$AY$1576,"&gt;"&amp;AY602)+SUMIFS($AV$7:$AV$1576,$BU$7:$BU$1576,BU602,$AY$7:$AY$1576,AY602,$BO$7:$BO$1576,"&lt;="&amp;BO602),"")</f>
        <v/>
      </c>
      <c r="BA602" s="65" t="n">
        <f aca="false">IF(AZ602="",0,MAX(0,MIN(1,(IF(BU602="L1",Parameter!$E$5,Parameter!$E$6+Parameter!$E$7)-(AZ602-AV602))/AV602)))</f>
        <v>0</v>
      </c>
      <c r="BB602" s="55" t="str">
        <f aca="false">IF(AF602&lt;=0,"",IF(BU602="Aussen","Aussenlager",IF(BU602="-","Nicht im Lift",IF(AK602&gt;=1,"Lift",IF(AK602&lt;=0,"Aussenlager","teilweise")))))</f>
        <v>Nicht im Lift</v>
      </c>
      <c r="BC602" s="55" t="str">
        <f aca="false">IF(AN602&lt;=0,"",IF(BU602="Aussen","Aussenlager",IF(BU602="-","Nicht im Lift",IF(AS602&gt;=1,"Lift",IF(AS602&lt;=0,"Aussenlager","teilweise")))))</f>
        <v>Nicht im Lift</v>
      </c>
      <c r="BD602" s="55" t="str">
        <f aca="false">IF(AV602&lt;=0,"",IF(BU602="Aussen","Aussenlager",IF(BU602="-","Nicht im Lift",IF(BA602&gt;=1,"Lift",IF(BA602&lt;=0,"Aussenlager","teilweise")))))</f>
        <v>Nicht im Lift</v>
      </c>
      <c r="BE602" s="55" t="str">
        <f aca="false">IF(A602="","",IF(BN602=1,"Neu; ","")&amp;IF(AND(BN602=0,BI602&lt;0),"negativer Bestand (Export "&amp;BI602&amp;"); ","")&amp;IF(I602&lt;=0,"Kein Verbrauch; ","")&amp;IF(CD602&gt;0,"Lift "&amp;U602&amp;" lt. Liftbericht (Fach "&amp;V602&amp;" Stk); ",IF(BR602=1,"Lose – Fläche geschätzt; ",""))&amp;IF(G602&gt;AP602,"Überbestand "&amp;ROUND(G602-AP602,0)&amp;" Stk / CHF "&amp;ROUND((G602-AP602)*F602,0)&amp;"; ","")&amp;IF(AND(BW602=1,BX602&lt;BY602),"MAX &lt; MB+LG; ","")&amp;IF(AND(CC602&gt;0,CB602*10&gt;CC602),"zu hoch für Tablar; ","")&amp;IF(AND(BN602=0,OR(BW602=1,Y602&lt;&gt;"",S602&lt;&gt;"",T602&lt;&gt;"",Z602&lt;&gt;"")),"manuell übersteuert; ","")&amp;IF(AND(BR602=0,Q602=0),"Gebinde unbekannt / Stellmass fehlt; ","")&amp;IF(AND(BR602=0,N(T602)&lt;=0,N(P602)&lt;=0),"Menge pro Gebinde fehlt (Ist = 1 Gebinde); ","")&amp;BM602)</f>
        <v>Lose – Fläche geschätzt; </v>
      </c>
      <c r="BF602" s="55"/>
      <c r="BG602" s="55"/>
      <c r="BH602" s="62"/>
      <c r="BI602" s="57" t="n">
        <v>2</v>
      </c>
      <c r="BJ602" s="57" t="n">
        <v>0</v>
      </c>
      <c r="BK602" s="56" t="n">
        <v>5.59999999999999</v>
      </c>
      <c r="BL602" s="57" t="n">
        <v>23</v>
      </c>
      <c r="BM602" s="55"/>
      <c r="BN602" s="60" t="n">
        <v>0</v>
      </c>
      <c r="BO602" s="60" t="n">
        <v>602</v>
      </c>
      <c r="BP602" s="55" t="str">
        <f aca="false">IF(S602&lt;&gt;"",UPPER(TRIM(S602)),IF(O602="","LOSE",O602))</f>
        <v>LOSE</v>
      </c>
      <c r="BQ602" s="57" t="n">
        <f aca="false">IF(BP602="LOSE",1,IF(N(T602)&gt;0,T602,IF(N(P602)&gt;0,P602,MAX(1,G602))))</f>
        <v>1</v>
      </c>
      <c r="BR602" s="60" t="n">
        <f aca="false">IF(BP602="LOSE",1,0)</f>
        <v>1</v>
      </c>
      <c r="BS602" s="59" t="n">
        <f aca="false">IF(BR602=0,0,IF(N(R602)&gt;0,R602,IFERROR(VLOOKUP(D602,Parameter!$A$35:$C$64,3,0)+0,0)))</f>
        <v>0.15</v>
      </c>
      <c r="BT602" s="55" t="str">
        <f aca="false">IF(Y602&lt;&gt;"",Y602,X602)</f>
        <v>-</v>
      </c>
      <c r="BU602" s="55" t="str">
        <f aca="false">IF(BT602=1,"L1",IF(OR(BT602=2,BT602=3),"L23",IF(BT602="Aussen","Aussen","-")))</f>
        <v>-</v>
      </c>
      <c r="BV602" s="66" t="n">
        <f aca="false">IF(N(Z602)&gt;0,Z602,0)</f>
        <v>0</v>
      </c>
      <c r="BW602" s="60" t="n">
        <f aca="false">IF(ISNUMBER(AC602),1,0)</f>
        <v>0</v>
      </c>
      <c r="BX602" s="57" t="n">
        <f aca="false">N(AC602)</f>
        <v>0</v>
      </c>
      <c r="BY602" s="57" t="n">
        <f aca="false">N(L602)+N(M602)</f>
        <v>10</v>
      </c>
      <c r="BZ602" s="57" t="n">
        <f aca="false">ROUNDUP(G602/BQ602,0)</f>
        <v>2</v>
      </c>
      <c r="CA602" s="57" t="n">
        <f aca="false">ROUNDUP(BX602/BQ602,0)</f>
        <v>0</v>
      </c>
      <c r="CB602" s="60" t="n">
        <f aca="false">IF(BR602=1,0,IFERROR(VLOOKUP(BP602,'Gebinde-Kategorie'!$A$5:$M$45,5,0)+0,0))</f>
        <v>0</v>
      </c>
      <c r="CC602" s="60" t="n">
        <f aca="false">IFERROR(IF(OR(BT602=1,BT602=2,BT602=3),N(INDEX(Parameter!$I$5:$I$7,BT602)),0),0)</f>
        <v>0</v>
      </c>
      <c r="CD602" s="59" t="n">
        <f aca="false">IF(AND(Parameter!$B$21="Ja",ISNUMBER(U602),N(V602)&gt;0),IFERROR(N(INDEX(Parameter!$L$5:$L$7,U602))*INDEX(Parameter!$E$5:$E$7,U602)*V602/SUMIFS($V$7:$V$1576,$U$7:$U$1576,U602),0),0)</f>
        <v>0</v>
      </c>
    </row>
    <row r="603" customFormat="false" ht="15" hidden="false" customHeight="false" outlineLevel="0" collapsed="false">
      <c r="A603" s="55" t="s">
        <v>1237</v>
      </c>
      <c r="B603" s="55" t="s">
        <v>1238</v>
      </c>
      <c r="C603" s="55" t="s">
        <v>160</v>
      </c>
      <c r="D603" s="55" t="s">
        <v>178</v>
      </c>
      <c r="E603" s="55" t="s">
        <v>210</v>
      </c>
      <c r="F603" s="56" t="n">
        <v>4.15</v>
      </c>
      <c r="G603" s="57" t="n">
        <f aca="false">MAX(0,IF(AND(Parameter!$B$21="Ja",ISNUMBER(W603)),W603,IF(Parameter!$B$20="Jahresanfang 2025 + Export",BJ603+BI603,BI603)))</f>
        <v>1</v>
      </c>
      <c r="H603" s="57" t="n">
        <f aca="false">G603*F603</f>
        <v>4.15</v>
      </c>
      <c r="I603" s="57" t="n">
        <f aca="false">BL603*Parameter!$B$18</f>
        <v>1</v>
      </c>
      <c r="J603" s="58" t="n">
        <v>8</v>
      </c>
      <c r="K603" s="59" t="n">
        <v>0.125</v>
      </c>
      <c r="L603" s="57" t="n">
        <v>0</v>
      </c>
      <c r="M603" s="57" t="n">
        <v>1</v>
      </c>
      <c r="N603" s="60" t="n">
        <v>14</v>
      </c>
      <c r="O603" s="55" t="s">
        <v>319</v>
      </c>
      <c r="P603" s="57" t="n">
        <v>10</v>
      </c>
      <c r="Q603" s="60" t="n">
        <f aca="false">IF(BR603=1,0,IFERROR(VLOOKUP(BP603,'Gebinde-Kategorie'!$A$5:$M$45,13,0)+0,0))</f>
        <v>52</v>
      </c>
      <c r="R603" s="61"/>
      <c r="S603" s="62"/>
      <c r="T603" s="62"/>
      <c r="U603" s="55"/>
      <c r="V603" s="57"/>
      <c r="W603" s="57"/>
      <c r="X603" s="55" t="n">
        <f aca="false">IF(A603="","",IF(AND(Parameter!$B$21="Ja",ISNUMBER(U603)),U603,IF(IFERROR(VLOOKUP(D603,Parameter!$A$35:$C$64,2,0),"Nein")="2+3",IF(ISNUMBER(SEARCH("grosser Artikel",BM603)),2,IFERROR(VLOOKUP(BP603,Parameter!$F$35:$G$64,2,0),2)),IF(OR(IFERROR(VLOOKUP(D603,Parameter!$A$35:$C$64,2,0),"Nein")="Nein",IFERROR(VLOOKUP(D603,Parameter!$A$35:$C$64,2,0),"Nein")=""),"-",VLOOKUP(D603,Parameter!$A$35:$C$64,2,0)))))</f>
        <v>3</v>
      </c>
      <c r="Y603" s="62"/>
      <c r="Z603" s="63"/>
      <c r="AA603" s="57" t="n">
        <f aca="false">AP603</f>
        <v>10</v>
      </c>
      <c r="AB603" s="57" t="n">
        <f aca="false">MAX(AP603,G603)</f>
        <v>10</v>
      </c>
      <c r="AC603" s="64"/>
      <c r="AD603" s="57" t="n">
        <f aca="false">IF(LEFT(Cockpit!$C$5,1)="A",G603,IF(BW603=1,BX603,IF(LEFT(Cockpit!$C$5,1)="B",AH603,MAX(AH603,G603))))</f>
        <v>1</v>
      </c>
      <c r="AE603" s="57" t="n">
        <f aca="false">IF(BR603=1,0,ROUNDUP(AD603/BQ603,0))</f>
        <v>1</v>
      </c>
      <c r="AF603" s="59" t="n">
        <f aca="false">IF(CD603&gt;0,CD603*MAX(1,AD603/V603),IF(BR603=1,IF(AD603&lt;=0,0,BS603*MAX(1,IF(G603&gt;0,AD603/G603,1))),IF(Q603&gt;0,AE603/Q603,0))/MAX(0.1,N(Parameter!$M$21)))</f>
        <v>0.0192307692307692</v>
      </c>
      <c r="AG603" s="57" t="n">
        <f aca="false">AD603*F603</f>
        <v>4.15</v>
      </c>
      <c r="AH603" s="57" t="n">
        <f aca="false">ROUNDUP(MAX(I603/IF(BV603&gt;0,BV603,MAX(0.1,N(Cockpit!$C$6))),BY603)/BQ603,0)*BQ603</f>
        <v>10</v>
      </c>
      <c r="AI603" s="58" t="n">
        <f aca="false">IF(AF603&gt;0,I603/AF603,-1)</f>
        <v>52</v>
      </c>
      <c r="AJ603" s="58" t="n">
        <f aca="false">IF(AND(OR(BU603="L1",BU603="L23"),AF603&gt;0),SUMIFS($AF$7:$AF$1576,$BU$7:$BU$1576,BU603,$AI$7:$AI$1576,"&gt;"&amp;AI603)+SUMIFS($AF$7:$AF$1576,$BU$7:$BU$1576,BU603,$AI$7:$AI$1576,AI603,$BO$7:$BO$1576,"&lt;="&amp;BO603),"")</f>
        <v>25.3969406438972</v>
      </c>
      <c r="AK603" s="65" t="n">
        <f aca="false">IF(AJ603="",0,MAX(0,MIN(1,(IF(BU603="L1",Parameter!$E$5,Parameter!$E$6+Parameter!$E$7)-(AJ603-AF603))/AF603)))</f>
        <v>1</v>
      </c>
      <c r="AL603" s="57" t="n">
        <f aca="false">IF(LEFT(Cockpit!$I$5,1)="A",G603,IF(BW603=1,BX603,IF(LEFT(Cockpit!$I$5,1)="B",AP603,MAX(AP603,G603))))</f>
        <v>10</v>
      </c>
      <c r="AM603" s="57" t="n">
        <f aca="false">IF(BR603=1,0,ROUNDUP(AL603/BQ603,0))</f>
        <v>1</v>
      </c>
      <c r="AN603" s="59" t="n">
        <f aca="false">IF(CD603&gt;0,CD603*MAX(1,AL603/V603),IF(BR603=1,IF(AL603&lt;=0,0,BS603*MAX(1,IF(G603&gt;0,AL603/G603,1))),IF(Q603&gt;0,AM603/Q603,0))/MAX(0.1,N(Parameter!$M$21)))</f>
        <v>0.0192307692307692</v>
      </c>
      <c r="AO603" s="57" t="n">
        <f aca="false">AL603*F603</f>
        <v>41.5</v>
      </c>
      <c r="AP603" s="57" t="n">
        <f aca="false">ROUNDUP(MAX(I603/IF(BV603&gt;0,BV603,MAX(0.1,N(Cockpit!$I$6))),BY603)/BQ603,0)*BQ603</f>
        <v>10</v>
      </c>
      <c r="AQ603" s="58" t="n">
        <f aca="false">IF(AN603&gt;0,I603/AN603,-1)</f>
        <v>52</v>
      </c>
      <c r="AR603" s="58" t="n">
        <f aca="false">IF(AND(OR(BU603="L1",BU603="L23"),AN603&gt;0),SUMIFS($AN$7:$AN$1576,$BU$7:$BU$1576,BU603,$AQ$7:$AQ$1576,"&gt;"&amp;AQ603)+SUMIFS($AN$7:$AN$1576,$BU$7:$BU$1576,BU603,$AQ$7:$AQ$1576,AQ603,$BO$7:$BO$1576,"&lt;="&amp;BO603),"")</f>
        <v>82.0606397169009</v>
      </c>
      <c r="AS603" s="65" t="n">
        <f aca="false">IF(AR603="",0,MAX(0,MIN(1,(IF(BU603="L1",Parameter!$E$5,Parameter!$E$6+Parameter!$E$7)-(AR603-AN603))/AN603)))</f>
        <v>1</v>
      </c>
      <c r="AT603" s="57" t="n">
        <f aca="false">IF(LEFT(Cockpit!$O$5,1)="A",G603,IF(BW603=1,BX603,IF(LEFT(Cockpit!$O$5,1)="B",AX603,MAX(AX603,G603))))</f>
        <v>10</v>
      </c>
      <c r="AU603" s="57" t="n">
        <f aca="false">IF(BR603=1,0,ROUNDUP(AT603/BQ603,0))</f>
        <v>1</v>
      </c>
      <c r="AV603" s="59" t="n">
        <f aca="false">IF(CD603&gt;0,CD603*MAX(1,AT603/V603),IF(BR603=1,IF(AT603&lt;=0,0,BS603*MAX(1,IF(G603&gt;0,AT603/G603,1))),IF(Q603&gt;0,AU603/Q603,0))/MAX(0.1,N(Parameter!$M$21)))</f>
        <v>0.0192307692307692</v>
      </c>
      <c r="AW603" s="57" t="n">
        <f aca="false">AT603*F603</f>
        <v>41.5</v>
      </c>
      <c r="AX603" s="57" t="n">
        <f aca="false">ROUNDUP(MAX(I603/IF(BV603&gt;0,BV603,MAX(0.1,N(Cockpit!$O$6))),BY603)/BQ603,0)*BQ603</f>
        <v>10</v>
      </c>
      <c r="AY603" s="58" t="n">
        <f aca="false">IF(AV603&gt;0,I603/AV603,-1)</f>
        <v>52</v>
      </c>
      <c r="AZ603" s="58" t="n">
        <f aca="false">IF(AND(OR(BU603="L1",BU603="L23"),AV603&gt;0),SUMIFS($AV$7:$AV$1576,$BU$7:$BU$1576,BU603,$AY$7:$AY$1576,"&gt;"&amp;AY603)+SUMIFS($AV$7:$AV$1576,$BU$7:$BU$1576,BU603,$AY$7:$AY$1576,AY603,$BO$7:$BO$1576,"&lt;="&amp;BO603),"")</f>
        <v>78.4785234997847</v>
      </c>
      <c r="BA603" s="65" t="n">
        <f aca="false">IF(AZ603="",0,MAX(0,MIN(1,(IF(BU603="L1",Parameter!$E$5,Parameter!$E$6+Parameter!$E$7)-(AZ603-AV603))/AV603)))</f>
        <v>1</v>
      </c>
      <c r="BB603" s="55" t="str">
        <f aca="false">IF(AF603&lt;=0,"",IF(BU603="Aussen","Aussenlager",IF(BU603="-","Nicht im Lift",IF(AK603&gt;=1,"Lift",IF(AK603&lt;=0,"Aussenlager","teilweise")))))</f>
        <v>Lift</v>
      </c>
      <c r="BC603" s="55" t="str">
        <f aca="false">IF(AN603&lt;=0,"",IF(BU603="Aussen","Aussenlager",IF(BU603="-","Nicht im Lift",IF(AS603&gt;=1,"Lift",IF(AS603&lt;=0,"Aussenlager","teilweise")))))</f>
        <v>Lift</v>
      </c>
      <c r="BD603" s="55" t="str">
        <f aca="false">IF(AV603&lt;=0,"",IF(BU603="Aussen","Aussenlager",IF(BU603="-","Nicht im Lift",IF(BA603&gt;=1,"Lift",IF(BA603&lt;=0,"Aussenlager","teilweise")))))</f>
        <v>Lift</v>
      </c>
      <c r="BE603" s="55" t="str">
        <f aca="false">IF(A603="","",IF(BN603=1,"Neu; ","")&amp;IF(AND(BN603=0,BI603&lt;0),"negativer Bestand (Export "&amp;BI603&amp;"); ","")&amp;IF(I603&lt;=0,"Kein Verbrauch; ","")&amp;IF(CD603&gt;0,"Lift "&amp;U603&amp;" lt. Liftbericht (Fach "&amp;V603&amp;" Stk); ",IF(BR603=1,"Lose – Fläche geschätzt; ",""))&amp;IF(G603&gt;AP603,"Überbestand "&amp;ROUND(G603-AP603,0)&amp;" Stk / CHF "&amp;ROUND((G603-AP603)*F603,0)&amp;"; ","")&amp;IF(AND(BW603=1,BX603&lt;BY603),"MAX &lt; MB+LG; ","")&amp;IF(AND(CC603&gt;0,CB603*10&gt;CC603),"zu hoch für Tablar; ","")&amp;IF(AND(BN603=0,OR(BW603=1,Y603&lt;&gt;"",S603&lt;&gt;"",T603&lt;&gt;"",Z603&lt;&gt;"")),"manuell übersteuert; ","")&amp;IF(AND(BR603=0,Q603=0),"Gebinde unbekannt / Stellmass fehlt; ","")&amp;IF(AND(BR603=0,N(T603)&lt;=0,N(P603)&lt;=0),"Menge pro Gebinde fehlt (Ist = 1 Gebinde); ","")&amp;BM603)</f>
        <v>überbestand</v>
      </c>
      <c r="BF603" s="55"/>
      <c r="BG603" s="55"/>
      <c r="BH603" s="62"/>
      <c r="BI603" s="57" t="n">
        <v>1</v>
      </c>
      <c r="BJ603" s="57" t="n">
        <v>7</v>
      </c>
      <c r="BK603" s="56" t="n">
        <v>5.48</v>
      </c>
      <c r="BL603" s="57" t="n">
        <v>1</v>
      </c>
      <c r="BM603" s="55" t="s">
        <v>1239</v>
      </c>
      <c r="BN603" s="60" t="n">
        <v>0</v>
      </c>
      <c r="BO603" s="60" t="n">
        <v>603</v>
      </c>
      <c r="BP603" s="55" t="str">
        <f aca="false">IF(S603&lt;&gt;"",UPPER(TRIM(S603)),IF(O603="","LOSE",O603))</f>
        <v>S41</v>
      </c>
      <c r="BQ603" s="57" t="n">
        <f aca="false">IF(BP603="LOSE",1,IF(N(T603)&gt;0,T603,IF(N(P603)&gt;0,P603,MAX(1,G603))))</f>
        <v>10</v>
      </c>
      <c r="BR603" s="60" t="n">
        <f aca="false">IF(BP603="LOSE",1,0)</f>
        <v>0</v>
      </c>
      <c r="BS603" s="59" t="n">
        <f aca="false">IF(BR603=0,0,IF(N(R603)&gt;0,R603,IFERROR(VLOOKUP(D603,Parameter!$A$35:$C$64,3,0)+0,0)))</f>
        <v>0</v>
      </c>
      <c r="BT603" s="55" t="n">
        <f aca="false">IF(Y603&lt;&gt;"",Y603,X603)</f>
        <v>3</v>
      </c>
      <c r="BU603" s="55" t="str">
        <f aca="false">IF(BT603=1,"L1",IF(OR(BT603=2,BT603=3),"L23",IF(BT603="Aussen","Aussen","-")))</f>
        <v>L23</v>
      </c>
      <c r="BV603" s="66" t="n">
        <f aca="false">IF(N(Z603)&gt;0,Z603,0)</f>
        <v>0</v>
      </c>
      <c r="BW603" s="60" t="n">
        <f aca="false">IF(ISNUMBER(AC603),1,0)</f>
        <v>0</v>
      </c>
      <c r="BX603" s="57" t="n">
        <f aca="false">N(AC603)</f>
        <v>0</v>
      </c>
      <c r="BY603" s="57" t="n">
        <f aca="false">N(L603)+N(M603)</f>
        <v>1</v>
      </c>
      <c r="BZ603" s="57" t="n">
        <f aca="false">ROUNDUP(G603/BQ603,0)</f>
        <v>1</v>
      </c>
      <c r="CA603" s="57" t="n">
        <f aca="false">ROUNDUP(BX603/BQ603,0)</f>
        <v>0</v>
      </c>
      <c r="CB603" s="60" t="n">
        <f aca="false">IF(BR603=1,0,IFERROR(VLOOKUP(BP603,'Gebinde-Kategorie'!$A$5:$M$45,5,0)+0,0))</f>
        <v>11</v>
      </c>
      <c r="CC603" s="60" t="n">
        <f aca="false">IFERROR(IF(OR(BT603=1,BT603=2,BT603=3),N(INDEX(Parameter!$I$5:$I$7,BT603)),0),0)</f>
        <v>0</v>
      </c>
      <c r="CD603" s="59" t="n">
        <f aca="false">IF(AND(Parameter!$B$21="Ja",ISNUMBER(U603),N(V603)&gt;0),IFERROR(N(INDEX(Parameter!$L$5:$L$7,U603))*INDEX(Parameter!$E$5:$E$7,U603)*V603/SUMIFS($V$7:$V$1576,$U$7:$U$1576,U603),0),0)</f>
        <v>0</v>
      </c>
    </row>
    <row r="604" customFormat="false" ht="15" hidden="false" customHeight="false" outlineLevel="0" collapsed="false">
      <c r="A604" s="55" t="s">
        <v>1240</v>
      </c>
      <c r="B604" s="55" t="s">
        <v>938</v>
      </c>
      <c r="C604" s="55" t="s">
        <v>160</v>
      </c>
      <c r="D604" s="55" t="s">
        <v>178</v>
      </c>
      <c r="E604" s="55" t="s">
        <v>210</v>
      </c>
      <c r="F604" s="56" t="n">
        <v>0.01</v>
      </c>
      <c r="G604" s="57" t="n">
        <f aca="false">MAX(0,IF(AND(Parameter!$B$21="Ja",ISNUMBER(W604)),W604,IF(Parameter!$B$20="Jahresanfang 2025 + Export",BJ604+BI604,BI604)))</f>
        <v>534</v>
      </c>
      <c r="H604" s="57" t="n">
        <f aca="false">G604*F604</f>
        <v>5.34</v>
      </c>
      <c r="I604" s="57" t="n">
        <f aca="false">BL604*Parameter!$B$18</f>
        <v>110</v>
      </c>
      <c r="J604" s="58" t="n">
        <v>152.5</v>
      </c>
      <c r="K604" s="59" t="n">
        <v>0.721311475409836</v>
      </c>
      <c r="L604" s="57" t="n">
        <v>6</v>
      </c>
      <c r="M604" s="57" t="n">
        <v>110</v>
      </c>
      <c r="N604" s="60" t="n">
        <v>21</v>
      </c>
      <c r="O604" s="55" t="s">
        <v>465</v>
      </c>
      <c r="P604" s="57" t="n">
        <v>1831</v>
      </c>
      <c r="Q604" s="60" t="n">
        <f aca="false">IF(BR604=1,0,IFERROR(VLOOKUP(BP604,'Gebinde-Kategorie'!$A$5:$M$45,13,0)+0,0))</f>
        <v>66</v>
      </c>
      <c r="R604" s="61"/>
      <c r="S604" s="62"/>
      <c r="T604" s="62"/>
      <c r="U604" s="55"/>
      <c r="V604" s="57"/>
      <c r="W604" s="57"/>
      <c r="X604" s="55" t="n">
        <f aca="false">IF(A604="","",IF(AND(Parameter!$B$21="Ja",ISNUMBER(U604)),U604,IF(IFERROR(VLOOKUP(D604,Parameter!$A$35:$C$64,2,0),"Nein")="2+3",IF(ISNUMBER(SEARCH("grosser Artikel",BM604)),2,IFERROR(VLOOKUP(BP604,Parameter!$F$35:$G$64,2,0),2)),IF(OR(IFERROR(VLOOKUP(D604,Parameter!$A$35:$C$64,2,0),"Nein")="Nein",IFERROR(VLOOKUP(D604,Parameter!$A$35:$C$64,2,0),"Nein")=""),"-",VLOOKUP(D604,Parameter!$A$35:$C$64,2,0)))))</f>
        <v>3</v>
      </c>
      <c r="Y604" s="62"/>
      <c r="Z604" s="63"/>
      <c r="AA604" s="57" t="n">
        <f aca="false">AP604</f>
        <v>1831</v>
      </c>
      <c r="AB604" s="57" t="n">
        <f aca="false">MAX(AP604,G604)</f>
        <v>1831</v>
      </c>
      <c r="AC604" s="64"/>
      <c r="AD604" s="57" t="n">
        <f aca="false">IF(LEFT(Cockpit!$C$5,1)="A",G604,IF(BW604=1,BX604,IF(LEFT(Cockpit!$C$5,1)="B",AH604,MAX(AH604,G604))))</f>
        <v>534</v>
      </c>
      <c r="AE604" s="57" t="n">
        <f aca="false">IF(BR604=1,0,ROUNDUP(AD604/BQ604,0))</f>
        <v>1</v>
      </c>
      <c r="AF604" s="59" t="n">
        <f aca="false">IF(CD604&gt;0,CD604*MAX(1,AD604/V604),IF(BR604=1,IF(AD604&lt;=0,0,BS604*MAX(1,IF(G604&gt;0,AD604/G604,1))),IF(Q604&gt;0,AE604/Q604,0))/MAX(0.1,N(Parameter!$M$21)))</f>
        <v>0.0151515151515152</v>
      </c>
      <c r="AG604" s="57" t="n">
        <f aca="false">AD604*F604</f>
        <v>5.34</v>
      </c>
      <c r="AH604" s="57" t="n">
        <f aca="false">ROUNDUP(MAX(I604/IF(BV604&gt;0,BV604,MAX(0.1,N(Cockpit!$C$6))),BY604)/BQ604,0)*BQ604</f>
        <v>1831</v>
      </c>
      <c r="AI604" s="58" t="n">
        <f aca="false">IF(AF604&gt;0,I604/AF604,-1)</f>
        <v>7260</v>
      </c>
      <c r="AJ604" s="58" t="n">
        <f aca="false">IF(AND(OR(BU604="L1",BU604="L23"),AF604&gt;0),SUMIFS($AF$7:$AF$1576,$BU$7:$BU$1576,BU604,$AI$7:$AI$1576,"&gt;"&amp;AI604)+SUMIFS($AF$7:$AF$1576,$BU$7:$BU$1576,BU604,$AI$7:$AI$1576,AI604,$BO$7:$BO$1576,"&lt;="&amp;BO604),"")</f>
        <v>3.15203878247357</v>
      </c>
      <c r="AK604" s="65" t="n">
        <f aca="false">IF(AJ604="",0,MAX(0,MIN(1,(IF(BU604="L1",Parameter!$E$5,Parameter!$E$6+Parameter!$E$7)-(AJ604-AF604))/AF604)))</f>
        <v>1</v>
      </c>
      <c r="AL604" s="57" t="n">
        <f aca="false">IF(LEFT(Cockpit!$I$5,1)="A",G604,IF(BW604=1,BX604,IF(LEFT(Cockpit!$I$5,1)="B",AP604,MAX(AP604,G604))))</f>
        <v>1831</v>
      </c>
      <c r="AM604" s="57" t="n">
        <f aca="false">IF(BR604=1,0,ROUNDUP(AL604/BQ604,0))</f>
        <v>1</v>
      </c>
      <c r="AN604" s="59" t="n">
        <f aca="false">IF(CD604&gt;0,CD604*MAX(1,AL604/V604),IF(BR604=1,IF(AL604&lt;=0,0,BS604*MAX(1,IF(G604&gt;0,AL604/G604,1))),IF(Q604&gt;0,AM604/Q604,0))/MAX(0.1,N(Parameter!$M$21)))</f>
        <v>0.0151515151515152</v>
      </c>
      <c r="AO604" s="57" t="n">
        <f aca="false">AL604*F604</f>
        <v>18.31</v>
      </c>
      <c r="AP604" s="57" t="n">
        <f aca="false">ROUNDUP(MAX(I604/IF(BV604&gt;0,BV604,MAX(0.1,N(Cockpit!$I$6))),BY604)/BQ604,0)*BQ604</f>
        <v>1831</v>
      </c>
      <c r="AQ604" s="58" t="n">
        <f aca="false">IF(AN604&gt;0,I604/AN604,-1)</f>
        <v>7260</v>
      </c>
      <c r="AR604" s="58" t="n">
        <f aca="false">IF(AND(OR(BU604="L1",BU604="L23"),AN604&gt;0),SUMIFS($AN$7:$AN$1576,$BU$7:$BU$1576,BU604,$AQ$7:$AQ$1576,"&gt;"&amp;AQ604)+SUMIFS($AN$7:$AN$1576,$BU$7:$BU$1576,BU604,$AQ$7:$AQ$1576,AQ604,$BO$7:$BO$1576,"&lt;="&amp;BO604),"")</f>
        <v>8.06401202662072</v>
      </c>
      <c r="AS604" s="65" t="n">
        <f aca="false">IF(AR604="",0,MAX(0,MIN(1,(IF(BU604="L1",Parameter!$E$5,Parameter!$E$6+Parameter!$E$7)-(AR604-AN604))/AN604)))</f>
        <v>1</v>
      </c>
      <c r="AT604" s="57" t="n">
        <f aca="false">IF(LEFT(Cockpit!$O$5,1)="A",G604,IF(BW604=1,BX604,IF(LEFT(Cockpit!$O$5,1)="B",AX604,MAX(AX604,G604))))</f>
        <v>1831</v>
      </c>
      <c r="AU604" s="57" t="n">
        <f aca="false">IF(BR604=1,0,ROUNDUP(AT604/BQ604,0))</f>
        <v>1</v>
      </c>
      <c r="AV604" s="59" t="n">
        <f aca="false">IF(CD604&gt;0,CD604*MAX(1,AT604/V604),IF(BR604=1,IF(AT604&lt;=0,0,BS604*MAX(1,IF(G604&gt;0,AT604/G604,1))),IF(Q604&gt;0,AU604/Q604,0))/MAX(0.1,N(Parameter!$M$21)))</f>
        <v>0.0151515151515152</v>
      </c>
      <c r="AW604" s="57" t="n">
        <f aca="false">AT604*F604</f>
        <v>18.31</v>
      </c>
      <c r="AX604" s="57" t="n">
        <f aca="false">ROUNDUP(MAX(I604/IF(BV604&gt;0,BV604,MAX(0.1,N(Cockpit!$O$6))),BY604)/BQ604,0)*BQ604</f>
        <v>1831</v>
      </c>
      <c r="AY604" s="58" t="n">
        <f aca="false">IF(AV604&gt;0,I604/AV604,-1)</f>
        <v>7260</v>
      </c>
      <c r="AZ604" s="58" t="n">
        <f aca="false">IF(AND(OR(BU604="L1",BU604="L23"),AV604&gt;0),SUMIFS($AV$7:$AV$1576,$BU$7:$BU$1576,BU604,$AY$7:$AY$1576,"&gt;"&amp;AY604)+SUMIFS($AV$7:$AV$1576,$BU$7:$BU$1576,BU604,$AY$7:$AY$1576,AY604,$BO$7:$BO$1576,"&lt;="&amp;BO604),"")</f>
        <v>8.07974629235499</v>
      </c>
      <c r="BA604" s="65" t="n">
        <f aca="false">IF(AZ604="",0,MAX(0,MIN(1,(IF(BU604="L1",Parameter!$E$5,Parameter!$E$6+Parameter!$E$7)-(AZ604-AV604))/AV604)))</f>
        <v>1</v>
      </c>
      <c r="BB604" s="55" t="str">
        <f aca="false">IF(AF604&lt;=0,"",IF(BU604="Aussen","Aussenlager",IF(BU604="-","Nicht im Lift",IF(AK604&gt;=1,"Lift",IF(AK604&lt;=0,"Aussenlager","teilweise")))))</f>
        <v>Lift</v>
      </c>
      <c r="BC604" s="55" t="str">
        <f aca="false">IF(AN604&lt;=0,"",IF(BU604="Aussen","Aussenlager",IF(BU604="-","Nicht im Lift",IF(AS604&gt;=1,"Lift",IF(AS604&lt;=0,"Aussenlager","teilweise")))))</f>
        <v>Lift</v>
      </c>
      <c r="BD604" s="55" t="str">
        <f aca="false">IF(AV604&lt;=0,"",IF(BU604="Aussen","Aussenlager",IF(BU604="-","Nicht im Lift",IF(BA604&gt;=1,"Lift",IF(BA604&lt;=0,"Aussenlager","teilweise")))))</f>
        <v>Lift</v>
      </c>
      <c r="BE604" s="55" t="str">
        <f aca="false">IF(A604="","",IF(BN604=1,"Neu; ","")&amp;IF(AND(BN604=0,BI604&lt;0),"negativer Bestand (Export "&amp;BI604&amp;"); ","")&amp;IF(I604&lt;=0,"Kein Verbrauch; ","")&amp;IF(CD604&gt;0,"Lift "&amp;U604&amp;" lt. Liftbericht (Fach "&amp;V604&amp;" Stk); ",IF(BR604=1,"Lose – Fläche geschätzt; ",""))&amp;IF(G604&gt;AP604,"Überbestand "&amp;ROUND(G604-AP604,0)&amp;" Stk / CHF "&amp;ROUND((G604-AP604)*F604,0)&amp;"; ","")&amp;IF(AND(BW604=1,BX604&lt;BY604),"MAX &lt; MB+LG; ","")&amp;IF(AND(CC604&gt;0,CB604*10&gt;CC604),"zu hoch für Tablar; ","")&amp;IF(AND(BN604=0,OR(BW604=1,Y604&lt;&gt;"",S604&lt;&gt;"",T604&lt;&gt;"",Z604&lt;&gt;"")),"manuell übersteuert; ","")&amp;IF(AND(BR604=0,Q604=0),"Gebinde unbekannt / Stellmass fehlt; ","")&amp;IF(AND(BR604=0,N(T604)&lt;=0,N(P604)&lt;=0),"Menge pro Gebinde fehlt (Ist = 1 Gebinde); ","")&amp;BM604)</f>
        <v>Überbestand</v>
      </c>
      <c r="BF604" s="55"/>
      <c r="BG604" s="55"/>
      <c r="BH604" s="62"/>
      <c r="BI604" s="57" t="n">
        <v>534</v>
      </c>
      <c r="BJ604" s="57" t="n">
        <v>207</v>
      </c>
      <c r="BK604" s="56" t="n">
        <v>5.34</v>
      </c>
      <c r="BL604" s="57" t="n">
        <v>110</v>
      </c>
      <c r="BM604" s="55" t="s">
        <v>382</v>
      </c>
      <c r="BN604" s="60" t="n">
        <v>0</v>
      </c>
      <c r="BO604" s="60" t="n">
        <v>604</v>
      </c>
      <c r="BP604" s="55" t="str">
        <f aca="false">IF(S604&lt;&gt;"",UPPER(TRIM(S604)),IF(O604="","LOSE",O604))</f>
        <v>S33</v>
      </c>
      <c r="BQ604" s="57" t="n">
        <f aca="false">IF(BP604="LOSE",1,IF(N(T604)&gt;0,T604,IF(N(P604)&gt;0,P604,MAX(1,G604))))</f>
        <v>1831</v>
      </c>
      <c r="BR604" s="60" t="n">
        <f aca="false">IF(BP604="LOSE",1,0)</f>
        <v>0</v>
      </c>
      <c r="BS604" s="59" t="n">
        <f aca="false">IF(BR604=0,0,IF(N(R604)&gt;0,R604,IFERROR(VLOOKUP(D604,Parameter!$A$35:$C$64,3,0)+0,0)))</f>
        <v>0</v>
      </c>
      <c r="BT604" s="55" t="n">
        <f aca="false">IF(Y604&lt;&gt;"",Y604,X604)</f>
        <v>3</v>
      </c>
      <c r="BU604" s="55" t="str">
        <f aca="false">IF(BT604=1,"L1",IF(OR(BT604=2,BT604=3),"L23",IF(BT604="Aussen","Aussen","-")))</f>
        <v>L23</v>
      </c>
      <c r="BV604" s="66" t="n">
        <f aca="false">IF(N(Z604)&gt;0,Z604,0)</f>
        <v>0</v>
      </c>
      <c r="BW604" s="60" t="n">
        <f aca="false">IF(ISNUMBER(AC604),1,0)</f>
        <v>0</v>
      </c>
      <c r="BX604" s="57" t="n">
        <f aca="false">N(AC604)</f>
        <v>0</v>
      </c>
      <c r="BY604" s="57" t="n">
        <f aca="false">N(L604)+N(M604)</f>
        <v>116</v>
      </c>
      <c r="BZ604" s="57" t="n">
        <f aca="false">ROUNDUP(G604/BQ604,0)</f>
        <v>1</v>
      </c>
      <c r="CA604" s="57" t="n">
        <f aca="false">ROUNDUP(BX604/BQ604,0)</f>
        <v>0</v>
      </c>
      <c r="CB604" s="60" t="n">
        <f aca="false">IF(BR604=1,0,IFERROR(VLOOKUP(BP604,'Gebinde-Kategorie'!$A$5:$M$45,5,0)+0,0))</f>
        <v>8</v>
      </c>
      <c r="CC604" s="60" t="n">
        <f aca="false">IFERROR(IF(OR(BT604=1,BT604=2,BT604=3),N(INDEX(Parameter!$I$5:$I$7,BT604)),0),0)</f>
        <v>0</v>
      </c>
      <c r="CD604" s="59" t="n">
        <f aca="false">IF(AND(Parameter!$B$21="Ja",ISNUMBER(U604),N(V604)&gt;0),IFERROR(N(INDEX(Parameter!$L$5:$L$7,U604))*INDEX(Parameter!$E$5:$E$7,U604)*V604/SUMIFS($V$7:$V$1576,$U$7:$U$1576,U604),0),0)</f>
        <v>0</v>
      </c>
    </row>
    <row r="605" customFormat="false" ht="15" hidden="false" customHeight="false" outlineLevel="0" collapsed="false">
      <c r="A605" s="55" t="s">
        <v>1241</v>
      </c>
      <c r="B605" s="55" t="s">
        <v>457</v>
      </c>
      <c r="C605" s="55" t="s">
        <v>160</v>
      </c>
      <c r="D605" s="55" t="s">
        <v>178</v>
      </c>
      <c r="E605" s="55" t="s">
        <v>210</v>
      </c>
      <c r="F605" s="56" t="n">
        <v>0.09</v>
      </c>
      <c r="G605" s="57" t="n">
        <f aca="false">MAX(0,IF(AND(Parameter!$B$21="Ja",ISNUMBER(W605)),W605,IF(Parameter!$B$20="Jahresanfang 2025 + Export",BJ605+BI605,BI605)))</f>
        <v>18</v>
      </c>
      <c r="H605" s="57" t="n">
        <f aca="false">G605*F605</f>
        <v>1.62</v>
      </c>
      <c r="I605" s="57" t="n">
        <f aca="false">BL605*Parameter!$B$18</f>
        <v>466</v>
      </c>
      <c r="J605" s="58" t="n">
        <v>549</v>
      </c>
      <c r="K605" s="59" t="n">
        <v>0.848816029143898</v>
      </c>
      <c r="L605" s="57" t="n">
        <v>18</v>
      </c>
      <c r="M605" s="57" t="n">
        <v>465</v>
      </c>
      <c r="N605" s="60" t="n">
        <v>14</v>
      </c>
      <c r="O605" s="55" t="s">
        <v>416</v>
      </c>
      <c r="P605" s="57" t="n">
        <v>783</v>
      </c>
      <c r="Q605" s="60" t="n">
        <f aca="false">IF(BR605=1,0,IFERROR(VLOOKUP(BP605,'Gebinde-Kategorie'!$A$5:$M$45,13,0)+0,0))</f>
        <v>198</v>
      </c>
      <c r="R605" s="61"/>
      <c r="S605" s="62"/>
      <c r="T605" s="62"/>
      <c r="U605" s="55"/>
      <c r="V605" s="57"/>
      <c r="W605" s="57"/>
      <c r="X605" s="55" t="n">
        <f aca="false">IF(A605="","",IF(AND(Parameter!$B$21="Ja",ISNUMBER(U605)),U605,IF(IFERROR(VLOOKUP(D605,Parameter!$A$35:$C$64,2,0),"Nein")="2+3",IF(ISNUMBER(SEARCH("grosser Artikel",BM605)),2,IFERROR(VLOOKUP(BP605,Parameter!$F$35:$G$64,2,0),2)),IF(OR(IFERROR(VLOOKUP(D605,Parameter!$A$35:$C$64,2,0),"Nein")="Nein",IFERROR(VLOOKUP(D605,Parameter!$A$35:$C$64,2,0),"Nein")=""),"-",VLOOKUP(D605,Parameter!$A$35:$C$64,2,0)))))</f>
        <v>3</v>
      </c>
      <c r="Y605" s="62"/>
      <c r="Z605" s="63"/>
      <c r="AA605" s="57" t="n">
        <f aca="false">AP605</f>
        <v>783</v>
      </c>
      <c r="AB605" s="57" t="n">
        <f aca="false">MAX(AP605,G605)</f>
        <v>783</v>
      </c>
      <c r="AC605" s="64"/>
      <c r="AD605" s="57" t="n">
        <f aca="false">IF(LEFT(Cockpit!$C$5,1)="A",G605,IF(BW605=1,BX605,IF(LEFT(Cockpit!$C$5,1)="B",AH605,MAX(AH605,G605))))</f>
        <v>18</v>
      </c>
      <c r="AE605" s="57" t="n">
        <f aca="false">IF(BR605=1,0,ROUNDUP(AD605/BQ605,0))</f>
        <v>1</v>
      </c>
      <c r="AF605" s="59" t="n">
        <f aca="false">IF(CD605&gt;0,CD605*MAX(1,AD605/V605),IF(BR605=1,IF(AD605&lt;=0,0,BS605*MAX(1,IF(G605&gt;0,AD605/G605,1))),IF(Q605&gt;0,AE605/Q605,0))/MAX(0.1,N(Parameter!$M$21)))</f>
        <v>0.00505050505050505</v>
      </c>
      <c r="AG605" s="57" t="n">
        <f aca="false">AD605*F605</f>
        <v>1.62</v>
      </c>
      <c r="AH605" s="57" t="n">
        <f aca="false">ROUNDUP(MAX(I605/IF(BV605&gt;0,BV605,MAX(0.1,N(Cockpit!$C$6))),BY605)/BQ605,0)*BQ605</f>
        <v>783</v>
      </c>
      <c r="AI605" s="58" t="n">
        <f aca="false">IF(AF605&gt;0,I605/AF605,-1)</f>
        <v>92268</v>
      </c>
      <c r="AJ605" s="58" t="n">
        <f aca="false">IF(AND(OR(BU605="L1",BU605="L23"),AF605&gt;0),SUMIFS($AF$7:$AF$1576,$BU$7:$BU$1576,BU605,$AI$7:$AI$1576,"&gt;"&amp;AI605)+SUMIFS($AF$7:$AF$1576,$BU$7:$BU$1576,BU605,$AI$7:$AI$1576,AI605,$BO$7:$BO$1576,"&lt;="&amp;BO605),"")</f>
        <v>0.357479477044694</v>
      </c>
      <c r="AK605" s="65" t="n">
        <f aca="false">IF(AJ605="",0,MAX(0,MIN(1,(IF(BU605="L1",Parameter!$E$5,Parameter!$E$6+Parameter!$E$7)-(AJ605-AF605))/AF605)))</f>
        <v>1</v>
      </c>
      <c r="AL605" s="57" t="n">
        <f aca="false">IF(LEFT(Cockpit!$I$5,1)="A",G605,IF(BW605=1,BX605,IF(LEFT(Cockpit!$I$5,1)="B",AP605,MAX(AP605,G605))))</f>
        <v>783</v>
      </c>
      <c r="AM605" s="57" t="n">
        <f aca="false">IF(BR605=1,0,ROUNDUP(AL605/BQ605,0))</f>
        <v>1</v>
      </c>
      <c r="AN605" s="59" t="n">
        <f aca="false">IF(CD605&gt;0,CD605*MAX(1,AL605/V605),IF(BR605=1,IF(AL605&lt;=0,0,BS605*MAX(1,IF(G605&gt;0,AL605/G605,1))),IF(Q605&gt;0,AM605/Q605,0))/MAX(0.1,N(Parameter!$M$21)))</f>
        <v>0.00505050505050505</v>
      </c>
      <c r="AO605" s="57" t="n">
        <f aca="false">AL605*F605</f>
        <v>70.47</v>
      </c>
      <c r="AP605" s="57" t="n">
        <f aca="false">ROUNDUP(MAX(I605/IF(BV605&gt;0,BV605,MAX(0.1,N(Cockpit!$I$6))),BY605)/BQ605,0)*BQ605</f>
        <v>783</v>
      </c>
      <c r="AQ605" s="58" t="n">
        <f aca="false">IF(AN605&gt;0,I605/AN605,-1)</f>
        <v>92268</v>
      </c>
      <c r="AR605" s="58" t="n">
        <f aca="false">IF(AND(OR(BU605="L1",BU605="L23"),AN605&gt;0),SUMIFS($AN$7:$AN$1576,$BU$7:$BU$1576,BU605,$AQ$7:$AQ$1576,"&gt;"&amp;AQ605)+SUMIFS($AN$7:$AN$1576,$BU$7:$BU$1576,BU605,$AQ$7:$AQ$1576,AQ605,$BO$7:$BO$1576,"&lt;="&amp;BO605),"")</f>
        <v>0.474929901016858</v>
      </c>
      <c r="AS605" s="65" t="n">
        <f aca="false">IF(AR605="",0,MAX(0,MIN(1,(IF(BU605="L1",Parameter!$E$5,Parameter!$E$6+Parameter!$E$7)-(AR605-AN605))/AN605)))</f>
        <v>1</v>
      </c>
      <c r="AT605" s="57" t="n">
        <f aca="false">IF(LEFT(Cockpit!$O$5,1)="A",G605,IF(BW605=1,BX605,IF(LEFT(Cockpit!$O$5,1)="B",AX605,MAX(AX605,G605))))</f>
        <v>783</v>
      </c>
      <c r="AU605" s="57" t="n">
        <f aca="false">IF(BR605=1,0,ROUNDUP(AT605/BQ605,0))</f>
        <v>1</v>
      </c>
      <c r="AV605" s="59" t="n">
        <f aca="false">IF(CD605&gt;0,CD605*MAX(1,AT605/V605),IF(BR605=1,IF(AT605&lt;=0,0,BS605*MAX(1,IF(G605&gt;0,AT605/G605,1))),IF(Q605&gt;0,AU605/Q605,0))/MAX(0.1,N(Parameter!$M$21)))</f>
        <v>0.00505050505050505</v>
      </c>
      <c r="AW605" s="57" t="n">
        <f aca="false">AT605*F605</f>
        <v>70.47</v>
      </c>
      <c r="AX605" s="57" t="n">
        <f aca="false">ROUNDUP(MAX(I605/IF(BV605&gt;0,BV605,MAX(0.1,N(Cockpit!$O$6))),BY605)/BQ605,0)*BQ605</f>
        <v>783</v>
      </c>
      <c r="AY605" s="58" t="n">
        <f aca="false">IF(AV605&gt;0,I605/AV605,-1)</f>
        <v>92268</v>
      </c>
      <c r="AZ605" s="58" t="n">
        <f aca="false">IF(AND(OR(BU605="L1",BU605="L23"),AV605&gt;0),SUMIFS($AV$7:$AV$1576,$BU$7:$BU$1576,BU605,$AY$7:$AY$1576,"&gt;"&amp;AY605)+SUMIFS($AV$7:$AV$1576,$BU$7:$BU$1576,BU605,$AY$7:$AY$1576,AY605,$BO$7:$BO$1576,"&lt;="&amp;BO605),"")</f>
        <v>0.551852977939935</v>
      </c>
      <c r="BA605" s="65" t="n">
        <f aca="false">IF(AZ605="",0,MAX(0,MIN(1,(IF(BU605="L1",Parameter!$E$5,Parameter!$E$6+Parameter!$E$7)-(AZ605-AV605))/AV605)))</f>
        <v>1</v>
      </c>
      <c r="BB605" s="55" t="str">
        <f aca="false">IF(AF605&lt;=0,"",IF(BU605="Aussen","Aussenlager",IF(BU605="-","Nicht im Lift",IF(AK605&gt;=1,"Lift",IF(AK605&lt;=0,"Aussenlager","teilweise")))))</f>
        <v>Lift</v>
      </c>
      <c r="BC605" s="55" t="str">
        <f aca="false">IF(AN605&lt;=0,"",IF(BU605="Aussen","Aussenlager",IF(BU605="-","Nicht im Lift",IF(AS605&gt;=1,"Lift",IF(AS605&lt;=0,"Aussenlager","teilweise")))))</f>
        <v>Lift</v>
      </c>
      <c r="BD605" s="55" t="str">
        <f aca="false">IF(AV605&lt;=0,"",IF(BU605="Aussen","Aussenlager",IF(BU605="-","Nicht im Lift",IF(BA605&gt;=1,"Lift",IF(BA605&lt;=0,"Aussenlager","teilweise")))))</f>
        <v>Lift</v>
      </c>
      <c r="BE605" s="55" t="str">
        <f aca="false">IF(A605="","",IF(BN605=1,"Neu; ","")&amp;IF(AND(BN605=0,BI605&lt;0),"negativer Bestand (Export "&amp;BI605&amp;"); ","")&amp;IF(I605&lt;=0,"Kein Verbrauch; ","")&amp;IF(CD605&gt;0,"Lift "&amp;U605&amp;" lt. Liftbericht (Fach "&amp;V605&amp;" Stk); ",IF(BR605=1,"Lose – Fläche geschätzt; ",""))&amp;IF(G605&gt;AP605,"Überbestand "&amp;ROUND(G605-AP605,0)&amp;" Stk / CHF "&amp;ROUND((G605-AP605)*F605,0)&amp;"; ","")&amp;IF(AND(BW605=1,BX605&lt;BY605),"MAX &lt; MB+LG; ","")&amp;IF(AND(CC605&gt;0,CB605*10&gt;CC605),"zu hoch für Tablar; ","")&amp;IF(AND(BN605=0,OR(BW605=1,Y605&lt;&gt;"",S605&lt;&gt;"",T605&lt;&gt;"",Z605&lt;&gt;"")),"manuell übersteuert; ","")&amp;IF(AND(BR605=0,Q605=0),"Gebinde unbekannt / Stellmass fehlt; ","")&amp;IF(AND(BR605=0,N(T605)&lt;=0,N(P605)&lt;=0),"Menge pro Gebinde fehlt (Ist = 1 Gebinde); ","")&amp;BM605)</f>
        <v/>
      </c>
      <c r="BF605" s="55"/>
      <c r="BG605" s="55"/>
      <c r="BH605" s="62"/>
      <c r="BI605" s="57" t="n">
        <v>18</v>
      </c>
      <c r="BJ605" s="57" t="n">
        <v>426</v>
      </c>
      <c r="BK605" s="56" t="n">
        <v>5.33999999999999</v>
      </c>
      <c r="BL605" s="57" t="n">
        <v>466</v>
      </c>
      <c r="BM605" s="55"/>
      <c r="BN605" s="60" t="n">
        <v>0</v>
      </c>
      <c r="BO605" s="60" t="n">
        <v>605</v>
      </c>
      <c r="BP605" s="55" t="str">
        <f aca="false">IF(S605&lt;&gt;"",UPPER(TRIM(S605)),IF(O605="","LOSE",O605))</f>
        <v>S22</v>
      </c>
      <c r="BQ605" s="57" t="n">
        <f aca="false">IF(BP605="LOSE",1,IF(N(T605)&gt;0,T605,IF(N(P605)&gt;0,P605,MAX(1,G605))))</f>
        <v>783</v>
      </c>
      <c r="BR605" s="60" t="n">
        <f aca="false">IF(BP605="LOSE",1,0)</f>
        <v>0</v>
      </c>
      <c r="BS605" s="59" t="n">
        <f aca="false">IF(BR605=0,0,IF(N(R605)&gt;0,R605,IFERROR(VLOOKUP(D605,Parameter!$A$35:$C$64,3,0)+0,0)))</f>
        <v>0</v>
      </c>
      <c r="BT605" s="55" t="n">
        <f aca="false">IF(Y605&lt;&gt;"",Y605,X605)</f>
        <v>3</v>
      </c>
      <c r="BU605" s="55" t="str">
        <f aca="false">IF(BT605=1,"L1",IF(OR(BT605=2,BT605=3),"L23",IF(BT605="Aussen","Aussen","-")))</f>
        <v>L23</v>
      </c>
      <c r="BV605" s="66" t="n">
        <f aca="false">IF(N(Z605)&gt;0,Z605,0)</f>
        <v>0</v>
      </c>
      <c r="BW605" s="60" t="n">
        <f aca="false">IF(ISNUMBER(AC605),1,0)</f>
        <v>0</v>
      </c>
      <c r="BX605" s="57" t="n">
        <f aca="false">N(AC605)</f>
        <v>0</v>
      </c>
      <c r="BY605" s="57" t="n">
        <f aca="false">N(L605)+N(M605)</f>
        <v>483</v>
      </c>
      <c r="BZ605" s="57" t="n">
        <f aca="false">ROUNDUP(G605/BQ605,0)</f>
        <v>1</v>
      </c>
      <c r="CA605" s="57" t="n">
        <f aca="false">ROUNDUP(BX605/BQ605,0)</f>
        <v>0</v>
      </c>
      <c r="CB605" s="60" t="n">
        <f aca="false">IF(BR605=1,0,IFERROR(VLOOKUP(BP605,'Gebinde-Kategorie'!$A$5:$M$45,5,0)+0,0))</f>
        <v>8</v>
      </c>
      <c r="CC605" s="60" t="n">
        <f aca="false">IFERROR(IF(OR(BT605=1,BT605=2,BT605=3),N(INDEX(Parameter!$I$5:$I$7,BT605)),0),0)</f>
        <v>0</v>
      </c>
      <c r="CD605" s="59" t="n">
        <f aca="false">IF(AND(Parameter!$B$21="Ja",ISNUMBER(U605),N(V605)&gt;0),IFERROR(N(INDEX(Parameter!$L$5:$L$7,U605))*INDEX(Parameter!$E$5:$E$7,U605)*V605/SUMIFS($V$7:$V$1576,$U$7:$U$1576,U605),0),0)</f>
        <v>0</v>
      </c>
    </row>
    <row r="606" customFormat="false" ht="15" hidden="false" customHeight="false" outlineLevel="0" collapsed="false">
      <c r="A606" s="55" t="s">
        <v>1242</v>
      </c>
      <c r="B606" s="55" t="s">
        <v>1243</v>
      </c>
      <c r="C606" s="55" t="s">
        <v>160</v>
      </c>
      <c r="D606" s="55" t="s">
        <v>178</v>
      </c>
      <c r="E606" s="55" t="s">
        <v>210</v>
      </c>
      <c r="F606" s="56" t="n">
        <v>0.03</v>
      </c>
      <c r="G606" s="57" t="n">
        <f aca="false">MAX(0,IF(AND(Parameter!$B$21="Ja",ISNUMBER(W606)),W606,IF(Parameter!$B$20="Jahresanfang 2025 + Export",BJ606+BI606,BI606)))</f>
        <v>175</v>
      </c>
      <c r="H606" s="57" t="n">
        <f aca="false">G606*F606</f>
        <v>5.25</v>
      </c>
      <c r="I606" s="57" t="n">
        <f aca="false">BL606*Parameter!$B$18</f>
        <v>302</v>
      </c>
      <c r="J606" s="58" t="n">
        <v>220.5</v>
      </c>
      <c r="K606" s="59" t="n">
        <v>1.36961451247166</v>
      </c>
      <c r="L606" s="57" t="n">
        <v>17</v>
      </c>
      <c r="M606" s="57" t="n">
        <v>500</v>
      </c>
      <c r="N606" s="60" t="n">
        <v>21</v>
      </c>
      <c r="O606" s="55" t="s">
        <v>416</v>
      </c>
      <c r="P606" s="57" t="n">
        <v>300</v>
      </c>
      <c r="Q606" s="60" t="n">
        <f aca="false">IF(BR606=1,0,IFERROR(VLOOKUP(BP606,'Gebinde-Kategorie'!$A$5:$M$45,13,0)+0,0))</f>
        <v>198</v>
      </c>
      <c r="R606" s="61"/>
      <c r="S606" s="62"/>
      <c r="T606" s="62"/>
      <c r="U606" s="55"/>
      <c r="V606" s="57"/>
      <c r="W606" s="57"/>
      <c r="X606" s="55" t="n">
        <f aca="false">IF(A606="","",IF(AND(Parameter!$B$21="Ja",ISNUMBER(U606)),U606,IF(IFERROR(VLOOKUP(D606,Parameter!$A$35:$C$64,2,0),"Nein")="2+3",IF(ISNUMBER(SEARCH("grosser Artikel",BM606)),2,IFERROR(VLOOKUP(BP606,Parameter!$F$35:$G$64,2,0),2)),IF(OR(IFERROR(VLOOKUP(D606,Parameter!$A$35:$C$64,2,0),"Nein")="Nein",IFERROR(VLOOKUP(D606,Parameter!$A$35:$C$64,2,0),"Nein")=""),"-",VLOOKUP(D606,Parameter!$A$35:$C$64,2,0)))))</f>
        <v>3</v>
      </c>
      <c r="Y606" s="62"/>
      <c r="Z606" s="63"/>
      <c r="AA606" s="57" t="n">
        <f aca="false">AP606</f>
        <v>600</v>
      </c>
      <c r="AB606" s="57" t="n">
        <f aca="false">MAX(AP606,G606)</f>
        <v>600</v>
      </c>
      <c r="AC606" s="64"/>
      <c r="AD606" s="57" t="n">
        <f aca="false">IF(LEFT(Cockpit!$C$5,1)="A",G606,IF(BW606=1,BX606,IF(LEFT(Cockpit!$C$5,1)="B",AH606,MAX(AH606,G606))))</f>
        <v>175</v>
      </c>
      <c r="AE606" s="57" t="n">
        <f aca="false">IF(BR606=1,0,ROUNDUP(AD606/BQ606,0))</f>
        <v>1</v>
      </c>
      <c r="AF606" s="59" t="n">
        <f aca="false">IF(CD606&gt;0,CD606*MAX(1,AD606/V606),IF(BR606=1,IF(AD606&lt;=0,0,BS606*MAX(1,IF(G606&gt;0,AD606/G606,1))),IF(Q606&gt;0,AE606/Q606,0))/MAX(0.1,N(Parameter!$M$21)))</f>
        <v>0.00505050505050505</v>
      </c>
      <c r="AG606" s="57" t="n">
        <f aca="false">AD606*F606</f>
        <v>5.25</v>
      </c>
      <c r="AH606" s="57" t="n">
        <f aca="false">ROUNDUP(MAX(I606/IF(BV606&gt;0,BV606,MAX(0.1,N(Cockpit!$C$6))),BY606)/BQ606,0)*BQ606</f>
        <v>600</v>
      </c>
      <c r="AI606" s="58" t="n">
        <f aca="false">IF(AF606&gt;0,I606/AF606,-1)</f>
        <v>59796</v>
      </c>
      <c r="AJ606" s="58" t="n">
        <f aca="false">IF(AND(OR(BU606="L1",BU606="L23"),AF606&gt;0),SUMIFS($AF$7:$AF$1576,$BU$7:$BU$1576,BU606,$AI$7:$AI$1576,"&gt;"&amp;AI606)+SUMIFS($AF$7:$AF$1576,$BU$7:$BU$1576,BU606,$AI$7:$AI$1576,AI606,$BO$7:$BO$1576,"&lt;="&amp;BO606),"")</f>
        <v>0.598966251140164</v>
      </c>
      <c r="AK606" s="65" t="n">
        <f aca="false">IF(AJ606="",0,MAX(0,MIN(1,(IF(BU606="L1",Parameter!$E$5,Parameter!$E$6+Parameter!$E$7)-(AJ606-AF606))/AF606)))</f>
        <v>1</v>
      </c>
      <c r="AL606" s="57" t="n">
        <f aca="false">IF(LEFT(Cockpit!$I$5,1)="A",G606,IF(BW606=1,BX606,IF(LEFT(Cockpit!$I$5,1)="B",AP606,MAX(AP606,G606))))</f>
        <v>600</v>
      </c>
      <c r="AM606" s="57" t="n">
        <f aca="false">IF(BR606=1,0,ROUNDUP(AL606/BQ606,0))</f>
        <v>2</v>
      </c>
      <c r="AN606" s="59" t="n">
        <f aca="false">IF(CD606&gt;0,CD606*MAX(1,AL606/V606),IF(BR606=1,IF(AL606&lt;=0,0,BS606*MAX(1,IF(G606&gt;0,AL606/G606,1))),IF(Q606&gt;0,AM606/Q606,0))/MAX(0.1,N(Parameter!$M$21)))</f>
        <v>0.0101010101010101</v>
      </c>
      <c r="AO606" s="57" t="n">
        <f aca="false">AL606*F606</f>
        <v>18</v>
      </c>
      <c r="AP606" s="57" t="n">
        <f aca="false">ROUNDUP(MAX(I606/IF(BV606&gt;0,BV606,MAX(0.1,N(Cockpit!$I$6))),BY606)/BQ606,0)*BQ606</f>
        <v>600</v>
      </c>
      <c r="AQ606" s="58" t="n">
        <f aca="false">IF(AN606&gt;0,I606/AN606,-1)</f>
        <v>29898</v>
      </c>
      <c r="AR606" s="58" t="n">
        <f aca="false">IF(AND(OR(BU606="L1",BU606="L23"),AN606&gt;0),SUMIFS($AN$7:$AN$1576,$BU$7:$BU$1576,BU606,$AQ$7:$AQ$1576,"&gt;"&amp;AQ606)+SUMIFS($AN$7:$AN$1576,$BU$7:$BU$1576,BU606,$AQ$7:$AQ$1576,AQ606,$BO$7:$BO$1576,"&lt;="&amp;BO606),"")</f>
        <v>2.85800682409378</v>
      </c>
      <c r="AS606" s="65" t="n">
        <f aca="false">IF(AR606="",0,MAX(0,MIN(1,(IF(BU606="L1",Parameter!$E$5,Parameter!$E$6+Parameter!$E$7)-(AR606-AN606))/AN606)))</f>
        <v>1</v>
      </c>
      <c r="AT606" s="57" t="n">
        <f aca="false">IF(LEFT(Cockpit!$O$5,1)="A",G606,IF(BW606=1,BX606,IF(LEFT(Cockpit!$O$5,1)="B",AX606,MAX(AX606,G606))))</f>
        <v>600</v>
      </c>
      <c r="AU606" s="57" t="n">
        <f aca="false">IF(BR606=1,0,ROUNDUP(AT606/BQ606,0))</f>
        <v>2</v>
      </c>
      <c r="AV606" s="59" t="n">
        <f aca="false">IF(CD606&gt;0,CD606*MAX(1,AT606/V606),IF(BR606=1,IF(AT606&lt;=0,0,BS606*MAX(1,IF(G606&gt;0,AT606/G606,1))),IF(Q606&gt;0,AU606/Q606,0))/MAX(0.1,N(Parameter!$M$21)))</f>
        <v>0.0101010101010101</v>
      </c>
      <c r="AW606" s="57" t="n">
        <f aca="false">AT606*F606</f>
        <v>18</v>
      </c>
      <c r="AX606" s="57" t="n">
        <f aca="false">ROUNDUP(MAX(I606/IF(BV606&gt;0,BV606,MAX(0.1,N(Cockpit!$O$6))),BY606)/BQ606,0)*BQ606</f>
        <v>600</v>
      </c>
      <c r="AY606" s="58" t="n">
        <f aca="false">IF(AV606&gt;0,I606/AV606,-1)</f>
        <v>29898</v>
      </c>
      <c r="AZ606" s="58" t="n">
        <f aca="false">IF(AND(OR(BU606="L1",BU606="L23"),AV606&gt;0),SUMIFS($AV$7:$AV$1576,$BU$7:$BU$1576,BU606,$AY$7:$AY$1576,"&gt;"&amp;AY606)+SUMIFS($AV$7:$AV$1576,$BU$7:$BU$1576,BU606,$AY$7:$AY$1576,AY606,$BO$7:$BO$1576,"&lt;="&amp;BO606),"")</f>
        <v>2.62607209215905</v>
      </c>
      <c r="BA606" s="65" t="n">
        <f aca="false">IF(AZ606="",0,MAX(0,MIN(1,(IF(BU606="L1",Parameter!$E$5,Parameter!$E$6+Parameter!$E$7)-(AZ606-AV606))/AV606)))</f>
        <v>1</v>
      </c>
      <c r="BB606" s="55" t="str">
        <f aca="false">IF(AF606&lt;=0,"",IF(BU606="Aussen","Aussenlager",IF(BU606="-","Nicht im Lift",IF(AK606&gt;=1,"Lift",IF(AK606&lt;=0,"Aussenlager","teilweise")))))</f>
        <v>Lift</v>
      </c>
      <c r="BC606" s="55" t="str">
        <f aca="false">IF(AN606&lt;=0,"",IF(BU606="Aussen","Aussenlager",IF(BU606="-","Nicht im Lift",IF(AS606&gt;=1,"Lift",IF(AS606&lt;=0,"Aussenlager","teilweise")))))</f>
        <v>Lift</v>
      </c>
      <c r="BD606" s="55" t="str">
        <f aca="false">IF(AV606&lt;=0,"",IF(BU606="Aussen","Aussenlager",IF(BU606="-","Nicht im Lift",IF(BA606&gt;=1,"Lift",IF(BA606&lt;=0,"Aussenlager","teilweise")))))</f>
        <v>Lift</v>
      </c>
      <c r="BE606" s="55" t="str">
        <f aca="false">IF(A606="","",IF(BN606=1,"Neu; ","")&amp;IF(AND(BN606=0,BI606&lt;0),"negativer Bestand (Export "&amp;BI606&amp;"); ","")&amp;IF(I606&lt;=0,"Kein Verbrauch; ","")&amp;IF(CD606&gt;0,"Lift "&amp;U606&amp;" lt. Liftbericht (Fach "&amp;V606&amp;" Stk); ",IF(BR606=1,"Lose – Fläche geschätzt; ",""))&amp;IF(G606&gt;AP606,"Überbestand "&amp;ROUND(G606-AP606,0)&amp;" Stk / CHF "&amp;ROUND((G606-AP606)*F606,0)&amp;"; ","")&amp;IF(AND(BW606=1,BX606&lt;BY606),"MAX &lt; MB+LG; ","")&amp;IF(AND(CC606&gt;0,CB606*10&gt;CC606),"zu hoch für Tablar; ","")&amp;IF(AND(BN606=0,OR(BW606=1,Y606&lt;&gt;"",S606&lt;&gt;"",T606&lt;&gt;"",Z606&lt;&gt;"")),"manuell übersteuert; ","")&amp;IF(AND(BR606=0,Q606=0),"Gebinde unbekannt / Stellmass fehlt; ","")&amp;IF(AND(BR606=0,N(T606)&lt;=0,N(P606)&lt;=0),"Menge pro Gebinde fehlt (Ist = 1 Gebinde); ","")&amp;BM606)</f>
        <v>nicht im KTL vorhanden</v>
      </c>
      <c r="BF606" s="55"/>
      <c r="BG606" s="55"/>
      <c r="BH606" s="62"/>
      <c r="BI606" s="57" t="n">
        <v>175</v>
      </c>
      <c r="BJ606" s="57" t="n">
        <v>273</v>
      </c>
      <c r="BK606" s="56" t="n">
        <v>5.25</v>
      </c>
      <c r="BL606" s="57" t="n">
        <v>302</v>
      </c>
      <c r="BM606" s="55" t="s">
        <v>222</v>
      </c>
      <c r="BN606" s="60" t="n">
        <v>0</v>
      </c>
      <c r="BO606" s="60" t="n">
        <v>606</v>
      </c>
      <c r="BP606" s="55" t="str">
        <f aca="false">IF(S606&lt;&gt;"",UPPER(TRIM(S606)),IF(O606="","LOSE",O606))</f>
        <v>S22</v>
      </c>
      <c r="BQ606" s="57" t="n">
        <f aca="false">IF(BP606="LOSE",1,IF(N(T606)&gt;0,T606,IF(N(P606)&gt;0,P606,MAX(1,G606))))</f>
        <v>300</v>
      </c>
      <c r="BR606" s="60" t="n">
        <f aca="false">IF(BP606="LOSE",1,0)</f>
        <v>0</v>
      </c>
      <c r="BS606" s="59" t="n">
        <f aca="false">IF(BR606=0,0,IF(N(R606)&gt;0,R606,IFERROR(VLOOKUP(D606,Parameter!$A$35:$C$64,3,0)+0,0)))</f>
        <v>0</v>
      </c>
      <c r="BT606" s="55" t="n">
        <f aca="false">IF(Y606&lt;&gt;"",Y606,X606)</f>
        <v>3</v>
      </c>
      <c r="BU606" s="55" t="str">
        <f aca="false">IF(BT606=1,"L1",IF(OR(BT606=2,BT606=3),"L23",IF(BT606="Aussen","Aussen","-")))</f>
        <v>L23</v>
      </c>
      <c r="BV606" s="66" t="n">
        <f aca="false">IF(N(Z606)&gt;0,Z606,0)</f>
        <v>0</v>
      </c>
      <c r="BW606" s="60" t="n">
        <f aca="false">IF(ISNUMBER(AC606),1,0)</f>
        <v>0</v>
      </c>
      <c r="BX606" s="57" t="n">
        <f aca="false">N(AC606)</f>
        <v>0</v>
      </c>
      <c r="BY606" s="57" t="n">
        <f aca="false">N(L606)+N(M606)</f>
        <v>517</v>
      </c>
      <c r="BZ606" s="57" t="n">
        <f aca="false">ROUNDUP(G606/BQ606,0)</f>
        <v>1</v>
      </c>
      <c r="CA606" s="57" t="n">
        <f aca="false">ROUNDUP(BX606/BQ606,0)</f>
        <v>0</v>
      </c>
      <c r="CB606" s="60" t="n">
        <f aca="false">IF(BR606=1,0,IFERROR(VLOOKUP(BP606,'Gebinde-Kategorie'!$A$5:$M$45,5,0)+0,0))</f>
        <v>8</v>
      </c>
      <c r="CC606" s="60" t="n">
        <f aca="false">IFERROR(IF(OR(BT606=1,BT606=2,BT606=3),N(INDEX(Parameter!$I$5:$I$7,BT606)),0),0)</f>
        <v>0</v>
      </c>
      <c r="CD606" s="59" t="n">
        <f aca="false">IF(AND(Parameter!$B$21="Ja",ISNUMBER(U606),N(V606)&gt;0),IFERROR(N(INDEX(Parameter!$L$5:$L$7,U606))*INDEX(Parameter!$E$5:$E$7,U606)*V606/SUMIFS($V$7:$V$1576,$U$7:$U$1576,U606),0),0)</f>
        <v>0</v>
      </c>
    </row>
    <row r="607" customFormat="false" ht="15" hidden="false" customHeight="false" outlineLevel="0" collapsed="false">
      <c r="A607" s="55" t="s">
        <v>1244</v>
      </c>
      <c r="B607" s="55" t="s">
        <v>457</v>
      </c>
      <c r="C607" s="55" t="s">
        <v>160</v>
      </c>
      <c r="D607" s="55" t="s">
        <v>178</v>
      </c>
      <c r="E607" s="55" t="s">
        <v>210</v>
      </c>
      <c r="F607" s="56" t="n">
        <v>0.2</v>
      </c>
      <c r="G607" s="57" t="n">
        <f aca="false">MAX(0,IF(AND(Parameter!$B$21="Ja",ISNUMBER(W607)),W607,IF(Parameter!$B$20="Jahresanfang 2025 + Export",BJ607+BI607,BI607)))</f>
        <v>26</v>
      </c>
      <c r="H607" s="57" t="n">
        <f aca="false">G607*F607</f>
        <v>5.2</v>
      </c>
      <c r="I607" s="57" t="n">
        <f aca="false">BL607*Parameter!$B$18</f>
        <v>266</v>
      </c>
      <c r="J607" s="58" t="n">
        <v>114.5</v>
      </c>
      <c r="K607" s="59" t="n">
        <v>2.32314410480349</v>
      </c>
      <c r="L607" s="57" t="n">
        <v>10</v>
      </c>
      <c r="M607" s="57" t="n">
        <v>265</v>
      </c>
      <c r="N607" s="60" t="n">
        <v>14</v>
      </c>
      <c r="O607" s="55" t="s">
        <v>411</v>
      </c>
      <c r="P607" s="57" t="n">
        <v>612</v>
      </c>
      <c r="Q607" s="60" t="n">
        <f aca="false">IF(BR607=1,0,IFERROR(VLOOKUP(BP607,'Gebinde-Kategorie'!$A$5:$M$45,13,0)+0,0))</f>
        <v>132</v>
      </c>
      <c r="R607" s="61"/>
      <c r="S607" s="62"/>
      <c r="T607" s="62"/>
      <c r="U607" s="55"/>
      <c r="V607" s="57"/>
      <c r="W607" s="57"/>
      <c r="X607" s="55" t="n">
        <f aca="false">IF(A607="","",IF(AND(Parameter!$B$21="Ja",ISNUMBER(U607)),U607,IF(IFERROR(VLOOKUP(D607,Parameter!$A$35:$C$64,2,0),"Nein")="2+3",IF(ISNUMBER(SEARCH("grosser Artikel",BM607)),2,IFERROR(VLOOKUP(BP607,Parameter!$F$35:$G$64,2,0),2)),IF(OR(IFERROR(VLOOKUP(D607,Parameter!$A$35:$C$64,2,0),"Nein")="Nein",IFERROR(VLOOKUP(D607,Parameter!$A$35:$C$64,2,0),"Nein")=""),"-",VLOOKUP(D607,Parameter!$A$35:$C$64,2,0)))))</f>
        <v>3</v>
      </c>
      <c r="Y607" s="62"/>
      <c r="Z607" s="63"/>
      <c r="AA607" s="57" t="n">
        <f aca="false">AP607</f>
        <v>612</v>
      </c>
      <c r="AB607" s="57" t="n">
        <f aca="false">MAX(AP607,G607)</f>
        <v>612</v>
      </c>
      <c r="AC607" s="64"/>
      <c r="AD607" s="57" t="n">
        <f aca="false">IF(LEFT(Cockpit!$C$5,1)="A",G607,IF(BW607=1,BX607,IF(LEFT(Cockpit!$C$5,1)="B",AH607,MAX(AH607,G607))))</f>
        <v>26</v>
      </c>
      <c r="AE607" s="57" t="n">
        <f aca="false">IF(BR607=1,0,ROUNDUP(AD607/BQ607,0))</f>
        <v>1</v>
      </c>
      <c r="AF607" s="59" t="n">
        <f aca="false">IF(CD607&gt;0,CD607*MAX(1,AD607/V607),IF(BR607=1,IF(AD607&lt;=0,0,BS607*MAX(1,IF(G607&gt;0,AD607/G607,1))),IF(Q607&gt;0,AE607/Q607,0))/MAX(0.1,N(Parameter!$M$21)))</f>
        <v>0.00757575757575758</v>
      </c>
      <c r="AG607" s="57" t="n">
        <f aca="false">AD607*F607</f>
        <v>5.2</v>
      </c>
      <c r="AH607" s="57" t="n">
        <f aca="false">ROUNDUP(MAX(I607/IF(BV607&gt;0,BV607,MAX(0.1,N(Cockpit!$C$6))),BY607)/BQ607,0)*BQ607</f>
        <v>612</v>
      </c>
      <c r="AI607" s="58" t="n">
        <f aca="false">IF(AF607&gt;0,I607/AF607,-1)</f>
        <v>35112</v>
      </c>
      <c r="AJ607" s="58" t="n">
        <f aca="false">IF(AND(OR(BU607="L1",BU607="L23"),AF607&gt;0),SUMIFS($AF$7:$AF$1576,$BU$7:$BU$1576,BU607,$AI$7:$AI$1576,"&gt;"&amp;AI607)+SUMIFS($AF$7:$AF$1576,$BU$7:$BU$1576,BU607,$AI$7:$AI$1576,AI607,$BO$7:$BO$1576,"&lt;="&amp;BO607),"")</f>
        <v>1.19589709807101</v>
      </c>
      <c r="AK607" s="65" t="n">
        <f aca="false">IF(AJ607="",0,MAX(0,MIN(1,(IF(BU607="L1",Parameter!$E$5,Parameter!$E$6+Parameter!$E$7)-(AJ607-AF607))/AF607)))</f>
        <v>1</v>
      </c>
      <c r="AL607" s="57" t="n">
        <f aca="false">IF(LEFT(Cockpit!$I$5,1)="A",G607,IF(BW607=1,BX607,IF(LEFT(Cockpit!$I$5,1)="B",AP607,MAX(AP607,G607))))</f>
        <v>612</v>
      </c>
      <c r="AM607" s="57" t="n">
        <f aca="false">IF(BR607=1,0,ROUNDUP(AL607/BQ607,0))</f>
        <v>1</v>
      </c>
      <c r="AN607" s="59" t="n">
        <f aca="false">IF(CD607&gt;0,CD607*MAX(1,AL607/V607),IF(BR607=1,IF(AL607&lt;=0,0,BS607*MAX(1,IF(G607&gt;0,AL607/G607,1))),IF(Q607&gt;0,AM607/Q607,0))/MAX(0.1,N(Parameter!$M$21)))</f>
        <v>0.00757575757575758</v>
      </c>
      <c r="AO607" s="57" t="n">
        <f aca="false">AL607*F607</f>
        <v>122.4</v>
      </c>
      <c r="AP607" s="57" t="n">
        <f aca="false">ROUNDUP(MAX(I607/IF(BV607&gt;0,BV607,MAX(0.1,N(Cockpit!$I$6))),BY607)/BQ607,0)*BQ607</f>
        <v>612</v>
      </c>
      <c r="AQ607" s="58" t="n">
        <f aca="false">IF(AN607&gt;0,I607/AN607,-1)</f>
        <v>35112</v>
      </c>
      <c r="AR607" s="58" t="n">
        <f aca="false">IF(AND(OR(BU607="L1",BU607="L23"),AN607&gt;0),SUMIFS($AN$7:$AN$1576,$BU$7:$BU$1576,BU607,$AQ$7:$AQ$1576,"&gt;"&amp;AQ607)+SUMIFS($AN$7:$AN$1576,$BU$7:$BU$1576,BU607,$AQ$7:$AQ$1576,AQ607,$BO$7:$BO$1576,"&lt;="&amp;BO607),"")</f>
        <v>2.52314381270903</v>
      </c>
      <c r="AS607" s="65" t="n">
        <f aca="false">IF(AR607="",0,MAX(0,MIN(1,(IF(BU607="L1",Parameter!$E$5,Parameter!$E$6+Parameter!$E$7)-(AR607-AN607))/AN607)))</f>
        <v>1</v>
      </c>
      <c r="AT607" s="57" t="n">
        <f aca="false">IF(LEFT(Cockpit!$O$5,1)="A",G607,IF(BW607=1,BX607,IF(LEFT(Cockpit!$O$5,1)="B",AX607,MAX(AX607,G607))))</f>
        <v>612</v>
      </c>
      <c r="AU607" s="57" t="n">
        <f aca="false">IF(BR607=1,0,ROUNDUP(AT607/BQ607,0))</f>
        <v>1</v>
      </c>
      <c r="AV607" s="59" t="n">
        <f aca="false">IF(CD607&gt;0,CD607*MAX(1,AT607/V607),IF(BR607=1,IF(AT607&lt;=0,0,BS607*MAX(1,IF(G607&gt;0,AT607/G607,1))),IF(Q607&gt;0,AU607/Q607,0))/MAX(0.1,N(Parameter!$M$21)))</f>
        <v>0.00757575757575758</v>
      </c>
      <c r="AW607" s="57" t="n">
        <f aca="false">AT607*F607</f>
        <v>122.4</v>
      </c>
      <c r="AX607" s="57" t="n">
        <f aca="false">ROUNDUP(MAX(I607/IF(BV607&gt;0,BV607,MAX(0.1,N(Cockpit!$O$6))),BY607)/BQ607,0)*BQ607</f>
        <v>612</v>
      </c>
      <c r="AY607" s="58" t="n">
        <f aca="false">IF(AV607&gt;0,I607/AV607,-1)</f>
        <v>35112</v>
      </c>
      <c r="AZ607" s="58" t="n">
        <f aca="false">IF(AND(OR(BU607="L1",BU607="L23"),AV607&gt;0),SUMIFS($AV$7:$AV$1576,$BU$7:$BU$1576,BU607,$AY$7:$AY$1576,"&gt;"&amp;AY607)+SUMIFS($AV$7:$AV$1576,$BU$7:$BU$1576,BU607,$AY$7:$AY$1576,AY607,$BO$7:$BO$1576,"&lt;="&amp;BO607),"")</f>
        <v>2.32967061923584</v>
      </c>
      <c r="BA607" s="65" t="n">
        <f aca="false">IF(AZ607="",0,MAX(0,MIN(1,(IF(BU607="L1",Parameter!$E$5,Parameter!$E$6+Parameter!$E$7)-(AZ607-AV607))/AV607)))</f>
        <v>1</v>
      </c>
      <c r="BB607" s="55" t="str">
        <f aca="false">IF(AF607&lt;=0,"",IF(BU607="Aussen","Aussenlager",IF(BU607="-","Nicht im Lift",IF(AK607&gt;=1,"Lift",IF(AK607&lt;=0,"Aussenlager","teilweise")))))</f>
        <v>Lift</v>
      </c>
      <c r="BC607" s="55" t="str">
        <f aca="false">IF(AN607&lt;=0,"",IF(BU607="Aussen","Aussenlager",IF(BU607="-","Nicht im Lift",IF(AS607&gt;=1,"Lift",IF(AS607&lt;=0,"Aussenlager","teilweise")))))</f>
        <v>Lift</v>
      </c>
      <c r="BD607" s="55" t="str">
        <f aca="false">IF(AV607&lt;=0,"",IF(BU607="Aussen","Aussenlager",IF(BU607="-","Nicht im Lift",IF(BA607&gt;=1,"Lift",IF(BA607&lt;=0,"Aussenlager","teilweise")))))</f>
        <v>Lift</v>
      </c>
      <c r="BE607" s="55" t="str">
        <f aca="false">IF(A607="","",IF(BN607=1,"Neu; ","")&amp;IF(AND(BN607=0,BI607&lt;0),"negativer Bestand (Export "&amp;BI607&amp;"); ","")&amp;IF(I607&lt;=0,"Kein Verbrauch; ","")&amp;IF(CD607&gt;0,"Lift "&amp;U607&amp;" lt. Liftbericht (Fach "&amp;V607&amp;" Stk); ",IF(BR607=1,"Lose – Fläche geschätzt; ",""))&amp;IF(G607&gt;AP607,"Überbestand "&amp;ROUND(G607-AP607,0)&amp;" Stk / CHF "&amp;ROUND((G607-AP607)*F607,0)&amp;"; ","")&amp;IF(AND(BW607=1,BX607&lt;BY607),"MAX &lt; MB+LG; ","")&amp;IF(AND(CC607&gt;0,CB607*10&gt;CC607),"zu hoch für Tablar; ","")&amp;IF(AND(BN607=0,OR(BW607=1,Y607&lt;&gt;"",S607&lt;&gt;"",T607&lt;&gt;"",Z607&lt;&gt;"")),"manuell übersteuert; ","")&amp;IF(AND(BR607=0,Q607=0),"Gebinde unbekannt / Stellmass fehlt; ","")&amp;IF(AND(BR607=0,N(T607)&lt;=0,N(P607)&lt;=0),"Menge pro Gebinde fehlt (Ist = 1 Gebinde); ","")&amp;BM607)</f>
        <v/>
      </c>
      <c r="BF607" s="55"/>
      <c r="BG607" s="55"/>
      <c r="BH607" s="62"/>
      <c r="BI607" s="57" t="n">
        <v>26</v>
      </c>
      <c r="BJ607" s="57" t="n">
        <v>129</v>
      </c>
      <c r="BK607" s="56" t="n">
        <v>5.19999999999998</v>
      </c>
      <c r="BL607" s="57" t="n">
        <v>266</v>
      </c>
      <c r="BM607" s="55"/>
      <c r="BN607" s="60" t="n">
        <v>0</v>
      </c>
      <c r="BO607" s="60" t="n">
        <v>607</v>
      </c>
      <c r="BP607" s="55" t="str">
        <f aca="false">IF(S607&lt;&gt;"",UPPER(TRIM(S607)),IF(O607="","LOSE",O607))</f>
        <v>S32</v>
      </c>
      <c r="BQ607" s="57" t="n">
        <f aca="false">IF(BP607="LOSE",1,IF(N(T607)&gt;0,T607,IF(N(P607)&gt;0,P607,MAX(1,G607))))</f>
        <v>612</v>
      </c>
      <c r="BR607" s="60" t="n">
        <f aca="false">IF(BP607="LOSE",1,0)</f>
        <v>0</v>
      </c>
      <c r="BS607" s="59" t="n">
        <f aca="false">IF(BR607=0,0,IF(N(R607)&gt;0,R607,IFERROR(VLOOKUP(D607,Parameter!$A$35:$C$64,3,0)+0,0)))</f>
        <v>0</v>
      </c>
      <c r="BT607" s="55" t="n">
        <f aca="false">IF(Y607&lt;&gt;"",Y607,X607)</f>
        <v>3</v>
      </c>
      <c r="BU607" s="55" t="str">
        <f aca="false">IF(BT607=1,"L1",IF(OR(BT607=2,BT607=3),"L23",IF(BT607="Aussen","Aussen","-")))</f>
        <v>L23</v>
      </c>
      <c r="BV607" s="66" t="n">
        <f aca="false">IF(N(Z607)&gt;0,Z607,0)</f>
        <v>0</v>
      </c>
      <c r="BW607" s="60" t="n">
        <f aca="false">IF(ISNUMBER(AC607),1,0)</f>
        <v>0</v>
      </c>
      <c r="BX607" s="57" t="n">
        <f aca="false">N(AC607)</f>
        <v>0</v>
      </c>
      <c r="BY607" s="57" t="n">
        <f aca="false">N(L607)+N(M607)</f>
        <v>275</v>
      </c>
      <c r="BZ607" s="57" t="n">
        <f aca="false">ROUNDUP(G607/BQ607,0)</f>
        <v>1</v>
      </c>
      <c r="CA607" s="57" t="n">
        <f aca="false">ROUNDUP(BX607/BQ607,0)</f>
        <v>0</v>
      </c>
      <c r="CB607" s="60" t="n">
        <f aca="false">IF(BR607=1,0,IFERROR(VLOOKUP(BP607,'Gebinde-Kategorie'!$A$5:$M$45,5,0)+0,0))</f>
        <v>8</v>
      </c>
      <c r="CC607" s="60" t="n">
        <f aca="false">IFERROR(IF(OR(BT607=1,BT607=2,BT607=3),N(INDEX(Parameter!$I$5:$I$7,BT607)),0),0)</f>
        <v>0</v>
      </c>
      <c r="CD607" s="59" t="n">
        <f aca="false">IF(AND(Parameter!$B$21="Ja",ISNUMBER(U607),N(V607)&gt;0),IFERROR(N(INDEX(Parameter!$L$5:$L$7,U607))*INDEX(Parameter!$E$5:$E$7,U607)*V607/SUMIFS($V$7:$V$1576,$U$7:$U$1576,U607),0),0)</f>
        <v>0</v>
      </c>
    </row>
    <row r="608" customFormat="false" ht="15" hidden="false" customHeight="false" outlineLevel="0" collapsed="false">
      <c r="A608" s="55" t="s">
        <v>1245</v>
      </c>
      <c r="B608" s="55" t="s">
        <v>1200</v>
      </c>
      <c r="C608" s="55" t="s">
        <v>160</v>
      </c>
      <c r="D608" s="55" t="s">
        <v>178</v>
      </c>
      <c r="E608" s="55" t="s">
        <v>210</v>
      </c>
      <c r="F608" s="56" t="n">
        <v>0.85</v>
      </c>
      <c r="G608" s="57" t="n">
        <f aca="false">MAX(0,IF(AND(Parameter!$B$21="Ja",ISNUMBER(W608)),W608,IF(Parameter!$B$20="Jahresanfang 2025 + Export",BJ608+BI608,BI608)))</f>
        <v>4</v>
      </c>
      <c r="H608" s="57" t="n">
        <f aca="false">G608*F608</f>
        <v>3.4</v>
      </c>
      <c r="I608" s="57" t="n">
        <f aca="false">BL608*Parameter!$B$18</f>
        <v>0</v>
      </c>
      <c r="J608" s="58" t="n">
        <v>18</v>
      </c>
      <c r="K608" s="59" t="n">
        <v>0</v>
      </c>
      <c r="L608" s="57" t="n">
        <v>0</v>
      </c>
      <c r="M608" s="57" t="n">
        <v>1</v>
      </c>
      <c r="N608" s="60" t="n">
        <v>42</v>
      </c>
      <c r="O608" s="55" t="s">
        <v>411</v>
      </c>
      <c r="P608" s="57" t="n">
        <v>16</v>
      </c>
      <c r="Q608" s="60" t="n">
        <f aca="false">IF(BR608=1,0,IFERROR(VLOOKUP(BP608,'Gebinde-Kategorie'!$A$5:$M$45,13,0)+0,0))</f>
        <v>132</v>
      </c>
      <c r="R608" s="61"/>
      <c r="S608" s="62"/>
      <c r="T608" s="62"/>
      <c r="U608" s="55"/>
      <c r="V608" s="57"/>
      <c r="W608" s="57"/>
      <c r="X608" s="55" t="n">
        <f aca="false">IF(A608="","",IF(AND(Parameter!$B$21="Ja",ISNUMBER(U608)),U608,IF(IFERROR(VLOOKUP(D608,Parameter!$A$35:$C$64,2,0),"Nein")="2+3",IF(ISNUMBER(SEARCH("grosser Artikel",BM608)),2,IFERROR(VLOOKUP(BP608,Parameter!$F$35:$G$64,2,0),2)),IF(OR(IFERROR(VLOOKUP(D608,Parameter!$A$35:$C$64,2,0),"Nein")="Nein",IFERROR(VLOOKUP(D608,Parameter!$A$35:$C$64,2,0),"Nein")=""),"-",VLOOKUP(D608,Parameter!$A$35:$C$64,2,0)))))</f>
        <v>3</v>
      </c>
      <c r="Y608" s="62"/>
      <c r="Z608" s="63"/>
      <c r="AA608" s="57" t="n">
        <f aca="false">AP608</f>
        <v>16</v>
      </c>
      <c r="AB608" s="57" t="n">
        <f aca="false">MAX(AP608,G608)</f>
        <v>16</v>
      </c>
      <c r="AC608" s="64"/>
      <c r="AD608" s="57" t="n">
        <f aca="false">IF(LEFT(Cockpit!$C$5,1)="A",G608,IF(BW608=1,BX608,IF(LEFT(Cockpit!$C$5,1)="B",AH608,MAX(AH608,G608))))</f>
        <v>4</v>
      </c>
      <c r="AE608" s="57" t="n">
        <f aca="false">IF(BR608=1,0,ROUNDUP(AD608/BQ608,0))</f>
        <v>1</v>
      </c>
      <c r="AF608" s="59" t="n">
        <f aca="false">IF(CD608&gt;0,CD608*MAX(1,AD608/V608),IF(BR608=1,IF(AD608&lt;=0,0,BS608*MAX(1,IF(G608&gt;0,AD608/G608,1))),IF(Q608&gt;0,AE608/Q608,0))/MAX(0.1,N(Parameter!$M$21)))</f>
        <v>0.00757575757575758</v>
      </c>
      <c r="AG608" s="57" t="n">
        <f aca="false">AD608*F608</f>
        <v>3.4</v>
      </c>
      <c r="AH608" s="57" t="n">
        <f aca="false">ROUNDUP(MAX(I608/IF(BV608&gt;0,BV608,MAX(0.1,N(Cockpit!$C$6))),BY608)/BQ608,0)*BQ608</f>
        <v>16</v>
      </c>
      <c r="AI608" s="58" t="n">
        <f aca="false">IF(AF608&gt;0,I608/AF608,-1)</f>
        <v>0</v>
      </c>
      <c r="AJ608" s="58" t="n">
        <f aca="false">IF(AND(OR(BU608="L1",BU608="L23"),AF608&gt;0),SUMIFS($AF$7:$AF$1576,$BU$7:$BU$1576,BU608,$AI$7:$AI$1576,"&gt;"&amp;AI608)+SUMIFS($AF$7:$AF$1576,$BU$7:$BU$1576,BU608,$AI$7:$AI$1576,AI608,$BO$7:$BO$1576,"&lt;="&amp;BO608),"")</f>
        <v>44.5073831965136</v>
      </c>
      <c r="AK608" s="65" t="n">
        <f aca="false">IF(AJ608="",0,MAX(0,MIN(1,(IF(BU608="L1",Parameter!$E$5,Parameter!$E$6+Parameter!$E$7)-(AJ608-AF608))/AF608)))</f>
        <v>1</v>
      </c>
      <c r="AL608" s="57" t="n">
        <f aca="false">IF(LEFT(Cockpit!$I$5,1)="A",G608,IF(BW608=1,BX608,IF(LEFT(Cockpit!$I$5,1)="B",AP608,MAX(AP608,G608))))</f>
        <v>16</v>
      </c>
      <c r="AM608" s="57" t="n">
        <f aca="false">IF(BR608=1,0,ROUNDUP(AL608/BQ608,0))</f>
        <v>1</v>
      </c>
      <c r="AN608" s="59" t="n">
        <f aca="false">IF(CD608&gt;0,CD608*MAX(1,AL608/V608),IF(BR608=1,IF(AL608&lt;=0,0,BS608*MAX(1,IF(G608&gt;0,AL608/G608,1))),IF(Q608&gt;0,AM608/Q608,0))/MAX(0.1,N(Parameter!$M$21)))</f>
        <v>0.00757575757575758</v>
      </c>
      <c r="AO608" s="57" t="n">
        <f aca="false">AL608*F608</f>
        <v>13.6</v>
      </c>
      <c r="AP608" s="57" t="n">
        <f aca="false">ROUNDUP(MAX(I608/IF(BV608&gt;0,BV608,MAX(0.1,N(Cockpit!$I$6))),BY608)/BQ608,0)*BQ608</f>
        <v>16</v>
      </c>
      <c r="AQ608" s="58" t="n">
        <f aca="false">IF(AN608&gt;0,I608/AN608,-1)</f>
        <v>0</v>
      </c>
      <c r="AR608" s="58" t="n">
        <f aca="false">IF(AND(OR(BU608="L1",BU608="L23"),AN608&gt;0),SUMIFS($AN$7:$AN$1576,$BU$7:$BU$1576,BU608,$AQ$7:$AQ$1576,"&gt;"&amp;AQ608)+SUMIFS($AN$7:$AN$1576,$BU$7:$BU$1576,BU608,$AQ$7:$AQ$1576,AQ608,$BO$7:$BO$1576,"&lt;="&amp;BO608),"")</f>
        <v>127.504169315032</v>
      </c>
      <c r="AS608" s="65" t="n">
        <f aca="false">IF(AR608="",0,MAX(0,MIN(1,(IF(BU608="L1",Parameter!$E$5,Parameter!$E$6+Parameter!$E$7)-(AR608-AN608))/AN608)))</f>
        <v>0</v>
      </c>
      <c r="AT608" s="57" t="n">
        <f aca="false">IF(LEFT(Cockpit!$O$5,1)="A",G608,IF(BW608=1,BX608,IF(LEFT(Cockpit!$O$5,1)="B",AX608,MAX(AX608,G608))))</f>
        <v>16</v>
      </c>
      <c r="AU608" s="57" t="n">
        <f aca="false">IF(BR608=1,0,ROUNDUP(AT608/BQ608,0))</f>
        <v>1</v>
      </c>
      <c r="AV608" s="59" t="n">
        <f aca="false">IF(CD608&gt;0,CD608*MAX(1,AT608/V608),IF(BR608=1,IF(AT608&lt;=0,0,BS608*MAX(1,IF(G608&gt;0,AT608/G608,1))),IF(Q608&gt;0,AU608/Q608,0))/MAX(0.1,N(Parameter!$M$21)))</f>
        <v>0.00757575757575758</v>
      </c>
      <c r="AW608" s="57" t="n">
        <f aca="false">AT608*F608</f>
        <v>13.6</v>
      </c>
      <c r="AX608" s="57" t="n">
        <f aca="false">ROUNDUP(MAX(I608/IF(BV608&gt;0,BV608,MAX(0.1,N(Cockpit!$O$6))),BY608)/BQ608,0)*BQ608</f>
        <v>16</v>
      </c>
      <c r="AY608" s="58" t="n">
        <f aca="false">IF(AV608&gt;0,I608/AV608,-1)</f>
        <v>0</v>
      </c>
      <c r="AZ608" s="58" t="n">
        <f aca="false">IF(AND(OR(BU608="L1",BU608="L23"),AV608&gt;0),SUMIFS($AV$7:$AV$1576,$BU$7:$BU$1576,BU608,$AY$7:$AY$1576,"&gt;"&amp;AY608)+SUMIFS($AV$7:$AV$1576,$BU$7:$BU$1576,BU608,$AY$7:$AY$1576,AY608,$BO$7:$BO$1576,"&lt;="&amp;BO608),"")</f>
        <v>117.563719764582</v>
      </c>
      <c r="BA608" s="65" t="n">
        <f aca="false">IF(AZ608="",0,MAX(0,MIN(1,(IF(BU608="L1",Parameter!$E$5,Parameter!$E$6+Parameter!$E$7)-(AZ608-AV608))/AV608)))</f>
        <v>0</v>
      </c>
      <c r="BB608" s="55" t="str">
        <f aca="false">IF(AF608&lt;=0,"",IF(BU608="Aussen","Aussenlager",IF(BU608="-","Nicht im Lift",IF(AK608&gt;=1,"Lift",IF(AK608&lt;=0,"Aussenlager","teilweise")))))</f>
        <v>Lift</v>
      </c>
      <c r="BC608" s="55" t="str">
        <f aca="false">IF(AN608&lt;=0,"",IF(BU608="Aussen","Aussenlager",IF(BU608="-","Nicht im Lift",IF(AS608&gt;=1,"Lift",IF(AS608&lt;=0,"Aussenlager","teilweise")))))</f>
        <v>Aussenlager</v>
      </c>
      <c r="BD608" s="55" t="str">
        <f aca="false">IF(AV608&lt;=0,"",IF(BU608="Aussen","Aussenlager",IF(BU608="-","Nicht im Lift",IF(BA608&gt;=1,"Lift",IF(BA608&lt;=0,"Aussenlager","teilweise")))))</f>
        <v>Aussenlager</v>
      </c>
      <c r="BE608" s="55" t="str">
        <f aca="false">IF(A608="","",IF(BN608=1,"Neu; ","")&amp;IF(AND(BN608=0,BI608&lt;0),"negativer Bestand (Export "&amp;BI608&amp;"); ","")&amp;IF(I608&lt;=0,"Kein Verbrauch; ","")&amp;IF(CD608&gt;0,"Lift "&amp;U608&amp;" lt. Liftbericht (Fach "&amp;V608&amp;" Stk); ",IF(BR608=1,"Lose – Fläche geschätzt; ",""))&amp;IF(G608&gt;AP608,"Überbestand "&amp;ROUND(G608-AP608,0)&amp;" Stk / CHF "&amp;ROUND((G608-AP608)*F608,0)&amp;"; ","")&amp;IF(AND(BW608=1,BX608&lt;BY608),"MAX &lt; MB+LG; ","")&amp;IF(AND(CC608&gt;0,CB608*10&gt;CC608),"zu hoch für Tablar; ","")&amp;IF(AND(BN608=0,OR(BW608=1,Y608&lt;&gt;"",S608&lt;&gt;"",T608&lt;&gt;"",Z608&lt;&gt;"")),"manuell übersteuert; ","")&amp;IF(AND(BR608=0,Q608=0),"Gebinde unbekannt / Stellmass fehlt; ","")&amp;IF(AND(BR608=0,N(T608)&lt;=0,N(P608)&lt;=0),"Menge pro Gebinde fehlt (Ist = 1 Gebinde); ","")&amp;BM608)</f>
        <v>Kein Verbrauch; Überbestand</v>
      </c>
      <c r="BF608" s="55"/>
      <c r="BG608" s="55"/>
      <c r="BH608" s="62"/>
      <c r="BI608" s="57" t="n">
        <v>4</v>
      </c>
      <c r="BJ608" s="57" t="n">
        <v>16</v>
      </c>
      <c r="BK608" s="56" t="n">
        <v>5</v>
      </c>
      <c r="BL608" s="57" t="n">
        <v>0</v>
      </c>
      <c r="BM608" s="55" t="s">
        <v>382</v>
      </c>
      <c r="BN608" s="60" t="n">
        <v>0</v>
      </c>
      <c r="BO608" s="60" t="n">
        <v>608</v>
      </c>
      <c r="BP608" s="55" t="str">
        <f aca="false">IF(S608&lt;&gt;"",UPPER(TRIM(S608)),IF(O608="","LOSE",O608))</f>
        <v>S32</v>
      </c>
      <c r="BQ608" s="57" t="n">
        <f aca="false">IF(BP608="LOSE",1,IF(N(T608)&gt;0,T608,IF(N(P608)&gt;0,P608,MAX(1,G608))))</f>
        <v>16</v>
      </c>
      <c r="BR608" s="60" t="n">
        <f aca="false">IF(BP608="LOSE",1,0)</f>
        <v>0</v>
      </c>
      <c r="BS608" s="59" t="n">
        <f aca="false">IF(BR608=0,0,IF(N(R608)&gt;0,R608,IFERROR(VLOOKUP(D608,Parameter!$A$35:$C$64,3,0)+0,0)))</f>
        <v>0</v>
      </c>
      <c r="BT608" s="55" t="n">
        <f aca="false">IF(Y608&lt;&gt;"",Y608,X608)</f>
        <v>3</v>
      </c>
      <c r="BU608" s="55" t="str">
        <f aca="false">IF(BT608=1,"L1",IF(OR(BT608=2,BT608=3),"L23",IF(BT608="Aussen","Aussen","-")))</f>
        <v>L23</v>
      </c>
      <c r="BV608" s="66" t="n">
        <f aca="false">IF(N(Z608)&gt;0,Z608,0)</f>
        <v>0</v>
      </c>
      <c r="BW608" s="60" t="n">
        <f aca="false">IF(ISNUMBER(AC608),1,0)</f>
        <v>0</v>
      </c>
      <c r="BX608" s="57" t="n">
        <f aca="false">N(AC608)</f>
        <v>0</v>
      </c>
      <c r="BY608" s="57" t="n">
        <f aca="false">N(L608)+N(M608)</f>
        <v>1</v>
      </c>
      <c r="BZ608" s="57" t="n">
        <f aca="false">ROUNDUP(G608/BQ608,0)</f>
        <v>1</v>
      </c>
      <c r="CA608" s="57" t="n">
        <f aca="false">ROUNDUP(BX608/BQ608,0)</f>
        <v>0</v>
      </c>
      <c r="CB608" s="60" t="n">
        <f aca="false">IF(BR608=1,0,IFERROR(VLOOKUP(BP608,'Gebinde-Kategorie'!$A$5:$M$45,5,0)+0,0))</f>
        <v>8</v>
      </c>
      <c r="CC608" s="60" t="n">
        <f aca="false">IFERROR(IF(OR(BT608=1,BT608=2,BT608=3),N(INDEX(Parameter!$I$5:$I$7,BT608)),0),0)</f>
        <v>0</v>
      </c>
      <c r="CD608" s="59" t="n">
        <f aca="false">IF(AND(Parameter!$B$21="Ja",ISNUMBER(U608),N(V608)&gt;0),IFERROR(N(INDEX(Parameter!$L$5:$L$7,U608))*INDEX(Parameter!$E$5:$E$7,U608)*V608/SUMIFS($V$7:$V$1576,$U$7:$U$1576,U608),0),0)</f>
        <v>0</v>
      </c>
    </row>
    <row r="609" customFormat="false" ht="15" hidden="false" customHeight="false" outlineLevel="0" collapsed="false">
      <c r="A609" s="55" t="s">
        <v>1246</v>
      </c>
      <c r="B609" s="55" t="s">
        <v>643</v>
      </c>
      <c r="C609" s="55" t="s">
        <v>160</v>
      </c>
      <c r="D609" s="55" t="s">
        <v>178</v>
      </c>
      <c r="E609" s="55" t="s">
        <v>210</v>
      </c>
      <c r="F609" s="56" t="n">
        <v>0.01</v>
      </c>
      <c r="G609" s="57" t="n">
        <f aca="false">MAX(0,IF(AND(Parameter!$B$21="Ja",ISNUMBER(W609)),W609,IF(Parameter!$B$20="Jahresanfang 2025 + Export",BJ609+BI609,BI609)))</f>
        <v>495</v>
      </c>
      <c r="H609" s="57" t="n">
        <f aca="false">G609*F609</f>
        <v>4.95</v>
      </c>
      <c r="I609" s="57" t="n">
        <f aca="false">BL609*Parameter!$B$18</f>
        <v>530</v>
      </c>
      <c r="J609" s="58" t="n">
        <v>95.5</v>
      </c>
      <c r="K609" s="59" t="n">
        <v>5.54973821989529</v>
      </c>
      <c r="L609" s="57" t="n">
        <v>30</v>
      </c>
      <c r="M609" s="57" t="n">
        <v>600</v>
      </c>
      <c r="N609" s="60" t="n">
        <v>21</v>
      </c>
      <c r="O609" s="55" t="s">
        <v>465</v>
      </c>
      <c r="P609" s="57" t="n">
        <v>885</v>
      </c>
      <c r="Q609" s="60" t="n">
        <f aca="false">IF(BR609=1,0,IFERROR(VLOOKUP(BP609,'Gebinde-Kategorie'!$A$5:$M$45,13,0)+0,0))</f>
        <v>66</v>
      </c>
      <c r="R609" s="61"/>
      <c r="S609" s="62"/>
      <c r="T609" s="62"/>
      <c r="U609" s="55"/>
      <c r="V609" s="57"/>
      <c r="W609" s="57"/>
      <c r="X609" s="55" t="n">
        <f aca="false">IF(A609="","",IF(AND(Parameter!$B$21="Ja",ISNUMBER(U609)),U609,IF(IFERROR(VLOOKUP(D609,Parameter!$A$35:$C$64,2,0),"Nein")="2+3",IF(ISNUMBER(SEARCH("grosser Artikel",BM609)),2,IFERROR(VLOOKUP(BP609,Parameter!$F$35:$G$64,2,0),2)),IF(OR(IFERROR(VLOOKUP(D609,Parameter!$A$35:$C$64,2,0),"Nein")="Nein",IFERROR(VLOOKUP(D609,Parameter!$A$35:$C$64,2,0),"Nein")=""),"-",VLOOKUP(D609,Parameter!$A$35:$C$64,2,0)))))</f>
        <v>3</v>
      </c>
      <c r="Y609" s="62"/>
      <c r="Z609" s="63"/>
      <c r="AA609" s="57" t="n">
        <f aca="false">AP609</f>
        <v>885</v>
      </c>
      <c r="AB609" s="57" t="n">
        <f aca="false">MAX(AP609,G609)</f>
        <v>885</v>
      </c>
      <c r="AC609" s="64"/>
      <c r="AD609" s="57" t="n">
        <f aca="false">IF(LEFT(Cockpit!$C$5,1)="A",G609,IF(BW609=1,BX609,IF(LEFT(Cockpit!$C$5,1)="B",AH609,MAX(AH609,G609))))</f>
        <v>495</v>
      </c>
      <c r="AE609" s="57" t="n">
        <f aca="false">IF(BR609=1,0,ROUNDUP(AD609/BQ609,0))</f>
        <v>1</v>
      </c>
      <c r="AF609" s="59" t="n">
        <f aca="false">IF(CD609&gt;0,CD609*MAX(1,AD609/V609),IF(BR609=1,IF(AD609&lt;=0,0,BS609*MAX(1,IF(G609&gt;0,AD609/G609,1))),IF(Q609&gt;0,AE609/Q609,0))/MAX(0.1,N(Parameter!$M$21)))</f>
        <v>0.0151515151515152</v>
      </c>
      <c r="AG609" s="57" t="n">
        <f aca="false">AD609*F609</f>
        <v>4.95</v>
      </c>
      <c r="AH609" s="57" t="n">
        <f aca="false">ROUNDUP(MAX(I609/IF(BV609&gt;0,BV609,MAX(0.1,N(Cockpit!$C$6))),BY609)/BQ609,0)*BQ609</f>
        <v>885</v>
      </c>
      <c r="AI609" s="58" t="n">
        <f aca="false">IF(AF609&gt;0,I609/AF609,-1)</f>
        <v>34980</v>
      </c>
      <c r="AJ609" s="58" t="n">
        <f aca="false">IF(AND(OR(BU609="L1",BU609="L23"),AF609&gt;0),SUMIFS($AF$7:$AF$1576,$BU$7:$BU$1576,BU609,$AI$7:$AI$1576,"&gt;"&amp;AI609)+SUMIFS($AF$7:$AF$1576,$BU$7:$BU$1576,BU609,$AI$7:$AI$1576,AI609,$BO$7:$BO$1576,"&lt;="&amp;BO609),"")</f>
        <v>1.21104861322253</v>
      </c>
      <c r="AK609" s="65" t="n">
        <f aca="false">IF(AJ609="",0,MAX(0,MIN(1,(IF(BU609="L1",Parameter!$E$5,Parameter!$E$6+Parameter!$E$7)-(AJ609-AF609))/AF609)))</f>
        <v>1</v>
      </c>
      <c r="AL609" s="57" t="n">
        <f aca="false">IF(LEFT(Cockpit!$I$5,1)="A",G609,IF(BW609=1,BX609,IF(LEFT(Cockpit!$I$5,1)="B",AP609,MAX(AP609,G609))))</f>
        <v>885</v>
      </c>
      <c r="AM609" s="57" t="n">
        <f aca="false">IF(BR609=1,0,ROUNDUP(AL609/BQ609,0))</f>
        <v>1</v>
      </c>
      <c r="AN609" s="59" t="n">
        <f aca="false">IF(CD609&gt;0,CD609*MAX(1,AL609/V609),IF(BR609=1,IF(AL609&lt;=0,0,BS609*MAX(1,IF(G609&gt;0,AL609/G609,1))),IF(Q609&gt;0,AM609/Q609,0))/MAX(0.1,N(Parameter!$M$21)))</f>
        <v>0.0151515151515152</v>
      </c>
      <c r="AO609" s="57" t="n">
        <f aca="false">AL609*F609</f>
        <v>8.85</v>
      </c>
      <c r="AP609" s="57" t="n">
        <f aca="false">ROUNDUP(MAX(I609/IF(BV609&gt;0,BV609,MAX(0.1,N(Cockpit!$I$6))),BY609)/BQ609,0)*BQ609</f>
        <v>885</v>
      </c>
      <c r="AQ609" s="58" t="n">
        <f aca="false">IF(AN609&gt;0,I609/AN609,-1)</f>
        <v>34980</v>
      </c>
      <c r="AR609" s="58" t="n">
        <f aca="false">IF(AND(OR(BU609="L1",BU609="L23"),AN609&gt;0),SUMIFS($AN$7:$AN$1576,$BU$7:$BU$1576,BU609,$AQ$7:$AQ$1576,"&gt;"&amp;AQ609)+SUMIFS($AN$7:$AN$1576,$BU$7:$BU$1576,BU609,$AQ$7:$AQ$1576,AQ609,$BO$7:$BO$1576,"&lt;="&amp;BO609),"")</f>
        <v>2.54334583291105</v>
      </c>
      <c r="AS609" s="65" t="n">
        <f aca="false">IF(AR609="",0,MAX(0,MIN(1,(IF(BU609="L1",Parameter!$E$5,Parameter!$E$6+Parameter!$E$7)-(AR609-AN609))/AN609)))</f>
        <v>1</v>
      </c>
      <c r="AT609" s="57" t="n">
        <f aca="false">IF(LEFT(Cockpit!$O$5,1)="A",G609,IF(BW609=1,BX609,IF(LEFT(Cockpit!$O$5,1)="B",AX609,MAX(AX609,G609))))</f>
        <v>885</v>
      </c>
      <c r="AU609" s="57" t="n">
        <f aca="false">IF(BR609=1,0,ROUNDUP(AT609/BQ609,0))</f>
        <v>1</v>
      </c>
      <c r="AV609" s="59" t="n">
        <f aca="false">IF(CD609&gt;0,CD609*MAX(1,AT609/V609),IF(BR609=1,IF(AT609&lt;=0,0,BS609*MAX(1,IF(G609&gt;0,AT609/G609,1))),IF(Q609&gt;0,AU609/Q609,0))/MAX(0.1,N(Parameter!$M$21)))</f>
        <v>0.0151515151515152</v>
      </c>
      <c r="AW609" s="57" t="n">
        <f aca="false">AT609*F609</f>
        <v>8.85</v>
      </c>
      <c r="AX609" s="57" t="n">
        <f aca="false">ROUNDUP(MAX(I609/IF(BV609&gt;0,BV609,MAX(0.1,N(Cockpit!$O$6))),BY609)/BQ609,0)*BQ609</f>
        <v>885</v>
      </c>
      <c r="AY609" s="58" t="n">
        <f aca="false">IF(AV609&gt;0,I609/AV609,-1)</f>
        <v>34980</v>
      </c>
      <c r="AZ609" s="58" t="n">
        <f aca="false">IF(AND(OR(BU609="L1",BU609="L23"),AV609&gt;0),SUMIFS($AV$7:$AV$1576,$BU$7:$BU$1576,BU609,$AY$7:$AY$1576,"&gt;"&amp;AY609)+SUMIFS($AV$7:$AV$1576,$BU$7:$BU$1576,BU609,$AY$7:$AY$1576,AY609,$BO$7:$BO$1576,"&lt;="&amp;BO609),"")</f>
        <v>2.34987263943786</v>
      </c>
      <c r="BA609" s="65" t="n">
        <f aca="false">IF(AZ609="",0,MAX(0,MIN(1,(IF(BU609="L1",Parameter!$E$5,Parameter!$E$6+Parameter!$E$7)-(AZ609-AV609))/AV609)))</f>
        <v>1</v>
      </c>
      <c r="BB609" s="55" t="str">
        <f aca="false">IF(AF609&lt;=0,"",IF(BU609="Aussen","Aussenlager",IF(BU609="-","Nicht im Lift",IF(AK609&gt;=1,"Lift",IF(AK609&lt;=0,"Aussenlager","teilweise")))))</f>
        <v>Lift</v>
      </c>
      <c r="BC609" s="55" t="str">
        <f aca="false">IF(AN609&lt;=0,"",IF(BU609="Aussen","Aussenlager",IF(BU609="-","Nicht im Lift",IF(AS609&gt;=1,"Lift",IF(AS609&lt;=0,"Aussenlager","teilweise")))))</f>
        <v>Lift</v>
      </c>
      <c r="BD609" s="55" t="str">
        <f aca="false">IF(AV609&lt;=0,"",IF(BU609="Aussen","Aussenlager",IF(BU609="-","Nicht im Lift",IF(BA609&gt;=1,"Lift",IF(BA609&lt;=0,"Aussenlager","teilweise")))))</f>
        <v>Lift</v>
      </c>
      <c r="BE609" s="55" t="str">
        <f aca="false">IF(A609="","",IF(BN609=1,"Neu; ","")&amp;IF(AND(BN609=0,BI609&lt;0),"negativer Bestand (Export "&amp;BI609&amp;"); ","")&amp;IF(I609&lt;=0,"Kein Verbrauch; ","")&amp;IF(CD609&gt;0,"Lift "&amp;U609&amp;" lt. Liftbericht (Fach "&amp;V609&amp;" Stk); ",IF(BR609=1,"Lose – Fläche geschätzt; ",""))&amp;IF(G609&gt;AP609,"Überbestand "&amp;ROUND(G609-AP609,0)&amp;" Stk / CHF "&amp;ROUND((G609-AP609)*F609,0)&amp;"; ","")&amp;IF(AND(BW609=1,BX609&lt;BY609),"MAX &lt; MB+LG; ","")&amp;IF(AND(CC609&gt;0,CB609*10&gt;CC609),"zu hoch für Tablar; ","")&amp;IF(AND(BN609=0,OR(BW609=1,Y609&lt;&gt;"",S609&lt;&gt;"",T609&lt;&gt;"",Z609&lt;&gt;"")),"manuell übersteuert; ","")&amp;IF(AND(BR609=0,Q609=0),"Gebinde unbekannt / Stellmass fehlt; ","")&amp;IF(AND(BR609=0,N(T609)&lt;=0,N(P609)&lt;=0),"Menge pro Gebinde fehlt (Ist = 1 Gebinde); ","")&amp;BM609)</f>
        <v/>
      </c>
      <c r="BF609" s="55"/>
      <c r="BG609" s="55"/>
      <c r="BH609" s="62"/>
      <c r="BI609" s="57" t="n">
        <v>495</v>
      </c>
      <c r="BJ609" s="57" t="n">
        <v>84</v>
      </c>
      <c r="BK609" s="56" t="n">
        <v>4.95</v>
      </c>
      <c r="BL609" s="57" t="n">
        <v>530</v>
      </c>
      <c r="BM609" s="55"/>
      <c r="BN609" s="60" t="n">
        <v>0</v>
      </c>
      <c r="BO609" s="60" t="n">
        <v>609</v>
      </c>
      <c r="BP609" s="55" t="str">
        <f aca="false">IF(S609&lt;&gt;"",UPPER(TRIM(S609)),IF(O609="","LOSE",O609))</f>
        <v>S33</v>
      </c>
      <c r="BQ609" s="57" t="n">
        <f aca="false">IF(BP609="LOSE",1,IF(N(T609)&gt;0,T609,IF(N(P609)&gt;0,P609,MAX(1,G609))))</f>
        <v>885</v>
      </c>
      <c r="BR609" s="60" t="n">
        <f aca="false">IF(BP609="LOSE",1,0)</f>
        <v>0</v>
      </c>
      <c r="BS609" s="59" t="n">
        <f aca="false">IF(BR609=0,0,IF(N(R609)&gt;0,R609,IFERROR(VLOOKUP(D609,Parameter!$A$35:$C$64,3,0)+0,0)))</f>
        <v>0</v>
      </c>
      <c r="BT609" s="55" t="n">
        <f aca="false">IF(Y609&lt;&gt;"",Y609,X609)</f>
        <v>3</v>
      </c>
      <c r="BU609" s="55" t="str">
        <f aca="false">IF(BT609=1,"L1",IF(OR(BT609=2,BT609=3),"L23",IF(BT609="Aussen","Aussen","-")))</f>
        <v>L23</v>
      </c>
      <c r="BV609" s="66" t="n">
        <f aca="false">IF(N(Z609)&gt;0,Z609,0)</f>
        <v>0</v>
      </c>
      <c r="BW609" s="60" t="n">
        <f aca="false">IF(ISNUMBER(AC609),1,0)</f>
        <v>0</v>
      </c>
      <c r="BX609" s="57" t="n">
        <f aca="false">N(AC609)</f>
        <v>0</v>
      </c>
      <c r="BY609" s="57" t="n">
        <f aca="false">N(L609)+N(M609)</f>
        <v>630</v>
      </c>
      <c r="BZ609" s="57" t="n">
        <f aca="false">ROUNDUP(G609/BQ609,0)</f>
        <v>1</v>
      </c>
      <c r="CA609" s="57" t="n">
        <f aca="false">ROUNDUP(BX609/BQ609,0)</f>
        <v>0</v>
      </c>
      <c r="CB609" s="60" t="n">
        <f aca="false">IF(BR609=1,0,IFERROR(VLOOKUP(BP609,'Gebinde-Kategorie'!$A$5:$M$45,5,0)+0,0))</f>
        <v>8</v>
      </c>
      <c r="CC609" s="60" t="n">
        <f aca="false">IFERROR(IF(OR(BT609=1,BT609=2,BT609=3),N(INDEX(Parameter!$I$5:$I$7,BT609)),0),0)</f>
        <v>0</v>
      </c>
      <c r="CD609" s="59" t="n">
        <f aca="false">IF(AND(Parameter!$B$21="Ja",ISNUMBER(U609),N(V609)&gt;0),IFERROR(N(INDEX(Parameter!$L$5:$L$7,U609))*INDEX(Parameter!$E$5:$E$7,U609)*V609/SUMIFS($V$7:$V$1576,$U$7:$U$1576,U609),0),0)</f>
        <v>0</v>
      </c>
    </row>
    <row r="610" customFormat="false" ht="15" hidden="false" customHeight="false" outlineLevel="0" collapsed="false">
      <c r="A610" s="55" t="s">
        <v>1247</v>
      </c>
      <c r="B610" s="55" t="s">
        <v>1248</v>
      </c>
      <c r="C610" s="55" t="s">
        <v>160</v>
      </c>
      <c r="D610" s="55" t="s">
        <v>168</v>
      </c>
      <c r="E610" s="55" t="s">
        <v>210</v>
      </c>
      <c r="F610" s="56" t="n">
        <v>0.33</v>
      </c>
      <c r="G610" s="57" t="n">
        <f aca="false">MAX(0,IF(AND(Parameter!$B$21="Ja",ISNUMBER(W610)),W610,IF(Parameter!$B$20="Jahresanfang 2025 + Export",BJ610+BI610,BI610)))</f>
        <v>15</v>
      </c>
      <c r="H610" s="57" t="n">
        <f aca="false">G610*F610</f>
        <v>4.95</v>
      </c>
      <c r="I610" s="57" t="n">
        <f aca="false">BL610*Parameter!$B$18</f>
        <v>6</v>
      </c>
      <c r="J610" s="58" t="n">
        <v>0</v>
      </c>
      <c r="K610" s="59" t="n">
        <v>0</v>
      </c>
      <c r="L610" s="57" t="n">
        <v>0</v>
      </c>
      <c r="M610" s="57" t="n">
        <v>5</v>
      </c>
      <c r="N610" s="60" t="n">
        <v>21</v>
      </c>
      <c r="O610" s="55" t="s">
        <v>163</v>
      </c>
      <c r="P610" s="57"/>
      <c r="Q610" s="60" t="n">
        <f aca="false">IF(BR610=1,0,IFERROR(VLOOKUP(BP610,'Gebinde-Kategorie'!$A$5:$M$45,13,0)+0,0))</f>
        <v>0</v>
      </c>
      <c r="R610" s="61"/>
      <c r="S610" s="62"/>
      <c r="T610" s="62"/>
      <c r="U610" s="55"/>
      <c r="V610" s="57"/>
      <c r="W610" s="57"/>
      <c r="X610" s="55" t="n">
        <f aca="false">IF(A610="","",IF(AND(Parameter!$B$21="Ja",ISNUMBER(U610)),U610,IF(IFERROR(VLOOKUP(D610,Parameter!$A$35:$C$64,2,0),"Nein")="2+3",IF(ISNUMBER(SEARCH("grosser Artikel",BM610)),2,IFERROR(VLOOKUP(BP610,Parameter!$F$35:$G$64,2,0),2)),IF(OR(IFERROR(VLOOKUP(D610,Parameter!$A$35:$C$64,2,0),"Nein")="Nein",IFERROR(VLOOKUP(D610,Parameter!$A$35:$C$64,2,0),"Nein")=""),"-",VLOOKUP(D610,Parameter!$A$35:$C$64,2,0)))))</f>
        <v>2</v>
      </c>
      <c r="Y610" s="62"/>
      <c r="Z610" s="63"/>
      <c r="AA610" s="57" t="n">
        <f aca="false">AP610</f>
        <v>5</v>
      </c>
      <c r="AB610" s="57" t="n">
        <f aca="false">MAX(AP610,G610)</f>
        <v>15</v>
      </c>
      <c r="AC610" s="64"/>
      <c r="AD610" s="57" t="n">
        <f aca="false">IF(LEFT(Cockpit!$C$5,1)="A",G610,IF(BW610=1,BX610,IF(LEFT(Cockpit!$C$5,1)="B",AH610,MAX(AH610,G610))))</f>
        <v>15</v>
      </c>
      <c r="AE610" s="57" t="n">
        <f aca="false">IF(BR610=1,0,ROUNDUP(AD610/BQ610,0))</f>
        <v>0</v>
      </c>
      <c r="AF610" s="59" t="n">
        <f aca="false">IF(CD610&gt;0,CD610*MAX(1,AD610/V610),IF(BR610=1,IF(AD610&lt;=0,0,BS610*MAX(1,IF(G610&gt;0,AD610/G610,1))),IF(Q610&gt;0,AE610/Q610,0))/MAX(0.1,N(Parameter!$M$21)))</f>
        <v>0.15</v>
      </c>
      <c r="AG610" s="57" t="n">
        <f aca="false">AD610*F610</f>
        <v>4.95</v>
      </c>
      <c r="AH610" s="57" t="n">
        <f aca="false">ROUNDUP(MAX(I610/IF(BV610&gt;0,BV610,MAX(0.1,N(Cockpit!$C$6))),BY610)/BQ610,0)*BQ610</f>
        <v>5</v>
      </c>
      <c r="AI610" s="58" t="n">
        <f aca="false">IF(AF610&gt;0,I610/AF610,-1)</f>
        <v>40</v>
      </c>
      <c r="AJ610" s="58" t="n">
        <f aca="false">IF(AND(OR(BU610="L1",BU610="L23"),AF610&gt;0),SUMIFS($AF$7:$AF$1576,$BU$7:$BU$1576,BU610,$AI$7:$AI$1576,"&gt;"&amp;AI610)+SUMIFS($AF$7:$AF$1576,$BU$7:$BU$1576,BU610,$AI$7:$AI$1576,AI610,$BO$7:$BO$1576,"&lt;="&amp;BO610),"")</f>
        <v>26.0136073105638</v>
      </c>
      <c r="AK610" s="65" t="n">
        <f aca="false">IF(AJ610="",0,MAX(0,MIN(1,(IF(BU610="L1",Parameter!$E$5,Parameter!$E$6+Parameter!$E$7)-(AJ610-AF610))/AF610)))</f>
        <v>1</v>
      </c>
      <c r="AL610" s="57" t="n">
        <f aca="false">IF(LEFT(Cockpit!$I$5,1)="A",G610,IF(BW610=1,BX610,IF(LEFT(Cockpit!$I$5,1)="B",AP610,MAX(AP610,G610))))</f>
        <v>15</v>
      </c>
      <c r="AM610" s="57" t="n">
        <f aca="false">IF(BR610=1,0,ROUNDUP(AL610/BQ610,0))</f>
        <v>0</v>
      </c>
      <c r="AN610" s="59" t="n">
        <f aca="false">IF(CD610&gt;0,CD610*MAX(1,AL610/V610),IF(BR610=1,IF(AL610&lt;=0,0,BS610*MAX(1,IF(G610&gt;0,AL610/G610,1))),IF(Q610&gt;0,AM610/Q610,0))/MAX(0.1,N(Parameter!$M$21)))</f>
        <v>0.15</v>
      </c>
      <c r="AO610" s="57" t="n">
        <f aca="false">AL610*F610</f>
        <v>4.95</v>
      </c>
      <c r="AP610" s="57" t="n">
        <f aca="false">ROUNDUP(MAX(I610/IF(BV610&gt;0,BV610,MAX(0.1,N(Cockpit!$I$6))),BY610)/BQ610,0)*BQ610</f>
        <v>5</v>
      </c>
      <c r="AQ610" s="58" t="n">
        <f aca="false">IF(AN610&gt;0,I610/AN610,-1)</f>
        <v>40</v>
      </c>
      <c r="AR610" s="58" t="n">
        <f aca="false">IF(AND(OR(BU610="L1",BU610="L23"),AN610&gt;0),SUMIFS($AN$7:$AN$1576,$BU$7:$BU$1576,BU610,$AQ$7:$AQ$1576,"&gt;"&amp;AQ610)+SUMIFS($AN$7:$AN$1576,$BU$7:$BU$1576,BU610,$AQ$7:$AQ$1576,AQ610,$BO$7:$BO$1576,"&lt;="&amp;BO610),"")</f>
        <v>90.0285884348496</v>
      </c>
      <c r="AS610" s="65" t="n">
        <f aca="false">IF(AR610="",0,MAX(0,MIN(1,(IF(BU610="L1",Parameter!$E$5,Parameter!$E$6+Parameter!$E$7)-(AR610-AN610))/AN610)))</f>
        <v>1</v>
      </c>
      <c r="AT610" s="57" t="n">
        <f aca="false">IF(LEFT(Cockpit!$O$5,1)="A",G610,IF(BW610=1,BX610,IF(LEFT(Cockpit!$O$5,1)="B",AX610,MAX(AX610,G610))))</f>
        <v>15</v>
      </c>
      <c r="AU610" s="57" t="n">
        <f aca="false">IF(BR610=1,0,ROUNDUP(AT610/BQ610,0))</f>
        <v>0</v>
      </c>
      <c r="AV610" s="59" t="n">
        <f aca="false">IF(CD610&gt;0,CD610*MAX(1,AT610/V610),IF(BR610=1,IF(AT610&lt;=0,0,BS610*MAX(1,IF(G610&gt;0,AT610/G610,1))),IF(Q610&gt;0,AU610/Q610,0))/MAX(0.1,N(Parameter!$M$21)))</f>
        <v>0.15</v>
      </c>
      <c r="AW610" s="57" t="n">
        <f aca="false">AT610*F610</f>
        <v>4.95</v>
      </c>
      <c r="AX610" s="57" t="n">
        <f aca="false">ROUNDUP(MAX(I610/IF(BV610&gt;0,BV610,MAX(0.1,N(Cockpit!$O$6))),BY610)/BQ610,0)*BQ610</f>
        <v>5</v>
      </c>
      <c r="AY610" s="58" t="n">
        <f aca="false">IF(AV610&gt;0,I610/AV610,-1)</f>
        <v>40</v>
      </c>
      <c r="AZ610" s="58" t="n">
        <f aca="false">IF(AND(OR(BU610="L1",BU610="L23"),AV610&gt;0),SUMIFS($AV$7:$AV$1576,$BU$7:$BU$1576,BU610,$AY$7:$AY$1576,"&gt;"&amp;AY610)+SUMIFS($AV$7:$AV$1576,$BU$7:$BU$1576,BU610,$AY$7:$AY$1576,AY610,$BO$7:$BO$1576,"&lt;="&amp;BO610),"")</f>
        <v>81.7381388844</v>
      </c>
      <c r="BA610" s="65" t="n">
        <f aca="false">IF(AZ610="",0,MAX(0,MIN(1,(IF(BU610="L1",Parameter!$E$5,Parameter!$E$6+Parameter!$E$7)-(AZ610-AV610))/AV610)))</f>
        <v>1</v>
      </c>
      <c r="BB610" s="55" t="str">
        <f aca="false">IF(AF610&lt;=0,"",IF(BU610="Aussen","Aussenlager",IF(BU610="-","Nicht im Lift",IF(AK610&gt;=1,"Lift",IF(AK610&lt;=0,"Aussenlager","teilweise")))))</f>
        <v>Lift</v>
      </c>
      <c r="BC610" s="55" t="str">
        <f aca="false">IF(AN610&lt;=0,"",IF(BU610="Aussen","Aussenlager",IF(BU610="-","Nicht im Lift",IF(AS610&gt;=1,"Lift",IF(AS610&lt;=0,"Aussenlager","teilweise")))))</f>
        <v>Lift</v>
      </c>
      <c r="BD610" s="55" t="str">
        <f aca="false">IF(AV610&lt;=0,"",IF(BU610="Aussen","Aussenlager",IF(BU610="-","Nicht im Lift",IF(BA610&gt;=1,"Lift",IF(BA610&lt;=0,"Aussenlager","teilweise")))))</f>
        <v>Lift</v>
      </c>
      <c r="BE610" s="55" t="str">
        <f aca="false">IF(A610="","",IF(BN610=1,"Neu; ","")&amp;IF(AND(BN610=0,BI610&lt;0),"negativer Bestand (Export "&amp;BI610&amp;"); ","")&amp;IF(I610&lt;=0,"Kein Verbrauch; ","")&amp;IF(CD610&gt;0,"Lift "&amp;U610&amp;" lt. Liftbericht (Fach "&amp;V610&amp;" Stk); ",IF(BR610=1,"Lose – Fläche geschätzt; ",""))&amp;IF(G610&gt;AP610,"Überbestand "&amp;ROUND(G610-AP610,0)&amp;" Stk / CHF "&amp;ROUND((G610-AP610)*F610,0)&amp;"; ","")&amp;IF(AND(BW610=1,BX610&lt;BY610),"MAX &lt; MB+LG; ","")&amp;IF(AND(CC610&gt;0,CB610*10&gt;CC610),"zu hoch für Tablar; ","")&amp;IF(AND(BN610=0,OR(BW610=1,Y610&lt;&gt;"",S610&lt;&gt;"",T610&lt;&gt;"",Z610&lt;&gt;"")),"manuell übersteuert; ","")&amp;IF(AND(BR610=0,Q610=0),"Gebinde unbekannt / Stellmass fehlt; ","")&amp;IF(AND(BR610=0,N(T610)&lt;=0,N(P610)&lt;=0),"Menge pro Gebinde fehlt (Ist = 1 Gebinde); ","")&amp;BM610)</f>
        <v>Lose – Fläche geschätzt; Überbestand 10 Stk / CHF 3; </v>
      </c>
      <c r="BF610" s="55"/>
      <c r="BG610" s="55"/>
      <c r="BH610" s="62"/>
      <c r="BI610" s="57" t="n">
        <v>15</v>
      </c>
      <c r="BJ610" s="57" t="n">
        <v>0</v>
      </c>
      <c r="BK610" s="56" t="n">
        <v>4.95</v>
      </c>
      <c r="BL610" s="57" t="n">
        <v>6</v>
      </c>
      <c r="BM610" s="55"/>
      <c r="BN610" s="60" t="n">
        <v>0</v>
      </c>
      <c r="BO610" s="60" t="n">
        <v>610</v>
      </c>
      <c r="BP610" s="55" t="str">
        <f aca="false">IF(S610&lt;&gt;"",UPPER(TRIM(S610)),IF(O610="","LOSE",O610))</f>
        <v>LOSE</v>
      </c>
      <c r="BQ610" s="57" t="n">
        <f aca="false">IF(BP610="LOSE",1,IF(N(T610)&gt;0,T610,IF(N(P610)&gt;0,P610,MAX(1,G610))))</f>
        <v>1</v>
      </c>
      <c r="BR610" s="60" t="n">
        <f aca="false">IF(BP610="LOSE",1,0)</f>
        <v>1</v>
      </c>
      <c r="BS610" s="59" t="n">
        <f aca="false">IF(BR610=0,0,IF(N(R610)&gt;0,R610,IFERROR(VLOOKUP(D610,Parameter!$A$35:$C$64,3,0)+0,0)))</f>
        <v>0.15</v>
      </c>
      <c r="BT610" s="55" t="n">
        <f aca="false">IF(Y610&lt;&gt;"",Y610,X610)</f>
        <v>2</v>
      </c>
      <c r="BU610" s="55" t="str">
        <f aca="false">IF(BT610=1,"L1",IF(OR(BT610=2,BT610=3),"L23",IF(BT610="Aussen","Aussen","-")))</f>
        <v>L23</v>
      </c>
      <c r="BV610" s="66" t="n">
        <f aca="false">IF(N(Z610)&gt;0,Z610,0)</f>
        <v>0</v>
      </c>
      <c r="BW610" s="60" t="n">
        <f aca="false">IF(ISNUMBER(AC610),1,0)</f>
        <v>0</v>
      </c>
      <c r="BX610" s="57" t="n">
        <f aca="false">N(AC610)</f>
        <v>0</v>
      </c>
      <c r="BY610" s="57" t="n">
        <f aca="false">N(L610)+N(M610)</f>
        <v>5</v>
      </c>
      <c r="BZ610" s="57" t="n">
        <f aca="false">ROUNDUP(G610/BQ610,0)</f>
        <v>15</v>
      </c>
      <c r="CA610" s="57" t="n">
        <f aca="false">ROUNDUP(BX610/BQ610,0)</f>
        <v>0</v>
      </c>
      <c r="CB610" s="60" t="n">
        <f aca="false">IF(BR610=1,0,IFERROR(VLOOKUP(BP610,'Gebinde-Kategorie'!$A$5:$M$45,5,0)+0,0))</f>
        <v>0</v>
      </c>
      <c r="CC610" s="60" t="n">
        <f aca="false">IFERROR(IF(OR(BT610=1,BT610=2,BT610=3),N(INDEX(Parameter!$I$5:$I$7,BT610)),0),0)</f>
        <v>0</v>
      </c>
      <c r="CD610" s="59" t="n">
        <f aca="false">IF(AND(Parameter!$B$21="Ja",ISNUMBER(U610),N(V610)&gt;0),IFERROR(N(INDEX(Parameter!$L$5:$L$7,U610))*INDEX(Parameter!$E$5:$E$7,U610)*V610/SUMIFS($V$7:$V$1576,$U$7:$U$1576,U610),0),0)</f>
        <v>0</v>
      </c>
    </row>
    <row r="611" customFormat="false" ht="15" hidden="false" customHeight="false" outlineLevel="0" collapsed="false">
      <c r="A611" s="55" t="s">
        <v>1249</v>
      </c>
      <c r="B611" s="55" t="s">
        <v>395</v>
      </c>
      <c r="C611" s="55" t="s">
        <v>160</v>
      </c>
      <c r="D611" s="55" t="s">
        <v>178</v>
      </c>
      <c r="E611" s="55" t="s">
        <v>210</v>
      </c>
      <c r="F611" s="56" t="n">
        <v>0.06</v>
      </c>
      <c r="G611" s="57" t="n">
        <f aca="false">MAX(0,IF(AND(Parameter!$B$21="Ja",ISNUMBER(W611)),W611,IF(Parameter!$B$20="Jahresanfang 2025 + Export",BJ611+BI611,BI611)))</f>
        <v>81</v>
      </c>
      <c r="H611" s="57" t="n">
        <f aca="false">G611*F611</f>
        <v>4.86</v>
      </c>
      <c r="I611" s="57" t="n">
        <f aca="false">BL611*Parameter!$B$18</f>
        <v>638</v>
      </c>
      <c r="J611" s="58" t="n">
        <v>267.5</v>
      </c>
      <c r="K611" s="59" t="n">
        <v>2.38504672897196</v>
      </c>
      <c r="L611" s="57" t="n">
        <v>37</v>
      </c>
      <c r="M611" s="57" t="n">
        <v>800</v>
      </c>
      <c r="N611" s="60" t="n">
        <v>21</v>
      </c>
      <c r="O611" s="55" t="s">
        <v>465</v>
      </c>
      <c r="P611" s="57" t="n">
        <v>605</v>
      </c>
      <c r="Q611" s="60" t="n">
        <f aca="false">IF(BR611=1,0,IFERROR(VLOOKUP(BP611,'Gebinde-Kategorie'!$A$5:$M$45,13,0)+0,0))</f>
        <v>66</v>
      </c>
      <c r="R611" s="61"/>
      <c r="S611" s="62"/>
      <c r="T611" s="62"/>
      <c r="U611" s="55"/>
      <c r="V611" s="57"/>
      <c r="W611" s="57"/>
      <c r="X611" s="55" t="n">
        <f aca="false">IF(A611="","",IF(AND(Parameter!$B$21="Ja",ISNUMBER(U611)),U611,IF(IFERROR(VLOOKUP(D611,Parameter!$A$35:$C$64,2,0),"Nein")="2+3",IF(ISNUMBER(SEARCH("grosser Artikel",BM611)),2,IFERROR(VLOOKUP(BP611,Parameter!$F$35:$G$64,2,0),2)),IF(OR(IFERROR(VLOOKUP(D611,Parameter!$A$35:$C$64,2,0),"Nein")="Nein",IFERROR(VLOOKUP(D611,Parameter!$A$35:$C$64,2,0),"Nein")=""),"-",VLOOKUP(D611,Parameter!$A$35:$C$64,2,0)))))</f>
        <v>3</v>
      </c>
      <c r="Y611" s="62"/>
      <c r="Z611" s="63"/>
      <c r="AA611" s="57" t="n">
        <f aca="false">AP611</f>
        <v>1210</v>
      </c>
      <c r="AB611" s="57" t="n">
        <f aca="false">MAX(AP611,G611)</f>
        <v>1210</v>
      </c>
      <c r="AC611" s="64"/>
      <c r="AD611" s="57" t="n">
        <f aca="false">IF(LEFT(Cockpit!$C$5,1)="A",G611,IF(BW611=1,BX611,IF(LEFT(Cockpit!$C$5,1)="B",AH611,MAX(AH611,G611))))</f>
        <v>81</v>
      </c>
      <c r="AE611" s="57" t="n">
        <f aca="false">IF(BR611=1,0,ROUNDUP(AD611/BQ611,0))</f>
        <v>1</v>
      </c>
      <c r="AF611" s="59" t="n">
        <f aca="false">IF(CD611&gt;0,CD611*MAX(1,AD611/V611),IF(BR611=1,IF(AD611&lt;=0,0,BS611*MAX(1,IF(G611&gt;0,AD611/G611,1))),IF(Q611&gt;0,AE611/Q611,0))/MAX(0.1,N(Parameter!$M$21)))</f>
        <v>0.0151515151515152</v>
      </c>
      <c r="AG611" s="57" t="n">
        <f aca="false">AD611*F611</f>
        <v>4.86</v>
      </c>
      <c r="AH611" s="57" t="n">
        <f aca="false">ROUNDUP(MAX(I611/IF(BV611&gt;0,BV611,MAX(0.1,N(Cockpit!$C$6))),BY611)/BQ611,0)*BQ611</f>
        <v>1210</v>
      </c>
      <c r="AI611" s="58" t="n">
        <f aca="false">IF(AF611&gt;0,I611/AF611,-1)</f>
        <v>42108</v>
      </c>
      <c r="AJ611" s="58" t="n">
        <f aca="false">IF(AND(OR(BU611="L1",BU611="L23"),AF611&gt;0),SUMIFS($AF$7:$AF$1576,$BU$7:$BU$1576,BU611,$AI$7:$AI$1576,"&gt;"&amp;AI611)+SUMIFS($AF$7:$AF$1576,$BU$7:$BU$1576,BU611,$AI$7:$AI$1576,AI611,$BO$7:$BO$1576,"&lt;="&amp;BO611),"")</f>
        <v>1.1327657849397</v>
      </c>
      <c r="AK611" s="65" t="n">
        <f aca="false">IF(AJ611="",0,MAX(0,MIN(1,(IF(BU611="L1",Parameter!$E$5,Parameter!$E$6+Parameter!$E$7)-(AJ611-AF611))/AF611)))</f>
        <v>1</v>
      </c>
      <c r="AL611" s="57" t="n">
        <f aca="false">IF(LEFT(Cockpit!$I$5,1)="A",G611,IF(BW611=1,BX611,IF(LEFT(Cockpit!$I$5,1)="B",AP611,MAX(AP611,G611))))</f>
        <v>1210</v>
      </c>
      <c r="AM611" s="57" t="n">
        <f aca="false">IF(BR611=1,0,ROUNDUP(AL611/BQ611,0))</f>
        <v>2</v>
      </c>
      <c r="AN611" s="59" t="n">
        <f aca="false">IF(CD611&gt;0,CD611*MAX(1,AL611/V611),IF(BR611=1,IF(AL611&lt;=0,0,BS611*MAX(1,IF(G611&gt;0,AL611/G611,1))),IF(Q611&gt;0,AM611/Q611,0))/MAX(0.1,N(Parameter!$M$21)))</f>
        <v>0.0303030303030303</v>
      </c>
      <c r="AO611" s="57" t="n">
        <f aca="false">AL611*F611</f>
        <v>72.6</v>
      </c>
      <c r="AP611" s="57" t="n">
        <f aca="false">ROUNDUP(MAX(I611/IF(BV611&gt;0,BV611,MAX(0.1,N(Cockpit!$I$6))),BY611)/BQ611,0)*BQ611</f>
        <v>1210</v>
      </c>
      <c r="AQ611" s="58" t="n">
        <f aca="false">IF(AN611&gt;0,I611/AN611,-1)</f>
        <v>21054</v>
      </c>
      <c r="AR611" s="58" t="n">
        <f aca="false">IF(AND(OR(BU611="L1",BU611="L23"),AN611&gt;0),SUMIFS($AN$7:$AN$1576,$BU$7:$BU$1576,BU611,$AQ$7:$AQ$1576,"&gt;"&amp;AQ611)+SUMIFS($AN$7:$AN$1576,$BU$7:$BU$1576,BU611,$AQ$7:$AQ$1576,AQ611,$BO$7:$BO$1576,"&lt;="&amp;BO611),"")</f>
        <v>3.95227492314449</v>
      </c>
      <c r="AS611" s="65" t="n">
        <f aca="false">IF(AR611="",0,MAX(0,MIN(1,(IF(BU611="L1",Parameter!$E$5,Parameter!$E$6+Parameter!$E$7)-(AR611-AN611))/AN611)))</f>
        <v>1</v>
      </c>
      <c r="AT611" s="57" t="n">
        <f aca="false">IF(LEFT(Cockpit!$O$5,1)="A",G611,IF(BW611=1,BX611,IF(LEFT(Cockpit!$O$5,1)="B",AX611,MAX(AX611,G611))))</f>
        <v>1210</v>
      </c>
      <c r="AU611" s="57" t="n">
        <f aca="false">IF(BR611=1,0,ROUNDUP(AT611/BQ611,0))</f>
        <v>2</v>
      </c>
      <c r="AV611" s="59" t="n">
        <f aca="false">IF(CD611&gt;0,CD611*MAX(1,AT611/V611),IF(BR611=1,IF(AT611&lt;=0,0,BS611*MAX(1,IF(G611&gt;0,AT611/G611,1))),IF(Q611&gt;0,AU611/Q611,0))/MAX(0.1,N(Parameter!$M$21)))</f>
        <v>0.0303030303030303</v>
      </c>
      <c r="AW611" s="57" t="n">
        <f aca="false">AT611*F611</f>
        <v>72.6</v>
      </c>
      <c r="AX611" s="57" t="n">
        <f aca="false">ROUNDUP(MAX(I611/IF(BV611&gt;0,BV611,MAX(0.1,N(Cockpit!$O$6))),BY611)/BQ611,0)*BQ611</f>
        <v>1210</v>
      </c>
      <c r="AY611" s="58" t="n">
        <f aca="false">IF(AV611&gt;0,I611/AV611,-1)</f>
        <v>21054</v>
      </c>
      <c r="AZ611" s="58" t="n">
        <f aca="false">IF(AND(OR(BU611="L1",BU611="L23"),AV611&gt;0),SUMIFS($AV$7:$AV$1576,$BU$7:$BU$1576,BU611,$AY$7:$AY$1576,"&gt;"&amp;AY611)+SUMIFS($AV$7:$AV$1576,$BU$7:$BU$1576,BU611,$AY$7:$AY$1576,AY611,$BO$7:$BO$1576,"&lt;="&amp;BO611),"")</f>
        <v>4.29493226580183</v>
      </c>
      <c r="BA611" s="65" t="n">
        <f aca="false">IF(AZ611="",0,MAX(0,MIN(1,(IF(BU611="L1",Parameter!$E$5,Parameter!$E$6+Parameter!$E$7)-(AZ611-AV611))/AV611)))</f>
        <v>1</v>
      </c>
      <c r="BB611" s="55" t="str">
        <f aca="false">IF(AF611&lt;=0,"",IF(BU611="Aussen","Aussenlager",IF(BU611="-","Nicht im Lift",IF(AK611&gt;=1,"Lift",IF(AK611&lt;=0,"Aussenlager","teilweise")))))</f>
        <v>Lift</v>
      </c>
      <c r="BC611" s="55" t="str">
        <f aca="false">IF(AN611&lt;=0,"",IF(BU611="Aussen","Aussenlager",IF(BU611="-","Nicht im Lift",IF(AS611&gt;=1,"Lift",IF(AS611&lt;=0,"Aussenlager","teilweise")))))</f>
        <v>Lift</v>
      </c>
      <c r="BD611" s="55" t="str">
        <f aca="false">IF(AV611&lt;=0,"",IF(BU611="Aussen","Aussenlager",IF(BU611="-","Nicht im Lift",IF(BA611&gt;=1,"Lift",IF(BA611&lt;=0,"Aussenlager","teilweise")))))</f>
        <v>Lift</v>
      </c>
      <c r="BE611" s="55" t="str">
        <f aca="false">IF(A611="","",IF(BN611=1,"Neu; ","")&amp;IF(AND(BN611=0,BI611&lt;0),"negativer Bestand (Export "&amp;BI611&amp;"); ","")&amp;IF(I611&lt;=0,"Kein Verbrauch; ","")&amp;IF(CD611&gt;0,"Lift "&amp;U611&amp;" lt. Liftbericht (Fach "&amp;V611&amp;" Stk); ",IF(BR611=1,"Lose – Fläche geschätzt; ",""))&amp;IF(G611&gt;AP611,"Überbestand "&amp;ROUND(G611-AP611,0)&amp;" Stk / CHF "&amp;ROUND((G611-AP611)*F611,0)&amp;"; ","")&amp;IF(AND(BW611=1,BX611&lt;BY611),"MAX &lt; MB+LG; ","")&amp;IF(AND(CC611&gt;0,CB611*10&gt;CC611),"zu hoch für Tablar; ","")&amp;IF(AND(BN611=0,OR(BW611=1,Y611&lt;&gt;"",S611&lt;&gt;"",T611&lt;&gt;"",Z611&lt;&gt;"")),"manuell übersteuert; ","")&amp;IF(AND(BR611=0,Q611=0),"Gebinde unbekannt / Stellmass fehlt; ","")&amp;IF(AND(BR611=0,N(T611)&lt;=0,N(P611)&lt;=0),"Menge pro Gebinde fehlt (Ist = 1 Gebinde); ","")&amp;BM611)</f>
        <v/>
      </c>
      <c r="BF611" s="55"/>
      <c r="BG611" s="55"/>
      <c r="BH611" s="62"/>
      <c r="BI611" s="57" t="n">
        <v>81</v>
      </c>
      <c r="BJ611" s="57" t="n">
        <v>196</v>
      </c>
      <c r="BK611" s="56" t="n">
        <v>4.86000000000001</v>
      </c>
      <c r="BL611" s="57" t="n">
        <v>638</v>
      </c>
      <c r="BM611" s="55"/>
      <c r="BN611" s="60" t="n">
        <v>0</v>
      </c>
      <c r="BO611" s="60" t="n">
        <v>611</v>
      </c>
      <c r="BP611" s="55" t="str">
        <f aca="false">IF(S611&lt;&gt;"",UPPER(TRIM(S611)),IF(O611="","LOSE",O611))</f>
        <v>S33</v>
      </c>
      <c r="BQ611" s="57" t="n">
        <f aca="false">IF(BP611="LOSE",1,IF(N(T611)&gt;0,T611,IF(N(P611)&gt;0,P611,MAX(1,G611))))</f>
        <v>605</v>
      </c>
      <c r="BR611" s="60" t="n">
        <f aca="false">IF(BP611="LOSE",1,0)</f>
        <v>0</v>
      </c>
      <c r="BS611" s="59" t="n">
        <f aca="false">IF(BR611=0,0,IF(N(R611)&gt;0,R611,IFERROR(VLOOKUP(D611,Parameter!$A$35:$C$64,3,0)+0,0)))</f>
        <v>0</v>
      </c>
      <c r="BT611" s="55" t="n">
        <f aca="false">IF(Y611&lt;&gt;"",Y611,X611)</f>
        <v>3</v>
      </c>
      <c r="BU611" s="55" t="str">
        <f aca="false">IF(BT611=1,"L1",IF(OR(BT611=2,BT611=3),"L23",IF(BT611="Aussen","Aussen","-")))</f>
        <v>L23</v>
      </c>
      <c r="BV611" s="66" t="n">
        <f aca="false">IF(N(Z611)&gt;0,Z611,0)</f>
        <v>0</v>
      </c>
      <c r="BW611" s="60" t="n">
        <f aca="false">IF(ISNUMBER(AC611),1,0)</f>
        <v>0</v>
      </c>
      <c r="BX611" s="57" t="n">
        <f aca="false">N(AC611)</f>
        <v>0</v>
      </c>
      <c r="BY611" s="57" t="n">
        <f aca="false">N(L611)+N(M611)</f>
        <v>837</v>
      </c>
      <c r="BZ611" s="57" t="n">
        <f aca="false">ROUNDUP(G611/BQ611,0)</f>
        <v>1</v>
      </c>
      <c r="CA611" s="57" t="n">
        <f aca="false">ROUNDUP(BX611/BQ611,0)</f>
        <v>0</v>
      </c>
      <c r="CB611" s="60" t="n">
        <f aca="false">IF(BR611=1,0,IFERROR(VLOOKUP(BP611,'Gebinde-Kategorie'!$A$5:$M$45,5,0)+0,0))</f>
        <v>8</v>
      </c>
      <c r="CC611" s="60" t="n">
        <f aca="false">IFERROR(IF(OR(BT611=1,BT611=2,BT611=3),N(INDEX(Parameter!$I$5:$I$7,BT611)),0),0)</f>
        <v>0</v>
      </c>
      <c r="CD611" s="59" t="n">
        <f aca="false">IF(AND(Parameter!$B$21="Ja",ISNUMBER(U611),N(V611)&gt;0),IFERROR(N(INDEX(Parameter!$L$5:$L$7,U611))*INDEX(Parameter!$E$5:$E$7,U611)*V611/SUMIFS($V$7:$V$1576,$U$7:$U$1576,U611),0),0)</f>
        <v>0</v>
      </c>
    </row>
    <row r="612" customFormat="false" ht="15" hidden="false" customHeight="false" outlineLevel="0" collapsed="false">
      <c r="A612" s="55" t="s">
        <v>1250</v>
      </c>
      <c r="B612" s="55" t="s">
        <v>1251</v>
      </c>
      <c r="C612" s="55" t="s">
        <v>160</v>
      </c>
      <c r="D612" s="55" t="s">
        <v>178</v>
      </c>
      <c r="E612" s="55" t="s">
        <v>210</v>
      </c>
      <c r="F612" s="56" t="n">
        <v>0.05</v>
      </c>
      <c r="G612" s="57" t="n">
        <f aca="false">MAX(0,IF(AND(Parameter!$B$21="Ja",ISNUMBER(W612)),W612,IF(Parameter!$B$20="Jahresanfang 2025 + Export",BJ612+BI612,BI612)))</f>
        <v>96</v>
      </c>
      <c r="H612" s="57" t="n">
        <f aca="false">G612*F612</f>
        <v>4.8</v>
      </c>
      <c r="I612" s="57" t="n">
        <f aca="false">BL612*Parameter!$B$18</f>
        <v>0</v>
      </c>
      <c r="J612" s="58" t="n">
        <v>52</v>
      </c>
      <c r="K612" s="59" t="n">
        <v>0</v>
      </c>
      <c r="L612" s="57" t="n">
        <v>0</v>
      </c>
      <c r="M612" s="57" t="n">
        <v>10</v>
      </c>
      <c r="N612" s="60" t="n">
        <v>14</v>
      </c>
      <c r="O612" s="55" t="s">
        <v>416</v>
      </c>
      <c r="P612" s="57" t="n">
        <v>100</v>
      </c>
      <c r="Q612" s="60" t="n">
        <f aca="false">IF(BR612=1,0,IFERROR(VLOOKUP(BP612,'Gebinde-Kategorie'!$A$5:$M$45,13,0)+0,0))</f>
        <v>198</v>
      </c>
      <c r="R612" s="61"/>
      <c r="S612" s="62"/>
      <c r="T612" s="62"/>
      <c r="U612" s="55"/>
      <c r="V612" s="57"/>
      <c r="W612" s="57"/>
      <c r="X612" s="55" t="n">
        <f aca="false">IF(A612="","",IF(AND(Parameter!$B$21="Ja",ISNUMBER(U612)),U612,IF(IFERROR(VLOOKUP(D612,Parameter!$A$35:$C$64,2,0),"Nein")="2+3",IF(ISNUMBER(SEARCH("grosser Artikel",BM612)),2,IFERROR(VLOOKUP(BP612,Parameter!$F$35:$G$64,2,0),2)),IF(OR(IFERROR(VLOOKUP(D612,Parameter!$A$35:$C$64,2,0),"Nein")="Nein",IFERROR(VLOOKUP(D612,Parameter!$A$35:$C$64,2,0),"Nein")=""),"-",VLOOKUP(D612,Parameter!$A$35:$C$64,2,0)))))</f>
        <v>3</v>
      </c>
      <c r="Y612" s="62"/>
      <c r="Z612" s="63"/>
      <c r="AA612" s="57" t="n">
        <f aca="false">AP612</f>
        <v>100</v>
      </c>
      <c r="AB612" s="57" t="n">
        <f aca="false">MAX(AP612,G612)</f>
        <v>100</v>
      </c>
      <c r="AC612" s="64"/>
      <c r="AD612" s="57" t="n">
        <f aca="false">IF(LEFT(Cockpit!$C$5,1)="A",G612,IF(BW612=1,BX612,IF(LEFT(Cockpit!$C$5,1)="B",AH612,MAX(AH612,G612))))</f>
        <v>96</v>
      </c>
      <c r="AE612" s="57" t="n">
        <f aca="false">IF(BR612=1,0,ROUNDUP(AD612/BQ612,0))</f>
        <v>1</v>
      </c>
      <c r="AF612" s="59" t="n">
        <f aca="false">IF(CD612&gt;0,CD612*MAX(1,AD612/V612),IF(BR612=1,IF(AD612&lt;=0,0,BS612*MAX(1,IF(G612&gt;0,AD612/G612,1))),IF(Q612&gt;0,AE612/Q612,0))/MAX(0.1,N(Parameter!$M$21)))</f>
        <v>0.00505050505050505</v>
      </c>
      <c r="AG612" s="57" t="n">
        <f aca="false">AD612*F612</f>
        <v>4.8</v>
      </c>
      <c r="AH612" s="57" t="n">
        <f aca="false">ROUNDUP(MAX(I612/IF(BV612&gt;0,BV612,MAX(0.1,N(Cockpit!$C$6))),BY612)/BQ612,0)*BQ612</f>
        <v>100</v>
      </c>
      <c r="AI612" s="58" t="n">
        <f aca="false">IF(AF612&gt;0,I612/AF612,-1)</f>
        <v>0</v>
      </c>
      <c r="AJ612" s="58" t="n">
        <f aca="false">IF(AND(OR(BU612="L1",BU612="L23"),AF612&gt;0),SUMIFS($AF$7:$AF$1576,$BU$7:$BU$1576,BU612,$AI$7:$AI$1576,"&gt;"&amp;AI612)+SUMIFS($AF$7:$AF$1576,$BU$7:$BU$1576,BU612,$AI$7:$AI$1576,AI612,$BO$7:$BO$1576,"&lt;="&amp;BO612),"")</f>
        <v>44.5124337015641</v>
      </c>
      <c r="AK612" s="65" t="n">
        <f aca="false">IF(AJ612="",0,MAX(0,MIN(1,(IF(BU612="L1",Parameter!$E$5,Parameter!$E$6+Parameter!$E$7)-(AJ612-AF612))/AF612)))</f>
        <v>1</v>
      </c>
      <c r="AL612" s="57" t="n">
        <f aca="false">IF(LEFT(Cockpit!$I$5,1)="A",G612,IF(BW612=1,BX612,IF(LEFT(Cockpit!$I$5,1)="B",AP612,MAX(AP612,G612))))</f>
        <v>100</v>
      </c>
      <c r="AM612" s="57" t="n">
        <f aca="false">IF(BR612=1,0,ROUNDUP(AL612/BQ612,0))</f>
        <v>1</v>
      </c>
      <c r="AN612" s="59" t="n">
        <f aca="false">IF(CD612&gt;0,CD612*MAX(1,AL612/V612),IF(BR612=1,IF(AL612&lt;=0,0,BS612*MAX(1,IF(G612&gt;0,AL612/G612,1))),IF(Q612&gt;0,AM612/Q612,0))/MAX(0.1,N(Parameter!$M$21)))</f>
        <v>0.00505050505050505</v>
      </c>
      <c r="AO612" s="57" t="n">
        <f aca="false">AL612*F612</f>
        <v>5</v>
      </c>
      <c r="AP612" s="57" t="n">
        <f aca="false">ROUNDUP(MAX(I612/IF(BV612&gt;0,BV612,MAX(0.1,N(Cockpit!$I$6))),BY612)/BQ612,0)*BQ612</f>
        <v>100</v>
      </c>
      <c r="AQ612" s="58" t="n">
        <f aca="false">IF(AN612&gt;0,I612/AN612,-1)</f>
        <v>0</v>
      </c>
      <c r="AR612" s="58" t="n">
        <f aca="false">IF(AND(OR(BU612="L1",BU612="L23"),AN612&gt;0),SUMIFS($AN$7:$AN$1576,$BU$7:$BU$1576,BU612,$AQ$7:$AQ$1576,"&gt;"&amp;AQ612)+SUMIFS($AN$7:$AN$1576,$BU$7:$BU$1576,BU612,$AQ$7:$AQ$1576,AQ612,$BO$7:$BO$1576,"&lt;="&amp;BO612),"")</f>
        <v>127.509219820082</v>
      </c>
      <c r="AS612" s="65" t="n">
        <f aca="false">IF(AR612="",0,MAX(0,MIN(1,(IF(BU612="L1",Parameter!$E$5,Parameter!$E$6+Parameter!$E$7)-(AR612-AN612))/AN612)))</f>
        <v>0</v>
      </c>
      <c r="AT612" s="57" t="n">
        <f aca="false">IF(LEFT(Cockpit!$O$5,1)="A",G612,IF(BW612=1,BX612,IF(LEFT(Cockpit!$O$5,1)="B",AX612,MAX(AX612,G612))))</f>
        <v>100</v>
      </c>
      <c r="AU612" s="57" t="n">
        <f aca="false">IF(BR612=1,0,ROUNDUP(AT612/BQ612,0))</f>
        <v>1</v>
      </c>
      <c r="AV612" s="59" t="n">
        <f aca="false">IF(CD612&gt;0,CD612*MAX(1,AT612/V612),IF(BR612=1,IF(AT612&lt;=0,0,BS612*MAX(1,IF(G612&gt;0,AT612/G612,1))),IF(Q612&gt;0,AU612/Q612,0))/MAX(0.1,N(Parameter!$M$21)))</f>
        <v>0.00505050505050505</v>
      </c>
      <c r="AW612" s="57" t="n">
        <f aca="false">AT612*F612</f>
        <v>5</v>
      </c>
      <c r="AX612" s="57" t="n">
        <f aca="false">ROUNDUP(MAX(I612/IF(BV612&gt;0,BV612,MAX(0.1,N(Cockpit!$O$6))),BY612)/BQ612,0)*BQ612</f>
        <v>100</v>
      </c>
      <c r="AY612" s="58" t="n">
        <f aca="false">IF(AV612&gt;0,I612/AV612,-1)</f>
        <v>0</v>
      </c>
      <c r="AZ612" s="58" t="n">
        <f aca="false">IF(AND(OR(BU612="L1",BU612="L23"),AV612&gt;0),SUMIFS($AV$7:$AV$1576,$BU$7:$BU$1576,BU612,$AY$7:$AY$1576,"&gt;"&amp;AY612)+SUMIFS($AV$7:$AV$1576,$BU$7:$BU$1576,BU612,$AY$7:$AY$1576,AY612,$BO$7:$BO$1576,"&lt;="&amp;BO612),"")</f>
        <v>117.568770269633</v>
      </c>
      <c r="BA612" s="65" t="n">
        <f aca="false">IF(AZ612="",0,MAX(0,MIN(1,(IF(BU612="L1",Parameter!$E$5,Parameter!$E$6+Parameter!$E$7)-(AZ612-AV612))/AV612)))</f>
        <v>0</v>
      </c>
      <c r="BB612" s="55" t="str">
        <f aca="false">IF(AF612&lt;=0,"",IF(BU612="Aussen","Aussenlager",IF(BU612="-","Nicht im Lift",IF(AK612&gt;=1,"Lift",IF(AK612&lt;=0,"Aussenlager","teilweise")))))</f>
        <v>Lift</v>
      </c>
      <c r="BC612" s="55" t="str">
        <f aca="false">IF(AN612&lt;=0,"",IF(BU612="Aussen","Aussenlager",IF(BU612="-","Nicht im Lift",IF(AS612&gt;=1,"Lift",IF(AS612&lt;=0,"Aussenlager","teilweise")))))</f>
        <v>Aussenlager</v>
      </c>
      <c r="BD612" s="55" t="str">
        <f aca="false">IF(AV612&lt;=0,"",IF(BU612="Aussen","Aussenlager",IF(BU612="-","Nicht im Lift",IF(BA612&gt;=1,"Lift",IF(BA612&lt;=0,"Aussenlager","teilweise")))))</f>
        <v>Aussenlager</v>
      </c>
      <c r="BE612" s="55" t="str">
        <f aca="false">IF(A612="","",IF(BN612=1,"Neu; ","")&amp;IF(AND(BN612=0,BI612&lt;0),"negativer Bestand (Export "&amp;BI612&amp;"); ","")&amp;IF(I612&lt;=0,"Kein Verbrauch; ","")&amp;IF(CD612&gt;0,"Lift "&amp;U612&amp;" lt. Liftbericht (Fach "&amp;V612&amp;" Stk); ",IF(BR612=1,"Lose – Fläche geschätzt; ",""))&amp;IF(G612&gt;AP612,"Überbestand "&amp;ROUND(G612-AP612,0)&amp;" Stk / CHF "&amp;ROUND((G612-AP612)*F612,0)&amp;"; ","")&amp;IF(AND(BW612=1,BX612&lt;BY612),"MAX &lt; MB+LG; ","")&amp;IF(AND(CC612&gt;0,CB612*10&gt;CC612),"zu hoch für Tablar; ","")&amp;IF(AND(BN612=0,OR(BW612=1,Y612&lt;&gt;"",S612&lt;&gt;"",T612&lt;&gt;"",Z612&lt;&gt;"")),"manuell übersteuert; ","")&amp;IF(AND(BR612=0,Q612=0),"Gebinde unbekannt / Stellmass fehlt; ","")&amp;IF(AND(BR612=0,N(T612)&lt;=0,N(P612)&lt;=0),"Menge pro Gebinde fehlt (Ist = 1 Gebinde); ","")&amp;BM612)</f>
        <v>Kein Verbrauch; </v>
      </c>
      <c r="BF612" s="55"/>
      <c r="BG612" s="55"/>
      <c r="BH612" s="62"/>
      <c r="BI612" s="57" t="n">
        <v>96</v>
      </c>
      <c r="BJ612" s="57" t="n">
        <v>4</v>
      </c>
      <c r="BK612" s="56" t="n">
        <v>4.8</v>
      </c>
      <c r="BL612" s="57" t="n">
        <v>0</v>
      </c>
      <c r="BM612" s="55"/>
      <c r="BN612" s="60" t="n">
        <v>0</v>
      </c>
      <c r="BO612" s="60" t="n">
        <v>612</v>
      </c>
      <c r="BP612" s="55" t="str">
        <f aca="false">IF(S612&lt;&gt;"",UPPER(TRIM(S612)),IF(O612="","LOSE",O612))</f>
        <v>S22</v>
      </c>
      <c r="BQ612" s="57" t="n">
        <f aca="false">IF(BP612="LOSE",1,IF(N(T612)&gt;0,T612,IF(N(P612)&gt;0,P612,MAX(1,G612))))</f>
        <v>100</v>
      </c>
      <c r="BR612" s="60" t="n">
        <f aca="false">IF(BP612="LOSE",1,0)</f>
        <v>0</v>
      </c>
      <c r="BS612" s="59" t="n">
        <f aca="false">IF(BR612=0,0,IF(N(R612)&gt;0,R612,IFERROR(VLOOKUP(D612,Parameter!$A$35:$C$64,3,0)+0,0)))</f>
        <v>0</v>
      </c>
      <c r="BT612" s="55" t="n">
        <f aca="false">IF(Y612&lt;&gt;"",Y612,X612)</f>
        <v>3</v>
      </c>
      <c r="BU612" s="55" t="str">
        <f aca="false">IF(BT612=1,"L1",IF(OR(BT612=2,BT612=3),"L23",IF(BT612="Aussen","Aussen","-")))</f>
        <v>L23</v>
      </c>
      <c r="BV612" s="66" t="n">
        <f aca="false">IF(N(Z612)&gt;0,Z612,0)</f>
        <v>0</v>
      </c>
      <c r="BW612" s="60" t="n">
        <f aca="false">IF(ISNUMBER(AC612),1,0)</f>
        <v>0</v>
      </c>
      <c r="BX612" s="57" t="n">
        <f aca="false">N(AC612)</f>
        <v>0</v>
      </c>
      <c r="BY612" s="57" t="n">
        <f aca="false">N(L612)+N(M612)</f>
        <v>10</v>
      </c>
      <c r="BZ612" s="57" t="n">
        <f aca="false">ROUNDUP(G612/BQ612,0)</f>
        <v>1</v>
      </c>
      <c r="CA612" s="57" t="n">
        <f aca="false">ROUNDUP(BX612/BQ612,0)</f>
        <v>0</v>
      </c>
      <c r="CB612" s="60" t="n">
        <f aca="false">IF(BR612=1,0,IFERROR(VLOOKUP(BP612,'Gebinde-Kategorie'!$A$5:$M$45,5,0)+0,0))</f>
        <v>8</v>
      </c>
      <c r="CC612" s="60" t="n">
        <f aca="false">IFERROR(IF(OR(BT612=1,BT612=2,BT612=3),N(INDEX(Parameter!$I$5:$I$7,BT612)),0),0)</f>
        <v>0</v>
      </c>
      <c r="CD612" s="59" t="n">
        <f aca="false">IF(AND(Parameter!$B$21="Ja",ISNUMBER(U612),N(V612)&gt;0),IFERROR(N(INDEX(Parameter!$L$5:$L$7,U612))*INDEX(Parameter!$E$5:$E$7,U612)*V612/SUMIFS($V$7:$V$1576,$U$7:$U$1576,U612),0),0)</f>
        <v>0</v>
      </c>
    </row>
    <row r="613" customFormat="false" ht="15" hidden="false" customHeight="false" outlineLevel="0" collapsed="false">
      <c r="A613" s="55" t="s">
        <v>1252</v>
      </c>
      <c r="B613" s="55" t="s">
        <v>1253</v>
      </c>
      <c r="C613" s="55" t="s">
        <v>160</v>
      </c>
      <c r="D613" s="55" t="s">
        <v>178</v>
      </c>
      <c r="E613" s="55" t="s">
        <v>210</v>
      </c>
      <c r="F613" s="56" t="n">
        <v>2.38</v>
      </c>
      <c r="G613" s="57" t="n">
        <f aca="false">MAX(0,IF(AND(Parameter!$B$21="Ja",ISNUMBER(W613)),W613,IF(Parameter!$B$20="Jahresanfang 2025 + Export",BJ613+BI613,BI613)))</f>
        <v>2</v>
      </c>
      <c r="H613" s="57" t="n">
        <f aca="false">G613*F613</f>
        <v>4.76</v>
      </c>
      <c r="I613" s="57" t="n">
        <f aca="false">BL613*Parameter!$B$18</f>
        <v>0</v>
      </c>
      <c r="J613" s="58" t="n">
        <v>109</v>
      </c>
      <c r="K613" s="59" t="n">
        <v>0</v>
      </c>
      <c r="L613" s="57" t="n">
        <v>0</v>
      </c>
      <c r="M613" s="57" t="n">
        <v>50</v>
      </c>
      <c r="N613" s="60" t="n">
        <v>28</v>
      </c>
      <c r="O613" s="55" t="s">
        <v>465</v>
      </c>
      <c r="P613" s="57" t="n">
        <v>110</v>
      </c>
      <c r="Q613" s="60" t="n">
        <f aca="false">IF(BR613=1,0,IFERROR(VLOOKUP(BP613,'Gebinde-Kategorie'!$A$5:$M$45,13,0)+0,0))</f>
        <v>66</v>
      </c>
      <c r="R613" s="61"/>
      <c r="S613" s="62"/>
      <c r="T613" s="62"/>
      <c r="U613" s="55"/>
      <c r="V613" s="57"/>
      <c r="W613" s="57"/>
      <c r="X613" s="55" t="n">
        <f aca="false">IF(A613="","",IF(AND(Parameter!$B$21="Ja",ISNUMBER(U613)),U613,IF(IFERROR(VLOOKUP(D613,Parameter!$A$35:$C$64,2,0),"Nein")="2+3",IF(ISNUMBER(SEARCH("grosser Artikel",BM613)),2,IFERROR(VLOOKUP(BP613,Parameter!$F$35:$G$64,2,0),2)),IF(OR(IFERROR(VLOOKUP(D613,Parameter!$A$35:$C$64,2,0),"Nein")="Nein",IFERROR(VLOOKUP(D613,Parameter!$A$35:$C$64,2,0),"Nein")=""),"-",VLOOKUP(D613,Parameter!$A$35:$C$64,2,0)))))</f>
        <v>3</v>
      </c>
      <c r="Y613" s="62"/>
      <c r="Z613" s="63"/>
      <c r="AA613" s="57" t="n">
        <f aca="false">AP613</f>
        <v>110</v>
      </c>
      <c r="AB613" s="57" t="n">
        <f aca="false">MAX(AP613,G613)</f>
        <v>110</v>
      </c>
      <c r="AC613" s="64"/>
      <c r="AD613" s="57" t="n">
        <f aca="false">IF(LEFT(Cockpit!$C$5,1)="A",G613,IF(BW613=1,BX613,IF(LEFT(Cockpit!$C$5,1)="B",AH613,MAX(AH613,G613))))</f>
        <v>2</v>
      </c>
      <c r="AE613" s="57" t="n">
        <f aca="false">IF(BR613=1,0,ROUNDUP(AD613/BQ613,0))</f>
        <v>1</v>
      </c>
      <c r="AF613" s="59" t="n">
        <f aca="false">IF(CD613&gt;0,CD613*MAX(1,AD613/V613),IF(BR613=1,IF(AD613&lt;=0,0,BS613*MAX(1,IF(G613&gt;0,AD613/G613,1))),IF(Q613&gt;0,AE613/Q613,0))/MAX(0.1,N(Parameter!$M$21)))</f>
        <v>0.0151515151515152</v>
      </c>
      <c r="AG613" s="57" t="n">
        <f aca="false">AD613*F613</f>
        <v>4.76</v>
      </c>
      <c r="AH613" s="57" t="n">
        <f aca="false">ROUNDUP(MAX(I613/IF(BV613&gt;0,BV613,MAX(0.1,N(Cockpit!$C$6))),BY613)/BQ613,0)*BQ613</f>
        <v>110</v>
      </c>
      <c r="AI613" s="58" t="n">
        <f aca="false">IF(AF613&gt;0,I613/AF613,-1)</f>
        <v>0</v>
      </c>
      <c r="AJ613" s="58" t="n">
        <f aca="false">IF(AND(OR(BU613="L1",BU613="L23"),AF613&gt;0),SUMIFS($AF$7:$AF$1576,$BU$7:$BU$1576,BU613,$AI$7:$AI$1576,"&gt;"&amp;AI613)+SUMIFS($AF$7:$AF$1576,$BU$7:$BU$1576,BU613,$AI$7:$AI$1576,AI613,$BO$7:$BO$1576,"&lt;="&amp;BO613),"")</f>
        <v>44.5275852167157</v>
      </c>
      <c r="AK613" s="65" t="n">
        <f aca="false">IF(AJ613="",0,MAX(0,MIN(1,(IF(BU613="L1",Parameter!$E$5,Parameter!$E$6+Parameter!$E$7)-(AJ613-AF613))/AF613)))</f>
        <v>1</v>
      </c>
      <c r="AL613" s="57" t="n">
        <f aca="false">IF(LEFT(Cockpit!$I$5,1)="A",G613,IF(BW613=1,BX613,IF(LEFT(Cockpit!$I$5,1)="B",AP613,MAX(AP613,G613))))</f>
        <v>110</v>
      </c>
      <c r="AM613" s="57" t="n">
        <f aca="false">IF(BR613=1,0,ROUNDUP(AL613/BQ613,0))</f>
        <v>1</v>
      </c>
      <c r="AN613" s="59" t="n">
        <f aca="false">IF(CD613&gt;0,CD613*MAX(1,AL613/V613),IF(BR613=1,IF(AL613&lt;=0,0,BS613*MAX(1,IF(G613&gt;0,AL613/G613,1))),IF(Q613&gt;0,AM613/Q613,0))/MAX(0.1,N(Parameter!$M$21)))</f>
        <v>0.0151515151515152</v>
      </c>
      <c r="AO613" s="57" t="n">
        <f aca="false">AL613*F613</f>
        <v>261.8</v>
      </c>
      <c r="AP613" s="57" t="n">
        <f aca="false">ROUNDUP(MAX(I613/IF(BV613&gt;0,BV613,MAX(0.1,N(Cockpit!$I$6))),BY613)/BQ613,0)*BQ613</f>
        <v>110</v>
      </c>
      <c r="AQ613" s="58" t="n">
        <f aca="false">IF(AN613&gt;0,I613/AN613,-1)</f>
        <v>0</v>
      </c>
      <c r="AR613" s="58" t="n">
        <f aca="false">IF(AND(OR(BU613="L1",BU613="L23"),AN613&gt;0),SUMIFS($AN$7:$AN$1576,$BU$7:$BU$1576,BU613,$AQ$7:$AQ$1576,"&gt;"&amp;AQ613)+SUMIFS($AN$7:$AN$1576,$BU$7:$BU$1576,BU613,$AQ$7:$AQ$1576,AQ613,$BO$7:$BO$1576,"&lt;="&amp;BO613),"")</f>
        <v>127.524371335234</v>
      </c>
      <c r="AS613" s="65" t="n">
        <f aca="false">IF(AR613="",0,MAX(0,MIN(1,(IF(BU613="L1",Parameter!$E$5,Parameter!$E$6+Parameter!$E$7)-(AR613-AN613))/AN613)))</f>
        <v>0</v>
      </c>
      <c r="AT613" s="57" t="n">
        <f aca="false">IF(LEFT(Cockpit!$O$5,1)="A",G613,IF(BW613=1,BX613,IF(LEFT(Cockpit!$O$5,1)="B",AX613,MAX(AX613,G613))))</f>
        <v>110</v>
      </c>
      <c r="AU613" s="57" t="n">
        <f aca="false">IF(BR613=1,0,ROUNDUP(AT613/BQ613,0))</f>
        <v>1</v>
      </c>
      <c r="AV613" s="59" t="n">
        <f aca="false">IF(CD613&gt;0,CD613*MAX(1,AT613/V613),IF(BR613=1,IF(AT613&lt;=0,0,BS613*MAX(1,IF(G613&gt;0,AT613/G613,1))),IF(Q613&gt;0,AU613/Q613,0))/MAX(0.1,N(Parameter!$M$21)))</f>
        <v>0.0151515151515152</v>
      </c>
      <c r="AW613" s="57" t="n">
        <f aca="false">AT613*F613</f>
        <v>261.8</v>
      </c>
      <c r="AX613" s="57" t="n">
        <f aca="false">ROUNDUP(MAX(I613/IF(BV613&gt;0,BV613,MAX(0.1,N(Cockpit!$O$6))),BY613)/BQ613,0)*BQ613</f>
        <v>110</v>
      </c>
      <c r="AY613" s="58" t="n">
        <f aca="false">IF(AV613&gt;0,I613/AV613,-1)</f>
        <v>0</v>
      </c>
      <c r="AZ613" s="58" t="n">
        <f aca="false">IF(AND(OR(BU613="L1",BU613="L23"),AV613&gt;0),SUMIFS($AV$7:$AV$1576,$BU$7:$BU$1576,BU613,$AY$7:$AY$1576,"&gt;"&amp;AY613)+SUMIFS($AV$7:$AV$1576,$BU$7:$BU$1576,BU613,$AY$7:$AY$1576,AY613,$BO$7:$BO$1576,"&lt;="&amp;BO613),"")</f>
        <v>117.583921784784</v>
      </c>
      <c r="BA613" s="65" t="n">
        <f aca="false">IF(AZ613="",0,MAX(0,MIN(1,(IF(BU613="L1",Parameter!$E$5,Parameter!$E$6+Parameter!$E$7)-(AZ613-AV613))/AV613)))</f>
        <v>0</v>
      </c>
      <c r="BB613" s="55" t="str">
        <f aca="false">IF(AF613&lt;=0,"",IF(BU613="Aussen","Aussenlager",IF(BU613="-","Nicht im Lift",IF(AK613&gt;=1,"Lift",IF(AK613&lt;=0,"Aussenlager","teilweise")))))</f>
        <v>Lift</v>
      </c>
      <c r="BC613" s="55" t="str">
        <f aca="false">IF(AN613&lt;=0,"",IF(BU613="Aussen","Aussenlager",IF(BU613="-","Nicht im Lift",IF(AS613&gt;=1,"Lift",IF(AS613&lt;=0,"Aussenlager","teilweise")))))</f>
        <v>Aussenlager</v>
      </c>
      <c r="BD613" s="55" t="str">
        <f aca="false">IF(AV613&lt;=0,"",IF(BU613="Aussen","Aussenlager",IF(BU613="-","Nicht im Lift",IF(BA613&gt;=1,"Lift",IF(BA613&lt;=0,"Aussenlager","teilweise")))))</f>
        <v>Aussenlager</v>
      </c>
      <c r="BE613" s="55" t="str">
        <f aca="false">IF(A613="","",IF(BN613=1,"Neu; ","")&amp;IF(AND(BN613=0,BI613&lt;0),"negativer Bestand (Export "&amp;BI613&amp;"); ","")&amp;IF(I613&lt;=0,"Kein Verbrauch; ","")&amp;IF(CD613&gt;0,"Lift "&amp;U613&amp;" lt. Liftbericht (Fach "&amp;V613&amp;" Stk); ",IF(BR613=1,"Lose – Fläche geschätzt; ",""))&amp;IF(G613&gt;AP613,"Überbestand "&amp;ROUND(G613-AP613,0)&amp;" Stk / CHF "&amp;ROUND((G613-AP613)*F613,0)&amp;"; ","")&amp;IF(AND(BW613=1,BX613&lt;BY613),"MAX &lt; MB+LG; ","")&amp;IF(AND(CC613&gt;0,CB613*10&gt;CC613),"zu hoch für Tablar; ","")&amp;IF(AND(BN613=0,OR(BW613=1,Y613&lt;&gt;"",S613&lt;&gt;"",T613&lt;&gt;"",Z613&lt;&gt;"")),"manuell übersteuert; ","")&amp;IF(AND(BR613=0,Q613=0),"Gebinde unbekannt / Stellmass fehlt; ","")&amp;IF(AND(BR613=0,N(T613)&lt;=0,N(P613)&lt;=0),"Menge pro Gebinde fehlt (Ist = 1 Gebinde); ","")&amp;BM613)</f>
        <v>Kein Verbrauch; </v>
      </c>
      <c r="BF613" s="55"/>
      <c r="BG613" s="55"/>
      <c r="BH613" s="62"/>
      <c r="BI613" s="57" t="n">
        <v>2</v>
      </c>
      <c r="BJ613" s="57" t="n">
        <v>108</v>
      </c>
      <c r="BK613" s="56" t="n">
        <v>4.76</v>
      </c>
      <c r="BL613" s="57" t="n">
        <v>0</v>
      </c>
      <c r="BM613" s="55"/>
      <c r="BN613" s="60" t="n">
        <v>0</v>
      </c>
      <c r="BO613" s="60" t="n">
        <v>613</v>
      </c>
      <c r="BP613" s="55" t="str">
        <f aca="false">IF(S613&lt;&gt;"",UPPER(TRIM(S613)),IF(O613="","LOSE",O613))</f>
        <v>S33</v>
      </c>
      <c r="BQ613" s="57" t="n">
        <f aca="false">IF(BP613="LOSE",1,IF(N(T613)&gt;0,T613,IF(N(P613)&gt;0,P613,MAX(1,G613))))</f>
        <v>110</v>
      </c>
      <c r="BR613" s="60" t="n">
        <f aca="false">IF(BP613="LOSE",1,0)</f>
        <v>0</v>
      </c>
      <c r="BS613" s="59" t="n">
        <f aca="false">IF(BR613=0,0,IF(N(R613)&gt;0,R613,IFERROR(VLOOKUP(D613,Parameter!$A$35:$C$64,3,0)+0,0)))</f>
        <v>0</v>
      </c>
      <c r="BT613" s="55" t="n">
        <f aca="false">IF(Y613&lt;&gt;"",Y613,X613)</f>
        <v>3</v>
      </c>
      <c r="BU613" s="55" t="str">
        <f aca="false">IF(BT613=1,"L1",IF(OR(BT613=2,BT613=3),"L23",IF(BT613="Aussen","Aussen","-")))</f>
        <v>L23</v>
      </c>
      <c r="BV613" s="66" t="n">
        <f aca="false">IF(N(Z613)&gt;0,Z613,0)</f>
        <v>0</v>
      </c>
      <c r="BW613" s="60" t="n">
        <f aca="false">IF(ISNUMBER(AC613),1,0)</f>
        <v>0</v>
      </c>
      <c r="BX613" s="57" t="n">
        <f aca="false">N(AC613)</f>
        <v>0</v>
      </c>
      <c r="BY613" s="57" t="n">
        <f aca="false">N(L613)+N(M613)</f>
        <v>50</v>
      </c>
      <c r="BZ613" s="57" t="n">
        <f aca="false">ROUNDUP(G613/BQ613,0)</f>
        <v>1</v>
      </c>
      <c r="CA613" s="57" t="n">
        <f aca="false">ROUNDUP(BX613/BQ613,0)</f>
        <v>0</v>
      </c>
      <c r="CB613" s="60" t="n">
        <f aca="false">IF(BR613=1,0,IFERROR(VLOOKUP(BP613,'Gebinde-Kategorie'!$A$5:$M$45,5,0)+0,0))</f>
        <v>8</v>
      </c>
      <c r="CC613" s="60" t="n">
        <f aca="false">IFERROR(IF(OR(BT613=1,BT613=2,BT613=3),N(INDEX(Parameter!$I$5:$I$7,BT613)),0),0)</f>
        <v>0</v>
      </c>
      <c r="CD613" s="59" t="n">
        <f aca="false">IF(AND(Parameter!$B$21="Ja",ISNUMBER(U613),N(V613)&gt;0),IFERROR(N(INDEX(Parameter!$L$5:$L$7,U613))*INDEX(Parameter!$E$5:$E$7,U613)*V613/SUMIFS($V$7:$V$1576,$U$7:$U$1576,U613),0),0)</f>
        <v>0</v>
      </c>
    </row>
    <row r="614" customFormat="false" ht="15" hidden="false" customHeight="false" outlineLevel="0" collapsed="false">
      <c r="A614" s="55" t="s">
        <v>1254</v>
      </c>
      <c r="B614" s="55" t="s">
        <v>1255</v>
      </c>
      <c r="C614" s="55" t="s">
        <v>160</v>
      </c>
      <c r="D614" s="55" t="s">
        <v>984</v>
      </c>
      <c r="E614" s="55" t="s">
        <v>210</v>
      </c>
      <c r="F614" s="56" t="n">
        <v>0.29</v>
      </c>
      <c r="G614" s="57" t="n">
        <f aca="false">MAX(0,IF(AND(Parameter!$B$21="Ja",ISNUMBER(W614)),W614,IF(Parameter!$B$20="Jahresanfang 2025 + Export",BJ614+BI614,BI614)))</f>
        <v>16</v>
      </c>
      <c r="H614" s="57" t="n">
        <f aca="false">G614*F614</f>
        <v>4.64</v>
      </c>
      <c r="I614" s="57" t="n">
        <f aca="false">BL614*Parameter!$B$18</f>
        <v>34</v>
      </c>
      <c r="J614" s="58" t="n">
        <v>8</v>
      </c>
      <c r="K614" s="59" t="n">
        <v>4.25</v>
      </c>
      <c r="L614" s="57" t="n">
        <v>0</v>
      </c>
      <c r="M614" s="57" t="n">
        <v>50</v>
      </c>
      <c r="N614" s="60" t="n">
        <v>21</v>
      </c>
      <c r="O614" s="55" t="s">
        <v>163</v>
      </c>
      <c r="P614" s="57"/>
      <c r="Q614" s="60" t="n">
        <f aca="false">IF(BR614=1,0,IFERROR(VLOOKUP(BP614,'Gebinde-Kategorie'!$A$5:$M$45,13,0)+0,0))</f>
        <v>0</v>
      </c>
      <c r="R614" s="61"/>
      <c r="S614" s="62"/>
      <c r="T614" s="62"/>
      <c r="U614" s="55"/>
      <c r="V614" s="57"/>
      <c r="W614" s="57"/>
      <c r="X614" s="55" t="str">
        <f aca="false">IF(A614="","",IF(AND(Parameter!$B$21="Ja",ISNUMBER(U614)),U614,IF(IFERROR(VLOOKUP(D614,Parameter!$A$35:$C$64,2,0),"Nein")="2+3",IF(ISNUMBER(SEARCH("grosser Artikel",BM614)),2,IFERROR(VLOOKUP(BP614,Parameter!$F$35:$G$64,2,0),2)),IF(OR(IFERROR(VLOOKUP(D614,Parameter!$A$35:$C$64,2,0),"Nein")="Nein",IFERROR(VLOOKUP(D614,Parameter!$A$35:$C$64,2,0),"Nein")=""),"-",VLOOKUP(D614,Parameter!$A$35:$C$64,2,0)))))</f>
        <v>-</v>
      </c>
      <c r="Y614" s="62"/>
      <c r="Z614" s="63"/>
      <c r="AA614" s="57" t="n">
        <f aca="false">AP614</f>
        <v>50</v>
      </c>
      <c r="AB614" s="57" t="n">
        <f aca="false">MAX(AP614,G614)</f>
        <v>50</v>
      </c>
      <c r="AC614" s="64"/>
      <c r="AD614" s="57" t="n">
        <f aca="false">IF(LEFT(Cockpit!$C$5,1)="A",G614,IF(BW614=1,BX614,IF(LEFT(Cockpit!$C$5,1)="B",AH614,MAX(AH614,G614))))</f>
        <v>16</v>
      </c>
      <c r="AE614" s="57" t="n">
        <f aca="false">IF(BR614=1,0,ROUNDUP(AD614/BQ614,0))</f>
        <v>0</v>
      </c>
      <c r="AF614" s="59" t="n">
        <f aca="false">IF(CD614&gt;0,CD614*MAX(1,AD614/V614),IF(BR614=1,IF(AD614&lt;=0,0,BS614*MAX(1,IF(G614&gt;0,AD614/G614,1))),IF(Q614&gt;0,AE614/Q614,0))/MAX(0.1,N(Parameter!$M$21)))</f>
        <v>0.15</v>
      </c>
      <c r="AG614" s="57" t="n">
        <f aca="false">AD614*F614</f>
        <v>4.64</v>
      </c>
      <c r="AH614" s="57" t="n">
        <f aca="false">ROUNDUP(MAX(I614/IF(BV614&gt;0,BV614,MAX(0.1,N(Cockpit!$C$6))),BY614)/BQ614,0)*BQ614</f>
        <v>50</v>
      </c>
      <c r="AI614" s="58" t="n">
        <f aca="false">IF(AF614&gt;0,I614/AF614,-1)</f>
        <v>226.666666666667</v>
      </c>
      <c r="AJ614" s="58" t="str">
        <f aca="false">IF(AND(OR(BU614="L1",BU614="L23"),AF614&gt;0),SUMIFS($AF$7:$AF$1576,$BU$7:$BU$1576,BU614,$AI$7:$AI$1576,"&gt;"&amp;AI614)+SUMIFS($AF$7:$AF$1576,$BU$7:$BU$1576,BU614,$AI$7:$AI$1576,AI614,$BO$7:$BO$1576,"&lt;="&amp;BO614),"")</f>
        <v/>
      </c>
      <c r="AK614" s="65" t="n">
        <f aca="false">IF(AJ614="",0,MAX(0,MIN(1,(IF(BU614="L1",Parameter!$E$5,Parameter!$E$6+Parameter!$E$7)-(AJ614-AF614))/AF614)))</f>
        <v>0</v>
      </c>
      <c r="AL614" s="57" t="n">
        <f aca="false">IF(LEFT(Cockpit!$I$5,1)="A",G614,IF(BW614=1,BX614,IF(LEFT(Cockpit!$I$5,1)="B",AP614,MAX(AP614,G614))))</f>
        <v>50</v>
      </c>
      <c r="AM614" s="57" t="n">
        <f aca="false">IF(BR614=1,0,ROUNDUP(AL614/BQ614,0))</f>
        <v>0</v>
      </c>
      <c r="AN614" s="59" t="n">
        <f aca="false">IF(CD614&gt;0,CD614*MAX(1,AL614/V614),IF(BR614=1,IF(AL614&lt;=0,0,BS614*MAX(1,IF(G614&gt;0,AL614/G614,1))),IF(Q614&gt;0,AM614/Q614,0))/MAX(0.1,N(Parameter!$M$21)))</f>
        <v>0.46875</v>
      </c>
      <c r="AO614" s="57" t="n">
        <f aca="false">AL614*F614</f>
        <v>14.5</v>
      </c>
      <c r="AP614" s="57" t="n">
        <f aca="false">ROUNDUP(MAX(I614/IF(BV614&gt;0,BV614,MAX(0.1,N(Cockpit!$I$6))),BY614)/BQ614,0)*BQ614</f>
        <v>50</v>
      </c>
      <c r="AQ614" s="58" t="n">
        <f aca="false">IF(AN614&gt;0,I614/AN614,-1)</f>
        <v>72.5333333333333</v>
      </c>
      <c r="AR614" s="58" t="str">
        <f aca="false">IF(AND(OR(BU614="L1",BU614="L23"),AN614&gt;0),SUMIFS($AN$7:$AN$1576,$BU$7:$BU$1576,BU614,$AQ$7:$AQ$1576,"&gt;"&amp;AQ614)+SUMIFS($AN$7:$AN$1576,$BU$7:$BU$1576,BU614,$AQ$7:$AQ$1576,AQ614,$BO$7:$BO$1576,"&lt;="&amp;BO614),"")</f>
        <v/>
      </c>
      <c r="AS614" s="65" t="n">
        <f aca="false">IF(AR614="",0,MAX(0,MIN(1,(IF(BU614="L1",Parameter!$E$5,Parameter!$E$6+Parameter!$E$7)-(AR614-AN614))/AN614)))</f>
        <v>0</v>
      </c>
      <c r="AT614" s="57" t="n">
        <f aca="false">IF(LEFT(Cockpit!$O$5,1)="A",G614,IF(BW614=1,BX614,IF(LEFT(Cockpit!$O$5,1)="B",AX614,MAX(AX614,G614))))</f>
        <v>50</v>
      </c>
      <c r="AU614" s="57" t="n">
        <f aca="false">IF(BR614=1,0,ROUNDUP(AT614/BQ614,0))</f>
        <v>0</v>
      </c>
      <c r="AV614" s="59" t="n">
        <f aca="false">IF(CD614&gt;0,CD614*MAX(1,AT614/V614),IF(BR614=1,IF(AT614&lt;=0,0,BS614*MAX(1,IF(G614&gt;0,AT614/G614,1))),IF(Q614&gt;0,AU614/Q614,0))/MAX(0.1,N(Parameter!$M$21)))</f>
        <v>0.46875</v>
      </c>
      <c r="AW614" s="57" t="n">
        <f aca="false">AT614*F614</f>
        <v>14.5</v>
      </c>
      <c r="AX614" s="57" t="n">
        <f aca="false">ROUNDUP(MAX(I614/IF(BV614&gt;0,BV614,MAX(0.1,N(Cockpit!$O$6))),BY614)/BQ614,0)*BQ614</f>
        <v>50</v>
      </c>
      <c r="AY614" s="58" t="n">
        <f aca="false">IF(AV614&gt;0,I614/AV614,-1)</f>
        <v>72.5333333333333</v>
      </c>
      <c r="AZ614" s="58" t="str">
        <f aca="false">IF(AND(OR(BU614="L1",BU614="L23"),AV614&gt;0),SUMIFS($AV$7:$AV$1576,$BU$7:$BU$1576,BU614,$AY$7:$AY$1576,"&gt;"&amp;AY614)+SUMIFS($AV$7:$AV$1576,$BU$7:$BU$1576,BU614,$AY$7:$AY$1576,AY614,$BO$7:$BO$1576,"&lt;="&amp;BO614),"")</f>
        <v/>
      </c>
      <c r="BA614" s="65" t="n">
        <f aca="false">IF(AZ614="",0,MAX(0,MIN(1,(IF(BU614="L1",Parameter!$E$5,Parameter!$E$6+Parameter!$E$7)-(AZ614-AV614))/AV614)))</f>
        <v>0</v>
      </c>
      <c r="BB614" s="55" t="str">
        <f aca="false">IF(AF614&lt;=0,"",IF(BU614="Aussen","Aussenlager",IF(BU614="-","Nicht im Lift",IF(AK614&gt;=1,"Lift",IF(AK614&lt;=0,"Aussenlager","teilweise")))))</f>
        <v>Nicht im Lift</v>
      </c>
      <c r="BC614" s="55" t="str">
        <f aca="false">IF(AN614&lt;=0,"",IF(BU614="Aussen","Aussenlager",IF(BU614="-","Nicht im Lift",IF(AS614&gt;=1,"Lift",IF(AS614&lt;=0,"Aussenlager","teilweise")))))</f>
        <v>Nicht im Lift</v>
      </c>
      <c r="BD614" s="55" t="str">
        <f aca="false">IF(AV614&lt;=0,"",IF(BU614="Aussen","Aussenlager",IF(BU614="-","Nicht im Lift",IF(BA614&gt;=1,"Lift",IF(BA614&lt;=0,"Aussenlager","teilweise")))))</f>
        <v>Nicht im Lift</v>
      </c>
      <c r="BE614" s="55" t="str">
        <f aca="false">IF(A614="","",IF(BN614=1,"Neu; ","")&amp;IF(AND(BN614=0,BI614&lt;0),"negativer Bestand (Export "&amp;BI614&amp;"); ","")&amp;IF(I614&lt;=0,"Kein Verbrauch; ","")&amp;IF(CD614&gt;0,"Lift "&amp;U614&amp;" lt. Liftbericht (Fach "&amp;V614&amp;" Stk); ",IF(BR614=1,"Lose – Fläche geschätzt; ",""))&amp;IF(G614&gt;AP614,"Überbestand "&amp;ROUND(G614-AP614,0)&amp;" Stk / CHF "&amp;ROUND((G614-AP614)*F614,0)&amp;"; ","")&amp;IF(AND(BW614=1,BX614&lt;BY614),"MAX &lt; MB+LG; ","")&amp;IF(AND(CC614&gt;0,CB614*10&gt;CC614),"zu hoch für Tablar; ","")&amp;IF(AND(BN614=0,OR(BW614=1,Y614&lt;&gt;"",S614&lt;&gt;"",T614&lt;&gt;"",Z614&lt;&gt;"")),"manuell übersteuert; ","")&amp;IF(AND(BR614=0,Q614=0),"Gebinde unbekannt / Stellmass fehlt; ","")&amp;IF(AND(BR614=0,N(T614)&lt;=0,N(P614)&lt;=0),"Menge pro Gebinde fehlt (Ist = 1 Gebinde); ","")&amp;BM614)</f>
        <v>Lose – Fläche geschätzt; </v>
      </c>
      <c r="BF614" s="55"/>
      <c r="BG614" s="55"/>
      <c r="BH614" s="62"/>
      <c r="BI614" s="57" t="n">
        <v>16</v>
      </c>
      <c r="BJ614" s="57" t="n">
        <v>0</v>
      </c>
      <c r="BK614" s="56" t="n">
        <v>4.64</v>
      </c>
      <c r="BL614" s="57" t="n">
        <v>34</v>
      </c>
      <c r="BM614" s="55"/>
      <c r="BN614" s="60" t="n">
        <v>0</v>
      </c>
      <c r="BO614" s="60" t="n">
        <v>614</v>
      </c>
      <c r="BP614" s="55" t="str">
        <f aca="false">IF(S614&lt;&gt;"",UPPER(TRIM(S614)),IF(O614="","LOSE",O614))</f>
        <v>LOSE</v>
      </c>
      <c r="BQ614" s="57" t="n">
        <f aca="false">IF(BP614="LOSE",1,IF(N(T614)&gt;0,T614,IF(N(P614)&gt;0,P614,MAX(1,G614))))</f>
        <v>1</v>
      </c>
      <c r="BR614" s="60" t="n">
        <f aca="false">IF(BP614="LOSE",1,0)</f>
        <v>1</v>
      </c>
      <c r="BS614" s="59" t="n">
        <f aca="false">IF(BR614=0,0,IF(N(R614)&gt;0,R614,IFERROR(VLOOKUP(D614,Parameter!$A$35:$C$64,3,0)+0,0)))</f>
        <v>0.15</v>
      </c>
      <c r="BT614" s="55" t="str">
        <f aca="false">IF(Y614&lt;&gt;"",Y614,X614)</f>
        <v>-</v>
      </c>
      <c r="BU614" s="55" t="str">
        <f aca="false">IF(BT614=1,"L1",IF(OR(BT614=2,BT614=3),"L23",IF(BT614="Aussen","Aussen","-")))</f>
        <v>-</v>
      </c>
      <c r="BV614" s="66" t="n">
        <f aca="false">IF(N(Z614)&gt;0,Z614,0)</f>
        <v>0</v>
      </c>
      <c r="BW614" s="60" t="n">
        <f aca="false">IF(ISNUMBER(AC614),1,0)</f>
        <v>0</v>
      </c>
      <c r="BX614" s="57" t="n">
        <f aca="false">N(AC614)</f>
        <v>0</v>
      </c>
      <c r="BY614" s="57" t="n">
        <f aca="false">N(L614)+N(M614)</f>
        <v>50</v>
      </c>
      <c r="BZ614" s="57" t="n">
        <f aca="false">ROUNDUP(G614/BQ614,0)</f>
        <v>16</v>
      </c>
      <c r="CA614" s="57" t="n">
        <f aca="false">ROUNDUP(BX614/BQ614,0)</f>
        <v>0</v>
      </c>
      <c r="CB614" s="60" t="n">
        <f aca="false">IF(BR614=1,0,IFERROR(VLOOKUP(BP614,'Gebinde-Kategorie'!$A$5:$M$45,5,0)+0,0))</f>
        <v>0</v>
      </c>
      <c r="CC614" s="60" t="n">
        <f aca="false">IFERROR(IF(OR(BT614=1,BT614=2,BT614=3),N(INDEX(Parameter!$I$5:$I$7,BT614)),0),0)</f>
        <v>0</v>
      </c>
      <c r="CD614" s="59" t="n">
        <f aca="false">IF(AND(Parameter!$B$21="Ja",ISNUMBER(U614),N(V614)&gt;0),IFERROR(N(INDEX(Parameter!$L$5:$L$7,U614))*INDEX(Parameter!$E$5:$E$7,U614)*V614/SUMIFS($V$7:$V$1576,$U$7:$U$1576,U614),0),0)</f>
        <v>0</v>
      </c>
    </row>
    <row r="615" customFormat="false" ht="15" hidden="false" customHeight="false" outlineLevel="0" collapsed="false">
      <c r="A615" s="55" t="s">
        <v>1256</v>
      </c>
      <c r="B615" s="55" t="s">
        <v>1257</v>
      </c>
      <c r="C615" s="55" t="s">
        <v>160</v>
      </c>
      <c r="D615" s="55" t="s">
        <v>178</v>
      </c>
      <c r="E615" s="55" t="s">
        <v>210</v>
      </c>
      <c r="F615" s="56" t="n">
        <v>0.58</v>
      </c>
      <c r="G615" s="57" t="n">
        <f aca="false">MAX(0,IF(AND(Parameter!$B$21="Ja",ISNUMBER(W615)),W615,IF(Parameter!$B$20="Jahresanfang 2025 + Export",BJ615+BI615,BI615)))</f>
        <v>8</v>
      </c>
      <c r="H615" s="57" t="n">
        <f aca="false">G615*F615</f>
        <v>4.64</v>
      </c>
      <c r="I615" s="57" t="n">
        <f aca="false">BL615*Parameter!$B$18</f>
        <v>0</v>
      </c>
      <c r="J615" s="58" t="n">
        <v>110.5</v>
      </c>
      <c r="K615" s="59" t="n">
        <v>0</v>
      </c>
      <c r="L615" s="57" t="n">
        <v>0</v>
      </c>
      <c r="M615" s="57" t="n">
        <v>1</v>
      </c>
      <c r="N615" s="60" t="n">
        <v>21</v>
      </c>
      <c r="O615" s="55" t="s">
        <v>411</v>
      </c>
      <c r="P615" s="57" t="n">
        <v>123</v>
      </c>
      <c r="Q615" s="60" t="n">
        <f aca="false">IF(BR615=1,0,IFERROR(VLOOKUP(BP615,'Gebinde-Kategorie'!$A$5:$M$45,13,0)+0,0))</f>
        <v>132</v>
      </c>
      <c r="R615" s="61"/>
      <c r="S615" s="62"/>
      <c r="T615" s="62"/>
      <c r="U615" s="55"/>
      <c r="V615" s="57"/>
      <c r="W615" s="57"/>
      <c r="X615" s="55" t="n">
        <f aca="false">IF(A615="","",IF(AND(Parameter!$B$21="Ja",ISNUMBER(U615)),U615,IF(IFERROR(VLOOKUP(D615,Parameter!$A$35:$C$64,2,0),"Nein")="2+3",IF(ISNUMBER(SEARCH("grosser Artikel",BM615)),2,IFERROR(VLOOKUP(BP615,Parameter!$F$35:$G$64,2,0),2)),IF(OR(IFERROR(VLOOKUP(D615,Parameter!$A$35:$C$64,2,0),"Nein")="Nein",IFERROR(VLOOKUP(D615,Parameter!$A$35:$C$64,2,0),"Nein")=""),"-",VLOOKUP(D615,Parameter!$A$35:$C$64,2,0)))))</f>
        <v>3</v>
      </c>
      <c r="Y615" s="62"/>
      <c r="Z615" s="63"/>
      <c r="AA615" s="57" t="n">
        <f aca="false">AP615</f>
        <v>123</v>
      </c>
      <c r="AB615" s="57" t="n">
        <f aca="false">MAX(AP615,G615)</f>
        <v>123</v>
      </c>
      <c r="AC615" s="64"/>
      <c r="AD615" s="57" t="n">
        <f aca="false">IF(LEFT(Cockpit!$C$5,1)="A",G615,IF(BW615=1,BX615,IF(LEFT(Cockpit!$C$5,1)="B",AH615,MAX(AH615,G615))))</f>
        <v>8</v>
      </c>
      <c r="AE615" s="57" t="n">
        <f aca="false">IF(BR615=1,0,ROUNDUP(AD615/BQ615,0))</f>
        <v>1</v>
      </c>
      <c r="AF615" s="59" t="n">
        <f aca="false">IF(CD615&gt;0,CD615*MAX(1,AD615/V615),IF(BR615=1,IF(AD615&lt;=0,0,BS615*MAX(1,IF(G615&gt;0,AD615/G615,1))),IF(Q615&gt;0,AE615/Q615,0))/MAX(0.1,N(Parameter!$M$21)))</f>
        <v>0.00757575757575758</v>
      </c>
      <c r="AG615" s="57" t="n">
        <f aca="false">AD615*F615</f>
        <v>4.64</v>
      </c>
      <c r="AH615" s="57" t="n">
        <f aca="false">ROUNDUP(MAX(I615/IF(BV615&gt;0,BV615,MAX(0.1,N(Cockpit!$C$6))),BY615)/BQ615,0)*BQ615</f>
        <v>123</v>
      </c>
      <c r="AI615" s="58" t="n">
        <f aca="false">IF(AF615&gt;0,I615/AF615,-1)</f>
        <v>0</v>
      </c>
      <c r="AJ615" s="58" t="n">
        <f aca="false">IF(AND(OR(BU615="L1",BU615="L23"),AF615&gt;0),SUMIFS($AF$7:$AF$1576,$BU$7:$BU$1576,BU615,$AI$7:$AI$1576,"&gt;"&amp;AI615)+SUMIFS($AF$7:$AF$1576,$BU$7:$BU$1576,BU615,$AI$7:$AI$1576,AI615,$BO$7:$BO$1576,"&lt;="&amp;BO615),"")</f>
        <v>44.5351609742914</v>
      </c>
      <c r="AK615" s="65" t="n">
        <f aca="false">IF(AJ615="",0,MAX(0,MIN(1,(IF(BU615="L1",Parameter!$E$5,Parameter!$E$6+Parameter!$E$7)-(AJ615-AF615))/AF615)))</f>
        <v>1</v>
      </c>
      <c r="AL615" s="57" t="n">
        <f aca="false">IF(LEFT(Cockpit!$I$5,1)="A",G615,IF(BW615=1,BX615,IF(LEFT(Cockpit!$I$5,1)="B",AP615,MAX(AP615,G615))))</f>
        <v>123</v>
      </c>
      <c r="AM615" s="57" t="n">
        <f aca="false">IF(BR615=1,0,ROUNDUP(AL615/BQ615,0))</f>
        <v>1</v>
      </c>
      <c r="AN615" s="59" t="n">
        <f aca="false">IF(CD615&gt;0,CD615*MAX(1,AL615/V615),IF(BR615=1,IF(AL615&lt;=0,0,BS615*MAX(1,IF(G615&gt;0,AL615/G615,1))),IF(Q615&gt;0,AM615/Q615,0))/MAX(0.1,N(Parameter!$M$21)))</f>
        <v>0.00757575757575758</v>
      </c>
      <c r="AO615" s="57" t="n">
        <f aca="false">AL615*F615</f>
        <v>71.34</v>
      </c>
      <c r="AP615" s="57" t="n">
        <f aca="false">ROUNDUP(MAX(I615/IF(BV615&gt;0,BV615,MAX(0.1,N(Cockpit!$I$6))),BY615)/BQ615,0)*BQ615</f>
        <v>123</v>
      </c>
      <c r="AQ615" s="58" t="n">
        <f aca="false">IF(AN615&gt;0,I615/AN615,-1)</f>
        <v>0</v>
      </c>
      <c r="AR615" s="58" t="n">
        <f aca="false">IF(AND(OR(BU615="L1",BU615="L23"),AN615&gt;0),SUMIFS($AN$7:$AN$1576,$BU$7:$BU$1576,BU615,$AQ$7:$AQ$1576,"&gt;"&amp;AQ615)+SUMIFS($AN$7:$AN$1576,$BU$7:$BU$1576,BU615,$AQ$7:$AQ$1576,AQ615,$BO$7:$BO$1576,"&lt;="&amp;BO615),"")</f>
        <v>127.53194709281</v>
      </c>
      <c r="AS615" s="65" t="n">
        <f aca="false">IF(AR615="",0,MAX(0,MIN(1,(IF(BU615="L1",Parameter!$E$5,Parameter!$E$6+Parameter!$E$7)-(AR615-AN615))/AN615)))</f>
        <v>0</v>
      </c>
      <c r="AT615" s="57" t="n">
        <f aca="false">IF(LEFT(Cockpit!$O$5,1)="A",G615,IF(BW615=1,BX615,IF(LEFT(Cockpit!$O$5,1)="B",AX615,MAX(AX615,G615))))</f>
        <v>123</v>
      </c>
      <c r="AU615" s="57" t="n">
        <f aca="false">IF(BR615=1,0,ROUNDUP(AT615/BQ615,0))</f>
        <v>1</v>
      </c>
      <c r="AV615" s="59" t="n">
        <f aca="false">IF(CD615&gt;0,CD615*MAX(1,AT615/V615),IF(BR615=1,IF(AT615&lt;=0,0,BS615*MAX(1,IF(G615&gt;0,AT615/G615,1))),IF(Q615&gt;0,AU615/Q615,0))/MAX(0.1,N(Parameter!$M$21)))</f>
        <v>0.00757575757575758</v>
      </c>
      <c r="AW615" s="57" t="n">
        <f aca="false">AT615*F615</f>
        <v>71.34</v>
      </c>
      <c r="AX615" s="57" t="n">
        <f aca="false">ROUNDUP(MAX(I615/IF(BV615&gt;0,BV615,MAX(0.1,N(Cockpit!$O$6))),BY615)/BQ615,0)*BQ615</f>
        <v>123</v>
      </c>
      <c r="AY615" s="58" t="n">
        <f aca="false">IF(AV615&gt;0,I615/AV615,-1)</f>
        <v>0</v>
      </c>
      <c r="AZ615" s="58" t="n">
        <f aca="false">IF(AND(OR(BU615="L1",BU615="L23"),AV615&gt;0),SUMIFS($AV$7:$AV$1576,$BU$7:$BU$1576,BU615,$AY$7:$AY$1576,"&gt;"&amp;AY615)+SUMIFS($AV$7:$AV$1576,$BU$7:$BU$1576,BU615,$AY$7:$AY$1576,AY615,$BO$7:$BO$1576,"&lt;="&amp;BO615),"")</f>
        <v>117.59149754236</v>
      </c>
      <c r="BA615" s="65" t="n">
        <f aca="false">IF(AZ615="",0,MAX(0,MIN(1,(IF(BU615="L1",Parameter!$E$5,Parameter!$E$6+Parameter!$E$7)-(AZ615-AV615))/AV615)))</f>
        <v>0</v>
      </c>
      <c r="BB615" s="55" t="str">
        <f aca="false">IF(AF615&lt;=0,"",IF(BU615="Aussen","Aussenlager",IF(BU615="-","Nicht im Lift",IF(AK615&gt;=1,"Lift",IF(AK615&lt;=0,"Aussenlager","teilweise")))))</f>
        <v>Lift</v>
      </c>
      <c r="BC615" s="55" t="str">
        <f aca="false">IF(AN615&lt;=0,"",IF(BU615="Aussen","Aussenlager",IF(BU615="-","Nicht im Lift",IF(AS615&gt;=1,"Lift",IF(AS615&lt;=0,"Aussenlager","teilweise")))))</f>
        <v>Aussenlager</v>
      </c>
      <c r="BD615" s="55" t="str">
        <f aca="false">IF(AV615&lt;=0,"",IF(BU615="Aussen","Aussenlager",IF(BU615="-","Nicht im Lift",IF(BA615&gt;=1,"Lift",IF(BA615&lt;=0,"Aussenlager","teilweise")))))</f>
        <v>Aussenlager</v>
      </c>
      <c r="BE615" s="55" t="str">
        <f aca="false">IF(A615="","",IF(BN615=1,"Neu; ","")&amp;IF(AND(BN615=0,BI615&lt;0),"negativer Bestand (Export "&amp;BI615&amp;"); ","")&amp;IF(I615&lt;=0,"Kein Verbrauch; ","")&amp;IF(CD615&gt;0,"Lift "&amp;U615&amp;" lt. Liftbericht (Fach "&amp;V615&amp;" Stk); ",IF(BR615=1,"Lose – Fläche geschätzt; ",""))&amp;IF(G615&gt;AP615,"Überbestand "&amp;ROUND(G615-AP615,0)&amp;" Stk / CHF "&amp;ROUND((G615-AP615)*F615,0)&amp;"; ","")&amp;IF(AND(BW615=1,BX615&lt;BY615),"MAX &lt; MB+LG; ","")&amp;IF(AND(CC615&gt;0,CB615*10&gt;CC615),"zu hoch für Tablar; ","")&amp;IF(AND(BN615=0,OR(BW615=1,Y615&lt;&gt;"",S615&lt;&gt;"",T615&lt;&gt;"",Z615&lt;&gt;"")),"manuell übersteuert; ","")&amp;IF(AND(BR615=0,Q615=0),"Gebinde unbekannt / Stellmass fehlt; ","")&amp;IF(AND(BR615=0,N(T615)&lt;=0,N(P615)&lt;=0),"Menge pro Gebinde fehlt (Ist = 1 Gebinde); ","")&amp;BM615)</f>
        <v>Kein Verbrauch; Überbestand</v>
      </c>
      <c r="BF615" s="55"/>
      <c r="BG615" s="55"/>
      <c r="BH615" s="62"/>
      <c r="BI615" s="57" t="n">
        <v>8</v>
      </c>
      <c r="BJ615" s="57" t="n">
        <v>106</v>
      </c>
      <c r="BK615" s="56" t="n">
        <v>4.64</v>
      </c>
      <c r="BL615" s="57" t="n">
        <v>0</v>
      </c>
      <c r="BM615" s="55" t="s">
        <v>382</v>
      </c>
      <c r="BN615" s="60" t="n">
        <v>0</v>
      </c>
      <c r="BO615" s="60" t="n">
        <v>615</v>
      </c>
      <c r="BP615" s="55" t="str">
        <f aca="false">IF(S615&lt;&gt;"",UPPER(TRIM(S615)),IF(O615="","LOSE",O615))</f>
        <v>S32</v>
      </c>
      <c r="BQ615" s="57" t="n">
        <f aca="false">IF(BP615="LOSE",1,IF(N(T615)&gt;0,T615,IF(N(P615)&gt;0,P615,MAX(1,G615))))</f>
        <v>123</v>
      </c>
      <c r="BR615" s="60" t="n">
        <f aca="false">IF(BP615="LOSE",1,0)</f>
        <v>0</v>
      </c>
      <c r="BS615" s="59" t="n">
        <f aca="false">IF(BR615=0,0,IF(N(R615)&gt;0,R615,IFERROR(VLOOKUP(D615,Parameter!$A$35:$C$64,3,0)+0,0)))</f>
        <v>0</v>
      </c>
      <c r="BT615" s="55" t="n">
        <f aca="false">IF(Y615&lt;&gt;"",Y615,X615)</f>
        <v>3</v>
      </c>
      <c r="BU615" s="55" t="str">
        <f aca="false">IF(BT615=1,"L1",IF(OR(BT615=2,BT615=3),"L23",IF(BT615="Aussen","Aussen","-")))</f>
        <v>L23</v>
      </c>
      <c r="BV615" s="66" t="n">
        <f aca="false">IF(N(Z615)&gt;0,Z615,0)</f>
        <v>0</v>
      </c>
      <c r="BW615" s="60" t="n">
        <f aca="false">IF(ISNUMBER(AC615),1,0)</f>
        <v>0</v>
      </c>
      <c r="BX615" s="57" t="n">
        <f aca="false">N(AC615)</f>
        <v>0</v>
      </c>
      <c r="BY615" s="57" t="n">
        <f aca="false">N(L615)+N(M615)</f>
        <v>1</v>
      </c>
      <c r="BZ615" s="57" t="n">
        <f aca="false">ROUNDUP(G615/BQ615,0)</f>
        <v>1</v>
      </c>
      <c r="CA615" s="57" t="n">
        <f aca="false">ROUNDUP(BX615/BQ615,0)</f>
        <v>0</v>
      </c>
      <c r="CB615" s="60" t="n">
        <f aca="false">IF(BR615=1,0,IFERROR(VLOOKUP(BP615,'Gebinde-Kategorie'!$A$5:$M$45,5,0)+0,0))</f>
        <v>8</v>
      </c>
      <c r="CC615" s="60" t="n">
        <f aca="false">IFERROR(IF(OR(BT615=1,BT615=2,BT615=3),N(INDEX(Parameter!$I$5:$I$7,BT615)),0),0)</f>
        <v>0</v>
      </c>
      <c r="CD615" s="59" t="n">
        <f aca="false">IF(AND(Parameter!$B$21="Ja",ISNUMBER(U615),N(V615)&gt;0),IFERROR(N(INDEX(Parameter!$L$5:$L$7,U615))*INDEX(Parameter!$E$5:$E$7,U615)*V615/SUMIFS($V$7:$V$1576,$U$7:$U$1576,U615),0),0)</f>
        <v>0</v>
      </c>
    </row>
    <row r="616" customFormat="false" ht="15" hidden="false" customHeight="false" outlineLevel="0" collapsed="false">
      <c r="A616" s="55" t="s">
        <v>1258</v>
      </c>
      <c r="B616" s="55" t="s">
        <v>395</v>
      </c>
      <c r="C616" s="55" t="s">
        <v>160</v>
      </c>
      <c r="D616" s="55" t="s">
        <v>168</v>
      </c>
      <c r="E616" s="55" t="s">
        <v>210</v>
      </c>
      <c r="F616" s="56" t="n">
        <v>0.46</v>
      </c>
      <c r="G616" s="57" t="n">
        <f aca="false">MAX(0,IF(AND(Parameter!$B$21="Ja",ISNUMBER(W616)),W616,IF(Parameter!$B$20="Jahresanfang 2025 + Export",BJ616+BI616,BI616)))</f>
        <v>10</v>
      </c>
      <c r="H616" s="57" t="n">
        <f aca="false">G616*F616</f>
        <v>4.6</v>
      </c>
      <c r="I616" s="57" t="n">
        <f aca="false">BL616*Parameter!$B$18</f>
        <v>48</v>
      </c>
      <c r="J616" s="58" t="n">
        <v>3393</v>
      </c>
      <c r="K616" s="59" t="n">
        <v>0.0141467727674624</v>
      </c>
      <c r="L616" s="57" t="n">
        <v>2</v>
      </c>
      <c r="M616" s="57" t="n">
        <v>50</v>
      </c>
      <c r="N616" s="60" t="n">
        <v>21</v>
      </c>
      <c r="O616" s="55" t="s">
        <v>169</v>
      </c>
      <c r="P616" s="57" t="n">
        <v>1000</v>
      </c>
      <c r="Q616" s="60" t="n">
        <f aca="false">IF(BR616=1,0,IFERROR(VLOOKUP(BP616,'Gebinde-Kategorie'!$A$5:$M$45,13,0)+0,0))</f>
        <v>6</v>
      </c>
      <c r="R616" s="61"/>
      <c r="S616" s="62"/>
      <c r="T616" s="62"/>
      <c r="U616" s="55"/>
      <c r="V616" s="57"/>
      <c r="W616" s="57"/>
      <c r="X616" s="55" t="n">
        <f aca="false">IF(A616="","",IF(AND(Parameter!$B$21="Ja",ISNUMBER(U616)),U616,IF(IFERROR(VLOOKUP(D616,Parameter!$A$35:$C$64,2,0),"Nein")="2+3",IF(ISNUMBER(SEARCH("grosser Artikel",BM616)),2,IFERROR(VLOOKUP(BP616,Parameter!$F$35:$G$64,2,0),2)),IF(OR(IFERROR(VLOOKUP(D616,Parameter!$A$35:$C$64,2,0),"Nein")="Nein",IFERROR(VLOOKUP(D616,Parameter!$A$35:$C$64,2,0),"Nein")=""),"-",VLOOKUP(D616,Parameter!$A$35:$C$64,2,0)))))</f>
        <v>2</v>
      </c>
      <c r="Y616" s="62"/>
      <c r="Z616" s="63"/>
      <c r="AA616" s="57" t="n">
        <f aca="false">AP616</f>
        <v>1000</v>
      </c>
      <c r="AB616" s="57" t="n">
        <f aca="false">MAX(AP616,G616)</f>
        <v>1000</v>
      </c>
      <c r="AC616" s="64"/>
      <c r="AD616" s="57" t="n">
        <f aca="false">IF(LEFT(Cockpit!$C$5,1)="A",G616,IF(BW616=1,BX616,IF(LEFT(Cockpit!$C$5,1)="B",AH616,MAX(AH616,G616))))</f>
        <v>10</v>
      </c>
      <c r="AE616" s="57" t="n">
        <f aca="false">IF(BR616=1,0,ROUNDUP(AD616/BQ616,0))</f>
        <v>1</v>
      </c>
      <c r="AF616" s="59" t="n">
        <f aca="false">IF(CD616&gt;0,CD616*MAX(1,AD616/V616),IF(BR616=1,IF(AD616&lt;=0,0,BS616*MAX(1,IF(G616&gt;0,AD616/G616,1))),IF(Q616&gt;0,AE616/Q616,0))/MAX(0.1,N(Parameter!$M$21)))</f>
        <v>0.166666666666667</v>
      </c>
      <c r="AG616" s="57" t="n">
        <f aca="false">AD616*F616</f>
        <v>4.6</v>
      </c>
      <c r="AH616" s="57" t="n">
        <f aca="false">ROUNDUP(MAX(I616/IF(BV616&gt;0,BV616,MAX(0.1,N(Cockpit!$C$6))),BY616)/BQ616,0)*BQ616</f>
        <v>1000</v>
      </c>
      <c r="AI616" s="58" t="n">
        <f aca="false">IF(AF616&gt;0,I616/AF616,-1)</f>
        <v>288</v>
      </c>
      <c r="AJ616" s="58" t="n">
        <f aca="false">IF(AND(OR(BU616="L1",BU616="L23"),AF616&gt;0),SUMIFS($AF$7:$AF$1576,$BU$7:$BU$1576,BU616,$AI$7:$AI$1576,"&gt;"&amp;AI616)+SUMIFS($AF$7:$AF$1576,$BU$7:$BU$1576,BU616,$AI$7:$AI$1576,AI616,$BO$7:$BO$1576,"&lt;="&amp;BO616),"")</f>
        <v>14.987974392757</v>
      </c>
      <c r="AK616" s="65" t="n">
        <f aca="false">IF(AJ616="",0,MAX(0,MIN(1,(IF(BU616="L1",Parameter!$E$5,Parameter!$E$6+Parameter!$E$7)-(AJ616-AF616))/AF616)))</f>
        <v>1</v>
      </c>
      <c r="AL616" s="57" t="n">
        <f aca="false">IF(LEFT(Cockpit!$I$5,1)="A",G616,IF(BW616=1,BX616,IF(LEFT(Cockpit!$I$5,1)="B",AP616,MAX(AP616,G616))))</f>
        <v>1000</v>
      </c>
      <c r="AM616" s="57" t="n">
        <f aca="false">IF(BR616=1,0,ROUNDUP(AL616/BQ616,0))</f>
        <v>1</v>
      </c>
      <c r="AN616" s="59" t="n">
        <f aca="false">IF(CD616&gt;0,CD616*MAX(1,AL616/V616),IF(BR616=1,IF(AL616&lt;=0,0,BS616*MAX(1,IF(G616&gt;0,AL616/G616,1))),IF(Q616&gt;0,AM616/Q616,0))/MAX(0.1,N(Parameter!$M$21)))</f>
        <v>0.166666666666667</v>
      </c>
      <c r="AO616" s="57" t="n">
        <f aca="false">AL616*F616</f>
        <v>460</v>
      </c>
      <c r="AP616" s="57" t="n">
        <f aca="false">ROUNDUP(MAX(I616/IF(BV616&gt;0,BV616,MAX(0.1,N(Cockpit!$I$6))),BY616)/BQ616,0)*BQ616</f>
        <v>1000</v>
      </c>
      <c r="AQ616" s="58" t="n">
        <f aca="false">IF(AN616&gt;0,I616/AN616,-1)</f>
        <v>288</v>
      </c>
      <c r="AR616" s="58" t="n">
        <f aca="false">IF(AND(OR(BU616="L1",BU616="L23"),AN616&gt;0),SUMIFS($AN$7:$AN$1576,$BU$7:$BU$1576,BU616,$AQ$7:$AQ$1576,"&gt;"&amp;AQ616)+SUMIFS($AN$7:$AN$1576,$BU$7:$BU$1576,BU616,$AQ$7:$AQ$1576,AQ616,$BO$7:$BO$1576,"&lt;="&amp;BO616),"")</f>
        <v>44.1773323901696</v>
      </c>
      <c r="AS616" s="65" t="n">
        <f aca="false">IF(AR616="",0,MAX(0,MIN(1,(IF(BU616="L1",Parameter!$E$5,Parameter!$E$6+Parameter!$E$7)-(AR616-AN616))/AN616)))</f>
        <v>1</v>
      </c>
      <c r="AT616" s="57" t="n">
        <f aca="false">IF(LEFT(Cockpit!$O$5,1)="A",G616,IF(BW616=1,BX616,IF(LEFT(Cockpit!$O$5,1)="B",AX616,MAX(AX616,G616))))</f>
        <v>1000</v>
      </c>
      <c r="AU616" s="57" t="n">
        <f aca="false">IF(BR616=1,0,ROUNDUP(AT616/BQ616,0))</f>
        <v>1</v>
      </c>
      <c r="AV616" s="59" t="n">
        <f aca="false">IF(CD616&gt;0,CD616*MAX(1,AT616/V616),IF(BR616=1,IF(AT616&lt;=0,0,BS616*MAX(1,IF(G616&gt;0,AT616/G616,1))),IF(Q616&gt;0,AU616/Q616,0))/MAX(0.1,N(Parameter!$M$21)))</f>
        <v>0.166666666666667</v>
      </c>
      <c r="AW616" s="57" t="n">
        <f aca="false">AT616*F616</f>
        <v>460</v>
      </c>
      <c r="AX616" s="57" t="n">
        <f aca="false">ROUNDUP(MAX(I616/IF(BV616&gt;0,BV616,MAX(0.1,N(Cockpit!$O$6))),BY616)/BQ616,0)*BQ616</f>
        <v>1000</v>
      </c>
      <c r="AY616" s="58" t="n">
        <f aca="false">IF(AV616&gt;0,I616/AV616,-1)</f>
        <v>288</v>
      </c>
      <c r="AZ616" s="58" t="n">
        <f aca="false">IF(AND(OR(BU616="L1",BU616="L23"),AV616&gt;0),SUMIFS($AV$7:$AV$1576,$BU$7:$BU$1576,BU616,$AY$7:$AY$1576,"&gt;"&amp;AY616)+SUMIFS($AV$7:$AV$1576,$BU$7:$BU$1576,BU616,$AY$7:$AY$1576,AY616,$BO$7:$BO$1576,"&lt;="&amp;BO616),"")</f>
        <v>40.4554109782482</v>
      </c>
      <c r="BA616" s="65" t="n">
        <f aca="false">IF(AZ616="",0,MAX(0,MIN(1,(IF(BU616="L1",Parameter!$E$5,Parameter!$E$6+Parameter!$E$7)-(AZ616-AV616))/AV616)))</f>
        <v>1</v>
      </c>
      <c r="BB616" s="55" t="str">
        <f aca="false">IF(AF616&lt;=0,"",IF(BU616="Aussen","Aussenlager",IF(BU616="-","Nicht im Lift",IF(AK616&gt;=1,"Lift",IF(AK616&lt;=0,"Aussenlager","teilweise")))))</f>
        <v>Lift</v>
      </c>
      <c r="BC616" s="55" t="str">
        <f aca="false">IF(AN616&lt;=0,"",IF(BU616="Aussen","Aussenlager",IF(BU616="-","Nicht im Lift",IF(AS616&gt;=1,"Lift",IF(AS616&lt;=0,"Aussenlager","teilweise")))))</f>
        <v>Lift</v>
      </c>
      <c r="BD616" s="55" t="str">
        <f aca="false">IF(AV616&lt;=0,"",IF(BU616="Aussen","Aussenlager",IF(BU616="-","Nicht im Lift",IF(BA616&gt;=1,"Lift",IF(BA616&lt;=0,"Aussenlager","teilweise")))))</f>
        <v>Lift</v>
      </c>
      <c r="BE616" s="55" t="str">
        <f aca="false">IF(A616="","",IF(BN616=1,"Neu; ","")&amp;IF(AND(BN616=0,BI616&lt;0),"negativer Bestand (Export "&amp;BI616&amp;"); ","")&amp;IF(I616&lt;=0,"Kein Verbrauch; ","")&amp;IF(CD616&gt;0,"Lift "&amp;U616&amp;" lt. Liftbericht (Fach "&amp;V616&amp;" Stk); ",IF(BR616=1,"Lose – Fläche geschätzt; ",""))&amp;IF(G616&gt;AP616,"Überbestand "&amp;ROUND(G616-AP616,0)&amp;" Stk / CHF "&amp;ROUND((G616-AP616)*F616,0)&amp;"; ","")&amp;IF(AND(BW616=1,BX616&lt;BY616),"MAX &lt; MB+LG; ","")&amp;IF(AND(CC616&gt;0,CB616*10&gt;CC616),"zu hoch für Tablar; ","")&amp;IF(AND(BN616=0,OR(BW616=1,Y616&lt;&gt;"",S616&lt;&gt;"",T616&lt;&gt;"",Z616&lt;&gt;"")),"manuell übersteuert; ","")&amp;IF(AND(BR616=0,Q616=0),"Gebinde unbekannt / Stellmass fehlt; ","")&amp;IF(AND(BR616=0,N(T616)&lt;=0,N(P616)&lt;=0),"Menge pro Gebinde fehlt (Ist = 1 Gebinde); ","")&amp;BM616)</f>
        <v>Twin; grosse  Artikelmenge</v>
      </c>
      <c r="BF616" s="55"/>
      <c r="BG616" s="55"/>
      <c r="BH616" s="62"/>
      <c r="BI616" s="57" t="n">
        <v>10</v>
      </c>
      <c r="BJ616" s="57" t="n">
        <v>3384</v>
      </c>
      <c r="BK616" s="56" t="n">
        <v>4.6</v>
      </c>
      <c r="BL616" s="57" t="n">
        <v>48</v>
      </c>
      <c r="BM616" s="55" t="s">
        <v>1259</v>
      </c>
      <c r="BN616" s="60" t="n">
        <v>0</v>
      </c>
      <c r="BO616" s="60" t="n">
        <v>616</v>
      </c>
      <c r="BP616" s="55" t="str">
        <f aca="false">IF(S616&lt;&gt;"",UPPER(TRIM(S616)),IF(O616="","LOSE",O616))</f>
        <v>S71</v>
      </c>
      <c r="BQ616" s="57" t="n">
        <f aca="false">IF(BP616="LOSE",1,IF(N(T616)&gt;0,T616,IF(N(P616)&gt;0,P616,MAX(1,G616))))</f>
        <v>1000</v>
      </c>
      <c r="BR616" s="60" t="n">
        <f aca="false">IF(BP616="LOSE",1,0)</f>
        <v>0</v>
      </c>
      <c r="BS616" s="59" t="n">
        <f aca="false">IF(BR616=0,0,IF(N(R616)&gt;0,R616,IFERROR(VLOOKUP(D616,Parameter!$A$35:$C$64,3,0)+0,0)))</f>
        <v>0</v>
      </c>
      <c r="BT616" s="55" t="n">
        <f aca="false">IF(Y616&lt;&gt;"",Y616,X616)</f>
        <v>2</v>
      </c>
      <c r="BU616" s="55" t="str">
        <f aca="false">IF(BT616=1,"L1",IF(OR(BT616=2,BT616=3),"L23",IF(BT616="Aussen","Aussen","-")))</f>
        <v>L23</v>
      </c>
      <c r="BV616" s="66" t="n">
        <f aca="false">IF(N(Z616)&gt;0,Z616,0)</f>
        <v>0</v>
      </c>
      <c r="BW616" s="60" t="n">
        <f aca="false">IF(ISNUMBER(AC616),1,0)</f>
        <v>0</v>
      </c>
      <c r="BX616" s="57" t="n">
        <f aca="false">N(AC616)</f>
        <v>0</v>
      </c>
      <c r="BY616" s="57" t="n">
        <f aca="false">N(L616)+N(M616)</f>
        <v>52</v>
      </c>
      <c r="BZ616" s="57" t="n">
        <f aca="false">ROUNDUP(G616/BQ616,0)</f>
        <v>1</v>
      </c>
      <c r="CA616" s="57" t="n">
        <f aca="false">ROUNDUP(BX616/BQ616,0)</f>
        <v>0</v>
      </c>
      <c r="CB616" s="60" t="n">
        <f aca="false">IF(BR616=1,0,IFERROR(VLOOKUP(BP616,'Gebinde-Kategorie'!$A$5:$M$45,5,0)+0,0))</f>
        <v>20</v>
      </c>
      <c r="CC616" s="60" t="n">
        <f aca="false">IFERROR(IF(OR(BT616=1,BT616=2,BT616=3),N(INDEX(Parameter!$I$5:$I$7,BT616)),0),0)</f>
        <v>0</v>
      </c>
      <c r="CD616" s="59" t="n">
        <f aca="false">IF(AND(Parameter!$B$21="Ja",ISNUMBER(U616),N(V616)&gt;0),IFERROR(N(INDEX(Parameter!$L$5:$L$7,U616))*INDEX(Parameter!$E$5:$E$7,U616)*V616/SUMIFS($V$7:$V$1576,$U$7:$U$1576,U616),0),0)</f>
        <v>0</v>
      </c>
    </row>
    <row r="617" customFormat="false" ht="15" hidden="false" customHeight="false" outlineLevel="0" collapsed="false">
      <c r="A617" s="55" t="s">
        <v>1260</v>
      </c>
      <c r="B617" s="55" t="s">
        <v>1251</v>
      </c>
      <c r="C617" s="55" t="s">
        <v>160</v>
      </c>
      <c r="D617" s="55" t="s">
        <v>178</v>
      </c>
      <c r="E617" s="55" t="s">
        <v>210</v>
      </c>
      <c r="F617" s="56" t="n">
        <v>0.05</v>
      </c>
      <c r="G617" s="57" t="n">
        <f aca="false">MAX(0,IF(AND(Parameter!$B$21="Ja",ISNUMBER(W617)),W617,IF(Parameter!$B$20="Jahresanfang 2025 + Export",BJ617+BI617,BI617)))</f>
        <v>91</v>
      </c>
      <c r="H617" s="57" t="n">
        <f aca="false">G617*F617</f>
        <v>4.55</v>
      </c>
      <c r="I617" s="57" t="n">
        <f aca="false">BL617*Parameter!$B$18</f>
        <v>38</v>
      </c>
      <c r="J617" s="58" t="n">
        <v>145.5</v>
      </c>
      <c r="K617" s="59" t="n">
        <v>0.261168384879725</v>
      </c>
      <c r="L617" s="57" t="n">
        <v>0</v>
      </c>
      <c r="M617" s="57" t="n">
        <v>40</v>
      </c>
      <c r="N617" s="60" t="n">
        <v>14</v>
      </c>
      <c r="O617" s="55" t="s">
        <v>391</v>
      </c>
      <c r="P617" s="57" t="n">
        <v>190</v>
      </c>
      <c r="Q617" s="60" t="n">
        <f aca="false">IF(BR617=1,0,IFERROR(VLOOKUP(BP617,'Gebinde-Kategorie'!$A$5:$M$45,13,0)+0,0))</f>
        <v>414</v>
      </c>
      <c r="R617" s="61"/>
      <c r="S617" s="62"/>
      <c r="T617" s="62"/>
      <c r="U617" s="55"/>
      <c r="V617" s="57"/>
      <c r="W617" s="57"/>
      <c r="X617" s="55" t="n">
        <f aca="false">IF(A617="","",IF(AND(Parameter!$B$21="Ja",ISNUMBER(U617)),U617,IF(IFERROR(VLOOKUP(D617,Parameter!$A$35:$C$64,2,0),"Nein")="2+3",IF(ISNUMBER(SEARCH("grosser Artikel",BM617)),2,IFERROR(VLOOKUP(BP617,Parameter!$F$35:$G$64,2,0),2)),IF(OR(IFERROR(VLOOKUP(D617,Parameter!$A$35:$C$64,2,0),"Nein")="Nein",IFERROR(VLOOKUP(D617,Parameter!$A$35:$C$64,2,0),"Nein")=""),"-",VLOOKUP(D617,Parameter!$A$35:$C$64,2,0)))))</f>
        <v>3</v>
      </c>
      <c r="Y617" s="62"/>
      <c r="Z617" s="63"/>
      <c r="AA617" s="57" t="n">
        <f aca="false">AP617</f>
        <v>190</v>
      </c>
      <c r="AB617" s="57" t="n">
        <f aca="false">MAX(AP617,G617)</f>
        <v>190</v>
      </c>
      <c r="AC617" s="64"/>
      <c r="AD617" s="57" t="n">
        <f aca="false">IF(LEFT(Cockpit!$C$5,1)="A",G617,IF(BW617=1,BX617,IF(LEFT(Cockpit!$C$5,1)="B",AH617,MAX(AH617,G617))))</f>
        <v>91</v>
      </c>
      <c r="AE617" s="57" t="n">
        <f aca="false">IF(BR617=1,0,ROUNDUP(AD617/BQ617,0))</f>
        <v>1</v>
      </c>
      <c r="AF617" s="59" t="n">
        <f aca="false">IF(CD617&gt;0,CD617*MAX(1,AD617/V617),IF(BR617=1,IF(AD617&lt;=0,0,BS617*MAX(1,IF(G617&gt;0,AD617/G617,1))),IF(Q617&gt;0,AE617/Q617,0))/MAX(0.1,N(Parameter!$M$21)))</f>
        <v>0.00241545893719807</v>
      </c>
      <c r="AG617" s="57" t="n">
        <f aca="false">AD617*F617</f>
        <v>4.55</v>
      </c>
      <c r="AH617" s="57" t="n">
        <f aca="false">ROUNDUP(MAX(I617/IF(BV617&gt;0,BV617,MAX(0.1,N(Cockpit!$C$6))),BY617)/BQ617,0)*BQ617</f>
        <v>190</v>
      </c>
      <c r="AI617" s="58" t="n">
        <f aca="false">IF(AF617&gt;0,I617/AF617,-1)</f>
        <v>15732</v>
      </c>
      <c r="AJ617" s="58" t="n">
        <f aca="false">IF(AND(OR(BU617="L1",BU617="L23"),AF617&gt;0),SUMIFS($AF$7:$AF$1576,$BU$7:$BU$1576,BU617,$AI$7:$AI$1576,"&gt;"&amp;AI617)+SUMIFS($AF$7:$AF$1576,$BU$7:$BU$1576,BU617,$AI$7:$AI$1576,AI617,$BO$7:$BO$1576,"&lt;="&amp;BO617),"")</f>
        <v>2.23658829093612</v>
      </c>
      <c r="AK617" s="65" t="n">
        <f aca="false">IF(AJ617="",0,MAX(0,MIN(1,(IF(BU617="L1",Parameter!$E$5,Parameter!$E$6+Parameter!$E$7)-(AJ617-AF617))/AF617)))</f>
        <v>1</v>
      </c>
      <c r="AL617" s="57" t="n">
        <f aca="false">IF(LEFT(Cockpit!$I$5,1)="A",G617,IF(BW617=1,BX617,IF(LEFT(Cockpit!$I$5,1)="B",AP617,MAX(AP617,G617))))</f>
        <v>190</v>
      </c>
      <c r="AM617" s="57" t="n">
        <f aca="false">IF(BR617=1,0,ROUNDUP(AL617/BQ617,0))</f>
        <v>1</v>
      </c>
      <c r="AN617" s="59" t="n">
        <f aca="false">IF(CD617&gt;0,CD617*MAX(1,AL617/V617),IF(BR617=1,IF(AL617&lt;=0,0,BS617*MAX(1,IF(G617&gt;0,AL617/G617,1))),IF(Q617&gt;0,AM617/Q617,0))/MAX(0.1,N(Parameter!$M$21)))</f>
        <v>0.00241545893719807</v>
      </c>
      <c r="AO617" s="57" t="n">
        <f aca="false">AL617*F617</f>
        <v>9.5</v>
      </c>
      <c r="AP617" s="57" t="n">
        <f aca="false">ROUNDUP(MAX(I617/IF(BV617&gt;0,BV617,MAX(0.1,N(Cockpit!$I$6))),BY617)/BQ617,0)*BQ617</f>
        <v>190</v>
      </c>
      <c r="AQ617" s="58" t="n">
        <f aca="false">IF(AN617&gt;0,I617/AN617,-1)</f>
        <v>15732</v>
      </c>
      <c r="AR617" s="58" t="n">
        <f aca="false">IF(AND(OR(BU617="L1",BU617="L23"),AN617&gt;0),SUMIFS($AN$7:$AN$1576,$BU$7:$BU$1576,BU617,$AQ$7:$AQ$1576,"&gt;"&amp;AQ617)+SUMIFS($AN$7:$AN$1576,$BU$7:$BU$1576,BU617,$AQ$7:$AQ$1576,AQ617,$BO$7:$BO$1576,"&lt;="&amp;BO617),"")</f>
        <v>5.56933177933178</v>
      </c>
      <c r="AS617" s="65" t="n">
        <f aca="false">IF(AR617="",0,MAX(0,MIN(1,(IF(BU617="L1",Parameter!$E$5,Parameter!$E$6+Parameter!$E$7)-(AR617-AN617))/AN617)))</f>
        <v>1</v>
      </c>
      <c r="AT617" s="57" t="n">
        <f aca="false">IF(LEFT(Cockpit!$O$5,1)="A",G617,IF(BW617=1,BX617,IF(LEFT(Cockpit!$O$5,1)="B",AX617,MAX(AX617,G617))))</f>
        <v>190</v>
      </c>
      <c r="AU617" s="57" t="n">
        <f aca="false">IF(BR617=1,0,ROUNDUP(AT617/BQ617,0))</f>
        <v>1</v>
      </c>
      <c r="AV617" s="59" t="n">
        <f aca="false">IF(CD617&gt;0,CD617*MAX(1,AT617/V617),IF(BR617=1,IF(AT617&lt;=0,0,BS617*MAX(1,IF(G617&gt;0,AT617/G617,1))),IF(Q617&gt;0,AU617/Q617,0))/MAX(0.1,N(Parameter!$M$21)))</f>
        <v>0.00241545893719807</v>
      </c>
      <c r="AW617" s="57" t="n">
        <f aca="false">AT617*F617</f>
        <v>9.5</v>
      </c>
      <c r="AX617" s="57" t="n">
        <f aca="false">ROUNDUP(MAX(I617/IF(BV617&gt;0,BV617,MAX(0.1,N(Cockpit!$O$6))),BY617)/BQ617,0)*BQ617</f>
        <v>190</v>
      </c>
      <c r="AY617" s="58" t="n">
        <f aca="false">IF(AV617&gt;0,I617/AV617,-1)</f>
        <v>15732</v>
      </c>
      <c r="AZ617" s="58" t="n">
        <f aca="false">IF(AND(OR(BU617="L1",BU617="L23"),AV617&gt;0),SUMIFS($AV$7:$AV$1576,$BU$7:$BU$1576,BU617,$AY$7:$AY$1576,"&gt;"&amp;AY617)+SUMIFS($AV$7:$AV$1576,$BU$7:$BU$1576,BU617,$AY$7:$AY$1576,AY617,$BO$7:$BO$1576,"&lt;="&amp;BO617),"")</f>
        <v>4.95045066045066</v>
      </c>
      <c r="BA617" s="65" t="n">
        <f aca="false">IF(AZ617="",0,MAX(0,MIN(1,(IF(BU617="L1",Parameter!$E$5,Parameter!$E$6+Parameter!$E$7)-(AZ617-AV617))/AV617)))</f>
        <v>1</v>
      </c>
      <c r="BB617" s="55" t="str">
        <f aca="false">IF(AF617&lt;=0,"",IF(BU617="Aussen","Aussenlager",IF(BU617="-","Nicht im Lift",IF(AK617&gt;=1,"Lift",IF(AK617&lt;=0,"Aussenlager","teilweise")))))</f>
        <v>Lift</v>
      </c>
      <c r="BC617" s="55" t="str">
        <f aca="false">IF(AN617&lt;=0,"",IF(BU617="Aussen","Aussenlager",IF(BU617="-","Nicht im Lift",IF(AS617&gt;=1,"Lift",IF(AS617&lt;=0,"Aussenlager","teilweise")))))</f>
        <v>Lift</v>
      </c>
      <c r="BD617" s="55" t="str">
        <f aca="false">IF(AV617&lt;=0,"",IF(BU617="Aussen","Aussenlager",IF(BU617="-","Nicht im Lift",IF(BA617&gt;=1,"Lift",IF(BA617&lt;=0,"Aussenlager","teilweise")))))</f>
        <v>Lift</v>
      </c>
      <c r="BE617" s="55" t="str">
        <f aca="false">IF(A617="","",IF(BN617=1,"Neu; ","")&amp;IF(AND(BN617=0,BI617&lt;0),"negativer Bestand (Export "&amp;BI617&amp;"); ","")&amp;IF(I617&lt;=0,"Kein Verbrauch; ","")&amp;IF(CD617&gt;0,"Lift "&amp;U617&amp;" lt. Liftbericht (Fach "&amp;V617&amp;" Stk); ",IF(BR617=1,"Lose – Fläche geschätzt; ",""))&amp;IF(G617&gt;AP617,"Überbestand "&amp;ROUND(G617-AP617,0)&amp;" Stk / CHF "&amp;ROUND((G617-AP617)*F617,0)&amp;"; ","")&amp;IF(AND(BW617=1,BX617&lt;BY617),"MAX &lt; MB+LG; ","")&amp;IF(AND(CC617&gt;0,CB617*10&gt;CC617),"zu hoch für Tablar; ","")&amp;IF(AND(BN617=0,OR(BW617=1,Y617&lt;&gt;"",S617&lt;&gt;"",T617&lt;&gt;"",Z617&lt;&gt;"")),"manuell übersteuert; ","")&amp;IF(AND(BR617=0,Q617=0),"Gebinde unbekannt / Stellmass fehlt; ","")&amp;IF(AND(BR617=0,N(T617)&lt;=0,N(P617)&lt;=0),"Menge pro Gebinde fehlt (Ist = 1 Gebinde); ","")&amp;BM617)</f>
        <v/>
      </c>
      <c r="BF617" s="55"/>
      <c r="BG617" s="55"/>
      <c r="BH617" s="62"/>
      <c r="BI617" s="57" t="n">
        <v>91</v>
      </c>
      <c r="BJ617" s="57" t="n">
        <v>97</v>
      </c>
      <c r="BK617" s="56" t="n">
        <v>4.55</v>
      </c>
      <c r="BL617" s="57" t="n">
        <v>38</v>
      </c>
      <c r="BM617" s="55"/>
      <c r="BN617" s="60" t="n">
        <v>0</v>
      </c>
      <c r="BO617" s="60" t="n">
        <v>617</v>
      </c>
      <c r="BP617" s="55" t="str">
        <f aca="false">IF(S617&lt;&gt;"",UPPER(TRIM(S617)),IF(O617="","LOSE",O617))</f>
        <v>S21</v>
      </c>
      <c r="BQ617" s="57" t="n">
        <f aca="false">IF(BP617="LOSE",1,IF(N(T617)&gt;0,T617,IF(N(P617)&gt;0,P617,MAX(1,G617))))</f>
        <v>190</v>
      </c>
      <c r="BR617" s="60" t="n">
        <f aca="false">IF(BP617="LOSE",1,0)</f>
        <v>0</v>
      </c>
      <c r="BS617" s="59" t="n">
        <f aca="false">IF(BR617=0,0,IF(N(R617)&gt;0,R617,IFERROR(VLOOKUP(D617,Parameter!$A$35:$C$64,3,0)+0,0)))</f>
        <v>0</v>
      </c>
      <c r="BT617" s="55" t="n">
        <f aca="false">IF(Y617&lt;&gt;"",Y617,X617)</f>
        <v>3</v>
      </c>
      <c r="BU617" s="55" t="str">
        <f aca="false">IF(BT617=1,"L1",IF(OR(BT617=2,BT617=3),"L23",IF(BT617="Aussen","Aussen","-")))</f>
        <v>L23</v>
      </c>
      <c r="BV617" s="66" t="n">
        <f aca="false">IF(N(Z617)&gt;0,Z617,0)</f>
        <v>0</v>
      </c>
      <c r="BW617" s="60" t="n">
        <f aca="false">IF(ISNUMBER(AC617),1,0)</f>
        <v>0</v>
      </c>
      <c r="BX617" s="57" t="n">
        <f aca="false">N(AC617)</f>
        <v>0</v>
      </c>
      <c r="BY617" s="57" t="n">
        <f aca="false">N(L617)+N(M617)</f>
        <v>40</v>
      </c>
      <c r="BZ617" s="57" t="n">
        <f aca="false">ROUNDUP(G617/BQ617,0)</f>
        <v>1</v>
      </c>
      <c r="CA617" s="57" t="n">
        <f aca="false">ROUNDUP(BX617/BQ617,0)</f>
        <v>0</v>
      </c>
      <c r="CB617" s="60" t="n">
        <f aca="false">IF(BR617=1,0,IFERROR(VLOOKUP(BP617,'Gebinde-Kategorie'!$A$5:$M$45,5,0)+0,0))</f>
        <v>8</v>
      </c>
      <c r="CC617" s="60" t="n">
        <f aca="false">IFERROR(IF(OR(BT617=1,BT617=2,BT617=3),N(INDEX(Parameter!$I$5:$I$7,BT617)),0),0)</f>
        <v>0</v>
      </c>
      <c r="CD617" s="59" t="n">
        <f aca="false">IF(AND(Parameter!$B$21="Ja",ISNUMBER(U617),N(V617)&gt;0),IFERROR(N(INDEX(Parameter!$L$5:$L$7,U617))*INDEX(Parameter!$E$5:$E$7,U617)*V617/SUMIFS($V$7:$V$1576,$U$7:$U$1576,U617),0),0)</f>
        <v>0</v>
      </c>
    </row>
    <row r="618" customFormat="false" ht="15" hidden="false" customHeight="false" outlineLevel="0" collapsed="false">
      <c r="A618" s="55" t="s">
        <v>1261</v>
      </c>
      <c r="B618" s="55" t="s">
        <v>1262</v>
      </c>
      <c r="C618" s="55" t="s">
        <v>160</v>
      </c>
      <c r="D618" s="55" t="s">
        <v>168</v>
      </c>
      <c r="E618" s="55" t="s">
        <v>210</v>
      </c>
      <c r="F618" s="56" t="n">
        <v>0.05</v>
      </c>
      <c r="G618" s="57" t="n">
        <f aca="false">MAX(0,IF(AND(Parameter!$B$21="Ja",ISNUMBER(W618)),W618,IF(Parameter!$B$20="Jahresanfang 2025 + Export",BJ618+BI618,BI618)))</f>
        <v>88</v>
      </c>
      <c r="H618" s="57" t="n">
        <f aca="false">G618*F618</f>
        <v>4.4</v>
      </c>
      <c r="I618" s="57" t="n">
        <f aca="false">BL618*Parameter!$B$18</f>
        <v>0</v>
      </c>
      <c r="J618" s="58" t="n">
        <v>45.5</v>
      </c>
      <c r="K618" s="59" t="n">
        <v>0</v>
      </c>
      <c r="L618" s="57" t="n">
        <v>4</v>
      </c>
      <c r="M618" s="57" t="n">
        <v>125</v>
      </c>
      <c r="N618" s="60" t="n">
        <v>14</v>
      </c>
      <c r="O618" s="55" t="s">
        <v>163</v>
      </c>
      <c r="P618" s="57"/>
      <c r="Q618" s="60" t="n">
        <f aca="false">IF(BR618=1,0,IFERROR(VLOOKUP(BP618,'Gebinde-Kategorie'!$A$5:$M$45,13,0)+0,0))</f>
        <v>0</v>
      </c>
      <c r="R618" s="61"/>
      <c r="S618" s="62"/>
      <c r="T618" s="62"/>
      <c r="U618" s="55"/>
      <c r="V618" s="57"/>
      <c r="W618" s="57"/>
      <c r="X618" s="55" t="n">
        <f aca="false">IF(A618="","",IF(AND(Parameter!$B$21="Ja",ISNUMBER(U618)),U618,IF(IFERROR(VLOOKUP(D618,Parameter!$A$35:$C$64,2,0),"Nein")="2+3",IF(ISNUMBER(SEARCH("grosser Artikel",BM618)),2,IFERROR(VLOOKUP(BP618,Parameter!$F$35:$G$64,2,0),2)),IF(OR(IFERROR(VLOOKUP(D618,Parameter!$A$35:$C$64,2,0),"Nein")="Nein",IFERROR(VLOOKUP(D618,Parameter!$A$35:$C$64,2,0),"Nein")=""),"-",VLOOKUP(D618,Parameter!$A$35:$C$64,2,0)))))</f>
        <v>2</v>
      </c>
      <c r="Y618" s="62"/>
      <c r="Z618" s="63"/>
      <c r="AA618" s="57" t="n">
        <f aca="false">AP618</f>
        <v>129</v>
      </c>
      <c r="AB618" s="57" t="n">
        <f aca="false">MAX(AP618,G618)</f>
        <v>129</v>
      </c>
      <c r="AC618" s="64"/>
      <c r="AD618" s="57" t="n">
        <f aca="false">IF(LEFT(Cockpit!$C$5,1)="A",G618,IF(BW618=1,BX618,IF(LEFT(Cockpit!$C$5,1)="B",AH618,MAX(AH618,G618))))</f>
        <v>88</v>
      </c>
      <c r="AE618" s="57" t="n">
        <f aca="false">IF(BR618=1,0,ROUNDUP(AD618/BQ618,0))</f>
        <v>0</v>
      </c>
      <c r="AF618" s="59" t="n">
        <f aca="false">IF(CD618&gt;0,CD618*MAX(1,AD618/V618),IF(BR618=1,IF(AD618&lt;=0,0,BS618*MAX(1,IF(G618&gt;0,AD618/G618,1))),IF(Q618&gt;0,AE618/Q618,0))/MAX(0.1,N(Parameter!$M$21)))</f>
        <v>0.15</v>
      </c>
      <c r="AG618" s="57" t="n">
        <f aca="false">AD618*F618</f>
        <v>4.4</v>
      </c>
      <c r="AH618" s="57" t="n">
        <f aca="false">ROUNDUP(MAX(I618/IF(BV618&gt;0,BV618,MAX(0.1,N(Cockpit!$C$6))),BY618)/BQ618,0)*BQ618</f>
        <v>129</v>
      </c>
      <c r="AI618" s="58" t="n">
        <f aca="false">IF(AF618&gt;0,I618/AF618,-1)</f>
        <v>0</v>
      </c>
      <c r="AJ618" s="58" t="n">
        <f aca="false">IF(AND(OR(BU618="L1",BU618="L23"),AF618&gt;0),SUMIFS($AF$7:$AF$1576,$BU$7:$BU$1576,BU618,$AI$7:$AI$1576,"&gt;"&amp;AI618)+SUMIFS($AF$7:$AF$1576,$BU$7:$BU$1576,BU618,$AI$7:$AI$1576,AI618,$BO$7:$BO$1576,"&lt;="&amp;BO618),"")</f>
        <v>44.6851609742914</v>
      </c>
      <c r="AK618" s="65" t="n">
        <f aca="false">IF(AJ618="",0,MAX(0,MIN(1,(IF(BU618="L1",Parameter!$E$5,Parameter!$E$6+Parameter!$E$7)-(AJ618-AF618))/AF618)))</f>
        <v>1</v>
      </c>
      <c r="AL618" s="57" t="n">
        <f aca="false">IF(LEFT(Cockpit!$I$5,1)="A",G618,IF(BW618=1,BX618,IF(LEFT(Cockpit!$I$5,1)="B",AP618,MAX(AP618,G618))))</f>
        <v>129</v>
      </c>
      <c r="AM618" s="57" t="n">
        <f aca="false">IF(BR618=1,0,ROUNDUP(AL618/BQ618,0))</f>
        <v>0</v>
      </c>
      <c r="AN618" s="59" t="n">
        <f aca="false">IF(CD618&gt;0,CD618*MAX(1,AL618/V618),IF(BR618=1,IF(AL618&lt;=0,0,BS618*MAX(1,IF(G618&gt;0,AL618/G618,1))),IF(Q618&gt;0,AM618/Q618,0))/MAX(0.1,N(Parameter!$M$21)))</f>
        <v>0.219886363636364</v>
      </c>
      <c r="AO618" s="57" t="n">
        <f aca="false">AL618*F618</f>
        <v>6.45</v>
      </c>
      <c r="AP618" s="57" t="n">
        <f aca="false">ROUNDUP(MAX(I618/IF(BV618&gt;0,BV618,MAX(0.1,N(Cockpit!$I$6))),BY618)/BQ618,0)*BQ618</f>
        <v>129</v>
      </c>
      <c r="AQ618" s="58" t="n">
        <f aca="false">IF(AN618&gt;0,I618/AN618,-1)</f>
        <v>0</v>
      </c>
      <c r="AR618" s="58" t="n">
        <f aca="false">IF(AND(OR(BU618="L1",BU618="L23"),AN618&gt;0),SUMIFS($AN$7:$AN$1576,$BU$7:$BU$1576,BU618,$AQ$7:$AQ$1576,"&gt;"&amp;AQ618)+SUMIFS($AN$7:$AN$1576,$BU$7:$BU$1576,BU618,$AQ$7:$AQ$1576,AQ618,$BO$7:$BO$1576,"&lt;="&amp;BO618),"")</f>
        <v>127.751833456446</v>
      </c>
      <c r="AS618" s="65" t="n">
        <f aca="false">IF(AR618="",0,MAX(0,MIN(1,(IF(BU618="L1",Parameter!$E$5,Parameter!$E$6+Parameter!$E$7)-(AR618-AN618))/AN618)))</f>
        <v>0</v>
      </c>
      <c r="AT618" s="57" t="n">
        <f aca="false">IF(LEFT(Cockpit!$O$5,1)="A",G618,IF(BW618=1,BX618,IF(LEFT(Cockpit!$O$5,1)="B",AX618,MAX(AX618,G618))))</f>
        <v>129</v>
      </c>
      <c r="AU618" s="57" t="n">
        <f aca="false">IF(BR618=1,0,ROUNDUP(AT618/BQ618,0))</f>
        <v>0</v>
      </c>
      <c r="AV618" s="59" t="n">
        <f aca="false">IF(CD618&gt;0,CD618*MAX(1,AT618/V618),IF(BR618=1,IF(AT618&lt;=0,0,BS618*MAX(1,IF(G618&gt;0,AT618/G618,1))),IF(Q618&gt;0,AU618/Q618,0))/MAX(0.1,N(Parameter!$M$21)))</f>
        <v>0.219886363636364</v>
      </c>
      <c r="AW618" s="57" t="n">
        <f aca="false">AT618*F618</f>
        <v>6.45</v>
      </c>
      <c r="AX618" s="57" t="n">
        <f aca="false">ROUNDUP(MAX(I618/IF(BV618&gt;0,BV618,MAX(0.1,N(Cockpit!$O$6))),BY618)/BQ618,0)*BQ618</f>
        <v>129</v>
      </c>
      <c r="AY618" s="58" t="n">
        <f aca="false">IF(AV618&gt;0,I618/AV618,-1)</f>
        <v>0</v>
      </c>
      <c r="AZ618" s="58" t="n">
        <f aca="false">IF(AND(OR(BU618="L1",BU618="L23"),AV618&gt;0),SUMIFS($AV$7:$AV$1576,$BU$7:$BU$1576,BU618,$AY$7:$AY$1576,"&gt;"&amp;AY618)+SUMIFS($AV$7:$AV$1576,$BU$7:$BU$1576,BU618,$AY$7:$AY$1576,AY618,$BO$7:$BO$1576,"&lt;="&amp;BO618),"")</f>
        <v>117.811383905997</v>
      </c>
      <c r="BA618" s="65" t="n">
        <f aca="false">IF(AZ618="",0,MAX(0,MIN(1,(IF(BU618="L1",Parameter!$E$5,Parameter!$E$6+Parameter!$E$7)-(AZ618-AV618))/AV618)))</f>
        <v>0</v>
      </c>
      <c r="BB618" s="55" t="str">
        <f aca="false">IF(AF618&lt;=0,"",IF(BU618="Aussen","Aussenlager",IF(BU618="-","Nicht im Lift",IF(AK618&gt;=1,"Lift",IF(AK618&lt;=0,"Aussenlager","teilweise")))))</f>
        <v>Lift</v>
      </c>
      <c r="BC618" s="55" t="str">
        <f aca="false">IF(AN618&lt;=0,"",IF(BU618="Aussen","Aussenlager",IF(BU618="-","Nicht im Lift",IF(AS618&gt;=1,"Lift",IF(AS618&lt;=0,"Aussenlager","teilweise")))))</f>
        <v>Aussenlager</v>
      </c>
      <c r="BD618" s="55" t="str">
        <f aca="false">IF(AV618&lt;=0,"",IF(BU618="Aussen","Aussenlager",IF(BU618="-","Nicht im Lift",IF(BA618&gt;=1,"Lift",IF(BA618&lt;=0,"Aussenlager","teilweise")))))</f>
        <v>Aussenlager</v>
      </c>
      <c r="BE618" s="55" t="str">
        <f aca="false">IF(A618="","",IF(BN618=1,"Neu; ","")&amp;IF(AND(BN618=0,BI618&lt;0),"negativer Bestand (Export "&amp;BI618&amp;"); ","")&amp;IF(I618&lt;=0,"Kein Verbrauch; ","")&amp;IF(CD618&gt;0,"Lift "&amp;U618&amp;" lt. Liftbericht (Fach "&amp;V618&amp;" Stk); ",IF(BR618=1,"Lose – Fläche geschätzt; ",""))&amp;IF(G618&gt;AP618,"Überbestand "&amp;ROUND(G618-AP618,0)&amp;" Stk / CHF "&amp;ROUND((G618-AP618)*F618,0)&amp;"; ","")&amp;IF(AND(BW618=1,BX618&lt;BY618),"MAX &lt; MB+LG; ","")&amp;IF(AND(CC618&gt;0,CB618*10&gt;CC618),"zu hoch für Tablar; ","")&amp;IF(AND(BN618=0,OR(BW618=1,Y618&lt;&gt;"",S618&lt;&gt;"",T618&lt;&gt;"",Z618&lt;&gt;"")),"manuell übersteuert; ","")&amp;IF(AND(BR618=0,Q618=0),"Gebinde unbekannt / Stellmass fehlt; ","")&amp;IF(AND(BR618=0,N(T618)&lt;=0,N(P618)&lt;=0),"Menge pro Gebinde fehlt (Ist = 1 Gebinde); ","")&amp;BM618)</f>
        <v>Kein Verbrauch; Lose – Fläche geschätzt; </v>
      </c>
      <c r="BF618" s="55"/>
      <c r="BG618" s="55"/>
      <c r="BH618" s="62"/>
      <c r="BI618" s="57" t="n">
        <v>88</v>
      </c>
      <c r="BJ618" s="57" t="n">
        <v>5</v>
      </c>
      <c r="BK618" s="56" t="n">
        <v>4.4</v>
      </c>
      <c r="BL618" s="57" t="n">
        <v>0</v>
      </c>
      <c r="BM618" s="55"/>
      <c r="BN618" s="60" t="n">
        <v>0</v>
      </c>
      <c r="BO618" s="60" t="n">
        <v>618</v>
      </c>
      <c r="BP618" s="55" t="str">
        <f aca="false">IF(S618&lt;&gt;"",UPPER(TRIM(S618)),IF(O618="","LOSE",O618))</f>
        <v>LOSE</v>
      </c>
      <c r="BQ618" s="57" t="n">
        <f aca="false">IF(BP618="LOSE",1,IF(N(T618)&gt;0,T618,IF(N(P618)&gt;0,P618,MAX(1,G618))))</f>
        <v>1</v>
      </c>
      <c r="BR618" s="60" t="n">
        <f aca="false">IF(BP618="LOSE",1,0)</f>
        <v>1</v>
      </c>
      <c r="BS618" s="59" t="n">
        <f aca="false">IF(BR618=0,0,IF(N(R618)&gt;0,R618,IFERROR(VLOOKUP(D618,Parameter!$A$35:$C$64,3,0)+0,0)))</f>
        <v>0.15</v>
      </c>
      <c r="BT618" s="55" t="n">
        <f aca="false">IF(Y618&lt;&gt;"",Y618,X618)</f>
        <v>2</v>
      </c>
      <c r="BU618" s="55" t="str">
        <f aca="false">IF(BT618=1,"L1",IF(OR(BT618=2,BT618=3),"L23",IF(BT618="Aussen","Aussen","-")))</f>
        <v>L23</v>
      </c>
      <c r="BV618" s="66" t="n">
        <f aca="false">IF(N(Z618)&gt;0,Z618,0)</f>
        <v>0</v>
      </c>
      <c r="BW618" s="60" t="n">
        <f aca="false">IF(ISNUMBER(AC618),1,0)</f>
        <v>0</v>
      </c>
      <c r="BX618" s="57" t="n">
        <f aca="false">N(AC618)</f>
        <v>0</v>
      </c>
      <c r="BY618" s="57" t="n">
        <f aca="false">N(L618)+N(M618)</f>
        <v>129</v>
      </c>
      <c r="BZ618" s="57" t="n">
        <f aca="false">ROUNDUP(G618/BQ618,0)</f>
        <v>88</v>
      </c>
      <c r="CA618" s="57" t="n">
        <f aca="false">ROUNDUP(BX618/BQ618,0)</f>
        <v>0</v>
      </c>
      <c r="CB618" s="60" t="n">
        <f aca="false">IF(BR618=1,0,IFERROR(VLOOKUP(BP618,'Gebinde-Kategorie'!$A$5:$M$45,5,0)+0,0))</f>
        <v>0</v>
      </c>
      <c r="CC618" s="60" t="n">
        <f aca="false">IFERROR(IF(OR(BT618=1,BT618=2,BT618=3),N(INDEX(Parameter!$I$5:$I$7,BT618)),0),0)</f>
        <v>0</v>
      </c>
      <c r="CD618" s="59" t="n">
        <f aca="false">IF(AND(Parameter!$B$21="Ja",ISNUMBER(U618),N(V618)&gt;0),IFERROR(N(INDEX(Parameter!$L$5:$L$7,U618))*INDEX(Parameter!$E$5:$E$7,U618)*V618/SUMIFS($V$7:$V$1576,$U$7:$U$1576,U618),0),0)</f>
        <v>0</v>
      </c>
    </row>
    <row r="619" customFormat="false" ht="15" hidden="false" customHeight="false" outlineLevel="0" collapsed="false">
      <c r="A619" s="55" t="s">
        <v>1263</v>
      </c>
      <c r="B619" s="55" t="s">
        <v>397</v>
      </c>
      <c r="C619" s="55" t="s">
        <v>160</v>
      </c>
      <c r="D619" s="55" t="s">
        <v>984</v>
      </c>
      <c r="E619" s="55" t="s">
        <v>210</v>
      </c>
      <c r="F619" s="56" t="n">
        <v>3.25</v>
      </c>
      <c r="G619" s="57" t="n">
        <f aca="false">MAX(0,IF(AND(Parameter!$B$21="Ja",ISNUMBER(W619)),W619,IF(Parameter!$B$20="Jahresanfang 2025 + Export",BJ619+BI619,BI619)))</f>
        <v>1</v>
      </c>
      <c r="H619" s="57" t="n">
        <f aca="false">G619*F619</f>
        <v>3.25</v>
      </c>
      <c r="I619" s="57" t="n">
        <f aca="false">BL619*Parameter!$B$18</f>
        <v>60</v>
      </c>
      <c r="J619" s="58" t="n">
        <v>0.5</v>
      </c>
      <c r="K619" s="59" t="n">
        <v>120</v>
      </c>
      <c r="L619" s="57" t="n">
        <v>0</v>
      </c>
      <c r="M619" s="57" t="n">
        <v>100</v>
      </c>
      <c r="N619" s="60" t="n">
        <v>28</v>
      </c>
      <c r="O619" s="55" t="s">
        <v>163</v>
      </c>
      <c r="P619" s="57"/>
      <c r="Q619" s="60" t="n">
        <f aca="false">IF(BR619=1,0,IFERROR(VLOOKUP(BP619,'Gebinde-Kategorie'!$A$5:$M$45,13,0)+0,0))</f>
        <v>0</v>
      </c>
      <c r="R619" s="61"/>
      <c r="S619" s="62"/>
      <c r="T619" s="62"/>
      <c r="U619" s="55"/>
      <c r="V619" s="57"/>
      <c r="W619" s="57"/>
      <c r="X619" s="55" t="str">
        <f aca="false">IF(A619="","",IF(AND(Parameter!$B$21="Ja",ISNUMBER(U619)),U619,IF(IFERROR(VLOOKUP(D619,Parameter!$A$35:$C$64,2,0),"Nein")="2+3",IF(ISNUMBER(SEARCH("grosser Artikel",BM619)),2,IFERROR(VLOOKUP(BP619,Parameter!$F$35:$G$64,2,0),2)),IF(OR(IFERROR(VLOOKUP(D619,Parameter!$A$35:$C$64,2,0),"Nein")="Nein",IFERROR(VLOOKUP(D619,Parameter!$A$35:$C$64,2,0),"Nein")=""),"-",VLOOKUP(D619,Parameter!$A$35:$C$64,2,0)))))</f>
        <v>-</v>
      </c>
      <c r="Y619" s="62"/>
      <c r="Z619" s="63"/>
      <c r="AA619" s="57" t="n">
        <f aca="false">AP619</f>
        <v>100</v>
      </c>
      <c r="AB619" s="57" t="n">
        <f aca="false">MAX(AP619,G619)</f>
        <v>100</v>
      </c>
      <c r="AC619" s="64"/>
      <c r="AD619" s="57" t="n">
        <f aca="false">IF(LEFT(Cockpit!$C$5,1)="A",G619,IF(BW619=1,BX619,IF(LEFT(Cockpit!$C$5,1)="B",AH619,MAX(AH619,G619))))</f>
        <v>1</v>
      </c>
      <c r="AE619" s="57" t="n">
        <f aca="false">IF(BR619=1,0,ROUNDUP(AD619/BQ619,0))</f>
        <v>0</v>
      </c>
      <c r="AF619" s="59" t="n">
        <f aca="false">IF(CD619&gt;0,CD619*MAX(1,AD619/V619),IF(BR619=1,IF(AD619&lt;=0,0,BS619*MAX(1,IF(G619&gt;0,AD619/G619,1))),IF(Q619&gt;0,AE619/Q619,0))/MAX(0.1,N(Parameter!$M$21)))</f>
        <v>0.15</v>
      </c>
      <c r="AG619" s="57" t="n">
        <f aca="false">AD619*F619</f>
        <v>3.25</v>
      </c>
      <c r="AH619" s="57" t="n">
        <f aca="false">ROUNDUP(MAX(I619/IF(BV619&gt;0,BV619,MAX(0.1,N(Cockpit!$C$6))),BY619)/BQ619,0)*BQ619</f>
        <v>100</v>
      </c>
      <c r="AI619" s="58" t="n">
        <f aca="false">IF(AF619&gt;0,I619/AF619,-1)</f>
        <v>400</v>
      </c>
      <c r="AJ619" s="58" t="str">
        <f aca="false">IF(AND(OR(BU619="L1",BU619="L23"),AF619&gt;0),SUMIFS($AF$7:$AF$1576,$BU$7:$BU$1576,BU619,$AI$7:$AI$1576,"&gt;"&amp;AI619)+SUMIFS($AF$7:$AF$1576,$BU$7:$BU$1576,BU619,$AI$7:$AI$1576,AI619,$BO$7:$BO$1576,"&lt;="&amp;BO619),"")</f>
        <v/>
      </c>
      <c r="AK619" s="65" t="n">
        <f aca="false">IF(AJ619="",0,MAX(0,MIN(1,(IF(BU619="L1",Parameter!$E$5,Parameter!$E$6+Parameter!$E$7)-(AJ619-AF619))/AF619)))</f>
        <v>0</v>
      </c>
      <c r="AL619" s="57" t="n">
        <f aca="false">IF(LEFT(Cockpit!$I$5,1)="A",G619,IF(BW619=1,BX619,IF(LEFT(Cockpit!$I$5,1)="B",AP619,MAX(AP619,G619))))</f>
        <v>100</v>
      </c>
      <c r="AM619" s="57" t="n">
        <f aca="false">IF(BR619=1,0,ROUNDUP(AL619/BQ619,0))</f>
        <v>0</v>
      </c>
      <c r="AN619" s="59" t="n">
        <f aca="false">IF(CD619&gt;0,CD619*MAX(1,AL619/V619),IF(BR619=1,IF(AL619&lt;=0,0,BS619*MAX(1,IF(G619&gt;0,AL619/G619,1))),IF(Q619&gt;0,AM619/Q619,0))/MAX(0.1,N(Parameter!$M$21)))</f>
        <v>15</v>
      </c>
      <c r="AO619" s="57" t="n">
        <f aca="false">AL619*F619</f>
        <v>325</v>
      </c>
      <c r="AP619" s="57" t="n">
        <f aca="false">ROUNDUP(MAX(I619/IF(BV619&gt;0,BV619,MAX(0.1,N(Cockpit!$I$6))),BY619)/BQ619,0)*BQ619</f>
        <v>100</v>
      </c>
      <c r="AQ619" s="58" t="n">
        <f aca="false">IF(AN619&gt;0,I619/AN619,-1)</f>
        <v>4</v>
      </c>
      <c r="AR619" s="58" t="str">
        <f aca="false">IF(AND(OR(BU619="L1",BU619="L23"),AN619&gt;0),SUMIFS($AN$7:$AN$1576,$BU$7:$BU$1576,BU619,$AQ$7:$AQ$1576,"&gt;"&amp;AQ619)+SUMIFS($AN$7:$AN$1576,$BU$7:$BU$1576,BU619,$AQ$7:$AQ$1576,AQ619,$BO$7:$BO$1576,"&lt;="&amp;BO619),"")</f>
        <v/>
      </c>
      <c r="AS619" s="65" t="n">
        <f aca="false">IF(AR619="",0,MAX(0,MIN(1,(IF(BU619="L1",Parameter!$E$5,Parameter!$E$6+Parameter!$E$7)-(AR619-AN619))/AN619)))</f>
        <v>0</v>
      </c>
      <c r="AT619" s="57" t="n">
        <f aca="false">IF(LEFT(Cockpit!$O$5,1)="A",G619,IF(BW619=1,BX619,IF(LEFT(Cockpit!$O$5,1)="B",AX619,MAX(AX619,G619))))</f>
        <v>100</v>
      </c>
      <c r="AU619" s="57" t="n">
        <f aca="false">IF(BR619=1,0,ROUNDUP(AT619/BQ619,0))</f>
        <v>0</v>
      </c>
      <c r="AV619" s="59" t="n">
        <f aca="false">IF(CD619&gt;0,CD619*MAX(1,AT619/V619),IF(BR619=1,IF(AT619&lt;=0,0,BS619*MAX(1,IF(G619&gt;0,AT619/G619,1))),IF(Q619&gt;0,AU619/Q619,0))/MAX(0.1,N(Parameter!$M$21)))</f>
        <v>15</v>
      </c>
      <c r="AW619" s="57" t="n">
        <f aca="false">AT619*F619</f>
        <v>325</v>
      </c>
      <c r="AX619" s="57" t="n">
        <f aca="false">ROUNDUP(MAX(I619/IF(BV619&gt;0,BV619,MAX(0.1,N(Cockpit!$O$6))),BY619)/BQ619,0)*BQ619</f>
        <v>100</v>
      </c>
      <c r="AY619" s="58" t="n">
        <f aca="false">IF(AV619&gt;0,I619/AV619,-1)</f>
        <v>4</v>
      </c>
      <c r="AZ619" s="58" t="str">
        <f aca="false">IF(AND(OR(BU619="L1",BU619="L23"),AV619&gt;0),SUMIFS($AV$7:$AV$1576,$BU$7:$BU$1576,BU619,$AY$7:$AY$1576,"&gt;"&amp;AY619)+SUMIFS($AV$7:$AV$1576,$BU$7:$BU$1576,BU619,$AY$7:$AY$1576,AY619,$BO$7:$BO$1576,"&lt;="&amp;BO619),"")</f>
        <v/>
      </c>
      <c r="BA619" s="65" t="n">
        <f aca="false">IF(AZ619="",0,MAX(0,MIN(1,(IF(BU619="L1",Parameter!$E$5,Parameter!$E$6+Parameter!$E$7)-(AZ619-AV619))/AV619)))</f>
        <v>0</v>
      </c>
      <c r="BB619" s="55" t="str">
        <f aca="false">IF(AF619&lt;=0,"",IF(BU619="Aussen","Aussenlager",IF(BU619="-","Nicht im Lift",IF(AK619&gt;=1,"Lift",IF(AK619&lt;=0,"Aussenlager","teilweise")))))</f>
        <v>Nicht im Lift</v>
      </c>
      <c r="BC619" s="55" t="str">
        <f aca="false">IF(AN619&lt;=0,"",IF(BU619="Aussen","Aussenlager",IF(BU619="-","Nicht im Lift",IF(AS619&gt;=1,"Lift",IF(AS619&lt;=0,"Aussenlager","teilweise")))))</f>
        <v>Nicht im Lift</v>
      </c>
      <c r="BD619" s="55" t="str">
        <f aca="false">IF(AV619&lt;=0,"",IF(BU619="Aussen","Aussenlager",IF(BU619="-","Nicht im Lift",IF(BA619&gt;=1,"Lift",IF(BA619&lt;=0,"Aussenlager","teilweise")))))</f>
        <v>Nicht im Lift</v>
      </c>
      <c r="BE619" s="55" t="str">
        <f aca="false">IF(A619="","",IF(BN619=1,"Neu; ","")&amp;IF(AND(BN619=0,BI619&lt;0),"negativer Bestand (Export "&amp;BI619&amp;"); ","")&amp;IF(I619&lt;=0,"Kein Verbrauch; ","")&amp;IF(CD619&gt;0,"Lift "&amp;U619&amp;" lt. Liftbericht (Fach "&amp;V619&amp;" Stk); ",IF(BR619=1,"Lose – Fläche geschätzt; ",""))&amp;IF(G619&gt;AP619,"Überbestand "&amp;ROUND(G619-AP619,0)&amp;" Stk / CHF "&amp;ROUND((G619-AP619)*F619,0)&amp;"; ","")&amp;IF(AND(BW619=1,BX619&lt;BY619),"MAX &lt; MB+LG; ","")&amp;IF(AND(CC619&gt;0,CB619*10&gt;CC619),"zu hoch für Tablar; ","")&amp;IF(AND(BN619=0,OR(BW619=1,Y619&lt;&gt;"",S619&lt;&gt;"",T619&lt;&gt;"",Z619&lt;&gt;"")),"manuell übersteuert; ","")&amp;IF(AND(BR619=0,Q619=0),"Gebinde unbekannt / Stellmass fehlt; ","")&amp;IF(AND(BR619=0,N(T619)&lt;=0,N(P619)&lt;=0),"Menge pro Gebinde fehlt (Ist = 1 Gebinde); ","")&amp;BM619)</f>
        <v>Lose – Fläche geschätzt; </v>
      </c>
      <c r="BF619" s="55"/>
      <c r="BG619" s="55"/>
      <c r="BH619" s="62"/>
      <c r="BI619" s="57" t="n">
        <v>1</v>
      </c>
      <c r="BJ619" s="57" t="n">
        <v>0</v>
      </c>
      <c r="BK619" s="56" t="n">
        <v>3.25</v>
      </c>
      <c r="BL619" s="57" t="n">
        <v>60</v>
      </c>
      <c r="BM619" s="55"/>
      <c r="BN619" s="60" t="n">
        <v>0</v>
      </c>
      <c r="BO619" s="60" t="n">
        <v>619</v>
      </c>
      <c r="BP619" s="55" t="str">
        <f aca="false">IF(S619&lt;&gt;"",UPPER(TRIM(S619)),IF(O619="","LOSE",O619))</f>
        <v>LOSE</v>
      </c>
      <c r="BQ619" s="57" t="n">
        <f aca="false">IF(BP619="LOSE",1,IF(N(T619)&gt;0,T619,IF(N(P619)&gt;0,P619,MAX(1,G619))))</f>
        <v>1</v>
      </c>
      <c r="BR619" s="60" t="n">
        <f aca="false">IF(BP619="LOSE",1,0)</f>
        <v>1</v>
      </c>
      <c r="BS619" s="59" t="n">
        <f aca="false">IF(BR619=0,0,IF(N(R619)&gt;0,R619,IFERROR(VLOOKUP(D619,Parameter!$A$35:$C$64,3,0)+0,0)))</f>
        <v>0.15</v>
      </c>
      <c r="BT619" s="55" t="str">
        <f aca="false">IF(Y619&lt;&gt;"",Y619,X619)</f>
        <v>-</v>
      </c>
      <c r="BU619" s="55" t="str">
        <f aca="false">IF(BT619=1,"L1",IF(OR(BT619=2,BT619=3),"L23",IF(BT619="Aussen","Aussen","-")))</f>
        <v>-</v>
      </c>
      <c r="BV619" s="66" t="n">
        <f aca="false">IF(N(Z619)&gt;0,Z619,0)</f>
        <v>0</v>
      </c>
      <c r="BW619" s="60" t="n">
        <f aca="false">IF(ISNUMBER(AC619),1,0)</f>
        <v>0</v>
      </c>
      <c r="BX619" s="57" t="n">
        <f aca="false">N(AC619)</f>
        <v>0</v>
      </c>
      <c r="BY619" s="57" t="n">
        <f aca="false">N(L619)+N(M619)</f>
        <v>100</v>
      </c>
      <c r="BZ619" s="57" t="n">
        <f aca="false">ROUNDUP(G619/BQ619,0)</f>
        <v>1</v>
      </c>
      <c r="CA619" s="57" t="n">
        <f aca="false">ROUNDUP(BX619/BQ619,0)</f>
        <v>0</v>
      </c>
      <c r="CB619" s="60" t="n">
        <f aca="false">IF(BR619=1,0,IFERROR(VLOOKUP(BP619,'Gebinde-Kategorie'!$A$5:$M$45,5,0)+0,0))</f>
        <v>0</v>
      </c>
      <c r="CC619" s="60" t="n">
        <f aca="false">IFERROR(IF(OR(BT619=1,BT619=2,BT619=3),N(INDEX(Parameter!$I$5:$I$7,BT619)),0),0)</f>
        <v>0</v>
      </c>
      <c r="CD619" s="59" t="n">
        <f aca="false">IF(AND(Parameter!$B$21="Ja",ISNUMBER(U619),N(V619)&gt;0),IFERROR(N(INDEX(Parameter!$L$5:$L$7,U619))*INDEX(Parameter!$E$5:$E$7,U619)*V619/SUMIFS($V$7:$V$1576,$U$7:$U$1576,U619),0),0)</f>
        <v>0</v>
      </c>
    </row>
    <row r="620" customFormat="false" ht="15" hidden="false" customHeight="false" outlineLevel="0" collapsed="false">
      <c r="A620" s="55" t="s">
        <v>1264</v>
      </c>
      <c r="B620" s="55" t="s">
        <v>1265</v>
      </c>
      <c r="C620" s="55" t="s">
        <v>160</v>
      </c>
      <c r="D620" s="55" t="s">
        <v>178</v>
      </c>
      <c r="E620" s="55" t="s">
        <v>210</v>
      </c>
      <c r="F620" s="56" t="n">
        <v>1.52</v>
      </c>
      <c r="G620" s="57" t="n">
        <f aca="false">MAX(0,IF(AND(Parameter!$B$21="Ja",ISNUMBER(W620)),W620,IF(Parameter!$B$20="Jahresanfang 2025 + Export",BJ620+BI620,BI620)))</f>
        <v>2</v>
      </c>
      <c r="H620" s="57" t="n">
        <f aca="false">G620*F620</f>
        <v>3.04</v>
      </c>
      <c r="I620" s="57" t="n">
        <f aca="false">BL620*Parameter!$B$18</f>
        <v>0</v>
      </c>
      <c r="J620" s="58" t="n">
        <v>0</v>
      </c>
      <c r="K620" s="59" t="n">
        <v>0</v>
      </c>
      <c r="L620" s="57" t="n">
        <v>0</v>
      </c>
      <c r="M620" s="57" t="n">
        <v>1</v>
      </c>
      <c r="N620" s="60" t="n">
        <v>21</v>
      </c>
      <c r="O620" s="55" t="s">
        <v>416</v>
      </c>
      <c r="P620" s="57" t="n">
        <v>10</v>
      </c>
      <c r="Q620" s="60" t="n">
        <f aca="false">IF(BR620=1,0,IFERROR(VLOOKUP(BP620,'Gebinde-Kategorie'!$A$5:$M$45,13,0)+0,0))</f>
        <v>198</v>
      </c>
      <c r="R620" s="61"/>
      <c r="S620" s="62"/>
      <c r="T620" s="62"/>
      <c r="U620" s="55"/>
      <c r="V620" s="57"/>
      <c r="W620" s="57"/>
      <c r="X620" s="55" t="n">
        <f aca="false">IF(A620="","",IF(AND(Parameter!$B$21="Ja",ISNUMBER(U620)),U620,IF(IFERROR(VLOOKUP(D620,Parameter!$A$35:$C$64,2,0),"Nein")="2+3",IF(ISNUMBER(SEARCH("grosser Artikel",BM620)),2,IFERROR(VLOOKUP(BP620,Parameter!$F$35:$G$64,2,0),2)),IF(OR(IFERROR(VLOOKUP(D620,Parameter!$A$35:$C$64,2,0),"Nein")="Nein",IFERROR(VLOOKUP(D620,Parameter!$A$35:$C$64,2,0),"Nein")=""),"-",VLOOKUP(D620,Parameter!$A$35:$C$64,2,0)))))</f>
        <v>3</v>
      </c>
      <c r="Y620" s="62"/>
      <c r="Z620" s="63"/>
      <c r="AA620" s="57" t="n">
        <f aca="false">AP620</f>
        <v>10</v>
      </c>
      <c r="AB620" s="57" t="n">
        <f aca="false">MAX(AP620,G620)</f>
        <v>10</v>
      </c>
      <c r="AC620" s="64"/>
      <c r="AD620" s="57" t="n">
        <f aca="false">IF(LEFT(Cockpit!$C$5,1)="A",G620,IF(BW620=1,BX620,IF(LEFT(Cockpit!$C$5,1)="B",AH620,MAX(AH620,G620))))</f>
        <v>2</v>
      </c>
      <c r="AE620" s="57" t="n">
        <f aca="false">IF(BR620=1,0,ROUNDUP(AD620/BQ620,0))</f>
        <v>1</v>
      </c>
      <c r="AF620" s="59" t="n">
        <f aca="false">IF(CD620&gt;0,CD620*MAX(1,AD620/V620),IF(BR620=1,IF(AD620&lt;=0,0,BS620*MAX(1,IF(G620&gt;0,AD620/G620,1))),IF(Q620&gt;0,AE620/Q620,0))/MAX(0.1,N(Parameter!$M$21)))</f>
        <v>0.00505050505050505</v>
      </c>
      <c r="AG620" s="57" t="n">
        <f aca="false">AD620*F620</f>
        <v>3.04</v>
      </c>
      <c r="AH620" s="57" t="n">
        <f aca="false">ROUNDUP(MAX(I620/IF(BV620&gt;0,BV620,MAX(0.1,N(Cockpit!$C$6))),BY620)/BQ620,0)*BQ620</f>
        <v>10</v>
      </c>
      <c r="AI620" s="58" t="n">
        <f aca="false">IF(AF620&gt;0,I620/AF620,-1)</f>
        <v>0</v>
      </c>
      <c r="AJ620" s="58" t="n">
        <f aca="false">IF(AND(OR(BU620="L1",BU620="L23"),AF620&gt;0),SUMIFS($AF$7:$AF$1576,$BU$7:$BU$1576,BU620,$AI$7:$AI$1576,"&gt;"&amp;AI620)+SUMIFS($AF$7:$AF$1576,$BU$7:$BU$1576,BU620,$AI$7:$AI$1576,AI620,$BO$7:$BO$1576,"&lt;="&amp;BO620),"")</f>
        <v>44.6902114793419</v>
      </c>
      <c r="AK620" s="65" t="n">
        <f aca="false">IF(AJ620="",0,MAX(0,MIN(1,(IF(BU620="L1",Parameter!$E$5,Parameter!$E$6+Parameter!$E$7)-(AJ620-AF620))/AF620)))</f>
        <v>1</v>
      </c>
      <c r="AL620" s="57" t="n">
        <f aca="false">IF(LEFT(Cockpit!$I$5,1)="A",G620,IF(BW620=1,BX620,IF(LEFT(Cockpit!$I$5,1)="B",AP620,MAX(AP620,G620))))</f>
        <v>10</v>
      </c>
      <c r="AM620" s="57" t="n">
        <f aca="false">IF(BR620=1,0,ROUNDUP(AL620/BQ620,0))</f>
        <v>1</v>
      </c>
      <c r="AN620" s="59" t="n">
        <f aca="false">IF(CD620&gt;0,CD620*MAX(1,AL620/V620),IF(BR620=1,IF(AL620&lt;=0,0,BS620*MAX(1,IF(G620&gt;0,AL620/G620,1))),IF(Q620&gt;0,AM620/Q620,0))/MAX(0.1,N(Parameter!$M$21)))</f>
        <v>0.00505050505050505</v>
      </c>
      <c r="AO620" s="57" t="n">
        <f aca="false">AL620*F620</f>
        <v>15.2</v>
      </c>
      <c r="AP620" s="57" t="n">
        <f aca="false">ROUNDUP(MAX(I620/IF(BV620&gt;0,BV620,MAX(0.1,N(Cockpit!$I$6))),BY620)/BQ620,0)*BQ620</f>
        <v>10</v>
      </c>
      <c r="AQ620" s="58" t="n">
        <f aca="false">IF(AN620&gt;0,I620/AN620,-1)</f>
        <v>0</v>
      </c>
      <c r="AR620" s="58" t="n">
        <f aca="false">IF(AND(OR(BU620="L1",BU620="L23"),AN620&gt;0),SUMIFS($AN$7:$AN$1576,$BU$7:$BU$1576,BU620,$AQ$7:$AQ$1576,"&gt;"&amp;AQ620)+SUMIFS($AN$7:$AN$1576,$BU$7:$BU$1576,BU620,$AQ$7:$AQ$1576,AQ620,$BO$7:$BO$1576,"&lt;="&amp;BO620),"")</f>
        <v>127.756883961497</v>
      </c>
      <c r="AS620" s="65" t="n">
        <f aca="false">IF(AR620="",0,MAX(0,MIN(1,(IF(BU620="L1",Parameter!$E$5,Parameter!$E$6+Parameter!$E$7)-(AR620-AN620))/AN620)))</f>
        <v>0</v>
      </c>
      <c r="AT620" s="57" t="n">
        <f aca="false">IF(LEFT(Cockpit!$O$5,1)="A",G620,IF(BW620=1,BX620,IF(LEFT(Cockpit!$O$5,1)="B",AX620,MAX(AX620,G620))))</f>
        <v>10</v>
      </c>
      <c r="AU620" s="57" t="n">
        <f aca="false">IF(BR620=1,0,ROUNDUP(AT620/BQ620,0))</f>
        <v>1</v>
      </c>
      <c r="AV620" s="59" t="n">
        <f aca="false">IF(CD620&gt;0,CD620*MAX(1,AT620/V620),IF(BR620=1,IF(AT620&lt;=0,0,BS620*MAX(1,IF(G620&gt;0,AT620/G620,1))),IF(Q620&gt;0,AU620/Q620,0))/MAX(0.1,N(Parameter!$M$21)))</f>
        <v>0.00505050505050505</v>
      </c>
      <c r="AW620" s="57" t="n">
        <f aca="false">AT620*F620</f>
        <v>15.2</v>
      </c>
      <c r="AX620" s="57" t="n">
        <f aca="false">ROUNDUP(MAX(I620/IF(BV620&gt;0,BV620,MAX(0.1,N(Cockpit!$O$6))),BY620)/BQ620,0)*BQ620</f>
        <v>10</v>
      </c>
      <c r="AY620" s="58" t="n">
        <f aca="false">IF(AV620&gt;0,I620/AV620,-1)</f>
        <v>0</v>
      </c>
      <c r="AZ620" s="58" t="n">
        <f aca="false">IF(AND(OR(BU620="L1",BU620="L23"),AV620&gt;0),SUMIFS($AV$7:$AV$1576,$BU$7:$BU$1576,BU620,$AY$7:$AY$1576,"&gt;"&amp;AY620)+SUMIFS($AV$7:$AV$1576,$BU$7:$BU$1576,BU620,$AY$7:$AY$1576,AY620,$BO$7:$BO$1576,"&lt;="&amp;BO620),"")</f>
        <v>117.816434411047</v>
      </c>
      <c r="BA620" s="65" t="n">
        <f aca="false">IF(AZ620="",0,MAX(0,MIN(1,(IF(BU620="L1",Parameter!$E$5,Parameter!$E$6+Parameter!$E$7)-(AZ620-AV620))/AV620)))</f>
        <v>0</v>
      </c>
      <c r="BB620" s="55" t="str">
        <f aca="false">IF(AF620&lt;=0,"",IF(BU620="Aussen","Aussenlager",IF(BU620="-","Nicht im Lift",IF(AK620&gt;=1,"Lift",IF(AK620&lt;=0,"Aussenlager","teilweise")))))</f>
        <v>Lift</v>
      </c>
      <c r="BC620" s="55" t="str">
        <f aca="false">IF(AN620&lt;=0,"",IF(BU620="Aussen","Aussenlager",IF(BU620="-","Nicht im Lift",IF(AS620&gt;=1,"Lift",IF(AS620&lt;=0,"Aussenlager","teilweise")))))</f>
        <v>Aussenlager</v>
      </c>
      <c r="BD620" s="55" t="str">
        <f aca="false">IF(AV620&lt;=0,"",IF(BU620="Aussen","Aussenlager",IF(BU620="-","Nicht im Lift",IF(BA620&gt;=1,"Lift",IF(BA620&lt;=0,"Aussenlager","teilweise")))))</f>
        <v>Aussenlager</v>
      </c>
      <c r="BE620" s="55" t="str">
        <f aca="false">IF(A620="","",IF(BN620=1,"Neu; ","")&amp;IF(AND(BN620=0,BI620&lt;0),"negativer Bestand (Export "&amp;BI620&amp;"); ","")&amp;IF(I620&lt;=0,"Kein Verbrauch; ","")&amp;IF(CD620&gt;0,"Lift "&amp;U620&amp;" lt. Liftbericht (Fach "&amp;V620&amp;" Stk); ",IF(BR620=1,"Lose – Fläche geschätzt; ",""))&amp;IF(G620&gt;AP620,"Überbestand "&amp;ROUND(G620-AP620,0)&amp;" Stk / CHF "&amp;ROUND((G620-AP620)*F620,0)&amp;"; ","")&amp;IF(AND(BW620=1,BX620&lt;BY620),"MAX &lt; MB+LG; ","")&amp;IF(AND(CC620&gt;0,CB620*10&gt;CC620),"zu hoch für Tablar; ","")&amp;IF(AND(BN620=0,OR(BW620=1,Y620&lt;&gt;"",S620&lt;&gt;"",T620&lt;&gt;"",Z620&lt;&gt;"")),"manuell übersteuert; ","")&amp;IF(AND(BR620=0,Q620=0),"Gebinde unbekannt / Stellmass fehlt; ","")&amp;IF(AND(BR620=0,N(T620)&lt;=0,N(P620)&lt;=0),"Menge pro Gebinde fehlt (Ist = 1 Gebinde); ","")&amp;BM620)</f>
        <v>Kein Verbrauch; </v>
      </c>
      <c r="BF620" s="55"/>
      <c r="BG620" s="55"/>
      <c r="BH620" s="62"/>
      <c r="BI620" s="57" t="n">
        <v>2</v>
      </c>
      <c r="BJ620" s="57" t="n">
        <v>0</v>
      </c>
      <c r="BK620" s="56" t="n">
        <v>3.04000000000001</v>
      </c>
      <c r="BL620" s="57" t="n">
        <v>0</v>
      </c>
      <c r="BM620" s="55"/>
      <c r="BN620" s="60" t="n">
        <v>0</v>
      </c>
      <c r="BO620" s="60" t="n">
        <v>620</v>
      </c>
      <c r="BP620" s="55" t="str">
        <f aca="false">IF(S620&lt;&gt;"",UPPER(TRIM(S620)),IF(O620="","LOSE",O620))</f>
        <v>S22</v>
      </c>
      <c r="BQ620" s="57" t="n">
        <f aca="false">IF(BP620="LOSE",1,IF(N(T620)&gt;0,T620,IF(N(P620)&gt;0,P620,MAX(1,G620))))</f>
        <v>10</v>
      </c>
      <c r="BR620" s="60" t="n">
        <f aca="false">IF(BP620="LOSE",1,0)</f>
        <v>0</v>
      </c>
      <c r="BS620" s="59" t="n">
        <f aca="false">IF(BR620=0,0,IF(N(R620)&gt;0,R620,IFERROR(VLOOKUP(D620,Parameter!$A$35:$C$64,3,0)+0,0)))</f>
        <v>0</v>
      </c>
      <c r="BT620" s="55" t="n">
        <f aca="false">IF(Y620&lt;&gt;"",Y620,X620)</f>
        <v>3</v>
      </c>
      <c r="BU620" s="55" t="str">
        <f aca="false">IF(BT620=1,"L1",IF(OR(BT620=2,BT620=3),"L23",IF(BT620="Aussen","Aussen","-")))</f>
        <v>L23</v>
      </c>
      <c r="BV620" s="66" t="n">
        <f aca="false">IF(N(Z620)&gt;0,Z620,0)</f>
        <v>0</v>
      </c>
      <c r="BW620" s="60" t="n">
        <f aca="false">IF(ISNUMBER(AC620),1,0)</f>
        <v>0</v>
      </c>
      <c r="BX620" s="57" t="n">
        <f aca="false">N(AC620)</f>
        <v>0</v>
      </c>
      <c r="BY620" s="57" t="n">
        <f aca="false">N(L620)+N(M620)</f>
        <v>1</v>
      </c>
      <c r="BZ620" s="57" t="n">
        <f aca="false">ROUNDUP(G620/BQ620,0)</f>
        <v>1</v>
      </c>
      <c r="CA620" s="57" t="n">
        <f aca="false">ROUNDUP(BX620/BQ620,0)</f>
        <v>0</v>
      </c>
      <c r="CB620" s="60" t="n">
        <f aca="false">IF(BR620=1,0,IFERROR(VLOOKUP(BP620,'Gebinde-Kategorie'!$A$5:$M$45,5,0)+0,0))</f>
        <v>8</v>
      </c>
      <c r="CC620" s="60" t="n">
        <f aca="false">IFERROR(IF(OR(BT620=1,BT620=2,BT620=3),N(INDEX(Parameter!$I$5:$I$7,BT620)),0),0)</f>
        <v>0</v>
      </c>
      <c r="CD620" s="59" t="n">
        <f aca="false">IF(AND(Parameter!$B$21="Ja",ISNUMBER(U620),N(V620)&gt;0),IFERROR(N(INDEX(Parameter!$L$5:$L$7,U620))*INDEX(Parameter!$E$5:$E$7,U620)*V620/SUMIFS($V$7:$V$1576,$U$7:$U$1576,U620),0),0)</f>
        <v>0</v>
      </c>
    </row>
    <row r="621" customFormat="false" ht="15" hidden="false" customHeight="false" outlineLevel="0" collapsed="false">
      <c r="A621" s="55" t="s">
        <v>1266</v>
      </c>
      <c r="B621" s="55" t="s">
        <v>1125</v>
      </c>
      <c r="C621" s="55" t="s">
        <v>160</v>
      </c>
      <c r="D621" s="55" t="s">
        <v>168</v>
      </c>
      <c r="E621" s="55" t="s">
        <v>210</v>
      </c>
      <c r="F621" s="56" t="n">
        <v>3.02</v>
      </c>
      <c r="G621" s="57" t="n">
        <f aca="false">MAX(0,IF(AND(Parameter!$B$21="Ja",ISNUMBER(W621)),W621,IF(Parameter!$B$20="Jahresanfang 2025 + Export",BJ621+BI621,BI621)))</f>
        <v>1</v>
      </c>
      <c r="H621" s="57" t="n">
        <f aca="false">G621*F621</f>
        <v>3.02</v>
      </c>
      <c r="I621" s="57" t="n">
        <f aca="false">BL621*Parameter!$B$18</f>
        <v>0</v>
      </c>
      <c r="J621" s="58" t="n">
        <v>11.5</v>
      </c>
      <c r="K621" s="59" t="n">
        <v>0</v>
      </c>
      <c r="L621" s="57" t="n">
        <v>0</v>
      </c>
      <c r="M621" s="57" t="n">
        <v>1</v>
      </c>
      <c r="N621" s="60" t="n">
        <v>14</v>
      </c>
      <c r="O621" s="55" t="s">
        <v>163</v>
      </c>
      <c r="P621" s="57"/>
      <c r="Q621" s="60" t="n">
        <f aca="false">IF(BR621=1,0,IFERROR(VLOOKUP(BP621,'Gebinde-Kategorie'!$A$5:$M$45,13,0)+0,0))</f>
        <v>0</v>
      </c>
      <c r="R621" s="61"/>
      <c r="S621" s="62"/>
      <c r="T621" s="62"/>
      <c r="U621" s="55"/>
      <c r="V621" s="57"/>
      <c r="W621" s="57"/>
      <c r="X621" s="55" t="n">
        <f aca="false">IF(A621="","",IF(AND(Parameter!$B$21="Ja",ISNUMBER(U621)),U621,IF(IFERROR(VLOOKUP(D621,Parameter!$A$35:$C$64,2,0),"Nein")="2+3",IF(ISNUMBER(SEARCH("grosser Artikel",BM621)),2,IFERROR(VLOOKUP(BP621,Parameter!$F$35:$G$64,2,0),2)),IF(OR(IFERROR(VLOOKUP(D621,Parameter!$A$35:$C$64,2,0),"Nein")="Nein",IFERROR(VLOOKUP(D621,Parameter!$A$35:$C$64,2,0),"Nein")=""),"-",VLOOKUP(D621,Parameter!$A$35:$C$64,2,0)))))</f>
        <v>2</v>
      </c>
      <c r="Y621" s="62"/>
      <c r="Z621" s="63"/>
      <c r="AA621" s="57" t="n">
        <f aca="false">AP621</f>
        <v>1</v>
      </c>
      <c r="AB621" s="57" t="n">
        <f aca="false">MAX(AP621,G621)</f>
        <v>1</v>
      </c>
      <c r="AC621" s="64"/>
      <c r="AD621" s="57" t="n">
        <f aca="false">IF(LEFT(Cockpit!$C$5,1)="A",G621,IF(BW621=1,BX621,IF(LEFT(Cockpit!$C$5,1)="B",AH621,MAX(AH621,G621))))</f>
        <v>1</v>
      </c>
      <c r="AE621" s="57" t="n">
        <f aca="false">IF(BR621=1,0,ROUNDUP(AD621/BQ621,0))</f>
        <v>0</v>
      </c>
      <c r="AF621" s="59" t="n">
        <f aca="false">IF(CD621&gt;0,CD621*MAX(1,AD621/V621),IF(BR621=1,IF(AD621&lt;=0,0,BS621*MAX(1,IF(G621&gt;0,AD621/G621,1))),IF(Q621&gt;0,AE621/Q621,0))/MAX(0.1,N(Parameter!$M$21)))</f>
        <v>0.15</v>
      </c>
      <c r="AG621" s="57" t="n">
        <f aca="false">AD621*F621</f>
        <v>3.02</v>
      </c>
      <c r="AH621" s="57" t="n">
        <f aca="false">ROUNDUP(MAX(I621/IF(BV621&gt;0,BV621,MAX(0.1,N(Cockpit!$C$6))),BY621)/BQ621,0)*BQ621</f>
        <v>1</v>
      </c>
      <c r="AI621" s="58" t="n">
        <f aca="false">IF(AF621&gt;0,I621/AF621,-1)</f>
        <v>0</v>
      </c>
      <c r="AJ621" s="58" t="n">
        <f aca="false">IF(AND(OR(BU621="L1",BU621="L23"),AF621&gt;0),SUMIFS($AF$7:$AF$1576,$BU$7:$BU$1576,BU621,$AI$7:$AI$1576,"&gt;"&amp;AI621)+SUMIFS($AF$7:$AF$1576,$BU$7:$BU$1576,BU621,$AI$7:$AI$1576,AI621,$BO$7:$BO$1576,"&lt;="&amp;BO621),"")</f>
        <v>44.8402114793419</v>
      </c>
      <c r="AK621" s="65" t="n">
        <f aca="false">IF(AJ621="",0,MAX(0,MIN(1,(IF(BU621="L1",Parameter!$E$5,Parameter!$E$6+Parameter!$E$7)-(AJ621-AF621))/AF621)))</f>
        <v>1</v>
      </c>
      <c r="AL621" s="57" t="n">
        <f aca="false">IF(LEFT(Cockpit!$I$5,1)="A",G621,IF(BW621=1,BX621,IF(LEFT(Cockpit!$I$5,1)="B",AP621,MAX(AP621,G621))))</f>
        <v>1</v>
      </c>
      <c r="AM621" s="57" t="n">
        <f aca="false">IF(BR621=1,0,ROUNDUP(AL621/BQ621,0))</f>
        <v>0</v>
      </c>
      <c r="AN621" s="59" t="n">
        <f aca="false">IF(CD621&gt;0,CD621*MAX(1,AL621/V621),IF(BR621=1,IF(AL621&lt;=0,0,BS621*MAX(1,IF(G621&gt;0,AL621/G621,1))),IF(Q621&gt;0,AM621/Q621,0))/MAX(0.1,N(Parameter!$M$21)))</f>
        <v>0.15</v>
      </c>
      <c r="AO621" s="57" t="n">
        <f aca="false">AL621*F621</f>
        <v>3.02</v>
      </c>
      <c r="AP621" s="57" t="n">
        <f aca="false">ROUNDUP(MAX(I621/IF(BV621&gt;0,BV621,MAX(0.1,N(Cockpit!$I$6))),BY621)/BQ621,0)*BQ621</f>
        <v>1</v>
      </c>
      <c r="AQ621" s="58" t="n">
        <f aca="false">IF(AN621&gt;0,I621/AN621,-1)</f>
        <v>0</v>
      </c>
      <c r="AR621" s="58" t="n">
        <f aca="false">IF(AND(OR(BU621="L1",BU621="L23"),AN621&gt;0),SUMIFS($AN$7:$AN$1576,$BU$7:$BU$1576,BU621,$AQ$7:$AQ$1576,"&gt;"&amp;AQ621)+SUMIFS($AN$7:$AN$1576,$BU$7:$BU$1576,BU621,$AQ$7:$AQ$1576,AQ621,$BO$7:$BO$1576,"&lt;="&amp;BO621),"")</f>
        <v>127.906883961497</v>
      </c>
      <c r="AS621" s="65" t="n">
        <f aca="false">IF(AR621="",0,MAX(0,MIN(1,(IF(BU621="L1",Parameter!$E$5,Parameter!$E$6+Parameter!$E$7)-(AR621-AN621))/AN621)))</f>
        <v>0</v>
      </c>
      <c r="AT621" s="57" t="n">
        <f aca="false">IF(LEFT(Cockpit!$O$5,1)="A",G621,IF(BW621=1,BX621,IF(LEFT(Cockpit!$O$5,1)="B",AX621,MAX(AX621,G621))))</f>
        <v>1</v>
      </c>
      <c r="AU621" s="57" t="n">
        <f aca="false">IF(BR621=1,0,ROUNDUP(AT621/BQ621,0))</f>
        <v>0</v>
      </c>
      <c r="AV621" s="59" t="n">
        <f aca="false">IF(CD621&gt;0,CD621*MAX(1,AT621/V621),IF(BR621=1,IF(AT621&lt;=0,0,BS621*MAX(1,IF(G621&gt;0,AT621/G621,1))),IF(Q621&gt;0,AU621/Q621,0))/MAX(0.1,N(Parameter!$M$21)))</f>
        <v>0.15</v>
      </c>
      <c r="AW621" s="57" t="n">
        <f aca="false">AT621*F621</f>
        <v>3.02</v>
      </c>
      <c r="AX621" s="57" t="n">
        <f aca="false">ROUNDUP(MAX(I621/IF(BV621&gt;0,BV621,MAX(0.1,N(Cockpit!$O$6))),BY621)/BQ621,0)*BQ621</f>
        <v>1</v>
      </c>
      <c r="AY621" s="58" t="n">
        <f aca="false">IF(AV621&gt;0,I621/AV621,-1)</f>
        <v>0</v>
      </c>
      <c r="AZ621" s="58" t="n">
        <f aca="false">IF(AND(OR(BU621="L1",BU621="L23"),AV621&gt;0),SUMIFS($AV$7:$AV$1576,$BU$7:$BU$1576,BU621,$AY$7:$AY$1576,"&gt;"&amp;AY621)+SUMIFS($AV$7:$AV$1576,$BU$7:$BU$1576,BU621,$AY$7:$AY$1576,AY621,$BO$7:$BO$1576,"&lt;="&amp;BO621),"")</f>
        <v>117.966434411047</v>
      </c>
      <c r="BA621" s="65" t="n">
        <f aca="false">IF(AZ621="",0,MAX(0,MIN(1,(IF(BU621="L1",Parameter!$E$5,Parameter!$E$6+Parameter!$E$7)-(AZ621-AV621))/AV621)))</f>
        <v>0</v>
      </c>
      <c r="BB621" s="55" t="str">
        <f aca="false">IF(AF621&lt;=0,"",IF(BU621="Aussen","Aussenlager",IF(BU621="-","Nicht im Lift",IF(AK621&gt;=1,"Lift",IF(AK621&lt;=0,"Aussenlager","teilweise")))))</f>
        <v>Lift</v>
      </c>
      <c r="BC621" s="55" t="str">
        <f aca="false">IF(AN621&lt;=0,"",IF(BU621="Aussen","Aussenlager",IF(BU621="-","Nicht im Lift",IF(AS621&gt;=1,"Lift",IF(AS621&lt;=0,"Aussenlager","teilweise")))))</f>
        <v>Aussenlager</v>
      </c>
      <c r="BD621" s="55" t="str">
        <f aca="false">IF(AV621&lt;=0,"",IF(BU621="Aussen","Aussenlager",IF(BU621="-","Nicht im Lift",IF(BA621&gt;=1,"Lift",IF(BA621&lt;=0,"Aussenlager","teilweise")))))</f>
        <v>Aussenlager</v>
      </c>
      <c r="BE621" s="55" t="str">
        <f aca="false">IF(A621="","",IF(BN621=1,"Neu; ","")&amp;IF(AND(BN621=0,BI621&lt;0),"negativer Bestand (Export "&amp;BI621&amp;"); ","")&amp;IF(I621&lt;=0,"Kein Verbrauch; ","")&amp;IF(CD621&gt;0,"Lift "&amp;U621&amp;" lt. Liftbericht (Fach "&amp;V621&amp;" Stk); ",IF(BR621=1,"Lose – Fläche geschätzt; ",""))&amp;IF(G621&gt;AP621,"Überbestand "&amp;ROUND(G621-AP621,0)&amp;" Stk / CHF "&amp;ROUND((G621-AP621)*F621,0)&amp;"; ","")&amp;IF(AND(BW621=1,BX621&lt;BY621),"MAX &lt; MB+LG; ","")&amp;IF(AND(CC621&gt;0,CB621*10&gt;CC621),"zu hoch für Tablar; ","")&amp;IF(AND(BN621=0,OR(BW621=1,Y621&lt;&gt;"",S621&lt;&gt;"",T621&lt;&gt;"",Z621&lt;&gt;"")),"manuell übersteuert; ","")&amp;IF(AND(BR621=0,Q621=0),"Gebinde unbekannt / Stellmass fehlt; ","")&amp;IF(AND(BR621=0,N(T621)&lt;=0,N(P621)&lt;=0),"Menge pro Gebinde fehlt (Ist = 1 Gebinde); ","")&amp;BM621)</f>
        <v>Kein Verbrauch; Lose – Fläche geschätzt; Überbestand</v>
      </c>
      <c r="BF621" s="55"/>
      <c r="BG621" s="55"/>
      <c r="BH621" s="62"/>
      <c r="BI621" s="57" t="n">
        <v>1</v>
      </c>
      <c r="BJ621" s="57" t="n">
        <v>11</v>
      </c>
      <c r="BK621" s="56" t="n">
        <v>3.02</v>
      </c>
      <c r="BL621" s="57" t="n">
        <v>0</v>
      </c>
      <c r="BM621" s="55" t="s">
        <v>382</v>
      </c>
      <c r="BN621" s="60" t="n">
        <v>0</v>
      </c>
      <c r="BO621" s="60" t="n">
        <v>621</v>
      </c>
      <c r="BP621" s="55" t="str">
        <f aca="false">IF(S621&lt;&gt;"",UPPER(TRIM(S621)),IF(O621="","LOSE",O621))</f>
        <v>LOSE</v>
      </c>
      <c r="BQ621" s="57" t="n">
        <f aca="false">IF(BP621="LOSE",1,IF(N(T621)&gt;0,T621,IF(N(P621)&gt;0,P621,MAX(1,G621))))</f>
        <v>1</v>
      </c>
      <c r="BR621" s="60" t="n">
        <f aca="false">IF(BP621="LOSE",1,0)</f>
        <v>1</v>
      </c>
      <c r="BS621" s="59" t="n">
        <f aca="false">IF(BR621=0,0,IF(N(R621)&gt;0,R621,IFERROR(VLOOKUP(D621,Parameter!$A$35:$C$64,3,0)+0,0)))</f>
        <v>0.15</v>
      </c>
      <c r="BT621" s="55" t="n">
        <f aca="false">IF(Y621&lt;&gt;"",Y621,X621)</f>
        <v>2</v>
      </c>
      <c r="BU621" s="55" t="str">
        <f aca="false">IF(BT621=1,"L1",IF(OR(BT621=2,BT621=3),"L23",IF(BT621="Aussen","Aussen","-")))</f>
        <v>L23</v>
      </c>
      <c r="BV621" s="66" t="n">
        <f aca="false">IF(N(Z621)&gt;0,Z621,0)</f>
        <v>0</v>
      </c>
      <c r="BW621" s="60" t="n">
        <f aca="false">IF(ISNUMBER(AC621),1,0)</f>
        <v>0</v>
      </c>
      <c r="BX621" s="57" t="n">
        <f aca="false">N(AC621)</f>
        <v>0</v>
      </c>
      <c r="BY621" s="57" t="n">
        <f aca="false">N(L621)+N(M621)</f>
        <v>1</v>
      </c>
      <c r="BZ621" s="57" t="n">
        <f aca="false">ROUNDUP(G621/BQ621,0)</f>
        <v>1</v>
      </c>
      <c r="CA621" s="57" t="n">
        <f aca="false">ROUNDUP(BX621/BQ621,0)</f>
        <v>0</v>
      </c>
      <c r="CB621" s="60" t="n">
        <f aca="false">IF(BR621=1,0,IFERROR(VLOOKUP(BP621,'Gebinde-Kategorie'!$A$5:$M$45,5,0)+0,0))</f>
        <v>0</v>
      </c>
      <c r="CC621" s="60" t="n">
        <f aca="false">IFERROR(IF(OR(BT621=1,BT621=2,BT621=3),N(INDEX(Parameter!$I$5:$I$7,BT621)),0),0)</f>
        <v>0</v>
      </c>
      <c r="CD621" s="59" t="n">
        <f aca="false">IF(AND(Parameter!$B$21="Ja",ISNUMBER(U621),N(V621)&gt;0),IFERROR(N(INDEX(Parameter!$L$5:$L$7,U621))*INDEX(Parameter!$E$5:$E$7,U621)*V621/SUMIFS($V$7:$V$1576,$U$7:$U$1576,U621),0),0)</f>
        <v>0</v>
      </c>
    </row>
    <row r="622" customFormat="false" ht="15" hidden="false" customHeight="false" outlineLevel="0" collapsed="false">
      <c r="A622" s="55" t="s">
        <v>1267</v>
      </c>
      <c r="B622" s="55" t="s">
        <v>1268</v>
      </c>
      <c r="C622" s="55" t="s">
        <v>160</v>
      </c>
      <c r="D622" s="55" t="s">
        <v>178</v>
      </c>
      <c r="E622" s="55" t="s">
        <v>210</v>
      </c>
      <c r="F622" s="56" t="n">
        <v>2.97</v>
      </c>
      <c r="G622" s="57" t="n">
        <f aca="false">MAX(0,IF(AND(Parameter!$B$21="Ja",ISNUMBER(W622)),W622,IF(Parameter!$B$20="Jahresanfang 2025 + Export",BJ622+BI622,BI622)))</f>
        <v>1</v>
      </c>
      <c r="H622" s="57" t="n">
        <f aca="false">G622*F622</f>
        <v>2.97</v>
      </c>
      <c r="I622" s="57" t="n">
        <f aca="false">BL622*Parameter!$B$18</f>
        <v>0</v>
      </c>
      <c r="J622" s="58" t="n">
        <v>0.5</v>
      </c>
      <c r="K622" s="59" t="n">
        <v>0</v>
      </c>
      <c r="L622" s="57" t="n">
        <v>0</v>
      </c>
      <c r="M622" s="57" t="n">
        <v>1</v>
      </c>
      <c r="N622" s="60" t="n">
        <v>14</v>
      </c>
      <c r="O622" s="55" t="s">
        <v>391</v>
      </c>
      <c r="P622" s="57" t="n">
        <v>20</v>
      </c>
      <c r="Q622" s="60" t="n">
        <f aca="false">IF(BR622=1,0,IFERROR(VLOOKUP(BP622,'Gebinde-Kategorie'!$A$5:$M$45,13,0)+0,0))</f>
        <v>414</v>
      </c>
      <c r="R622" s="61"/>
      <c r="S622" s="62"/>
      <c r="T622" s="62"/>
      <c r="U622" s="55"/>
      <c r="V622" s="57"/>
      <c r="W622" s="57"/>
      <c r="X622" s="55" t="n">
        <f aca="false">IF(A622="","",IF(AND(Parameter!$B$21="Ja",ISNUMBER(U622)),U622,IF(IFERROR(VLOOKUP(D622,Parameter!$A$35:$C$64,2,0),"Nein")="2+3",IF(ISNUMBER(SEARCH("grosser Artikel",BM622)),2,IFERROR(VLOOKUP(BP622,Parameter!$F$35:$G$64,2,0),2)),IF(OR(IFERROR(VLOOKUP(D622,Parameter!$A$35:$C$64,2,0),"Nein")="Nein",IFERROR(VLOOKUP(D622,Parameter!$A$35:$C$64,2,0),"Nein")=""),"-",VLOOKUP(D622,Parameter!$A$35:$C$64,2,0)))))</f>
        <v>3</v>
      </c>
      <c r="Y622" s="62"/>
      <c r="Z622" s="63"/>
      <c r="AA622" s="57" t="n">
        <f aca="false">AP622</f>
        <v>20</v>
      </c>
      <c r="AB622" s="57" t="n">
        <f aca="false">MAX(AP622,G622)</f>
        <v>20</v>
      </c>
      <c r="AC622" s="64"/>
      <c r="AD622" s="57" t="n">
        <f aca="false">IF(LEFT(Cockpit!$C$5,1)="A",G622,IF(BW622=1,BX622,IF(LEFT(Cockpit!$C$5,1)="B",AH622,MAX(AH622,G622))))</f>
        <v>1</v>
      </c>
      <c r="AE622" s="57" t="n">
        <f aca="false">IF(BR622=1,0,ROUNDUP(AD622/BQ622,0))</f>
        <v>1</v>
      </c>
      <c r="AF622" s="59" t="n">
        <f aca="false">IF(CD622&gt;0,CD622*MAX(1,AD622/V622),IF(BR622=1,IF(AD622&lt;=0,0,BS622*MAX(1,IF(G622&gt;0,AD622/G622,1))),IF(Q622&gt;0,AE622/Q622,0))/MAX(0.1,N(Parameter!$M$21)))</f>
        <v>0.00241545893719807</v>
      </c>
      <c r="AG622" s="57" t="n">
        <f aca="false">AD622*F622</f>
        <v>2.97</v>
      </c>
      <c r="AH622" s="57" t="n">
        <f aca="false">ROUNDUP(MAX(I622/IF(BV622&gt;0,BV622,MAX(0.1,N(Cockpit!$C$6))),BY622)/BQ622,0)*BQ622</f>
        <v>20</v>
      </c>
      <c r="AI622" s="58" t="n">
        <f aca="false">IF(AF622&gt;0,I622/AF622,-1)</f>
        <v>0</v>
      </c>
      <c r="AJ622" s="58" t="n">
        <f aca="false">IF(AND(OR(BU622="L1",BU622="L23"),AF622&gt;0),SUMIFS($AF$7:$AF$1576,$BU$7:$BU$1576,BU622,$AI$7:$AI$1576,"&gt;"&amp;AI622)+SUMIFS($AF$7:$AF$1576,$BU$7:$BU$1576,BU622,$AI$7:$AI$1576,AI622,$BO$7:$BO$1576,"&lt;="&amp;BO622),"")</f>
        <v>44.8426269382791</v>
      </c>
      <c r="AK622" s="65" t="n">
        <f aca="false">IF(AJ622="",0,MAX(0,MIN(1,(IF(BU622="L1",Parameter!$E$5,Parameter!$E$6+Parameter!$E$7)-(AJ622-AF622))/AF622)))</f>
        <v>1</v>
      </c>
      <c r="AL622" s="57" t="n">
        <f aca="false">IF(LEFT(Cockpit!$I$5,1)="A",G622,IF(BW622=1,BX622,IF(LEFT(Cockpit!$I$5,1)="B",AP622,MAX(AP622,G622))))</f>
        <v>20</v>
      </c>
      <c r="AM622" s="57" t="n">
        <f aca="false">IF(BR622=1,0,ROUNDUP(AL622/BQ622,0))</f>
        <v>1</v>
      </c>
      <c r="AN622" s="59" t="n">
        <f aca="false">IF(CD622&gt;0,CD622*MAX(1,AL622/V622),IF(BR622=1,IF(AL622&lt;=0,0,BS622*MAX(1,IF(G622&gt;0,AL622/G622,1))),IF(Q622&gt;0,AM622/Q622,0))/MAX(0.1,N(Parameter!$M$21)))</f>
        <v>0.00241545893719807</v>
      </c>
      <c r="AO622" s="57" t="n">
        <f aca="false">AL622*F622</f>
        <v>59.4</v>
      </c>
      <c r="AP622" s="57" t="n">
        <f aca="false">ROUNDUP(MAX(I622/IF(BV622&gt;0,BV622,MAX(0.1,N(Cockpit!$I$6))),BY622)/BQ622,0)*BQ622</f>
        <v>20</v>
      </c>
      <c r="AQ622" s="58" t="n">
        <f aca="false">IF(AN622&gt;0,I622/AN622,-1)</f>
        <v>0</v>
      </c>
      <c r="AR622" s="58" t="n">
        <f aca="false">IF(AND(OR(BU622="L1",BU622="L23"),AN622&gt;0),SUMIFS($AN$7:$AN$1576,$BU$7:$BU$1576,BU622,$AQ$7:$AQ$1576,"&gt;"&amp;AQ622)+SUMIFS($AN$7:$AN$1576,$BU$7:$BU$1576,BU622,$AQ$7:$AQ$1576,AQ622,$BO$7:$BO$1576,"&lt;="&amp;BO622),"")</f>
        <v>127.909299420434</v>
      </c>
      <c r="AS622" s="65" t="n">
        <f aca="false">IF(AR622="",0,MAX(0,MIN(1,(IF(BU622="L1",Parameter!$E$5,Parameter!$E$6+Parameter!$E$7)-(AR622-AN622))/AN622)))</f>
        <v>0</v>
      </c>
      <c r="AT622" s="57" t="n">
        <f aca="false">IF(LEFT(Cockpit!$O$5,1)="A",G622,IF(BW622=1,BX622,IF(LEFT(Cockpit!$O$5,1)="B",AX622,MAX(AX622,G622))))</f>
        <v>20</v>
      </c>
      <c r="AU622" s="57" t="n">
        <f aca="false">IF(BR622=1,0,ROUNDUP(AT622/BQ622,0))</f>
        <v>1</v>
      </c>
      <c r="AV622" s="59" t="n">
        <f aca="false">IF(CD622&gt;0,CD622*MAX(1,AT622/V622),IF(BR622=1,IF(AT622&lt;=0,0,BS622*MAX(1,IF(G622&gt;0,AT622/G622,1))),IF(Q622&gt;0,AU622/Q622,0))/MAX(0.1,N(Parameter!$M$21)))</f>
        <v>0.00241545893719807</v>
      </c>
      <c r="AW622" s="57" t="n">
        <f aca="false">AT622*F622</f>
        <v>59.4</v>
      </c>
      <c r="AX622" s="57" t="n">
        <f aca="false">ROUNDUP(MAX(I622/IF(BV622&gt;0,BV622,MAX(0.1,N(Cockpit!$O$6))),BY622)/BQ622,0)*BQ622</f>
        <v>20</v>
      </c>
      <c r="AY622" s="58" t="n">
        <f aca="false">IF(AV622&gt;0,I622/AV622,-1)</f>
        <v>0</v>
      </c>
      <c r="AZ622" s="58" t="n">
        <f aca="false">IF(AND(OR(BU622="L1",BU622="L23"),AV622&gt;0),SUMIFS($AV$7:$AV$1576,$BU$7:$BU$1576,BU622,$AY$7:$AY$1576,"&gt;"&amp;AY622)+SUMIFS($AV$7:$AV$1576,$BU$7:$BU$1576,BU622,$AY$7:$AY$1576,AY622,$BO$7:$BO$1576,"&lt;="&amp;BO622),"")</f>
        <v>117.968849869984</v>
      </c>
      <c r="BA622" s="65" t="n">
        <f aca="false">IF(AZ622="",0,MAX(0,MIN(1,(IF(BU622="L1",Parameter!$E$5,Parameter!$E$6+Parameter!$E$7)-(AZ622-AV622))/AV622)))</f>
        <v>0</v>
      </c>
      <c r="BB622" s="55" t="str">
        <f aca="false">IF(AF622&lt;=0,"",IF(BU622="Aussen","Aussenlager",IF(BU622="-","Nicht im Lift",IF(AK622&gt;=1,"Lift",IF(AK622&lt;=0,"Aussenlager","teilweise")))))</f>
        <v>Lift</v>
      </c>
      <c r="BC622" s="55" t="str">
        <f aca="false">IF(AN622&lt;=0,"",IF(BU622="Aussen","Aussenlager",IF(BU622="-","Nicht im Lift",IF(AS622&gt;=1,"Lift",IF(AS622&lt;=0,"Aussenlager","teilweise")))))</f>
        <v>Aussenlager</v>
      </c>
      <c r="BD622" s="55" t="str">
        <f aca="false">IF(AV622&lt;=0,"",IF(BU622="Aussen","Aussenlager",IF(BU622="-","Nicht im Lift",IF(BA622&gt;=1,"Lift",IF(BA622&lt;=0,"Aussenlager","teilweise")))))</f>
        <v>Aussenlager</v>
      </c>
      <c r="BE622" s="55" t="str">
        <f aca="false">IF(A622="","",IF(BN622=1,"Neu; ","")&amp;IF(AND(BN622=0,BI622&lt;0),"negativer Bestand (Export "&amp;BI622&amp;"); ","")&amp;IF(I622&lt;=0,"Kein Verbrauch; ","")&amp;IF(CD622&gt;0,"Lift "&amp;U622&amp;" lt. Liftbericht (Fach "&amp;V622&amp;" Stk); ",IF(BR622=1,"Lose – Fläche geschätzt; ",""))&amp;IF(G622&gt;AP622,"Überbestand "&amp;ROUND(G622-AP622,0)&amp;" Stk / CHF "&amp;ROUND((G622-AP622)*F622,0)&amp;"; ","")&amp;IF(AND(BW622=1,BX622&lt;BY622),"MAX &lt; MB+LG; ","")&amp;IF(AND(CC622&gt;0,CB622*10&gt;CC622),"zu hoch für Tablar; ","")&amp;IF(AND(BN622=0,OR(BW622=1,Y622&lt;&gt;"",S622&lt;&gt;"",T622&lt;&gt;"",Z622&lt;&gt;"")),"manuell übersteuert; ","")&amp;IF(AND(BR622=0,Q622=0),"Gebinde unbekannt / Stellmass fehlt; ","")&amp;IF(AND(BR622=0,N(T622)&lt;=0,N(P622)&lt;=0),"Menge pro Gebinde fehlt (Ist = 1 Gebinde); ","")&amp;BM622)</f>
        <v>Kein Verbrauch; Verb.Lager</v>
      </c>
      <c r="BF622" s="55"/>
      <c r="BG622" s="55"/>
      <c r="BH622" s="62"/>
      <c r="BI622" s="57" t="n">
        <v>1</v>
      </c>
      <c r="BJ622" s="57" t="n">
        <v>0</v>
      </c>
      <c r="BK622" s="56" t="n">
        <v>2.97</v>
      </c>
      <c r="BL622" s="57" t="n">
        <v>0</v>
      </c>
      <c r="BM622" s="55" t="s">
        <v>1019</v>
      </c>
      <c r="BN622" s="60" t="n">
        <v>0</v>
      </c>
      <c r="BO622" s="60" t="n">
        <v>622</v>
      </c>
      <c r="BP622" s="55" t="str">
        <f aca="false">IF(S622&lt;&gt;"",UPPER(TRIM(S622)),IF(O622="","LOSE",O622))</f>
        <v>S21</v>
      </c>
      <c r="BQ622" s="57" t="n">
        <f aca="false">IF(BP622="LOSE",1,IF(N(T622)&gt;0,T622,IF(N(P622)&gt;0,P622,MAX(1,G622))))</f>
        <v>20</v>
      </c>
      <c r="BR622" s="60" t="n">
        <f aca="false">IF(BP622="LOSE",1,0)</f>
        <v>0</v>
      </c>
      <c r="BS622" s="59" t="n">
        <f aca="false">IF(BR622=0,0,IF(N(R622)&gt;0,R622,IFERROR(VLOOKUP(D622,Parameter!$A$35:$C$64,3,0)+0,0)))</f>
        <v>0</v>
      </c>
      <c r="BT622" s="55" t="n">
        <f aca="false">IF(Y622&lt;&gt;"",Y622,X622)</f>
        <v>3</v>
      </c>
      <c r="BU622" s="55" t="str">
        <f aca="false">IF(BT622=1,"L1",IF(OR(BT622=2,BT622=3),"L23",IF(BT622="Aussen","Aussen","-")))</f>
        <v>L23</v>
      </c>
      <c r="BV622" s="66" t="n">
        <f aca="false">IF(N(Z622)&gt;0,Z622,0)</f>
        <v>0</v>
      </c>
      <c r="BW622" s="60" t="n">
        <f aca="false">IF(ISNUMBER(AC622),1,0)</f>
        <v>0</v>
      </c>
      <c r="BX622" s="57" t="n">
        <f aca="false">N(AC622)</f>
        <v>0</v>
      </c>
      <c r="BY622" s="57" t="n">
        <f aca="false">N(L622)+N(M622)</f>
        <v>1</v>
      </c>
      <c r="BZ622" s="57" t="n">
        <f aca="false">ROUNDUP(G622/BQ622,0)</f>
        <v>1</v>
      </c>
      <c r="CA622" s="57" t="n">
        <f aca="false">ROUNDUP(BX622/BQ622,0)</f>
        <v>0</v>
      </c>
      <c r="CB622" s="60" t="n">
        <f aca="false">IF(BR622=1,0,IFERROR(VLOOKUP(BP622,'Gebinde-Kategorie'!$A$5:$M$45,5,0)+0,0))</f>
        <v>8</v>
      </c>
      <c r="CC622" s="60" t="n">
        <f aca="false">IFERROR(IF(OR(BT622=1,BT622=2,BT622=3),N(INDEX(Parameter!$I$5:$I$7,BT622)),0),0)</f>
        <v>0</v>
      </c>
      <c r="CD622" s="59" t="n">
        <f aca="false">IF(AND(Parameter!$B$21="Ja",ISNUMBER(U622),N(V622)&gt;0),IFERROR(N(INDEX(Parameter!$L$5:$L$7,U622))*INDEX(Parameter!$E$5:$E$7,U622)*V622/SUMIFS($V$7:$V$1576,$U$7:$U$1576,U622),0),0)</f>
        <v>0</v>
      </c>
    </row>
    <row r="623" customFormat="false" ht="15" hidden="false" customHeight="false" outlineLevel="0" collapsed="false">
      <c r="A623" s="55" t="s">
        <v>1269</v>
      </c>
      <c r="B623" s="55" t="s">
        <v>1270</v>
      </c>
      <c r="C623" s="55" t="s">
        <v>160</v>
      </c>
      <c r="D623" s="55" t="s">
        <v>178</v>
      </c>
      <c r="E623" s="55" t="s">
        <v>210</v>
      </c>
      <c r="F623" s="56" t="n">
        <v>0.72</v>
      </c>
      <c r="G623" s="57" t="n">
        <f aca="false">MAX(0,IF(AND(Parameter!$B$21="Ja",ISNUMBER(W623)),W623,IF(Parameter!$B$20="Jahresanfang 2025 + Export",BJ623+BI623,BI623)))</f>
        <v>4</v>
      </c>
      <c r="H623" s="57" t="n">
        <f aca="false">G623*F623</f>
        <v>2.88</v>
      </c>
      <c r="I623" s="57" t="n">
        <f aca="false">BL623*Parameter!$B$18</f>
        <v>0</v>
      </c>
      <c r="J623" s="58" t="n">
        <v>117.5</v>
      </c>
      <c r="K623" s="59" t="n">
        <v>0</v>
      </c>
      <c r="L623" s="57" t="n">
        <v>0</v>
      </c>
      <c r="M623" s="57" t="n">
        <v>1</v>
      </c>
      <c r="N623" s="60" t="n">
        <v>21</v>
      </c>
      <c r="O623" s="55" t="s">
        <v>411</v>
      </c>
      <c r="P623" s="57" t="n">
        <v>132</v>
      </c>
      <c r="Q623" s="60" t="n">
        <f aca="false">IF(BR623=1,0,IFERROR(VLOOKUP(BP623,'Gebinde-Kategorie'!$A$5:$M$45,13,0)+0,0))</f>
        <v>132</v>
      </c>
      <c r="R623" s="61"/>
      <c r="S623" s="62"/>
      <c r="T623" s="62"/>
      <c r="U623" s="55"/>
      <c r="V623" s="57"/>
      <c r="W623" s="57"/>
      <c r="X623" s="55" t="n">
        <f aca="false">IF(A623="","",IF(AND(Parameter!$B$21="Ja",ISNUMBER(U623)),U623,IF(IFERROR(VLOOKUP(D623,Parameter!$A$35:$C$64,2,0),"Nein")="2+3",IF(ISNUMBER(SEARCH("grosser Artikel",BM623)),2,IFERROR(VLOOKUP(BP623,Parameter!$F$35:$G$64,2,0),2)),IF(OR(IFERROR(VLOOKUP(D623,Parameter!$A$35:$C$64,2,0),"Nein")="Nein",IFERROR(VLOOKUP(D623,Parameter!$A$35:$C$64,2,0),"Nein")=""),"-",VLOOKUP(D623,Parameter!$A$35:$C$64,2,0)))))</f>
        <v>3</v>
      </c>
      <c r="Y623" s="62"/>
      <c r="Z623" s="63"/>
      <c r="AA623" s="57" t="n">
        <f aca="false">AP623</f>
        <v>132</v>
      </c>
      <c r="AB623" s="57" t="n">
        <f aca="false">MAX(AP623,G623)</f>
        <v>132</v>
      </c>
      <c r="AC623" s="64"/>
      <c r="AD623" s="57" t="n">
        <f aca="false">IF(LEFT(Cockpit!$C$5,1)="A",G623,IF(BW623=1,BX623,IF(LEFT(Cockpit!$C$5,1)="B",AH623,MAX(AH623,G623))))</f>
        <v>4</v>
      </c>
      <c r="AE623" s="57" t="n">
        <f aca="false">IF(BR623=1,0,ROUNDUP(AD623/BQ623,0))</f>
        <v>1</v>
      </c>
      <c r="AF623" s="59" t="n">
        <f aca="false">IF(CD623&gt;0,CD623*MAX(1,AD623/V623),IF(BR623=1,IF(AD623&lt;=0,0,BS623*MAX(1,IF(G623&gt;0,AD623/G623,1))),IF(Q623&gt;0,AE623/Q623,0))/MAX(0.1,N(Parameter!$M$21)))</f>
        <v>0.00757575757575758</v>
      </c>
      <c r="AG623" s="57" t="n">
        <f aca="false">AD623*F623</f>
        <v>2.88</v>
      </c>
      <c r="AH623" s="57" t="n">
        <f aca="false">ROUNDUP(MAX(I623/IF(BV623&gt;0,BV623,MAX(0.1,N(Cockpit!$C$6))),BY623)/BQ623,0)*BQ623</f>
        <v>132</v>
      </c>
      <c r="AI623" s="58" t="n">
        <f aca="false">IF(AF623&gt;0,I623/AF623,-1)</f>
        <v>0</v>
      </c>
      <c r="AJ623" s="58" t="n">
        <f aca="false">IF(AND(OR(BU623="L1",BU623="L23"),AF623&gt;0),SUMIFS($AF$7:$AF$1576,$BU$7:$BU$1576,BU623,$AI$7:$AI$1576,"&gt;"&amp;AI623)+SUMIFS($AF$7:$AF$1576,$BU$7:$BU$1576,BU623,$AI$7:$AI$1576,AI623,$BO$7:$BO$1576,"&lt;="&amp;BO623),"")</f>
        <v>44.8502026958549</v>
      </c>
      <c r="AK623" s="65" t="n">
        <f aca="false">IF(AJ623="",0,MAX(0,MIN(1,(IF(BU623="L1",Parameter!$E$5,Parameter!$E$6+Parameter!$E$7)-(AJ623-AF623))/AF623)))</f>
        <v>1</v>
      </c>
      <c r="AL623" s="57" t="n">
        <f aca="false">IF(LEFT(Cockpit!$I$5,1)="A",G623,IF(BW623=1,BX623,IF(LEFT(Cockpit!$I$5,1)="B",AP623,MAX(AP623,G623))))</f>
        <v>132</v>
      </c>
      <c r="AM623" s="57" t="n">
        <f aca="false">IF(BR623=1,0,ROUNDUP(AL623/BQ623,0))</f>
        <v>1</v>
      </c>
      <c r="AN623" s="59" t="n">
        <f aca="false">IF(CD623&gt;0,CD623*MAX(1,AL623/V623),IF(BR623=1,IF(AL623&lt;=0,0,BS623*MAX(1,IF(G623&gt;0,AL623/G623,1))),IF(Q623&gt;0,AM623/Q623,0))/MAX(0.1,N(Parameter!$M$21)))</f>
        <v>0.00757575757575758</v>
      </c>
      <c r="AO623" s="57" t="n">
        <f aca="false">AL623*F623</f>
        <v>95.04</v>
      </c>
      <c r="AP623" s="57" t="n">
        <f aca="false">ROUNDUP(MAX(I623/IF(BV623&gt;0,BV623,MAX(0.1,N(Cockpit!$I$6))),BY623)/BQ623,0)*BQ623</f>
        <v>132</v>
      </c>
      <c r="AQ623" s="58" t="n">
        <f aca="false">IF(AN623&gt;0,I623/AN623,-1)</f>
        <v>0</v>
      </c>
      <c r="AR623" s="58" t="n">
        <f aca="false">IF(AND(OR(BU623="L1",BU623="L23"),AN623&gt;0),SUMIFS($AN$7:$AN$1576,$BU$7:$BU$1576,BU623,$AQ$7:$AQ$1576,"&gt;"&amp;AQ623)+SUMIFS($AN$7:$AN$1576,$BU$7:$BU$1576,BU623,$AQ$7:$AQ$1576,AQ623,$BO$7:$BO$1576,"&lt;="&amp;BO623),"")</f>
        <v>127.91687517801</v>
      </c>
      <c r="AS623" s="65" t="n">
        <f aca="false">IF(AR623="",0,MAX(0,MIN(1,(IF(BU623="L1",Parameter!$E$5,Parameter!$E$6+Parameter!$E$7)-(AR623-AN623))/AN623)))</f>
        <v>0</v>
      </c>
      <c r="AT623" s="57" t="n">
        <f aca="false">IF(LEFT(Cockpit!$O$5,1)="A",G623,IF(BW623=1,BX623,IF(LEFT(Cockpit!$O$5,1)="B",AX623,MAX(AX623,G623))))</f>
        <v>132</v>
      </c>
      <c r="AU623" s="57" t="n">
        <f aca="false">IF(BR623=1,0,ROUNDUP(AT623/BQ623,0))</f>
        <v>1</v>
      </c>
      <c r="AV623" s="59" t="n">
        <f aca="false">IF(CD623&gt;0,CD623*MAX(1,AT623/V623),IF(BR623=1,IF(AT623&lt;=0,0,BS623*MAX(1,IF(G623&gt;0,AT623/G623,1))),IF(Q623&gt;0,AU623/Q623,0))/MAX(0.1,N(Parameter!$M$21)))</f>
        <v>0.00757575757575758</v>
      </c>
      <c r="AW623" s="57" t="n">
        <f aca="false">AT623*F623</f>
        <v>95.04</v>
      </c>
      <c r="AX623" s="57" t="n">
        <f aca="false">ROUNDUP(MAX(I623/IF(BV623&gt;0,BV623,MAX(0.1,N(Cockpit!$O$6))),BY623)/BQ623,0)*BQ623</f>
        <v>132</v>
      </c>
      <c r="AY623" s="58" t="n">
        <f aca="false">IF(AV623&gt;0,I623/AV623,-1)</f>
        <v>0</v>
      </c>
      <c r="AZ623" s="58" t="n">
        <f aca="false">IF(AND(OR(BU623="L1",BU623="L23"),AV623&gt;0),SUMIFS($AV$7:$AV$1576,$BU$7:$BU$1576,BU623,$AY$7:$AY$1576,"&gt;"&amp;AY623)+SUMIFS($AV$7:$AV$1576,$BU$7:$BU$1576,BU623,$AY$7:$AY$1576,AY623,$BO$7:$BO$1576,"&lt;="&amp;BO623),"")</f>
        <v>117.97642562756</v>
      </c>
      <c r="BA623" s="65" t="n">
        <f aca="false">IF(AZ623="",0,MAX(0,MIN(1,(IF(BU623="L1",Parameter!$E$5,Parameter!$E$6+Parameter!$E$7)-(AZ623-AV623))/AV623)))</f>
        <v>0</v>
      </c>
      <c r="BB623" s="55" t="str">
        <f aca="false">IF(AF623&lt;=0,"",IF(BU623="Aussen","Aussenlager",IF(BU623="-","Nicht im Lift",IF(AK623&gt;=1,"Lift",IF(AK623&lt;=0,"Aussenlager","teilweise")))))</f>
        <v>Lift</v>
      </c>
      <c r="BC623" s="55" t="str">
        <f aca="false">IF(AN623&lt;=0,"",IF(BU623="Aussen","Aussenlager",IF(BU623="-","Nicht im Lift",IF(AS623&gt;=1,"Lift",IF(AS623&lt;=0,"Aussenlager","teilweise")))))</f>
        <v>Aussenlager</v>
      </c>
      <c r="BD623" s="55" t="str">
        <f aca="false">IF(AV623&lt;=0,"",IF(BU623="Aussen","Aussenlager",IF(BU623="-","Nicht im Lift",IF(BA623&gt;=1,"Lift",IF(BA623&lt;=0,"Aussenlager","teilweise")))))</f>
        <v>Aussenlager</v>
      </c>
      <c r="BE623" s="55" t="str">
        <f aca="false">IF(A623="","",IF(BN623=1,"Neu; ","")&amp;IF(AND(BN623=0,BI623&lt;0),"negativer Bestand (Export "&amp;BI623&amp;"); ","")&amp;IF(I623&lt;=0,"Kein Verbrauch; ","")&amp;IF(CD623&gt;0,"Lift "&amp;U623&amp;" lt. Liftbericht (Fach "&amp;V623&amp;" Stk); ",IF(BR623=1,"Lose – Fläche geschätzt; ",""))&amp;IF(G623&gt;AP623,"Überbestand "&amp;ROUND(G623-AP623,0)&amp;" Stk / CHF "&amp;ROUND((G623-AP623)*F623,0)&amp;"; ","")&amp;IF(AND(BW623=1,BX623&lt;BY623),"MAX &lt; MB+LG; ","")&amp;IF(AND(CC623&gt;0,CB623*10&gt;CC623),"zu hoch für Tablar; ","")&amp;IF(AND(BN623=0,OR(BW623=1,Y623&lt;&gt;"",S623&lt;&gt;"",T623&lt;&gt;"",Z623&lt;&gt;"")),"manuell übersteuert; ","")&amp;IF(AND(BR623=0,Q623=0),"Gebinde unbekannt / Stellmass fehlt; ","")&amp;IF(AND(BR623=0,N(T623)&lt;=0,N(P623)&lt;=0),"Menge pro Gebinde fehlt (Ist = 1 Gebinde); ","")&amp;BM623)</f>
        <v>Kein Verbrauch; </v>
      </c>
      <c r="BF623" s="55"/>
      <c r="BG623" s="55"/>
      <c r="BH623" s="62"/>
      <c r="BI623" s="57" t="n">
        <v>4</v>
      </c>
      <c r="BJ623" s="57" t="n">
        <v>115</v>
      </c>
      <c r="BK623" s="56" t="n">
        <v>2.88</v>
      </c>
      <c r="BL623" s="57" t="n">
        <v>0</v>
      </c>
      <c r="BM623" s="55"/>
      <c r="BN623" s="60" t="n">
        <v>0</v>
      </c>
      <c r="BO623" s="60" t="n">
        <v>623</v>
      </c>
      <c r="BP623" s="55" t="str">
        <f aca="false">IF(S623&lt;&gt;"",UPPER(TRIM(S623)),IF(O623="","LOSE",O623))</f>
        <v>S32</v>
      </c>
      <c r="BQ623" s="57" t="n">
        <f aca="false">IF(BP623="LOSE",1,IF(N(T623)&gt;0,T623,IF(N(P623)&gt;0,P623,MAX(1,G623))))</f>
        <v>132</v>
      </c>
      <c r="BR623" s="60" t="n">
        <f aca="false">IF(BP623="LOSE",1,0)</f>
        <v>0</v>
      </c>
      <c r="BS623" s="59" t="n">
        <f aca="false">IF(BR623=0,0,IF(N(R623)&gt;0,R623,IFERROR(VLOOKUP(D623,Parameter!$A$35:$C$64,3,0)+0,0)))</f>
        <v>0</v>
      </c>
      <c r="BT623" s="55" t="n">
        <f aca="false">IF(Y623&lt;&gt;"",Y623,X623)</f>
        <v>3</v>
      </c>
      <c r="BU623" s="55" t="str">
        <f aca="false">IF(BT623=1,"L1",IF(OR(BT623=2,BT623=3),"L23",IF(BT623="Aussen","Aussen","-")))</f>
        <v>L23</v>
      </c>
      <c r="BV623" s="66" t="n">
        <f aca="false">IF(N(Z623)&gt;0,Z623,0)</f>
        <v>0</v>
      </c>
      <c r="BW623" s="60" t="n">
        <f aca="false">IF(ISNUMBER(AC623),1,0)</f>
        <v>0</v>
      </c>
      <c r="BX623" s="57" t="n">
        <f aca="false">N(AC623)</f>
        <v>0</v>
      </c>
      <c r="BY623" s="57" t="n">
        <f aca="false">N(L623)+N(M623)</f>
        <v>1</v>
      </c>
      <c r="BZ623" s="57" t="n">
        <f aca="false">ROUNDUP(G623/BQ623,0)</f>
        <v>1</v>
      </c>
      <c r="CA623" s="57" t="n">
        <f aca="false">ROUNDUP(BX623/BQ623,0)</f>
        <v>0</v>
      </c>
      <c r="CB623" s="60" t="n">
        <f aca="false">IF(BR623=1,0,IFERROR(VLOOKUP(BP623,'Gebinde-Kategorie'!$A$5:$M$45,5,0)+0,0))</f>
        <v>8</v>
      </c>
      <c r="CC623" s="60" t="n">
        <f aca="false">IFERROR(IF(OR(BT623=1,BT623=2,BT623=3),N(INDEX(Parameter!$I$5:$I$7,BT623)),0),0)</f>
        <v>0</v>
      </c>
      <c r="CD623" s="59" t="n">
        <f aca="false">IF(AND(Parameter!$B$21="Ja",ISNUMBER(U623),N(V623)&gt;0),IFERROR(N(INDEX(Parameter!$L$5:$L$7,U623))*INDEX(Parameter!$E$5:$E$7,U623)*V623/SUMIFS($V$7:$V$1576,$U$7:$U$1576,U623),0),0)</f>
        <v>0</v>
      </c>
    </row>
    <row r="624" customFormat="false" ht="15" hidden="false" customHeight="false" outlineLevel="0" collapsed="false">
      <c r="A624" s="55" t="s">
        <v>1271</v>
      </c>
      <c r="B624" s="55" t="s">
        <v>1251</v>
      </c>
      <c r="C624" s="55" t="s">
        <v>160</v>
      </c>
      <c r="D624" s="55" t="s">
        <v>178</v>
      </c>
      <c r="E624" s="55" t="s">
        <v>210</v>
      </c>
      <c r="F624" s="56" t="n">
        <v>0.05</v>
      </c>
      <c r="G624" s="57" t="n">
        <f aca="false">MAX(0,IF(AND(Parameter!$B$21="Ja",ISNUMBER(W624)),W624,IF(Parameter!$B$20="Jahresanfang 2025 + Export",BJ624+BI624,BI624)))</f>
        <v>56</v>
      </c>
      <c r="H624" s="57" t="n">
        <f aca="false">G624*F624</f>
        <v>2.8</v>
      </c>
      <c r="I624" s="57" t="n">
        <f aca="false">BL624*Parameter!$B$18</f>
        <v>0</v>
      </c>
      <c r="J624" s="58" t="n">
        <v>51.5</v>
      </c>
      <c r="K624" s="59" t="n">
        <v>0</v>
      </c>
      <c r="L624" s="57" t="n">
        <v>0</v>
      </c>
      <c r="M624" s="57" t="n">
        <v>25</v>
      </c>
      <c r="N624" s="60" t="n">
        <v>14</v>
      </c>
      <c r="O624" s="55" t="s">
        <v>391</v>
      </c>
      <c r="P624" s="57" t="n">
        <v>100</v>
      </c>
      <c r="Q624" s="60" t="n">
        <f aca="false">IF(BR624=1,0,IFERROR(VLOOKUP(BP624,'Gebinde-Kategorie'!$A$5:$M$45,13,0)+0,0))</f>
        <v>414</v>
      </c>
      <c r="R624" s="61"/>
      <c r="S624" s="62"/>
      <c r="T624" s="62"/>
      <c r="U624" s="55"/>
      <c r="V624" s="57"/>
      <c r="W624" s="57"/>
      <c r="X624" s="55" t="n">
        <f aca="false">IF(A624="","",IF(AND(Parameter!$B$21="Ja",ISNUMBER(U624)),U624,IF(IFERROR(VLOOKUP(D624,Parameter!$A$35:$C$64,2,0),"Nein")="2+3",IF(ISNUMBER(SEARCH("grosser Artikel",BM624)),2,IFERROR(VLOOKUP(BP624,Parameter!$F$35:$G$64,2,0),2)),IF(OR(IFERROR(VLOOKUP(D624,Parameter!$A$35:$C$64,2,0),"Nein")="Nein",IFERROR(VLOOKUP(D624,Parameter!$A$35:$C$64,2,0),"Nein")=""),"-",VLOOKUP(D624,Parameter!$A$35:$C$64,2,0)))))</f>
        <v>3</v>
      </c>
      <c r="Y624" s="62"/>
      <c r="Z624" s="63"/>
      <c r="AA624" s="57" t="n">
        <f aca="false">AP624</f>
        <v>100</v>
      </c>
      <c r="AB624" s="57" t="n">
        <f aca="false">MAX(AP624,G624)</f>
        <v>100</v>
      </c>
      <c r="AC624" s="64"/>
      <c r="AD624" s="57" t="n">
        <f aca="false">IF(LEFT(Cockpit!$C$5,1)="A",G624,IF(BW624=1,BX624,IF(LEFT(Cockpit!$C$5,1)="B",AH624,MAX(AH624,G624))))</f>
        <v>56</v>
      </c>
      <c r="AE624" s="57" t="n">
        <f aca="false">IF(BR624=1,0,ROUNDUP(AD624/BQ624,0))</f>
        <v>1</v>
      </c>
      <c r="AF624" s="59" t="n">
        <f aca="false">IF(CD624&gt;0,CD624*MAX(1,AD624/V624),IF(BR624=1,IF(AD624&lt;=0,0,BS624*MAX(1,IF(G624&gt;0,AD624/G624,1))),IF(Q624&gt;0,AE624/Q624,0))/MAX(0.1,N(Parameter!$M$21)))</f>
        <v>0.00241545893719807</v>
      </c>
      <c r="AG624" s="57" t="n">
        <f aca="false">AD624*F624</f>
        <v>2.8</v>
      </c>
      <c r="AH624" s="57" t="n">
        <f aca="false">ROUNDUP(MAX(I624/IF(BV624&gt;0,BV624,MAX(0.1,N(Cockpit!$C$6))),BY624)/BQ624,0)*BQ624</f>
        <v>100</v>
      </c>
      <c r="AI624" s="58" t="n">
        <f aca="false">IF(AF624&gt;0,I624/AF624,-1)</f>
        <v>0</v>
      </c>
      <c r="AJ624" s="58" t="n">
        <f aca="false">IF(AND(OR(BU624="L1",BU624="L23"),AF624&gt;0),SUMIFS($AF$7:$AF$1576,$BU$7:$BU$1576,BU624,$AI$7:$AI$1576,"&gt;"&amp;AI624)+SUMIFS($AF$7:$AF$1576,$BU$7:$BU$1576,BU624,$AI$7:$AI$1576,AI624,$BO$7:$BO$1576,"&lt;="&amp;BO624),"")</f>
        <v>44.8526181547921</v>
      </c>
      <c r="AK624" s="65" t="n">
        <f aca="false">IF(AJ624="",0,MAX(0,MIN(1,(IF(BU624="L1",Parameter!$E$5,Parameter!$E$6+Parameter!$E$7)-(AJ624-AF624))/AF624)))</f>
        <v>1</v>
      </c>
      <c r="AL624" s="57" t="n">
        <f aca="false">IF(LEFT(Cockpit!$I$5,1)="A",G624,IF(BW624=1,BX624,IF(LEFT(Cockpit!$I$5,1)="B",AP624,MAX(AP624,G624))))</f>
        <v>100</v>
      </c>
      <c r="AM624" s="57" t="n">
        <f aca="false">IF(BR624=1,0,ROUNDUP(AL624/BQ624,0))</f>
        <v>1</v>
      </c>
      <c r="AN624" s="59" t="n">
        <f aca="false">IF(CD624&gt;0,CD624*MAX(1,AL624/V624),IF(BR624=1,IF(AL624&lt;=0,0,BS624*MAX(1,IF(G624&gt;0,AL624/G624,1))),IF(Q624&gt;0,AM624/Q624,0))/MAX(0.1,N(Parameter!$M$21)))</f>
        <v>0.00241545893719807</v>
      </c>
      <c r="AO624" s="57" t="n">
        <f aca="false">AL624*F624</f>
        <v>5</v>
      </c>
      <c r="AP624" s="57" t="n">
        <f aca="false">ROUNDUP(MAX(I624/IF(BV624&gt;0,BV624,MAX(0.1,N(Cockpit!$I$6))),BY624)/BQ624,0)*BQ624</f>
        <v>100</v>
      </c>
      <c r="AQ624" s="58" t="n">
        <f aca="false">IF(AN624&gt;0,I624/AN624,-1)</f>
        <v>0</v>
      </c>
      <c r="AR624" s="58" t="n">
        <f aca="false">IF(AND(OR(BU624="L1",BU624="L23"),AN624&gt;0),SUMIFS($AN$7:$AN$1576,$BU$7:$BU$1576,BU624,$AQ$7:$AQ$1576,"&gt;"&amp;AQ624)+SUMIFS($AN$7:$AN$1576,$BU$7:$BU$1576,BU624,$AQ$7:$AQ$1576,AQ624,$BO$7:$BO$1576,"&lt;="&amp;BO624),"")</f>
        <v>127.919290636947</v>
      </c>
      <c r="AS624" s="65" t="n">
        <f aca="false">IF(AR624="",0,MAX(0,MIN(1,(IF(BU624="L1",Parameter!$E$5,Parameter!$E$6+Parameter!$E$7)-(AR624-AN624))/AN624)))</f>
        <v>0</v>
      </c>
      <c r="AT624" s="57" t="n">
        <f aca="false">IF(LEFT(Cockpit!$O$5,1)="A",G624,IF(BW624=1,BX624,IF(LEFT(Cockpit!$O$5,1)="B",AX624,MAX(AX624,G624))))</f>
        <v>100</v>
      </c>
      <c r="AU624" s="57" t="n">
        <f aca="false">IF(BR624=1,0,ROUNDUP(AT624/BQ624,0))</f>
        <v>1</v>
      </c>
      <c r="AV624" s="59" t="n">
        <f aca="false">IF(CD624&gt;0,CD624*MAX(1,AT624/V624),IF(BR624=1,IF(AT624&lt;=0,0,BS624*MAX(1,IF(G624&gt;0,AT624/G624,1))),IF(Q624&gt;0,AU624/Q624,0))/MAX(0.1,N(Parameter!$M$21)))</f>
        <v>0.00241545893719807</v>
      </c>
      <c r="AW624" s="57" t="n">
        <f aca="false">AT624*F624</f>
        <v>5</v>
      </c>
      <c r="AX624" s="57" t="n">
        <f aca="false">ROUNDUP(MAX(I624/IF(BV624&gt;0,BV624,MAX(0.1,N(Cockpit!$O$6))),BY624)/BQ624,0)*BQ624</f>
        <v>100</v>
      </c>
      <c r="AY624" s="58" t="n">
        <f aca="false">IF(AV624&gt;0,I624/AV624,-1)</f>
        <v>0</v>
      </c>
      <c r="AZ624" s="58" t="n">
        <f aca="false">IF(AND(OR(BU624="L1",BU624="L23"),AV624&gt;0),SUMIFS($AV$7:$AV$1576,$BU$7:$BU$1576,BU624,$AY$7:$AY$1576,"&gt;"&amp;AY624)+SUMIFS($AV$7:$AV$1576,$BU$7:$BU$1576,BU624,$AY$7:$AY$1576,AY624,$BO$7:$BO$1576,"&lt;="&amp;BO624),"")</f>
        <v>117.978841086497</v>
      </c>
      <c r="BA624" s="65" t="n">
        <f aca="false">IF(AZ624="",0,MAX(0,MIN(1,(IF(BU624="L1",Parameter!$E$5,Parameter!$E$6+Parameter!$E$7)-(AZ624-AV624))/AV624)))</f>
        <v>0</v>
      </c>
      <c r="BB624" s="55" t="str">
        <f aca="false">IF(AF624&lt;=0,"",IF(BU624="Aussen","Aussenlager",IF(BU624="-","Nicht im Lift",IF(AK624&gt;=1,"Lift",IF(AK624&lt;=0,"Aussenlager","teilweise")))))</f>
        <v>Lift</v>
      </c>
      <c r="BC624" s="55" t="str">
        <f aca="false">IF(AN624&lt;=0,"",IF(BU624="Aussen","Aussenlager",IF(BU624="-","Nicht im Lift",IF(AS624&gt;=1,"Lift",IF(AS624&lt;=0,"Aussenlager","teilweise")))))</f>
        <v>Aussenlager</v>
      </c>
      <c r="BD624" s="55" t="str">
        <f aca="false">IF(AV624&lt;=0,"",IF(BU624="Aussen","Aussenlager",IF(BU624="-","Nicht im Lift",IF(BA624&gt;=1,"Lift",IF(BA624&lt;=0,"Aussenlager","teilweise")))))</f>
        <v>Aussenlager</v>
      </c>
      <c r="BE624" s="55" t="str">
        <f aca="false">IF(A624="","",IF(BN624=1,"Neu; ","")&amp;IF(AND(BN624=0,BI624&lt;0),"negativer Bestand (Export "&amp;BI624&amp;"); ","")&amp;IF(I624&lt;=0,"Kein Verbrauch; ","")&amp;IF(CD624&gt;0,"Lift "&amp;U624&amp;" lt. Liftbericht (Fach "&amp;V624&amp;" Stk); ",IF(BR624=1,"Lose – Fläche geschätzt; ",""))&amp;IF(G624&gt;AP624,"Überbestand "&amp;ROUND(G624-AP624,0)&amp;" Stk / CHF "&amp;ROUND((G624-AP624)*F624,0)&amp;"; ","")&amp;IF(AND(BW624=1,BX624&lt;BY624),"MAX &lt; MB+LG; ","")&amp;IF(AND(CC624&gt;0,CB624*10&gt;CC624),"zu hoch für Tablar; ","")&amp;IF(AND(BN624=0,OR(BW624=1,Y624&lt;&gt;"",S624&lt;&gt;"",T624&lt;&gt;"",Z624&lt;&gt;"")),"manuell übersteuert; ","")&amp;IF(AND(BR624=0,Q624=0),"Gebinde unbekannt / Stellmass fehlt; ","")&amp;IF(AND(BR624=0,N(T624)&lt;=0,N(P624)&lt;=0),"Menge pro Gebinde fehlt (Ist = 1 Gebinde); ","")&amp;BM624)</f>
        <v>Kein Verbrauch; </v>
      </c>
      <c r="BF624" s="55"/>
      <c r="BG624" s="55"/>
      <c r="BH624" s="62"/>
      <c r="BI624" s="57" t="n">
        <v>56</v>
      </c>
      <c r="BJ624" s="57" t="n">
        <v>10</v>
      </c>
      <c r="BK624" s="56" t="n">
        <v>2.8</v>
      </c>
      <c r="BL624" s="57" t="n">
        <v>0</v>
      </c>
      <c r="BM624" s="55"/>
      <c r="BN624" s="60" t="n">
        <v>0</v>
      </c>
      <c r="BO624" s="60" t="n">
        <v>624</v>
      </c>
      <c r="BP624" s="55" t="str">
        <f aca="false">IF(S624&lt;&gt;"",UPPER(TRIM(S624)),IF(O624="","LOSE",O624))</f>
        <v>S21</v>
      </c>
      <c r="BQ624" s="57" t="n">
        <f aca="false">IF(BP624="LOSE",1,IF(N(T624)&gt;0,T624,IF(N(P624)&gt;0,P624,MAX(1,G624))))</f>
        <v>100</v>
      </c>
      <c r="BR624" s="60" t="n">
        <f aca="false">IF(BP624="LOSE",1,0)</f>
        <v>0</v>
      </c>
      <c r="BS624" s="59" t="n">
        <f aca="false">IF(BR624=0,0,IF(N(R624)&gt;0,R624,IFERROR(VLOOKUP(D624,Parameter!$A$35:$C$64,3,0)+0,0)))</f>
        <v>0</v>
      </c>
      <c r="BT624" s="55" t="n">
        <f aca="false">IF(Y624&lt;&gt;"",Y624,X624)</f>
        <v>3</v>
      </c>
      <c r="BU624" s="55" t="str">
        <f aca="false">IF(BT624=1,"L1",IF(OR(BT624=2,BT624=3),"L23",IF(BT624="Aussen","Aussen","-")))</f>
        <v>L23</v>
      </c>
      <c r="BV624" s="66" t="n">
        <f aca="false">IF(N(Z624)&gt;0,Z624,0)</f>
        <v>0</v>
      </c>
      <c r="BW624" s="60" t="n">
        <f aca="false">IF(ISNUMBER(AC624),1,0)</f>
        <v>0</v>
      </c>
      <c r="BX624" s="57" t="n">
        <f aca="false">N(AC624)</f>
        <v>0</v>
      </c>
      <c r="BY624" s="57" t="n">
        <f aca="false">N(L624)+N(M624)</f>
        <v>25</v>
      </c>
      <c r="BZ624" s="57" t="n">
        <f aca="false">ROUNDUP(G624/BQ624,0)</f>
        <v>1</v>
      </c>
      <c r="CA624" s="57" t="n">
        <f aca="false">ROUNDUP(BX624/BQ624,0)</f>
        <v>0</v>
      </c>
      <c r="CB624" s="60" t="n">
        <f aca="false">IF(BR624=1,0,IFERROR(VLOOKUP(BP624,'Gebinde-Kategorie'!$A$5:$M$45,5,0)+0,0))</f>
        <v>8</v>
      </c>
      <c r="CC624" s="60" t="n">
        <f aca="false">IFERROR(IF(OR(BT624=1,BT624=2,BT624=3),N(INDEX(Parameter!$I$5:$I$7,BT624)),0),0)</f>
        <v>0</v>
      </c>
      <c r="CD624" s="59" t="n">
        <f aca="false">IF(AND(Parameter!$B$21="Ja",ISNUMBER(U624),N(V624)&gt;0),IFERROR(N(INDEX(Parameter!$L$5:$L$7,U624))*INDEX(Parameter!$E$5:$E$7,U624)*V624/SUMIFS($V$7:$V$1576,$U$7:$U$1576,U624),0),0)</f>
        <v>0</v>
      </c>
    </row>
    <row r="625" customFormat="false" ht="15" hidden="false" customHeight="false" outlineLevel="0" collapsed="false">
      <c r="A625" s="55" t="s">
        <v>1272</v>
      </c>
      <c r="B625" s="55" t="s">
        <v>938</v>
      </c>
      <c r="C625" s="55" t="s">
        <v>160</v>
      </c>
      <c r="D625" s="55" t="s">
        <v>984</v>
      </c>
      <c r="E625" s="55" t="s">
        <v>210</v>
      </c>
      <c r="F625" s="56" t="n">
        <v>0.54</v>
      </c>
      <c r="G625" s="57" t="n">
        <f aca="false">MAX(0,IF(AND(Parameter!$B$21="Ja",ISNUMBER(W625)),W625,IF(Parameter!$B$20="Jahresanfang 2025 + Export",BJ625+BI625,BI625)))</f>
        <v>4</v>
      </c>
      <c r="H625" s="57" t="n">
        <f aca="false">G625*F625</f>
        <v>2.16</v>
      </c>
      <c r="I625" s="57" t="n">
        <f aca="false">BL625*Parameter!$B$18</f>
        <v>96</v>
      </c>
      <c r="J625" s="58" t="n">
        <v>2</v>
      </c>
      <c r="K625" s="59" t="n">
        <v>48</v>
      </c>
      <c r="L625" s="57" t="n">
        <v>0</v>
      </c>
      <c r="M625" s="57" t="n">
        <v>100</v>
      </c>
      <c r="N625" s="60" t="n">
        <v>21</v>
      </c>
      <c r="O625" s="55" t="s">
        <v>163</v>
      </c>
      <c r="P625" s="57"/>
      <c r="Q625" s="60" t="n">
        <f aca="false">IF(BR625=1,0,IFERROR(VLOOKUP(BP625,'Gebinde-Kategorie'!$A$5:$M$45,13,0)+0,0))</f>
        <v>0</v>
      </c>
      <c r="R625" s="61"/>
      <c r="S625" s="62"/>
      <c r="T625" s="62"/>
      <c r="U625" s="55"/>
      <c r="V625" s="57"/>
      <c r="W625" s="57"/>
      <c r="X625" s="55" t="str">
        <f aca="false">IF(A625="","",IF(AND(Parameter!$B$21="Ja",ISNUMBER(U625)),U625,IF(IFERROR(VLOOKUP(D625,Parameter!$A$35:$C$64,2,0),"Nein")="2+3",IF(ISNUMBER(SEARCH("grosser Artikel",BM625)),2,IFERROR(VLOOKUP(BP625,Parameter!$F$35:$G$64,2,0),2)),IF(OR(IFERROR(VLOOKUP(D625,Parameter!$A$35:$C$64,2,0),"Nein")="Nein",IFERROR(VLOOKUP(D625,Parameter!$A$35:$C$64,2,0),"Nein")=""),"-",VLOOKUP(D625,Parameter!$A$35:$C$64,2,0)))))</f>
        <v>-</v>
      </c>
      <c r="Y625" s="62"/>
      <c r="Z625" s="63"/>
      <c r="AA625" s="57" t="n">
        <f aca="false">AP625</f>
        <v>100</v>
      </c>
      <c r="AB625" s="57" t="n">
        <f aca="false">MAX(AP625,G625)</f>
        <v>100</v>
      </c>
      <c r="AC625" s="64"/>
      <c r="AD625" s="57" t="n">
        <f aca="false">IF(LEFT(Cockpit!$C$5,1)="A",G625,IF(BW625=1,BX625,IF(LEFT(Cockpit!$C$5,1)="B",AH625,MAX(AH625,G625))))</f>
        <v>4</v>
      </c>
      <c r="AE625" s="57" t="n">
        <f aca="false">IF(BR625=1,0,ROUNDUP(AD625/BQ625,0))</f>
        <v>0</v>
      </c>
      <c r="AF625" s="59" t="n">
        <f aca="false">IF(CD625&gt;0,CD625*MAX(1,AD625/V625),IF(BR625=1,IF(AD625&lt;=0,0,BS625*MAX(1,IF(G625&gt;0,AD625/G625,1))),IF(Q625&gt;0,AE625/Q625,0))/MAX(0.1,N(Parameter!$M$21)))</f>
        <v>0.15</v>
      </c>
      <c r="AG625" s="57" t="n">
        <f aca="false">AD625*F625</f>
        <v>2.16</v>
      </c>
      <c r="AH625" s="57" t="n">
        <f aca="false">ROUNDUP(MAX(I625/IF(BV625&gt;0,BV625,MAX(0.1,N(Cockpit!$C$6))),BY625)/BQ625,0)*BQ625</f>
        <v>100</v>
      </c>
      <c r="AI625" s="58" t="n">
        <f aca="false">IF(AF625&gt;0,I625/AF625,-1)</f>
        <v>640</v>
      </c>
      <c r="AJ625" s="58" t="str">
        <f aca="false">IF(AND(OR(BU625="L1",BU625="L23"),AF625&gt;0),SUMIFS($AF$7:$AF$1576,$BU$7:$BU$1576,BU625,$AI$7:$AI$1576,"&gt;"&amp;AI625)+SUMIFS($AF$7:$AF$1576,$BU$7:$BU$1576,BU625,$AI$7:$AI$1576,AI625,$BO$7:$BO$1576,"&lt;="&amp;BO625),"")</f>
        <v/>
      </c>
      <c r="AK625" s="65" t="n">
        <f aca="false">IF(AJ625="",0,MAX(0,MIN(1,(IF(BU625="L1",Parameter!$E$5,Parameter!$E$6+Parameter!$E$7)-(AJ625-AF625))/AF625)))</f>
        <v>0</v>
      </c>
      <c r="AL625" s="57" t="n">
        <f aca="false">IF(LEFT(Cockpit!$I$5,1)="A",G625,IF(BW625=1,BX625,IF(LEFT(Cockpit!$I$5,1)="B",AP625,MAX(AP625,G625))))</f>
        <v>100</v>
      </c>
      <c r="AM625" s="57" t="n">
        <f aca="false">IF(BR625=1,0,ROUNDUP(AL625/BQ625,0))</f>
        <v>0</v>
      </c>
      <c r="AN625" s="59" t="n">
        <f aca="false">IF(CD625&gt;0,CD625*MAX(1,AL625/V625),IF(BR625=1,IF(AL625&lt;=0,0,BS625*MAX(1,IF(G625&gt;0,AL625/G625,1))),IF(Q625&gt;0,AM625/Q625,0))/MAX(0.1,N(Parameter!$M$21)))</f>
        <v>3.75</v>
      </c>
      <c r="AO625" s="57" t="n">
        <f aca="false">AL625*F625</f>
        <v>54</v>
      </c>
      <c r="AP625" s="57" t="n">
        <f aca="false">ROUNDUP(MAX(I625/IF(BV625&gt;0,BV625,MAX(0.1,N(Cockpit!$I$6))),BY625)/BQ625,0)*BQ625</f>
        <v>100</v>
      </c>
      <c r="AQ625" s="58" t="n">
        <f aca="false">IF(AN625&gt;0,I625/AN625,-1)</f>
        <v>25.6</v>
      </c>
      <c r="AR625" s="58" t="str">
        <f aca="false">IF(AND(OR(BU625="L1",BU625="L23"),AN625&gt;0),SUMIFS($AN$7:$AN$1576,$BU$7:$BU$1576,BU625,$AQ$7:$AQ$1576,"&gt;"&amp;AQ625)+SUMIFS($AN$7:$AN$1576,$BU$7:$BU$1576,BU625,$AQ$7:$AQ$1576,AQ625,$BO$7:$BO$1576,"&lt;="&amp;BO625),"")</f>
        <v/>
      </c>
      <c r="AS625" s="65" t="n">
        <f aca="false">IF(AR625="",0,MAX(0,MIN(1,(IF(BU625="L1",Parameter!$E$5,Parameter!$E$6+Parameter!$E$7)-(AR625-AN625))/AN625)))</f>
        <v>0</v>
      </c>
      <c r="AT625" s="57" t="n">
        <f aca="false">IF(LEFT(Cockpit!$O$5,1)="A",G625,IF(BW625=1,BX625,IF(LEFT(Cockpit!$O$5,1)="B",AX625,MAX(AX625,G625))))</f>
        <v>100</v>
      </c>
      <c r="AU625" s="57" t="n">
        <f aca="false">IF(BR625=1,0,ROUNDUP(AT625/BQ625,0))</f>
        <v>0</v>
      </c>
      <c r="AV625" s="59" t="n">
        <f aca="false">IF(CD625&gt;0,CD625*MAX(1,AT625/V625),IF(BR625=1,IF(AT625&lt;=0,0,BS625*MAX(1,IF(G625&gt;0,AT625/G625,1))),IF(Q625&gt;0,AU625/Q625,0))/MAX(0.1,N(Parameter!$M$21)))</f>
        <v>3.75</v>
      </c>
      <c r="AW625" s="57" t="n">
        <f aca="false">AT625*F625</f>
        <v>54</v>
      </c>
      <c r="AX625" s="57" t="n">
        <f aca="false">ROUNDUP(MAX(I625/IF(BV625&gt;0,BV625,MAX(0.1,N(Cockpit!$O$6))),BY625)/BQ625,0)*BQ625</f>
        <v>100</v>
      </c>
      <c r="AY625" s="58" t="n">
        <f aca="false">IF(AV625&gt;0,I625/AV625,-1)</f>
        <v>25.6</v>
      </c>
      <c r="AZ625" s="58" t="str">
        <f aca="false">IF(AND(OR(BU625="L1",BU625="L23"),AV625&gt;0),SUMIFS($AV$7:$AV$1576,$BU$7:$BU$1576,BU625,$AY$7:$AY$1576,"&gt;"&amp;AY625)+SUMIFS($AV$7:$AV$1576,$BU$7:$BU$1576,BU625,$AY$7:$AY$1576,AY625,$BO$7:$BO$1576,"&lt;="&amp;BO625),"")</f>
        <v/>
      </c>
      <c r="BA625" s="65" t="n">
        <f aca="false">IF(AZ625="",0,MAX(0,MIN(1,(IF(BU625="L1",Parameter!$E$5,Parameter!$E$6+Parameter!$E$7)-(AZ625-AV625))/AV625)))</f>
        <v>0</v>
      </c>
      <c r="BB625" s="55" t="str">
        <f aca="false">IF(AF625&lt;=0,"",IF(BU625="Aussen","Aussenlager",IF(BU625="-","Nicht im Lift",IF(AK625&gt;=1,"Lift",IF(AK625&lt;=0,"Aussenlager","teilweise")))))</f>
        <v>Nicht im Lift</v>
      </c>
      <c r="BC625" s="55" t="str">
        <f aca="false">IF(AN625&lt;=0,"",IF(BU625="Aussen","Aussenlager",IF(BU625="-","Nicht im Lift",IF(AS625&gt;=1,"Lift",IF(AS625&lt;=0,"Aussenlager","teilweise")))))</f>
        <v>Nicht im Lift</v>
      </c>
      <c r="BD625" s="55" t="str">
        <f aca="false">IF(AV625&lt;=0,"",IF(BU625="Aussen","Aussenlager",IF(BU625="-","Nicht im Lift",IF(BA625&gt;=1,"Lift",IF(BA625&lt;=0,"Aussenlager","teilweise")))))</f>
        <v>Nicht im Lift</v>
      </c>
      <c r="BE625" s="55" t="str">
        <f aca="false">IF(A625="","",IF(BN625=1,"Neu; ","")&amp;IF(AND(BN625=0,BI625&lt;0),"negativer Bestand (Export "&amp;BI625&amp;"); ","")&amp;IF(I625&lt;=0,"Kein Verbrauch; ","")&amp;IF(CD625&gt;0,"Lift "&amp;U625&amp;" lt. Liftbericht (Fach "&amp;V625&amp;" Stk); ",IF(BR625=1,"Lose – Fläche geschätzt; ",""))&amp;IF(G625&gt;AP625,"Überbestand "&amp;ROUND(G625-AP625,0)&amp;" Stk / CHF "&amp;ROUND((G625-AP625)*F625,0)&amp;"; ","")&amp;IF(AND(BW625=1,BX625&lt;BY625),"MAX &lt; MB+LG; ","")&amp;IF(AND(CC625&gt;0,CB625*10&gt;CC625),"zu hoch für Tablar; ","")&amp;IF(AND(BN625=0,OR(BW625=1,Y625&lt;&gt;"",S625&lt;&gt;"",T625&lt;&gt;"",Z625&lt;&gt;"")),"manuell übersteuert; ","")&amp;IF(AND(BR625=0,Q625=0),"Gebinde unbekannt / Stellmass fehlt; ","")&amp;IF(AND(BR625=0,N(T625)&lt;=0,N(P625)&lt;=0),"Menge pro Gebinde fehlt (Ist = 1 Gebinde); ","")&amp;BM625)</f>
        <v>Lose – Fläche geschätzt; </v>
      </c>
      <c r="BF625" s="55"/>
      <c r="BG625" s="55"/>
      <c r="BH625" s="62"/>
      <c r="BI625" s="57" t="n">
        <v>4</v>
      </c>
      <c r="BJ625" s="57" t="n">
        <v>0</v>
      </c>
      <c r="BK625" s="56" t="n">
        <v>2.16</v>
      </c>
      <c r="BL625" s="57" t="n">
        <v>96</v>
      </c>
      <c r="BM625" s="55"/>
      <c r="BN625" s="60" t="n">
        <v>0</v>
      </c>
      <c r="BO625" s="60" t="n">
        <v>625</v>
      </c>
      <c r="BP625" s="55" t="str">
        <f aca="false">IF(S625&lt;&gt;"",UPPER(TRIM(S625)),IF(O625="","LOSE",O625))</f>
        <v>LOSE</v>
      </c>
      <c r="BQ625" s="57" t="n">
        <f aca="false">IF(BP625="LOSE",1,IF(N(T625)&gt;0,T625,IF(N(P625)&gt;0,P625,MAX(1,G625))))</f>
        <v>1</v>
      </c>
      <c r="BR625" s="60" t="n">
        <f aca="false">IF(BP625="LOSE",1,0)</f>
        <v>1</v>
      </c>
      <c r="BS625" s="59" t="n">
        <f aca="false">IF(BR625=0,0,IF(N(R625)&gt;0,R625,IFERROR(VLOOKUP(D625,Parameter!$A$35:$C$64,3,0)+0,0)))</f>
        <v>0.15</v>
      </c>
      <c r="BT625" s="55" t="str">
        <f aca="false">IF(Y625&lt;&gt;"",Y625,X625)</f>
        <v>-</v>
      </c>
      <c r="BU625" s="55" t="str">
        <f aca="false">IF(BT625=1,"L1",IF(OR(BT625=2,BT625=3),"L23",IF(BT625="Aussen","Aussen","-")))</f>
        <v>-</v>
      </c>
      <c r="BV625" s="66" t="n">
        <f aca="false">IF(N(Z625)&gt;0,Z625,0)</f>
        <v>0</v>
      </c>
      <c r="BW625" s="60" t="n">
        <f aca="false">IF(ISNUMBER(AC625),1,0)</f>
        <v>0</v>
      </c>
      <c r="BX625" s="57" t="n">
        <f aca="false">N(AC625)</f>
        <v>0</v>
      </c>
      <c r="BY625" s="57" t="n">
        <f aca="false">N(L625)+N(M625)</f>
        <v>100</v>
      </c>
      <c r="BZ625" s="57" t="n">
        <f aca="false">ROUNDUP(G625/BQ625,0)</f>
        <v>4</v>
      </c>
      <c r="CA625" s="57" t="n">
        <f aca="false">ROUNDUP(BX625/BQ625,0)</f>
        <v>0</v>
      </c>
      <c r="CB625" s="60" t="n">
        <f aca="false">IF(BR625=1,0,IFERROR(VLOOKUP(BP625,'Gebinde-Kategorie'!$A$5:$M$45,5,0)+0,0))</f>
        <v>0</v>
      </c>
      <c r="CC625" s="60" t="n">
        <f aca="false">IFERROR(IF(OR(BT625=1,BT625=2,BT625=3),N(INDEX(Parameter!$I$5:$I$7,BT625)),0),0)</f>
        <v>0</v>
      </c>
      <c r="CD625" s="59" t="n">
        <f aca="false">IF(AND(Parameter!$B$21="Ja",ISNUMBER(U625),N(V625)&gt;0),IFERROR(N(INDEX(Parameter!$L$5:$L$7,U625))*INDEX(Parameter!$E$5:$E$7,U625)*V625/SUMIFS($V$7:$V$1576,$U$7:$U$1576,U625),0),0)</f>
        <v>0</v>
      </c>
    </row>
    <row r="626" customFormat="false" ht="15" hidden="false" customHeight="false" outlineLevel="0" collapsed="false">
      <c r="A626" s="55" t="s">
        <v>1273</v>
      </c>
      <c r="B626" s="55" t="s">
        <v>938</v>
      </c>
      <c r="C626" s="55" t="s">
        <v>160</v>
      </c>
      <c r="D626" s="55" t="s">
        <v>178</v>
      </c>
      <c r="E626" s="55" t="s">
        <v>210</v>
      </c>
      <c r="F626" s="56" t="n">
        <v>0.01</v>
      </c>
      <c r="G626" s="57" t="n">
        <f aca="false">MAX(0,IF(AND(Parameter!$B$21="Ja",ISNUMBER(W626)),W626,IF(Parameter!$B$20="Jahresanfang 2025 + Export",BJ626+BI626,BI626)))</f>
        <v>200</v>
      </c>
      <c r="H626" s="57" t="n">
        <f aca="false">G626*F626</f>
        <v>2</v>
      </c>
      <c r="I626" s="57" t="n">
        <f aca="false">BL626*Parameter!$B$18</f>
        <v>604</v>
      </c>
      <c r="J626" s="58" t="n">
        <v>3704</v>
      </c>
      <c r="K626" s="59" t="n">
        <v>0.163066954643629</v>
      </c>
      <c r="L626" s="57" t="n">
        <v>35</v>
      </c>
      <c r="M626" s="57" t="n">
        <v>605</v>
      </c>
      <c r="N626" s="60" t="n">
        <v>21</v>
      </c>
      <c r="O626" s="55" t="s">
        <v>465</v>
      </c>
      <c r="P626" s="57" t="n">
        <v>6007</v>
      </c>
      <c r="Q626" s="60" t="n">
        <f aca="false">IF(BR626=1,0,IFERROR(VLOOKUP(BP626,'Gebinde-Kategorie'!$A$5:$M$45,13,0)+0,0))</f>
        <v>66</v>
      </c>
      <c r="R626" s="61"/>
      <c r="S626" s="62"/>
      <c r="T626" s="62"/>
      <c r="U626" s="55"/>
      <c r="V626" s="57"/>
      <c r="W626" s="57"/>
      <c r="X626" s="55" t="n">
        <f aca="false">IF(A626="","",IF(AND(Parameter!$B$21="Ja",ISNUMBER(U626)),U626,IF(IFERROR(VLOOKUP(D626,Parameter!$A$35:$C$64,2,0),"Nein")="2+3",IF(ISNUMBER(SEARCH("grosser Artikel",BM626)),2,IFERROR(VLOOKUP(BP626,Parameter!$F$35:$G$64,2,0),2)),IF(OR(IFERROR(VLOOKUP(D626,Parameter!$A$35:$C$64,2,0),"Nein")="Nein",IFERROR(VLOOKUP(D626,Parameter!$A$35:$C$64,2,0),"Nein")=""),"-",VLOOKUP(D626,Parameter!$A$35:$C$64,2,0)))))</f>
        <v>3</v>
      </c>
      <c r="Y626" s="62"/>
      <c r="Z626" s="63"/>
      <c r="AA626" s="57" t="n">
        <f aca="false">AP626</f>
        <v>6007</v>
      </c>
      <c r="AB626" s="57" t="n">
        <f aca="false">MAX(AP626,G626)</f>
        <v>6007</v>
      </c>
      <c r="AC626" s="64"/>
      <c r="AD626" s="57" t="n">
        <f aca="false">IF(LEFT(Cockpit!$C$5,1)="A",G626,IF(BW626=1,BX626,IF(LEFT(Cockpit!$C$5,1)="B",AH626,MAX(AH626,G626))))</f>
        <v>200</v>
      </c>
      <c r="AE626" s="57" t="n">
        <f aca="false">IF(BR626=1,0,ROUNDUP(AD626/BQ626,0))</f>
        <v>1</v>
      </c>
      <c r="AF626" s="59" t="n">
        <f aca="false">IF(CD626&gt;0,CD626*MAX(1,AD626/V626),IF(BR626=1,IF(AD626&lt;=0,0,BS626*MAX(1,IF(G626&gt;0,AD626/G626,1))),IF(Q626&gt;0,AE626/Q626,0))/MAX(0.1,N(Parameter!$M$21)))</f>
        <v>0.0151515151515152</v>
      </c>
      <c r="AG626" s="57" t="n">
        <f aca="false">AD626*F626</f>
        <v>2</v>
      </c>
      <c r="AH626" s="57" t="n">
        <f aca="false">ROUNDUP(MAX(I626/IF(BV626&gt;0,BV626,MAX(0.1,N(Cockpit!$C$6))),BY626)/BQ626,0)*BQ626</f>
        <v>6007</v>
      </c>
      <c r="AI626" s="58" t="n">
        <f aca="false">IF(AF626&gt;0,I626/AF626,-1)</f>
        <v>39864</v>
      </c>
      <c r="AJ626" s="58" t="n">
        <f aca="false">IF(AND(OR(BU626="L1",BU626="L23"),AF626&gt;0),SUMIFS($AF$7:$AF$1576,$BU$7:$BU$1576,BU626,$AI$7:$AI$1576,"&gt;"&amp;AI626)+SUMIFS($AF$7:$AF$1576,$BU$7:$BU$1576,BU626,$AI$7:$AI$1576,AI626,$BO$7:$BO$1576,"&lt;="&amp;BO626),"")</f>
        <v>1.17822033039424</v>
      </c>
      <c r="AK626" s="65" t="n">
        <f aca="false">IF(AJ626="",0,MAX(0,MIN(1,(IF(BU626="L1",Parameter!$E$5,Parameter!$E$6+Parameter!$E$7)-(AJ626-AF626))/AF626)))</f>
        <v>1</v>
      </c>
      <c r="AL626" s="57" t="n">
        <f aca="false">IF(LEFT(Cockpit!$I$5,1)="A",G626,IF(BW626=1,BX626,IF(LEFT(Cockpit!$I$5,1)="B",AP626,MAX(AP626,G626))))</f>
        <v>6007</v>
      </c>
      <c r="AM626" s="57" t="n">
        <f aca="false">IF(BR626=1,0,ROUNDUP(AL626/BQ626,0))</f>
        <v>1</v>
      </c>
      <c r="AN626" s="59" t="n">
        <f aca="false">IF(CD626&gt;0,CD626*MAX(1,AL626/V626),IF(BR626=1,IF(AL626&lt;=0,0,BS626*MAX(1,IF(G626&gt;0,AL626/G626,1))),IF(Q626&gt;0,AM626/Q626,0))/MAX(0.1,N(Parameter!$M$21)))</f>
        <v>0.0151515151515152</v>
      </c>
      <c r="AO626" s="57" t="n">
        <f aca="false">AL626*F626</f>
        <v>60.07</v>
      </c>
      <c r="AP626" s="57" t="n">
        <f aca="false">ROUNDUP(MAX(I626/IF(BV626&gt;0,BV626,MAX(0.1,N(Cockpit!$I$6))),BY626)/BQ626,0)*BQ626</f>
        <v>6007</v>
      </c>
      <c r="AQ626" s="58" t="n">
        <f aca="false">IF(AN626&gt;0,I626/AN626,-1)</f>
        <v>39864</v>
      </c>
      <c r="AR626" s="58" t="n">
        <f aca="false">IF(AND(OR(BU626="L1",BU626="L23"),AN626&gt;0),SUMIFS($AN$7:$AN$1576,$BU$7:$BU$1576,BU626,$AQ$7:$AQ$1576,"&gt;"&amp;AQ626)+SUMIFS($AN$7:$AN$1576,$BU$7:$BU$1576,BU626,$AQ$7:$AQ$1576,AQ626,$BO$7:$BO$1576,"&lt;="&amp;BO626),"")</f>
        <v>1.85278639235161</v>
      </c>
      <c r="AS626" s="65" t="n">
        <f aca="false">IF(AR626="",0,MAX(0,MIN(1,(IF(BU626="L1",Parameter!$E$5,Parameter!$E$6+Parameter!$E$7)-(AR626-AN626))/AN626)))</f>
        <v>1</v>
      </c>
      <c r="AT626" s="57" t="n">
        <f aca="false">IF(LEFT(Cockpit!$O$5,1)="A",G626,IF(BW626=1,BX626,IF(LEFT(Cockpit!$O$5,1)="B",AX626,MAX(AX626,G626))))</f>
        <v>6007</v>
      </c>
      <c r="AU626" s="57" t="n">
        <f aca="false">IF(BR626=1,0,ROUNDUP(AT626/BQ626,0))</f>
        <v>1</v>
      </c>
      <c r="AV626" s="59" t="n">
        <f aca="false">IF(CD626&gt;0,CD626*MAX(1,AT626/V626),IF(BR626=1,IF(AT626&lt;=0,0,BS626*MAX(1,IF(G626&gt;0,AT626/G626,1))),IF(Q626&gt;0,AU626/Q626,0))/MAX(0.1,N(Parameter!$M$21)))</f>
        <v>0.0151515151515152</v>
      </c>
      <c r="AW626" s="57" t="n">
        <f aca="false">AT626*F626</f>
        <v>60.07</v>
      </c>
      <c r="AX626" s="57" t="n">
        <f aca="false">ROUNDUP(MAX(I626/IF(BV626&gt;0,BV626,MAX(0.1,N(Cockpit!$O$6))),BY626)/BQ626,0)*BQ626</f>
        <v>6007</v>
      </c>
      <c r="AY626" s="58" t="n">
        <f aca="false">IF(AV626&gt;0,I626/AV626,-1)</f>
        <v>39864</v>
      </c>
      <c r="AZ626" s="58" t="n">
        <f aca="false">IF(AND(OR(BU626="L1",BU626="L23"),AV626&gt;0),SUMIFS($AV$7:$AV$1576,$BU$7:$BU$1576,BU626,$AY$7:$AY$1576,"&gt;"&amp;AY626)+SUMIFS($AV$7:$AV$1576,$BU$7:$BU$1576,BU626,$AY$7:$AY$1576,AY626,$BO$7:$BO$1576,"&lt;="&amp;BO626),"")</f>
        <v>2.17446471402993</v>
      </c>
      <c r="BA626" s="65" t="n">
        <f aca="false">IF(AZ626="",0,MAX(0,MIN(1,(IF(BU626="L1",Parameter!$E$5,Parameter!$E$6+Parameter!$E$7)-(AZ626-AV626))/AV626)))</f>
        <v>1</v>
      </c>
      <c r="BB626" s="55" t="str">
        <f aca="false">IF(AF626&lt;=0,"",IF(BU626="Aussen","Aussenlager",IF(BU626="-","Nicht im Lift",IF(AK626&gt;=1,"Lift",IF(AK626&lt;=0,"Aussenlager","teilweise")))))</f>
        <v>Lift</v>
      </c>
      <c r="BC626" s="55" t="str">
        <f aca="false">IF(AN626&lt;=0,"",IF(BU626="Aussen","Aussenlager",IF(BU626="-","Nicht im Lift",IF(AS626&gt;=1,"Lift",IF(AS626&lt;=0,"Aussenlager","teilweise")))))</f>
        <v>Lift</v>
      </c>
      <c r="BD626" s="55" t="str">
        <f aca="false">IF(AV626&lt;=0,"",IF(BU626="Aussen","Aussenlager",IF(BU626="-","Nicht im Lift",IF(BA626&gt;=1,"Lift",IF(BA626&lt;=0,"Aussenlager","teilweise")))))</f>
        <v>Lift</v>
      </c>
      <c r="BE626" s="55" t="str">
        <f aca="false">IF(A626="","",IF(BN626=1,"Neu; ","")&amp;IF(AND(BN626=0,BI626&lt;0),"negativer Bestand (Export "&amp;BI626&amp;"); ","")&amp;IF(I626&lt;=0,"Kein Verbrauch; ","")&amp;IF(CD626&gt;0,"Lift "&amp;U626&amp;" lt. Liftbericht (Fach "&amp;V626&amp;" Stk); ",IF(BR626=1,"Lose – Fläche geschätzt; ",""))&amp;IF(G626&gt;AP626,"Überbestand "&amp;ROUND(G626-AP626,0)&amp;" Stk / CHF "&amp;ROUND((G626-AP626)*F626,0)&amp;"; ","")&amp;IF(AND(BW626=1,BX626&lt;BY626),"MAX &lt; MB+LG; ","")&amp;IF(AND(CC626&gt;0,CB626*10&gt;CC626),"zu hoch für Tablar; ","")&amp;IF(AND(BN626=0,OR(BW626=1,Y626&lt;&gt;"",S626&lt;&gt;"",T626&lt;&gt;"",Z626&lt;&gt;"")),"manuell übersteuert; ","")&amp;IF(AND(BR626=0,Q626=0),"Gebinde unbekannt / Stellmass fehlt; ","")&amp;IF(AND(BR626=0,N(T626)&lt;=0,N(P626)&lt;=0),"Menge pro Gebinde fehlt (Ist = 1 Gebinde); ","")&amp;BM626)</f>
        <v>Überbestand</v>
      </c>
      <c r="BF626" s="55"/>
      <c r="BG626" s="55"/>
      <c r="BH626" s="62"/>
      <c r="BI626" s="57" t="n">
        <v>200</v>
      </c>
      <c r="BJ626" s="57" t="n">
        <v>3384</v>
      </c>
      <c r="BK626" s="56" t="n">
        <v>2</v>
      </c>
      <c r="BL626" s="57" t="n">
        <v>604</v>
      </c>
      <c r="BM626" s="55" t="s">
        <v>382</v>
      </c>
      <c r="BN626" s="60" t="n">
        <v>0</v>
      </c>
      <c r="BO626" s="60" t="n">
        <v>626</v>
      </c>
      <c r="BP626" s="55" t="str">
        <f aca="false">IF(S626&lt;&gt;"",UPPER(TRIM(S626)),IF(O626="","LOSE",O626))</f>
        <v>S33</v>
      </c>
      <c r="BQ626" s="57" t="n">
        <f aca="false">IF(BP626="LOSE",1,IF(N(T626)&gt;0,T626,IF(N(P626)&gt;0,P626,MAX(1,G626))))</f>
        <v>6007</v>
      </c>
      <c r="BR626" s="60" t="n">
        <f aca="false">IF(BP626="LOSE",1,0)</f>
        <v>0</v>
      </c>
      <c r="BS626" s="59" t="n">
        <f aca="false">IF(BR626=0,0,IF(N(R626)&gt;0,R626,IFERROR(VLOOKUP(D626,Parameter!$A$35:$C$64,3,0)+0,0)))</f>
        <v>0</v>
      </c>
      <c r="BT626" s="55" t="n">
        <f aca="false">IF(Y626&lt;&gt;"",Y626,X626)</f>
        <v>3</v>
      </c>
      <c r="BU626" s="55" t="str">
        <f aca="false">IF(BT626=1,"L1",IF(OR(BT626=2,BT626=3),"L23",IF(BT626="Aussen","Aussen","-")))</f>
        <v>L23</v>
      </c>
      <c r="BV626" s="66" t="n">
        <f aca="false">IF(N(Z626)&gt;0,Z626,0)</f>
        <v>0</v>
      </c>
      <c r="BW626" s="60" t="n">
        <f aca="false">IF(ISNUMBER(AC626),1,0)</f>
        <v>0</v>
      </c>
      <c r="BX626" s="57" t="n">
        <f aca="false">N(AC626)</f>
        <v>0</v>
      </c>
      <c r="BY626" s="57" t="n">
        <f aca="false">N(L626)+N(M626)</f>
        <v>640</v>
      </c>
      <c r="BZ626" s="57" t="n">
        <f aca="false">ROUNDUP(G626/BQ626,0)</f>
        <v>1</v>
      </c>
      <c r="CA626" s="57" t="n">
        <f aca="false">ROUNDUP(BX626/BQ626,0)</f>
        <v>0</v>
      </c>
      <c r="CB626" s="60" t="n">
        <f aca="false">IF(BR626=1,0,IFERROR(VLOOKUP(BP626,'Gebinde-Kategorie'!$A$5:$M$45,5,0)+0,0))</f>
        <v>8</v>
      </c>
      <c r="CC626" s="60" t="n">
        <f aca="false">IFERROR(IF(OR(BT626=1,BT626=2,BT626=3),N(INDEX(Parameter!$I$5:$I$7,BT626)),0),0)</f>
        <v>0</v>
      </c>
      <c r="CD626" s="59" t="n">
        <f aca="false">IF(AND(Parameter!$B$21="Ja",ISNUMBER(U626),N(V626)&gt;0),IFERROR(N(INDEX(Parameter!$L$5:$L$7,U626))*INDEX(Parameter!$E$5:$E$7,U626)*V626/SUMIFS($V$7:$V$1576,$U$7:$U$1576,U626),0),0)</f>
        <v>0</v>
      </c>
    </row>
    <row r="627" customFormat="false" ht="15" hidden="false" customHeight="false" outlineLevel="0" collapsed="false">
      <c r="A627" s="55" t="s">
        <v>1274</v>
      </c>
      <c r="B627" s="55" t="s">
        <v>1251</v>
      </c>
      <c r="C627" s="55" t="s">
        <v>160</v>
      </c>
      <c r="D627" s="55" t="s">
        <v>178</v>
      </c>
      <c r="E627" s="55" t="s">
        <v>210</v>
      </c>
      <c r="F627" s="56" t="n">
        <v>0.05</v>
      </c>
      <c r="G627" s="57" t="n">
        <f aca="false">MAX(0,IF(AND(Parameter!$B$21="Ja",ISNUMBER(W627)),W627,IF(Parameter!$B$20="Jahresanfang 2025 + Export",BJ627+BI627,BI627)))</f>
        <v>36</v>
      </c>
      <c r="H627" s="57" t="n">
        <f aca="false">G627*F627</f>
        <v>1.8</v>
      </c>
      <c r="I627" s="57" t="n">
        <f aca="false">BL627*Parameter!$B$18</f>
        <v>0</v>
      </c>
      <c r="J627" s="58" t="n">
        <v>67</v>
      </c>
      <c r="K627" s="59" t="n">
        <v>0</v>
      </c>
      <c r="L627" s="57" t="n">
        <v>0</v>
      </c>
      <c r="M627" s="57" t="n">
        <v>1</v>
      </c>
      <c r="N627" s="60" t="n">
        <v>14</v>
      </c>
      <c r="O627" s="55" t="s">
        <v>391</v>
      </c>
      <c r="P627" s="57" t="n">
        <v>91</v>
      </c>
      <c r="Q627" s="60" t="n">
        <f aca="false">IF(BR627=1,0,IFERROR(VLOOKUP(BP627,'Gebinde-Kategorie'!$A$5:$M$45,13,0)+0,0))</f>
        <v>414</v>
      </c>
      <c r="R627" s="61"/>
      <c r="S627" s="62"/>
      <c r="T627" s="62"/>
      <c r="U627" s="55"/>
      <c r="V627" s="57"/>
      <c r="W627" s="57"/>
      <c r="X627" s="55" t="n">
        <f aca="false">IF(A627="","",IF(AND(Parameter!$B$21="Ja",ISNUMBER(U627)),U627,IF(IFERROR(VLOOKUP(D627,Parameter!$A$35:$C$64,2,0),"Nein")="2+3",IF(ISNUMBER(SEARCH("grosser Artikel",BM627)),2,IFERROR(VLOOKUP(BP627,Parameter!$F$35:$G$64,2,0),2)),IF(OR(IFERROR(VLOOKUP(D627,Parameter!$A$35:$C$64,2,0),"Nein")="Nein",IFERROR(VLOOKUP(D627,Parameter!$A$35:$C$64,2,0),"Nein")=""),"-",VLOOKUP(D627,Parameter!$A$35:$C$64,2,0)))))</f>
        <v>3</v>
      </c>
      <c r="Y627" s="62"/>
      <c r="Z627" s="63"/>
      <c r="AA627" s="57" t="n">
        <f aca="false">AP627</f>
        <v>91</v>
      </c>
      <c r="AB627" s="57" t="n">
        <f aca="false">MAX(AP627,G627)</f>
        <v>91</v>
      </c>
      <c r="AC627" s="64"/>
      <c r="AD627" s="57" t="n">
        <f aca="false">IF(LEFT(Cockpit!$C$5,1)="A",G627,IF(BW627=1,BX627,IF(LEFT(Cockpit!$C$5,1)="B",AH627,MAX(AH627,G627))))</f>
        <v>36</v>
      </c>
      <c r="AE627" s="57" t="n">
        <f aca="false">IF(BR627=1,0,ROUNDUP(AD627/BQ627,0))</f>
        <v>1</v>
      </c>
      <c r="AF627" s="59" t="n">
        <f aca="false">IF(CD627&gt;0,CD627*MAX(1,AD627/V627),IF(BR627=1,IF(AD627&lt;=0,0,BS627*MAX(1,IF(G627&gt;0,AD627/G627,1))),IF(Q627&gt;0,AE627/Q627,0))/MAX(0.1,N(Parameter!$M$21)))</f>
        <v>0.00241545893719807</v>
      </c>
      <c r="AG627" s="57" t="n">
        <f aca="false">AD627*F627</f>
        <v>1.8</v>
      </c>
      <c r="AH627" s="57" t="n">
        <f aca="false">ROUNDUP(MAX(I627/IF(BV627&gt;0,BV627,MAX(0.1,N(Cockpit!$C$6))),BY627)/BQ627,0)*BQ627</f>
        <v>91</v>
      </c>
      <c r="AI627" s="58" t="n">
        <f aca="false">IF(AF627&gt;0,I627/AF627,-1)</f>
        <v>0</v>
      </c>
      <c r="AJ627" s="58" t="n">
        <f aca="false">IF(AND(OR(BU627="L1",BU627="L23"),AF627&gt;0),SUMIFS($AF$7:$AF$1576,$BU$7:$BU$1576,BU627,$AI$7:$AI$1576,"&gt;"&amp;AI627)+SUMIFS($AF$7:$AF$1576,$BU$7:$BU$1576,BU627,$AI$7:$AI$1576,AI627,$BO$7:$BO$1576,"&lt;="&amp;BO627),"")</f>
        <v>44.8550336137293</v>
      </c>
      <c r="AK627" s="65" t="n">
        <f aca="false">IF(AJ627="",0,MAX(0,MIN(1,(IF(BU627="L1",Parameter!$E$5,Parameter!$E$6+Parameter!$E$7)-(AJ627-AF627))/AF627)))</f>
        <v>1</v>
      </c>
      <c r="AL627" s="57" t="n">
        <f aca="false">IF(LEFT(Cockpit!$I$5,1)="A",G627,IF(BW627=1,BX627,IF(LEFT(Cockpit!$I$5,1)="B",AP627,MAX(AP627,G627))))</f>
        <v>91</v>
      </c>
      <c r="AM627" s="57" t="n">
        <f aca="false">IF(BR627=1,0,ROUNDUP(AL627/BQ627,0))</f>
        <v>1</v>
      </c>
      <c r="AN627" s="59" t="n">
        <f aca="false">IF(CD627&gt;0,CD627*MAX(1,AL627/V627),IF(BR627=1,IF(AL627&lt;=0,0,BS627*MAX(1,IF(G627&gt;0,AL627/G627,1))),IF(Q627&gt;0,AM627/Q627,0))/MAX(0.1,N(Parameter!$M$21)))</f>
        <v>0.00241545893719807</v>
      </c>
      <c r="AO627" s="57" t="n">
        <f aca="false">AL627*F627</f>
        <v>4.55</v>
      </c>
      <c r="AP627" s="57" t="n">
        <f aca="false">ROUNDUP(MAX(I627/IF(BV627&gt;0,BV627,MAX(0.1,N(Cockpit!$I$6))),BY627)/BQ627,0)*BQ627</f>
        <v>91</v>
      </c>
      <c r="AQ627" s="58" t="n">
        <f aca="false">IF(AN627&gt;0,I627/AN627,-1)</f>
        <v>0</v>
      </c>
      <c r="AR627" s="58" t="n">
        <f aca="false">IF(AND(OR(BU627="L1",BU627="L23"),AN627&gt;0),SUMIFS($AN$7:$AN$1576,$BU$7:$BU$1576,BU627,$AQ$7:$AQ$1576,"&gt;"&amp;AQ627)+SUMIFS($AN$7:$AN$1576,$BU$7:$BU$1576,BU627,$AQ$7:$AQ$1576,AQ627,$BO$7:$BO$1576,"&lt;="&amp;BO627),"")</f>
        <v>127.921706095884</v>
      </c>
      <c r="AS627" s="65" t="n">
        <f aca="false">IF(AR627="",0,MAX(0,MIN(1,(IF(BU627="L1",Parameter!$E$5,Parameter!$E$6+Parameter!$E$7)-(AR627-AN627))/AN627)))</f>
        <v>0</v>
      </c>
      <c r="AT627" s="57" t="n">
        <f aca="false">IF(LEFT(Cockpit!$O$5,1)="A",G627,IF(BW627=1,BX627,IF(LEFT(Cockpit!$O$5,1)="B",AX627,MAX(AX627,G627))))</f>
        <v>91</v>
      </c>
      <c r="AU627" s="57" t="n">
        <f aca="false">IF(BR627=1,0,ROUNDUP(AT627/BQ627,0))</f>
        <v>1</v>
      </c>
      <c r="AV627" s="59" t="n">
        <f aca="false">IF(CD627&gt;0,CD627*MAX(1,AT627/V627),IF(BR627=1,IF(AT627&lt;=0,0,BS627*MAX(1,IF(G627&gt;0,AT627/G627,1))),IF(Q627&gt;0,AU627/Q627,0))/MAX(0.1,N(Parameter!$M$21)))</f>
        <v>0.00241545893719807</v>
      </c>
      <c r="AW627" s="57" t="n">
        <f aca="false">AT627*F627</f>
        <v>4.55</v>
      </c>
      <c r="AX627" s="57" t="n">
        <f aca="false">ROUNDUP(MAX(I627/IF(BV627&gt;0,BV627,MAX(0.1,N(Cockpit!$O$6))),BY627)/BQ627,0)*BQ627</f>
        <v>91</v>
      </c>
      <c r="AY627" s="58" t="n">
        <f aca="false">IF(AV627&gt;0,I627/AV627,-1)</f>
        <v>0</v>
      </c>
      <c r="AZ627" s="58" t="n">
        <f aca="false">IF(AND(OR(BU627="L1",BU627="L23"),AV627&gt;0),SUMIFS($AV$7:$AV$1576,$BU$7:$BU$1576,BU627,$AY$7:$AY$1576,"&gt;"&amp;AY627)+SUMIFS($AV$7:$AV$1576,$BU$7:$BU$1576,BU627,$AY$7:$AY$1576,AY627,$BO$7:$BO$1576,"&lt;="&amp;BO627),"")</f>
        <v>117.981256545434</v>
      </c>
      <c r="BA627" s="65" t="n">
        <f aca="false">IF(AZ627="",0,MAX(0,MIN(1,(IF(BU627="L1",Parameter!$E$5,Parameter!$E$6+Parameter!$E$7)-(AZ627-AV627))/AV627)))</f>
        <v>0</v>
      </c>
      <c r="BB627" s="55" t="str">
        <f aca="false">IF(AF627&lt;=0,"",IF(BU627="Aussen","Aussenlager",IF(BU627="-","Nicht im Lift",IF(AK627&gt;=1,"Lift",IF(AK627&lt;=0,"Aussenlager","teilweise")))))</f>
        <v>Lift</v>
      </c>
      <c r="BC627" s="55" t="str">
        <f aca="false">IF(AN627&lt;=0,"",IF(BU627="Aussen","Aussenlager",IF(BU627="-","Nicht im Lift",IF(AS627&gt;=1,"Lift",IF(AS627&lt;=0,"Aussenlager","teilweise")))))</f>
        <v>Aussenlager</v>
      </c>
      <c r="BD627" s="55" t="str">
        <f aca="false">IF(AV627&lt;=0,"",IF(BU627="Aussen","Aussenlager",IF(BU627="-","Nicht im Lift",IF(BA627&gt;=1,"Lift",IF(BA627&lt;=0,"Aussenlager","teilweise")))))</f>
        <v>Aussenlager</v>
      </c>
      <c r="BE627" s="55" t="str">
        <f aca="false">IF(A627="","",IF(BN627=1,"Neu; ","")&amp;IF(AND(BN627=0,BI627&lt;0),"negativer Bestand (Export "&amp;BI627&amp;"); ","")&amp;IF(I627&lt;=0,"Kein Verbrauch; ","")&amp;IF(CD627&gt;0,"Lift "&amp;U627&amp;" lt. Liftbericht (Fach "&amp;V627&amp;" Stk); ",IF(BR627=1,"Lose – Fläche geschätzt; ",""))&amp;IF(G627&gt;AP627,"Überbestand "&amp;ROUND(G627-AP627,0)&amp;" Stk / CHF "&amp;ROUND((G627-AP627)*F627,0)&amp;"; ","")&amp;IF(AND(BW627=1,BX627&lt;BY627),"MAX &lt; MB+LG; ","")&amp;IF(AND(CC627&gt;0,CB627*10&gt;CC627),"zu hoch für Tablar; ","")&amp;IF(AND(BN627=0,OR(BW627=1,Y627&lt;&gt;"",S627&lt;&gt;"",T627&lt;&gt;"",Z627&lt;&gt;"")),"manuell übersteuert; ","")&amp;IF(AND(BR627=0,Q627=0),"Gebinde unbekannt / Stellmass fehlt; ","")&amp;IF(AND(BR627=0,N(T627)&lt;=0,N(P627)&lt;=0),"Menge pro Gebinde fehlt (Ist = 1 Gebinde); ","")&amp;BM627)</f>
        <v>Kein Verbrauch; </v>
      </c>
      <c r="BF627" s="55"/>
      <c r="BG627" s="55"/>
      <c r="BH627" s="62"/>
      <c r="BI627" s="57" t="n">
        <v>36</v>
      </c>
      <c r="BJ627" s="57" t="n">
        <v>49</v>
      </c>
      <c r="BK627" s="56" t="n">
        <v>1.8</v>
      </c>
      <c r="BL627" s="57" t="n">
        <v>0</v>
      </c>
      <c r="BM627" s="55"/>
      <c r="BN627" s="60" t="n">
        <v>0</v>
      </c>
      <c r="BO627" s="60" t="n">
        <v>627</v>
      </c>
      <c r="BP627" s="55" t="str">
        <f aca="false">IF(S627&lt;&gt;"",UPPER(TRIM(S627)),IF(O627="","LOSE",O627))</f>
        <v>S21</v>
      </c>
      <c r="BQ627" s="57" t="n">
        <f aca="false">IF(BP627="LOSE",1,IF(N(T627)&gt;0,T627,IF(N(P627)&gt;0,P627,MAX(1,G627))))</f>
        <v>91</v>
      </c>
      <c r="BR627" s="60" t="n">
        <f aca="false">IF(BP627="LOSE",1,0)</f>
        <v>0</v>
      </c>
      <c r="BS627" s="59" t="n">
        <f aca="false">IF(BR627=0,0,IF(N(R627)&gt;0,R627,IFERROR(VLOOKUP(D627,Parameter!$A$35:$C$64,3,0)+0,0)))</f>
        <v>0</v>
      </c>
      <c r="BT627" s="55" t="n">
        <f aca="false">IF(Y627&lt;&gt;"",Y627,X627)</f>
        <v>3</v>
      </c>
      <c r="BU627" s="55" t="str">
        <f aca="false">IF(BT627=1,"L1",IF(OR(BT627=2,BT627=3),"L23",IF(BT627="Aussen","Aussen","-")))</f>
        <v>L23</v>
      </c>
      <c r="BV627" s="66" t="n">
        <f aca="false">IF(N(Z627)&gt;0,Z627,0)</f>
        <v>0</v>
      </c>
      <c r="BW627" s="60" t="n">
        <f aca="false">IF(ISNUMBER(AC627),1,0)</f>
        <v>0</v>
      </c>
      <c r="BX627" s="57" t="n">
        <f aca="false">N(AC627)</f>
        <v>0</v>
      </c>
      <c r="BY627" s="57" t="n">
        <f aca="false">N(L627)+N(M627)</f>
        <v>1</v>
      </c>
      <c r="BZ627" s="57" t="n">
        <f aca="false">ROUNDUP(G627/BQ627,0)</f>
        <v>1</v>
      </c>
      <c r="CA627" s="57" t="n">
        <f aca="false">ROUNDUP(BX627/BQ627,0)</f>
        <v>0</v>
      </c>
      <c r="CB627" s="60" t="n">
        <f aca="false">IF(BR627=1,0,IFERROR(VLOOKUP(BP627,'Gebinde-Kategorie'!$A$5:$M$45,5,0)+0,0))</f>
        <v>8</v>
      </c>
      <c r="CC627" s="60" t="n">
        <f aca="false">IFERROR(IF(OR(BT627=1,BT627=2,BT627=3),N(INDEX(Parameter!$I$5:$I$7,BT627)),0),0)</f>
        <v>0</v>
      </c>
      <c r="CD627" s="59" t="n">
        <f aca="false">IF(AND(Parameter!$B$21="Ja",ISNUMBER(U627),N(V627)&gt;0),IFERROR(N(INDEX(Parameter!$L$5:$L$7,U627))*INDEX(Parameter!$E$5:$E$7,U627)*V627/SUMIFS($V$7:$V$1576,$U$7:$U$1576,U627),0),0)</f>
        <v>0</v>
      </c>
    </row>
    <row r="628" customFormat="false" ht="15" hidden="false" customHeight="false" outlineLevel="0" collapsed="false">
      <c r="A628" s="55" t="s">
        <v>1275</v>
      </c>
      <c r="B628" s="55" t="s">
        <v>1125</v>
      </c>
      <c r="C628" s="55" t="s">
        <v>160</v>
      </c>
      <c r="D628" s="55" t="s">
        <v>178</v>
      </c>
      <c r="E628" s="55" t="s">
        <v>210</v>
      </c>
      <c r="F628" s="56" t="n">
        <v>8.01</v>
      </c>
      <c r="G628" s="57" t="n">
        <f aca="false">MAX(0,IF(AND(Parameter!$B$21="Ja",ISNUMBER(W628)),W628,IF(Parameter!$B$20="Jahresanfang 2025 + Export",BJ628+BI628,BI628)))</f>
        <v>1</v>
      </c>
      <c r="H628" s="57" t="n">
        <f aca="false">G628*F628</f>
        <v>8.01</v>
      </c>
      <c r="I628" s="57" t="n">
        <f aca="false">BL628*Parameter!$B$18</f>
        <v>2</v>
      </c>
      <c r="J628" s="58" t="n">
        <v>3.5</v>
      </c>
      <c r="K628" s="59" t="n">
        <v>0.571428571428571</v>
      </c>
      <c r="L628" s="57" t="n">
        <v>0</v>
      </c>
      <c r="M628" s="57" t="n">
        <v>1</v>
      </c>
      <c r="N628" s="60" t="n">
        <v>14</v>
      </c>
      <c r="O628" s="55" t="s">
        <v>319</v>
      </c>
      <c r="P628" s="57" t="n">
        <v>1</v>
      </c>
      <c r="Q628" s="60" t="n">
        <f aca="false">IF(BR628=1,0,IFERROR(VLOOKUP(BP628,'Gebinde-Kategorie'!$A$5:$M$45,13,0)+0,0))</f>
        <v>52</v>
      </c>
      <c r="R628" s="61"/>
      <c r="S628" s="62"/>
      <c r="T628" s="62"/>
      <c r="U628" s="55"/>
      <c r="V628" s="57"/>
      <c r="W628" s="57"/>
      <c r="X628" s="55" t="n">
        <f aca="false">IF(A628="","",IF(AND(Parameter!$B$21="Ja",ISNUMBER(U628)),U628,IF(IFERROR(VLOOKUP(D628,Parameter!$A$35:$C$64,2,0),"Nein")="2+3",IF(ISNUMBER(SEARCH("grosser Artikel",BM628)),2,IFERROR(VLOOKUP(BP628,Parameter!$F$35:$G$64,2,0),2)),IF(OR(IFERROR(VLOOKUP(D628,Parameter!$A$35:$C$64,2,0),"Nein")="Nein",IFERROR(VLOOKUP(D628,Parameter!$A$35:$C$64,2,0),"Nein")=""),"-",VLOOKUP(D628,Parameter!$A$35:$C$64,2,0)))))</f>
        <v>3</v>
      </c>
      <c r="Y628" s="62"/>
      <c r="Z628" s="63"/>
      <c r="AA628" s="57" t="n">
        <f aca="false">AP628</f>
        <v>1</v>
      </c>
      <c r="AB628" s="57" t="n">
        <f aca="false">MAX(AP628,G628)</f>
        <v>1</v>
      </c>
      <c r="AC628" s="64"/>
      <c r="AD628" s="57" t="n">
        <f aca="false">IF(LEFT(Cockpit!$C$5,1)="A",G628,IF(BW628=1,BX628,IF(LEFT(Cockpit!$C$5,1)="B",AH628,MAX(AH628,G628))))</f>
        <v>1</v>
      </c>
      <c r="AE628" s="57" t="n">
        <f aca="false">IF(BR628=1,0,ROUNDUP(AD628/BQ628,0))</f>
        <v>1</v>
      </c>
      <c r="AF628" s="59" t="n">
        <f aca="false">IF(CD628&gt;0,CD628*MAX(1,AD628/V628),IF(BR628=1,IF(AD628&lt;=0,0,BS628*MAX(1,IF(G628&gt;0,AD628/G628,1))),IF(Q628&gt;0,AE628/Q628,0))/MAX(0.1,N(Parameter!$M$21)))</f>
        <v>0.0192307692307692</v>
      </c>
      <c r="AG628" s="57" t="n">
        <f aca="false">AD628*F628</f>
        <v>8.01</v>
      </c>
      <c r="AH628" s="57" t="n">
        <f aca="false">ROUNDUP(MAX(I628/IF(BV628&gt;0,BV628,MAX(0.1,N(Cockpit!$C$6))),BY628)/BQ628,0)*BQ628</f>
        <v>1</v>
      </c>
      <c r="AI628" s="58" t="n">
        <f aca="false">IF(AF628&gt;0,I628/AF628,-1)</f>
        <v>104</v>
      </c>
      <c r="AJ628" s="58" t="n">
        <f aca="false">IF(AND(OR(BU628="L1",BU628="L23"),AF628&gt;0),SUMIFS($AF$7:$AF$1576,$BU$7:$BU$1576,BU628,$AI$7:$AI$1576,"&gt;"&amp;AI628)+SUMIFS($AF$7:$AF$1576,$BU$7:$BU$1576,BU628,$AI$7:$AI$1576,AI628,$BO$7:$BO$1576,"&lt;="&amp;BO628),"")</f>
        <v>22.4810509780075</v>
      </c>
      <c r="AK628" s="65" t="n">
        <f aca="false">IF(AJ628="",0,MAX(0,MIN(1,(IF(BU628="L1",Parameter!$E$5,Parameter!$E$6+Parameter!$E$7)-(AJ628-AF628))/AF628)))</f>
        <v>1</v>
      </c>
      <c r="AL628" s="57" t="n">
        <f aca="false">IF(LEFT(Cockpit!$I$5,1)="A",G628,IF(BW628=1,BX628,IF(LEFT(Cockpit!$I$5,1)="B",AP628,MAX(AP628,G628))))</f>
        <v>1</v>
      </c>
      <c r="AM628" s="57" t="n">
        <f aca="false">IF(BR628=1,0,ROUNDUP(AL628/BQ628,0))</f>
        <v>1</v>
      </c>
      <c r="AN628" s="59" t="n">
        <f aca="false">IF(CD628&gt;0,CD628*MAX(1,AL628/V628),IF(BR628=1,IF(AL628&lt;=0,0,BS628*MAX(1,IF(G628&gt;0,AL628/G628,1))),IF(Q628&gt;0,AM628/Q628,0))/MAX(0.1,N(Parameter!$M$21)))</f>
        <v>0.0192307692307692</v>
      </c>
      <c r="AO628" s="57" t="n">
        <f aca="false">AL628*F628</f>
        <v>8.01</v>
      </c>
      <c r="AP628" s="57" t="n">
        <f aca="false">ROUNDUP(MAX(I628/IF(BV628&gt;0,BV628,MAX(0.1,N(Cockpit!$I$6))),BY628)/BQ628,0)*BQ628</f>
        <v>1</v>
      </c>
      <c r="AQ628" s="58" t="n">
        <f aca="false">IF(AN628&gt;0,I628/AN628,-1)</f>
        <v>104</v>
      </c>
      <c r="AR628" s="58" t="n">
        <f aca="false">IF(AND(OR(BU628="L1",BU628="L23"),AN628&gt;0),SUMIFS($AN$7:$AN$1576,$BU$7:$BU$1576,BU628,$AQ$7:$AQ$1576,"&gt;"&amp;AQ628)+SUMIFS($AN$7:$AN$1576,$BU$7:$BU$1576,BU628,$AQ$7:$AQ$1576,AQ628,$BO$7:$BO$1576,"&lt;="&amp;BO628),"")</f>
        <v>68.5995985358597</v>
      </c>
      <c r="AS628" s="65" t="n">
        <f aca="false">IF(AR628="",0,MAX(0,MIN(1,(IF(BU628="L1",Parameter!$E$5,Parameter!$E$6+Parameter!$E$7)-(AR628-AN628))/AN628)))</f>
        <v>1</v>
      </c>
      <c r="AT628" s="57" t="n">
        <f aca="false">IF(LEFT(Cockpit!$O$5,1)="A",G628,IF(BW628=1,BX628,IF(LEFT(Cockpit!$O$5,1)="B",AX628,MAX(AX628,G628))))</f>
        <v>1</v>
      </c>
      <c r="AU628" s="57" t="n">
        <f aca="false">IF(BR628=1,0,ROUNDUP(AT628/BQ628,0))</f>
        <v>1</v>
      </c>
      <c r="AV628" s="59" t="n">
        <f aca="false">IF(CD628&gt;0,CD628*MAX(1,AT628/V628),IF(BR628=1,IF(AT628&lt;=0,0,BS628*MAX(1,IF(G628&gt;0,AT628/G628,1))),IF(Q628&gt;0,AU628/Q628,0))/MAX(0.1,N(Parameter!$M$21)))</f>
        <v>0.0192307692307692</v>
      </c>
      <c r="AW628" s="57" t="n">
        <f aca="false">AT628*F628</f>
        <v>8.01</v>
      </c>
      <c r="AX628" s="57" t="n">
        <f aca="false">ROUNDUP(MAX(I628/IF(BV628&gt;0,BV628,MAX(0.1,N(Cockpit!$O$6))),BY628)/BQ628,0)*BQ628</f>
        <v>1</v>
      </c>
      <c r="AY628" s="58" t="n">
        <f aca="false">IF(AV628&gt;0,I628/AV628,-1)</f>
        <v>104</v>
      </c>
      <c r="AZ628" s="58" t="n">
        <f aca="false">IF(AND(OR(BU628="L1",BU628="L23"),AV628&gt;0),SUMIFS($AV$7:$AV$1576,$BU$7:$BU$1576,BU628,$AY$7:$AY$1576,"&gt;"&amp;AY628)+SUMIFS($AV$7:$AV$1576,$BU$7:$BU$1576,BU628,$AY$7:$AY$1576,AY628,$BO$7:$BO$1576,"&lt;="&amp;BO628),"")</f>
        <v>63.1599823187435</v>
      </c>
      <c r="BA628" s="65" t="n">
        <f aca="false">IF(AZ628="",0,MAX(0,MIN(1,(IF(BU628="L1",Parameter!$E$5,Parameter!$E$6+Parameter!$E$7)-(AZ628-AV628))/AV628)))</f>
        <v>1</v>
      </c>
      <c r="BB628" s="55" t="str">
        <f aca="false">IF(AF628&lt;=0,"",IF(BU628="Aussen","Aussenlager",IF(BU628="-","Nicht im Lift",IF(AK628&gt;=1,"Lift",IF(AK628&lt;=0,"Aussenlager","teilweise")))))</f>
        <v>Lift</v>
      </c>
      <c r="BC628" s="55" t="str">
        <f aca="false">IF(AN628&lt;=0,"",IF(BU628="Aussen","Aussenlager",IF(BU628="-","Nicht im Lift",IF(AS628&gt;=1,"Lift",IF(AS628&lt;=0,"Aussenlager","teilweise")))))</f>
        <v>Lift</v>
      </c>
      <c r="BD628" s="55" t="str">
        <f aca="false">IF(AV628&lt;=0,"",IF(BU628="Aussen","Aussenlager",IF(BU628="-","Nicht im Lift",IF(BA628&gt;=1,"Lift",IF(BA628&lt;=0,"Aussenlager","teilweise")))))</f>
        <v>Lift</v>
      </c>
      <c r="BE628" s="55" t="str">
        <f aca="false">IF(A628="","",IF(BN628=1,"Neu; ","")&amp;IF(AND(BN628=0,BI628&lt;0),"negativer Bestand (Export "&amp;BI628&amp;"); ","")&amp;IF(I628&lt;=0,"Kein Verbrauch; ","")&amp;IF(CD628&gt;0,"Lift "&amp;U628&amp;" lt. Liftbericht (Fach "&amp;V628&amp;" Stk); ",IF(BR628=1,"Lose – Fläche geschätzt; ",""))&amp;IF(G628&gt;AP628,"Überbestand "&amp;ROUND(G628-AP628,0)&amp;" Stk / CHF "&amp;ROUND((G628-AP628)*F628,0)&amp;"; ","")&amp;IF(AND(BW628=1,BX628&lt;BY628),"MAX &lt; MB+LG; ","")&amp;IF(AND(CC628&gt;0,CB628*10&gt;CC628),"zu hoch für Tablar; ","")&amp;IF(AND(BN628=0,OR(BW628=1,Y628&lt;&gt;"",S628&lt;&gt;"",T628&lt;&gt;"",Z628&lt;&gt;"")),"manuell übersteuert; ","")&amp;IF(AND(BR628=0,Q628=0),"Gebinde unbekannt / Stellmass fehlt; ","")&amp;IF(AND(BR628=0,N(T628)&lt;=0,N(P628)&lt;=0),"Menge pro Gebinde fehlt (Ist = 1 Gebinde); ","")&amp;BM628)</f>
        <v/>
      </c>
      <c r="BF628" s="55"/>
      <c r="BG628" s="55"/>
      <c r="BH628" s="62"/>
      <c r="BI628" s="57" t="n">
        <v>1</v>
      </c>
      <c r="BJ628" s="57" t="n">
        <v>3</v>
      </c>
      <c r="BK628" s="56" t="n">
        <v>1.8</v>
      </c>
      <c r="BL628" s="57" t="n">
        <v>2</v>
      </c>
      <c r="BM628" s="55"/>
      <c r="BN628" s="60" t="n">
        <v>0</v>
      </c>
      <c r="BO628" s="60" t="n">
        <v>628</v>
      </c>
      <c r="BP628" s="55" t="str">
        <f aca="false">IF(S628&lt;&gt;"",UPPER(TRIM(S628)),IF(O628="","LOSE",O628))</f>
        <v>S41</v>
      </c>
      <c r="BQ628" s="57" t="n">
        <f aca="false">IF(BP628="LOSE",1,IF(N(T628)&gt;0,T628,IF(N(P628)&gt;0,P628,MAX(1,G628))))</f>
        <v>1</v>
      </c>
      <c r="BR628" s="60" t="n">
        <f aca="false">IF(BP628="LOSE",1,0)</f>
        <v>0</v>
      </c>
      <c r="BS628" s="59" t="n">
        <f aca="false">IF(BR628=0,0,IF(N(R628)&gt;0,R628,IFERROR(VLOOKUP(D628,Parameter!$A$35:$C$64,3,0)+0,0)))</f>
        <v>0</v>
      </c>
      <c r="BT628" s="55" t="n">
        <f aca="false">IF(Y628&lt;&gt;"",Y628,X628)</f>
        <v>3</v>
      </c>
      <c r="BU628" s="55" t="str">
        <f aca="false">IF(BT628=1,"L1",IF(OR(BT628=2,BT628=3),"L23",IF(BT628="Aussen","Aussen","-")))</f>
        <v>L23</v>
      </c>
      <c r="BV628" s="66" t="n">
        <f aca="false">IF(N(Z628)&gt;0,Z628,0)</f>
        <v>0</v>
      </c>
      <c r="BW628" s="60" t="n">
        <f aca="false">IF(ISNUMBER(AC628),1,0)</f>
        <v>0</v>
      </c>
      <c r="BX628" s="57" t="n">
        <f aca="false">N(AC628)</f>
        <v>0</v>
      </c>
      <c r="BY628" s="57" t="n">
        <f aca="false">N(L628)+N(M628)</f>
        <v>1</v>
      </c>
      <c r="BZ628" s="57" t="n">
        <f aca="false">ROUNDUP(G628/BQ628,0)</f>
        <v>1</v>
      </c>
      <c r="CA628" s="57" t="n">
        <f aca="false">ROUNDUP(BX628/BQ628,0)</f>
        <v>0</v>
      </c>
      <c r="CB628" s="60" t="n">
        <f aca="false">IF(BR628=1,0,IFERROR(VLOOKUP(BP628,'Gebinde-Kategorie'!$A$5:$M$45,5,0)+0,0))</f>
        <v>11</v>
      </c>
      <c r="CC628" s="60" t="n">
        <f aca="false">IFERROR(IF(OR(BT628=1,BT628=2,BT628=3),N(INDEX(Parameter!$I$5:$I$7,BT628)),0),0)</f>
        <v>0</v>
      </c>
      <c r="CD628" s="59" t="n">
        <f aca="false">IF(AND(Parameter!$B$21="Ja",ISNUMBER(U628),N(V628)&gt;0),IFERROR(N(INDEX(Parameter!$L$5:$L$7,U628))*INDEX(Parameter!$E$5:$E$7,U628)*V628/SUMIFS($V$7:$V$1576,$U$7:$U$1576,U628),0),0)</f>
        <v>0</v>
      </c>
    </row>
    <row r="629" customFormat="false" ht="15" hidden="false" customHeight="false" outlineLevel="0" collapsed="false">
      <c r="A629" s="55" t="s">
        <v>1276</v>
      </c>
      <c r="B629" s="55" t="s">
        <v>1277</v>
      </c>
      <c r="C629" s="55" t="s">
        <v>160</v>
      </c>
      <c r="D629" s="55" t="s">
        <v>178</v>
      </c>
      <c r="E629" s="55" t="s">
        <v>210</v>
      </c>
      <c r="F629" s="56" t="n">
        <v>5.5</v>
      </c>
      <c r="G629" s="57" t="n">
        <f aca="false">MAX(0,IF(AND(Parameter!$B$21="Ja",ISNUMBER(W629)),W629,IF(Parameter!$B$20="Jahresanfang 2025 + Export",BJ629+BI629,BI629)))</f>
        <v>0</v>
      </c>
      <c r="H629" s="57" t="n">
        <f aca="false">G629*F629</f>
        <v>0</v>
      </c>
      <c r="I629" s="57" t="n">
        <f aca="false">BL629*Parameter!$B$18</f>
        <v>6</v>
      </c>
      <c r="J629" s="58" t="n">
        <v>4.5</v>
      </c>
      <c r="K629" s="59" t="n">
        <v>1.33333333333333</v>
      </c>
      <c r="L629" s="57" t="n">
        <v>0</v>
      </c>
      <c r="M629" s="57" t="n">
        <v>5</v>
      </c>
      <c r="N629" s="60" t="n">
        <v>14</v>
      </c>
      <c r="O629" s="55" t="s">
        <v>411</v>
      </c>
      <c r="P629" s="57" t="n">
        <v>5</v>
      </c>
      <c r="Q629" s="60" t="n">
        <f aca="false">IF(BR629=1,0,IFERROR(VLOOKUP(BP629,'Gebinde-Kategorie'!$A$5:$M$45,13,0)+0,0))</f>
        <v>132</v>
      </c>
      <c r="R629" s="61"/>
      <c r="S629" s="62"/>
      <c r="T629" s="62"/>
      <c r="U629" s="55"/>
      <c r="V629" s="57"/>
      <c r="W629" s="57"/>
      <c r="X629" s="55" t="n">
        <f aca="false">IF(A629="","",IF(AND(Parameter!$B$21="Ja",ISNUMBER(U629)),U629,IF(IFERROR(VLOOKUP(D629,Parameter!$A$35:$C$64,2,0),"Nein")="2+3",IF(ISNUMBER(SEARCH("grosser Artikel",BM629)),2,IFERROR(VLOOKUP(BP629,Parameter!$F$35:$G$64,2,0),2)),IF(OR(IFERROR(VLOOKUP(D629,Parameter!$A$35:$C$64,2,0),"Nein")="Nein",IFERROR(VLOOKUP(D629,Parameter!$A$35:$C$64,2,0),"Nein")=""),"-",VLOOKUP(D629,Parameter!$A$35:$C$64,2,0)))))</f>
        <v>3</v>
      </c>
      <c r="Y629" s="62"/>
      <c r="Z629" s="63"/>
      <c r="AA629" s="57" t="n">
        <f aca="false">AP629</f>
        <v>5</v>
      </c>
      <c r="AB629" s="57" t="n">
        <f aca="false">MAX(AP629,G629)</f>
        <v>5</v>
      </c>
      <c r="AC629" s="64"/>
      <c r="AD629" s="57" t="n">
        <f aca="false">IF(LEFT(Cockpit!$C$5,1)="A",G629,IF(BW629=1,BX629,IF(LEFT(Cockpit!$C$5,1)="B",AH629,MAX(AH629,G629))))</f>
        <v>0</v>
      </c>
      <c r="AE629" s="57" t="n">
        <f aca="false">IF(BR629=1,0,ROUNDUP(AD629/BQ629,0))</f>
        <v>0</v>
      </c>
      <c r="AF629" s="59" t="n">
        <f aca="false">IF(CD629&gt;0,CD629*MAX(1,AD629/V629),IF(BR629=1,IF(AD629&lt;=0,0,BS629*MAX(1,IF(G629&gt;0,AD629/G629,1))),IF(Q629&gt;0,AE629/Q629,0))/MAX(0.1,N(Parameter!$M$21)))</f>
        <v>0</v>
      </c>
      <c r="AG629" s="57" t="n">
        <f aca="false">AD629*F629</f>
        <v>0</v>
      </c>
      <c r="AH629" s="57" t="n">
        <f aca="false">ROUNDUP(MAX(I629/IF(BV629&gt;0,BV629,MAX(0.1,N(Cockpit!$C$6))),BY629)/BQ629,0)*BQ629</f>
        <v>5</v>
      </c>
      <c r="AI629" s="58" t="n">
        <f aca="false">IF(AF629&gt;0,I629/AF629,-1)</f>
        <v>-1</v>
      </c>
      <c r="AJ629" s="58" t="str">
        <f aca="false">IF(AND(OR(BU629="L1",BU629="L23"),AF629&gt;0),SUMIFS($AF$7:$AF$1576,$BU$7:$BU$1576,BU629,$AI$7:$AI$1576,"&gt;"&amp;AI629)+SUMIFS($AF$7:$AF$1576,$BU$7:$BU$1576,BU629,$AI$7:$AI$1576,AI629,$BO$7:$BO$1576,"&lt;="&amp;BO629),"")</f>
        <v/>
      </c>
      <c r="AK629" s="65" t="n">
        <f aca="false">IF(AJ629="",0,MAX(0,MIN(1,(IF(BU629="L1",Parameter!$E$5,Parameter!$E$6+Parameter!$E$7)-(AJ629-AF629))/AF629)))</f>
        <v>0</v>
      </c>
      <c r="AL629" s="57" t="n">
        <f aca="false">IF(LEFT(Cockpit!$I$5,1)="A",G629,IF(BW629=1,BX629,IF(LEFT(Cockpit!$I$5,1)="B",AP629,MAX(AP629,G629))))</f>
        <v>5</v>
      </c>
      <c r="AM629" s="57" t="n">
        <f aca="false">IF(BR629=1,0,ROUNDUP(AL629/BQ629,0))</f>
        <v>1</v>
      </c>
      <c r="AN629" s="59" t="n">
        <f aca="false">IF(CD629&gt;0,CD629*MAX(1,AL629/V629),IF(BR629=1,IF(AL629&lt;=0,0,BS629*MAX(1,IF(G629&gt;0,AL629/G629,1))),IF(Q629&gt;0,AM629/Q629,0))/MAX(0.1,N(Parameter!$M$21)))</f>
        <v>0.00757575757575758</v>
      </c>
      <c r="AO629" s="57" t="n">
        <f aca="false">AL629*F629</f>
        <v>27.5</v>
      </c>
      <c r="AP629" s="57" t="n">
        <f aca="false">ROUNDUP(MAX(I629/IF(BV629&gt;0,BV629,MAX(0.1,N(Cockpit!$I$6))),BY629)/BQ629,0)*BQ629</f>
        <v>5</v>
      </c>
      <c r="AQ629" s="58" t="n">
        <f aca="false">IF(AN629&gt;0,I629/AN629,-1)</f>
        <v>792</v>
      </c>
      <c r="AR629" s="58" t="n">
        <f aca="false">IF(AND(OR(BU629="L1",BU629="L23"),AN629&gt;0),SUMIFS($AN$7:$AN$1576,$BU$7:$BU$1576,BU629,$AQ$7:$AQ$1576,"&gt;"&amp;AQ629)+SUMIFS($AN$7:$AN$1576,$BU$7:$BU$1576,BU629,$AQ$7:$AQ$1576,AQ629,$BO$7:$BO$1576,"&lt;="&amp;BO629),"")</f>
        <v>26.1922745494596</v>
      </c>
      <c r="AS629" s="65" t="n">
        <f aca="false">IF(AR629="",0,MAX(0,MIN(1,(IF(BU629="L1",Parameter!$E$5,Parameter!$E$6+Parameter!$E$7)-(AR629-AN629))/AN629)))</f>
        <v>1</v>
      </c>
      <c r="AT629" s="57" t="n">
        <f aca="false">IF(LEFT(Cockpit!$O$5,1)="A",G629,IF(BW629=1,BX629,IF(LEFT(Cockpit!$O$5,1)="B",AX629,MAX(AX629,G629))))</f>
        <v>5</v>
      </c>
      <c r="AU629" s="57" t="n">
        <f aca="false">IF(BR629=1,0,ROUNDUP(AT629/BQ629,0))</f>
        <v>1</v>
      </c>
      <c r="AV629" s="59" t="n">
        <f aca="false">IF(CD629&gt;0,CD629*MAX(1,AT629/V629),IF(BR629=1,IF(AT629&lt;=0,0,BS629*MAX(1,IF(G629&gt;0,AT629/G629,1))),IF(Q629&gt;0,AU629/Q629,0))/MAX(0.1,N(Parameter!$M$21)))</f>
        <v>0.00757575757575758</v>
      </c>
      <c r="AW629" s="57" t="n">
        <f aca="false">AT629*F629</f>
        <v>27.5</v>
      </c>
      <c r="AX629" s="57" t="n">
        <f aca="false">ROUNDUP(MAX(I629/IF(BV629&gt;0,BV629,MAX(0.1,N(Cockpit!$O$6))),BY629)/BQ629,0)*BQ629</f>
        <v>5</v>
      </c>
      <c r="AY629" s="58" t="n">
        <f aca="false">IF(AV629&gt;0,I629/AV629,-1)</f>
        <v>792</v>
      </c>
      <c r="AZ629" s="58" t="n">
        <f aca="false">IF(AND(OR(BU629="L1",BU629="L23"),AV629&gt;0),SUMIFS($AV$7:$AV$1576,$BU$7:$BU$1576,BU629,$AY$7:$AY$1576,"&gt;"&amp;AY629)+SUMIFS($AV$7:$AV$1576,$BU$7:$BU$1576,BU629,$AY$7:$AY$1576,AY629,$BO$7:$BO$1576,"&lt;="&amp;BO629),"")</f>
        <v>26.0926241998093</v>
      </c>
      <c r="BA629" s="65" t="n">
        <f aca="false">IF(AZ629="",0,MAX(0,MIN(1,(IF(BU629="L1",Parameter!$E$5,Parameter!$E$6+Parameter!$E$7)-(AZ629-AV629))/AV629)))</f>
        <v>1</v>
      </c>
      <c r="BB629" s="55" t="str">
        <f aca="false">IF(AF629&lt;=0,"",IF(BU629="Aussen","Aussenlager",IF(BU629="-","Nicht im Lift",IF(AK629&gt;=1,"Lift",IF(AK629&lt;=0,"Aussenlager","teilweise")))))</f>
        <v/>
      </c>
      <c r="BC629" s="55" t="str">
        <f aca="false">IF(AN629&lt;=0,"",IF(BU629="Aussen","Aussenlager",IF(BU629="-","Nicht im Lift",IF(AS629&gt;=1,"Lift",IF(AS629&lt;=0,"Aussenlager","teilweise")))))</f>
        <v>Lift</v>
      </c>
      <c r="BD629" s="55" t="str">
        <f aca="false">IF(AV629&lt;=0,"",IF(BU629="Aussen","Aussenlager",IF(BU629="-","Nicht im Lift",IF(BA629&gt;=1,"Lift",IF(BA629&lt;=0,"Aussenlager","teilweise")))))</f>
        <v>Lift</v>
      </c>
      <c r="BE629" s="55" t="str">
        <f aca="false">IF(A629="","",IF(BN629=1,"Neu; ","")&amp;IF(AND(BN629=0,BI629&lt;0),"negativer Bestand (Export "&amp;BI629&amp;"); ","")&amp;IF(I629&lt;=0,"Kein Verbrauch; ","")&amp;IF(CD629&gt;0,"Lift "&amp;U629&amp;" lt. Liftbericht (Fach "&amp;V629&amp;" Stk); ",IF(BR629=1,"Lose – Fläche geschätzt; ",""))&amp;IF(G629&gt;AP629,"Überbestand "&amp;ROUND(G629-AP629,0)&amp;" Stk / CHF "&amp;ROUND((G629-AP629)*F629,0)&amp;"; ","")&amp;IF(AND(BW629=1,BX629&lt;BY629),"MAX &lt; MB+LG; ","")&amp;IF(AND(CC629&gt;0,CB629*10&gt;CC629),"zu hoch für Tablar; ","")&amp;IF(AND(BN629=0,OR(BW629=1,Y629&lt;&gt;"",S629&lt;&gt;"",T629&lt;&gt;"",Z629&lt;&gt;"")),"manuell übersteuert; ","")&amp;IF(AND(BR629=0,Q629=0),"Gebinde unbekannt / Stellmass fehlt; ","")&amp;IF(AND(BR629=0,N(T629)&lt;=0,N(P629)&lt;=0),"Menge pro Gebinde fehlt (Ist = 1 Gebinde); ","")&amp;BM629)</f>
        <v/>
      </c>
      <c r="BF629" s="55"/>
      <c r="BG629" s="55"/>
      <c r="BH629" s="62"/>
      <c r="BI629" s="57" t="n">
        <v>0</v>
      </c>
      <c r="BJ629" s="57" t="n">
        <v>3</v>
      </c>
      <c r="BK629" s="56" t="n">
        <v>1.70999999999999</v>
      </c>
      <c r="BL629" s="57" t="n">
        <v>6</v>
      </c>
      <c r="BM629" s="55"/>
      <c r="BN629" s="60" t="n">
        <v>0</v>
      </c>
      <c r="BO629" s="60" t="n">
        <v>629</v>
      </c>
      <c r="BP629" s="55" t="str">
        <f aca="false">IF(S629&lt;&gt;"",UPPER(TRIM(S629)),IF(O629="","LOSE",O629))</f>
        <v>S32</v>
      </c>
      <c r="BQ629" s="57" t="n">
        <f aca="false">IF(BP629="LOSE",1,IF(N(T629)&gt;0,T629,IF(N(P629)&gt;0,P629,MAX(1,G629))))</f>
        <v>5</v>
      </c>
      <c r="BR629" s="60" t="n">
        <f aca="false">IF(BP629="LOSE",1,0)</f>
        <v>0</v>
      </c>
      <c r="BS629" s="59" t="n">
        <f aca="false">IF(BR629=0,0,IF(N(R629)&gt;0,R629,IFERROR(VLOOKUP(D629,Parameter!$A$35:$C$64,3,0)+0,0)))</f>
        <v>0</v>
      </c>
      <c r="BT629" s="55" t="n">
        <f aca="false">IF(Y629&lt;&gt;"",Y629,X629)</f>
        <v>3</v>
      </c>
      <c r="BU629" s="55" t="str">
        <f aca="false">IF(BT629=1,"L1",IF(OR(BT629=2,BT629=3),"L23",IF(BT629="Aussen","Aussen","-")))</f>
        <v>L23</v>
      </c>
      <c r="BV629" s="66" t="n">
        <f aca="false">IF(N(Z629)&gt;0,Z629,0)</f>
        <v>0</v>
      </c>
      <c r="BW629" s="60" t="n">
        <f aca="false">IF(ISNUMBER(AC629),1,0)</f>
        <v>0</v>
      </c>
      <c r="BX629" s="57" t="n">
        <f aca="false">N(AC629)</f>
        <v>0</v>
      </c>
      <c r="BY629" s="57" t="n">
        <f aca="false">N(L629)+N(M629)</f>
        <v>5</v>
      </c>
      <c r="BZ629" s="57" t="n">
        <f aca="false">ROUNDUP(G629/BQ629,0)</f>
        <v>0</v>
      </c>
      <c r="CA629" s="57" t="n">
        <f aca="false">ROUNDUP(BX629/BQ629,0)</f>
        <v>0</v>
      </c>
      <c r="CB629" s="60" t="n">
        <f aca="false">IF(BR629=1,0,IFERROR(VLOOKUP(BP629,'Gebinde-Kategorie'!$A$5:$M$45,5,0)+0,0))</f>
        <v>8</v>
      </c>
      <c r="CC629" s="60" t="n">
        <f aca="false">IFERROR(IF(OR(BT629=1,BT629=2,BT629=3),N(INDEX(Parameter!$I$5:$I$7,BT629)),0),0)</f>
        <v>0</v>
      </c>
      <c r="CD629" s="59" t="n">
        <f aca="false">IF(AND(Parameter!$B$21="Ja",ISNUMBER(U629),N(V629)&gt;0),IFERROR(N(INDEX(Parameter!$L$5:$L$7,U629))*INDEX(Parameter!$E$5:$E$7,U629)*V629/SUMIFS($V$7:$V$1576,$U$7:$U$1576,U629),0),0)</f>
        <v>0</v>
      </c>
    </row>
    <row r="630" customFormat="false" ht="15" hidden="false" customHeight="false" outlineLevel="0" collapsed="false">
      <c r="A630" s="55" t="s">
        <v>1278</v>
      </c>
      <c r="B630" s="55" t="s">
        <v>1279</v>
      </c>
      <c r="C630" s="55" t="s">
        <v>160</v>
      </c>
      <c r="D630" s="55" t="s">
        <v>178</v>
      </c>
      <c r="E630" s="55" t="s">
        <v>210</v>
      </c>
      <c r="F630" s="56" t="n">
        <v>0.34</v>
      </c>
      <c r="G630" s="57" t="n">
        <f aca="false">MAX(0,IF(AND(Parameter!$B$21="Ja",ISNUMBER(W630)),W630,IF(Parameter!$B$20="Jahresanfang 2025 + Export",BJ630+BI630,BI630)))</f>
        <v>5</v>
      </c>
      <c r="H630" s="57" t="n">
        <f aca="false">G630*F630</f>
        <v>1.7</v>
      </c>
      <c r="I630" s="57" t="n">
        <f aca="false">BL630*Parameter!$B$18</f>
        <v>0</v>
      </c>
      <c r="J630" s="58" t="n">
        <v>877.5</v>
      </c>
      <c r="K630" s="59" t="n">
        <v>0</v>
      </c>
      <c r="L630" s="57" t="n">
        <v>0</v>
      </c>
      <c r="M630" s="57" t="n">
        <v>1</v>
      </c>
      <c r="N630" s="60" t="n">
        <v>21</v>
      </c>
      <c r="O630" s="55" t="s">
        <v>293</v>
      </c>
      <c r="P630" s="57" t="n">
        <v>827</v>
      </c>
      <c r="Q630" s="60" t="n">
        <f aca="false">IF(BR630=1,0,IFERROR(VLOOKUP(BP630,'Gebinde-Kategorie'!$A$5:$M$45,13,0)+0,0))</f>
        <v>26</v>
      </c>
      <c r="R630" s="61"/>
      <c r="S630" s="62"/>
      <c r="T630" s="62"/>
      <c r="U630" s="55"/>
      <c r="V630" s="57"/>
      <c r="W630" s="57"/>
      <c r="X630" s="55" t="n">
        <f aca="false">IF(A630="","",IF(AND(Parameter!$B$21="Ja",ISNUMBER(U630)),U630,IF(IFERROR(VLOOKUP(D630,Parameter!$A$35:$C$64,2,0),"Nein")="2+3",IF(ISNUMBER(SEARCH("grosser Artikel",BM630)),2,IFERROR(VLOOKUP(BP630,Parameter!$F$35:$G$64,2,0),2)),IF(OR(IFERROR(VLOOKUP(D630,Parameter!$A$35:$C$64,2,0),"Nein")="Nein",IFERROR(VLOOKUP(D630,Parameter!$A$35:$C$64,2,0),"Nein")=""),"-",VLOOKUP(D630,Parameter!$A$35:$C$64,2,0)))))</f>
        <v>3</v>
      </c>
      <c r="Y630" s="62"/>
      <c r="Z630" s="63"/>
      <c r="AA630" s="57" t="n">
        <f aca="false">AP630</f>
        <v>827</v>
      </c>
      <c r="AB630" s="57" t="n">
        <f aca="false">MAX(AP630,G630)</f>
        <v>827</v>
      </c>
      <c r="AC630" s="64"/>
      <c r="AD630" s="57" t="n">
        <f aca="false">IF(LEFT(Cockpit!$C$5,1)="A",G630,IF(BW630=1,BX630,IF(LEFT(Cockpit!$C$5,1)="B",AH630,MAX(AH630,G630))))</f>
        <v>5</v>
      </c>
      <c r="AE630" s="57" t="n">
        <f aca="false">IF(BR630=1,0,ROUNDUP(AD630/BQ630,0))</f>
        <v>1</v>
      </c>
      <c r="AF630" s="59" t="n">
        <f aca="false">IF(CD630&gt;0,CD630*MAX(1,AD630/V630),IF(BR630=1,IF(AD630&lt;=0,0,BS630*MAX(1,IF(G630&gt;0,AD630/G630,1))),IF(Q630&gt;0,AE630/Q630,0))/MAX(0.1,N(Parameter!$M$21)))</f>
        <v>0.0384615384615385</v>
      </c>
      <c r="AG630" s="57" t="n">
        <f aca="false">AD630*F630</f>
        <v>1.7</v>
      </c>
      <c r="AH630" s="57" t="n">
        <f aca="false">ROUNDUP(MAX(I630/IF(BV630&gt;0,BV630,MAX(0.1,N(Cockpit!$C$6))),BY630)/BQ630,0)*BQ630</f>
        <v>827</v>
      </c>
      <c r="AI630" s="58" t="n">
        <f aca="false">IF(AF630&gt;0,I630/AF630,-1)</f>
        <v>0</v>
      </c>
      <c r="AJ630" s="58" t="n">
        <f aca="false">IF(AND(OR(BU630="L1",BU630="L23"),AF630&gt;0),SUMIFS($AF$7:$AF$1576,$BU$7:$BU$1576,BU630,$AI$7:$AI$1576,"&gt;"&amp;AI630)+SUMIFS($AF$7:$AF$1576,$BU$7:$BU$1576,BU630,$AI$7:$AI$1576,AI630,$BO$7:$BO$1576,"&lt;="&amp;BO630),"")</f>
        <v>44.8934951521908</v>
      </c>
      <c r="AK630" s="65" t="n">
        <f aca="false">IF(AJ630="",0,MAX(0,MIN(1,(IF(BU630="L1",Parameter!$E$5,Parameter!$E$6+Parameter!$E$7)-(AJ630-AF630))/AF630)))</f>
        <v>1</v>
      </c>
      <c r="AL630" s="57" t="n">
        <f aca="false">IF(LEFT(Cockpit!$I$5,1)="A",G630,IF(BW630=1,BX630,IF(LEFT(Cockpit!$I$5,1)="B",AP630,MAX(AP630,G630))))</f>
        <v>827</v>
      </c>
      <c r="AM630" s="57" t="n">
        <f aca="false">IF(BR630=1,0,ROUNDUP(AL630/BQ630,0))</f>
        <v>1</v>
      </c>
      <c r="AN630" s="59" t="n">
        <f aca="false">IF(CD630&gt;0,CD630*MAX(1,AL630/V630),IF(BR630=1,IF(AL630&lt;=0,0,BS630*MAX(1,IF(G630&gt;0,AL630/G630,1))),IF(Q630&gt;0,AM630/Q630,0))/MAX(0.1,N(Parameter!$M$21)))</f>
        <v>0.0384615384615385</v>
      </c>
      <c r="AO630" s="57" t="n">
        <f aca="false">AL630*F630</f>
        <v>281.18</v>
      </c>
      <c r="AP630" s="57" t="n">
        <f aca="false">ROUNDUP(MAX(I630/IF(BV630&gt;0,BV630,MAX(0.1,N(Cockpit!$I$6))),BY630)/BQ630,0)*BQ630</f>
        <v>827</v>
      </c>
      <c r="AQ630" s="58" t="n">
        <f aca="false">IF(AN630&gt;0,I630/AN630,-1)</f>
        <v>0</v>
      </c>
      <c r="AR630" s="58" t="n">
        <f aca="false">IF(AND(OR(BU630="L1",BU630="L23"),AN630&gt;0),SUMIFS($AN$7:$AN$1576,$BU$7:$BU$1576,BU630,$AQ$7:$AQ$1576,"&gt;"&amp;AQ630)+SUMIFS($AN$7:$AN$1576,$BU$7:$BU$1576,BU630,$AQ$7:$AQ$1576,AQ630,$BO$7:$BO$1576,"&lt;="&amp;BO630),"")</f>
        <v>127.960167634346</v>
      </c>
      <c r="AS630" s="65" t="n">
        <f aca="false">IF(AR630="",0,MAX(0,MIN(1,(IF(BU630="L1",Parameter!$E$5,Parameter!$E$6+Parameter!$E$7)-(AR630-AN630))/AN630)))</f>
        <v>0</v>
      </c>
      <c r="AT630" s="57" t="n">
        <f aca="false">IF(LEFT(Cockpit!$O$5,1)="A",G630,IF(BW630=1,BX630,IF(LEFT(Cockpit!$O$5,1)="B",AX630,MAX(AX630,G630))))</f>
        <v>827</v>
      </c>
      <c r="AU630" s="57" t="n">
        <f aca="false">IF(BR630=1,0,ROUNDUP(AT630/BQ630,0))</f>
        <v>1</v>
      </c>
      <c r="AV630" s="59" t="n">
        <f aca="false">IF(CD630&gt;0,CD630*MAX(1,AT630/V630),IF(BR630=1,IF(AT630&lt;=0,0,BS630*MAX(1,IF(G630&gt;0,AT630/G630,1))),IF(Q630&gt;0,AU630/Q630,0))/MAX(0.1,N(Parameter!$M$21)))</f>
        <v>0.0384615384615385</v>
      </c>
      <c r="AW630" s="57" t="n">
        <f aca="false">AT630*F630</f>
        <v>281.18</v>
      </c>
      <c r="AX630" s="57" t="n">
        <f aca="false">ROUNDUP(MAX(I630/IF(BV630&gt;0,BV630,MAX(0.1,N(Cockpit!$O$6))),BY630)/BQ630,0)*BQ630</f>
        <v>827</v>
      </c>
      <c r="AY630" s="58" t="n">
        <f aca="false">IF(AV630&gt;0,I630/AV630,-1)</f>
        <v>0</v>
      </c>
      <c r="AZ630" s="58" t="n">
        <f aca="false">IF(AND(OR(BU630="L1",BU630="L23"),AV630&gt;0),SUMIFS($AV$7:$AV$1576,$BU$7:$BU$1576,BU630,$AY$7:$AY$1576,"&gt;"&amp;AY630)+SUMIFS($AV$7:$AV$1576,$BU$7:$BU$1576,BU630,$AY$7:$AY$1576,AY630,$BO$7:$BO$1576,"&lt;="&amp;BO630),"")</f>
        <v>118.019718083896</v>
      </c>
      <c r="BA630" s="65" t="n">
        <f aca="false">IF(AZ630="",0,MAX(0,MIN(1,(IF(BU630="L1",Parameter!$E$5,Parameter!$E$6+Parameter!$E$7)-(AZ630-AV630))/AV630)))</f>
        <v>0</v>
      </c>
      <c r="BB630" s="55" t="str">
        <f aca="false">IF(AF630&lt;=0,"",IF(BU630="Aussen","Aussenlager",IF(BU630="-","Nicht im Lift",IF(AK630&gt;=1,"Lift",IF(AK630&lt;=0,"Aussenlager","teilweise")))))</f>
        <v>Lift</v>
      </c>
      <c r="BC630" s="55" t="str">
        <f aca="false">IF(AN630&lt;=0,"",IF(BU630="Aussen","Aussenlager",IF(BU630="-","Nicht im Lift",IF(AS630&gt;=1,"Lift",IF(AS630&lt;=0,"Aussenlager","teilweise")))))</f>
        <v>Aussenlager</v>
      </c>
      <c r="BD630" s="55" t="str">
        <f aca="false">IF(AV630&lt;=0,"",IF(BU630="Aussen","Aussenlager",IF(BU630="-","Nicht im Lift",IF(BA630&gt;=1,"Lift",IF(BA630&lt;=0,"Aussenlager","teilweise")))))</f>
        <v>Aussenlager</v>
      </c>
      <c r="BE630" s="55" t="str">
        <f aca="false">IF(A630="","",IF(BN630=1,"Neu; ","")&amp;IF(AND(BN630=0,BI630&lt;0),"negativer Bestand (Export "&amp;BI630&amp;"); ","")&amp;IF(I630&lt;=0,"Kein Verbrauch; ","")&amp;IF(CD630&gt;0,"Lift "&amp;U630&amp;" lt. Liftbericht (Fach "&amp;V630&amp;" Stk); ",IF(BR630=1,"Lose – Fläche geschätzt; ",""))&amp;IF(G630&gt;AP630,"Überbestand "&amp;ROUND(G630-AP630,0)&amp;" Stk / CHF "&amp;ROUND((G630-AP630)*F630,0)&amp;"; ","")&amp;IF(AND(BW630=1,BX630&lt;BY630),"MAX &lt; MB+LG; ","")&amp;IF(AND(CC630&gt;0,CB630*10&gt;CC630),"zu hoch für Tablar; ","")&amp;IF(AND(BN630=0,OR(BW630=1,Y630&lt;&gt;"",S630&lt;&gt;"",T630&lt;&gt;"",Z630&lt;&gt;"")),"manuell übersteuert; ","")&amp;IF(AND(BR630=0,Q630=0),"Gebinde unbekannt / Stellmass fehlt; ","")&amp;IF(AND(BR630=0,N(T630)&lt;=0,N(P630)&lt;=0),"Menge pro Gebinde fehlt (Ist = 1 Gebinde); ","")&amp;BM630)</f>
        <v>Kein Verbrauch; Handlager</v>
      </c>
      <c r="BF630" s="55"/>
      <c r="BG630" s="55"/>
      <c r="BH630" s="62"/>
      <c r="BI630" s="57" t="n">
        <v>5</v>
      </c>
      <c r="BJ630" s="57" t="n">
        <v>875</v>
      </c>
      <c r="BK630" s="56" t="n">
        <v>1.7</v>
      </c>
      <c r="BL630" s="57" t="n">
        <v>0</v>
      </c>
      <c r="BM630" s="55" t="s">
        <v>884</v>
      </c>
      <c r="BN630" s="60" t="n">
        <v>0</v>
      </c>
      <c r="BO630" s="60" t="n">
        <v>630</v>
      </c>
      <c r="BP630" s="55" t="str">
        <f aca="false">IF(S630&lt;&gt;"",UPPER(TRIM(S630)),IF(O630="","LOSE",O630))</f>
        <v>S51</v>
      </c>
      <c r="BQ630" s="57" t="n">
        <f aca="false">IF(BP630="LOSE",1,IF(N(T630)&gt;0,T630,IF(N(P630)&gt;0,P630,MAX(1,G630))))</f>
        <v>827</v>
      </c>
      <c r="BR630" s="60" t="n">
        <f aca="false">IF(BP630="LOSE",1,0)</f>
        <v>0</v>
      </c>
      <c r="BS630" s="59" t="n">
        <f aca="false">IF(BR630=0,0,IF(N(R630)&gt;0,R630,IFERROR(VLOOKUP(D630,Parameter!$A$35:$C$64,3,0)+0,0)))</f>
        <v>0</v>
      </c>
      <c r="BT630" s="55" t="n">
        <f aca="false">IF(Y630&lt;&gt;"",Y630,X630)</f>
        <v>3</v>
      </c>
      <c r="BU630" s="55" t="str">
        <f aca="false">IF(BT630=1,"L1",IF(OR(BT630=2,BT630=3),"L23",IF(BT630="Aussen","Aussen","-")))</f>
        <v>L23</v>
      </c>
      <c r="BV630" s="66" t="n">
        <f aca="false">IF(N(Z630)&gt;0,Z630,0)</f>
        <v>0</v>
      </c>
      <c r="BW630" s="60" t="n">
        <f aca="false">IF(ISNUMBER(AC630),1,0)</f>
        <v>0</v>
      </c>
      <c r="BX630" s="57" t="n">
        <f aca="false">N(AC630)</f>
        <v>0</v>
      </c>
      <c r="BY630" s="57" t="n">
        <f aca="false">N(L630)+N(M630)</f>
        <v>1</v>
      </c>
      <c r="BZ630" s="57" t="n">
        <f aca="false">ROUNDUP(G630/BQ630,0)</f>
        <v>1</v>
      </c>
      <c r="CA630" s="57" t="n">
        <f aca="false">ROUNDUP(BX630/BQ630,0)</f>
        <v>0</v>
      </c>
      <c r="CB630" s="60" t="n">
        <f aca="false">IF(BR630=1,0,IFERROR(VLOOKUP(BP630,'Gebinde-Kategorie'!$A$5:$M$45,5,0)+0,0))</f>
        <v>11</v>
      </c>
      <c r="CC630" s="60" t="n">
        <f aca="false">IFERROR(IF(OR(BT630=1,BT630=2,BT630=3),N(INDEX(Parameter!$I$5:$I$7,BT630)),0),0)</f>
        <v>0</v>
      </c>
      <c r="CD630" s="59" t="n">
        <f aca="false">IF(AND(Parameter!$B$21="Ja",ISNUMBER(U630),N(V630)&gt;0),IFERROR(N(INDEX(Parameter!$L$5:$L$7,U630))*INDEX(Parameter!$E$5:$E$7,U630)*V630/SUMIFS($V$7:$V$1576,$U$7:$U$1576,U630),0),0)</f>
        <v>0</v>
      </c>
    </row>
    <row r="631" customFormat="false" ht="15" hidden="false" customHeight="false" outlineLevel="0" collapsed="false">
      <c r="A631" s="55" t="s">
        <v>1280</v>
      </c>
      <c r="B631" s="55" t="s">
        <v>393</v>
      </c>
      <c r="C631" s="55" t="s">
        <v>160</v>
      </c>
      <c r="D631" s="55" t="s">
        <v>984</v>
      </c>
      <c r="E631" s="55" t="s">
        <v>210</v>
      </c>
      <c r="F631" s="56" t="n">
        <v>0.41</v>
      </c>
      <c r="G631" s="57" t="n">
        <f aca="false">MAX(0,IF(AND(Parameter!$B$21="Ja",ISNUMBER(W631)),W631,IF(Parameter!$B$20="Jahresanfang 2025 + Export",BJ631+BI631,BI631)))</f>
        <v>4</v>
      </c>
      <c r="H631" s="57" t="n">
        <f aca="false">G631*F631</f>
        <v>1.64</v>
      </c>
      <c r="I631" s="57" t="n">
        <f aca="false">BL631*Parameter!$B$18</f>
        <v>96</v>
      </c>
      <c r="J631" s="58" t="n">
        <v>2</v>
      </c>
      <c r="K631" s="59" t="n">
        <v>48</v>
      </c>
      <c r="L631" s="57" t="n">
        <v>0</v>
      </c>
      <c r="M631" s="57" t="n">
        <v>100</v>
      </c>
      <c r="N631" s="60" t="n">
        <v>21</v>
      </c>
      <c r="O631" s="55" t="s">
        <v>163</v>
      </c>
      <c r="P631" s="57"/>
      <c r="Q631" s="60" t="n">
        <f aca="false">IF(BR631=1,0,IFERROR(VLOOKUP(BP631,'Gebinde-Kategorie'!$A$5:$M$45,13,0)+0,0))</f>
        <v>0</v>
      </c>
      <c r="R631" s="61"/>
      <c r="S631" s="62"/>
      <c r="T631" s="62"/>
      <c r="U631" s="55"/>
      <c r="V631" s="57"/>
      <c r="W631" s="57"/>
      <c r="X631" s="55" t="str">
        <f aca="false">IF(A631="","",IF(AND(Parameter!$B$21="Ja",ISNUMBER(U631)),U631,IF(IFERROR(VLOOKUP(D631,Parameter!$A$35:$C$64,2,0),"Nein")="2+3",IF(ISNUMBER(SEARCH("grosser Artikel",BM631)),2,IFERROR(VLOOKUP(BP631,Parameter!$F$35:$G$64,2,0),2)),IF(OR(IFERROR(VLOOKUP(D631,Parameter!$A$35:$C$64,2,0),"Nein")="Nein",IFERROR(VLOOKUP(D631,Parameter!$A$35:$C$64,2,0),"Nein")=""),"-",VLOOKUP(D631,Parameter!$A$35:$C$64,2,0)))))</f>
        <v>-</v>
      </c>
      <c r="Y631" s="62"/>
      <c r="Z631" s="63"/>
      <c r="AA631" s="57" t="n">
        <f aca="false">AP631</f>
        <v>100</v>
      </c>
      <c r="AB631" s="57" t="n">
        <f aca="false">MAX(AP631,G631)</f>
        <v>100</v>
      </c>
      <c r="AC631" s="64"/>
      <c r="AD631" s="57" t="n">
        <f aca="false">IF(LEFT(Cockpit!$C$5,1)="A",G631,IF(BW631=1,BX631,IF(LEFT(Cockpit!$C$5,1)="B",AH631,MAX(AH631,G631))))</f>
        <v>4</v>
      </c>
      <c r="AE631" s="57" t="n">
        <f aca="false">IF(BR631=1,0,ROUNDUP(AD631/BQ631,0))</f>
        <v>0</v>
      </c>
      <c r="AF631" s="59" t="n">
        <f aca="false">IF(CD631&gt;0,CD631*MAX(1,AD631/V631),IF(BR631=1,IF(AD631&lt;=0,0,BS631*MAX(1,IF(G631&gt;0,AD631/G631,1))),IF(Q631&gt;0,AE631/Q631,0))/MAX(0.1,N(Parameter!$M$21)))</f>
        <v>0.15</v>
      </c>
      <c r="AG631" s="57" t="n">
        <f aca="false">AD631*F631</f>
        <v>1.64</v>
      </c>
      <c r="AH631" s="57" t="n">
        <f aca="false">ROUNDUP(MAX(I631/IF(BV631&gt;0,BV631,MAX(0.1,N(Cockpit!$C$6))),BY631)/BQ631,0)*BQ631</f>
        <v>100</v>
      </c>
      <c r="AI631" s="58" t="n">
        <f aca="false">IF(AF631&gt;0,I631/AF631,-1)</f>
        <v>640</v>
      </c>
      <c r="AJ631" s="58" t="str">
        <f aca="false">IF(AND(OR(BU631="L1",BU631="L23"),AF631&gt;0),SUMIFS($AF$7:$AF$1576,$BU$7:$BU$1576,BU631,$AI$7:$AI$1576,"&gt;"&amp;AI631)+SUMIFS($AF$7:$AF$1576,$BU$7:$BU$1576,BU631,$AI$7:$AI$1576,AI631,$BO$7:$BO$1576,"&lt;="&amp;BO631),"")</f>
        <v/>
      </c>
      <c r="AK631" s="65" t="n">
        <f aca="false">IF(AJ631="",0,MAX(0,MIN(1,(IF(BU631="L1",Parameter!$E$5,Parameter!$E$6+Parameter!$E$7)-(AJ631-AF631))/AF631)))</f>
        <v>0</v>
      </c>
      <c r="AL631" s="57" t="n">
        <f aca="false">IF(LEFT(Cockpit!$I$5,1)="A",G631,IF(BW631=1,BX631,IF(LEFT(Cockpit!$I$5,1)="B",AP631,MAX(AP631,G631))))</f>
        <v>100</v>
      </c>
      <c r="AM631" s="57" t="n">
        <f aca="false">IF(BR631=1,0,ROUNDUP(AL631/BQ631,0))</f>
        <v>0</v>
      </c>
      <c r="AN631" s="59" t="n">
        <f aca="false">IF(CD631&gt;0,CD631*MAX(1,AL631/V631),IF(BR631=1,IF(AL631&lt;=0,0,BS631*MAX(1,IF(G631&gt;0,AL631/G631,1))),IF(Q631&gt;0,AM631/Q631,0))/MAX(0.1,N(Parameter!$M$21)))</f>
        <v>3.75</v>
      </c>
      <c r="AO631" s="57" t="n">
        <f aca="false">AL631*F631</f>
        <v>41</v>
      </c>
      <c r="AP631" s="57" t="n">
        <f aca="false">ROUNDUP(MAX(I631/IF(BV631&gt;0,BV631,MAX(0.1,N(Cockpit!$I$6))),BY631)/BQ631,0)*BQ631</f>
        <v>100</v>
      </c>
      <c r="AQ631" s="58" t="n">
        <f aca="false">IF(AN631&gt;0,I631/AN631,-1)</f>
        <v>25.6</v>
      </c>
      <c r="AR631" s="58" t="str">
        <f aca="false">IF(AND(OR(BU631="L1",BU631="L23"),AN631&gt;0),SUMIFS($AN$7:$AN$1576,$BU$7:$BU$1576,BU631,$AQ$7:$AQ$1576,"&gt;"&amp;AQ631)+SUMIFS($AN$7:$AN$1576,$BU$7:$BU$1576,BU631,$AQ$7:$AQ$1576,AQ631,$BO$7:$BO$1576,"&lt;="&amp;BO631),"")</f>
        <v/>
      </c>
      <c r="AS631" s="65" t="n">
        <f aca="false">IF(AR631="",0,MAX(0,MIN(1,(IF(BU631="L1",Parameter!$E$5,Parameter!$E$6+Parameter!$E$7)-(AR631-AN631))/AN631)))</f>
        <v>0</v>
      </c>
      <c r="AT631" s="57" t="n">
        <f aca="false">IF(LEFT(Cockpit!$O$5,1)="A",G631,IF(BW631=1,BX631,IF(LEFT(Cockpit!$O$5,1)="B",AX631,MAX(AX631,G631))))</f>
        <v>100</v>
      </c>
      <c r="AU631" s="57" t="n">
        <f aca="false">IF(BR631=1,0,ROUNDUP(AT631/BQ631,0))</f>
        <v>0</v>
      </c>
      <c r="AV631" s="59" t="n">
        <f aca="false">IF(CD631&gt;0,CD631*MAX(1,AT631/V631),IF(BR631=1,IF(AT631&lt;=0,0,BS631*MAX(1,IF(G631&gt;0,AT631/G631,1))),IF(Q631&gt;0,AU631/Q631,0))/MAX(0.1,N(Parameter!$M$21)))</f>
        <v>3.75</v>
      </c>
      <c r="AW631" s="57" t="n">
        <f aca="false">AT631*F631</f>
        <v>41</v>
      </c>
      <c r="AX631" s="57" t="n">
        <f aca="false">ROUNDUP(MAX(I631/IF(BV631&gt;0,BV631,MAX(0.1,N(Cockpit!$O$6))),BY631)/BQ631,0)*BQ631</f>
        <v>100</v>
      </c>
      <c r="AY631" s="58" t="n">
        <f aca="false">IF(AV631&gt;0,I631/AV631,-1)</f>
        <v>25.6</v>
      </c>
      <c r="AZ631" s="58" t="str">
        <f aca="false">IF(AND(OR(BU631="L1",BU631="L23"),AV631&gt;0),SUMIFS($AV$7:$AV$1576,$BU$7:$BU$1576,BU631,$AY$7:$AY$1576,"&gt;"&amp;AY631)+SUMIFS($AV$7:$AV$1576,$BU$7:$BU$1576,BU631,$AY$7:$AY$1576,AY631,$BO$7:$BO$1576,"&lt;="&amp;BO631),"")</f>
        <v/>
      </c>
      <c r="BA631" s="65" t="n">
        <f aca="false">IF(AZ631="",0,MAX(0,MIN(1,(IF(BU631="L1",Parameter!$E$5,Parameter!$E$6+Parameter!$E$7)-(AZ631-AV631))/AV631)))</f>
        <v>0</v>
      </c>
      <c r="BB631" s="55" t="str">
        <f aca="false">IF(AF631&lt;=0,"",IF(BU631="Aussen","Aussenlager",IF(BU631="-","Nicht im Lift",IF(AK631&gt;=1,"Lift",IF(AK631&lt;=0,"Aussenlager","teilweise")))))</f>
        <v>Nicht im Lift</v>
      </c>
      <c r="BC631" s="55" t="str">
        <f aca="false">IF(AN631&lt;=0,"",IF(BU631="Aussen","Aussenlager",IF(BU631="-","Nicht im Lift",IF(AS631&gt;=1,"Lift",IF(AS631&lt;=0,"Aussenlager","teilweise")))))</f>
        <v>Nicht im Lift</v>
      </c>
      <c r="BD631" s="55" t="str">
        <f aca="false">IF(AV631&lt;=0,"",IF(BU631="Aussen","Aussenlager",IF(BU631="-","Nicht im Lift",IF(BA631&gt;=1,"Lift",IF(BA631&lt;=0,"Aussenlager","teilweise")))))</f>
        <v>Nicht im Lift</v>
      </c>
      <c r="BE631" s="55" t="str">
        <f aca="false">IF(A631="","",IF(BN631=1,"Neu; ","")&amp;IF(AND(BN631=0,BI631&lt;0),"negativer Bestand (Export "&amp;BI631&amp;"); ","")&amp;IF(I631&lt;=0,"Kein Verbrauch; ","")&amp;IF(CD631&gt;0,"Lift "&amp;U631&amp;" lt. Liftbericht (Fach "&amp;V631&amp;" Stk); ",IF(BR631=1,"Lose – Fläche geschätzt; ",""))&amp;IF(G631&gt;AP631,"Überbestand "&amp;ROUND(G631-AP631,0)&amp;" Stk / CHF "&amp;ROUND((G631-AP631)*F631,0)&amp;"; ","")&amp;IF(AND(BW631=1,BX631&lt;BY631),"MAX &lt; MB+LG; ","")&amp;IF(AND(CC631&gt;0,CB631*10&gt;CC631),"zu hoch für Tablar; ","")&amp;IF(AND(BN631=0,OR(BW631=1,Y631&lt;&gt;"",S631&lt;&gt;"",T631&lt;&gt;"",Z631&lt;&gt;"")),"manuell übersteuert; ","")&amp;IF(AND(BR631=0,Q631=0),"Gebinde unbekannt / Stellmass fehlt; ","")&amp;IF(AND(BR631=0,N(T631)&lt;=0,N(P631)&lt;=0),"Menge pro Gebinde fehlt (Ist = 1 Gebinde); ","")&amp;BM631)</f>
        <v>Lose – Fläche geschätzt; </v>
      </c>
      <c r="BF631" s="55"/>
      <c r="BG631" s="55"/>
      <c r="BH631" s="62"/>
      <c r="BI631" s="57" t="n">
        <v>4</v>
      </c>
      <c r="BJ631" s="57" t="n">
        <v>0</v>
      </c>
      <c r="BK631" s="56" t="n">
        <v>1.64</v>
      </c>
      <c r="BL631" s="57" t="n">
        <v>96</v>
      </c>
      <c r="BM631" s="55"/>
      <c r="BN631" s="60" t="n">
        <v>0</v>
      </c>
      <c r="BO631" s="60" t="n">
        <v>631</v>
      </c>
      <c r="BP631" s="55" t="str">
        <f aca="false">IF(S631&lt;&gt;"",UPPER(TRIM(S631)),IF(O631="","LOSE",O631))</f>
        <v>LOSE</v>
      </c>
      <c r="BQ631" s="57" t="n">
        <f aca="false">IF(BP631="LOSE",1,IF(N(T631)&gt;0,T631,IF(N(P631)&gt;0,P631,MAX(1,G631))))</f>
        <v>1</v>
      </c>
      <c r="BR631" s="60" t="n">
        <f aca="false">IF(BP631="LOSE",1,0)</f>
        <v>1</v>
      </c>
      <c r="BS631" s="59" t="n">
        <f aca="false">IF(BR631=0,0,IF(N(R631)&gt;0,R631,IFERROR(VLOOKUP(D631,Parameter!$A$35:$C$64,3,0)+0,0)))</f>
        <v>0.15</v>
      </c>
      <c r="BT631" s="55" t="str">
        <f aca="false">IF(Y631&lt;&gt;"",Y631,X631)</f>
        <v>-</v>
      </c>
      <c r="BU631" s="55" t="str">
        <f aca="false">IF(BT631=1,"L1",IF(OR(BT631=2,BT631=3),"L23",IF(BT631="Aussen","Aussen","-")))</f>
        <v>-</v>
      </c>
      <c r="BV631" s="66" t="n">
        <f aca="false">IF(N(Z631)&gt;0,Z631,0)</f>
        <v>0</v>
      </c>
      <c r="BW631" s="60" t="n">
        <f aca="false">IF(ISNUMBER(AC631),1,0)</f>
        <v>0</v>
      </c>
      <c r="BX631" s="57" t="n">
        <f aca="false">N(AC631)</f>
        <v>0</v>
      </c>
      <c r="BY631" s="57" t="n">
        <f aca="false">N(L631)+N(M631)</f>
        <v>100</v>
      </c>
      <c r="BZ631" s="57" t="n">
        <f aca="false">ROUNDUP(G631/BQ631,0)</f>
        <v>4</v>
      </c>
      <c r="CA631" s="57" t="n">
        <f aca="false">ROUNDUP(BX631/BQ631,0)</f>
        <v>0</v>
      </c>
      <c r="CB631" s="60" t="n">
        <f aca="false">IF(BR631=1,0,IFERROR(VLOOKUP(BP631,'Gebinde-Kategorie'!$A$5:$M$45,5,0)+0,0))</f>
        <v>0</v>
      </c>
      <c r="CC631" s="60" t="n">
        <f aca="false">IFERROR(IF(OR(BT631=1,BT631=2,BT631=3),N(INDEX(Parameter!$I$5:$I$7,BT631)),0),0)</f>
        <v>0</v>
      </c>
      <c r="CD631" s="59" t="n">
        <f aca="false">IF(AND(Parameter!$B$21="Ja",ISNUMBER(U631),N(V631)&gt;0),IFERROR(N(INDEX(Parameter!$L$5:$L$7,U631))*INDEX(Parameter!$E$5:$E$7,U631)*V631/SUMIFS($V$7:$V$1576,$U$7:$U$1576,U631),0),0)</f>
        <v>0</v>
      </c>
    </row>
    <row r="632" customFormat="false" ht="15" hidden="false" customHeight="false" outlineLevel="0" collapsed="false">
      <c r="A632" s="55" t="s">
        <v>1281</v>
      </c>
      <c r="B632" s="55" t="s">
        <v>1282</v>
      </c>
      <c r="C632" s="55" t="s">
        <v>160</v>
      </c>
      <c r="D632" s="55" t="s">
        <v>178</v>
      </c>
      <c r="E632" s="55" t="s">
        <v>210</v>
      </c>
      <c r="F632" s="56" t="n">
        <v>1.25</v>
      </c>
      <c r="G632" s="57" t="n">
        <f aca="false">MAX(0,IF(AND(Parameter!$B$21="Ja",ISNUMBER(W632)),W632,IF(Parameter!$B$20="Jahresanfang 2025 + Export",BJ632+BI632,BI632)))</f>
        <v>1</v>
      </c>
      <c r="H632" s="57" t="n">
        <f aca="false">G632*F632</f>
        <v>1.25</v>
      </c>
      <c r="I632" s="57" t="n">
        <f aca="false">BL632*Parameter!$B$18</f>
        <v>22</v>
      </c>
      <c r="J632" s="58" t="n">
        <v>11.5</v>
      </c>
      <c r="K632" s="59" t="n">
        <v>1.91304347826087</v>
      </c>
      <c r="L632" s="57" t="n">
        <v>0</v>
      </c>
      <c r="M632" s="57" t="n">
        <v>20</v>
      </c>
      <c r="N632" s="60" t="n">
        <v>14</v>
      </c>
      <c r="O632" s="55" t="s">
        <v>416</v>
      </c>
      <c r="P632" s="57" t="n">
        <v>22</v>
      </c>
      <c r="Q632" s="60" t="n">
        <f aca="false">IF(BR632=1,0,IFERROR(VLOOKUP(BP632,'Gebinde-Kategorie'!$A$5:$M$45,13,0)+0,0))</f>
        <v>198</v>
      </c>
      <c r="R632" s="61"/>
      <c r="S632" s="62"/>
      <c r="T632" s="62"/>
      <c r="U632" s="55"/>
      <c r="V632" s="57"/>
      <c r="W632" s="57"/>
      <c r="X632" s="55" t="n">
        <f aca="false">IF(A632="","",IF(AND(Parameter!$B$21="Ja",ISNUMBER(U632)),U632,IF(IFERROR(VLOOKUP(D632,Parameter!$A$35:$C$64,2,0),"Nein")="2+3",IF(ISNUMBER(SEARCH("grosser Artikel",BM632)),2,IFERROR(VLOOKUP(BP632,Parameter!$F$35:$G$64,2,0),2)),IF(OR(IFERROR(VLOOKUP(D632,Parameter!$A$35:$C$64,2,0),"Nein")="Nein",IFERROR(VLOOKUP(D632,Parameter!$A$35:$C$64,2,0),"Nein")=""),"-",VLOOKUP(D632,Parameter!$A$35:$C$64,2,0)))))</f>
        <v>3</v>
      </c>
      <c r="Y632" s="62"/>
      <c r="Z632" s="63"/>
      <c r="AA632" s="57" t="n">
        <f aca="false">AP632</f>
        <v>22</v>
      </c>
      <c r="AB632" s="57" t="n">
        <f aca="false">MAX(AP632,G632)</f>
        <v>22</v>
      </c>
      <c r="AC632" s="64"/>
      <c r="AD632" s="57" t="n">
        <f aca="false">IF(LEFT(Cockpit!$C$5,1)="A",G632,IF(BW632=1,BX632,IF(LEFT(Cockpit!$C$5,1)="B",AH632,MAX(AH632,G632))))</f>
        <v>1</v>
      </c>
      <c r="AE632" s="57" t="n">
        <f aca="false">IF(BR632=1,0,ROUNDUP(AD632/BQ632,0))</f>
        <v>1</v>
      </c>
      <c r="AF632" s="59" t="n">
        <f aca="false">IF(CD632&gt;0,CD632*MAX(1,AD632/V632),IF(BR632=1,IF(AD632&lt;=0,0,BS632*MAX(1,IF(G632&gt;0,AD632/G632,1))),IF(Q632&gt;0,AE632/Q632,0))/MAX(0.1,N(Parameter!$M$21)))</f>
        <v>0.00505050505050505</v>
      </c>
      <c r="AG632" s="57" t="n">
        <f aca="false">AD632*F632</f>
        <v>1.25</v>
      </c>
      <c r="AH632" s="57" t="n">
        <f aca="false">ROUNDUP(MAX(I632/IF(BV632&gt;0,BV632,MAX(0.1,N(Cockpit!$C$6))),BY632)/BQ632,0)*BQ632</f>
        <v>22</v>
      </c>
      <c r="AI632" s="58" t="n">
        <f aca="false">IF(AF632&gt;0,I632/AF632,-1)</f>
        <v>4356</v>
      </c>
      <c r="AJ632" s="58" t="n">
        <f aca="false">IF(AND(OR(BU632="L1",BU632="L23"),AF632&gt;0),SUMIFS($AF$7:$AF$1576,$BU$7:$BU$1576,BU632,$AI$7:$AI$1576,"&gt;"&amp;AI632)+SUMIFS($AF$7:$AF$1576,$BU$7:$BU$1576,BU632,$AI$7:$AI$1576,AI632,$BO$7:$BO$1576,"&lt;="&amp;BO632),"")</f>
        <v>4.14061484409311</v>
      </c>
      <c r="AK632" s="65" t="n">
        <f aca="false">IF(AJ632="",0,MAX(0,MIN(1,(IF(BU632="L1",Parameter!$E$5,Parameter!$E$6+Parameter!$E$7)-(AJ632-AF632))/AF632)))</f>
        <v>1</v>
      </c>
      <c r="AL632" s="57" t="n">
        <f aca="false">IF(LEFT(Cockpit!$I$5,1)="A",G632,IF(BW632=1,BX632,IF(LEFT(Cockpit!$I$5,1)="B",AP632,MAX(AP632,G632))))</f>
        <v>22</v>
      </c>
      <c r="AM632" s="57" t="n">
        <f aca="false">IF(BR632=1,0,ROUNDUP(AL632/BQ632,0))</f>
        <v>1</v>
      </c>
      <c r="AN632" s="59" t="n">
        <f aca="false">IF(CD632&gt;0,CD632*MAX(1,AL632/V632),IF(BR632=1,IF(AL632&lt;=0,0,BS632*MAX(1,IF(G632&gt;0,AL632/G632,1))),IF(Q632&gt;0,AM632/Q632,0))/MAX(0.1,N(Parameter!$M$21)))</f>
        <v>0.00505050505050505</v>
      </c>
      <c r="AO632" s="57" t="n">
        <f aca="false">AL632*F632</f>
        <v>27.5</v>
      </c>
      <c r="AP632" s="57" t="n">
        <f aca="false">ROUNDUP(MAX(I632/IF(BV632&gt;0,BV632,MAX(0.1,N(Cockpit!$I$6))),BY632)/BQ632,0)*BQ632</f>
        <v>22</v>
      </c>
      <c r="AQ632" s="58" t="n">
        <f aca="false">IF(AN632&gt;0,I632/AN632,-1)</f>
        <v>4356</v>
      </c>
      <c r="AR632" s="58" t="n">
        <f aca="false">IF(AND(OR(BU632="L1",BU632="L23"),AN632&gt;0),SUMIFS($AN$7:$AN$1576,$BU$7:$BU$1576,BU632,$AQ$7:$AQ$1576,"&gt;"&amp;AQ632)+SUMIFS($AN$7:$AN$1576,$BU$7:$BU$1576,BU632,$AQ$7:$AQ$1576,AQ632,$BO$7:$BO$1576,"&lt;="&amp;BO632),"")</f>
        <v>12.7376902570859</v>
      </c>
      <c r="AS632" s="65" t="n">
        <f aca="false">IF(AR632="",0,MAX(0,MIN(1,(IF(BU632="L1",Parameter!$E$5,Parameter!$E$6+Parameter!$E$7)-(AR632-AN632))/AN632)))</f>
        <v>1</v>
      </c>
      <c r="AT632" s="57" t="n">
        <f aca="false">IF(LEFT(Cockpit!$O$5,1)="A",G632,IF(BW632=1,BX632,IF(LEFT(Cockpit!$O$5,1)="B",AX632,MAX(AX632,G632))))</f>
        <v>22</v>
      </c>
      <c r="AU632" s="57" t="n">
        <f aca="false">IF(BR632=1,0,ROUNDUP(AT632/BQ632,0))</f>
        <v>1</v>
      </c>
      <c r="AV632" s="59" t="n">
        <f aca="false">IF(CD632&gt;0,CD632*MAX(1,AT632/V632),IF(BR632=1,IF(AT632&lt;=0,0,BS632*MAX(1,IF(G632&gt;0,AT632/G632,1))),IF(Q632&gt;0,AU632/Q632,0))/MAX(0.1,N(Parameter!$M$21)))</f>
        <v>0.00505050505050505</v>
      </c>
      <c r="AW632" s="57" t="n">
        <f aca="false">AT632*F632</f>
        <v>27.5</v>
      </c>
      <c r="AX632" s="57" t="n">
        <f aca="false">ROUNDUP(MAX(I632/IF(BV632&gt;0,BV632,MAX(0.1,N(Cockpit!$O$6))),BY632)/BQ632,0)*BQ632</f>
        <v>22</v>
      </c>
      <c r="AY632" s="58" t="n">
        <f aca="false">IF(AV632&gt;0,I632/AV632,-1)</f>
        <v>4356</v>
      </c>
      <c r="AZ632" s="58" t="n">
        <f aca="false">IF(AND(OR(BU632="L1",BU632="L23"),AV632&gt;0),SUMIFS($AV$7:$AV$1576,$BU$7:$BU$1576,BU632,$AY$7:$AY$1576,"&gt;"&amp;AY632)+SUMIFS($AV$7:$AV$1576,$BU$7:$BU$1576,BU632,$AY$7:$AY$1576,AY632,$BO$7:$BO$1576,"&lt;="&amp;BO632),"")</f>
        <v>11.4585527279484</v>
      </c>
      <c r="BA632" s="65" t="n">
        <f aca="false">IF(AZ632="",0,MAX(0,MIN(1,(IF(BU632="L1",Parameter!$E$5,Parameter!$E$6+Parameter!$E$7)-(AZ632-AV632))/AV632)))</f>
        <v>1</v>
      </c>
      <c r="BB632" s="55" t="str">
        <f aca="false">IF(AF632&lt;=0,"",IF(BU632="Aussen","Aussenlager",IF(BU632="-","Nicht im Lift",IF(AK632&gt;=1,"Lift",IF(AK632&lt;=0,"Aussenlager","teilweise")))))</f>
        <v>Lift</v>
      </c>
      <c r="BC632" s="55" t="str">
        <f aca="false">IF(AN632&lt;=0,"",IF(BU632="Aussen","Aussenlager",IF(BU632="-","Nicht im Lift",IF(AS632&gt;=1,"Lift",IF(AS632&lt;=0,"Aussenlager","teilweise")))))</f>
        <v>Lift</v>
      </c>
      <c r="BD632" s="55" t="str">
        <f aca="false">IF(AV632&lt;=0,"",IF(BU632="Aussen","Aussenlager",IF(BU632="-","Nicht im Lift",IF(BA632&gt;=1,"Lift",IF(BA632&lt;=0,"Aussenlager","teilweise")))))</f>
        <v>Lift</v>
      </c>
      <c r="BE632" s="55" t="str">
        <f aca="false">IF(A632="","",IF(BN632=1,"Neu; ","")&amp;IF(AND(BN632=0,BI632&lt;0),"negativer Bestand (Export "&amp;BI632&amp;"); ","")&amp;IF(I632&lt;=0,"Kein Verbrauch; ","")&amp;IF(CD632&gt;0,"Lift "&amp;U632&amp;" lt. Liftbericht (Fach "&amp;V632&amp;" Stk); ",IF(BR632=1,"Lose – Fläche geschätzt; ",""))&amp;IF(G632&gt;AP632,"Überbestand "&amp;ROUND(G632-AP632,0)&amp;" Stk / CHF "&amp;ROUND((G632-AP632)*F632,0)&amp;"; ","")&amp;IF(AND(BW632=1,BX632&lt;BY632),"MAX &lt; MB+LG; ","")&amp;IF(AND(CC632&gt;0,CB632*10&gt;CC632),"zu hoch für Tablar; ","")&amp;IF(AND(BN632=0,OR(BW632=1,Y632&lt;&gt;"",S632&lt;&gt;"",T632&lt;&gt;"",Z632&lt;&gt;"")),"manuell übersteuert; ","")&amp;IF(AND(BR632=0,Q632=0),"Gebinde unbekannt / Stellmass fehlt; ","")&amp;IF(AND(BR632=0,N(T632)&lt;=0,N(P632)&lt;=0),"Menge pro Gebinde fehlt (Ist = 1 Gebinde); ","")&amp;BM632)</f>
        <v/>
      </c>
      <c r="BF632" s="55"/>
      <c r="BG632" s="55"/>
      <c r="BH632" s="62"/>
      <c r="BI632" s="57" t="n">
        <v>1</v>
      </c>
      <c r="BJ632" s="57" t="n">
        <v>13</v>
      </c>
      <c r="BK632" s="56" t="n">
        <v>1.64</v>
      </c>
      <c r="BL632" s="57" t="n">
        <v>22</v>
      </c>
      <c r="BM632" s="55"/>
      <c r="BN632" s="60" t="n">
        <v>0</v>
      </c>
      <c r="BO632" s="60" t="n">
        <v>632</v>
      </c>
      <c r="BP632" s="55" t="str">
        <f aca="false">IF(S632&lt;&gt;"",UPPER(TRIM(S632)),IF(O632="","LOSE",O632))</f>
        <v>S22</v>
      </c>
      <c r="BQ632" s="57" t="n">
        <f aca="false">IF(BP632="LOSE",1,IF(N(T632)&gt;0,T632,IF(N(P632)&gt;0,P632,MAX(1,G632))))</f>
        <v>22</v>
      </c>
      <c r="BR632" s="60" t="n">
        <f aca="false">IF(BP632="LOSE",1,0)</f>
        <v>0</v>
      </c>
      <c r="BS632" s="59" t="n">
        <f aca="false">IF(BR632=0,0,IF(N(R632)&gt;0,R632,IFERROR(VLOOKUP(D632,Parameter!$A$35:$C$64,3,0)+0,0)))</f>
        <v>0</v>
      </c>
      <c r="BT632" s="55" t="n">
        <f aca="false">IF(Y632&lt;&gt;"",Y632,X632)</f>
        <v>3</v>
      </c>
      <c r="BU632" s="55" t="str">
        <f aca="false">IF(BT632=1,"L1",IF(OR(BT632=2,BT632=3),"L23",IF(BT632="Aussen","Aussen","-")))</f>
        <v>L23</v>
      </c>
      <c r="BV632" s="66" t="n">
        <f aca="false">IF(N(Z632)&gt;0,Z632,0)</f>
        <v>0</v>
      </c>
      <c r="BW632" s="60" t="n">
        <f aca="false">IF(ISNUMBER(AC632),1,0)</f>
        <v>0</v>
      </c>
      <c r="BX632" s="57" t="n">
        <f aca="false">N(AC632)</f>
        <v>0</v>
      </c>
      <c r="BY632" s="57" t="n">
        <f aca="false">N(L632)+N(M632)</f>
        <v>20</v>
      </c>
      <c r="BZ632" s="57" t="n">
        <f aca="false">ROUNDUP(G632/BQ632,0)</f>
        <v>1</v>
      </c>
      <c r="CA632" s="57" t="n">
        <f aca="false">ROUNDUP(BX632/BQ632,0)</f>
        <v>0</v>
      </c>
      <c r="CB632" s="60" t="n">
        <f aca="false">IF(BR632=1,0,IFERROR(VLOOKUP(BP632,'Gebinde-Kategorie'!$A$5:$M$45,5,0)+0,0))</f>
        <v>8</v>
      </c>
      <c r="CC632" s="60" t="n">
        <f aca="false">IFERROR(IF(OR(BT632=1,BT632=2,BT632=3),N(INDEX(Parameter!$I$5:$I$7,BT632)),0),0)</f>
        <v>0</v>
      </c>
      <c r="CD632" s="59" t="n">
        <f aca="false">IF(AND(Parameter!$B$21="Ja",ISNUMBER(U632),N(V632)&gt;0),IFERROR(N(INDEX(Parameter!$L$5:$L$7,U632))*INDEX(Parameter!$E$5:$E$7,U632)*V632/SUMIFS($V$7:$V$1576,$U$7:$U$1576,U632),0),0)</f>
        <v>0</v>
      </c>
    </row>
    <row r="633" customFormat="false" ht="15" hidden="false" customHeight="false" outlineLevel="0" collapsed="false">
      <c r="A633" s="55" t="s">
        <v>1283</v>
      </c>
      <c r="B633" s="55" t="s">
        <v>1279</v>
      </c>
      <c r="C633" s="55" t="s">
        <v>160</v>
      </c>
      <c r="D633" s="55" t="s">
        <v>178</v>
      </c>
      <c r="E633" s="55" t="s">
        <v>210</v>
      </c>
      <c r="F633" s="56" t="n">
        <v>0.85</v>
      </c>
      <c r="G633" s="57" t="n">
        <f aca="false">MAX(0,IF(AND(Parameter!$B$21="Ja",ISNUMBER(W633)),W633,IF(Parameter!$B$20="Jahresanfang 2025 + Export",BJ633+BI633,BI633)))</f>
        <v>1</v>
      </c>
      <c r="H633" s="57" t="n">
        <f aca="false">G633*F633</f>
        <v>0.85</v>
      </c>
      <c r="I633" s="57" t="n">
        <f aca="false">BL633*Parameter!$B$18</f>
        <v>72</v>
      </c>
      <c r="J633" s="58" t="n">
        <v>40</v>
      </c>
      <c r="K633" s="59" t="n">
        <v>1.8</v>
      </c>
      <c r="L633" s="57" t="n">
        <v>2</v>
      </c>
      <c r="M633" s="57" t="n">
        <v>70</v>
      </c>
      <c r="N633" s="60" t="n">
        <v>14</v>
      </c>
      <c r="O633" s="55" t="s">
        <v>225</v>
      </c>
      <c r="P633" s="57" t="n">
        <v>88</v>
      </c>
      <c r="Q633" s="60" t="n">
        <f aca="false">IF(BR633=1,0,IFERROR(VLOOKUP(BP633,'Gebinde-Kategorie'!$A$5:$M$45,13,0)+0,0))</f>
        <v>26</v>
      </c>
      <c r="R633" s="61"/>
      <c r="S633" s="62"/>
      <c r="T633" s="62"/>
      <c r="U633" s="55"/>
      <c r="V633" s="57"/>
      <c r="W633" s="57"/>
      <c r="X633" s="55" t="n">
        <f aca="false">IF(A633="","",IF(AND(Parameter!$B$21="Ja",ISNUMBER(U633)),U633,IF(IFERROR(VLOOKUP(D633,Parameter!$A$35:$C$64,2,0),"Nein")="2+3",IF(ISNUMBER(SEARCH("grosser Artikel",BM633)),2,IFERROR(VLOOKUP(BP633,Parameter!$F$35:$G$64,2,0),2)),IF(OR(IFERROR(VLOOKUP(D633,Parameter!$A$35:$C$64,2,0),"Nein")="Nein",IFERROR(VLOOKUP(D633,Parameter!$A$35:$C$64,2,0),"Nein")=""),"-",VLOOKUP(D633,Parameter!$A$35:$C$64,2,0)))))</f>
        <v>3</v>
      </c>
      <c r="Y633" s="62"/>
      <c r="Z633" s="63"/>
      <c r="AA633" s="57" t="n">
        <f aca="false">AP633</f>
        <v>88</v>
      </c>
      <c r="AB633" s="57" t="n">
        <f aca="false">MAX(AP633,G633)</f>
        <v>88</v>
      </c>
      <c r="AC633" s="64"/>
      <c r="AD633" s="57" t="n">
        <f aca="false">IF(LEFT(Cockpit!$C$5,1)="A",G633,IF(BW633=1,BX633,IF(LEFT(Cockpit!$C$5,1)="B",AH633,MAX(AH633,G633))))</f>
        <v>1</v>
      </c>
      <c r="AE633" s="57" t="n">
        <f aca="false">IF(BR633=1,0,ROUNDUP(AD633/BQ633,0))</f>
        <v>1</v>
      </c>
      <c r="AF633" s="59" t="n">
        <f aca="false">IF(CD633&gt;0,CD633*MAX(1,AD633/V633),IF(BR633=1,IF(AD633&lt;=0,0,BS633*MAX(1,IF(G633&gt;0,AD633/G633,1))),IF(Q633&gt;0,AE633/Q633,0))/MAX(0.1,N(Parameter!$M$21)))</f>
        <v>0.0384615384615385</v>
      </c>
      <c r="AG633" s="57" t="n">
        <f aca="false">AD633*F633</f>
        <v>0.85</v>
      </c>
      <c r="AH633" s="57" t="n">
        <f aca="false">ROUNDUP(MAX(I633/IF(BV633&gt;0,BV633,MAX(0.1,N(Cockpit!$C$6))),BY633)/BQ633,0)*BQ633</f>
        <v>88</v>
      </c>
      <c r="AI633" s="58" t="n">
        <f aca="false">IF(AF633&gt;0,I633/AF633,-1)</f>
        <v>1872</v>
      </c>
      <c r="AJ633" s="58" t="n">
        <f aca="false">IF(AND(OR(BU633="L1",BU633="L23"),AF633&gt;0),SUMIFS($AF$7:$AF$1576,$BU$7:$BU$1576,BU633,$AI$7:$AI$1576,"&gt;"&amp;AI633)+SUMIFS($AF$7:$AF$1576,$BU$7:$BU$1576,BU633,$AI$7:$AI$1576,AI633,$BO$7:$BO$1576,"&lt;="&amp;BO633),"")</f>
        <v>6.94606060606061</v>
      </c>
      <c r="AK633" s="65" t="n">
        <f aca="false">IF(AJ633="",0,MAX(0,MIN(1,(IF(BU633="L1",Parameter!$E$5,Parameter!$E$6+Parameter!$E$7)-(AJ633-AF633))/AF633)))</f>
        <v>1</v>
      </c>
      <c r="AL633" s="57" t="n">
        <f aca="false">IF(LEFT(Cockpit!$I$5,1)="A",G633,IF(BW633=1,BX633,IF(LEFT(Cockpit!$I$5,1)="B",AP633,MAX(AP633,G633))))</f>
        <v>88</v>
      </c>
      <c r="AM633" s="57" t="n">
        <f aca="false">IF(BR633=1,0,ROUNDUP(AL633/BQ633,0))</f>
        <v>1</v>
      </c>
      <c r="AN633" s="59" t="n">
        <f aca="false">IF(CD633&gt;0,CD633*MAX(1,AL633/V633),IF(BR633=1,IF(AL633&lt;=0,0,BS633*MAX(1,IF(G633&gt;0,AL633/G633,1))),IF(Q633&gt;0,AM633/Q633,0))/MAX(0.1,N(Parameter!$M$21)))</f>
        <v>0.0384615384615385</v>
      </c>
      <c r="AO633" s="57" t="n">
        <f aca="false">AL633*F633</f>
        <v>74.8</v>
      </c>
      <c r="AP633" s="57" t="n">
        <f aca="false">ROUNDUP(MAX(I633/IF(BV633&gt;0,BV633,MAX(0.1,N(Cockpit!$I$6))),BY633)/BQ633,0)*BQ633</f>
        <v>88</v>
      </c>
      <c r="AQ633" s="58" t="n">
        <f aca="false">IF(AN633&gt;0,I633/AN633,-1)</f>
        <v>1872</v>
      </c>
      <c r="AR633" s="58" t="n">
        <f aca="false">IF(AND(OR(BU633="L1",BU633="L23"),AN633&gt;0),SUMIFS($AN$7:$AN$1576,$BU$7:$BU$1576,BU633,$AQ$7:$AQ$1576,"&gt;"&amp;AQ633)+SUMIFS($AN$7:$AN$1576,$BU$7:$BU$1576,BU633,$AQ$7:$AQ$1576,AQ633,$BO$7:$BO$1576,"&lt;="&amp;BO633),"")</f>
        <v>17.6545288651922</v>
      </c>
      <c r="AS633" s="65" t="n">
        <f aca="false">IF(AR633="",0,MAX(0,MIN(1,(IF(BU633="L1",Parameter!$E$5,Parameter!$E$6+Parameter!$E$7)-(AR633-AN633))/AN633)))</f>
        <v>1</v>
      </c>
      <c r="AT633" s="57" t="n">
        <f aca="false">IF(LEFT(Cockpit!$O$5,1)="A",G633,IF(BW633=1,BX633,IF(LEFT(Cockpit!$O$5,1)="B",AX633,MAX(AX633,G633))))</f>
        <v>88</v>
      </c>
      <c r="AU633" s="57" t="n">
        <f aca="false">IF(BR633=1,0,ROUNDUP(AT633/BQ633,0))</f>
        <v>1</v>
      </c>
      <c r="AV633" s="59" t="n">
        <f aca="false">IF(CD633&gt;0,CD633*MAX(1,AT633/V633),IF(BR633=1,IF(AT633&lt;=0,0,BS633*MAX(1,IF(G633&gt;0,AT633/G633,1))),IF(Q633&gt;0,AU633/Q633,0))/MAX(0.1,N(Parameter!$M$21)))</f>
        <v>0.0384615384615385</v>
      </c>
      <c r="AW633" s="57" t="n">
        <f aca="false">AT633*F633</f>
        <v>74.8</v>
      </c>
      <c r="AX633" s="57" t="n">
        <f aca="false">ROUNDUP(MAX(I633/IF(BV633&gt;0,BV633,MAX(0.1,N(Cockpit!$O$6))),BY633)/BQ633,0)*BQ633</f>
        <v>88</v>
      </c>
      <c r="AY633" s="58" t="n">
        <f aca="false">IF(AV633&gt;0,I633/AV633,-1)</f>
        <v>1872</v>
      </c>
      <c r="AZ633" s="58" t="n">
        <f aca="false">IF(AND(OR(BU633="L1",BU633="L23"),AV633&gt;0),SUMIFS($AV$7:$AV$1576,$BU$7:$BU$1576,BU633,$AY$7:$AY$1576,"&gt;"&amp;AY633)+SUMIFS($AV$7:$AV$1576,$BU$7:$BU$1576,BU633,$AY$7:$AY$1576,AY633,$BO$7:$BO$1576,"&lt;="&amp;BO633),"")</f>
        <v>16.4651349257983</v>
      </c>
      <c r="BA633" s="65" t="n">
        <f aca="false">IF(AZ633="",0,MAX(0,MIN(1,(IF(BU633="L1",Parameter!$E$5,Parameter!$E$6+Parameter!$E$7)-(AZ633-AV633))/AV633)))</f>
        <v>1</v>
      </c>
      <c r="BB633" s="55" t="str">
        <f aca="false">IF(AF633&lt;=0,"",IF(BU633="Aussen","Aussenlager",IF(BU633="-","Nicht im Lift",IF(AK633&gt;=1,"Lift",IF(AK633&lt;=0,"Aussenlager","teilweise")))))</f>
        <v>Lift</v>
      </c>
      <c r="BC633" s="55" t="str">
        <f aca="false">IF(AN633&lt;=0,"",IF(BU633="Aussen","Aussenlager",IF(BU633="-","Nicht im Lift",IF(AS633&gt;=1,"Lift",IF(AS633&lt;=0,"Aussenlager","teilweise")))))</f>
        <v>Lift</v>
      </c>
      <c r="BD633" s="55" t="str">
        <f aca="false">IF(AV633&lt;=0,"",IF(BU633="Aussen","Aussenlager",IF(BU633="-","Nicht im Lift",IF(BA633&gt;=1,"Lift",IF(BA633&lt;=0,"Aussenlager","teilweise")))))</f>
        <v>Lift</v>
      </c>
      <c r="BE633" s="55" t="str">
        <f aca="false">IF(A633="","",IF(BN633=1,"Neu; ","")&amp;IF(AND(BN633=0,BI633&lt;0),"negativer Bestand (Export "&amp;BI633&amp;"); ","")&amp;IF(I633&lt;=0,"Kein Verbrauch; ","")&amp;IF(CD633&gt;0,"Lift "&amp;U633&amp;" lt. Liftbericht (Fach "&amp;V633&amp;" Stk); ",IF(BR633=1,"Lose – Fläche geschätzt; ",""))&amp;IF(G633&gt;AP633,"Überbestand "&amp;ROUND(G633-AP633,0)&amp;" Stk / CHF "&amp;ROUND((G633-AP633)*F633,0)&amp;"; ","")&amp;IF(AND(BW633=1,BX633&lt;BY633),"MAX &lt; MB+LG; ","")&amp;IF(AND(CC633&gt;0,CB633*10&gt;CC633),"zu hoch für Tablar; ","")&amp;IF(AND(BN633=0,OR(BW633=1,Y633&lt;&gt;"",S633&lt;&gt;"",T633&lt;&gt;"",Z633&lt;&gt;"")),"manuell übersteuert; ","")&amp;IF(AND(BR633=0,Q633=0),"Gebinde unbekannt / Stellmass fehlt; ","")&amp;IF(AND(BR633=0,N(T633)&lt;=0,N(P633)&lt;=0),"Menge pro Gebinde fehlt (Ist = 1 Gebinde); ","")&amp;BM633)</f>
        <v/>
      </c>
      <c r="BF633" s="55"/>
      <c r="BG633" s="55"/>
      <c r="BH633" s="62"/>
      <c r="BI633" s="57" t="n">
        <v>1</v>
      </c>
      <c r="BJ633" s="57" t="n">
        <v>22</v>
      </c>
      <c r="BK633" s="56" t="n">
        <v>1.50999999999997</v>
      </c>
      <c r="BL633" s="57" t="n">
        <v>72</v>
      </c>
      <c r="BM633" s="55"/>
      <c r="BN633" s="60" t="n">
        <v>0</v>
      </c>
      <c r="BO633" s="60" t="n">
        <v>633</v>
      </c>
      <c r="BP633" s="55" t="str">
        <f aca="false">IF(S633&lt;&gt;"",UPPER(TRIM(S633)),IF(O633="","LOSE",O633))</f>
        <v>S52</v>
      </c>
      <c r="BQ633" s="57" t="n">
        <f aca="false">IF(BP633="LOSE",1,IF(N(T633)&gt;0,T633,IF(N(P633)&gt;0,P633,MAX(1,G633))))</f>
        <v>88</v>
      </c>
      <c r="BR633" s="60" t="n">
        <f aca="false">IF(BP633="LOSE",1,0)</f>
        <v>0</v>
      </c>
      <c r="BS633" s="59" t="n">
        <f aca="false">IF(BR633=0,0,IF(N(R633)&gt;0,R633,IFERROR(VLOOKUP(D633,Parameter!$A$35:$C$64,3,0)+0,0)))</f>
        <v>0</v>
      </c>
      <c r="BT633" s="55" t="n">
        <f aca="false">IF(Y633&lt;&gt;"",Y633,X633)</f>
        <v>3</v>
      </c>
      <c r="BU633" s="55" t="str">
        <f aca="false">IF(BT633=1,"L1",IF(OR(BT633=2,BT633=3),"L23",IF(BT633="Aussen","Aussen","-")))</f>
        <v>L23</v>
      </c>
      <c r="BV633" s="66" t="n">
        <f aca="false">IF(N(Z633)&gt;0,Z633,0)</f>
        <v>0</v>
      </c>
      <c r="BW633" s="60" t="n">
        <f aca="false">IF(ISNUMBER(AC633),1,0)</f>
        <v>0</v>
      </c>
      <c r="BX633" s="57" t="n">
        <f aca="false">N(AC633)</f>
        <v>0</v>
      </c>
      <c r="BY633" s="57" t="n">
        <f aca="false">N(L633)+N(M633)</f>
        <v>72</v>
      </c>
      <c r="BZ633" s="57" t="n">
        <f aca="false">ROUNDUP(G633/BQ633,0)</f>
        <v>1</v>
      </c>
      <c r="CA633" s="57" t="n">
        <f aca="false">ROUNDUP(BX633/BQ633,0)</f>
        <v>0</v>
      </c>
      <c r="CB633" s="60" t="n">
        <f aca="false">IF(BR633=1,0,IFERROR(VLOOKUP(BP633,'Gebinde-Kategorie'!$A$5:$M$45,5,0)+0,0))</f>
        <v>21</v>
      </c>
      <c r="CC633" s="60" t="n">
        <f aca="false">IFERROR(IF(OR(BT633=1,BT633=2,BT633=3),N(INDEX(Parameter!$I$5:$I$7,BT633)),0),0)</f>
        <v>0</v>
      </c>
      <c r="CD633" s="59" t="n">
        <f aca="false">IF(AND(Parameter!$B$21="Ja",ISNUMBER(U633),N(V633)&gt;0),IFERROR(N(INDEX(Parameter!$L$5:$L$7,U633))*INDEX(Parameter!$E$5:$E$7,U633)*V633/SUMIFS($V$7:$V$1576,$U$7:$U$1576,U633),0),0)</f>
        <v>0</v>
      </c>
    </row>
    <row r="634" customFormat="false" ht="15" hidden="false" customHeight="false" outlineLevel="0" collapsed="false">
      <c r="A634" s="55" t="s">
        <v>1284</v>
      </c>
      <c r="B634" s="55" t="s">
        <v>881</v>
      </c>
      <c r="C634" s="55" t="s">
        <v>160</v>
      </c>
      <c r="D634" s="55" t="s">
        <v>178</v>
      </c>
      <c r="E634" s="55" t="s">
        <v>210</v>
      </c>
      <c r="F634" s="56" t="n">
        <v>0.66</v>
      </c>
      <c r="G634" s="57" t="n">
        <f aca="false">MAX(0,IF(AND(Parameter!$B$21="Ja",ISNUMBER(W634)),W634,IF(Parameter!$B$20="Jahresanfang 2025 + Export",BJ634+BI634,BI634)))</f>
        <v>17</v>
      </c>
      <c r="H634" s="57" t="n">
        <f aca="false">G634*F634</f>
        <v>11.22</v>
      </c>
      <c r="I634" s="57" t="n">
        <f aca="false">BL634*Parameter!$B$18</f>
        <v>1</v>
      </c>
      <c r="J634" s="58" t="n">
        <v>15</v>
      </c>
      <c r="K634" s="59" t="n">
        <v>0.0666666666666667</v>
      </c>
      <c r="L634" s="57" t="n">
        <v>0</v>
      </c>
      <c r="M634" s="57" t="n">
        <v>1</v>
      </c>
      <c r="N634" s="60" t="n">
        <v>28</v>
      </c>
      <c r="O634" s="55" t="s">
        <v>416</v>
      </c>
      <c r="P634" s="57" t="n">
        <v>11</v>
      </c>
      <c r="Q634" s="60" t="n">
        <f aca="false">IF(BR634=1,0,IFERROR(VLOOKUP(BP634,'Gebinde-Kategorie'!$A$5:$M$45,13,0)+0,0))</f>
        <v>198</v>
      </c>
      <c r="R634" s="61"/>
      <c r="S634" s="62"/>
      <c r="T634" s="62"/>
      <c r="U634" s="55"/>
      <c r="V634" s="57"/>
      <c r="W634" s="57"/>
      <c r="X634" s="55" t="n">
        <f aca="false">IF(A634="","",IF(AND(Parameter!$B$21="Ja",ISNUMBER(U634)),U634,IF(IFERROR(VLOOKUP(D634,Parameter!$A$35:$C$64,2,0),"Nein")="2+3",IF(ISNUMBER(SEARCH("grosser Artikel",BM634)),2,IFERROR(VLOOKUP(BP634,Parameter!$F$35:$G$64,2,0),2)),IF(OR(IFERROR(VLOOKUP(D634,Parameter!$A$35:$C$64,2,0),"Nein")="Nein",IFERROR(VLOOKUP(D634,Parameter!$A$35:$C$64,2,0),"Nein")=""),"-",VLOOKUP(D634,Parameter!$A$35:$C$64,2,0)))))</f>
        <v>3</v>
      </c>
      <c r="Y634" s="62"/>
      <c r="Z634" s="63"/>
      <c r="AA634" s="57" t="n">
        <f aca="false">AP634</f>
        <v>11</v>
      </c>
      <c r="AB634" s="57" t="n">
        <f aca="false">MAX(AP634,G634)</f>
        <v>17</v>
      </c>
      <c r="AC634" s="64"/>
      <c r="AD634" s="57" t="n">
        <f aca="false">IF(LEFT(Cockpit!$C$5,1)="A",G634,IF(BW634=1,BX634,IF(LEFT(Cockpit!$C$5,1)="B",AH634,MAX(AH634,G634))))</f>
        <v>17</v>
      </c>
      <c r="AE634" s="57" t="n">
        <f aca="false">IF(BR634=1,0,ROUNDUP(AD634/BQ634,0))</f>
        <v>2</v>
      </c>
      <c r="AF634" s="59" t="n">
        <f aca="false">IF(CD634&gt;0,CD634*MAX(1,AD634/V634),IF(BR634=1,IF(AD634&lt;=0,0,BS634*MAX(1,IF(G634&gt;0,AD634/G634,1))),IF(Q634&gt;0,AE634/Q634,0))/MAX(0.1,N(Parameter!$M$21)))</f>
        <v>0.0101010101010101</v>
      </c>
      <c r="AG634" s="57" t="n">
        <f aca="false">AD634*F634</f>
        <v>11.22</v>
      </c>
      <c r="AH634" s="57" t="n">
        <f aca="false">ROUNDUP(MAX(I634/IF(BV634&gt;0,BV634,MAX(0.1,N(Cockpit!$C$6))),BY634)/BQ634,0)*BQ634</f>
        <v>11</v>
      </c>
      <c r="AI634" s="58" t="n">
        <f aca="false">IF(AF634&gt;0,I634/AF634,-1)</f>
        <v>99</v>
      </c>
      <c r="AJ634" s="58" t="n">
        <f aca="false">IF(AND(OR(BU634="L1",BU634="L23"),AF634&gt;0),SUMIFS($AF$7:$AF$1576,$BU$7:$BU$1576,BU634,$AI$7:$AI$1576,"&gt;"&amp;AI634)+SUMIFS($AF$7:$AF$1576,$BU$7:$BU$1576,BU634,$AI$7:$AI$1576,AI634,$BO$7:$BO$1576,"&lt;="&amp;BO634),"")</f>
        <v>22.5012529982095</v>
      </c>
      <c r="AK634" s="65" t="n">
        <f aca="false">IF(AJ634="",0,MAX(0,MIN(1,(IF(BU634="L1",Parameter!$E$5,Parameter!$E$6+Parameter!$E$7)-(AJ634-AF634))/AF634)))</f>
        <v>1</v>
      </c>
      <c r="AL634" s="57" t="n">
        <f aca="false">IF(LEFT(Cockpit!$I$5,1)="A",G634,IF(BW634=1,BX634,IF(LEFT(Cockpit!$I$5,1)="B",AP634,MAX(AP634,G634))))</f>
        <v>17</v>
      </c>
      <c r="AM634" s="57" t="n">
        <f aca="false">IF(BR634=1,0,ROUNDUP(AL634/BQ634,0))</f>
        <v>2</v>
      </c>
      <c r="AN634" s="59" t="n">
        <f aca="false">IF(CD634&gt;0,CD634*MAX(1,AL634/V634),IF(BR634=1,IF(AL634&lt;=0,0,BS634*MAX(1,IF(G634&gt;0,AL634/G634,1))),IF(Q634&gt;0,AM634/Q634,0))/MAX(0.1,N(Parameter!$M$21)))</f>
        <v>0.0101010101010101</v>
      </c>
      <c r="AO634" s="57" t="n">
        <f aca="false">AL634*F634</f>
        <v>11.22</v>
      </c>
      <c r="AP634" s="57" t="n">
        <f aca="false">ROUNDUP(MAX(I634/IF(BV634&gt;0,BV634,MAX(0.1,N(Cockpit!$I$6))),BY634)/BQ634,0)*BQ634</f>
        <v>11</v>
      </c>
      <c r="AQ634" s="58" t="n">
        <f aca="false">IF(AN634&gt;0,I634/AN634,-1)</f>
        <v>99</v>
      </c>
      <c r="AR634" s="58" t="n">
        <f aca="false">IF(AND(OR(BU634="L1",BU634="L23"),AN634&gt;0),SUMIFS($AN$7:$AN$1576,$BU$7:$BU$1576,BU634,$AQ$7:$AQ$1576,"&gt;"&amp;AQ634)+SUMIFS($AN$7:$AN$1576,$BU$7:$BU$1576,BU634,$AQ$7:$AQ$1576,AQ634,$BO$7:$BO$1576,"&lt;="&amp;BO634),"")</f>
        <v>69.6269800432412</v>
      </c>
      <c r="AS634" s="65" t="n">
        <f aca="false">IF(AR634="",0,MAX(0,MIN(1,(IF(BU634="L1",Parameter!$E$5,Parameter!$E$6+Parameter!$E$7)-(AR634-AN634))/AN634)))</f>
        <v>1</v>
      </c>
      <c r="AT634" s="57" t="n">
        <f aca="false">IF(LEFT(Cockpit!$O$5,1)="A",G634,IF(BW634=1,BX634,IF(LEFT(Cockpit!$O$5,1)="B",AX634,MAX(AX634,G634))))</f>
        <v>17</v>
      </c>
      <c r="AU634" s="57" t="n">
        <f aca="false">IF(BR634=1,0,ROUNDUP(AT634/BQ634,0))</f>
        <v>2</v>
      </c>
      <c r="AV634" s="59" t="n">
        <f aca="false">IF(CD634&gt;0,CD634*MAX(1,AT634/V634),IF(BR634=1,IF(AT634&lt;=0,0,BS634*MAX(1,IF(G634&gt;0,AT634/G634,1))),IF(Q634&gt;0,AU634/Q634,0))/MAX(0.1,N(Parameter!$M$21)))</f>
        <v>0.0101010101010101</v>
      </c>
      <c r="AW634" s="57" t="n">
        <f aca="false">AT634*F634</f>
        <v>11.22</v>
      </c>
      <c r="AX634" s="57" t="n">
        <f aca="false">ROUNDUP(MAX(I634/IF(BV634&gt;0,BV634,MAX(0.1,N(Cockpit!$O$6))),BY634)/BQ634,0)*BQ634</f>
        <v>11</v>
      </c>
      <c r="AY634" s="58" t="n">
        <f aca="false">IF(AV634&gt;0,I634/AV634,-1)</f>
        <v>99</v>
      </c>
      <c r="AZ634" s="58" t="n">
        <f aca="false">IF(AND(OR(BU634="L1",BU634="L23"),AV634&gt;0),SUMIFS($AV$7:$AV$1576,$BU$7:$BU$1576,BU634,$AY$7:$AY$1576,"&gt;"&amp;AY634)+SUMIFS($AV$7:$AV$1576,$BU$7:$BU$1576,BU634,$AY$7:$AY$1576,AY634,$BO$7:$BO$1576,"&lt;="&amp;BO634),"")</f>
        <v>64.187363826125</v>
      </c>
      <c r="BA634" s="65" t="n">
        <f aca="false">IF(AZ634="",0,MAX(0,MIN(1,(IF(BU634="L1",Parameter!$E$5,Parameter!$E$6+Parameter!$E$7)-(AZ634-AV634))/AV634)))</f>
        <v>1</v>
      </c>
      <c r="BB634" s="55" t="str">
        <f aca="false">IF(AF634&lt;=0,"",IF(BU634="Aussen","Aussenlager",IF(BU634="-","Nicht im Lift",IF(AK634&gt;=1,"Lift",IF(AK634&lt;=0,"Aussenlager","teilweise")))))</f>
        <v>Lift</v>
      </c>
      <c r="BC634" s="55" t="str">
        <f aca="false">IF(AN634&lt;=0,"",IF(BU634="Aussen","Aussenlager",IF(BU634="-","Nicht im Lift",IF(AS634&gt;=1,"Lift",IF(AS634&lt;=0,"Aussenlager","teilweise")))))</f>
        <v>Lift</v>
      </c>
      <c r="BD634" s="55" t="str">
        <f aca="false">IF(AV634&lt;=0,"",IF(BU634="Aussen","Aussenlager",IF(BU634="-","Nicht im Lift",IF(BA634&gt;=1,"Lift",IF(BA634&lt;=0,"Aussenlager","teilweise")))))</f>
        <v>Lift</v>
      </c>
      <c r="BE634" s="55" t="str">
        <f aca="false">IF(A634="","",IF(BN634=1,"Neu; ","")&amp;IF(AND(BN634=0,BI634&lt;0),"negativer Bestand (Export "&amp;BI634&amp;"); ","")&amp;IF(I634&lt;=0,"Kein Verbrauch; ","")&amp;IF(CD634&gt;0,"Lift "&amp;U634&amp;" lt. Liftbericht (Fach "&amp;V634&amp;" Stk); ",IF(BR634=1,"Lose – Fläche geschätzt; ",""))&amp;IF(G634&gt;AP634,"Überbestand "&amp;ROUND(G634-AP634,0)&amp;" Stk / CHF "&amp;ROUND((G634-AP634)*F634,0)&amp;"; ","")&amp;IF(AND(BW634=1,BX634&lt;BY634),"MAX &lt; MB+LG; ","")&amp;IF(AND(CC634&gt;0,CB634*10&gt;CC634),"zu hoch für Tablar; ","")&amp;IF(AND(BN634=0,OR(BW634=1,Y634&lt;&gt;"",S634&lt;&gt;"",T634&lt;&gt;"",Z634&lt;&gt;"")),"manuell übersteuert; ","")&amp;IF(AND(BR634=0,Q634=0),"Gebinde unbekannt / Stellmass fehlt; ","")&amp;IF(AND(BR634=0,N(T634)&lt;=0,N(P634)&lt;=0),"Menge pro Gebinde fehlt (Ist = 1 Gebinde); ","")&amp;BM634)</f>
        <v>Überbestand 6 Stk / CHF 4; </v>
      </c>
      <c r="BF634" s="55"/>
      <c r="BG634" s="55"/>
      <c r="BH634" s="62"/>
      <c r="BI634" s="57" t="n">
        <v>17</v>
      </c>
      <c r="BJ634" s="57" t="n">
        <v>6</v>
      </c>
      <c r="BK634" s="56" t="n">
        <v>1.38</v>
      </c>
      <c r="BL634" s="57" t="n">
        <v>1</v>
      </c>
      <c r="BM634" s="55"/>
      <c r="BN634" s="60" t="n">
        <v>0</v>
      </c>
      <c r="BO634" s="60" t="n">
        <v>634</v>
      </c>
      <c r="BP634" s="55" t="str">
        <f aca="false">IF(S634&lt;&gt;"",UPPER(TRIM(S634)),IF(O634="","LOSE",O634))</f>
        <v>S22</v>
      </c>
      <c r="BQ634" s="57" t="n">
        <f aca="false">IF(BP634="LOSE",1,IF(N(T634)&gt;0,T634,IF(N(P634)&gt;0,P634,MAX(1,G634))))</f>
        <v>11</v>
      </c>
      <c r="BR634" s="60" t="n">
        <f aca="false">IF(BP634="LOSE",1,0)</f>
        <v>0</v>
      </c>
      <c r="BS634" s="59" t="n">
        <f aca="false">IF(BR634=0,0,IF(N(R634)&gt;0,R634,IFERROR(VLOOKUP(D634,Parameter!$A$35:$C$64,3,0)+0,0)))</f>
        <v>0</v>
      </c>
      <c r="BT634" s="55" t="n">
        <f aca="false">IF(Y634&lt;&gt;"",Y634,X634)</f>
        <v>3</v>
      </c>
      <c r="BU634" s="55" t="str">
        <f aca="false">IF(BT634=1,"L1",IF(OR(BT634=2,BT634=3),"L23",IF(BT634="Aussen","Aussen","-")))</f>
        <v>L23</v>
      </c>
      <c r="BV634" s="66" t="n">
        <f aca="false">IF(N(Z634)&gt;0,Z634,0)</f>
        <v>0</v>
      </c>
      <c r="BW634" s="60" t="n">
        <f aca="false">IF(ISNUMBER(AC634),1,0)</f>
        <v>0</v>
      </c>
      <c r="BX634" s="57" t="n">
        <f aca="false">N(AC634)</f>
        <v>0</v>
      </c>
      <c r="BY634" s="57" t="n">
        <f aca="false">N(L634)+N(M634)</f>
        <v>1</v>
      </c>
      <c r="BZ634" s="57" t="n">
        <f aca="false">ROUNDUP(G634/BQ634,0)</f>
        <v>2</v>
      </c>
      <c r="CA634" s="57" t="n">
        <f aca="false">ROUNDUP(BX634/BQ634,0)</f>
        <v>0</v>
      </c>
      <c r="CB634" s="60" t="n">
        <f aca="false">IF(BR634=1,0,IFERROR(VLOOKUP(BP634,'Gebinde-Kategorie'!$A$5:$M$45,5,0)+0,0))</f>
        <v>8</v>
      </c>
      <c r="CC634" s="60" t="n">
        <f aca="false">IFERROR(IF(OR(BT634=1,BT634=2,BT634=3),N(INDEX(Parameter!$I$5:$I$7,BT634)),0),0)</f>
        <v>0</v>
      </c>
      <c r="CD634" s="59" t="n">
        <f aca="false">IF(AND(Parameter!$B$21="Ja",ISNUMBER(U634),N(V634)&gt;0),IFERROR(N(INDEX(Parameter!$L$5:$L$7,U634))*INDEX(Parameter!$E$5:$E$7,U634)*V634/SUMIFS($V$7:$V$1576,$U$7:$U$1576,U634),0),0)</f>
        <v>0</v>
      </c>
    </row>
    <row r="635" customFormat="false" ht="15" hidden="false" customHeight="false" outlineLevel="0" collapsed="false">
      <c r="A635" s="55" t="s">
        <v>1285</v>
      </c>
      <c r="B635" s="55" t="s">
        <v>1251</v>
      </c>
      <c r="C635" s="55" t="s">
        <v>160</v>
      </c>
      <c r="D635" s="55" t="s">
        <v>178</v>
      </c>
      <c r="E635" s="55" t="s">
        <v>210</v>
      </c>
      <c r="F635" s="56" t="n">
        <v>0.05</v>
      </c>
      <c r="G635" s="57" t="n">
        <f aca="false">MAX(0,IF(AND(Parameter!$B$21="Ja",ISNUMBER(W635)),W635,IF(Parameter!$B$20="Jahresanfang 2025 + Export",BJ635+BI635,BI635)))</f>
        <v>24</v>
      </c>
      <c r="H635" s="57" t="n">
        <f aca="false">G635*F635</f>
        <v>1.2</v>
      </c>
      <c r="I635" s="57" t="n">
        <f aca="false">BL635*Parameter!$B$18</f>
        <v>0</v>
      </c>
      <c r="J635" s="58" t="n">
        <v>30.5</v>
      </c>
      <c r="K635" s="59" t="n">
        <v>0</v>
      </c>
      <c r="L635" s="57" t="n">
        <v>1</v>
      </c>
      <c r="M635" s="57" t="n">
        <v>50</v>
      </c>
      <c r="N635" s="60" t="n">
        <v>14</v>
      </c>
      <c r="O635" s="55" t="s">
        <v>391</v>
      </c>
      <c r="P635" s="57" t="n">
        <v>38</v>
      </c>
      <c r="Q635" s="60" t="n">
        <f aca="false">IF(BR635=1,0,IFERROR(VLOOKUP(BP635,'Gebinde-Kategorie'!$A$5:$M$45,13,0)+0,0))</f>
        <v>414</v>
      </c>
      <c r="R635" s="61"/>
      <c r="S635" s="62"/>
      <c r="T635" s="62"/>
      <c r="U635" s="55"/>
      <c r="V635" s="57"/>
      <c r="W635" s="57"/>
      <c r="X635" s="55" t="n">
        <f aca="false">IF(A635="","",IF(AND(Parameter!$B$21="Ja",ISNUMBER(U635)),U635,IF(IFERROR(VLOOKUP(D635,Parameter!$A$35:$C$64,2,0),"Nein")="2+3",IF(ISNUMBER(SEARCH("grosser Artikel",BM635)),2,IFERROR(VLOOKUP(BP635,Parameter!$F$35:$G$64,2,0),2)),IF(OR(IFERROR(VLOOKUP(D635,Parameter!$A$35:$C$64,2,0),"Nein")="Nein",IFERROR(VLOOKUP(D635,Parameter!$A$35:$C$64,2,0),"Nein")=""),"-",VLOOKUP(D635,Parameter!$A$35:$C$64,2,0)))))</f>
        <v>3</v>
      </c>
      <c r="Y635" s="62"/>
      <c r="Z635" s="63"/>
      <c r="AA635" s="57" t="n">
        <f aca="false">AP635</f>
        <v>76</v>
      </c>
      <c r="AB635" s="57" t="n">
        <f aca="false">MAX(AP635,G635)</f>
        <v>76</v>
      </c>
      <c r="AC635" s="64"/>
      <c r="AD635" s="57" t="n">
        <f aca="false">IF(LEFT(Cockpit!$C$5,1)="A",G635,IF(BW635=1,BX635,IF(LEFT(Cockpit!$C$5,1)="B",AH635,MAX(AH635,G635))))</f>
        <v>24</v>
      </c>
      <c r="AE635" s="57" t="n">
        <f aca="false">IF(BR635=1,0,ROUNDUP(AD635/BQ635,0))</f>
        <v>1</v>
      </c>
      <c r="AF635" s="59" t="n">
        <f aca="false">IF(CD635&gt;0,CD635*MAX(1,AD635/V635),IF(BR635=1,IF(AD635&lt;=0,0,BS635*MAX(1,IF(G635&gt;0,AD635/G635,1))),IF(Q635&gt;0,AE635/Q635,0))/MAX(0.1,N(Parameter!$M$21)))</f>
        <v>0.00241545893719807</v>
      </c>
      <c r="AG635" s="57" t="n">
        <f aca="false">AD635*F635</f>
        <v>1.2</v>
      </c>
      <c r="AH635" s="57" t="n">
        <f aca="false">ROUNDUP(MAX(I635/IF(BV635&gt;0,BV635,MAX(0.1,N(Cockpit!$C$6))),BY635)/BQ635,0)*BQ635</f>
        <v>76</v>
      </c>
      <c r="AI635" s="58" t="n">
        <f aca="false">IF(AF635&gt;0,I635/AF635,-1)</f>
        <v>0</v>
      </c>
      <c r="AJ635" s="58" t="n">
        <f aca="false">IF(AND(OR(BU635="L1",BU635="L23"),AF635&gt;0),SUMIFS($AF$7:$AF$1576,$BU$7:$BU$1576,BU635,$AI$7:$AI$1576,"&gt;"&amp;AI635)+SUMIFS($AF$7:$AF$1576,$BU$7:$BU$1576,BU635,$AI$7:$AI$1576,AI635,$BO$7:$BO$1576,"&lt;="&amp;BO635),"")</f>
        <v>44.895910611128</v>
      </c>
      <c r="AK635" s="65" t="n">
        <f aca="false">IF(AJ635="",0,MAX(0,MIN(1,(IF(BU635="L1",Parameter!$E$5,Parameter!$E$6+Parameter!$E$7)-(AJ635-AF635))/AF635)))</f>
        <v>1</v>
      </c>
      <c r="AL635" s="57" t="n">
        <f aca="false">IF(LEFT(Cockpit!$I$5,1)="A",G635,IF(BW635=1,BX635,IF(LEFT(Cockpit!$I$5,1)="B",AP635,MAX(AP635,G635))))</f>
        <v>76</v>
      </c>
      <c r="AM635" s="57" t="n">
        <f aca="false">IF(BR635=1,0,ROUNDUP(AL635/BQ635,0))</f>
        <v>2</v>
      </c>
      <c r="AN635" s="59" t="n">
        <f aca="false">IF(CD635&gt;0,CD635*MAX(1,AL635/V635),IF(BR635=1,IF(AL635&lt;=0,0,BS635*MAX(1,IF(G635&gt;0,AL635/G635,1))),IF(Q635&gt;0,AM635/Q635,0))/MAX(0.1,N(Parameter!$M$21)))</f>
        <v>0.00483091787439614</v>
      </c>
      <c r="AO635" s="57" t="n">
        <f aca="false">AL635*F635</f>
        <v>3.8</v>
      </c>
      <c r="AP635" s="57" t="n">
        <f aca="false">ROUNDUP(MAX(I635/IF(BV635&gt;0,BV635,MAX(0.1,N(Cockpit!$I$6))),BY635)/BQ635,0)*BQ635</f>
        <v>76</v>
      </c>
      <c r="AQ635" s="58" t="n">
        <f aca="false">IF(AN635&gt;0,I635/AN635,-1)</f>
        <v>0</v>
      </c>
      <c r="AR635" s="58" t="n">
        <f aca="false">IF(AND(OR(BU635="L1",BU635="L23"),AN635&gt;0),SUMIFS($AN$7:$AN$1576,$BU$7:$BU$1576,BU635,$AQ$7:$AQ$1576,"&gt;"&amp;AQ635)+SUMIFS($AN$7:$AN$1576,$BU$7:$BU$1576,BU635,$AQ$7:$AQ$1576,AQ635,$BO$7:$BO$1576,"&lt;="&amp;BO635),"")</f>
        <v>127.96499855222</v>
      </c>
      <c r="AS635" s="65" t="n">
        <f aca="false">IF(AR635="",0,MAX(0,MIN(1,(IF(BU635="L1",Parameter!$E$5,Parameter!$E$6+Parameter!$E$7)-(AR635-AN635))/AN635)))</f>
        <v>0</v>
      </c>
      <c r="AT635" s="57" t="n">
        <f aca="false">IF(LEFT(Cockpit!$O$5,1)="A",G635,IF(BW635=1,BX635,IF(LEFT(Cockpit!$O$5,1)="B",AX635,MAX(AX635,G635))))</f>
        <v>76</v>
      </c>
      <c r="AU635" s="57" t="n">
        <f aca="false">IF(BR635=1,0,ROUNDUP(AT635/BQ635,0))</f>
        <v>2</v>
      </c>
      <c r="AV635" s="59" t="n">
        <f aca="false">IF(CD635&gt;0,CD635*MAX(1,AT635/V635),IF(BR635=1,IF(AT635&lt;=0,0,BS635*MAX(1,IF(G635&gt;0,AT635/G635,1))),IF(Q635&gt;0,AU635/Q635,0))/MAX(0.1,N(Parameter!$M$21)))</f>
        <v>0.00483091787439614</v>
      </c>
      <c r="AW635" s="57" t="n">
        <f aca="false">AT635*F635</f>
        <v>3.8</v>
      </c>
      <c r="AX635" s="57" t="n">
        <f aca="false">ROUNDUP(MAX(I635/IF(BV635&gt;0,BV635,MAX(0.1,N(Cockpit!$O$6))),BY635)/BQ635,0)*BQ635</f>
        <v>76</v>
      </c>
      <c r="AY635" s="58" t="n">
        <f aca="false">IF(AV635&gt;0,I635/AV635,-1)</f>
        <v>0</v>
      </c>
      <c r="AZ635" s="58" t="n">
        <f aca="false">IF(AND(OR(BU635="L1",BU635="L23"),AV635&gt;0),SUMIFS($AV$7:$AV$1576,$BU$7:$BU$1576,BU635,$AY$7:$AY$1576,"&gt;"&amp;AY635)+SUMIFS($AV$7:$AV$1576,$BU$7:$BU$1576,BU635,$AY$7:$AY$1576,AY635,$BO$7:$BO$1576,"&lt;="&amp;BO635),"")</f>
        <v>118.02454900177</v>
      </c>
      <c r="BA635" s="65" t="n">
        <f aca="false">IF(AZ635="",0,MAX(0,MIN(1,(IF(BU635="L1",Parameter!$E$5,Parameter!$E$6+Parameter!$E$7)-(AZ635-AV635))/AV635)))</f>
        <v>0</v>
      </c>
      <c r="BB635" s="55" t="str">
        <f aca="false">IF(AF635&lt;=0,"",IF(BU635="Aussen","Aussenlager",IF(BU635="-","Nicht im Lift",IF(AK635&gt;=1,"Lift",IF(AK635&lt;=0,"Aussenlager","teilweise")))))</f>
        <v>Lift</v>
      </c>
      <c r="BC635" s="55" t="str">
        <f aca="false">IF(AN635&lt;=0,"",IF(BU635="Aussen","Aussenlager",IF(BU635="-","Nicht im Lift",IF(AS635&gt;=1,"Lift",IF(AS635&lt;=0,"Aussenlager","teilweise")))))</f>
        <v>Aussenlager</v>
      </c>
      <c r="BD635" s="55" t="str">
        <f aca="false">IF(AV635&lt;=0,"",IF(BU635="Aussen","Aussenlager",IF(BU635="-","Nicht im Lift",IF(BA635&gt;=1,"Lift",IF(BA635&lt;=0,"Aussenlager","teilweise")))))</f>
        <v>Aussenlager</v>
      </c>
      <c r="BE635" s="55" t="str">
        <f aca="false">IF(A635="","",IF(BN635=1,"Neu; ","")&amp;IF(AND(BN635=0,BI635&lt;0),"negativer Bestand (Export "&amp;BI635&amp;"); ","")&amp;IF(I635&lt;=0,"Kein Verbrauch; ","")&amp;IF(CD635&gt;0,"Lift "&amp;U635&amp;" lt. Liftbericht (Fach "&amp;V635&amp;" Stk); ",IF(BR635=1,"Lose – Fläche geschätzt; ",""))&amp;IF(G635&gt;AP635,"Überbestand "&amp;ROUND(G635-AP635,0)&amp;" Stk / CHF "&amp;ROUND((G635-AP635)*F635,0)&amp;"; ","")&amp;IF(AND(BW635=1,BX635&lt;BY635),"MAX &lt; MB+LG; ","")&amp;IF(AND(CC635&gt;0,CB635*10&gt;CC635),"zu hoch für Tablar; ","")&amp;IF(AND(BN635=0,OR(BW635=1,Y635&lt;&gt;"",S635&lt;&gt;"",T635&lt;&gt;"",Z635&lt;&gt;"")),"manuell übersteuert; ","")&amp;IF(AND(BR635=0,Q635=0),"Gebinde unbekannt / Stellmass fehlt; ","")&amp;IF(AND(BR635=0,N(T635)&lt;=0,N(P635)&lt;=0),"Menge pro Gebinde fehlt (Ist = 1 Gebinde); ","")&amp;BM635)</f>
        <v>Kein Verbrauch; </v>
      </c>
      <c r="BF635" s="55"/>
      <c r="BG635" s="55"/>
      <c r="BH635" s="62"/>
      <c r="BI635" s="57" t="n">
        <v>24</v>
      </c>
      <c r="BJ635" s="57" t="n">
        <v>5</v>
      </c>
      <c r="BK635" s="56" t="n">
        <v>1.2</v>
      </c>
      <c r="BL635" s="57" t="n">
        <v>0</v>
      </c>
      <c r="BM635" s="55"/>
      <c r="BN635" s="60" t="n">
        <v>0</v>
      </c>
      <c r="BO635" s="60" t="n">
        <v>635</v>
      </c>
      <c r="BP635" s="55" t="str">
        <f aca="false">IF(S635&lt;&gt;"",UPPER(TRIM(S635)),IF(O635="","LOSE",O635))</f>
        <v>S21</v>
      </c>
      <c r="BQ635" s="57" t="n">
        <f aca="false">IF(BP635="LOSE",1,IF(N(T635)&gt;0,T635,IF(N(P635)&gt;0,P635,MAX(1,G635))))</f>
        <v>38</v>
      </c>
      <c r="BR635" s="60" t="n">
        <f aca="false">IF(BP635="LOSE",1,0)</f>
        <v>0</v>
      </c>
      <c r="BS635" s="59" t="n">
        <f aca="false">IF(BR635=0,0,IF(N(R635)&gt;0,R635,IFERROR(VLOOKUP(D635,Parameter!$A$35:$C$64,3,0)+0,0)))</f>
        <v>0</v>
      </c>
      <c r="BT635" s="55" t="n">
        <f aca="false">IF(Y635&lt;&gt;"",Y635,X635)</f>
        <v>3</v>
      </c>
      <c r="BU635" s="55" t="str">
        <f aca="false">IF(BT635=1,"L1",IF(OR(BT635=2,BT635=3),"L23",IF(BT635="Aussen","Aussen","-")))</f>
        <v>L23</v>
      </c>
      <c r="BV635" s="66" t="n">
        <f aca="false">IF(N(Z635)&gt;0,Z635,0)</f>
        <v>0</v>
      </c>
      <c r="BW635" s="60" t="n">
        <f aca="false">IF(ISNUMBER(AC635),1,0)</f>
        <v>0</v>
      </c>
      <c r="BX635" s="57" t="n">
        <f aca="false">N(AC635)</f>
        <v>0</v>
      </c>
      <c r="BY635" s="57" t="n">
        <f aca="false">N(L635)+N(M635)</f>
        <v>51</v>
      </c>
      <c r="BZ635" s="57" t="n">
        <f aca="false">ROUNDUP(G635/BQ635,0)</f>
        <v>1</v>
      </c>
      <c r="CA635" s="57" t="n">
        <f aca="false">ROUNDUP(BX635/BQ635,0)</f>
        <v>0</v>
      </c>
      <c r="CB635" s="60" t="n">
        <f aca="false">IF(BR635=1,0,IFERROR(VLOOKUP(BP635,'Gebinde-Kategorie'!$A$5:$M$45,5,0)+0,0))</f>
        <v>8</v>
      </c>
      <c r="CC635" s="60" t="n">
        <f aca="false">IFERROR(IF(OR(BT635=1,BT635=2,BT635=3),N(INDEX(Parameter!$I$5:$I$7,BT635)),0),0)</f>
        <v>0</v>
      </c>
      <c r="CD635" s="59" t="n">
        <f aca="false">IF(AND(Parameter!$B$21="Ja",ISNUMBER(U635),N(V635)&gt;0),IFERROR(N(INDEX(Parameter!$L$5:$L$7,U635))*INDEX(Parameter!$E$5:$E$7,U635)*V635/SUMIFS($V$7:$V$1576,$U$7:$U$1576,U635),0),0)</f>
        <v>0</v>
      </c>
    </row>
    <row r="636" customFormat="false" ht="15" hidden="false" customHeight="false" outlineLevel="0" collapsed="false">
      <c r="A636" s="55" t="s">
        <v>1286</v>
      </c>
      <c r="B636" s="55" t="s">
        <v>395</v>
      </c>
      <c r="C636" s="55" t="s">
        <v>160</v>
      </c>
      <c r="D636" s="55" t="s">
        <v>178</v>
      </c>
      <c r="E636" s="55" t="s">
        <v>210</v>
      </c>
      <c r="F636" s="56" t="n">
        <v>0.12</v>
      </c>
      <c r="G636" s="57" t="n">
        <f aca="false">MAX(0,IF(AND(Parameter!$B$21="Ja",ISNUMBER(W636)),W636,IF(Parameter!$B$20="Jahresanfang 2025 + Export",BJ636+BI636,BI636)))</f>
        <v>9</v>
      </c>
      <c r="H636" s="57" t="n">
        <f aca="false">G636*F636</f>
        <v>1.08</v>
      </c>
      <c r="I636" s="57" t="n">
        <f aca="false">BL636*Parameter!$B$18</f>
        <v>1971</v>
      </c>
      <c r="J636" s="58" t="n">
        <v>593.5</v>
      </c>
      <c r="K636" s="59" t="n">
        <v>3.32097725358046</v>
      </c>
      <c r="L636" s="57" t="n">
        <v>114</v>
      </c>
      <c r="M636" s="57" t="n">
        <v>500</v>
      </c>
      <c r="N636" s="60" t="n">
        <v>21</v>
      </c>
      <c r="O636" s="55" t="s">
        <v>225</v>
      </c>
      <c r="P636" s="57" t="n">
        <v>976</v>
      </c>
      <c r="Q636" s="60" t="n">
        <f aca="false">IF(BR636=1,0,IFERROR(VLOOKUP(BP636,'Gebinde-Kategorie'!$A$5:$M$45,13,0)+0,0))</f>
        <v>26</v>
      </c>
      <c r="R636" s="61"/>
      <c r="S636" s="62"/>
      <c r="T636" s="62"/>
      <c r="U636" s="55"/>
      <c r="V636" s="57"/>
      <c r="W636" s="57"/>
      <c r="X636" s="55" t="n">
        <f aca="false">IF(A636="","",IF(AND(Parameter!$B$21="Ja",ISNUMBER(U636)),U636,IF(IFERROR(VLOOKUP(D636,Parameter!$A$35:$C$64,2,0),"Nein")="2+3",IF(ISNUMBER(SEARCH("grosser Artikel",BM636)),2,IFERROR(VLOOKUP(BP636,Parameter!$F$35:$G$64,2,0),2)),IF(OR(IFERROR(VLOOKUP(D636,Parameter!$A$35:$C$64,2,0),"Nein")="Nein",IFERROR(VLOOKUP(D636,Parameter!$A$35:$C$64,2,0),"Nein")=""),"-",VLOOKUP(D636,Parameter!$A$35:$C$64,2,0)))))</f>
        <v>3</v>
      </c>
      <c r="Y636" s="62"/>
      <c r="Z636" s="63"/>
      <c r="AA636" s="57" t="n">
        <f aca="false">AP636</f>
        <v>1952</v>
      </c>
      <c r="AB636" s="57" t="n">
        <f aca="false">MAX(AP636,G636)</f>
        <v>1952</v>
      </c>
      <c r="AC636" s="64"/>
      <c r="AD636" s="57" t="n">
        <f aca="false">IF(LEFT(Cockpit!$C$5,1)="A",G636,IF(BW636=1,BX636,IF(LEFT(Cockpit!$C$5,1)="B",AH636,MAX(AH636,G636))))</f>
        <v>9</v>
      </c>
      <c r="AE636" s="57" t="n">
        <f aca="false">IF(BR636=1,0,ROUNDUP(AD636/BQ636,0))</f>
        <v>1</v>
      </c>
      <c r="AF636" s="59" t="n">
        <f aca="false">IF(CD636&gt;0,CD636*MAX(1,AD636/V636),IF(BR636=1,IF(AD636&lt;=0,0,BS636*MAX(1,IF(G636&gt;0,AD636/G636,1))),IF(Q636&gt;0,AE636/Q636,0))/MAX(0.1,N(Parameter!$M$21)))</f>
        <v>0.0384615384615385</v>
      </c>
      <c r="AG636" s="57" t="n">
        <f aca="false">AD636*F636</f>
        <v>1.08</v>
      </c>
      <c r="AH636" s="57" t="n">
        <f aca="false">ROUNDUP(MAX(I636/IF(BV636&gt;0,BV636,MAX(0.1,N(Cockpit!$C$6))),BY636)/BQ636,0)*BQ636</f>
        <v>1952</v>
      </c>
      <c r="AI636" s="58" t="n">
        <f aca="false">IF(AF636&gt;0,I636/AF636,-1)</f>
        <v>51246</v>
      </c>
      <c r="AJ636" s="58" t="n">
        <f aca="false">IF(AND(OR(BU636="L1",BU636="L23"),AF636&gt;0),SUMIFS($AF$7:$AF$1576,$BU$7:$BU$1576,BU636,$AI$7:$AI$1576,"&gt;"&amp;AI636)+SUMIFS($AF$7:$AF$1576,$BU$7:$BU$1576,BU636,$AI$7:$AI$1576,AI636,$BO$7:$BO$1576,"&lt;="&amp;BO636),"")</f>
        <v>0.71435086652478</v>
      </c>
      <c r="AK636" s="65" t="n">
        <f aca="false">IF(AJ636="",0,MAX(0,MIN(1,(IF(BU636="L1",Parameter!$E$5,Parameter!$E$6+Parameter!$E$7)-(AJ636-AF636))/AF636)))</f>
        <v>1</v>
      </c>
      <c r="AL636" s="57" t="n">
        <f aca="false">IF(LEFT(Cockpit!$I$5,1)="A",G636,IF(BW636=1,BX636,IF(LEFT(Cockpit!$I$5,1)="B",AP636,MAX(AP636,G636))))</f>
        <v>1952</v>
      </c>
      <c r="AM636" s="57" t="n">
        <f aca="false">IF(BR636=1,0,ROUNDUP(AL636/BQ636,0))</f>
        <v>2</v>
      </c>
      <c r="AN636" s="59" t="n">
        <f aca="false">IF(CD636&gt;0,CD636*MAX(1,AL636/V636),IF(BR636=1,IF(AL636&lt;=0,0,BS636*MAX(1,IF(G636&gt;0,AL636/G636,1))),IF(Q636&gt;0,AM636/Q636,0))/MAX(0.1,N(Parameter!$M$21)))</f>
        <v>0.0769230769230769</v>
      </c>
      <c r="AO636" s="57" t="n">
        <f aca="false">AL636*F636</f>
        <v>234.24</v>
      </c>
      <c r="AP636" s="57" t="n">
        <f aca="false">ROUNDUP(MAX(I636/IF(BV636&gt;0,BV636,MAX(0.1,N(Cockpit!$I$6))),BY636)/BQ636,0)*BQ636</f>
        <v>1952</v>
      </c>
      <c r="AQ636" s="58" t="n">
        <f aca="false">IF(AN636&gt;0,I636/AN636,-1)</f>
        <v>25623</v>
      </c>
      <c r="AR636" s="58" t="n">
        <f aca="false">IF(AND(OR(BU636="L1",BU636="L23"),AN636&gt;0),SUMIFS($AN$7:$AN$1576,$BU$7:$BU$1576,BU636,$AQ$7:$AQ$1576,"&gt;"&amp;AQ636)+SUMIFS($AN$7:$AN$1576,$BU$7:$BU$1576,BU636,$AQ$7:$AQ$1576,AQ636,$BO$7:$BO$1576,"&lt;="&amp;BO636),"")</f>
        <v>3.31702847876761</v>
      </c>
      <c r="AS636" s="65" t="n">
        <f aca="false">IF(AR636="",0,MAX(0,MIN(1,(IF(BU636="L1",Parameter!$E$5,Parameter!$E$6+Parameter!$E$7)-(AR636-AN636))/AN636)))</f>
        <v>1</v>
      </c>
      <c r="AT636" s="57" t="n">
        <f aca="false">IF(LEFT(Cockpit!$O$5,1)="A",G636,IF(BW636=1,BX636,IF(LEFT(Cockpit!$O$5,1)="B",AX636,MAX(AX636,G636))))</f>
        <v>976</v>
      </c>
      <c r="AU636" s="57" t="n">
        <f aca="false">IF(BR636=1,0,ROUNDUP(AT636/BQ636,0))</f>
        <v>1</v>
      </c>
      <c r="AV636" s="59" t="n">
        <f aca="false">IF(CD636&gt;0,CD636*MAX(1,AT636/V636),IF(BR636=1,IF(AT636&lt;=0,0,BS636*MAX(1,IF(G636&gt;0,AT636/G636,1))),IF(Q636&gt;0,AU636/Q636,0))/MAX(0.1,N(Parameter!$M$21)))</f>
        <v>0.0384615384615385</v>
      </c>
      <c r="AW636" s="57" t="n">
        <f aca="false">AT636*F636</f>
        <v>117.12</v>
      </c>
      <c r="AX636" s="57" t="n">
        <f aca="false">ROUNDUP(MAX(I636/IF(BV636&gt;0,BV636,MAX(0.1,N(Cockpit!$O$6))),BY636)/BQ636,0)*BQ636</f>
        <v>976</v>
      </c>
      <c r="AY636" s="58" t="n">
        <f aca="false">IF(AV636&gt;0,I636/AV636,-1)</f>
        <v>51246</v>
      </c>
      <c r="AZ636" s="58" t="n">
        <f aca="false">IF(AND(OR(BU636="L1",BU636="L23"),AV636&gt;0),SUMIFS($AV$7:$AV$1576,$BU$7:$BU$1576,BU636,$AY$7:$AY$1576,"&gt;"&amp;AY636)+SUMIFS($AV$7:$AV$1576,$BU$7:$BU$1576,BU636,$AY$7:$AY$1576,AY636,$BO$7:$BO$1576,"&lt;="&amp;BO636),"")</f>
        <v>1.49404344447823</v>
      </c>
      <c r="BA636" s="65" t="n">
        <f aca="false">IF(AZ636="",0,MAX(0,MIN(1,(IF(BU636="L1",Parameter!$E$5,Parameter!$E$6+Parameter!$E$7)-(AZ636-AV636))/AV636)))</f>
        <v>1</v>
      </c>
      <c r="BB636" s="55" t="str">
        <f aca="false">IF(AF636&lt;=0,"",IF(BU636="Aussen","Aussenlager",IF(BU636="-","Nicht im Lift",IF(AK636&gt;=1,"Lift",IF(AK636&lt;=0,"Aussenlager","teilweise")))))</f>
        <v>Lift</v>
      </c>
      <c r="BC636" s="55" t="str">
        <f aca="false">IF(AN636&lt;=0,"",IF(BU636="Aussen","Aussenlager",IF(BU636="-","Nicht im Lift",IF(AS636&gt;=1,"Lift",IF(AS636&lt;=0,"Aussenlager","teilweise")))))</f>
        <v>Lift</v>
      </c>
      <c r="BD636" s="55" t="str">
        <f aca="false">IF(AV636&lt;=0,"",IF(BU636="Aussen","Aussenlager",IF(BU636="-","Nicht im Lift",IF(BA636&gt;=1,"Lift",IF(BA636&lt;=0,"Aussenlager","teilweise")))))</f>
        <v>Lift</v>
      </c>
      <c r="BE636" s="55" t="str">
        <f aca="false">IF(A636="","",IF(BN636=1,"Neu; ","")&amp;IF(AND(BN636=0,BI636&lt;0),"negativer Bestand (Export "&amp;BI636&amp;"); ","")&amp;IF(I636&lt;=0,"Kein Verbrauch; ","")&amp;IF(CD636&gt;0,"Lift "&amp;U636&amp;" lt. Liftbericht (Fach "&amp;V636&amp;" Stk); ",IF(BR636=1,"Lose – Fläche geschätzt; ",""))&amp;IF(G636&gt;AP636,"Überbestand "&amp;ROUND(G636-AP636,0)&amp;" Stk / CHF "&amp;ROUND((G636-AP636)*F636,0)&amp;"; ","")&amp;IF(AND(BW636=1,BX636&lt;BY636),"MAX &lt; MB+LG; ","")&amp;IF(AND(CC636&gt;0,CB636*10&gt;CC636),"zu hoch für Tablar; ","")&amp;IF(AND(BN636=0,OR(BW636=1,Y636&lt;&gt;"",S636&lt;&gt;"",T636&lt;&gt;"",Z636&lt;&gt;"")),"manuell übersteuert; ","")&amp;IF(AND(BR636=0,Q636=0),"Gebinde unbekannt / Stellmass fehlt; ","")&amp;IF(AND(BR636=0,N(T636)&lt;=0,N(P636)&lt;=0),"Menge pro Gebinde fehlt (Ist = 1 Gebinde); ","")&amp;BM636)</f>
        <v/>
      </c>
      <c r="BF636" s="55"/>
      <c r="BG636" s="55"/>
      <c r="BH636" s="62"/>
      <c r="BI636" s="57" t="n">
        <v>9</v>
      </c>
      <c r="BJ636" s="57" t="n">
        <v>730</v>
      </c>
      <c r="BK636" s="56" t="n">
        <v>1.07999999999998</v>
      </c>
      <c r="BL636" s="57" t="n">
        <v>1971</v>
      </c>
      <c r="BM636" s="55"/>
      <c r="BN636" s="60" t="n">
        <v>0</v>
      </c>
      <c r="BO636" s="60" t="n">
        <v>636</v>
      </c>
      <c r="BP636" s="55" t="str">
        <f aca="false">IF(S636&lt;&gt;"",UPPER(TRIM(S636)),IF(O636="","LOSE",O636))</f>
        <v>S52</v>
      </c>
      <c r="BQ636" s="57" t="n">
        <f aca="false">IF(BP636="LOSE",1,IF(N(T636)&gt;0,T636,IF(N(P636)&gt;0,P636,MAX(1,G636))))</f>
        <v>976</v>
      </c>
      <c r="BR636" s="60" t="n">
        <f aca="false">IF(BP636="LOSE",1,0)</f>
        <v>0</v>
      </c>
      <c r="BS636" s="59" t="n">
        <f aca="false">IF(BR636=0,0,IF(N(R636)&gt;0,R636,IFERROR(VLOOKUP(D636,Parameter!$A$35:$C$64,3,0)+0,0)))</f>
        <v>0</v>
      </c>
      <c r="BT636" s="55" t="n">
        <f aca="false">IF(Y636&lt;&gt;"",Y636,X636)</f>
        <v>3</v>
      </c>
      <c r="BU636" s="55" t="str">
        <f aca="false">IF(BT636=1,"L1",IF(OR(BT636=2,BT636=3),"L23",IF(BT636="Aussen","Aussen","-")))</f>
        <v>L23</v>
      </c>
      <c r="BV636" s="66" t="n">
        <f aca="false">IF(N(Z636)&gt;0,Z636,0)</f>
        <v>0</v>
      </c>
      <c r="BW636" s="60" t="n">
        <f aca="false">IF(ISNUMBER(AC636),1,0)</f>
        <v>0</v>
      </c>
      <c r="BX636" s="57" t="n">
        <f aca="false">N(AC636)</f>
        <v>0</v>
      </c>
      <c r="BY636" s="57" t="n">
        <f aca="false">N(L636)+N(M636)</f>
        <v>614</v>
      </c>
      <c r="BZ636" s="57" t="n">
        <f aca="false">ROUNDUP(G636/BQ636,0)</f>
        <v>1</v>
      </c>
      <c r="CA636" s="57" t="n">
        <f aca="false">ROUNDUP(BX636/BQ636,0)</f>
        <v>0</v>
      </c>
      <c r="CB636" s="60" t="n">
        <f aca="false">IF(BR636=1,0,IFERROR(VLOOKUP(BP636,'Gebinde-Kategorie'!$A$5:$M$45,5,0)+0,0))</f>
        <v>21</v>
      </c>
      <c r="CC636" s="60" t="n">
        <f aca="false">IFERROR(IF(OR(BT636=1,BT636=2,BT636=3),N(INDEX(Parameter!$I$5:$I$7,BT636)),0),0)</f>
        <v>0</v>
      </c>
      <c r="CD636" s="59" t="n">
        <f aca="false">IF(AND(Parameter!$B$21="Ja",ISNUMBER(U636),N(V636)&gt;0),IFERROR(N(INDEX(Parameter!$L$5:$L$7,U636))*INDEX(Parameter!$E$5:$E$7,U636)*V636/SUMIFS($V$7:$V$1576,$U$7:$U$1576,U636),0),0)</f>
        <v>0</v>
      </c>
    </row>
    <row r="637" customFormat="false" ht="15" hidden="false" customHeight="false" outlineLevel="0" collapsed="false">
      <c r="A637" s="55" t="s">
        <v>1287</v>
      </c>
      <c r="B637" s="55" t="s">
        <v>1288</v>
      </c>
      <c r="C637" s="55" t="s">
        <v>160</v>
      </c>
      <c r="D637" s="55" t="s">
        <v>168</v>
      </c>
      <c r="E637" s="55" t="s">
        <v>210</v>
      </c>
      <c r="F637" s="56" t="n">
        <v>0.01</v>
      </c>
      <c r="G637" s="57" t="n">
        <f aca="false">MAX(0,IF(AND(Parameter!$B$21="Ja",ISNUMBER(W637)),W637,IF(Parameter!$B$20="Jahresanfang 2025 + Export",BJ637+BI637,BI637)))</f>
        <v>59</v>
      </c>
      <c r="H637" s="57" t="n">
        <f aca="false">G637*F637</f>
        <v>0.59</v>
      </c>
      <c r="I637" s="57" t="n">
        <f aca="false">BL637*Parameter!$B$18</f>
        <v>0</v>
      </c>
      <c r="J637" s="58" t="n">
        <v>0</v>
      </c>
      <c r="K637" s="59" t="n">
        <v>0</v>
      </c>
      <c r="L637" s="57" t="n">
        <v>0</v>
      </c>
      <c r="M637" s="57" t="n">
        <v>1</v>
      </c>
      <c r="N637" s="60" t="n">
        <v>14</v>
      </c>
      <c r="O637" s="55" t="s">
        <v>163</v>
      </c>
      <c r="P637" s="57"/>
      <c r="Q637" s="60" t="n">
        <f aca="false">IF(BR637=1,0,IFERROR(VLOOKUP(BP637,'Gebinde-Kategorie'!$A$5:$M$45,13,0)+0,0))</f>
        <v>0</v>
      </c>
      <c r="R637" s="61"/>
      <c r="S637" s="62"/>
      <c r="T637" s="62"/>
      <c r="U637" s="55"/>
      <c r="V637" s="57"/>
      <c r="W637" s="57"/>
      <c r="X637" s="55" t="n">
        <f aca="false">IF(A637="","",IF(AND(Parameter!$B$21="Ja",ISNUMBER(U637)),U637,IF(IFERROR(VLOOKUP(D637,Parameter!$A$35:$C$64,2,0),"Nein")="2+3",IF(ISNUMBER(SEARCH("grosser Artikel",BM637)),2,IFERROR(VLOOKUP(BP637,Parameter!$F$35:$G$64,2,0),2)),IF(OR(IFERROR(VLOOKUP(D637,Parameter!$A$35:$C$64,2,0),"Nein")="Nein",IFERROR(VLOOKUP(D637,Parameter!$A$35:$C$64,2,0),"Nein")=""),"-",VLOOKUP(D637,Parameter!$A$35:$C$64,2,0)))))</f>
        <v>2</v>
      </c>
      <c r="Y637" s="62"/>
      <c r="Z637" s="63"/>
      <c r="AA637" s="57" t="n">
        <f aca="false">AP637</f>
        <v>1</v>
      </c>
      <c r="AB637" s="57" t="n">
        <f aca="false">MAX(AP637,G637)</f>
        <v>59</v>
      </c>
      <c r="AC637" s="64"/>
      <c r="AD637" s="57" t="n">
        <f aca="false">IF(LEFT(Cockpit!$C$5,1)="A",G637,IF(BW637=1,BX637,IF(LEFT(Cockpit!$C$5,1)="B",AH637,MAX(AH637,G637))))</f>
        <v>59</v>
      </c>
      <c r="AE637" s="57" t="n">
        <f aca="false">IF(BR637=1,0,ROUNDUP(AD637/BQ637,0))</f>
        <v>0</v>
      </c>
      <c r="AF637" s="59" t="n">
        <f aca="false">IF(CD637&gt;0,CD637*MAX(1,AD637/V637),IF(BR637=1,IF(AD637&lt;=0,0,BS637*MAX(1,IF(G637&gt;0,AD637/G637,1))),IF(Q637&gt;0,AE637/Q637,0))/MAX(0.1,N(Parameter!$M$21)))</f>
        <v>0.15</v>
      </c>
      <c r="AG637" s="57" t="n">
        <f aca="false">AD637*F637</f>
        <v>0.59</v>
      </c>
      <c r="AH637" s="57" t="n">
        <f aca="false">ROUNDUP(MAX(I637/IF(BV637&gt;0,BV637,MAX(0.1,N(Cockpit!$C$6))),BY637)/BQ637,0)*BQ637</f>
        <v>1</v>
      </c>
      <c r="AI637" s="58" t="n">
        <f aca="false">IF(AF637&gt;0,I637/AF637,-1)</f>
        <v>0</v>
      </c>
      <c r="AJ637" s="58" t="n">
        <f aca="false">IF(AND(OR(BU637="L1",BU637="L23"),AF637&gt;0),SUMIFS($AF$7:$AF$1576,$BU$7:$BU$1576,BU637,$AI$7:$AI$1576,"&gt;"&amp;AI637)+SUMIFS($AF$7:$AF$1576,$BU$7:$BU$1576,BU637,$AI$7:$AI$1576,AI637,$BO$7:$BO$1576,"&lt;="&amp;BO637),"")</f>
        <v>45.045910611128</v>
      </c>
      <c r="AK637" s="65" t="n">
        <f aca="false">IF(AJ637="",0,MAX(0,MIN(1,(IF(BU637="L1",Parameter!$E$5,Parameter!$E$6+Parameter!$E$7)-(AJ637-AF637))/AF637)))</f>
        <v>1</v>
      </c>
      <c r="AL637" s="57" t="n">
        <f aca="false">IF(LEFT(Cockpit!$I$5,1)="A",G637,IF(BW637=1,BX637,IF(LEFT(Cockpit!$I$5,1)="B",AP637,MAX(AP637,G637))))</f>
        <v>59</v>
      </c>
      <c r="AM637" s="57" t="n">
        <f aca="false">IF(BR637=1,0,ROUNDUP(AL637/BQ637,0))</f>
        <v>0</v>
      </c>
      <c r="AN637" s="59" t="n">
        <f aca="false">IF(CD637&gt;0,CD637*MAX(1,AL637/V637),IF(BR637=1,IF(AL637&lt;=0,0,BS637*MAX(1,IF(G637&gt;0,AL637/G637,1))),IF(Q637&gt;0,AM637/Q637,0))/MAX(0.1,N(Parameter!$M$21)))</f>
        <v>0.15</v>
      </c>
      <c r="AO637" s="57" t="n">
        <f aca="false">AL637*F637</f>
        <v>0.59</v>
      </c>
      <c r="AP637" s="57" t="n">
        <f aca="false">ROUNDUP(MAX(I637/IF(BV637&gt;0,BV637,MAX(0.1,N(Cockpit!$I$6))),BY637)/BQ637,0)*BQ637</f>
        <v>1</v>
      </c>
      <c r="AQ637" s="58" t="n">
        <f aca="false">IF(AN637&gt;0,I637/AN637,-1)</f>
        <v>0</v>
      </c>
      <c r="AR637" s="58" t="n">
        <f aca="false">IF(AND(OR(BU637="L1",BU637="L23"),AN637&gt;0),SUMIFS($AN$7:$AN$1576,$BU$7:$BU$1576,BU637,$AQ$7:$AQ$1576,"&gt;"&amp;AQ637)+SUMIFS($AN$7:$AN$1576,$BU$7:$BU$1576,BU637,$AQ$7:$AQ$1576,AQ637,$BO$7:$BO$1576,"&lt;="&amp;BO637),"")</f>
        <v>128.11499855222</v>
      </c>
      <c r="AS637" s="65" t="n">
        <f aca="false">IF(AR637="",0,MAX(0,MIN(1,(IF(BU637="L1",Parameter!$E$5,Parameter!$E$6+Parameter!$E$7)-(AR637-AN637))/AN637)))</f>
        <v>0</v>
      </c>
      <c r="AT637" s="57" t="n">
        <f aca="false">IF(LEFT(Cockpit!$O$5,1)="A",G637,IF(BW637=1,BX637,IF(LEFT(Cockpit!$O$5,1)="B",AX637,MAX(AX637,G637))))</f>
        <v>59</v>
      </c>
      <c r="AU637" s="57" t="n">
        <f aca="false">IF(BR637=1,0,ROUNDUP(AT637/BQ637,0))</f>
        <v>0</v>
      </c>
      <c r="AV637" s="59" t="n">
        <f aca="false">IF(CD637&gt;0,CD637*MAX(1,AT637/V637),IF(BR637=1,IF(AT637&lt;=0,0,BS637*MAX(1,IF(G637&gt;0,AT637/G637,1))),IF(Q637&gt;0,AU637/Q637,0))/MAX(0.1,N(Parameter!$M$21)))</f>
        <v>0.15</v>
      </c>
      <c r="AW637" s="57" t="n">
        <f aca="false">AT637*F637</f>
        <v>0.59</v>
      </c>
      <c r="AX637" s="57" t="n">
        <f aca="false">ROUNDUP(MAX(I637/IF(BV637&gt;0,BV637,MAX(0.1,N(Cockpit!$O$6))),BY637)/BQ637,0)*BQ637</f>
        <v>1</v>
      </c>
      <c r="AY637" s="58" t="n">
        <f aca="false">IF(AV637&gt;0,I637/AV637,-1)</f>
        <v>0</v>
      </c>
      <c r="AZ637" s="58" t="n">
        <f aca="false">IF(AND(OR(BU637="L1",BU637="L23"),AV637&gt;0),SUMIFS($AV$7:$AV$1576,$BU$7:$BU$1576,BU637,$AY$7:$AY$1576,"&gt;"&amp;AY637)+SUMIFS($AV$7:$AV$1576,$BU$7:$BU$1576,BU637,$AY$7:$AY$1576,AY637,$BO$7:$BO$1576,"&lt;="&amp;BO637),"")</f>
        <v>118.17454900177</v>
      </c>
      <c r="BA637" s="65" t="n">
        <f aca="false">IF(AZ637="",0,MAX(0,MIN(1,(IF(BU637="L1",Parameter!$E$5,Parameter!$E$6+Parameter!$E$7)-(AZ637-AV637))/AV637)))</f>
        <v>0</v>
      </c>
      <c r="BB637" s="55" t="str">
        <f aca="false">IF(AF637&lt;=0,"",IF(BU637="Aussen","Aussenlager",IF(BU637="-","Nicht im Lift",IF(AK637&gt;=1,"Lift",IF(AK637&lt;=0,"Aussenlager","teilweise")))))</f>
        <v>Lift</v>
      </c>
      <c r="BC637" s="55" t="str">
        <f aca="false">IF(AN637&lt;=0,"",IF(BU637="Aussen","Aussenlager",IF(BU637="-","Nicht im Lift",IF(AS637&gt;=1,"Lift",IF(AS637&lt;=0,"Aussenlager","teilweise")))))</f>
        <v>Aussenlager</v>
      </c>
      <c r="BD637" s="55" t="str">
        <f aca="false">IF(AV637&lt;=0,"",IF(BU637="Aussen","Aussenlager",IF(BU637="-","Nicht im Lift",IF(BA637&gt;=1,"Lift",IF(BA637&lt;=0,"Aussenlager","teilweise")))))</f>
        <v>Aussenlager</v>
      </c>
      <c r="BE637" s="55" t="str">
        <f aca="false">IF(A637="","",IF(BN637=1,"Neu; ","")&amp;IF(AND(BN637=0,BI637&lt;0),"negativer Bestand (Export "&amp;BI637&amp;"); ","")&amp;IF(I637&lt;=0,"Kein Verbrauch; ","")&amp;IF(CD637&gt;0,"Lift "&amp;U637&amp;" lt. Liftbericht (Fach "&amp;V637&amp;" Stk); ",IF(BR637=1,"Lose – Fläche geschätzt; ",""))&amp;IF(G637&gt;AP637,"Überbestand "&amp;ROUND(G637-AP637,0)&amp;" Stk / CHF "&amp;ROUND((G637-AP637)*F637,0)&amp;"; ","")&amp;IF(AND(BW637=1,BX637&lt;BY637),"MAX &lt; MB+LG; ","")&amp;IF(AND(CC637&gt;0,CB637*10&gt;CC637),"zu hoch für Tablar; ","")&amp;IF(AND(BN637=0,OR(BW637=1,Y637&lt;&gt;"",S637&lt;&gt;"",T637&lt;&gt;"",Z637&lt;&gt;"")),"manuell übersteuert; ","")&amp;IF(AND(BR637=0,Q637=0),"Gebinde unbekannt / Stellmass fehlt; ","")&amp;IF(AND(BR637=0,N(T637)&lt;=0,N(P637)&lt;=0),"Menge pro Gebinde fehlt (Ist = 1 Gebinde); ","")&amp;BM637)</f>
        <v>Kein Verbrauch; Lose – Fläche geschätzt; Überbestand 58 Stk / CHF 1; </v>
      </c>
      <c r="BF637" s="55"/>
      <c r="BG637" s="55"/>
      <c r="BH637" s="62"/>
      <c r="BI637" s="57" t="n">
        <v>59</v>
      </c>
      <c r="BJ637" s="57" t="n">
        <v>0</v>
      </c>
      <c r="BK637" s="56" t="n">
        <v>0.59</v>
      </c>
      <c r="BL637" s="57" t="n">
        <v>0</v>
      </c>
      <c r="BM637" s="55"/>
      <c r="BN637" s="60" t="n">
        <v>0</v>
      </c>
      <c r="BO637" s="60" t="n">
        <v>637</v>
      </c>
      <c r="BP637" s="55" t="str">
        <f aca="false">IF(S637&lt;&gt;"",UPPER(TRIM(S637)),IF(O637="","LOSE",O637))</f>
        <v>LOSE</v>
      </c>
      <c r="BQ637" s="57" t="n">
        <f aca="false">IF(BP637="LOSE",1,IF(N(T637)&gt;0,T637,IF(N(P637)&gt;0,P637,MAX(1,G637))))</f>
        <v>1</v>
      </c>
      <c r="BR637" s="60" t="n">
        <f aca="false">IF(BP637="LOSE",1,0)</f>
        <v>1</v>
      </c>
      <c r="BS637" s="59" t="n">
        <f aca="false">IF(BR637=0,0,IF(N(R637)&gt;0,R637,IFERROR(VLOOKUP(D637,Parameter!$A$35:$C$64,3,0)+0,0)))</f>
        <v>0.15</v>
      </c>
      <c r="BT637" s="55" t="n">
        <f aca="false">IF(Y637&lt;&gt;"",Y637,X637)</f>
        <v>2</v>
      </c>
      <c r="BU637" s="55" t="str">
        <f aca="false">IF(BT637=1,"L1",IF(OR(BT637=2,BT637=3),"L23",IF(BT637="Aussen","Aussen","-")))</f>
        <v>L23</v>
      </c>
      <c r="BV637" s="66" t="n">
        <f aca="false">IF(N(Z637)&gt;0,Z637,0)</f>
        <v>0</v>
      </c>
      <c r="BW637" s="60" t="n">
        <f aca="false">IF(ISNUMBER(AC637),1,0)</f>
        <v>0</v>
      </c>
      <c r="BX637" s="57" t="n">
        <f aca="false">N(AC637)</f>
        <v>0</v>
      </c>
      <c r="BY637" s="57" t="n">
        <f aca="false">N(L637)+N(M637)</f>
        <v>1</v>
      </c>
      <c r="BZ637" s="57" t="n">
        <f aca="false">ROUNDUP(G637/BQ637,0)</f>
        <v>59</v>
      </c>
      <c r="CA637" s="57" t="n">
        <f aca="false">ROUNDUP(BX637/BQ637,0)</f>
        <v>0</v>
      </c>
      <c r="CB637" s="60" t="n">
        <f aca="false">IF(BR637=1,0,IFERROR(VLOOKUP(BP637,'Gebinde-Kategorie'!$A$5:$M$45,5,0)+0,0))</f>
        <v>0</v>
      </c>
      <c r="CC637" s="60" t="n">
        <f aca="false">IFERROR(IF(OR(BT637=1,BT637=2,BT637=3),N(INDEX(Parameter!$I$5:$I$7,BT637)),0),0)</f>
        <v>0</v>
      </c>
      <c r="CD637" s="59" t="n">
        <f aca="false">IF(AND(Parameter!$B$21="Ja",ISNUMBER(U637),N(V637)&gt;0),IFERROR(N(INDEX(Parameter!$L$5:$L$7,U637))*INDEX(Parameter!$E$5:$E$7,U637)*V637/SUMIFS($V$7:$V$1576,$U$7:$U$1576,U637),0),0)</f>
        <v>0</v>
      </c>
    </row>
    <row r="638" customFormat="false" ht="15" hidden="false" customHeight="false" outlineLevel="0" collapsed="false">
      <c r="A638" s="55" t="s">
        <v>1289</v>
      </c>
      <c r="B638" s="55" t="s">
        <v>1290</v>
      </c>
      <c r="C638" s="55" t="s">
        <v>160</v>
      </c>
      <c r="D638" s="55" t="s">
        <v>168</v>
      </c>
      <c r="E638" s="55" t="s">
        <v>210</v>
      </c>
      <c r="F638" s="56" t="n">
        <v>0.01</v>
      </c>
      <c r="G638" s="57" t="n">
        <f aca="false">MAX(0,IF(AND(Parameter!$B$21="Ja",ISNUMBER(W638)),W638,IF(Parameter!$B$20="Jahresanfang 2025 + Export",BJ638+BI638,BI638)))</f>
        <v>43</v>
      </c>
      <c r="H638" s="57" t="n">
        <f aca="false">G638*F638</f>
        <v>0.43</v>
      </c>
      <c r="I638" s="57" t="n">
        <f aca="false">BL638*Parameter!$B$18</f>
        <v>0</v>
      </c>
      <c r="J638" s="58" t="n">
        <v>0</v>
      </c>
      <c r="K638" s="59" t="n">
        <v>0</v>
      </c>
      <c r="L638" s="57" t="n">
        <v>0</v>
      </c>
      <c r="M638" s="57" t="n">
        <v>1</v>
      </c>
      <c r="N638" s="60" t="n">
        <v>999</v>
      </c>
      <c r="O638" s="55" t="s">
        <v>163</v>
      </c>
      <c r="P638" s="57"/>
      <c r="Q638" s="60" t="n">
        <f aca="false">IF(BR638=1,0,IFERROR(VLOOKUP(BP638,'Gebinde-Kategorie'!$A$5:$M$45,13,0)+0,0))</f>
        <v>0</v>
      </c>
      <c r="R638" s="61"/>
      <c r="S638" s="62"/>
      <c r="T638" s="62"/>
      <c r="U638" s="55"/>
      <c r="V638" s="57"/>
      <c r="W638" s="57"/>
      <c r="X638" s="55" t="n">
        <f aca="false">IF(A638="","",IF(AND(Parameter!$B$21="Ja",ISNUMBER(U638)),U638,IF(IFERROR(VLOOKUP(D638,Parameter!$A$35:$C$64,2,0),"Nein")="2+3",IF(ISNUMBER(SEARCH("grosser Artikel",BM638)),2,IFERROR(VLOOKUP(BP638,Parameter!$F$35:$G$64,2,0),2)),IF(OR(IFERROR(VLOOKUP(D638,Parameter!$A$35:$C$64,2,0),"Nein")="Nein",IFERROR(VLOOKUP(D638,Parameter!$A$35:$C$64,2,0),"Nein")=""),"-",VLOOKUP(D638,Parameter!$A$35:$C$64,2,0)))))</f>
        <v>2</v>
      </c>
      <c r="Y638" s="62"/>
      <c r="Z638" s="63"/>
      <c r="AA638" s="57" t="n">
        <f aca="false">AP638</f>
        <v>1</v>
      </c>
      <c r="AB638" s="57" t="n">
        <f aca="false">MAX(AP638,G638)</f>
        <v>43</v>
      </c>
      <c r="AC638" s="64"/>
      <c r="AD638" s="57" t="n">
        <f aca="false">IF(LEFT(Cockpit!$C$5,1)="A",G638,IF(BW638=1,BX638,IF(LEFT(Cockpit!$C$5,1)="B",AH638,MAX(AH638,G638))))</f>
        <v>43</v>
      </c>
      <c r="AE638" s="57" t="n">
        <f aca="false">IF(BR638=1,0,ROUNDUP(AD638/BQ638,0))</f>
        <v>0</v>
      </c>
      <c r="AF638" s="59" t="n">
        <f aca="false">IF(CD638&gt;0,CD638*MAX(1,AD638/V638),IF(BR638=1,IF(AD638&lt;=0,0,BS638*MAX(1,IF(G638&gt;0,AD638/G638,1))),IF(Q638&gt;0,AE638/Q638,0))/MAX(0.1,N(Parameter!$M$21)))</f>
        <v>0.15</v>
      </c>
      <c r="AG638" s="57" t="n">
        <f aca="false">AD638*F638</f>
        <v>0.43</v>
      </c>
      <c r="AH638" s="57" t="n">
        <f aca="false">ROUNDUP(MAX(I638/IF(BV638&gt;0,BV638,MAX(0.1,N(Cockpit!$C$6))),BY638)/BQ638,0)*BQ638</f>
        <v>1</v>
      </c>
      <c r="AI638" s="58" t="n">
        <f aca="false">IF(AF638&gt;0,I638/AF638,-1)</f>
        <v>0</v>
      </c>
      <c r="AJ638" s="58" t="n">
        <f aca="false">IF(AND(OR(BU638="L1",BU638="L23"),AF638&gt;0),SUMIFS($AF$7:$AF$1576,$BU$7:$BU$1576,BU638,$AI$7:$AI$1576,"&gt;"&amp;AI638)+SUMIFS($AF$7:$AF$1576,$BU$7:$BU$1576,BU638,$AI$7:$AI$1576,AI638,$BO$7:$BO$1576,"&lt;="&amp;BO638),"")</f>
        <v>45.195910611128</v>
      </c>
      <c r="AK638" s="65" t="n">
        <f aca="false">IF(AJ638="",0,MAX(0,MIN(1,(IF(BU638="L1",Parameter!$E$5,Parameter!$E$6+Parameter!$E$7)-(AJ638-AF638))/AF638)))</f>
        <v>1</v>
      </c>
      <c r="AL638" s="57" t="n">
        <f aca="false">IF(LEFT(Cockpit!$I$5,1)="A",G638,IF(BW638=1,BX638,IF(LEFT(Cockpit!$I$5,1)="B",AP638,MAX(AP638,G638))))</f>
        <v>43</v>
      </c>
      <c r="AM638" s="57" t="n">
        <f aca="false">IF(BR638=1,0,ROUNDUP(AL638/BQ638,0))</f>
        <v>0</v>
      </c>
      <c r="AN638" s="59" t="n">
        <f aca="false">IF(CD638&gt;0,CD638*MAX(1,AL638/V638),IF(BR638=1,IF(AL638&lt;=0,0,BS638*MAX(1,IF(G638&gt;0,AL638/G638,1))),IF(Q638&gt;0,AM638/Q638,0))/MAX(0.1,N(Parameter!$M$21)))</f>
        <v>0.15</v>
      </c>
      <c r="AO638" s="57" t="n">
        <f aca="false">AL638*F638</f>
        <v>0.43</v>
      </c>
      <c r="AP638" s="57" t="n">
        <f aca="false">ROUNDUP(MAX(I638/IF(BV638&gt;0,BV638,MAX(0.1,N(Cockpit!$I$6))),BY638)/BQ638,0)*BQ638</f>
        <v>1</v>
      </c>
      <c r="AQ638" s="58" t="n">
        <f aca="false">IF(AN638&gt;0,I638/AN638,-1)</f>
        <v>0</v>
      </c>
      <c r="AR638" s="58" t="n">
        <f aca="false">IF(AND(OR(BU638="L1",BU638="L23"),AN638&gt;0),SUMIFS($AN$7:$AN$1576,$BU$7:$BU$1576,BU638,$AQ$7:$AQ$1576,"&gt;"&amp;AQ638)+SUMIFS($AN$7:$AN$1576,$BU$7:$BU$1576,BU638,$AQ$7:$AQ$1576,AQ638,$BO$7:$BO$1576,"&lt;="&amp;BO638),"")</f>
        <v>128.26499855222</v>
      </c>
      <c r="AS638" s="65" t="n">
        <f aca="false">IF(AR638="",0,MAX(0,MIN(1,(IF(BU638="L1",Parameter!$E$5,Parameter!$E$6+Parameter!$E$7)-(AR638-AN638))/AN638)))</f>
        <v>0</v>
      </c>
      <c r="AT638" s="57" t="n">
        <f aca="false">IF(LEFT(Cockpit!$O$5,1)="A",G638,IF(BW638=1,BX638,IF(LEFT(Cockpit!$O$5,1)="B",AX638,MAX(AX638,G638))))</f>
        <v>43</v>
      </c>
      <c r="AU638" s="57" t="n">
        <f aca="false">IF(BR638=1,0,ROUNDUP(AT638/BQ638,0))</f>
        <v>0</v>
      </c>
      <c r="AV638" s="59" t="n">
        <f aca="false">IF(CD638&gt;0,CD638*MAX(1,AT638/V638),IF(BR638=1,IF(AT638&lt;=0,0,BS638*MAX(1,IF(G638&gt;0,AT638/G638,1))),IF(Q638&gt;0,AU638/Q638,0))/MAX(0.1,N(Parameter!$M$21)))</f>
        <v>0.15</v>
      </c>
      <c r="AW638" s="57" t="n">
        <f aca="false">AT638*F638</f>
        <v>0.43</v>
      </c>
      <c r="AX638" s="57" t="n">
        <f aca="false">ROUNDUP(MAX(I638/IF(BV638&gt;0,BV638,MAX(0.1,N(Cockpit!$O$6))),BY638)/BQ638,0)*BQ638</f>
        <v>1</v>
      </c>
      <c r="AY638" s="58" t="n">
        <f aca="false">IF(AV638&gt;0,I638/AV638,-1)</f>
        <v>0</v>
      </c>
      <c r="AZ638" s="58" t="n">
        <f aca="false">IF(AND(OR(BU638="L1",BU638="L23"),AV638&gt;0),SUMIFS($AV$7:$AV$1576,$BU$7:$BU$1576,BU638,$AY$7:$AY$1576,"&gt;"&amp;AY638)+SUMIFS($AV$7:$AV$1576,$BU$7:$BU$1576,BU638,$AY$7:$AY$1576,AY638,$BO$7:$BO$1576,"&lt;="&amp;BO638),"")</f>
        <v>118.32454900177</v>
      </c>
      <c r="BA638" s="65" t="n">
        <f aca="false">IF(AZ638="",0,MAX(0,MIN(1,(IF(BU638="L1",Parameter!$E$5,Parameter!$E$6+Parameter!$E$7)-(AZ638-AV638))/AV638)))</f>
        <v>0</v>
      </c>
      <c r="BB638" s="55" t="str">
        <f aca="false">IF(AF638&lt;=0,"",IF(BU638="Aussen","Aussenlager",IF(BU638="-","Nicht im Lift",IF(AK638&gt;=1,"Lift",IF(AK638&lt;=0,"Aussenlager","teilweise")))))</f>
        <v>Lift</v>
      </c>
      <c r="BC638" s="55" t="str">
        <f aca="false">IF(AN638&lt;=0,"",IF(BU638="Aussen","Aussenlager",IF(BU638="-","Nicht im Lift",IF(AS638&gt;=1,"Lift",IF(AS638&lt;=0,"Aussenlager","teilweise")))))</f>
        <v>Aussenlager</v>
      </c>
      <c r="BD638" s="55" t="str">
        <f aca="false">IF(AV638&lt;=0,"",IF(BU638="Aussen","Aussenlager",IF(BU638="-","Nicht im Lift",IF(BA638&gt;=1,"Lift",IF(BA638&lt;=0,"Aussenlager","teilweise")))))</f>
        <v>Aussenlager</v>
      </c>
      <c r="BE638" s="55" t="str">
        <f aca="false">IF(A638="","",IF(BN638=1,"Neu; ","")&amp;IF(AND(BN638=0,BI638&lt;0),"negativer Bestand (Export "&amp;BI638&amp;"); ","")&amp;IF(I638&lt;=0,"Kein Verbrauch; ","")&amp;IF(CD638&gt;0,"Lift "&amp;U638&amp;" lt. Liftbericht (Fach "&amp;V638&amp;" Stk); ",IF(BR638=1,"Lose – Fläche geschätzt; ",""))&amp;IF(G638&gt;AP638,"Überbestand "&amp;ROUND(G638-AP638,0)&amp;" Stk / CHF "&amp;ROUND((G638-AP638)*F638,0)&amp;"; ","")&amp;IF(AND(BW638=1,BX638&lt;BY638),"MAX &lt; MB+LG; ","")&amp;IF(AND(CC638&gt;0,CB638*10&gt;CC638),"zu hoch für Tablar; ","")&amp;IF(AND(BN638=0,OR(BW638=1,Y638&lt;&gt;"",S638&lt;&gt;"",T638&lt;&gt;"",Z638&lt;&gt;"")),"manuell übersteuert; ","")&amp;IF(AND(BR638=0,Q638=0),"Gebinde unbekannt / Stellmass fehlt; ","")&amp;IF(AND(BR638=0,N(T638)&lt;=0,N(P638)&lt;=0),"Menge pro Gebinde fehlt (Ist = 1 Gebinde); ","")&amp;BM638)</f>
        <v>Kein Verbrauch; Lose – Fläche geschätzt; Überbestand 42 Stk / CHF 0; </v>
      </c>
      <c r="BF638" s="55"/>
      <c r="BG638" s="55"/>
      <c r="BH638" s="62"/>
      <c r="BI638" s="57" t="n">
        <v>43</v>
      </c>
      <c r="BJ638" s="57" t="n">
        <v>0</v>
      </c>
      <c r="BK638" s="56" t="n">
        <v>0.43</v>
      </c>
      <c r="BL638" s="57" t="n">
        <v>0</v>
      </c>
      <c r="BM638" s="55"/>
      <c r="BN638" s="60" t="n">
        <v>0</v>
      </c>
      <c r="BO638" s="60" t="n">
        <v>638</v>
      </c>
      <c r="BP638" s="55" t="str">
        <f aca="false">IF(S638&lt;&gt;"",UPPER(TRIM(S638)),IF(O638="","LOSE",O638))</f>
        <v>LOSE</v>
      </c>
      <c r="BQ638" s="57" t="n">
        <f aca="false">IF(BP638="LOSE",1,IF(N(T638)&gt;0,T638,IF(N(P638)&gt;0,P638,MAX(1,G638))))</f>
        <v>1</v>
      </c>
      <c r="BR638" s="60" t="n">
        <f aca="false">IF(BP638="LOSE",1,0)</f>
        <v>1</v>
      </c>
      <c r="BS638" s="59" t="n">
        <f aca="false">IF(BR638=0,0,IF(N(R638)&gt;0,R638,IFERROR(VLOOKUP(D638,Parameter!$A$35:$C$64,3,0)+0,0)))</f>
        <v>0.15</v>
      </c>
      <c r="BT638" s="55" t="n">
        <f aca="false">IF(Y638&lt;&gt;"",Y638,X638)</f>
        <v>2</v>
      </c>
      <c r="BU638" s="55" t="str">
        <f aca="false">IF(BT638=1,"L1",IF(OR(BT638=2,BT638=3),"L23",IF(BT638="Aussen","Aussen","-")))</f>
        <v>L23</v>
      </c>
      <c r="BV638" s="66" t="n">
        <f aca="false">IF(N(Z638)&gt;0,Z638,0)</f>
        <v>0</v>
      </c>
      <c r="BW638" s="60" t="n">
        <f aca="false">IF(ISNUMBER(AC638),1,0)</f>
        <v>0</v>
      </c>
      <c r="BX638" s="57" t="n">
        <f aca="false">N(AC638)</f>
        <v>0</v>
      </c>
      <c r="BY638" s="57" t="n">
        <f aca="false">N(L638)+N(M638)</f>
        <v>1</v>
      </c>
      <c r="BZ638" s="57" t="n">
        <f aca="false">ROUNDUP(G638/BQ638,0)</f>
        <v>43</v>
      </c>
      <c r="CA638" s="57" t="n">
        <f aca="false">ROUNDUP(BX638/BQ638,0)</f>
        <v>0</v>
      </c>
      <c r="CB638" s="60" t="n">
        <f aca="false">IF(BR638=1,0,IFERROR(VLOOKUP(BP638,'Gebinde-Kategorie'!$A$5:$M$45,5,0)+0,0))</f>
        <v>0</v>
      </c>
      <c r="CC638" s="60" t="n">
        <f aca="false">IFERROR(IF(OR(BT638=1,BT638=2,BT638=3),N(INDEX(Parameter!$I$5:$I$7,BT638)),0),0)</f>
        <v>0</v>
      </c>
      <c r="CD638" s="59" t="n">
        <f aca="false">IF(AND(Parameter!$B$21="Ja",ISNUMBER(U638),N(V638)&gt;0),IFERROR(N(INDEX(Parameter!$L$5:$L$7,U638))*INDEX(Parameter!$E$5:$E$7,U638)*V638/SUMIFS($V$7:$V$1576,$U$7:$U$1576,U638),0),0)</f>
        <v>0</v>
      </c>
    </row>
    <row r="639" customFormat="false" ht="15" hidden="false" customHeight="false" outlineLevel="0" collapsed="false">
      <c r="A639" s="55" t="s">
        <v>1291</v>
      </c>
      <c r="B639" s="55" t="s">
        <v>938</v>
      </c>
      <c r="C639" s="55" t="s">
        <v>160</v>
      </c>
      <c r="D639" s="55" t="s">
        <v>178</v>
      </c>
      <c r="E639" s="55" t="s">
        <v>210</v>
      </c>
      <c r="F639" s="56" t="n">
        <v>0.38</v>
      </c>
      <c r="G639" s="57" t="n">
        <f aca="false">MAX(0,IF(AND(Parameter!$B$21="Ja",ISNUMBER(W639)),W639,IF(Parameter!$B$20="Jahresanfang 2025 + Export",BJ639+BI639,BI639)))</f>
        <v>1</v>
      </c>
      <c r="H639" s="57" t="n">
        <f aca="false">G639*F639</f>
        <v>0.38</v>
      </c>
      <c r="I639" s="57" t="n">
        <f aca="false">BL639*Parameter!$B$18</f>
        <v>2</v>
      </c>
      <c r="J639" s="58" t="n">
        <v>12.5</v>
      </c>
      <c r="K639" s="59" t="n">
        <v>0.16</v>
      </c>
      <c r="L639" s="57" t="n">
        <v>0</v>
      </c>
      <c r="M639" s="57" t="n">
        <v>1</v>
      </c>
      <c r="N639" s="60" t="n">
        <v>21</v>
      </c>
      <c r="O639" s="55" t="s">
        <v>416</v>
      </c>
      <c r="P639" s="57" t="n">
        <v>36</v>
      </c>
      <c r="Q639" s="60" t="n">
        <f aca="false">IF(BR639=1,0,IFERROR(VLOOKUP(BP639,'Gebinde-Kategorie'!$A$5:$M$45,13,0)+0,0))</f>
        <v>198</v>
      </c>
      <c r="R639" s="61"/>
      <c r="S639" s="62"/>
      <c r="T639" s="62"/>
      <c r="U639" s="55"/>
      <c r="V639" s="57"/>
      <c r="W639" s="57"/>
      <c r="X639" s="55" t="n">
        <f aca="false">IF(A639="","",IF(AND(Parameter!$B$21="Ja",ISNUMBER(U639)),U639,IF(IFERROR(VLOOKUP(D639,Parameter!$A$35:$C$64,2,0),"Nein")="2+3",IF(ISNUMBER(SEARCH("grosser Artikel",BM639)),2,IFERROR(VLOOKUP(BP639,Parameter!$F$35:$G$64,2,0),2)),IF(OR(IFERROR(VLOOKUP(D639,Parameter!$A$35:$C$64,2,0),"Nein")="Nein",IFERROR(VLOOKUP(D639,Parameter!$A$35:$C$64,2,0),"Nein")=""),"-",VLOOKUP(D639,Parameter!$A$35:$C$64,2,0)))))</f>
        <v>3</v>
      </c>
      <c r="Y639" s="62"/>
      <c r="Z639" s="63"/>
      <c r="AA639" s="57" t="n">
        <f aca="false">AP639</f>
        <v>36</v>
      </c>
      <c r="AB639" s="57" t="n">
        <f aca="false">MAX(AP639,G639)</f>
        <v>36</v>
      </c>
      <c r="AC639" s="64"/>
      <c r="AD639" s="57" t="n">
        <f aca="false">IF(LEFT(Cockpit!$C$5,1)="A",G639,IF(BW639=1,BX639,IF(LEFT(Cockpit!$C$5,1)="B",AH639,MAX(AH639,G639))))</f>
        <v>1</v>
      </c>
      <c r="AE639" s="57" t="n">
        <f aca="false">IF(BR639=1,0,ROUNDUP(AD639/BQ639,0))</f>
        <v>1</v>
      </c>
      <c r="AF639" s="59" t="n">
        <f aca="false">IF(CD639&gt;0,CD639*MAX(1,AD639/V639),IF(BR639=1,IF(AD639&lt;=0,0,BS639*MAX(1,IF(G639&gt;0,AD639/G639,1))),IF(Q639&gt;0,AE639/Q639,0))/MAX(0.1,N(Parameter!$M$21)))</f>
        <v>0.00505050505050505</v>
      </c>
      <c r="AG639" s="57" t="n">
        <f aca="false">AD639*F639</f>
        <v>0.38</v>
      </c>
      <c r="AH639" s="57" t="n">
        <f aca="false">ROUNDUP(MAX(I639/IF(BV639&gt;0,BV639,MAX(0.1,N(Cockpit!$C$6))),BY639)/BQ639,0)*BQ639</f>
        <v>36</v>
      </c>
      <c r="AI639" s="58" t="n">
        <f aca="false">IF(AF639&gt;0,I639/AF639,-1)</f>
        <v>396</v>
      </c>
      <c r="AJ639" s="58" t="n">
        <f aca="false">IF(AND(OR(BU639="L1",BU639="L23"),AF639&gt;0),SUMIFS($AF$7:$AF$1576,$BU$7:$BU$1576,BU639,$AI$7:$AI$1576,"&gt;"&amp;AI639)+SUMIFS($AF$7:$AF$1576,$BU$7:$BU$1576,BU639,$AI$7:$AI$1576,AI639,$BO$7:$BO$1576,"&lt;="&amp;BO639),"")</f>
        <v>13.5113077260903</v>
      </c>
      <c r="AK639" s="65" t="n">
        <f aca="false">IF(AJ639="",0,MAX(0,MIN(1,(IF(BU639="L1",Parameter!$E$5,Parameter!$E$6+Parameter!$E$7)-(AJ639-AF639))/AF639)))</f>
        <v>1</v>
      </c>
      <c r="AL639" s="57" t="n">
        <f aca="false">IF(LEFT(Cockpit!$I$5,1)="A",G639,IF(BW639=1,BX639,IF(LEFT(Cockpit!$I$5,1)="B",AP639,MAX(AP639,G639))))</f>
        <v>36</v>
      </c>
      <c r="AM639" s="57" t="n">
        <f aca="false">IF(BR639=1,0,ROUNDUP(AL639/BQ639,0))</f>
        <v>1</v>
      </c>
      <c r="AN639" s="59" t="n">
        <f aca="false">IF(CD639&gt;0,CD639*MAX(1,AL639/V639),IF(BR639=1,IF(AL639&lt;=0,0,BS639*MAX(1,IF(G639&gt;0,AL639/G639,1))),IF(Q639&gt;0,AM639/Q639,0))/MAX(0.1,N(Parameter!$M$21)))</f>
        <v>0.00505050505050505</v>
      </c>
      <c r="AO639" s="57" t="n">
        <f aca="false">AL639*F639</f>
        <v>13.68</v>
      </c>
      <c r="AP639" s="57" t="n">
        <f aca="false">ROUNDUP(MAX(I639/IF(BV639&gt;0,BV639,MAX(0.1,N(Cockpit!$I$6))),BY639)/BQ639,0)*BQ639</f>
        <v>36</v>
      </c>
      <c r="AQ639" s="58" t="n">
        <f aca="false">IF(AN639&gt;0,I639/AN639,-1)</f>
        <v>396</v>
      </c>
      <c r="AR639" s="58" t="n">
        <f aca="false">IF(AND(OR(BU639="L1",BU639="L23"),AN639&gt;0),SUMIFS($AN$7:$AN$1576,$BU$7:$BU$1576,BU639,$AQ$7:$AQ$1576,"&gt;"&amp;AQ639)+SUMIFS($AN$7:$AN$1576,$BU$7:$BU$1576,BU639,$AQ$7:$AQ$1576,AQ639,$BO$7:$BO$1576,"&lt;="&amp;BO639),"")</f>
        <v>36.7864854593227</v>
      </c>
      <c r="AS639" s="65" t="n">
        <f aca="false">IF(AR639="",0,MAX(0,MIN(1,(IF(BU639="L1",Parameter!$E$5,Parameter!$E$6+Parameter!$E$7)-(AR639-AN639))/AN639)))</f>
        <v>1</v>
      </c>
      <c r="AT639" s="57" t="n">
        <f aca="false">IF(LEFT(Cockpit!$O$5,1)="A",G639,IF(BW639=1,BX639,IF(LEFT(Cockpit!$O$5,1)="B",AX639,MAX(AX639,G639))))</f>
        <v>36</v>
      </c>
      <c r="AU639" s="57" t="n">
        <f aca="false">IF(BR639=1,0,ROUNDUP(AT639/BQ639,0))</f>
        <v>1</v>
      </c>
      <c r="AV639" s="59" t="n">
        <f aca="false">IF(CD639&gt;0,CD639*MAX(1,AT639/V639),IF(BR639=1,IF(AT639&lt;=0,0,BS639*MAX(1,IF(G639&gt;0,AT639/G639,1))),IF(Q639&gt;0,AU639/Q639,0))/MAX(0.1,N(Parameter!$M$21)))</f>
        <v>0.00505050505050505</v>
      </c>
      <c r="AW639" s="57" t="n">
        <f aca="false">AT639*F639</f>
        <v>13.68</v>
      </c>
      <c r="AX639" s="57" t="n">
        <f aca="false">ROUNDUP(MAX(I639/IF(BV639&gt;0,BV639,MAX(0.1,N(Cockpit!$O$6))),BY639)/BQ639,0)*BQ639</f>
        <v>36</v>
      </c>
      <c r="AY639" s="58" t="n">
        <f aca="false">IF(AV639&gt;0,I639/AV639,-1)</f>
        <v>396</v>
      </c>
      <c r="AZ639" s="58" t="n">
        <f aca="false">IF(AND(OR(BU639="L1",BU639="L23"),AV639&gt;0),SUMIFS($AV$7:$AV$1576,$BU$7:$BU$1576,BU639,$AY$7:$AY$1576,"&gt;"&amp;AY639)+SUMIFS($AV$7:$AV$1576,$BU$7:$BU$1576,BU639,$AY$7:$AY$1576,AY639,$BO$7:$BO$1576,"&lt;="&amp;BO639),"")</f>
        <v>35.951230714068</v>
      </c>
      <c r="BA639" s="65" t="n">
        <f aca="false">IF(AZ639="",0,MAX(0,MIN(1,(IF(BU639="L1",Parameter!$E$5,Parameter!$E$6+Parameter!$E$7)-(AZ639-AV639))/AV639)))</f>
        <v>1</v>
      </c>
      <c r="BB639" s="55" t="str">
        <f aca="false">IF(AF639&lt;=0,"",IF(BU639="Aussen","Aussenlager",IF(BU639="-","Nicht im Lift",IF(AK639&gt;=1,"Lift",IF(AK639&lt;=0,"Aussenlager","teilweise")))))</f>
        <v>Lift</v>
      </c>
      <c r="BC639" s="55" t="str">
        <f aca="false">IF(AN639&lt;=0,"",IF(BU639="Aussen","Aussenlager",IF(BU639="-","Nicht im Lift",IF(AS639&gt;=1,"Lift",IF(AS639&lt;=0,"Aussenlager","teilweise")))))</f>
        <v>Lift</v>
      </c>
      <c r="BD639" s="55" t="str">
        <f aca="false">IF(AV639&lt;=0,"",IF(BU639="Aussen","Aussenlager",IF(BU639="-","Nicht im Lift",IF(BA639&gt;=1,"Lift",IF(BA639&lt;=0,"Aussenlager","teilweise")))))</f>
        <v>Lift</v>
      </c>
      <c r="BE639" s="55" t="str">
        <f aca="false">IF(A639="","",IF(BN639=1,"Neu; ","")&amp;IF(AND(BN639=0,BI639&lt;0),"negativer Bestand (Export "&amp;BI639&amp;"); ","")&amp;IF(I639&lt;=0,"Kein Verbrauch; ","")&amp;IF(CD639&gt;0,"Lift "&amp;U639&amp;" lt. Liftbericht (Fach "&amp;V639&amp;" Stk); ",IF(BR639=1,"Lose – Fläche geschätzt; ",""))&amp;IF(G639&gt;AP639,"Überbestand "&amp;ROUND(G639-AP639,0)&amp;" Stk / CHF "&amp;ROUND((G639-AP639)*F639,0)&amp;"; ","")&amp;IF(AND(BW639=1,BX639&lt;BY639),"MAX &lt; MB+LG; ","")&amp;IF(AND(CC639&gt;0,CB639*10&gt;CC639),"zu hoch für Tablar; ","")&amp;IF(AND(BN639=0,OR(BW639=1,Y639&lt;&gt;"",S639&lt;&gt;"",T639&lt;&gt;"",Z639&lt;&gt;"")),"manuell übersteuert; ","")&amp;IF(AND(BR639=0,Q639=0),"Gebinde unbekannt / Stellmass fehlt; ","")&amp;IF(AND(BR639=0,N(T639)&lt;=0,N(P639)&lt;=0),"Menge pro Gebinde fehlt (Ist = 1 Gebinde); ","")&amp;BM639)</f>
        <v>Überbestand</v>
      </c>
      <c r="BF639" s="55"/>
      <c r="BG639" s="55"/>
      <c r="BH639" s="62"/>
      <c r="BI639" s="57" t="n">
        <v>1</v>
      </c>
      <c r="BJ639" s="57" t="n">
        <v>13</v>
      </c>
      <c r="BK639" s="56" t="n">
        <v>0.38</v>
      </c>
      <c r="BL639" s="57" t="n">
        <v>2</v>
      </c>
      <c r="BM639" s="55" t="s">
        <v>382</v>
      </c>
      <c r="BN639" s="60" t="n">
        <v>0</v>
      </c>
      <c r="BO639" s="60" t="n">
        <v>639</v>
      </c>
      <c r="BP639" s="55" t="str">
        <f aca="false">IF(S639&lt;&gt;"",UPPER(TRIM(S639)),IF(O639="","LOSE",O639))</f>
        <v>S22</v>
      </c>
      <c r="BQ639" s="57" t="n">
        <f aca="false">IF(BP639="LOSE",1,IF(N(T639)&gt;0,T639,IF(N(P639)&gt;0,P639,MAX(1,G639))))</f>
        <v>36</v>
      </c>
      <c r="BR639" s="60" t="n">
        <f aca="false">IF(BP639="LOSE",1,0)</f>
        <v>0</v>
      </c>
      <c r="BS639" s="59" t="n">
        <f aca="false">IF(BR639=0,0,IF(N(R639)&gt;0,R639,IFERROR(VLOOKUP(D639,Parameter!$A$35:$C$64,3,0)+0,0)))</f>
        <v>0</v>
      </c>
      <c r="BT639" s="55" t="n">
        <f aca="false">IF(Y639&lt;&gt;"",Y639,X639)</f>
        <v>3</v>
      </c>
      <c r="BU639" s="55" t="str">
        <f aca="false">IF(BT639=1,"L1",IF(OR(BT639=2,BT639=3),"L23",IF(BT639="Aussen","Aussen","-")))</f>
        <v>L23</v>
      </c>
      <c r="BV639" s="66" t="n">
        <f aca="false">IF(N(Z639)&gt;0,Z639,0)</f>
        <v>0</v>
      </c>
      <c r="BW639" s="60" t="n">
        <f aca="false">IF(ISNUMBER(AC639),1,0)</f>
        <v>0</v>
      </c>
      <c r="BX639" s="57" t="n">
        <f aca="false">N(AC639)</f>
        <v>0</v>
      </c>
      <c r="BY639" s="57" t="n">
        <f aca="false">N(L639)+N(M639)</f>
        <v>1</v>
      </c>
      <c r="BZ639" s="57" t="n">
        <f aca="false">ROUNDUP(G639/BQ639,0)</f>
        <v>1</v>
      </c>
      <c r="CA639" s="57" t="n">
        <f aca="false">ROUNDUP(BX639/BQ639,0)</f>
        <v>0</v>
      </c>
      <c r="CB639" s="60" t="n">
        <f aca="false">IF(BR639=1,0,IFERROR(VLOOKUP(BP639,'Gebinde-Kategorie'!$A$5:$M$45,5,0)+0,0))</f>
        <v>8</v>
      </c>
      <c r="CC639" s="60" t="n">
        <f aca="false">IFERROR(IF(OR(BT639=1,BT639=2,BT639=3),N(INDEX(Parameter!$I$5:$I$7,BT639)),0),0)</f>
        <v>0</v>
      </c>
      <c r="CD639" s="59" t="n">
        <f aca="false">IF(AND(Parameter!$B$21="Ja",ISNUMBER(U639),N(V639)&gt;0),IFERROR(N(INDEX(Parameter!$L$5:$L$7,U639))*INDEX(Parameter!$E$5:$E$7,U639)*V639/SUMIFS($V$7:$V$1576,$U$7:$U$1576,U639),0),0)</f>
        <v>0</v>
      </c>
    </row>
    <row r="640" customFormat="false" ht="15" hidden="false" customHeight="false" outlineLevel="0" collapsed="false">
      <c r="A640" s="55" t="s">
        <v>1292</v>
      </c>
      <c r="B640" s="55" t="s">
        <v>1293</v>
      </c>
      <c r="C640" s="55" t="s">
        <v>160</v>
      </c>
      <c r="D640" s="55" t="s">
        <v>168</v>
      </c>
      <c r="E640" s="55" t="s">
        <v>210</v>
      </c>
      <c r="F640" s="56" t="n">
        <v>0.01</v>
      </c>
      <c r="G640" s="57" t="n">
        <f aca="false">MAX(0,IF(AND(Parameter!$B$21="Ja",ISNUMBER(W640)),W640,IF(Parameter!$B$20="Jahresanfang 2025 + Export",BJ640+BI640,BI640)))</f>
        <v>37</v>
      </c>
      <c r="H640" s="57" t="n">
        <f aca="false">G640*F640</f>
        <v>0.37</v>
      </c>
      <c r="I640" s="57" t="n">
        <f aca="false">BL640*Parameter!$B$18</f>
        <v>0</v>
      </c>
      <c r="J640" s="58" t="n">
        <v>0</v>
      </c>
      <c r="K640" s="59" t="n">
        <v>0</v>
      </c>
      <c r="L640" s="57" t="n">
        <v>0</v>
      </c>
      <c r="M640" s="57" t="n">
        <v>1</v>
      </c>
      <c r="N640" s="60" t="n">
        <v>999</v>
      </c>
      <c r="O640" s="55" t="s">
        <v>163</v>
      </c>
      <c r="P640" s="57"/>
      <c r="Q640" s="60" t="n">
        <f aca="false">IF(BR640=1,0,IFERROR(VLOOKUP(BP640,'Gebinde-Kategorie'!$A$5:$M$45,13,0)+0,0))</f>
        <v>0</v>
      </c>
      <c r="R640" s="61"/>
      <c r="S640" s="62"/>
      <c r="T640" s="62"/>
      <c r="U640" s="55"/>
      <c r="V640" s="57"/>
      <c r="W640" s="57"/>
      <c r="X640" s="55" t="n">
        <f aca="false">IF(A640="","",IF(AND(Parameter!$B$21="Ja",ISNUMBER(U640)),U640,IF(IFERROR(VLOOKUP(D640,Parameter!$A$35:$C$64,2,0),"Nein")="2+3",IF(ISNUMBER(SEARCH("grosser Artikel",BM640)),2,IFERROR(VLOOKUP(BP640,Parameter!$F$35:$G$64,2,0),2)),IF(OR(IFERROR(VLOOKUP(D640,Parameter!$A$35:$C$64,2,0),"Nein")="Nein",IFERROR(VLOOKUP(D640,Parameter!$A$35:$C$64,2,0),"Nein")=""),"-",VLOOKUP(D640,Parameter!$A$35:$C$64,2,0)))))</f>
        <v>2</v>
      </c>
      <c r="Y640" s="62"/>
      <c r="Z640" s="63"/>
      <c r="AA640" s="57" t="n">
        <f aca="false">AP640</f>
        <v>1</v>
      </c>
      <c r="AB640" s="57" t="n">
        <f aca="false">MAX(AP640,G640)</f>
        <v>37</v>
      </c>
      <c r="AC640" s="64"/>
      <c r="AD640" s="57" t="n">
        <f aca="false">IF(LEFT(Cockpit!$C$5,1)="A",G640,IF(BW640=1,BX640,IF(LEFT(Cockpit!$C$5,1)="B",AH640,MAX(AH640,G640))))</f>
        <v>37</v>
      </c>
      <c r="AE640" s="57" t="n">
        <f aca="false">IF(BR640=1,0,ROUNDUP(AD640/BQ640,0))</f>
        <v>0</v>
      </c>
      <c r="AF640" s="59" t="n">
        <f aca="false">IF(CD640&gt;0,CD640*MAX(1,AD640/V640),IF(BR640=1,IF(AD640&lt;=0,0,BS640*MAX(1,IF(G640&gt;0,AD640/G640,1))),IF(Q640&gt;0,AE640/Q640,0))/MAX(0.1,N(Parameter!$M$21)))</f>
        <v>0.15</v>
      </c>
      <c r="AG640" s="57" t="n">
        <f aca="false">AD640*F640</f>
        <v>0.37</v>
      </c>
      <c r="AH640" s="57" t="n">
        <f aca="false">ROUNDUP(MAX(I640/IF(BV640&gt;0,BV640,MAX(0.1,N(Cockpit!$C$6))),BY640)/BQ640,0)*BQ640</f>
        <v>1</v>
      </c>
      <c r="AI640" s="58" t="n">
        <f aca="false">IF(AF640&gt;0,I640/AF640,-1)</f>
        <v>0</v>
      </c>
      <c r="AJ640" s="58" t="n">
        <f aca="false">IF(AND(OR(BU640="L1",BU640="L23"),AF640&gt;0),SUMIFS($AF$7:$AF$1576,$BU$7:$BU$1576,BU640,$AI$7:$AI$1576,"&gt;"&amp;AI640)+SUMIFS($AF$7:$AF$1576,$BU$7:$BU$1576,BU640,$AI$7:$AI$1576,AI640,$BO$7:$BO$1576,"&lt;="&amp;BO640),"")</f>
        <v>45.345910611128</v>
      </c>
      <c r="AK640" s="65" t="n">
        <f aca="false">IF(AJ640="",0,MAX(0,MIN(1,(IF(BU640="L1",Parameter!$E$5,Parameter!$E$6+Parameter!$E$7)-(AJ640-AF640))/AF640)))</f>
        <v>1</v>
      </c>
      <c r="AL640" s="57" t="n">
        <f aca="false">IF(LEFT(Cockpit!$I$5,1)="A",G640,IF(BW640=1,BX640,IF(LEFT(Cockpit!$I$5,1)="B",AP640,MAX(AP640,G640))))</f>
        <v>37</v>
      </c>
      <c r="AM640" s="57" t="n">
        <f aca="false">IF(BR640=1,0,ROUNDUP(AL640/BQ640,0))</f>
        <v>0</v>
      </c>
      <c r="AN640" s="59" t="n">
        <f aca="false">IF(CD640&gt;0,CD640*MAX(1,AL640/V640),IF(BR640=1,IF(AL640&lt;=0,0,BS640*MAX(1,IF(G640&gt;0,AL640/G640,1))),IF(Q640&gt;0,AM640/Q640,0))/MAX(0.1,N(Parameter!$M$21)))</f>
        <v>0.15</v>
      </c>
      <c r="AO640" s="57" t="n">
        <f aca="false">AL640*F640</f>
        <v>0.37</v>
      </c>
      <c r="AP640" s="57" t="n">
        <f aca="false">ROUNDUP(MAX(I640/IF(BV640&gt;0,BV640,MAX(0.1,N(Cockpit!$I$6))),BY640)/BQ640,0)*BQ640</f>
        <v>1</v>
      </c>
      <c r="AQ640" s="58" t="n">
        <f aca="false">IF(AN640&gt;0,I640/AN640,-1)</f>
        <v>0</v>
      </c>
      <c r="AR640" s="58" t="n">
        <f aca="false">IF(AND(OR(BU640="L1",BU640="L23"),AN640&gt;0),SUMIFS($AN$7:$AN$1576,$BU$7:$BU$1576,BU640,$AQ$7:$AQ$1576,"&gt;"&amp;AQ640)+SUMIFS($AN$7:$AN$1576,$BU$7:$BU$1576,BU640,$AQ$7:$AQ$1576,AQ640,$BO$7:$BO$1576,"&lt;="&amp;BO640),"")</f>
        <v>128.41499855222</v>
      </c>
      <c r="AS640" s="65" t="n">
        <f aca="false">IF(AR640="",0,MAX(0,MIN(1,(IF(BU640="L1",Parameter!$E$5,Parameter!$E$6+Parameter!$E$7)-(AR640-AN640))/AN640)))</f>
        <v>0</v>
      </c>
      <c r="AT640" s="57" t="n">
        <f aca="false">IF(LEFT(Cockpit!$O$5,1)="A",G640,IF(BW640=1,BX640,IF(LEFT(Cockpit!$O$5,1)="B",AX640,MAX(AX640,G640))))</f>
        <v>37</v>
      </c>
      <c r="AU640" s="57" t="n">
        <f aca="false">IF(BR640=1,0,ROUNDUP(AT640/BQ640,0))</f>
        <v>0</v>
      </c>
      <c r="AV640" s="59" t="n">
        <f aca="false">IF(CD640&gt;0,CD640*MAX(1,AT640/V640),IF(BR640=1,IF(AT640&lt;=0,0,BS640*MAX(1,IF(G640&gt;0,AT640/G640,1))),IF(Q640&gt;0,AU640/Q640,0))/MAX(0.1,N(Parameter!$M$21)))</f>
        <v>0.15</v>
      </c>
      <c r="AW640" s="57" t="n">
        <f aca="false">AT640*F640</f>
        <v>0.37</v>
      </c>
      <c r="AX640" s="57" t="n">
        <f aca="false">ROUNDUP(MAX(I640/IF(BV640&gt;0,BV640,MAX(0.1,N(Cockpit!$O$6))),BY640)/BQ640,0)*BQ640</f>
        <v>1</v>
      </c>
      <c r="AY640" s="58" t="n">
        <f aca="false">IF(AV640&gt;0,I640/AV640,-1)</f>
        <v>0</v>
      </c>
      <c r="AZ640" s="58" t="n">
        <f aca="false">IF(AND(OR(BU640="L1",BU640="L23"),AV640&gt;0),SUMIFS($AV$7:$AV$1576,$BU$7:$BU$1576,BU640,$AY$7:$AY$1576,"&gt;"&amp;AY640)+SUMIFS($AV$7:$AV$1576,$BU$7:$BU$1576,BU640,$AY$7:$AY$1576,AY640,$BO$7:$BO$1576,"&lt;="&amp;BO640),"")</f>
        <v>118.47454900177</v>
      </c>
      <c r="BA640" s="65" t="n">
        <f aca="false">IF(AZ640="",0,MAX(0,MIN(1,(IF(BU640="L1",Parameter!$E$5,Parameter!$E$6+Parameter!$E$7)-(AZ640-AV640))/AV640)))</f>
        <v>0</v>
      </c>
      <c r="BB640" s="55" t="str">
        <f aca="false">IF(AF640&lt;=0,"",IF(BU640="Aussen","Aussenlager",IF(BU640="-","Nicht im Lift",IF(AK640&gt;=1,"Lift",IF(AK640&lt;=0,"Aussenlager","teilweise")))))</f>
        <v>Lift</v>
      </c>
      <c r="BC640" s="55" t="str">
        <f aca="false">IF(AN640&lt;=0,"",IF(BU640="Aussen","Aussenlager",IF(BU640="-","Nicht im Lift",IF(AS640&gt;=1,"Lift",IF(AS640&lt;=0,"Aussenlager","teilweise")))))</f>
        <v>Aussenlager</v>
      </c>
      <c r="BD640" s="55" t="str">
        <f aca="false">IF(AV640&lt;=0,"",IF(BU640="Aussen","Aussenlager",IF(BU640="-","Nicht im Lift",IF(BA640&gt;=1,"Lift",IF(BA640&lt;=0,"Aussenlager","teilweise")))))</f>
        <v>Aussenlager</v>
      </c>
      <c r="BE640" s="55" t="str">
        <f aca="false">IF(A640="","",IF(BN640=1,"Neu; ","")&amp;IF(AND(BN640=0,BI640&lt;0),"negativer Bestand (Export "&amp;BI640&amp;"); ","")&amp;IF(I640&lt;=0,"Kein Verbrauch; ","")&amp;IF(CD640&gt;0,"Lift "&amp;U640&amp;" lt. Liftbericht (Fach "&amp;V640&amp;" Stk); ",IF(BR640=1,"Lose – Fläche geschätzt; ",""))&amp;IF(G640&gt;AP640,"Überbestand "&amp;ROUND(G640-AP640,0)&amp;" Stk / CHF "&amp;ROUND((G640-AP640)*F640,0)&amp;"; ","")&amp;IF(AND(BW640=1,BX640&lt;BY640),"MAX &lt; MB+LG; ","")&amp;IF(AND(CC640&gt;0,CB640*10&gt;CC640),"zu hoch für Tablar; ","")&amp;IF(AND(BN640=0,OR(BW640=1,Y640&lt;&gt;"",S640&lt;&gt;"",T640&lt;&gt;"",Z640&lt;&gt;"")),"manuell übersteuert; ","")&amp;IF(AND(BR640=0,Q640=0),"Gebinde unbekannt / Stellmass fehlt; ","")&amp;IF(AND(BR640=0,N(T640)&lt;=0,N(P640)&lt;=0),"Menge pro Gebinde fehlt (Ist = 1 Gebinde); ","")&amp;BM640)</f>
        <v>Kein Verbrauch; Lose – Fläche geschätzt; Überbestand 36 Stk / CHF 0; </v>
      </c>
      <c r="BF640" s="55"/>
      <c r="BG640" s="55"/>
      <c r="BH640" s="62"/>
      <c r="BI640" s="57" t="n">
        <v>37</v>
      </c>
      <c r="BJ640" s="57" t="n">
        <v>0</v>
      </c>
      <c r="BK640" s="56" t="n">
        <v>0.37</v>
      </c>
      <c r="BL640" s="57" t="n">
        <v>0</v>
      </c>
      <c r="BM640" s="55"/>
      <c r="BN640" s="60" t="n">
        <v>0</v>
      </c>
      <c r="BO640" s="60" t="n">
        <v>640</v>
      </c>
      <c r="BP640" s="55" t="str">
        <f aca="false">IF(S640&lt;&gt;"",UPPER(TRIM(S640)),IF(O640="","LOSE",O640))</f>
        <v>LOSE</v>
      </c>
      <c r="BQ640" s="57" t="n">
        <f aca="false">IF(BP640="LOSE",1,IF(N(T640)&gt;0,T640,IF(N(P640)&gt;0,P640,MAX(1,G640))))</f>
        <v>1</v>
      </c>
      <c r="BR640" s="60" t="n">
        <f aca="false">IF(BP640="LOSE",1,0)</f>
        <v>1</v>
      </c>
      <c r="BS640" s="59" t="n">
        <f aca="false">IF(BR640=0,0,IF(N(R640)&gt;0,R640,IFERROR(VLOOKUP(D640,Parameter!$A$35:$C$64,3,0)+0,0)))</f>
        <v>0.15</v>
      </c>
      <c r="BT640" s="55" t="n">
        <f aca="false">IF(Y640&lt;&gt;"",Y640,X640)</f>
        <v>2</v>
      </c>
      <c r="BU640" s="55" t="str">
        <f aca="false">IF(BT640=1,"L1",IF(OR(BT640=2,BT640=3),"L23",IF(BT640="Aussen","Aussen","-")))</f>
        <v>L23</v>
      </c>
      <c r="BV640" s="66" t="n">
        <f aca="false">IF(N(Z640)&gt;0,Z640,0)</f>
        <v>0</v>
      </c>
      <c r="BW640" s="60" t="n">
        <f aca="false">IF(ISNUMBER(AC640),1,0)</f>
        <v>0</v>
      </c>
      <c r="BX640" s="57" t="n">
        <f aca="false">N(AC640)</f>
        <v>0</v>
      </c>
      <c r="BY640" s="57" t="n">
        <f aca="false">N(L640)+N(M640)</f>
        <v>1</v>
      </c>
      <c r="BZ640" s="57" t="n">
        <f aca="false">ROUNDUP(G640/BQ640,0)</f>
        <v>37</v>
      </c>
      <c r="CA640" s="57" t="n">
        <f aca="false">ROUNDUP(BX640/BQ640,0)</f>
        <v>0</v>
      </c>
      <c r="CB640" s="60" t="n">
        <f aca="false">IF(BR640=1,0,IFERROR(VLOOKUP(BP640,'Gebinde-Kategorie'!$A$5:$M$45,5,0)+0,0))</f>
        <v>0</v>
      </c>
      <c r="CC640" s="60" t="n">
        <f aca="false">IFERROR(IF(OR(BT640=1,BT640=2,BT640=3),N(INDEX(Parameter!$I$5:$I$7,BT640)),0),0)</f>
        <v>0</v>
      </c>
      <c r="CD640" s="59" t="n">
        <f aca="false">IF(AND(Parameter!$B$21="Ja",ISNUMBER(U640),N(V640)&gt;0),IFERROR(N(INDEX(Parameter!$L$5:$L$7,U640))*INDEX(Parameter!$E$5:$E$7,U640)*V640/SUMIFS($V$7:$V$1576,$U$7:$U$1576,U640),0),0)</f>
        <v>0</v>
      </c>
    </row>
    <row r="641" customFormat="false" ht="15" hidden="false" customHeight="false" outlineLevel="0" collapsed="false">
      <c r="A641" s="55" t="s">
        <v>1294</v>
      </c>
      <c r="B641" s="55" t="s">
        <v>1295</v>
      </c>
      <c r="C641" s="55" t="s">
        <v>160</v>
      </c>
      <c r="D641" s="55" t="s">
        <v>178</v>
      </c>
      <c r="E641" s="55" t="s">
        <v>210</v>
      </c>
      <c r="F641" s="56" t="n">
        <v>0.01</v>
      </c>
      <c r="G641" s="57" t="n">
        <f aca="false">MAX(0,IF(AND(Parameter!$B$21="Ja",ISNUMBER(W641)),W641,IF(Parameter!$B$20="Jahresanfang 2025 + Export",BJ641+BI641,BI641)))</f>
        <v>37</v>
      </c>
      <c r="H641" s="57" t="n">
        <f aca="false">G641*F641</f>
        <v>0.37</v>
      </c>
      <c r="I641" s="57" t="n">
        <f aca="false">BL641*Parameter!$B$18</f>
        <v>56</v>
      </c>
      <c r="J641" s="58" t="n">
        <v>59</v>
      </c>
      <c r="K641" s="59" t="n">
        <v>0.949152542372881</v>
      </c>
      <c r="L641" s="57" t="n">
        <v>3</v>
      </c>
      <c r="M641" s="57" t="n">
        <v>100</v>
      </c>
      <c r="N641" s="60" t="n">
        <v>21</v>
      </c>
      <c r="O641" s="55" t="s">
        <v>416</v>
      </c>
      <c r="P641" s="57" t="n">
        <v>161</v>
      </c>
      <c r="Q641" s="60" t="n">
        <f aca="false">IF(BR641=1,0,IFERROR(VLOOKUP(BP641,'Gebinde-Kategorie'!$A$5:$M$45,13,0)+0,0))</f>
        <v>198</v>
      </c>
      <c r="R641" s="61"/>
      <c r="S641" s="62"/>
      <c r="T641" s="62"/>
      <c r="U641" s="55"/>
      <c r="V641" s="57"/>
      <c r="W641" s="57"/>
      <c r="X641" s="55" t="n">
        <f aca="false">IF(A641="","",IF(AND(Parameter!$B$21="Ja",ISNUMBER(U641)),U641,IF(IFERROR(VLOOKUP(D641,Parameter!$A$35:$C$64,2,0),"Nein")="2+3",IF(ISNUMBER(SEARCH("grosser Artikel",BM641)),2,IFERROR(VLOOKUP(BP641,Parameter!$F$35:$G$64,2,0),2)),IF(OR(IFERROR(VLOOKUP(D641,Parameter!$A$35:$C$64,2,0),"Nein")="Nein",IFERROR(VLOOKUP(D641,Parameter!$A$35:$C$64,2,0),"Nein")=""),"-",VLOOKUP(D641,Parameter!$A$35:$C$64,2,0)))))</f>
        <v>3</v>
      </c>
      <c r="Y641" s="62"/>
      <c r="Z641" s="63"/>
      <c r="AA641" s="57" t="n">
        <f aca="false">AP641</f>
        <v>161</v>
      </c>
      <c r="AB641" s="57" t="n">
        <f aca="false">MAX(AP641,G641)</f>
        <v>161</v>
      </c>
      <c r="AC641" s="64"/>
      <c r="AD641" s="57" t="n">
        <f aca="false">IF(LEFT(Cockpit!$C$5,1)="A",G641,IF(BW641=1,BX641,IF(LEFT(Cockpit!$C$5,1)="B",AH641,MAX(AH641,G641))))</f>
        <v>37</v>
      </c>
      <c r="AE641" s="57" t="n">
        <f aca="false">IF(BR641=1,0,ROUNDUP(AD641/BQ641,0))</f>
        <v>1</v>
      </c>
      <c r="AF641" s="59" t="n">
        <f aca="false">IF(CD641&gt;0,CD641*MAX(1,AD641/V641),IF(BR641=1,IF(AD641&lt;=0,0,BS641*MAX(1,IF(G641&gt;0,AD641/G641,1))),IF(Q641&gt;0,AE641/Q641,0))/MAX(0.1,N(Parameter!$M$21)))</f>
        <v>0.00505050505050505</v>
      </c>
      <c r="AG641" s="57" t="n">
        <f aca="false">AD641*F641</f>
        <v>0.37</v>
      </c>
      <c r="AH641" s="57" t="n">
        <f aca="false">ROUNDUP(MAX(I641/IF(BV641&gt;0,BV641,MAX(0.1,N(Cockpit!$C$6))),BY641)/BQ641,0)*BQ641</f>
        <v>161</v>
      </c>
      <c r="AI641" s="58" t="n">
        <f aca="false">IF(AF641&gt;0,I641/AF641,-1)</f>
        <v>11088</v>
      </c>
      <c r="AJ641" s="58" t="n">
        <f aca="false">IF(AND(OR(BU641="L1",BU641="L23"),AF641&gt;0),SUMIFS($AF$7:$AF$1576,$BU$7:$BU$1576,BU641,$AI$7:$AI$1576,"&gt;"&amp;AI641)+SUMIFS($AF$7:$AF$1576,$BU$7:$BU$1576,BU641,$AI$7:$AI$1576,AI641,$BO$7:$BO$1576,"&lt;="&amp;BO641),"")</f>
        <v>2.42928448363231</v>
      </c>
      <c r="AK641" s="65" t="n">
        <f aca="false">IF(AJ641="",0,MAX(0,MIN(1,(IF(BU641="L1",Parameter!$E$5,Parameter!$E$6+Parameter!$E$7)-(AJ641-AF641))/AF641)))</f>
        <v>1</v>
      </c>
      <c r="AL641" s="57" t="n">
        <f aca="false">IF(LEFT(Cockpit!$I$5,1)="A",G641,IF(BW641=1,BX641,IF(LEFT(Cockpit!$I$5,1)="B",AP641,MAX(AP641,G641))))</f>
        <v>161</v>
      </c>
      <c r="AM641" s="57" t="n">
        <f aca="false">IF(BR641=1,0,ROUNDUP(AL641/BQ641,0))</f>
        <v>1</v>
      </c>
      <c r="AN641" s="59" t="n">
        <f aca="false">IF(CD641&gt;0,CD641*MAX(1,AL641/V641),IF(BR641=1,IF(AL641&lt;=0,0,BS641*MAX(1,IF(G641&gt;0,AL641/G641,1))),IF(Q641&gt;0,AM641/Q641,0))/MAX(0.1,N(Parameter!$M$21)))</f>
        <v>0.00505050505050505</v>
      </c>
      <c r="AO641" s="57" t="n">
        <f aca="false">AL641*F641</f>
        <v>1.61</v>
      </c>
      <c r="AP641" s="57" t="n">
        <f aca="false">ROUNDUP(MAX(I641/IF(BV641&gt;0,BV641,MAX(0.1,N(Cockpit!$I$6))),BY641)/BQ641,0)*BQ641</f>
        <v>161</v>
      </c>
      <c r="AQ641" s="58" t="n">
        <f aca="false">IF(AN641&gt;0,I641/AN641,-1)</f>
        <v>11088</v>
      </c>
      <c r="AR641" s="58" t="n">
        <f aca="false">IF(AND(OR(BU641="L1",BU641="L23"),AN641&gt;0),SUMIFS($AN$7:$AN$1576,$BU$7:$BU$1576,BU641,$AQ$7:$AQ$1576,"&gt;"&amp;AQ641)+SUMIFS($AN$7:$AN$1576,$BU$7:$BU$1576,BU641,$AQ$7:$AQ$1576,AQ641,$BO$7:$BO$1576,"&lt;="&amp;BO641),"")</f>
        <v>6.77815073815074</v>
      </c>
      <c r="AS641" s="65" t="n">
        <f aca="false">IF(AR641="",0,MAX(0,MIN(1,(IF(BU641="L1",Parameter!$E$5,Parameter!$E$6+Parameter!$E$7)-(AR641-AN641))/AN641)))</f>
        <v>1</v>
      </c>
      <c r="AT641" s="57" t="n">
        <f aca="false">IF(LEFT(Cockpit!$O$5,1)="A",G641,IF(BW641=1,BX641,IF(LEFT(Cockpit!$O$5,1)="B",AX641,MAX(AX641,G641))))</f>
        <v>161</v>
      </c>
      <c r="AU641" s="57" t="n">
        <f aca="false">IF(BR641=1,0,ROUNDUP(AT641/BQ641,0))</f>
        <v>1</v>
      </c>
      <c r="AV641" s="59" t="n">
        <f aca="false">IF(CD641&gt;0,CD641*MAX(1,AT641/V641),IF(BR641=1,IF(AT641&lt;=0,0,BS641*MAX(1,IF(G641&gt;0,AT641/G641,1))),IF(Q641&gt;0,AU641/Q641,0))/MAX(0.1,N(Parameter!$M$21)))</f>
        <v>0.00505050505050505</v>
      </c>
      <c r="AW641" s="57" t="n">
        <f aca="false">AT641*F641</f>
        <v>1.61</v>
      </c>
      <c r="AX641" s="57" t="n">
        <f aca="false">ROUNDUP(MAX(I641/IF(BV641&gt;0,BV641,MAX(0.1,N(Cockpit!$O$6))),BY641)/BQ641,0)*BQ641</f>
        <v>161</v>
      </c>
      <c r="AY641" s="58" t="n">
        <f aca="false">IF(AV641&gt;0,I641/AV641,-1)</f>
        <v>11088</v>
      </c>
      <c r="AZ641" s="58" t="n">
        <f aca="false">IF(AND(OR(BU641="L1",BU641="L23"),AV641&gt;0),SUMIFS($AV$7:$AV$1576,$BU$7:$BU$1576,BU641,$AY$7:$AY$1576,"&gt;"&amp;AY641)+SUMIFS($AV$7:$AV$1576,$BU$7:$BU$1576,BU641,$AY$7:$AY$1576,AY641,$BO$7:$BO$1576,"&lt;="&amp;BO641),"")</f>
        <v>6.47978243978244</v>
      </c>
      <c r="BA641" s="65" t="n">
        <f aca="false">IF(AZ641="",0,MAX(0,MIN(1,(IF(BU641="L1",Parameter!$E$5,Parameter!$E$6+Parameter!$E$7)-(AZ641-AV641))/AV641)))</f>
        <v>1</v>
      </c>
      <c r="BB641" s="55" t="str">
        <f aca="false">IF(AF641&lt;=0,"",IF(BU641="Aussen","Aussenlager",IF(BU641="-","Nicht im Lift",IF(AK641&gt;=1,"Lift",IF(AK641&lt;=0,"Aussenlager","teilweise")))))</f>
        <v>Lift</v>
      </c>
      <c r="BC641" s="55" t="str">
        <f aca="false">IF(AN641&lt;=0,"",IF(BU641="Aussen","Aussenlager",IF(BU641="-","Nicht im Lift",IF(AS641&gt;=1,"Lift",IF(AS641&lt;=0,"Aussenlager","teilweise")))))</f>
        <v>Lift</v>
      </c>
      <c r="BD641" s="55" t="str">
        <f aca="false">IF(AV641&lt;=0,"",IF(BU641="Aussen","Aussenlager",IF(BU641="-","Nicht im Lift",IF(BA641&gt;=1,"Lift",IF(BA641&lt;=0,"Aussenlager","teilweise")))))</f>
        <v>Lift</v>
      </c>
      <c r="BE641" s="55" t="str">
        <f aca="false">IF(A641="","",IF(BN641=1,"Neu; ","")&amp;IF(AND(BN641=0,BI641&lt;0),"negativer Bestand (Export "&amp;BI641&amp;"); ","")&amp;IF(I641&lt;=0,"Kein Verbrauch; ","")&amp;IF(CD641&gt;0,"Lift "&amp;U641&amp;" lt. Liftbericht (Fach "&amp;V641&amp;" Stk); ",IF(BR641=1,"Lose – Fläche geschätzt; ",""))&amp;IF(G641&gt;AP641,"Überbestand "&amp;ROUND(G641-AP641,0)&amp;" Stk / CHF "&amp;ROUND((G641-AP641)*F641,0)&amp;"; ","")&amp;IF(AND(BW641=1,BX641&lt;BY641),"MAX &lt; MB+LG; ","")&amp;IF(AND(CC641&gt;0,CB641*10&gt;CC641),"zu hoch für Tablar; ","")&amp;IF(AND(BN641=0,OR(BW641=1,Y641&lt;&gt;"",S641&lt;&gt;"",T641&lt;&gt;"",Z641&lt;&gt;"")),"manuell übersteuert; ","")&amp;IF(AND(BR641=0,Q641=0),"Gebinde unbekannt / Stellmass fehlt; ","")&amp;IF(AND(BR641=0,N(T641)&lt;=0,N(P641)&lt;=0),"Menge pro Gebinde fehlt (Ist = 1 Gebinde); ","")&amp;BM641)</f>
        <v/>
      </c>
      <c r="BF641" s="55"/>
      <c r="BG641" s="55"/>
      <c r="BH641" s="62"/>
      <c r="BI641" s="57" t="n">
        <v>37</v>
      </c>
      <c r="BJ641" s="57" t="n">
        <v>39</v>
      </c>
      <c r="BK641" s="56" t="n">
        <v>0.369999999999999</v>
      </c>
      <c r="BL641" s="57" t="n">
        <v>56</v>
      </c>
      <c r="BM641" s="55"/>
      <c r="BN641" s="60" t="n">
        <v>0</v>
      </c>
      <c r="BO641" s="60" t="n">
        <v>641</v>
      </c>
      <c r="BP641" s="55" t="str">
        <f aca="false">IF(S641&lt;&gt;"",UPPER(TRIM(S641)),IF(O641="","LOSE",O641))</f>
        <v>S22</v>
      </c>
      <c r="BQ641" s="57" t="n">
        <f aca="false">IF(BP641="LOSE",1,IF(N(T641)&gt;0,T641,IF(N(P641)&gt;0,P641,MAX(1,G641))))</f>
        <v>161</v>
      </c>
      <c r="BR641" s="60" t="n">
        <f aca="false">IF(BP641="LOSE",1,0)</f>
        <v>0</v>
      </c>
      <c r="BS641" s="59" t="n">
        <f aca="false">IF(BR641=0,0,IF(N(R641)&gt;0,R641,IFERROR(VLOOKUP(D641,Parameter!$A$35:$C$64,3,0)+0,0)))</f>
        <v>0</v>
      </c>
      <c r="BT641" s="55" t="n">
        <f aca="false">IF(Y641&lt;&gt;"",Y641,X641)</f>
        <v>3</v>
      </c>
      <c r="BU641" s="55" t="str">
        <f aca="false">IF(BT641=1,"L1",IF(OR(BT641=2,BT641=3),"L23",IF(BT641="Aussen","Aussen","-")))</f>
        <v>L23</v>
      </c>
      <c r="BV641" s="66" t="n">
        <f aca="false">IF(N(Z641)&gt;0,Z641,0)</f>
        <v>0</v>
      </c>
      <c r="BW641" s="60" t="n">
        <f aca="false">IF(ISNUMBER(AC641),1,0)</f>
        <v>0</v>
      </c>
      <c r="BX641" s="57" t="n">
        <f aca="false">N(AC641)</f>
        <v>0</v>
      </c>
      <c r="BY641" s="57" t="n">
        <f aca="false">N(L641)+N(M641)</f>
        <v>103</v>
      </c>
      <c r="BZ641" s="57" t="n">
        <f aca="false">ROUNDUP(G641/BQ641,0)</f>
        <v>1</v>
      </c>
      <c r="CA641" s="57" t="n">
        <f aca="false">ROUNDUP(BX641/BQ641,0)</f>
        <v>0</v>
      </c>
      <c r="CB641" s="60" t="n">
        <f aca="false">IF(BR641=1,0,IFERROR(VLOOKUP(BP641,'Gebinde-Kategorie'!$A$5:$M$45,5,0)+0,0))</f>
        <v>8</v>
      </c>
      <c r="CC641" s="60" t="n">
        <f aca="false">IFERROR(IF(OR(BT641=1,BT641=2,BT641=3),N(INDEX(Parameter!$I$5:$I$7,BT641)),0),0)</f>
        <v>0</v>
      </c>
      <c r="CD641" s="59" t="n">
        <f aca="false">IF(AND(Parameter!$B$21="Ja",ISNUMBER(U641),N(V641)&gt;0),IFERROR(N(INDEX(Parameter!$L$5:$L$7,U641))*INDEX(Parameter!$E$5:$E$7,U641)*V641/SUMIFS($V$7:$V$1576,$U$7:$U$1576,U641),0),0)</f>
        <v>0</v>
      </c>
    </row>
    <row r="642" customFormat="false" ht="15" hidden="false" customHeight="false" outlineLevel="0" collapsed="false">
      <c r="A642" s="55" t="s">
        <v>1296</v>
      </c>
      <c r="B642" s="55" t="s">
        <v>1297</v>
      </c>
      <c r="C642" s="55" t="s">
        <v>160</v>
      </c>
      <c r="D642" s="55" t="s">
        <v>168</v>
      </c>
      <c r="E642" s="55" t="s">
        <v>210</v>
      </c>
      <c r="F642" s="56" t="n">
        <v>0.01</v>
      </c>
      <c r="G642" s="57" t="n">
        <f aca="false">MAX(0,IF(AND(Parameter!$B$21="Ja",ISNUMBER(W642)),W642,IF(Parameter!$B$20="Jahresanfang 2025 + Export",BJ642+BI642,BI642)))</f>
        <v>36</v>
      </c>
      <c r="H642" s="57" t="n">
        <f aca="false">G642*F642</f>
        <v>0.36</v>
      </c>
      <c r="I642" s="57" t="n">
        <f aca="false">BL642*Parameter!$B$18</f>
        <v>0</v>
      </c>
      <c r="J642" s="58" t="n">
        <v>0</v>
      </c>
      <c r="K642" s="59" t="n">
        <v>0</v>
      </c>
      <c r="L642" s="57" t="n">
        <v>0</v>
      </c>
      <c r="M642" s="57" t="n">
        <v>1</v>
      </c>
      <c r="N642" s="60" t="n">
        <v>0</v>
      </c>
      <c r="O642" s="55" t="s">
        <v>163</v>
      </c>
      <c r="P642" s="57"/>
      <c r="Q642" s="60" t="n">
        <f aca="false">IF(BR642=1,0,IFERROR(VLOOKUP(BP642,'Gebinde-Kategorie'!$A$5:$M$45,13,0)+0,0))</f>
        <v>0</v>
      </c>
      <c r="R642" s="61"/>
      <c r="S642" s="62"/>
      <c r="T642" s="62"/>
      <c r="U642" s="55"/>
      <c r="V642" s="57"/>
      <c r="W642" s="57"/>
      <c r="X642" s="55" t="n">
        <f aca="false">IF(A642="","",IF(AND(Parameter!$B$21="Ja",ISNUMBER(U642)),U642,IF(IFERROR(VLOOKUP(D642,Parameter!$A$35:$C$64,2,0),"Nein")="2+3",IF(ISNUMBER(SEARCH("grosser Artikel",BM642)),2,IFERROR(VLOOKUP(BP642,Parameter!$F$35:$G$64,2,0),2)),IF(OR(IFERROR(VLOOKUP(D642,Parameter!$A$35:$C$64,2,0),"Nein")="Nein",IFERROR(VLOOKUP(D642,Parameter!$A$35:$C$64,2,0),"Nein")=""),"-",VLOOKUP(D642,Parameter!$A$35:$C$64,2,0)))))</f>
        <v>2</v>
      </c>
      <c r="Y642" s="62"/>
      <c r="Z642" s="63"/>
      <c r="AA642" s="57" t="n">
        <f aca="false">AP642</f>
        <v>1</v>
      </c>
      <c r="AB642" s="57" t="n">
        <f aca="false">MAX(AP642,G642)</f>
        <v>36</v>
      </c>
      <c r="AC642" s="64"/>
      <c r="AD642" s="57" t="n">
        <f aca="false">IF(LEFT(Cockpit!$C$5,1)="A",G642,IF(BW642=1,BX642,IF(LEFT(Cockpit!$C$5,1)="B",AH642,MAX(AH642,G642))))</f>
        <v>36</v>
      </c>
      <c r="AE642" s="57" t="n">
        <f aca="false">IF(BR642=1,0,ROUNDUP(AD642/BQ642,0))</f>
        <v>0</v>
      </c>
      <c r="AF642" s="59" t="n">
        <f aca="false">IF(CD642&gt;0,CD642*MAX(1,AD642/V642),IF(BR642=1,IF(AD642&lt;=0,0,BS642*MAX(1,IF(G642&gt;0,AD642/G642,1))),IF(Q642&gt;0,AE642/Q642,0))/MAX(0.1,N(Parameter!$M$21)))</f>
        <v>0.15</v>
      </c>
      <c r="AG642" s="57" t="n">
        <f aca="false">AD642*F642</f>
        <v>0.36</v>
      </c>
      <c r="AH642" s="57" t="n">
        <f aca="false">ROUNDUP(MAX(I642/IF(BV642&gt;0,BV642,MAX(0.1,N(Cockpit!$C$6))),BY642)/BQ642,0)*BQ642</f>
        <v>1</v>
      </c>
      <c r="AI642" s="58" t="n">
        <f aca="false">IF(AF642&gt;0,I642/AF642,-1)</f>
        <v>0</v>
      </c>
      <c r="AJ642" s="58" t="n">
        <f aca="false">IF(AND(OR(BU642="L1",BU642="L23"),AF642&gt;0),SUMIFS($AF$7:$AF$1576,$BU$7:$BU$1576,BU642,$AI$7:$AI$1576,"&gt;"&amp;AI642)+SUMIFS($AF$7:$AF$1576,$BU$7:$BU$1576,BU642,$AI$7:$AI$1576,AI642,$BO$7:$BO$1576,"&lt;="&amp;BO642),"")</f>
        <v>45.495910611128</v>
      </c>
      <c r="AK642" s="65" t="n">
        <f aca="false">IF(AJ642="",0,MAX(0,MIN(1,(IF(BU642="L1",Parameter!$E$5,Parameter!$E$6+Parameter!$E$7)-(AJ642-AF642))/AF642)))</f>
        <v>1</v>
      </c>
      <c r="AL642" s="57" t="n">
        <f aca="false">IF(LEFT(Cockpit!$I$5,1)="A",G642,IF(BW642=1,BX642,IF(LEFT(Cockpit!$I$5,1)="B",AP642,MAX(AP642,G642))))</f>
        <v>36</v>
      </c>
      <c r="AM642" s="57" t="n">
        <f aca="false">IF(BR642=1,0,ROUNDUP(AL642/BQ642,0))</f>
        <v>0</v>
      </c>
      <c r="AN642" s="59" t="n">
        <f aca="false">IF(CD642&gt;0,CD642*MAX(1,AL642/V642),IF(BR642=1,IF(AL642&lt;=0,0,BS642*MAX(1,IF(G642&gt;0,AL642/G642,1))),IF(Q642&gt;0,AM642/Q642,0))/MAX(0.1,N(Parameter!$M$21)))</f>
        <v>0.15</v>
      </c>
      <c r="AO642" s="57" t="n">
        <f aca="false">AL642*F642</f>
        <v>0.36</v>
      </c>
      <c r="AP642" s="57" t="n">
        <f aca="false">ROUNDUP(MAX(I642/IF(BV642&gt;0,BV642,MAX(0.1,N(Cockpit!$I$6))),BY642)/BQ642,0)*BQ642</f>
        <v>1</v>
      </c>
      <c r="AQ642" s="58" t="n">
        <f aca="false">IF(AN642&gt;0,I642/AN642,-1)</f>
        <v>0</v>
      </c>
      <c r="AR642" s="58" t="n">
        <f aca="false">IF(AND(OR(BU642="L1",BU642="L23"),AN642&gt;0),SUMIFS($AN$7:$AN$1576,$BU$7:$BU$1576,BU642,$AQ$7:$AQ$1576,"&gt;"&amp;AQ642)+SUMIFS($AN$7:$AN$1576,$BU$7:$BU$1576,BU642,$AQ$7:$AQ$1576,AQ642,$BO$7:$BO$1576,"&lt;="&amp;BO642),"")</f>
        <v>128.56499855222</v>
      </c>
      <c r="AS642" s="65" t="n">
        <f aca="false">IF(AR642="",0,MAX(0,MIN(1,(IF(BU642="L1",Parameter!$E$5,Parameter!$E$6+Parameter!$E$7)-(AR642-AN642))/AN642)))</f>
        <v>0</v>
      </c>
      <c r="AT642" s="57" t="n">
        <f aca="false">IF(LEFT(Cockpit!$O$5,1)="A",G642,IF(BW642=1,BX642,IF(LEFT(Cockpit!$O$5,1)="B",AX642,MAX(AX642,G642))))</f>
        <v>36</v>
      </c>
      <c r="AU642" s="57" t="n">
        <f aca="false">IF(BR642=1,0,ROUNDUP(AT642/BQ642,0))</f>
        <v>0</v>
      </c>
      <c r="AV642" s="59" t="n">
        <f aca="false">IF(CD642&gt;0,CD642*MAX(1,AT642/V642),IF(BR642=1,IF(AT642&lt;=0,0,BS642*MAX(1,IF(G642&gt;0,AT642/G642,1))),IF(Q642&gt;0,AU642/Q642,0))/MAX(0.1,N(Parameter!$M$21)))</f>
        <v>0.15</v>
      </c>
      <c r="AW642" s="57" t="n">
        <f aca="false">AT642*F642</f>
        <v>0.36</v>
      </c>
      <c r="AX642" s="57" t="n">
        <f aca="false">ROUNDUP(MAX(I642/IF(BV642&gt;0,BV642,MAX(0.1,N(Cockpit!$O$6))),BY642)/BQ642,0)*BQ642</f>
        <v>1</v>
      </c>
      <c r="AY642" s="58" t="n">
        <f aca="false">IF(AV642&gt;0,I642/AV642,-1)</f>
        <v>0</v>
      </c>
      <c r="AZ642" s="58" t="n">
        <f aca="false">IF(AND(OR(BU642="L1",BU642="L23"),AV642&gt;0),SUMIFS($AV$7:$AV$1576,$BU$7:$BU$1576,BU642,$AY$7:$AY$1576,"&gt;"&amp;AY642)+SUMIFS($AV$7:$AV$1576,$BU$7:$BU$1576,BU642,$AY$7:$AY$1576,AY642,$BO$7:$BO$1576,"&lt;="&amp;BO642),"")</f>
        <v>118.62454900177</v>
      </c>
      <c r="BA642" s="65" t="n">
        <f aca="false">IF(AZ642="",0,MAX(0,MIN(1,(IF(BU642="L1",Parameter!$E$5,Parameter!$E$6+Parameter!$E$7)-(AZ642-AV642))/AV642)))</f>
        <v>0</v>
      </c>
      <c r="BB642" s="55" t="str">
        <f aca="false">IF(AF642&lt;=0,"",IF(BU642="Aussen","Aussenlager",IF(BU642="-","Nicht im Lift",IF(AK642&gt;=1,"Lift",IF(AK642&lt;=0,"Aussenlager","teilweise")))))</f>
        <v>Lift</v>
      </c>
      <c r="BC642" s="55" t="str">
        <f aca="false">IF(AN642&lt;=0,"",IF(BU642="Aussen","Aussenlager",IF(BU642="-","Nicht im Lift",IF(AS642&gt;=1,"Lift",IF(AS642&lt;=0,"Aussenlager","teilweise")))))</f>
        <v>Aussenlager</v>
      </c>
      <c r="BD642" s="55" t="str">
        <f aca="false">IF(AV642&lt;=0,"",IF(BU642="Aussen","Aussenlager",IF(BU642="-","Nicht im Lift",IF(BA642&gt;=1,"Lift",IF(BA642&lt;=0,"Aussenlager","teilweise")))))</f>
        <v>Aussenlager</v>
      </c>
      <c r="BE642" s="55" t="str">
        <f aca="false">IF(A642="","",IF(BN642=1,"Neu; ","")&amp;IF(AND(BN642=0,BI642&lt;0),"negativer Bestand (Export "&amp;BI642&amp;"); ","")&amp;IF(I642&lt;=0,"Kein Verbrauch; ","")&amp;IF(CD642&gt;0,"Lift "&amp;U642&amp;" lt. Liftbericht (Fach "&amp;V642&amp;" Stk); ",IF(BR642=1,"Lose – Fläche geschätzt; ",""))&amp;IF(G642&gt;AP642,"Überbestand "&amp;ROUND(G642-AP642,0)&amp;" Stk / CHF "&amp;ROUND((G642-AP642)*F642,0)&amp;"; ","")&amp;IF(AND(BW642=1,BX642&lt;BY642),"MAX &lt; MB+LG; ","")&amp;IF(AND(CC642&gt;0,CB642*10&gt;CC642),"zu hoch für Tablar; ","")&amp;IF(AND(BN642=0,OR(BW642=1,Y642&lt;&gt;"",S642&lt;&gt;"",T642&lt;&gt;"",Z642&lt;&gt;"")),"manuell übersteuert; ","")&amp;IF(AND(BR642=0,Q642=0),"Gebinde unbekannt / Stellmass fehlt; ","")&amp;IF(AND(BR642=0,N(T642)&lt;=0,N(P642)&lt;=0),"Menge pro Gebinde fehlt (Ist = 1 Gebinde); ","")&amp;BM642)</f>
        <v>Kein Verbrauch; Lose – Fläche geschätzt; Überbestand 35 Stk / CHF 0; </v>
      </c>
      <c r="BF642" s="55"/>
      <c r="BG642" s="55"/>
      <c r="BH642" s="62"/>
      <c r="BI642" s="57" t="n">
        <v>36</v>
      </c>
      <c r="BJ642" s="57" t="n">
        <v>0</v>
      </c>
      <c r="BK642" s="56" t="n">
        <v>0.36</v>
      </c>
      <c r="BL642" s="57" t="n">
        <v>0</v>
      </c>
      <c r="BM642" s="55"/>
      <c r="BN642" s="60" t="n">
        <v>0</v>
      </c>
      <c r="BO642" s="60" t="n">
        <v>642</v>
      </c>
      <c r="BP642" s="55" t="str">
        <f aca="false">IF(S642&lt;&gt;"",UPPER(TRIM(S642)),IF(O642="","LOSE",O642))</f>
        <v>LOSE</v>
      </c>
      <c r="BQ642" s="57" t="n">
        <f aca="false">IF(BP642="LOSE",1,IF(N(T642)&gt;0,T642,IF(N(P642)&gt;0,P642,MAX(1,G642))))</f>
        <v>1</v>
      </c>
      <c r="BR642" s="60" t="n">
        <f aca="false">IF(BP642="LOSE",1,0)</f>
        <v>1</v>
      </c>
      <c r="BS642" s="59" t="n">
        <f aca="false">IF(BR642=0,0,IF(N(R642)&gt;0,R642,IFERROR(VLOOKUP(D642,Parameter!$A$35:$C$64,3,0)+0,0)))</f>
        <v>0.15</v>
      </c>
      <c r="BT642" s="55" t="n">
        <f aca="false">IF(Y642&lt;&gt;"",Y642,X642)</f>
        <v>2</v>
      </c>
      <c r="BU642" s="55" t="str">
        <f aca="false">IF(BT642=1,"L1",IF(OR(BT642=2,BT642=3),"L23",IF(BT642="Aussen","Aussen","-")))</f>
        <v>L23</v>
      </c>
      <c r="BV642" s="66" t="n">
        <f aca="false">IF(N(Z642)&gt;0,Z642,0)</f>
        <v>0</v>
      </c>
      <c r="BW642" s="60" t="n">
        <f aca="false">IF(ISNUMBER(AC642),1,0)</f>
        <v>0</v>
      </c>
      <c r="BX642" s="57" t="n">
        <f aca="false">N(AC642)</f>
        <v>0</v>
      </c>
      <c r="BY642" s="57" t="n">
        <f aca="false">N(L642)+N(M642)</f>
        <v>1</v>
      </c>
      <c r="BZ642" s="57" t="n">
        <f aca="false">ROUNDUP(G642/BQ642,0)</f>
        <v>36</v>
      </c>
      <c r="CA642" s="57" t="n">
        <f aca="false">ROUNDUP(BX642/BQ642,0)</f>
        <v>0</v>
      </c>
      <c r="CB642" s="60" t="n">
        <f aca="false">IF(BR642=1,0,IFERROR(VLOOKUP(BP642,'Gebinde-Kategorie'!$A$5:$M$45,5,0)+0,0))</f>
        <v>0</v>
      </c>
      <c r="CC642" s="60" t="n">
        <f aca="false">IFERROR(IF(OR(BT642=1,BT642=2,BT642=3),N(INDEX(Parameter!$I$5:$I$7,BT642)),0),0)</f>
        <v>0</v>
      </c>
      <c r="CD642" s="59" t="n">
        <f aca="false">IF(AND(Parameter!$B$21="Ja",ISNUMBER(U642),N(V642)&gt;0),IFERROR(N(INDEX(Parameter!$L$5:$L$7,U642))*INDEX(Parameter!$E$5:$E$7,U642)*V642/SUMIFS($V$7:$V$1576,$U$7:$U$1576,U642),0),0)</f>
        <v>0</v>
      </c>
    </row>
    <row r="643" customFormat="false" ht="15" hidden="false" customHeight="false" outlineLevel="0" collapsed="false">
      <c r="A643" s="55" t="s">
        <v>1298</v>
      </c>
      <c r="B643" s="55" t="s">
        <v>395</v>
      </c>
      <c r="C643" s="55" t="s">
        <v>160</v>
      </c>
      <c r="D643" s="55" t="s">
        <v>178</v>
      </c>
      <c r="E643" s="55" t="s">
        <v>210</v>
      </c>
      <c r="F643" s="56" t="n">
        <v>0.09</v>
      </c>
      <c r="G643" s="57" t="n">
        <f aca="false">MAX(0,IF(AND(Parameter!$B$21="Ja",ISNUMBER(W643)),W643,IF(Parameter!$B$20="Jahresanfang 2025 + Export",BJ643+BI643,BI643)))</f>
        <v>4</v>
      </c>
      <c r="H643" s="57" t="n">
        <f aca="false">G643*F643</f>
        <v>0.36</v>
      </c>
      <c r="I643" s="57" t="n">
        <f aca="false">BL643*Parameter!$B$18</f>
        <v>0</v>
      </c>
      <c r="J643" s="58" t="n">
        <v>264</v>
      </c>
      <c r="K643" s="59" t="n">
        <v>0</v>
      </c>
      <c r="L643" s="57" t="n">
        <v>0</v>
      </c>
      <c r="M643" s="57" t="n">
        <v>1</v>
      </c>
      <c r="N643" s="60" t="n">
        <v>14</v>
      </c>
      <c r="O643" s="55" t="s">
        <v>391</v>
      </c>
      <c r="P643" s="57" t="n">
        <v>94</v>
      </c>
      <c r="Q643" s="60" t="n">
        <f aca="false">IF(BR643=1,0,IFERROR(VLOOKUP(BP643,'Gebinde-Kategorie'!$A$5:$M$45,13,0)+0,0))</f>
        <v>414</v>
      </c>
      <c r="R643" s="61"/>
      <c r="S643" s="62"/>
      <c r="T643" s="62"/>
      <c r="U643" s="55"/>
      <c r="V643" s="57"/>
      <c r="W643" s="57"/>
      <c r="X643" s="55" t="n">
        <f aca="false">IF(A643="","",IF(AND(Parameter!$B$21="Ja",ISNUMBER(U643)),U643,IF(IFERROR(VLOOKUP(D643,Parameter!$A$35:$C$64,2,0),"Nein")="2+3",IF(ISNUMBER(SEARCH("grosser Artikel",BM643)),2,IFERROR(VLOOKUP(BP643,Parameter!$F$35:$G$64,2,0),2)),IF(OR(IFERROR(VLOOKUP(D643,Parameter!$A$35:$C$64,2,0),"Nein")="Nein",IFERROR(VLOOKUP(D643,Parameter!$A$35:$C$64,2,0),"Nein")=""),"-",VLOOKUP(D643,Parameter!$A$35:$C$64,2,0)))))</f>
        <v>3</v>
      </c>
      <c r="Y643" s="62"/>
      <c r="Z643" s="63"/>
      <c r="AA643" s="57" t="n">
        <f aca="false">AP643</f>
        <v>94</v>
      </c>
      <c r="AB643" s="57" t="n">
        <f aca="false">MAX(AP643,G643)</f>
        <v>94</v>
      </c>
      <c r="AC643" s="64"/>
      <c r="AD643" s="57" t="n">
        <f aca="false">IF(LEFT(Cockpit!$C$5,1)="A",G643,IF(BW643=1,BX643,IF(LEFT(Cockpit!$C$5,1)="B",AH643,MAX(AH643,G643))))</f>
        <v>4</v>
      </c>
      <c r="AE643" s="57" t="n">
        <f aca="false">IF(BR643=1,0,ROUNDUP(AD643/BQ643,0))</f>
        <v>1</v>
      </c>
      <c r="AF643" s="59" t="n">
        <f aca="false">IF(CD643&gt;0,CD643*MAX(1,AD643/V643),IF(BR643=1,IF(AD643&lt;=0,0,BS643*MAX(1,IF(G643&gt;0,AD643/G643,1))),IF(Q643&gt;0,AE643/Q643,0))/MAX(0.1,N(Parameter!$M$21)))</f>
        <v>0.00241545893719807</v>
      </c>
      <c r="AG643" s="57" t="n">
        <f aca="false">AD643*F643</f>
        <v>0.36</v>
      </c>
      <c r="AH643" s="57" t="n">
        <f aca="false">ROUNDUP(MAX(I643/IF(BV643&gt;0,BV643,MAX(0.1,N(Cockpit!$C$6))),BY643)/BQ643,0)*BQ643</f>
        <v>94</v>
      </c>
      <c r="AI643" s="58" t="n">
        <f aca="false">IF(AF643&gt;0,I643/AF643,-1)</f>
        <v>0</v>
      </c>
      <c r="AJ643" s="58" t="n">
        <f aca="false">IF(AND(OR(BU643="L1",BU643="L23"),AF643&gt;0),SUMIFS($AF$7:$AF$1576,$BU$7:$BU$1576,BU643,$AI$7:$AI$1576,"&gt;"&amp;AI643)+SUMIFS($AF$7:$AF$1576,$BU$7:$BU$1576,BU643,$AI$7:$AI$1576,AI643,$BO$7:$BO$1576,"&lt;="&amp;BO643),"")</f>
        <v>45.4983260700652</v>
      </c>
      <c r="AK643" s="65" t="n">
        <f aca="false">IF(AJ643="",0,MAX(0,MIN(1,(IF(BU643="L1",Parameter!$E$5,Parameter!$E$6+Parameter!$E$7)-(AJ643-AF643))/AF643)))</f>
        <v>1</v>
      </c>
      <c r="AL643" s="57" t="n">
        <f aca="false">IF(LEFT(Cockpit!$I$5,1)="A",G643,IF(BW643=1,BX643,IF(LEFT(Cockpit!$I$5,1)="B",AP643,MAX(AP643,G643))))</f>
        <v>94</v>
      </c>
      <c r="AM643" s="57" t="n">
        <f aca="false">IF(BR643=1,0,ROUNDUP(AL643/BQ643,0))</f>
        <v>1</v>
      </c>
      <c r="AN643" s="59" t="n">
        <f aca="false">IF(CD643&gt;0,CD643*MAX(1,AL643/V643),IF(BR643=1,IF(AL643&lt;=0,0,BS643*MAX(1,IF(G643&gt;0,AL643/G643,1))),IF(Q643&gt;0,AM643/Q643,0))/MAX(0.1,N(Parameter!$M$21)))</f>
        <v>0.00241545893719807</v>
      </c>
      <c r="AO643" s="57" t="n">
        <f aca="false">AL643*F643</f>
        <v>8.46</v>
      </c>
      <c r="AP643" s="57" t="n">
        <f aca="false">ROUNDUP(MAX(I643/IF(BV643&gt;0,BV643,MAX(0.1,N(Cockpit!$I$6))),BY643)/BQ643,0)*BQ643</f>
        <v>94</v>
      </c>
      <c r="AQ643" s="58" t="n">
        <f aca="false">IF(AN643&gt;0,I643/AN643,-1)</f>
        <v>0</v>
      </c>
      <c r="AR643" s="58" t="n">
        <f aca="false">IF(AND(OR(BU643="L1",BU643="L23"),AN643&gt;0),SUMIFS($AN$7:$AN$1576,$BU$7:$BU$1576,BU643,$AQ$7:$AQ$1576,"&gt;"&amp;AQ643)+SUMIFS($AN$7:$AN$1576,$BU$7:$BU$1576,BU643,$AQ$7:$AQ$1576,AQ643,$BO$7:$BO$1576,"&lt;="&amp;BO643),"")</f>
        <v>128.567414011157</v>
      </c>
      <c r="AS643" s="65" t="n">
        <f aca="false">IF(AR643="",0,MAX(0,MIN(1,(IF(BU643="L1",Parameter!$E$5,Parameter!$E$6+Parameter!$E$7)-(AR643-AN643))/AN643)))</f>
        <v>0</v>
      </c>
      <c r="AT643" s="57" t="n">
        <f aca="false">IF(LEFT(Cockpit!$O$5,1)="A",G643,IF(BW643=1,BX643,IF(LEFT(Cockpit!$O$5,1)="B",AX643,MAX(AX643,G643))))</f>
        <v>94</v>
      </c>
      <c r="AU643" s="57" t="n">
        <f aca="false">IF(BR643=1,0,ROUNDUP(AT643/BQ643,0))</f>
        <v>1</v>
      </c>
      <c r="AV643" s="59" t="n">
        <f aca="false">IF(CD643&gt;0,CD643*MAX(1,AT643/V643),IF(BR643=1,IF(AT643&lt;=0,0,BS643*MAX(1,IF(G643&gt;0,AT643/G643,1))),IF(Q643&gt;0,AU643/Q643,0))/MAX(0.1,N(Parameter!$M$21)))</f>
        <v>0.00241545893719807</v>
      </c>
      <c r="AW643" s="57" t="n">
        <f aca="false">AT643*F643</f>
        <v>8.46</v>
      </c>
      <c r="AX643" s="57" t="n">
        <f aca="false">ROUNDUP(MAX(I643/IF(BV643&gt;0,BV643,MAX(0.1,N(Cockpit!$O$6))),BY643)/BQ643,0)*BQ643</f>
        <v>94</v>
      </c>
      <c r="AY643" s="58" t="n">
        <f aca="false">IF(AV643&gt;0,I643/AV643,-1)</f>
        <v>0</v>
      </c>
      <c r="AZ643" s="58" t="n">
        <f aca="false">IF(AND(OR(BU643="L1",BU643="L23"),AV643&gt;0),SUMIFS($AV$7:$AV$1576,$BU$7:$BU$1576,BU643,$AY$7:$AY$1576,"&gt;"&amp;AY643)+SUMIFS($AV$7:$AV$1576,$BU$7:$BU$1576,BU643,$AY$7:$AY$1576,AY643,$BO$7:$BO$1576,"&lt;="&amp;BO643),"")</f>
        <v>118.626964460708</v>
      </c>
      <c r="BA643" s="65" t="n">
        <f aca="false">IF(AZ643="",0,MAX(0,MIN(1,(IF(BU643="L1",Parameter!$E$5,Parameter!$E$6+Parameter!$E$7)-(AZ643-AV643))/AV643)))</f>
        <v>0</v>
      </c>
      <c r="BB643" s="55" t="str">
        <f aca="false">IF(AF643&lt;=0,"",IF(BU643="Aussen","Aussenlager",IF(BU643="-","Nicht im Lift",IF(AK643&gt;=1,"Lift",IF(AK643&lt;=0,"Aussenlager","teilweise")))))</f>
        <v>Lift</v>
      </c>
      <c r="BC643" s="55" t="str">
        <f aca="false">IF(AN643&lt;=0,"",IF(BU643="Aussen","Aussenlager",IF(BU643="-","Nicht im Lift",IF(AS643&gt;=1,"Lift",IF(AS643&lt;=0,"Aussenlager","teilweise")))))</f>
        <v>Aussenlager</v>
      </c>
      <c r="BD643" s="55" t="str">
        <f aca="false">IF(AV643&lt;=0,"",IF(BU643="Aussen","Aussenlager",IF(BU643="-","Nicht im Lift",IF(BA643&gt;=1,"Lift",IF(BA643&lt;=0,"Aussenlager","teilweise")))))</f>
        <v>Aussenlager</v>
      </c>
      <c r="BE643" s="55" t="str">
        <f aca="false">IF(A643="","",IF(BN643=1,"Neu; ","")&amp;IF(AND(BN643=0,BI643&lt;0),"negativer Bestand (Export "&amp;BI643&amp;"); ","")&amp;IF(I643&lt;=0,"Kein Verbrauch; ","")&amp;IF(CD643&gt;0,"Lift "&amp;U643&amp;" lt. Liftbericht (Fach "&amp;V643&amp;" Stk); ",IF(BR643=1,"Lose – Fläche geschätzt; ",""))&amp;IF(G643&gt;AP643,"Überbestand "&amp;ROUND(G643-AP643,0)&amp;" Stk / CHF "&amp;ROUND((G643-AP643)*F643,0)&amp;"; ","")&amp;IF(AND(BW643=1,BX643&lt;BY643),"MAX &lt; MB+LG; ","")&amp;IF(AND(CC643&gt;0,CB643*10&gt;CC643),"zu hoch für Tablar; ","")&amp;IF(AND(BN643=0,OR(BW643=1,Y643&lt;&gt;"",S643&lt;&gt;"",T643&lt;&gt;"",Z643&lt;&gt;"")),"manuell übersteuert; ","")&amp;IF(AND(BR643=0,Q643=0),"Gebinde unbekannt / Stellmass fehlt; ","")&amp;IF(AND(BR643=0,N(T643)&lt;=0,N(P643)&lt;=0),"Menge pro Gebinde fehlt (Ist = 1 Gebinde); ","")&amp;BM643)</f>
        <v>Kein Verbrauch; Überbestand</v>
      </c>
      <c r="BF643" s="55"/>
      <c r="BG643" s="55"/>
      <c r="BH643" s="62"/>
      <c r="BI643" s="57" t="n">
        <v>4</v>
      </c>
      <c r="BJ643" s="57" t="n">
        <v>262</v>
      </c>
      <c r="BK643" s="56" t="n">
        <v>0.36</v>
      </c>
      <c r="BL643" s="57" t="n">
        <v>0</v>
      </c>
      <c r="BM643" s="55" t="s">
        <v>382</v>
      </c>
      <c r="BN643" s="60" t="n">
        <v>0</v>
      </c>
      <c r="BO643" s="60" t="n">
        <v>643</v>
      </c>
      <c r="BP643" s="55" t="str">
        <f aca="false">IF(S643&lt;&gt;"",UPPER(TRIM(S643)),IF(O643="","LOSE",O643))</f>
        <v>S21</v>
      </c>
      <c r="BQ643" s="57" t="n">
        <f aca="false">IF(BP643="LOSE",1,IF(N(T643)&gt;0,T643,IF(N(P643)&gt;0,P643,MAX(1,G643))))</f>
        <v>94</v>
      </c>
      <c r="BR643" s="60" t="n">
        <f aca="false">IF(BP643="LOSE",1,0)</f>
        <v>0</v>
      </c>
      <c r="BS643" s="59" t="n">
        <f aca="false">IF(BR643=0,0,IF(N(R643)&gt;0,R643,IFERROR(VLOOKUP(D643,Parameter!$A$35:$C$64,3,0)+0,0)))</f>
        <v>0</v>
      </c>
      <c r="BT643" s="55" t="n">
        <f aca="false">IF(Y643&lt;&gt;"",Y643,X643)</f>
        <v>3</v>
      </c>
      <c r="BU643" s="55" t="str">
        <f aca="false">IF(BT643=1,"L1",IF(OR(BT643=2,BT643=3),"L23",IF(BT643="Aussen","Aussen","-")))</f>
        <v>L23</v>
      </c>
      <c r="BV643" s="66" t="n">
        <f aca="false">IF(N(Z643)&gt;0,Z643,0)</f>
        <v>0</v>
      </c>
      <c r="BW643" s="60" t="n">
        <f aca="false">IF(ISNUMBER(AC643),1,0)</f>
        <v>0</v>
      </c>
      <c r="BX643" s="57" t="n">
        <f aca="false">N(AC643)</f>
        <v>0</v>
      </c>
      <c r="BY643" s="57" t="n">
        <f aca="false">N(L643)+N(M643)</f>
        <v>1</v>
      </c>
      <c r="BZ643" s="57" t="n">
        <f aca="false">ROUNDUP(G643/BQ643,0)</f>
        <v>1</v>
      </c>
      <c r="CA643" s="57" t="n">
        <f aca="false">ROUNDUP(BX643/BQ643,0)</f>
        <v>0</v>
      </c>
      <c r="CB643" s="60" t="n">
        <f aca="false">IF(BR643=1,0,IFERROR(VLOOKUP(BP643,'Gebinde-Kategorie'!$A$5:$M$45,5,0)+0,0))</f>
        <v>8</v>
      </c>
      <c r="CC643" s="60" t="n">
        <f aca="false">IFERROR(IF(OR(BT643=1,BT643=2,BT643=3),N(INDEX(Parameter!$I$5:$I$7,BT643)),0),0)</f>
        <v>0</v>
      </c>
      <c r="CD643" s="59" t="n">
        <f aca="false">IF(AND(Parameter!$B$21="Ja",ISNUMBER(U643),N(V643)&gt;0),IFERROR(N(INDEX(Parameter!$L$5:$L$7,U643))*INDEX(Parameter!$E$5:$E$7,U643)*V643/SUMIFS($V$7:$V$1576,$U$7:$U$1576,U643),0),0)</f>
        <v>0</v>
      </c>
    </row>
    <row r="644" customFormat="false" ht="15" hidden="false" customHeight="false" outlineLevel="0" collapsed="false">
      <c r="A644" s="55" t="s">
        <v>1299</v>
      </c>
      <c r="B644" s="55" t="s">
        <v>1225</v>
      </c>
      <c r="C644" s="55" t="s">
        <v>160</v>
      </c>
      <c r="D644" s="55" t="s">
        <v>178</v>
      </c>
      <c r="E644" s="55" t="s">
        <v>210</v>
      </c>
      <c r="F644" s="56" t="n">
        <v>0.04</v>
      </c>
      <c r="G644" s="57" t="n">
        <f aca="false">MAX(0,IF(AND(Parameter!$B$21="Ja",ISNUMBER(W644)),W644,IF(Parameter!$B$20="Jahresanfang 2025 + Export",BJ644+BI644,BI644)))</f>
        <v>7</v>
      </c>
      <c r="H644" s="57" t="n">
        <f aca="false">G644*F644</f>
        <v>0.28</v>
      </c>
      <c r="I644" s="57" t="n">
        <f aca="false">BL644*Parameter!$B$18</f>
        <v>4</v>
      </c>
      <c r="J644" s="58" t="n">
        <v>162</v>
      </c>
      <c r="K644" s="59" t="n">
        <v>0.0246913580246914</v>
      </c>
      <c r="L644" s="57" t="n">
        <v>0</v>
      </c>
      <c r="M644" s="57" t="n">
        <v>5</v>
      </c>
      <c r="N644" s="60" t="n">
        <v>21</v>
      </c>
      <c r="O644" s="55" t="s">
        <v>391</v>
      </c>
      <c r="P644" s="57" t="n">
        <v>169</v>
      </c>
      <c r="Q644" s="60" t="n">
        <f aca="false">IF(BR644=1,0,IFERROR(VLOOKUP(BP644,'Gebinde-Kategorie'!$A$5:$M$45,13,0)+0,0))</f>
        <v>414</v>
      </c>
      <c r="R644" s="61"/>
      <c r="S644" s="62"/>
      <c r="T644" s="62"/>
      <c r="U644" s="55"/>
      <c r="V644" s="57"/>
      <c r="W644" s="57"/>
      <c r="X644" s="55" t="n">
        <f aca="false">IF(A644="","",IF(AND(Parameter!$B$21="Ja",ISNUMBER(U644)),U644,IF(IFERROR(VLOOKUP(D644,Parameter!$A$35:$C$64,2,0),"Nein")="2+3",IF(ISNUMBER(SEARCH("grosser Artikel",BM644)),2,IFERROR(VLOOKUP(BP644,Parameter!$F$35:$G$64,2,0),2)),IF(OR(IFERROR(VLOOKUP(D644,Parameter!$A$35:$C$64,2,0),"Nein")="Nein",IFERROR(VLOOKUP(D644,Parameter!$A$35:$C$64,2,0),"Nein")=""),"-",VLOOKUP(D644,Parameter!$A$35:$C$64,2,0)))))</f>
        <v>3</v>
      </c>
      <c r="Y644" s="62"/>
      <c r="Z644" s="63"/>
      <c r="AA644" s="57" t="n">
        <f aca="false">AP644</f>
        <v>169</v>
      </c>
      <c r="AB644" s="57" t="n">
        <f aca="false">MAX(AP644,G644)</f>
        <v>169</v>
      </c>
      <c r="AC644" s="64"/>
      <c r="AD644" s="57" t="n">
        <f aca="false">IF(LEFT(Cockpit!$C$5,1)="A",G644,IF(BW644=1,BX644,IF(LEFT(Cockpit!$C$5,1)="B",AH644,MAX(AH644,G644))))</f>
        <v>7</v>
      </c>
      <c r="AE644" s="57" t="n">
        <f aca="false">IF(BR644=1,0,ROUNDUP(AD644/BQ644,0))</f>
        <v>1</v>
      </c>
      <c r="AF644" s="59" t="n">
        <f aca="false">IF(CD644&gt;0,CD644*MAX(1,AD644/V644),IF(BR644=1,IF(AD644&lt;=0,0,BS644*MAX(1,IF(G644&gt;0,AD644/G644,1))),IF(Q644&gt;0,AE644/Q644,0))/MAX(0.1,N(Parameter!$M$21)))</f>
        <v>0.00241545893719807</v>
      </c>
      <c r="AG644" s="57" t="n">
        <f aca="false">AD644*F644</f>
        <v>0.28</v>
      </c>
      <c r="AH644" s="57" t="n">
        <f aca="false">ROUNDUP(MAX(I644/IF(BV644&gt;0,BV644,MAX(0.1,N(Cockpit!$C$6))),BY644)/BQ644,0)*BQ644</f>
        <v>169</v>
      </c>
      <c r="AI644" s="58" t="n">
        <f aca="false">IF(AF644&gt;0,I644/AF644,-1)</f>
        <v>1656</v>
      </c>
      <c r="AJ644" s="58" t="n">
        <f aca="false">IF(AND(OR(BU644="L1",BU644="L23"),AF644&gt;0),SUMIFS($AF$7:$AF$1576,$BU$7:$BU$1576,BU644,$AI$7:$AI$1576,"&gt;"&amp;AI644)+SUMIFS($AF$7:$AF$1576,$BU$7:$BU$1576,BU644,$AI$7:$AI$1576,AI644,$BO$7:$BO$1576,"&lt;="&amp;BO644),"")</f>
        <v>7.63969088882132</v>
      </c>
      <c r="AK644" s="65" t="n">
        <f aca="false">IF(AJ644="",0,MAX(0,MIN(1,(IF(BU644="L1",Parameter!$E$5,Parameter!$E$6+Parameter!$E$7)-(AJ644-AF644))/AF644)))</f>
        <v>1</v>
      </c>
      <c r="AL644" s="57" t="n">
        <f aca="false">IF(LEFT(Cockpit!$I$5,1)="A",G644,IF(BW644=1,BX644,IF(LEFT(Cockpit!$I$5,1)="B",AP644,MAX(AP644,G644))))</f>
        <v>169</v>
      </c>
      <c r="AM644" s="57" t="n">
        <f aca="false">IF(BR644=1,0,ROUNDUP(AL644/BQ644,0))</f>
        <v>1</v>
      </c>
      <c r="AN644" s="59" t="n">
        <f aca="false">IF(CD644&gt;0,CD644*MAX(1,AL644/V644),IF(BR644=1,IF(AL644&lt;=0,0,BS644*MAX(1,IF(G644&gt;0,AL644/G644,1))),IF(Q644&gt;0,AM644/Q644,0))/MAX(0.1,N(Parameter!$M$21)))</f>
        <v>0.00241545893719807</v>
      </c>
      <c r="AO644" s="57" t="n">
        <f aca="false">AL644*F644</f>
        <v>6.76</v>
      </c>
      <c r="AP644" s="57" t="n">
        <f aca="false">ROUNDUP(MAX(I644/IF(BV644&gt;0,BV644,MAX(0.1,N(Cockpit!$I$6))),BY644)/BQ644,0)*BQ644</f>
        <v>169</v>
      </c>
      <c r="AQ644" s="58" t="n">
        <f aca="false">IF(AN644&gt;0,I644/AN644,-1)</f>
        <v>1656</v>
      </c>
      <c r="AR644" s="58" t="n">
        <f aca="false">IF(AND(OR(BU644="L1",BU644="L23"),AN644&gt;0),SUMIFS($AN$7:$AN$1576,$BU$7:$BU$1576,BU644,$AQ$7:$AQ$1576,"&gt;"&amp;AQ644)+SUMIFS($AN$7:$AN$1576,$BU$7:$BU$1576,BU644,$AQ$7:$AQ$1576,AQ644,$BO$7:$BO$1576,"&lt;="&amp;BO644),"")</f>
        <v>18.4945258247544</v>
      </c>
      <c r="AS644" s="65" t="n">
        <f aca="false">IF(AR644="",0,MAX(0,MIN(1,(IF(BU644="L1",Parameter!$E$5,Parameter!$E$6+Parameter!$E$7)-(AR644-AN644))/AN644)))</f>
        <v>1</v>
      </c>
      <c r="AT644" s="57" t="n">
        <f aca="false">IF(LEFT(Cockpit!$O$5,1)="A",G644,IF(BW644=1,BX644,IF(LEFT(Cockpit!$O$5,1)="B",AX644,MAX(AX644,G644))))</f>
        <v>169</v>
      </c>
      <c r="AU644" s="57" t="n">
        <f aca="false">IF(BR644=1,0,ROUNDUP(AT644/BQ644,0))</f>
        <v>1</v>
      </c>
      <c r="AV644" s="59" t="n">
        <f aca="false">IF(CD644&gt;0,CD644*MAX(1,AT644/V644),IF(BR644=1,IF(AT644&lt;=0,0,BS644*MAX(1,IF(G644&gt;0,AT644/G644,1))),IF(Q644&gt;0,AU644/Q644,0))/MAX(0.1,N(Parameter!$M$21)))</f>
        <v>0.00241545893719807</v>
      </c>
      <c r="AW644" s="57" t="n">
        <f aca="false">AT644*F644</f>
        <v>6.76</v>
      </c>
      <c r="AX644" s="57" t="n">
        <f aca="false">ROUNDUP(MAX(I644/IF(BV644&gt;0,BV644,MAX(0.1,N(Cockpit!$O$6))),BY644)/BQ644,0)*BQ644</f>
        <v>169</v>
      </c>
      <c r="AY644" s="58" t="n">
        <f aca="false">IF(AV644&gt;0,I644/AV644,-1)</f>
        <v>1656</v>
      </c>
      <c r="AZ644" s="58" t="n">
        <f aca="false">IF(AND(OR(BU644="L1",BU644="L23"),AV644&gt;0),SUMIFS($AV$7:$AV$1576,$BU$7:$BU$1576,BU644,$AY$7:$AY$1576,"&gt;"&amp;AY644)+SUMIFS($AV$7:$AV$1576,$BU$7:$BU$1576,BU644,$AY$7:$AY$1576,AY644,$BO$7:$BO$1576,"&lt;="&amp;BO644),"")</f>
        <v>17.4717985520271</v>
      </c>
      <c r="BA644" s="65" t="n">
        <f aca="false">IF(AZ644="",0,MAX(0,MIN(1,(IF(BU644="L1",Parameter!$E$5,Parameter!$E$6+Parameter!$E$7)-(AZ644-AV644))/AV644)))</f>
        <v>1</v>
      </c>
      <c r="BB644" s="55" t="str">
        <f aca="false">IF(AF644&lt;=0,"",IF(BU644="Aussen","Aussenlager",IF(BU644="-","Nicht im Lift",IF(AK644&gt;=1,"Lift",IF(AK644&lt;=0,"Aussenlager","teilweise")))))</f>
        <v>Lift</v>
      </c>
      <c r="BC644" s="55" t="str">
        <f aca="false">IF(AN644&lt;=0,"",IF(BU644="Aussen","Aussenlager",IF(BU644="-","Nicht im Lift",IF(AS644&gt;=1,"Lift",IF(AS644&lt;=0,"Aussenlager","teilweise")))))</f>
        <v>Lift</v>
      </c>
      <c r="BD644" s="55" t="str">
        <f aca="false">IF(AV644&lt;=0,"",IF(BU644="Aussen","Aussenlager",IF(BU644="-","Nicht im Lift",IF(BA644&gt;=1,"Lift",IF(BA644&lt;=0,"Aussenlager","teilweise")))))</f>
        <v>Lift</v>
      </c>
      <c r="BE644" s="55" t="str">
        <f aca="false">IF(A644="","",IF(BN644=1,"Neu; ","")&amp;IF(AND(BN644=0,BI644&lt;0),"negativer Bestand (Export "&amp;BI644&amp;"); ","")&amp;IF(I644&lt;=0,"Kein Verbrauch; ","")&amp;IF(CD644&gt;0,"Lift "&amp;U644&amp;" lt. Liftbericht (Fach "&amp;V644&amp;" Stk); ",IF(BR644=1,"Lose – Fläche geschätzt; ",""))&amp;IF(G644&gt;AP644,"Überbestand "&amp;ROUND(G644-AP644,0)&amp;" Stk / CHF "&amp;ROUND((G644-AP644)*F644,0)&amp;"; ","")&amp;IF(AND(BW644=1,BX644&lt;BY644),"MAX &lt; MB+LG; ","")&amp;IF(AND(CC644&gt;0,CB644*10&gt;CC644),"zu hoch für Tablar; ","")&amp;IF(AND(BN644=0,OR(BW644=1,Y644&lt;&gt;"",S644&lt;&gt;"",T644&lt;&gt;"",Z644&lt;&gt;"")),"manuell übersteuert; ","")&amp;IF(AND(BR644=0,Q644=0),"Gebinde unbekannt / Stellmass fehlt; ","")&amp;IF(AND(BR644=0,N(T644)&lt;=0,N(P644)&lt;=0),"Menge pro Gebinde fehlt (Ist = 1 Gebinde); ","")&amp;BM644)</f>
        <v>Überbestand</v>
      </c>
      <c r="BF644" s="55"/>
      <c r="BG644" s="55"/>
      <c r="BH644" s="62"/>
      <c r="BI644" s="57" t="n">
        <v>7</v>
      </c>
      <c r="BJ644" s="57" t="n">
        <v>159</v>
      </c>
      <c r="BK644" s="56" t="n">
        <v>0.28</v>
      </c>
      <c r="BL644" s="57" t="n">
        <v>4</v>
      </c>
      <c r="BM644" s="55" t="s">
        <v>382</v>
      </c>
      <c r="BN644" s="60" t="n">
        <v>0</v>
      </c>
      <c r="BO644" s="60" t="n">
        <v>644</v>
      </c>
      <c r="BP644" s="55" t="str">
        <f aca="false">IF(S644&lt;&gt;"",UPPER(TRIM(S644)),IF(O644="","LOSE",O644))</f>
        <v>S21</v>
      </c>
      <c r="BQ644" s="57" t="n">
        <f aca="false">IF(BP644="LOSE",1,IF(N(T644)&gt;0,T644,IF(N(P644)&gt;0,P644,MAX(1,G644))))</f>
        <v>169</v>
      </c>
      <c r="BR644" s="60" t="n">
        <f aca="false">IF(BP644="LOSE",1,0)</f>
        <v>0</v>
      </c>
      <c r="BS644" s="59" t="n">
        <f aca="false">IF(BR644=0,0,IF(N(R644)&gt;0,R644,IFERROR(VLOOKUP(D644,Parameter!$A$35:$C$64,3,0)+0,0)))</f>
        <v>0</v>
      </c>
      <c r="BT644" s="55" t="n">
        <f aca="false">IF(Y644&lt;&gt;"",Y644,X644)</f>
        <v>3</v>
      </c>
      <c r="BU644" s="55" t="str">
        <f aca="false">IF(BT644=1,"L1",IF(OR(BT644=2,BT644=3),"L23",IF(BT644="Aussen","Aussen","-")))</f>
        <v>L23</v>
      </c>
      <c r="BV644" s="66" t="n">
        <f aca="false">IF(N(Z644)&gt;0,Z644,0)</f>
        <v>0</v>
      </c>
      <c r="BW644" s="60" t="n">
        <f aca="false">IF(ISNUMBER(AC644),1,0)</f>
        <v>0</v>
      </c>
      <c r="BX644" s="57" t="n">
        <f aca="false">N(AC644)</f>
        <v>0</v>
      </c>
      <c r="BY644" s="57" t="n">
        <f aca="false">N(L644)+N(M644)</f>
        <v>5</v>
      </c>
      <c r="BZ644" s="57" t="n">
        <f aca="false">ROUNDUP(G644/BQ644,0)</f>
        <v>1</v>
      </c>
      <c r="CA644" s="57" t="n">
        <f aca="false">ROUNDUP(BX644/BQ644,0)</f>
        <v>0</v>
      </c>
      <c r="CB644" s="60" t="n">
        <f aca="false">IF(BR644=1,0,IFERROR(VLOOKUP(BP644,'Gebinde-Kategorie'!$A$5:$M$45,5,0)+0,0))</f>
        <v>8</v>
      </c>
      <c r="CC644" s="60" t="n">
        <f aca="false">IFERROR(IF(OR(BT644=1,BT644=2,BT644=3),N(INDEX(Parameter!$I$5:$I$7,BT644)),0),0)</f>
        <v>0</v>
      </c>
      <c r="CD644" s="59" t="n">
        <f aca="false">IF(AND(Parameter!$B$21="Ja",ISNUMBER(U644),N(V644)&gt;0),IFERROR(N(INDEX(Parameter!$L$5:$L$7,U644))*INDEX(Parameter!$E$5:$E$7,U644)*V644/SUMIFS($V$7:$V$1576,$U$7:$U$1576,U644),0),0)</f>
        <v>0</v>
      </c>
    </row>
    <row r="645" customFormat="false" ht="15" hidden="false" customHeight="false" outlineLevel="0" collapsed="false">
      <c r="A645" s="55" t="s">
        <v>1300</v>
      </c>
      <c r="B645" s="55" t="s">
        <v>938</v>
      </c>
      <c r="C645" s="55" t="s">
        <v>160</v>
      </c>
      <c r="D645" s="55" t="s">
        <v>984</v>
      </c>
      <c r="E645" s="55" t="s">
        <v>210</v>
      </c>
      <c r="F645" s="56" t="n">
        <v>0.07</v>
      </c>
      <c r="G645" s="57" t="n">
        <f aca="false">MAX(0,IF(AND(Parameter!$B$21="Ja",ISNUMBER(W645)),W645,IF(Parameter!$B$20="Jahresanfang 2025 + Export",BJ645+BI645,BI645)))</f>
        <v>3</v>
      </c>
      <c r="H645" s="57" t="n">
        <f aca="false">G645*F645</f>
        <v>0.21</v>
      </c>
      <c r="I645" s="57" t="n">
        <f aca="false">BL645*Parameter!$B$18</f>
        <v>96</v>
      </c>
      <c r="J645" s="58" t="n">
        <v>1.5</v>
      </c>
      <c r="K645" s="59" t="n">
        <v>64</v>
      </c>
      <c r="L645" s="57" t="n">
        <v>0</v>
      </c>
      <c r="M645" s="57" t="n">
        <v>100</v>
      </c>
      <c r="N645" s="60" t="n">
        <v>21</v>
      </c>
      <c r="O645" s="55" t="s">
        <v>163</v>
      </c>
      <c r="P645" s="57"/>
      <c r="Q645" s="60" t="n">
        <f aca="false">IF(BR645=1,0,IFERROR(VLOOKUP(BP645,'Gebinde-Kategorie'!$A$5:$M$45,13,0)+0,0))</f>
        <v>0</v>
      </c>
      <c r="R645" s="61"/>
      <c r="S645" s="62"/>
      <c r="T645" s="62"/>
      <c r="U645" s="55"/>
      <c r="V645" s="57"/>
      <c r="W645" s="57"/>
      <c r="X645" s="55" t="str">
        <f aca="false">IF(A645="","",IF(AND(Parameter!$B$21="Ja",ISNUMBER(U645)),U645,IF(IFERROR(VLOOKUP(D645,Parameter!$A$35:$C$64,2,0),"Nein")="2+3",IF(ISNUMBER(SEARCH("grosser Artikel",BM645)),2,IFERROR(VLOOKUP(BP645,Parameter!$F$35:$G$64,2,0),2)),IF(OR(IFERROR(VLOOKUP(D645,Parameter!$A$35:$C$64,2,0),"Nein")="Nein",IFERROR(VLOOKUP(D645,Parameter!$A$35:$C$64,2,0),"Nein")=""),"-",VLOOKUP(D645,Parameter!$A$35:$C$64,2,0)))))</f>
        <v>-</v>
      </c>
      <c r="Y645" s="62"/>
      <c r="Z645" s="63"/>
      <c r="AA645" s="57" t="n">
        <f aca="false">AP645</f>
        <v>100</v>
      </c>
      <c r="AB645" s="57" t="n">
        <f aca="false">MAX(AP645,G645)</f>
        <v>100</v>
      </c>
      <c r="AC645" s="64"/>
      <c r="AD645" s="57" t="n">
        <f aca="false">IF(LEFT(Cockpit!$C$5,1)="A",G645,IF(BW645=1,BX645,IF(LEFT(Cockpit!$C$5,1)="B",AH645,MAX(AH645,G645))))</f>
        <v>3</v>
      </c>
      <c r="AE645" s="57" t="n">
        <f aca="false">IF(BR645=1,0,ROUNDUP(AD645/BQ645,0))</f>
        <v>0</v>
      </c>
      <c r="AF645" s="59" t="n">
        <f aca="false">IF(CD645&gt;0,CD645*MAX(1,AD645/V645),IF(BR645=1,IF(AD645&lt;=0,0,BS645*MAX(1,IF(G645&gt;0,AD645/G645,1))),IF(Q645&gt;0,AE645/Q645,0))/MAX(0.1,N(Parameter!$M$21)))</f>
        <v>0.15</v>
      </c>
      <c r="AG645" s="57" t="n">
        <f aca="false">AD645*F645</f>
        <v>0.21</v>
      </c>
      <c r="AH645" s="57" t="n">
        <f aca="false">ROUNDUP(MAX(I645/IF(BV645&gt;0,BV645,MAX(0.1,N(Cockpit!$C$6))),BY645)/BQ645,0)*BQ645</f>
        <v>100</v>
      </c>
      <c r="AI645" s="58" t="n">
        <f aca="false">IF(AF645&gt;0,I645/AF645,-1)</f>
        <v>640</v>
      </c>
      <c r="AJ645" s="58" t="str">
        <f aca="false">IF(AND(OR(BU645="L1",BU645="L23"),AF645&gt;0),SUMIFS($AF$7:$AF$1576,$BU$7:$BU$1576,BU645,$AI$7:$AI$1576,"&gt;"&amp;AI645)+SUMIFS($AF$7:$AF$1576,$BU$7:$BU$1576,BU645,$AI$7:$AI$1576,AI645,$BO$7:$BO$1576,"&lt;="&amp;BO645),"")</f>
        <v/>
      </c>
      <c r="AK645" s="65" t="n">
        <f aca="false">IF(AJ645="",0,MAX(0,MIN(1,(IF(BU645="L1",Parameter!$E$5,Parameter!$E$6+Parameter!$E$7)-(AJ645-AF645))/AF645)))</f>
        <v>0</v>
      </c>
      <c r="AL645" s="57" t="n">
        <f aca="false">IF(LEFT(Cockpit!$I$5,1)="A",G645,IF(BW645=1,BX645,IF(LEFT(Cockpit!$I$5,1)="B",AP645,MAX(AP645,G645))))</f>
        <v>100</v>
      </c>
      <c r="AM645" s="57" t="n">
        <f aca="false">IF(BR645=1,0,ROUNDUP(AL645/BQ645,0))</f>
        <v>0</v>
      </c>
      <c r="AN645" s="59" t="n">
        <f aca="false">IF(CD645&gt;0,CD645*MAX(1,AL645/V645),IF(BR645=1,IF(AL645&lt;=0,0,BS645*MAX(1,IF(G645&gt;0,AL645/G645,1))),IF(Q645&gt;0,AM645/Q645,0))/MAX(0.1,N(Parameter!$M$21)))</f>
        <v>5</v>
      </c>
      <c r="AO645" s="57" t="n">
        <f aca="false">AL645*F645</f>
        <v>7</v>
      </c>
      <c r="AP645" s="57" t="n">
        <f aca="false">ROUNDUP(MAX(I645/IF(BV645&gt;0,BV645,MAX(0.1,N(Cockpit!$I$6))),BY645)/BQ645,0)*BQ645</f>
        <v>100</v>
      </c>
      <c r="AQ645" s="58" t="n">
        <f aca="false">IF(AN645&gt;0,I645/AN645,-1)</f>
        <v>19.2</v>
      </c>
      <c r="AR645" s="58" t="str">
        <f aca="false">IF(AND(OR(BU645="L1",BU645="L23"),AN645&gt;0),SUMIFS($AN$7:$AN$1576,$BU$7:$BU$1576,BU645,$AQ$7:$AQ$1576,"&gt;"&amp;AQ645)+SUMIFS($AN$7:$AN$1576,$BU$7:$BU$1576,BU645,$AQ$7:$AQ$1576,AQ645,$BO$7:$BO$1576,"&lt;="&amp;BO645),"")</f>
        <v/>
      </c>
      <c r="AS645" s="65" t="n">
        <f aca="false">IF(AR645="",0,MAX(0,MIN(1,(IF(BU645="L1",Parameter!$E$5,Parameter!$E$6+Parameter!$E$7)-(AR645-AN645))/AN645)))</f>
        <v>0</v>
      </c>
      <c r="AT645" s="57" t="n">
        <f aca="false">IF(LEFT(Cockpit!$O$5,1)="A",G645,IF(BW645=1,BX645,IF(LEFT(Cockpit!$O$5,1)="B",AX645,MAX(AX645,G645))))</f>
        <v>100</v>
      </c>
      <c r="AU645" s="57" t="n">
        <f aca="false">IF(BR645=1,0,ROUNDUP(AT645/BQ645,0))</f>
        <v>0</v>
      </c>
      <c r="AV645" s="59" t="n">
        <f aca="false">IF(CD645&gt;0,CD645*MAX(1,AT645/V645),IF(BR645=1,IF(AT645&lt;=0,0,BS645*MAX(1,IF(G645&gt;0,AT645/G645,1))),IF(Q645&gt;0,AU645/Q645,0))/MAX(0.1,N(Parameter!$M$21)))</f>
        <v>5</v>
      </c>
      <c r="AW645" s="57" t="n">
        <f aca="false">AT645*F645</f>
        <v>7</v>
      </c>
      <c r="AX645" s="57" t="n">
        <f aca="false">ROUNDUP(MAX(I645/IF(BV645&gt;0,BV645,MAX(0.1,N(Cockpit!$O$6))),BY645)/BQ645,0)*BQ645</f>
        <v>100</v>
      </c>
      <c r="AY645" s="58" t="n">
        <f aca="false">IF(AV645&gt;0,I645/AV645,-1)</f>
        <v>19.2</v>
      </c>
      <c r="AZ645" s="58" t="str">
        <f aca="false">IF(AND(OR(BU645="L1",BU645="L23"),AV645&gt;0),SUMIFS($AV$7:$AV$1576,$BU$7:$BU$1576,BU645,$AY$7:$AY$1576,"&gt;"&amp;AY645)+SUMIFS($AV$7:$AV$1576,$BU$7:$BU$1576,BU645,$AY$7:$AY$1576,AY645,$BO$7:$BO$1576,"&lt;="&amp;BO645),"")</f>
        <v/>
      </c>
      <c r="BA645" s="65" t="n">
        <f aca="false">IF(AZ645="",0,MAX(0,MIN(1,(IF(BU645="L1",Parameter!$E$5,Parameter!$E$6+Parameter!$E$7)-(AZ645-AV645))/AV645)))</f>
        <v>0</v>
      </c>
      <c r="BB645" s="55" t="str">
        <f aca="false">IF(AF645&lt;=0,"",IF(BU645="Aussen","Aussenlager",IF(BU645="-","Nicht im Lift",IF(AK645&gt;=1,"Lift",IF(AK645&lt;=0,"Aussenlager","teilweise")))))</f>
        <v>Nicht im Lift</v>
      </c>
      <c r="BC645" s="55" t="str">
        <f aca="false">IF(AN645&lt;=0,"",IF(BU645="Aussen","Aussenlager",IF(BU645="-","Nicht im Lift",IF(AS645&gt;=1,"Lift",IF(AS645&lt;=0,"Aussenlager","teilweise")))))</f>
        <v>Nicht im Lift</v>
      </c>
      <c r="BD645" s="55" t="str">
        <f aca="false">IF(AV645&lt;=0,"",IF(BU645="Aussen","Aussenlager",IF(BU645="-","Nicht im Lift",IF(BA645&gt;=1,"Lift",IF(BA645&lt;=0,"Aussenlager","teilweise")))))</f>
        <v>Nicht im Lift</v>
      </c>
      <c r="BE645" s="55" t="str">
        <f aca="false">IF(A645="","",IF(BN645=1,"Neu; ","")&amp;IF(AND(BN645=0,BI645&lt;0),"negativer Bestand (Export "&amp;BI645&amp;"); ","")&amp;IF(I645&lt;=0,"Kein Verbrauch; ","")&amp;IF(CD645&gt;0,"Lift "&amp;U645&amp;" lt. Liftbericht (Fach "&amp;V645&amp;" Stk); ",IF(BR645=1,"Lose – Fläche geschätzt; ",""))&amp;IF(G645&gt;AP645,"Überbestand "&amp;ROUND(G645-AP645,0)&amp;" Stk / CHF "&amp;ROUND((G645-AP645)*F645,0)&amp;"; ","")&amp;IF(AND(BW645=1,BX645&lt;BY645),"MAX &lt; MB+LG; ","")&amp;IF(AND(CC645&gt;0,CB645*10&gt;CC645),"zu hoch für Tablar; ","")&amp;IF(AND(BN645=0,OR(BW645=1,Y645&lt;&gt;"",S645&lt;&gt;"",T645&lt;&gt;"",Z645&lt;&gt;"")),"manuell übersteuert; ","")&amp;IF(AND(BR645=0,Q645=0),"Gebinde unbekannt / Stellmass fehlt; ","")&amp;IF(AND(BR645=0,N(T645)&lt;=0,N(P645)&lt;=0),"Menge pro Gebinde fehlt (Ist = 1 Gebinde); ","")&amp;BM645)</f>
        <v>Lose – Fläche geschätzt; </v>
      </c>
      <c r="BF645" s="55"/>
      <c r="BG645" s="55"/>
      <c r="BH645" s="62"/>
      <c r="BI645" s="57" t="n">
        <v>3</v>
      </c>
      <c r="BJ645" s="57" t="n">
        <v>0</v>
      </c>
      <c r="BK645" s="56" t="n">
        <v>0.21</v>
      </c>
      <c r="BL645" s="57" t="n">
        <v>96</v>
      </c>
      <c r="BM645" s="55"/>
      <c r="BN645" s="60" t="n">
        <v>0</v>
      </c>
      <c r="BO645" s="60" t="n">
        <v>645</v>
      </c>
      <c r="BP645" s="55" t="str">
        <f aca="false">IF(S645&lt;&gt;"",UPPER(TRIM(S645)),IF(O645="","LOSE",O645))</f>
        <v>LOSE</v>
      </c>
      <c r="BQ645" s="57" t="n">
        <f aca="false">IF(BP645="LOSE",1,IF(N(T645)&gt;0,T645,IF(N(P645)&gt;0,P645,MAX(1,G645))))</f>
        <v>1</v>
      </c>
      <c r="BR645" s="60" t="n">
        <f aca="false">IF(BP645="LOSE",1,0)</f>
        <v>1</v>
      </c>
      <c r="BS645" s="59" t="n">
        <f aca="false">IF(BR645=0,0,IF(N(R645)&gt;0,R645,IFERROR(VLOOKUP(D645,Parameter!$A$35:$C$64,3,0)+0,0)))</f>
        <v>0.15</v>
      </c>
      <c r="BT645" s="55" t="str">
        <f aca="false">IF(Y645&lt;&gt;"",Y645,X645)</f>
        <v>-</v>
      </c>
      <c r="BU645" s="55" t="str">
        <f aca="false">IF(BT645=1,"L1",IF(OR(BT645=2,BT645=3),"L23",IF(BT645="Aussen","Aussen","-")))</f>
        <v>-</v>
      </c>
      <c r="BV645" s="66" t="n">
        <f aca="false">IF(N(Z645)&gt;0,Z645,0)</f>
        <v>0</v>
      </c>
      <c r="BW645" s="60" t="n">
        <f aca="false">IF(ISNUMBER(AC645),1,0)</f>
        <v>0</v>
      </c>
      <c r="BX645" s="57" t="n">
        <f aca="false">N(AC645)</f>
        <v>0</v>
      </c>
      <c r="BY645" s="57" t="n">
        <f aca="false">N(L645)+N(M645)</f>
        <v>100</v>
      </c>
      <c r="BZ645" s="57" t="n">
        <f aca="false">ROUNDUP(G645/BQ645,0)</f>
        <v>3</v>
      </c>
      <c r="CA645" s="57" t="n">
        <f aca="false">ROUNDUP(BX645/BQ645,0)</f>
        <v>0</v>
      </c>
      <c r="CB645" s="60" t="n">
        <f aca="false">IF(BR645=1,0,IFERROR(VLOOKUP(BP645,'Gebinde-Kategorie'!$A$5:$M$45,5,0)+0,0))</f>
        <v>0</v>
      </c>
      <c r="CC645" s="60" t="n">
        <f aca="false">IFERROR(IF(OR(BT645=1,BT645=2,BT645=3),N(INDEX(Parameter!$I$5:$I$7,BT645)),0),0)</f>
        <v>0</v>
      </c>
      <c r="CD645" s="59" t="n">
        <f aca="false">IF(AND(Parameter!$B$21="Ja",ISNUMBER(U645),N(V645)&gt;0),IFERROR(N(INDEX(Parameter!$L$5:$L$7,U645))*INDEX(Parameter!$E$5:$E$7,U645)*V645/SUMIFS($V$7:$V$1576,$U$7:$U$1576,U645),0),0)</f>
        <v>0</v>
      </c>
    </row>
    <row r="646" customFormat="false" ht="15" hidden="false" customHeight="false" outlineLevel="0" collapsed="false">
      <c r="A646" s="55" t="s">
        <v>1301</v>
      </c>
      <c r="B646" s="55" t="s">
        <v>1302</v>
      </c>
      <c r="C646" s="55" t="s">
        <v>160</v>
      </c>
      <c r="D646" s="55" t="s">
        <v>168</v>
      </c>
      <c r="E646" s="55" t="s">
        <v>210</v>
      </c>
      <c r="F646" s="56" t="n">
        <v>0.01</v>
      </c>
      <c r="G646" s="57" t="n">
        <f aca="false">MAX(0,IF(AND(Parameter!$B$21="Ja",ISNUMBER(W646)),W646,IF(Parameter!$B$20="Jahresanfang 2025 + Export",BJ646+BI646,BI646)))</f>
        <v>17</v>
      </c>
      <c r="H646" s="57" t="n">
        <f aca="false">G646*F646</f>
        <v>0.17</v>
      </c>
      <c r="I646" s="57" t="n">
        <f aca="false">BL646*Parameter!$B$18</f>
        <v>0</v>
      </c>
      <c r="J646" s="58" t="n">
        <v>0</v>
      </c>
      <c r="K646" s="59" t="n">
        <v>0</v>
      </c>
      <c r="L646" s="57" t="n">
        <v>0</v>
      </c>
      <c r="M646" s="57" t="n">
        <v>1</v>
      </c>
      <c r="N646" s="60" t="n">
        <v>999</v>
      </c>
      <c r="O646" s="55" t="s">
        <v>163</v>
      </c>
      <c r="P646" s="57"/>
      <c r="Q646" s="60" t="n">
        <f aca="false">IF(BR646=1,0,IFERROR(VLOOKUP(BP646,'Gebinde-Kategorie'!$A$5:$M$45,13,0)+0,0))</f>
        <v>0</v>
      </c>
      <c r="R646" s="61"/>
      <c r="S646" s="62"/>
      <c r="T646" s="62"/>
      <c r="U646" s="55"/>
      <c r="V646" s="57"/>
      <c r="W646" s="57"/>
      <c r="X646" s="55" t="n">
        <f aca="false">IF(A646="","",IF(AND(Parameter!$B$21="Ja",ISNUMBER(U646)),U646,IF(IFERROR(VLOOKUP(D646,Parameter!$A$35:$C$64,2,0),"Nein")="2+3",IF(ISNUMBER(SEARCH("grosser Artikel",BM646)),2,IFERROR(VLOOKUP(BP646,Parameter!$F$35:$G$64,2,0),2)),IF(OR(IFERROR(VLOOKUP(D646,Parameter!$A$35:$C$64,2,0),"Nein")="Nein",IFERROR(VLOOKUP(D646,Parameter!$A$35:$C$64,2,0),"Nein")=""),"-",VLOOKUP(D646,Parameter!$A$35:$C$64,2,0)))))</f>
        <v>2</v>
      </c>
      <c r="Y646" s="62"/>
      <c r="Z646" s="63"/>
      <c r="AA646" s="57" t="n">
        <f aca="false">AP646</f>
        <v>1</v>
      </c>
      <c r="AB646" s="57" t="n">
        <f aca="false">MAX(AP646,G646)</f>
        <v>17</v>
      </c>
      <c r="AC646" s="64"/>
      <c r="AD646" s="57" t="n">
        <f aca="false">IF(LEFT(Cockpit!$C$5,1)="A",G646,IF(BW646=1,BX646,IF(LEFT(Cockpit!$C$5,1)="B",AH646,MAX(AH646,G646))))</f>
        <v>17</v>
      </c>
      <c r="AE646" s="57" t="n">
        <f aca="false">IF(BR646=1,0,ROUNDUP(AD646/BQ646,0))</f>
        <v>0</v>
      </c>
      <c r="AF646" s="59" t="n">
        <f aca="false">IF(CD646&gt;0,CD646*MAX(1,AD646/V646),IF(BR646=1,IF(AD646&lt;=0,0,BS646*MAX(1,IF(G646&gt;0,AD646/G646,1))),IF(Q646&gt;0,AE646/Q646,0))/MAX(0.1,N(Parameter!$M$21)))</f>
        <v>0.15</v>
      </c>
      <c r="AG646" s="57" t="n">
        <f aca="false">AD646*F646</f>
        <v>0.17</v>
      </c>
      <c r="AH646" s="57" t="n">
        <f aca="false">ROUNDUP(MAX(I646/IF(BV646&gt;0,BV646,MAX(0.1,N(Cockpit!$C$6))),BY646)/BQ646,0)*BQ646</f>
        <v>1</v>
      </c>
      <c r="AI646" s="58" t="n">
        <f aca="false">IF(AF646&gt;0,I646/AF646,-1)</f>
        <v>0</v>
      </c>
      <c r="AJ646" s="58" t="n">
        <f aca="false">IF(AND(OR(BU646="L1",BU646="L23"),AF646&gt;0),SUMIFS($AF$7:$AF$1576,$BU$7:$BU$1576,BU646,$AI$7:$AI$1576,"&gt;"&amp;AI646)+SUMIFS($AF$7:$AF$1576,$BU$7:$BU$1576,BU646,$AI$7:$AI$1576,AI646,$BO$7:$BO$1576,"&lt;="&amp;BO646),"")</f>
        <v>45.6483260700652</v>
      </c>
      <c r="AK646" s="65" t="n">
        <f aca="false">IF(AJ646="",0,MAX(0,MIN(1,(IF(BU646="L1",Parameter!$E$5,Parameter!$E$6+Parameter!$E$7)-(AJ646-AF646))/AF646)))</f>
        <v>1</v>
      </c>
      <c r="AL646" s="57" t="n">
        <f aca="false">IF(LEFT(Cockpit!$I$5,1)="A",G646,IF(BW646=1,BX646,IF(LEFT(Cockpit!$I$5,1)="B",AP646,MAX(AP646,G646))))</f>
        <v>17</v>
      </c>
      <c r="AM646" s="57" t="n">
        <f aca="false">IF(BR646=1,0,ROUNDUP(AL646/BQ646,0))</f>
        <v>0</v>
      </c>
      <c r="AN646" s="59" t="n">
        <f aca="false">IF(CD646&gt;0,CD646*MAX(1,AL646/V646),IF(BR646=1,IF(AL646&lt;=0,0,BS646*MAX(1,IF(G646&gt;0,AL646/G646,1))),IF(Q646&gt;0,AM646/Q646,0))/MAX(0.1,N(Parameter!$M$21)))</f>
        <v>0.15</v>
      </c>
      <c r="AO646" s="57" t="n">
        <f aca="false">AL646*F646</f>
        <v>0.17</v>
      </c>
      <c r="AP646" s="57" t="n">
        <f aca="false">ROUNDUP(MAX(I646/IF(BV646&gt;0,BV646,MAX(0.1,N(Cockpit!$I$6))),BY646)/BQ646,0)*BQ646</f>
        <v>1</v>
      </c>
      <c r="AQ646" s="58" t="n">
        <f aca="false">IF(AN646&gt;0,I646/AN646,-1)</f>
        <v>0</v>
      </c>
      <c r="AR646" s="58" t="n">
        <f aca="false">IF(AND(OR(BU646="L1",BU646="L23"),AN646&gt;0),SUMIFS($AN$7:$AN$1576,$BU$7:$BU$1576,BU646,$AQ$7:$AQ$1576,"&gt;"&amp;AQ646)+SUMIFS($AN$7:$AN$1576,$BU$7:$BU$1576,BU646,$AQ$7:$AQ$1576,AQ646,$BO$7:$BO$1576,"&lt;="&amp;BO646),"")</f>
        <v>128.717414011157</v>
      </c>
      <c r="AS646" s="65" t="n">
        <f aca="false">IF(AR646="",0,MAX(0,MIN(1,(IF(BU646="L1",Parameter!$E$5,Parameter!$E$6+Parameter!$E$7)-(AR646-AN646))/AN646)))</f>
        <v>0</v>
      </c>
      <c r="AT646" s="57" t="n">
        <f aca="false">IF(LEFT(Cockpit!$O$5,1)="A",G646,IF(BW646=1,BX646,IF(LEFT(Cockpit!$O$5,1)="B",AX646,MAX(AX646,G646))))</f>
        <v>17</v>
      </c>
      <c r="AU646" s="57" t="n">
        <f aca="false">IF(BR646=1,0,ROUNDUP(AT646/BQ646,0))</f>
        <v>0</v>
      </c>
      <c r="AV646" s="59" t="n">
        <f aca="false">IF(CD646&gt;0,CD646*MAX(1,AT646/V646),IF(BR646=1,IF(AT646&lt;=0,0,BS646*MAX(1,IF(G646&gt;0,AT646/G646,1))),IF(Q646&gt;0,AU646/Q646,0))/MAX(0.1,N(Parameter!$M$21)))</f>
        <v>0.15</v>
      </c>
      <c r="AW646" s="57" t="n">
        <f aca="false">AT646*F646</f>
        <v>0.17</v>
      </c>
      <c r="AX646" s="57" t="n">
        <f aca="false">ROUNDUP(MAX(I646/IF(BV646&gt;0,BV646,MAX(0.1,N(Cockpit!$O$6))),BY646)/BQ646,0)*BQ646</f>
        <v>1</v>
      </c>
      <c r="AY646" s="58" t="n">
        <f aca="false">IF(AV646&gt;0,I646/AV646,-1)</f>
        <v>0</v>
      </c>
      <c r="AZ646" s="58" t="n">
        <f aca="false">IF(AND(OR(BU646="L1",BU646="L23"),AV646&gt;0),SUMIFS($AV$7:$AV$1576,$BU$7:$BU$1576,BU646,$AY$7:$AY$1576,"&gt;"&amp;AY646)+SUMIFS($AV$7:$AV$1576,$BU$7:$BU$1576,BU646,$AY$7:$AY$1576,AY646,$BO$7:$BO$1576,"&lt;="&amp;BO646),"")</f>
        <v>118.776964460708</v>
      </c>
      <c r="BA646" s="65" t="n">
        <f aca="false">IF(AZ646="",0,MAX(0,MIN(1,(IF(BU646="L1",Parameter!$E$5,Parameter!$E$6+Parameter!$E$7)-(AZ646-AV646))/AV646)))</f>
        <v>0</v>
      </c>
      <c r="BB646" s="55" t="str">
        <f aca="false">IF(AF646&lt;=0,"",IF(BU646="Aussen","Aussenlager",IF(BU646="-","Nicht im Lift",IF(AK646&gt;=1,"Lift",IF(AK646&lt;=0,"Aussenlager","teilweise")))))</f>
        <v>Lift</v>
      </c>
      <c r="BC646" s="55" t="str">
        <f aca="false">IF(AN646&lt;=0,"",IF(BU646="Aussen","Aussenlager",IF(BU646="-","Nicht im Lift",IF(AS646&gt;=1,"Lift",IF(AS646&lt;=0,"Aussenlager","teilweise")))))</f>
        <v>Aussenlager</v>
      </c>
      <c r="BD646" s="55" t="str">
        <f aca="false">IF(AV646&lt;=0,"",IF(BU646="Aussen","Aussenlager",IF(BU646="-","Nicht im Lift",IF(BA646&gt;=1,"Lift",IF(BA646&lt;=0,"Aussenlager","teilweise")))))</f>
        <v>Aussenlager</v>
      </c>
      <c r="BE646" s="55" t="str">
        <f aca="false">IF(A646="","",IF(BN646=1,"Neu; ","")&amp;IF(AND(BN646=0,BI646&lt;0),"negativer Bestand (Export "&amp;BI646&amp;"); ","")&amp;IF(I646&lt;=0,"Kein Verbrauch; ","")&amp;IF(CD646&gt;0,"Lift "&amp;U646&amp;" lt. Liftbericht (Fach "&amp;V646&amp;" Stk); ",IF(BR646=1,"Lose – Fläche geschätzt; ",""))&amp;IF(G646&gt;AP646,"Überbestand "&amp;ROUND(G646-AP646,0)&amp;" Stk / CHF "&amp;ROUND((G646-AP646)*F646,0)&amp;"; ","")&amp;IF(AND(BW646=1,BX646&lt;BY646),"MAX &lt; MB+LG; ","")&amp;IF(AND(CC646&gt;0,CB646*10&gt;CC646),"zu hoch für Tablar; ","")&amp;IF(AND(BN646=0,OR(BW646=1,Y646&lt;&gt;"",S646&lt;&gt;"",T646&lt;&gt;"",Z646&lt;&gt;"")),"manuell übersteuert; ","")&amp;IF(AND(BR646=0,Q646=0),"Gebinde unbekannt / Stellmass fehlt; ","")&amp;IF(AND(BR646=0,N(T646)&lt;=0,N(P646)&lt;=0),"Menge pro Gebinde fehlt (Ist = 1 Gebinde); ","")&amp;BM646)</f>
        <v>Kein Verbrauch; Lose – Fläche geschätzt; Überbestand 16 Stk / CHF 0; </v>
      </c>
      <c r="BF646" s="55"/>
      <c r="BG646" s="55"/>
      <c r="BH646" s="62"/>
      <c r="BI646" s="57" t="n">
        <v>17</v>
      </c>
      <c r="BJ646" s="57" t="n">
        <v>0</v>
      </c>
      <c r="BK646" s="56" t="n">
        <v>0.17</v>
      </c>
      <c r="BL646" s="57" t="n">
        <v>0</v>
      </c>
      <c r="BM646" s="55"/>
      <c r="BN646" s="60" t="n">
        <v>0</v>
      </c>
      <c r="BO646" s="60" t="n">
        <v>646</v>
      </c>
      <c r="BP646" s="55" t="str">
        <f aca="false">IF(S646&lt;&gt;"",UPPER(TRIM(S646)),IF(O646="","LOSE",O646))</f>
        <v>LOSE</v>
      </c>
      <c r="BQ646" s="57" t="n">
        <f aca="false">IF(BP646="LOSE",1,IF(N(T646)&gt;0,T646,IF(N(P646)&gt;0,P646,MAX(1,G646))))</f>
        <v>1</v>
      </c>
      <c r="BR646" s="60" t="n">
        <f aca="false">IF(BP646="LOSE",1,0)</f>
        <v>1</v>
      </c>
      <c r="BS646" s="59" t="n">
        <f aca="false">IF(BR646=0,0,IF(N(R646)&gt;0,R646,IFERROR(VLOOKUP(D646,Parameter!$A$35:$C$64,3,0)+0,0)))</f>
        <v>0.15</v>
      </c>
      <c r="BT646" s="55" t="n">
        <f aca="false">IF(Y646&lt;&gt;"",Y646,X646)</f>
        <v>2</v>
      </c>
      <c r="BU646" s="55" t="str">
        <f aca="false">IF(BT646=1,"L1",IF(OR(BT646=2,BT646=3),"L23",IF(BT646="Aussen","Aussen","-")))</f>
        <v>L23</v>
      </c>
      <c r="BV646" s="66" t="n">
        <f aca="false">IF(N(Z646)&gt;0,Z646,0)</f>
        <v>0</v>
      </c>
      <c r="BW646" s="60" t="n">
        <f aca="false">IF(ISNUMBER(AC646),1,0)</f>
        <v>0</v>
      </c>
      <c r="BX646" s="57" t="n">
        <f aca="false">N(AC646)</f>
        <v>0</v>
      </c>
      <c r="BY646" s="57" t="n">
        <f aca="false">N(L646)+N(M646)</f>
        <v>1</v>
      </c>
      <c r="BZ646" s="57" t="n">
        <f aca="false">ROUNDUP(G646/BQ646,0)</f>
        <v>17</v>
      </c>
      <c r="CA646" s="57" t="n">
        <f aca="false">ROUNDUP(BX646/BQ646,0)</f>
        <v>0</v>
      </c>
      <c r="CB646" s="60" t="n">
        <f aca="false">IF(BR646=1,0,IFERROR(VLOOKUP(BP646,'Gebinde-Kategorie'!$A$5:$M$45,5,0)+0,0))</f>
        <v>0</v>
      </c>
      <c r="CC646" s="60" t="n">
        <f aca="false">IFERROR(IF(OR(BT646=1,BT646=2,BT646=3),N(INDEX(Parameter!$I$5:$I$7,BT646)),0),0)</f>
        <v>0</v>
      </c>
      <c r="CD646" s="59" t="n">
        <f aca="false">IF(AND(Parameter!$B$21="Ja",ISNUMBER(U646),N(V646)&gt;0),IFERROR(N(INDEX(Parameter!$L$5:$L$7,U646))*INDEX(Parameter!$E$5:$E$7,U646)*V646/SUMIFS($V$7:$V$1576,$U$7:$U$1576,U646),0),0)</f>
        <v>0</v>
      </c>
    </row>
    <row r="647" customFormat="false" ht="15" hidden="false" customHeight="false" outlineLevel="0" collapsed="false">
      <c r="A647" s="55" t="s">
        <v>1303</v>
      </c>
      <c r="B647" s="55" t="s">
        <v>395</v>
      </c>
      <c r="C647" s="55" t="s">
        <v>160</v>
      </c>
      <c r="D647" s="55" t="s">
        <v>178</v>
      </c>
      <c r="E647" s="55" t="s">
        <v>210</v>
      </c>
      <c r="F647" s="56" t="n">
        <v>0.1</v>
      </c>
      <c r="G647" s="57" t="n">
        <f aca="false">MAX(0,IF(AND(Parameter!$B$21="Ja",ISNUMBER(W647)),W647,IF(Parameter!$B$20="Jahresanfang 2025 + Export",BJ647+BI647,BI647)))</f>
        <v>1</v>
      </c>
      <c r="H647" s="57" t="n">
        <f aca="false">G647*F647</f>
        <v>0.1</v>
      </c>
      <c r="I647" s="57" t="n">
        <f aca="false">BL647*Parameter!$B$18</f>
        <v>0</v>
      </c>
      <c r="J647" s="58" t="n">
        <v>183.5</v>
      </c>
      <c r="K647" s="59" t="n">
        <v>0</v>
      </c>
      <c r="L647" s="57" t="n">
        <v>0</v>
      </c>
      <c r="M647" s="57" t="n">
        <v>1</v>
      </c>
      <c r="N647" s="60" t="n">
        <v>21</v>
      </c>
      <c r="O647" s="55" t="s">
        <v>411</v>
      </c>
      <c r="P647" s="57" t="n">
        <v>198</v>
      </c>
      <c r="Q647" s="60" t="n">
        <f aca="false">IF(BR647=1,0,IFERROR(VLOOKUP(BP647,'Gebinde-Kategorie'!$A$5:$M$45,13,0)+0,0))</f>
        <v>132</v>
      </c>
      <c r="R647" s="61"/>
      <c r="S647" s="62"/>
      <c r="T647" s="62"/>
      <c r="U647" s="55"/>
      <c r="V647" s="57"/>
      <c r="W647" s="57"/>
      <c r="X647" s="55" t="n">
        <f aca="false">IF(A647="","",IF(AND(Parameter!$B$21="Ja",ISNUMBER(U647)),U647,IF(IFERROR(VLOOKUP(D647,Parameter!$A$35:$C$64,2,0),"Nein")="2+3",IF(ISNUMBER(SEARCH("grosser Artikel",BM647)),2,IFERROR(VLOOKUP(BP647,Parameter!$F$35:$G$64,2,0),2)),IF(OR(IFERROR(VLOOKUP(D647,Parameter!$A$35:$C$64,2,0),"Nein")="Nein",IFERROR(VLOOKUP(D647,Parameter!$A$35:$C$64,2,0),"Nein")=""),"-",VLOOKUP(D647,Parameter!$A$35:$C$64,2,0)))))</f>
        <v>3</v>
      </c>
      <c r="Y647" s="62"/>
      <c r="Z647" s="63"/>
      <c r="AA647" s="57" t="n">
        <f aca="false">AP647</f>
        <v>198</v>
      </c>
      <c r="AB647" s="57" t="n">
        <f aca="false">MAX(AP647,G647)</f>
        <v>198</v>
      </c>
      <c r="AC647" s="64"/>
      <c r="AD647" s="57" t="n">
        <f aca="false">IF(LEFT(Cockpit!$C$5,1)="A",G647,IF(BW647=1,BX647,IF(LEFT(Cockpit!$C$5,1)="B",AH647,MAX(AH647,G647))))</f>
        <v>1</v>
      </c>
      <c r="AE647" s="57" t="n">
        <f aca="false">IF(BR647=1,0,ROUNDUP(AD647/BQ647,0))</f>
        <v>1</v>
      </c>
      <c r="AF647" s="59" t="n">
        <f aca="false">IF(CD647&gt;0,CD647*MAX(1,AD647/V647),IF(BR647=1,IF(AD647&lt;=0,0,BS647*MAX(1,IF(G647&gt;0,AD647/G647,1))),IF(Q647&gt;0,AE647/Q647,0))/MAX(0.1,N(Parameter!$M$21)))</f>
        <v>0.00757575757575758</v>
      </c>
      <c r="AG647" s="57" t="n">
        <f aca="false">AD647*F647</f>
        <v>0.1</v>
      </c>
      <c r="AH647" s="57" t="n">
        <f aca="false">ROUNDUP(MAX(I647/IF(BV647&gt;0,BV647,MAX(0.1,N(Cockpit!$C$6))),BY647)/BQ647,0)*BQ647</f>
        <v>198</v>
      </c>
      <c r="AI647" s="58" t="n">
        <f aca="false">IF(AF647&gt;0,I647/AF647,-1)</f>
        <v>0</v>
      </c>
      <c r="AJ647" s="58" t="n">
        <f aca="false">IF(AND(OR(BU647="L1",BU647="L23"),AF647&gt;0),SUMIFS($AF$7:$AF$1576,$BU$7:$BU$1576,BU647,$AI$7:$AI$1576,"&gt;"&amp;AI647)+SUMIFS($AF$7:$AF$1576,$BU$7:$BU$1576,BU647,$AI$7:$AI$1576,AI647,$BO$7:$BO$1576,"&lt;="&amp;BO647),"")</f>
        <v>45.655901827641</v>
      </c>
      <c r="AK647" s="65" t="n">
        <f aca="false">IF(AJ647="",0,MAX(0,MIN(1,(IF(BU647="L1",Parameter!$E$5,Parameter!$E$6+Parameter!$E$7)-(AJ647-AF647))/AF647)))</f>
        <v>1</v>
      </c>
      <c r="AL647" s="57" t="n">
        <f aca="false">IF(LEFT(Cockpit!$I$5,1)="A",G647,IF(BW647=1,BX647,IF(LEFT(Cockpit!$I$5,1)="B",AP647,MAX(AP647,G647))))</f>
        <v>198</v>
      </c>
      <c r="AM647" s="57" t="n">
        <f aca="false">IF(BR647=1,0,ROUNDUP(AL647/BQ647,0))</f>
        <v>1</v>
      </c>
      <c r="AN647" s="59" t="n">
        <f aca="false">IF(CD647&gt;0,CD647*MAX(1,AL647/V647),IF(BR647=1,IF(AL647&lt;=0,0,BS647*MAX(1,IF(G647&gt;0,AL647/G647,1))),IF(Q647&gt;0,AM647/Q647,0))/MAX(0.1,N(Parameter!$M$21)))</f>
        <v>0.00757575757575758</v>
      </c>
      <c r="AO647" s="57" t="n">
        <f aca="false">AL647*F647</f>
        <v>19.8</v>
      </c>
      <c r="AP647" s="57" t="n">
        <f aca="false">ROUNDUP(MAX(I647/IF(BV647&gt;0,BV647,MAX(0.1,N(Cockpit!$I$6))),BY647)/BQ647,0)*BQ647</f>
        <v>198</v>
      </c>
      <c r="AQ647" s="58" t="n">
        <f aca="false">IF(AN647&gt;0,I647/AN647,-1)</f>
        <v>0</v>
      </c>
      <c r="AR647" s="58" t="n">
        <f aca="false">IF(AND(OR(BU647="L1",BU647="L23"),AN647&gt;0),SUMIFS($AN$7:$AN$1576,$BU$7:$BU$1576,BU647,$AQ$7:$AQ$1576,"&gt;"&amp;AQ647)+SUMIFS($AN$7:$AN$1576,$BU$7:$BU$1576,BU647,$AQ$7:$AQ$1576,AQ647,$BO$7:$BO$1576,"&lt;="&amp;BO647),"")</f>
        <v>128.724989768733</v>
      </c>
      <c r="AS647" s="65" t="n">
        <f aca="false">IF(AR647="",0,MAX(0,MIN(1,(IF(BU647="L1",Parameter!$E$5,Parameter!$E$6+Parameter!$E$7)-(AR647-AN647))/AN647)))</f>
        <v>0</v>
      </c>
      <c r="AT647" s="57" t="n">
        <f aca="false">IF(LEFT(Cockpit!$O$5,1)="A",G647,IF(BW647=1,BX647,IF(LEFT(Cockpit!$O$5,1)="B",AX647,MAX(AX647,G647))))</f>
        <v>198</v>
      </c>
      <c r="AU647" s="57" t="n">
        <f aca="false">IF(BR647=1,0,ROUNDUP(AT647/BQ647,0))</f>
        <v>1</v>
      </c>
      <c r="AV647" s="59" t="n">
        <f aca="false">IF(CD647&gt;0,CD647*MAX(1,AT647/V647),IF(BR647=1,IF(AT647&lt;=0,0,BS647*MAX(1,IF(G647&gt;0,AT647/G647,1))),IF(Q647&gt;0,AU647/Q647,0))/MAX(0.1,N(Parameter!$M$21)))</f>
        <v>0.00757575757575758</v>
      </c>
      <c r="AW647" s="57" t="n">
        <f aca="false">AT647*F647</f>
        <v>19.8</v>
      </c>
      <c r="AX647" s="57" t="n">
        <f aca="false">ROUNDUP(MAX(I647/IF(BV647&gt;0,BV647,MAX(0.1,N(Cockpit!$O$6))),BY647)/BQ647,0)*BQ647</f>
        <v>198</v>
      </c>
      <c r="AY647" s="58" t="n">
        <f aca="false">IF(AV647&gt;0,I647/AV647,-1)</f>
        <v>0</v>
      </c>
      <c r="AZ647" s="58" t="n">
        <f aca="false">IF(AND(OR(BU647="L1",BU647="L23"),AV647&gt;0),SUMIFS($AV$7:$AV$1576,$BU$7:$BU$1576,BU647,$AY$7:$AY$1576,"&gt;"&amp;AY647)+SUMIFS($AV$7:$AV$1576,$BU$7:$BU$1576,BU647,$AY$7:$AY$1576,AY647,$BO$7:$BO$1576,"&lt;="&amp;BO647),"")</f>
        <v>118.784540218283</v>
      </c>
      <c r="BA647" s="65" t="n">
        <f aca="false">IF(AZ647="",0,MAX(0,MIN(1,(IF(BU647="L1",Parameter!$E$5,Parameter!$E$6+Parameter!$E$7)-(AZ647-AV647))/AV647)))</f>
        <v>0</v>
      </c>
      <c r="BB647" s="55" t="str">
        <f aca="false">IF(AF647&lt;=0,"",IF(BU647="Aussen","Aussenlager",IF(BU647="-","Nicht im Lift",IF(AK647&gt;=1,"Lift",IF(AK647&lt;=0,"Aussenlager","teilweise")))))</f>
        <v>Lift</v>
      </c>
      <c r="BC647" s="55" t="str">
        <f aca="false">IF(AN647&lt;=0,"",IF(BU647="Aussen","Aussenlager",IF(BU647="-","Nicht im Lift",IF(AS647&gt;=1,"Lift",IF(AS647&lt;=0,"Aussenlager","teilweise")))))</f>
        <v>Aussenlager</v>
      </c>
      <c r="BD647" s="55" t="str">
        <f aca="false">IF(AV647&lt;=0,"",IF(BU647="Aussen","Aussenlager",IF(BU647="-","Nicht im Lift",IF(BA647&gt;=1,"Lift",IF(BA647&lt;=0,"Aussenlager","teilweise")))))</f>
        <v>Aussenlager</v>
      </c>
      <c r="BE647" s="55" t="str">
        <f aca="false">IF(A647="","",IF(BN647=1,"Neu; ","")&amp;IF(AND(BN647=0,BI647&lt;0),"negativer Bestand (Export "&amp;BI647&amp;"); ","")&amp;IF(I647&lt;=0,"Kein Verbrauch; ","")&amp;IF(CD647&gt;0,"Lift "&amp;U647&amp;" lt. Liftbericht (Fach "&amp;V647&amp;" Stk); ",IF(BR647=1,"Lose – Fläche geschätzt; ",""))&amp;IF(G647&gt;AP647,"Überbestand "&amp;ROUND(G647-AP647,0)&amp;" Stk / CHF "&amp;ROUND((G647-AP647)*F647,0)&amp;"; ","")&amp;IF(AND(BW647=1,BX647&lt;BY647),"MAX &lt; MB+LG; ","")&amp;IF(AND(CC647&gt;0,CB647*10&gt;CC647),"zu hoch für Tablar; ","")&amp;IF(AND(BN647=0,OR(BW647=1,Y647&lt;&gt;"",S647&lt;&gt;"",T647&lt;&gt;"",Z647&lt;&gt;"")),"manuell übersteuert; ","")&amp;IF(AND(BR647=0,Q647=0),"Gebinde unbekannt / Stellmass fehlt; ","")&amp;IF(AND(BR647=0,N(T647)&lt;=0,N(P647)&lt;=0),"Menge pro Gebinde fehlt (Ist = 1 Gebinde); ","")&amp;BM647)</f>
        <v>Kein Verbrauch; Neu</v>
      </c>
      <c r="BF647" s="55"/>
      <c r="BG647" s="55"/>
      <c r="BH647" s="62"/>
      <c r="BI647" s="57" t="n">
        <v>1</v>
      </c>
      <c r="BJ647" s="57" t="n">
        <v>183</v>
      </c>
      <c r="BK647" s="56" t="n">
        <v>0.1</v>
      </c>
      <c r="BL647" s="57" t="n">
        <v>0</v>
      </c>
      <c r="BM647" s="55" t="s">
        <v>615</v>
      </c>
      <c r="BN647" s="60" t="n">
        <v>0</v>
      </c>
      <c r="BO647" s="60" t="n">
        <v>647</v>
      </c>
      <c r="BP647" s="55" t="str">
        <f aca="false">IF(S647&lt;&gt;"",UPPER(TRIM(S647)),IF(O647="","LOSE",O647))</f>
        <v>S32</v>
      </c>
      <c r="BQ647" s="57" t="n">
        <f aca="false">IF(BP647="LOSE",1,IF(N(T647)&gt;0,T647,IF(N(P647)&gt;0,P647,MAX(1,G647))))</f>
        <v>198</v>
      </c>
      <c r="BR647" s="60" t="n">
        <f aca="false">IF(BP647="LOSE",1,0)</f>
        <v>0</v>
      </c>
      <c r="BS647" s="59" t="n">
        <f aca="false">IF(BR647=0,0,IF(N(R647)&gt;0,R647,IFERROR(VLOOKUP(D647,Parameter!$A$35:$C$64,3,0)+0,0)))</f>
        <v>0</v>
      </c>
      <c r="BT647" s="55" t="n">
        <f aca="false">IF(Y647&lt;&gt;"",Y647,X647)</f>
        <v>3</v>
      </c>
      <c r="BU647" s="55" t="str">
        <f aca="false">IF(BT647=1,"L1",IF(OR(BT647=2,BT647=3),"L23",IF(BT647="Aussen","Aussen","-")))</f>
        <v>L23</v>
      </c>
      <c r="BV647" s="66" t="n">
        <f aca="false">IF(N(Z647)&gt;0,Z647,0)</f>
        <v>0</v>
      </c>
      <c r="BW647" s="60" t="n">
        <f aca="false">IF(ISNUMBER(AC647),1,0)</f>
        <v>0</v>
      </c>
      <c r="BX647" s="57" t="n">
        <f aca="false">N(AC647)</f>
        <v>0</v>
      </c>
      <c r="BY647" s="57" t="n">
        <f aca="false">N(L647)+N(M647)</f>
        <v>1</v>
      </c>
      <c r="BZ647" s="57" t="n">
        <f aca="false">ROUNDUP(G647/BQ647,0)</f>
        <v>1</v>
      </c>
      <c r="CA647" s="57" t="n">
        <f aca="false">ROUNDUP(BX647/BQ647,0)</f>
        <v>0</v>
      </c>
      <c r="CB647" s="60" t="n">
        <f aca="false">IF(BR647=1,0,IFERROR(VLOOKUP(BP647,'Gebinde-Kategorie'!$A$5:$M$45,5,0)+0,0))</f>
        <v>8</v>
      </c>
      <c r="CC647" s="60" t="n">
        <f aca="false">IFERROR(IF(OR(BT647=1,BT647=2,BT647=3),N(INDEX(Parameter!$I$5:$I$7,BT647)),0),0)</f>
        <v>0</v>
      </c>
      <c r="CD647" s="59" t="n">
        <f aca="false">IF(AND(Parameter!$B$21="Ja",ISNUMBER(U647),N(V647)&gt;0),IFERROR(N(INDEX(Parameter!$L$5:$L$7,U647))*INDEX(Parameter!$E$5:$E$7,U647)*V647/SUMIFS($V$7:$V$1576,$U$7:$U$1576,U647),0),0)</f>
        <v>0</v>
      </c>
    </row>
    <row r="648" customFormat="false" ht="15" hidden="false" customHeight="false" outlineLevel="0" collapsed="false">
      <c r="A648" s="55" t="s">
        <v>1304</v>
      </c>
      <c r="B648" s="55" t="s">
        <v>643</v>
      </c>
      <c r="C648" s="55" t="s">
        <v>160</v>
      </c>
      <c r="D648" s="55" t="s">
        <v>178</v>
      </c>
      <c r="E648" s="55" t="s">
        <v>210</v>
      </c>
      <c r="F648" s="56" t="n">
        <v>0.01</v>
      </c>
      <c r="G648" s="57" t="n">
        <f aca="false">MAX(0,IF(AND(Parameter!$B$21="Ja",ISNUMBER(W648)),W648,IF(Parameter!$B$20="Jahresanfang 2025 + Export",BJ648+BI648,BI648)))</f>
        <v>3</v>
      </c>
      <c r="H648" s="57" t="n">
        <f aca="false">G648*F648</f>
        <v>0.03</v>
      </c>
      <c r="I648" s="57" t="n">
        <f aca="false">BL648*Parameter!$B$18</f>
        <v>2</v>
      </c>
      <c r="J648" s="58" t="n">
        <v>940.5</v>
      </c>
      <c r="K648" s="59" t="n">
        <v>0.00212652844231792</v>
      </c>
      <c r="L648" s="57" t="n">
        <v>0</v>
      </c>
      <c r="M648" s="57" t="n">
        <v>1</v>
      </c>
      <c r="N648" s="60" t="n">
        <v>21</v>
      </c>
      <c r="O648" s="55" t="s">
        <v>411</v>
      </c>
      <c r="P648" s="57" t="n">
        <v>977</v>
      </c>
      <c r="Q648" s="60" t="n">
        <f aca="false">IF(BR648=1,0,IFERROR(VLOOKUP(BP648,'Gebinde-Kategorie'!$A$5:$M$45,13,0)+0,0))</f>
        <v>132</v>
      </c>
      <c r="R648" s="61"/>
      <c r="S648" s="62"/>
      <c r="T648" s="62"/>
      <c r="U648" s="55"/>
      <c r="V648" s="57"/>
      <c r="W648" s="57"/>
      <c r="X648" s="55" t="n">
        <f aca="false">IF(A648="","",IF(AND(Parameter!$B$21="Ja",ISNUMBER(U648)),U648,IF(IFERROR(VLOOKUP(D648,Parameter!$A$35:$C$64,2,0),"Nein")="2+3",IF(ISNUMBER(SEARCH("grosser Artikel",BM648)),2,IFERROR(VLOOKUP(BP648,Parameter!$F$35:$G$64,2,0),2)),IF(OR(IFERROR(VLOOKUP(D648,Parameter!$A$35:$C$64,2,0),"Nein")="Nein",IFERROR(VLOOKUP(D648,Parameter!$A$35:$C$64,2,0),"Nein")=""),"-",VLOOKUP(D648,Parameter!$A$35:$C$64,2,0)))))</f>
        <v>3</v>
      </c>
      <c r="Y648" s="62"/>
      <c r="Z648" s="63"/>
      <c r="AA648" s="57" t="n">
        <f aca="false">AP648</f>
        <v>977</v>
      </c>
      <c r="AB648" s="57" t="n">
        <f aca="false">MAX(AP648,G648)</f>
        <v>977</v>
      </c>
      <c r="AC648" s="64"/>
      <c r="AD648" s="57" t="n">
        <f aca="false">IF(LEFT(Cockpit!$C$5,1)="A",G648,IF(BW648=1,BX648,IF(LEFT(Cockpit!$C$5,1)="B",AH648,MAX(AH648,G648))))</f>
        <v>3</v>
      </c>
      <c r="AE648" s="57" t="n">
        <f aca="false">IF(BR648=1,0,ROUNDUP(AD648/BQ648,0))</f>
        <v>1</v>
      </c>
      <c r="AF648" s="59" t="n">
        <f aca="false">IF(CD648&gt;0,CD648*MAX(1,AD648/V648),IF(BR648=1,IF(AD648&lt;=0,0,BS648*MAX(1,IF(G648&gt;0,AD648/G648,1))),IF(Q648&gt;0,AE648/Q648,0))/MAX(0.1,N(Parameter!$M$21)))</f>
        <v>0.00757575757575758</v>
      </c>
      <c r="AG648" s="57" t="n">
        <f aca="false">AD648*F648</f>
        <v>0.03</v>
      </c>
      <c r="AH648" s="57" t="n">
        <f aca="false">ROUNDUP(MAX(I648/IF(BV648&gt;0,BV648,MAX(0.1,N(Cockpit!$C$6))),BY648)/BQ648,0)*BQ648</f>
        <v>977</v>
      </c>
      <c r="AI648" s="58" t="n">
        <f aca="false">IF(AF648&gt;0,I648/AF648,-1)</f>
        <v>264</v>
      </c>
      <c r="AJ648" s="58" t="n">
        <f aca="false">IF(AND(OR(BU648="L1",BU648="L23"),AF648&gt;0),SUMIFS($AF$7:$AF$1576,$BU$7:$BU$1576,BU648,$AI$7:$AI$1576,"&gt;"&amp;AI648)+SUMIFS($AF$7:$AF$1576,$BU$7:$BU$1576,BU648,$AI$7:$AI$1576,AI648,$BO$7:$BO$1576,"&lt;="&amp;BO648),"")</f>
        <v>15.7058531806358</v>
      </c>
      <c r="AK648" s="65" t="n">
        <f aca="false">IF(AJ648="",0,MAX(0,MIN(1,(IF(BU648="L1",Parameter!$E$5,Parameter!$E$6+Parameter!$E$7)-(AJ648-AF648))/AF648)))</f>
        <v>1</v>
      </c>
      <c r="AL648" s="57" t="n">
        <f aca="false">IF(LEFT(Cockpit!$I$5,1)="A",G648,IF(BW648=1,BX648,IF(LEFT(Cockpit!$I$5,1)="B",AP648,MAX(AP648,G648))))</f>
        <v>977</v>
      </c>
      <c r="AM648" s="57" t="n">
        <f aca="false">IF(BR648=1,0,ROUNDUP(AL648/BQ648,0))</f>
        <v>1</v>
      </c>
      <c r="AN648" s="59" t="n">
        <f aca="false">IF(CD648&gt;0,CD648*MAX(1,AL648/V648),IF(BR648=1,IF(AL648&lt;=0,0,BS648*MAX(1,IF(G648&gt;0,AL648/G648,1))),IF(Q648&gt;0,AM648/Q648,0))/MAX(0.1,N(Parameter!$M$21)))</f>
        <v>0.00757575757575758</v>
      </c>
      <c r="AO648" s="57" t="n">
        <f aca="false">AL648*F648</f>
        <v>9.77</v>
      </c>
      <c r="AP648" s="57" t="n">
        <f aca="false">ROUNDUP(MAX(I648/IF(BV648&gt;0,BV648,MAX(0.1,N(Cockpit!$I$6))),BY648)/BQ648,0)*BQ648</f>
        <v>977</v>
      </c>
      <c r="AQ648" s="58" t="n">
        <f aca="false">IF(AN648&gt;0,I648/AN648,-1)</f>
        <v>264</v>
      </c>
      <c r="AR648" s="58" t="n">
        <f aca="false">IF(AND(OR(BU648="L1",BU648="L23"),AN648&gt;0),SUMIFS($AN$7:$AN$1576,$BU$7:$BU$1576,BU648,$AQ$7:$AQ$1576,"&gt;"&amp;AQ648)+SUMIFS($AN$7:$AN$1576,$BU$7:$BU$1576,BU648,$AQ$7:$AQ$1576,AQ648,$BO$7:$BO$1576,"&lt;="&amp;BO648),"")</f>
        <v>45.3352111780484</v>
      </c>
      <c r="AS648" s="65" t="n">
        <f aca="false">IF(AR648="",0,MAX(0,MIN(1,(IF(BU648="L1",Parameter!$E$5,Parameter!$E$6+Parameter!$E$7)-(AR648-AN648))/AN648)))</f>
        <v>1</v>
      </c>
      <c r="AT648" s="57" t="n">
        <f aca="false">IF(LEFT(Cockpit!$O$5,1)="A",G648,IF(BW648=1,BX648,IF(LEFT(Cockpit!$O$5,1)="B",AX648,MAX(AX648,G648))))</f>
        <v>977</v>
      </c>
      <c r="AU648" s="57" t="n">
        <f aca="false">IF(BR648=1,0,ROUNDUP(AT648/BQ648,0))</f>
        <v>1</v>
      </c>
      <c r="AV648" s="59" t="n">
        <f aca="false">IF(CD648&gt;0,CD648*MAX(1,AT648/V648),IF(BR648=1,IF(AT648&lt;=0,0,BS648*MAX(1,IF(G648&gt;0,AT648/G648,1))),IF(Q648&gt;0,AU648/Q648,0))/MAX(0.1,N(Parameter!$M$21)))</f>
        <v>0.00757575757575758</v>
      </c>
      <c r="AW648" s="57" t="n">
        <f aca="false">AT648*F648</f>
        <v>9.77</v>
      </c>
      <c r="AX648" s="57" t="n">
        <f aca="false">ROUNDUP(MAX(I648/IF(BV648&gt;0,BV648,MAX(0.1,N(Cockpit!$O$6))),BY648)/BQ648,0)*BQ648</f>
        <v>977</v>
      </c>
      <c r="AY648" s="58" t="n">
        <f aca="false">IF(AV648&gt;0,I648/AV648,-1)</f>
        <v>264</v>
      </c>
      <c r="AZ648" s="58" t="n">
        <f aca="false">IF(AND(OR(BU648="L1",BU648="L23"),AV648&gt;0),SUMIFS($AV$7:$AV$1576,$BU$7:$BU$1576,BU648,$AY$7:$AY$1576,"&gt;"&amp;AY648)+SUMIFS($AV$7:$AV$1576,$BU$7:$BU$1576,BU648,$AY$7:$AY$1576,AY648,$BO$7:$BO$1576,"&lt;="&amp;BO648),"")</f>
        <v>41.613289766127</v>
      </c>
      <c r="BA648" s="65" t="n">
        <f aca="false">IF(AZ648="",0,MAX(0,MIN(1,(IF(BU648="L1",Parameter!$E$5,Parameter!$E$6+Parameter!$E$7)-(AZ648-AV648))/AV648)))</f>
        <v>1</v>
      </c>
      <c r="BB648" s="55" t="str">
        <f aca="false">IF(AF648&lt;=0,"",IF(BU648="Aussen","Aussenlager",IF(BU648="-","Nicht im Lift",IF(AK648&gt;=1,"Lift",IF(AK648&lt;=0,"Aussenlager","teilweise")))))</f>
        <v>Lift</v>
      </c>
      <c r="BC648" s="55" t="str">
        <f aca="false">IF(AN648&lt;=0,"",IF(BU648="Aussen","Aussenlager",IF(BU648="-","Nicht im Lift",IF(AS648&gt;=1,"Lift",IF(AS648&lt;=0,"Aussenlager","teilweise")))))</f>
        <v>Lift</v>
      </c>
      <c r="BD648" s="55" t="str">
        <f aca="false">IF(AV648&lt;=0,"",IF(BU648="Aussen","Aussenlager",IF(BU648="-","Nicht im Lift",IF(BA648&gt;=1,"Lift",IF(BA648&lt;=0,"Aussenlager","teilweise")))))</f>
        <v>Lift</v>
      </c>
      <c r="BE648" s="55" t="str">
        <f aca="false">IF(A648="","",IF(BN648=1,"Neu; ","")&amp;IF(AND(BN648=0,BI648&lt;0),"negativer Bestand (Export "&amp;BI648&amp;"); ","")&amp;IF(I648&lt;=0,"Kein Verbrauch; ","")&amp;IF(CD648&gt;0,"Lift "&amp;U648&amp;" lt. Liftbericht (Fach "&amp;V648&amp;" Stk); ",IF(BR648=1,"Lose – Fläche geschätzt; ",""))&amp;IF(G648&gt;AP648,"Überbestand "&amp;ROUND(G648-AP648,0)&amp;" Stk / CHF "&amp;ROUND((G648-AP648)*F648,0)&amp;"; ","")&amp;IF(AND(BW648=1,BX648&lt;BY648),"MAX &lt; MB+LG; ","")&amp;IF(AND(CC648&gt;0,CB648*10&gt;CC648),"zu hoch für Tablar; ","")&amp;IF(AND(BN648=0,OR(BW648=1,Y648&lt;&gt;"",S648&lt;&gt;"",T648&lt;&gt;"",Z648&lt;&gt;"")),"manuell übersteuert; ","")&amp;IF(AND(BR648=0,Q648=0),"Gebinde unbekannt / Stellmass fehlt; ","")&amp;IF(AND(BR648=0,N(T648)&lt;=0,N(P648)&lt;=0),"Menge pro Gebinde fehlt (Ist = 1 Gebinde); ","")&amp;BM648)</f>
        <v>Überbestand</v>
      </c>
      <c r="BF648" s="55"/>
      <c r="BG648" s="55"/>
      <c r="BH648" s="62"/>
      <c r="BI648" s="57" t="n">
        <v>3</v>
      </c>
      <c r="BJ648" s="57" t="n">
        <v>939</v>
      </c>
      <c r="BK648" s="56" t="n">
        <v>0.03</v>
      </c>
      <c r="BL648" s="57" t="n">
        <v>2</v>
      </c>
      <c r="BM648" s="55" t="s">
        <v>382</v>
      </c>
      <c r="BN648" s="60" t="n">
        <v>0</v>
      </c>
      <c r="BO648" s="60" t="n">
        <v>648</v>
      </c>
      <c r="BP648" s="55" t="str">
        <f aca="false">IF(S648&lt;&gt;"",UPPER(TRIM(S648)),IF(O648="","LOSE",O648))</f>
        <v>S32</v>
      </c>
      <c r="BQ648" s="57" t="n">
        <f aca="false">IF(BP648="LOSE",1,IF(N(T648)&gt;0,T648,IF(N(P648)&gt;0,P648,MAX(1,G648))))</f>
        <v>977</v>
      </c>
      <c r="BR648" s="60" t="n">
        <f aca="false">IF(BP648="LOSE",1,0)</f>
        <v>0</v>
      </c>
      <c r="BS648" s="59" t="n">
        <f aca="false">IF(BR648=0,0,IF(N(R648)&gt;0,R648,IFERROR(VLOOKUP(D648,Parameter!$A$35:$C$64,3,0)+0,0)))</f>
        <v>0</v>
      </c>
      <c r="BT648" s="55" t="n">
        <f aca="false">IF(Y648&lt;&gt;"",Y648,X648)</f>
        <v>3</v>
      </c>
      <c r="BU648" s="55" t="str">
        <f aca="false">IF(BT648=1,"L1",IF(OR(BT648=2,BT648=3),"L23",IF(BT648="Aussen","Aussen","-")))</f>
        <v>L23</v>
      </c>
      <c r="BV648" s="66" t="n">
        <f aca="false">IF(N(Z648)&gt;0,Z648,0)</f>
        <v>0</v>
      </c>
      <c r="BW648" s="60" t="n">
        <f aca="false">IF(ISNUMBER(AC648),1,0)</f>
        <v>0</v>
      </c>
      <c r="BX648" s="57" t="n">
        <f aca="false">N(AC648)</f>
        <v>0</v>
      </c>
      <c r="BY648" s="57" t="n">
        <f aca="false">N(L648)+N(M648)</f>
        <v>1</v>
      </c>
      <c r="BZ648" s="57" t="n">
        <f aca="false">ROUNDUP(G648/BQ648,0)</f>
        <v>1</v>
      </c>
      <c r="CA648" s="57" t="n">
        <f aca="false">ROUNDUP(BX648/BQ648,0)</f>
        <v>0</v>
      </c>
      <c r="CB648" s="60" t="n">
        <f aca="false">IF(BR648=1,0,IFERROR(VLOOKUP(BP648,'Gebinde-Kategorie'!$A$5:$M$45,5,0)+0,0))</f>
        <v>8</v>
      </c>
      <c r="CC648" s="60" t="n">
        <f aca="false">IFERROR(IF(OR(BT648=1,BT648=2,BT648=3),N(INDEX(Parameter!$I$5:$I$7,BT648)),0),0)</f>
        <v>0</v>
      </c>
      <c r="CD648" s="59" t="n">
        <f aca="false">IF(AND(Parameter!$B$21="Ja",ISNUMBER(U648),N(V648)&gt;0),IFERROR(N(INDEX(Parameter!$L$5:$L$7,U648))*INDEX(Parameter!$E$5:$E$7,U648)*V648/SUMIFS($V$7:$V$1576,$U$7:$U$1576,U648),0),0)</f>
        <v>0</v>
      </c>
    </row>
    <row r="649" customFormat="false" ht="15" hidden="false" customHeight="false" outlineLevel="0" collapsed="false">
      <c r="A649" s="55" t="s">
        <v>1305</v>
      </c>
      <c r="B649" s="55" t="s">
        <v>938</v>
      </c>
      <c r="C649" s="55" t="s">
        <v>160</v>
      </c>
      <c r="D649" s="55" t="s">
        <v>178</v>
      </c>
      <c r="E649" s="55" t="s">
        <v>210</v>
      </c>
      <c r="F649" s="56" t="n">
        <v>0.01</v>
      </c>
      <c r="G649" s="57" t="n">
        <f aca="false">MAX(0,IF(AND(Parameter!$B$21="Ja",ISNUMBER(W649)),W649,IF(Parameter!$B$20="Jahresanfang 2025 + Export",BJ649+BI649,BI649)))</f>
        <v>3</v>
      </c>
      <c r="H649" s="57" t="n">
        <f aca="false">G649*F649</f>
        <v>0.03</v>
      </c>
      <c r="I649" s="57" t="n">
        <f aca="false">BL649*Parameter!$B$18</f>
        <v>0</v>
      </c>
      <c r="J649" s="58" t="n">
        <v>276.5</v>
      </c>
      <c r="K649" s="59" t="n">
        <v>0</v>
      </c>
      <c r="L649" s="57" t="n">
        <v>0</v>
      </c>
      <c r="M649" s="57" t="n">
        <v>1</v>
      </c>
      <c r="N649" s="60" t="n">
        <v>14</v>
      </c>
      <c r="O649" s="55" t="s">
        <v>391</v>
      </c>
      <c r="P649" s="57" t="n">
        <v>280</v>
      </c>
      <c r="Q649" s="60" t="n">
        <f aca="false">IF(BR649=1,0,IFERROR(VLOOKUP(BP649,'Gebinde-Kategorie'!$A$5:$M$45,13,0)+0,0))</f>
        <v>414</v>
      </c>
      <c r="R649" s="61"/>
      <c r="S649" s="62"/>
      <c r="T649" s="62"/>
      <c r="U649" s="55"/>
      <c r="V649" s="57"/>
      <c r="W649" s="57"/>
      <c r="X649" s="55" t="n">
        <f aca="false">IF(A649="","",IF(AND(Parameter!$B$21="Ja",ISNUMBER(U649)),U649,IF(IFERROR(VLOOKUP(D649,Parameter!$A$35:$C$64,2,0),"Nein")="2+3",IF(ISNUMBER(SEARCH("grosser Artikel",BM649)),2,IFERROR(VLOOKUP(BP649,Parameter!$F$35:$G$64,2,0),2)),IF(OR(IFERROR(VLOOKUP(D649,Parameter!$A$35:$C$64,2,0),"Nein")="Nein",IFERROR(VLOOKUP(D649,Parameter!$A$35:$C$64,2,0),"Nein")=""),"-",VLOOKUP(D649,Parameter!$A$35:$C$64,2,0)))))</f>
        <v>3</v>
      </c>
      <c r="Y649" s="62"/>
      <c r="Z649" s="63"/>
      <c r="AA649" s="57" t="n">
        <f aca="false">AP649</f>
        <v>280</v>
      </c>
      <c r="AB649" s="57" t="n">
        <f aca="false">MAX(AP649,G649)</f>
        <v>280</v>
      </c>
      <c r="AC649" s="64"/>
      <c r="AD649" s="57" t="n">
        <f aca="false">IF(LEFT(Cockpit!$C$5,1)="A",G649,IF(BW649=1,BX649,IF(LEFT(Cockpit!$C$5,1)="B",AH649,MAX(AH649,G649))))</f>
        <v>3</v>
      </c>
      <c r="AE649" s="57" t="n">
        <f aca="false">IF(BR649=1,0,ROUNDUP(AD649/BQ649,0))</f>
        <v>1</v>
      </c>
      <c r="AF649" s="59" t="n">
        <f aca="false">IF(CD649&gt;0,CD649*MAX(1,AD649/V649),IF(BR649=1,IF(AD649&lt;=0,0,BS649*MAX(1,IF(G649&gt;0,AD649/G649,1))),IF(Q649&gt;0,AE649/Q649,0))/MAX(0.1,N(Parameter!$M$21)))</f>
        <v>0.00241545893719807</v>
      </c>
      <c r="AG649" s="57" t="n">
        <f aca="false">AD649*F649</f>
        <v>0.03</v>
      </c>
      <c r="AH649" s="57" t="n">
        <f aca="false">ROUNDUP(MAX(I649/IF(BV649&gt;0,BV649,MAX(0.1,N(Cockpit!$C$6))),BY649)/BQ649,0)*BQ649</f>
        <v>280</v>
      </c>
      <c r="AI649" s="58" t="n">
        <f aca="false">IF(AF649&gt;0,I649/AF649,-1)</f>
        <v>0</v>
      </c>
      <c r="AJ649" s="58" t="n">
        <f aca="false">IF(AND(OR(BU649="L1",BU649="L23"),AF649&gt;0),SUMIFS($AF$7:$AF$1576,$BU$7:$BU$1576,BU649,$AI$7:$AI$1576,"&gt;"&amp;AI649)+SUMIFS($AF$7:$AF$1576,$BU$7:$BU$1576,BU649,$AI$7:$AI$1576,AI649,$BO$7:$BO$1576,"&lt;="&amp;BO649),"")</f>
        <v>45.6583172865782</v>
      </c>
      <c r="AK649" s="65" t="n">
        <f aca="false">IF(AJ649="",0,MAX(0,MIN(1,(IF(BU649="L1",Parameter!$E$5,Parameter!$E$6+Parameter!$E$7)-(AJ649-AF649))/AF649)))</f>
        <v>1</v>
      </c>
      <c r="AL649" s="57" t="n">
        <f aca="false">IF(LEFT(Cockpit!$I$5,1)="A",G649,IF(BW649=1,BX649,IF(LEFT(Cockpit!$I$5,1)="B",AP649,MAX(AP649,G649))))</f>
        <v>280</v>
      </c>
      <c r="AM649" s="57" t="n">
        <f aca="false">IF(BR649=1,0,ROUNDUP(AL649/BQ649,0))</f>
        <v>1</v>
      </c>
      <c r="AN649" s="59" t="n">
        <f aca="false">IF(CD649&gt;0,CD649*MAX(1,AL649/V649),IF(BR649=1,IF(AL649&lt;=0,0,BS649*MAX(1,IF(G649&gt;0,AL649/G649,1))),IF(Q649&gt;0,AM649/Q649,0))/MAX(0.1,N(Parameter!$M$21)))</f>
        <v>0.00241545893719807</v>
      </c>
      <c r="AO649" s="57" t="n">
        <f aca="false">AL649*F649</f>
        <v>2.8</v>
      </c>
      <c r="AP649" s="57" t="n">
        <f aca="false">ROUNDUP(MAX(I649/IF(BV649&gt;0,BV649,MAX(0.1,N(Cockpit!$I$6))),BY649)/BQ649,0)*BQ649</f>
        <v>280</v>
      </c>
      <c r="AQ649" s="58" t="n">
        <f aca="false">IF(AN649&gt;0,I649/AN649,-1)</f>
        <v>0</v>
      </c>
      <c r="AR649" s="58" t="n">
        <f aca="false">IF(AND(OR(BU649="L1",BU649="L23"),AN649&gt;0),SUMIFS($AN$7:$AN$1576,$BU$7:$BU$1576,BU649,$AQ$7:$AQ$1576,"&gt;"&amp;AQ649)+SUMIFS($AN$7:$AN$1576,$BU$7:$BU$1576,BU649,$AQ$7:$AQ$1576,AQ649,$BO$7:$BO$1576,"&lt;="&amp;BO649),"")</f>
        <v>128.72740522767</v>
      </c>
      <c r="AS649" s="65" t="n">
        <f aca="false">IF(AR649="",0,MAX(0,MIN(1,(IF(BU649="L1",Parameter!$E$5,Parameter!$E$6+Parameter!$E$7)-(AR649-AN649))/AN649)))</f>
        <v>0</v>
      </c>
      <c r="AT649" s="57" t="n">
        <f aca="false">IF(LEFT(Cockpit!$O$5,1)="A",G649,IF(BW649=1,BX649,IF(LEFT(Cockpit!$O$5,1)="B",AX649,MAX(AX649,G649))))</f>
        <v>280</v>
      </c>
      <c r="AU649" s="57" t="n">
        <f aca="false">IF(BR649=1,0,ROUNDUP(AT649/BQ649,0))</f>
        <v>1</v>
      </c>
      <c r="AV649" s="59" t="n">
        <f aca="false">IF(CD649&gt;0,CD649*MAX(1,AT649/V649),IF(BR649=1,IF(AT649&lt;=0,0,BS649*MAX(1,IF(G649&gt;0,AT649/G649,1))),IF(Q649&gt;0,AU649/Q649,0))/MAX(0.1,N(Parameter!$M$21)))</f>
        <v>0.00241545893719807</v>
      </c>
      <c r="AW649" s="57" t="n">
        <f aca="false">AT649*F649</f>
        <v>2.8</v>
      </c>
      <c r="AX649" s="57" t="n">
        <f aca="false">ROUNDUP(MAX(I649/IF(BV649&gt;0,BV649,MAX(0.1,N(Cockpit!$O$6))),BY649)/BQ649,0)*BQ649</f>
        <v>280</v>
      </c>
      <c r="AY649" s="58" t="n">
        <f aca="false">IF(AV649&gt;0,I649/AV649,-1)</f>
        <v>0</v>
      </c>
      <c r="AZ649" s="58" t="n">
        <f aca="false">IF(AND(OR(BU649="L1",BU649="L23"),AV649&gt;0),SUMIFS($AV$7:$AV$1576,$BU$7:$BU$1576,BU649,$AY$7:$AY$1576,"&gt;"&amp;AY649)+SUMIFS($AV$7:$AV$1576,$BU$7:$BU$1576,BU649,$AY$7:$AY$1576,AY649,$BO$7:$BO$1576,"&lt;="&amp;BO649),"")</f>
        <v>118.786955677221</v>
      </c>
      <c r="BA649" s="65" t="n">
        <f aca="false">IF(AZ649="",0,MAX(0,MIN(1,(IF(BU649="L1",Parameter!$E$5,Parameter!$E$6+Parameter!$E$7)-(AZ649-AV649))/AV649)))</f>
        <v>0</v>
      </c>
      <c r="BB649" s="55" t="str">
        <f aca="false">IF(AF649&lt;=0,"",IF(BU649="Aussen","Aussenlager",IF(BU649="-","Nicht im Lift",IF(AK649&gt;=1,"Lift",IF(AK649&lt;=0,"Aussenlager","teilweise")))))</f>
        <v>Lift</v>
      </c>
      <c r="BC649" s="55" t="str">
        <f aca="false">IF(AN649&lt;=0,"",IF(BU649="Aussen","Aussenlager",IF(BU649="-","Nicht im Lift",IF(AS649&gt;=1,"Lift",IF(AS649&lt;=0,"Aussenlager","teilweise")))))</f>
        <v>Aussenlager</v>
      </c>
      <c r="BD649" s="55" t="str">
        <f aca="false">IF(AV649&lt;=0,"",IF(BU649="Aussen","Aussenlager",IF(BU649="-","Nicht im Lift",IF(BA649&gt;=1,"Lift",IF(BA649&lt;=0,"Aussenlager","teilweise")))))</f>
        <v>Aussenlager</v>
      </c>
      <c r="BE649" s="55" t="str">
        <f aca="false">IF(A649="","",IF(BN649=1,"Neu; ","")&amp;IF(AND(BN649=0,BI649&lt;0),"negativer Bestand (Export "&amp;BI649&amp;"); ","")&amp;IF(I649&lt;=0,"Kein Verbrauch; ","")&amp;IF(CD649&gt;0,"Lift "&amp;U649&amp;" lt. Liftbericht (Fach "&amp;V649&amp;" Stk); ",IF(BR649=1,"Lose – Fläche geschätzt; ",""))&amp;IF(G649&gt;AP649,"Überbestand "&amp;ROUND(G649-AP649,0)&amp;" Stk / CHF "&amp;ROUND((G649-AP649)*F649,0)&amp;"; ","")&amp;IF(AND(BW649=1,BX649&lt;BY649),"MAX &lt; MB+LG; ","")&amp;IF(AND(CC649&gt;0,CB649*10&gt;CC649),"zu hoch für Tablar; ","")&amp;IF(AND(BN649=0,OR(BW649=1,Y649&lt;&gt;"",S649&lt;&gt;"",T649&lt;&gt;"",Z649&lt;&gt;"")),"manuell übersteuert; ","")&amp;IF(AND(BR649=0,Q649=0),"Gebinde unbekannt / Stellmass fehlt; ","")&amp;IF(AND(BR649=0,N(T649)&lt;=0,N(P649)&lt;=0),"Menge pro Gebinde fehlt (Ist = 1 Gebinde); ","")&amp;BM649)</f>
        <v>Kein Verbrauch; </v>
      </c>
      <c r="BF649" s="55"/>
      <c r="BG649" s="55"/>
      <c r="BH649" s="62"/>
      <c r="BI649" s="57" t="n">
        <v>3</v>
      </c>
      <c r="BJ649" s="57" t="n">
        <v>275</v>
      </c>
      <c r="BK649" s="56" t="n">
        <v>0.03</v>
      </c>
      <c r="BL649" s="57" t="n">
        <v>0</v>
      </c>
      <c r="BM649" s="55"/>
      <c r="BN649" s="60" t="n">
        <v>0</v>
      </c>
      <c r="BO649" s="60" t="n">
        <v>649</v>
      </c>
      <c r="BP649" s="55" t="str">
        <f aca="false">IF(S649&lt;&gt;"",UPPER(TRIM(S649)),IF(O649="","LOSE",O649))</f>
        <v>S21</v>
      </c>
      <c r="BQ649" s="57" t="n">
        <f aca="false">IF(BP649="LOSE",1,IF(N(T649)&gt;0,T649,IF(N(P649)&gt;0,P649,MAX(1,G649))))</f>
        <v>280</v>
      </c>
      <c r="BR649" s="60" t="n">
        <f aca="false">IF(BP649="LOSE",1,0)</f>
        <v>0</v>
      </c>
      <c r="BS649" s="59" t="n">
        <f aca="false">IF(BR649=0,0,IF(N(R649)&gt;0,R649,IFERROR(VLOOKUP(D649,Parameter!$A$35:$C$64,3,0)+0,0)))</f>
        <v>0</v>
      </c>
      <c r="BT649" s="55" t="n">
        <f aca="false">IF(Y649&lt;&gt;"",Y649,X649)</f>
        <v>3</v>
      </c>
      <c r="BU649" s="55" t="str">
        <f aca="false">IF(BT649=1,"L1",IF(OR(BT649=2,BT649=3),"L23",IF(BT649="Aussen","Aussen","-")))</f>
        <v>L23</v>
      </c>
      <c r="BV649" s="66" t="n">
        <f aca="false">IF(N(Z649)&gt;0,Z649,0)</f>
        <v>0</v>
      </c>
      <c r="BW649" s="60" t="n">
        <f aca="false">IF(ISNUMBER(AC649),1,0)</f>
        <v>0</v>
      </c>
      <c r="BX649" s="57" t="n">
        <f aca="false">N(AC649)</f>
        <v>0</v>
      </c>
      <c r="BY649" s="57" t="n">
        <f aca="false">N(L649)+N(M649)</f>
        <v>1</v>
      </c>
      <c r="BZ649" s="57" t="n">
        <f aca="false">ROUNDUP(G649/BQ649,0)</f>
        <v>1</v>
      </c>
      <c r="CA649" s="57" t="n">
        <f aca="false">ROUNDUP(BX649/BQ649,0)</f>
        <v>0</v>
      </c>
      <c r="CB649" s="60" t="n">
        <f aca="false">IF(BR649=1,0,IFERROR(VLOOKUP(BP649,'Gebinde-Kategorie'!$A$5:$M$45,5,0)+0,0))</f>
        <v>8</v>
      </c>
      <c r="CC649" s="60" t="n">
        <f aca="false">IFERROR(IF(OR(BT649=1,BT649=2,BT649=3),N(INDEX(Parameter!$I$5:$I$7,BT649)),0),0)</f>
        <v>0</v>
      </c>
      <c r="CD649" s="59" t="n">
        <f aca="false">IF(AND(Parameter!$B$21="Ja",ISNUMBER(U649),N(V649)&gt;0),IFERROR(N(INDEX(Parameter!$L$5:$L$7,U649))*INDEX(Parameter!$E$5:$E$7,U649)*V649/SUMIFS($V$7:$V$1576,$U$7:$U$1576,U649),0),0)</f>
        <v>0</v>
      </c>
    </row>
    <row r="650" customFormat="false" ht="15" hidden="false" customHeight="false" outlineLevel="0" collapsed="false">
      <c r="A650" s="55" t="s">
        <v>1306</v>
      </c>
      <c r="B650" s="55" t="s">
        <v>643</v>
      </c>
      <c r="C650" s="55" t="s">
        <v>160</v>
      </c>
      <c r="D650" s="55" t="s">
        <v>178</v>
      </c>
      <c r="E650" s="55" t="s">
        <v>210</v>
      </c>
      <c r="F650" s="56" t="n">
        <v>0.02</v>
      </c>
      <c r="G650" s="57" t="n">
        <f aca="false">MAX(0,IF(AND(Parameter!$B$21="Ja",ISNUMBER(W650)),W650,IF(Parameter!$B$20="Jahresanfang 2025 + Export",BJ650+BI650,BI650)))</f>
        <v>1</v>
      </c>
      <c r="H650" s="57" t="n">
        <f aca="false">G650*F650</f>
        <v>0.02</v>
      </c>
      <c r="I650" s="57" t="n">
        <f aca="false">BL650*Parameter!$B$18</f>
        <v>0</v>
      </c>
      <c r="J650" s="58" t="n">
        <v>469.5</v>
      </c>
      <c r="K650" s="59" t="n">
        <v>0</v>
      </c>
      <c r="L650" s="57" t="n">
        <v>0</v>
      </c>
      <c r="M650" s="57" t="n">
        <v>1</v>
      </c>
      <c r="N650" s="60" t="n">
        <v>14</v>
      </c>
      <c r="O650" s="55" t="s">
        <v>416</v>
      </c>
      <c r="P650" s="57" t="n">
        <v>300</v>
      </c>
      <c r="Q650" s="60" t="n">
        <f aca="false">IF(BR650=1,0,IFERROR(VLOOKUP(BP650,'Gebinde-Kategorie'!$A$5:$M$45,13,0)+0,0))</f>
        <v>198</v>
      </c>
      <c r="R650" s="61"/>
      <c r="S650" s="62"/>
      <c r="T650" s="62"/>
      <c r="U650" s="55"/>
      <c r="V650" s="57"/>
      <c r="W650" s="57"/>
      <c r="X650" s="55" t="n">
        <f aca="false">IF(A650="","",IF(AND(Parameter!$B$21="Ja",ISNUMBER(U650)),U650,IF(IFERROR(VLOOKUP(D650,Parameter!$A$35:$C$64,2,0),"Nein")="2+3",IF(ISNUMBER(SEARCH("grosser Artikel",BM650)),2,IFERROR(VLOOKUP(BP650,Parameter!$F$35:$G$64,2,0),2)),IF(OR(IFERROR(VLOOKUP(D650,Parameter!$A$35:$C$64,2,0),"Nein")="Nein",IFERROR(VLOOKUP(D650,Parameter!$A$35:$C$64,2,0),"Nein")=""),"-",VLOOKUP(D650,Parameter!$A$35:$C$64,2,0)))))</f>
        <v>3</v>
      </c>
      <c r="Y650" s="62"/>
      <c r="Z650" s="63"/>
      <c r="AA650" s="57" t="n">
        <f aca="false">AP650</f>
        <v>300</v>
      </c>
      <c r="AB650" s="57" t="n">
        <f aca="false">MAX(AP650,G650)</f>
        <v>300</v>
      </c>
      <c r="AC650" s="64"/>
      <c r="AD650" s="57" t="n">
        <f aca="false">IF(LEFT(Cockpit!$C$5,1)="A",G650,IF(BW650=1,BX650,IF(LEFT(Cockpit!$C$5,1)="B",AH650,MAX(AH650,G650))))</f>
        <v>1</v>
      </c>
      <c r="AE650" s="57" t="n">
        <f aca="false">IF(BR650=1,0,ROUNDUP(AD650/BQ650,0))</f>
        <v>1</v>
      </c>
      <c r="AF650" s="59" t="n">
        <f aca="false">IF(CD650&gt;0,CD650*MAX(1,AD650/V650),IF(BR650=1,IF(AD650&lt;=0,0,BS650*MAX(1,IF(G650&gt;0,AD650/G650,1))),IF(Q650&gt;0,AE650/Q650,0))/MAX(0.1,N(Parameter!$M$21)))</f>
        <v>0.00505050505050505</v>
      </c>
      <c r="AG650" s="57" t="n">
        <f aca="false">AD650*F650</f>
        <v>0.02</v>
      </c>
      <c r="AH650" s="57" t="n">
        <f aca="false">ROUNDUP(MAX(I650/IF(BV650&gt;0,BV650,MAX(0.1,N(Cockpit!$C$6))),BY650)/BQ650,0)*BQ650</f>
        <v>300</v>
      </c>
      <c r="AI650" s="58" t="n">
        <f aca="false">IF(AF650&gt;0,I650/AF650,-1)</f>
        <v>0</v>
      </c>
      <c r="AJ650" s="58" t="n">
        <f aca="false">IF(AND(OR(BU650="L1",BU650="L23"),AF650&gt;0),SUMIFS($AF$7:$AF$1576,$BU$7:$BU$1576,BU650,$AI$7:$AI$1576,"&gt;"&amp;AI650)+SUMIFS($AF$7:$AF$1576,$BU$7:$BU$1576,BU650,$AI$7:$AI$1576,AI650,$BO$7:$BO$1576,"&lt;="&amp;BO650),"")</f>
        <v>45.6633677916287</v>
      </c>
      <c r="AK650" s="65" t="n">
        <f aca="false">IF(AJ650="",0,MAX(0,MIN(1,(IF(BU650="L1",Parameter!$E$5,Parameter!$E$6+Parameter!$E$7)-(AJ650-AF650))/AF650)))</f>
        <v>1</v>
      </c>
      <c r="AL650" s="57" t="n">
        <f aca="false">IF(LEFT(Cockpit!$I$5,1)="A",G650,IF(BW650=1,BX650,IF(LEFT(Cockpit!$I$5,1)="B",AP650,MAX(AP650,G650))))</f>
        <v>300</v>
      </c>
      <c r="AM650" s="57" t="n">
        <f aca="false">IF(BR650=1,0,ROUNDUP(AL650/BQ650,0))</f>
        <v>1</v>
      </c>
      <c r="AN650" s="59" t="n">
        <f aca="false">IF(CD650&gt;0,CD650*MAX(1,AL650/V650),IF(BR650=1,IF(AL650&lt;=0,0,BS650*MAX(1,IF(G650&gt;0,AL650/G650,1))),IF(Q650&gt;0,AM650/Q650,0))/MAX(0.1,N(Parameter!$M$21)))</f>
        <v>0.00505050505050505</v>
      </c>
      <c r="AO650" s="57" t="n">
        <f aca="false">AL650*F650</f>
        <v>6</v>
      </c>
      <c r="AP650" s="57" t="n">
        <f aca="false">ROUNDUP(MAX(I650/IF(BV650&gt;0,BV650,MAX(0.1,N(Cockpit!$I$6))),BY650)/BQ650,0)*BQ650</f>
        <v>300</v>
      </c>
      <c r="AQ650" s="58" t="n">
        <f aca="false">IF(AN650&gt;0,I650/AN650,-1)</f>
        <v>0</v>
      </c>
      <c r="AR650" s="58" t="n">
        <f aca="false">IF(AND(OR(BU650="L1",BU650="L23"),AN650&gt;0),SUMIFS($AN$7:$AN$1576,$BU$7:$BU$1576,BU650,$AQ$7:$AQ$1576,"&gt;"&amp;AQ650)+SUMIFS($AN$7:$AN$1576,$BU$7:$BU$1576,BU650,$AQ$7:$AQ$1576,AQ650,$BO$7:$BO$1576,"&lt;="&amp;BO650),"")</f>
        <v>128.732455732721</v>
      </c>
      <c r="AS650" s="65" t="n">
        <f aca="false">IF(AR650="",0,MAX(0,MIN(1,(IF(BU650="L1",Parameter!$E$5,Parameter!$E$6+Parameter!$E$7)-(AR650-AN650))/AN650)))</f>
        <v>0</v>
      </c>
      <c r="AT650" s="57" t="n">
        <f aca="false">IF(LEFT(Cockpit!$O$5,1)="A",G650,IF(BW650=1,BX650,IF(LEFT(Cockpit!$O$5,1)="B",AX650,MAX(AX650,G650))))</f>
        <v>300</v>
      </c>
      <c r="AU650" s="57" t="n">
        <f aca="false">IF(BR650=1,0,ROUNDUP(AT650/BQ650,0))</f>
        <v>1</v>
      </c>
      <c r="AV650" s="59" t="n">
        <f aca="false">IF(CD650&gt;0,CD650*MAX(1,AT650/V650),IF(BR650=1,IF(AT650&lt;=0,0,BS650*MAX(1,IF(G650&gt;0,AT650/G650,1))),IF(Q650&gt;0,AU650/Q650,0))/MAX(0.1,N(Parameter!$M$21)))</f>
        <v>0.00505050505050505</v>
      </c>
      <c r="AW650" s="57" t="n">
        <f aca="false">AT650*F650</f>
        <v>6</v>
      </c>
      <c r="AX650" s="57" t="n">
        <f aca="false">ROUNDUP(MAX(I650/IF(BV650&gt;0,BV650,MAX(0.1,N(Cockpit!$O$6))),BY650)/BQ650,0)*BQ650</f>
        <v>300</v>
      </c>
      <c r="AY650" s="58" t="n">
        <f aca="false">IF(AV650&gt;0,I650/AV650,-1)</f>
        <v>0</v>
      </c>
      <c r="AZ650" s="58" t="n">
        <f aca="false">IF(AND(OR(BU650="L1",BU650="L23"),AV650&gt;0),SUMIFS($AV$7:$AV$1576,$BU$7:$BU$1576,BU650,$AY$7:$AY$1576,"&gt;"&amp;AY650)+SUMIFS($AV$7:$AV$1576,$BU$7:$BU$1576,BU650,$AY$7:$AY$1576,AY650,$BO$7:$BO$1576,"&lt;="&amp;BO650),"")</f>
        <v>118.792006182271</v>
      </c>
      <c r="BA650" s="65" t="n">
        <f aca="false">IF(AZ650="",0,MAX(0,MIN(1,(IF(BU650="L1",Parameter!$E$5,Parameter!$E$6+Parameter!$E$7)-(AZ650-AV650))/AV650)))</f>
        <v>0</v>
      </c>
      <c r="BB650" s="55" t="str">
        <f aca="false">IF(AF650&lt;=0,"",IF(BU650="Aussen","Aussenlager",IF(BU650="-","Nicht im Lift",IF(AK650&gt;=1,"Lift",IF(AK650&lt;=0,"Aussenlager","teilweise")))))</f>
        <v>Lift</v>
      </c>
      <c r="BC650" s="55" t="str">
        <f aca="false">IF(AN650&lt;=0,"",IF(BU650="Aussen","Aussenlager",IF(BU650="-","Nicht im Lift",IF(AS650&gt;=1,"Lift",IF(AS650&lt;=0,"Aussenlager","teilweise")))))</f>
        <v>Aussenlager</v>
      </c>
      <c r="BD650" s="55" t="str">
        <f aca="false">IF(AV650&lt;=0,"",IF(BU650="Aussen","Aussenlager",IF(BU650="-","Nicht im Lift",IF(BA650&gt;=1,"Lift",IF(BA650&lt;=0,"Aussenlager","teilweise")))))</f>
        <v>Aussenlager</v>
      </c>
      <c r="BE650" s="55" t="str">
        <f aca="false">IF(A650="","",IF(BN650=1,"Neu; ","")&amp;IF(AND(BN650=0,BI650&lt;0),"negativer Bestand (Export "&amp;BI650&amp;"); ","")&amp;IF(I650&lt;=0,"Kein Verbrauch; ","")&amp;IF(CD650&gt;0,"Lift "&amp;U650&amp;" lt. Liftbericht (Fach "&amp;V650&amp;" Stk); ",IF(BR650=1,"Lose – Fläche geschätzt; ",""))&amp;IF(G650&gt;AP650,"Überbestand "&amp;ROUND(G650-AP650,0)&amp;" Stk / CHF "&amp;ROUND((G650-AP650)*F650,0)&amp;"; ","")&amp;IF(AND(BW650=1,BX650&lt;BY650),"MAX &lt; MB+LG; ","")&amp;IF(AND(CC650&gt;0,CB650*10&gt;CC650),"zu hoch für Tablar; ","")&amp;IF(AND(BN650=0,OR(BW650=1,Y650&lt;&gt;"",S650&lt;&gt;"",T650&lt;&gt;"",Z650&lt;&gt;"")),"manuell übersteuert; ","")&amp;IF(AND(BR650=0,Q650=0),"Gebinde unbekannt / Stellmass fehlt; ","")&amp;IF(AND(BR650=0,N(T650)&lt;=0,N(P650)&lt;=0),"Menge pro Gebinde fehlt (Ist = 1 Gebinde); ","")&amp;BM650)</f>
        <v>Kein Verbrauch; Überbestand</v>
      </c>
      <c r="BF650" s="55"/>
      <c r="BG650" s="55"/>
      <c r="BH650" s="62"/>
      <c r="BI650" s="57" t="n">
        <v>1</v>
      </c>
      <c r="BJ650" s="57" t="n">
        <v>469</v>
      </c>
      <c r="BK650" s="56" t="n">
        <v>0.02</v>
      </c>
      <c r="BL650" s="57" t="n">
        <v>0</v>
      </c>
      <c r="BM650" s="55" t="s">
        <v>382</v>
      </c>
      <c r="BN650" s="60" t="n">
        <v>0</v>
      </c>
      <c r="BO650" s="60" t="n">
        <v>650</v>
      </c>
      <c r="BP650" s="55" t="str">
        <f aca="false">IF(S650&lt;&gt;"",UPPER(TRIM(S650)),IF(O650="","LOSE",O650))</f>
        <v>S22</v>
      </c>
      <c r="BQ650" s="57" t="n">
        <f aca="false">IF(BP650="LOSE",1,IF(N(T650)&gt;0,T650,IF(N(P650)&gt;0,P650,MAX(1,G650))))</f>
        <v>300</v>
      </c>
      <c r="BR650" s="60" t="n">
        <f aca="false">IF(BP650="LOSE",1,0)</f>
        <v>0</v>
      </c>
      <c r="BS650" s="59" t="n">
        <f aca="false">IF(BR650=0,0,IF(N(R650)&gt;0,R650,IFERROR(VLOOKUP(D650,Parameter!$A$35:$C$64,3,0)+0,0)))</f>
        <v>0</v>
      </c>
      <c r="BT650" s="55" t="n">
        <f aca="false">IF(Y650&lt;&gt;"",Y650,X650)</f>
        <v>3</v>
      </c>
      <c r="BU650" s="55" t="str">
        <f aca="false">IF(BT650=1,"L1",IF(OR(BT650=2,BT650=3),"L23",IF(BT650="Aussen","Aussen","-")))</f>
        <v>L23</v>
      </c>
      <c r="BV650" s="66" t="n">
        <f aca="false">IF(N(Z650)&gt;0,Z650,0)</f>
        <v>0</v>
      </c>
      <c r="BW650" s="60" t="n">
        <f aca="false">IF(ISNUMBER(AC650),1,0)</f>
        <v>0</v>
      </c>
      <c r="BX650" s="57" t="n">
        <f aca="false">N(AC650)</f>
        <v>0</v>
      </c>
      <c r="BY650" s="57" t="n">
        <f aca="false">N(L650)+N(M650)</f>
        <v>1</v>
      </c>
      <c r="BZ650" s="57" t="n">
        <f aca="false">ROUNDUP(G650/BQ650,0)</f>
        <v>1</v>
      </c>
      <c r="CA650" s="57" t="n">
        <f aca="false">ROUNDUP(BX650/BQ650,0)</f>
        <v>0</v>
      </c>
      <c r="CB650" s="60" t="n">
        <f aca="false">IF(BR650=1,0,IFERROR(VLOOKUP(BP650,'Gebinde-Kategorie'!$A$5:$M$45,5,0)+0,0))</f>
        <v>8</v>
      </c>
      <c r="CC650" s="60" t="n">
        <f aca="false">IFERROR(IF(OR(BT650=1,BT650=2,BT650=3),N(INDEX(Parameter!$I$5:$I$7,BT650)),0),0)</f>
        <v>0</v>
      </c>
      <c r="CD650" s="59" t="n">
        <f aca="false">IF(AND(Parameter!$B$21="Ja",ISNUMBER(U650),N(V650)&gt;0),IFERROR(N(INDEX(Parameter!$L$5:$L$7,U650))*INDEX(Parameter!$E$5:$E$7,U650)*V650/SUMIFS($V$7:$V$1576,$U$7:$U$1576,U650),0),0)</f>
        <v>0</v>
      </c>
    </row>
    <row r="651" customFormat="false" ht="15" hidden="false" customHeight="false" outlineLevel="0" collapsed="false">
      <c r="A651" s="55" t="s">
        <v>1307</v>
      </c>
      <c r="B651" s="55" t="s">
        <v>938</v>
      </c>
      <c r="C651" s="55" t="s">
        <v>160</v>
      </c>
      <c r="D651" s="55" t="s">
        <v>178</v>
      </c>
      <c r="E651" s="55" t="s">
        <v>210</v>
      </c>
      <c r="F651" s="56" t="n">
        <v>0.01</v>
      </c>
      <c r="G651" s="57" t="n">
        <f aca="false">MAX(0,IF(AND(Parameter!$B$21="Ja",ISNUMBER(W651)),W651,IF(Parameter!$B$20="Jahresanfang 2025 + Export",BJ651+BI651,BI651)))</f>
        <v>1</v>
      </c>
      <c r="H651" s="57" t="n">
        <f aca="false">G651*F651</f>
        <v>0.01</v>
      </c>
      <c r="I651" s="57" t="n">
        <f aca="false">BL651*Parameter!$B$18</f>
        <v>0</v>
      </c>
      <c r="J651" s="58" t="n">
        <v>178.5</v>
      </c>
      <c r="K651" s="59" t="n">
        <v>0</v>
      </c>
      <c r="L651" s="57" t="n">
        <v>0</v>
      </c>
      <c r="M651" s="57" t="n">
        <v>1</v>
      </c>
      <c r="N651" s="60" t="n">
        <v>14</v>
      </c>
      <c r="O651" s="55" t="s">
        <v>391</v>
      </c>
      <c r="P651" s="57" t="n">
        <v>180</v>
      </c>
      <c r="Q651" s="60" t="n">
        <f aca="false">IF(BR651=1,0,IFERROR(VLOOKUP(BP651,'Gebinde-Kategorie'!$A$5:$M$45,13,0)+0,0))</f>
        <v>414</v>
      </c>
      <c r="R651" s="61"/>
      <c r="S651" s="62"/>
      <c r="T651" s="62"/>
      <c r="U651" s="55"/>
      <c r="V651" s="57"/>
      <c r="W651" s="57"/>
      <c r="X651" s="55" t="n">
        <f aca="false">IF(A651="","",IF(AND(Parameter!$B$21="Ja",ISNUMBER(U651)),U651,IF(IFERROR(VLOOKUP(D651,Parameter!$A$35:$C$64,2,0),"Nein")="2+3",IF(ISNUMBER(SEARCH("grosser Artikel",BM651)),2,IFERROR(VLOOKUP(BP651,Parameter!$F$35:$G$64,2,0),2)),IF(OR(IFERROR(VLOOKUP(D651,Parameter!$A$35:$C$64,2,0),"Nein")="Nein",IFERROR(VLOOKUP(D651,Parameter!$A$35:$C$64,2,0),"Nein")=""),"-",VLOOKUP(D651,Parameter!$A$35:$C$64,2,0)))))</f>
        <v>3</v>
      </c>
      <c r="Y651" s="62"/>
      <c r="Z651" s="63"/>
      <c r="AA651" s="57" t="n">
        <f aca="false">AP651</f>
        <v>180</v>
      </c>
      <c r="AB651" s="57" t="n">
        <f aca="false">MAX(AP651,G651)</f>
        <v>180</v>
      </c>
      <c r="AC651" s="64"/>
      <c r="AD651" s="57" t="n">
        <f aca="false">IF(LEFT(Cockpit!$C$5,1)="A",G651,IF(BW651=1,BX651,IF(LEFT(Cockpit!$C$5,1)="B",AH651,MAX(AH651,G651))))</f>
        <v>1</v>
      </c>
      <c r="AE651" s="57" t="n">
        <f aca="false">IF(BR651=1,0,ROUNDUP(AD651/BQ651,0))</f>
        <v>1</v>
      </c>
      <c r="AF651" s="59" t="n">
        <f aca="false">IF(CD651&gt;0,CD651*MAX(1,AD651/V651),IF(BR651=1,IF(AD651&lt;=0,0,BS651*MAX(1,IF(G651&gt;0,AD651/G651,1))),IF(Q651&gt;0,AE651/Q651,0))/MAX(0.1,N(Parameter!$M$21)))</f>
        <v>0.00241545893719807</v>
      </c>
      <c r="AG651" s="57" t="n">
        <f aca="false">AD651*F651</f>
        <v>0.01</v>
      </c>
      <c r="AH651" s="57" t="n">
        <f aca="false">ROUNDUP(MAX(I651/IF(BV651&gt;0,BV651,MAX(0.1,N(Cockpit!$C$6))),BY651)/BQ651,0)*BQ651</f>
        <v>180</v>
      </c>
      <c r="AI651" s="58" t="n">
        <f aca="false">IF(AF651&gt;0,I651/AF651,-1)</f>
        <v>0</v>
      </c>
      <c r="AJ651" s="58" t="n">
        <f aca="false">IF(AND(OR(BU651="L1",BU651="L23"),AF651&gt;0),SUMIFS($AF$7:$AF$1576,$BU$7:$BU$1576,BU651,$AI$7:$AI$1576,"&gt;"&amp;AI651)+SUMIFS($AF$7:$AF$1576,$BU$7:$BU$1576,BU651,$AI$7:$AI$1576,AI651,$BO$7:$BO$1576,"&lt;="&amp;BO651),"")</f>
        <v>45.6657832505659</v>
      </c>
      <c r="AK651" s="65" t="n">
        <f aca="false">IF(AJ651="",0,MAX(0,MIN(1,(IF(BU651="L1",Parameter!$E$5,Parameter!$E$6+Parameter!$E$7)-(AJ651-AF651))/AF651)))</f>
        <v>1</v>
      </c>
      <c r="AL651" s="57" t="n">
        <f aca="false">IF(LEFT(Cockpit!$I$5,1)="A",G651,IF(BW651=1,BX651,IF(LEFT(Cockpit!$I$5,1)="B",AP651,MAX(AP651,G651))))</f>
        <v>180</v>
      </c>
      <c r="AM651" s="57" t="n">
        <f aca="false">IF(BR651=1,0,ROUNDUP(AL651/BQ651,0))</f>
        <v>1</v>
      </c>
      <c r="AN651" s="59" t="n">
        <f aca="false">IF(CD651&gt;0,CD651*MAX(1,AL651/V651),IF(BR651=1,IF(AL651&lt;=0,0,BS651*MAX(1,IF(G651&gt;0,AL651/G651,1))),IF(Q651&gt;0,AM651/Q651,0))/MAX(0.1,N(Parameter!$M$21)))</f>
        <v>0.00241545893719807</v>
      </c>
      <c r="AO651" s="57" t="n">
        <f aca="false">AL651*F651</f>
        <v>1.8</v>
      </c>
      <c r="AP651" s="57" t="n">
        <f aca="false">ROUNDUP(MAX(I651/IF(BV651&gt;0,BV651,MAX(0.1,N(Cockpit!$I$6))),BY651)/BQ651,0)*BQ651</f>
        <v>180</v>
      </c>
      <c r="AQ651" s="58" t="n">
        <f aca="false">IF(AN651&gt;0,I651/AN651,-1)</f>
        <v>0</v>
      </c>
      <c r="AR651" s="58" t="n">
        <f aca="false">IF(AND(OR(BU651="L1",BU651="L23"),AN651&gt;0),SUMIFS($AN$7:$AN$1576,$BU$7:$BU$1576,BU651,$AQ$7:$AQ$1576,"&gt;"&amp;AQ651)+SUMIFS($AN$7:$AN$1576,$BU$7:$BU$1576,BU651,$AQ$7:$AQ$1576,AQ651,$BO$7:$BO$1576,"&lt;="&amp;BO651),"")</f>
        <v>128.734871191658</v>
      </c>
      <c r="AS651" s="65" t="n">
        <f aca="false">IF(AR651="",0,MAX(0,MIN(1,(IF(BU651="L1",Parameter!$E$5,Parameter!$E$6+Parameter!$E$7)-(AR651-AN651))/AN651)))</f>
        <v>0</v>
      </c>
      <c r="AT651" s="57" t="n">
        <f aca="false">IF(LEFT(Cockpit!$O$5,1)="A",G651,IF(BW651=1,BX651,IF(LEFT(Cockpit!$O$5,1)="B",AX651,MAX(AX651,G651))))</f>
        <v>180</v>
      </c>
      <c r="AU651" s="57" t="n">
        <f aca="false">IF(BR651=1,0,ROUNDUP(AT651/BQ651,0))</f>
        <v>1</v>
      </c>
      <c r="AV651" s="59" t="n">
        <f aca="false">IF(CD651&gt;0,CD651*MAX(1,AT651/V651),IF(BR651=1,IF(AT651&lt;=0,0,BS651*MAX(1,IF(G651&gt;0,AT651/G651,1))),IF(Q651&gt;0,AU651/Q651,0))/MAX(0.1,N(Parameter!$M$21)))</f>
        <v>0.00241545893719807</v>
      </c>
      <c r="AW651" s="57" t="n">
        <f aca="false">AT651*F651</f>
        <v>1.8</v>
      </c>
      <c r="AX651" s="57" t="n">
        <f aca="false">ROUNDUP(MAX(I651/IF(BV651&gt;0,BV651,MAX(0.1,N(Cockpit!$O$6))),BY651)/BQ651,0)*BQ651</f>
        <v>180</v>
      </c>
      <c r="AY651" s="58" t="n">
        <f aca="false">IF(AV651&gt;0,I651/AV651,-1)</f>
        <v>0</v>
      </c>
      <c r="AZ651" s="58" t="n">
        <f aca="false">IF(AND(OR(BU651="L1",BU651="L23"),AV651&gt;0),SUMIFS($AV$7:$AV$1576,$BU$7:$BU$1576,BU651,$AY$7:$AY$1576,"&gt;"&amp;AY651)+SUMIFS($AV$7:$AV$1576,$BU$7:$BU$1576,BU651,$AY$7:$AY$1576,AY651,$BO$7:$BO$1576,"&lt;="&amp;BO651),"")</f>
        <v>118.794421641208</v>
      </c>
      <c r="BA651" s="65" t="n">
        <f aca="false">IF(AZ651="",0,MAX(0,MIN(1,(IF(BU651="L1",Parameter!$E$5,Parameter!$E$6+Parameter!$E$7)-(AZ651-AV651))/AV651)))</f>
        <v>0</v>
      </c>
      <c r="BB651" s="55" t="str">
        <f aca="false">IF(AF651&lt;=0,"",IF(BU651="Aussen","Aussenlager",IF(BU651="-","Nicht im Lift",IF(AK651&gt;=1,"Lift",IF(AK651&lt;=0,"Aussenlager","teilweise")))))</f>
        <v>Lift</v>
      </c>
      <c r="BC651" s="55" t="str">
        <f aca="false">IF(AN651&lt;=0,"",IF(BU651="Aussen","Aussenlager",IF(BU651="-","Nicht im Lift",IF(AS651&gt;=1,"Lift",IF(AS651&lt;=0,"Aussenlager","teilweise")))))</f>
        <v>Aussenlager</v>
      </c>
      <c r="BD651" s="55" t="str">
        <f aca="false">IF(AV651&lt;=0,"",IF(BU651="Aussen","Aussenlager",IF(BU651="-","Nicht im Lift",IF(BA651&gt;=1,"Lift",IF(BA651&lt;=0,"Aussenlager","teilweise")))))</f>
        <v>Aussenlager</v>
      </c>
      <c r="BE651" s="55" t="str">
        <f aca="false">IF(A651="","",IF(BN651=1,"Neu; ","")&amp;IF(AND(BN651=0,BI651&lt;0),"negativer Bestand (Export "&amp;BI651&amp;"); ","")&amp;IF(I651&lt;=0,"Kein Verbrauch; ","")&amp;IF(CD651&gt;0,"Lift "&amp;U651&amp;" lt. Liftbericht (Fach "&amp;V651&amp;" Stk); ",IF(BR651=1,"Lose – Fläche geschätzt; ",""))&amp;IF(G651&gt;AP651,"Überbestand "&amp;ROUND(G651-AP651,0)&amp;" Stk / CHF "&amp;ROUND((G651-AP651)*F651,0)&amp;"; ","")&amp;IF(AND(BW651=1,BX651&lt;BY651),"MAX &lt; MB+LG; ","")&amp;IF(AND(CC651&gt;0,CB651*10&gt;CC651),"zu hoch für Tablar; ","")&amp;IF(AND(BN651=0,OR(BW651=1,Y651&lt;&gt;"",S651&lt;&gt;"",T651&lt;&gt;"",Z651&lt;&gt;"")),"manuell übersteuert; ","")&amp;IF(AND(BR651=0,Q651=0),"Gebinde unbekannt / Stellmass fehlt; ","")&amp;IF(AND(BR651=0,N(T651)&lt;=0,N(P651)&lt;=0),"Menge pro Gebinde fehlt (Ist = 1 Gebinde); ","")&amp;BM651)</f>
        <v>Kein Verbrauch; Überbestand</v>
      </c>
      <c r="BF651" s="55"/>
      <c r="BG651" s="55"/>
      <c r="BH651" s="62"/>
      <c r="BI651" s="57" t="n">
        <v>1</v>
      </c>
      <c r="BJ651" s="57" t="n">
        <v>178</v>
      </c>
      <c r="BK651" s="56" t="n">
        <v>0.01</v>
      </c>
      <c r="BL651" s="57" t="n">
        <v>0</v>
      </c>
      <c r="BM651" s="55" t="s">
        <v>382</v>
      </c>
      <c r="BN651" s="60" t="n">
        <v>0</v>
      </c>
      <c r="BO651" s="60" t="n">
        <v>651</v>
      </c>
      <c r="BP651" s="55" t="str">
        <f aca="false">IF(S651&lt;&gt;"",UPPER(TRIM(S651)),IF(O651="","LOSE",O651))</f>
        <v>S21</v>
      </c>
      <c r="BQ651" s="57" t="n">
        <f aca="false">IF(BP651="LOSE",1,IF(N(T651)&gt;0,T651,IF(N(P651)&gt;0,P651,MAX(1,G651))))</f>
        <v>180</v>
      </c>
      <c r="BR651" s="60" t="n">
        <f aca="false">IF(BP651="LOSE",1,0)</f>
        <v>0</v>
      </c>
      <c r="BS651" s="59" t="n">
        <f aca="false">IF(BR651=0,0,IF(N(R651)&gt;0,R651,IFERROR(VLOOKUP(D651,Parameter!$A$35:$C$64,3,0)+0,0)))</f>
        <v>0</v>
      </c>
      <c r="BT651" s="55" t="n">
        <f aca="false">IF(Y651&lt;&gt;"",Y651,X651)</f>
        <v>3</v>
      </c>
      <c r="BU651" s="55" t="str">
        <f aca="false">IF(BT651=1,"L1",IF(OR(BT651=2,BT651=3),"L23",IF(BT651="Aussen","Aussen","-")))</f>
        <v>L23</v>
      </c>
      <c r="BV651" s="66" t="n">
        <f aca="false">IF(N(Z651)&gt;0,Z651,0)</f>
        <v>0</v>
      </c>
      <c r="BW651" s="60" t="n">
        <f aca="false">IF(ISNUMBER(AC651),1,0)</f>
        <v>0</v>
      </c>
      <c r="BX651" s="57" t="n">
        <f aca="false">N(AC651)</f>
        <v>0</v>
      </c>
      <c r="BY651" s="57" t="n">
        <f aca="false">N(L651)+N(M651)</f>
        <v>1</v>
      </c>
      <c r="BZ651" s="57" t="n">
        <f aca="false">ROUNDUP(G651/BQ651,0)</f>
        <v>1</v>
      </c>
      <c r="CA651" s="57" t="n">
        <f aca="false">ROUNDUP(BX651/BQ651,0)</f>
        <v>0</v>
      </c>
      <c r="CB651" s="60" t="n">
        <f aca="false">IF(BR651=1,0,IFERROR(VLOOKUP(BP651,'Gebinde-Kategorie'!$A$5:$M$45,5,0)+0,0))</f>
        <v>8</v>
      </c>
      <c r="CC651" s="60" t="n">
        <f aca="false">IFERROR(IF(OR(BT651=1,BT651=2,BT651=3),N(INDEX(Parameter!$I$5:$I$7,BT651)),0),0)</f>
        <v>0</v>
      </c>
      <c r="CD651" s="59" t="n">
        <f aca="false">IF(AND(Parameter!$B$21="Ja",ISNUMBER(U651),N(V651)&gt;0),IFERROR(N(INDEX(Parameter!$L$5:$L$7,U651))*INDEX(Parameter!$E$5:$E$7,U651)*V651/SUMIFS($V$7:$V$1576,$U$7:$U$1576,U651),0),0)</f>
        <v>0</v>
      </c>
    </row>
    <row r="652" customFormat="false" ht="15" hidden="false" customHeight="false" outlineLevel="0" collapsed="false">
      <c r="A652" s="55" t="s">
        <v>1308</v>
      </c>
      <c r="B652" s="55" t="s">
        <v>229</v>
      </c>
      <c r="C652" s="55" t="s">
        <v>160</v>
      </c>
      <c r="D652" s="55" t="s">
        <v>168</v>
      </c>
      <c r="E652" s="55" t="s">
        <v>210</v>
      </c>
      <c r="F652" s="56" t="n">
        <v>162.29</v>
      </c>
      <c r="G652" s="57" t="n">
        <f aca="false">MAX(0,IF(AND(Parameter!$B$21="Ja",ISNUMBER(W652)),W652,IF(Parameter!$B$20="Jahresanfang 2025 + Export",BJ652+BI652,BI652)))</f>
        <v>0</v>
      </c>
      <c r="H652" s="57" t="n">
        <f aca="false">G652*F652</f>
        <v>0</v>
      </c>
      <c r="I652" s="57" t="n">
        <f aca="false">BL652*Parameter!$B$18</f>
        <v>14</v>
      </c>
      <c r="J652" s="58" t="n">
        <v>1</v>
      </c>
      <c r="K652" s="59" t="n">
        <v>14</v>
      </c>
      <c r="L652" s="57" t="n">
        <v>0</v>
      </c>
      <c r="M652" s="57" t="n">
        <v>15</v>
      </c>
      <c r="N652" s="60" t="n">
        <v>14</v>
      </c>
      <c r="O652" s="55" t="s">
        <v>163</v>
      </c>
      <c r="P652" s="57"/>
      <c r="Q652" s="60" t="n">
        <f aca="false">IF(BR652=1,0,IFERROR(VLOOKUP(BP652,'Gebinde-Kategorie'!$A$5:$M$45,13,0)+0,0))</f>
        <v>0</v>
      </c>
      <c r="R652" s="61"/>
      <c r="S652" s="62"/>
      <c r="T652" s="62"/>
      <c r="U652" s="55"/>
      <c r="V652" s="57"/>
      <c r="W652" s="57"/>
      <c r="X652" s="55" t="n">
        <f aca="false">IF(A652="","",IF(AND(Parameter!$B$21="Ja",ISNUMBER(U652)),U652,IF(IFERROR(VLOOKUP(D652,Parameter!$A$35:$C$64,2,0),"Nein")="2+3",IF(ISNUMBER(SEARCH("grosser Artikel",BM652)),2,IFERROR(VLOOKUP(BP652,Parameter!$F$35:$G$64,2,0),2)),IF(OR(IFERROR(VLOOKUP(D652,Parameter!$A$35:$C$64,2,0),"Nein")="Nein",IFERROR(VLOOKUP(D652,Parameter!$A$35:$C$64,2,0),"Nein")=""),"-",VLOOKUP(D652,Parameter!$A$35:$C$64,2,0)))))</f>
        <v>2</v>
      </c>
      <c r="Y652" s="62"/>
      <c r="Z652" s="63"/>
      <c r="AA652" s="57" t="n">
        <f aca="false">AP652</f>
        <v>15</v>
      </c>
      <c r="AB652" s="57" t="n">
        <f aca="false">MAX(AP652,G652)</f>
        <v>15</v>
      </c>
      <c r="AC652" s="64"/>
      <c r="AD652" s="57" t="n">
        <f aca="false">IF(LEFT(Cockpit!$C$5,1)="A",G652,IF(BW652=1,BX652,IF(LEFT(Cockpit!$C$5,1)="B",AH652,MAX(AH652,G652))))</f>
        <v>0</v>
      </c>
      <c r="AE652" s="57" t="n">
        <f aca="false">IF(BR652=1,0,ROUNDUP(AD652/BQ652,0))</f>
        <v>0</v>
      </c>
      <c r="AF652" s="59" t="n">
        <f aca="false">IF(CD652&gt;0,CD652*MAX(1,AD652/V652),IF(BR652=1,IF(AD652&lt;=0,0,BS652*MAX(1,IF(G652&gt;0,AD652/G652,1))),IF(Q652&gt;0,AE652/Q652,0))/MAX(0.1,N(Parameter!$M$21)))</f>
        <v>0</v>
      </c>
      <c r="AG652" s="57" t="n">
        <f aca="false">AD652*F652</f>
        <v>0</v>
      </c>
      <c r="AH652" s="57" t="n">
        <f aca="false">ROUNDUP(MAX(I652/IF(BV652&gt;0,BV652,MAX(0.1,N(Cockpit!$C$6))),BY652)/BQ652,0)*BQ652</f>
        <v>15</v>
      </c>
      <c r="AI652" s="58" t="n">
        <f aca="false">IF(AF652&gt;0,I652/AF652,-1)</f>
        <v>-1</v>
      </c>
      <c r="AJ652" s="58" t="str">
        <f aca="false">IF(AND(OR(BU652="L1",BU652="L23"),AF652&gt;0),SUMIFS($AF$7:$AF$1576,$BU$7:$BU$1576,BU652,$AI$7:$AI$1576,"&gt;"&amp;AI652)+SUMIFS($AF$7:$AF$1576,$BU$7:$BU$1576,BU652,$AI$7:$AI$1576,AI652,$BO$7:$BO$1576,"&lt;="&amp;BO652),"")</f>
        <v/>
      </c>
      <c r="AK652" s="65" t="n">
        <f aca="false">IF(AJ652="",0,MAX(0,MIN(1,(IF(BU652="L1",Parameter!$E$5,Parameter!$E$6+Parameter!$E$7)-(AJ652-AF652))/AF652)))</f>
        <v>0</v>
      </c>
      <c r="AL652" s="57" t="n">
        <f aca="false">IF(LEFT(Cockpit!$I$5,1)="A",G652,IF(BW652=1,BX652,IF(LEFT(Cockpit!$I$5,1)="B",AP652,MAX(AP652,G652))))</f>
        <v>15</v>
      </c>
      <c r="AM652" s="57" t="n">
        <f aca="false">IF(BR652=1,0,ROUNDUP(AL652/BQ652,0))</f>
        <v>0</v>
      </c>
      <c r="AN652" s="59" t="n">
        <f aca="false">IF(CD652&gt;0,CD652*MAX(1,AL652/V652),IF(BR652=1,IF(AL652&lt;=0,0,BS652*MAX(1,IF(G652&gt;0,AL652/G652,1))),IF(Q652&gt;0,AM652/Q652,0))/MAX(0.1,N(Parameter!$M$21)))</f>
        <v>0.15</v>
      </c>
      <c r="AO652" s="57" t="n">
        <f aca="false">AL652*F652</f>
        <v>2434.35</v>
      </c>
      <c r="AP652" s="57" t="n">
        <f aca="false">ROUNDUP(MAX(I652/IF(BV652&gt;0,BV652,MAX(0.1,N(Cockpit!$I$6))),BY652)/BQ652,0)*BQ652</f>
        <v>15</v>
      </c>
      <c r="AQ652" s="58" t="n">
        <f aca="false">IF(AN652&gt;0,I652/AN652,-1)</f>
        <v>93.3333333333333</v>
      </c>
      <c r="AR652" s="58" t="n">
        <f aca="false">IF(AND(OR(BU652="L1",BU652="L23"),AN652&gt;0),SUMIFS($AN$7:$AN$1576,$BU$7:$BU$1576,BU652,$AQ$7:$AQ$1576,"&gt;"&amp;AQ652)+SUMIFS($AN$7:$AN$1576,$BU$7:$BU$1576,BU652,$AQ$7:$AQ$1576,AQ652,$BO$7:$BO$1576,"&lt;="&amp;BO652),"")</f>
        <v>70.0269800432412</v>
      </c>
      <c r="AS652" s="65" t="n">
        <f aca="false">IF(AR652="",0,MAX(0,MIN(1,(IF(BU652="L1",Parameter!$E$5,Parameter!$E$6+Parameter!$E$7)-(AR652-AN652))/AN652)))</f>
        <v>1</v>
      </c>
      <c r="AT652" s="57" t="n">
        <f aca="false">IF(LEFT(Cockpit!$O$5,1)="A",G652,IF(BW652=1,BX652,IF(LEFT(Cockpit!$O$5,1)="B",AX652,MAX(AX652,G652))))</f>
        <v>15</v>
      </c>
      <c r="AU652" s="57" t="n">
        <f aca="false">IF(BR652=1,0,ROUNDUP(AT652/BQ652,0))</f>
        <v>0</v>
      </c>
      <c r="AV652" s="59" t="n">
        <f aca="false">IF(CD652&gt;0,CD652*MAX(1,AT652/V652),IF(BR652=1,IF(AT652&lt;=0,0,BS652*MAX(1,IF(G652&gt;0,AT652/G652,1))),IF(Q652&gt;0,AU652/Q652,0))/MAX(0.1,N(Parameter!$M$21)))</f>
        <v>0.15</v>
      </c>
      <c r="AW652" s="57" t="n">
        <f aca="false">AT652*F652</f>
        <v>2434.35</v>
      </c>
      <c r="AX652" s="57" t="n">
        <f aca="false">ROUNDUP(MAX(I652/IF(BV652&gt;0,BV652,MAX(0.1,N(Cockpit!$O$6))),BY652)/BQ652,0)*BQ652</f>
        <v>15</v>
      </c>
      <c r="AY652" s="58" t="n">
        <f aca="false">IF(AV652&gt;0,I652/AV652,-1)</f>
        <v>93.3333333333333</v>
      </c>
      <c r="AZ652" s="58" t="n">
        <f aca="false">IF(AND(OR(BU652="L1",BU652="L23"),AV652&gt;0),SUMIFS($AV$7:$AV$1576,$BU$7:$BU$1576,BU652,$AY$7:$AY$1576,"&gt;"&amp;AY652)+SUMIFS($AV$7:$AV$1576,$BU$7:$BU$1576,BU652,$AY$7:$AY$1576,AY652,$BO$7:$BO$1576,"&lt;="&amp;BO652),"")</f>
        <v>64.587363826125</v>
      </c>
      <c r="BA652" s="65" t="n">
        <f aca="false">IF(AZ652="",0,MAX(0,MIN(1,(IF(BU652="L1",Parameter!$E$5,Parameter!$E$6+Parameter!$E$7)-(AZ652-AV652))/AV652)))</f>
        <v>1</v>
      </c>
      <c r="BB652" s="55" t="str">
        <f aca="false">IF(AF652&lt;=0,"",IF(BU652="Aussen","Aussenlager",IF(BU652="-","Nicht im Lift",IF(AK652&gt;=1,"Lift",IF(AK652&lt;=0,"Aussenlager","teilweise")))))</f>
        <v/>
      </c>
      <c r="BC652" s="55" t="str">
        <f aca="false">IF(AN652&lt;=0,"",IF(BU652="Aussen","Aussenlager",IF(BU652="-","Nicht im Lift",IF(AS652&gt;=1,"Lift",IF(AS652&lt;=0,"Aussenlager","teilweise")))))</f>
        <v>Lift</v>
      </c>
      <c r="BD652" s="55" t="str">
        <f aca="false">IF(AV652&lt;=0,"",IF(BU652="Aussen","Aussenlager",IF(BU652="-","Nicht im Lift",IF(BA652&gt;=1,"Lift",IF(BA652&lt;=0,"Aussenlager","teilweise")))))</f>
        <v>Lift</v>
      </c>
      <c r="BE652" s="55" t="str">
        <f aca="false">IF(A652="","",IF(BN652=1,"Neu; ","")&amp;IF(AND(BN652=0,BI652&lt;0),"negativer Bestand (Export "&amp;BI652&amp;"); ","")&amp;IF(I652&lt;=0,"Kein Verbrauch; ","")&amp;IF(CD652&gt;0,"Lift "&amp;U652&amp;" lt. Liftbericht (Fach "&amp;V652&amp;" Stk); ",IF(BR652=1,"Lose – Fläche geschätzt; ",""))&amp;IF(G652&gt;AP652,"Überbestand "&amp;ROUND(G652-AP652,0)&amp;" Stk / CHF "&amp;ROUND((G652-AP652)*F652,0)&amp;"; ","")&amp;IF(AND(BW652=1,BX652&lt;BY652),"MAX &lt; MB+LG; ","")&amp;IF(AND(CC652&gt;0,CB652*10&gt;CC652),"zu hoch für Tablar; ","")&amp;IF(AND(BN652=0,OR(BW652=1,Y652&lt;&gt;"",S652&lt;&gt;"",T652&lt;&gt;"",Z652&lt;&gt;"")),"manuell übersteuert; ","")&amp;IF(AND(BR652=0,Q652=0),"Gebinde unbekannt / Stellmass fehlt; ","")&amp;IF(AND(BR652=0,N(T652)&lt;=0,N(P652)&lt;=0),"Menge pro Gebinde fehlt (Ist = 1 Gebinde); ","")&amp;BM652)</f>
        <v>Lose – Fläche geschätzt; </v>
      </c>
      <c r="BF652" s="55"/>
      <c r="BG652" s="55"/>
      <c r="BH652" s="62"/>
      <c r="BI652" s="57" t="n">
        <v>0</v>
      </c>
      <c r="BJ652" s="57" t="n">
        <v>0</v>
      </c>
      <c r="BK652" s="56" t="n">
        <v>5.6843418860808E-013</v>
      </c>
      <c r="BL652" s="57" t="n">
        <v>14</v>
      </c>
      <c r="BM652" s="55"/>
      <c r="BN652" s="60" t="n">
        <v>0</v>
      </c>
      <c r="BO652" s="60" t="n">
        <v>652</v>
      </c>
      <c r="BP652" s="55" t="str">
        <f aca="false">IF(S652&lt;&gt;"",UPPER(TRIM(S652)),IF(O652="","LOSE",O652))</f>
        <v>LOSE</v>
      </c>
      <c r="BQ652" s="57" t="n">
        <f aca="false">IF(BP652="LOSE",1,IF(N(T652)&gt;0,T652,IF(N(P652)&gt;0,P652,MAX(1,G652))))</f>
        <v>1</v>
      </c>
      <c r="BR652" s="60" t="n">
        <f aca="false">IF(BP652="LOSE",1,0)</f>
        <v>1</v>
      </c>
      <c r="BS652" s="59" t="n">
        <f aca="false">IF(BR652=0,0,IF(N(R652)&gt;0,R652,IFERROR(VLOOKUP(D652,Parameter!$A$35:$C$64,3,0)+0,0)))</f>
        <v>0.15</v>
      </c>
      <c r="BT652" s="55" t="n">
        <f aca="false">IF(Y652&lt;&gt;"",Y652,X652)</f>
        <v>2</v>
      </c>
      <c r="BU652" s="55" t="str">
        <f aca="false">IF(BT652=1,"L1",IF(OR(BT652=2,BT652=3),"L23",IF(BT652="Aussen","Aussen","-")))</f>
        <v>L23</v>
      </c>
      <c r="BV652" s="66" t="n">
        <f aca="false">IF(N(Z652)&gt;0,Z652,0)</f>
        <v>0</v>
      </c>
      <c r="BW652" s="60" t="n">
        <f aca="false">IF(ISNUMBER(AC652),1,0)</f>
        <v>0</v>
      </c>
      <c r="BX652" s="57" t="n">
        <f aca="false">N(AC652)</f>
        <v>0</v>
      </c>
      <c r="BY652" s="57" t="n">
        <f aca="false">N(L652)+N(M652)</f>
        <v>15</v>
      </c>
      <c r="BZ652" s="57" t="n">
        <f aca="false">ROUNDUP(G652/BQ652,0)</f>
        <v>0</v>
      </c>
      <c r="CA652" s="57" t="n">
        <f aca="false">ROUNDUP(BX652/BQ652,0)</f>
        <v>0</v>
      </c>
      <c r="CB652" s="60" t="n">
        <f aca="false">IF(BR652=1,0,IFERROR(VLOOKUP(BP652,'Gebinde-Kategorie'!$A$5:$M$45,5,0)+0,0))</f>
        <v>0</v>
      </c>
      <c r="CC652" s="60" t="n">
        <f aca="false">IFERROR(IF(OR(BT652=1,BT652=2,BT652=3),N(INDEX(Parameter!$I$5:$I$7,BT652)),0),0)</f>
        <v>0</v>
      </c>
      <c r="CD652" s="59" t="n">
        <f aca="false">IF(AND(Parameter!$B$21="Ja",ISNUMBER(U652),N(V652)&gt;0),IFERROR(N(INDEX(Parameter!$L$5:$L$7,U652))*INDEX(Parameter!$E$5:$E$7,U652)*V652/SUMIFS($V$7:$V$1576,$U$7:$U$1576,U652),0),0)</f>
        <v>0</v>
      </c>
    </row>
    <row r="653" customFormat="false" ht="15" hidden="false" customHeight="false" outlineLevel="0" collapsed="false">
      <c r="A653" s="55" t="s">
        <v>1309</v>
      </c>
      <c r="B653" s="55" t="s">
        <v>1310</v>
      </c>
      <c r="C653" s="55" t="s">
        <v>160</v>
      </c>
      <c r="D653" s="55" t="s">
        <v>168</v>
      </c>
      <c r="E653" s="55" t="s">
        <v>210</v>
      </c>
      <c r="F653" s="56" t="n">
        <v>14462.68</v>
      </c>
      <c r="G653" s="57" t="n">
        <f aca="false">MAX(0,IF(AND(Parameter!$B$21="Ja",ISNUMBER(W653)),W653,IF(Parameter!$B$20="Jahresanfang 2025 + Export",BJ653+BI653,BI653)))</f>
        <v>0</v>
      </c>
      <c r="H653" s="57" t="n">
        <f aca="false">G653*F653</f>
        <v>0</v>
      </c>
      <c r="I653" s="57" t="n">
        <f aca="false">BL653*Parameter!$B$18</f>
        <v>4</v>
      </c>
      <c r="J653" s="58" t="n">
        <v>0</v>
      </c>
      <c r="K653" s="59" t="n">
        <v>0</v>
      </c>
      <c r="L653" s="57" t="n">
        <v>0</v>
      </c>
      <c r="M653" s="57" t="n">
        <v>1</v>
      </c>
      <c r="N653" s="60" t="n">
        <v>90</v>
      </c>
      <c r="O653" s="55" t="s">
        <v>163</v>
      </c>
      <c r="P653" s="57"/>
      <c r="Q653" s="60" t="n">
        <f aca="false">IF(BR653=1,0,IFERROR(VLOOKUP(BP653,'Gebinde-Kategorie'!$A$5:$M$45,13,0)+0,0))</f>
        <v>0</v>
      </c>
      <c r="R653" s="61"/>
      <c r="S653" s="62"/>
      <c r="T653" s="62"/>
      <c r="U653" s="55"/>
      <c r="V653" s="57"/>
      <c r="W653" s="57"/>
      <c r="X653" s="55" t="n">
        <f aca="false">IF(A653="","",IF(AND(Parameter!$B$21="Ja",ISNUMBER(U653)),U653,IF(IFERROR(VLOOKUP(D653,Parameter!$A$35:$C$64,2,0),"Nein")="2+3",IF(ISNUMBER(SEARCH("grosser Artikel",BM653)),2,IFERROR(VLOOKUP(BP653,Parameter!$F$35:$G$64,2,0),2)),IF(OR(IFERROR(VLOOKUP(D653,Parameter!$A$35:$C$64,2,0),"Nein")="Nein",IFERROR(VLOOKUP(D653,Parameter!$A$35:$C$64,2,0),"Nein")=""),"-",VLOOKUP(D653,Parameter!$A$35:$C$64,2,0)))))</f>
        <v>2</v>
      </c>
      <c r="Y653" s="62"/>
      <c r="Z653" s="63"/>
      <c r="AA653" s="57" t="n">
        <f aca="false">AP653</f>
        <v>2</v>
      </c>
      <c r="AB653" s="57" t="n">
        <f aca="false">MAX(AP653,G653)</f>
        <v>2</v>
      </c>
      <c r="AC653" s="64"/>
      <c r="AD653" s="57" t="n">
        <f aca="false">IF(LEFT(Cockpit!$C$5,1)="A",G653,IF(BW653=1,BX653,IF(LEFT(Cockpit!$C$5,1)="B",AH653,MAX(AH653,G653))))</f>
        <v>0</v>
      </c>
      <c r="AE653" s="57" t="n">
        <f aca="false">IF(BR653=1,0,ROUNDUP(AD653/BQ653,0))</f>
        <v>0</v>
      </c>
      <c r="AF653" s="59" t="n">
        <f aca="false">IF(CD653&gt;0,CD653*MAX(1,AD653/V653),IF(BR653=1,IF(AD653&lt;=0,0,BS653*MAX(1,IF(G653&gt;0,AD653/G653,1))),IF(Q653&gt;0,AE653/Q653,0))/MAX(0.1,N(Parameter!$M$21)))</f>
        <v>0</v>
      </c>
      <c r="AG653" s="57" t="n">
        <f aca="false">AD653*F653</f>
        <v>0</v>
      </c>
      <c r="AH653" s="57" t="n">
        <f aca="false">ROUNDUP(MAX(I653/IF(BV653&gt;0,BV653,MAX(0.1,N(Cockpit!$C$6))),BY653)/BQ653,0)*BQ653</f>
        <v>2</v>
      </c>
      <c r="AI653" s="58" t="n">
        <f aca="false">IF(AF653&gt;0,I653/AF653,-1)</f>
        <v>-1</v>
      </c>
      <c r="AJ653" s="58" t="str">
        <f aca="false">IF(AND(OR(BU653="L1",BU653="L23"),AF653&gt;0),SUMIFS($AF$7:$AF$1576,$BU$7:$BU$1576,BU653,$AI$7:$AI$1576,"&gt;"&amp;AI653)+SUMIFS($AF$7:$AF$1576,$BU$7:$BU$1576,BU653,$AI$7:$AI$1576,AI653,$BO$7:$BO$1576,"&lt;="&amp;BO653),"")</f>
        <v/>
      </c>
      <c r="AK653" s="65" t="n">
        <f aca="false">IF(AJ653="",0,MAX(0,MIN(1,(IF(BU653="L1",Parameter!$E$5,Parameter!$E$6+Parameter!$E$7)-(AJ653-AF653))/AF653)))</f>
        <v>0</v>
      </c>
      <c r="AL653" s="57" t="n">
        <f aca="false">IF(LEFT(Cockpit!$I$5,1)="A",G653,IF(BW653=1,BX653,IF(LEFT(Cockpit!$I$5,1)="B",AP653,MAX(AP653,G653))))</f>
        <v>2</v>
      </c>
      <c r="AM653" s="57" t="n">
        <f aca="false">IF(BR653=1,0,ROUNDUP(AL653/BQ653,0))</f>
        <v>0</v>
      </c>
      <c r="AN653" s="59" t="n">
        <f aca="false">IF(CD653&gt;0,CD653*MAX(1,AL653/V653),IF(BR653=1,IF(AL653&lt;=0,0,BS653*MAX(1,IF(G653&gt;0,AL653/G653,1))),IF(Q653&gt;0,AM653/Q653,0))/MAX(0.1,N(Parameter!$M$21)))</f>
        <v>0.15</v>
      </c>
      <c r="AO653" s="57" t="n">
        <f aca="false">AL653*F653</f>
        <v>28925.36</v>
      </c>
      <c r="AP653" s="57" t="n">
        <f aca="false">ROUNDUP(MAX(I653/IF(BV653&gt;0,BV653,MAX(0.1,N(Cockpit!$I$6))),BY653)/BQ653,0)*BQ653</f>
        <v>2</v>
      </c>
      <c r="AQ653" s="58" t="n">
        <f aca="false">IF(AN653&gt;0,I653/AN653,-1)</f>
        <v>26.6666666666667</v>
      </c>
      <c r="AR653" s="58" t="n">
        <f aca="false">IF(AND(OR(BU653="L1",BU653="L23"),AN653&gt;0),SUMIFS($AN$7:$AN$1576,$BU$7:$BU$1576,BU653,$AQ$7:$AQ$1576,"&gt;"&amp;AQ653)+SUMIFS($AN$7:$AN$1576,$BU$7:$BU$1576,BU653,$AQ$7:$AQ$1576,AQ653,$BO$7:$BO$1576,"&lt;="&amp;BO653),"")</f>
        <v>96.5924345886957</v>
      </c>
      <c r="AS653" s="65" t="n">
        <f aca="false">IF(AR653="",0,MAX(0,MIN(1,(IF(BU653="L1",Parameter!$E$5,Parameter!$E$6+Parameter!$E$7)-(AR653-AN653))/AN653)))</f>
        <v>1</v>
      </c>
      <c r="AT653" s="57" t="n">
        <f aca="false">IF(LEFT(Cockpit!$O$5,1)="A",G653,IF(BW653=1,BX653,IF(LEFT(Cockpit!$O$5,1)="B",AX653,MAX(AX653,G653))))</f>
        <v>2</v>
      </c>
      <c r="AU653" s="57" t="n">
        <f aca="false">IF(BR653=1,0,ROUNDUP(AT653/BQ653,0))</f>
        <v>0</v>
      </c>
      <c r="AV653" s="59" t="n">
        <f aca="false">IF(CD653&gt;0,CD653*MAX(1,AT653/V653),IF(BR653=1,IF(AT653&lt;=0,0,BS653*MAX(1,IF(G653&gt;0,AT653/G653,1))),IF(Q653&gt;0,AU653/Q653,0))/MAX(0.1,N(Parameter!$M$21)))</f>
        <v>0.15</v>
      </c>
      <c r="AW653" s="57" t="n">
        <f aca="false">AT653*F653</f>
        <v>28925.36</v>
      </c>
      <c r="AX653" s="57" t="n">
        <f aca="false">ROUNDUP(MAX(I653/IF(BV653&gt;0,BV653,MAX(0.1,N(Cockpit!$O$6))),BY653)/BQ653,0)*BQ653</f>
        <v>2</v>
      </c>
      <c r="AY653" s="58" t="n">
        <f aca="false">IF(AV653&gt;0,I653/AV653,-1)</f>
        <v>26.6666666666667</v>
      </c>
      <c r="AZ653" s="58" t="n">
        <f aca="false">IF(AND(OR(BU653="L1",BU653="L23"),AV653&gt;0),SUMIFS($AV$7:$AV$1576,$BU$7:$BU$1576,BU653,$AY$7:$AY$1576,"&gt;"&amp;AY653)+SUMIFS($AV$7:$AV$1576,$BU$7:$BU$1576,BU653,$AY$7:$AY$1576,AY653,$BO$7:$BO$1576,"&lt;="&amp;BO653),"")</f>
        <v>87.4019850382462</v>
      </c>
      <c r="BA653" s="65" t="n">
        <f aca="false">IF(AZ653="",0,MAX(0,MIN(1,(IF(BU653="L1",Parameter!$E$5,Parameter!$E$6+Parameter!$E$7)-(AZ653-AV653))/AV653)))</f>
        <v>1</v>
      </c>
      <c r="BB653" s="55" t="str">
        <f aca="false">IF(AF653&lt;=0,"",IF(BU653="Aussen","Aussenlager",IF(BU653="-","Nicht im Lift",IF(AK653&gt;=1,"Lift",IF(AK653&lt;=0,"Aussenlager","teilweise")))))</f>
        <v/>
      </c>
      <c r="BC653" s="55" t="str">
        <f aca="false">IF(AN653&lt;=0,"",IF(BU653="Aussen","Aussenlager",IF(BU653="-","Nicht im Lift",IF(AS653&gt;=1,"Lift",IF(AS653&lt;=0,"Aussenlager","teilweise")))))</f>
        <v>Lift</v>
      </c>
      <c r="BD653" s="55" t="str">
        <f aca="false">IF(AV653&lt;=0,"",IF(BU653="Aussen","Aussenlager",IF(BU653="-","Nicht im Lift",IF(BA653&gt;=1,"Lift",IF(BA653&lt;=0,"Aussenlager","teilweise")))))</f>
        <v>Lift</v>
      </c>
      <c r="BE653" s="55" t="str">
        <f aca="false">IF(A653="","",IF(BN653=1,"Neu; ","")&amp;IF(AND(BN653=0,BI653&lt;0),"negativer Bestand (Export "&amp;BI653&amp;"); ","")&amp;IF(I653&lt;=0,"Kein Verbrauch; ","")&amp;IF(CD653&gt;0,"Lift "&amp;U653&amp;" lt. Liftbericht (Fach "&amp;V653&amp;" Stk); ",IF(BR653=1,"Lose – Fläche geschätzt; ",""))&amp;IF(G653&gt;AP653,"Überbestand "&amp;ROUND(G653-AP653,0)&amp;" Stk / CHF "&amp;ROUND((G653-AP653)*F653,0)&amp;"; ","")&amp;IF(AND(BW653=1,BX653&lt;BY653),"MAX &lt; MB+LG; ","")&amp;IF(AND(CC653&gt;0,CB653*10&gt;CC653),"zu hoch für Tablar; ","")&amp;IF(AND(BN653=0,OR(BW653=1,Y653&lt;&gt;"",S653&lt;&gt;"",T653&lt;&gt;"",Z653&lt;&gt;"")),"manuell übersteuert; ","")&amp;IF(AND(BR653=0,Q653=0),"Gebinde unbekannt / Stellmass fehlt; ","")&amp;IF(AND(BR653=0,N(T653)&lt;=0,N(P653)&lt;=0),"Menge pro Gebinde fehlt (Ist = 1 Gebinde); ","")&amp;BM653)</f>
        <v>Lose – Fläche geschätzt; </v>
      </c>
      <c r="BF653" s="55"/>
      <c r="BG653" s="55"/>
      <c r="BH653" s="62"/>
      <c r="BI653" s="57" t="n">
        <v>0</v>
      </c>
      <c r="BJ653" s="57" t="n">
        <v>0</v>
      </c>
      <c r="BK653" s="56" t="n">
        <v>4.36557040517371E-013</v>
      </c>
      <c r="BL653" s="57" t="n">
        <v>4</v>
      </c>
      <c r="BM653" s="55"/>
      <c r="BN653" s="60" t="n">
        <v>0</v>
      </c>
      <c r="BO653" s="60" t="n">
        <v>653</v>
      </c>
      <c r="BP653" s="55" t="str">
        <f aca="false">IF(S653&lt;&gt;"",UPPER(TRIM(S653)),IF(O653="","LOSE",O653))</f>
        <v>LOSE</v>
      </c>
      <c r="BQ653" s="57" t="n">
        <f aca="false">IF(BP653="LOSE",1,IF(N(T653)&gt;0,T653,IF(N(P653)&gt;0,P653,MAX(1,G653))))</f>
        <v>1</v>
      </c>
      <c r="BR653" s="60" t="n">
        <f aca="false">IF(BP653="LOSE",1,0)</f>
        <v>1</v>
      </c>
      <c r="BS653" s="59" t="n">
        <f aca="false">IF(BR653=0,0,IF(N(R653)&gt;0,R653,IFERROR(VLOOKUP(D653,Parameter!$A$35:$C$64,3,0)+0,0)))</f>
        <v>0.15</v>
      </c>
      <c r="BT653" s="55" t="n">
        <f aca="false">IF(Y653&lt;&gt;"",Y653,X653)</f>
        <v>2</v>
      </c>
      <c r="BU653" s="55" t="str">
        <f aca="false">IF(BT653=1,"L1",IF(OR(BT653=2,BT653=3),"L23",IF(BT653="Aussen","Aussen","-")))</f>
        <v>L23</v>
      </c>
      <c r="BV653" s="66" t="n">
        <f aca="false">IF(N(Z653)&gt;0,Z653,0)</f>
        <v>0</v>
      </c>
      <c r="BW653" s="60" t="n">
        <f aca="false">IF(ISNUMBER(AC653),1,0)</f>
        <v>0</v>
      </c>
      <c r="BX653" s="57" t="n">
        <f aca="false">N(AC653)</f>
        <v>0</v>
      </c>
      <c r="BY653" s="57" t="n">
        <f aca="false">N(L653)+N(M653)</f>
        <v>1</v>
      </c>
      <c r="BZ653" s="57" t="n">
        <f aca="false">ROUNDUP(G653/BQ653,0)</f>
        <v>0</v>
      </c>
      <c r="CA653" s="57" t="n">
        <f aca="false">ROUNDUP(BX653/BQ653,0)</f>
        <v>0</v>
      </c>
      <c r="CB653" s="60" t="n">
        <f aca="false">IF(BR653=1,0,IFERROR(VLOOKUP(BP653,'Gebinde-Kategorie'!$A$5:$M$45,5,0)+0,0))</f>
        <v>0</v>
      </c>
      <c r="CC653" s="60" t="n">
        <f aca="false">IFERROR(IF(OR(BT653=1,BT653=2,BT653=3),N(INDEX(Parameter!$I$5:$I$7,BT653)),0),0)</f>
        <v>0</v>
      </c>
      <c r="CD653" s="59" t="n">
        <f aca="false">IF(AND(Parameter!$B$21="Ja",ISNUMBER(U653),N(V653)&gt;0),IFERROR(N(INDEX(Parameter!$L$5:$L$7,U653))*INDEX(Parameter!$E$5:$E$7,U653)*V653/SUMIFS($V$7:$V$1576,$U$7:$U$1576,U653),0),0)</f>
        <v>0</v>
      </c>
    </row>
    <row r="654" customFormat="false" ht="15" hidden="false" customHeight="false" outlineLevel="0" collapsed="false">
      <c r="A654" s="55" t="s">
        <v>1311</v>
      </c>
      <c r="B654" s="55" t="s">
        <v>987</v>
      </c>
      <c r="C654" s="55" t="s">
        <v>160</v>
      </c>
      <c r="D654" s="55" t="s">
        <v>984</v>
      </c>
      <c r="E654" s="55" t="s">
        <v>210</v>
      </c>
      <c r="F654" s="56" t="n">
        <v>163.77</v>
      </c>
      <c r="G654" s="57" t="n">
        <f aca="false">MAX(0,IF(AND(Parameter!$B$21="Ja",ISNUMBER(W654)),W654,IF(Parameter!$B$20="Jahresanfang 2025 + Export",BJ654+BI654,BI654)))</f>
        <v>0</v>
      </c>
      <c r="H654" s="57" t="n">
        <f aca="false">G654*F654</f>
        <v>0</v>
      </c>
      <c r="I654" s="57" t="n">
        <f aca="false">BL654*Parameter!$B$18</f>
        <v>8</v>
      </c>
      <c r="J654" s="58" t="n">
        <v>0</v>
      </c>
      <c r="K654" s="59" t="n">
        <v>0</v>
      </c>
      <c r="L654" s="57" t="n">
        <v>0</v>
      </c>
      <c r="M654" s="57" t="n">
        <v>1</v>
      </c>
      <c r="N654" s="60" t="n">
        <v>105</v>
      </c>
      <c r="O654" s="55" t="s">
        <v>163</v>
      </c>
      <c r="P654" s="57"/>
      <c r="Q654" s="60" t="n">
        <f aca="false">IF(BR654=1,0,IFERROR(VLOOKUP(BP654,'Gebinde-Kategorie'!$A$5:$M$45,13,0)+0,0))</f>
        <v>0</v>
      </c>
      <c r="R654" s="61"/>
      <c r="S654" s="62"/>
      <c r="T654" s="62"/>
      <c r="U654" s="55"/>
      <c r="V654" s="57"/>
      <c r="W654" s="57"/>
      <c r="X654" s="55" t="str">
        <f aca="false">IF(A654="","",IF(AND(Parameter!$B$21="Ja",ISNUMBER(U654)),U654,IF(IFERROR(VLOOKUP(D654,Parameter!$A$35:$C$64,2,0),"Nein")="2+3",IF(ISNUMBER(SEARCH("grosser Artikel",BM654)),2,IFERROR(VLOOKUP(BP654,Parameter!$F$35:$G$64,2,0),2)),IF(OR(IFERROR(VLOOKUP(D654,Parameter!$A$35:$C$64,2,0),"Nein")="Nein",IFERROR(VLOOKUP(D654,Parameter!$A$35:$C$64,2,0),"Nein")=""),"-",VLOOKUP(D654,Parameter!$A$35:$C$64,2,0)))))</f>
        <v>-</v>
      </c>
      <c r="Y654" s="62"/>
      <c r="Z654" s="63"/>
      <c r="AA654" s="57" t="n">
        <f aca="false">AP654</f>
        <v>4</v>
      </c>
      <c r="AB654" s="57" t="n">
        <f aca="false">MAX(AP654,G654)</f>
        <v>4</v>
      </c>
      <c r="AC654" s="64"/>
      <c r="AD654" s="57" t="n">
        <f aca="false">IF(LEFT(Cockpit!$C$5,1)="A",G654,IF(BW654=1,BX654,IF(LEFT(Cockpit!$C$5,1)="B",AH654,MAX(AH654,G654))))</f>
        <v>0</v>
      </c>
      <c r="AE654" s="57" t="n">
        <f aca="false">IF(BR654=1,0,ROUNDUP(AD654/BQ654,0))</f>
        <v>0</v>
      </c>
      <c r="AF654" s="59" t="n">
        <f aca="false">IF(CD654&gt;0,CD654*MAX(1,AD654/V654),IF(BR654=1,IF(AD654&lt;=0,0,BS654*MAX(1,IF(G654&gt;0,AD654/G654,1))),IF(Q654&gt;0,AE654/Q654,0))/MAX(0.1,N(Parameter!$M$21)))</f>
        <v>0</v>
      </c>
      <c r="AG654" s="57" t="n">
        <f aca="false">AD654*F654</f>
        <v>0</v>
      </c>
      <c r="AH654" s="57" t="n">
        <f aca="false">ROUNDUP(MAX(I654/IF(BV654&gt;0,BV654,MAX(0.1,N(Cockpit!$C$6))),BY654)/BQ654,0)*BQ654</f>
        <v>4</v>
      </c>
      <c r="AI654" s="58" t="n">
        <f aca="false">IF(AF654&gt;0,I654/AF654,-1)</f>
        <v>-1</v>
      </c>
      <c r="AJ654" s="58" t="str">
        <f aca="false">IF(AND(OR(BU654="L1",BU654="L23"),AF654&gt;0),SUMIFS($AF$7:$AF$1576,$BU$7:$BU$1576,BU654,$AI$7:$AI$1576,"&gt;"&amp;AI654)+SUMIFS($AF$7:$AF$1576,$BU$7:$BU$1576,BU654,$AI$7:$AI$1576,AI654,$BO$7:$BO$1576,"&lt;="&amp;BO654),"")</f>
        <v/>
      </c>
      <c r="AK654" s="65" t="n">
        <f aca="false">IF(AJ654="",0,MAX(0,MIN(1,(IF(BU654="L1",Parameter!$E$5,Parameter!$E$6+Parameter!$E$7)-(AJ654-AF654))/AF654)))</f>
        <v>0</v>
      </c>
      <c r="AL654" s="57" t="n">
        <f aca="false">IF(LEFT(Cockpit!$I$5,1)="A",G654,IF(BW654=1,BX654,IF(LEFT(Cockpit!$I$5,1)="B",AP654,MAX(AP654,G654))))</f>
        <v>4</v>
      </c>
      <c r="AM654" s="57" t="n">
        <f aca="false">IF(BR654=1,0,ROUNDUP(AL654/BQ654,0))</f>
        <v>0</v>
      </c>
      <c r="AN654" s="59" t="n">
        <f aca="false">IF(CD654&gt;0,CD654*MAX(1,AL654/V654),IF(BR654=1,IF(AL654&lt;=0,0,BS654*MAX(1,IF(G654&gt;0,AL654/G654,1))),IF(Q654&gt;0,AM654/Q654,0))/MAX(0.1,N(Parameter!$M$21)))</f>
        <v>0.15</v>
      </c>
      <c r="AO654" s="57" t="n">
        <f aca="false">AL654*F654</f>
        <v>655.08</v>
      </c>
      <c r="AP654" s="57" t="n">
        <f aca="false">ROUNDUP(MAX(I654/IF(BV654&gt;0,BV654,MAX(0.1,N(Cockpit!$I$6))),BY654)/BQ654,0)*BQ654</f>
        <v>4</v>
      </c>
      <c r="AQ654" s="58" t="n">
        <f aca="false">IF(AN654&gt;0,I654/AN654,-1)</f>
        <v>53.3333333333333</v>
      </c>
      <c r="AR654" s="58" t="str">
        <f aca="false">IF(AND(OR(BU654="L1",BU654="L23"),AN654&gt;0),SUMIFS($AN$7:$AN$1576,$BU$7:$BU$1576,BU654,$AQ$7:$AQ$1576,"&gt;"&amp;AQ654)+SUMIFS($AN$7:$AN$1576,$BU$7:$BU$1576,BU654,$AQ$7:$AQ$1576,AQ654,$BO$7:$BO$1576,"&lt;="&amp;BO654),"")</f>
        <v/>
      </c>
      <c r="AS654" s="65" t="n">
        <f aca="false">IF(AR654="",0,MAX(0,MIN(1,(IF(BU654="L1",Parameter!$E$5,Parameter!$E$6+Parameter!$E$7)-(AR654-AN654))/AN654)))</f>
        <v>0</v>
      </c>
      <c r="AT654" s="57" t="n">
        <f aca="false">IF(LEFT(Cockpit!$O$5,1)="A",G654,IF(BW654=1,BX654,IF(LEFT(Cockpit!$O$5,1)="B",AX654,MAX(AX654,G654))))</f>
        <v>3</v>
      </c>
      <c r="AU654" s="57" t="n">
        <f aca="false">IF(BR654=1,0,ROUNDUP(AT654/BQ654,0))</f>
        <v>0</v>
      </c>
      <c r="AV654" s="59" t="n">
        <f aca="false">IF(CD654&gt;0,CD654*MAX(1,AT654/V654),IF(BR654=1,IF(AT654&lt;=0,0,BS654*MAX(1,IF(G654&gt;0,AT654/G654,1))),IF(Q654&gt;0,AU654/Q654,0))/MAX(0.1,N(Parameter!$M$21)))</f>
        <v>0.15</v>
      </c>
      <c r="AW654" s="57" t="n">
        <f aca="false">AT654*F654</f>
        <v>491.31</v>
      </c>
      <c r="AX654" s="57" t="n">
        <f aca="false">ROUNDUP(MAX(I654/IF(BV654&gt;0,BV654,MAX(0.1,N(Cockpit!$O$6))),BY654)/BQ654,0)*BQ654</f>
        <v>3</v>
      </c>
      <c r="AY654" s="58" t="n">
        <f aca="false">IF(AV654&gt;0,I654/AV654,-1)</f>
        <v>53.3333333333333</v>
      </c>
      <c r="AZ654" s="58" t="str">
        <f aca="false">IF(AND(OR(BU654="L1",BU654="L23"),AV654&gt;0),SUMIFS($AV$7:$AV$1576,$BU$7:$BU$1576,BU654,$AY$7:$AY$1576,"&gt;"&amp;AY654)+SUMIFS($AV$7:$AV$1576,$BU$7:$BU$1576,BU654,$AY$7:$AY$1576,AY654,$BO$7:$BO$1576,"&lt;="&amp;BO654),"")</f>
        <v/>
      </c>
      <c r="BA654" s="65" t="n">
        <f aca="false">IF(AZ654="",0,MAX(0,MIN(1,(IF(BU654="L1",Parameter!$E$5,Parameter!$E$6+Parameter!$E$7)-(AZ654-AV654))/AV654)))</f>
        <v>0</v>
      </c>
      <c r="BB654" s="55" t="str">
        <f aca="false">IF(AF654&lt;=0,"",IF(BU654="Aussen","Aussenlager",IF(BU654="-","Nicht im Lift",IF(AK654&gt;=1,"Lift",IF(AK654&lt;=0,"Aussenlager","teilweise")))))</f>
        <v/>
      </c>
      <c r="BC654" s="55" t="str">
        <f aca="false">IF(AN654&lt;=0,"",IF(BU654="Aussen","Aussenlager",IF(BU654="-","Nicht im Lift",IF(AS654&gt;=1,"Lift",IF(AS654&lt;=0,"Aussenlager","teilweise")))))</f>
        <v>Nicht im Lift</v>
      </c>
      <c r="BD654" s="55" t="str">
        <f aca="false">IF(AV654&lt;=0,"",IF(BU654="Aussen","Aussenlager",IF(BU654="-","Nicht im Lift",IF(BA654&gt;=1,"Lift",IF(BA654&lt;=0,"Aussenlager","teilweise")))))</f>
        <v>Nicht im Lift</v>
      </c>
      <c r="BE654" s="55" t="str">
        <f aca="false">IF(A654="","",IF(BN654=1,"Neu; ","")&amp;IF(AND(BN654=0,BI654&lt;0),"negativer Bestand (Export "&amp;BI654&amp;"); ","")&amp;IF(I654&lt;=0,"Kein Verbrauch; ","")&amp;IF(CD654&gt;0,"Lift "&amp;U654&amp;" lt. Liftbericht (Fach "&amp;V654&amp;" Stk); ",IF(BR654=1,"Lose – Fläche geschätzt; ",""))&amp;IF(G654&gt;AP654,"Überbestand "&amp;ROUND(G654-AP654,0)&amp;" Stk / CHF "&amp;ROUND((G654-AP654)*F654,0)&amp;"; ","")&amp;IF(AND(BW654=1,BX654&lt;BY654),"MAX &lt; MB+LG; ","")&amp;IF(AND(CC654&gt;0,CB654*10&gt;CC654),"zu hoch für Tablar; ","")&amp;IF(AND(BN654=0,OR(BW654=1,Y654&lt;&gt;"",S654&lt;&gt;"",T654&lt;&gt;"",Z654&lt;&gt;"")),"manuell übersteuert; ","")&amp;IF(AND(BR654=0,Q654=0),"Gebinde unbekannt / Stellmass fehlt; ","")&amp;IF(AND(BR654=0,N(T654)&lt;=0,N(P654)&lt;=0),"Menge pro Gebinde fehlt (Ist = 1 Gebinde); ","")&amp;BM654)</f>
        <v>Lose – Fläche geschätzt; </v>
      </c>
      <c r="BF654" s="55"/>
      <c r="BG654" s="55"/>
      <c r="BH654" s="62"/>
      <c r="BI654" s="57" t="n">
        <v>0</v>
      </c>
      <c r="BJ654" s="57" t="n">
        <v>0</v>
      </c>
      <c r="BK654" s="56" t="n">
        <v>1.31877148090709E-013</v>
      </c>
      <c r="BL654" s="57" t="n">
        <v>8</v>
      </c>
      <c r="BM654" s="55"/>
      <c r="BN654" s="60" t="n">
        <v>0</v>
      </c>
      <c r="BO654" s="60" t="n">
        <v>654</v>
      </c>
      <c r="BP654" s="55" t="str">
        <f aca="false">IF(S654&lt;&gt;"",UPPER(TRIM(S654)),IF(O654="","LOSE",O654))</f>
        <v>LOSE</v>
      </c>
      <c r="BQ654" s="57" t="n">
        <f aca="false">IF(BP654="LOSE",1,IF(N(T654)&gt;0,T654,IF(N(P654)&gt;0,P654,MAX(1,G654))))</f>
        <v>1</v>
      </c>
      <c r="BR654" s="60" t="n">
        <f aca="false">IF(BP654="LOSE",1,0)</f>
        <v>1</v>
      </c>
      <c r="BS654" s="59" t="n">
        <f aca="false">IF(BR654=0,0,IF(N(R654)&gt;0,R654,IFERROR(VLOOKUP(D654,Parameter!$A$35:$C$64,3,0)+0,0)))</f>
        <v>0.15</v>
      </c>
      <c r="BT654" s="55" t="str">
        <f aca="false">IF(Y654&lt;&gt;"",Y654,X654)</f>
        <v>-</v>
      </c>
      <c r="BU654" s="55" t="str">
        <f aca="false">IF(BT654=1,"L1",IF(OR(BT654=2,BT654=3),"L23",IF(BT654="Aussen","Aussen","-")))</f>
        <v>-</v>
      </c>
      <c r="BV654" s="66" t="n">
        <f aca="false">IF(N(Z654)&gt;0,Z654,0)</f>
        <v>0</v>
      </c>
      <c r="BW654" s="60" t="n">
        <f aca="false">IF(ISNUMBER(AC654),1,0)</f>
        <v>0</v>
      </c>
      <c r="BX654" s="57" t="n">
        <f aca="false">N(AC654)</f>
        <v>0</v>
      </c>
      <c r="BY654" s="57" t="n">
        <f aca="false">N(L654)+N(M654)</f>
        <v>1</v>
      </c>
      <c r="BZ654" s="57" t="n">
        <f aca="false">ROUNDUP(G654/BQ654,0)</f>
        <v>0</v>
      </c>
      <c r="CA654" s="57" t="n">
        <f aca="false">ROUNDUP(BX654/BQ654,0)</f>
        <v>0</v>
      </c>
      <c r="CB654" s="60" t="n">
        <f aca="false">IF(BR654=1,0,IFERROR(VLOOKUP(BP654,'Gebinde-Kategorie'!$A$5:$M$45,5,0)+0,0))</f>
        <v>0</v>
      </c>
      <c r="CC654" s="60" t="n">
        <f aca="false">IFERROR(IF(OR(BT654=1,BT654=2,BT654=3),N(INDEX(Parameter!$I$5:$I$7,BT654)),0),0)</f>
        <v>0</v>
      </c>
      <c r="CD654" s="59" t="n">
        <f aca="false">IF(AND(Parameter!$B$21="Ja",ISNUMBER(U654),N(V654)&gt;0),IFERROR(N(INDEX(Parameter!$L$5:$L$7,U654))*INDEX(Parameter!$E$5:$E$7,U654)*V654/SUMIFS($V$7:$V$1576,$U$7:$U$1576,U654),0),0)</f>
        <v>0</v>
      </c>
    </row>
    <row r="655" customFormat="false" ht="15" hidden="false" customHeight="false" outlineLevel="0" collapsed="false">
      <c r="A655" s="55" t="s">
        <v>1312</v>
      </c>
      <c r="B655" s="55" t="s">
        <v>1313</v>
      </c>
      <c r="C655" s="55" t="s">
        <v>160</v>
      </c>
      <c r="D655" s="55" t="s">
        <v>178</v>
      </c>
      <c r="E655" s="55" t="s">
        <v>210</v>
      </c>
      <c r="F655" s="56" t="n">
        <v>42.14</v>
      </c>
      <c r="G655" s="57" t="n">
        <f aca="false">MAX(0,IF(AND(Parameter!$B$21="Ja",ISNUMBER(W655)),W655,IF(Parameter!$B$20="Jahresanfang 2025 + Export",BJ655+BI655,BI655)))</f>
        <v>0</v>
      </c>
      <c r="H655" s="57" t="n">
        <f aca="false">G655*F655</f>
        <v>0</v>
      </c>
      <c r="I655" s="57" t="n">
        <f aca="false">BL655*Parameter!$B$18</f>
        <v>2</v>
      </c>
      <c r="J655" s="58" t="n">
        <v>3</v>
      </c>
      <c r="K655" s="59" t="n">
        <v>0.666666666666667</v>
      </c>
      <c r="L655" s="57" t="n">
        <v>0</v>
      </c>
      <c r="M655" s="57" t="n">
        <v>1</v>
      </c>
      <c r="N655" s="60" t="n">
        <v>21</v>
      </c>
      <c r="O655" s="55" t="s">
        <v>163</v>
      </c>
      <c r="P655" s="57"/>
      <c r="Q655" s="60" t="n">
        <f aca="false">IF(BR655=1,0,IFERROR(VLOOKUP(BP655,'Gebinde-Kategorie'!$A$5:$M$45,13,0)+0,0))</f>
        <v>0</v>
      </c>
      <c r="R655" s="61"/>
      <c r="S655" s="62"/>
      <c r="T655" s="62"/>
      <c r="U655" s="55"/>
      <c r="V655" s="57"/>
      <c r="W655" s="57"/>
      <c r="X655" s="55" t="n">
        <f aca="false">IF(A655="","",IF(AND(Parameter!$B$21="Ja",ISNUMBER(U655)),U655,IF(IFERROR(VLOOKUP(D655,Parameter!$A$35:$C$64,2,0),"Nein")="2+3",IF(ISNUMBER(SEARCH("grosser Artikel",BM655)),2,IFERROR(VLOOKUP(BP655,Parameter!$F$35:$G$64,2,0),2)),IF(OR(IFERROR(VLOOKUP(D655,Parameter!$A$35:$C$64,2,0),"Nein")="Nein",IFERROR(VLOOKUP(D655,Parameter!$A$35:$C$64,2,0),"Nein")=""),"-",VLOOKUP(D655,Parameter!$A$35:$C$64,2,0)))))</f>
        <v>2</v>
      </c>
      <c r="Y655" s="62"/>
      <c r="Z655" s="63"/>
      <c r="AA655" s="57" t="n">
        <f aca="false">AP655</f>
        <v>1</v>
      </c>
      <c r="AB655" s="57" t="n">
        <f aca="false">MAX(AP655,G655)</f>
        <v>1</v>
      </c>
      <c r="AC655" s="64"/>
      <c r="AD655" s="57" t="n">
        <f aca="false">IF(LEFT(Cockpit!$C$5,1)="A",G655,IF(BW655=1,BX655,IF(LEFT(Cockpit!$C$5,1)="B",AH655,MAX(AH655,G655))))</f>
        <v>0</v>
      </c>
      <c r="AE655" s="57" t="n">
        <f aca="false">IF(BR655=1,0,ROUNDUP(AD655/BQ655,0))</f>
        <v>0</v>
      </c>
      <c r="AF655" s="59" t="n">
        <f aca="false">IF(CD655&gt;0,CD655*MAX(1,AD655/V655),IF(BR655=1,IF(AD655&lt;=0,0,BS655*MAX(1,IF(G655&gt;0,AD655/G655,1))),IF(Q655&gt;0,AE655/Q655,0))/MAX(0.1,N(Parameter!$M$21)))</f>
        <v>0</v>
      </c>
      <c r="AG655" s="57" t="n">
        <f aca="false">AD655*F655</f>
        <v>0</v>
      </c>
      <c r="AH655" s="57" t="n">
        <f aca="false">ROUNDUP(MAX(I655/IF(BV655&gt;0,BV655,MAX(0.1,N(Cockpit!$C$6))),BY655)/BQ655,0)*BQ655</f>
        <v>1</v>
      </c>
      <c r="AI655" s="58" t="n">
        <f aca="false">IF(AF655&gt;0,I655/AF655,-1)</f>
        <v>-1</v>
      </c>
      <c r="AJ655" s="58" t="str">
        <f aca="false">IF(AND(OR(BU655="L1",BU655="L23"),AF655&gt;0),SUMIFS($AF$7:$AF$1576,$BU$7:$BU$1576,BU655,$AI$7:$AI$1576,"&gt;"&amp;AI655)+SUMIFS($AF$7:$AF$1576,$BU$7:$BU$1576,BU655,$AI$7:$AI$1576,AI655,$BO$7:$BO$1576,"&lt;="&amp;BO655),"")</f>
        <v/>
      </c>
      <c r="AK655" s="65" t="n">
        <f aca="false">IF(AJ655="",0,MAX(0,MIN(1,(IF(BU655="L1",Parameter!$E$5,Parameter!$E$6+Parameter!$E$7)-(AJ655-AF655))/AF655)))</f>
        <v>0</v>
      </c>
      <c r="AL655" s="57" t="n">
        <f aca="false">IF(LEFT(Cockpit!$I$5,1)="A",G655,IF(BW655=1,BX655,IF(LEFT(Cockpit!$I$5,1)="B",AP655,MAX(AP655,G655))))</f>
        <v>1</v>
      </c>
      <c r="AM655" s="57" t="n">
        <f aca="false">IF(BR655=1,0,ROUNDUP(AL655/BQ655,0))</f>
        <v>0</v>
      </c>
      <c r="AN655" s="59" t="n">
        <f aca="false">IF(CD655&gt;0,CD655*MAX(1,AL655/V655),IF(BR655=1,IF(AL655&lt;=0,0,BS655*MAX(1,IF(G655&gt;0,AL655/G655,1))),IF(Q655&gt;0,AM655/Q655,0))/MAX(0.1,N(Parameter!$M$21)))</f>
        <v>0.03</v>
      </c>
      <c r="AO655" s="57" t="n">
        <f aca="false">AL655*F655</f>
        <v>42.14</v>
      </c>
      <c r="AP655" s="57" t="n">
        <f aca="false">ROUNDUP(MAX(I655/IF(BV655&gt;0,BV655,MAX(0.1,N(Cockpit!$I$6))),BY655)/BQ655,0)*BQ655</f>
        <v>1</v>
      </c>
      <c r="AQ655" s="58" t="n">
        <f aca="false">IF(AN655&gt;0,I655/AN655,-1)</f>
        <v>66.6666666666667</v>
      </c>
      <c r="AR655" s="58" t="n">
        <f aca="false">IF(AND(OR(BU655="L1",BU655="L23"),AN655&gt;0),SUMIFS($AN$7:$AN$1576,$BU$7:$BU$1576,BU655,$AQ$7:$AQ$1576,"&gt;"&amp;AQ655)+SUMIFS($AN$7:$AN$1576,$BU$7:$BU$1576,BU655,$AQ$7:$AQ$1576,AQ655,$BO$7:$BO$1576,"&lt;="&amp;BO655),"")</f>
        <v>76.0922947285559</v>
      </c>
      <c r="AS655" s="65" t="n">
        <f aca="false">IF(AR655="",0,MAX(0,MIN(1,(IF(BU655="L1",Parameter!$E$5,Parameter!$E$6+Parameter!$E$7)-(AR655-AN655))/AN655)))</f>
        <v>1</v>
      </c>
      <c r="AT655" s="57" t="n">
        <f aca="false">IF(LEFT(Cockpit!$O$5,1)="A",G655,IF(BW655=1,BX655,IF(LEFT(Cockpit!$O$5,1)="B",AX655,MAX(AX655,G655))))</f>
        <v>1</v>
      </c>
      <c r="AU655" s="57" t="n">
        <f aca="false">IF(BR655=1,0,ROUNDUP(AT655/BQ655,0))</f>
        <v>0</v>
      </c>
      <c r="AV655" s="59" t="n">
        <f aca="false">IF(CD655&gt;0,CD655*MAX(1,AT655/V655),IF(BR655=1,IF(AT655&lt;=0,0,BS655*MAX(1,IF(G655&gt;0,AT655/G655,1))),IF(Q655&gt;0,AU655/Q655,0))/MAX(0.1,N(Parameter!$M$21)))</f>
        <v>0.03</v>
      </c>
      <c r="AW655" s="57" t="n">
        <f aca="false">AT655*F655</f>
        <v>42.14</v>
      </c>
      <c r="AX655" s="57" t="n">
        <f aca="false">ROUNDUP(MAX(I655/IF(BV655&gt;0,BV655,MAX(0.1,N(Cockpit!$O$6))),BY655)/BQ655,0)*BQ655</f>
        <v>1</v>
      </c>
      <c r="AY655" s="58" t="n">
        <f aca="false">IF(AV655&gt;0,I655/AV655,-1)</f>
        <v>66.6666666666667</v>
      </c>
      <c r="AZ655" s="58" t="n">
        <f aca="false">IF(AND(OR(BU655="L1",BU655="L23"),AV655&gt;0),SUMIFS($AV$7:$AV$1576,$BU$7:$BU$1576,BU655,$AY$7:$AY$1576,"&gt;"&amp;AY655)+SUMIFS($AV$7:$AV$1576,$BU$7:$BU$1576,BU655,$AY$7:$AY$1576,AY655,$BO$7:$BO$1576,"&lt;="&amp;BO655),"")</f>
        <v>74.803511844773</v>
      </c>
      <c r="BA655" s="65" t="n">
        <f aca="false">IF(AZ655="",0,MAX(0,MIN(1,(IF(BU655="L1",Parameter!$E$5,Parameter!$E$6+Parameter!$E$7)-(AZ655-AV655))/AV655)))</f>
        <v>1</v>
      </c>
      <c r="BB655" s="55" t="str">
        <f aca="false">IF(AF655&lt;=0,"",IF(BU655="Aussen","Aussenlager",IF(BU655="-","Nicht im Lift",IF(AK655&gt;=1,"Lift",IF(AK655&lt;=0,"Aussenlager","teilweise")))))</f>
        <v/>
      </c>
      <c r="BC655" s="55" t="str">
        <f aca="false">IF(AN655&lt;=0,"",IF(BU655="Aussen","Aussenlager",IF(BU655="-","Nicht im Lift",IF(AS655&gt;=1,"Lift",IF(AS655&lt;=0,"Aussenlager","teilweise")))))</f>
        <v>Lift</v>
      </c>
      <c r="BD655" s="55" t="str">
        <f aca="false">IF(AV655&lt;=0,"",IF(BU655="Aussen","Aussenlager",IF(BU655="-","Nicht im Lift",IF(BA655&gt;=1,"Lift",IF(BA655&lt;=0,"Aussenlager","teilweise")))))</f>
        <v>Lift</v>
      </c>
      <c r="BE655" s="55" t="str">
        <f aca="false">IF(A655="","",IF(BN655=1,"Neu; ","")&amp;IF(AND(BN655=0,BI655&lt;0),"negativer Bestand (Export "&amp;BI655&amp;"); ","")&amp;IF(I655&lt;=0,"Kein Verbrauch; ","")&amp;IF(CD655&gt;0,"Lift "&amp;U655&amp;" lt. Liftbericht (Fach "&amp;V655&amp;" Stk); ",IF(BR655=1,"Lose – Fläche geschätzt; ",""))&amp;IF(G655&gt;AP655,"Überbestand "&amp;ROUND(G655-AP655,0)&amp;" Stk / CHF "&amp;ROUND((G655-AP655)*F655,0)&amp;"; ","")&amp;IF(AND(BW655=1,BX655&lt;BY655),"MAX &lt; MB+LG; ","")&amp;IF(AND(CC655&gt;0,CB655*10&gt;CC655),"zu hoch für Tablar; ","")&amp;IF(AND(BN655=0,OR(BW655=1,Y655&lt;&gt;"",S655&lt;&gt;"",T655&lt;&gt;"",Z655&lt;&gt;"")),"manuell übersteuert; ","")&amp;IF(AND(BR655=0,Q655=0),"Gebinde unbekannt / Stellmass fehlt; ","")&amp;IF(AND(BR655=0,N(T655)&lt;=0,N(P655)&lt;=0),"Menge pro Gebinde fehlt (Ist = 1 Gebinde); ","")&amp;BM655)</f>
        <v>Lose – Fläche geschätzt; </v>
      </c>
      <c r="BF655" s="55"/>
      <c r="BG655" s="55"/>
      <c r="BH655" s="62"/>
      <c r="BI655" s="57" t="n">
        <v>0</v>
      </c>
      <c r="BJ655" s="57" t="n">
        <v>0</v>
      </c>
      <c r="BK655" s="56" t="n">
        <v>1.13686837721616E-013</v>
      </c>
      <c r="BL655" s="57" t="n">
        <v>2</v>
      </c>
      <c r="BM655" s="55"/>
      <c r="BN655" s="60" t="n">
        <v>0</v>
      </c>
      <c r="BO655" s="60" t="n">
        <v>655</v>
      </c>
      <c r="BP655" s="55" t="str">
        <f aca="false">IF(S655&lt;&gt;"",UPPER(TRIM(S655)),IF(O655="","LOSE",O655))</f>
        <v>LOSE</v>
      </c>
      <c r="BQ655" s="57" t="n">
        <f aca="false">IF(BP655="LOSE",1,IF(N(T655)&gt;0,T655,IF(N(P655)&gt;0,P655,MAX(1,G655))))</f>
        <v>1</v>
      </c>
      <c r="BR655" s="60" t="n">
        <f aca="false">IF(BP655="LOSE",1,0)</f>
        <v>1</v>
      </c>
      <c r="BS655" s="59" t="n">
        <f aca="false">IF(BR655=0,0,IF(N(R655)&gt;0,R655,IFERROR(VLOOKUP(D655,Parameter!$A$35:$C$64,3,0)+0,0)))</f>
        <v>0.03</v>
      </c>
      <c r="BT655" s="55" t="n">
        <f aca="false">IF(Y655&lt;&gt;"",Y655,X655)</f>
        <v>2</v>
      </c>
      <c r="BU655" s="55" t="str">
        <f aca="false">IF(BT655=1,"L1",IF(OR(BT655=2,BT655=3),"L23",IF(BT655="Aussen","Aussen","-")))</f>
        <v>L23</v>
      </c>
      <c r="BV655" s="66" t="n">
        <f aca="false">IF(N(Z655)&gt;0,Z655,0)</f>
        <v>0</v>
      </c>
      <c r="BW655" s="60" t="n">
        <f aca="false">IF(ISNUMBER(AC655),1,0)</f>
        <v>0</v>
      </c>
      <c r="BX655" s="57" t="n">
        <f aca="false">N(AC655)</f>
        <v>0</v>
      </c>
      <c r="BY655" s="57" t="n">
        <f aca="false">N(L655)+N(M655)</f>
        <v>1</v>
      </c>
      <c r="BZ655" s="57" t="n">
        <f aca="false">ROUNDUP(G655/BQ655,0)</f>
        <v>0</v>
      </c>
      <c r="CA655" s="57" t="n">
        <f aca="false">ROUNDUP(BX655/BQ655,0)</f>
        <v>0</v>
      </c>
      <c r="CB655" s="60" t="n">
        <f aca="false">IF(BR655=1,0,IFERROR(VLOOKUP(BP655,'Gebinde-Kategorie'!$A$5:$M$45,5,0)+0,0))</f>
        <v>0</v>
      </c>
      <c r="CC655" s="60" t="n">
        <f aca="false">IFERROR(IF(OR(BT655=1,BT655=2,BT655=3),N(INDEX(Parameter!$I$5:$I$7,BT655)),0),0)</f>
        <v>0</v>
      </c>
      <c r="CD655" s="59" t="n">
        <f aca="false">IF(AND(Parameter!$B$21="Ja",ISNUMBER(U655),N(V655)&gt;0),IFERROR(N(INDEX(Parameter!$L$5:$L$7,U655))*INDEX(Parameter!$E$5:$E$7,U655)*V655/SUMIFS($V$7:$V$1576,$U$7:$U$1576,U655),0),0)</f>
        <v>0</v>
      </c>
    </row>
    <row r="656" customFormat="false" ht="15" hidden="false" customHeight="false" outlineLevel="0" collapsed="false">
      <c r="A656" s="55" t="s">
        <v>1314</v>
      </c>
      <c r="B656" s="55" t="s">
        <v>498</v>
      </c>
      <c r="C656" s="55" t="s">
        <v>160</v>
      </c>
      <c r="D656" s="55" t="s">
        <v>168</v>
      </c>
      <c r="E656" s="55" t="s">
        <v>210</v>
      </c>
      <c r="F656" s="56" t="n">
        <v>444.6</v>
      </c>
      <c r="G656" s="57" t="n">
        <f aca="false">MAX(0,IF(AND(Parameter!$B$21="Ja",ISNUMBER(W656)),W656,IF(Parameter!$B$20="Jahresanfang 2025 + Export",BJ656+BI656,BI656)))</f>
        <v>0</v>
      </c>
      <c r="H656" s="57" t="n">
        <f aca="false">G656*F656</f>
        <v>0</v>
      </c>
      <c r="I656" s="57" t="n">
        <f aca="false">BL656*Parameter!$B$18</f>
        <v>2</v>
      </c>
      <c r="J656" s="58" t="n">
        <v>0</v>
      </c>
      <c r="K656" s="59" t="n">
        <v>0</v>
      </c>
      <c r="L656" s="57" t="n">
        <v>0</v>
      </c>
      <c r="M656" s="57" t="n">
        <v>1</v>
      </c>
      <c r="N656" s="60" t="n">
        <v>42</v>
      </c>
      <c r="O656" s="55" t="s">
        <v>163</v>
      </c>
      <c r="P656" s="57"/>
      <c r="Q656" s="60" t="n">
        <f aca="false">IF(BR656=1,0,IFERROR(VLOOKUP(BP656,'Gebinde-Kategorie'!$A$5:$M$45,13,0)+0,0))</f>
        <v>0</v>
      </c>
      <c r="R656" s="61"/>
      <c r="S656" s="62"/>
      <c r="T656" s="62"/>
      <c r="U656" s="55"/>
      <c r="V656" s="57"/>
      <c r="W656" s="57"/>
      <c r="X656" s="55" t="n">
        <f aca="false">IF(A656="","",IF(AND(Parameter!$B$21="Ja",ISNUMBER(U656)),U656,IF(IFERROR(VLOOKUP(D656,Parameter!$A$35:$C$64,2,0),"Nein")="2+3",IF(ISNUMBER(SEARCH("grosser Artikel",BM656)),2,IFERROR(VLOOKUP(BP656,Parameter!$F$35:$G$64,2,0),2)),IF(OR(IFERROR(VLOOKUP(D656,Parameter!$A$35:$C$64,2,0),"Nein")="Nein",IFERROR(VLOOKUP(D656,Parameter!$A$35:$C$64,2,0),"Nein")=""),"-",VLOOKUP(D656,Parameter!$A$35:$C$64,2,0)))))</f>
        <v>2</v>
      </c>
      <c r="Y656" s="62"/>
      <c r="Z656" s="63"/>
      <c r="AA656" s="57" t="n">
        <f aca="false">AP656</f>
        <v>1</v>
      </c>
      <c r="AB656" s="57" t="n">
        <f aca="false">MAX(AP656,G656)</f>
        <v>1</v>
      </c>
      <c r="AC656" s="64"/>
      <c r="AD656" s="57" t="n">
        <f aca="false">IF(LEFT(Cockpit!$C$5,1)="A",G656,IF(BW656=1,BX656,IF(LEFT(Cockpit!$C$5,1)="B",AH656,MAX(AH656,G656))))</f>
        <v>0</v>
      </c>
      <c r="AE656" s="57" t="n">
        <f aca="false">IF(BR656=1,0,ROUNDUP(AD656/BQ656,0))</f>
        <v>0</v>
      </c>
      <c r="AF656" s="59" t="n">
        <f aca="false">IF(CD656&gt;0,CD656*MAX(1,AD656/V656),IF(BR656=1,IF(AD656&lt;=0,0,BS656*MAX(1,IF(G656&gt;0,AD656/G656,1))),IF(Q656&gt;0,AE656/Q656,0))/MAX(0.1,N(Parameter!$M$21)))</f>
        <v>0</v>
      </c>
      <c r="AG656" s="57" t="n">
        <f aca="false">AD656*F656</f>
        <v>0</v>
      </c>
      <c r="AH656" s="57" t="n">
        <f aca="false">ROUNDUP(MAX(I656/IF(BV656&gt;0,BV656,MAX(0.1,N(Cockpit!$C$6))),BY656)/BQ656,0)*BQ656</f>
        <v>1</v>
      </c>
      <c r="AI656" s="58" t="n">
        <f aca="false">IF(AF656&gt;0,I656/AF656,-1)</f>
        <v>-1</v>
      </c>
      <c r="AJ656" s="58" t="str">
        <f aca="false">IF(AND(OR(BU656="L1",BU656="L23"),AF656&gt;0),SUMIFS($AF$7:$AF$1576,$BU$7:$BU$1576,BU656,$AI$7:$AI$1576,"&gt;"&amp;AI656)+SUMIFS($AF$7:$AF$1576,$BU$7:$BU$1576,BU656,$AI$7:$AI$1576,AI656,$BO$7:$BO$1576,"&lt;="&amp;BO656),"")</f>
        <v/>
      </c>
      <c r="AK656" s="65" t="n">
        <f aca="false">IF(AJ656="",0,MAX(0,MIN(1,(IF(BU656="L1",Parameter!$E$5,Parameter!$E$6+Parameter!$E$7)-(AJ656-AF656))/AF656)))</f>
        <v>0</v>
      </c>
      <c r="AL656" s="57" t="n">
        <f aca="false">IF(LEFT(Cockpit!$I$5,1)="A",G656,IF(BW656=1,BX656,IF(LEFT(Cockpit!$I$5,1)="B",AP656,MAX(AP656,G656))))</f>
        <v>1</v>
      </c>
      <c r="AM656" s="57" t="n">
        <f aca="false">IF(BR656=1,0,ROUNDUP(AL656/BQ656,0))</f>
        <v>0</v>
      </c>
      <c r="AN656" s="59" t="n">
        <f aca="false">IF(CD656&gt;0,CD656*MAX(1,AL656/V656),IF(BR656=1,IF(AL656&lt;=0,0,BS656*MAX(1,IF(G656&gt;0,AL656/G656,1))),IF(Q656&gt;0,AM656/Q656,0))/MAX(0.1,N(Parameter!$M$21)))</f>
        <v>0.15</v>
      </c>
      <c r="AO656" s="57" t="n">
        <f aca="false">AL656*F656</f>
        <v>444.6</v>
      </c>
      <c r="AP656" s="57" t="n">
        <f aca="false">ROUNDUP(MAX(I656/IF(BV656&gt;0,BV656,MAX(0.1,N(Cockpit!$I$6))),BY656)/BQ656,0)*BQ656</f>
        <v>1</v>
      </c>
      <c r="AQ656" s="58" t="n">
        <f aca="false">IF(AN656&gt;0,I656/AN656,-1)</f>
        <v>13.3333333333333</v>
      </c>
      <c r="AR656" s="58" t="n">
        <f aca="false">IF(AND(OR(BU656="L1",BU656="L23"),AN656&gt;0),SUMIFS($AN$7:$AN$1576,$BU$7:$BU$1576,BU656,$AQ$7:$AQ$1576,"&gt;"&amp;AQ656)+SUMIFS($AN$7:$AN$1576,$BU$7:$BU$1576,BU656,$AQ$7:$AQ$1576,AQ656,$BO$7:$BO$1576,"&lt;="&amp;BO656),"")</f>
        <v>105.418075614337</v>
      </c>
      <c r="AS656" s="65" t="n">
        <f aca="false">IF(AR656="",0,MAX(0,MIN(1,(IF(BU656="L1",Parameter!$E$5,Parameter!$E$6+Parameter!$E$7)-(AR656-AN656))/AN656)))</f>
        <v>0</v>
      </c>
      <c r="AT656" s="57" t="n">
        <f aca="false">IF(LEFT(Cockpit!$O$5,1)="A",G656,IF(BW656=1,BX656,IF(LEFT(Cockpit!$O$5,1)="B",AX656,MAX(AX656,G656))))</f>
        <v>1</v>
      </c>
      <c r="AU656" s="57" t="n">
        <f aca="false">IF(BR656=1,0,ROUNDUP(AT656/BQ656,0))</f>
        <v>0</v>
      </c>
      <c r="AV656" s="59" t="n">
        <f aca="false">IF(CD656&gt;0,CD656*MAX(1,AT656/V656),IF(BR656=1,IF(AT656&lt;=0,0,BS656*MAX(1,IF(G656&gt;0,AT656/G656,1))),IF(Q656&gt;0,AU656/Q656,0))/MAX(0.1,N(Parameter!$M$21)))</f>
        <v>0.15</v>
      </c>
      <c r="AW656" s="57" t="n">
        <f aca="false">AT656*F656</f>
        <v>444.6</v>
      </c>
      <c r="AX656" s="57" t="n">
        <f aca="false">ROUNDUP(MAX(I656/IF(BV656&gt;0,BV656,MAX(0.1,N(Cockpit!$O$6))),BY656)/BQ656,0)*BQ656</f>
        <v>1</v>
      </c>
      <c r="AY656" s="58" t="n">
        <f aca="false">IF(AV656&gt;0,I656/AV656,-1)</f>
        <v>13.3333333333333</v>
      </c>
      <c r="AZ656" s="58" t="n">
        <f aca="false">IF(AND(OR(BU656="L1",BU656="L23"),AV656&gt;0),SUMIFS($AV$7:$AV$1576,$BU$7:$BU$1576,BU656,$AY$7:$AY$1576,"&gt;"&amp;AY656)+SUMIFS($AV$7:$AV$1576,$BU$7:$BU$1576,BU656,$AY$7:$AY$1576,AY656,$BO$7:$BO$1576,"&lt;="&amp;BO656),"")</f>
        <v>95.4776260638872</v>
      </c>
      <c r="BA656" s="65" t="n">
        <f aca="false">IF(AZ656="",0,MAX(0,MIN(1,(IF(BU656="L1",Parameter!$E$5,Parameter!$E$6+Parameter!$E$7)-(AZ656-AV656))/AV656)))</f>
        <v>1</v>
      </c>
      <c r="BB656" s="55" t="str">
        <f aca="false">IF(AF656&lt;=0,"",IF(BU656="Aussen","Aussenlager",IF(BU656="-","Nicht im Lift",IF(AK656&gt;=1,"Lift",IF(AK656&lt;=0,"Aussenlager","teilweise")))))</f>
        <v/>
      </c>
      <c r="BC656" s="55" t="str">
        <f aca="false">IF(AN656&lt;=0,"",IF(BU656="Aussen","Aussenlager",IF(BU656="-","Nicht im Lift",IF(AS656&gt;=1,"Lift",IF(AS656&lt;=0,"Aussenlager","teilweise")))))</f>
        <v>Aussenlager</v>
      </c>
      <c r="BD656" s="55" t="str">
        <f aca="false">IF(AV656&lt;=0,"",IF(BU656="Aussen","Aussenlager",IF(BU656="-","Nicht im Lift",IF(BA656&gt;=1,"Lift",IF(BA656&lt;=0,"Aussenlager","teilweise")))))</f>
        <v>Lift</v>
      </c>
      <c r="BE656" s="55" t="str">
        <f aca="false">IF(A656="","",IF(BN656=1,"Neu; ","")&amp;IF(AND(BN656=0,BI656&lt;0),"negativer Bestand (Export "&amp;BI656&amp;"); ","")&amp;IF(I656&lt;=0,"Kein Verbrauch; ","")&amp;IF(CD656&gt;0,"Lift "&amp;U656&amp;" lt. Liftbericht (Fach "&amp;V656&amp;" Stk); ",IF(BR656=1,"Lose – Fläche geschätzt; ",""))&amp;IF(G656&gt;AP656,"Überbestand "&amp;ROUND(G656-AP656,0)&amp;" Stk / CHF "&amp;ROUND((G656-AP656)*F656,0)&amp;"; ","")&amp;IF(AND(BW656=1,BX656&lt;BY656),"MAX &lt; MB+LG; ","")&amp;IF(AND(CC656&gt;0,CB656*10&gt;CC656),"zu hoch für Tablar; ","")&amp;IF(AND(BN656=0,OR(BW656=1,Y656&lt;&gt;"",S656&lt;&gt;"",T656&lt;&gt;"",Z656&lt;&gt;"")),"manuell übersteuert; ","")&amp;IF(AND(BR656=0,Q656=0),"Gebinde unbekannt / Stellmass fehlt; ","")&amp;IF(AND(BR656=0,N(T656)&lt;=0,N(P656)&lt;=0),"Menge pro Gebinde fehlt (Ist = 1 Gebinde); ","")&amp;BM656)</f>
        <v>Lose – Fläche geschätzt; </v>
      </c>
      <c r="BF656" s="55"/>
      <c r="BG656" s="55"/>
      <c r="BH656" s="62"/>
      <c r="BI656" s="57" t="n">
        <v>0</v>
      </c>
      <c r="BJ656" s="57" t="n">
        <v>0</v>
      </c>
      <c r="BK656" s="56" t="n">
        <v>1.13686837721616E-013</v>
      </c>
      <c r="BL656" s="57" t="n">
        <v>2</v>
      </c>
      <c r="BM656" s="55"/>
      <c r="BN656" s="60" t="n">
        <v>0</v>
      </c>
      <c r="BO656" s="60" t="n">
        <v>656</v>
      </c>
      <c r="BP656" s="55" t="str">
        <f aca="false">IF(S656&lt;&gt;"",UPPER(TRIM(S656)),IF(O656="","LOSE",O656))</f>
        <v>LOSE</v>
      </c>
      <c r="BQ656" s="57" t="n">
        <f aca="false">IF(BP656="LOSE",1,IF(N(T656)&gt;0,T656,IF(N(P656)&gt;0,P656,MAX(1,G656))))</f>
        <v>1</v>
      </c>
      <c r="BR656" s="60" t="n">
        <f aca="false">IF(BP656="LOSE",1,0)</f>
        <v>1</v>
      </c>
      <c r="BS656" s="59" t="n">
        <f aca="false">IF(BR656=0,0,IF(N(R656)&gt;0,R656,IFERROR(VLOOKUP(D656,Parameter!$A$35:$C$64,3,0)+0,0)))</f>
        <v>0.15</v>
      </c>
      <c r="BT656" s="55" t="n">
        <f aca="false">IF(Y656&lt;&gt;"",Y656,X656)</f>
        <v>2</v>
      </c>
      <c r="BU656" s="55" t="str">
        <f aca="false">IF(BT656=1,"L1",IF(OR(BT656=2,BT656=3),"L23",IF(BT656="Aussen","Aussen","-")))</f>
        <v>L23</v>
      </c>
      <c r="BV656" s="66" t="n">
        <f aca="false">IF(N(Z656)&gt;0,Z656,0)</f>
        <v>0</v>
      </c>
      <c r="BW656" s="60" t="n">
        <f aca="false">IF(ISNUMBER(AC656),1,0)</f>
        <v>0</v>
      </c>
      <c r="BX656" s="57" t="n">
        <f aca="false">N(AC656)</f>
        <v>0</v>
      </c>
      <c r="BY656" s="57" t="n">
        <f aca="false">N(L656)+N(M656)</f>
        <v>1</v>
      </c>
      <c r="BZ656" s="57" t="n">
        <f aca="false">ROUNDUP(G656/BQ656,0)</f>
        <v>0</v>
      </c>
      <c r="CA656" s="57" t="n">
        <f aca="false">ROUNDUP(BX656/BQ656,0)</f>
        <v>0</v>
      </c>
      <c r="CB656" s="60" t="n">
        <f aca="false">IF(BR656=1,0,IFERROR(VLOOKUP(BP656,'Gebinde-Kategorie'!$A$5:$M$45,5,0)+0,0))</f>
        <v>0</v>
      </c>
      <c r="CC656" s="60" t="n">
        <f aca="false">IFERROR(IF(OR(BT656=1,BT656=2,BT656=3),N(INDEX(Parameter!$I$5:$I$7,BT656)),0),0)</f>
        <v>0</v>
      </c>
      <c r="CD656" s="59" t="n">
        <f aca="false">IF(AND(Parameter!$B$21="Ja",ISNUMBER(U656),N(V656)&gt;0),IFERROR(N(INDEX(Parameter!$L$5:$L$7,U656))*INDEX(Parameter!$E$5:$E$7,U656)*V656/SUMIFS($V$7:$V$1576,$U$7:$U$1576,U656),0),0)</f>
        <v>0</v>
      </c>
    </row>
    <row r="657" customFormat="false" ht="15" hidden="false" customHeight="false" outlineLevel="0" collapsed="false">
      <c r="A657" s="55" t="s">
        <v>1315</v>
      </c>
      <c r="B657" s="55" t="s">
        <v>687</v>
      </c>
      <c r="C657" s="55" t="s">
        <v>160</v>
      </c>
      <c r="D657" s="55" t="s">
        <v>168</v>
      </c>
      <c r="E657" s="55" t="s">
        <v>210</v>
      </c>
      <c r="F657" s="56" t="n">
        <v>444.6</v>
      </c>
      <c r="G657" s="57" t="n">
        <f aca="false">MAX(0,IF(AND(Parameter!$B$21="Ja",ISNUMBER(W657)),W657,IF(Parameter!$B$20="Jahresanfang 2025 + Export",BJ657+BI657,BI657)))</f>
        <v>0</v>
      </c>
      <c r="H657" s="57" t="n">
        <f aca="false">G657*F657</f>
        <v>0</v>
      </c>
      <c r="I657" s="57" t="n">
        <f aca="false">BL657*Parameter!$B$18</f>
        <v>2</v>
      </c>
      <c r="J657" s="58" t="n">
        <v>0</v>
      </c>
      <c r="K657" s="59" t="n">
        <v>0</v>
      </c>
      <c r="L657" s="57" t="n">
        <v>0</v>
      </c>
      <c r="M657" s="57" t="n">
        <v>1</v>
      </c>
      <c r="N657" s="60" t="n">
        <v>42</v>
      </c>
      <c r="O657" s="55" t="s">
        <v>163</v>
      </c>
      <c r="P657" s="57"/>
      <c r="Q657" s="60" t="n">
        <f aca="false">IF(BR657=1,0,IFERROR(VLOOKUP(BP657,'Gebinde-Kategorie'!$A$5:$M$45,13,0)+0,0))</f>
        <v>0</v>
      </c>
      <c r="R657" s="61"/>
      <c r="S657" s="62"/>
      <c r="T657" s="62"/>
      <c r="U657" s="55"/>
      <c r="V657" s="57"/>
      <c r="W657" s="57"/>
      <c r="X657" s="55" t="n">
        <f aca="false">IF(A657="","",IF(AND(Parameter!$B$21="Ja",ISNUMBER(U657)),U657,IF(IFERROR(VLOOKUP(D657,Parameter!$A$35:$C$64,2,0),"Nein")="2+3",IF(ISNUMBER(SEARCH("grosser Artikel",BM657)),2,IFERROR(VLOOKUP(BP657,Parameter!$F$35:$G$64,2,0),2)),IF(OR(IFERROR(VLOOKUP(D657,Parameter!$A$35:$C$64,2,0),"Nein")="Nein",IFERROR(VLOOKUP(D657,Parameter!$A$35:$C$64,2,0),"Nein")=""),"-",VLOOKUP(D657,Parameter!$A$35:$C$64,2,0)))))</f>
        <v>2</v>
      </c>
      <c r="Y657" s="62"/>
      <c r="Z657" s="63"/>
      <c r="AA657" s="57" t="n">
        <f aca="false">AP657</f>
        <v>1</v>
      </c>
      <c r="AB657" s="57" t="n">
        <f aca="false">MAX(AP657,G657)</f>
        <v>1</v>
      </c>
      <c r="AC657" s="64"/>
      <c r="AD657" s="57" t="n">
        <f aca="false">IF(LEFT(Cockpit!$C$5,1)="A",G657,IF(BW657=1,BX657,IF(LEFT(Cockpit!$C$5,1)="B",AH657,MAX(AH657,G657))))</f>
        <v>0</v>
      </c>
      <c r="AE657" s="57" t="n">
        <f aca="false">IF(BR657=1,0,ROUNDUP(AD657/BQ657,0))</f>
        <v>0</v>
      </c>
      <c r="AF657" s="59" t="n">
        <f aca="false">IF(CD657&gt;0,CD657*MAX(1,AD657/V657),IF(BR657=1,IF(AD657&lt;=0,0,BS657*MAX(1,IF(G657&gt;0,AD657/G657,1))),IF(Q657&gt;0,AE657/Q657,0))/MAX(0.1,N(Parameter!$M$21)))</f>
        <v>0</v>
      </c>
      <c r="AG657" s="57" t="n">
        <f aca="false">AD657*F657</f>
        <v>0</v>
      </c>
      <c r="AH657" s="57" t="n">
        <f aca="false">ROUNDUP(MAX(I657/IF(BV657&gt;0,BV657,MAX(0.1,N(Cockpit!$C$6))),BY657)/BQ657,0)*BQ657</f>
        <v>1</v>
      </c>
      <c r="AI657" s="58" t="n">
        <f aca="false">IF(AF657&gt;0,I657/AF657,-1)</f>
        <v>-1</v>
      </c>
      <c r="AJ657" s="58" t="str">
        <f aca="false">IF(AND(OR(BU657="L1",BU657="L23"),AF657&gt;0),SUMIFS($AF$7:$AF$1576,$BU$7:$BU$1576,BU657,$AI$7:$AI$1576,"&gt;"&amp;AI657)+SUMIFS($AF$7:$AF$1576,$BU$7:$BU$1576,BU657,$AI$7:$AI$1576,AI657,$BO$7:$BO$1576,"&lt;="&amp;BO657),"")</f>
        <v/>
      </c>
      <c r="AK657" s="65" t="n">
        <f aca="false">IF(AJ657="",0,MAX(0,MIN(1,(IF(BU657="L1",Parameter!$E$5,Parameter!$E$6+Parameter!$E$7)-(AJ657-AF657))/AF657)))</f>
        <v>0</v>
      </c>
      <c r="AL657" s="57" t="n">
        <f aca="false">IF(LEFT(Cockpit!$I$5,1)="A",G657,IF(BW657=1,BX657,IF(LEFT(Cockpit!$I$5,1)="B",AP657,MAX(AP657,G657))))</f>
        <v>1</v>
      </c>
      <c r="AM657" s="57" t="n">
        <f aca="false">IF(BR657=1,0,ROUNDUP(AL657/BQ657,0))</f>
        <v>0</v>
      </c>
      <c r="AN657" s="59" t="n">
        <f aca="false">IF(CD657&gt;0,CD657*MAX(1,AL657/V657),IF(BR657=1,IF(AL657&lt;=0,0,BS657*MAX(1,IF(G657&gt;0,AL657/G657,1))),IF(Q657&gt;0,AM657/Q657,0))/MAX(0.1,N(Parameter!$M$21)))</f>
        <v>0.15</v>
      </c>
      <c r="AO657" s="57" t="n">
        <f aca="false">AL657*F657</f>
        <v>444.6</v>
      </c>
      <c r="AP657" s="57" t="n">
        <f aca="false">ROUNDUP(MAX(I657/IF(BV657&gt;0,BV657,MAX(0.1,N(Cockpit!$I$6))),BY657)/BQ657,0)*BQ657</f>
        <v>1</v>
      </c>
      <c r="AQ657" s="58" t="n">
        <f aca="false">IF(AN657&gt;0,I657/AN657,-1)</f>
        <v>13.3333333333333</v>
      </c>
      <c r="AR657" s="58" t="n">
        <f aca="false">IF(AND(OR(BU657="L1",BU657="L23"),AN657&gt;0),SUMIFS($AN$7:$AN$1576,$BU$7:$BU$1576,BU657,$AQ$7:$AQ$1576,"&gt;"&amp;AQ657)+SUMIFS($AN$7:$AN$1576,$BU$7:$BU$1576,BU657,$AQ$7:$AQ$1576,AQ657,$BO$7:$BO$1576,"&lt;="&amp;BO657),"")</f>
        <v>105.568075614337</v>
      </c>
      <c r="AS657" s="65" t="n">
        <f aca="false">IF(AR657="",0,MAX(0,MIN(1,(IF(BU657="L1",Parameter!$E$5,Parameter!$E$6+Parameter!$E$7)-(AR657-AN657))/AN657)))</f>
        <v>0</v>
      </c>
      <c r="AT657" s="57" t="n">
        <f aca="false">IF(LEFT(Cockpit!$O$5,1)="A",G657,IF(BW657=1,BX657,IF(LEFT(Cockpit!$O$5,1)="B",AX657,MAX(AX657,G657))))</f>
        <v>1</v>
      </c>
      <c r="AU657" s="57" t="n">
        <f aca="false">IF(BR657=1,0,ROUNDUP(AT657/BQ657,0))</f>
        <v>0</v>
      </c>
      <c r="AV657" s="59" t="n">
        <f aca="false">IF(CD657&gt;0,CD657*MAX(1,AT657/V657),IF(BR657=1,IF(AT657&lt;=0,0,BS657*MAX(1,IF(G657&gt;0,AT657/G657,1))),IF(Q657&gt;0,AU657/Q657,0))/MAX(0.1,N(Parameter!$M$21)))</f>
        <v>0.15</v>
      </c>
      <c r="AW657" s="57" t="n">
        <f aca="false">AT657*F657</f>
        <v>444.6</v>
      </c>
      <c r="AX657" s="57" t="n">
        <f aca="false">ROUNDUP(MAX(I657/IF(BV657&gt;0,BV657,MAX(0.1,N(Cockpit!$O$6))),BY657)/BQ657,0)*BQ657</f>
        <v>1</v>
      </c>
      <c r="AY657" s="58" t="n">
        <f aca="false">IF(AV657&gt;0,I657/AV657,-1)</f>
        <v>13.3333333333333</v>
      </c>
      <c r="AZ657" s="58" t="n">
        <f aca="false">IF(AND(OR(BU657="L1",BU657="L23"),AV657&gt;0),SUMIFS($AV$7:$AV$1576,$BU$7:$BU$1576,BU657,$AY$7:$AY$1576,"&gt;"&amp;AY657)+SUMIFS($AV$7:$AV$1576,$BU$7:$BU$1576,BU657,$AY$7:$AY$1576,AY657,$BO$7:$BO$1576,"&lt;="&amp;BO657),"")</f>
        <v>95.6276260638872</v>
      </c>
      <c r="BA657" s="65" t="n">
        <f aca="false">IF(AZ657="",0,MAX(0,MIN(1,(IF(BU657="L1",Parameter!$E$5,Parameter!$E$6+Parameter!$E$7)-(AZ657-AV657))/AV657)))</f>
        <v>1</v>
      </c>
      <c r="BB657" s="55" t="str">
        <f aca="false">IF(AF657&lt;=0,"",IF(BU657="Aussen","Aussenlager",IF(BU657="-","Nicht im Lift",IF(AK657&gt;=1,"Lift",IF(AK657&lt;=0,"Aussenlager","teilweise")))))</f>
        <v/>
      </c>
      <c r="BC657" s="55" t="str">
        <f aca="false">IF(AN657&lt;=0,"",IF(BU657="Aussen","Aussenlager",IF(BU657="-","Nicht im Lift",IF(AS657&gt;=1,"Lift",IF(AS657&lt;=0,"Aussenlager","teilweise")))))</f>
        <v>Aussenlager</v>
      </c>
      <c r="BD657" s="55" t="str">
        <f aca="false">IF(AV657&lt;=0,"",IF(BU657="Aussen","Aussenlager",IF(BU657="-","Nicht im Lift",IF(BA657&gt;=1,"Lift",IF(BA657&lt;=0,"Aussenlager","teilweise")))))</f>
        <v>Lift</v>
      </c>
      <c r="BE657" s="55" t="str">
        <f aca="false">IF(A657="","",IF(BN657=1,"Neu; ","")&amp;IF(AND(BN657=0,BI657&lt;0),"negativer Bestand (Export "&amp;BI657&amp;"); ","")&amp;IF(I657&lt;=0,"Kein Verbrauch; ","")&amp;IF(CD657&gt;0,"Lift "&amp;U657&amp;" lt. Liftbericht (Fach "&amp;V657&amp;" Stk); ",IF(BR657=1,"Lose – Fläche geschätzt; ",""))&amp;IF(G657&gt;AP657,"Überbestand "&amp;ROUND(G657-AP657,0)&amp;" Stk / CHF "&amp;ROUND((G657-AP657)*F657,0)&amp;"; ","")&amp;IF(AND(BW657=1,BX657&lt;BY657),"MAX &lt; MB+LG; ","")&amp;IF(AND(CC657&gt;0,CB657*10&gt;CC657),"zu hoch für Tablar; ","")&amp;IF(AND(BN657=0,OR(BW657=1,Y657&lt;&gt;"",S657&lt;&gt;"",T657&lt;&gt;"",Z657&lt;&gt;"")),"manuell übersteuert; ","")&amp;IF(AND(BR657=0,Q657=0),"Gebinde unbekannt / Stellmass fehlt; ","")&amp;IF(AND(BR657=0,N(T657)&lt;=0,N(P657)&lt;=0),"Menge pro Gebinde fehlt (Ist = 1 Gebinde); ","")&amp;BM657)</f>
        <v>Lose – Fläche geschätzt; </v>
      </c>
      <c r="BF657" s="55"/>
      <c r="BG657" s="55"/>
      <c r="BH657" s="62"/>
      <c r="BI657" s="57" t="n">
        <v>0</v>
      </c>
      <c r="BJ657" s="57" t="n">
        <v>0</v>
      </c>
      <c r="BK657" s="56" t="n">
        <v>1.13686837721616E-013</v>
      </c>
      <c r="BL657" s="57" t="n">
        <v>2</v>
      </c>
      <c r="BM657" s="55"/>
      <c r="BN657" s="60" t="n">
        <v>0</v>
      </c>
      <c r="BO657" s="60" t="n">
        <v>657</v>
      </c>
      <c r="BP657" s="55" t="str">
        <f aca="false">IF(S657&lt;&gt;"",UPPER(TRIM(S657)),IF(O657="","LOSE",O657))</f>
        <v>LOSE</v>
      </c>
      <c r="BQ657" s="57" t="n">
        <f aca="false">IF(BP657="LOSE",1,IF(N(T657)&gt;0,T657,IF(N(P657)&gt;0,P657,MAX(1,G657))))</f>
        <v>1</v>
      </c>
      <c r="BR657" s="60" t="n">
        <f aca="false">IF(BP657="LOSE",1,0)</f>
        <v>1</v>
      </c>
      <c r="BS657" s="59" t="n">
        <f aca="false">IF(BR657=0,0,IF(N(R657)&gt;0,R657,IFERROR(VLOOKUP(D657,Parameter!$A$35:$C$64,3,0)+0,0)))</f>
        <v>0.15</v>
      </c>
      <c r="BT657" s="55" t="n">
        <f aca="false">IF(Y657&lt;&gt;"",Y657,X657)</f>
        <v>2</v>
      </c>
      <c r="BU657" s="55" t="str">
        <f aca="false">IF(BT657=1,"L1",IF(OR(BT657=2,BT657=3),"L23",IF(BT657="Aussen","Aussen","-")))</f>
        <v>L23</v>
      </c>
      <c r="BV657" s="66" t="n">
        <f aca="false">IF(N(Z657)&gt;0,Z657,0)</f>
        <v>0</v>
      </c>
      <c r="BW657" s="60" t="n">
        <f aca="false">IF(ISNUMBER(AC657),1,0)</f>
        <v>0</v>
      </c>
      <c r="BX657" s="57" t="n">
        <f aca="false">N(AC657)</f>
        <v>0</v>
      </c>
      <c r="BY657" s="57" t="n">
        <f aca="false">N(L657)+N(M657)</f>
        <v>1</v>
      </c>
      <c r="BZ657" s="57" t="n">
        <f aca="false">ROUNDUP(G657/BQ657,0)</f>
        <v>0</v>
      </c>
      <c r="CA657" s="57" t="n">
        <f aca="false">ROUNDUP(BX657/BQ657,0)</f>
        <v>0</v>
      </c>
      <c r="CB657" s="60" t="n">
        <f aca="false">IF(BR657=1,0,IFERROR(VLOOKUP(BP657,'Gebinde-Kategorie'!$A$5:$M$45,5,0)+0,0))</f>
        <v>0</v>
      </c>
      <c r="CC657" s="60" t="n">
        <f aca="false">IFERROR(IF(OR(BT657=1,BT657=2,BT657=3),N(INDEX(Parameter!$I$5:$I$7,BT657)),0),0)</f>
        <v>0</v>
      </c>
      <c r="CD657" s="59" t="n">
        <f aca="false">IF(AND(Parameter!$B$21="Ja",ISNUMBER(U657),N(V657)&gt;0),IFERROR(N(INDEX(Parameter!$L$5:$L$7,U657))*INDEX(Parameter!$E$5:$E$7,U657)*V657/SUMIFS($V$7:$V$1576,$U$7:$U$1576,U657),0),0)</f>
        <v>0</v>
      </c>
    </row>
    <row r="658" customFormat="false" ht="15" hidden="false" customHeight="false" outlineLevel="0" collapsed="false">
      <c r="A658" s="55" t="s">
        <v>1316</v>
      </c>
      <c r="B658" s="55" t="s">
        <v>1317</v>
      </c>
      <c r="C658" s="55" t="s">
        <v>160</v>
      </c>
      <c r="D658" s="55" t="s">
        <v>984</v>
      </c>
      <c r="E658" s="55" t="s">
        <v>210</v>
      </c>
      <c r="F658" s="56" t="n">
        <v>20.47</v>
      </c>
      <c r="G658" s="57" t="n">
        <f aca="false">MAX(0,IF(AND(Parameter!$B$21="Ja",ISNUMBER(W658)),W658,IF(Parameter!$B$20="Jahresanfang 2025 + Export",BJ658+BI658,BI658)))</f>
        <v>0</v>
      </c>
      <c r="H658" s="57" t="n">
        <f aca="false">G658*F658</f>
        <v>0</v>
      </c>
      <c r="I658" s="57" t="n">
        <f aca="false">BL658*Parameter!$B$18</f>
        <v>60</v>
      </c>
      <c r="J658" s="58" t="n">
        <v>0</v>
      </c>
      <c r="K658" s="59" t="n">
        <v>0</v>
      </c>
      <c r="L658" s="57" t="n">
        <v>0</v>
      </c>
      <c r="M658" s="57" t="n">
        <v>10</v>
      </c>
      <c r="N658" s="60" t="n">
        <v>28</v>
      </c>
      <c r="O658" s="55" t="s">
        <v>163</v>
      </c>
      <c r="P658" s="57"/>
      <c r="Q658" s="60" t="n">
        <f aca="false">IF(BR658=1,0,IFERROR(VLOOKUP(BP658,'Gebinde-Kategorie'!$A$5:$M$45,13,0)+0,0))</f>
        <v>0</v>
      </c>
      <c r="R658" s="61"/>
      <c r="S658" s="62"/>
      <c r="T658" s="62"/>
      <c r="U658" s="55"/>
      <c r="V658" s="57"/>
      <c r="W658" s="57"/>
      <c r="X658" s="55" t="str">
        <f aca="false">IF(A658="","",IF(AND(Parameter!$B$21="Ja",ISNUMBER(U658)),U658,IF(IFERROR(VLOOKUP(D658,Parameter!$A$35:$C$64,2,0),"Nein")="2+3",IF(ISNUMBER(SEARCH("grosser Artikel",BM658)),2,IFERROR(VLOOKUP(BP658,Parameter!$F$35:$G$64,2,0),2)),IF(OR(IFERROR(VLOOKUP(D658,Parameter!$A$35:$C$64,2,0),"Nein")="Nein",IFERROR(VLOOKUP(D658,Parameter!$A$35:$C$64,2,0),"Nein")=""),"-",VLOOKUP(D658,Parameter!$A$35:$C$64,2,0)))))</f>
        <v>-</v>
      </c>
      <c r="Y658" s="62"/>
      <c r="Z658" s="63"/>
      <c r="AA658" s="57" t="n">
        <f aca="false">AP658</f>
        <v>30</v>
      </c>
      <c r="AB658" s="57" t="n">
        <f aca="false">MAX(AP658,G658)</f>
        <v>30</v>
      </c>
      <c r="AC658" s="64"/>
      <c r="AD658" s="57" t="n">
        <f aca="false">IF(LEFT(Cockpit!$C$5,1)="A",G658,IF(BW658=1,BX658,IF(LEFT(Cockpit!$C$5,1)="B",AH658,MAX(AH658,G658))))</f>
        <v>0</v>
      </c>
      <c r="AE658" s="57" t="n">
        <f aca="false">IF(BR658=1,0,ROUNDUP(AD658/BQ658,0))</f>
        <v>0</v>
      </c>
      <c r="AF658" s="59" t="n">
        <f aca="false">IF(CD658&gt;0,CD658*MAX(1,AD658/V658),IF(BR658=1,IF(AD658&lt;=0,0,BS658*MAX(1,IF(G658&gt;0,AD658/G658,1))),IF(Q658&gt;0,AE658/Q658,0))/MAX(0.1,N(Parameter!$M$21)))</f>
        <v>0</v>
      </c>
      <c r="AG658" s="57" t="n">
        <f aca="false">AD658*F658</f>
        <v>0</v>
      </c>
      <c r="AH658" s="57" t="n">
        <f aca="false">ROUNDUP(MAX(I658/IF(BV658&gt;0,BV658,MAX(0.1,N(Cockpit!$C$6))),BY658)/BQ658,0)*BQ658</f>
        <v>30</v>
      </c>
      <c r="AI658" s="58" t="n">
        <f aca="false">IF(AF658&gt;0,I658/AF658,-1)</f>
        <v>-1</v>
      </c>
      <c r="AJ658" s="58" t="str">
        <f aca="false">IF(AND(OR(BU658="L1",BU658="L23"),AF658&gt;0),SUMIFS($AF$7:$AF$1576,$BU$7:$BU$1576,BU658,$AI$7:$AI$1576,"&gt;"&amp;AI658)+SUMIFS($AF$7:$AF$1576,$BU$7:$BU$1576,BU658,$AI$7:$AI$1576,AI658,$BO$7:$BO$1576,"&lt;="&amp;BO658),"")</f>
        <v/>
      </c>
      <c r="AK658" s="65" t="n">
        <f aca="false">IF(AJ658="",0,MAX(0,MIN(1,(IF(BU658="L1",Parameter!$E$5,Parameter!$E$6+Parameter!$E$7)-(AJ658-AF658))/AF658)))</f>
        <v>0</v>
      </c>
      <c r="AL658" s="57" t="n">
        <f aca="false">IF(LEFT(Cockpit!$I$5,1)="A",G658,IF(BW658=1,BX658,IF(LEFT(Cockpit!$I$5,1)="B",AP658,MAX(AP658,G658))))</f>
        <v>30</v>
      </c>
      <c r="AM658" s="57" t="n">
        <f aca="false">IF(BR658=1,0,ROUNDUP(AL658/BQ658,0))</f>
        <v>0</v>
      </c>
      <c r="AN658" s="59" t="n">
        <f aca="false">IF(CD658&gt;0,CD658*MAX(1,AL658/V658),IF(BR658=1,IF(AL658&lt;=0,0,BS658*MAX(1,IF(G658&gt;0,AL658/G658,1))),IF(Q658&gt;0,AM658/Q658,0))/MAX(0.1,N(Parameter!$M$21)))</f>
        <v>0.15</v>
      </c>
      <c r="AO658" s="57" t="n">
        <f aca="false">AL658*F658</f>
        <v>614.1</v>
      </c>
      <c r="AP658" s="57" t="n">
        <f aca="false">ROUNDUP(MAX(I658/IF(BV658&gt;0,BV658,MAX(0.1,N(Cockpit!$I$6))),BY658)/BQ658,0)*BQ658</f>
        <v>30</v>
      </c>
      <c r="AQ658" s="58" t="n">
        <f aca="false">IF(AN658&gt;0,I658/AN658,-1)</f>
        <v>400</v>
      </c>
      <c r="AR658" s="58" t="str">
        <f aca="false">IF(AND(OR(BU658="L1",BU658="L23"),AN658&gt;0),SUMIFS($AN$7:$AN$1576,$BU$7:$BU$1576,BU658,$AQ$7:$AQ$1576,"&gt;"&amp;AQ658)+SUMIFS($AN$7:$AN$1576,$BU$7:$BU$1576,BU658,$AQ$7:$AQ$1576,AQ658,$BO$7:$BO$1576,"&lt;="&amp;BO658),"")</f>
        <v/>
      </c>
      <c r="AS658" s="65" t="n">
        <f aca="false">IF(AR658="",0,MAX(0,MIN(1,(IF(BU658="L1",Parameter!$E$5,Parameter!$E$6+Parameter!$E$7)-(AR658-AN658))/AN658)))</f>
        <v>0</v>
      </c>
      <c r="AT658" s="57" t="n">
        <f aca="false">IF(LEFT(Cockpit!$O$5,1)="A",G658,IF(BW658=1,BX658,IF(LEFT(Cockpit!$O$5,1)="B",AX658,MAX(AX658,G658))))</f>
        <v>20</v>
      </c>
      <c r="AU658" s="57" t="n">
        <f aca="false">IF(BR658=1,0,ROUNDUP(AT658/BQ658,0))</f>
        <v>0</v>
      </c>
      <c r="AV658" s="59" t="n">
        <f aca="false">IF(CD658&gt;0,CD658*MAX(1,AT658/V658),IF(BR658=1,IF(AT658&lt;=0,0,BS658*MAX(1,IF(G658&gt;0,AT658/G658,1))),IF(Q658&gt;0,AU658/Q658,0))/MAX(0.1,N(Parameter!$M$21)))</f>
        <v>0.15</v>
      </c>
      <c r="AW658" s="57" t="n">
        <f aca="false">AT658*F658</f>
        <v>409.4</v>
      </c>
      <c r="AX658" s="57" t="n">
        <f aca="false">ROUNDUP(MAX(I658/IF(BV658&gt;0,BV658,MAX(0.1,N(Cockpit!$O$6))),BY658)/BQ658,0)*BQ658</f>
        <v>20</v>
      </c>
      <c r="AY658" s="58" t="n">
        <f aca="false">IF(AV658&gt;0,I658/AV658,-1)</f>
        <v>400</v>
      </c>
      <c r="AZ658" s="58" t="str">
        <f aca="false">IF(AND(OR(BU658="L1",BU658="L23"),AV658&gt;0),SUMIFS($AV$7:$AV$1576,$BU$7:$BU$1576,BU658,$AY$7:$AY$1576,"&gt;"&amp;AY658)+SUMIFS($AV$7:$AV$1576,$BU$7:$BU$1576,BU658,$AY$7:$AY$1576,AY658,$BO$7:$BO$1576,"&lt;="&amp;BO658),"")</f>
        <v/>
      </c>
      <c r="BA658" s="65" t="n">
        <f aca="false">IF(AZ658="",0,MAX(0,MIN(1,(IF(BU658="L1",Parameter!$E$5,Parameter!$E$6+Parameter!$E$7)-(AZ658-AV658))/AV658)))</f>
        <v>0</v>
      </c>
      <c r="BB658" s="55" t="str">
        <f aca="false">IF(AF658&lt;=0,"",IF(BU658="Aussen","Aussenlager",IF(BU658="-","Nicht im Lift",IF(AK658&gt;=1,"Lift",IF(AK658&lt;=0,"Aussenlager","teilweise")))))</f>
        <v/>
      </c>
      <c r="BC658" s="55" t="str">
        <f aca="false">IF(AN658&lt;=0,"",IF(BU658="Aussen","Aussenlager",IF(BU658="-","Nicht im Lift",IF(AS658&gt;=1,"Lift",IF(AS658&lt;=0,"Aussenlager","teilweise")))))</f>
        <v>Nicht im Lift</v>
      </c>
      <c r="BD658" s="55" t="str">
        <f aca="false">IF(AV658&lt;=0,"",IF(BU658="Aussen","Aussenlager",IF(BU658="-","Nicht im Lift",IF(BA658&gt;=1,"Lift",IF(BA658&lt;=0,"Aussenlager","teilweise")))))</f>
        <v>Nicht im Lift</v>
      </c>
      <c r="BE658" s="55" t="str">
        <f aca="false">IF(A658="","",IF(BN658=1,"Neu; ","")&amp;IF(AND(BN658=0,BI658&lt;0),"negativer Bestand (Export "&amp;BI658&amp;"); ","")&amp;IF(I658&lt;=0,"Kein Verbrauch; ","")&amp;IF(CD658&gt;0,"Lift "&amp;U658&amp;" lt. Liftbericht (Fach "&amp;V658&amp;" Stk); ",IF(BR658=1,"Lose – Fläche geschätzt; ",""))&amp;IF(G658&gt;AP658,"Überbestand "&amp;ROUND(G658-AP658,0)&amp;" Stk / CHF "&amp;ROUND((G658-AP658)*F658,0)&amp;"; ","")&amp;IF(AND(BW658=1,BX658&lt;BY658),"MAX &lt; MB+LG; ","")&amp;IF(AND(CC658&gt;0,CB658*10&gt;CC658),"zu hoch für Tablar; ","")&amp;IF(AND(BN658=0,OR(BW658=1,Y658&lt;&gt;"",S658&lt;&gt;"",T658&lt;&gt;"",Z658&lt;&gt;"")),"manuell übersteuert; ","")&amp;IF(AND(BR658=0,Q658=0),"Gebinde unbekannt / Stellmass fehlt; ","")&amp;IF(AND(BR658=0,N(T658)&lt;=0,N(P658)&lt;=0),"Menge pro Gebinde fehlt (Ist = 1 Gebinde); ","")&amp;BM658)</f>
        <v>Lose – Fläche geschätzt; </v>
      </c>
      <c r="BF658" s="55"/>
      <c r="BG658" s="55"/>
      <c r="BH658" s="62"/>
      <c r="BI658" s="57" t="n">
        <v>0</v>
      </c>
      <c r="BJ658" s="57" t="n">
        <v>0</v>
      </c>
      <c r="BK658" s="56" t="n">
        <v>5.6843418860808E-014</v>
      </c>
      <c r="BL658" s="57" t="n">
        <v>60</v>
      </c>
      <c r="BM658" s="55"/>
      <c r="BN658" s="60" t="n">
        <v>0</v>
      </c>
      <c r="BO658" s="60" t="n">
        <v>658</v>
      </c>
      <c r="BP658" s="55" t="str">
        <f aca="false">IF(S658&lt;&gt;"",UPPER(TRIM(S658)),IF(O658="","LOSE",O658))</f>
        <v>LOSE</v>
      </c>
      <c r="BQ658" s="57" t="n">
        <f aca="false">IF(BP658="LOSE",1,IF(N(T658)&gt;0,T658,IF(N(P658)&gt;0,P658,MAX(1,G658))))</f>
        <v>1</v>
      </c>
      <c r="BR658" s="60" t="n">
        <f aca="false">IF(BP658="LOSE",1,0)</f>
        <v>1</v>
      </c>
      <c r="BS658" s="59" t="n">
        <f aca="false">IF(BR658=0,0,IF(N(R658)&gt;0,R658,IFERROR(VLOOKUP(D658,Parameter!$A$35:$C$64,3,0)+0,0)))</f>
        <v>0.15</v>
      </c>
      <c r="BT658" s="55" t="str">
        <f aca="false">IF(Y658&lt;&gt;"",Y658,X658)</f>
        <v>-</v>
      </c>
      <c r="BU658" s="55" t="str">
        <f aca="false">IF(BT658=1,"L1",IF(OR(BT658=2,BT658=3),"L23",IF(BT658="Aussen","Aussen","-")))</f>
        <v>-</v>
      </c>
      <c r="BV658" s="66" t="n">
        <f aca="false">IF(N(Z658)&gt;0,Z658,0)</f>
        <v>0</v>
      </c>
      <c r="BW658" s="60" t="n">
        <f aca="false">IF(ISNUMBER(AC658),1,0)</f>
        <v>0</v>
      </c>
      <c r="BX658" s="57" t="n">
        <f aca="false">N(AC658)</f>
        <v>0</v>
      </c>
      <c r="BY658" s="57" t="n">
        <f aca="false">N(L658)+N(M658)</f>
        <v>10</v>
      </c>
      <c r="BZ658" s="57" t="n">
        <f aca="false">ROUNDUP(G658/BQ658,0)</f>
        <v>0</v>
      </c>
      <c r="CA658" s="57" t="n">
        <f aca="false">ROUNDUP(BX658/BQ658,0)</f>
        <v>0</v>
      </c>
      <c r="CB658" s="60" t="n">
        <f aca="false">IF(BR658=1,0,IFERROR(VLOOKUP(BP658,'Gebinde-Kategorie'!$A$5:$M$45,5,0)+0,0))</f>
        <v>0</v>
      </c>
      <c r="CC658" s="60" t="n">
        <f aca="false">IFERROR(IF(OR(BT658=1,BT658=2,BT658=3),N(INDEX(Parameter!$I$5:$I$7,BT658)),0),0)</f>
        <v>0</v>
      </c>
      <c r="CD658" s="59" t="n">
        <f aca="false">IF(AND(Parameter!$B$21="Ja",ISNUMBER(U658),N(V658)&gt;0),IFERROR(N(INDEX(Parameter!$L$5:$L$7,U658))*INDEX(Parameter!$E$5:$E$7,U658)*V658/SUMIFS($V$7:$V$1576,$U$7:$U$1576,U658),0),0)</f>
        <v>0</v>
      </c>
    </row>
    <row r="659" customFormat="false" ht="15" hidden="false" customHeight="false" outlineLevel="0" collapsed="false">
      <c r="A659" s="55" t="s">
        <v>1318</v>
      </c>
      <c r="B659" s="55" t="s">
        <v>1319</v>
      </c>
      <c r="C659" s="55" t="s">
        <v>160</v>
      </c>
      <c r="D659" s="55" t="s">
        <v>178</v>
      </c>
      <c r="E659" s="55" t="s">
        <v>210</v>
      </c>
      <c r="F659" s="56" t="n">
        <v>10.02</v>
      </c>
      <c r="G659" s="57" t="n">
        <f aca="false">MAX(0,IF(AND(Parameter!$B$21="Ja",ISNUMBER(W659)),W659,IF(Parameter!$B$20="Jahresanfang 2025 + Export",BJ659+BI659,BI659)))</f>
        <v>0</v>
      </c>
      <c r="H659" s="57" t="n">
        <f aca="false">G659*F659</f>
        <v>0</v>
      </c>
      <c r="I659" s="57" t="n">
        <f aca="false">BL659*Parameter!$B$18</f>
        <v>2</v>
      </c>
      <c r="J659" s="58" t="n">
        <v>3</v>
      </c>
      <c r="K659" s="59" t="n">
        <v>0.666666666666667</v>
      </c>
      <c r="L659" s="57" t="n">
        <v>0</v>
      </c>
      <c r="M659" s="57" t="n">
        <v>1</v>
      </c>
      <c r="N659" s="60" t="n">
        <v>21</v>
      </c>
      <c r="O659" s="55" t="s">
        <v>319</v>
      </c>
      <c r="P659" s="57" t="n">
        <v>5</v>
      </c>
      <c r="Q659" s="60" t="n">
        <f aca="false">IF(BR659=1,0,IFERROR(VLOOKUP(BP659,'Gebinde-Kategorie'!$A$5:$M$45,13,0)+0,0))</f>
        <v>52</v>
      </c>
      <c r="R659" s="61"/>
      <c r="S659" s="62"/>
      <c r="T659" s="62"/>
      <c r="U659" s="55"/>
      <c r="V659" s="57"/>
      <c r="W659" s="57"/>
      <c r="X659" s="55" t="n">
        <f aca="false">IF(A659="","",IF(AND(Parameter!$B$21="Ja",ISNUMBER(U659)),U659,IF(IFERROR(VLOOKUP(D659,Parameter!$A$35:$C$64,2,0),"Nein")="2+3",IF(ISNUMBER(SEARCH("grosser Artikel",BM659)),2,IFERROR(VLOOKUP(BP659,Parameter!$F$35:$G$64,2,0),2)),IF(OR(IFERROR(VLOOKUP(D659,Parameter!$A$35:$C$64,2,0),"Nein")="Nein",IFERROR(VLOOKUP(D659,Parameter!$A$35:$C$64,2,0),"Nein")=""),"-",VLOOKUP(D659,Parameter!$A$35:$C$64,2,0)))))</f>
        <v>3</v>
      </c>
      <c r="Y659" s="62"/>
      <c r="Z659" s="63"/>
      <c r="AA659" s="57" t="n">
        <f aca="false">AP659</f>
        <v>5</v>
      </c>
      <c r="AB659" s="57" t="n">
        <f aca="false">MAX(AP659,G659)</f>
        <v>5</v>
      </c>
      <c r="AC659" s="64"/>
      <c r="AD659" s="57" t="n">
        <f aca="false">IF(LEFT(Cockpit!$C$5,1)="A",G659,IF(BW659=1,BX659,IF(LEFT(Cockpit!$C$5,1)="B",AH659,MAX(AH659,G659))))</f>
        <v>0</v>
      </c>
      <c r="AE659" s="57" t="n">
        <f aca="false">IF(BR659=1,0,ROUNDUP(AD659/BQ659,0))</f>
        <v>0</v>
      </c>
      <c r="AF659" s="59" t="n">
        <f aca="false">IF(CD659&gt;0,CD659*MAX(1,AD659/V659),IF(BR659=1,IF(AD659&lt;=0,0,BS659*MAX(1,IF(G659&gt;0,AD659/G659,1))),IF(Q659&gt;0,AE659/Q659,0))/MAX(0.1,N(Parameter!$M$21)))</f>
        <v>0</v>
      </c>
      <c r="AG659" s="57" t="n">
        <f aca="false">AD659*F659</f>
        <v>0</v>
      </c>
      <c r="AH659" s="57" t="n">
        <f aca="false">ROUNDUP(MAX(I659/IF(BV659&gt;0,BV659,MAX(0.1,N(Cockpit!$C$6))),BY659)/BQ659,0)*BQ659</f>
        <v>5</v>
      </c>
      <c r="AI659" s="58" t="n">
        <f aca="false">IF(AF659&gt;0,I659/AF659,-1)</f>
        <v>-1</v>
      </c>
      <c r="AJ659" s="58" t="str">
        <f aca="false">IF(AND(OR(BU659="L1",BU659="L23"),AF659&gt;0),SUMIFS($AF$7:$AF$1576,$BU$7:$BU$1576,BU659,$AI$7:$AI$1576,"&gt;"&amp;AI659)+SUMIFS($AF$7:$AF$1576,$BU$7:$BU$1576,BU659,$AI$7:$AI$1576,AI659,$BO$7:$BO$1576,"&lt;="&amp;BO659),"")</f>
        <v/>
      </c>
      <c r="AK659" s="65" t="n">
        <f aca="false">IF(AJ659="",0,MAX(0,MIN(1,(IF(BU659="L1",Parameter!$E$5,Parameter!$E$6+Parameter!$E$7)-(AJ659-AF659))/AF659)))</f>
        <v>0</v>
      </c>
      <c r="AL659" s="57" t="n">
        <f aca="false">IF(LEFT(Cockpit!$I$5,1)="A",G659,IF(BW659=1,BX659,IF(LEFT(Cockpit!$I$5,1)="B",AP659,MAX(AP659,G659))))</f>
        <v>5</v>
      </c>
      <c r="AM659" s="57" t="n">
        <f aca="false">IF(BR659=1,0,ROUNDUP(AL659/BQ659,0))</f>
        <v>1</v>
      </c>
      <c r="AN659" s="59" t="n">
        <f aca="false">IF(CD659&gt;0,CD659*MAX(1,AL659/V659),IF(BR659=1,IF(AL659&lt;=0,0,BS659*MAX(1,IF(G659&gt;0,AL659/G659,1))),IF(Q659&gt;0,AM659/Q659,0))/MAX(0.1,N(Parameter!$M$21)))</f>
        <v>0.0192307692307692</v>
      </c>
      <c r="AO659" s="57" t="n">
        <f aca="false">AL659*F659</f>
        <v>50.1</v>
      </c>
      <c r="AP659" s="57" t="n">
        <f aca="false">ROUNDUP(MAX(I659/IF(BV659&gt;0,BV659,MAX(0.1,N(Cockpit!$I$6))),BY659)/BQ659,0)*BQ659</f>
        <v>5</v>
      </c>
      <c r="AQ659" s="58" t="n">
        <f aca="false">IF(AN659&gt;0,I659/AN659,-1)</f>
        <v>104</v>
      </c>
      <c r="AR659" s="58" t="n">
        <f aca="false">IF(AND(OR(BU659="L1",BU659="L23"),AN659&gt;0),SUMIFS($AN$7:$AN$1576,$BU$7:$BU$1576,BU659,$AQ$7:$AQ$1576,"&gt;"&amp;AQ659)+SUMIFS($AN$7:$AN$1576,$BU$7:$BU$1576,BU659,$AQ$7:$AQ$1576,AQ659,$BO$7:$BO$1576,"&lt;="&amp;BO659),"")</f>
        <v>68.6188293050905</v>
      </c>
      <c r="AS659" s="65" t="n">
        <f aca="false">IF(AR659="",0,MAX(0,MIN(1,(IF(BU659="L1",Parameter!$E$5,Parameter!$E$6+Parameter!$E$7)-(AR659-AN659))/AN659)))</f>
        <v>1</v>
      </c>
      <c r="AT659" s="57" t="n">
        <f aca="false">IF(LEFT(Cockpit!$O$5,1)="A",G659,IF(BW659=1,BX659,IF(LEFT(Cockpit!$O$5,1)="B",AX659,MAX(AX659,G659))))</f>
        <v>5</v>
      </c>
      <c r="AU659" s="57" t="n">
        <f aca="false">IF(BR659=1,0,ROUNDUP(AT659/BQ659,0))</f>
        <v>1</v>
      </c>
      <c r="AV659" s="59" t="n">
        <f aca="false">IF(CD659&gt;0,CD659*MAX(1,AT659/V659),IF(BR659=1,IF(AT659&lt;=0,0,BS659*MAX(1,IF(G659&gt;0,AT659/G659,1))),IF(Q659&gt;0,AU659/Q659,0))/MAX(0.1,N(Parameter!$M$21)))</f>
        <v>0.0192307692307692</v>
      </c>
      <c r="AW659" s="57" t="n">
        <f aca="false">AT659*F659</f>
        <v>50.1</v>
      </c>
      <c r="AX659" s="57" t="n">
        <f aca="false">ROUNDUP(MAX(I659/IF(BV659&gt;0,BV659,MAX(0.1,N(Cockpit!$O$6))),BY659)/BQ659,0)*BQ659</f>
        <v>5</v>
      </c>
      <c r="AY659" s="58" t="n">
        <f aca="false">IF(AV659&gt;0,I659/AV659,-1)</f>
        <v>104</v>
      </c>
      <c r="AZ659" s="58" t="n">
        <f aca="false">IF(AND(OR(BU659="L1",BU659="L23"),AV659&gt;0),SUMIFS($AV$7:$AV$1576,$BU$7:$BU$1576,BU659,$AY$7:$AY$1576,"&gt;"&amp;AY659)+SUMIFS($AV$7:$AV$1576,$BU$7:$BU$1576,BU659,$AY$7:$AY$1576,AY659,$BO$7:$BO$1576,"&lt;="&amp;BO659),"")</f>
        <v>63.1792130879743</v>
      </c>
      <c r="BA659" s="65" t="n">
        <f aca="false">IF(AZ659="",0,MAX(0,MIN(1,(IF(BU659="L1",Parameter!$E$5,Parameter!$E$6+Parameter!$E$7)-(AZ659-AV659))/AV659)))</f>
        <v>1</v>
      </c>
      <c r="BB659" s="55" t="str">
        <f aca="false">IF(AF659&lt;=0,"",IF(BU659="Aussen","Aussenlager",IF(BU659="-","Nicht im Lift",IF(AK659&gt;=1,"Lift",IF(AK659&lt;=0,"Aussenlager","teilweise")))))</f>
        <v/>
      </c>
      <c r="BC659" s="55" t="str">
        <f aca="false">IF(AN659&lt;=0,"",IF(BU659="Aussen","Aussenlager",IF(BU659="-","Nicht im Lift",IF(AS659&gt;=1,"Lift",IF(AS659&lt;=0,"Aussenlager","teilweise")))))</f>
        <v>Lift</v>
      </c>
      <c r="BD659" s="55" t="str">
        <f aca="false">IF(AV659&lt;=0,"",IF(BU659="Aussen","Aussenlager",IF(BU659="-","Nicht im Lift",IF(BA659&gt;=1,"Lift",IF(BA659&lt;=0,"Aussenlager","teilweise")))))</f>
        <v>Lift</v>
      </c>
      <c r="BE659" s="55" t="str">
        <f aca="false">IF(A659="","",IF(BN659=1,"Neu; ","")&amp;IF(AND(BN659=0,BI659&lt;0),"negativer Bestand (Export "&amp;BI659&amp;"); ","")&amp;IF(I659&lt;=0,"Kein Verbrauch; ","")&amp;IF(CD659&gt;0,"Lift "&amp;U659&amp;" lt. Liftbericht (Fach "&amp;V659&amp;" Stk); ",IF(BR659=1,"Lose – Fläche geschätzt; ",""))&amp;IF(G659&gt;AP659,"Überbestand "&amp;ROUND(G659-AP659,0)&amp;" Stk / CHF "&amp;ROUND((G659-AP659)*F659,0)&amp;"; ","")&amp;IF(AND(BW659=1,BX659&lt;BY659),"MAX &lt; MB+LG; ","")&amp;IF(AND(CC659&gt;0,CB659*10&gt;CC659),"zu hoch für Tablar; ","")&amp;IF(AND(BN659=0,OR(BW659=1,Y659&lt;&gt;"",S659&lt;&gt;"",T659&lt;&gt;"",Z659&lt;&gt;"")),"manuell übersteuert; ","")&amp;IF(AND(BR659=0,Q659=0),"Gebinde unbekannt / Stellmass fehlt; ","")&amp;IF(AND(BR659=0,N(T659)&lt;=0,N(P659)&lt;=0),"Menge pro Gebinde fehlt (Ist = 1 Gebinde); ","")&amp;BM659)</f>
        <v/>
      </c>
      <c r="BF659" s="55"/>
      <c r="BG659" s="55"/>
      <c r="BH659" s="62"/>
      <c r="BI659" s="57" t="n">
        <v>0</v>
      </c>
      <c r="BJ659" s="57" t="n">
        <v>0</v>
      </c>
      <c r="BK659" s="56" t="n">
        <v>2.8421709430404E-014</v>
      </c>
      <c r="BL659" s="57" t="n">
        <v>2</v>
      </c>
      <c r="BM659" s="55"/>
      <c r="BN659" s="60" t="n">
        <v>0</v>
      </c>
      <c r="BO659" s="60" t="n">
        <v>659</v>
      </c>
      <c r="BP659" s="55" t="str">
        <f aca="false">IF(S659&lt;&gt;"",UPPER(TRIM(S659)),IF(O659="","LOSE",O659))</f>
        <v>S41</v>
      </c>
      <c r="BQ659" s="57" t="n">
        <f aca="false">IF(BP659="LOSE",1,IF(N(T659)&gt;0,T659,IF(N(P659)&gt;0,P659,MAX(1,G659))))</f>
        <v>5</v>
      </c>
      <c r="BR659" s="60" t="n">
        <f aca="false">IF(BP659="LOSE",1,0)</f>
        <v>0</v>
      </c>
      <c r="BS659" s="59" t="n">
        <f aca="false">IF(BR659=0,0,IF(N(R659)&gt;0,R659,IFERROR(VLOOKUP(D659,Parameter!$A$35:$C$64,3,0)+0,0)))</f>
        <v>0</v>
      </c>
      <c r="BT659" s="55" t="n">
        <f aca="false">IF(Y659&lt;&gt;"",Y659,X659)</f>
        <v>3</v>
      </c>
      <c r="BU659" s="55" t="str">
        <f aca="false">IF(BT659=1,"L1",IF(OR(BT659=2,BT659=3),"L23",IF(BT659="Aussen","Aussen","-")))</f>
        <v>L23</v>
      </c>
      <c r="BV659" s="66" t="n">
        <f aca="false">IF(N(Z659)&gt;0,Z659,0)</f>
        <v>0</v>
      </c>
      <c r="BW659" s="60" t="n">
        <f aca="false">IF(ISNUMBER(AC659),1,0)</f>
        <v>0</v>
      </c>
      <c r="BX659" s="57" t="n">
        <f aca="false">N(AC659)</f>
        <v>0</v>
      </c>
      <c r="BY659" s="57" t="n">
        <f aca="false">N(L659)+N(M659)</f>
        <v>1</v>
      </c>
      <c r="BZ659" s="57" t="n">
        <f aca="false">ROUNDUP(G659/BQ659,0)</f>
        <v>0</v>
      </c>
      <c r="CA659" s="57" t="n">
        <f aca="false">ROUNDUP(BX659/BQ659,0)</f>
        <v>0</v>
      </c>
      <c r="CB659" s="60" t="n">
        <f aca="false">IF(BR659=1,0,IFERROR(VLOOKUP(BP659,'Gebinde-Kategorie'!$A$5:$M$45,5,0)+0,0))</f>
        <v>11</v>
      </c>
      <c r="CC659" s="60" t="n">
        <f aca="false">IFERROR(IF(OR(BT659=1,BT659=2,BT659=3),N(INDEX(Parameter!$I$5:$I$7,BT659)),0),0)</f>
        <v>0</v>
      </c>
      <c r="CD659" s="59" t="n">
        <f aca="false">IF(AND(Parameter!$B$21="Ja",ISNUMBER(U659),N(V659)&gt;0),IFERROR(N(INDEX(Parameter!$L$5:$L$7,U659))*INDEX(Parameter!$E$5:$E$7,U659)*V659/SUMIFS($V$7:$V$1576,$U$7:$U$1576,U659),0),0)</f>
        <v>0</v>
      </c>
    </row>
    <row r="660" customFormat="false" ht="15" hidden="false" customHeight="false" outlineLevel="0" collapsed="false">
      <c r="A660" s="55" t="s">
        <v>1320</v>
      </c>
      <c r="B660" s="55" t="s">
        <v>1319</v>
      </c>
      <c r="C660" s="55" t="s">
        <v>160</v>
      </c>
      <c r="D660" s="55" t="s">
        <v>178</v>
      </c>
      <c r="E660" s="55" t="s">
        <v>210</v>
      </c>
      <c r="F660" s="56" t="n">
        <v>10.02</v>
      </c>
      <c r="G660" s="57" t="n">
        <f aca="false">MAX(0,IF(AND(Parameter!$B$21="Ja",ISNUMBER(W660)),W660,IF(Parameter!$B$20="Jahresanfang 2025 + Export",BJ660+BI660,BI660)))</f>
        <v>0</v>
      </c>
      <c r="H660" s="57" t="n">
        <f aca="false">G660*F660</f>
        <v>0</v>
      </c>
      <c r="I660" s="57" t="n">
        <f aca="false">BL660*Parameter!$B$18</f>
        <v>2</v>
      </c>
      <c r="J660" s="58" t="n">
        <v>3</v>
      </c>
      <c r="K660" s="59" t="n">
        <v>0.666666666666667</v>
      </c>
      <c r="L660" s="57" t="n">
        <v>0</v>
      </c>
      <c r="M660" s="57" t="n">
        <v>1</v>
      </c>
      <c r="N660" s="60" t="n">
        <v>21</v>
      </c>
      <c r="O660" s="55" t="s">
        <v>319</v>
      </c>
      <c r="P660" s="57" t="n">
        <v>5</v>
      </c>
      <c r="Q660" s="60" t="n">
        <f aca="false">IF(BR660=1,0,IFERROR(VLOOKUP(BP660,'Gebinde-Kategorie'!$A$5:$M$45,13,0)+0,0))</f>
        <v>52</v>
      </c>
      <c r="R660" s="61"/>
      <c r="S660" s="62"/>
      <c r="T660" s="62"/>
      <c r="U660" s="55"/>
      <c r="V660" s="57"/>
      <c r="W660" s="57"/>
      <c r="X660" s="55" t="n">
        <f aca="false">IF(A660="","",IF(AND(Parameter!$B$21="Ja",ISNUMBER(U660)),U660,IF(IFERROR(VLOOKUP(D660,Parameter!$A$35:$C$64,2,0),"Nein")="2+3",IF(ISNUMBER(SEARCH("grosser Artikel",BM660)),2,IFERROR(VLOOKUP(BP660,Parameter!$F$35:$G$64,2,0),2)),IF(OR(IFERROR(VLOOKUP(D660,Parameter!$A$35:$C$64,2,0),"Nein")="Nein",IFERROR(VLOOKUP(D660,Parameter!$A$35:$C$64,2,0),"Nein")=""),"-",VLOOKUP(D660,Parameter!$A$35:$C$64,2,0)))))</f>
        <v>3</v>
      </c>
      <c r="Y660" s="62"/>
      <c r="Z660" s="63"/>
      <c r="AA660" s="57" t="n">
        <f aca="false">AP660</f>
        <v>5</v>
      </c>
      <c r="AB660" s="57" t="n">
        <f aca="false">MAX(AP660,G660)</f>
        <v>5</v>
      </c>
      <c r="AC660" s="64"/>
      <c r="AD660" s="57" t="n">
        <f aca="false">IF(LEFT(Cockpit!$C$5,1)="A",G660,IF(BW660=1,BX660,IF(LEFT(Cockpit!$C$5,1)="B",AH660,MAX(AH660,G660))))</f>
        <v>0</v>
      </c>
      <c r="AE660" s="57" t="n">
        <f aca="false">IF(BR660=1,0,ROUNDUP(AD660/BQ660,0))</f>
        <v>0</v>
      </c>
      <c r="AF660" s="59" t="n">
        <f aca="false">IF(CD660&gt;0,CD660*MAX(1,AD660/V660),IF(BR660=1,IF(AD660&lt;=0,0,BS660*MAX(1,IF(G660&gt;0,AD660/G660,1))),IF(Q660&gt;0,AE660/Q660,0))/MAX(0.1,N(Parameter!$M$21)))</f>
        <v>0</v>
      </c>
      <c r="AG660" s="57" t="n">
        <f aca="false">AD660*F660</f>
        <v>0</v>
      </c>
      <c r="AH660" s="57" t="n">
        <f aca="false">ROUNDUP(MAX(I660/IF(BV660&gt;0,BV660,MAX(0.1,N(Cockpit!$C$6))),BY660)/BQ660,0)*BQ660</f>
        <v>5</v>
      </c>
      <c r="AI660" s="58" t="n">
        <f aca="false">IF(AF660&gt;0,I660/AF660,-1)</f>
        <v>-1</v>
      </c>
      <c r="AJ660" s="58" t="str">
        <f aca="false">IF(AND(OR(BU660="L1",BU660="L23"),AF660&gt;0),SUMIFS($AF$7:$AF$1576,$BU$7:$BU$1576,BU660,$AI$7:$AI$1576,"&gt;"&amp;AI660)+SUMIFS($AF$7:$AF$1576,$BU$7:$BU$1576,BU660,$AI$7:$AI$1576,AI660,$BO$7:$BO$1576,"&lt;="&amp;BO660),"")</f>
        <v/>
      </c>
      <c r="AK660" s="65" t="n">
        <f aca="false">IF(AJ660="",0,MAX(0,MIN(1,(IF(BU660="L1",Parameter!$E$5,Parameter!$E$6+Parameter!$E$7)-(AJ660-AF660))/AF660)))</f>
        <v>0</v>
      </c>
      <c r="AL660" s="57" t="n">
        <f aca="false">IF(LEFT(Cockpit!$I$5,1)="A",G660,IF(BW660=1,BX660,IF(LEFT(Cockpit!$I$5,1)="B",AP660,MAX(AP660,G660))))</f>
        <v>5</v>
      </c>
      <c r="AM660" s="57" t="n">
        <f aca="false">IF(BR660=1,0,ROUNDUP(AL660/BQ660,0))</f>
        <v>1</v>
      </c>
      <c r="AN660" s="59" t="n">
        <f aca="false">IF(CD660&gt;0,CD660*MAX(1,AL660/V660),IF(BR660=1,IF(AL660&lt;=0,0,BS660*MAX(1,IF(G660&gt;0,AL660/G660,1))),IF(Q660&gt;0,AM660/Q660,0))/MAX(0.1,N(Parameter!$M$21)))</f>
        <v>0.0192307692307692</v>
      </c>
      <c r="AO660" s="57" t="n">
        <f aca="false">AL660*F660</f>
        <v>50.1</v>
      </c>
      <c r="AP660" s="57" t="n">
        <f aca="false">ROUNDUP(MAX(I660/IF(BV660&gt;0,BV660,MAX(0.1,N(Cockpit!$I$6))),BY660)/BQ660,0)*BQ660</f>
        <v>5</v>
      </c>
      <c r="AQ660" s="58" t="n">
        <f aca="false">IF(AN660&gt;0,I660/AN660,-1)</f>
        <v>104</v>
      </c>
      <c r="AR660" s="58" t="n">
        <f aca="false">IF(AND(OR(BU660="L1",BU660="L23"),AN660&gt;0),SUMIFS($AN$7:$AN$1576,$BU$7:$BU$1576,BU660,$AQ$7:$AQ$1576,"&gt;"&amp;AQ660)+SUMIFS($AN$7:$AN$1576,$BU$7:$BU$1576,BU660,$AQ$7:$AQ$1576,AQ660,$BO$7:$BO$1576,"&lt;="&amp;BO660),"")</f>
        <v>68.6380600743212</v>
      </c>
      <c r="AS660" s="65" t="n">
        <f aca="false">IF(AR660="",0,MAX(0,MIN(1,(IF(BU660="L1",Parameter!$E$5,Parameter!$E$6+Parameter!$E$7)-(AR660-AN660))/AN660)))</f>
        <v>1</v>
      </c>
      <c r="AT660" s="57" t="n">
        <f aca="false">IF(LEFT(Cockpit!$O$5,1)="A",G660,IF(BW660=1,BX660,IF(LEFT(Cockpit!$O$5,1)="B",AX660,MAX(AX660,G660))))</f>
        <v>5</v>
      </c>
      <c r="AU660" s="57" t="n">
        <f aca="false">IF(BR660=1,0,ROUNDUP(AT660/BQ660,0))</f>
        <v>1</v>
      </c>
      <c r="AV660" s="59" t="n">
        <f aca="false">IF(CD660&gt;0,CD660*MAX(1,AT660/V660),IF(BR660=1,IF(AT660&lt;=0,0,BS660*MAX(1,IF(G660&gt;0,AT660/G660,1))),IF(Q660&gt;0,AU660/Q660,0))/MAX(0.1,N(Parameter!$M$21)))</f>
        <v>0.0192307692307692</v>
      </c>
      <c r="AW660" s="57" t="n">
        <f aca="false">AT660*F660</f>
        <v>50.1</v>
      </c>
      <c r="AX660" s="57" t="n">
        <f aca="false">ROUNDUP(MAX(I660/IF(BV660&gt;0,BV660,MAX(0.1,N(Cockpit!$O$6))),BY660)/BQ660,0)*BQ660</f>
        <v>5</v>
      </c>
      <c r="AY660" s="58" t="n">
        <f aca="false">IF(AV660&gt;0,I660/AV660,-1)</f>
        <v>104</v>
      </c>
      <c r="AZ660" s="58" t="n">
        <f aca="false">IF(AND(OR(BU660="L1",BU660="L23"),AV660&gt;0),SUMIFS($AV$7:$AV$1576,$BU$7:$BU$1576,BU660,$AY$7:$AY$1576,"&gt;"&amp;AY660)+SUMIFS($AV$7:$AV$1576,$BU$7:$BU$1576,BU660,$AY$7:$AY$1576,AY660,$BO$7:$BO$1576,"&lt;="&amp;BO660),"")</f>
        <v>63.198443857205</v>
      </c>
      <c r="BA660" s="65" t="n">
        <f aca="false">IF(AZ660="",0,MAX(0,MIN(1,(IF(BU660="L1",Parameter!$E$5,Parameter!$E$6+Parameter!$E$7)-(AZ660-AV660))/AV660)))</f>
        <v>1</v>
      </c>
      <c r="BB660" s="55" t="str">
        <f aca="false">IF(AF660&lt;=0,"",IF(BU660="Aussen","Aussenlager",IF(BU660="-","Nicht im Lift",IF(AK660&gt;=1,"Lift",IF(AK660&lt;=0,"Aussenlager","teilweise")))))</f>
        <v/>
      </c>
      <c r="BC660" s="55" t="str">
        <f aca="false">IF(AN660&lt;=0,"",IF(BU660="Aussen","Aussenlager",IF(BU660="-","Nicht im Lift",IF(AS660&gt;=1,"Lift",IF(AS660&lt;=0,"Aussenlager","teilweise")))))</f>
        <v>Lift</v>
      </c>
      <c r="BD660" s="55" t="str">
        <f aca="false">IF(AV660&lt;=0,"",IF(BU660="Aussen","Aussenlager",IF(BU660="-","Nicht im Lift",IF(BA660&gt;=1,"Lift",IF(BA660&lt;=0,"Aussenlager","teilweise")))))</f>
        <v>Lift</v>
      </c>
      <c r="BE660" s="55" t="str">
        <f aca="false">IF(A660="","",IF(BN660=1,"Neu; ","")&amp;IF(AND(BN660=0,BI660&lt;0),"negativer Bestand (Export "&amp;BI660&amp;"); ","")&amp;IF(I660&lt;=0,"Kein Verbrauch; ","")&amp;IF(CD660&gt;0,"Lift "&amp;U660&amp;" lt. Liftbericht (Fach "&amp;V660&amp;" Stk); ",IF(BR660=1,"Lose – Fläche geschätzt; ",""))&amp;IF(G660&gt;AP660,"Überbestand "&amp;ROUND(G660-AP660,0)&amp;" Stk / CHF "&amp;ROUND((G660-AP660)*F660,0)&amp;"; ","")&amp;IF(AND(BW660=1,BX660&lt;BY660),"MAX &lt; MB+LG; ","")&amp;IF(AND(CC660&gt;0,CB660*10&gt;CC660),"zu hoch für Tablar; ","")&amp;IF(AND(BN660=0,OR(BW660=1,Y660&lt;&gt;"",S660&lt;&gt;"",T660&lt;&gt;"",Z660&lt;&gt;"")),"manuell übersteuert; ","")&amp;IF(AND(BR660=0,Q660=0),"Gebinde unbekannt / Stellmass fehlt; ","")&amp;IF(AND(BR660=0,N(T660)&lt;=0,N(P660)&lt;=0),"Menge pro Gebinde fehlt (Ist = 1 Gebinde); ","")&amp;BM660)</f>
        <v/>
      </c>
      <c r="BF660" s="55"/>
      <c r="BG660" s="55"/>
      <c r="BH660" s="62"/>
      <c r="BI660" s="57" t="n">
        <v>0</v>
      </c>
      <c r="BJ660" s="57" t="n">
        <v>0</v>
      </c>
      <c r="BK660" s="56" t="n">
        <v>2.8421709430404E-014</v>
      </c>
      <c r="BL660" s="57" t="n">
        <v>2</v>
      </c>
      <c r="BM660" s="55"/>
      <c r="BN660" s="60" t="n">
        <v>0</v>
      </c>
      <c r="BO660" s="60" t="n">
        <v>660</v>
      </c>
      <c r="BP660" s="55" t="str">
        <f aca="false">IF(S660&lt;&gt;"",UPPER(TRIM(S660)),IF(O660="","LOSE",O660))</f>
        <v>S41</v>
      </c>
      <c r="BQ660" s="57" t="n">
        <f aca="false">IF(BP660="LOSE",1,IF(N(T660)&gt;0,T660,IF(N(P660)&gt;0,P660,MAX(1,G660))))</f>
        <v>5</v>
      </c>
      <c r="BR660" s="60" t="n">
        <f aca="false">IF(BP660="LOSE",1,0)</f>
        <v>0</v>
      </c>
      <c r="BS660" s="59" t="n">
        <f aca="false">IF(BR660=0,0,IF(N(R660)&gt;0,R660,IFERROR(VLOOKUP(D660,Parameter!$A$35:$C$64,3,0)+0,0)))</f>
        <v>0</v>
      </c>
      <c r="BT660" s="55" t="n">
        <f aca="false">IF(Y660&lt;&gt;"",Y660,X660)</f>
        <v>3</v>
      </c>
      <c r="BU660" s="55" t="str">
        <f aca="false">IF(BT660=1,"L1",IF(OR(BT660=2,BT660=3),"L23",IF(BT660="Aussen","Aussen","-")))</f>
        <v>L23</v>
      </c>
      <c r="BV660" s="66" t="n">
        <f aca="false">IF(N(Z660)&gt;0,Z660,0)</f>
        <v>0</v>
      </c>
      <c r="BW660" s="60" t="n">
        <f aca="false">IF(ISNUMBER(AC660),1,0)</f>
        <v>0</v>
      </c>
      <c r="BX660" s="57" t="n">
        <f aca="false">N(AC660)</f>
        <v>0</v>
      </c>
      <c r="BY660" s="57" t="n">
        <f aca="false">N(L660)+N(M660)</f>
        <v>1</v>
      </c>
      <c r="BZ660" s="57" t="n">
        <f aca="false">ROUNDUP(G660/BQ660,0)</f>
        <v>0</v>
      </c>
      <c r="CA660" s="57" t="n">
        <f aca="false">ROUNDUP(BX660/BQ660,0)</f>
        <v>0</v>
      </c>
      <c r="CB660" s="60" t="n">
        <f aca="false">IF(BR660=1,0,IFERROR(VLOOKUP(BP660,'Gebinde-Kategorie'!$A$5:$M$45,5,0)+0,0))</f>
        <v>11</v>
      </c>
      <c r="CC660" s="60" t="n">
        <f aca="false">IFERROR(IF(OR(BT660=1,BT660=2,BT660=3),N(INDEX(Parameter!$I$5:$I$7,BT660)),0),0)</f>
        <v>0</v>
      </c>
      <c r="CD660" s="59" t="n">
        <f aca="false">IF(AND(Parameter!$B$21="Ja",ISNUMBER(U660),N(V660)&gt;0),IFERROR(N(INDEX(Parameter!$L$5:$L$7,U660))*INDEX(Parameter!$E$5:$E$7,U660)*V660/SUMIFS($V$7:$V$1576,$U$7:$U$1576,U660),0),0)</f>
        <v>0</v>
      </c>
    </row>
    <row r="661" customFormat="false" ht="15" hidden="false" customHeight="false" outlineLevel="0" collapsed="false">
      <c r="A661" s="55" t="s">
        <v>1321</v>
      </c>
      <c r="B661" s="55" t="s">
        <v>987</v>
      </c>
      <c r="C661" s="55" t="s">
        <v>160</v>
      </c>
      <c r="D661" s="55" t="s">
        <v>984</v>
      </c>
      <c r="E661" s="55" t="s">
        <v>210</v>
      </c>
      <c r="F661" s="56" t="n">
        <v>161.29</v>
      </c>
      <c r="G661" s="57" t="n">
        <f aca="false">MAX(0,IF(AND(Parameter!$B$21="Ja",ISNUMBER(W661)),W661,IF(Parameter!$B$20="Jahresanfang 2025 + Export",BJ661+BI661,BI661)))</f>
        <v>0</v>
      </c>
      <c r="H661" s="57" t="n">
        <f aca="false">G661*F661</f>
        <v>0</v>
      </c>
      <c r="I661" s="57" t="n">
        <f aca="false">BL661*Parameter!$B$18</f>
        <v>4</v>
      </c>
      <c r="J661" s="58" t="n">
        <v>0</v>
      </c>
      <c r="K661" s="59" t="n">
        <v>0</v>
      </c>
      <c r="L661" s="57" t="n">
        <v>0</v>
      </c>
      <c r="M661" s="57" t="n">
        <v>1</v>
      </c>
      <c r="N661" s="60" t="n">
        <v>105</v>
      </c>
      <c r="O661" s="55" t="s">
        <v>163</v>
      </c>
      <c r="P661" s="57"/>
      <c r="Q661" s="60" t="n">
        <f aca="false">IF(BR661=1,0,IFERROR(VLOOKUP(BP661,'Gebinde-Kategorie'!$A$5:$M$45,13,0)+0,0))</f>
        <v>0</v>
      </c>
      <c r="R661" s="61"/>
      <c r="S661" s="62"/>
      <c r="T661" s="62"/>
      <c r="U661" s="55"/>
      <c r="V661" s="57"/>
      <c r="W661" s="57"/>
      <c r="X661" s="55" t="str">
        <f aca="false">IF(A661="","",IF(AND(Parameter!$B$21="Ja",ISNUMBER(U661)),U661,IF(IFERROR(VLOOKUP(D661,Parameter!$A$35:$C$64,2,0),"Nein")="2+3",IF(ISNUMBER(SEARCH("grosser Artikel",BM661)),2,IFERROR(VLOOKUP(BP661,Parameter!$F$35:$G$64,2,0),2)),IF(OR(IFERROR(VLOOKUP(D661,Parameter!$A$35:$C$64,2,0),"Nein")="Nein",IFERROR(VLOOKUP(D661,Parameter!$A$35:$C$64,2,0),"Nein")=""),"-",VLOOKUP(D661,Parameter!$A$35:$C$64,2,0)))))</f>
        <v>-</v>
      </c>
      <c r="Y661" s="62"/>
      <c r="Z661" s="63"/>
      <c r="AA661" s="57" t="n">
        <f aca="false">AP661</f>
        <v>2</v>
      </c>
      <c r="AB661" s="57" t="n">
        <f aca="false">MAX(AP661,G661)</f>
        <v>2</v>
      </c>
      <c r="AC661" s="64"/>
      <c r="AD661" s="57" t="n">
        <f aca="false">IF(LEFT(Cockpit!$C$5,1)="A",G661,IF(BW661=1,BX661,IF(LEFT(Cockpit!$C$5,1)="B",AH661,MAX(AH661,G661))))</f>
        <v>0</v>
      </c>
      <c r="AE661" s="57" t="n">
        <f aca="false">IF(BR661=1,0,ROUNDUP(AD661/BQ661,0))</f>
        <v>0</v>
      </c>
      <c r="AF661" s="59" t="n">
        <f aca="false">IF(CD661&gt;0,CD661*MAX(1,AD661/V661),IF(BR661=1,IF(AD661&lt;=0,0,BS661*MAX(1,IF(G661&gt;0,AD661/G661,1))),IF(Q661&gt;0,AE661/Q661,0))/MAX(0.1,N(Parameter!$M$21)))</f>
        <v>0</v>
      </c>
      <c r="AG661" s="57" t="n">
        <f aca="false">AD661*F661</f>
        <v>0</v>
      </c>
      <c r="AH661" s="57" t="n">
        <f aca="false">ROUNDUP(MAX(I661/IF(BV661&gt;0,BV661,MAX(0.1,N(Cockpit!$C$6))),BY661)/BQ661,0)*BQ661</f>
        <v>2</v>
      </c>
      <c r="AI661" s="58" t="n">
        <f aca="false">IF(AF661&gt;0,I661/AF661,-1)</f>
        <v>-1</v>
      </c>
      <c r="AJ661" s="58" t="str">
        <f aca="false">IF(AND(OR(BU661="L1",BU661="L23"),AF661&gt;0),SUMIFS($AF$7:$AF$1576,$BU$7:$BU$1576,BU661,$AI$7:$AI$1576,"&gt;"&amp;AI661)+SUMIFS($AF$7:$AF$1576,$BU$7:$BU$1576,BU661,$AI$7:$AI$1576,AI661,$BO$7:$BO$1576,"&lt;="&amp;BO661),"")</f>
        <v/>
      </c>
      <c r="AK661" s="65" t="n">
        <f aca="false">IF(AJ661="",0,MAX(0,MIN(1,(IF(BU661="L1",Parameter!$E$5,Parameter!$E$6+Parameter!$E$7)-(AJ661-AF661))/AF661)))</f>
        <v>0</v>
      </c>
      <c r="AL661" s="57" t="n">
        <f aca="false">IF(LEFT(Cockpit!$I$5,1)="A",G661,IF(BW661=1,BX661,IF(LEFT(Cockpit!$I$5,1)="B",AP661,MAX(AP661,G661))))</f>
        <v>2</v>
      </c>
      <c r="AM661" s="57" t="n">
        <f aca="false">IF(BR661=1,0,ROUNDUP(AL661/BQ661,0))</f>
        <v>0</v>
      </c>
      <c r="AN661" s="59" t="n">
        <f aca="false">IF(CD661&gt;0,CD661*MAX(1,AL661/V661),IF(BR661=1,IF(AL661&lt;=0,0,BS661*MAX(1,IF(G661&gt;0,AL661/G661,1))),IF(Q661&gt;0,AM661/Q661,0))/MAX(0.1,N(Parameter!$M$21)))</f>
        <v>0.15</v>
      </c>
      <c r="AO661" s="57" t="n">
        <f aca="false">AL661*F661</f>
        <v>322.58</v>
      </c>
      <c r="AP661" s="57" t="n">
        <f aca="false">ROUNDUP(MAX(I661/IF(BV661&gt;0,BV661,MAX(0.1,N(Cockpit!$I$6))),BY661)/BQ661,0)*BQ661</f>
        <v>2</v>
      </c>
      <c r="AQ661" s="58" t="n">
        <f aca="false">IF(AN661&gt;0,I661/AN661,-1)</f>
        <v>26.6666666666667</v>
      </c>
      <c r="AR661" s="58" t="str">
        <f aca="false">IF(AND(OR(BU661="L1",BU661="L23"),AN661&gt;0),SUMIFS($AN$7:$AN$1576,$BU$7:$BU$1576,BU661,$AQ$7:$AQ$1576,"&gt;"&amp;AQ661)+SUMIFS($AN$7:$AN$1576,$BU$7:$BU$1576,BU661,$AQ$7:$AQ$1576,AQ661,$BO$7:$BO$1576,"&lt;="&amp;BO661),"")</f>
        <v/>
      </c>
      <c r="AS661" s="65" t="n">
        <f aca="false">IF(AR661="",0,MAX(0,MIN(1,(IF(BU661="L1",Parameter!$E$5,Parameter!$E$6+Parameter!$E$7)-(AR661-AN661))/AN661)))</f>
        <v>0</v>
      </c>
      <c r="AT661" s="57" t="n">
        <f aca="false">IF(LEFT(Cockpit!$O$5,1)="A",G661,IF(BW661=1,BX661,IF(LEFT(Cockpit!$O$5,1)="B",AX661,MAX(AX661,G661))))</f>
        <v>2</v>
      </c>
      <c r="AU661" s="57" t="n">
        <f aca="false">IF(BR661=1,0,ROUNDUP(AT661/BQ661,0))</f>
        <v>0</v>
      </c>
      <c r="AV661" s="59" t="n">
        <f aca="false">IF(CD661&gt;0,CD661*MAX(1,AT661/V661),IF(BR661=1,IF(AT661&lt;=0,0,BS661*MAX(1,IF(G661&gt;0,AT661/G661,1))),IF(Q661&gt;0,AU661/Q661,0))/MAX(0.1,N(Parameter!$M$21)))</f>
        <v>0.15</v>
      </c>
      <c r="AW661" s="57" t="n">
        <f aca="false">AT661*F661</f>
        <v>322.58</v>
      </c>
      <c r="AX661" s="57" t="n">
        <f aca="false">ROUNDUP(MAX(I661/IF(BV661&gt;0,BV661,MAX(0.1,N(Cockpit!$O$6))),BY661)/BQ661,0)*BQ661</f>
        <v>2</v>
      </c>
      <c r="AY661" s="58" t="n">
        <f aca="false">IF(AV661&gt;0,I661/AV661,-1)</f>
        <v>26.6666666666667</v>
      </c>
      <c r="AZ661" s="58" t="str">
        <f aca="false">IF(AND(OR(BU661="L1",BU661="L23"),AV661&gt;0),SUMIFS($AV$7:$AV$1576,$BU$7:$BU$1576,BU661,$AY$7:$AY$1576,"&gt;"&amp;AY661)+SUMIFS($AV$7:$AV$1576,$BU$7:$BU$1576,BU661,$AY$7:$AY$1576,AY661,$BO$7:$BO$1576,"&lt;="&amp;BO661),"")</f>
        <v/>
      </c>
      <c r="BA661" s="65" t="n">
        <f aca="false">IF(AZ661="",0,MAX(0,MIN(1,(IF(BU661="L1",Parameter!$E$5,Parameter!$E$6+Parameter!$E$7)-(AZ661-AV661))/AV661)))</f>
        <v>0</v>
      </c>
      <c r="BB661" s="55" t="str">
        <f aca="false">IF(AF661&lt;=0,"",IF(BU661="Aussen","Aussenlager",IF(BU661="-","Nicht im Lift",IF(AK661&gt;=1,"Lift",IF(AK661&lt;=0,"Aussenlager","teilweise")))))</f>
        <v/>
      </c>
      <c r="BC661" s="55" t="str">
        <f aca="false">IF(AN661&lt;=0,"",IF(BU661="Aussen","Aussenlager",IF(BU661="-","Nicht im Lift",IF(AS661&gt;=1,"Lift",IF(AS661&lt;=0,"Aussenlager","teilweise")))))</f>
        <v>Nicht im Lift</v>
      </c>
      <c r="BD661" s="55" t="str">
        <f aca="false">IF(AV661&lt;=0,"",IF(BU661="Aussen","Aussenlager",IF(BU661="-","Nicht im Lift",IF(BA661&gt;=1,"Lift",IF(BA661&lt;=0,"Aussenlager","teilweise")))))</f>
        <v>Nicht im Lift</v>
      </c>
      <c r="BE661" s="55" t="str">
        <f aca="false">IF(A661="","",IF(BN661=1,"Neu; ","")&amp;IF(AND(BN661=0,BI661&lt;0),"negativer Bestand (Export "&amp;BI661&amp;"); ","")&amp;IF(I661&lt;=0,"Kein Verbrauch; ","")&amp;IF(CD661&gt;0,"Lift "&amp;U661&amp;" lt. Liftbericht (Fach "&amp;V661&amp;" Stk); ",IF(BR661=1,"Lose – Fläche geschätzt; ",""))&amp;IF(G661&gt;AP661,"Überbestand "&amp;ROUND(G661-AP661,0)&amp;" Stk / CHF "&amp;ROUND((G661-AP661)*F661,0)&amp;"; ","")&amp;IF(AND(BW661=1,BX661&lt;BY661),"MAX &lt; MB+LG; ","")&amp;IF(AND(CC661&gt;0,CB661*10&gt;CC661),"zu hoch für Tablar; ","")&amp;IF(AND(BN661=0,OR(BW661=1,Y661&lt;&gt;"",S661&lt;&gt;"",T661&lt;&gt;"",Z661&lt;&gt;"")),"manuell übersteuert; ","")&amp;IF(AND(BR661=0,Q661=0),"Gebinde unbekannt / Stellmass fehlt; ","")&amp;IF(AND(BR661=0,N(T661)&lt;=0,N(P661)&lt;=0),"Menge pro Gebinde fehlt (Ist = 1 Gebinde); ","")&amp;BM661)</f>
        <v>Lose – Fläche geschätzt; </v>
      </c>
      <c r="BF661" s="55"/>
      <c r="BG661" s="55"/>
      <c r="BH661" s="62"/>
      <c r="BI661" s="57" t="n">
        <v>0</v>
      </c>
      <c r="BJ661" s="57" t="n">
        <v>0</v>
      </c>
      <c r="BK661" s="56" t="n">
        <v>1.81903103690928E-014</v>
      </c>
      <c r="BL661" s="57" t="n">
        <v>4</v>
      </c>
      <c r="BM661" s="55"/>
      <c r="BN661" s="60" t="n">
        <v>0</v>
      </c>
      <c r="BO661" s="60" t="n">
        <v>661</v>
      </c>
      <c r="BP661" s="55" t="str">
        <f aca="false">IF(S661&lt;&gt;"",UPPER(TRIM(S661)),IF(O661="","LOSE",O661))</f>
        <v>LOSE</v>
      </c>
      <c r="BQ661" s="57" t="n">
        <f aca="false">IF(BP661="LOSE",1,IF(N(T661)&gt;0,T661,IF(N(P661)&gt;0,P661,MAX(1,G661))))</f>
        <v>1</v>
      </c>
      <c r="BR661" s="60" t="n">
        <f aca="false">IF(BP661="LOSE",1,0)</f>
        <v>1</v>
      </c>
      <c r="BS661" s="59" t="n">
        <f aca="false">IF(BR661=0,0,IF(N(R661)&gt;0,R661,IFERROR(VLOOKUP(D661,Parameter!$A$35:$C$64,3,0)+0,0)))</f>
        <v>0.15</v>
      </c>
      <c r="BT661" s="55" t="str">
        <f aca="false">IF(Y661&lt;&gt;"",Y661,X661)</f>
        <v>-</v>
      </c>
      <c r="BU661" s="55" t="str">
        <f aca="false">IF(BT661=1,"L1",IF(OR(BT661=2,BT661=3),"L23",IF(BT661="Aussen","Aussen","-")))</f>
        <v>-</v>
      </c>
      <c r="BV661" s="66" t="n">
        <f aca="false">IF(N(Z661)&gt;0,Z661,0)</f>
        <v>0</v>
      </c>
      <c r="BW661" s="60" t="n">
        <f aca="false">IF(ISNUMBER(AC661),1,0)</f>
        <v>0</v>
      </c>
      <c r="BX661" s="57" t="n">
        <f aca="false">N(AC661)</f>
        <v>0</v>
      </c>
      <c r="BY661" s="57" t="n">
        <f aca="false">N(L661)+N(M661)</f>
        <v>1</v>
      </c>
      <c r="BZ661" s="57" t="n">
        <f aca="false">ROUNDUP(G661/BQ661,0)</f>
        <v>0</v>
      </c>
      <c r="CA661" s="57" t="n">
        <f aca="false">ROUNDUP(BX661/BQ661,0)</f>
        <v>0</v>
      </c>
      <c r="CB661" s="60" t="n">
        <f aca="false">IF(BR661=1,0,IFERROR(VLOOKUP(BP661,'Gebinde-Kategorie'!$A$5:$M$45,5,0)+0,0))</f>
        <v>0</v>
      </c>
      <c r="CC661" s="60" t="n">
        <f aca="false">IFERROR(IF(OR(BT661=1,BT661=2,BT661=3),N(INDEX(Parameter!$I$5:$I$7,BT661)),0),0)</f>
        <v>0</v>
      </c>
      <c r="CD661" s="59" t="n">
        <f aca="false">IF(AND(Parameter!$B$21="Ja",ISNUMBER(U661),N(V661)&gt;0),IFERROR(N(INDEX(Parameter!$L$5:$L$7,U661))*INDEX(Parameter!$E$5:$E$7,U661)*V661/SUMIFS($V$7:$V$1576,$U$7:$U$1576,U661),0),0)</f>
        <v>0</v>
      </c>
    </row>
    <row r="662" customFormat="false" ht="15" hidden="false" customHeight="false" outlineLevel="0" collapsed="false">
      <c r="A662" s="55" t="s">
        <v>1322</v>
      </c>
      <c r="B662" s="55" t="s">
        <v>643</v>
      </c>
      <c r="C662" s="55" t="s">
        <v>160</v>
      </c>
      <c r="D662" s="55" t="s">
        <v>984</v>
      </c>
      <c r="E662" s="55" t="s">
        <v>210</v>
      </c>
      <c r="F662" s="56" t="n">
        <v>0.27</v>
      </c>
      <c r="G662" s="57" t="n">
        <f aca="false">MAX(0,IF(AND(Parameter!$B$21="Ja",ISNUMBER(W662)),W662,IF(Parameter!$B$20="Jahresanfang 2025 + Export",BJ662+BI662,BI662)))</f>
        <v>0</v>
      </c>
      <c r="H662" s="57" t="n">
        <f aca="false">G662*F662</f>
        <v>0</v>
      </c>
      <c r="I662" s="57" t="n">
        <f aca="false">BL662*Parameter!$B$18</f>
        <v>60</v>
      </c>
      <c r="J662" s="58" t="n">
        <v>0</v>
      </c>
      <c r="K662" s="59" t="n">
        <v>0</v>
      </c>
      <c r="L662" s="57" t="n">
        <v>0</v>
      </c>
      <c r="M662" s="57" t="n">
        <v>1</v>
      </c>
      <c r="N662" s="60" t="n">
        <v>28</v>
      </c>
      <c r="O662" s="55" t="s">
        <v>163</v>
      </c>
      <c r="P662" s="57"/>
      <c r="Q662" s="60" t="n">
        <f aca="false">IF(BR662=1,0,IFERROR(VLOOKUP(BP662,'Gebinde-Kategorie'!$A$5:$M$45,13,0)+0,0))</f>
        <v>0</v>
      </c>
      <c r="R662" s="61"/>
      <c r="S662" s="62"/>
      <c r="T662" s="62"/>
      <c r="U662" s="55"/>
      <c r="V662" s="57"/>
      <c r="W662" s="57"/>
      <c r="X662" s="55" t="str">
        <f aca="false">IF(A662="","",IF(AND(Parameter!$B$21="Ja",ISNUMBER(U662)),U662,IF(IFERROR(VLOOKUP(D662,Parameter!$A$35:$C$64,2,0),"Nein")="2+3",IF(ISNUMBER(SEARCH("grosser Artikel",BM662)),2,IFERROR(VLOOKUP(BP662,Parameter!$F$35:$G$64,2,0),2)),IF(OR(IFERROR(VLOOKUP(D662,Parameter!$A$35:$C$64,2,0),"Nein")="Nein",IFERROR(VLOOKUP(D662,Parameter!$A$35:$C$64,2,0),"Nein")=""),"-",VLOOKUP(D662,Parameter!$A$35:$C$64,2,0)))))</f>
        <v>-</v>
      </c>
      <c r="Y662" s="62"/>
      <c r="Z662" s="63"/>
      <c r="AA662" s="57" t="n">
        <f aca="false">AP662</f>
        <v>30</v>
      </c>
      <c r="AB662" s="57" t="n">
        <f aca="false">MAX(AP662,G662)</f>
        <v>30</v>
      </c>
      <c r="AC662" s="64"/>
      <c r="AD662" s="57" t="n">
        <f aca="false">IF(LEFT(Cockpit!$C$5,1)="A",G662,IF(BW662=1,BX662,IF(LEFT(Cockpit!$C$5,1)="B",AH662,MAX(AH662,G662))))</f>
        <v>0</v>
      </c>
      <c r="AE662" s="57" t="n">
        <f aca="false">IF(BR662=1,0,ROUNDUP(AD662/BQ662,0))</f>
        <v>0</v>
      </c>
      <c r="AF662" s="59" t="n">
        <f aca="false">IF(CD662&gt;0,CD662*MAX(1,AD662/V662),IF(BR662=1,IF(AD662&lt;=0,0,BS662*MAX(1,IF(G662&gt;0,AD662/G662,1))),IF(Q662&gt;0,AE662/Q662,0))/MAX(0.1,N(Parameter!$M$21)))</f>
        <v>0</v>
      </c>
      <c r="AG662" s="57" t="n">
        <f aca="false">AD662*F662</f>
        <v>0</v>
      </c>
      <c r="AH662" s="57" t="n">
        <f aca="false">ROUNDUP(MAX(I662/IF(BV662&gt;0,BV662,MAX(0.1,N(Cockpit!$C$6))),BY662)/BQ662,0)*BQ662</f>
        <v>30</v>
      </c>
      <c r="AI662" s="58" t="n">
        <f aca="false">IF(AF662&gt;0,I662/AF662,-1)</f>
        <v>-1</v>
      </c>
      <c r="AJ662" s="58" t="str">
        <f aca="false">IF(AND(OR(BU662="L1",BU662="L23"),AF662&gt;0),SUMIFS($AF$7:$AF$1576,$BU$7:$BU$1576,BU662,$AI$7:$AI$1576,"&gt;"&amp;AI662)+SUMIFS($AF$7:$AF$1576,$BU$7:$BU$1576,BU662,$AI$7:$AI$1576,AI662,$BO$7:$BO$1576,"&lt;="&amp;BO662),"")</f>
        <v/>
      </c>
      <c r="AK662" s="65" t="n">
        <f aca="false">IF(AJ662="",0,MAX(0,MIN(1,(IF(BU662="L1",Parameter!$E$5,Parameter!$E$6+Parameter!$E$7)-(AJ662-AF662))/AF662)))</f>
        <v>0</v>
      </c>
      <c r="AL662" s="57" t="n">
        <f aca="false">IF(LEFT(Cockpit!$I$5,1)="A",G662,IF(BW662=1,BX662,IF(LEFT(Cockpit!$I$5,1)="B",AP662,MAX(AP662,G662))))</f>
        <v>30</v>
      </c>
      <c r="AM662" s="57" t="n">
        <f aca="false">IF(BR662=1,0,ROUNDUP(AL662/BQ662,0))</f>
        <v>0</v>
      </c>
      <c r="AN662" s="59" t="n">
        <f aca="false">IF(CD662&gt;0,CD662*MAX(1,AL662/V662),IF(BR662=1,IF(AL662&lt;=0,0,BS662*MAX(1,IF(G662&gt;0,AL662/G662,1))),IF(Q662&gt;0,AM662/Q662,0))/MAX(0.1,N(Parameter!$M$21)))</f>
        <v>0.15</v>
      </c>
      <c r="AO662" s="57" t="n">
        <f aca="false">AL662*F662</f>
        <v>8.1</v>
      </c>
      <c r="AP662" s="57" t="n">
        <f aca="false">ROUNDUP(MAX(I662/IF(BV662&gt;0,BV662,MAX(0.1,N(Cockpit!$I$6))),BY662)/BQ662,0)*BQ662</f>
        <v>30</v>
      </c>
      <c r="AQ662" s="58" t="n">
        <f aca="false">IF(AN662&gt;0,I662/AN662,-1)</f>
        <v>400</v>
      </c>
      <c r="AR662" s="58" t="str">
        <f aca="false">IF(AND(OR(BU662="L1",BU662="L23"),AN662&gt;0),SUMIFS($AN$7:$AN$1576,$BU$7:$BU$1576,BU662,$AQ$7:$AQ$1576,"&gt;"&amp;AQ662)+SUMIFS($AN$7:$AN$1576,$BU$7:$BU$1576,BU662,$AQ$7:$AQ$1576,AQ662,$BO$7:$BO$1576,"&lt;="&amp;BO662),"")</f>
        <v/>
      </c>
      <c r="AS662" s="65" t="n">
        <f aca="false">IF(AR662="",0,MAX(0,MIN(1,(IF(BU662="L1",Parameter!$E$5,Parameter!$E$6+Parameter!$E$7)-(AR662-AN662))/AN662)))</f>
        <v>0</v>
      </c>
      <c r="AT662" s="57" t="n">
        <f aca="false">IF(LEFT(Cockpit!$O$5,1)="A",G662,IF(BW662=1,BX662,IF(LEFT(Cockpit!$O$5,1)="B",AX662,MAX(AX662,G662))))</f>
        <v>20</v>
      </c>
      <c r="AU662" s="57" t="n">
        <f aca="false">IF(BR662=1,0,ROUNDUP(AT662/BQ662,0))</f>
        <v>0</v>
      </c>
      <c r="AV662" s="59" t="n">
        <f aca="false">IF(CD662&gt;0,CD662*MAX(1,AT662/V662),IF(BR662=1,IF(AT662&lt;=0,0,BS662*MAX(1,IF(G662&gt;0,AT662/G662,1))),IF(Q662&gt;0,AU662/Q662,0))/MAX(0.1,N(Parameter!$M$21)))</f>
        <v>0.15</v>
      </c>
      <c r="AW662" s="57" t="n">
        <f aca="false">AT662*F662</f>
        <v>5.4</v>
      </c>
      <c r="AX662" s="57" t="n">
        <f aca="false">ROUNDUP(MAX(I662/IF(BV662&gt;0,BV662,MAX(0.1,N(Cockpit!$O$6))),BY662)/BQ662,0)*BQ662</f>
        <v>20</v>
      </c>
      <c r="AY662" s="58" t="n">
        <f aca="false">IF(AV662&gt;0,I662/AV662,-1)</f>
        <v>400</v>
      </c>
      <c r="AZ662" s="58" t="str">
        <f aca="false">IF(AND(OR(BU662="L1",BU662="L23"),AV662&gt;0),SUMIFS($AV$7:$AV$1576,$BU$7:$BU$1576,BU662,$AY$7:$AY$1576,"&gt;"&amp;AY662)+SUMIFS($AV$7:$AV$1576,$BU$7:$BU$1576,BU662,$AY$7:$AY$1576,AY662,$BO$7:$BO$1576,"&lt;="&amp;BO662),"")</f>
        <v/>
      </c>
      <c r="BA662" s="65" t="n">
        <f aca="false">IF(AZ662="",0,MAX(0,MIN(1,(IF(BU662="L1",Parameter!$E$5,Parameter!$E$6+Parameter!$E$7)-(AZ662-AV662))/AV662)))</f>
        <v>0</v>
      </c>
      <c r="BB662" s="55" t="str">
        <f aca="false">IF(AF662&lt;=0,"",IF(BU662="Aussen","Aussenlager",IF(BU662="-","Nicht im Lift",IF(AK662&gt;=1,"Lift",IF(AK662&lt;=0,"Aussenlager","teilweise")))))</f>
        <v/>
      </c>
      <c r="BC662" s="55" t="str">
        <f aca="false">IF(AN662&lt;=0,"",IF(BU662="Aussen","Aussenlager",IF(BU662="-","Nicht im Lift",IF(AS662&gt;=1,"Lift",IF(AS662&lt;=0,"Aussenlager","teilweise")))))</f>
        <v>Nicht im Lift</v>
      </c>
      <c r="BD662" s="55" t="str">
        <f aca="false">IF(AV662&lt;=0,"",IF(BU662="Aussen","Aussenlager",IF(BU662="-","Nicht im Lift",IF(BA662&gt;=1,"Lift",IF(BA662&lt;=0,"Aussenlager","teilweise")))))</f>
        <v>Nicht im Lift</v>
      </c>
      <c r="BE662" s="55" t="str">
        <f aca="false">IF(A662="","",IF(BN662=1,"Neu; ","")&amp;IF(AND(BN662=0,BI662&lt;0),"negativer Bestand (Export "&amp;BI662&amp;"); ","")&amp;IF(I662&lt;=0,"Kein Verbrauch; ","")&amp;IF(CD662&gt;0,"Lift "&amp;U662&amp;" lt. Liftbericht (Fach "&amp;V662&amp;" Stk); ",IF(BR662=1,"Lose – Fläche geschätzt; ",""))&amp;IF(G662&gt;AP662,"Überbestand "&amp;ROUND(G662-AP662,0)&amp;" Stk / CHF "&amp;ROUND((G662-AP662)*F662,0)&amp;"; ","")&amp;IF(AND(BW662=1,BX662&lt;BY662),"MAX &lt; MB+LG; ","")&amp;IF(AND(CC662&gt;0,CB662*10&gt;CC662),"zu hoch für Tablar; ","")&amp;IF(AND(BN662=0,OR(BW662=1,Y662&lt;&gt;"",S662&lt;&gt;"",T662&lt;&gt;"",Z662&lt;&gt;"")),"manuell übersteuert; ","")&amp;IF(AND(BR662=0,Q662=0),"Gebinde unbekannt / Stellmass fehlt; ","")&amp;IF(AND(BR662=0,N(T662)&lt;=0,N(P662)&lt;=0),"Menge pro Gebinde fehlt (Ist = 1 Gebinde); ","")&amp;BM662)</f>
        <v>Lose – Fläche geschätzt; </v>
      </c>
      <c r="BF662" s="55"/>
      <c r="BG662" s="55"/>
      <c r="BH662" s="62"/>
      <c r="BI662" s="57" t="n">
        <v>0</v>
      </c>
      <c r="BJ662" s="57" t="n">
        <v>0</v>
      </c>
      <c r="BK662" s="56" t="n">
        <v>8.88178419700125E-016</v>
      </c>
      <c r="BL662" s="57" t="n">
        <v>60</v>
      </c>
      <c r="BM662" s="55"/>
      <c r="BN662" s="60" t="n">
        <v>0</v>
      </c>
      <c r="BO662" s="60" t="n">
        <v>662</v>
      </c>
      <c r="BP662" s="55" t="str">
        <f aca="false">IF(S662&lt;&gt;"",UPPER(TRIM(S662)),IF(O662="","LOSE",O662))</f>
        <v>LOSE</v>
      </c>
      <c r="BQ662" s="57" t="n">
        <f aca="false">IF(BP662="LOSE",1,IF(N(T662)&gt;0,T662,IF(N(P662)&gt;0,P662,MAX(1,G662))))</f>
        <v>1</v>
      </c>
      <c r="BR662" s="60" t="n">
        <f aca="false">IF(BP662="LOSE",1,0)</f>
        <v>1</v>
      </c>
      <c r="BS662" s="59" t="n">
        <f aca="false">IF(BR662=0,0,IF(N(R662)&gt;0,R662,IFERROR(VLOOKUP(D662,Parameter!$A$35:$C$64,3,0)+0,0)))</f>
        <v>0.15</v>
      </c>
      <c r="BT662" s="55" t="str">
        <f aca="false">IF(Y662&lt;&gt;"",Y662,X662)</f>
        <v>-</v>
      </c>
      <c r="BU662" s="55" t="str">
        <f aca="false">IF(BT662=1,"L1",IF(OR(BT662=2,BT662=3),"L23",IF(BT662="Aussen","Aussen","-")))</f>
        <v>-</v>
      </c>
      <c r="BV662" s="66" t="n">
        <f aca="false">IF(N(Z662)&gt;0,Z662,0)</f>
        <v>0</v>
      </c>
      <c r="BW662" s="60" t="n">
        <f aca="false">IF(ISNUMBER(AC662),1,0)</f>
        <v>0</v>
      </c>
      <c r="BX662" s="57" t="n">
        <f aca="false">N(AC662)</f>
        <v>0</v>
      </c>
      <c r="BY662" s="57" t="n">
        <f aca="false">N(L662)+N(M662)</f>
        <v>1</v>
      </c>
      <c r="BZ662" s="57" t="n">
        <f aca="false">ROUNDUP(G662/BQ662,0)</f>
        <v>0</v>
      </c>
      <c r="CA662" s="57" t="n">
        <f aca="false">ROUNDUP(BX662/BQ662,0)</f>
        <v>0</v>
      </c>
      <c r="CB662" s="60" t="n">
        <f aca="false">IF(BR662=1,0,IFERROR(VLOOKUP(BP662,'Gebinde-Kategorie'!$A$5:$M$45,5,0)+0,0))</f>
        <v>0</v>
      </c>
      <c r="CC662" s="60" t="n">
        <f aca="false">IFERROR(IF(OR(BT662=1,BT662=2,BT662=3),N(INDEX(Parameter!$I$5:$I$7,BT662)),0),0)</f>
        <v>0</v>
      </c>
      <c r="CD662" s="59" t="n">
        <f aca="false">IF(AND(Parameter!$B$21="Ja",ISNUMBER(U662),N(V662)&gt;0),IFERROR(N(INDEX(Parameter!$L$5:$L$7,U662))*INDEX(Parameter!$E$5:$E$7,U662)*V662/SUMIFS($V$7:$V$1576,$U$7:$U$1576,U662),0),0)</f>
        <v>0</v>
      </c>
    </row>
    <row r="663" customFormat="false" ht="15" hidden="false" customHeight="false" outlineLevel="0" collapsed="false">
      <c r="A663" s="55" t="s">
        <v>1323</v>
      </c>
      <c r="B663" s="55" t="s">
        <v>1324</v>
      </c>
      <c r="C663" s="55" t="s">
        <v>160</v>
      </c>
      <c r="D663" s="55" t="s">
        <v>168</v>
      </c>
      <c r="E663" s="55" t="s">
        <v>210</v>
      </c>
      <c r="F663" s="56" t="n">
        <v>0.01</v>
      </c>
      <c r="G663" s="57" t="n">
        <f aca="false">MAX(0,IF(AND(Parameter!$B$21="Ja",ISNUMBER(W663)),W663,IF(Parameter!$B$20="Jahresanfang 2025 + Export",BJ663+BI663,BI663)))</f>
        <v>0</v>
      </c>
      <c r="H663" s="57" t="n">
        <f aca="false">G663*F663</f>
        <v>0</v>
      </c>
      <c r="I663" s="57" t="n">
        <f aca="false">BL663*Parameter!$B$18</f>
        <v>31</v>
      </c>
      <c r="J663" s="58" t="n">
        <v>50</v>
      </c>
      <c r="K663" s="59" t="n">
        <v>0.62</v>
      </c>
      <c r="L663" s="57" t="n">
        <v>0</v>
      </c>
      <c r="M663" s="57" t="n">
        <v>1</v>
      </c>
      <c r="N663" s="60" t="n">
        <v>0</v>
      </c>
      <c r="O663" s="55" t="s">
        <v>163</v>
      </c>
      <c r="P663" s="57"/>
      <c r="Q663" s="60" t="n">
        <f aca="false">IF(BR663=1,0,IFERROR(VLOOKUP(BP663,'Gebinde-Kategorie'!$A$5:$M$45,13,0)+0,0))</f>
        <v>0</v>
      </c>
      <c r="R663" s="61"/>
      <c r="S663" s="62"/>
      <c r="T663" s="62"/>
      <c r="U663" s="55"/>
      <c r="V663" s="57"/>
      <c r="W663" s="57"/>
      <c r="X663" s="55" t="n">
        <f aca="false">IF(A663="","",IF(AND(Parameter!$B$21="Ja",ISNUMBER(U663)),U663,IF(IFERROR(VLOOKUP(D663,Parameter!$A$35:$C$64,2,0),"Nein")="2+3",IF(ISNUMBER(SEARCH("grosser Artikel",BM663)),2,IFERROR(VLOOKUP(BP663,Parameter!$F$35:$G$64,2,0),2)),IF(OR(IFERROR(VLOOKUP(D663,Parameter!$A$35:$C$64,2,0),"Nein")="Nein",IFERROR(VLOOKUP(D663,Parameter!$A$35:$C$64,2,0),"Nein")=""),"-",VLOOKUP(D663,Parameter!$A$35:$C$64,2,0)))))</f>
        <v>2</v>
      </c>
      <c r="Y663" s="62"/>
      <c r="Z663" s="63"/>
      <c r="AA663" s="57" t="n">
        <f aca="false">AP663</f>
        <v>16</v>
      </c>
      <c r="AB663" s="57" t="n">
        <f aca="false">MAX(AP663,G663)</f>
        <v>16</v>
      </c>
      <c r="AC663" s="64"/>
      <c r="AD663" s="57" t="n">
        <f aca="false">IF(LEFT(Cockpit!$C$5,1)="A",G663,IF(BW663=1,BX663,IF(LEFT(Cockpit!$C$5,1)="B",AH663,MAX(AH663,G663))))</f>
        <v>0</v>
      </c>
      <c r="AE663" s="57" t="n">
        <f aca="false">IF(BR663=1,0,ROUNDUP(AD663/BQ663,0))</f>
        <v>0</v>
      </c>
      <c r="AF663" s="59" t="n">
        <f aca="false">IF(CD663&gt;0,CD663*MAX(1,AD663/V663),IF(BR663=1,IF(AD663&lt;=0,0,BS663*MAX(1,IF(G663&gt;0,AD663/G663,1))),IF(Q663&gt;0,AE663/Q663,0))/MAX(0.1,N(Parameter!$M$21)))</f>
        <v>0</v>
      </c>
      <c r="AG663" s="57" t="n">
        <f aca="false">AD663*F663</f>
        <v>0</v>
      </c>
      <c r="AH663" s="57" t="n">
        <f aca="false">ROUNDUP(MAX(I663/IF(BV663&gt;0,BV663,MAX(0.1,N(Cockpit!$C$6))),BY663)/BQ663,0)*BQ663</f>
        <v>16</v>
      </c>
      <c r="AI663" s="58" t="n">
        <f aca="false">IF(AF663&gt;0,I663/AF663,-1)</f>
        <v>-1</v>
      </c>
      <c r="AJ663" s="58" t="str">
        <f aca="false">IF(AND(OR(BU663="L1",BU663="L23"),AF663&gt;0),SUMIFS($AF$7:$AF$1576,$BU$7:$BU$1576,BU663,$AI$7:$AI$1576,"&gt;"&amp;AI663)+SUMIFS($AF$7:$AF$1576,$BU$7:$BU$1576,BU663,$AI$7:$AI$1576,AI663,$BO$7:$BO$1576,"&lt;="&amp;BO663),"")</f>
        <v/>
      </c>
      <c r="AK663" s="65" t="n">
        <f aca="false">IF(AJ663="",0,MAX(0,MIN(1,(IF(BU663="L1",Parameter!$E$5,Parameter!$E$6+Parameter!$E$7)-(AJ663-AF663))/AF663)))</f>
        <v>0</v>
      </c>
      <c r="AL663" s="57" t="n">
        <f aca="false">IF(LEFT(Cockpit!$I$5,1)="A",G663,IF(BW663=1,BX663,IF(LEFT(Cockpit!$I$5,1)="B",AP663,MAX(AP663,G663))))</f>
        <v>16</v>
      </c>
      <c r="AM663" s="57" t="n">
        <f aca="false">IF(BR663=1,0,ROUNDUP(AL663/BQ663,0))</f>
        <v>0</v>
      </c>
      <c r="AN663" s="59" t="n">
        <f aca="false">IF(CD663&gt;0,CD663*MAX(1,AL663/V663),IF(BR663=1,IF(AL663&lt;=0,0,BS663*MAX(1,IF(G663&gt;0,AL663/G663,1))),IF(Q663&gt;0,AM663/Q663,0))/MAX(0.1,N(Parameter!$M$21)))</f>
        <v>0.15</v>
      </c>
      <c r="AO663" s="57" t="n">
        <f aca="false">AL663*F663</f>
        <v>0.16</v>
      </c>
      <c r="AP663" s="57" t="n">
        <f aca="false">ROUNDUP(MAX(I663/IF(BV663&gt;0,BV663,MAX(0.1,N(Cockpit!$I$6))),BY663)/BQ663,0)*BQ663</f>
        <v>16</v>
      </c>
      <c r="AQ663" s="58" t="n">
        <f aca="false">IF(AN663&gt;0,I663/AN663,-1)</f>
        <v>206.666666666667</v>
      </c>
      <c r="AR663" s="58" t="n">
        <f aca="false">IF(AND(OR(BU663="L1",BU663="L23"),AN663&gt;0),SUMIFS($AN$7:$AN$1576,$BU$7:$BU$1576,BU663,$AQ$7:$AQ$1576,"&gt;"&amp;AQ663)+SUMIFS($AN$7:$AN$1576,$BU$7:$BU$1576,BU663,$AQ$7:$AQ$1576,AQ663,$BO$7:$BO$1576,"&lt;="&amp;BO663),"")</f>
        <v>50.7161665511777</v>
      </c>
      <c r="AS663" s="65" t="n">
        <f aca="false">IF(AR663="",0,MAX(0,MIN(1,(IF(BU663="L1",Parameter!$E$5,Parameter!$E$6+Parameter!$E$7)-(AR663-AN663))/AN663)))</f>
        <v>1</v>
      </c>
      <c r="AT663" s="57" t="n">
        <f aca="false">IF(LEFT(Cockpit!$O$5,1)="A",G663,IF(BW663=1,BX663,IF(LEFT(Cockpit!$O$5,1)="B",AX663,MAX(AX663,G663))))</f>
        <v>11</v>
      </c>
      <c r="AU663" s="57" t="n">
        <f aca="false">IF(BR663=1,0,ROUNDUP(AT663/BQ663,0))</f>
        <v>0</v>
      </c>
      <c r="AV663" s="59" t="n">
        <f aca="false">IF(CD663&gt;0,CD663*MAX(1,AT663/V663),IF(BR663=1,IF(AT663&lt;=0,0,BS663*MAX(1,IF(G663&gt;0,AT663/G663,1))),IF(Q663&gt;0,AU663/Q663,0))/MAX(0.1,N(Parameter!$M$21)))</f>
        <v>0.15</v>
      </c>
      <c r="AW663" s="57" t="n">
        <f aca="false">AT663*F663</f>
        <v>0.11</v>
      </c>
      <c r="AX663" s="57" t="n">
        <f aca="false">ROUNDUP(MAX(I663/IF(BV663&gt;0,BV663,MAX(0.1,N(Cockpit!$O$6))),BY663)/BQ663,0)*BQ663</f>
        <v>11</v>
      </c>
      <c r="AY663" s="58" t="n">
        <f aca="false">IF(AV663&gt;0,I663/AV663,-1)</f>
        <v>206.666666666667</v>
      </c>
      <c r="AZ663" s="58" t="n">
        <f aca="false">IF(AND(OR(BU663="L1",BU663="L23"),AV663&gt;0),SUMIFS($AV$7:$AV$1576,$BU$7:$BU$1576,BU663,$AY$7:$AY$1576,"&gt;"&amp;AY663)+SUMIFS($AV$7:$AV$1576,$BU$7:$BU$1576,BU663,$AY$7:$AY$1576,AY663,$BO$7:$BO$1576,"&lt;="&amp;BO663),"")</f>
        <v>46.1624269574381</v>
      </c>
      <c r="BA663" s="65" t="n">
        <f aca="false">IF(AZ663="",0,MAX(0,MIN(1,(IF(BU663="L1",Parameter!$E$5,Parameter!$E$6+Parameter!$E$7)-(AZ663-AV663))/AV663)))</f>
        <v>1</v>
      </c>
      <c r="BB663" s="55" t="str">
        <f aca="false">IF(AF663&lt;=0,"",IF(BU663="Aussen","Aussenlager",IF(BU663="-","Nicht im Lift",IF(AK663&gt;=1,"Lift",IF(AK663&lt;=0,"Aussenlager","teilweise")))))</f>
        <v/>
      </c>
      <c r="BC663" s="55" t="str">
        <f aca="false">IF(AN663&lt;=0,"",IF(BU663="Aussen","Aussenlager",IF(BU663="-","Nicht im Lift",IF(AS663&gt;=1,"Lift",IF(AS663&lt;=0,"Aussenlager","teilweise")))))</f>
        <v>Lift</v>
      </c>
      <c r="BD663" s="55" t="str">
        <f aca="false">IF(AV663&lt;=0,"",IF(BU663="Aussen","Aussenlager",IF(BU663="-","Nicht im Lift",IF(BA663&gt;=1,"Lift",IF(BA663&lt;=0,"Aussenlager","teilweise")))))</f>
        <v>Lift</v>
      </c>
      <c r="BE663" s="55" t="str">
        <f aca="false">IF(A663="","",IF(BN663=1,"Neu; ","")&amp;IF(AND(BN663=0,BI663&lt;0),"negativer Bestand (Export "&amp;BI663&amp;"); ","")&amp;IF(I663&lt;=0,"Kein Verbrauch; ","")&amp;IF(CD663&gt;0,"Lift "&amp;U663&amp;" lt. Liftbericht (Fach "&amp;V663&amp;" Stk); ",IF(BR663=1,"Lose – Fläche geschätzt; ",""))&amp;IF(G663&gt;AP663,"Überbestand "&amp;ROUND(G663-AP663,0)&amp;" Stk / CHF "&amp;ROUND((G663-AP663)*F663,0)&amp;"; ","")&amp;IF(AND(BW663=1,BX663&lt;BY663),"MAX &lt; MB+LG; ","")&amp;IF(AND(CC663&gt;0,CB663*10&gt;CC663),"zu hoch für Tablar; ","")&amp;IF(AND(BN663=0,OR(BW663=1,Y663&lt;&gt;"",S663&lt;&gt;"",T663&lt;&gt;"",Z663&lt;&gt;"")),"manuell übersteuert; ","")&amp;IF(AND(BR663=0,Q663=0),"Gebinde unbekannt / Stellmass fehlt; ","")&amp;IF(AND(BR663=0,N(T663)&lt;=0,N(P663)&lt;=0),"Menge pro Gebinde fehlt (Ist = 1 Gebinde); ","")&amp;BM663)</f>
        <v>negativer Bestand (Export -100); Lose – Fläche geschätzt; </v>
      </c>
      <c r="BF663" s="55"/>
      <c r="BG663" s="55"/>
      <c r="BH663" s="62"/>
      <c r="BI663" s="57" t="n">
        <v>-100</v>
      </c>
      <c r="BJ663" s="57" t="n">
        <v>100</v>
      </c>
      <c r="BK663" s="56" t="n">
        <v>1.11022302462516E-016</v>
      </c>
      <c r="BL663" s="57" t="n">
        <v>31</v>
      </c>
      <c r="BM663" s="55"/>
      <c r="BN663" s="60" t="n">
        <v>0</v>
      </c>
      <c r="BO663" s="60" t="n">
        <v>663</v>
      </c>
      <c r="BP663" s="55" t="str">
        <f aca="false">IF(S663&lt;&gt;"",UPPER(TRIM(S663)),IF(O663="","LOSE",O663))</f>
        <v>LOSE</v>
      </c>
      <c r="BQ663" s="57" t="n">
        <f aca="false">IF(BP663="LOSE",1,IF(N(T663)&gt;0,T663,IF(N(P663)&gt;0,P663,MAX(1,G663))))</f>
        <v>1</v>
      </c>
      <c r="BR663" s="60" t="n">
        <f aca="false">IF(BP663="LOSE",1,0)</f>
        <v>1</v>
      </c>
      <c r="BS663" s="59" t="n">
        <f aca="false">IF(BR663=0,0,IF(N(R663)&gt;0,R663,IFERROR(VLOOKUP(D663,Parameter!$A$35:$C$64,3,0)+0,0)))</f>
        <v>0.15</v>
      </c>
      <c r="BT663" s="55" t="n">
        <f aca="false">IF(Y663&lt;&gt;"",Y663,X663)</f>
        <v>2</v>
      </c>
      <c r="BU663" s="55" t="str">
        <f aca="false">IF(BT663=1,"L1",IF(OR(BT663=2,BT663=3),"L23",IF(BT663="Aussen","Aussen","-")))</f>
        <v>L23</v>
      </c>
      <c r="BV663" s="66" t="n">
        <f aca="false">IF(N(Z663)&gt;0,Z663,0)</f>
        <v>0</v>
      </c>
      <c r="BW663" s="60" t="n">
        <f aca="false">IF(ISNUMBER(AC663),1,0)</f>
        <v>0</v>
      </c>
      <c r="BX663" s="57" t="n">
        <f aca="false">N(AC663)</f>
        <v>0</v>
      </c>
      <c r="BY663" s="57" t="n">
        <f aca="false">N(L663)+N(M663)</f>
        <v>1</v>
      </c>
      <c r="BZ663" s="57" t="n">
        <f aca="false">ROUNDUP(G663/BQ663,0)</f>
        <v>0</v>
      </c>
      <c r="CA663" s="57" t="n">
        <f aca="false">ROUNDUP(BX663/BQ663,0)</f>
        <v>0</v>
      </c>
      <c r="CB663" s="60" t="n">
        <f aca="false">IF(BR663=1,0,IFERROR(VLOOKUP(BP663,'Gebinde-Kategorie'!$A$5:$M$45,5,0)+0,0))</f>
        <v>0</v>
      </c>
      <c r="CC663" s="60" t="n">
        <f aca="false">IFERROR(IF(OR(BT663=1,BT663=2,BT663=3),N(INDEX(Parameter!$I$5:$I$7,BT663)),0),0)</f>
        <v>0</v>
      </c>
      <c r="CD663" s="59" t="n">
        <f aca="false">IF(AND(Parameter!$B$21="Ja",ISNUMBER(U663),N(V663)&gt;0),IFERROR(N(INDEX(Parameter!$L$5:$L$7,U663))*INDEX(Parameter!$E$5:$E$7,U663)*V663/SUMIFS($V$7:$V$1576,$U$7:$U$1576,U663),0),0)</f>
        <v>0</v>
      </c>
    </row>
    <row r="664" customFormat="false" ht="15" hidden="false" customHeight="false" outlineLevel="0" collapsed="false">
      <c r="A664" s="55" t="s">
        <v>1325</v>
      </c>
      <c r="B664" s="55" t="s">
        <v>987</v>
      </c>
      <c r="C664" s="55" t="s">
        <v>160</v>
      </c>
      <c r="D664" s="55" t="s">
        <v>984</v>
      </c>
      <c r="E664" s="55" t="s">
        <v>210</v>
      </c>
      <c r="F664" s="56" t="n">
        <v>144.62</v>
      </c>
      <c r="G664" s="57" t="n">
        <f aca="false">MAX(0,IF(AND(Parameter!$B$21="Ja",ISNUMBER(W664)),W664,IF(Parameter!$B$20="Jahresanfang 2025 + Export",BJ664+BI664,BI664)))</f>
        <v>0</v>
      </c>
      <c r="H664" s="57" t="n">
        <f aca="false">G664*F664</f>
        <v>0</v>
      </c>
      <c r="I664" s="57" t="n">
        <f aca="false">BL664*Parameter!$B$18</f>
        <v>8</v>
      </c>
      <c r="J664" s="58" t="n">
        <v>0</v>
      </c>
      <c r="K664" s="59" t="n">
        <v>0</v>
      </c>
      <c r="L664" s="57" t="n">
        <v>0</v>
      </c>
      <c r="M664" s="57" t="n">
        <v>1</v>
      </c>
      <c r="N664" s="60" t="n">
        <v>105</v>
      </c>
      <c r="O664" s="55" t="s">
        <v>163</v>
      </c>
      <c r="P664" s="57"/>
      <c r="Q664" s="60" t="n">
        <f aca="false">IF(BR664=1,0,IFERROR(VLOOKUP(BP664,'Gebinde-Kategorie'!$A$5:$M$45,13,0)+0,0))</f>
        <v>0</v>
      </c>
      <c r="R664" s="61"/>
      <c r="S664" s="62"/>
      <c r="T664" s="62"/>
      <c r="U664" s="55"/>
      <c r="V664" s="57"/>
      <c r="W664" s="57"/>
      <c r="X664" s="55" t="str">
        <f aca="false">IF(A664="","",IF(AND(Parameter!$B$21="Ja",ISNUMBER(U664)),U664,IF(IFERROR(VLOOKUP(D664,Parameter!$A$35:$C$64,2,0),"Nein")="2+3",IF(ISNUMBER(SEARCH("grosser Artikel",BM664)),2,IFERROR(VLOOKUP(BP664,Parameter!$F$35:$G$64,2,0),2)),IF(OR(IFERROR(VLOOKUP(D664,Parameter!$A$35:$C$64,2,0),"Nein")="Nein",IFERROR(VLOOKUP(D664,Parameter!$A$35:$C$64,2,0),"Nein")=""),"-",VLOOKUP(D664,Parameter!$A$35:$C$64,2,0)))))</f>
        <v>-</v>
      </c>
      <c r="Y664" s="62"/>
      <c r="Z664" s="63"/>
      <c r="AA664" s="57" t="n">
        <f aca="false">AP664</f>
        <v>4</v>
      </c>
      <c r="AB664" s="57" t="n">
        <f aca="false">MAX(AP664,G664)</f>
        <v>4</v>
      </c>
      <c r="AC664" s="64"/>
      <c r="AD664" s="57" t="n">
        <f aca="false">IF(LEFT(Cockpit!$C$5,1)="A",G664,IF(BW664=1,BX664,IF(LEFT(Cockpit!$C$5,1)="B",AH664,MAX(AH664,G664))))</f>
        <v>0</v>
      </c>
      <c r="AE664" s="57" t="n">
        <f aca="false">IF(BR664=1,0,ROUNDUP(AD664/BQ664,0))</f>
        <v>0</v>
      </c>
      <c r="AF664" s="59" t="n">
        <f aca="false">IF(CD664&gt;0,CD664*MAX(1,AD664/V664),IF(BR664=1,IF(AD664&lt;=0,0,BS664*MAX(1,IF(G664&gt;0,AD664/G664,1))),IF(Q664&gt;0,AE664/Q664,0))/MAX(0.1,N(Parameter!$M$21)))</f>
        <v>0</v>
      </c>
      <c r="AG664" s="57" t="n">
        <f aca="false">AD664*F664</f>
        <v>0</v>
      </c>
      <c r="AH664" s="57" t="n">
        <f aca="false">ROUNDUP(MAX(I664/IF(BV664&gt;0,BV664,MAX(0.1,N(Cockpit!$C$6))),BY664)/BQ664,0)*BQ664</f>
        <v>4</v>
      </c>
      <c r="AI664" s="58" t="n">
        <f aca="false">IF(AF664&gt;0,I664/AF664,-1)</f>
        <v>-1</v>
      </c>
      <c r="AJ664" s="58" t="str">
        <f aca="false">IF(AND(OR(BU664="L1",BU664="L23"),AF664&gt;0),SUMIFS($AF$7:$AF$1576,$BU$7:$BU$1576,BU664,$AI$7:$AI$1576,"&gt;"&amp;AI664)+SUMIFS($AF$7:$AF$1576,$BU$7:$BU$1576,BU664,$AI$7:$AI$1576,AI664,$BO$7:$BO$1576,"&lt;="&amp;BO664),"")</f>
        <v/>
      </c>
      <c r="AK664" s="65" t="n">
        <f aca="false">IF(AJ664="",0,MAX(0,MIN(1,(IF(BU664="L1",Parameter!$E$5,Parameter!$E$6+Parameter!$E$7)-(AJ664-AF664))/AF664)))</f>
        <v>0</v>
      </c>
      <c r="AL664" s="57" t="n">
        <f aca="false">IF(LEFT(Cockpit!$I$5,1)="A",G664,IF(BW664=1,BX664,IF(LEFT(Cockpit!$I$5,1)="B",AP664,MAX(AP664,G664))))</f>
        <v>4</v>
      </c>
      <c r="AM664" s="57" t="n">
        <f aca="false">IF(BR664=1,0,ROUNDUP(AL664/BQ664,0))</f>
        <v>0</v>
      </c>
      <c r="AN664" s="59" t="n">
        <f aca="false">IF(CD664&gt;0,CD664*MAX(1,AL664/V664),IF(BR664=1,IF(AL664&lt;=0,0,BS664*MAX(1,IF(G664&gt;0,AL664/G664,1))),IF(Q664&gt;0,AM664/Q664,0))/MAX(0.1,N(Parameter!$M$21)))</f>
        <v>0.15</v>
      </c>
      <c r="AO664" s="57" t="n">
        <f aca="false">AL664*F664</f>
        <v>578.48</v>
      </c>
      <c r="AP664" s="57" t="n">
        <f aca="false">ROUNDUP(MAX(I664/IF(BV664&gt;0,BV664,MAX(0.1,N(Cockpit!$I$6))),BY664)/BQ664,0)*BQ664</f>
        <v>4</v>
      </c>
      <c r="AQ664" s="58" t="n">
        <f aca="false">IF(AN664&gt;0,I664/AN664,-1)</f>
        <v>53.3333333333333</v>
      </c>
      <c r="AR664" s="58" t="str">
        <f aca="false">IF(AND(OR(BU664="L1",BU664="L23"),AN664&gt;0),SUMIFS($AN$7:$AN$1576,$BU$7:$BU$1576,BU664,$AQ$7:$AQ$1576,"&gt;"&amp;AQ664)+SUMIFS($AN$7:$AN$1576,$BU$7:$BU$1576,BU664,$AQ$7:$AQ$1576,AQ664,$BO$7:$BO$1576,"&lt;="&amp;BO664),"")</f>
        <v/>
      </c>
      <c r="AS664" s="65" t="n">
        <f aca="false">IF(AR664="",0,MAX(0,MIN(1,(IF(BU664="L1",Parameter!$E$5,Parameter!$E$6+Parameter!$E$7)-(AR664-AN664))/AN664)))</f>
        <v>0</v>
      </c>
      <c r="AT664" s="57" t="n">
        <f aca="false">IF(LEFT(Cockpit!$O$5,1)="A",G664,IF(BW664=1,BX664,IF(LEFT(Cockpit!$O$5,1)="B",AX664,MAX(AX664,G664))))</f>
        <v>3</v>
      </c>
      <c r="AU664" s="57" t="n">
        <f aca="false">IF(BR664=1,0,ROUNDUP(AT664/BQ664,0))</f>
        <v>0</v>
      </c>
      <c r="AV664" s="59" t="n">
        <f aca="false">IF(CD664&gt;0,CD664*MAX(1,AT664/V664),IF(BR664=1,IF(AT664&lt;=0,0,BS664*MAX(1,IF(G664&gt;0,AT664/G664,1))),IF(Q664&gt;0,AU664/Q664,0))/MAX(0.1,N(Parameter!$M$21)))</f>
        <v>0.15</v>
      </c>
      <c r="AW664" s="57" t="n">
        <f aca="false">AT664*F664</f>
        <v>433.86</v>
      </c>
      <c r="AX664" s="57" t="n">
        <f aca="false">ROUNDUP(MAX(I664/IF(BV664&gt;0,BV664,MAX(0.1,N(Cockpit!$O$6))),BY664)/BQ664,0)*BQ664</f>
        <v>3</v>
      </c>
      <c r="AY664" s="58" t="n">
        <f aca="false">IF(AV664&gt;0,I664/AV664,-1)</f>
        <v>53.3333333333333</v>
      </c>
      <c r="AZ664" s="58" t="str">
        <f aca="false">IF(AND(OR(BU664="L1",BU664="L23"),AV664&gt;0),SUMIFS($AV$7:$AV$1576,$BU$7:$BU$1576,BU664,$AY$7:$AY$1576,"&gt;"&amp;AY664)+SUMIFS($AV$7:$AV$1576,$BU$7:$BU$1576,BU664,$AY$7:$AY$1576,AY664,$BO$7:$BO$1576,"&lt;="&amp;BO664),"")</f>
        <v/>
      </c>
      <c r="BA664" s="65" t="n">
        <f aca="false">IF(AZ664="",0,MAX(0,MIN(1,(IF(BU664="L1",Parameter!$E$5,Parameter!$E$6+Parameter!$E$7)-(AZ664-AV664))/AV664)))</f>
        <v>0</v>
      </c>
      <c r="BB664" s="55" t="str">
        <f aca="false">IF(AF664&lt;=0,"",IF(BU664="Aussen","Aussenlager",IF(BU664="-","Nicht im Lift",IF(AK664&gt;=1,"Lift",IF(AK664&lt;=0,"Aussenlager","teilweise")))))</f>
        <v/>
      </c>
      <c r="BC664" s="55" t="str">
        <f aca="false">IF(AN664&lt;=0,"",IF(BU664="Aussen","Aussenlager",IF(BU664="-","Nicht im Lift",IF(AS664&gt;=1,"Lift",IF(AS664&lt;=0,"Aussenlager","teilweise")))))</f>
        <v>Nicht im Lift</v>
      </c>
      <c r="BD664" s="55" t="str">
        <f aca="false">IF(AV664&lt;=0,"",IF(BU664="Aussen","Aussenlager",IF(BU664="-","Nicht im Lift",IF(BA664&gt;=1,"Lift",IF(BA664&lt;=0,"Aussenlager","teilweise")))))</f>
        <v>Nicht im Lift</v>
      </c>
      <c r="BE664" s="55" t="str">
        <f aca="false">IF(A664="","",IF(BN664=1,"Neu; ","")&amp;IF(AND(BN664=0,BI664&lt;0),"negativer Bestand (Export "&amp;BI664&amp;"); ","")&amp;IF(I664&lt;=0,"Kein Verbrauch; ","")&amp;IF(CD664&gt;0,"Lift "&amp;U664&amp;" lt. Liftbericht (Fach "&amp;V664&amp;" Stk); ",IF(BR664=1,"Lose – Fläche geschätzt; ",""))&amp;IF(G664&gt;AP664,"Überbestand "&amp;ROUND(G664-AP664,0)&amp;" Stk / CHF "&amp;ROUND((G664-AP664)*F664,0)&amp;"; ","")&amp;IF(AND(BW664=1,BX664&lt;BY664),"MAX &lt; MB+LG; ","")&amp;IF(AND(CC664&gt;0,CB664*10&gt;CC664),"zu hoch für Tablar; ","")&amp;IF(AND(BN664=0,OR(BW664=1,Y664&lt;&gt;"",S664&lt;&gt;"",T664&lt;&gt;"",Z664&lt;&gt;"")),"manuell übersteuert; ","")&amp;IF(AND(BR664=0,Q664=0),"Gebinde unbekannt / Stellmass fehlt; ","")&amp;IF(AND(BR664=0,N(T664)&lt;=0,N(P664)&lt;=0),"Menge pro Gebinde fehlt (Ist = 1 Gebinde); ","")&amp;BM664)</f>
        <v>Lose – Fläche geschätzt; </v>
      </c>
      <c r="BF664" s="55"/>
      <c r="BG664" s="55"/>
      <c r="BH664" s="62"/>
      <c r="BI664" s="57" t="n">
        <v>0</v>
      </c>
      <c r="BJ664" s="57" t="n">
        <v>0</v>
      </c>
      <c r="BK664" s="56" t="n">
        <v>0</v>
      </c>
      <c r="BL664" s="57" t="n">
        <v>8</v>
      </c>
      <c r="BM664" s="55"/>
      <c r="BN664" s="60" t="n">
        <v>0</v>
      </c>
      <c r="BO664" s="60" t="n">
        <v>664</v>
      </c>
      <c r="BP664" s="55" t="str">
        <f aca="false">IF(S664&lt;&gt;"",UPPER(TRIM(S664)),IF(O664="","LOSE",O664))</f>
        <v>LOSE</v>
      </c>
      <c r="BQ664" s="57" t="n">
        <f aca="false">IF(BP664="LOSE",1,IF(N(T664)&gt;0,T664,IF(N(P664)&gt;0,P664,MAX(1,G664))))</f>
        <v>1</v>
      </c>
      <c r="BR664" s="60" t="n">
        <f aca="false">IF(BP664="LOSE",1,0)</f>
        <v>1</v>
      </c>
      <c r="BS664" s="59" t="n">
        <f aca="false">IF(BR664=0,0,IF(N(R664)&gt;0,R664,IFERROR(VLOOKUP(D664,Parameter!$A$35:$C$64,3,0)+0,0)))</f>
        <v>0.15</v>
      </c>
      <c r="BT664" s="55" t="str">
        <f aca="false">IF(Y664&lt;&gt;"",Y664,X664)</f>
        <v>-</v>
      </c>
      <c r="BU664" s="55" t="str">
        <f aca="false">IF(BT664=1,"L1",IF(OR(BT664=2,BT664=3),"L23",IF(BT664="Aussen","Aussen","-")))</f>
        <v>-</v>
      </c>
      <c r="BV664" s="66" t="n">
        <f aca="false">IF(N(Z664)&gt;0,Z664,0)</f>
        <v>0</v>
      </c>
      <c r="BW664" s="60" t="n">
        <f aca="false">IF(ISNUMBER(AC664),1,0)</f>
        <v>0</v>
      </c>
      <c r="BX664" s="57" t="n">
        <f aca="false">N(AC664)</f>
        <v>0</v>
      </c>
      <c r="BY664" s="57" t="n">
        <f aca="false">N(L664)+N(M664)</f>
        <v>1</v>
      </c>
      <c r="BZ664" s="57" t="n">
        <f aca="false">ROUNDUP(G664/BQ664,0)</f>
        <v>0</v>
      </c>
      <c r="CA664" s="57" t="n">
        <f aca="false">ROUNDUP(BX664/BQ664,0)</f>
        <v>0</v>
      </c>
      <c r="CB664" s="60" t="n">
        <f aca="false">IF(BR664=1,0,IFERROR(VLOOKUP(BP664,'Gebinde-Kategorie'!$A$5:$M$45,5,0)+0,0))</f>
        <v>0</v>
      </c>
      <c r="CC664" s="60" t="n">
        <f aca="false">IFERROR(IF(OR(BT664=1,BT664=2,BT664=3),N(INDEX(Parameter!$I$5:$I$7,BT664)),0),0)</f>
        <v>0</v>
      </c>
      <c r="CD664" s="59" t="n">
        <f aca="false">IF(AND(Parameter!$B$21="Ja",ISNUMBER(U664),N(V664)&gt;0),IFERROR(N(INDEX(Parameter!$L$5:$L$7,U664))*INDEX(Parameter!$E$5:$E$7,U664)*V664/SUMIFS($V$7:$V$1576,$U$7:$U$1576,U664),0),0)</f>
        <v>0</v>
      </c>
    </row>
    <row r="665" customFormat="false" ht="15" hidden="false" customHeight="false" outlineLevel="0" collapsed="false">
      <c r="A665" s="55" t="s">
        <v>1326</v>
      </c>
      <c r="B665" s="55" t="s">
        <v>1327</v>
      </c>
      <c r="C665" s="55" t="s">
        <v>160</v>
      </c>
      <c r="D665" s="55" t="s">
        <v>1328</v>
      </c>
      <c r="E665" s="55" t="s">
        <v>210</v>
      </c>
      <c r="F665" s="56" t="n">
        <v>0.65</v>
      </c>
      <c r="G665" s="57" t="n">
        <f aca="false">MAX(0,IF(AND(Parameter!$B$21="Ja",ISNUMBER(W665)),W665,IF(Parameter!$B$20="Jahresanfang 2025 + Export",BJ665+BI665,BI665)))</f>
        <v>0</v>
      </c>
      <c r="H665" s="57" t="n">
        <f aca="false">G665*F665</f>
        <v>0</v>
      </c>
      <c r="I665" s="57" t="n">
        <f aca="false">BL665*Parameter!$B$18</f>
        <v>0</v>
      </c>
      <c r="J665" s="58" t="n">
        <v>0</v>
      </c>
      <c r="K665" s="59" t="n">
        <v>0</v>
      </c>
      <c r="L665" s="57" t="n">
        <v>0</v>
      </c>
      <c r="M665" s="57" t="n">
        <v>1050</v>
      </c>
      <c r="N665" s="60" t="n">
        <v>21</v>
      </c>
      <c r="O665" s="55" t="s">
        <v>163</v>
      </c>
      <c r="P665" s="57"/>
      <c r="Q665" s="60" t="n">
        <f aca="false">IF(BR665=1,0,IFERROR(VLOOKUP(BP665,'Gebinde-Kategorie'!$A$5:$M$45,13,0)+0,0))</f>
        <v>0</v>
      </c>
      <c r="R665" s="61"/>
      <c r="S665" s="62"/>
      <c r="T665" s="62"/>
      <c r="U665" s="55"/>
      <c r="V665" s="57"/>
      <c r="W665" s="57"/>
      <c r="X665" s="55" t="str">
        <f aca="false">IF(A665="","",IF(AND(Parameter!$B$21="Ja",ISNUMBER(U665)),U665,IF(IFERROR(VLOOKUP(D665,Parameter!$A$35:$C$64,2,0),"Nein")="2+3",IF(ISNUMBER(SEARCH("grosser Artikel",BM665)),2,IFERROR(VLOOKUP(BP665,Parameter!$F$35:$G$64,2,0),2)),IF(OR(IFERROR(VLOOKUP(D665,Parameter!$A$35:$C$64,2,0),"Nein")="Nein",IFERROR(VLOOKUP(D665,Parameter!$A$35:$C$64,2,0),"Nein")=""),"-",VLOOKUP(D665,Parameter!$A$35:$C$64,2,0)))))</f>
        <v>-</v>
      </c>
      <c r="Y665" s="62"/>
      <c r="Z665" s="63"/>
      <c r="AA665" s="57" t="n">
        <f aca="false">AP665</f>
        <v>1050</v>
      </c>
      <c r="AB665" s="57" t="n">
        <f aca="false">MAX(AP665,G665)</f>
        <v>1050</v>
      </c>
      <c r="AC665" s="64"/>
      <c r="AD665" s="57" t="n">
        <f aca="false">IF(LEFT(Cockpit!$C$5,1)="A",G665,IF(BW665=1,BX665,IF(LEFT(Cockpit!$C$5,1)="B",AH665,MAX(AH665,G665))))</f>
        <v>0</v>
      </c>
      <c r="AE665" s="57" t="n">
        <f aca="false">IF(BR665=1,0,ROUNDUP(AD665/BQ665,0))</f>
        <v>0</v>
      </c>
      <c r="AF665" s="59" t="n">
        <f aca="false">IF(CD665&gt;0,CD665*MAX(1,AD665/V665),IF(BR665=1,IF(AD665&lt;=0,0,BS665*MAX(1,IF(G665&gt;0,AD665/G665,1))),IF(Q665&gt;0,AE665/Q665,0))/MAX(0.1,N(Parameter!$M$21)))</f>
        <v>0</v>
      </c>
      <c r="AG665" s="57" t="n">
        <f aca="false">AD665*F665</f>
        <v>0</v>
      </c>
      <c r="AH665" s="57" t="n">
        <f aca="false">ROUNDUP(MAX(I665/IF(BV665&gt;0,BV665,MAX(0.1,N(Cockpit!$C$6))),BY665)/BQ665,0)*BQ665</f>
        <v>1050</v>
      </c>
      <c r="AI665" s="58" t="n">
        <f aca="false">IF(AF665&gt;0,I665/AF665,-1)</f>
        <v>-1</v>
      </c>
      <c r="AJ665" s="58" t="str">
        <f aca="false">IF(AND(OR(BU665="L1",BU665="L23"),AF665&gt;0),SUMIFS($AF$7:$AF$1576,$BU$7:$BU$1576,BU665,$AI$7:$AI$1576,"&gt;"&amp;AI665)+SUMIFS($AF$7:$AF$1576,$BU$7:$BU$1576,BU665,$AI$7:$AI$1576,AI665,$BO$7:$BO$1576,"&lt;="&amp;BO665),"")</f>
        <v/>
      </c>
      <c r="AK665" s="65" t="n">
        <f aca="false">IF(AJ665="",0,MAX(0,MIN(1,(IF(BU665="L1",Parameter!$E$5,Parameter!$E$6+Parameter!$E$7)-(AJ665-AF665))/AF665)))</f>
        <v>0</v>
      </c>
      <c r="AL665" s="57" t="n">
        <f aca="false">IF(LEFT(Cockpit!$I$5,1)="A",G665,IF(BW665=1,BX665,IF(LEFT(Cockpit!$I$5,1)="B",AP665,MAX(AP665,G665))))</f>
        <v>1050</v>
      </c>
      <c r="AM665" s="57" t="n">
        <f aca="false">IF(BR665=1,0,ROUNDUP(AL665/BQ665,0))</f>
        <v>0</v>
      </c>
      <c r="AN665" s="59" t="n">
        <f aca="false">IF(CD665&gt;0,CD665*MAX(1,AL665/V665),IF(BR665=1,IF(AL665&lt;=0,0,BS665*MAX(1,IF(G665&gt;0,AL665/G665,1))),IF(Q665&gt;0,AM665/Q665,0))/MAX(0.1,N(Parameter!$M$21)))</f>
        <v>0.15</v>
      </c>
      <c r="AO665" s="57" t="n">
        <f aca="false">AL665*F665</f>
        <v>682.5</v>
      </c>
      <c r="AP665" s="57" t="n">
        <f aca="false">ROUNDUP(MAX(I665/IF(BV665&gt;0,BV665,MAX(0.1,N(Cockpit!$I$6))),BY665)/BQ665,0)*BQ665</f>
        <v>1050</v>
      </c>
      <c r="AQ665" s="58" t="n">
        <f aca="false">IF(AN665&gt;0,I665/AN665,-1)</f>
        <v>0</v>
      </c>
      <c r="AR665" s="58" t="str">
        <f aca="false">IF(AND(OR(BU665="L1",BU665="L23"),AN665&gt;0),SUMIFS($AN$7:$AN$1576,$BU$7:$BU$1576,BU665,$AQ$7:$AQ$1576,"&gt;"&amp;AQ665)+SUMIFS($AN$7:$AN$1576,$BU$7:$BU$1576,BU665,$AQ$7:$AQ$1576,AQ665,$BO$7:$BO$1576,"&lt;="&amp;BO665),"")</f>
        <v/>
      </c>
      <c r="AS665" s="65" t="n">
        <f aca="false">IF(AR665="",0,MAX(0,MIN(1,(IF(BU665="L1",Parameter!$E$5,Parameter!$E$6+Parameter!$E$7)-(AR665-AN665))/AN665)))</f>
        <v>0</v>
      </c>
      <c r="AT665" s="57" t="n">
        <f aca="false">IF(LEFT(Cockpit!$O$5,1)="A",G665,IF(BW665=1,BX665,IF(LEFT(Cockpit!$O$5,1)="B",AX665,MAX(AX665,G665))))</f>
        <v>1050</v>
      </c>
      <c r="AU665" s="57" t="n">
        <f aca="false">IF(BR665=1,0,ROUNDUP(AT665/BQ665,0))</f>
        <v>0</v>
      </c>
      <c r="AV665" s="59" t="n">
        <f aca="false">IF(CD665&gt;0,CD665*MAX(1,AT665/V665),IF(BR665=1,IF(AT665&lt;=0,0,BS665*MAX(1,IF(G665&gt;0,AT665/G665,1))),IF(Q665&gt;0,AU665/Q665,0))/MAX(0.1,N(Parameter!$M$21)))</f>
        <v>0.15</v>
      </c>
      <c r="AW665" s="57" t="n">
        <f aca="false">AT665*F665</f>
        <v>682.5</v>
      </c>
      <c r="AX665" s="57" t="n">
        <f aca="false">ROUNDUP(MAX(I665/IF(BV665&gt;0,BV665,MAX(0.1,N(Cockpit!$O$6))),BY665)/BQ665,0)*BQ665</f>
        <v>1050</v>
      </c>
      <c r="AY665" s="58" t="n">
        <f aca="false">IF(AV665&gt;0,I665/AV665,-1)</f>
        <v>0</v>
      </c>
      <c r="AZ665" s="58" t="str">
        <f aca="false">IF(AND(OR(BU665="L1",BU665="L23"),AV665&gt;0),SUMIFS($AV$7:$AV$1576,$BU$7:$BU$1576,BU665,$AY$7:$AY$1576,"&gt;"&amp;AY665)+SUMIFS($AV$7:$AV$1576,$BU$7:$BU$1576,BU665,$AY$7:$AY$1576,AY665,$BO$7:$BO$1576,"&lt;="&amp;BO665),"")</f>
        <v/>
      </c>
      <c r="BA665" s="65" t="n">
        <f aca="false">IF(AZ665="",0,MAX(0,MIN(1,(IF(BU665="L1",Parameter!$E$5,Parameter!$E$6+Parameter!$E$7)-(AZ665-AV665))/AV665)))</f>
        <v>0</v>
      </c>
      <c r="BB665" s="55" t="str">
        <f aca="false">IF(AF665&lt;=0,"",IF(BU665="Aussen","Aussenlager",IF(BU665="-","Nicht im Lift",IF(AK665&gt;=1,"Lift",IF(AK665&lt;=0,"Aussenlager","teilweise")))))</f>
        <v/>
      </c>
      <c r="BC665" s="55" t="str">
        <f aca="false">IF(AN665&lt;=0,"",IF(BU665="Aussen","Aussenlager",IF(BU665="-","Nicht im Lift",IF(AS665&gt;=1,"Lift",IF(AS665&lt;=0,"Aussenlager","teilweise")))))</f>
        <v>Nicht im Lift</v>
      </c>
      <c r="BD665" s="55" t="str">
        <f aca="false">IF(AV665&lt;=0,"",IF(BU665="Aussen","Aussenlager",IF(BU665="-","Nicht im Lift",IF(BA665&gt;=1,"Lift",IF(BA665&lt;=0,"Aussenlager","teilweise")))))</f>
        <v>Nicht im Lift</v>
      </c>
      <c r="BE665" s="55" t="str">
        <f aca="false">IF(A665="","",IF(BN665=1,"Neu; ","")&amp;IF(AND(BN665=0,BI665&lt;0),"negativer Bestand (Export "&amp;BI665&amp;"); ","")&amp;IF(I665&lt;=0,"Kein Verbrauch; ","")&amp;IF(CD665&gt;0,"Lift "&amp;U665&amp;" lt. Liftbericht (Fach "&amp;V665&amp;" Stk); ",IF(BR665=1,"Lose – Fläche geschätzt; ",""))&amp;IF(G665&gt;AP665,"Überbestand "&amp;ROUND(G665-AP665,0)&amp;" Stk / CHF "&amp;ROUND((G665-AP665)*F665,0)&amp;"; ","")&amp;IF(AND(BW665=1,BX665&lt;BY665),"MAX &lt; MB+LG; ","")&amp;IF(AND(CC665&gt;0,CB665*10&gt;CC665),"zu hoch für Tablar; ","")&amp;IF(AND(BN665=0,OR(BW665=1,Y665&lt;&gt;"",S665&lt;&gt;"",T665&lt;&gt;"",Z665&lt;&gt;"")),"manuell übersteuert; ","")&amp;IF(AND(BR665=0,Q665=0),"Gebinde unbekannt / Stellmass fehlt; ","")&amp;IF(AND(BR665=0,N(T665)&lt;=0,N(P665)&lt;=0),"Menge pro Gebinde fehlt (Ist = 1 Gebinde); ","")&amp;BM665)</f>
        <v>Kein Verbrauch; Lose – Fläche geschätzt; </v>
      </c>
      <c r="BF665" s="55"/>
      <c r="BG665" s="55"/>
      <c r="BH665" s="62"/>
      <c r="BI665" s="57" t="n">
        <v>0</v>
      </c>
      <c r="BJ665" s="57" t="n">
        <v>0</v>
      </c>
      <c r="BK665" s="56" t="n">
        <v>0</v>
      </c>
      <c r="BL665" s="57" t="n">
        <v>0</v>
      </c>
      <c r="BM665" s="55"/>
      <c r="BN665" s="60" t="n">
        <v>0</v>
      </c>
      <c r="BO665" s="60" t="n">
        <v>665</v>
      </c>
      <c r="BP665" s="55" t="str">
        <f aca="false">IF(S665&lt;&gt;"",UPPER(TRIM(S665)),IF(O665="","LOSE",O665))</f>
        <v>LOSE</v>
      </c>
      <c r="BQ665" s="57" t="n">
        <f aca="false">IF(BP665="LOSE",1,IF(N(T665)&gt;0,T665,IF(N(P665)&gt;0,P665,MAX(1,G665))))</f>
        <v>1</v>
      </c>
      <c r="BR665" s="60" t="n">
        <f aca="false">IF(BP665="LOSE",1,0)</f>
        <v>1</v>
      </c>
      <c r="BS665" s="59" t="n">
        <f aca="false">IF(BR665=0,0,IF(N(R665)&gt;0,R665,IFERROR(VLOOKUP(D665,Parameter!$A$35:$C$64,3,0)+0,0)))</f>
        <v>0.15</v>
      </c>
      <c r="BT665" s="55" t="str">
        <f aca="false">IF(Y665&lt;&gt;"",Y665,X665)</f>
        <v>-</v>
      </c>
      <c r="BU665" s="55" t="str">
        <f aca="false">IF(BT665=1,"L1",IF(OR(BT665=2,BT665=3),"L23",IF(BT665="Aussen","Aussen","-")))</f>
        <v>-</v>
      </c>
      <c r="BV665" s="66" t="n">
        <f aca="false">IF(N(Z665)&gt;0,Z665,0)</f>
        <v>0</v>
      </c>
      <c r="BW665" s="60" t="n">
        <f aca="false">IF(ISNUMBER(AC665),1,0)</f>
        <v>0</v>
      </c>
      <c r="BX665" s="57" t="n">
        <f aca="false">N(AC665)</f>
        <v>0</v>
      </c>
      <c r="BY665" s="57" t="n">
        <f aca="false">N(L665)+N(M665)</f>
        <v>1050</v>
      </c>
      <c r="BZ665" s="57" t="n">
        <f aca="false">ROUNDUP(G665/BQ665,0)</f>
        <v>0</v>
      </c>
      <c r="CA665" s="57" t="n">
        <f aca="false">ROUNDUP(BX665/BQ665,0)</f>
        <v>0</v>
      </c>
      <c r="CB665" s="60" t="n">
        <f aca="false">IF(BR665=1,0,IFERROR(VLOOKUP(BP665,'Gebinde-Kategorie'!$A$5:$M$45,5,0)+0,0))</f>
        <v>0</v>
      </c>
      <c r="CC665" s="60" t="n">
        <f aca="false">IFERROR(IF(OR(BT665=1,BT665=2,BT665=3),N(INDEX(Parameter!$I$5:$I$7,BT665)),0),0)</f>
        <v>0</v>
      </c>
      <c r="CD665" s="59" t="n">
        <f aca="false">IF(AND(Parameter!$B$21="Ja",ISNUMBER(U665),N(V665)&gt;0),IFERROR(N(INDEX(Parameter!$L$5:$L$7,U665))*INDEX(Parameter!$E$5:$E$7,U665)*V665/SUMIFS($V$7:$V$1576,$U$7:$U$1576,U665),0),0)</f>
        <v>0</v>
      </c>
    </row>
    <row r="666" customFormat="false" ht="15" hidden="false" customHeight="false" outlineLevel="0" collapsed="false">
      <c r="A666" s="55" t="s">
        <v>1329</v>
      </c>
      <c r="B666" s="55" t="s">
        <v>1330</v>
      </c>
      <c r="C666" s="55" t="s">
        <v>160</v>
      </c>
      <c r="D666" s="55" t="s">
        <v>839</v>
      </c>
      <c r="E666" s="55" t="s">
        <v>210</v>
      </c>
      <c r="F666" s="56" t="n">
        <v>5.8</v>
      </c>
      <c r="G666" s="57" t="n">
        <f aca="false">MAX(0,IF(AND(Parameter!$B$21="Ja",ISNUMBER(W666)),W666,IF(Parameter!$B$20="Jahresanfang 2025 + Export",BJ666+BI666,BI666)))</f>
        <v>0</v>
      </c>
      <c r="H666" s="57" t="n">
        <f aca="false">G666*F666</f>
        <v>0</v>
      </c>
      <c r="I666" s="57" t="n">
        <f aca="false">BL666*Parameter!$B$18</f>
        <v>0</v>
      </c>
      <c r="J666" s="58" t="n">
        <v>0</v>
      </c>
      <c r="K666" s="59" t="n">
        <v>0</v>
      </c>
      <c r="L666" s="57" t="n">
        <v>0</v>
      </c>
      <c r="M666" s="57" t="n">
        <v>1</v>
      </c>
      <c r="N666" s="60" t="n">
        <v>7</v>
      </c>
      <c r="O666" s="55" t="s">
        <v>163</v>
      </c>
      <c r="P666" s="57"/>
      <c r="Q666" s="60" t="n">
        <f aca="false">IF(BR666=1,0,IFERROR(VLOOKUP(BP666,'Gebinde-Kategorie'!$A$5:$M$45,13,0)+0,0))</f>
        <v>0</v>
      </c>
      <c r="R666" s="61"/>
      <c r="S666" s="62"/>
      <c r="T666" s="62"/>
      <c r="U666" s="55"/>
      <c r="V666" s="57"/>
      <c r="W666" s="57"/>
      <c r="X666" s="55" t="str">
        <f aca="false">IF(A666="","",IF(AND(Parameter!$B$21="Ja",ISNUMBER(U666)),U666,IF(IFERROR(VLOOKUP(D666,Parameter!$A$35:$C$64,2,0),"Nein")="2+3",IF(ISNUMBER(SEARCH("grosser Artikel",BM666)),2,IFERROR(VLOOKUP(BP666,Parameter!$F$35:$G$64,2,0),2)),IF(OR(IFERROR(VLOOKUP(D666,Parameter!$A$35:$C$64,2,0),"Nein")="Nein",IFERROR(VLOOKUP(D666,Parameter!$A$35:$C$64,2,0),"Nein")=""),"-",VLOOKUP(D666,Parameter!$A$35:$C$64,2,0)))))</f>
        <v>-</v>
      </c>
      <c r="Y666" s="62"/>
      <c r="Z666" s="63"/>
      <c r="AA666" s="57" t="n">
        <f aca="false">AP666</f>
        <v>1</v>
      </c>
      <c r="AB666" s="57" t="n">
        <f aca="false">MAX(AP666,G666)</f>
        <v>1</v>
      </c>
      <c r="AC666" s="64"/>
      <c r="AD666" s="57" t="n">
        <f aca="false">IF(LEFT(Cockpit!$C$5,1)="A",G666,IF(BW666=1,BX666,IF(LEFT(Cockpit!$C$5,1)="B",AH666,MAX(AH666,G666))))</f>
        <v>0</v>
      </c>
      <c r="AE666" s="57" t="n">
        <f aca="false">IF(BR666=1,0,ROUNDUP(AD666/BQ666,0))</f>
        <v>0</v>
      </c>
      <c r="AF666" s="59" t="n">
        <f aca="false">IF(CD666&gt;0,CD666*MAX(1,AD666/V666),IF(BR666=1,IF(AD666&lt;=0,0,BS666*MAX(1,IF(G666&gt;0,AD666/G666,1))),IF(Q666&gt;0,AE666/Q666,0))/MAX(0.1,N(Parameter!$M$21)))</f>
        <v>0</v>
      </c>
      <c r="AG666" s="57" t="n">
        <f aca="false">AD666*F666</f>
        <v>0</v>
      </c>
      <c r="AH666" s="57" t="n">
        <f aca="false">ROUNDUP(MAX(I666/IF(BV666&gt;0,BV666,MAX(0.1,N(Cockpit!$C$6))),BY666)/BQ666,0)*BQ666</f>
        <v>1</v>
      </c>
      <c r="AI666" s="58" t="n">
        <f aca="false">IF(AF666&gt;0,I666/AF666,-1)</f>
        <v>-1</v>
      </c>
      <c r="AJ666" s="58" t="str">
        <f aca="false">IF(AND(OR(BU666="L1",BU666="L23"),AF666&gt;0),SUMIFS($AF$7:$AF$1576,$BU$7:$BU$1576,BU666,$AI$7:$AI$1576,"&gt;"&amp;AI666)+SUMIFS($AF$7:$AF$1576,$BU$7:$BU$1576,BU666,$AI$7:$AI$1576,AI666,$BO$7:$BO$1576,"&lt;="&amp;BO666),"")</f>
        <v/>
      </c>
      <c r="AK666" s="65" t="n">
        <f aca="false">IF(AJ666="",0,MAX(0,MIN(1,(IF(BU666="L1",Parameter!$E$5,Parameter!$E$6+Parameter!$E$7)-(AJ666-AF666))/AF666)))</f>
        <v>0</v>
      </c>
      <c r="AL666" s="57" t="n">
        <f aca="false">IF(LEFT(Cockpit!$I$5,1)="A",G666,IF(BW666=1,BX666,IF(LEFT(Cockpit!$I$5,1)="B",AP666,MAX(AP666,G666))))</f>
        <v>1</v>
      </c>
      <c r="AM666" s="57" t="n">
        <f aca="false">IF(BR666=1,0,ROUNDUP(AL666/BQ666,0))</f>
        <v>0</v>
      </c>
      <c r="AN666" s="59" t="n">
        <f aca="false">IF(CD666&gt;0,CD666*MAX(1,AL666/V666),IF(BR666=1,IF(AL666&lt;=0,0,BS666*MAX(1,IF(G666&gt;0,AL666/G666,1))),IF(Q666&gt;0,AM666/Q666,0))/MAX(0.1,N(Parameter!$M$21)))</f>
        <v>0.15</v>
      </c>
      <c r="AO666" s="57" t="n">
        <f aca="false">AL666*F666</f>
        <v>5.8</v>
      </c>
      <c r="AP666" s="57" t="n">
        <f aca="false">ROUNDUP(MAX(I666/IF(BV666&gt;0,BV666,MAX(0.1,N(Cockpit!$I$6))),BY666)/BQ666,0)*BQ666</f>
        <v>1</v>
      </c>
      <c r="AQ666" s="58" t="n">
        <f aca="false">IF(AN666&gt;0,I666/AN666,-1)</f>
        <v>0</v>
      </c>
      <c r="AR666" s="58" t="str">
        <f aca="false">IF(AND(OR(BU666="L1",BU666="L23"),AN666&gt;0),SUMIFS($AN$7:$AN$1576,$BU$7:$BU$1576,BU666,$AQ$7:$AQ$1576,"&gt;"&amp;AQ666)+SUMIFS($AN$7:$AN$1576,$BU$7:$BU$1576,BU666,$AQ$7:$AQ$1576,AQ666,$BO$7:$BO$1576,"&lt;="&amp;BO666),"")</f>
        <v/>
      </c>
      <c r="AS666" s="65" t="n">
        <f aca="false">IF(AR666="",0,MAX(0,MIN(1,(IF(BU666="L1",Parameter!$E$5,Parameter!$E$6+Parameter!$E$7)-(AR666-AN666))/AN666)))</f>
        <v>0</v>
      </c>
      <c r="AT666" s="57" t="n">
        <f aca="false">IF(LEFT(Cockpit!$O$5,1)="A",G666,IF(BW666=1,BX666,IF(LEFT(Cockpit!$O$5,1)="B",AX666,MAX(AX666,G666))))</f>
        <v>1</v>
      </c>
      <c r="AU666" s="57" t="n">
        <f aca="false">IF(BR666=1,0,ROUNDUP(AT666/BQ666,0))</f>
        <v>0</v>
      </c>
      <c r="AV666" s="59" t="n">
        <f aca="false">IF(CD666&gt;0,CD666*MAX(1,AT666/V666),IF(BR666=1,IF(AT666&lt;=0,0,BS666*MAX(1,IF(G666&gt;0,AT666/G666,1))),IF(Q666&gt;0,AU666/Q666,0))/MAX(0.1,N(Parameter!$M$21)))</f>
        <v>0.15</v>
      </c>
      <c r="AW666" s="57" t="n">
        <f aca="false">AT666*F666</f>
        <v>5.8</v>
      </c>
      <c r="AX666" s="57" t="n">
        <f aca="false">ROUNDUP(MAX(I666/IF(BV666&gt;0,BV666,MAX(0.1,N(Cockpit!$O$6))),BY666)/BQ666,0)*BQ666</f>
        <v>1</v>
      </c>
      <c r="AY666" s="58" t="n">
        <f aca="false">IF(AV666&gt;0,I666/AV666,-1)</f>
        <v>0</v>
      </c>
      <c r="AZ666" s="58" t="str">
        <f aca="false">IF(AND(OR(BU666="L1",BU666="L23"),AV666&gt;0),SUMIFS($AV$7:$AV$1576,$BU$7:$BU$1576,BU666,$AY$7:$AY$1576,"&gt;"&amp;AY666)+SUMIFS($AV$7:$AV$1576,$BU$7:$BU$1576,BU666,$AY$7:$AY$1576,AY666,$BO$7:$BO$1576,"&lt;="&amp;BO666),"")</f>
        <v/>
      </c>
      <c r="BA666" s="65" t="n">
        <f aca="false">IF(AZ666="",0,MAX(0,MIN(1,(IF(BU666="L1",Parameter!$E$5,Parameter!$E$6+Parameter!$E$7)-(AZ666-AV666))/AV666)))</f>
        <v>0</v>
      </c>
      <c r="BB666" s="55" t="str">
        <f aca="false">IF(AF666&lt;=0,"",IF(BU666="Aussen","Aussenlager",IF(BU666="-","Nicht im Lift",IF(AK666&gt;=1,"Lift",IF(AK666&lt;=0,"Aussenlager","teilweise")))))</f>
        <v/>
      </c>
      <c r="BC666" s="55" t="str">
        <f aca="false">IF(AN666&lt;=0,"",IF(BU666="Aussen","Aussenlager",IF(BU666="-","Nicht im Lift",IF(AS666&gt;=1,"Lift",IF(AS666&lt;=0,"Aussenlager","teilweise")))))</f>
        <v>Nicht im Lift</v>
      </c>
      <c r="BD666" s="55" t="str">
        <f aca="false">IF(AV666&lt;=0,"",IF(BU666="Aussen","Aussenlager",IF(BU666="-","Nicht im Lift",IF(BA666&gt;=1,"Lift",IF(BA666&lt;=0,"Aussenlager","teilweise")))))</f>
        <v>Nicht im Lift</v>
      </c>
      <c r="BE666" s="55" t="str">
        <f aca="false">IF(A666="","",IF(BN666=1,"Neu; ","")&amp;IF(AND(BN666=0,BI666&lt;0),"negativer Bestand (Export "&amp;BI666&amp;"); ","")&amp;IF(I666&lt;=0,"Kein Verbrauch; ","")&amp;IF(CD666&gt;0,"Lift "&amp;U666&amp;" lt. Liftbericht (Fach "&amp;V666&amp;" Stk); ",IF(BR666=1,"Lose – Fläche geschätzt; ",""))&amp;IF(G666&gt;AP666,"Überbestand "&amp;ROUND(G666-AP666,0)&amp;" Stk / CHF "&amp;ROUND((G666-AP666)*F666,0)&amp;"; ","")&amp;IF(AND(BW666=1,BX666&lt;BY666),"MAX &lt; MB+LG; ","")&amp;IF(AND(CC666&gt;0,CB666*10&gt;CC666),"zu hoch für Tablar; ","")&amp;IF(AND(BN666=0,OR(BW666=1,Y666&lt;&gt;"",S666&lt;&gt;"",T666&lt;&gt;"",Z666&lt;&gt;"")),"manuell übersteuert; ","")&amp;IF(AND(BR666=0,Q666=0),"Gebinde unbekannt / Stellmass fehlt; ","")&amp;IF(AND(BR666=0,N(T666)&lt;=0,N(P666)&lt;=0),"Menge pro Gebinde fehlt (Ist = 1 Gebinde); ","")&amp;BM666)</f>
        <v>Kein Verbrauch; Lose – Fläche geschätzt; </v>
      </c>
      <c r="BF666" s="55"/>
      <c r="BG666" s="55"/>
      <c r="BH666" s="62"/>
      <c r="BI666" s="57" t="n">
        <v>0</v>
      </c>
      <c r="BJ666" s="57" t="n">
        <v>0</v>
      </c>
      <c r="BK666" s="56" t="n">
        <v>0</v>
      </c>
      <c r="BL666" s="57" t="n">
        <v>0</v>
      </c>
      <c r="BM666" s="55"/>
      <c r="BN666" s="60" t="n">
        <v>0</v>
      </c>
      <c r="BO666" s="60" t="n">
        <v>666</v>
      </c>
      <c r="BP666" s="55" t="str">
        <f aca="false">IF(S666&lt;&gt;"",UPPER(TRIM(S666)),IF(O666="","LOSE",O666))</f>
        <v>LOSE</v>
      </c>
      <c r="BQ666" s="57" t="n">
        <f aca="false">IF(BP666="LOSE",1,IF(N(T666)&gt;0,T666,IF(N(P666)&gt;0,P666,MAX(1,G666))))</f>
        <v>1</v>
      </c>
      <c r="BR666" s="60" t="n">
        <f aca="false">IF(BP666="LOSE",1,0)</f>
        <v>1</v>
      </c>
      <c r="BS666" s="59" t="n">
        <f aca="false">IF(BR666=0,0,IF(N(R666)&gt;0,R666,IFERROR(VLOOKUP(D666,Parameter!$A$35:$C$64,3,0)+0,0)))</f>
        <v>0.15</v>
      </c>
      <c r="BT666" s="55" t="str">
        <f aca="false">IF(Y666&lt;&gt;"",Y666,X666)</f>
        <v>-</v>
      </c>
      <c r="BU666" s="55" t="str">
        <f aca="false">IF(BT666=1,"L1",IF(OR(BT666=2,BT666=3),"L23",IF(BT666="Aussen","Aussen","-")))</f>
        <v>-</v>
      </c>
      <c r="BV666" s="66" t="n">
        <f aca="false">IF(N(Z666)&gt;0,Z666,0)</f>
        <v>0</v>
      </c>
      <c r="BW666" s="60" t="n">
        <f aca="false">IF(ISNUMBER(AC666),1,0)</f>
        <v>0</v>
      </c>
      <c r="BX666" s="57" t="n">
        <f aca="false">N(AC666)</f>
        <v>0</v>
      </c>
      <c r="BY666" s="57" t="n">
        <f aca="false">N(L666)+N(M666)</f>
        <v>1</v>
      </c>
      <c r="BZ666" s="57" t="n">
        <f aca="false">ROUNDUP(G666/BQ666,0)</f>
        <v>0</v>
      </c>
      <c r="CA666" s="57" t="n">
        <f aca="false">ROUNDUP(BX666/BQ666,0)</f>
        <v>0</v>
      </c>
      <c r="CB666" s="60" t="n">
        <f aca="false">IF(BR666=1,0,IFERROR(VLOOKUP(BP666,'Gebinde-Kategorie'!$A$5:$M$45,5,0)+0,0))</f>
        <v>0</v>
      </c>
      <c r="CC666" s="60" t="n">
        <f aca="false">IFERROR(IF(OR(BT666=1,BT666=2,BT666=3),N(INDEX(Parameter!$I$5:$I$7,BT666)),0),0)</f>
        <v>0</v>
      </c>
      <c r="CD666" s="59" t="n">
        <f aca="false">IF(AND(Parameter!$B$21="Ja",ISNUMBER(U666),N(V666)&gt;0),IFERROR(N(INDEX(Parameter!$L$5:$L$7,U666))*INDEX(Parameter!$E$5:$E$7,U666)*V666/SUMIFS($V$7:$V$1576,$U$7:$U$1576,U666),0),0)</f>
        <v>0</v>
      </c>
    </row>
    <row r="667" customFormat="false" ht="15" hidden="false" customHeight="false" outlineLevel="0" collapsed="false">
      <c r="A667" s="55" t="s">
        <v>1331</v>
      </c>
      <c r="B667" s="55" t="s">
        <v>643</v>
      </c>
      <c r="C667" s="55" t="s">
        <v>160</v>
      </c>
      <c r="D667" s="55" t="s">
        <v>984</v>
      </c>
      <c r="E667" s="55" t="s">
        <v>210</v>
      </c>
      <c r="F667" s="56" t="n">
        <v>0.61</v>
      </c>
      <c r="G667" s="57" t="n">
        <f aca="false">MAX(0,IF(AND(Parameter!$B$21="Ja",ISNUMBER(W667)),W667,IF(Parameter!$B$20="Jahresanfang 2025 + Export",BJ667+BI667,BI667)))</f>
        <v>0</v>
      </c>
      <c r="H667" s="57" t="n">
        <f aca="false">G667*F667</f>
        <v>0</v>
      </c>
      <c r="I667" s="57" t="n">
        <f aca="false">BL667*Parameter!$B$18</f>
        <v>60</v>
      </c>
      <c r="J667" s="58" t="n">
        <v>0</v>
      </c>
      <c r="K667" s="59" t="n">
        <v>0</v>
      </c>
      <c r="L667" s="57" t="n">
        <v>0</v>
      </c>
      <c r="M667" s="57" t="n">
        <v>1</v>
      </c>
      <c r="N667" s="60" t="n">
        <v>28</v>
      </c>
      <c r="O667" s="55" t="s">
        <v>163</v>
      </c>
      <c r="P667" s="57"/>
      <c r="Q667" s="60" t="n">
        <f aca="false">IF(BR667=1,0,IFERROR(VLOOKUP(BP667,'Gebinde-Kategorie'!$A$5:$M$45,13,0)+0,0))</f>
        <v>0</v>
      </c>
      <c r="R667" s="61"/>
      <c r="S667" s="62"/>
      <c r="T667" s="62"/>
      <c r="U667" s="55"/>
      <c r="V667" s="57"/>
      <c r="W667" s="57"/>
      <c r="X667" s="55" t="str">
        <f aca="false">IF(A667="","",IF(AND(Parameter!$B$21="Ja",ISNUMBER(U667)),U667,IF(IFERROR(VLOOKUP(D667,Parameter!$A$35:$C$64,2,0),"Nein")="2+3",IF(ISNUMBER(SEARCH("grosser Artikel",BM667)),2,IFERROR(VLOOKUP(BP667,Parameter!$F$35:$G$64,2,0),2)),IF(OR(IFERROR(VLOOKUP(D667,Parameter!$A$35:$C$64,2,0),"Nein")="Nein",IFERROR(VLOOKUP(D667,Parameter!$A$35:$C$64,2,0),"Nein")=""),"-",VLOOKUP(D667,Parameter!$A$35:$C$64,2,0)))))</f>
        <v>-</v>
      </c>
      <c r="Y667" s="62"/>
      <c r="Z667" s="63"/>
      <c r="AA667" s="57" t="n">
        <f aca="false">AP667</f>
        <v>30</v>
      </c>
      <c r="AB667" s="57" t="n">
        <f aca="false">MAX(AP667,G667)</f>
        <v>30</v>
      </c>
      <c r="AC667" s="64"/>
      <c r="AD667" s="57" t="n">
        <f aca="false">IF(LEFT(Cockpit!$C$5,1)="A",G667,IF(BW667=1,BX667,IF(LEFT(Cockpit!$C$5,1)="B",AH667,MAX(AH667,G667))))</f>
        <v>0</v>
      </c>
      <c r="AE667" s="57" t="n">
        <f aca="false">IF(BR667=1,0,ROUNDUP(AD667/BQ667,0))</f>
        <v>0</v>
      </c>
      <c r="AF667" s="59" t="n">
        <f aca="false">IF(CD667&gt;0,CD667*MAX(1,AD667/V667),IF(BR667=1,IF(AD667&lt;=0,0,BS667*MAX(1,IF(G667&gt;0,AD667/G667,1))),IF(Q667&gt;0,AE667/Q667,0))/MAX(0.1,N(Parameter!$M$21)))</f>
        <v>0</v>
      </c>
      <c r="AG667" s="57" t="n">
        <f aca="false">AD667*F667</f>
        <v>0</v>
      </c>
      <c r="AH667" s="57" t="n">
        <f aca="false">ROUNDUP(MAX(I667/IF(BV667&gt;0,BV667,MAX(0.1,N(Cockpit!$C$6))),BY667)/BQ667,0)*BQ667</f>
        <v>30</v>
      </c>
      <c r="AI667" s="58" t="n">
        <f aca="false">IF(AF667&gt;0,I667/AF667,-1)</f>
        <v>-1</v>
      </c>
      <c r="AJ667" s="58" t="str">
        <f aca="false">IF(AND(OR(BU667="L1",BU667="L23"),AF667&gt;0),SUMIFS($AF$7:$AF$1576,$BU$7:$BU$1576,BU667,$AI$7:$AI$1576,"&gt;"&amp;AI667)+SUMIFS($AF$7:$AF$1576,$BU$7:$BU$1576,BU667,$AI$7:$AI$1576,AI667,$BO$7:$BO$1576,"&lt;="&amp;BO667),"")</f>
        <v/>
      </c>
      <c r="AK667" s="65" t="n">
        <f aca="false">IF(AJ667="",0,MAX(0,MIN(1,(IF(BU667="L1",Parameter!$E$5,Parameter!$E$6+Parameter!$E$7)-(AJ667-AF667))/AF667)))</f>
        <v>0</v>
      </c>
      <c r="AL667" s="57" t="n">
        <f aca="false">IF(LEFT(Cockpit!$I$5,1)="A",G667,IF(BW667=1,BX667,IF(LEFT(Cockpit!$I$5,1)="B",AP667,MAX(AP667,G667))))</f>
        <v>30</v>
      </c>
      <c r="AM667" s="57" t="n">
        <f aca="false">IF(BR667=1,0,ROUNDUP(AL667/BQ667,0))</f>
        <v>0</v>
      </c>
      <c r="AN667" s="59" t="n">
        <f aca="false">IF(CD667&gt;0,CD667*MAX(1,AL667/V667),IF(BR667=1,IF(AL667&lt;=0,0,BS667*MAX(1,IF(G667&gt;0,AL667/G667,1))),IF(Q667&gt;0,AM667/Q667,0))/MAX(0.1,N(Parameter!$M$21)))</f>
        <v>0.15</v>
      </c>
      <c r="AO667" s="57" t="n">
        <f aca="false">AL667*F667</f>
        <v>18.3</v>
      </c>
      <c r="AP667" s="57" t="n">
        <f aca="false">ROUNDUP(MAX(I667/IF(BV667&gt;0,BV667,MAX(0.1,N(Cockpit!$I$6))),BY667)/BQ667,0)*BQ667</f>
        <v>30</v>
      </c>
      <c r="AQ667" s="58" t="n">
        <f aca="false">IF(AN667&gt;0,I667/AN667,-1)</f>
        <v>400</v>
      </c>
      <c r="AR667" s="58" t="str">
        <f aca="false">IF(AND(OR(BU667="L1",BU667="L23"),AN667&gt;0),SUMIFS($AN$7:$AN$1576,$BU$7:$BU$1576,BU667,$AQ$7:$AQ$1576,"&gt;"&amp;AQ667)+SUMIFS($AN$7:$AN$1576,$BU$7:$BU$1576,BU667,$AQ$7:$AQ$1576,AQ667,$BO$7:$BO$1576,"&lt;="&amp;BO667),"")</f>
        <v/>
      </c>
      <c r="AS667" s="65" t="n">
        <f aca="false">IF(AR667="",0,MAX(0,MIN(1,(IF(BU667="L1",Parameter!$E$5,Parameter!$E$6+Parameter!$E$7)-(AR667-AN667))/AN667)))</f>
        <v>0</v>
      </c>
      <c r="AT667" s="57" t="n">
        <f aca="false">IF(LEFT(Cockpit!$O$5,1)="A",G667,IF(BW667=1,BX667,IF(LEFT(Cockpit!$O$5,1)="B",AX667,MAX(AX667,G667))))</f>
        <v>20</v>
      </c>
      <c r="AU667" s="57" t="n">
        <f aca="false">IF(BR667=1,0,ROUNDUP(AT667/BQ667,0))</f>
        <v>0</v>
      </c>
      <c r="AV667" s="59" t="n">
        <f aca="false">IF(CD667&gt;0,CD667*MAX(1,AT667/V667),IF(BR667=1,IF(AT667&lt;=0,0,BS667*MAX(1,IF(G667&gt;0,AT667/G667,1))),IF(Q667&gt;0,AU667/Q667,0))/MAX(0.1,N(Parameter!$M$21)))</f>
        <v>0.15</v>
      </c>
      <c r="AW667" s="57" t="n">
        <f aca="false">AT667*F667</f>
        <v>12.2</v>
      </c>
      <c r="AX667" s="57" t="n">
        <f aca="false">ROUNDUP(MAX(I667/IF(BV667&gt;0,BV667,MAX(0.1,N(Cockpit!$O$6))),BY667)/BQ667,0)*BQ667</f>
        <v>20</v>
      </c>
      <c r="AY667" s="58" t="n">
        <f aca="false">IF(AV667&gt;0,I667/AV667,-1)</f>
        <v>400</v>
      </c>
      <c r="AZ667" s="58" t="str">
        <f aca="false">IF(AND(OR(BU667="L1",BU667="L23"),AV667&gt;0),SUMIFS($AV$7:$AV$1576,$BU$7:$BU$1576,BU667,$AY$7:$AY$1576,"&gt;"&amp;AY667)+SUMIFS($AV$7:$AV$1576,$BU$7:$BU$1576,BU667,$AY$7:$AY$1576,AY667,$BO$7:$BO$1576,"&lt;="&amp;BO667),"")</f>
        <v/>
      </c>
      <c r="BA667" s="65" t="n">
        <f aca="false">IF(AZ667="",0,MAX(0,MIN(1,(IF(BU667="L1",Parameter!$E$5,Parameter!$E$6+Parameter!$E$7)-(AZ667-AV667))/AV667)))</f>
        <v>0</v>
      </c>
      <c r="BB667" s="55" t="str">
        <f aca="false">IF(AF667&lt;=0,"",IF(BU667="Aussen","Aussenlager",IF(BU667="-","Nicht im Lift",IF(AK667&gt;=1,"Lift",IF(AK667&lt;=0,"Aussenlager","teilweise")))))</f>
        <v/>
      </c>
      <c r="BC667" s="55" t="str">
        <f aca="false">IF(AN667&lt;=0,"",IF(BU667="Aussen","Aussenlager",IF(BU667="-","Nicht im Lift",IF(AS667&gt;=1,"Lift",IF(AS667&lt;=0,"Aussenlager","teilweise")))))</f>
        <v>Nicht im Lift</v>
      </c>
      <c r="BD667" s="55" t="str">
        <f aca="false">IF(AV667&lt;=0,"",IF(BU667="Aussen","Aussenlager",IF(BU667="-","Nicht im Lift",IF(BA667&gt;=1,"Lift",IF(BA667&lt;=0,"Aussenlager","teilweise")))))</f>
        <v>Nicht im Lift</v>
      </c>
      <c r="BE667" s="55" t="str">
        <f aca="false">IF(A667="","",IF(BN667=1,"Neu; ","")&amp;IF(AND(BN667=0,BI667&lt;0),"negativer Bestand (Export "&amp;BI667&amp;"); ","")&amp;IF(I667&lt;=0,"Kein Verbrauch; ","")&amp;IF(CD667&gt;0,"Lift "&amp;U667&amp;" lt. Liftbericht (Fach "&amp;V667&amp;" Stk); ",IF(BR667=1,"Lose – Fläche geschätzt; ",""))&amp;IF(G667&gt;AP667,"Überbestand "&amp;ROUND(G667-AP667,0)&amp;" Stk / CHF "&amp;ROUND((G667-AP667)*F667,0)&amp;"; ","")&amp;IF(AND(BW667=1,BX667&lt;BY667),"MAX &lt; MB+LG; ","")&amp;IF(AND(CC667&gt;0,CB667*10&gt;CC667),"zu hoch für Tablar; ","")&amp;IF(AND(BN667=0,OR(BW667=1,Y667&lt;&gt;"",S667&lt;&gt;"",T667&lt;&gt;"",Z667&lt;&gt;"")),"manuell übersteuert; ","")&amp;IF(AND(BR667=0,Q667=0),"Gebinde unbekannt / Stellmass fehlt; ","")&amp;IF(AND(BR667=0,N(T667)&lt;=0,N(P667)&lt;=0),"Menge pro Gebinde fehlt (Ist = 1 Gebinde); ","")&amp;BM667)</f>
        <v>Lose – Fläche geschätzt; </v>
      </c>
      <c r="BF667" s="55"/>
      <c r="BG667" s="55"/>
      <c r="BH667" s="62"/>
      <c r="BI667" s="57" t="n">
        <v>0</v>
      </c>
      <c r="BJ667" s="57" t="n">
        <v>0</v>
      </c>
      <c r="BK667" s="56" t="n">
        <v>0</v>
      </c>
      <c r="BL667" s="57" t="n">
        <v>60</v>
      </c>
      <c r="BM667" s="55"/>
      <c r="BN667" s="60" t="n">
        <v>0</v>
      </c>
      <c r="BO667" s="60" t="n">
        <v>667</v>
      </c>
      <c r="BP667" s="55" t="str">
        <f aca="false">IF(S667&lt;&gt;"",UPPER(TRIM(S667)),IF(O667="","LOSE",O667))</f>
        <v>LOSE</v>
      </c>
      <c r="BQ667" s="57" t="n">
        <f aca="false">IF(BP667="LOSE",1,IF(N(T667)&gt;0,T667,IF(N(P667)&gt;0,P667,MAX(1,G667))))</f>
        <v>1</v>
      </c>
      <c r="BR667" s="60" t="n">
        <f aca="false">IF(BP667="LOSE",1,0)</f>
        <v>1</v>
      </c>
      <c r="BS667" s="59" t="n">
        <f aca="false">IF(BR667=0,0,IF(N(R667)&gt;0,R667,IFERROR(VLOOKUP(D667,Parameter!$A$35:$C$64,3,0)+0,0)))</f>
        <v>0.15</v>
      </c>
      <c r="BT667" s="55" t="str">
        <f aca="false">IF(Y667&lt;&gt;"",Y667,X667)</f>
        <v>-</v>
      </c>
      <c r="BU667" s="55" t="str">
        <f aca="false">IF(BT667=1,"L1",IF(OR(BT667=2,BT667=3),"L23",IF(BT667="Aussen","Aussen","-")))</f>
        <v>-</v>
      </c>
      <c r="BV667" s="66" t="n">
        <f aca="false">IF(N(Z667)&gt;0,Z667,0)</f>
        <v>0</v>
      </c>
      <c r="BW667" s="60" t="n">
        <f aca="false">IF(ISNUMBER(AC667),1,0)</f>
        <v>0</v>
      </c>
      <c r="BX667" s="57" t="n">
        <f aca="false">N(AC667)</f>
        <v>0</v>
      </c>
      <c r="BY667" s="57" t="n">
        <f aca="false">N(L667)+N(M667)</f>
        <v>1</v>
      </c>
      <c r="BZ667" s="57" t="n">
        <f aca="false">ROUNDUP(G667/BQ667,0)</f>
        <v>0</v>
      </c>
      <c r="CA667" s="57" t="n">
        <f aca="false">ROUNDUP(BX667/BQ667,0)</f>
        <v>0</v>
      </c>
      <c r="CB667" s="60" t="n">
        <f aca="false">IF(BR667=1,0,IFERROR(VLOOKUP(BP667,'Gebinde-Kategorie'!$A$5:$M$45,5,0)+0,0))</f>
        <v>0</v>
      </c>
      <c r="CC667" s="60" t="n">
        <f aca="false">IFERROR(IF(OR(BT667=1,BT667=2,BT667=3),N(INDEX(Parameter!$I$5:$I$7,BT667)),0),0)</f>
        <v>0</v>
      </c>
      <c r="CD667" s="59" t="n">
        <f aca="false">IF(AND(Parameter!$B$21="Ja",ISNUMBER(U667),N(V667)&gt;0),IFERROR(N(INDEX(Parameter!$L$5:$L$7,U667))*INDEX(Parameter!$E$5:$E$7,U667)*V667/SUMIFS($V$7:$V$1576,$U$7:$U$1576,U667),0),0)</f>
        <v>0</v>
      </c>
    </row>
    <row r="668" customFormat="false" ht="15" hidden="false" customHeight="false" outlineLevel="0" collapsed="false">
      <c r="A668" s="55" t="s">
        <v>1332</v>
      </c>
      <c r="B668" s="55" t="s">
        <v>1333</v>
      </c>
      <c r="C668" s="55" t="s">
        <v>160</v>
      </c>
      <c r="D668" s="55" t="s">
        <v>984</v>
      </c>
      <c r="E668" s="55" t="s">
        <v>210</v>
      </c>
      <c r="F668" s="56" t="n">
        <v>2344.22</v>
      </c>
      <c r="G668" s="57" t="n">
        <f aca="false">MAX(0,IF(AND(Parameter!$B$21="Ja",ISNUMBER(W668)),W668,IF(Parameter!$B$20="Jahresanfang 2025 + Export",BJ668+BI668,BI668)))</f>
        <v>0</v>
      </c>
      <c r="H668" s="57" t="n">
        <f aca="false">G668*F668</f>
        <v>0</v>
      </c>
      <c r="I668" s="57" t="n">
        <f aca="false">BL668*Parameter!$B$18</f>
        <v>4</v>
      </c>
      <c r="J668" s="58" t="n">
        <v>0</v>
      </c>
      <c r="K668" s="59" t="n">
        <v>0</v>
      </c>
      <c r="L668" s="57" t="n">
        <v>0</v>
      </c>
      <c r="M668" s="57" t="n">
        <v>1</v>
      </c>
      <c r="N668" s="60" t="n">
        <v>70</v>
      </c>
      <c r="O668" s="55" t="s">
        <v>163</v>
      </c>
      <c r="P668" s="57"/>
      <c r="Q668" s="60" t="n">
        <f aca="false">IF(BR668=1,0,IFERROR(VLOOKUP(BP668,'Gebinde-Kategorie'!$A$5:$M$45,13,0)+0,0))</f>
        <v>0</v>
      </c>
      <c r="R668" s="61"/>
      <c r="S668" s="62"/>
      <c r="T668" s="62"/>
      <c r="U668" s="55"/>
      <c r="V668" s="57"/>
      <c r="W668" s="57"/>
      <c r="X668" s="55" t="str">
        <f aca="false">IF(A668="","",IF(AND(Parameter!$B$21="Ja",ISNUMBER(U668)),U668,IF(IFERROR(VLOOKUP(D668,Parameter!$A$35:$C$64,2,0),"Nein")="2+3",IF(ISNUMBER(SEARCH("grosser Artikel",BM668)),2,IFERROR(VLOOKUP(BP668,Parameter!$F$35:$G$64,2,0),2)),IF(OR(IFERROR(VLOOKUP(D668,Parameter!$A$35:$C$64,2,0),"Nein")="Nein",IFERROR(VLOOKUP(D668,Parameter!$A$35:$C$64,2,0),"Nein")=""),"-",VLOOKUP(D668,Parameter!$A$35:$C$64,2,0)))))</f>
        <v>-</v>
      </c>
      <c r="Y668" s="62"/>
      <c r="Z668" s="63"/>
      <c r="AA668" s="57" t="n">
        <f aca="false">AP668</f>
        <v>2</v>
      </c>
      <c r="AB668" s="57" t="n">
        <f aca="false">MAX(AP668,G668)</f>
        <v>2</v>
      </c>
      <c r="AC668" s="64"/>
      <c r="AD668" s="57" t="n">
        <f aca="false">IF(LEFT(Cockpit!$C$5,1)="A",G668,IF(BW668=1,BX668,IF(LEFT(Cockpit!$C$5,1)="B",AH668,MAX(AH668,G668))))</f>
        <v>0</v>
      </c>
      <c r="AE668" s="57" t="n">
        <f aca="false">IF(BR668=1,0,ROUNDUP(AD668/BQ668,0))</f>
        <v>0</v>
      </c>
      <c r="AF668" s="59" t="n">
        <f aca="false">IF(CD668&gt;0,CD668*MAX(1,AD668/V668),IF(BR668=1,IF(AD668&lt;=0,0,BS668*MAX(1,IF(G668&gt;0,AD668/G668,1))),IF(Q668&gt;0,AE668/Q668,0))/MAX(0.1,N(Parameter!$M$21)))</f>
        <v>0</v>
      </c>
      <c r="AG668" s="57" t="n">
        <f aca="false">AD668*F668</f>
        <v>0</v>
      </c>
      <c r="AH668" s="57" t="n">
        <f aca="false">ROUNDUP(MAX(I668/IF(BV668&gt;0,BV668,MAX(0.1,N(Cockpit!$C$6))),BY668)/BQ668,0)*BQ668</f>
        <v>2</v>
      </c>
      <c r="AI668" s="58" t="n">
        <f aca="false">IF(AF668&gt;0,I668/AF668,-1)</f>
        <v>-1</v>
      </c>
      <c r="AJ668" s="58" t="str">
        <f aca="false">IF(AND(OR(BU668="L1",BU668="L23"),AF668&gt;0),SUMIFS($AF$7:$AF$1576,$BU$7:$BU$1576,BU668,$AI$7:$AI$1576,"&gt;"&amp;AI668)+SUMIFS($AF$7:$AF$1576,$BU$7:$BU$1576,BU668,$AI$7:$AI$1576,AI668,$BO$7:$BO$1576,"&lt;="&amp;BO668),"")</f>
        <v/>
      </c>
      <c r="AK668" s="65" t="n">
        <f aca="false">IF(AJ668="",0,MAX(0,MIN(1,(IF(BU668="L1",Parameter!$E$5,Parameter!$E$6+Parameter!$E$7)-(AJ668-AF668))/AF668)))</f>
        <v>0</v>
      </c>
      <c r="AL668" s="57" t="n">
        <f aca="false">IF(LEFT(Cockpit!$I$5,1)="A",G668,IF(BW668=1,BX668,IF(LEFT(Cockpit!$I$5,1)="B",AP668,MAX(AP668,G668))))</f>
        <v>2</v>
      </c>
      <c r="AM668" s="57" t="n">
        <f aca="false">IF(BR668=1,0,ROUNDUP(AL668/BQ668,0))</f>
        <v>0</v>
      </c>
      <c r="AN668" s="59" t="n">
        <f aca="false">IF(CD668&gt;0,CD668*MAX(1,AL668/V668),IF(BR668=1,IF(AL668&lt;=0,0,BS668*MAX(1,IF(G668&gt;0,AL668/G668,1))),IF(Q668&gt;0,AM668/Q668,0))/MAX(0.1,N(Parameter!$M$21)))</f>
        <v>0.15</v>
      </c>
      <c r="AO668" s="57" t="n">
        <f aca="false">AL668*F668</f>
        <v>4688.44</v>
      </c>
      <c r="AP668" s="57" t="n">
        <f aca="false">ROUNDUP(MAX(I668/IF(BV668&gt;0,BV668,MAX(0.1,N(Cockpit!$I$6))),BY668)/BQ668,0)*BQ668</f>
        <v>2</v>
      </c>
      <c r="AQ668" s="58" t="n">
        <f aca="false">IF(AN668&gt;0,I668/AN668,-1)</f>
        <v>26.6666666666667</v>
      </c>
      <c r="AR668" s="58" t="str">
        <f aca="false">IF(AND(OR(BU668="L1",BU668="L23"),AN668&gt;0),SUMIFS($AN$7:$AN$1576,$BU$7:$BU$1576,BU668,$AQ$7:$AQ$1576,"&gt;"&amp;AQ668)+SUMIFS($AN$7:$AN$1576,$BU$7:$BU$1576,BU668,$AQ$7:$AQ$1576,AQ668,$BO$7:$BO$1576,"&lt;="&amp;BO668),"")</f>
        <v/>
      </c>
      <c r="AS668" s="65" t="n">
        <f aca="false">IF(AR668="",0,MAX(0,MIN(1,(IF(BU668="L1",Parameter!$E$5,Parameter!$E$6+Parameter!$E$7)-(AR668-AN668))/AN668)))</f>
        <v>0</v>
      </c>
      <c r="AT668" s="57" t="n">
        <f aca="false">IF(LEFT(Cockpit!$O$5,1)="A",G668,IF(BW668=1,BX668,IF(LEFT(Cockpit!$O$5,1)="B",AX668,MAX(AX668,G668))))</f>
        <v>2</v>
      </c>
      <c r="AU668" s="57" t="n">
        <f aca="false">IF(BR668=1,0,ROUNDUP(AT668/BQ668,0))</f>
        <v>0</v>
      </c>
      <c r="AV668" s="59" t="n">
        <f aca="false">IF(CD668&gt;0,CD668*MAX(1,AT668/V668),IF(BR668=1,IF(AT668&lt;=0,0,BS668*MAX(1,IF(G668&gt;0,AT668/G668,1))),IF(Q668&gt;0,AU668/Q668,0))/MAX(0.1,N(Parameter!$M$21)))</f>
        <v>0.15</v>
      </c>
      <c r="AW668" s="57" t="n">
        <f aca="false">AT668*F668</f>
        <v>4688.44</v>
      </c>
      <c r="AX668" s="57" t="n">
        <f aca="false">ROUNDUP(MAX(I668/IF(BV668&gt;0,BV668,MAX(0.1,N(Cockpit!$O$6))),BY668)/BQ668,0)*BQ668</f>
        <v>2</v>
      </c>
      <c r="AY668" s="58" t="n">
        <f aca="false">IF(AV668&gt;0,I668/AV668,-1)</f>
        <v>26.6666666666667</v>
      </c>
      <c r="AZ668" s="58" t="str">
        <f aca="false">IF(AND(OR(BU668="L1",BU668="L23"),AV668&gt;0),SUMIFS($AV$7:$AV$1576,$BU$7:$BU$1576,BU668,$AY$7:$AY$1576,"&gt;"&amp;AY668)+SUMIFS($AV$7:$AV$1576,$BU$7:$BU$1576,BU668,$AY$7:$AY$1576,AY668,$BO$7:$BO$1576,"&lt;="&amp;BO668),"")</f>
        <v/>
      </c>
      <c r="BA668" s="65" t="n">
        <f aca="false">IF(AZ668="",0,MAX(0,MIN(1,(IF(BU668="L1",Parameter!$E$5,Parameter!$E$6+Parameter!$E$7)-(AZ668-AV668))/AV668)))</f>
        <v>0</v>
      </c>
      <c r="BB668" s="55" t="str">
        <f aca="false">IF(AF668&lt;=0,"",IF(BU668="Aussen","Aussenlager",IF(BU668="-","Nicht im Lift",IF(AK668&gt;=1,"Lift",IF(AK668&lt;=0,"Aussenlager","teilweise")))))</f>
        <v/>
      </c>
      <c r="BC668" s="55" t="str">
        <f aca="false">IF(AN668&lt;=0,"",IF(BU668="Aussen","Aussenlager",IF(BU668="-","Nicht im Lift",IF(AS668&gt;=1,"Lift",IF(AS668&lt;=0,"Aussenlager","teilweise")))))</f>
        <v>Nicht im Lift</v>
      </c>
      <c r="BD668" s="55" t="str">
        <f aca="false">IF(AV668&lt;=0,"",IF(BU668="Aussen","Aussenlager",IF(BU668="-","Nicht im Lift",IF(BA668&gt;=1,"Lift",IF(BA668&lt;=0,"Aussenlager","teilweise")))))</f>
        <v>Nicht im Lift</v>
      </c>
      <c r="BE668" s="55" t="str">
        <f aca="false">IF(A668="","",IF(BN668=1,"Neu; ","")&amp;IF(AND(BN668=0,BI668&lt;0),"negativer Bestand (Export "&amp;BI668&amp;"); ","")&amp;IF(I668&lt;=0,"Kein Verbrauch; ","")&amp;IF(CD668&gt;0,"Lift "&amp;U668&amp;" lt. Liftbericht (Fach "&amp;V668&amp;" Stk); ",IF(BR668=1,"Lose – Fläche geschätzt; ",""))&amp;IF(G668&gt;AP668,"Überbestand "&amp;ROUND(G668-AP668,0)&amp;" Stk / CHF "&amp;ROUND((G668-AP668)*F668,0)&amp;"; ","")&amp;IF(AND(BW668=1,BX668&lt;BY668),"MAX &lt; MB+LG; ","")&amp;IF(AND(CC668&gt;0,CB668*10&gt;CC668),"zu hoch für Tablar; ","")&amp;IF(AND(BN668=0,OR(BW668=1,Y668&lt;&gt;"",S668&lt;&gt;"",T668&lt;&gt;"",Z668&lt;&gt;"")),"manuell übersteuert; ","")&amp;IF(AND(BR668=0,Q668=0),"Gebinde unbekannt / Stellmass fehlt; ","")&amp;IF(AND(BR668=0,N(T668)&lt;=0,N(P668)&lt;=0),"Menge pro Gebinde fehlt (Ist = 1 Gebinde); ","")&amp;BM668)</f>
        <v>Lose – Fläche geschätzt; </v>
      </c>
      <c r="BF668" s="55"/>
      <c r="BG668" s="55"/>
      <c r="BH668" s="62"/>
      <c r="BI668" s="57" t="n">
        <v>0</v>
      </c>
      <c r="BJ668" s="57" t="n">
        <v>0</v>
      </c>
      <c r="BK668" s="56" t="n">
        <v>0</v>
      </c>
      <c r="BL668" s="57" t="n">
        <v>4</v>
      </c>
      <c r="BM668" s="55"/>
      <c r="BN668" s="60" t="n">
        <v>0</v>
      </c>
      <c r="BO668" s="60" t="n">
        <v>668</v>
      </c>
      <c r="BP668" s="55" t="str">
        <f aca="false">IF(S668&lt;&gt;"",UPPER(TRIM(S668)),IF(O668="","LOSE",O668))</f>
        <v>LOSE</v>
      </c>
      <c r="BQ668" s="57" t="n">
        <f aca="false">IF(BP668="LOSE",1,IF(N(T668)&gt;0,T668,IF(N(P668)&gt;0,P668,MAX(1,G668))))</f>
        <v>1</v>
      </c>
      <c r="BR668" s="60" t="n">
        <f aca="false">IF(BP668="LOSE",1,0)</f>
        <v>1</v>
      </c>
      <c r="BS668" s="59" t="n">
        <f aca="false">IF(BR668=0,0,IF(N(R668)&gt;0,R668,IFERROR(VLOOKUP(D668,Parameter!$A$35:$C$64,3,0)+0,0)))</f>
        <v>0.15</v>
      </c>
      <c r="BT668" s="55" t="str">
        <f aca="false">IF(Y668&lt;&gt;"",Y668,X668)</f>
        <v>-</v>
      </c>
      <c r="BU668" s="55" t="str">
        <f aca="false">IF(BT668=1,"L1",IF(OR(BT668=2,BT668=3),"L23",IF(BT668="Aussen","Aussen","-")))</f>
        <v>-</v>
      </c>
      <c r="BV668" s="66" t="n">
        <f aca="false">IF(N(Z668)&gt;0,Z668,0)</f>
        <v>0</v>
      </c>
      <c r="BW668" s="60" t="n">
        <f aca="false">IF(ISNUMBER(AC668),1,0)</f>
        <v>0</v>
      </c>
      <c r="BX668" s="57" t="n">
        <f aca="false">N(AC668)</f>
        <v>0</v>
      </c>
      <c r="BY668" s="57" t="n">
        <f aca="false">N(L668)+N(M668)</f>
        <v>1</v>
      </c>
      <c r="BZ668" s="57" t="n">
        <f aca="false">ROUNDUP(G668/BQ668,0)</f>
        <v>0</v>
      </c>
      <c r="CA668" s="57" t="n">
        <f aca="false">ROUNDUP(BX668/BQ668,0)</f>
        <v>0</v>
      </c>
      <c r="CB668" s="60" t="n">
        <f aca="false">IF(BR668=1,0,IFERROR(VLOOKUP(BP668,'Gebinde-Kategorie'!$A$5:$M$45,5,0)+0,0))</f>
        <v>0</v>
      </c>
      <c r="CC668" s="60" t="n">
        <f aca="false">IFERROR(IF(OR(BT668=1,BT668=2,BT668=3),N(INDEX(Parameter!$I$5:$I$7,BT668)),0),0)</f>
        <v>0</v>
      </c>
      <c r="CD668" s="59" t="n">
        <f aca="false">IF(AND(Parameter!$B$21="Ja",ISNUMBER(U668),N(V668)&gt;0),IFERROR(N(INDEX(Parameter!$L$5:$L$7,U668))*INDEX(Parameter!$E$5:$E$7,U668)*V668/SUMIFS($V$7:$V$1576,$U$7:$U$1576,U668),0),0)</f>
        <v>0</v>
      </c>
    </row>
    <row r="669" customFormat="false" ht="15" hidden="false" customHeight="false" outlineLevel="0" collapsed="false">
      <c r="A669" s="55" t="s">
        <v>1334</v>
      </c>
      <c r="B669" s="55" t="s">
        <v>198</v>
      </c>
      <c r="C669" s="55" t="s">
        <v>160</v>
      </c>
      <c r="D669" s="55" t="s">
        <v>984</v>
      </c>
      <c r="E669" s="55" t="s">
        <v>210</v>
      </c>
      <c r="F669" s="56" t="n">
        <v>4681.1</v>
      </c>
      <c r="G669" s="57" t="n">
        <f aca="false">MAX(0,IF(AND(Parameter!$B$21="Ja",ISNUMBER(W669)),W669,IF(Parameter!$B$20="Jahresanfang 2025 + Export",BJ669+BI669,BI669)))</f>
        <v>0</v>
      </c>
      <c r="H669" s="57" t="n">
        <f aca="false">G669*F669</f>
        <v>0</v>
      </c>
      <c r="I669" s="57" t="n">
        <f aca="false">BL669*Parameter!$B$18</f>
        <v>3</v>
      </c>
      <c r="J669" s="58" t="n">
        <v>0</v>
      </c>
      <c r="K669" s="59" t="n">
        <v>0</v>
      </c>
      <c r="L669" s="57" t="n">
        <v>0</v>
      </c>
      <c r="M669" s="57" t="n">
        <v>1</v>
      </c>
      <c r="N669" s="60" t="n">
        <v>70</v>
      </c>
      <c r="O669" s="55" t="s">
        <v>163</v>
      </c>
      <c r="P669" s="57"/>
      <c r="Q669" s="60" t="n">
        <f aca="false">IF(BR669=1,0,IFERROR(VLOOKUP(BP669,'Gebinde-Kategorie'!$A$5:$M$45,13,0)+0,0))</f>
        <v>0</v>
      </c>
      <c r="R669" s="61"/>
      <c r="S669" s="62"/>
      <c r="T669" s="62"/>
      <c r="U669" s="55"/>
      <c r="V669" s="57"/>
      <c r="W669" s="57"/>
      <c r="X669" s="55" t="str">
        <f aca="false">IF(A669="","",IF(AND(Parameter!$B$21="Ja",ISNUMBER(U669)),U669,IF(IFERROR(VLOOKUP(D669,Parameter!$A$35:$C$64,2,0),"Nein")="2+3",IF(ISNUMBER(SEARCH("grosser Artikel",BM669)),2,IFERROR(VLOOKUP(BP669,Parameter!$F$35:$G$64,2,0),2)),IF(OR(IFERROR(VLOOKUP(D669,Parameter!$A$35:$C$64,2,0),"Nein")="Nein",IFERROR(VLOOKUP(D669,Parameter!$A$35:$C$64,2,0),"Nein")=""),"-",VLOOKUP(D669,Parameter!$A$35:$C$64,2,0)))))</f>
        <v>-</v>
      </c>
      <c r="Y669" s="62"/>
      <c r="Z669" s="63"/>
      <c r="AA669" s="57" t="n">
        <f aca="false">AP669</f>
        <v>2</v>
      </c>
      <c r="AB669" s="57" t="n">
        <f aca="false">MAX(AP669,G669)</f>
        <v>2</v>
      </c>
      <c r="AC669" s="64"/>
      <c r="AD669" s="57" t="n">
        <f aca="false">IF(LEFT(Cockpit!$C$5,1)="A",G669,IF(BW669=1,BX669,IF(LEFT(Cockpit!$C$5,1)="B",AH669,MAX(AH669,G669))))</f>
        <v>0</v>
      </c>
      <c r="AE669" s="57" t="n">
        <f aca="false">IF(BR669=1,0,ROUNDUP(AD669/BQ669,0))</f>
        <v>0</v>
      </c>
      <c r="AF669" s="59" t="n">
        <f aca="false">IF(CD669&gt;0,CD669*MAX(1,AD669/V669),IF(BR669=1,IF(AD669&lt;=0,0,BS669*MAX(1,IF(G669&gt;0,AD669/G669,1))),IF(Q669&gt;0,AE669/Q669,0))/MAX(0.1,N(Parameter!$M$21)))</f>
        <v>0</v>
      </c>
      <c r="AG669" s="57" t="n">
        <f aca="false">AD669*F669</f>
        <v>0</v>
      </c>
      <c r="AH669" s="57" t="n">
        <f aca="false">ROUNDUP(MAX(I669/IF(BV669&gt;0,BV669,MAX(0.1,N(Cockpit!$C$6))),BY669)/BQ669,0)*BQ669</f>
        <v>2</v>
      </c>
      <c r="AI669" s="58" t="n">
        <f aca="false">IF(AF669&gt;0,I669/AF669,-1)</f>
        <v>-1</v>
      </c>
      <c r="AJ669" s="58" t="str">
        <f aca="false">IF(AND(OR(BU669="L1",BU669="L23"),AF669&gt;0),SUMIFS($AF$7:$AF$1576,$BU$7:$BU$1576,BU669,$AI$7:$AI$1576,"&gt;"&amp;AI669)+SUMIFS($AF$7:$AF$1576,$BU$7:$BU$1576,BU669,$AI$7:$AI$1576,AI669,$BO$7:$BO$1576,"&lt;="&amp;BO669),"")</f>
        <v/>
      </c>
      <c r="AK669" s="65" t="n">
        <f aca="false">IF(AJ669="",0,MAX(0,MIN(1,(IF(BU669="L1",Parameter!$E$5,Parameter!$E$6+Parameter!$E$7)-(AJ669-AF669))/AF669)))</f>
        <v>0</v>
      </c>
      <c r="AL669" s="57" t="n">
        <f aca="false">IF(LEFT(Cockpit!$I$5,1)="A",G669,IF(BW669=1,BX669,IF(LEFT(Cockpit!$I$5,1)="B",AP669,MAX(AP669,G669))))</f>
        <v>2</v>
      </c>
      <c r="AM669" s="57" t="n">
        <f aca="false">IF(BR669=1,0,ROUNDUP(AL669/BQ669,0))</f>
        <v>0</v>
      </c>
      <c r="AN669" s="59" t="n">
        <f aca="false">IF(CD669&gt;0,CD669*MAX(1,AL669/V669),IF(BR669=1,IF(AL669&lt;=0,0,BS669*MAX(1,IF(G669&gt;0,AL669/G669,1))),IF(Q669&gt;0,AM669/Q669,0))/MAX(0.1,N(Parameter!$M$21)))</f>
        <v>0.15</v>
      </c>
      <c r="AO669" s="57" t="n">
        <f aca="false">AL669*F669</f>
        <v>9362.2</v>
      </c>
      <c r="AP669" s="57" t="n">
        <f aca="false">ROUNDUP(MAX(I669/IF(BV669&gt;0,BV669,MAX(0.1,N(Cockpit!$I$6))),BY669)/BQ669,0)*BQ669</f>
        <v>2</v>
      </c>
      <c r="AQ669" s="58" t="n">
        <f aca="false">IF(AN669&gt;0,I669/AN669,-1)</f>
        <v>20</v>
      </c>
      <c r="AR669" s="58" t="str">
        <f aca="false">IF(AND(OR(BU669="L1",BU669="L23"),AN669&gt;0),SUMIFS($AN$7:$AN$1576,$BU$7:$BU$1576,BU669,$AQ$7:$AQ$1576,"&gt;"&amp;AQ669)+SUMIFS($AN$7:$AN$1576,$BU$7:$BU$1576,BU669,$AQ$7:$AQ$1576,AQ669,$BO$7:$BO$1576,"&lt;="&amp;BO669),"")</f>
        <v/>
      </c>
      <c r="AS669" s="65" t="n">
        <f aca="false">IF(AR669="",0,MAX(0,MIN(1,(IF(BU669="L1",Parameter!$E$5,Parameter!$E$6+Parameter!$E$7)-(AR669-AN669))/AN669)))</f>
        <v>0</v>
      </c>
      <c r="AT669" s="57" t="n">
        <f aca="false">IF(LEFT(Cockpit!$O$5,1)="A",G669,IF(BW669=1,BX669,IF(LEFT(Cockpit!$O$5,1)="B",AX669,MAX(AX669,G669))))</f>
        <v>1</v>
      </c>
      <c r="AU669" s="57" t="n">
        <f aca="false">IF(BR669=1,0,ROUNDUP(AT669/BQ669,0))</f>
        <v>0</v>
      </c>
      <c r="AV669" s="59" t="n">
        <f aca="false">IF(CD669&gt;0,CD669*MAX(1,AT669/V669),IF(BR669=1,IF(AT669&lt;=0,0,BS669*MAX(1,IF(G669&gt;0,AT669/G669,1))),IF(Q669&gt;0,AU669/Q669,0))/MAX(0.1,N(Parameter!$M$21)))</f>
        <v>0.15</v>
      </c>
      <c r="AW669" s="57" t="n">
        <f aca="false">AT669*F669</f>
        <v>4681.1</v>
      </c>
      <c r="AX669" s="57" t="n">
        <f aca="false">ROUNDUP(MAX(I669/IF(BV669&gt;0,BV669,MAX(0.1,N(Cockpit!$O$6))),BY669)/BQ669,0)*BQ669</f>
        <v>1</v>
      </c>
      <c r="AY669" s="58" t="n">
        <f aca="false">IF(AV669&gt;0,I669/AV669,-1)</f>
        <v>20</v>
      </c>
      <c r="AZ669" s="58" t="str">
        <f aca="false">IF(AND(OR(BU669="L1",BU669="L23"),AV669&gt;0),SUMIFS($AV$7:$AV$1576,$BU$7:$BU$1576,BU669,$AY$7:$AY$1576,"&gt;"&amp;AY669)+SUMIFS($AV$7:$AV$1576,$BU$7:$BU$1576,BU669,$AY$7:$AY$1576,AY669,$BO$7:$BO$1576,"&lt;="&amp;BO669),"")</f>
        <v/>
      </c>
      <c r="BA669" s="65" t="n">
        <f aca="false">IF(AZ669="",0,MAX(0,MIN(1,(IF(BU669="L1",Parameter!$E$5,Parameter!$E$6+Parameter!$E$7)-(AZ669-AV669))/AV669)))</f>
        <v>0</v>
      </c>
      <c r="BB669" s="55" t="str">
        <f aca="false">IF(AF669&lt;=0,"",IF(BU669="Aussen","Aussenlager",IF(BU669="-","Nicht im Lift",IF(AK669&gt;=1,"Lift",IF(AK669&lt;=0,"Aussenlager","teilweise")))))</f>
        <v/>
      </c>
      <c r="BC669" s="55" t="str">
        <f aca="false">IF(AN669&lt;=0,"",IF(BU669="Aussen","Aussenlager",IF(BU669="-","Nicht im Lift",IF(AS669&gt;=1,"Lift",IF(AS669&lt;=0,"Aussenlager","teilweise")))))</f>
        <v>Nicht im Lift</v>
      </c>
      <c r="BD669" s="55" t="str">
        <f aca="false">IF(AV669&lt;=0,"",IF(BU669="Aussen","Aussenlager",IF(BU669="-","Nicht im Lift",IF(BA669&gt;=1,"Lift",IF(BA669&lt;=0,"Aussenlager","teilweise")))))</f>
        <v>Nicht im Lift</v>
      </c>
      <c r="BE669" s="55" t="str">
        <f aca="false">IF(A669="","",IF(BN669=1,"Neu; ","")&amp;IF(AND(BN669=0,BI669&lt;0),"negativer Bestand (Export "&amp;BI669&amp;"); ","")&amp;IF(I669&lt;=0,"Kein Verbrauch; ","")&amp;IF(CD669&gt;0,"Lift "&amp;U669&amp;" lt. Liftbericht (Fach "&amp;V669&amp;" Stk); ",IF(BR669=1,"Lose – Fläche geschätzt; ",""))&amp;IF(G669&gt;AP669,"Überbestand "&amp;ROUND(G669-AP669,0)&amp;" Stk / CHF "&amp;ROUND((G669-AP669)*F669,0)&amp;"; ","")&amp;IF(AND(BW669=1,BX669&lt;BY669),"MAX &lt; MB+LG; ","")&amp;IF(AND(CC669&gt;0,CB669*10&gt;CC669),"zu hoch für Tablar; ","")&amp;IF(AND(BN669=0,OR(BW669=1,Y669&lt;&gt;"",S669&lt;&gt;"",T669&lt;&gt;"",Z669&lt;&gt;"")),"manuell übersteuert; ","")&amp;IF(AND(BR669=0,Q669=0),"Gebinde unbekannt / Stellmass fehlt; ","")&amp;IF(AND(BR669=0,N(T669)&lt;=0,N(P669)&lt;=0),"Menge pro Gebinde fehlt (Ist = 1 Gebinde); ","")&amp;BM669)</f>
        <v>Lose – Fläche geschätzt; </v>
      </c>
      <c r="BF669" s="55"/>
      <c r="BG669" s="55"/>
      <c r="BH669" s="62"/>
      <c r="BI669" s="57" t="n">
        <v>0</v>
      </c>
      <c r="BJ669" s="57" t="n">
        <v>0</v>
      </c>
      <c r="BK669" s="56" t="n">
        <v>0</v>
      </c>
      <c r="BL669" s="57" t="n">
        <v>3</v>
      </c>
      <c r="BM669" s="55"/>
      <c r="BN669" s="60" t="n">
        <v>0</v>
      </c>
      <c r="BO669" s="60" t="n">
        <v>669</v>
      </c>
      <c r="BP669" s="55" t="str">
        <f aca="false">IF(S669&lt;&gt;"",UPPER(TRIM(S669)),IF(O669="","LOSE",O669))</f>
        <v>LOSE</v>
      </c>
      <c r="BQ669" s="57" t="n">
        <f aca="false">IF(BP669="LOSE",1,IF(N(T669)&gt;0,T669,IF(N(P669)&gt;0,P669,MAX(1,G669))))</f>
        <v>1</v>
      </c>
      <c r="BR669" s="60" t="n">
        <f aca="false">IF(BP669="LOSE",1,0)</f>
        <v>1</v>
      </c>
      <c r="BS669" s="59" t="n">
        <f aca="false">IF(BR669=0,0,IF(N(R669)&gt;0,R669,IFERROR(VLOOKUP(D669,Parameter!$A$35:$C$64,3,0)+0,0)))</f>
        <v>0.15</v>
      </c>
      <c r="BT669" s="55" t="str">
        <f aca="false">IF(Y669&lt;&gt;"",Y669,X669)</f>
        <v>-</v>
      </c>
      <c r="BU669" s="55" t="str">
        <f aca="false">IF(BT669=1,"L1",IF(OR(BT669=2,BT669=3),"L23",IF(BT669="Aussen","Aussen","-")))</f>
        <v>-</v>
      </c>
      <c r="BV669" s="66" t="n">
        <f aca="false">IF(N(Z669)&gt;0,Z669,0)</f>
        <v>0</v>
      </c>
      <c r="BW669" s="60" t="n">
        <f aca="false">IF(ISNUMBER(AC669),1,0)</f>
        <v>0</v>
      </c>
      <c r="BX669" s="57" t="n">
        <f aca="false">N(AC669)</f>
        <v>0</v>
      </c>
      <c r="BY669" s="57" t="n">
        <f aca="false">N(L669)+N(M669)</f>
        <v>1</v>
      </c>
      <c r="BZ669" s="57" t="n">
        <f aca="false">ROUNDUP(G669/BQ669,0)</f>
        <v>0</v>
      </c>
      <c r="CA669" s="57" t="n">
        <f aca="false">ROUNDUP(BX669/BQ669,0)</f>
        <v>0</v>
      </c>
      <c r="CB669" s="60" t="n">
        <f aca="false">IF(BR669=1,0,IFERROR(VLOOKUP(BP669,'Gebinde-Kategorie'!$A$5:$M$45,5,0)+0,0))</f>
        <v>0</v>
      </c>
      <c r="CC669" s="60" t="n">
        <f aca="false">IFERROR(IF(OR(BT669=1,BT669=2,BT669=3),N(INDEX(Parameter!$I$5:$I$7,BT669)),0),0)</f>
        <v>0</v>
      </c>
      <c r="CD669" s="59" t="n">
        <f aca="false">IF(AND(Parameter!$B$21="Ja",ISNUMBER(U669),N(V669)&gt;0),IFERROR(N(INDEX(Parameter!$L$5:$L$7,U669))*INDEX(Parameter!$E$5:$E$7,U669)*V669/SUMIFS($V$7:$V$1576,$U$7:$U$1576,U669),0),0)</f>
        <v>0</v>
      </c>
    </row>
    <row r="670" customFormat="false" ht="15" hidden="false" customHeight="false" outlineLevel="0" collapsed="false">
      <c r="A670" s="55" t="s">
        <v>1335</v>
      </c>
      <c r="B670" s="55" t="s">
        <v>1336</v>
      </c>
      <c r="C670" s="55" t="s">
        <v>160</v>
      </c>
      <c r="D670" s="55" t="s">
        <v>984</v>
      </c>
      <c r="E670" s="55" t="s">
        <v>210</v>
      </c>
      <c r="F670" s="56" t="n">
        <v>171.76</v>
      </c>
      <c r="G670" s="57" t="n">
        <f aca="false">MAX(0,IF(AND(Parameter!$B$21="Ja",ISNUMBER(W670)),W670,IF(Parameter!$B$20="Jahresanfang 2025 + Export",BJ670+BI670,BI670)))</f>
        <v>0</v>
      </c>
      <c r="H670" s="57" t="n">
        <f aca="false">G670*F670</f>
        <v>0</v>
      </c>
      <c r="I670" s="57" t="n">
        <f aca="false">BL670*Parameter!$B$18</f>
        <v>1</v>
      </c>
      <c r="J670" s="58" t="n">
        <v>0</v>
      </c>
      <c r="K670" s="59" t="n">
        <v>0</v>
      </c>
      <c r="L670" s="57" t="n">
        <v>0</v>
      </c>
      <c r="M670" s="57" t="n">
        <v>1</v>
      </c>
      <c r="N670" s="60" t="n">
        <v>105</v>
      </c>
      <c r="O670" s="55" t="s">
        <v>163</v>
      </c>
      <c r="P670" s="57"/>
      <c r="Q670" s="60" t="n">
        <f aca="false">IF(BR670=1,0,IFERROR(VLOOKUP(BP670,'Gebinde-Kategorie'!$A$5:$M$45,13,0)+0,0))</f>
        <v>0</v>
      </c>
      <c r="R670" s="61"/>
      <c r="S670" s="62"/>
      <c r="T670" s="62"/>
      <c r="U670" s="55"/>
      <c r="V670" s="57"/>
      <c r="W670" s="57"/>
      <c r="X670" s="55" t="str">
        <f aca="false">IF(A670="","",IF(AND(Parameter!$B$21="Ja",ISNUMBER(U670)),U670,IF(IFERROR(VLOOKUP(D670,Parameter!$A$35:$C$64,2,0),"Nein")="2+3",IF(ISNUMBER(SEARCH("grosser Artikel",BM670)),2,IFERROR(VLOOKUP(BP670,Parameter!$F$35:$G$64,2,0),2)),IF(OR(IFERROR(VLOOKUP(D670,Parameter!$A$35:$C$64,2,0),"Nein")="Nein",IFERROR(VLOOKUP(D670,Parameter!$A$35:$C$64,2,0),"Nein")=""),"-",VLOOKUP(D670,Parameter!$A$35:$C$64,2,0)))))</f>
        <v>-</v>
      </c>
      <c r="Y670" s="62"/>
      <c r="Z670" s="63"/>
      <c r="AA670" s="57" t="n">
        <f aca="false">AP670</f>
        <v>1</v>
      </c>
      <c r="AB670" s="57" t="n">
        <f aca="false">MAX(AP670,G670)</f>
        <v>1</v>
      </c>
      <c r="AC670" s="64"/>
      <c r="AD670" s="57" t="n">
        <f aca="false">IF(LEFT(Cockpit!$C$5,1)="A",G670,IF(BW670=1,BX670,IF(LEFT(Cockpit!$C$5,1)="B",AH670,MAX(AH670,G670))))</f>
        <v>0</v>
      </c>
      <c r="AE670" s="57" t="n">
        <f aca="false">IF(BR670=1,0,ROUNDUP(AD670/BQ670,0))</f>
        <v>0</v>
      </c>
      <c r="AF670" s="59" t="n">
        <f aca="false">IF(CD670&gt;0,CD670*MAX(1,AD670/V670),IF(BR670=1,IF(AD670&lt;=0,0,BS670*MAX(1,IF(G670&gt;0,AD670/G670,1))),IF(Q670&gt;0,AE670/Q670,0))/MAX(0.1,N(Parameter!$M$21)))</f>
        <v>0</v>
      </c>
      <c r="AG670" s="57" t="n">
        <f aca="false">AD670*F670</f>
        <v>0</v>
      </c>
      <c r="AH670" s="57" t="n">
        <f aca="false">ROUNDUP(MAX(I670/IF(BV670&gt;0,BV670,MAX(0.1,N(Cockpit!$C$6))),BY670)/BQ670,0)*BQ670</f>
        <v>1</v>
      </c>
      <c r="AI670" s="58" t="n">
        <f aca="false">IF(AF670&gt;0,I670/AF670,-1)</f>
        <v>-1</v>
      </c>
      <c r="AJ670" s="58" t="str">
        <f aca="false">IF(AND(OR(BU670="L1",BU670="L23"),AF670&gt;0),SUMIFS($AF$7:$AF$1576,$BU$7:$BU$1576,BU670,$AI$7:$AI$1576,"&gt;"&amp;AI670)+SUMIFS($AF$7:$AF$1576,$BU$7:$BU$1576,BU670,$AI$7:$AI$1576,AI670,$BO$7:$BO$1576,"&lt;="&amp;BO670),"")</f>
        <v/>
      </c>
      <c r="AK670" s="65" t="n">
        <f aca="false">IF(AJ670="",0,MAX(0,MIN(1,(IF(BU670="L1",Parameter!$E$5,Parameter!$E$6+Parameter!$E$7)-(AJ670-AF670))/AF670)))</f>
        <v>0</v>
      </c>
      <c r="AL670" s="57" t="n">
        <f aca="false">IF(LEFT(Cockpit!$I$5,1)="A",G670,IF(BW670=1,BX670,IF(LEFT(Cockpit!$I$5,1)="B",AP670,MAX(AP670,G670))))</f>
        <v>1</v>
      </c>
      <c r="AM670" s="57" t="n">
        <f aca="false">IF(BR670=1,0,ROUNDUP(AL670/BQ670,0))</f>
        <v>0</v>
      </c>
      <c r="AN670" s="59" t="n">
        <f aca="false">IF(CD670&gt;0,CD670*MAX(1,AL670/V670),IF(BR670=1,IF(AL670&lt;=0,0,BS670*MAX(1,IF(G670&gt;0,AL670/G670,1))),IF(Q670&gt;0,AM670/Q670,0))/MAX(0.1,N(Parameter!$M$21)))</f>
        <v>0.15</v>
      </c>
      <c r="AO670" s="57" t="n">
        <f aca="false">AL670*F670</f>
        <v>171.76</v>
      </c>
      <c r="AP670" s="57" t="n">
        <f aca="false">ROUNDUP(MAX(I670/IF(BV670&gt;0,BV670,MAX(0.1,N(Cockpit!$I$6))),BY670)/BQ670,0)*BQ670</f>
        <v>1</v>
      </c>
      <c r="AQ670" s="58" t="n">
        <f aca="false">IF(AN670&gt;0,I670/AN670,-1)</f>
        <v>6.66666666666667</v>
      </c>
      <c r="AR670" s="58" t="str">
        <f aca="false">IF(AND(OR(BU670="L1",BU670="L23"),AN670&gt;0),SUMIFS($AN$7:$AN$1576,$BU$7:$BU$1576,BU670,$AQ$7:$AQ$1576,"&gt;"&amp;AQ670)+SUMIFS($AN$7:$AN$1576,$BU$7:$BU$1576,BU670,$AQ$7:$AQ$1576,AQ670,$BO$7:$BO$1576,"&lt;="&amp;BO670),"")</f>
        <v/>
      </c>
      <c r="AS670" s="65" t="n">
        <f aca="false">IF(AR670="",0,MAX(0,MIN(1,(IF(BU670="L1",Parameter!$E$5,Parameter!$E$6+Parameter!$E$7)-(AR670-AN670))/AN670)))</f>
        <v>0</v>
      </c>
      <c r="AT670" s="57" t="n">
        <f aca="false">IF(LEFT(Cockpit!$O$5,1)="A",G670,IF(BW670=1,BX670,IF(LEFT(Cockpit!$O$5,1)="B",AX670,MAX(AX670,G670))))</f>
        <v>1</v>
      </c>
      <c r="AU670" s="57" t="n">
        <f aca="false">IF(BR670=1,0,ROUNDUP(AT670/BQ670,0))</f>
        <v>0</v>
      </c>
      <c r="AV670" s="59" t="n">
        <f aca="false">IF(CD670&gt;0,CD670*MAX(1,AT670/V670),IF(BR670=1,IF(AT670&lt;=0,0,BS670*MAX(1,IF(G670&gt;0,AT670/G670,1))),IF(Q670&gt;0,AU670/Q670,0))/MAX(0.1,N(Parameter!$M$21)))</f>
        <v>0.15</v>
      </c>
      <c r="AW670" s="57" t="n">
        <f aca="false">AT670*F670</f>
        <v>171.76</v>
      </c>
      <c r="AX670" s="57" t="n">
        <f aca="false">ROUNDUP(MAX(I670/IF(BV670&gt;0,BV670,MAX(0.1,N(Cockpit!$O$6))),BY670)/BQ670,0)*BQ670</f>
        <v>1</v>
      </c>
      <c r="AY670" s="58" t="n">
        <f aca="false">IF(AV670&gt;0,I670/AV670,-1)</f>
        <v>6.66666666666667</v>
      </c>
      <c r="AZ670" s="58" t="str">
        <f aca="false">IF(AND(OR(BU670="L1",BU670="L23"),AV670&gt;0),SUMIFS($AV$7:$AV$1576,$BU$7:$BU$1576,BU670,$AY$7:$AY$1576,"&gt;"&amp;AY670)+SUMIFS($AV$7:$AV$1576,$BU$7:$BU$1576,BU670,$AY$7:$AY$1576,AY670,$BO$7:$BO$1576,"&lt;="&amp;BO670),"")</f>
        <v/>
      </c>
      <c r="BA670" s="65" t="n">
        <f aca="false">IF(AZ670="",0,MAX(0,MIN(1,(IF(BU670="L1",Parameter!$E$5,Parameter!$E$6+Parameter!$E$7)-(AZ670-AV670))/AV670)))</f>
        <v>0</v>
      </c>
      <c r="BB670" s="55" t="str">
        <f aca="false">IF(AF670&lt;=0,"",IF(BU670="Aussen","Aussenlager",IF(BU670="-","Nicht im Lift",IF(AK670&gt;=1,"Lift",IF(AK670&lt;=0,"Aussenlager","teilweise")))))</f>
        <v/>
      </c>
      <c r="BC670" s="55" t="str">
        <f aca="false">IF(AN670&lt;=0,"",IF(BU670="Aussen","Aussenlager",IF(BU670="-","Nicht im Lift",IF(AS670&gt;=1,"Lift",IF(AS670&lt;=0,"Aussenlager","teilweise")))))</f>
        <v>Nicht im Lift</v>
      </c>
      <c r="BD670" s="55" t="str">
        <f aca="false">IF(AV670&lt;=0,"",IF(BU670="Aussen","Aussenlager",IF(BU670="-","Nicht im Lift",IF(BA670&gt;=1,"Lift",IF(BA670&lt;=0,"Aussenlager","teilweise")))))</f>
        <v>Nicht im Lift</v>
      </c>
      <c r="BE670" s="55" t="str">
        <f aca="false">IF(A670="","",IF(BN670=1,"Neu; ","")&amp;IF(AND(BN670=0,BI670&lt;0),"negativer Bestand (Export "&amp;BI670&amp;"); ","")&amp;IF(I670&lt;=0,"Kein Verbrauch; ","")&amp;IF(CD670&gt;0,"Lift "&amp;U670&amp;" lt. Liftbericht (Fach "&amp;V670&amp;" Stk); ",IF(BR670=1,"Lose – Fläche geschätzt; ",""))&amp;IF(G670&gt;AP670,"Überbestand "&amp;ROUND(G670-AP670,0)&amp;" Stk / CHF "&amp;ROUND((G670-AP670)*F670,0)&amp;"; ","")&amp;IF(AND(BW670=1,BX670&lt;BY670),"MAX &lt; MB+LG; ","")&amp;IF(AND(CC670&gt;0,CB670*10&gt;CC670),"zu hoch für Tablar; ","")&amp;IF(AND(BN670=0,OR(BW670=1,Y670&lt;&gt;"",S670&lt;&gt;"",T670&lt;&gt;"",Z670&lt;&gt;"")),"manuell übersteuert; ","")&amp;IF(AND(BR670=0,Q670=0),"Gebinde unbekannt / Stellmass fehlt; ","")&amp;IF(AND(BR670=0,N(T670)&lt;=0,N(P670)&lt;=0),"Menge pro Gebinde fehlt (Ist = 1 Gebinde); ","")&amp;BM670)</f>
        <v>Lose – Fläche geschätzt; </v>
      </c>
      <c r="BF670" s="55"/>
      <c r="BG670" s="55"/>
      <c r="BH670" s="62"/>
      <c r="BI670" s="57" t="n">
        <v>0</v>
      </c>
      <c r="BJ670" s="57" t="n">
        <v>0</v>
      </c>
      <c r="BK670" s="56" t="n">
        <v>0</v>
      </c>
      <c r="BL670" s="57" t="n">
        <v>1</v>
      </c>
      <c r="BM670" s="55"/>
      <c r="BN670" s="60" t="n">
        <v>0</v>
      </c>
      <c r="BO670" s="60" t="n">
        <v>670</v>
      </c>
      <c r="BP670" s="55" t="str">
        <f aca="false">IF(S670&lt;&gt;"",UPPER(TRIM(S670)),IF(O670="","LOSE",O670))</f>
        <v>LOSE</v>
      </c>
      <c r="BQ670" s="57" t="n">
        <f aca="false">IF(BP670="LOSE",1,IF(N(T670)&gt;0,T670,IF(N(P670)&gt;0,P670,MAX(1,G670))))</f>
        <v>1</v>
      </c>
      <c r="BR670" s="60" t="n">
        <f aca="false">IF(BP670="LOSE",1,0)</f>
        <v>1</v>
      </c>
      <c r="BS670" s="59" t="n">
        <f aca="false">IF(BR670=0,0,IF(N(R670)&gt;0,R670,IFERROR(VLOOKUP(D670,Parameter!$A$35:$C$64,3,0)+0,0)))</f>
        <v>0.15</v>
      </c>
      <c r="BT670" s="55" t="str">
        <f aca="false">IF(Y670&lt;&gt;"",Y670,X670)</f>
        <v>-</v>
      </c>
      <c r="BU670" s="55" t="str">
        <f aca="false">IF(BT670=1,"L1",IF(OR(BT670=2,BT670=3),"L23",IF(BT670="Aussen","Aussen","-")))</f>
        <v>-</v>
      </c>
      <c r="BV670" s="66" t="n">
        <f aca="false">IF(N(Z670)&gt;0,Z670,0)</f>
        <v>0</v>
      </c>
      <c r="BW670" s="60" t="n">
        <f aca="false">IF(ISNUMBER(AC670),1,0)</f>
        <v>0</v>
      </c>
      <c r="BX670" s="57" t="n">
        <f aca="false">N(AC670)</f>
        <v>0</v>
      </c>
      <c r="BY670" s="57" t="n">
        <f aca="false">N(L670)+N(M670)</f>
        <v>1</v>
      </c>
      <c r="BZ670" s="57" t="n">
        <f aca="false">ROUNDUP(G670/BQ670,0)</f>
        <v>0</v>
      </c>
      <c r="CA670" s="57" t="n">
        <f aca="false">ROUNDUP(BX670/BQ670,0)</f>
        <v>0</v>
      </c>
      <c r="CB670" s="60" t="n">
        <f aca="false">IF(BR670=1,0,IFERROR(VLOOKUP(BP670,'Gebinde-Kategorie'!$A$5:$M$45,5,0)+0,0))</f>
        <v>0</v>
      </c>
      <c r="CC670" s="60" t="n">
        <f aca="false">IFERROR(IF(OR(BT670=1,BT670=2,BT670=3),N(INDEX(Parameter!$I$5:$I$7,BT670)),0),0)</f>
        <v>0</v>
      </c>
      <c r="CD670" s="59" t="n">
        <f aca="false">IF(AND(Parameter!$B$21="Ja",ISNUMBER(U670),N(V670)&gt;0),IFERROR(N(INDEX(Parameter!$L$5:$L$7,U670))*INDEX(Parameter!$E$5:$E$7,U670)*V670/SUMIFS($V$7:$V$1576,$U$7:$U$1576,U670),0),0)</f>
        <v>0</v>
      </c>
    </row>
    <row r="671" customFormat="false" ht="15" hidden="false" customHeight="false" outlineLevel="0" collapsed="false">
      <c r="A671" s="55" t="s">
        <v>1337</v>
      </c>
      <c r="B671" s="55" t="s">
        <v>1338</v>
      </c>
      <c r="C671" s="55" t="s">
        <v>160</v>
      </c>
      <c r="D671" s="55" t="s">
        <v>984</v>
      </c>
      <c r="E671" s="55" t="s">
        <v>210</v>
      </c>
      <c r="F671" s="56" t="n">
        <v>154.75</v>
      </c>
      <c r="G671" s="57" t="n">
        <f aca="false">MAX(0,IF(AND(Parameter!$B$21="Ja",ISNUMBER(W671)),W671,IF(Parameter!$B$20="Jahresanfang 2025 + Export",BJ671+BI671,BI671)))</f>
        <v>0</v>
      </c>
      <c r="H671" s="57" t="n">
        <f aca="false">G671*F671</f>
        <v>0</v>
      </c>
      <c r="I671" s="57" t="n">
        <f aca="false">BL671*Parameter!$B$18</f>
        <v>4</v>
      </c>
      <c r="J671" s="58" t="n">
        <v>0</v>
      </c>
      <c r="K671" s="59" t="n">
        <v>0</v>
      </c>
      <c r="L671" s="57" t="n">
        <v>0</v>
      </c>
      <c r="M671" s="57" t="n">
        <v>1</v>
      </c>
      <c r="N671" s="60" t="n">
        <v>105</v>
      </c>
      <c r="O671" s="55" t="s">
        <v>163</v>
      </c>
      <c r="P671" s="57"/>
      <c r="Q671" s="60" t="n">
        <f aca="false">IF(BR671=1,0,IFERROR(VLOOKUP(BP671,'Gebinde-Kategorie'!$A$5:$M$45,13,0)+0,0))</f>
        <v>0</v>
      </c>
      <c r="R671" s="61"/>
      <c r="S671" s="62"/>
      <c r="T671" s="62"/>
      <c r="U671" s="55"/>
      <c r="V671" s="57"/>
      <c r="W671" s="57"/>
      <c r="X671" s="55" t="str">
        <f aca="false">IF(A671="","",IF(AND(Parameter!$B$21="Ja",ISNUMBER(U671)),U671,IF(IFERROR(VLOOKUP(D671,Parameter!$A$35:$C$64,2,0),"Nein")="2+3",IF(ISNUMBER(SEARCH("grosser Artikel",BM671)),2,IFERROR(VLOOKUP(BP671,Parameter!$F$35:$G$64,2,0),2)),IF(OR(IFERROR(VLOOKUP(D671,Parameter!$A$35:$C$64,2,0),"Nein")="Nein",IFERROR(VLOOKUP(D671,Parameter!$A$35:$C$64,2,0),"Nein")=""),"-",VLOOKUP(D671,Parameter!$A$35:$C$64,2,0)))))</f>
        <v>-</v>
      </c>
      <c r="Y671" s="62"/>
      <c r="Z671" s="63"/>
      <c r="AA671" s="57" t="n">
        <f aca="false">AP671</f>
        <v>2</v>
      </c>
      <c r="AB671" s="57" t="n">
        <f aca="false">MAX(AP671,G671)</f>
        <v>2</v>
      </c>
      <c r="AC671" s="64"/>
      <c r="AD671" s="57" t="n">
        <f aca="false">IF(LEFT(Cockpit!$C$5,1)="A",G671,IF(BW671=1,BX671,IF(LEFT(Cockpit!$C$5,1)="B",AH671,MAX(AH671,G671))))</f>
        <v>0</v>
      </c>
      <c r="AE671" s="57" t="n">
        <f aca="false">IF(BR671=1,0,ROUNDUP(AD671/BQ671,0))</f>
        <v>0</v>
      </c>
      <c r="AF671" s="59" t="n">
        <f aca="false">IF(CD671&gt;0,CD671*MAX(1,AD671/V671),IF(BR671=1,IF(AD671&lt;=0,0,BS671*MAX(1,IF(G671&gt;0,AD671/G671,1))),IF(Q671&gt;0,AE671/Q671,0))/MAX(0.1,N(Parameter!$M$21)))</f>
        <v>0</v>
      </c>
      <c r="AG671" s="57" t="n">
        <f aca="false">AD671*F671</f>
        <v>0</v>
      </c>
      <c r="AH671" s="57" t="n">
        <f aca="false">ROUNDUP(MAX(I671/IF(BV671&gt;0,BV671,MAX(0.1,N(Cockpit!$C$6))),BY671)/BQ671,0)*BQ671</f>
        <v>2</v>
      </c>
      <c r="AI671" s="58" t="n">
        <f aca="false">IF(AF671&gt;0,I671/AF671,-1)</f>
        <v>-1</v>
      </c>
      <c r="AJ671" s="58" t="str">
        <f aca="false">IF(AND(OR(BU671="L1",BU671="L23"),AF671&gt;0),SUMIFS($AF$7:$AF$1576,$BU$7:$BU$1576,BU671,$AI$7:$AI$1576,"&gt;"&amp;AI671)+SUMIFS($AF$7:$AF$1576,$BU$7:$BU$1576,BU671,$AI$7:$AI$1576,AI671,$BO$7:$BO$1576,"&lt;="&amp;BO671),"")</f>
        <v/>
      </c>
      <c r="AK671" s="65" t="n">
        <f aca="false">IF(AJ671="",0,MAX(0,MIN(1,(IF(BU671="L1",Parameter!$E$5,Parameter!$E$6+Parameter!$E$7)-(AJ671-AF671))/AF671)))</f>
        <v>0</v>
      </c>
      <c r="AL671" s="57" t="n">
        <f aca="false">IF(LEFT(Cockpit!$I$5,1)="A",G671,IF(BW671=1,BX671,IF(LEFT(Cockpit!$I$5,1)="B",AP671,MAX(AP671,G671))))</f>
        <v>2</v>
      </c>
      <c r="AM671" s="57" t="n">
        <f aca="false">IF(BR671=1,0,ROUNDUP(AL671/BQ671,0))</f>
        <v>0</v>
      </c>
      <c r="AN671" s="59" t="n">
        <f aca="false">IF(CD671&gt;0,CD671*MAX(1,AL671/V671),IF(BR671=1,IF(AL671&lt;=0,0,BS671*MAX(1,IF(G671&gt;0,AL671/G671,1))),IF(Q671&gt;0,AM671/Q671,0))/MAX(0.1,N(Parameter!$M$21)))</f>
        <v>0.15</v>
      </c>
      <c r="AO671" s="57" t="n">
        <f aca="false">AL671*F671</f>
        <v>309.5</v>
      </c>
      <c r="AP671" s="57" t="n">
        <f aca="false">ROUNDUP(MAX(I671/IF(BV671&gt;0,BV671,MAX(0.1,N(Cockpit!$I$6))),BY671)/BQ671,0)*BQ671</f>
        <v>2</v>
      </c>
      <c r="AQ671" s="58" t="n">
        <f aca="false">IF(AN671&gt;0,I671/AN671,-1)</f>
        <v>26.6666666666667</v>
      </c>
      <c r="AR671" s="58" t="str">
        <f aca="false">IF(AND(OR(BU671="L1",BU671="L23"),AN671&gt;0),SUMIFS($AN$7:$AN$1576,$BU$7:$BU$1576,BU671,$AQ$7:$AQ$1576,"&gt;"&amp;AQ671)+SUMIFS($AN$7:$AN$1576,$BU$7:$BU$1576,BU671,$AQ$7:$AQ$1576,AQ671,$BO$7:$BO$1576,"&lt;="&amp;BO671),"")</f>
        <v/>
      </c>
      <c r="AS671" s="65" t="n">
        <f aca="false">IF(AR671="",0,MAX(0,MIN(1,(IF(BU671="L1",Parameter!$E$5,Parameter!$E$6+Parameter!$E$7)-(AR671-AN671))/AN671)))</f>
        <v>0</v>
      </c>
      <c r="AT671" s="57" t="n">
        <f aca="false">IF(LEFT(Cockpit!$O$5,1)="A",G671,IF(BW671=1,BX671,IF(LEFT(Cockpit!$O$5,1)="B",AX671,MAX(AX671,G671))))</f>
        <v>2</v>
      </c>
      <c r="AU671" s="57" t="n">
        <f aca="false">IF(BR671=1,0,ROUNDUP(AT671/BQ671,0))</f>
        <v>0</v>
      </c>
      <c r="AV671" s="59" t="n">
        <f aca="false">IF(CD671&gt;0,CD671*MAX(1,AT671/V671),IF(BR671=1,IF(AT671&lt;=0,0,BS671*MAX(1,IF(G671&gt;0,AT671/G671,1))),IF(Q671&gt;0,AU671/Q671,0))/MAX(0.1,N(Parameter!$M$21)))</f>
        <v>0.15</v>
      </c>
      <c r="AW671" s="57" t="n">
        <f aca="false">AT671*F671</f>
        <v>309.5</v>
      </c>
      <c r="AX671" s="57" t="n">
        <f aca="false">ROUNDUP(MAX(I671/IF(BV671&gt;0,BV671,MAX(0.1,N(Cockpit!$O$6))),BY671)/BQ671,0)*BQ671</f>
        <v>2</v>
      </c>
      <c r="AY671" s="58" t="n">
        <f aca="false">IF(AV671&gt;0,I671/AV671,-1)</f>
        <v>26.6666666666667</v>
      </c>
      <c r="AZ671" s="58" t="str">
        <f aca="false">IF(AND(OR(BU671="L1",BU671="L23"),AV671&gt;0),SUMIFS($AV$7:$AV$1576,$BU$7:$BU$1576,BU671,$AY$7:$AY$1576,"&gt;"&amp;AY671)+SUMIFS($AV$7:$AV$1576,$BU$7:$BU$1576,BU671,$AY$7:$AY$1576,AY671,$BO$7:$BO$1576,"&lt;="&amp;BO671),"")</f>
        <v/>
      </c>
      <c r="BA671" s="65" t="n">
        <f aca="false">IF(AZ671="",0,MAX(0,MIN(1,(IF(BU671="L1",Parameter!$E$5,Parameter!$E$6+Parameter!$E$7)-(AZ671-AV671))/AV671)))</f>
        <v>0</v>
      </c>
      <c r="BB671" s="55" t="str">
        <f aca="false">IF(AF671&lt;=0,"",IF(BU671="Aussen","Aussenlager",IF(BU671="-","Nicht im Lift",IF(AK671&gt;=1,"Lift",IF(AK671&lt;=0,"Aussenlager","teilweise")))))</f>
        <v/>
      </c>
      <c r="BC671" s="55" t="str">
        <f aca="false">IF(AN671&lt;=0,"",IF(BU671="Aussen","Aussenlager",IF(BU671="-","Nicht im Lift",IF(AS671&gt;=1,"Lift",IF(AS671&lt;=0,"Aussenlager","teilweise")))))</f>
        <v>Nicht im Lift</v>
      </c>
      <c r="BD671" s="55" t="str">
        <f aca="false">IF(AV671&lt;=0,"",IF(BU671="Aussen","Aussenlager",IF(BU671="-","Nicht im Lift",IF(BA671&gt;=1,"Lift",IF(BA671&lt;=0,"Aussenlager","teilweise")))))</f>
        <v>Nicht im Lift</v>
      </c>
      <c r="BE671" s="55" t="str">
        <f aca="false">IF(A671="","",IF(BN671=1,"Neu; ","")&amp;IF(AND(BN671=0,BI671&lt;0),"negativer Bestand (Export "&amp;BI671&amp;"); ","")&amp;IF(I671&lt;=0,"Kein Verbrauch; ","")&amp;IF(CD671&gt;0,"Lift "&amp;U671&amp;" lt. Liftbericht (Fach "&amp;V671&amp;" Stk); ",IF(BR671=1,"Lose – Fläche geschätzt; ",""))&amp;IF(G671&gt;AP671,"Überbestand "&amp;ROUND(G671-AP671,0)&amp;" Stk / CHF "&amp;ROUND((G671-AP671)*F671,0)&amp;"; ","")&amp;IF(AND(BW671=1,BX671&lt;BY671),"MAX &lt; MB+LG; ","")&amp;IF(AND(CC671&gt;0,CB671*10&gt;CC671),"zu hoch für Tablar; ","")&amp;IF(AND(BN671=0,OR(BW671=1,Y671&lt;&gt;"",S671&lt;&gt;"",T671&lt;&gt;"",Z671&lt;&gt;"")),"manuell übersteuert; ","")&amp;IF(AND(BR671=0,Q671=0),"Gebinde unbekannt / Stellmass fehlt; ","")&amp;IF(AND(BR671=0,N(T671)&lt;=0,N(P671)&lt;=0),"Menge pro Gebinde fehlt (Ist = 1 Gebinde); ","")&amp;BM671)</f>
        <v>Lose – Fläche geschätzt; </v>
      </c>
      <c r="BF671" s="55"/>
      <c r="BG671" s="55"/>
      <c r="BH671" s="62"/>
      <c r="BI671" s="57" t="n">
        <v>0</v>
      </c>
      <c r="BJ671" s="57" t="n">
        <v>0</v>
      </c>
      <c r="BK671" s="56" t="n">
        <v>0</v>
      </c>
      <c r="BL671" s="57" t="n">
        <v>4</v>
      </c>
      <c r="BM671" s="55"/>
      <c r="BN671" s="60" t="n">
        <v>0</v>
      </c>
      <c r="BO671" s="60" t="n">
        <v>671</v>
      </c>
      <c r="BP671" s="55" t="str">
        <f aca="false">IF(S671&lt;&gt;"",UPPER(TRIM(S671)),IF(O671="","LOSE",O671))</f>
        <v>LOSE</v>
      </c>
      <c r="BQ671" s="57" t="n">
        <f aca="false">IF(BP671="LOSE",1,IF(N(T671)&gt;0,T671,IF(N(P671)&gt;0,P671,MAX(1,G671))))</f>
        <v>1</v>
      </c>
      <c r="BR671" s="60" t="n">
        <f aca="false">IF(BP671="LOSE",1,0)</f>
        <v>1</v>
      </c>
      <c r="BS671" s="59" t="n">
        <f aca="false">IF(BR671=0,0,IF(N(R671)&gt;0,R671,IFERROR(VLOOKUP(D671,Parameter!$A$35:$C$64,3,0)+0,0)))</f>
        <v>0.15</v>
      </c>
      <c r="BT671" s="55" t="str">
        <f aca="false">IF(Y671&lt;&gt;"",Y671,X671)</f>
        <v>-</v>
      </c>
      <c r="BU671" s="55" t="str">
        <f aca="false">IF(BT671=1,"L1",IF(OR(BT671=2,BT671=3),"L23",IF(BT671="Aussen","Aussen","-")))</f>
        <v>-</v>
      </c>
      <c r="BV671" s="66" t="n">
        <f aca="false">IF(N(Z671)&gt;0,Z671,0)</f>
        <v>0</v>
      </c>
      <c r="BW671" s="60" t="n">
        <f aca="false">IF(ISNUMBER(AC671),1,0)</f>
        <v>0</v>
      </c>
      <c r="BX671" s="57" t="n">
        <f aca="false">N(AC671)</f>
        <v>0</v>
      </c>
      <c r="BY671" s="57" t="n">
        <f aca="false">N(L671)+N(M671)</f>
        <v>1</v>
      </c>
      <c r="BZ671" s="57" t="n">
        <f aca="false">ROUNDUP(G671/BQ671,0)</f>
        <v>0</v>
      </c>
      <c r="CA671" s="57" t="n">
        <f aca="false">ROUNDUP(BX671/BQ671,0)</f>
        <v>0</v>
      </c>
      <c r="CB671" s="60" t="n">
        <f aca="false">IF(BR671=1,0,IFERROR(VLOOKUP(BP671,'Gebinde-Kategorie'!$A$5:$M$45,5,0)+0,0))</f>
        <v>0</v>
      </c>
      <c r="CC671" s="60" t="n">
        <f aca="false">IFERROR(IF(OR(BT671=1,BT671=2,BT671=3),N(INDEX(Parameter!$I$5:$I$7,BT671)),0),0)</f>
        <v>0</v>
      </c>
      <c r="CD671" s="59" t="n">
        <f aca="false">IF(AND(Parameter!$B$21="Ja",ISNUMBER(U671),N(V671)&gt;0),IFERROR(N(INDEX(Parameter!$L$5:$L$7,U671))*INDEX(Parameter!$E$5:$E$7,U671)*V671/SUMIFS($V$7:$V$1576,$U$7:$U$1576,U671),0),0)</f>
        <v>0</v>
      </c>
    </row>
    <row r="672" customFormat="false" ht="15" hidden="false" customHeight="false" outlineLevel="0" collapsed="false">
      <c r="A672" s="55" t="s">
        <v>1339</v>
      </c>
      <c r="B672" s="55" t="s">
        <v>175</v>
      </c>
      <c r="C672" s="55" t="s">
        <v>160</v>
      </c>
      <c r="D672" s="55" t="s">
        <v>168</v>
      </c>
      <c r="E672" s="55" t="s">
        <v>210</v>
      </c>
      <c r="F672" s="56" t="n">
        <v>5409.17</v>
      </c>
      <c r="G672" s="57" t="n">
        <f aca="false">MAX(0,IF(AND(Parameter!$B$21="Ja",ISNUMBER(W672)),W672,IF(Parameter!$B$20="Jahresanfang 2025 + Export",BJ672+BI672,BI672)))</f>
        <v>0</v>
      </c>
      <c r="H672" s="57" t="n">
        <f aca="false">G672*F672</f>
        <v>0</v>
      </c>
      <c r="I672" s="57" t="n">
        <f aca="false">BL672*Parameter!$B$18</f>
        <v>1</v>
      </c>
      <c r="J672" s="58" t="n">
        <v>0</v>
      </c>
      <c r="K672" s="59" t="n">
        <v>0</v>
      </c>
      <c r="L672" s="57" t="n">
        <v>0</v>
      </c>
      <c r="M672" s="57" t="n">
        <v>1</v>
      </c>
      <c r="N672" s="60" t="n">
        <v>115</v>
      </c>
      <c r="O672" s="55" t="s">
        <v>163</v>
      </c>
      <c r="P672" s="57"/>
      <c r="Q672" s="60" t="n">
        <f aca="false">IF(BR672=1,0,IFERROR(VLOOKUP(BP672,'Gebinde-Kategorie'!$A$5:$M$45,13,0)+0,0))</f>
        <v>0</v>
      </c>
      <c r="R672" s="61"/>
      <c r="S672" s="62"/>
      <c r="T672" s="62"/>
      <c r="U672" s="55"/>
      <c r="V672" s="57"/>
      <c r="W672" s="57"/>
      <c r="X672" s="55" t="n">
        <f aca="false">IF(A672="","",IF(AND(Parameter!$B$21="Ja",ISNUMBER(U672)),U672,IF(IFERROR(VLOOKUP(D672,Parameter!$A$35:$C$64,2,0),"Nein")="2+3",IF(ISNUMBER(SEARCH("grosser Artikel",BM672)),2,IFERROR(VLOOKUP(BP672,Parameter!$F$35:$G$64,2,0),2)),IF(OR(IFERROR(VLOOKUP(D672,Parameter!$A$35:$C$64,2,0),"Nein")="Nein",IFERROR(VLOOKUP(D672,Parameter!$A$35:$C$64,2,0),"Nein")=""),"-",VLOOKUP(D672,Parameter!$A$35:$C$64,2,0)))))</f>
        <v>2</v>
      </c>
      <c r="Y672" s="62"/>
      <c r="Z672" s="63"/>
      <c r="AA672" s="57" t="n">
        <f aca="false">AP672</f>
        <v>1</v>
      </c>
      <c r="AB672" s="57" t="n">
        <f aca="false">MAX(AP672,G672)</f>
        <v>1</v>
      </c>
      <c r="AC672" s="64"/>
      <c r="AD672" s="57" t="n">
        <f aca="false">IF(LEFT(Cockpit!$C$5,1)="A",G672,IF(BW672=1,BX672,IF(LEFT(Cockpit!$C$5,1)="B",AH672,MAX(AH672,G672))))</f>
        <v>0</v>
      </c>
      <c r="AE672" s="57" t="n">
        <f aca="false">IF(BR672=1,0,ROUNDUP(AD672/BQ672,0))</f>
        <v>0</v>
      </c>
      <c r="AF672" s="59" t="n">
        <f aca="false">IF(CD672&gt;0,CD672*MAX(1,AD672/V672),IF(BR672=1,IF(AD672&lt;=0,0,BS672*MAX(1,IF(G672&gt;0,AD672/G672,1))),IF(Q672&gt;0,AE672/Q672,0))/MAX(0.1,N(Parameter!$M$21)))</f>
        <v>0</v>
      </c>
      <c r="AG672" s="57" t="n">
        <f aca="false">AD672*F672</f>
        <v>0</v>
      </c>
      <c r="AH672" s="57" t="n">
        <f aca="false">ROUNDUP(MAX(I672/IF(BV672&gt;0,BV672,MAX(0.1,N(Cockpit!$C$6))),BY672)/BQ672,0)*BQ672</f>
        <v>1</v>
      </c>
      <c r="AI672" s="58" t="n">
        <f aca="false">IF(AF672&gt;0,I672/AF672,-1)</f>
        <v>-1</v>
      </c>
      <c r="AJ672" s="58" t="str">
        <f aca="false">IF(AND(OR(BU672="L1",BU672="L23"),AF672&gt;0),SUMIFS($AF$7:$AF$1576,$BU$7:$BU$1576,BU672,$AI$7:$AI$1576,"&gt;"&amp;AI672)+SUMIFS($AF$7:$AF$1576,$BU$7:$BU$1576,BU672,$AI$7:$AI$1576,AI672,$BO$7:$BO$1576,"&lt;="&amp;BO672),"")</f>
        <v/>
      </c>
      <c r="AK672" s="65" t="n">
        <f aca="false">IF(AJ672="",0,MAX(0,MIN(1,(IF(BU672="L1",Parameter!$E$5,Parameter!$E$6+Parameter!$E$7)-(AJ672-AF672))/AF672)))</f>
        <v>0</v>
      </c>
      <c r="AL672" s="57" t="n">
        <f aca="false">IF(LEFT(Cockpit!$I$5,1)="A",G672,IF(BW672=1,BX672,IF(LEFT(Cockpit!$I$5,1)="B",AP672,MAX(AP672,G672))))</f>
        <v>1</v>
      </c>
      <c r="AM672" s="57" t="n">
        <f aca="false">IF(BR672=1,0,ROUNDUP(AL672/BQ672,0))</f>
        <v>0</v>
      </c>
      <c r="AN672" s="59" t="n">
        <f aca="false">IF(CD672&gt;0,CD672*MAX(1,AL672/V672),IF(BR672=1,IF(AL672&lt;=0,0,BS672*MAX(1,IF(G672&gt;0,AL672/G672,1))),IF(Q672&gt;0,AM672/Q672,0))/MAX(0.1,N(Parameter!$M$21)))</f>
        <v>0.15</v>
      </c>
      <c r="AO672" s="57" t="n">
        <f aca="false">AL672*F672</f>
        <v>5409.17</v>
      </c>
      <c r="AP672" s="57" t="n">
        <f aca="false">ROUNDUP(MAX(I672/IF(BV672&gt;0,BV672,MAX(0.1,N(Cockpit!$I$6))),BY672)/BQ672,0)*BQ672</f>
        <v>1</v>
      </c>
      <c r="AQ672" s="58" t="n">
        <f aca="false">IF(AN672&gt;0,I672/AN672,-1)</f>
        <v>6.66666666666667</v>
      </c>
      <c r="AR672" s="58" t="n">
        <f aca="false">IF(AND(OR(BU672="L1",BU672="L23"),AN672&gt;0),SUMIFS($AN$7:$AN$1576,$BU$7:$BU$1576,BU672,$AQ$7:$AQ$1576,"&gt;"&amp;AQ672)+SUMIFS($AN$7:$AN$1576,$BU$7:$BU$1576,BU672,$AQ$7:$AQ$1576,AQ672,$BO$7:$BO$1576,"&lt;="&amp;BO672),"")</f>
        <v>110.242434588696</v>
      </c>
      <c r="AS672" s="65" t="n">
        <f aca="false">IF(AR672="",0,MAX(0,MIN(1,(IF(BU672="L1",Parameter!$E$5,Parameter!$E$6+Parameter!$E$7)-(AR672-AN672))/AN672)))</f>
        <v>0</v>
      </c>
      <c r="AT672" s="57" t="n">
        <f aca="false">IF(LEFT(Cockpit!$O$5,1)="A",G672,IF(BW672=1,BX672,IF(LEFT(Cockpit!$O$5,1)="B",AX672,MAX(AX672,G672))))</f>
        <v>1</v>
      </c>
      <c r="AU672" s="57" t="n">
        <f aca="false">IF(BR672=1,0,ROUNDUP(AT672/BQ672,0))</f>
        <v>0</v>
      </c>
      <c r="AV672" s="59" t="n">
        <f aca="false">IF(CD672&gt;0,CD672*MAX(1,AT672/V672),IF(BR672=1,IF(AT672&lt;=0,0,BS672*MAX(1,IF(G672&gt;0,AT672/G672,1))),IF(Q672&gt;0,AU672/Q672,0))/MAX(0.1,N(Parameter!$M$21)))</f>
        <v>0.15</v>
      </c>
      <c r="AW672" s="57" t="n">
        <f aca="false">AT672*F672</f>
        <v>5409.17</v>
      </c>
      <c r="AX672" s="57" t="n">
        <f aca="false">ROUNDUP(MAX(I672/IF(BV672&gt;0,BV672,MAX(0.1,N(Cockpit!$O$6))),BY672)/BQ672,0)*BQ672</f>
        <v>1</v>
      </c>
      <c r="AY672" s="58" t="n">
        <f aca="false">IF(AV672&gt;0,I672/AV672,-1)</f>
        <v>6.66666666666667</v>
      </c>
      <c r="AZ672" s="58" t="n">
        <f aca="false">IF(AND(OR(BU672="L1",BU672="L23"),AV672&gt;0),SUMIFS($AV$7:$AV$1576,$BU$7:$BU$1576,BU672,$AY$7:$AY$1576,"&gt;"&amp;AY672)+SUMIFS($AV$7:$AV$1576,$BU$7:$BU$1576,BU672,$AY$7:$AY$1576,AY672,$BO$7:$BO$1576,"&lt;="&amp;BO672),"")</f>
        <v>100.301985038246</v>
      </c>
      <c r="BA672" s="65" t="n">
        <f aca="false">IF(AZ672="",0,MAX(0,MIN(1,(IF(BU672="L1",Parameter!$E$5,Parameter!$E$6+Parameter!$E$7)-(AZ672-AV672))/AV672)))</f>
        <v>0</v>
      </c>
      <c r="BB672" s="55" t="str">
        <f aca="false">IF(AF672&lt;=0,"",IF(BU672="Aussen","Aussenlager",IF(BU672="-","Nicht im Lift",IF(AK672&gt;=1,"Lift",IF(AK672&lt;=0,"Aussenlager","teilweise")))))</f>
        <v/>
      </c>
      <c r="BC672" s="55" t="str">
        <f aca="false">IF(AN672&lt;=0,"",IF(BU672="Aussen","Aussenlager",IF(BU672="-","Nicht im Lift",IF(AS672&gt;=1,"Lift",IF(AS672&lt;=0,"Aussenlager","teilweise")))))</f>
        <v>Aussenlager</v>
      </c>
      <c r="BD672" s="55" t="str">
        <f aca="false">IF(AV672&lt;=0,"",IF(BU672="Aussen","Aussenlager",IF(BU672="-","Nicht im Lift",IF(BA672&gt;=1,"Lift",IF(BA672&lt;=0,"Aussenlager","teilweise")))))</f>
        <v>Aussenlager</v>
      </c>
      <c r="BE672" s="55" t="str">
        <f aca="false">IF(A672="","",IF(BN672=1,"Neu; ","")&amp;IF(AND(BN672=0,BI672&lt;0),"negativer Bestand (Export "&amp;BI672&amp;"); ","")&amp;IF(I672&lt;=0,"Kein Verbrauch; ","")&amp;IF(CD672&gt;0,"Lift "&amp;U672&amp;" lt. Liftbericht (Fach "&amp;V672&amp;" Stk); ",IF(BR672=1,"Lose – Fläche geschätzt; ",""))&amp;IF(G672&gt;AP672,"Überbestand "&amp;ROUND(G672-AP672,0)&amp;" Stk / CHF "&amp;ROUND((G672-AP672)*F672,0)&amp;"; ","")&amp;IF(AND(BW672=1,BX672&lt;BY672),"MAX &lt; MB+LG; ","")&amp;IF(AND(CC672&gt;0,CB672*10&gt;CC672),"zu hoch für Tablar; ","")&amp;IF(AND(BN672=0,OR(BW672=1,Y672&lt;&gt;"",S672&lt;&gt;"",T672&lt;&gt;"",Z672&lt;&gt;"")),"manuell übersteuert; ","")&amp;IF(AND(BR672=0,Q672=0),"Gebinde unbekannt / Stellmass fehlt; ","")&amp;IF(AND(BR672=0,N(T672)&lt;=0,N(P672)&lt;=0),"Menge pro Gebinde fehlt (Ist = 1 Gebinde); ","")&amp;BM672)</f>
        <v>Lose – Fläche geschätzt; </v>
      </c>
      <c r="BF672" s="55"/>
      <c r="BG672" s="55"/>
      <c r="BH672" s="62"/>
      <c r="BI672" s="57" t="n">
        <v>0</v>
      </c>
      <c r="BJ672" s="57" t="n">
        <v>0</v>
      </c>
      <c r="BK672" s="56" t="n">
        <v>0</v>
      </c>
      <c r="BL672" s="57" t="n">
        <v>1</v>
      </c>
      <c r="BM672" s="55"/>
      <c r="BN672" s="60" t="n">
        <v>0</v>
      </c>
      <c r="BO672" s="60" t="n">
        <v>672</v>
      </c>
      <c r="BP672" s="55" t="str">
        <f aca="false">IF(S672&lt;&gt;"",UPPER(TRIM(S672)),IF(O672="","LOSE",O672))</f>
        <v>LOSE</v>
      </c>
      <c r="BQ672" s="57" t="n">
        <f aca="false">IF(BP672="LOSE",1,IF(N(T672)&gt;0,T672,IF(N(P672)&gt;0,P672,MAX(1,G672))))</f>
        <v>1</v>
      </c>
      <c r="BR672" s="60" t="n">
        <f aca="false">IF(BP672="LOSE",1,0)</f>
        <v>1</v>
      </c>
      <c r="BS672" s="59" t="n">
        <f aca="false">IF(BR672=0,0,IF(N(R672)&gt;0,R672,IFERROR(VLOOKUP(D672,Parameter!$A$35:$C$64,3,0)+0,0)))</f>
        <v>0.15</v>
      </c>
      <c r="BT672" s="55" t="n">
        <f aca="false">IF(Y672&lt;&gt;"",Y672,X672)</f>
        <v>2</v>
      </c>
      <c r="BU672" s="55" t="str">
        <f aca="false">IF(BT672=1,"L1",IF(OR(BT672=2,BT672=3),"L23",IF(BT672="Aussen","Aussen","-")))</f>
        <v>L23</v>
      </c>
      <c r="BV672" s="66" t="n">
        <f aca="false">IF(N(Z672)&gt;0,Z672,0)</f>
        <v>0</v>
      </c>
      <c r="BW672" s="60" t="n">
        <f aca="false">IF(ISNUMBER(AC672),1,0)</f>
        <v>0</v>
      </c>
      <c r="BX672" s="57" t="n">
        <f aca="false">N(AC672)</f>
        <v>0</v>
      </c>
      <c r="BY672" s="57" t="n">
        <f aca="false">N(L672)+N(M672)</f>
        <v>1</v>
      </c>
      <c r="BZ672" s="57" t="n">
        <f aca="false">ROUNDUP(G672/BQ672,0)</f>
        <v>0</v>
      </c>
      <c r="CA672" s="57" t="n">
        <f aca="false">ROUNDUP(BX672/BQ672,0)</f>
        <v>0</v>
      </c>
      <c r="CB672" s="60" t="n">
        <f aca="false">IF(BR672=1,0,IFERROR(VLOOKUP(BP672,'Gebinde-Kategorie'!$A$5:$M$45,5,0)+0,0))</f>
        <v>0</v>
      </c>
      <c r="CC672" s="60" t="n">
        <f aca="false">IFERROR(IF(OR(BT672=1,BT672=2,BT672=3),N(INDEX(Parameter!$I$5:$I$7,BT672)),0),0)</f>
        <v>0</v>
      </c>
      <c r="CD672" s="59" t="n">
        <f aca="false">IF(AND(Parameter!$B$21="Ja",ISNUMBER(U672),N(V672)&gt;0),IFERROR(N(INDEX(Parameter!$L$5:$L$7,U672))*INDEX(Parameter!$E$5:$E$7,U672)*V672/SUMIFS($V$7:$V$1576,$U$7:$U$1576,U672),0),0)</f>
        <v>0</v>
      </c>
    </row>
    <row r="673" customFormat="false" ht="15" hidden="false" customHeight="false" outlineLevel="0" collapsed="false">
      <c r="A673" s="55" t="s">
        <v>1340</v>
      </c>
      <c r="B673" s="55" t="s">
        <v>1341</v>
      </c>
      <c r="C673" s="55" t="s">
        <v>160</v>
      </c>
      <c r="D673" s="55" t="s">
        <v>984</v>
      </c>
      <c r="E673" s="55" t="s">
        <v>210</v>
      </c>
      <c r="F673" s="56" t="n">
        <v>0</v>
      </c>
      <c r="G673" s="57" t="n">
        <f aca="false">MAX(0,IF(AND(Parameter!$B$21="Ja",ISNUMBER(W673)),W673,IF(Parameter!$B$20="Jahresanfang 2025 + Export",BJ673+BI673,BI673)))</f>
        <v>0</v>
      </c>
      <c r="H673" s="57" t="n">
        <f aca="false">G673*F673</f>
        <v>0</v>
      </c>
      <c r="I673" s="57" t="n">
        <f aca="false">BL673*Parameter!$B$18</f>
        <v>0</v>
      </c>
      <c r="J673" s="58" t="n">
        <v>0.5</v>
      </c>
      <c r="K673" s="59" t="n">
        <v>0</v>
      </c>
      <c r="L673" s="57" t="n">
        <v>0</v>
      </c>
      <c r="M673" s="57" t="n">
        <v>1</v>
      </c>
      <c r="N673" s="60" t="n">
        <v>28</v>
      </c>
      <c r="O673" s="55" t="s">
        <v>163</v>
      </c>
      <c r="P673" s="57"/>
      <c r="Q673" s="60" t="n">
        <f aca="false">IF(BR673=1,0,IFERROR(VLOOKUP(BP673,'Gebinde-Kategorie'!$A$5:$M$45,13,0)+0,0))</f>
        <v>0</v>
      </c>
      <c r="R673" s="61"/>
      <c r="S673" s="62"/>
      <c r="T673" s="62"/>
      <c r="U673" s="55"/>
      <c r="V673" s="57"/>
      <c r="W673" s="57"/>
      <c r="X673" s="55" t="str">
        <f aca="false">IF(A673="","",IF(AND(Parameter!$B$21="Ja",ISNUMBER(U673)),U673,IF(IFERROR(VLOOKUP(D673,Parameter!$A$35:$C$64,2,0),"Nein")="2+3",IF(ISNUMBER(SEARCH("grosser Artikel",BM673)),2,IFERROR(VLOOKUP(BP673,Parameter!$F$35:$G$64,2,0),2)),IF(OR(IFERROR(VLOOKUP(D673,Parameter!$A$35:$C$64,2,0),"Nein")="Nein",IFERROR(VLOOKUP(D673,Parameter!$A$35:$C$64,2,0),"Nein")=""),"-",VLOOKUP(D673,Parameter!$A$35:$C$64,2,0)))))</f>
        <v>-</v>
      </c>
      <c r="Y673" s="62"/>
      <c r="Z673" s="63"/>
      <c r="AA673" s="57" t="n">
        <f aca="false">AP673</f>
        <v>1</v>
      </c>
      <c r="AB673" s="57" t="n">
        <f aca="false">MAX(AP673,G673)</f>
        <v>1</v>
      </c>
      <c r="AC673" s="64"/>
      <c r="AD673" s="57" t="n">
        <f aca="false">IF(LEFT(Cockpit!$C$5,1)="A",G673,IF(BW673=1,BX673,IF(LEFT(Cockpit!$C$5,1)="B",AH673,MAX(AH673,G673))))</f>
        <v>0</v>
      </c>
      <c r="AE673" s="57" t="n">
        <f aca="false">IF(BR673=1,0,ROUNDUP(AD673/BQ673,0))</f>
        <v>0</v>
      </c>
      <c r="AF673" s="59" t="n">
        <f aca="false">IF(CD673&gt;0,CD673*MAX(1,AD673/V673),IF(BR673=1,IF(AD673&lt;=0,0,BS673*MAX(1,IF(G673&gt;0,AD673/G673,1))),IF(Q673&gt;0,AE673/Q673,0))/MAX(0.1,N(Parameter!$M$21)))</f>
        <v>0</v>
      </c>
      <c r="AG673" s="57" t="n">
        <f aca="false">AD673*F673</f>
        <v>0</v>
      </c>
      <c r="AH673" s="57" t="n">
        <f aca="false">ROUNDUP(MAX(I673/IF(BV673&gt;0,BV673,MAX(0.1,N(Cockpit!$C$6))),BY673)/BQ673,0)*BQ673</f>
        <v>1</v>
      </c>
      <c r="AI673" s="58" t="n">
        <f aca="false">IF(AF673&gt;0,I673/AF673,-1)</f>
        <v>-1</v>
      </c>
      <c r="AJ673" s="58" t="str">
        <f aca="false">IF(AND(OR(BU673="L1",BU673="L23"),AF673&gt;0),SUMIFS($AF$7:$AF$1576,$BU$7:$BU$1576,BU673,$AI$7:$AI$1576,"&gt;"&amp;AI673)+SUMIFS($AF$7:$AF$1576,$BU$7:$BU$1576,BU673,$AI$7:$AI$1576,AI673,$BO$7:$BO$1576,"&lt;="&amp;BO673),"")</f>
        <v/>
      </c>
      <c r="AK673" s="65" t="n">
        <f aca="false">IF(AJ673="",0,MAX(0,MIN(1,(IF(BU673="L1",Parameter!$E$5,Parameter!$E$6+Parameter!$E$7)-(AJ673-AF673))/AF673)))</f>
        <v>0</v>
      </c>
      <c r="AL673" s="57" t="n">
        <f aca="false">IF(LEFT(Cockpit!$I$5,1)="A",G673,IF(BW673=1,BX673,IF(LEFT(Cockpit!$I$5,1)="B",AP673,MAX(AP673,G673))))</f>
        <v>1</v>
      </c>
      <c r="AM673" s="57" t="n">
        <f aca="false">IF(BR673=1,0,ROUNDUP(AL673/BQ673,0))</f>
        <v>0</v>
      </c>
      <c r="AN673" s="59" t="n">
        <f aca="false">IF(CD673&gt;0,CD673*MAX(1,AL673/V673),IF(BR673=1,IF(AL673&lt;=0,0,BS673*MAX(1,IF(G673&gt;0,AL673/G673,1))),IF(Q673&gt;0,AM673/Q673,0))/MAX(0.1,N(Parameter!$M$21)))</f>
        <v>0.15</v>
      </c>
      <c r="AO673" s="57" t="n">
        <f aca="false">AL673*F673</f>
        <v>0</v>
      </c>
      <c r="AP673" s="57" t="n">
        <f aca="false">ROUNDUP(MAX(I673/IF(BV673&gt;0,BV673,MAX(0.1,N(Cockpit!$I$6))),BY673)/BQ673,0)*BQ673</f>
        <v>1</v>
      </c>
      <c r="AQ673" s="58" t="n">
        <f aca="false">IF(AN673&gt;0,I673/AN673,-1)</f>
        <v>0</v>
      </c>
      <c r="AR673" s="58" t="str">
        <f aca="false">IF(AND(OR(BU673="L1",BU673="L23"),AN673&gt;0),SUMIFS($AN$7:$AN$1576,$BU$7:$BU$1576,BU673,$AQ$7:$AQ$1576,"&gt;"&amp;AQ673)+SUMIFS($AN$7:$AN$1576,$BU$7:$BU$1576,BU673,$AQ$7:$AQ$1576,AQ673,$BO$7:$BO$1576,"&lt;="&amp;BO673),"")</f>
        <v/>
      </c>
      <c r="AS673" s="65" t="n">
        <f aca="false">IF(AR673="",0,MAX(0,MIN(1,(IF(BU673="L1",Parameter!$E$5,Parameter!$E$6+Parameter!$E$7)-(AR673-AN673))/AN673)))</f>
        <v>0</v>
      </c>
      <c r="AT673" s="57" t="n">
        <f aca="false">IF(LEFT(Cockpit!$O$5,1)="A",G673,IF(BW673=1,BX673,IF(LEFT(Cockpit!$O$5,1)="B",AX673,MAX(AX673,G673))))</f>
        <v>1</v>
      </c>
      <c r="AU673" s="57" t="n">
        <f aca="false">IF(BR673=1,0,ROUNDUP(AT673/BQ673,0))</f>
        <v>0</v>
      </c>
      <c r="AV673" s="59" t="n">
        <f aca="false">IF(CD673&gt;0,CD673*MAX(1,AT673/V673),IF(BR673=1,IF(AT673&lt;=0,0,BS673*MAX(1,IF(G673&gt;0,AT673/G673,1))),IF(Q673&gt;0,AU673/Q673,0))/MAX(0.1,N(Parameter!$M$21)))</f>
        <v>0.15</v>
      </c>
      <c r="AW673" s="57" t="n">
        <f aca="false">AT673*F673</f>
        <v>0</v>
      </c>
      <c r="AX673" s="57" t="n">
        <f aca="false">ROUNDUP(MAX(I673/IF(BV673&gt;0,BV673,MAX(0.1,N(Cockpit!$O$6))),BY673)/BQ673,0)*BQ673</f>
        <v>1</v>
      </c>
      <c r="AY673" s="58" t="n">
        <f aca="false">IF(AV673&gt;0,I673/AV673,-1)</f>
        <v>0</v>
      </c>
      <c r="AZ673" s="58" t="str">
        <f aca="false">IF(AND(OR(BU673="L1",BU673="L23"),AV673&gt;0),SUMIFS($AV$7:$AV$1576,$BU$7:$BU$1576,BU673,$AY$7:$AY$1576,"&gt;"&amp;AY673)+SUMIFS($AV$7:$AV$1576,$BU$7:$BU$1576,BU673,$AY$7:$AY$1576,AY673,$BO$7:$BO$1576,"&lt;="&amp;BO673),"")</f>
        <v/>
      </c>
      <c r="BA673" s="65" t="n">
        <f aca="false">IF(AZ673="",0,MAX(0,MIN(1,(IF(BU673="L1",Parameter!$E$5,Parameter!$E$6+Parameter!$E$7)-(AZ673-AV673))/AV673)))</f>
        <v>0</v>
      </c>
      <c r="BB673" s="55" t="str">
        <f aca="false">IF(AF673&lt;=0,"",IF(BU673="Aussen","Aussenlager",IF(BU673="-","Nicht im Lift",IF(AK673&gt;=1,"Lift",IF(AK673&lt;=0,"Aussenlager","teilweise")))))</f>
        <v/>
      </c>
      <c r="BC673" s="55" t="str">
        <f aca="false">IF(AN673&lt;=0,"",IF(BU673="Aussen","Aussenlager",IF(BU673="-","Nicht im Lift",IF(AS673&gt;=1,"Lift",IF(AS673&lt;=0,"Aussenlager","teilweise")))))</f>
        <v>Nicht im Lift</v>
      </c>
      <c r="BD673" s="55" t="str">
        <f aca="false">IF(AV673&lt;=0,"",IF(BU673="Aussen","Aussenlager",IF(BU673="-","Nicht im Lift",IF(BA673&gt;=1,"Lift",IF(BA673&lt;=0,"Aussenlager","teilweise")))))</f>
        <v>Nicht im Lift</v>
      </c>
      <c r="BE673" s="55" t="str">
        <f aca="false">IF(A673="","",IF(BN673=1,"Neu; ","")&amp;IF(AND(BN673=0,BI673&lt;0),"negativer Bestand (Export "&amp;BI673&amp;"); ","")&amp;IF(I673&lt;=0,"Kein Verbrauch; ","")&amp;IF(CD673&gt;0,"Lift "&amp;U673&amp;" lt. Liftbericht (Fach "&amp;V673&amp;" Stk); ",IF(BR673=1,"Lose – Fläche geschätzt; ",""))&amp;IF(G673&gt;AP673,"Überbestand "&amp;ROUND(G673-AP673,0)&amp;" Stk / CHF "&amp;ROUND((G673-AP673)*F673,0)&amp;"; ","")&amp;IF(AND(BW673=1,BX673&lt;BY673),"MAX &lt; MB+LG; ","")&amp;IF(AND(CC673&gt;0,CB673*10&gt;CC673),"zu hoch für Tablar; ","")&amp;IF(AND(BN673=0,OR(BW673=1,Y673&lt;&gt;"",S673&lt;&gt;"",T673&lt;&gt;"",Z673&lt;&gt;"")),"manuell übersteuert; ","")&amp;IF(AND(BR673=0,Q673=0),"Gebinde unbekannt / Stellmass fehlt; ","")&amp;IF(AND(BR673=0,N(T673)&lt;=0,N(P673)&lt;=0),"Menge pro Gebinde fehlt (Ist = 1 Gebinde); ","")&amp;BM673)</f>
        <v>Kein Verbrauch; Lose – Fläche geschätzt; </v>
      </c>
      <c r="BF673" s="55"/>
      <c r="BG673" s="55"/>
      <c r="BH673" s="62"/>
      <c r="BI673" s="57" t="n">
        <v>0</v>
      </c>
      <c r="BJ673" s="57" t="n">
        <v>0</v>
      </c>
      <c r="BK673" s="56" t="n">
        <v>0</v>
      </c>
      <c r="BL673" s="57" t="n">
        <v>0</v>
      </c>
      <c r="BM673" s="55"/>
      <c r="BN673" s="60" t="n">
        <v>0</v>
      </c>
      <c r="BO673" s="60" t="n">
        <v>673</v>
      </c>
      <c r="BP673" s="55" t="str">
        <f aca="false">IF(S673&lt;&gt;"",UPPER(TRIM(S673)),IF(O673="","LOSE",O673))</f>
        <v>LOSE</v>
      </c>
      <c r="BQ673" s="57" t="n">
        <f aca="false">IF(BP673="LOSE",1,IF(N(T673)&gt;0,T673,IF(N(P673)&gt;0,P673,MAX(1,G673))))</f>
        <v>1</v>
      </c>
      <c r="BR673" s="60" t="n">
        <f aca="false">IF(BP673="LOSE",1,0)</f>
        <v>1</v>
      </c>
      <c r="BS673" s="59" t="n">
        <f aca="false">IF(BR673=0,0,IF(N(R673)&gt;0,R673,IFERROR(VLOOKUP(D673,Parameter!$A$35:$C$64,3,0)+0,0)))</f>
        <v>0.15</v>
      </c>
      <c r="BT673" s="55" t="str">
        <f aca="false">IF(Y673&lt;&gt;"",Y673,X673)</f>
        <v>-</v>
      </c>
      <c r="BU673" s="55" t="str">
        <f aca="false">IF(BT673=1,"L1",IF(OR(BT673=2,BT673=3),"L23",IF(BT673="Aussen","Aussen","-")))</f>
        <v>-</v>
      </c>
      <c r="BV673" s="66" t="n">
        <f aca="false">IF(N(Z673)&gt;0,Z673,0)</f>
        <v>0</v>
      </c>
      <c r="BW673" s="60" t="n">
        <f aca="false">IF(ISNUMBER(AC673),1,0)</f>
        <v>0</v>
      </c>
      <c r="BX673" s="57" t="n">
        <f aca="false">N(AC673)</f>
        <v>0</v>
      </c>
      <c r="BY673" s="57" t="n">
        <f aca="false">N(L673)+N(M673)</f>
        <v>1</v>
      </c>
      <c r="BZ673" s="57" t="n">
        <f aca="false">ROUNDUP(G673/BQ673,0)</f>
        <v>0</v>
      </c>
      <c r="CA673" s="57" t="n">
        <f aca="false">ROUNDUP(BX673/BQ673,0)</f>
        <v>0</v>
      </c>
      <c r="CB673" s="60" t="n">
        <f aca="false">IF(BR673=1,0,IFERROR(VLOOKUP(BP673,'Gebinde-Kategorie'!$A$5:$M$45,5,0)+0,0))</f>
        <v>0</v>
      </c>
      <c r="CC673" s="60" t="n">
        <f aca="false">IFERROR(IF(OR(BT673=1,BT673=2,BT673=3),N(INDEX(Parameter!$I$5:$I$7,BT673)),0),0)</f>
        <v>0</v>
      </c>
      <c r="CD673" s="59" t="n">
        <f aca="false">IF(AND(Parameter!$B$21="Ja",ISNUMBER(U673),N(V673)&gt;0),IFERROR(N(INDEX(Parameter!$L$5:$L$7,U673))*INDEX(Parameter!$E$5:$E$7,U673)*V673/SUMIFS($V$7:$V$1576,$U$7:$U$1576,U673),0),0)</f>
        <v>0</v>
      </c>
    </row>
    <row r="674" customFormat="false" ht="15" hidden="false" customHeight="false" outlineLevel="0" collapsed="false">
      <c r="A674" s="55" t="s">
        <v>1342</v>
      </c>
      <c r="B674" s="55" t="s">
        <v>987</v>
      </c>
      <c r="C674" s="55" t="s">
        <v>160</v>
      </c>
      <c r="D674" s="55" t="s">
        <v>984</v>
      </c>
      <c r="E674" s="55" t="s">
        <v>210</v>
      </c>
      <c r="F674" s="56" t="n">
        <v>177.69</v>
      </c>
      <c r="G674" s="57" t="n">
        <f aca="false">MAX(0,IF(AND(Parameter!$B$21="Ja",ISNUMBER(W674)),W674,IF(Parameter!$B$20="Jahresanfang 2025 + Export",BJ674+BI674,BI674)))</f>
        <v>0</v>
      </c>
      <c r="H674" s="57" t="n">
        <f aca="false">G674*F674</f>
        <v>0</v>
      </c>
      <c r="I674" s="57" t="n">
        <f aca="false">BL674*Parameter!$B$18</f>
        <v>4</v>
      </c>
      <c r="J674" s="58" t="n">
        <v>0</v>
      </c>
      <c r="K674" s="59" t="n">
        <v>0</v>
      </c>
      <c r="L674" s="57" t="n">
        <v>0</v>
      </c>
      <c r="M674" s="57" t="n">
        <v>1</v>
      </c>
      <c r="N674" s="60" t="n">
        <v>105</v>
      </c>
      <c r="O674" s="55" t="s">
        <v>163</v>
      </c>
      <c r="P674" s="57"/>
      <c r="Q674" s="60" t="n">
        <f aca="false">IF(BR674=1,0,IFERROR(VLOOKUP(BP674,'Gebinde-Kategorie'!$A$5:$M$45,13,0)+0,0))</f>
        <v>0</v>
      </c>
      <c r="R674" s="61"/>
      <c r="S674" s="62"/>
      <c r="T674" s="62"/>
      <c r="U674" s="55"/>
      <c r="V674" s="57"/>
      <c r="W674" s="57"/>
      <c r="X674" s="55" t="str">
        <f aca="false">IF(A674="","",IF(AND(Parameter!$B$21="Ja",ISNUMBER(U674)),U674,IF(IFERROR(VLOOKUP(D674,Parameter!$A$35:$C$64,2,0),"Nein")="2+3",IF(ISNUMBER(SEARCH("grosser Artikel",BM674)),2,IFERROR(VLOOKUP(BP674,Parameter!$F$35:$G$64,2,0),2)),IF(OR(IFERROR(VLOOKUP(D674,Parameter!$A$35:$C$64,2,0),"Nein")="Nein",IFERROR(VLOOKUP(D674,Parameter!$A$35:$C$64,2,0),"Nein")=""),"-",VLOOKUP(D674,Parameter!$A$35:$C$64,2,0)))))</f>
        <v>-</v>
      </c>
      <c r="Y674" s="62"/>
      <c r="Z674" s="63"/>
      <c r="AA674" s="57" t="n">
        <f aca="false">AP674</f>
        <v>2</v>
      </c>
      <c r="AB674" s="57" t="n">
        <f aca="false">MAX(AP674,G674)</f>
        <v>2</v>
      </c>
      <c r="AC674" s="64"/>
      <c r="AD674" s="57" t="n">
        <f aca="false">IF(LEFT(Cockpit!$C$5,1)="A",G674,IF(BW674=1,BX674,IF(LEFT(Cockpit!$C$5,1)="B",AH674,MAX(AH674,G674))))</f>
        <v>0</v>
      </c>
      <c r="AE674" s="57" t="n">
        <f aca="false">IF(BR674=1,0,ROUNDUP(AD674/BQ674,0))</f>
        <v>0</v>
      </c>
      <c r="AF674" s="59" t="n">
        <f aca="false">IF(CD674&gt;0,CD674*MAX(1,AD674/V674),IF(BR674=1,IF(AD674&lt;=0,0,BS674*MAX(1,IF(G674&gt;0,AD674/G674,1))),IF(Q674&gt;0,AE674/Q674,0))/MAX(0.1,N(Parameter!$M$21)))</f>
        <v>0</v>
      </c>
      <c r="AG674" s="57" t="n">
        <f aca="false">AD674*F674</f>
        <v>0</v>
      </c>
      <c r="AH674" s="57" t="n">
        <f aca="false">ROUNDUP(MAX(I674/IF(BV674&gt;0,BV674,MAX(0.1,N(Cockpit!$C$6))),BY674)/BQ674,0)*BQ674</f>
        <v>2</v>
      </c>
      <c r="AI674" s="58" t="n">
        <f aca="false">IF(AF674&gt;0,I674/AF674,-1)</f>
        <v>-1</v>
      </c>
      <c r="AJ674" s="58" t="str">
        <f aca="false">IF(AND(OR(BU674="L1",BU674="L23"),AF674&gt;0),SUMIFS($AF$7:$AF$1576,$BU$7:$BU$1576,BU674,$AI$7:$AI$1576,"&gt;"&amp;AI674)+SUMIFS($AF$7:$AF$1576,$BU$7:$BU$1576,BU674,$AI$7:$AI$1576,AI674,$BO$7:$BO$1576,"&lt;="&amp;BO674),"")</f>
        <v/>
      </c>
      <c r="AK674" s="65" t="n">
        <f aca="false">IF(AJ674="",0,MAX(0,MIN(1,(IF(BU674="L1",Parameter!$E$5,Parameter!$E$6+Parameter!$E$7)-(AJ674-AF674))/AF674)))</f>
        <v>0</v>
      </c>
      <c r="AL674" s="57" t="n">
        <f aca="false">IF(LEFT(Cockpit!$I$5,1)="A",G674,IF(BW674=1,BX674,IF(LEFT(Cockpit!$I$5,1)="B",AP674,MAX(AP674,G674))))</f>
        <v>2</v>
      </c>
      <c r="AM674" s="57" t="n">
        <f aca="false">IF(BR674=1,0,ROUNDUP(AL674/BQ674,0))</f>
        <v>0</v>
      </c>
      <c r="AN674" s="59" t="n">
        <f aca="false">IF(CD674&gt;0,CD674*MAX(1,AL674/V674),IF(BR674=1,IF(AL674&lt;=0,0,BS674*MAX(1,IF(G674&gt;0,AL674/G674,1))),IF(Q674&gt;0,AM674/Q674,0))/MAX(0.1,N(Parameter!$M$21)))</f>
        <v>0.15</v>
      </c>
      <c r="AO674" s="57" t="n">
        <f aca="false">AL674*F674</f>
        <v>355.38</v>
      </c>
      <c r="AP674" s="57" t="n">
        <f aca="false">ROUNDUP(MAX(I674/IF(BV674&gt;0,BV674,MAX(0.1,N(Cockpit!$I$6))),BY674)/BQ674,0)*BQ674</f>
        <v>2</v>
      </c>
      <c r="AQ674" s="58" t="n">
        <f aca="false">IF(AN674&gt;0,I674/AN674,-1)</f>
        <v>26.6666666666667</v>
      </c>
      <c r="AR674" s="58" t="str">
        <f aca="false">IF(AND(OR(BU674="L1",BU674="L23"),AN674&gt;0),SUMIFS($AN$7:$AN$1576,$BU$7:$BU$1576,BU674,$AQ$7:$AQ$1576,"&gt;"&amp;AQ674)+SUMIFS($AN$7:$AN$1576,$BU$7:$BU$1576,BU674,$AQ$7:$AQ$1576,AQ674,$BO$7:$BO$1576,"&lt;="&amp;BO674),"")</f>
        <v/>
      </c>
      <c r="AS674" s="65" t="n">
        <f aca="false">IF(AR674="",0,MAX(0,MIN(1,(IF(BU674="L1",Parameter!$E$5,Parameter!$E$6+Parameter!$E$7)-(AR674-AN674))/AN674)))</f>
        <v>0</v>
      </c>
      <c r="AT674" s="57" t="n">
        <f aca="false">IF(LEFT(Cockpit!$O$5,1)="A",G674,IF(BW674=1,BX674,IF(LEFT(Cockpit!$O$5,1)="B",AX674,MAX(AX674,G674))))</f>
        <v>2</v>
      </c>
      <c r="AU674" s="57" t="n">
        <f aca="false">IF(BR674=1,0,ROUNDUP(AT674/BQ674,0))</f>
        <v>0</v>
      </c>
      <c r="AV674" s="59" t="n">
        <f aca="false">IF(CD674&gt;0,CD674*MAX(1,AT674/V674),IF(BR674=1,IF(AT674&lt;=0,0,BS674*MAX(1,IF(G674&gt;0,AT674/G674,1))),IF(Q674&gt;0,AU674/Q674,0))/MAX(0.1,N(Parameter!$M$21)))</f>
        <v>0.15</v>
      </c>
      <c r="AW674" s="57" t="n">
        <f aca="false">AT674*F674</f>
        <v>355.38</v>
      </c>
      <c r="AX674" s="57" t="n">
        <f aca="false">ROUNDUP(MAX(I674/IF(BV674&gt;0,BV674,MAX(0.1,N(Cockpit!$O$6))),BY674)/BQ674,0)*BQ674</f>
        <v>2</v>
      </c>
      <c r="AY674" s="58" t="n">
        <f aca="false">IF(AV674&gt;0,I674/AV674,-1)</f>
        <v>26.6666666666667</v>
      </c>
      <c r="AZ674" s="58" t="str">
        <f aca="false">IF(AND(OR(BU674="L1",BU674="L23"),AV674&gt;0),SUMIFS($AV$7:$AV$1576,$BU$7:$BU$1576,BU674,$AY$7:$AY$1576,"&gt;"&amp;AY674)+SUMIFS($AV$7:$AV$1576,$BU$7:$BU$1576,BU674,$AY$7:$AY$1576,AY674,$BO$7:$BO$1576,"&lt;="&amp;BO674),"")</f>
        <v/>
      </c>
      <c r="BA674" s="65" t="n">
        <f aca="false">IF(AZ674="",0,MAX(0,MIN(1,(IF(BU674="L1",Parameter!$E$5,Parameter!$E$6+Parameter!$E$7)-(AZ674-AV674))/AV674)))</f>
        <v>0</v>
      </c>
      <c r="BB674" s="55" t="str">
        <f aca="false">IF(AF674&lt;=0,"",IF(BU674="Aussen","Aussenlager",IF(BU674="-","Nicht im Lift",IF(AK674&gt;=1,"Lift",IF(AK674&lt;=0,"Aussenlager","teilweise")))))</f>
        <v/>
      </c>
      <c r="BC674" s="55" t="str">
        <f aca="false">IF(AN674&lt;=0,"",IF(BU674="Aussen","Aussenlager",IF(BU674="-","Nicht im Lift",IF(AS674&gt;=1,"Lift",IF(AS674&lt;=0,"Aussenlager","teilweise")))))</f>
        <v>Nicht im Lift</v>
      </c>
      <c r="BD674" s="55" t="str">
        <f aca="false">IF(AV674&lt;=0,"",IF(BU674="Aussen","Aussenlager",IF(BU674="-","Nicht im Lift",IF(BA674&gt;=1,"Lift",IF(BA674&lt;=0,"Aussenlager","teilweise")))))</f>
        <v>Nicht im Lift</v>
      </c>
      <c r="BE674" s="55" t="str">
        <f aca="false">IF(A674="","",IF(BN674=1,"Neu; ","")&amp;IF(AND(BN674=0,BI674&lt;0),"negativer Bestand (Export "&amp;BI674&amp;"); ","")&amp;IF(I674&lt;=0,"Kein Verbrauch; ","")&amp;IF(CD674&gt;0,"Lift "&amp;U674&amp;" lt. Liftbericht (Fach "&amp;V674&amp;" Stk); ",IF(BR674=1,"Lose – Fläche geschätzt; ",""))&amp;IF(G674&gt;AP674,"Überbestand "&amp;ROUND(G674-AP674,0)&amp;" Stk / CHF "&amp;ROUND((G674-AP674)*F674,0)&amp;"; ","")&amp;IF(AND(BW674=1,BX674&lt;BY674),"MAX &lt; MB+LG; ","")&amp;IF(AND(CC674&gt;0,CB674*10&gt;CC674),"zu hoch für Tablar; ","")&amp;IF(AND(BN674=0,OR(BW674=1,Y674&lt;&gt;"",S674&lt;&gt;"",T674&lt;&gt;"",Z674&lt;&gt;"")),"manuell übersteuert; ","")&amp;IF(AND(BR674=0,Q674=0),"Gebinde unbekannt / Stellmass fehlt; ","")&amp;IF(AND(BR674=0,N(T674)&lt;=0,N(P674)&lt;=0),"Menge pro Gebinde fehlt (Ist = 1 Gebinde); ","")&amp;BM674)</f>
        <v>Lose – Fläche geschätzt; </v>
      </c>
      <c r="BF674" s="55"/>
      <c r="BG674" s="55"/>
      <c r="BH674" s="62"/>
      <c r="BI674" s="57" t="n">
        <v>0</v>
      </c>
      <c r="BJ674" s="57" t="n">
        <v>0</v>
      </c>
      <c r="BK674" s="56" t="n">
        <v>0</v>
      </c>
      <c r="BL674" s="57" t="n">
        <v>4</v>
      </c>
      <c r="BM674" s="55"/>
      <c r="BN674" s="60" t="n">
        <v>0</v>
      </c>
      <c r="BO674" s="60" t="n">
        <v>674</v>
      </c>
      <c r="BP674" s="55" t="str">
        <f aca="false">IF(S674&lt;&gt;"",UPPER(TRIM(S674)),IF(O674="","LOSE",O674))</f>
        <v>LOSE</v>
      </c>
      <c r="BQ674" s="57" t="n">
        <f aca="false">IF(BP674="LOSE",1,IF(N(T674)&gt;0,T674,IF(N(P674)&gt;0,P674,MAX(1,G674))))</f>
        <v>1</v>
      </c>
      <c r="BR674" s="60" t="n">
        <f aca="false">IF(BP674="LOSE",1,0)</f>
        <v>1</v>
      </c>
      <c r="BS674" s="59" t="n">
        <f aca="false">IF(BR674=0,0,IF(N(R674)&gt;0,R674,IFERROR(VLOOKUP(D674,Parameter!$A$35:$C$64,3,0)+0,0)))</f>
        <v>0.15</v>
      </c>
      <c r="BT674" s="55" t="str">
        <f aca="false">IF(Y674&lt;&gt;"",Y674,X674)</f>
        <v>-</v>
      </c>
      <c r="BU674" s="55" t="str">
        <f aca="false">IF(BT674=1,"L1",IF(OR(BT674=2,BT674=3),"L23",IF(BT674="Aussen","Aussen","-")))</f>
        <v>-</v>
      </c>
      <c r="BV674" s="66" t="n">
        <f aca="false">IF(N(Z674)&gt;0,Z674,0)</f>
        <v>0</v>
      </c>
      <c r="BW674" s="60" t="n">
        <f aca="false">IF(ISNUMBER(AC674),1,0)</f>
        <v>0</v>
      </c>
      <c r="BX674" s="57" t="n">
        <f aca="false">N(AC674)</f>
        <v>0</v>
      </c>
      <c r="BY674" s="57" t="n">
        <f aca="false">N(L674)+N(M674)</f>
        <v>1</v>
      </c>
      <c r="BZ674" s="57" t="n">
        <f aca="false">ROUNDUP(G674/BQ674,0)</f>
        <v>0</v>
      </c>
      <c r="CA674" s="57" t="n">
        <f aca="false">ROUNDUP(BX674/BQ674,0)</f>
        <v>0</v>
      </c>
      <c r="CB674" s="60" t="n">
        <f aca="false">IF(BR674=1,0,IFERROR(VLOOKUP(BP674,'Gebinde-Kategorie'!$A$5:$M$45,5,0)+0,0))</f>
        <v>0</v>
      </c>
      <c r="CC674" s="60" t="n">
        <f aca="false">IFERROR(IF(OR(BT674=1,BT674=2,BT674=3),N(INDEX(Parameter!$I$5:$I$7,BT674)),0),0)</f>
        <v>0</v>
      </c>
      <c r="CD674" s="59" t="n">
        <f aca="false">IF(AND(Parameter!$B$21="Ja",ISNUMBER(U674),N(V674)&gt;0),IFERROR(N(INDEX(Parameter!$L$5:$L$7,U674))*INDEX(Parameter!$E$5:$E$7,U674)*V674/SUMIFS($V$7:$V$1576,$U$7:$U$1576,U674),0),0)</f>
        <v>0</v>
      </c>
    </row>
    <row r="675" customFormat="false" ht="15" hidden="false" customHeight="false" outlineLevel="0" collapsed="false">
      <c r="A675" s="55" t="s">
        <v>1343</v>
      </c>
      <c r="B675" s="55" t="s">
        <v>1344</v>
      </c>
      <c r="C675" s="55" t="s">
        <v>160</v>
      </c>
      <c r="D675" s="55" t="s">
        <v>168</v>
      </c>
      <c r="E675" s="55" t="s">
        <v>210</v>
      </c>
      <c r="F675" s="56" t="n">
        <v>245</v>
      </c>
      <c r="G675" s="57" t="n">
        <f aca="false">MAX(0,IF(AND(Parameter!$B$21="Ja",ISNUMBER(W675)),W675,IF(Parameter!$B$20="Jahresanfang 2025 + Export",BJ675+BI675,BI675)))</f>
        <v>0</v>
      </c>
      <c r="H675" s="57" t="n">
        <f aca="false">G675*F675</f>
        <v>0</v>
      </c>
      <c r="I675" s="57" t="n">
        <f aca="false">BL675*Parameter!$B$18</f>
        <v>0</v>
      </c>
      <c r="J675" s="58" t="n">
        <v>0</v>
      </c>
      <c r="K675" s="59" t="n">
        <v>0</v>
      </c>
      <c r="L675" s="57" t="n">
        <v>0</v>
      </c>
      <c r="M675" s="57" t="n">
        <v>1</v>
      </c>
      <c r="N675" s="60" t="n">
        <v>999</v>
      </c>
      <c r="O675" s="55" t="s">
        <v>169</v>
      </c>
      <c r="P675" s="57"/>
      <c r="Q675" s="60" t="n">
        <f aca="false">IF(BR675=1,0,IFERROR(VLOOKUP(BP675,'Gebinde-Kategorie'!$A$5:$M$45,13,0)+0,0))</f>
        <v>6</v>
      </c>
      <c r="R675" s="61"/>
      <c r="S675" s="62"/>
      <c r="T675" s="62"/>
      <c r="U675" s="55"/>
      <c r="V675" s="57"/>
      <c r="W675" s="57"/>
      <c r="X675" s="55" t="n">
        <f aca="false">IF(A675="","",IF(AND(Parameter!$B$21="Ja",ISNUMBER(U675)),U675,IF(IFERROR(VLOOKUP(D675,Parameter!$A$35:$C$64,2,0),"Nein")="2+3",IF(ISNUMBER(SEARCH("grosser Artikel",BM675)),2,IFERROR(VLOOKUP(BP675,Parameter!$F$35:$G$64,2,0),2)),IF(OR(IFERROR(VLOOKUP(D675,Parameter!$A$35:$C$64,2,0),"Nein")="Nein",IFERROR(VLOOKUP(D675,Parameter!$A$35:$C$64,2,0),"Nein")=""),"-",VLOOKUP(D675,Parameter!$A$35:$C$64,2,0)))))</f>
        <v>2</v>
      </c>
      <c r="Y675" s="62"/>
      <c r="Z675" s="63"/>
      <c r="AA675" s="57" t="n">
        <f aca="false">AP675</f>
        <v>1</v>
      </c>
      <c r="AB675" s="57" t="n">
        <f aca="false">MAX(AP675,G675)</f>
        <v>1</v>
      </c>
      <c r="AC675" s="64"/>
      <c r="AD675" s="57" t="n">
        <f aca="false">IF(LEFT(Cockpit!$C$5,1)="A",G675,IF(BW675=1,BX675,IF(LEFT(Cockpit!$C$5,1)="B",AH675,MAX(AH675,G675))))</f>
        <v>0</v>
      </c>
      <c r="AE675" s="57" t="n">
        <f aca="false">IF(BR675=1,0,ROUNDUP(AD675/BQ675,0))</f>
        <v>0</v>
      </c>
      <c r="AF675" s="59" t="n">
        <f aca="false">IF(CD675&gt;0,CD675*MAX(1,AD675/V675),IF(BR675=1,IF(AD675&lt;=0,0,BS675*MAX(1,IF(G675&gt;0,AD675/G675,1))),IF(Q675&gt;0,AE675/Q675,0))/MAX(0.1,N(Parameter!$M$21)))</f>
        <v>0</v>
      </c>
      <c r="AG675" s="57" t="n">
        <f aca="false">AD675*F675</f>
        <v>0</v>
      </c>
      <c r="AH675" s="57" t="n">
        <f aca="false">ROUNDUP(MAX(I675/IF(BV675&gt;0,BV675,MAX(0.1,N(Cockpit!$C$6))),BY675)/BQ675,0)*BQ675</f>
        <v>1</v>
      </c>
      <c r="AI675" s="58" t="n">
        <f aca="false">IF(AF675&gt;0,I675/AF675,-1)</f>
        <v>-1</v>
      </c>
      <c r="AJ675" s="58" t="str">
        <f aca="false">IF(AND(OR(BU675="L1",BU675="L23"),AF675&gt;0),SUMIFS($AF$7:$AF$1576,$BU$7:$BU$1576,BU675,$AI$7:$AI$1576,"&gt;"&amp;AI675)+SUMIFS($AF$7:$AF$1576,$BU$7:$BU$1576,BU675,$AI$7:$AI$1576,AI675,$BO$7:$BO$1576,"&lt;="&amp;BO675),"")</f>
        <v/>
      </c>
      <c r="AK675" s="65" t="n">
        <f aca="false">IF(AJ675="",0,MAX(0,MIN(1,(IF(BU675="L1",Parameter!$E$5,Parameter!$E$6+Parameter!$E$7)-(AJ675-AF675))/AF675)))</f>
        <v>0</v>
      </c>
      <c r="AL675" s="57" t="n">
        <f aca="false">IF(LEFT(Cockpit!$I$5,1)="A",G675,IF(BW675=1,BX675,IF(LEFT(Cockpit!$I$5,1)="B",AP675,MAX(AP675,G675))))</f>
        <v>1</v>
      </c>
      <c r="AM675" s="57" t="n">
        <f aca="false">IF(BR675=1,0,ROUNDUP(AL675/BQ675,0))</f>
        <v>1</v>
      </c>
      <c r="AN675" s="59" t="n">
        <f aca="false">IF(CD675&gt;0,CD675*MAX(1,AL675/V675),IF(BR675=1,IF(AL675&lt;=0,0,BS675*MAX(1,IF(G675&gt;0,AL675/G675,1))),IF(Q675&gt;0,AM675/Q675,0))/MAX(0.1,N(Parameter!$M$21)))</f>
        <v>0.166666666666667</v>
      </c>
      <c r="AO675" s="57" t="n">
        <f aca="false">AL675*F675</f>
        <v>245</v>
      </c>
      <c r="AP675" s="57" t="n">
        <f aca="false">ROUNDUP(MAX(I675/IF(BV675&gt;0,BV675,MAX(0.1,N(Cockpit!$I$6))),BY675)/BQ675,0)*BQ675</f>
        <v>1</v>
      </c>
      <c r="AQ675" s="58" t="n">
        <f aca="false">IF(AN675&gt;0,I675/AN675,-1)</f>
        <v>0</v>
      </c>
      <c r="AR675" s="58" t="n">
        <f aca="false">IF(AND(OR(BU675="L1",BU675="L23"),AN675&gt;0),SUMIFS($AN$7:$AN$1576,$BU$7:$BU$1576,BU675,$AQ$7:$AQ$1576,"&gt;"&amp;AQ675)+SUMIFS($AN$7:$AN$1576,$BU$7:$BU$1576,BU675,$AQ$7:$AQ$1576,AQ675,$BO$7:$BO$1576,"&lt;="&amp;BO675),"")</f>
        <v>128.901537858324</v>
      </c>
      <c r="AS675" s="65" t="n">
        <f aca="false">IF(AR675="",0,MAX(0,MIN(1,(IF(BU675="L1",Parameter!$E$5,Parameter!$E$6+Parameter!$E$7)-(AR675-AN675))/AN675)))</f>
        <v>0</v>
      </c>
      <c r="AT675" s="57" t="n">
        <f aca="false">IF(LEFT(Cockpit!$O$5,1)="A",G675,IF(BW675=1,BX675,IF(LEFT(Cockpit!$O$5,1)="B",AX675,MAX(AX675,G675))))</f>
        <v>1</v>
      </c>
      <c r="AU675" s="57" t="n">
        <f aca="false">IF(BR675=1,0,ROUNDUP(AT675/BQ675,0))</f>
        <v>1</v>
      </c>
      <c r="AV675" s="59" t="n">
        <f aca="false">IF(CD675&gt;0,CD675*MAX(1,AT675/V675),IF(BR675=1,IF(AT675&lt;=0,0,BS675*MAX(1,IF(G675&gt;0,AT675/G675,1))),IF(Q675&gt;0,AU675/Q675,0))/MAX(0.1,N(Parameter!$M$21)))</f>
        <v>0.166666666666667</v>
      </c>
      <c r="AW675" s="57" t="n">
        <f aca="false">AT675*F675</f>
        <v>245</v>
      </c>
      <c r="AX675" s="57" t="n">
        <f aca="false">ROUNDUP(MAX(I675/IF(BV675&gt;0,BV675,MAX(0.1,N(Cockpit!$O$6))),BY675)/BQ675,0)*BQ675</f>
        <v>1</v>
      </c>
      <c r="AY675" s="58" t="n">
        <f aca="false">IF(AV675&gt;0,I675/AV675,-1)</f>
        <v>0</v>
      </c>
      <c r="AZ675" s="58" t="n">
        <f aca="false">IF(AND(OR(BU675="L1",BU675="L23"),AV675&gt;0),SUMIFS($AV$7:$AV$1576,$BU$7:$BU$1576,BU675,$AY$7:$AY$1576,"&gt;"&amp;AY675)+SUMIFS($AV$7:$AV$1576,$BU$7:$BU$1576,BU675,$AY$7:$AY$1576,AY675,$BO$7:$BO$1576,"&lt;="&amp;BO675),"")</f>
        <v>118.961088307875</v>
      </c>
      <c r="BA675" s="65" t="n">
        <f aca="false">IF(AZ675="",0,MAX(0,MIN(1,(IF(BU675="L1",Parameter!$E$5,Parameter!$E$6+Parameter!$E$7)-(AZ675-AV675))/AV675)))</f>
        <v>0</v>
      </c>
      <c r="BB675" s="55" t="str">
        <f aca="false">IF(AF675&lt;=0,"",IF(BU675="Aussen","Aussenlager",IF(BU675="-","Nicht im Lift",IF(AK675&gt;=1,"Lift",IF(AK675&lt;=0,"Aussenlager","teilweise")))))</f>
        <v/>
      </c>
      <c r="BC675" s="55" t="str">
        <f aca="false">IF(AN675&lt;=0,"",IF(BU675="Aussen","Aussenlager",IF(BU675="-","Nicht im Lift",IF(AS675&gt;=1,"Lift",IF(AS675&lt;=0,"Aussenlager","teilweise")))))</f>
        <v>Aussenlager</v>
      </c>
      <c r="BD675" s="55" t="str">
        <f aca="false">IF(AV675&lt;=0,"",IF(BU675="Aussen","Aussenlager",IF(BU675="-","Nicht im Lift",IF(BA675&gt;=1,"Lift",IF(BA675&lt;=0,"Aussenlager","teilweise")))))</f>
        <v>Aussenlager</v>
      </c>
      <c r="BE675" s="55" t="str">
        <f aca="false">IF(A675="","",IF(BN675=1,"Neu; ","")&amp;IF(AND(BN675=0,BI675&lt;0),"negativer Bestand (Export "&amp;BI675&amp;"); ","")&amp;IF(I675&lt;=0,"Kein Verbrauch; ","")&amp;IF(CD675&gt;0,"Lift "&amp;U675&amp;" lt. Liftbericht (Fach "&amp;V675&amp;" Stk); ",IF(BR675=1,"Lose – Fläche geschätzt; ",""))&amp;IF(G675&gt;AP675,"Überbestand "&amp;ROUND(G675-AP675,0)&amp;" Stk / CHF "&amp;ROUND((G675-AP675)*F675,0)&amp;"; ","")&amp;IF(AND(BW675=1,BX675&lt;BY675),"MAX &lt; MB+LG; ","")&amp;IF(AND(CC675&gt;0,CB675*10&gt;CC675),"zu hoch für Tablar; ","")&amp;IF(AND(BN675=0,OR(BW675=1,Y675&lt;&gt;"",S675&lt;&gt;"",T675&lt;&gt;"",Z675&lt;&gt;"")),"manuell übersteuert; ","")&amp;IF(AND(BR675=0,Q675=0),"Gebinde unbekannt / Stellmass fehlt; ","")&amp;IF(AND(BR675=0,N(T675)&lt;=0,N(P675)&lt;=0),"Menge pro Gebinde fehlt (Ist = 1 Gebinde); ","")&amp;BM675)</f>
        <v>Kein Verbrauch; Menge pro Gebinde fehlt (Ist = 1 Gebinde); </v>
      </c>
      <c r="BF675" s="55"/>
      <c r="BG675" s="55"/>
      <c r="BH675" s="62"/>
      <c r="BI675" s="57" t="n">
        <v>0</v>
      </c>
      <c r="BJ675" s="57" t="n">
        <v>0</v>
      </c>
      <c r="BK675" s="56" t="n">
        <v>0</v>
      </c>
      <c r="BL675" s="57" t="n">
        <v>0</v>
      </c>
      <c r="BM675" s="55"/>
      <c r="BN675" s="60" t="n">
        <v>0</v>
      </c>
      <c r="BO675" s="60" t="n">
        <v>675</v>
      </c>
      <c r="BP675" s="55" t="str">
        <f aca="false">IF(S675&lt;&gt;"",UPPER(TRIM(S675)),IF(O675="","LOSE",O675))</f>
        <v>S71</v>
      </c>
      <c r="BQ675" s="57" t="n">
        <f aca="false">IF(BP675="LOSE",1,IF(N(T675)&gt;0,T675,IF(N(P675)&gt;0,P675,MAX(1,G675))))</f>
        <v>1</v>
      </c>
      <c r="BR675" s="60" t="n">
        <f aca="false">IF(BP675="LOSE",1,0)</f>
        <v>0</v>
      </c>
      <c r="BS675" s="59" t="n">
        <f aca="false">IF(BR675=0,0,IF(N(R675)&gt;0,R675,IFERROR(VLOOKUP(D675,Parameter!$A$35:$C$64,3,0)+0,0)))</f>
        <v>0</v>
      </c>
      <c r="BT675" s="55" t="n">
        <f aca="false">IF(Y675&lt;&gt;"",Y675,X675)</f>
        <v>2</v>
      </c>
      <c r="BU675" s="55" t="str">
        <f aca="false">IF(BT675=1,"L1",IF(OR(BT675=2,BT675=3),"L23",IF(BT675="Aussen","Aussen","-")))</f>
        <v>L23</v>
      </c>
      <c r="BV675" s="66" t="n">
        <f aca="false">IF(N(Z675)&gt;0,Z675,0)</f>
        <v>0</v>
      </c>
      <c r="BW675" s="60" t="n">
        <f aca="false">IF(ISNUMBER(AC675),1,0)</f>
        <v>0</v>
      </c>
      <c r="BX675" s="57" t="n">
        <f aca="false">N(AC675)</f>
        <v>0</v>
      </c>
      <c r="BY675" s="57" t="n">
        <f aca="false">N(L675)+N(M675)</f>
        <v>1</v>
      </c>
      <c r="BZ675" s="57" t="n">
        <f aca="false">ROUNDUP(G675/BQ675,0)</f>
        <v>0</v>
      </c>
      <c r="CA675" s="57" t="n">
        <f aca="false">ROUNDUP(BX675/BQ675,0)</f>
        <v>0</v>
      </c>
      <c r="CB675" s="60" t="n">
        <f aca="false">IF(BR675=1,0,IFERROR(VLOOKUP(BP675,'Gebinde-Kategorie'!$A$5:$M$45,5,0)+0,0))</f>
        <v>20</v>
      </c>
      <c r="CC675" s="60" t="n">
        <f aca="false">IFERROR(IF(OR(BT675=1,BT675=2,BT675=3),N(INDEX(Parameter!$I$5:$I$7,BT675)),0),0)</f>
        <v>0</v>
      </c>
      <c r="CD675" s="59" t="n">
        <f aca="false">IF(AND(Parameter!$B$21="Ja",ISNUMBER(U675),N(V675)&gt;0),IFERROR(N(INDEX(Parameter!$L$5:$L$7,U675))*INDEX(Parameter!$E$5:$E$7,U675)*V675/SUMIFS($V$7:$V$1576,$U$7:$U$1576,U675),0),0)</f>
        <v>0</v>
      </c>
    </row>
    <row r="676" customFormat="false" ht="15" hidden="false" customHeight="false" outlineLevel="0" collapsed="false">
      <c r="A676" s="55" t="s">
        <v>1345</v>
      </c>
      <c r="B676" s="55" t="s">
        <v>1346</v>
      </c>
      <c r="C676" s="55" t="s">
        <v>160</v>
      </c>
      <c r="D676" s="55" t="s">
        <v>984</v>
      </c>
      <c r="E676" s="55" t="s">
        <v>210</v>
      </c>
      <c r="F676" s="56" t="n">
        <v>3157.44</v>
      </c>
      <c r="G676" s="57" t="n">
        <f aca="false">MAX(0,IF(AND(Parameter!$B$21="Ja",ISNUMBER(W676)),W676,IF(Parameter!$B$20="Jahresanfang 2025 + Export",BJ676+BI676,BI676)))</f>
        <v>0</v>
      </c>
      <c r="H676" s="57" t="n">
        <f aca="false">G676*F676</f>
        <v>0</v>
      </c>
      <c r="I676" s="57" t="n">
        <f aca="false">BL676*Parameter!$B$18</f>
        <v>4</v>
      </c>
      <c r="J676" s="58" t="n">
        <v>0</v>
      </c>
      <c r="K676" s="59" t="n">
        <v>0</v>
      </c>
      <c r="L676" s="57" t="n">
        <v>0</v>
      </c>
      <c r="M676" s="57" t="n">
        <v>1</v>
      </c>
      <c r="N676" s="60" t="n">
        <v>90</v>
      </c>
      <c r="O676" s="55" t="s">
        <v>163</v>
      </c>
      <c r="P676" s="57"/>
      <c r="Q676" s="60" t="n">
        <f aca="false">IF(BR676=1,0,IFERROR(VLOOKUP(BP676,'Gebinde-Kategorie'!$A$5:$M$45,13,0)+0,0))</f>
        <v>0</v>
      </c>
      <c r="R676" s="61"/>
      <c r="S676" s="62"/>
      <c r="T676" s="62"/>
      <c r="U676" s="55"/>
      <c r="V676" s="57"/>
      <c r="W676" s="57"/>
      <c r="X676" s="55" t="str">
        <f aca="false">IF(A676="","",IF(AND(Parameter!$B$21="Ja",ISNUMBER(U676)),U676,IF(IFERROR(VLOOKUP(D676,Parameter!$A$35:$C$64,2,0),"Nein")="2+3",IF(ISNUMBER(SEARCH("grosser Artikel",BM676)),2,IFERROR(VLOOKUP(BP676,Parameter!$F$35:$G$64,2,0),2)),IF(OR(IFERROR(VLOOKUP(D676,Parameter!$A$35:$C$64,2,0),"Nein")="Nein",IFERROR(VLOOKUP(D676,Parameter!$A$35:$C$64,2,0),"Nein")=""),"-",VLOOKUP(D676,Parameter!$A$35:$C$64,2,0)))))</f>
        <v>-</v>
      </c>
      <c r="Y676" s="62"/>
      <c r="Z676" s="63"/>
      <c r="AA676" s="57" t="n">
        <f aca="false">AP676</f>
        <v>2</v>
      </c>
      <c r="AB676" s="57" t="n">
        <f aca="false">MAX(AP676,G676)</f>
        <v>2</v>
      </c>
      <c r="AC676" s="64"/>
      <c r="AD676" s="57" t="n">
        <f aca="false">IF(LEFT(Cockpit!$C$5,1)="A",G676,IF(BW676=1,BX676,IF(LEFT(Cockpit!$C$5,1)="B",AH676,MAX(AH676,G676))))</f>
        <v>0</v>
      </c>
      <c r="AE676" s="57" t="n">
        <f aca="false">IF(BR676=1,0,ROUNDUP(AD676/BQ676,0))</f>
        <v>0</v>
      </c>
      <c r="AF676" s="59" t="n">
        <f aca="false">IF(CD676&gt;0,CD676*MAX(1,AD676/V676),IF(BR676=1,IF(AD676&lt;=0,0,BS676*MAX(1,IF(G676&gt;0,AD676/G676,1))),IF(Q676&gt;0,AE676/Q676,0))/MAX(0.1,N(Parameter!$M$21)))</f>
        <v>0</v>
      </c>
      <c r="AG676" s="57" t="n">
        <f aca="false">AD676*F676</f>
        <v>0</v>
      </c>
      <c r="AH676" s="57" t="n">
        <f aca="false">ROUNDUP(MAX(I676/IF(BV676&gt;0,BV676,MAX(0.1,N(Cockpit!$C$6))),BY676)/BQ676,0)*BQ676</f>
        <v>2</v>
      </c>
      <c r="AI676" s="58" t="n">
        <f aca="false">IF(AF676&gt;0,I676/AF676,-1)</f>
        <v>-1</v>
      </c>
      <c r="AJ676" s="58" t="str">
        <f aca="false">IF(AND(OR(BU676="L1",BU676="L23"),AF676&gt;0),SUMIFS($AF$7:$AF$1576,$BU$7:$BU$1576,BU676,$AI$7:$AI$1576,"&gt;"&amp;AI676)+SUMIFS($AF$7:$AF$1576,$BU$7:$BU$1576,BU676,$AI$7:$AI$1576,AI676,$BO$7:$BO$1576,"&lt;="&amp;BO676),"")</f>
        <v/>
      </c>
      <c r="AK676" s="65" t="n">
        <f aca="false">IF(AJ676="",0,MAX(0,MIN(1,(IF(BU676="L1",Parameter!$E$5,Parameter!$E$6+Parameter!$E$7)-(AJ676-AF676))/AF676)))</f>
        <v>0</v>
      </c>
      <c r="AL676" s="57" t="n">
        <f aca="false">IF(LEFT(Cockpit!$I$5,1)="A",G676,IF(BW676=1,BX676,IF(LEFT(Cockpit!$I$5,1)="B",AP676,MAX(AP676,G676))))</f>
        <v>2</v>
      </c>
      <c r="AM676" s="57" t="n">
        <f aca="false">IF(BR676=1,0,ROUNDUP(AL676/BQ676,0))</f>
        <v>0</v>
      </c>
      <c r="AN676" s="59" t="n">
        <f aca="false">IF(CD676&gt;0,CD676*MAX(1,AL676/V676),IF(BR676=1,IF(AL676&lt;=0,0,BS676*MAX(1,IF(G676&gt;0,AL676/G676,1))),IF(Q676&gt;0,AM676/Q676,0))/MAX(0.1,N(Parameter!$M$21)))</f>
        <v>0.15</v>
      </c>
      <c r="AO676" s="57" t="n">
        <f aca="false">AL676*F676</f>
        <v>6314.88</v>
      </c>
      <c r="AP676" s="57" t="n">
        <f aca="false">ROUNDUP(MAX(I676/IF(BV676&gt;0,BV676,MAX(0.1,N(Cockpit!$I$6))),BY676)/BQ676,0)*BQ676</f>
        <v>2</v>
      </c>
      <c r="AQ676" s="58" t="n">
        <f aca="false">IF(AN676&gt;0,I676/AN676,-1)</f>
        <v>26.6666666666667</v>
      </c>
      <c r="AR676" s="58" t="str">
        <f aca="false">IF(AND(OR(BU676="L1",BU676="L23"),AN676&gt;0),SUMIFS($AN$7:$AN$1576,$BU$7:$BU$1576,BU676,$AQ$7:$AQ$1576,"&gt;"&amp;AQ676)+SUMIFS($AN$7:$AN$1576,$BU$7:$BU$1576,BU676,$AQ$7:$AQ$1576,AQ676,$BO$7:$BO$1576,"&lt;="&amp;BO676),"")</f>
        <v/>
      </c>
      <c r="AS676" s="65" t="n">
        <f aca="false">IF(AR676="",0,MAX(0,MIN(1,(IF(BU676="L1",Parameter!$E$5,Parameter!$E$6+Parameter!$E$7)-(AR676-AN676))/AN676)))</f>
        <v>0</v>
      </c>
      <c r="AT676" s="57" t="n">
        <f aca="false">IF(LEFT(Cockpit!$O$5,1)="A",G676,IF(BW676=1,BX676,IF(LEFT(Cockpit!$O$5,1)="B",AX676,MAX(AX676,G676))))</f>
        <v>2</v>
      </c>
      <c r="AU676" s="57" t="n">
        <f aca="false">IF(BR676=1,0,ROUNDUP(AT676/BQ676,0))</f>
        <v>0</v>
      </c>
      <c r="AV676" s="59" t="n">
        <f aca="false">IF(CD676&gt;0,CD676*MAX(1,AT676/V676),IF(BR676=1,IF(AT676&lt;=0,0,BS676*MAX(1,IF(G676&gt;0,AT676/G676,1))),IF(Q676&gt;0,AU676/Q676,0))/MAX(0.1,N(Parameter!$M$21)))</f>
        <v>0.15</v>
      </c>
      <c r="AW676" s="57" t="n">
        <f aca="false">AT676*F676</f>
        <v>6314.88</v>
      </c>
      <c r="AX676" s="57" t="n">
        <f aca="false">ROUNDUP(MAX(I676/IF(BV676&gt;0,BV676,MAX(0.1,N(Cockpit!$O$6))),BY676)/BQ676,0)*BQ676</f>
        <v>2</v>
      </c>
      <c r="AY676" s="58" t="n">
        <f aca="false">IF(AV676&gt;0,I676/AV676,-1)</f>
        <v>26.6666666666667</v>
      </c>
      <c r="AZ676" s="58" t="str">
        <f aca="false">IF(AND(OR(BU676="L1",BU676="L23"),AV676&gt;0),SUMIFS($AV$7:$AV$1576,$BU$7:$BU$1576,BU676,$AY$7:$AY$1576,"&gt;"&amp;AY676)+SUMIFS($AV$7:$AV$1576,$BU$7:$BU$1576,BU676,$AY$7:$AY$1576,AY676,$BO$7:$BO$1576,"&lt;="&amp;BO676),"")</f>
        <v/>
      </c>
      <c r="BA676" s="65" t="n">
        <f aca="false">IF(AZ676="",0,MAX(0,MIN(1,(IF(BU676="L1",Parameter!$E$5,Parameter!$E$6+Parameter!$E$7)-(AZ676-AV676))/AV676)))</f>
        <v>0</v>
      </c>
      <c r="BB676" s="55" t="str">
        <f aca="false">IF(AF676&lt;=0,"",IF(BU676="Aussen","Aussenlager",IF(BU676="-","Nicht im Lift",IF(AK676&gt;=1,"Lift",IF(AK676&lt;=0,"Aussenlager","teilweise")))))</f>
        <v/>
      </c>
      <c r="BC676" s="55" t="str">
        <f aca="false">IF(AN676&lt;=0,"",IF(BU676="Aussen","Aussenlager",IF(BU676="-","Nicht im Lift",IF(AS676&gt;=1,"Lift",IF(AS676&lt;=0,"Aussenlager","teilweise")))))</f>
        <v>Nicht im Lift</v>
      </c>
      <c r="BD676" s="55" t="str">
        <f aca="false">IF(AV676&lt;=0,"",IF(BU676="Aussen","Aussenlager",IF(BU676="-","Nicht im Lift",IF(BA676&gt;=1,"Lift",IF(BA676&lt;=0,"Aussenlager","teilweise")))))</f>
        <v>Nicht im Lift</v>
      </c>
      <c r="BE676" s="55" t="str">
        <f aca="false">IF(A676="","",IF(BN676=1,"Neu; ","")&amp;IF(AND(BN676=0,BI676&lt;0),"negativer Bestand (Export "&amp;BI676&amp;"); ","")&amp;IF(I676&lt;=0,"Kein Verbrauch; ","")&amp;IF(CD676&gt;0,"Lift "&amp;U676&amp;" lt. Liftbericht (Fach "&amp;V676&amp;" Stk); ",IF(BR676=1,"Lose – Fläche geschätzt; ",""))&amp;IF(G676&gt;AP676,"Überbestand "&amp;ROUND(G676-AP676,0)&amp;" Stk / CHF "&amp;ROUND((G676-AP676)*F676,0)&amp;"; ","")&amp;IF(AND(BW676=1,BX676&lt;BY676),"MAX &lt; MB+LG; ","")&amp;IF(AND(CC676&gt;0,CB676*10&gt;CC676),"zu hoch für Tablar; ","")&amp;IF(AND(BN676=0,OR(BW676=1,Y676&lt;&gt;"",S676&lt;&gt;"",T676&lt;&gt;"",Z676&lt;&gt;"")),"manuell übersteuert; ","")&amp;IF(AND(BR676=0,Q676=0),"Gebinde unbekannt / Stellmass fehlt; ","")&amp;IF(AND(BR676=0,N(T676)&lt;=0,N(P676)&lt;=0),"Menge pro Gebinde fehlt (Ist = 1 Gebinde); ","")&amp;BM676)</f>
        <v>Lose – Fläche geschätzt; </v>
      </c>
      <c r="BF676" s="55"/>
      <c r="BG676" s="55"/>
      <c r="BH676" s="62"/>
      <c r="BI676" s="57" t="n">
        <v>0</v>
      </c>
      <c r="BJ676" s="57" t="n">
        <v>0</v>
      </c>
      <c r="BK676" s="56" t="n">
        <v>0</v>
      </c>
      <c r="BL676" s="57" t="n">
        <v>4</v>
      </c>
      <c r="BM676" s="55"/>
      <c r="BN676" s="60" t="n">
        <v>0</v>
      </c>
      <c r="BO676" s="60" t="n">
        <v>676</v>
      </c>
      <c r="BP676" s="55" t="str">
        <f aca="false">IF(S676&lt;&gt;"",UPPER(TRIM(S676)),IF(O676="","LOSE",O676))</f>
        <v>LOSE</v>
      </c>
      <c r="BQ676" s="57" t="n">
        <f aca="false">IF(BP676="LOSE",1,IF(N(T676)&gt;0,T676,IF(N(P676)&gt;0,P676,MAX(1,G676))))</f>
        <v>1</v>
      </c>
      <c r="BR676" s="60" t="n">
        <f aca="false">IF(BP676="LOSE",1,0)</f>
        <v>1</v>
      </c>
      <c r="BS676" s="59" t="n">
        <f aca="false">IF(BR676=0,0,IF(N(R676)&gt;0,R676,IFERROR(VLOOKUP(D676,Parameter!$A$35:$C$64,3,0)+0,0)))</f>
        <v>0.15</v>
      </c>
      <c r="BT676" s="55" t="str">
        <f aca="false">IF(Y676&lt;&gt;"",Y676,X676)</f>
        <v>-</v>
      </c>
      <c r="BU676" s="55" t="str">
        <f aca="false">IF(BT676=1,"L1",IF(OR(BT676=2,BT676=3),"L23",IF(BT676="Aussen","Aussen","-")))</f>
        <v>-</v>
      </c>
      <c r="BV676" s="66" t="n">
        <f aca="false">IF(N(Z676)&gt;0,Z676,0)</f>
        <v>0</v>
      </c>
      <c r="BW676" s="60" t="n">
        <f aca="false">IF(ISNUMBER(AC676),1,0)</f>
        <v>0</v>
      </c>
      <c r="BX676" s="57" t="n">
        <f aca="false">N(AC676)</f>
        <v>0</v>
      </c>
      <c r="BY676" s="57" t="n">
        <f aca="false">N(L676)+N(M676)</f>
        <v>1</v>
      </c>
      <c r="BZ676" s="57" t="n">
        <f aca="false">ROUNDUP(G676/BQ676,0)</f>
        <v>0</v>
      </c>
      <c r="CA676" s="57" t="n">
        <f aca="false">ROUNDUP(BX676/BQ676,0)</f>
        <v>0</v>
      </c>
      <c r="CB676" s="60" t="n">
        <f aca="false">IF(BR676=1,0,IFERROR(VLOOKUP(BP676,'Gebinde-Kategorie'!$A$5:$M$45,5,0)+0,0))</f>
        <v>0</v>
      </c>
      <c r="CC676" s="60" t="n">
        <f aca="false">IFERROR(IF(OR(BT676=1,BT676=2,BT676=3),N(INDEX(Parameter!$I$5:$I$7,BT676)),0),0)</f>
        <v>0</v>
      </c>
      <c r="CD676" s="59" t="n">
        <f aca="false">IF(AND(Parameter!$B$21="Ja",ISNUMBER(U676),N(V676)&gt;0),IFERROR(N(INDEX(Parameter!$L$5:$L$7,U676))*INDEX(Parameter!$E$5:$E$7,U676)*V676/SUMIFS($V$7:$V$1576,$U$7:$U$1576,U676),0),0)</f>
        <v>0</v>
      </c>
    </row>
    <row r="677" customFormat="false" ht="15" hidden="false" customHeight="false" outlineLevel="0" collapsed="false">
      <c r="A677" s="55" t="s">
        <v>1347</v>
      </c>
      <c r="B677" s="55" t="s">
        <v>1348</v>
      </c>
      <c r="C677" s="55" t="s">
        <v>160</v>
      </c>
      <c r="D677" s="55" t="s">
        <v>984</v>
      </c>
      <c r="E677" s="55" t="s">
        <v>210</v>
      </c>
      <c r="F677" s="56" t="n">
        <v>12854.39</v>
      </c>
      <c r="G677" s="57" t="n">
        <f aca="false">MAX(0,IF(AND(Parameter!$B$21="Ja",ISNUMBER(W677)),W677,IF(Parameter!$B$20="Jahresanfang 2025 + Export",BJ677+BI677,BI677)))</f>
        <v>0</v>
      </c>
      <c r="H677" s="57" t="n">
        <f aca="false">G677*F677</f>
        <v>0</v>
      </c>
      <c r="I677" s="57" t="n">
        <f aca="false">BL677*Parameter!$B$18</f>
        <v>4</v>
      </c>
      <c r="J677" s="58" t="n">
        <v>0</v>
      </c>
      <c r="K677" s="59" t="n">
        <v>0</v>
      </c>
      <c r="L677" s="57" t="n">
        <v>0</v>
      </c>
      <c r="M677" s="57" t="n">
        <v>1</v>
      </c>
      <c r="N677" s="60" t="n">
        <v>90</v>
      </c>
      <c r="O677" s="55" t="s">
        <v>163</v>
      </c>
      <c r="P677" s="57"/>
      <c r="Q677" s="60" t="n">
        <f aca="false">IF(BR677=1,0,IFERROR(VLOOKUP(BP677,'Gebinde-Kategorie'!$A$5:$M$45,13,0)+0,0))</f>
        <v>0</v>
      </c>
      <c r="R677" s="61"/>
      <c r="S677" s="62"/>
      <c r="T677" s="62"/>
      <c r="U677" s="55"/>
      <c r="V677" s="57"/>
      <c r="W677" s="57"/>
      <c r="X677" s="55" t="str">
        <f aca="false">IF(A677="","",IF(AND(Parameter!$B$21="Ja",ISNUMBER(U677)),U677,IF(IFERROR(VLOOKUP(D677,Parameter!$A$35:$C$64,2,0),"Nein")="2+3",IF(ISNUMBER(SEARCH("grosser Artikel",BM677)),2,IFERROR(VLOOKUP(BP677,Parameter!$F$35:$G$64,2,0),2)),IF(OR(IFERROR(VLOOKUP(D677,Parameter!$A$35:$C$64,2,0),"Nein")="Nein",IFERROR(VLOOKUP(D677,Parameter!$A$35:$C$64,2,0),"Nein")=""),"-",VLOOKUP(D677,Parameter!$A$35:$C$64,2,0)))))</f>
        <v>-</v>
      </c>
      <c r="Y677" s="62"/>
      <c r="Z677" s="63"/>
      <c r="AA677" s="57" t="n">
        <f aca="false">AP677</f>
        <v>2</v>
      </c>
      <c r="AB677" s="57" t="n">
        <f aca="false">MAX(AP677,G677)</f>
        <v>2</v>
      </c>
      <c r="AC677" s="64"/>
      <c r="AD677" s="57" t="n">
        <f aca="false">IF(LEFT(Cockpit!$C$5,1)="A",G677,IF(BW677=1,BX677,IF(LEFT(Cockpit!$C$5,1)="B",AH677,MAX(AH677,G677))))</f>
        <v>0</v>
      </c>
      <c r="AE677" s="57" t="n">
        <f aca="false">IF(BR677=1,0,ROUNDUP(AD677/BQ677,0))</f>
        <v>0</v>
      </c>
      <c r="AF677" s="59" t="n">
        <f aca="false">IF(CD677&gt;0,CD677*MAX(1,AD677/V677),IF(BR677=1,IF(AD677&lt;=0,0,BS677*MAX(1,IF(G677&gt;0,AD677/G677,1))),IF(Q677&gt;0,AE677/Q677,0))/MAX(0.1,N(Parameter!$M$21)))</f>
        <v>0</v>
      </c>
      <c r="AG677" s="57" t="n">
        <f aca="false">AD677*F677</f>
        <v>0</v>
      </c>
      <c r="AH677" s="57" t="n">
        <f aca="false">ROUNDUP(MAX(I677/IF(BV677&gt;0,BV677,MAX(0.1,N(Cockpit!$C$6))),BY677)/BQ677,0)*BQ677</f>
        <v>2</v>
      </c>
      <c r="AI677" s="58" t="n">
        <f aca="false">IF(AF677&gt;0,I677/AF677,-1)</f>
        <v>-1</v>
      </c>
      <c r="AJ677" s="58" t="str">
        <f aca="false">IF(AND(OR(BU677="L1",BU677="L23"),AF677&gt;0),SUMIFS($AF$7:$AF$1576,$BU$7:$BU$1576,BU677,$AI$7:$AI$1576,"&gt;"&amp;AI677)+SUMIFS($AF$7:$AF$1576,$BU$7:$BU$1576,BU677,$AI$7:$AI$1576,AI677,$BO$7:$BO$1576,"&lt;="&amp;BO677),"")</f>
        <v/>
      </c>
      <c r="AK677" s="65" t="n">
        <f aca="false">IF(AJ677="",0,MAX(0,MIN(1,(IF(BU677="L1",Parameter!$E$5,Parameter!$E$6+Parameter!$E$7)-(AJ677-AF677))/AF677)))</f>
        <v>0</v>
      </c>
      <c r="AL677" s="57" t="n">
        <f aca="false">IF(LEFT(Cockpit!$I$5,1)="A",G677,IF(BW677=1,BX677,IF(LEFT(Cockpit!$I$5,1)="B",AP677,MAX(AP677,G677))))</f>
        <v>2</v>
      </c>
      <c r="AM677" s="57" t="n">
        <f aca="false">IF(BR677=1,0,ROUNDUP(AL677/BQ677,0))</f>
        <v>0</v>
      </c>
      <c r="AN677" s="59" t="n">
        <f aca="false">IF(CD677&gt;0,CD677*MAX(1,AL677/V677),IF(BR677=1,IF(AL677&lt;=0,0,BS677*MAX(1,IF(G677&gt;0,AL677/G677,1))),IF(Q677&gt;0,AM677/Q677,0))/MAX(0.1,N(Parameter!$M$21)))</f>
        <v>0.15</v>
      </c>
      <c r="AO677" s="57" t="n">
        <f aca="false">AL677*F677</f>
        <v>25708.78</v>
      </c>
      <c r="AP677" s="57" t="n">
        <f aca="false">ROUNDUP(MAX(I677/IF(BV677&gt;0,BV677,MAX(0.1,N(Cockpit!$I$6))),BY677)/BQ677,0)*BQ677</f>
        <v>2</v>
      </c>
      <c r="AQ677" s="58" t="n">
        <f aca="false">IF(AN677&gt;0,I677/AN677,-1)</f>
        <v>26.6666666666667</v>
      </c>
      <c r="AR677" s="58" t="str">
        <f aca="false">IF(AND(OR(BU677="L1",BU677="L23"),AN677&gt;0),SUMIFS($AN$7:$AN$1576,$BU$7:$BU$1576,BU677,$AQ$7:$AQ$1576,"&gt;"&amp;AQ677)+SUMIFS($AN$7:$AN$1576,$BU$7:$BU$1576,BU677,$AQ$7:$AQ$1576,AQ677,$BO$7:$BO$1576,"&lt;="&amp;BO677),"")</f>
        <v/>
      </c>
      <c r="AS677" s="65" t="n">
        <f aca="false">IF(AR677="",0,MAX(0,MIN(1,(IF(BU677="L1",Parameter!$E$5,Parameter!$E$6+Parameter!$E$7)-(AR677-AN677))/AN677)))</f>
        <v>0</v>
      </c>
      <c r="AT677" s="57" t="n">
        <f aca="false">IF(LEFT(Cockpit!$O$5,1)="A",G677,IF(BW677=1,BX677,IF(LEFT(Cockpit!$O$5,1)="B",AX677,MAX(AX677,G677))))</f>
        <v>2</v>
      </c>
      <c r="AU677" s="57" t="n">
        <f aca="false">IF(BR677=1,0,ROUNDUP(AT677/BQ677,0))</f>
        <v>0</v>
      </c>
      <c r="AV677" s="59" t="n">
        <f aca="false">IF(CD677&gt;0,CD677*MAX(1,AT677/V677),IF(BR677=1,IF(AT677&lt;=0,0,BS677*MAX(1,IF(G677&gt;0,AT677/G677,1))),IF(Q677&gt;0,AU677/Q677,0))/MAX(0.1,N(Parameter!$M$21)))</f>
        <v>0.15</v>
      </c>
      <c r="AW677" s="57" t="n">
        <f aca="false">AT677*F677</f>
        <v>25708.78</v>
      </c>
      <c r="AX677" s="57" t="n">
        <f aca="false">ROUNDUP(MAX(I677/IF(BV677&gt;0,BV677,MAX(0.1,N(Cockpit!$O$6))),BY677)/BQ677,0)*BQ677</f>
        <v>2</v>
      </c>
      <c r="AY677" s="58" t="n">
        <f aca="false">IF(AV677&gt;0,I677/AV677,-1)</f>
        <v>26.6666666666667</v>
      </c>
      <c r="AZ677" s="58" t="str">
        <f aca="false">IF(AND(OR(BU677="L1",BU677="L23"),AV677&gt;0),SUMIFS($AV$7:$AV$1576,$BU$7:$BU$1576,BU677,$AY$7:$AY$1576,"&gt;"&amp;AY677)+SUMIFS($AV$7:$AV$1576,$BU$7:$BU$1576,BU677,$AY$7:$AY$1576,AY677,$BO$7:$BO$1576,"&lt;="&amp;BO677),"")</f>
        <v/>
      </c>
      <c r="BA677" s="65" t="n">
        <f aca="false">IF(AZ677="",0,MAX(0,MIN(1,(IF(BU677="L1",Parameter!$E$5,Parameter!$E$6+Parameter!$E$7)-(AZ677-AV677))/AV677)))</f>
        <v>0</v>
      </c>
      <c r="BB677" s="55" t="str">
        <f aca="false">IF(AF677&lt;=0,"",IF(BU677="Aussen","Aussenlager",IF(BU677="-","Nicht im Lift",IF(AK677&gt;=1,"Lift",IF(AK677&lt;=0,"Aussenlager","teilweise")))))</f>
        <v/>
      </c>
      <c r="BC677" s="55" t="str">
        <f aca="false">IF(AN677&lt;=0,"",IF(BU677="Aussen","Aussenlager",IF(BU677="-","Nicht im Lift",IF(AS677&gt;=1,"Lift",IF(AS677&lt;=0,"Aussenlager","teilweise")))))</f>
        <v>Nicht im Lift</v>
      </c>
      <c r="BD677" s="55" t="str">
        <f aca="false">IF(AV677&lt;=0,"",IF(BU677="Aussen","Aussenlager",IF(BU677="-","Nicht im Lift",IF(BA677&gt;=1,"Lift",IF(BA677&lt;=0,"Aussenlager","teilweise")))))</f>
        <v>Nicht im Lift</v>
      </c>
      <c r="BE677" s="55" t="str">
        <f aca="false">IF(A677="","",IF(BN677=1,"Neu; ","")&amp;IF(AND(BN677=0,BI677&lt;0),"negativer Bestand (Export "&amp;BI677&amp;"); ","")&amp;IF(I677&lt;=0,"Kein Verbrauch; ","")&amp;IF(CD677&gt;0,"Lift "&amp;U677&amp;" lt. Liftbericht (Fach "&amp;V677&amp;" Stk); ",IF(BR677=1,"Lose – Fläche geschätzt; ",""))&amp;IF(G677&gt;AP677,"Überbestand "&amp;ROUND(G677-AP677,0)&amp;" Stk / CHF "&amp;ROUND((G677-AP677)*F677,0)&amp;"; ","")&amp;IF(AND(BW677=1,BX677&lt;BY677),"MAX &lt; MB+LG; ","")&amp;IF(AND(CC677&gt;0,CB677*10&gt;CC677),"zu hoch für Tablar; ","")&amp;IF(AND(BN677=0,OR(BW677=1,Y677&lt;&gt;"",S677&lt;&gt;"",T677&lt;&gt;"",Z677&lt;&gt;"")),"manuell übersteuert; ","")&amp;IF(AND(BR677=0,Q677=0),"Gebinde unbekannt / Stellmass fehlt; ","")&amp;IF(AND(BR677=0,N(T677)&lt;=0,N(P677)&lt;=0),"Menge pro Gebinde fehlt (Ist = 1 Gebinde); ","")&amp;BM677)</f>
        <v>Lose – Fläche geschätzt; </v>
      </c>
      <c r="BF677" s="55"/>
      <c r="BG677" s="55"/>
      <c r="BH677" s="62"/>
      <c r="BI677" s="57" t="n">
        <v>0</v>
      </c>
      <c r="BJ677" s="57" t="n">
        <v>0</v>
      </c>
      <c r="BK677" s="56" t="n">
        <v>0</v>
      </c>
      <c r="BL677" s="57" t="n">
        <v>4</v>
      </c>
      <c r="BM677" s="55"/>
      <c r="BN677" s="60" t="n">
        <v>0</v>
      </c>
      <c r="BO677" s="60" t="n">
        <v>677</v>
      </c>
      <c r="BP677" s="55" t="str">
        <f aca="false">IF(S677&lt;&gt;"",UPPER(TRIM(S677)),IF(O677="","LOSE",O677))</f>
        <v>LOSE</v>
      </c>
      <c r="BQ677" s="57" t="n">
        <f aca="false">IF(BP677="LOSE",1,IF(N(T677)&gt;0,T677,IF(N(P677)&gt;0,P677,MAX(1,G677))))</f>
        <v>1</v>
      </c>
      <c r="BR677" s="60" t="n">
        <f aca="false">IF(BP677="LOSE",1,0)</f>
        <v>1</v>
      </c>
      <c r="BS677" s="59" t="n">
        <f aca="false">IF(BR677=0,0,IF(N(R677)&gt;0,R677,IFERROR(VLOOKUP(D677,Parameter!$A$35:$C$64,3,0)+0,0)))</f>
        <v>0.15</v>
      </c>
      <c r="BT677" s="55" t="str">
        <f aca="false">IF(Y677&lt;&gt;"",Y677,X677)</f>
        <v>-</v>
      </c>
      <c r="BU677" s="55" t="str">
        <f aca="false">IF(BT677=1,"L1",IF(OR(BT677=2,BT677=3),"L23",IF(BT677="Aussen","Aussen","-")))</f>
        <v>-</v>
      </c>
      <c r="BV677" s="66" t="n">
        <f aca="false">IF(N(Z677)&gt;0,Z677,0)</f>
        <v>0</v>
      </c>
      <c r="BW677" s="60" t="n">
        <f aca="false">IF(ISNUMBER(AC677),1,0)</f>
        <v>0</v>
      </c>
      <c r="BX677" s="57" t="n">
        <f aca="false">N(AC677)</f>
        <v>0</v>
      </c>
      <c r="BY677" s="57" t="n">
        <f aca="false">N(L677)+N(M677)</f>
        <v>1</v>
      </c>
      <c r="BZ677" s="57" t="n">
        <f aca="false">ROUNDUP(G677/BQ677,0)</f>
        <v>0</v>
      </c>
      <c r="CA677" s="57" t="n">
        <f aca="false">ROUNDUP(BX677/BQ677,0)</f>
        <v>0</v>
      </c>
      <c r="CB677" s="60" t="n">
        <f aca="false">IF(BR677=1,0,IFERROR(VLOOKUP(BP677,'Gebinde-Kategorie'!$A$5:$M$45,5,0)+0,0))</f>
        <v>0</v>
      </c>
      <c r="CC677" s="60" t="n">
        <f aca="false">IFERROR(IF(OR(BT677=1,BT677=2,BT677=3),N(INDEX(Parameter!$I$5:$I$7,BT677)),0),0)</f>
        <v>0</v>
      </c>
      <c r="CD677" s="59" t="n">
        <f aca="false">IF(AND(Parameter!$B$21="Ja",ISNUMBER(U677),N(V677)&gt;0),IFERROR(N(INDEX(Parameter!$L$5:$L$7,U677))*INDEX(Parameter!$E$5:$E$7,U677)*V677/SUMIFS($V$7:$V$1576,$U$7:$U$1576,U677),0),0)</f>
        <v>0</v>
      </c>
    </row>
    <row r="678" customFormat="false" ht="15" hidden="false" customHeight="false" outlineLevel="0" collapsed="false">
      <c r="A678" s="55" t="s">
        <v>1349</v>
      </c>
      <c r="B678" s="55" t="s">
        <v>188</v>
      </c>
      <c r="C678" s="55" t="s">
        <v>160</v>
      </c>
      <c r="D678" s="55" t="s">
        <v>168</v>
      </c>
      <c r="E678" s="55" t="s">
        <v>210</v>
      </c>
      <c r="F678" s="56" t="n">
        <v>5018.88</v>
      </c>
      <c r="G678" s="57" t="n">
        <f aca="false">MAX(0,IF(AND(Parameter!$B$21="Ja",ISNUMBER(W678)),W678,IF(Parameter!$B$20="Jahresanfang 2025 + Export",BJ678+BI678,BI678)))</f>
        <v>0</v>
      </c>
      <c r="H678" s="57" t="n">
        <f aca="false">G678*F678</f>
        <v>0</v>
      </c>
      <c r="I678" s="57" t="n">
        <f aca="false">BL678*Parameter!$B$18</f>
        <v>1</v>
      </c>
      <c r="J678" s="58" t="n">
        <v>0</v>
      </c>
      <c r="K678" s="59" t="n">
        <v>0</v>
      </c>
      <c r="L678" s="57" t="n">
        <v>0</v>
      </c>
      <c r="M678" s="57" t="n">
        <v>1</v>
      </c>
      <c r="N678" s="60" t="n">
        <v>115</v>
      </c>
      <c r="O678" s="55" t="s">
        <v>163</v>
      </c>
      <c r="P678" s="57"/>
      <c r="Q678" s="60" t="n">
        <f aca="false">IF(BR678=1,0,IFERROR(VLOOKUP(BP678,'Gebinde-Kategorie'!$A$5:$M$45,13,0)+0,0))</f>
        <v>0</v>
      </c>
      <c r="R678" s="61"/>
      <c r="S678" s="62"/>
      <c r="T678" s="62"/>
      <c r="U678" s="55"/>
      <c r="V678" s="57"/>
      <c r="W678" s="57"/>
      <c r="X678" s="55" t="n">
        <f aca="false">IF(A678="","",IF(AND(Parameter!$B$21="Ja",ISNUMBER(U678)),U678,IF(IFERROR(VLOOKUP(D678,Parameter!$A$35:$C$64,2,0),"Nein")="2+3",IF(ISNUMBER(SEARCH("grosser Artikel",BM678)),2,IFERROR(VLOOKUP(BP678,Parameter!$F$35:$G$64,2,0),2)),IF(OR(IFERROR(VLOOKUP(D678,Parameter!$A$35:$C$64,2,0),"Nein")="Nein",IFERROR(VLOOKUP(D678,Parameter!$A$35:$C$64,2,0),"Nein")=""),"-",VLOOKUP(D678,Parameter!$A$35:$C$64,2,0)))))</f>
        <v>2</v>
      </c>
      <c r="Y678" s="62"/>
      <c r="Z678" s="63"/>
      <c r="AA678" s="57" t="n">
        <f aca="false">AP678</f>
        <v>1</v>
      </c>
      <c r="AB678" s="57" t="n">
        <f aca="false">MAX(AP678,G678)</f>
        <v>1</v>
      </c>
      <c r="AC678" s="64"/>
      <c r="AD678" s="57" t="n">
        <f aca="false">IF(LEFT(Cockpit!$C$5,1)="A",G678,IF(BW678=1,BX678,IF(LEFT(Cockpit!$C$5,1)="B",AH678,MAX(AH678,G678))))</f>
        <v>0</v>
      </c>
      <c r="AE678" s="57" t="n">
        <f aca="false">IF(BR678=1,0,ROUNDUP(AD678/BQ678,0))</f>
        <v>0</v>
      </c>
      <c r="AF678" s="59" t="n">
        <f aca="false">IF(CD678&gt;0,CD678*MAX(1,AD678/V678),IF(BR678=1,IF(AD678&lt;=0,0,BS678*MAX(1,IF(G678&gt;0,AD678/G678,1))),IF(Q678&gt;0,AE678/Q678,0))/MAX(0.1,N(Parameter!$M$21)))</f>
        <v>0</v>
      </c>
      <c r="AG678" s="57" t="n">
        <f aca="false">AD678*F678</f>
        <v>0</v>
      </c>
      <c r="AH678" s="57" t="n">
        <f aca="false">ROUNDUP(MAX(I678/IF(BV678&gt;0,BV678,MAX(0.1,N(Cockpit!$C$6))),BY678)/BQ678,0)*BQ678</f>
        <v>1</v>
      </c>
      <c r="AI678" s="58" t="n">
        <f aca="false">IF(AF678&gt;0,I678/AF678,-1)</f>
        <v>-1</v>
      </c>
      <c r="AJ678" s="58" t="str">
        <f aca="false">IF(AND(OR(BU678="L1",BU678="L23"),AF678&gt;0),SUMIFS($AF$7:$AF$1576,$BU$7:$BU$1576,BU678,$AI$7:$AI$1576,"&gt;"&amp;AI678)+SUMIFS($AF$7:$AF$1576,$BU$7:$BU$1576,BU678,$AI$7:$AI$1576,AI678,$BO$7:$BO$1576,"&lt;="&amp;BO678),"")</f>
        <v/>
      </c>
      <c r="AK678" s="65" t="n">
        <f aca="false">IF(AJ678="",0,MAX(0,MIN(1,(IF(BU678="L1",Parameter!$E$5,Parameter!$E$6+Parameter!$E$7)-(AJ678-AF678))/AF678)))</f>
        <v>0</v>
      </c>
      <c r="AL678" s="57" t="n">
        <f aca="false">IF(LEFT(Cockpit!$I$5,1)="A",G678,IF(BW678=1,BX678,IF(LEFT(Cockpit!$I$5,1)="B",AP678,MAX(AP678,G678))))</f>
        <v>1</v>
      </c>
      <c r="AM678" s="57" t="n">
        <f aca="false">IF(BR678=1,0,ROUNDUP(AL678/BQ678,0))</f>
        <v>0</v>
      </c>
      <c r="AN678" s="59" t="n">
        <f aca="false">IF(CD678&gt;0,CD678*MAX(1,AL678/V678),IF(BR678=1,IF(AL678&lt;=0,0,BS678*MAX(1,IF(G678&gt;0,AL678/G678,1))),IF(Q678&gt;0,AM678/Q678,0))/MAX(0.1,N(Parameter!$M$21)))</f>
        <v>0.15</v>
      </c>
      <c r="AO678" s="57" t="n">
        <f aca="false">AL678*F678</f>
        <v>5018.88</v>
      </c>
      <c r="AP678" s="57" t="n">
        <f aca="false">ROUNDUP(MAX(I678/IF(BV678&gt;0,BV678,MAX(0.1,N(Cockpit!$I$6))),BY678)/BQ678,0)*BQ678</f>
        <v>1</v>
      </c>
      <c r="AQ678" s="58" t="n">
        <f aca="false">IF(AN678&gt;0,I678/AN678,-1)</f>
        <v>6.66666666666667</v>
      </c>
      <c r="AR678" s="58" t="n">
        <f aca="false">IF(AND(OR(BU678="L1",BU678="L23"),AN678&gt;0),SUMIFS($AN$7:$AN$1576,$BU$7:$BU$1576,BU678,$AQ$7:$AQ$1576,"&gt;"&amp;AQ678)+SUMIFS($AN$7:$AN$1576,$BU$7:$BU$1576,BU678,$AQ$7:$AQ$1576,AQ678,$BO$7:$BO$1576,"&lt;="&amp;BO678),"")</f>
        <v>110.392434588696</v>
      </c>
      <c r="AS678" s="65" t="n">
        <f aca="false">IF(AR678="",0,MAX(0,MIN(1,(IF(BU678="L1",Parameter!$E$5,Parameter!$E$6+Parameter!$E$7)-(AR678-AN678))/AN678)))</f>
        <v>0</v>
      </c>
      <c r="AT678" s="57" t="n">
        <f aca="false">IF(LEFT(Cockpit!$O$5,1)="A",G678,IF(BW678=1,BX678,IF(LEFT(Cockpit!$O$5,1)="B",AX678,MAX(AX678,G678))))</f>
        <v>1</v>
      </c>
      <c r="AU678" s="57" t="n">
        <f aca="false">IF(BR678=1,0,ROUNDUP(AT678/BQ678,0))</f>
        <v>0</v>
      </c>
      <c r="AV678" s="59" t="n">
        <f aca="false">IF(CD678&gt;0,CD678*MAX(1,AT678/V678),IF(BR678=1,IF(AT678&lt;=0,0,BS678*MAX(1,IF(G678&gt;0,AT678/G678,1))),IF(Q678&gt;0,AU678/Q678,0))/MAX(0.1,N(Parameter!$M$21)))</f>
        <v>0.15</v>
      </c>
      <c r="AW678" s="57" t="n">
        <f aca="false">AT678*F678</f>
        <v>5018.88</v>
      </c>
      <c r="AX678" s="57" t="n">
        <f aca="false">ROUNDUP(MAX(I678/IF(BV678&gt;0,BV678,MAX(0.1,N(Cockpit!$O$6))),BY678)/BQ678,0)*BQ678</f>
        <v>1</v>
      </c>
      <c r="AY678" s="58" t="n">
        <f aca="false">IF(AV678&gt;0,I678/AV678,-1)</f>
        <v>6.66666666666667</v>
      </c>
      <c r="AZ678" s="58" t="n">
        <f aca="false">IF(AND(OR(BU678="L1",BU678="L23"),AV678&gt;0),SUMIFS($AV$7:$AV$1576,$BU$7:$BU$1576,BU678,$AY$7:$AY$1576,"&gt;"&amp;AY678)+SUMIFS($AV$7:$AV$1576,$BU$7:$BU$1576,BU678,$AY$7:$AY$1576,AY678,$BO$7:$BO$1576,"&lt;="&amp;BO678),"")</f>
        <v>100.451985038246</v>
      </c>
      <c r="BA678" s="65" t="n">
        <f aca="false">IF(AZ678="",0,MAX(0,MIN(1,(IF(BU678="L1",Parameter!$E$5,Parameter!$E$6+Parameter!$E$7)-(AZ678-AV678))/AV678)))</f>
        <v>0</v>
      </c>
      <c r="BB678" s="55" t="str">
        <f aca="false">IF(AF678&lt;=0,"",IF(BU678="Aussen","Aussenlager",IF(BU678="-","Nicht im Lift",IF(AK678&gt;=1,"Lift",IF(AK678&lt;=0,"Aussenlager","teilweise")))))</f>
        <v/>
      </c>
      <c r="BC678" s="55" t="str">
        <f aca="false">IF(AN678&lt;=0,"",IF(BU678="Aussen","Aussenlager",IF(BU678="-","Nicht im Lift",IF(AS678&gt;=1,"Lift",IF(AS678&lt;=0,"Aussenlager","teilweise")))))</f>
        <v>Aussenlager</v>
      </c>
      <c r="BD678" s="55" t="str">
        <f aca="false">IF(AV678&lt;=0,"",IF(BU678="Aussen","Aussenlager",IF(BU678="-","Nicht im Lift",IF(BA678&gt;=1,"Lift",IF(BA678&lt;=0,"Aussenlager","teilweise")))))</f>
        <v>Aussenlager</v>
      </c>
      <c r="BE678" s="55" t="str">
        <f aca="false">IF(A678="","",IF(BN678=1,"Neu; ","")&amp;IF(AND(BN678=0,BI678&lt;0),"negativer Bestand (Export "&amp;BI678&amp;"); ","")&amp;IF(I678&lt;=0,"Kein Verbrauch; ","")&amp;IF(CD678&gt;0,"Lift "&amp;U678&amp;" lt. Liftbericht (Fach "&amp;V678&amp;" Stk); ",IF(BR678=1,"Lose – Fläche geschätzt; ",""))&amp;IF(G678&gt;AP678,"Überbestand "&amp;ROUND(G678-AP678,0)&amp;" Stk / CHF "&amp;ROUND((G678-AP678)*F678,0)&amp;"; ","")&amp;IF(AND(BW678=1,BX678&lt;BY678),"MAX &lt; MB+LG; ","")&amp;IF(AND(CC678&gt;0,CB678*10&gt;CC678),"zu hoch für Tablar; ","")&amp;IF(AND(BN678=0,OR(BW678=1,Y678&lt;&gt;"",S678&lt;&gt;"",T678&lt;&gt;"",Z678&lt;&gt;"")),"manuell übersteuert; ","")&amp;IF(AND(BR678=0,Q678=0),"Gebinde unbekannt / Stellmass fehlt; ","")&amp;IF(AND(BR678=0,N(T678)&lt;=0,N(P678)&lt;=0),"Menge pro Gebinde fehlt (Ist = 1 Gebinde); ","")&amp;BM678)</f>
        <v>Lose – Fläche geschätzt; </v>
      </c>
      <c r="BF678" s="55"/>
      <c r="BG678" s="55"/>
      <c r="BH678" s="62"/>
      <c r="BI678" s="57" t="n">
        <v>0</v>
      </c>
      <c r="BJ678" s="57" t="n">
        <v>0</v>
      </c>
      <c r="BK678" s="56" t="n">
        <v>0</v>
      </c>
      <c r="BL678" s="57" t="n">
        <v>1</v>
      </c>
      <c r="BM678" s="55"/>
      <c r="BN678" s="60" t="n">
        <v>0</v>
      </c>
      <c r="BO678" s="60" t="n">
        <v>678</v>
      </c>
      <c r="BP678" s="55" t="str">
        <f aca="false">IF(S678&lt;&gt;"",UPPER(TRIM(S678)),IF(O678="","LOSE",O678))</f>
        <v>LOSE</v>
      </c>
      <c r="BQ678" s="57" t="n">
        <f aca="false">IF(BP678="LOSE",1,IF(N(T678)&gt;0,T678,IF(N(P678)&gt;0,P678,MAX(1,G678))))</f>
        <v>1</v>
      </c>
      <c r="BR678" s="60" t="n">
        <f aca="false">IF(BP678="LOSE",1,0)</f>
        <v>1</v>
      </c>
      <c r="BS678" s="59" t="n">
        <f aca="false">IF(BR678=0,0,IF(N(R678)&gt;0,R678,IFERROR(VLOOKUP(D678,Parameter!$A$35:$C$64,3,0)+0,0)))</f>
        <v>0.15</v>
      </c>
      <c r="BT678" s="55" t="n">
        <f aca="false">IF(Y678&lt;&gt;"",Y678,X678)</f>
        <v>2</v>
      </c>
      <c r="BU678" s="55" t="str">
        <f aca="false">IF(BT678=1,"L1",IF(OR(BT678=2,BT678=3),"L23",IF(BT678="Aussen","Aussen","-")))</f>
        <v>L23</v>
      </c>
      <c r="BV678" s="66" t="n">
        <f aca="false">IF(N(Z678)&gt;0,Z678,0)</f>
        <v>0</v>
      </c>
      <c r="BW678" s="60" t="n">
        <f aca="false">IF(ISNUMBER(AC678),1,0)</f>
        <v>0</v>
      </c>
      <c r="BX678" s="57" t="n">
        <f aca="false">N(AC678)</f>
        <v>0</v>
      </c>
      <c r="BY678" s="57" t="n">
        <f aca="false">N(L678)+N(M678)</f>
        <v>1</v>
      </c>
      <c r="BZ678" s="57" t="n">
        <f aca="false">ROUNDUP(G678/BQ678,0)</f>
        <v>0</v>
      </c>
      <c r="CA678" s="57" t="n">
        <f aca="false">ROUNDUP(BX678/BQ678,0)</f>
        <v>0</v>
      </c>
      <c r="CB678" s="60" t="n">
        <f aca="false">IF(BR678=1,0,IFERROR(VLOOKUP(BP678,'Gebinde-Kategorie'!$A$5:$M$45,5,0)+0,0))</f>
        <v>0</v>
      </c>
      <c r="CC678" s="60" t="n">
        <f aca="false">IFERROR(IF(OR(BT678=1,BT678=2,BT678=3),N(INDEX(Parameter!$I$5:$I$7,BT678)),0),0)</f>
        <v>0</v>
      </c>
      <c r="CD678" s="59" t="n">
        <f aca="false">IF(AND(Parameter!$B$21="Ja",ISNUMBER(U678),N(V678)&gt;0),IFERROR(N(INDEX(Parameter!$L$5:$L$7,U678))*INDEX(Parameter!$E$5:$E$7,U678)*V678/SUMIFS($V$7:$V$1576,$U$7:$U$1576,U678),0),0)</f>
        <v>0</v>
      </c>
    </row>
    <row r="679" customFormat="false" ht="15" hidden="false" customHeight="false" outlineLevel="0" collapsed="false">
      <c r="A679" s="55" t="s">
        <v>1350</v>
      </c>
      <c r="B679" s="55" t="s">
        <v>1351</v>
      </c>
      <c r="C679" s="55" t="s">
        <v>160</v>
      </c>
      <c r="D679" s="55" t="s">
        <v>984</v>
      </c>
      <c r="E679" s="55" t="s">
        <v>210</v>
      </c>
      <c r="F679" s="56" t="n">
        <v>3620.46</v>
      </c>
      <c r="G679" s="57" t="n">
        <f aca="false">MAX(0,IF(AND(Parameter!$B$21="Ja",ISNUMBER(W679)),W679,IF(Parameter!$B$20="Jahresanfang 2025 + Export",BJ679+BI679,BI679)))</f>
        <v>0</v>
      </c>
      <c r="H679" s="57" t="n">
        <f aca="false">G679*F679</f>
        <v>0</v>
      </c>
      <c r="I679" s="57" t="n">
        <f aca="false">BL679*Parameter!$B$18</f>
        <v>1</v>
      </c>
      <c r="J679" s="58" t="n">
        <v>0</v>
      </c>
      <c r="K679" s="59" t="n">
        <v>0</v>
      </c>
      <c r="L679" s="57" t="n">
        <v>0</v>
      </c>
      <c r="M679" s="57" t="n">
        <v>1</v>
      </c>
      <c r="N679" s="60" t="n">
        <v>70</v>
      </c>
      <c r="O679" s="55" t="s">
        <v>163</v>
      </c>
      <c r="P679" s="57"/>
      <c r="Q679" s="60" t="n">
        <f aca="false">IF(BR679=1,0,IFERROR(VLOOKUP(BP679,'Gebinde-Kategorie'!$A$5:$M$45,13,0)+0,0))</f>
        <v>0</v>
      </c>
      <c r="R679" s="61"/>
      <c r="S679" s="62"/>
      <c r="T679" s="62"/>
      <c r="U679" s="55"/>
      <c r="V679" s="57"/>
      <c r="W679" s="57"/>
      <c r="X679" s="55" t="str">
        <f aca="false">IF(A679="","",IF(AND(Parameter!$B$21="Ja",ISNUMBER(U679)),U679,IF(IFERROR(VLOOKUP(D679,Parameter!$A$35:$C$64,2,0),"Nein")="2+3",IF(ISNUMBER(SEARCH("grosser Artikel",BM679)),2,IFERROR(VLOOKUP(BP679,Parameter!$F$35:$G$64,2,0),2)),IF(OR(IFERROR(VLOOKUP(D679,Parameter!$A$35:$C$64,2,0),"Nein")="Nein",IFERROR(VLOOKUP(D679,Parameter!$A$35:$C$64,2,0),"Nein")=""),"-",VLOOKUP(D679,Parameter!$A$35:$C$64,2,0)))))</f>
        <v>-</v>
      </c>
      <c r="Y679" s="62"/>
      <c r="Z679" s="63"/>
      <c r="AA679" s="57" t="n">
        <f aca="false">AP679</f>
        <v>1</v>
      </c>
      <c r="AB679" s="57" t="n">
        <f aca="false">MAX(AP679,G679)</f>
        <v>1</v>
      </c>
      <c r="AC679" s="64"/>
      <c r="AD679" s="57" t="n">
        <f aca="false">IF(LEFT(Cockpit!$C$5,1)="A",G679,IF(BW679=1,BX679,IF(LEFT(Cockpit!$C$5,1)="B",AH679,MAX(AH679,G679))))</f>
        <v>0</v>
      </c>
      <c r="AE679" s="57" t="n">
        <f aca="false">IF(BR679=1,0,ROUNDUP(AD679/BQ679,0))</f>
        <v>0</v>
      </c>
      <c r="AF679" s="59" t="n">
        <f aca="false">IF(CD679&gt;0,CD679*MAX(1,AD679/V679),IF(BR679=1,IF(AD679&lt;=0,0,BS679*MAX(1,IF(G679&gt;0,AD679/G679,1))),IF(Q679&gt;0,AE679/Q679,0))/MAX(0.1,N(Parameter!$M$21)))</f>
        <v>0</v>
      </c>
      <c r="AG679" s="57" t="n">
        <f aca="false">AD679*F679</f>
        <v>0</v>
      </c>
      <c r="AH679" s="57" t="n">
        <f aca="false">ROUNDUP(MAX(I679/IF(BV679&gt;0,BV679,MAX(0.1,N(Cockpit!$C$6))),BY679)/BQ679,0)*BQ679</f>
        <v>1</v>
      </c>
      <c r="AI679" s="58" t="n">
        <f aca="false">IF(AF679&gt;0,I679/AF679,-1)</f>
        <v>-1</v>
      </c>
      <c r="AJ679" s="58" t="str">
        <f aca="false">IF(AND(OR(BU679="L1",BU679="L23"),AF679&gt;0),SUMIFS($AF$7:$AF$1576,$BU$7:$BU$1576,BU679,$AI$7:$AI$1576,"&gt;"&amp;AI679)+SUMIFS($AF$7:$AF$1576,$BU$7:$BU$1576,BU679,$AI$7:$AI$1576,AI679,$BO$7:$BO$1576,"&lt;="&amp;BO679),"")</f>
        <v/>
      </c>
      <c r="AK679" s="65" t="n">
        <f aca="false">IF(AJ679="",0,MAX(0,MIN(1,(IF(BU679="L1",Parameter!$E$5,Parameter!$E$6+Parameter!$E$7)-(AJ679-AF679))/AF679)))</f>
        <v>0</v>
      </c>
      <c r="AL679" s="57" t="n">
        <f aca="false">IF(LEFT(Cockpit!$I$5,1)="A",G679,IF(BW679=1,BX679,IF(LEFT(Cockpit!$I$5,1)="B",AP679,MAX(AP679,G679))))</f>
        <v>1</v>
      </c>
      <c r="AM679" s="57" t="n">
        <f aca="false">IF(BR679=1,0,ROUNDUP(AL679/BQ679,0))</f>
        <v>0</v>
      </c>
      <c r="AN679" s="59" t="n">
        <f aca="false">IF(CD679&gt;0,CD679*MAX(1,AL679/V679),IF(BR679=1,IF(AL679&lt;=0,0,BS679*MAX(1,IF(G679&gt;0,AL679/G679,1))),IF(Q679&gt;0,AM679/Q679,0))/MAX(0.1,N(Parameter!$M$21)))</f>
        <v>0.15</v>
      </c>
      <c r="AO679" s="57" t="n">
        <f aca="false">AL679*F679</f>
        <v>3620.46</v>
      </c>
      <c r="AP679" s="57" t="n">
        <f aca="false">ROUNDUP(MAX(I679/IF(BV679&gt;0,BV679,MAX(0.1,N(Cockpit!$I$6))),BY679)/BQ679,0)*BQ679</f>
        <v>1</v>
      </c>
      <c r="AQ679" s="58" t="n">
        <f aca="false">IF(AN679&gt;0,I679/AN679,-1)</f>
        <v>6.66666666666667</v>
      </c>
      <c r="AR679" s="58" t="str">
        <f aca="false">IF(AND(OR(BU679="L1",BU679="L23"),AN679&gt;0),SUMIFS($AN$7:$AN$1576,$BU$7:$BU$1576,BU679,$AQ$7:$AQ$1576,"&gt;"&amp;AQ679)+SUMIFS($AN$7:$AN$1576,$BU$7:$BU$1576,BU679,$AQ$7:$AQ$1576,AQ679,$BO$7:$BO$1576,"&lt;="&amp;BO679),"")</f>
        <v/>
      </c>
      <c r="AS679" s="65" t="n">
        <f aca="false">IF(AR679="",0,MAX(0,MIN(1,(IF(BU679="L1",Parameter!$E$5,Parameter!$E$6+Parameter!$E$7)-(AR679-AN679))/AN679)))</f>
        <v>0</v>
      </c>
      <c r="AT679" s="57" t="n">
        <f aca="false">IF(LEFT(Cockpit!$O$5,1)="A",G679,IF(BW679=1,BX679,IF(LEFT(Cockpit!$O$5,1)="B",AX679,MAX(AX679,G679))))</f>
        <v>1</v>
      </c>
      <c r="AU679" s="57" t="n">
        <f aca="false">IF(BR679=1,0,ROUNDUP(AT679/BQ679,0))</f>
        <v>0</v>
      </c>
      <c r="AV679" s="59" t="n">
        <f aca="false">IF(CD679&gt;0,CD679*MAX(1,AT679/V679),IF(BR679=1,IF(AT679&lt;=0,0,BS679*MAX(1,IF(G679&gt;0,AT679/G679,1))),IF(Q679&gt;0,AU679/Q679,0))/MAX(0.1,N(Parameter!$M$21)))</f>
        <v>0.15</v>
      </c>
      <c r="AW679" s="57" t="n">
        <f aca="false">AT679*F679</f>
        <v>3620.46</v>
      </c>
      <c r="AX679" s="57" t="n">
        <f aca="false">ROUNDUP(MAX(I679/IF(BV679&gt;0,BV679,MAX(0.1,N(Cockpit!$O$6))),BY679)/BQ679,0)*BQ679</f>
        <v>1</v>
      </c>
      <c r="AY679" s="58" t="n">
        <f aca="false">IF(AV679&gt;0,I679/AV679,-1)</f>
        <v>6.66666666666667</v>
      </c>
      <c r="AZ679" s="58" t="str">
        <f aca="false">IF(AND(OR(BU679="L1",BU679="L23"),AV679&gt;0),SUMIFS($AV$7:$AV$1576,$BU$7:$BU$1576,BU679,$AY$7:$AY$1576,"&gt;"&amp;AY679)+SUMIFS($AV$7:$AV$1576,$BU$7:$BU$1576,BU679,$AY$7:$AY$1576,AY679,$BO$7:$BO$1576,"&lt;="&amp;BO679),"")</f>
        <v/>
      </c>
      <c r="BA679" s="65" t="n">
        <f aca="false">IF(AZ679="",0,MAX(0,MIN(1,(IF(BU679="L1",Parameter!$E$5,Parameter!$E$6+Parameter!$E$7)-(AZ679-AV679))/AV679)))</f>
        <v>0</v>
      </c>
      <c r="BB679" s="55" t="str">
        <f aca="false">IF(AF679&lt;=0,"",IF(BU679="Aussen","Aussenlager",IF(BU679="-","Nicht im Lift",IF(AK679&gt;=1,"Lift",IF(AK679&lt;=0,"Aussenlager","teilweise")))))</f>
        <v/>
      </c>
      <c r="BC679" s="55" t="str">
        <f aca="false">IF(AN679&lt;=0,"",IF(BU679="Aussen","Aussenlager",IF(BU679="-","Nicht im Lift",IF(AS679&gt;=1,"Lift",IF(AS679&lt;=0,"Aussenlager","teilweise")))))</f>
        <v>Nicht im Lift</v>
      </c>
      <c r="BD679" s="55" t="str">
        <f aca="false">IF(AV679&lt;=0,"",IF(BU679="Aussen","Aussenlager",IF(BU679="-","Nicht im Lift",IF(BA679&gt;=1,"Lift",IF(BA679&lt;=0,"Aussenlager","teilweise")))))</f>
        <v>Nicht im Lift</v>
      </c>
      <c r="BE679" s="55" t="str">
        <f aca="false">IF(A679="","",IF(BN679=1,"Neu; ","")&amp;IF(AND(BN679=0,BI679&lt;0),"negativer Bestand (Export "&amp;BI679&amp;"); ","")&amp;IF(I679&lt;=0,"Kein Verbrauch; ","")&amp;IF(CD679&gt;0,"Lift "&amp;U679&amp;" lt. Liftbericht (Fach "&amp;V679&amp;" Stk); ",IF(BR679=1,"Lose – Fläche geschätzt; ",""))&amp;IF(G679&gt;AP679,"Überbestand "&amp;ROUND(G679-AP679,0)&amp;" Stk / CHF "&amp;ROUND((G679-AP679)*F679,0)&amp;"; ","")&amp;IF(AND(BW679=1,BX679&lt;BY679),"MAX &lt; MB+LG; ","")&amp;IF(AND(CC679&gt;0,CB679*10&gt;CC679),"zu hoch für Tablar; ","")&amp;IF(AND(BN679=0,OR(BW679=1,Y679&lt;&gt;"",S679&lt;&gt;"",T679&lt;&gt;"",Z679&lt;&gt;"")),"manuell übersteuert; ","")&amp;IF(AND(BR679=0,Q679=0),"Gebinde unbekannt / Stellmass fehlt; ","")&amp;IF(AND(BR679=0,N(T679)&lt;=0,N(P679)&lt;=0),"Menge pro Gebinde fehlt (Ist = 1 Gebinde); ","")&amp;BM679)</f>
        <v>Lose – Fläche geschätzt; </v>
      </c>
      <c r="BF679" s="55"/>
      <c r="BG679" s="55"/>
      <c r="BH679" s="62"/>
      <c r="BI679" s="57" t="n">
        <v>0</v>
      </c>
      <c r="BJ679" s="57" t="n">
        <v>0</v>
      </c>
      <c r="BK679" s="56" t="n">
        <v>0</v>
      </c>
      <c r="BL679" s="57" t="n">
        <v>1</v>
      </c>
      <c r="BM679" s="55"/>
      <c r="BN679" s="60" t="n">
        <v>0</v>
      </c>
      <c r="BO679" s="60" t="n">
        <v>679</v>
      </c>
      <c r="BP679" s="55" t="str">
        <f aca="false">IF(S679&lt;&gt;"",UPPER(TRIM(S679)),IF(O679="","LOSE",O679))</f>
        <v>LOSE</v>
      </c>
      <c r="BQ679" s="57" t="n">
        <f aca="false">IF(BP679="LOSE",1,IF(N(T679)&gt;0,T679,IF(N(P679)&gt;0,P679,MAX(1,G679))))</f>
        <v>1</v>
      </c>
      <c r="BR679" s="60" t="n">
        <f aca="false">IF(BP679="LOSE",1,0)</f>
        <v>1</v>
      </c>
      <c r="BS679" s="59" t="n">
        <f aca="false">IF(BR679=0,0,IF(N(R679)&gt;0,R679,IFERROR(VLOOKUP(D679,Parameter!$A$35:$C$64,3,0)+0,0)))</f>
        <v>0.15</v>
      </c>
      <c r="BT679" s="55" t="str">
        <f aca="false">IF(Y679&lt;&gt;"",Y679,X679)</f>
        <v>-</v>
      </c>
      <c r="BU679" s="55" t="str">
        <f aca="false">IF(BT679=1,"L1",IF(OR(BT679=2,BT679=3),"L23",IF(BT679="Aussen","Aussen","-")))</f>
        <v>-</v>
      </c>
      <c r="BV679" s="66" t="n">
        <f aca="false">IF(N(Z679)&gt;0,Z679,0)</f>
        <v>0</v>
      </c>
      <c r="BW679" s="60" t="n">
        <f aca="false">IF(ISNUMBER(AC679),1,0)</f>
        <v>0</v>
      </c>
      <c r="BX679" s="57" t="n">
        <f aca="false">N(AC679)</f>
        <v>0</v>
      </c>
      <c r="BY679" s="57" t="n">
        <f aca="false">N(L679)+N(M679)</f>
        <v>1</v>
      </c>
      <c r="BZ679" s="57" t="n">
        <f aca="false">ROUNDUP(G679/BQ679,0)</f>
        <v>0</v>
      </c>
      <c r="CA679" s="57" t="n">
        <f aca="false">ROUNDUP(BX679/BQ679,0)</f>
        <v>0</v>
      </c>
      <c r="CB679" s="60" t="n">
        <f aca="false">IF(BR679=1,0,IFERROR(VLOOKUP(BP679,'Gebinde-Kategorie'!$A$5:$M$45,5,0)+0,0))</f>
        <v>0</v>
      </c>
      <c r="CC679" s="60" t="n">
        <f aca="false">IFERROR(IF(OR(BT679=1,BT679=2,BT679=3),N(INDEX(Parameter!$I$5:$I$7,BT679)),0),0)</f>
        <v>0</v>
      </c>
      <c r="CD679" s="59" t="n">
        <f aca="false">IF(AND(Parameter!$B$21="Ja",ISNUMBER(U679),N(V679)&gt;0),IFERROR(N(INDEX(Parameter!$L$5:$L$7,U679))*INDEX(Parameter!$E$5:$E$7,U679)*V679/SUMIFS($V$7:$V$1576,$U$7:$U$1576,U679),0),0)</f>
        <v>0</v>
      </c>
    </row>
    <row r="680" customFormat="false" ht="15" hidden="false" customHeight="false" outlineLevel="0" collapsed="false">
      <c r="A680" s="55" t="s">
        <v>1352</v>
      </c>
      <c r="B680" s="55" t="s">
        <v>1336</v>
      </c>
      <c r="C680" s="55" t="s">
        <v>160</v>
      </c>
      <c r="D680" s="55" t="s">
        <v>984</v>
      </c>
      <c r="E680" s="55" t="s">
        <v>210</v>
      </c>
      <c r="F680" s="56" t="n">
        <v>164.77</v>
      </c>
      <c r="G680" s="57" t="n">
        <f aca="false">MAX(0,IF(AND(Parameter!$B$21="Ja",ISNUMBER(W680)),W680,IF(Parameter!$B$20="Jahresanfang 2025 + Export",BJ680+BI680,BI680)))</f>
        <v>0</v>
      </c>
      <c r="H680" s="57" t="n">
        <f aca="false">G680*F680</f>
        <v>0</v>
      </c>
      <c r="I680" s="57" t="n">
        <f aca="false">BL680*Parameter!$B$18</f>
        <v>3</v>
      </c>
      <c r="J680" s="58" t="n">
        <v>0</v>
      </c>
      <c r="K680" s="59" t="n">
        <v>0</v>
      </c>
      <c r="L680" s="57" t="n">
        <v>0</v>
      </c>
      <c r="M680" s="57" t="n">
        <v>1</v>
      </c>
      <c r="N680" s="60" t="n">
        <v>105</v>
      </c>
      <c r="O680" s="55" t="s">
        <v>163</v>
      </c>
      <c r="P680" s="57"/>
      <c r="Q680" s="60" t="n">
        <f aca="false">IF(BR680=1,0,IFERROR(VLOOKUP(BP680,'Gebinde-Kategorie'!$A$5:$M$45,13,0)+0,0))</f>
        <v>0</v>
      </c>
      <c r="R680" s="61"/>
      <c r="S680" s="62"/>
      <c r="T680" s="62"/>
      <c r="U680" s="55"/>
      <c r="V680" s="57"/>
      <c r="W680" s="57"/>
      <c r="X680" s="55" t="str">
        <f aca="false">IF(A680="","",IF(AND(Parameter!$B$21="Ja",ISNUMBER(U680)),U680,IF(IFERROR(VLOOKUP(D680,Parameter!$A$35:$C$64,2,0),"Nein")="2+3",IF(ISNUMBER(SEARCH("grosser Artikel",BM680)),2,IFERROR(VLOOKUP(BP680,Parameter!$F$35:$G$64,2,0),2)),IF(OR(IFERROR(VLOOKUP(D680,Parameter!$A$35:$C$64,2,0),"Nein")="Nein",IFERROR(VLOOKUP(D680,Parameter!$A$35:$C$64,2,0),"Nein")=""),"-",VLOOKUP(D680,Parameter!$A$35:$C$64,2,0)))))</f>
        <v>-</v>
      </c>
      <c r="Y680" s="62"/>
      <c r="Z680" s="63"/>
      <c r="AA680" s="57" t="n">
        <f aca="false">AP680</f>
        <v>2</v>
      </c>
      <c r="AB680" s="57" t="n">
        <f aca="false">MAX(AP680,G680)</f>
        <v>2</v>
      </c>
      <c r="AC680" s="64"/>
      <c r="AD680" s="57" t="n">
        <f aca="false">IF(LEFT(Cockpit!$C$5,1)="A",G680,IF(BW680=1,BX680,IF(LEFT(Cockpit!$C$5,1)="B",AH680,MAX(AH680,G680))))</f>
        <v>0</v>
      </c>
      <c r="AE680" s="57" t="n">
        <f aca="false">IF(BR680=1,0,ROUNDUP(AD680/BQ680,0))</f>
        <v>0</v>
      </c>
      <c r="AF680" s="59" t="n">
        <f aca="false">IF(CD680&gt;0,CD680*MAX(1,AD680/V680),IF(BR680=1,IF(AD680&lt;=0,0,BS680*MAX(1,IF(G680&gt;0,AD680/G680,1))),IF(Q680&gt;0,AE680/Q680,0))/MAX(0.1,N(Parameter!$M$21)))</f>
        <v>0</v>
      </c>
      <c r="AG680" s="57" t="n">
        <f aca="false">AD680*F680</f>
        <v>0</v>
      </c>
      <c r="AH680" s="57" t="n">
        <f aca="false">ROUNDUP(MAX(I680/IF(BV680&gt;0,BV680,MAX(0.1,N(Cockpit!$C$6))),BY680)/BQ680,0)*BQ680</f>
        <v>2</v>
      </c>
      <c r="AI680" s="58" t="n">
        <f aca="false">IF(AF680&gt;0,I680/AF680,-1)</f>
        <v>-1</v>
      </c>
      <c r="AJ680" s="58" t="str">
        <f aca="false">IF(AND(OR(BU680="L1",BU680="L23"),AF680&gt;0),SUMIFS($AF$7:$AF$1576,$BU$7:$BU$1576,BU680,$AI$7:$AI$1576,"&gt;"&amp;AI680)+SUMIFS($AF$7:$AF$1576,$BU$7:$BU$1576,BU680,$AI$7:$AI$1576,AI680,$BO$7:$BO$1576,"&lt;="&amp;BO680),"")</f>
        <v/>
      </c>
      <c r="AK680" s="65" t="n">
        <f aca="false">IF(AJ680="",0,MAX(0,MIN(1,(IF(BU680="L1",Parameter!$E$5,Parameter!$E$6+Parameter!$E$7)-(AJ680-AF680))/AF680)))</f>
        <v>0</v>
      </c>
      <c r="AL680" s="57" t="n">
        <f aca="false">IF(LEFT(Cockpit!$I$5,1)="A",G680,IF(BW680=1,BX680,IF(LEFT(Cockpit!$I$5,1)="B",AP680,MAX(AP680,G680))))</f>
        <v>2</v>
      </c>
      <c r="AM680" s="57" t="n">
        <f aca="false">IF(BR680=1,0,ROUNDUP(AL680/BQ680,0))</f>
        <v>0</v>
      </c>
      <c r="AN680" s="59" t="n">
        <f aca="false">IF(CD680&gt;0,CD680*MAX(1,AL680/V680),IF(BR680=1,IF(AL680&lt;=0,0,BS680*MAX(1,IF(G680&gt;0,AL680/G680,1))),IF(Q680&gt;0,AM680/Q680,0))/MAX(0.1,N(Parameter!$M$21)))</f>
        <v>0.15</v>
      </c>
      <c r="AO680" s="57" t="n">
        <f aca="false">AL680*F680</f>
        <v>329.54</v>
      </c>
      <c r="AP680" s="57" t="n">
        <f aca="false">ROUNDUP(MAX(I680/IF(BV680&gt;0,BV680,MAX(0.1,N(Cockpit!$I$6))),BY680)/BQ680,0)*BQ680</f>
        <v>2</v>
      </c>
      <c r="AQ680" s="58" t="n">
        <f aca="false">IF(AN680&gt;0,I680/AN680,-1)</f>
        <v>20</v>
      </c>
      <c r="AR680" s="58" t="str">
        <f aca="false">IF(AND(OR(BU680="L1",BU680="L23"),AN680&gt;0),SUMIFS($AN$7:$AN$1576,$BU$7:$BU$1576,BU680,$AQ$7:$AQ$1576,"&gt;"&amp;AQ680)+SUMIFS($AN$7:$AN$1576,$BU$7:$BU$1576,BU680,$AQ$7:$AQ$1576,AQ680,$BO$7:$BO$1576,"&lt;="&amp;BO680),"")</f>
        <v/>
      </c>
      <c r="AS680" s="65" t="n">
        <f aca="false">IF(AR680="",0,MAX(0,MIN(1,(IF(BU680="L1",Parameter!$E$5,Parameter!$E$6+Parameter!$E$7)-(AR680-AN680))/AN680)))</f>
        <v>0</v>
      </c>
      <c r="AT680" s="57" t="n">
        <f aca="false">IF(LEFT(Cockpit!$O$5,1)="A",G680,IF(BW680=1,BX680,IF(LEFT(Cockpit!$O$5,1)="B",AX680,MAX(AX680,G680))))</f>
        <v>1</v>
      </c>
      <c r="AU680" s="57" t="n">
        <f aca="false">IF(BR680=1,0,ROUNDUP(AT680/BQ680,0))</f>
        <v>0</v>
      </c>
      <c r="AV680" s="59" t="n">
        <f aca="false">IF(CD680&gt;0,CD680*MAX(1,AT680/V680),IF(BR680=1,IF(AT680&lt;=0,0,BS680*MAX(1,IF(G680&gt;0,AT680/G680,1))),IF(Q680&gt;0,AU680/Q680,0))/MAX(0.1,N(Parameter!$M$21)))</f>
        <v>0.15</v>
      </c>
      <c r="AW680" s="57" t="n">
        <f aca="false">AT680*F680</f>
        <v>164.77</v>
      </c>
      <c r="AX680" s="57" t="n">
        <f aca="false">ROUNDUP(MAX(I680/IF(BV680&gt;0,BV680,MAX(0.1,N(Cockpit!$O$6))),BY680)/BQ680,0)*BQ680</f>
        <v>1</v>
      </c>
      <c r="AY680" s="58" t="n">
        <f aca="false">IF(AV680&gt;0,I680/AV680,-1)</f>
        <v>20</v>
      </c>
      <c r="AZ680" s="58" t="str">
        <f aca="false">IF(AND(OR(BU680="L1",BU680="L23"),AV680&gt;0),SUMIFS($AV$7:$AV$1576,$BU$7:$BU$1576,BU680,$AY$7:$AY$1576,"&gt;"&amp;AY680)+SUMIFS($AV$7:$AV$1576,$BU$7:$BU$1576,BU680,$AY$7:$AY$1576,AY680,$BO$7:$BO$1576,"&lt;="&amp;BO680),"")</f>
        <v/>
      </c>
      <c r="BA680" s="65" t="n">
        <f aca="false">IF(AZ680="",0,MAX(0,MIN(1,(IF(BU680="L1",Parameter!$E$5,Parameter!$E$6+Parameter!$E$7)-(AZ680-AV680))/AV680)))</f>
        <v>0</v>
      </c>
      <c r="BB680" s="55" t="str">
        <f aca="false">IF(AF680&lt;=0,"",IF(BU680="Aussen","Aussenlager",IF(BU680="-","Nicht im Lift",IF(AK680&gt;=1,"Lift",IF(AK680&lt;=0,"Aussenlager","teilweise")))))</f>
        <v/>
      </c>
      <c r="BC680" s="55" t="str">
        <f aca="false">IF(AN680&lt;=0,"",IF(BU680="Aussen","Aussenlager",IF(BU680="-","Nicht im Lift",IF(AS680&gt;=1,"Lift",IF(AS680&lt;=0,"Aussenlager","teilweise")))))</f>
        <v>Nicht im Lift</v>
      </c>
      <c r="BD680" s="55" t="str">
        <f aca="false">IF(AV680&lt;=0,"",IF(BU680="Aussen","Aussenlager",IF(BU680="-","Nicht im Lift",IF(BA680&gt;=1,"Lift",IF(BA680&lt;=0,"Aussenlager","teilweise")))))</f>
        <v>Nicht im Lift</v>
      </c>
      <c r="BE680" s="55" t="str">
        <f aca="false">IF(A680="","",IF(BN680=1,"Neu; ","")&amp;IF(AND(BN680=0,BI680&lt;0),"negativer Bestand (Export "&amp;BI680&amp;"); ","")&amp;IF(I680&lt;=0,"Kein Verbrauch; ","")&amp;IF(CD680&gt;0,"Lift "&amp;U680&amp;" lt. Liftbericht (Fach "&amp;V680&amp;" Stk); ",IF(BR680=1,"Lose – Fläche geschätzt; ",""))&amp;IF(G680&gt;AP680,"Überbestand "&amp;ROUND(G680-AP680,0)&amp;" Stk / CHF "&amp;ROUND((G680-AP680)*F680,0)&amp;"; ","")&amp;IF(AND(BW680=1,BX680&lt;BY680),"MAX &lt; MB+LG; ","")&amp;IF(AND(CC680&gt;0,CB680*10&gt;CC680),"zu hoch für Tablar; ","")&amp;IF(AND(BN680=0,OR(BW680=1,Y680&lt;&gt;"",S680&lt;&gt;"",T680&lt;&gt;"",Z680&lt;&gt;"")),"manuell übersteuert; ","")&amp;IF(AND(BR680=0,Q680=0),"Gebinde unbekannt / Stellmass fehlt; ","")&amp;IF(AND(BR680=0,N(T680)&lt;=0,N(P680)&lt;=0),"Menge pro Gebinde fehlt (Ist = 1 Gebinde); ","")&amp;BM680)</f>
        <v>Lose – Fläche geschätzt; </v>
      </c>
      <c r="BF680" s="55"/>
      <c r="BG680" s="55"/>
      <c r="BH680" s="62"/>
      <c r="BI680" s="57" t="n">
        <v>0</v>
      </c>
      <c r="BJ680" s="57" t="n">
        <v>0</v>
      </c>
      <c r="BK680" s="56" t="n">
        <v>0</v>
      </c>
      <c r="BL680" s="57" t="n">
        <v>3</v>
      </c>
      <c r="BM680" s="55"/>
      <c r="BN680" s="60" t="n">
        <v>0</v>
      </c>
      <c r="BO680" s="60" t="n">
        <v>680</v>
      </c>
      <c r="BP680" s="55" t="str">
        <f aca="false">IF(S680&lt;&gt;"",UPPER(TRIM(S680)),IF(O680="","LOSE",O680))</f>
        <v>LOSE</v>
      </c>
      <c r="BQ680" s="57" t="n">
        <f aca="false">IF(BP680="LOSE",1,IF(N(T680)&gt;0,T680,IF(N(P680)&gt;0,P680,MAX(1,G680))))</f>
        <v>1</v>
      </c>
      <c r="BR680" s="60" t="n">
        <f aca="false">IF(BP680="LOSE",1,0)</f>
        <v>1</v>
      </c>
      <c r="BS680" s="59" t="n">
        <f aca="false">IF(BR680=0,0,IF(N(R680)&gt;0,R680,IFERROR(VLOOKUP(D680,Parameter!$A$35:$C$64,3,0)+0,0)))</f>
        <v>0.15</v>
      </c>
      <c r="BT680" s="55" t="str">
        <f aca="false">IF(Y680&lt;&gt;"",Y680,X680)</f>
        <v>-</v>
      </c>
      <c r="BU680" s="55" t="str">
        <f aca="false">IF(BT680=1,"L1",IF(OR(BT680=2,BT680=3),"L23",IF(BT680="Aussen","Aussen","-")))</f>
        <v>-</v>
      </c>
      <c r="BV680" s="66" t="n">
        <f aca="false">IF(N(Z680)&gt;0,Z680,0)</f>
        <v>0</v>
      </c>
      <c r="BW680" s="60" t="n">
        <f aca="false">IF(ISNUMBER(AC680),1,0)</f>
        <v>0</v>
      </c>
      <c r="BX680" s="57" t="n">
        <f aca="false">N(AC680)</f>
        <v>0</v>
      </c>
      <c r="BY680" s="57" t="n">
        <f aca="false">N(L680)+N(M680)</f>
        <v>1</v>
      </c>
      <c r="BZ680" s="57" t="n">
        <f aca="false">ROUNDUP(G680/BQ680,0)</f>
        <v>0</v>
      </c>
      <c r="CA680" s="57" t="n">
        <f aca="false">ROUNDUP(BX680/BQ680,0)</f>
        <v>0</v>
      </c>
      <c r="CB680" s="60" t="n">
        <f aca="false">IF(BR680=1,0,IFERROR(VLOOKUP(BP680,'Gebinde-Kategorie'!$A$5:$M$45,5,0)+0,0))</f>
        <v>0</v>
      </c>
      <c r="CC680" s="60" t="n">
        <f aca="false">IFERROR(IF(OR(BT680=1,BT680=2,BT680=3),N(INDEX(Parameter!$I$5:$I$7,BT680)),0),0)</f>
        <v>0</v>
      </c>
      <c r="CD680" s="59" t="n">
        <f aca="false">IF(AND(Parameter!$B$21="Ja",ISNUMBER(U680),N(V680)&gt;0),IFERROR(N(INDEX(Parameter!$L$5:$L$7,U680))*INDEX(Parameter!$E$5:$E$7,U680)*V680/SUMIFS($V$7:$V$1576,$U$7:$U$1576,U680),0),0)</f>
        <v>0</v>
      </c>
    </row>
    <row r="681" customFormat="false" ht="15" hidden="false" customHeight="false" outlineLevel="0" collapsed="false">
      <c r="A681" s="55" t="s">
        <v>1353</v>
      </c>
      <c r="B681" s="55" t="s">
        <v>1354</v>
      </c>
      <c r="C681" s="55" t="s">
        <v>160</v>
      </c>
      <c r="D681" s="55" t="s">
        <v>178</v>
      </c>
      <c r="E681" s="55" t="s">
        <v>210</v>
      </c>
      <c r="F681" s="56" t="n">
        <v>106.32</v>
      </c>
      <c r="G681" s="57" t="n">
        <f aca="false">MAX(0,IF(AND(Parameter!$B$21="Ja",ISNUMBER(W681)),W681,IF(Parameter!$B$20="Jahresanfang 2025 + Export",BJ681+BI681,BI681)))</f>
        <v>0</v>
      </c>
      <c r="H681" s="57" t="n">
        <f aca="false">G681*F681</f>
        <v>0</v>
      </c>
      <c r="I681" s="57" t="n">
        <f aca="false">BL681*Parameter!$B$18</f>
        <v>2</v>
      </c>
      <c r="J681" s="58" t="n">
        <v>0</v>
      </c>
      <c r="K681" s="59" t="n">
        <v>0</v>
      </c>
      <c r="L681" s="57" t="n">
        <v>0</v>
      </c>
      <c r="M681" s="57" t="n">
        <v>1</v>
      </c>
      <c r="N681" s="60" t="n">
        <v>28</v>
      </c>
      <c r="O681" s="55" t="s">
        <v>163</v>
      </c>
      <c r="P681" s="57"/>
      <c r="Q681" s="60" t="n">
        <f aca="false">IF(BR681=1,0,IFERROR(VLOOKUP(BP681,'Gebinde-Kategorie'!$A$5:$M$45,13,0)+0,0))</f>
        <v>0</v>
      </c>
      <c r="R681" s="61"/>
      <c r="S681" s="62"/>
      <c r="T681" s="62"/>
      <c r="U681" s="55"/>
      <c r="V681" s="57"/>
      <c r="W681" s="57"/>
      <c r="X681" s="55" t="n">
        <f aca="false">IF(A681="","",IF(AND(Parameter!$B$21="Ja",ISNUMBER(U681)),U681,IF(IFERROR(VLOOKUP(D681,Parameter!$A$35:$C$64,2,0),"Nein")="2+3",IF(ISNUMBER(SEARCH("grosser Artikel",BM681)),2,IFERROR(VLOOKUP(BP681,Parameter!$F$35:$G$64,2,0),2)),IF(OR(IFERROR(VLOOKUP(D681,Parameter!$A$35:$C$64,2,0),"Nein")="Nein",IFERROR(VLOOKUP(D681,Parameter!$A$35:$C$64,2,0),"Nein")=""),"-",VLOOKUP(D681,Parameter!$A$35:$C$64,2,0)))))</f>
        <v>2</v>
      </c>
      <c r="Y681" s="62"/>
      <c r="Z681" s="63"/>
      <c r="AA681" s="57" t="n">
        <f aca="false">AP681</f>
        <v>1</v>
      </c>
      <c r="AB681" s="57" t="n">
        <f aca="false">MAX(AP681,G681)</f>
        <v>1</v>
      </c>
      <c r="AC681" s="64"/>
      <c r="AD681" s="57" t="n">
        <f aca="false">IF(LEFT(Cockpit!$C$5,1)="A",G681,IF(BW681=1,BX681,IF(LEFT(Cockpit!$C$5,1)="B",AH681,MAX(AH681,G681))))</f>
        <v>0</v>
      </c>
      <c r="AE681" s="57" t="n">
        <f aca="false">IF(BR681=1,0,ROUNDUP(AD681/BQ681,0))</f>
        <v>0</v>
      </c>
      <c r="AF681" s="59" t="n">
        <f aca="false">IF(CD681&gt;0,CD681*MAX(1,AD681/V681),IF(BR681=1,IF(AD681&lt;=0,0,BS681*MAX(1,IF(G681&gt;0,AD681/G681,1))),IF(Q681&gt;0,AE681/Q681,0))/MAX(0.1,N(Parameter!$M$21)))</f>
        <v>0</v>
      </c>
      <c r="AG681" s="57" t="n">
        <f aca="false">AD681*F681</f>
        <v>0</v>
      </c>
      <c r="AH681" s="57" t="n">
        <f aca="false">ROUNDUP(MAX(I681/IF(BV681&gt;0,BV681,MAX(0.1,N(Cockpit!$C$6))),BY681)/BQ681,0)*BQ681</f>
        <v>1</v>
      </c>
      <c r="AI681" s="58" t="n">
        <f aca="false">IF(AF681&gt;0,I681/AF681,-1)</f>
        <v>-1</v>
      </c>
      <c r="AJ681" s="58" t="str">
        <f aca="false">IF(AND(OR(BU681="L1",BU681="L23"),AF681&gt;0),SUMIFS($AF$7:$AF$1576,$BU$7:$BU$1576,BU681,$AI$7:$AI$1576,"&gt;"&amp;AI681)+SUMIFS($AF$7:$AF$1576,$BU$7:$BU$1576,BU681,$AI$7:$AI$1576,AI681,$BO$7:$BO$1576,"&lt;="&amp;BO681),"")</f>
        <v/>
      </c>
      <c r="AK681" s="65" t="n">
        <f aca="false">IF(AJ681="",0,MAX(0,MIN(1,(IF(BU681="L1",Parameter!$E$5,Parameter!$E$6+Parameter!$E$7)-(AJ681-AF681))/AF681)))</f>
        <v>0</v>
      </c>
      <c r="AL681" s="57" t="n">
        <f aca="false">IF(LEFT(Cockpit!$I$5,1)="A",G681,IF(BW681=1,BX681,IF(LEFT(Cockpit!$I$5,1)="B",AP681,MAX(AP681,G681))))</f>
        <v>1</v>
      </c>
      <c r="AM681" s="57" t="n">
        <f aca="false">IF(BR681=1,0,ROUNDUP(AL681/BQ681,0))</f>
        <v>0</v>
      </c>
      <c r="AN681" s="59" t="n">
        <f aca="false">IF(CD681&gt;0,CD681*MAX(1,AL681/V681),IF(BR681=1,IF(AL681&lt;=0,0,BS681*MAX(1,IF(G681&gt;0,AL681/G681,1))),IF(Q681&gt;0,AM681/Q681,0))/MAX(0.1,N(Parameter!$M$21)))</f>
        <v>0.03</v>
      </c>
      <c r="AO681" s="57" t="n">
        <f aca="false">AL681*F681</f>
        <v>106.32</v>
      </c>
      <c r="AP681" s="57" t="n">
        <f aca="false">ROUNDUP(MAX(I681/IF(BV681&gt;0,BV681,MAX(0.1,N(Cockpit!$I$6))),BY681)/BQ681,0)*BQ681</f>
        <v>1</v>
      </c>
      <c r="AQ681" s="58" t="n">
        <f aca="false">IF(AN681&gt;0,I681/AN681,-1)</f>
        <v>66.6666666666667</v>
      </c>
      <c r="AR681" s="58" t="n">
        <f aca="false">IF(AND(OR(BU681="L1",BU681="L23"),AN681&gt;0),SUMIFS($AN$7:$AN$1576,$BU$7:$BU$1576,BU681,$AQ$7:$AQ$1576,"&gt;"&amp;AQ681)+SUMIFS($AN$7:$AN$1576,$BU$7:$BU$1576,BU681,$AQ$7:$AQ$1576,AQ681,$BO$7:$BO$1576,"&lt;="&amp;BO681),"")</f>
        <v>76.1222947285559</v>
      </c>
      <c r="AS681" s="65" t="n">
        <f aca="false">IF(AR681="",0,MAX(0,MIN(1,(IF(BU681="L1",Parameter!$E$5,Parameter!$E$6+Parameter!$E$7)-(AR681-AN681))/AN681)))</f>
        <v>1</v>
      </c>
      <c r="AT681" s="57" t="n">
        <f aca="false">IF(LEFT(Cockpit!$O$5,1)="A",G681,IF(BW681=1,BX681,IF(LEFT(Cockpit!$O$5,1)="B",AX681,MAX(AX681,G681))))</f>
        <v>1</v>
      </c>
      <c r="AU681" s="57" t="n">
        <f aca="false">IF(BR681=1,0,ROUNDUP(AT681/BQ681,0))</f>
        <v>0</v>
      </c>
      <c r="AV681" s="59" t="n">
        <f aca="false">IF(CD681&gt;0,CD681*MAX(1,AT681/V681),IF(BR681=1,IF(AT681&lt;=0,0,BS681*MAX(1,IF(G681&gt;0,AT681/G681,1))),IF(Q681&gt;0,AU681/Q681,0))/MAX(0.1,N(Parameter!$M$21)))</f>
        <v>0.03</v>
      </c>
      <c r="AW681" s="57" t="n">
        <f aca="false">AT681*F681</f>
        <v>106.32</v>
      </c>
      <c r="AX681" s="57" t="n">
        <f aca="false">ROUNDUP(MAX(I681/IF(BV681&gt;0,BV681,MAX(0.1,N(Cockpit!$O$6))),BY681)/BQ681,0)*BQ681</f>
        <v>1</v>
      </c>
      <c r="AY681" s="58" t="n">
        <f aca="false">IF(AV681&gt;0,I681/AV681,-1)</f>
        <v>66.6666666666667</v>
      </c>
      <c r="AZ681" s="58" t="n">
        <f aca="false">IF(AND(OR(BU681="L1",BU681="L23"),AV681&gt;0),SUMIFS($AV$7:$AV$1576,$BU$7:$BU$1576,BU681,$AY$7:$AY$1576,"&gt;"&amp;AY681)+SUMIFS($AV$7:$AV$1576,$BU$7:$BU$1576,BU681,$AY$7:$AY$1576,AY681,$BO$7:$BO$1576,"&lt;="&amp;BO681),"")</f>
        <v>74.833511844773</v>
      </c>
      <c r="BA681" s="65" t="n">
        <f aca="false">IF(AZ681="",0,MAX(0,MIN(1,(IF(BU681="L1",Parameter!$E$5,Parameter!$E$6+Parameter!$E$7)-(AZ681-AV681))/AV681)))</f>
        <v>1</v>
      </c>
      <c r="BB681" s="55" t="str">
        <f aca="false">IF(AF681&lt;=0,"",IF(BU681="Aussen","Aussenlager",IF(BU681="-","Nicht im Lift",IF(AK681&gt;=1,"Lift",IF(AK681&lt;=0,"Aussenlager","teilweise")))))</f>
        <v/>
      </c>
      <c r="BC681" s="55" t="str">
        <f aca="false">IF(AN681&lt;=0,"",IF(BU681="Aussen","Aussenlager",IF(BU681="-","Nicht im Lift",IF(AS681&gt;=1,"Lift",IF(AS681&lt;=0,"Aussenlager","teilweise")))))</f>
        <v>Lift</v>
      </c>
      <c r="BD681" s="55" t="str">
        <f aca="false">IF(AV681&lt;=0,"",IF(BU681="Aussen","Aussenlager",IF(BU681="-","Nicht im Lift",IF(BA681&gt;=1,"Lift",IF(BA681&lt;=0,"Aussenlager","teilweise")))))</f>
        <v>Lift</v>
      </c>
      <c r="BE681" s="55" t="str">
        <f aca="false">IF(A681="","",IF(BN681=1,"Neu; ","")&amp;IF(AND(BN681=0,BI681&lt;0),"negativer Bestand (Export "&amp;BI681&amp;"); ","")&amp;IF(I681&lt;=0,"Kein Verbrauch; ","")&amp;IF(CD681&gt;0,"Lift "&amp;U681&amp;" lt. Liftbericht (Fach "&amp;V681&amp;" Stk); ",IF(BR681=1,"Lose – Fläche geschätzt; ",""))&amp;IF(G681&gt;AP681,"Überbestand "&amp;ROUND(G681-AP681,0)&amp;" Stk / CHF "&amp;ROUND((G681-AP681)*F681,0)&amp;"; ","")&amp;IF(AND(BW681=1,BX681&lt;BY681),"MAX &lt; MB+LG; ","")&amp;IF(AND(CC681&gt;0,CB681*10&gt;CC681),"zu hoch für Tablar; ","")&amp;IF(AND(BN681=0,OR(BW681=1,Y681&lt;&gt;"",S681&lt;&gt;"",T681&lt;&gt;"",Z681&lt;&gt;"")),"manuell übersteuert; ","")&amp;IF(AND(BR681=0,Q681=0),"Gebinde unbekannt / Stellmass fehlt; ","")&amp;IF(AND(BR681=0,N(T681)&lt;=0,N(P681)&lt;=0),"Menge pro Gebinde fehlt (Ist = 1 Gebinde); ","")&amp;BM681)</f>
        <v>Lose – Fläche geschätzt; </v>
      </c>
      <c r="BF681" s="55"/>
      <c r="BG681" s="55"/>
      <c r="BH681" s="62"/>
      <c r="BI681" s="57" t="n">
        <v>0</v>
      </c>
      <c r="BJ681" s="57" t="n">
        <v>0</v>
      </c>
      <c r="BK681" s="56" t="n">
        <v>0</v>
      </c>
      <c r="BL681" s="57" t="n">
        <v>2</v>
      </c>
      <c r="BM681" s="55"/>
      <c r="BN681" s="60" t="n">
        <v>0</v>
      </c>
      <c r="BO681" s="60" t="n">
        <v>681</v>
      </c>
      <c r="BP681" s="55" t="str">
        <f aca="false">IF(S681&lt;&gt;"",UPPER(TRIM(S681)),IF(O681="","LOSE",O681))</f>
        <v>LOSE</v>
      </c>
      <c r="BQ681" s="57" t="n">
        <f aca="false">IF(BP681="LOSE",1,IF(N(T681)&gt;0,T681,IF(N(P681)&gt;0,P681,MAX(1,G681))))</f>
        <v>1</v>
      </c>
      <c r="BR681" s="60" t="n">
        <f aca="false">IF(BP681="LOSE",1,0)</f>
        <v>1</v>
      </c>
      <c r="BS681" s="59" t="n">
        <f aca="false">IF(BR681=0,0,IF(N(R681)&gt;0,R681,IFERROR(VLOOKUP(D681,Parameter!$A$35:$C$64,3,0)+0,0)))</f>
        <v>0.03</v>
      </c>
      <c r="BT681" s="55" t="n">
        <f aca="false">IF(Y681&lt;&gt;"",Y681,X681)</f>
        <v>2</v>
      </c>
      <c r="BU681" s="55" t="str">
        <f aca="false">IF(BT681=1,"L1",IF(OR(BT681=2,BT681=3),"L23",IF(BT681="Aussen","Aussen","-")))</f>
        <v>L23</v>
      </c>
      <c r="BV681" s="66" t="n">
        <f aca="false">IF(N(Z681)&gt;0,Z681,0)</f>
        <v>0</v>
      </c>
      <c r="BW681" s="60" t="n">
        <f aca="false">IF(ISNUMBER(AC681),1,0)</f>
        <v>0</v>
      </c>
      <c r="BX681" s="57" t="n">
        <f aca="false">N(AC681)</f>
        <v>0</v>
      </c>
      <c r="BY681" s="57" t="n">
        <f aca="false">N(L681)+N(M681)</f>
        <v>1</v>
      </c>
      <c r="BZ681" s="57" t="n">
        <f aca="false">ROUNDUP(G681/BQ681,0)</f>
        <v>0</v>
      </c>
      <c r="CA681" s="57" t="n">
        <f aca="false">ROUNDUP(BX681/BQ681,0)</f>
        <v>0</v>
      </c>
      <c r="CB681" s="60" t="n">
        <f aca="false">IF(BR681=1,0,IFERROR(VLOOKUP(BP681,'Gebinde-Kategorie'!$A$5:$M$45,5,0)+0,0))</f>
        <v>0</v>
      </c>
      <c r="CC681" s="60" t="n">
        <f aca="false">IFERROR(IF(OR(BT681=1,BT681=2,BT681=3),N(INDEX(Parameter!$I$5:$I$7,BT681)),0),0)</f>
        <v>0</v>
      </c>
      <c r="CD681" s="59" t="n">
        <f aca="false">IF(AND(Parameter!$B$21="Ja",ISNUMBER(U681),N(V681)&gt;0),IFERROR(N(INDEX(Parameter!$L$5:$L$7,U681))*INDEX(Parameter!$E$5:$E$7,U681)*V681/SUMIFS($V$7:$V$1576,$U$7:$U$1576,U681),0),0)</f>
        <v>0</v>
      </c>
    </row>
    <row r="682" customFormat="false" ht="15" hidden="false" customHeight="false" outlineLevel="0" collapsed="false">
      <c r="A682" s="55" t="s">
        <v>1355</v>
      </c>
      <c r="B682" s="55" t="s">
        <v>1356</v>
      </c>
      <c r="C682" s="55" t="s">
        <v>160</v>
      </c>
      <c r="D682" s="55" t="s">
        <v>344</v>
      </c>
      <c r="E682" s="55" t="s">
        <v>210</v>
      </c>
      <c r="F682" s="56" t="n">
        <v>1</v>
      </c>
      <c r="G682" s="57" t="n">
        <f aca="false">MAX(0,IF(AND(Parameter!$B$21="Ja",ISNUMBER(W682)),W682,IF(Parameter!$B$20="Jahresanfang 2025 + Export",BJ682+BI682,BI682)))</f>
        <v>0</v>
      </c>
      <c r="H682" s="57" t="n">
        <f aca="false">G682*F682</f>
        <v>0</v>
      </c>
      <c r="I682" s="57" t="n">
        <f aca="false">BL682*Parameter!$B$18</f>
        <v>1</v>
      </c>
      <c r="J682" s="58" t="n">
        <v>0.5</v>
      </c>
      <c r="K682" s="59" t="n">
        <v>2</v>
      </c>
      <c r="L682" s="57" t="n">
        <v>0</v>
      </c>
      <c r="M682" s="57" t="n">
        <v>1</v>
      </c>
      <c r="N682" s="60" t="n">
        <v>0</v>
      </c>
      <c r="O682" s="55" t="s">
        <v>163</v>
      </c>
      <c r="P682" s="57"/>
      <c r="Q682" s="60" t="n">
        <f aca="false">IF(BR682=1,0,IFERROR(VLOOKUP(BP682,'Gebinde-Kategorie'!$A$5:$M$45,13,0)+0,0))</f>
        <v>0</v>
      </c>
      <c r="R682" s="61"/>
      <c r="S682" s="62"/>
      <c r="T682" s="62"/>
      <c r="U682" s="55"/>
      <c r="V682" s="57"/>
      <c r="W682" s="57"/>
      <c r="X682" s="55" t="str">
        <f aca="false">IF(A682="","",IF(AND(Parameter!$B$21="Ja",ISNUMBER(U682)),U682,IF(IFERROR(VLOOKUP(D682,Parameter!$A$35:$C$64,2,0),"Nein")="2+3",IF(ISNUMBER(SEARCH("grosser Artikel",BM682)),2,IFERROR(VLOOKUP(BP682,Parameter!$F$35:$G$64,2,0),2)),IF(OR(IFERROR(VLOOKUP(D682,Parameter!$A$35:$C$64,2,0),"Nein")="Nein",IFERROR(VLOOKUP(D682,Parameter!$A$35:$C$64,2,0),"Nein")=""),"-",VLOOKUP(D682,Parameter!$A$35:$C$64,2,0)))))</f>
        <v>-</v>
      </c>
      <c r="Y682" s="62"/>
      <c r="Z682" s="63"/>
      <c r="AA682" s="57" t="n">
        <f aca="false">AP682</f>
        <v>1</v>
      </c>
      <c r="AB682" s="57" t="n">
        <f aca="false">MAX(AP682,G682)</f>
        <v>1</v>
      </c>
      <c r="AC682" s="64"/>
      <c r="AD682" s="57" t="n">
        <f aca="false">IF(LEFT(Cockpit!$C$5,1)="A",G682,IF(BW682=1,BX682,IF(LEFT(Cockpit!$C$5,1)="B",AH682,MAX(AH682,G682))))</f>
        <v>0</v>
      </c>
      <c r="AE682" s="57" t="n">
        <f aca="false">IF(BR682=1,0,ROUNDUP(AD682/BQ682,0))</f>
        <v>0</v>
      </c>
      <c r="AF682" s="59" t="n">
        <f aca="false">IF(CD682&gt;0,CD682*MAX(1,AD682/V682),IF(BR682=1,IF(AD682&lt;=0,0,BS682*MAX(1,IF(G682&gt;0,AD682/G682,1))),IF(Q682&gt;0,AE682/Q682,0))/MAX(0.1,N(Parameter!$M$21)))</f>
        <v>0</v>
      </c>
      <c r="AG682" s="57" t="n">
        <f aca="false">AD682*F682</f>
        <v>0</v>
      </c>
      <c r="AH682" s="57" t="n">
        <f aca="false">ROUNDUP(MAX(I682/IF(BV682&gt;0,BV682,MAX(0.1,N(Cockpit!$C$6))),BY682)/BQ682,0)*BQ682</f>
        <v>1</v>
      </c>
      <c r="AI682" s="58" t="n">
        <f aca="false">IF(AF682&gt;0,I682/AF682,-1)</f>
        <v>-1</v>
      </c>
      <c r="AJ682" s="58" t="str">
        <f aca="false">IF(AND(OR(BU682="L1",BU682="L23"),AF682&gt;0),SUMIFS($AF$7:$AF$1576,$BU$7:$BU$1576,BU682,$AI$7:$AI$1576,"&gt;"&amp;AI682)+SUMIFS($AF$7:$AF$1576,$BU$7:$BU$1576,BU682,$AI$7:$AI$1576,AI682,$BO$7:$BO$1576,"&lt;="&amp;BO682),"")</f>
        <v/>
      </c>
      <c r="AK682" s="65" t="n">
        <f aca="false">IF(AJ682="",0,MAX(0,MIN(1,(IF(BU682="L1",Parameter!$E$5,Parameter!$E$6+Parameter!$E$7)-(AJ682-AF682))/AF682)))</f>
        <v>0</v>
      </c>
      <c r="AL682" s="57" t="n">
        <f aca="false">IF(LEFT(Cockpit!$I$5,1)="A",G682,IF(BW682=1,BX682,IF(LEFT(Cockpit!$I$5,1)="B",AP682,MAX(AP682,G682))))</f>
        <v>1</v>
      </c>
      <c r="AM682" s="57" t="n">
        <f aca="false">IF(BR682=1,0,ROUNDUP(AL682/BQ682,0))</f>
        <v>0</v>
      </c>
      <c r="AN682" s="59" t="n">
        <f aca="false">IF(CD682&gt;0,CD682*MAX(1,AL682/V682),IF(BR682=1,IF(AL682&lt;=0,0,BS682*MAX(1,IF(G682&gt;0,AL682/G682,1))),IF(Q682&gt;0,AM682/Q682,0))/MAX(0.1,N(Parameter!$M$21)))</f>
        <v>0.15</v>
      </c>
      <c r="AO682" s="57" t="n">
        <f aca="false">AL682*F682</f>
        <v>1</v>
      </c>
      <c r="AP682" s="57" t="n">
        <f aca="false">ROUNDUP(MAX(I682/IF(BV682&gt;0,BV682,MAX(0.1,N(Cockpit!$I$6))),BY682)/BQ682,0)*BQ682</f>
        <v>1</v>
      </c>
      <c r="AQ682" s="58" t="n">
        <f aca="false">IF(AN682&gt;0,I682/AN682,-1)</f>
        <v>6.66666666666667</v>
      </c>
      <c r="AR682" s="58" t="str">
        <f aca="false">IF(AND(OR(BU682="L1",BU682="L23"),AN682&gt;0),SUMIFS($AN$7:$AN$1576,$BU$7:$BU$1576,BU682,$AQ$7:$AQ$1576,"&gt;"&amp;AQ682)+SUMIFS($AN$7:$AN$1576,$BU$7:$BU$1576,BU682,$AQ$7:$AQ$1576,AQ682,$BO$7:$BO$1576,"&lt;="&amp;BO682),"")</f>
        <v/>
      </c>
      <c r="AS682" s="65" t="n">
        <f aca="false">IF(AR682="",0,MAX(0,MIN(1,(IF(BU682="L1",Parameter!$E$5,Parameter!$E$6+Parameter!$E$7)-(AR682-AN682))/AN682)))</f>
        <v>0</v>
      </c>
      <c r="AT682" s="57" t="n">
        <f aca="false">IF(LEFT(Cockpit!$O$5,1)="A",G682,IF(BW682=1,BX682,IF(LEFT(Cockpit!$O$5,1)="B",AX682,MAX(AX682,G682))))</f>
        <v>1</v>
      </c>
      <c r="AU682" s="57" t="n">
        <f aca="false">IF(BR682=1,0,ROUNDUP(AT682/BQ682,0))</f>
        <v>0</v>
      </c>
      <c r="AV682" s="59" t="n">
        <f aca="false">IF(CD682&gt;0,CD682*MAX(1,AT682/V682),IF(BR682=1,IF(AT682&lt;=0,0,BS682*MAX(1,IF(G682&gt;0,AT682/G682,1))),IF(Q682&gt;0,AU682/Q682,0))/MAX(0.1,N(Parameter!$M$21)))</f>
        <v>0.15</v>
      </c>
      <c r="AW682" s="57" t="n">
        <f aca="false">AT682*F682</f>
        <v>1</v>
      </c>
      <c r="AX682" s="57" t="n">
        <f aca="false">ROUNDUP(MAX(I682/IF(BV682&gt;0,BV682,MAX(0.1,N(Cockpit!$O$6))),BY682)/BQ682,0)*BQ682</f>
        <v>1</v>
      </c>
      <c r="AY682" s="58" t="n">
        <f aca="false">IF(AV682&gt;0,I682/AV682,-1)</f>
        <v>6.66666666666667</v>
      </c>
      <c r="AZ682" s="58" t="str">
        <f aca="false">IF(AND(OR(BU682="L1",BU682="L23"),AV682&gt;0),SUMIFS($AV$7:$AV$1576,$BU$7:$BU$1576,BU682,$AY$7:$AY$1576,"&gt;"&amp;AY682)+SUMIFS($AV$7:$AV$1576,$BU$7:$BU$1576,BU682,$AY$7:$AY$1576,AY682,$BO$7:$BO$1576,"&lt;="&amp;BO682),"")</f>
        <v/>
      </c>
      <c r="BA682" s="65" t="n">
        <f aca="false">IF(AZ682="",0,MAX(0,MIN(1,(IF(BU682="L1",Parameter!$E$5,Parameter!$E$6+Parameter!$E$7)-(AZ682-AV682))/AV682)))</f>
        <v>0</v>
      </c>
      <c r="BB682" s="55" t="str">
        <f aca="false">IF(AF682&lt;=0,"",IF(BU682="Aussen","Aussenlager",IF(BU682="-","Nicht im Lift",IF(AK682&gt;=1,"Lift",IF(AK682&lt;=0,"Aussenlager","teilweise")))))</f>
        <v/>
      </c>
      <c r="BC682" s="55" t="str">
        <f aca="false">IF(AN682&lt;=0,"",IF(BU682="Aussen","Aussenlager",IF(BU682="-","Nicht im Lift",IF(AS682&gt;=1,"Lift",IF(AS682&lt;=0,"Aussenlager","teilweise")))))</f>
        <v>Nicht im Lift</v>
      </c>
      <c r="BD682" s="55" t="str">
        <f aca="false">IF(AV682&lt;=0,"",IF(BU682="Aussen","Aussenlager",IF(BU682="-","Nicht im Lift",IF(BA682&gt;=1,"Lift",IF(BA682&lt;=0,"Aussenlager","teilweise")))))</f>
        <v>Nicht im Lift</v>
      </c>
      <c r="BE682" s="55" t="str">
        <f aca="false">IF(A682="","",IF(BN682=1,"Neu; ","")&amp;IF(AND(BN682=0,BI682&lt;0),"negativer Bestand (Export "&amp;BI682&amp;"); ","")&amp;IF(I682&lt;=0,"Kein Verbrauch; ","")&amp;IF(CD682&gt;0,"Lift "&amp;U682&amp;" lt. Liftbericht (Fach "&amp;V682&amp;" Stk); ",IF(BR682=1,"Lose – Fläche geschätzt; ",""))&amp;IF(G682&gt;AP682,"Überbestand "&amp;ROUND(G682-AP682,0)&amp;" Stk / CHF "&amp;ROUND((G682-AP682)*F682,0)&amp;"; ","")&amp;IF(AND(BW682=1,BX682&lt;BY682),"MAX &lt; MB+LG; ","")&amp;IF(AND(CC682&gt;0,CB682*10&gt;CC682),"zu hoch für Tablar; ","")&amp;IF(AND(BN682=0,OR(BW682=1,Y682&lt;&gt;"",S682&lt;&gt;"",T682&lt;&gt;"",Z682&lt;&gt;"")),"manuell übersteuert; ","")&amp;IF(AND(BR682=0,Q682=0),"Gebinde unbekannt / Stellmass fehlt; ","")&amp;IF(AND(BR682=0,N(T682)&lt;=0,N(P682)&lt;=0),"Menge pro Gebinde fehlt (Ist = 1 Gebinde); ","")&amp;BM682)</f>
        <v>negativer Bestand (Export -1); Lose – Fläche geschätzt; </v>
      </c>
      <c r="BF682" s="55"/>
      <c r="BG682" s="55"/>
      <c r="BH682" s="62"/>
      <c r="BI682" s="57" t="n">
        <v>-1</v>
      </c>
      <c r="BJ682" s="57" t="n">
        <v>1</v>
      </c>
      <c r="BK682" s="56" t="n">
        <v>0</v>
      </c>
      <c r="BL682" s="57" t="n">
        <v>1</v>
      </c>
      <c r="BM682" s="55"/>
      <c r="BN682" s="60" t="n">
        <v>0</v>
      </c>
      <c r="BO682" s="60" t="n">
        <v>682</v>
      </c>
      <c r="BP682" s="55" t="str">
        <f aca="false">IF(S682&lt;&gt;"",UPPER(TRIM(S682)),IF(O682="","LOSE",O682))</f>
        <v>LOSE</v>
      </c>
      <c r="BQ682" s="57" t="n">
        <f aca="false">IF(BP682="LOSE",1,IF(N(T682)&gt;0,T682,IF(N(P682)&gt;0,P682,MAX(1,G682))))</f>
        <v>1</v>
      </c>
      <c r="BR682" s="60" t="n">
        <f aca="false">IF(BP682="LOSE",1,0)</f>
        <v>1</v>
      </c>
      <c r="BS682" s="59" t="n">
        <f aca="false">IF(BR682=0,0,IF(N(R682)&gt;0,R682,IFERROR(VLOOKUP(D682,Parameter!$A$35:$C$64,3,0)+0,0)))</f>
        <v>0.15</v>
      </c>
      <c r="BT682" s="55" t="str">
        <f aca="false">IF(Y682&lt;&gt;"",Y682,X682)</f>
        <v>-</v>
      </c>
      <c r="BU682" s="55" t="str">
        <f aca="false">IF(BT682=1,"L1",IF(OR(BT682=2,BT682=3),"L23",IF(BT682="Aussen","Aussen","-")))</f>
        <v>-</v>
      </c>
      <c r="BV682" s="66" t="n">
        <f aca="false">IF(N(Z682)&gt;0,Z682,0)</f>
        <v>0</v>
      </c>
      <c r="BW682" s="60" t="n">
        <f aca="false">IF(ISNUMBER(AC682),1,0)</f>
        <v>0</v>
      </c>
      <c r="BX682" s="57" t="n">
        <f aca="false">N(AC682)</f>
        <v>0</v>
      </c>
      <c r="BY682" s="57" t="n">
        <f aca="false">N(L682)+N(M682)</f>
        <v>1</v>
      </c>
      <c r="BZ682" s="57" t="n">
        <f aca="false">ROUNDUP(G682/BQ682,0)</f>
        <v>0</v>
      </c>
      <c r="CA682" s="57" t="n">
        <f aca="false">ROUNDUP(BX682/BQ682,0)</f>
        <v>0</v>
      </c>
      <c r="CB682" s="60" t="n">
        <f aca="false">IF(BR682=1,0,IFERROR(VLOOKUP(BP682,'Gebinde-Kategorie'!$A$5:$M$45,5,0)+0,0))</f>
        <v>0</v>
      </c>
      <c r="CC682" s="60" t="n">
        <f aca="false">IFERROR(IF(OR(BT682=1,BT682=2,BT682=3),N(INDEX(Parameter!$I$5:$I$7,BT682)),0),0)</f>
        <v>0</v>
      </c>
      <c r="CD682" s="59" t="n">
        <f aca="false">IF(AND(Parameter!$B$21="Ja",ISNUMBER(U682),N(V682)&gt;0),IFERROR(N(INDEX(Parameter!$L$5:$L$7,U682))*INDEX(Parameter!$E$5:$E$7,U682)*V682/SUMIFS($V$7:$V$1576,$U$7:$U$1576,U682),0),0)</f>
        <v>0</v>
      </c>
    </row>
    <row r="683" customFormat="false" ht="15" hidden="false" customHeight="false" outlineLevel="0" collapsed="false">
      <c r="A683" s="55" t="s">
        <v>1357</v>
      </c>
      <c r="B683" s="55" t="s">
        <v>1358</v>
      </c>
      <c r="C683" s="55" t="s">
        <v>160</v>
      </c>
      <c r="D683" s="55" t="s">
        <v>168</v>
      </c>
      <c r="E683" s="55" t="s">
        <v>210</v>
      </c>
      <c r="F683" s="56" t="n">
        <v>4509.47</v>
      </c>
      <c r="G683" s="57" t="n">
        <f aca="false">MAX(0,IF(AND(Parameter!$B$21="Ja",ISNUMBER(W683)),W683,IF(Parameter!$B$20="Jahresanfang 2025 + Export",BJ683+BI683,BI683)))</f>
        <v>0</v>
      </c>
      <c r="H683" s="57" t="n">
        <f aca="false">G683*F683</f>
        <v>0</v>
      </c>
      <c r="I683" s="57" t="n">
        <f aca="false">BL683*Parameter!$B$18</f>
        <v>5</v>
      </c>
      <c r="J683" s="58" t="n">
        <v>0</v>
      </c>
      <c r="K683" s="59" t="n">
        <v>0</v>
      </c>
      <c r="L683" s="57" t="n">
        <v>0</v>
      </c>
      <c r="M683" s="57" t="n">
        <v>1</v>
      </c>
      <c r="N683" s="60" t="n">
        <v>70</v>
      </c>
      <c r="O683" s="55" t="s">
        <v>163</v>
      </c>
      <c r="P683" s="57"/>
      <c r="Q683" s="60" t="n">
        <f aca="false">IF(BR683=1,0,IFERROR(VLOOKUP(BP683,'Gebinde-Kategorie'!$A$5:$M$45,13,0)+0,0))</f>
        <v>0</v>
      </c>
      <c r="R683" s="61"/>
      <c r="S683" s="62"/>
      <c r="T683" s="62"/>
      <c r="U683" s="55"/>
      <c r="V683" s="57"/>
      <c r="W683" s="57"/>
      <c r="X683" s="55" t="n">
        <f aca="false">IF(A683="","",IF(AND(Parameter!$B$21="Ja",ISNUMBER(U683)),U683,IF(IFERROR(VLOOKUP(D683,Parameter!$A$35:$C$64,2,0),"Nein")="2+3",IF(ISNUMBER(SEARCH("grosser Artikel",BM683)),2,IFERROR(VLOOKUP(BP683,Parameter!$F$35:$G$64,2,0),2)),IF(OR(IFERROR(VLOOKUP(D683,Parameter!$A$35:$C$64,2,0),"Nein")="Nein",IFERROR(VLOOKUP(D683,Parameter!$A$35:$C$64,2,0),"Nein")=""),"-",VLOOKUP(D683,Parameter!$A$35:$C$64,2,0)))))</f>
        <v>2</v>
      </c>
      <c r="Y683" s="62"/>
      <c r="Z683" s="63"/>
      <c r="AA683" s="57" t="n">
        <f aca="false">AP683</f>
        <v>3</v>
      </c>
      <c r="AB683" s="57" t="n">
        <f aca="false">MAX(AP683,G683)</f>
        <v>3</v>
      </c>
      <c r="AC683" s="64"/>
      <c r="AD683" s="57" t="n">
        <f aca="false">IF(LEFT(Cockpit!$C$5,1)="A",G683,IF(BW683=1,BX683,IF(LEFT(Cockpit!$C$5,1)="B",AH683,MAX(AH683,G683))))</f>
        <v>0</v>
      </c>
      <c r="AE683" s="57" t="n">
        <f aca="false">IF(BR683=1,0,ROUNDUP(AD683/BQ683,0))</f>
        <v>0</v>
      </c>
      <c r="AF683" s="59" t="n">
        <f aca="false">IF(CD683&gt;0,CD683*MAX(1,AD683/V683),IF(BR683=1,IF(AD683&lt;=0,0,BS683*MAX(1,IF(G683&gt;0,AD683/G683,1))),IF(Q683&gt;0,AE683/Q683,0))/MAX(0.1,N(Parameter!$M$21)))</f>
        <v>0</v>
      </c>
      <c r="AG683" s="57" t="n">
        <f aca="false">AD683*F683</f>
        <v>0</v>
      </c>
      <c r="AH683" s="57" t="n">
        <f aca="false">ROUNDUP(MAX(I683/IF(BV683&gt;0,BV683,MAX(0.1,N(Cockpit!$C$6))),BY683)/BQ683,0)*BQ683</f>
        <v>3</v>
      </c>
      <c r="AI683" s="58" t="n">
        <f aca="false">IF(AF683&gt;0,I683/AF683,-1)</f>
        <v>-1</v>
      </c>
      <c r="AJ683" s="58" t="str">
        <f aca="false">IF(AND(OR(BU683="L1",BU683="L23"),AF683&gt;0),SUMIFS($AF$7:$AF$1576,$BU$7:$BU$1576,BU683,$AI$7:$AI$1576,"&gt;"&amp;AI683)+SUMIFS($AF$7:$AF$1576,$BU$7:$BU$1576,BU683,$AI$7:$AI$1576,AI683,$BO$7:$BO$1576,"&lt;="&amp;BO683),"")</f>
        <v/>
      </c>
      <c r="AK683" s="65" t="n">
        <f aca="false">IF(AJ683="",0,MAX(0,MIN(1,(IF(BU683="L1",Parameter!$E$5,Parameter!$E$6+Parameter!$E$7)-(AJ683-AF683))/AF683)))</f>
        <v>0</v>
      </c>
      <c r="AL683" s="57" t="n">
        <f aca="false">IF(LEFT(Cockpit!$I$5,1)="A",G683,IF(BW683=1,BX683,IF(LEFT(Cockpit!$I$5,1)="B",AP683,MAX(AP683,G683))))</f>
        <v>3</v>
      </c>
      <c r="AM683" s="57" t="n">
        <f aca="false">IF(BR683=1,0,ROUNDUP(AL683/BQ683,0))</f>
        <v>0</v>
      </c>
      <c r="AN683" s="59" t="n">
        <f aca="false">IF(CD683&gt;0,CD683*MAX(1,AL683/V683),IF(BR683=1,IF(AL683&lt;=0,0,BS683*MAX(1,IF(G683&gt;0,AL683/G683,1))),IF(Q683&gt;0,AM683/Q683,0))/MAX(0.1,N(Parameter!$M$21)))</f>
        <v>0.15</v>
      </c>
      <c r="AO683" s="57" t="n">
        <f aca="false">AL683*F683</f>
        <v>13528.41</v>
      </c>
      <c r="AP683" s="57" t="n">
        <f aca="false">ROUNDUP(MAX(I683/IF(BV683&gt;0,BV683,MAX(0.1,N(Cockpit!$I$6))),BY683)/BQ683,0)*BQ683</f>
        <v>3</v>
      </c>
      <c r="AQ683" s="58" t="n">
        <f aca="false">IF(AN683&gt;0,I683/AN683,-1)</f>
        <v>33.3333333333333</v>
      </c>
      <c r="AR683" s="58" t="n">
        <f aca="false">IF(AND(OR(BU683="L1",BU683="L23"),AN683&gt;0),SUMIFS($AN$7:$AN$1576,$BU$7:$BU$1576,BU683,$AQ$7:$AQ$1576,"&gt;"&amp;AQ683)+SUMIFS($AN$7:$AN$1576,$BU$7:$BU$1576,BU683,$AQ$7:$AQ$1576,AQ683,$BO$7:$BO$1576,"&lt;="&amp;BO683),"")</f>
        <v>94.2174345886957</v>
      </c>
      <c r="AS683" s="65" t="n">
        <f aca="false">IF(AR683="",0,MAX(0,MIN(1,(IF(BU683="L1",Parameter!$E$5,Parameter!$E$6+Parameter!$E$7)-(AR683-AN683))/AN683)))</f>
        <v>1</v>
      </c>
      <c r="AT683" s="57" t="n">
        <f aca="false">IF(LEFT(Cockpit!$O$5,1)="A",G683,IF(BW683=1,BX683,IF(LEFT(Cockpit!$O$5,1)="B",AX683,MAX(AX683,G683))))</f>
        <v>2</v>
      </c>
      <c r="AU683" s="57" t="n">
        <f aca="false">IF(BR683=1,0,ROUNDUP(AT683/BQ683,0))</f>
        <v>0</v>
      </c>
      <c r="AV683" s="59" t="n">
        <f aca="false">IF(CD683&gt;0,CD683*MAX(1,AT683/V683),IF(BR683=1,IF(AT683&lt;=0,0,BS683*MAX(1,IF(G683&gt;0,AT683/G683,1))),IF(Q683&gt;0,AU683/Q683,0))/MAX(0.1,N(Parameter!$M$21)))</f>
        <v>0.15</v>
      </c>
      <c r="AW683" s="57" t="n">
        <f aca="false">AT683*F683</f>
        <v>9018.94</v>
      </c>
      <c r="AX683" s="57" t="n">
        <f aca="false">ROUNDUP(MAX(I683/IF(BV683&gt;0,BV683,MAX(0.1,N(Cockpit!$O$6))),BY683)/BQ683,0)*BQ683</f>
        <v>2</v>
      </c>
      <c r="AY683" s="58" t="n">
        <f aca="false">IF(AV683&gt;0,I683/AV683,-1)</f>
        <v>33.3333333333333</v>
      </c>
      <c r="AZ683" s="58" t="n">
        <f aca="false">IF(AND(OR(BU683="L1",BU683="L23"),AV683&gt;0),SUMIFS($AV$7:$AV$1576,$BU$7:$BU$1576,BU683,$AY$7:$AY$1576,"&gt;"&amp;AY683)+SUMIFS($AV$7:$AV$1576,$BU$7:$BU$1576,BU683,$AY$7:$AY$1576,AY683,$BO$7:$BO$1576,"&lt;="&amp;BO683),"")</f>
        <v>86.0019850382462</v>
      </c>
      <c r="BA683" s="65" t="n">
        <f aca="false">IF(AZ683="",0,MAX(0,MIN(1,(IF(BU683="L1",Parameter!$E$5,Parameter!$E$6+Parameter!$E$7)-(AZ683-AV683))/AV683)))</f>
        <v>1</v>
      </c>
      <c r="BB683" s="55" t="str">
        <f aca="false">IF(AF683&lt;=0,"",IF(BU683="Aussen","Aussenlager",IF(BU683="-","Nicht im Lift",IF(AK683&gt;=1,"Lift",IF(AK683&lt;=0,"Aussenlager","teilweise")))))</f>
        <v/>
      </c>
      <c r="BC683" s="55" t="str">
        <f aca="false">IF(AN683&lt;=0,"",IF(BU683="Aussen","Aussenlager",IF(BU683="-","Nicht im Lift",IF(AS683&gt;=1,"Lift",IF(AS683&lt;=0,"Aussenlager","teilweise")))))</f>
        <v>Lift</v>
      </c>
      <c r="BD683" s="55" t="str">
        <f aca="false">IF(AV683&lt;=0,"",IF(BU683="Aussen","Aussenlager",IF(BU683="-","Nicht im Lift",IF(BA683&gt;=1,"Lift",IF(BA683&lt;=0,"Aussenlager","teilweise")))))</f>
        <v>Lift</v>
      </c>
      <c r="BE683" s="55" t="str">
        <f aca="false">IF(A683="","",IF(BN683=1,"Neu; ","")&amp;IF(AND(BN683=0,BI683&lt;0),"negativer Bestand (Export "&amp;BI683&amp;"); ","")&amp;IF(I683&lt;=0,"Kein Verbrauch; ","")&amp;IF(CD683&gt;0,"Lift "&amp;U683&amp;" lt. Liftbericht (Fach "&amp;V683&amp;" Stk); ",IF(BR683=1,"Lose – Fläche geschätzt; ",""))&amp;IF(G683&gt;AP683,"Überbestand "&amp;ROUND(G683-AP683,0)&amp;" Stk / CHF "&amp;ROUND((G683-AP683)*F683,0)&amp;"; ","")&amp;IF(AND(BW683=1,BX683&lt;BY683),"MAX &lt; MB+LG; ","")&amp;IF(AND(CC683&gt;0,CB683*10&gt;CC683),"zu hoch für Tablar; ","")&amp;IF(AND(BN683=0,OR(BW683=1,Y683&lt;&gt;"",S683&lt;&gt;"",T683&lt;&gt;"",Z683&lt;&gt;"")),"manuell übersteuert; ","")&amp;IF(AND(BR683=0,Q683=0),"Gebinde unbekannt / Stellmass fehlt; ","")&amp;IF(AND(BR683=0,N(T683)&lt;=0,N(P683)&lt;=0),"Menge pro Gebinde fehlt (Ist = 1 Gebinde); ","")&amp;BM683)</f>
        <v>Lose – Fläche geschätzt; </v>
      </c>
      <c r="BF683" s="55"/>
      <c r="BG683" s="55"/>
      <c r="BH683" s="62"/>
      <c r="BI683" s="57" t="n">
        <v>0</v>
      </c>
      <c r="BJ683" s="57" t="n">
        <v>0</v>
      </c>
      <c r="BK683" s="56" t="n">
        <v>0</v>
      </c>
      <c r="BL683" s="57" t="n">
        <v>5</v>
      </c>
      <c r="BM683" s="55"/>
      <c r="BN683" s="60" t="n">
        <v>0</v>
      </c>
      <c r="BO683" s="60" t="n">
        <v>683</v>
      </c>
      <c r="BP683" s="55" t="str">
        <f aca="false">IF(S683&lt;&gt;"",UPPER(TRIM(S683)),IF(O683="","LOSE",O683))</f>
        <v>LOSE</v>
      </c>
      <c r="BQ683" s="57" t="n">
        <f aca="false">IF(BP683="LOSE",1,IF(N(T683)&gt;0,T683,IF(N(P683)&gt;0,P683,MAX(1,G683))))</f>
        <v>1</v>
      </c>
      <c r="BR683" s="60" t="n">
        <f aca="false">IF(BP683="LOSE",1,0)</f>
        <v>1</v>
      </c>
      <c r="BS683" s="59" t="n">
        <f aca="false">IF(BR683=0,0,IF(N(R683)&gt;0,R683,IFERROR(VLOOKUP(D683,Parameter!$A$35:$C$64,3,0)+0,0)))</f>
        <v>0.15</v>
      </c>
      <c r="BT683" s="55" t="n">
        <f aca="false">IF(Y683&lt;&gt;"",Y683,X683)</f>
        <v>2</v>
      </c>
      <c r="BU683" s="55" t="str">
        <f aca="false">IF(BT683=1,"L1",IF(OR(BT683=2,BT683=3),"L23",IF(BT683="Aussen","Aussen","-")))</f>
        <v>L23</v>
      </c>
      <c r="BV683" s="66" t="n">
        <f aca="false">IF(N(Z683)&gt;0,Z683,0)</f>
        <v>0</v>
      </c>
      <c r="BW683" s="60" t="n">
        <f aca="false">IF(ISNUMBER(AC683),1,0)</f>
        <v>0</v>
      </c>
      <c r="BX683" s="57" t="n">
        <f aca="false">N(AC683)</f>
        <v>0</v>
      </c>
      <c r="BY683" s="57" t="n">
        <f aca="false">N(L683)+N(M683)</f>
        <v>1</v>
      </c>
      <c r="BZ683" s="57" t="n">
        <f aca="false">ROUNDUP(G683/BQ683,0)</f>
        <v>0</v>
      </c>
      <c r="CA683" s="57" t="n">
        <f aca="false">ROUNDUP(BX683/BQ683,0)</f>
        <v>0</v>
      </c>
      <c r="CB683" s="60" t="n">
        <f aca="false">IF(BR683=1,0,IFERROR(VLOOKUP(BP683,'Gebinde-Kategorie'!$A$5:$M$45,5,0)+0,0))</f>
        <v>0</v>
      </c>
      <c r="CC683" s="60" t="n">
        <f aca="false">IFERROR(IF(OR(BT683=1,BT683=2,BT683=3),N(INDEX(Parameter!$I$5:$I$7,BT683)),0),0)</f>
        <v>0</v>
      </c>
      <c r="CD683" s="59" t="n">
        <f aca="false">IF(AND(Parameter!$B$21="Ja",ISNUMBER(U683),N(V683)&gt;0),IFERROR(N(INDEX(Parameter!$L$5:$L$7,U683))*INDEX(Parameter!$E$5:$E$7,U683)*V683/SUMIFS($V$7:$V$1576,$U$7:$U$1576,U683),0),0)</f>
        <v>0</v>
      </c>
    </row>
    <row r="684" customFormat="false" ht="15" hidden="false" customHeight="false" outlineLevel="0" collapsed="false">
      <c r="A684" s="55" t="s">
        <v>1359</v>
      </c>
      <c r="B684" s="55" t="s">
        <v>1360</v>
      </c>
      <c r="C684" s="55" t="s">
        <v>160</v>
      </c>
      <c r="D684" s="55" t="s">
        <v>839</v>
      </c>
      <c r="E684" s="55" t="s">
        <v>210</v>
      </c>
      <c r="F684" s="56" t="n">
        <v>159</v>
      </c>
      <c r="G684" s="57" t="n">
        <f aca="false">MAX(0,IF(AND(Parameter!$B$21="Ja",ISNUMBER(W684)),W684,IF(Parameter!$B$20="Jahresanfang 2025 + Export",BJ684+BI684,BI684)))</f>
        <v>0</v>
      </c>
      <c r="H684" s="57" t="n">
        <f aca="false">G684*F684</f>
        <v>0</v>
      </c>
      <c r="I684" s="57" t="n">
        <f aca="false">BL684*Parameter!$B$18</f>
        <v>0</v>
      </c>
      <c r="J684" s="58" t="n">
        <v>0</v>
      </c>
      <c r="K684" s="59" t="n">
        <v>0</v>
      </c>
      <c r="L684" s="57" t="n">
        <v>0</v>
      </c>
      <c r="M684" s="57" t="n">
        <v>1</v>
      </c>
      <c r="N684" s="60" t="n">
        <v>0</v>
      </c>
      <c r="O684" s="55" t="s">
        <v>163</v>
      </c>
      <c r="P684" s="57"/>
      <c r="Q684" s="60" t="n">
        <f aca="false">IF(BR684=1,0,IFERROR(VLOOKUP(BP684,'Gebinde-Kategorie'!$A$5:$M$45,13,0)+0,0))</f>
        <v>0</v>
      </c>
      <c r="R684" s="61"/>
      <c r="S684" s="62"/>
      <c r="T684" s="62"/>
      <c r="U684" s="55"/>
      <c r="V684" s="57"/>
      <c r="W684" s="57"/>
      <c r="X684" s="55" t="str">
        <f aca="false">IF(A684="","",IF(AND(Parameter!$B$21="Ja",ISNUMBER(U684)),U684,IF(IFERROR(VLOOKUP(D684,Parameter!$A$35:$C$64,2,0),"Nein")="2+3",IF(ISNUMBER(SEARCH("grosser Artikel",BM684)),2,IFERROR(VLOOKUP(BP684,Parameter!$F$35:$G$64,2,0),2)),IF(OR(IFERROR(VLOOKUP(D684,Parameter!$A$35:$C$64,2,0),"Nein")="Nein",IFERROR(VLOOKUP(D684,Parameter!$A$35:$C$64,2,0),"Nein")=""),"-",VLOOKUP(D684,Parameter!$A$35:$C$64,2,0)))))</f>
        <v>-</v>
      </c>
      <c r="Y684" s="62"/>
      <c r="Z684" s="63"/>
      <c r="AA684" s="57" t="n">
        <f aca="false">AP684</f>
        <v>1</v>
      </c>
      <c r="AB684" s="57" t="n">
        <f aca="false">MAX(AP684,G684)</f>
        <v>1</v>
      </c>
      <c r="AC684" s="64"/>
      <c r="AD684" s="57" t="n">
        <f aca="false">IF(LEFT(Cockpit!$C$5,1)="A",G684,IF(BW684=1,BX684,IF(LEFT(Cockpit!$C$5,1)="B",AH684,MAX(AH684,G684))))</f>
        <v>0</v>
      </c>
      <c r="AE684" s="57" t="n">
        <f aca="false">IF(BR684=1,0,ROUNDUP(AD684/BQ684,0))</f>
        <v>0</v>
      </c>
      <c r="AF684" s="59" t="n">
        <f aca="false">IF(CD684&gt;0,CD684*MAX(1,AD684/V684),IF(BR684=1,IF(AD684&lt;=0,0,BS684*MAX(1,IF(G684&gt;0,AD684/G684,1))),IF(Q684&gt;0,AE684/Q684,0))/MAX(0.1,N(Parameter!$M$21)))</f>
        <v>0</v>
      </c>
      <c r="AG684" s="57" t="n">
        <f aca="false">AD684*F684</f>
        <v>0</v>
      </c>
      <c r="AH684" s="57" t="n">
        <f aca="false">ROUNDUP(MAX(I684/IF(BV684&gt;0,BV684,MAX(0.1,N(Cockpit!$C$6))),BY684)/BQ684,0)*BQ684</f>
        <v>1</v>
      </c>
      <c r="AI684" s="58" t="n">
        <f aca="false">IF(AF684&gt;0,I684/AF684,-1)</f>
        <v>-1</v>
      </c>
      <c r="AJ684" s="58" t="str">
        <f aca="false">IF(AND(OR(BU684="L1",BU684="L23"),AF684&gt;0),SUMIFS($AF$7:$AF$1576,$BU$7:$BU$1576,BU684,$AI$7:$AI$1576,"&gt;"&amp;AI684)+SUMIFS($AF$7:$AF$1576,$BU$7:$BU$1576,BU684,$AI$7:$AI$1576,AI684,$BO$7:$BO$1576,"&lt;="&amp;BO684),"")</f>
        <v/>
      </c>
      <c r="AK684" s="65" t="n">
        <f aca="false">IF(AJ684="",0,MAX(0,MIN(1,(IF(BU684="L1",Parameter!$E$5,Parameter!$E$6+Parameter!$E$7)-(AJ684-AF684))/AF684)))</f>
        <v>0</v>
      </c>
      <c r="AL684" s="57" t="n">
        <f aca="false">IF(LEFT(Cockpit!$I$5,1)="A",G684,IF(BW684=1,BX684,IF(LEFT(Cockpit!$I$5,1)="B",AP684,MAX(AP684,G684))))</f>
        <v>1</v>
      </c>
      <c r="AM684" s="57" t="n">
        <f aca="false">IF(BR684=1,0,ROUNDUP(AL684/BQ684,0))</f>
        <v>0</v>
      </c>
      <c r="AN684" s="59" t="n">
        <f aca="false">IF(CD684&gt;0,CD684*MAX(1,AL684/V684),IF(BR684=1,IF(AL684&lt;=0,0,BS684*MAX(1,IF(G684&gt;0,AL684/G684,1))),IF(Q684&gt;0,AM684/Q684,0))/MAX(0.1,N(Parameter!$M$21)))</f>
        <v>0.15</v>
      </c>
      <c r="AO684" s="57" t="n">
        <f aca="false">AL684*F684</f>
        <v>159</v>
      </c>
      <c r="AP684" s="57" t="n">
        <f aca="false">ROUNDUP(MAX(I684/IF(BV684&gt;0,BV684,MAX(0.1,N(Cockpit!$I$6))),BY684)/BQ684,0)*BQ684</f>
        <v>1</v>
      </c>
      <c r="AQ684" s="58" t="n">
        <f aca="false">IF(AN684&gt;0,I684/AN684,-1)</f>
        <v>0</v>
      </c>
      <c r="AR684" s="58" t="str">
        <f aca="false">IF(AND(OR(BU684="L1",BU684="L23"),AN684&gt;0),SUMIFS($AN$7:$AN$1576,$BU$7:$BU$1576,BU684,$AQ$7:$AQ$1576,"&gt;"&amp;AQ684)+SUMIFS($AN$7:$AN$1576,$BU$7:$BU$1576,BU684,$AQ$7:$AQ$1576,AQ684,$BO$7:$BO$1576,"&lt;="&amp;BO684),"")</f>
        <v/>
      </c>
      <c r="AS684" s="65" t="n">
        <f aca="false">IF(AR684="",0,MAX(0,MIN(1,(IF(BU684="L1",Parameter!$E$5,Parameter!$E$6+Parameter!$E$7)-(AR684-AN684))/AN684)))</f>
        <v>0</v>
      </c>
      <c r="AT684" s="57" t="n">
        <f aca="false">IF(LEFT(Cockpit!$O$5,1)="A",G684,IF(BW684=1,BX684,IF(LEFT(Cockpit!$O$5,1)="B",AX684,MAX(AX684,G684))))</f>
        <v>1</v>
      </c>
      <c r="AU684" s="57" t="n">
        <f aca="false">IF(BR684=1,0,ROUNDUP(AT684/BQ684,0))</f>
        <v>0</v>
      </c>
      <c r="AV684" s="59" t="n">
        <f aca="false">IF(CD684&gt;0,CD684*MAX(1,AT684/V684),IF(BR684=1,IF(AT684&lt;=0,0,BS684*MAX(1,IF(G684&gt;0,AT684/G684,1))),IF(Q684&gt;0,AU684/Q684,0))/MAX(0.1,N(Parameter!$M$21)))</f>
        <v>0.15</v>
      </c>
      <c r="AW684" s="57" t="n">
        <f aca="false">AT684*F684</f>
        <v>159</v>
      </c>
      <c r="AX684" s="57" t="n">
        <f aca="false">ROUNDUP(MAX(I684/IF(BV684&gt;0,BV684,MAX(0.1,N(Cockpit!$O$6))),BY684)/BQ684,0)*BQ684</f>
        <v>1</v>
      </c>
      <c r="AY684" s="58" t="n">
        <f aca="false">IF(AV684&gt;0,I684/AV684,-1)</f>
        <v>0</v>
      </c>
      <c r="AZ684" s="58" t="str">
        <f aca="false">IF(AND(OR(BU684="L1",BU684="L23"),AV684&gt;0),SUMIFS($AV$7:$AV$1576,$BU$7:$BU$1576,BU684,$AY$7:$AY$1576,"&gt;"&amp;AY684)+SUMIFS($AV$7:$AV$1576,$BU$7:$BU$1576,BU684,$AY$7:$AY$1576,AY684,$BO$7:$BO$1576,"&lt;="&amp;BO684),"")</f>
        <v/>
      </c>
      <c r="BA684" s="65" t="n">
        <f aca="false">IF(AZ684="",0,MAX(0,MIN(1,(IF(BU684="L1",Parameter!$E$5,Parameter!$E$6+Parameter!$E$7)-(AZ684-AV684))/AV684)))</f>
        <v>0</v>
      </c>
      <c r="BB684" s="55" t="str">
        <f aca="false">IF(AF684&lt;=0,"",IF(BU684="Aussen","Aussenlager",IF(BU684="-","Nicht im Lift",IF(AK684&gt;=1,"Lift",IF(AK684&lt;=0,"Aussenlager","teilweise")))))</f>
        <v/>
      </c>
      <c r="BC684" s="55" t="str">
        <f aca="false">IF(AN684&lt;=0,"",IF(BU684="Aussen","Aussenlager",IF(BU684="-","Nicht im Lift",IF(AS684&gt;=1,"Lift",IF(AS684&lt;=0,"Aussenlager","teilweise")))))</f>
        <v>Nicht im Lift</v>
      </c>
      <c r="BD684" s="55" t="str">
        <f aca="false">IF(AV684&lt;=0,"",IF(BU684="Aussen","Aussenlager",IF(BU684="-","Nicht im Lift",IF(BA684&gt;=1,"Lift",IF(BA684&lt;=0,"Aussenlager","teilweise")))))</f>
        <v>Nicht im Lift</v>
      </c>
      <c r="BE684" s="55" t="str">
        <f aca="false">IF(A684="","",IF(BN684=1,"Neu; ","")&amp;IF(AND(BN684=0,BI684&lt;0),"negativer Bestand (Export "&amp;BI684&amp;"); ","")&amp;IF(I684&lt;=0,"Kein Verbrauch; ","")&amp;IF(CD684&gt;0,"Lift "&amp;U684&amp;" lt. Liftbericht (Fach "&amp;V684&amp;" Stk); ",IF(BR684=1,"Lose – Fläche geschätzt; ",""))&amp;IF(G684&gt;AP684,"Überbestand "&amp;ROUND(G684-AP684,0)&amp;" Stk / CHF "&amp;ROUND((G684-AP684)*F684,0)&amp;"; ","")&amp;IF(AND(BW684=1,BX684&lt;BY684),"MAX &lt; MB+LG; ","")&amp;IF(AND(CC684&gt;0,CB684*10&gt;CC684),"zu hoch für Tablar; ","")&amp;IF(AND(BN684=0,OR(BW684=1,Y684&lt;&gt;"",S684&lt;&gt;"",T684&lt;&gt;"",Z684&lt;&gt;"")),"manuell übersteuert; ","")&amp;IF(AND(BR684=0,Q684=0),"Gebinde unbekannt / Stellmass fehlt; ","")&amp;IF(AND(BR684=0,N(T684)&lt;=0,N(P684)&lt;=0),"Menge pro Gebinde fehlt (Ist = 1 Gebinde); ","")&amp;BM684)</f>
        <v>Kein Verbrauch; Lose – Fläche geschätzt; </v>
      </c>
      <c r="BF684" s="55"/>
      <c r="BG684" s="55"/>
      <c r="BH684" s="62"/>
      <c r="BI684" s="57" t="n">
        <v>0</v>
      </c>
      <c r="BJ684" s="57" t="n">
        <v>0</v>
      </c>
      <c r="BK684" s="56" t="n">
        <v>0</v>
      </c>
      <c r="BL684" s="57" t="n">
        <v>0</v>
      </c>
      <c r="BM684" s="55"/>
      <c r="BN684" s="60" t="n">
        <v>0</v>
      </c>
      <c r="BO684" s="60" t="n">
        <v>684</v>
      </c>
      <c r="BP684" s="55" t="str">
        <f aca="false">IF(S684&lt;&gt;"",UPPER(TRIM(S684)),IF(O684="","LOSE",O684))</f>
        <v>LOSE</v>
      </c>
      <c r="BQ684" s="57" t="n">
        <f aca="false">IF(BP684="LOSE",1,IF(N(T684)&gt;0,T684,IF(N(P684)&gt;0,P684,MAX(1,G684))))</f>
        <v>1</v>
      </c>
      <c r="BR684" s="60" t="n">
        <f aca="false">IF(BP684="LOSE",1,0)</f>
        <v>1</v>
      </c>
      <c r="BS684" s="59" t="n">
        <f aca="false">IF(BR684=0,0,IF(N(R684)&gt;0,R684,IFERROR(VLOOKUP(D684,Parameter!$A$35:$C$64,3,0)+0,0)))</f>
        <v>0.15</v>
      </c>
      <c r="BT684" s="55" t="str">
        <f aca="false">IF(Y684&lt;&gt;"",Y684,X684)</f>
        <v>-</v>
      </c>
      <c r="BU684" s="55" t="str">
        <f aca="false">IF(BT684=1,"L1",IF(OR(BT684=2,BT684=3),"L23",IF(BT684="Aussen","Aussen","-")))</f>
        <v>-</v>
      </c>
      <c r="BV684" s="66" t="n">
        <f aca="false">IF(N(Z684)&gt;0,Z684,0)</f>
        <v>0</v>
      </c>
      <c r="BW684" s="60" t="n">
        <f aca="false">IF(ISNUMBER(AC684),1,0)</f>
        <v>0</v>
      </c>
      <c r="BX684" s="57" t="n">
        <f aca="false">N(AC684)</f>
        <v>0</v>
      </c>
      <c r="BY684" s="57" t="n">
        <f aca="false">N(L684)+N(M684)</f>
        <v>1</v>
      </c>
      <c r="BZ684" s="57" t="n">
        <f aca="false">ROUNDUP(G684/BQ684,0)</f>
        <v>0</v>
      </c>
      <c r="CA684" s="57" t="n">
        <f aca="false">ROUNDUP(BX684/BQ684,0)</f>
        <v>0</v>
      </c>
      <c r="CB684" s="60" t="n">
        <f aca="false">IF(BR684=1,0,IFERROR(VLOOKUP(BP684,'Gebinde-Kategorie'!$A$5:$M$45,5,0)+0,0))</f>
        <v>0</v>
      </c>
      <c r="CC684" s="60" t="n">
        <f aca="false">IFERROR(IF(OR(BT684=1,BT684=2,BT684=3),N(INDEX(Parameter!$I$5:$I$7,BT684)),0),0)</f>
        <v>0</v>
      </c>
      <c r="CD684" s="59" t="n">
        <f aca="false">IF(AND(Parameter!$B$21="Ja",ISNUMBER(U684),N(V684)&gt;0),IFERROR(N(INDEX(Parameter!$L$5:$L$7,U684))*INDEX(Parameter!$E$5:$E$7,U684)*V684/SUMIFS($V$7:$V$1576,$U$7:$U$1576,U684),0),0)</f>
        <v>0</v>
      </c>
    </row>
    <row r="685" customFormat="false" ht="15" hidden="false" customHeight="false" outlineLevel="0" collapsed="false">
      <c r="A685" s="55" t="s">
        <v>1361</v>
      </c>
      <c r="B685" s="55" t="s">
        <v>1362</v>
      </c>
      <c r="C685" s="55" t="s">
        <v>160</v>
      </c>
      <c r="D685" s="55" t="s">
        <v>984</v>
      </c>
      <c r="E685" s="55" t="s">
        <v>210</v>
      </c>
      <c r="F685" s="56" t="n">
        <v>3157.32</v>
      </c>
      <c r="G685" s="57" t="n">
        <f aca="false">MAX(0,IF(AND(Parameter!$B$21="Ja",ISNUMBER(W685)),W685,IF(Parameter!$B$20="Jahresanfang 2025 + Export",BJ685+BI685,BI685)))</f>
        <v>0</v>
      </c>
      <c r="H685" s="57" t="n">
        <f aca="false">G685*F685</f>
        <v>0</v>
      </c>
      <c r="I685" s="57" t="n">
        <f aca="false">BL685*Parameter!$B$18</f>
        <v>3</v>
      </c>
      <c r="J685" s="58" t="n">
        <v>0</v>
      </c>
      <c r="K685" s="59" t="n">
        <v>0</v>
      </c>
      <c r="L685" s="57" t="n">
        <v>0</v>
      </c>
      <c r="M685" s="57" t="n">
        <v>1</v>
      </c>
      <c r="N685" s="60" t="n">
        <v>70</v>
      </c>
      <c r="O685" s="55" t="s">
        <v>163</v>
      </c>
      <c r="P685" s="57"/>
      <c r="Q685" s="60" t="n">
        <f aca="false">IF(BR685=1,0,IFERROR(VLOOKUP(BP685,'Gebinde-Kategorie'!$A$5:$M$45,13,0)+0,0))</f>
        <v>0</v>
      </c>
      <c r="R685" s="61"/>
      <c r="S685" s="62"/>
      <c r="T685" s="62"/>
      <c r="U685" s="55"/>
      <c r="V685" s="57"/>
      <c r="W685" s="57"/>
      <c r="X685" s="55" t="str">
        <f aca="false">IF(A685="","",IF(AND(Parameter!$B$21="Ja",ISNUMBER(U685)),U685,IF(IFERROR(VLOOKUP(D685,Parameter!$A$35:$C$64,2,0),"Nein")="2+3",IF(ISNUMBER(SEARCH("grosser Artikel",BM685)),2,IFERROR(VLOOKUP(BP685,Parameter!$F$35:$G$64,2,0),2)),IF(OR(IFERROR(VLOOKUP(D685,Parameter!$A$35:$C$64,2,0),"Nein")="Nein",IFERROR(VLOOKUP(D685,Parameter!$A$35:$C$64,2,0),"Nein")=""),"-",VLOOKUP(D685,Parameter!$A$35:$C$64,2,0)))))</f>
        <v>-</v>
      </c>
      <c r="Y685" s="62"/>
      <c r="Z685" s="63"/>
      <c r="AA685" s="57" t="n">
        <f aca="false">AP685</f>
        <v>2</v>
      </c>
      <c r="AB685" s="57" t="n">
        <f aca="false">MAX(AP685,G685)</f>
        <v>2</v>
      </c>
      <c r="AC685" s="64"/>
      <c r="AD685" s="57" t="n">
        <f aca="false">IF(LEFT(Cockpit!$C$5,1)="A",G685,IF(BW685=1,BX685,IF(LEFT(Cockpit!$C$5,1)="B",AH685,MAX(AH685,G685))))</f>
        <v>0</v>
      </c>
      <c r="AE685" s="57" t="n">
        <f aca="false">IF(BR685=1,0,ROUNDUP(AD685/BQ685,0))</f>
        <v>0</v>
      </c>
      <c r="AF685" s="59" t="n">
        <f aca="false">IF(CD685&gt;0,CD685*MAX(1,AD685/V685),IF(BR685=1,IF(AD685&lt;=0,0,BS685*MAX(1,IF(G685&gt;0,AD685/G685,1))),IF(Q685&gt;0,AE685/Q685,0))/MAX(0.1,N(Parameter!$M$21)))</f>
        <v>0</v>
      </c>
      <c r="AG685" s="57" t="n">
        <f aca="false">AD685*F685</f>
        <v>0</v>
      </c>
      <c r="AH685" s="57" t="n">
        <f aca="false">ROUNDUP(MAX(I685/IF(BV685&gt;0,BV685,MAX(0.1,N(Cockpit!$C$6))),BY685)/BQ685,0)*BQ685</f>
        <v>2</v>
      </c>
      <c r="AI685" s="58" t="n">
        <f aca="false">IF(AF685&gt;0,I685/AF685,-1)</f>
        <v>-1</v>
      </c>
      <c r="AJ685" s="58" t="str">
        <f aca="false">IF(AND(OR(BU685="L1",BU685="L23"),AF685&gt;0),SUMIFS($AF$7:$AF$1576,$BU$7:$BU$1576,BU685,$AI$7:$AI$1576,"&gt;"&amp;AI685)+SUMIFS($AF$7:$AF$1576,$BU$7:$BU$1576,BU685,$AI$7:$AI$1576,AI685,$BO$7:$BO$1576,"&lt;="&amp;BO685),"")</f>
        <v/>
      </c>
      <c r="AK685" s="65" t="n">
        <f aca="false">IF(AJ685="",0,MAX(0,MIN(1,(IF(BU685="L1",Parameter!$E$5,Parameter!$E$6+Parameter!$E$7)-(AJ685-AF685))/AF685)))</f>
        <v>0</v>
      </c>
      <c r="AL685" s="57" t="n">
        <f aca="false">IF(LEFT(Cockpit!$I$5,1)="A",G685,IF(BW685=1,BX685,IF(LEFT(Cockpit!$I$5,1)="B",AP685,MAX(AP685,G685))))</f>
        <v>2</v>
      </c>
      <c r="AM685" s="57" t="n">
        <f aca="false">IF(BR685=1,0,ROUNDUP(AL685/BQ685,0))</f>
        <v>0</v>
      </c>
      <c r="AN685" s="59" t="n">
        <f aca="false">IF(CD685&gt;0,CD685*MAX(1,AL685/V685),IF(BR685=1,IF(AL685&lt;=0,0,BS685*MAX(1,IF(G685&gt;0,AL685/G685,1))),IF(Q685&gt;0,AM685/Q685,0))/MAX(0.1,N(Parameter!$M$21)))</f>
        <v>0.15</v>
      </c>
      <c r="AO685" s="57" t="n">
        <f aca="false">AL685*F685</f>
        <v>6314.64</v>
      </c>
      <c r="AP685" s="57" t="n">
        <f aca="false">ROUNDUP(MAX(I685/IF(BV685&gt;0,BV685,MAX(0.1,N(Cockpit!$I$6))),BY685)/BQ685,0)*BQ685</f>
        <v>2</v>
      </c>
      <c r="AQ685" s="58" t="n">
        <f aca="false">IF(AN685&gt;0,I685/AN685,-1)</f>
        <v>20</v>
      </c>
      <c r="AR685" s="58" t="str">
        <f aca="false">IF(AND(OR(BU685="L1",BU685="L23"),AN685&gt;0),SUMIFS($AN$7:$AN$1576,$BU$7:$BU$1576,BU685,$AQ$7:$AQ$1576,"&gt;"&amp;AQ685)+SUMIFS($AN$7:$AN$1576,$BU$7:$BU$1576,BU685,$AQ$7:$AQ$1576,AQ685,$BO$7:$BO$1576,"&lt;="&amp;BO685),"")</f>
        <v/>
      </c>
      <c r="AS685" s="65" t="n">
        <f aca="false">IF(AR685="",0,MAX(0,MIN(1,(IF(BU685="L1",Parameter!$E$5,Parameter!$E$6+Parameter!$E$7)-(AR685-AN685))/AN685)))</f>
        <v>0</v>
      </c>
      <c r="AT685" s="57" t="n">
        <f aca="false">IF(LEFT(Cockpit!$O$5,1)="A",G685,IF(BW685=1,BX685,IF(LEFT(Cockpit!$O$5,1)="B",AX685,MAX(AX685,G685))))</f>
        <v>1</v>
      </c>
      <c r="AU685" s="57" t="n">
        <f aca="false">IF(BR685=1,0,ROUNDUP(AT685/BQ685,0))</f>
        <v>0</v>
      </c>
      <c r="AV685" s="59" t="n">
        <f aca="false">IF(CD685&gt;0,CD685*MAX(1,AT685/V685),IF(BR685=1,IF(AT685&lt;=0,0,BS685*MAX(1,IF(G685&gt;0,AT685/G685,1))),IF(Q685&gt;0,AU685/Q685,0))/MAX(0.1,N(Parameter!$M$21)))</f>
        <v>0.15</v>
      </c>
      <c r="AW685" s="57" t="n">
        <f aca="false">AT685*F685</f>
        <v>3157.32</v>
      </c>
      <c r="AX685" s="57" t="n">
        <f aca="false">ROUNDUP(MAX(I685/IF(BV685&gt;0,BV685,MAX(0.1,N(Cockpit!$O$6))),BY685)/BQ685,0)*BQ685</f>
        <v>1</v>
      </c>
      <c r="AY685" s="58" t="n">
        <f aca="false">IF(AV685&gt;0,I685/AV685,-1)</f>
        <v>20</v>
      </c>
      <c r="AZ685" s="58" t="str">
        <f aca="false">IF(AND(OR(BU685="L1",BU685="L23"),AV685&gt;0),SUMIFS($AV$7:$AV$1576,$BU$7:$BU$1576,BU685,$AY$7:$AY$1576,"&gt;"&amp;AY685)+SUMIFS($AV$7:$AV$1576,$BU$7:$BU$1576,BU685,$AY$7:$AY$1576,AY685,$BO$7:$BO$1576,"&lt;="&amp;BO685),"")</f>
        <v/>
      </c>
      <c r="BA685" s="65" t="n">
        <f aca="false">IF(AZ685="",0,MAX(0,MIN(1,(IF(BU685="L1",Parameter!$E$5,Parameter!$E$6+Parameter!$E$7)-(AZ685-AV685))/AV685)))</f>
        <v>0</v>
      </c>
      <c r="BB685" s="55" t="str">
        <f aca="false">IF(AF685&lt;=0,"",IF(BU685="Aussen","Aussenlager",IF(BU685="-","Nicht im Lift",IF(AK685&gt;=1,"Lift",IF(AK685&lt;=0,"Aussenlager","teilweise")))))</f>
        <v/>
      </c>
      <c r="BC685" s="55" t="str">
        <f aca="false">IF(AN685&lt;=0,"",IF(BU685="Aussen","Aussenlager",IF(BU685="-","Nicht im Lift",IF(AS685&gt;=1,"Lift",IF(AS685&lt;=0,"Aussenlager","teilweise")))))</f>
        <v>Nicht im Lift</v>
      </c>
      <c r="BD685" s="55" t="str">
        <f aca="false">IF(AV685&lt;=0,"",IF(BU685="Aussen","Aussenlager",IF(BU685="-","Nicht im Lift",IF(BA685&gt;=1,"Lift",IF(BA685&lt;=0,"Aussenlager","teilweise")))))</f>
        <v>Nicht im Lift</v>
      </c>
      <c r="BE685" s="55" t="str">
        <f aca="false">IF(A685="","",IF(BN685=1,"Neu; ","")&amp;IF(AND(BN685=0,BI685&lt;0),"negativer Bestand (Export "&amp;BI685&amp;"); ","")&amp;IF(I685&lt;=0,"Kein Verbrauch; ","")&amp;IF(CD685&gt;0,"Lift "&amp;U685&amp;" lt. Liftbericht (Fach "&amp;V685&amp;" Stk); ",IF(BR685=1,"Lose – Fläche geschätzt; ",""))&amp;IF(G685&gt;AP685,"Überbestand "&amp;ROUND(G685-AP685,0)&amp;" Stk / CHF "&amp;ROUND((G685-AP685)*F685,0)&amp;"; ","")&amp;IF(AND(BW685=1,BX685&lt;BY685),"MAX &lt; MB+LG; ","")&amp;IF(AND(CC685&gt;0,CB685*10&gt;CC685),"zu hoch für Tablar; ","")&amp;IF(AND(BN685=0,OR(BW685=1,Y685&lt;&gt;"",S685&lt;&gt;"",T685&lt;&gt;"",Z685&lt;&gt;"")),"manuell übersteuert; ","")&amp;IF(AND(BR685=0,Q685=0),"Gebinde unbekannt / Stellmass fehlt; ","")&amp;IF(AND(BR685=0,N(T685)&lt;=0,N(P685)&lt;=0),"Menge pro Gebinde fehlt (Ist = 1 Gebinde); ","")&amp;BM685)</f>
        <v>Lose – Fläche geschätzt; </v>
      </c>
      <c r="BF685" s="55"/>
      <c r="BG685" s="55"/>
      <c r="BH685" s="62"/>
      <c r="BI685" s="57" t="n">
        <v>0</v>
      </c>
      <c r="BJ685" s="57" t="n">
        <v>0</v>
      </c>
      <c r="BK685" s="56" t="n">
        <v>0</v>
      </c>
      <c r="BL685" s="57" t="n">
        <v>3</v>
      </c>
      <c r="BM685" s="55"/>
      <c r="BN685" s="60" t="n">
        <v>0</v>
      </c>
      <c r="BO685" s="60" t="n">
        <v>685</v>
      </c>
      <c r="BP685" s="55" t="str">
        <f aca="false">IF(S685&lt;&gt;"",UPPER(TRIM(S685)),IF(O685="","LOSE",O685))</f>
        <v>LOSE</v>
      </c>
      <c r="BQ685" s="57" t="n">
        <f aca="false">IF(BP685="LOSE",1,IF(N(T685)&gt;0,T685,IF(N(P685)&gt;0,P685,MAX(1,G685))))</f>
        <v>1</v>
      </c>
      <c r="BR685" s="60" t="n">
        <f aca="false">IF(BP685="LOSE",1,0)</f>
        <v>1</v>
      </c>
      <c r="BS685" s="59" t="n">
        <f aca="false">IF(BR685=0,0,IF(N(R685)&gt;0,R685,IFERROR(VLOOKUP(D685,Parameter!$A$35:$C$64,3,0)+0,0)))</f>
        <v>0.15</v>
      </c>
      <c r="BT685" s="55" t="str">
        <f aca="false">IF(Y685&lt;&gt;"",Y685,X685)</f>
        <v>-</v>
      </c>
      <c r="BU685" s="55" t="str">
        <f aca="false">IF(BT685=1,"L1",IF(OR(BT685=2,BT685=3),"L23",IF(BT685="Aussen","Aussen","-")))</f>
        <v>-</v>
      </c>
      <c r="BV685" s="66" t="n">
        <f aca="false">IF(N(Z685)&gt;0,Z685,0)</f>
        <v>0</v>
      </c>
      <c r="BW685" s="60" t="n">
        <f aca="false">IF(ISNUMBER(AC685),1,0)</f>
        <v>0</v>
      </c>
      <c r="BX685" s="57" t="n">
        <f aca="false">N(AC685)</f>
        <v>0</v>
      </c>
      <c r="BY685" s="57" t="n">
        <f aca="false">N(L685)+N(M685)</f>
        <v>1</v>
      </c>
      <c r="BZ685" s="57" t="n">
        <f aca="false">ROUNDUP(G685/BQ685,0)</f>
        <v>0</v>
      </c>
      <c r="CA685" s="57" t="n">
        <f aca="false">ROUNDUP(BX685/BQ685,0)</f>
        <v>0</v>
      </c>
      <c r="CB685" s="60" t="n">
        <f aca="false">IF(BR685=1,0,IFERROR(VLOOKUP(BP685,'Gebinde-Kategorie'!$A$5:$M$45,5,0)+0,0))</f>
        <v>0</v>
      </c>
      <c r="CC685" s="60" t="n">
        <f aca="false">IFERROR(IF(OR(BT685=1,BT685=2,BT685=3),N(INDEX(Parameter!$I$5:$I$7,BT685)),0),0)</f>
        <v>0</v>
      </c>
      <c r="CD685" s="59" t="n">
        <f aca="false">IF(AND(Parameter!$B$21="Ja",ISNUMBER(U685),N(V685)&gt;0),IFERROR(N(INDEX(Parameter!$L$5:$L$7,U685))*INDEX(Parameter!$E$5:$E$7,U685)*V685/SUMIFS($V$7:$V$1576,$U$7:$U$1576,U685),0),0)</f>
        <v>0</v>
      </c>
    </row>
    <row r="686" customFormat="false" ht="15" hidden="false" customHeight="false" outlineLevel="0" collapsed="false">
      <c r="A686" s="55" t="s">
        <v>1363</v>
      </c>
      <c r="B686" s="55" t="s">
        <v>1327</v>
      </c>
      <c r="C686" s="55" t="s">
        <v>160</v>
      </c>
      <c r="D686" s="55" t="s">
        <v>1328</v>
      </c>
      <c r="E686" s="55" t="s">
        <v>210</v>
      </c>
      <c r="F686" s="56" t="n">
        <v>0.65</v>
      </c>
      <c r="G686" s="57" t="n">
        <f aca="false">MAX(0,IF(AND(Parameter!$B$21="Ja",ISNUMBER(W686)),W686,IF(Parameter!$B$20="Jahresanfang 2025 + Export",BJ686+BI686,BI686)))</f>
        <v>0</v>
      </c>
      <c r="H686" s="57" t="n">
        <f aca="false">G686*F686</f>
        <v>0</v>
      </c>
      <c r="I686" s="57" t="n">
        <f aca="false">BL686*Parameter!$B$18</f>
        <v>0</v>
      </c>
      <c r="J686" s="58" t="n">
        <v>0</v>
      </c>
      <c r="K686" s="59" t="n">
        <v>0</v>
      </c>
      <c r="L686" s="57" t="n">
        <v>0</v>
      </c>
      <c r="M686" s="57" t="n">
        <v>1000</v>
      </c>
      <c r="N686" s="60" t="n">
        <v>21</v>
      </c>
      <c r="O686" s="55" t="s">
        <v>163</v>
      </c>
      <c r="P686" s="57"/>
      <c r="Q686" s="60" t="n">
        <f aca="false">IF(BR686=1,0,IFERROR(VLOOKUP(BP686,'Gebinde-Kategorie'!$A$5:$M$45,13,0)+0,0))</f>
        <v>0</v>
      </c>
      <c r="R686" s="61"/>
      <c r="S686" s="62"/>
      <c r="T686" s="62"/>
      <c r="U686" s="55"/>
      <c r="V686" s="57"/>
      <c r="W686" s="57"/>
      <c r="X686" s="55" t="str">
        <f aca="false">IF(A686="","",IF(AND(Parameter!$B$21="Ja",ISNUMBER(U686)),U686,IF(IFERROR(VLOOKUP(D686,Parameter!$A$35:$C$64,2,0),"Nein")="2+3",IF(ISNUMBER(SEARCH("grosser Artikel",BM686)),2,IFERROR(VLOOKUP(BP686,Parameter!$F$35:$G$64,2,0),2)),IF(OR(IFERROR(VLOOKUP(D686,Parameter!$A$35:$C$64,2,0),"Nein")="Nein",IFERROR(VLOOKUP(D686,Parameter!$A$35:$C$64,2,0),"Nein")=""),"-",VLOOKUP(D686,Parameter!$A$35:$C$64,2,0)))))</f>
        <v>-</v>
      </c>
      <c r="Y686" s="62"/>
      <c r="Z686" s="63"/>
      <c r="AA686" s="57" t="n">
        <f aca="false">AP686</f>
        <v>1000</v>
      </c>
      <c r="AB686" s="57" t="n">
        <f aca="false">MAX(AP686,G686)</f>
        <v>1000</v>
      </c>
      <c r="AC686" s="64"/>
      <c r="AD686" s="57" t="n">
        <f aca="false">IF(LEFT(Cockpit!$C$5,1)="A",G686,IF(BW686=1,BX686,IF(LEFT(Cockpit!$C$5,1)="B",AH686,MAX(AH686,G686))))</f>
        <v>0</v>
      </c>
      <c r="AE686" s="57" t="n">
        <f aca="false">IF(BR686=1,0,ROUNDUP(AD686/BQ686,0))</f>
        <v>0</v>
      </c>
      <c r="AF686" s="59" t="n">
        <f aca="false">IF(CD686&gt;0,CD686*MAX(1,AD686/V686),IF(BR686=1,IF(AD686&lt;=0,0,BS686*MAX(1,IF(G686&gt;0,AD686/G686,1))),IF(Q686&gt;0,AE686/Q686,0))/MAX(0.1,N(Parameter!$M$21)))</f>
        <v>0</v>
      </c>
      <c r="AG686" s="57" t="n">
        <f aca="false">AD686*F686</f>
        <v>0</v>
      </c>
      <c r="AH686" s="57" t="n">
        <f aca="false">ROUNDUP(MAX(I686/IF(BV686&gt;0,BV686,MAX(0.1,N(Cockpit!$C$6))),BY686)/BQ686,0)*BQ686</f>
        <v>1000</v>
      </c>
      <c r="AI686" s="58" t="n">
        <f aca="false">IF(AF686&gt;0,I686/AF686,-1)</f>
        <v>-1</v>
      </c>
      <c r="AJ686" s="58" t="str">
        <f aca="false">IF(AND(OR(BU686="L1",BU686="L23"),AF686&gt;0),SUMIFS($AF$7:$AF$1576,$BU$7:$BU$1576,BU686,$AI$7:$AI$1576,"&gt;"&amp;AI686)+SUMIFS($AF$7:$AF$1576,$BU$7:$BU$1576,BU686,$AI$7:$AI$1576,AI686,$BO$7:$BO$1576,"&lt;="&amp;BO686),"")</f>
        <v/>
      </c>
      <c r="AK686" s="65" t="n">
        <f aca="false">IF(AJ686="",0,MAX(0,MIN(1,(IF(BU686="L1",Parameter!$E$5,Parameter!$E$6+Parameter!$E$7)-(AJ686-AF686))/AF686)))</f>
        <v>0</v>
      </c>
      <c r="AL686" s="57" t="n">
        <f aca="false">IF(LEFT(Cockpit!$I$5,1)="A",G686,IF(BW686=1,BX686,IF(LEFT(Cockpit!$I$5,1)="B",AP686,MAX(AP686,G686))))</f>
        <v>1000</v>
      </c>
      <c r="AM686" s="57" t="n">
        <f aca="false">IF(BR686=1,0,ROUNDUP(AL686/BQ686,0))</f>
        <v>0</v>
      </c>
      <c r="AN686" s="59" t="n">
        <f aca="false">IF(CD686&gt;0,CD686*MAX(1,AL686/V686),IF(BR686=1,IF(AL686&lt;=0,0,BS686*MAX(1,IF(G686&gt;0,AL686/G686,1))),IF(Q686&gt;0,AM686/Q686,0))/MAX(0.1,N(Parameter!$M$21)))</f>
        <v>0.15</v>
      </c>
      <c r="AO686" s="57" t="n">
        <f aca="false">AL686*F686</f>
        <v>650</v>
      </c>
      <c r="AP686" s="57" t="n">
        <f aca="false">ROUNDUP(MAX(I686/IF(BV686&gt;0,BV686,MAX(0.1,N(Cockpit!$I$6))),BY686)/BQ686,0)*BQ686</f>
        <v>1000</v>
      </c>
      <c r="AQ686" s="58" t="n">
        <f aca="false">IF(AN686&gt;0,I686/AN686,-1)</f>
        <v>0</v>
      </c>
      <c r="AR686" s="58" t="str">
        <f aca="false">IF(AND(OR(BU686="L1",BU686="L23"),AN686&gt;0),SUMIFS($AN$7:$AN$1576,$BU$7:$BU$1576,BU686,$AQ$7:$AQ$1576,"&gt;"&amp;AQ686)+SUMIFS($AN$7:$AN$1576,$BU$7:$BU$1576,BU686,$AQ$7:$AQ$1576,AQ686,$BO$7:$BO$1576,"&lt;="&amp;BO686),"")</f>
        <v/>
      </c>
      <c r="AS686" s="65" t="n">
        <f aca="false">IF(AR686="",0,MAX(0,MIN(1,(IF(BU686="L1",Parameter!$E$5,Parameter!$E$6+Parameter!$E$7)-(AR686-AN686))/AN686)))</f>
        <v>0</v>
      </c>
      <c r="AT686" s="57" t="n">
        <f aca="false">IF(LEFT(Cockpit!$O$5,1)="A",G686,IF(BW686=1,BX686,IF(LEFT(Cockpit!$O$5,1)="B",AX686,MAX(AX686,G686))))</f>
        <v>1000</v>
      </c>
      <c r="AU686" s="57" t="n">
        <f aca="false">IF(BR686=1,0,ROUNDUP(AT686/BQ686,0))</f>
        <v>0</v>
      </c>
      <c r="AV686" s="59" t="n">
        <f aca="false">IF(CD686&gt;0,CD686*MAX(1,AT686/V686),IF(BR686=1,IF(AT686&lt;=0,0,BS686*MAX(1,IF(G686&gt;0,AT686/G686,1))),IF(Q686&gt;0,AU686/Q686,0))/MAX(0.1,N(Parameter!$M$21)))</f>
        <v>0.15</v>
      </c>
      <c r="AW686" s="57" t="n">
        <f aca="false">AT686*F686</f>
        <v>650</v>
      </c>
      <c r="AX686" s="57" t="n">
        <f aca="false">ROUNDUP(MAX(I686/IF(BV686&gt;0,BV686,MAX(0.1,N(Cockpit!$O$6))),BY686)/BQ686,0)*BQ686</f>
        <v>1000</v>
      </c>
      <c r="AY686" s="58" t="n">
        <f aca="false">IF(AV686&gt;0,I686/AV686,-1)</f>
        <v>0</v>
      </c>
      <c r="AZ686" s="58" t="str">
        <f aca="false">IF(AND(OR(BU686="L1",BU686="L23"),AV686&gt;0),SUMIFS($AV$7:$AV$1576,$BU$7:$BU$1576,BU686,$AY$7:$AY$1576,"&gt;"&amp;AY686)+SUMIFS($AV$7:$AV$1576,$BU$7:$BU$1576,BU686,$AY$7:$AY$1576,AY686,$BO$7:$BO$1576,"&lt;="&amp;BO686),"")</f>
        <v/>
      </c>
      <c r="BA686" s="65" t="n">
        <f aca="false">IF(AZ686="",0,MAX(0,MIN(1,(IF(BU686="L1",Parameter!$E$5,Parameter!$E$6+Parameter!$E$7)-(AZ686-AV686))/AV686)))</f>
        <v>0</v>
      </c>
      <c r="BB686" s="55" t="str">
        <f aca="false">IF(AF686&lt;=0,"",IF(BU686="Aussen","Aussenlager",IF(BU686="-","Nicht im Lift",IF(AK686&gt;=1,"Lift",IF(AK686&lt;=0,"Aussenlager","teilweise")))))</f>
        <v/>
      </c>
      <c r="BC686" s="55" t="str">
        <f aca="false">IF(AN686&lt;=0,"",IF(BU686="Aussen","Aussenlager",IF(BU686="-","Nicht im Lift",IF(AS686&gt;=1,"Lift",IF(AS686&lt;=0,"Aussenlager","teilweise")))))</f>
        <v>Nicht im Lift</v>
      </c>
      <c r="BD686" s="55" t="str">
        <f aca="false">IF(AV686&lt;=0,"",IF(BU686="Aussen","Aussenlager",IF(BU686="-","Nicht im Lift",IF(BA686&gt;=1,"Lift",IF(BA686&lt;=0,"Aussenlager","teilweise")))))</f>
        <v>Nicht im Lift</v>
      </c>
      <c r="BE686" s="55" t="str">
        <f aca="false">IF(A686="","",IF(BN686=1,"Neu; ","")&amp;IF(AND(BN686=0,BI686&lt;0),"negativer Bestand (Export "&amp;BI686&amp;"); ","")&amp;IF(I686&lt;=0,"Kein Verbrauch; ","")&amp;IF(CD686&gt;0,"Lift "&amp;U686&amp;" lt. Liftbericht (Fach "&amp;V686&amp;" Stk); ",IF(BR686=1,"Lose – Fläche geschätzt; ",""))&amp;IF(G686&gt;AP686,"Überbestand "&amp;ROUND(G686-AP686,0)&amp;" Stk / CHF "&amp;ROUND((G686-AP686)*F686,0)&amp;"; ","")&amp;IF(AND(BW686=1,BX686&lt;BY686),"MAX &lt; MB+LG; ","")&amp;IF(AND(CC686&gt;0,CB686*10&gt;CC686),"zu hoch für Tablar; ","")&amp;IF(AND(BN686=0,OR(BW686=1,Y686&lt;&gt;"",S686&lt;&gt;"",T686&lt;&gt;"",Z686&lt;&gt;"")),"manuell übersteuert; ","")&amp;IF(AND(BR686=0,Q686=0),"Gebinde unbekannt / Stellmass fehlt; ","")&amp;IF(AND(BR686=0,N(T686)&lt;=0,N(P686)&lt;=0),"Menge pro Gebinde fehlt (Ist = 1 Gebinde); ","")&amp;BM686)</f>
        <v>Kein Verbrauch; Lose – Fläche geschätzt; </v>
      </c>
      <c r="BF686" s="55"/>
      <c r="BG686" s="55"/>
      <c r="BH686" s="62"/>
      <c r="BI686" s="57" t="n">
        <v>0</v>
      </c>
      <c r="BJ686" s="57" t="n">
        <v>0</v>
      </c>
      <c r="BK686" s="56" t="n">
        <v>0</v>
      </c>
      <c r="BL686" s="57" t="n">
        <v>0</v>
      </c>
      <c r="BM686" s="55"/>
      <c r="BN686" s="60" t="n">
        <v>0</v>
      </c>
      <c r="BO686" s="60" t="n">
        <v>686</v>
      </c>
      <c r="BP686" s="55" t="str">
        <f aca="false">IF(S686&lt;&gt;"",UPPER(TRIM(S686)),IF(O686="","LOSE",O686))</f>
        <v>LOSE</v>
      </c>
      <c r="BQ686" s="57" t="n">
        <f aca="false">IF(BP686="LOSE",1,IF(N(T686)&gt;0,T686,IF(N(P686)&gt;0,P686,MAX(1,G686))))</f>
        <v>1</v>
      </c>
      <c r="BR686" s="60" t="n">
        <f aca="false">IF(BP686="LOSE",1,0)</f>
        <v>1</v>
      </c>
      <c r="BS686" s="59" t="n">
        <f aca="false">IF(BR686=0,0,IF(N(R686)&gt;0,R686,IFERROR(VLOOKUP(D686,Parameter!$A$35:$C$64,3,0)+0,0)))</f>
        <v>0.15</v>
      </c>
      <c r="BT686" s="55" t="str">
        <f aca="false">IF(Y686&lt;&gt;"",Y686,X686)</f>
        <v>-</v>
      </c>
      <c r="BU686" s="55" t="str">
        <f aca="false">IF(BT686=1,"L1",IF(OR(BT686=2,BT686=3),"L23",IF(BT686="Aussen","Aussen","-")))</f>
        <v>-</v>
      </c>
      <c r="BV686" s="66" t="n">
        <f aca="false">IF(N(Z686)&gt;0,Z686,0)</f>
        <v>0</v>
      </c>
      <c r="BW686" s="60" t="n">
        <f aca="false">IF(ISNUMBER(AC686),1,0)</f>
        <v>0</v>
      </c>
      <c r="BX686" s="57" t="n">
        <f aca="false">N(AC686)</f>
        <v>0</v>
      </c>
      <c r="BY686" s="57" t="n">
        <f aca="false">N(L686)+N(M686)</f>
        <v>1000</v>
      </c>
      <c r="BZ686" s="57" t="n">
        <f aca="false">ROUNDUP(G686/BQ686,0)</f>
        <v>0</v>
      </c>
      <c r="CA686" s="57" t="n">
        <f aca="false">ROUNDUP(BX686/BQ686,0)</f>
        <v>0</v>
      </c>
      <c r="CB686" s="60" t="n">
        <f aca="false">IF(BR686=1,0,IFERROR(VLOOKUP(BP686,'Gebinde-Kategorie'!$A$5:$M$45,5,0)+0,0))</f>
        <v>0</v>
      </c>
      <c r="CC686" s="60" t="n">
        <f aca="false">IFERROR(IF(OR(BT686=1,BT686=2,BT686=3),N(INDEX(Parameter!$I$5:$I$7,BT686)),0),0)</f>
        <v>0</v>
      </c>
      <c r="CD686" s="59" t="n">
        <f aca="false">IF(AND(Parameter!$B$21="Ja",ISNUMBER(U686),N(V686)&gt;0),IFERROR(N(INDEX(Parameter!$L$5:$L$7,U686))*INDEX(Parameter!$E$5:$E$7,U686)*V686/SUMIFS($V$7:$V$1576,$U$7:$U$1576,U686),0),0)</f>
        <v>0</v>
      </c>
    </row>
    <row r="687" customFormat="false" ht="15" hidden="false" customHeight="false" outlineLevel="0" collapsed="false">
      <c r="A687" s="55" t="s">
        <v>1364</v>
      </c>
      <c r="B687" s="55" t="s">
        <v>1351</v>
      </c>
      <c r="C687" s="55" t="s">
        <v>160</v>
      </c>
      <c r="D687" s="55" t="s">
        <v>984</v>
      </c>
      <c r="E687" s="55" t="s">
        <v>210</v>
      </c>
      <c r="F687" s="56" t="n">
        <v>2743.64</v>
      </c>
      <c r="G687" s="57" t="n">
        <f aca="false">MAX(0,IF(AND(Parameter!$B$21="Ja",ISNUMBER(W687)),W687,IF(Parameter!$B$20="Jahresanfang 2025 + Export",BJ687+BI687,BI687)))</f>
        <v>0</v>
      </c>
      <c r="H687" s="57" t="n">
        <f aca="false">G687*F687</f>
        <v>0</v>
      </c>
      <c r="I687" s="57" t="n">
        <f aca="false">BL687*Parameter!$B$18</f>
        <v>3</v>
      </c>
      <c r="J687" s="58" t="n">
        <v>0</v>
      </c>
      <c r="K687" s="59" t="n">
        <v>0</v>
      </c>
      <c r="L687" s="57" t="n">
        <v>0</v>
      </c>
      <c r="M687" s="57" t="n">
        <v>1</v>
      </c>
      <c r="N687" s="60" t="n">
        <v>70</v>
      </c>
      <c r="O687" s="55" t="s">
        <v>163</v>
      </c>
      <c r="P687" s="57"/>
      <c r="Q687" s="60" t="n">
        <f aca="false">IF(BR687=1,0,IFERROR(VLOOKUP(BP687,'Gebinde-Kategorie'!$A$5:$M$45,13,0)+0,0))</f>
        <v>0</v>
      </c>
      <c r="R687" s="61"/>
      <c r="S687" s="62"/>
      <c r="T687" s="62"/>
      <c r="U687" s="55"/>
      <c r="V687" s="57"/>
      <c r="W687" s="57"/>
      <c r="X687" s="55" t="str">
        <f aca="false">IF(A687="","",IF(AND(Parameter!$B$21="Ja",ISNUMBER(U687)),U687,IF(IFERROR(VLOOKUP(D687,Parameter!$A$35:$C$64,2,0),"Nein")="2+3",IF(ISNUMBER(SEARCH("grosser Artikel",BM687)),2,IFERROR(VLOOKUP(BP687,Parameter!$F$35:$G$64,2,0),2)),IF(OR(IFERROR(VLOOKUP(D687,Parameter!$A$35:$C$64,2,0),"Nein")="Nein",IFERROR(VLOOKUP(D687,Parameter!$A$35:$C$64,2,0),"Nein")=""),"-",VLOOKUP(D687,Parameter!$A$35:$C$64,2,0)))))</f>
        <v>-</v>
      </c>
      <c r="Y687" s="62"/>
      <c r="Z687" s="63"/>
      <c r="AA687" s="57" t="n">
        <f aca="false">AP687</f>
        <v>2</v>
      </c>
      <c r="AB687" s="57" t="n">
        <f aca="false">MAX(AP687,G687)</f>
        <v>2</v>
      </c>
      <c r="AC687" s="64"/>
      <c r="AD687" s="57" t="n">
        <f aca="false">IF(LEFT(Cockpit!$C$5,1)="A",G687,IF(BW687=1,BX687,IF(LEFT(Cockpit!$C$5,1)="B",AH687,MAX(AH687,G687))))</f>
        <v>0</v>
      </c>
      <c r="AE687" s="57" t="n">
        <f aca="false">IF(BR687=1,0,ROUNDUP(AD687/BQ687,0))</f>
        <v>0</v>
      </c>
      <c r="AF687" s="59" t="n">
        <f aca="false">IF(CD687&gt;0,CD687*MAX(1,AD687/V687),IF(BR687=1,IF(AD687&lt;=0,0,BS687*MAX(1,IF(G687&gt;0,AD687/G687,1))),IF(Q687&gt;0,AE687/Q687,0))/MAX(0.1,N(Parameter!$M$21)))</f>
        <v>0</v>
      </c>
      <c r="AG687" s="57" t="n">
        <f aca="false">AD687*F687</f>
        <v>0</v>
      </c>
      <c r="AH687" s="57" t="n">
        <f aca="false">ROUNDUP(MAX(I687/IF(BV687&gt;0,BV687,MAX(0.1,N(Cockpit!$C$6))),BY687)/BQ687,0)*BQ687</f>
        <v>2</v>
      </c>
      <c r="AI687" s="58" t="n">
        <f aca="false">IF(AF687&gt;0,I687/AF687,-1)</f>
        <v>-1</v>
      </c>
      <c r="AJ687" s="58" t="str">
        <f aca="false">IF(AND(OR(BU687="L1",BU687="L23"),AF687&gt;0),SUMIFS($AF$7:$AF$1576,$BU$7:$BU$1576,BU687,$AI$7:$AI$1576,"&gt;"&amp;AI687)+SUMIFS($AF$7:$AF$1576,$BU$7:$BU$1576,BU687,$AI$7:$AI$1576,AI687,$BO$7:$BO$1576,"&lt;="&amp;BO687),"")</f>
        <v/>
      </c>
      <c r="AK687" s="65" t="n">
        <f aca="false">IF(AJ687="",0,MAX(0,MIN(1,(IF(BU687="L1",Parameter!$E$5,Parameter!$E$6+Parameter!$E$7)-(AJ687-AF687))/AF687)))</f>
        <v>0</v>
      </c>
      <c r="AL687" s="57" t="n">
        <f aca="false">IF(LEFT(Cockpit!$I$5,1)="A",G687,IF(BW687=1,BX687,IF(LEFT(Cockpit!$I$5,1)="B",AP687,MAX(AP687,G687))))</f>
        <v>2</v>
      </c>
      <c r="AM687" s="57" t="n">
        <f aca="false">IF(BR687=1,0,ROUNDUP(AL687/BQ687,0))</f>
        <v>0</v>
      </c>
      <c r="AN687" s="59" t="n">
        <f aca="false">IF(CD687&gt;0,CD687*MAX(1,AL687/V687),IF(BR687=1,IF(AL687&lt;=0,0,BS687*MAX(1,IF(G687&gt;0,AL687/G687,1))),IF(Q687&gt;0,AM687/Q687,0))/MAX(0.1,N(Parameter!$M$21)))</f>
        <v>0.15</v>
      </c>
      <c r="AO687" s="57" t="n">
        <f aca="false">AL687*F687</f>
        <v>5487.28</v>
      </c>
      <c r="AP687" s="57" t="n">
        <f aca="false">ROUNDUP(MAX(I687/IF(BV687&gt;0,BV687,MAX(0.1,N(Cockpit!$I$6))),BY687)/BQ687,0)*BQ687</f>
        <v>2</v>
      </c>
      <c r="AQ687" s="58" t="n">
        <f aca="false">IF(AN687&gt;0,I687/AN687,-1)</f>
        <v>20</v>
      </c>
      <c r="AR687" s="58" t="str">
        <f aca="false">IF(AND(OR(BU687="L1",BU687="L23"),AN687&gt;0),SUMIFS($AN$7:$AN$1576,$BU$7:$BU$1576,BU687,$AQ$7:$AQ$1576,"&gt;"&amp;AQ687)+SUMIFS($AN$7:$AN$1576,$BU$7:$BU$1576,BU687,$AQ$7:$AQ$1576,AQ687,$BO$7:$BO$1576,"&lt;="&amp;BO687),"")</f>
        <v/>
      </c>
      <c r="AS687" s="65" t="n">
        <f aca="false">IF(AR687="",0,MAX(0,MIN(1,(IF(BU687="L1",Parameter!$E$5,Parameter!$E$6+Parameter!$E$7)-(AR687-AN687))/AN687)))</f>
        <v>0</v>
      </c>
      <c r="AT687" s="57" t="n">
        <f aca="false">IF(LEFT(Cockpit!$O$5,1)="A",G687,IF(BW687=1,BX687,IF(LEFT(Cockpit!$O$5,1)="B",AX687,MAX(AX687,G687))))</f>
        <v>1</v>
      </c>
      <c r="AU687" s="57" t="n">
        <f aca="false">IF(BR687=1,0,ROUNDUP(AT687/BQ687,0))</f>
        <v>0</v>
      </c>
      <c r="AV687" s="59" t="n">
        <f aca="false">IF(CD687&gt;0,CD687*MAX(1,AT687/V687),IF(BR687=1,IF(AT687&lt;=0,0,BS687*MAX(1,IF(G687&gt;0,AT687/G687,1))),IF(Q687&gt;0,AU687/Q687,0))/MAX(0.1,N(Parameter!$M$21)))</f>
        <v>0.15</v>
      </c>
      <c r="AW687" s="57" t="n">
        <f aca="false">AT687*F687</f>
        <v>2743.64</v>
      </c>
      <c r="AX687" s="57" t="n">
        <f aca="false">ROUNDUP(MAX(I687/IF(BV687&gt;0,BV687,MAX(0.1,N(Cockpit!$O$6))),BY687)/BQ687,0)*BQ687</f>
        <v>1</v>
      </c>
      <c r="AY687" s="58" t="n">
        <f aca="false">IF(AV687&gt;0,I687/AV687,-1)</f>
        <v>20</v>
      </c>
      <c r="AZ687" s="58" t="str">
        <f aca="false">IF(AND(OR(BU687="L1",BU687="L23"),AV687&gt;0),SUMIFS($AV$7:$AV$1576,$BU$7:$BU$1576,BU687,$AY$7:$AY$1576,"&gt;"&amp;AY687)+SUMIFS($AV$7:$AV$1576,$BU$7:$BU$1576,BU687,$AY$7:$AY$1576,AY687,$BO$7:$BO$1576,"&lt;="&amp;BO687),"")</f>
        <v/>
      </c>
      <c r="BA687" s="65" t="n">
        <f aca="false">IF(AZ687="",0,MAX(0,MIN(1,(IF(BU687="L1",Parameter!$E$5,Parameter!$E$6+Parameter!$E$7)-(AZ687-AV687))/AV687)))</f>
        <v>0</v>
      </c>
      <c r="BB687" s="55" t="str">
        <f aca="false">IF(AF687&lt;=0,"",IF(BU687="Aussen","Aussenlager",IF(BU687="-","Nicht im Lift",IF(AK687&gt;=1,"Lift",IF(AK687&lt;=0,"Aussenlager","teilweise")))))</f>
        <v/>
      </c>
      <c r="BC687" s="55" t="str">
        <f aca="false">IF(AN687&lt;=0,"",IF(BU687="Aussen","Aussenlager",IF(BU687="-","Nicht im Lift",IF(AS687&gt;=1,"Lift",IF(AS687&lt;=0,"Aussenlager","teilweise")))))</f>
        <v>Nicht im Lift</v>
      </c>
      <c r="BD687" s="55" t="str">
        <f aca="false">IF(AV687&lt;=0,"",IF(BU687="Aussen","Aussenlager",IF(BU687="-","Nicht im Lift",IF(BA687&gt;=1,"Lift",IF(BA687&lt;=0,"Aussenlager","teilweise")))))</f>
        <v>Nicht im Lift</v>
      </c>
      <c r="BE687" s="55" t="str">
        <f aca="false">IF(A687="","",IF(BN687=1,"Neu; ","")&amp;IF(AND(BN687=0,BI687&lt;0),"negativer Bestand (Export "&amp;BI687&amp;"); ","")&amp;IF(I687&lt;=0,"Kein Verbrauch; ","")&amp;IF(CD687&gt;0,"Lift "&amp;U687&amp;" lt. Liftbericht (Fach "&amp;V687&amp;" Stk); ",IF(BR687=1,"Lose – Fläche geschätzt; ",""))&amp;IF(G687&gt;AP687,"Überbestand "&amp;ROUND(G687-AP687,0)&amp;" Stk / CHF "&amp;ROUND((G687-AP687)*F687,0)&amp;"; ","")&amp;IF(AND(BW687=1,BX687&lt;BY687),"MAX &lt; MB+LG; ","")&amp;IF(AND(CC687&gt;0,CB687*10&gt;CC687),"zu hoch für Tablar; ","")&amp;IF(AND(BN687=0,OR(BW687=1,Y687&lt;&gt;"",S687&lt;&gt;"",T687&lt;&gt;"",Z687&lt;&gt;"")),"manuell übersteuert; ","")&amp;IF(AND(BR687=0,Q687=0),"Gebinde unbekannt / Stellmass fehlt; ","")&amp;IF(AND(BR687=0,N(T687)&lt;=0,N(P687)&lt;=0),"Menge pro Gebinde fehlt (Ist = 1 Gebinde); ","")&amp;BM687)</f>
        <v>Lose – Fläche geschätzt; </v>
      </c>
      <c r="BF687" s="55"/>
      <c r="BG687" s="55"/>
      <c r="BH687" s="62"/>
      <c r="BI687" s="57" t="n">
        <v>0</v>
      </c>
      <c r="BJ687" s="57" t="n">
        <v>0</v>
      </c>
      <c r="BK687" s="56" t="n">
        <v>0</v>
      </c>
      <c r="BL687" s="57" t="n">
        <v>3</v>
      </c>
      <c r="BM687" s="55"/>
      <c r="BN687" s="60" t="n">
        <v>0</v>
      </c>
      <c r="BO687" s="60" t="n">
        <v>687</v>
      </c>
      <c r="BP687" s="55" t="str">
        <f aca="false">IF(S687&lt;&gt;"",UPPER(TRIM(S687)),IF(O687="","LOSE",O687))</f>
        <v>LOSE</v>
      </c>
      <c r="BQ687" s="57" t="n">
        <f aca="false">IF(BP687="LOSE",1,IF(N(T687)&gt;0,T687,IF(N(P687)&gt;0,P687,MAX(1,G687))))</f>
        <v>1</v>
      </c>
      <c r="BR687" s="60" t="n">
        <f aca="false">IF(BP687="LOSE",1,0)</f>
        <v>1</v>
      </c>
      <c r="BS687" s="59" t="n">
        <f aca="false">IF(BR687=0,0,IF(N(R687)&gt;0,R687,IFERROR(VLOOKUP(D687,Parameter!$A$35:$C$64,3,0)+0,0)))</f>
        <v>0.15</v>
      </c>
      <c r="BT687" s="55" t="str">
        <f aca="false">IF(Y687&lt;&gt;"",Y687,X687)</f>
        <v>-</v>
      </c>
      <c r="BU687" s="55" t="str">
        <f aca="false">IF(BT687=1,"L1",IF(OR(BT687=2,BT687=3),"L23",IF(BT687="Aussen","Aussen","-")))</f>
        <v>-</v>
      </c>
      <c r="BV687" s="66" t="n">
        <f aca="false">IF(N(Z687)&gt;0,Z687,0)</f>
        <v>0</v>
      </c>
      <c r="BW687" s="60" t="n">
        <f aca="false">IF(ISNUMBER(AC687),1,0)</f>
        <v>0</v>
      </c>
      <c r="BX687" s="57" t="n">
        <f aca="false">N(AC687)</f>
        <v>0</v>
      </c>
      <c r="BY687" s="57" t="n">
        <f aca="false">N(L687)+N(M687)</f>
        <v>1</v>
      </c>
      <c r="BZ687" s="57" t="n">
        <f aca="false">ROUNDUP(G687/BQ687,0)</f>
        <v>0</v>
      </c>
      <c r="CA687" s="57" t="n">
        <f aca="false">ROUNDUP(BX687/BQ687,0)</f>
        <v>0</v>
      </c>
      <c r="CB687" s="60" t="n">
        <f aca="false">IF(BR687=1,0,IFERROR(VLOOKUP(BP687,'Gebinde-Kategorie'!$A$5:$M$45,5,0)+0,0))</f>
        <v>0</v>
      </c>
      <c r="CC687" s="60" t="n">
        <f aca="false">IFERROR(IF(OR(BT687=1,BT687=2,BT687=3),N(INDEX(Parameter!$I$5:$I$7,BT687)),0),0)</f>
        <v>0</v>
      </c>
      <c r="CD687" s="59" t="n">
        <f aca="false">IF(AND(Parameter!$B$21="Ja",ISNUMBER(U687),N(V687)&gt;0),IFERROR(N(INDEX(Parameter!$L$5:$L$7,U687))*INDEX(Parameter!$E$5:$E$7,U687)*V687/SUMIFS($V$7:$V$1576,$U$7:$U$1576,U687),0),0)</f>
        <v>0</v>
      </c>
    </row>
    <row r="688" customFormat="false" ht="15" hidden="false" customHeight="false" outlineLevel="0" collapsed="false">
      <c r="A688" s="55" t="s">
        <v>1365</v>
      </c>
      <c r="B688" s="55" t="s">
        <v>1366</v>
      </c>
      <c r="C688" s="55" t="s">
        <v>160</v>
      </c>
      <c r="D688" s="55" t="s">
        <v>984</v>
      </c>
      <c r="E688" s="55" t="s">
        <v>210</v>
      </c>
      <c r="F688" s="56" t="n">
        <v>3703.81</v>
      </c>
      <c r="G688" s="57" t="n">
        <f aca="false">MAX(0,IF(AND(Parameter!$B$21="Ja",ISNUMBER(W688)),W688,IF(Parameter!$B$20="Jahresanfang 2025 + Export",BJ688+BI688,BI688)))</f>
        <v>0</v>
      </c>
      <c r="H688" s="57" t="n">
        <f aca="false">G688*F688</f>
        <v>0</v>
      </c>
      <c r="I688" s="57" t="n">
        <f aca="false">BL688*Parameter!$B$18</f>
        <v>4</v>
      </c>
      <c r="J688" s="58" t="n">
        <v>0</v>
      </c>
      <c r="K688" s="59" t="n">
        <v>0</v>
      </c>
      <c r="L688" s="57" t="n">
        <v>0</v>
      </c>
      <c r="M688" s="57" t="n">
        <v>1</v>
      </c>
      <c r="N688" s="60" t="n">
        <v>90</v>
      </c>
      <c r="O688" s="55" t="s">
        <v>163</v>
      </c>
      <c r="P688" s="57"/>
      <c r="Q688" s="60" t="n">
        <f aca="false">IF(BR688=1,0,IFERROR(VLOOKUP(BP688,'Gebinde-Kategorie'!$A$5:$M$45,13,0)+0,0))</f>
        <v>0</v>
      </c>
      <c r="R688" s="61"/>
      <c r="S688" s="62"/>
      <c r="T688" s="62"/>
      <c r="U688" s="55"/>
      <c r="V688" s="57"/>
      <c r="W688" s="57"/>
      <c r="X688" s="55" t="str">
        <f aca="false">IF(A688="","",IF(AND(Parameter!$B$21="Ja",ISNUMBER(U688)),U688,IF(IFERROR(VLOOKUP(D688,Parameter!$A$35:$C$64,2,0),"Nein")="2+3",IF(ISNUMBER(SEARCH("grosser Artikel",BM688)),2,IFERROR(VLOOKUP(BP688,Parameter!$F$35:$G$64,2,0),2)),IF(OR(IFERROR(VLOOKUP(D688,Parameter!$A$35:$C$64,2,0),"Nein")="Nein",IFERROR(VLOOKUP(D688,Parameter!$A$35:$C$64,2,0),"Nein")=""),"-",VLOOKUP(D688,Parameter!$A$35:$C$64,2,0)))))</f>
        <v>-</v>
      </c>
      <c r="Y688" s="62"/>
      <c r="Z688" s="63"/>
      <c r="AA688" s="57" t="n">
        <f aca="false">AP688</f>
        <v>2</v>
      </c>
      <c r="AB688" s="57" t="n">
        <f aca="false">MAX(AP688,G688)</f>
        <v>2</v>
      </c>
      <c r="AC688" s="64"/>
      <c r="AD688" s="57" t="n">
        <f aca="false">IF(LEFT(Cockpit!$C$5,1)="A",G688,IF(BW688=1,BX688,IF(LEFT(Cockpit!$C$5,1)="B",AH688,MAX(AH688,G688))))</f>
        <v>0</v>
      </c>
      <c r="AE688" s="57" t="n">
        <f aca="false">IF(BR688=1,0,ROUNDUP(AD688/BQ688,0))</f>
        <v>0</v>
      </c>
      <c r="AF688" s="59" t="n">
        <f aca="false">IF(CD688&gt;0,CD688*MAX(1,AD688/V688),IF(BR688=1,IF(AD688&lt;=0,0,BS688*MAX(1,IF(G688&gt;0,AD688/G688,1))),IF(Q688&gt;0,AE688/Q688,0))/MAX(0.1,N(Parameter!$M$21)))</f>
        <v>0</v>
      </c>
      <c r="AG688" s="57" t="n">
        <f aca="false">AD688*F688</f>
        <v>0</v>
      </c>
      <c r="AH688" s="57" t="n">
        <f aca="false">ROUNDUP(MAX(I688/IF(BV688&gt;0,BV688,MAX(0.1,N(Cockpit!$C$6))),BY688)/BQ688,0)*BQ688</f>
        <v>2</v>
      </c>
      <c r="AI688" s="58" t="n">
        <f aca="false">IF(AF688&gt;0,I688/AF688,-1)</f>
        <v>-1</v>
      </c>
      <c r="AJ688" s="58" t="str">
        <f aca="false">IF(AND(OR(BU688="L1",BU688="L23"),AF688&gt;0),SUMIFS($AF$7:$AF$1576,$BU$7:$BU$1576,BU688,$AI$7:$AI$1576,"&gt;"&amp;AI688)+SUMIFS($AF$7:$AF$1576,$BU$7:$BU$1576,BU688,$AI$7:$AI$1576,AI688,$BO$7:$BO$1576,"&lt;="&amp;BO688),"")</f>
        <v/>
      </c>
      <c r="AK688" s="65" t="n">
        <f aca="false">IF(AJ688="",0,MAX(0,MIN(1,(IF(BU688="L1",Parameter!$E$5,Parameter!$E$6+Parameter!$E$7)-(AJ688-AF688))/AF688)))</f>
        <v>0</v>
      </c>
      <c r="AL688" s="57" t="n">
        <f aca="false">IF(LEFT(Cockpit!$I$5,1)="A",G688,IF(BW688=1,BX688,IF(LEFT(Cockpit!$I$5,1)="B",AP688,MAX(AP688,G688))))</f>
        <v>2</v>
      </c>
      <c r="AM688" s="57" t="n">
        <f aca="false">IF(BR688=1,0,ROUNDUP(AL688/BQ688,0))</f>
        <v>0</v>
      </c>
      <c r="AN688" s="59" t="n">
        <f aca="false">IF(CD688&gt;0,CD688*MAX(1,AL688/V688),IF(BR688=1,IF(AL688&lt;=0,0,BS688*MAX(1,IF(G688&gt;0,AL688/G688,1))),IF(Q688&gt;0,AM688/Q688,0))/MAX(0.1,N(Parameter!$M$21)))</f>
        <v>0.15</v>
      </c>
      <c r="AO688" s="57" t="n">
        <f aca="false">AL688*F688</f>
        <v>7407.62</v>
      </c>
      <c r="AP688" s="57" t="n">
        <f aca="false">ROUNDUP(MAX(I688/IF(BV688&gt;0,BV688,MAX(0.1,N(Cockpit!$I$6))),BY688)/BQ688,0)*BQ688</f>
        <v>2</v>
      </c>
      <c r="AQ688" s="58" t="n">
        <f aca="false">IF(AN688&gt;0,I688/AN688,-1)</f>
        <v>26.6666666666667</v>
      </c>
      <c r="AR688" s="58" t="str">
        <f aca="false">IF(AND(OR(BU688="L1",BU688="L23"),AN688&gt;0),SUMIFS($AN$7:$AN$1576,$BU$7:$BU$1576,BU688,$AQ$7:$AQ$1576,"&gt;"&amp;AQ688)+SUMIFS($AN$7:$AN$1576,$BU$7:$BU$1576,BU688,$AQ$7:$AQ$1576,AQ688,$BO$7:$BO$1576,"&lt;="&amp;BO688),"")</f>
        <v/>
      </c>
      <c r="AS688" s="65" t="n">
        <f aca="false">IF(AR688="",0,MAX(0,MIN(1,(IF(BU688="L1",Parameter!$E$5,Parameter!$E$6+Parameter!$E$7)-(AR688-AN688))/AN688)))</f>
        <v>0</v>
      </c>
      <c r="AT688" s="57" t="n">
        <f aca="false">IF(LEFT(Cockpit!$O$5,1)="A",G688,IF(BW688=1,BX688,IF(LEFT(Cockpit!$O$5,1)="B",AX688,MAX(AX688,G688))))</f>
        <v>2</v>
      </c>
      <c r="AU688" s="57" t="n">
        <f aca="false">IF(BR688=1,0,ROUNDUP(AT688/BQ688,0))</f>
        <v>0</v>
      </c>
      <c r="AV688" s="59" t="n">
        <f aca="false">IF(CD688&gt;0,CD688*MAX(1,AT688/V688),IF(BR688=1,IF(AT688&lt;=0,0,BS688*MAX(1,IF(G688&gt;0,AT688/G688,1))),IF(Q688&gt;0,AU688/Q688,0))/MAX(0.1,N(Parameter!$M$21)))</f>
        <v>0.15</v>
      </c>
      <c r="AW688" s="57" t="n">
        <f aca="false">AT688*F688</f>
        <v>7407.62</v>
      </c>
      <c r="AX688" s="57" t="n">
        <f aca="false">ROUNDUP(MAX(I688/IF(BV688&gt;0,BV688,MAX(0.1,N(Cockpit!$O$6))),BY688)/BQ688,0)*BQ688</f>
        <v>2</v>
      </c>
      <c r="AY688" s="58" t="n">
        <f aca="false">IF(AV688&gt;0,I688/AV688,-1)</f>
        <v>26.6666666666667</v>
      </c>
      <c r="AZ688" s="58" t="str">
        <f aca="false">IF(AND(OR(BU688="L1",BU688="L23"),AV688&gt;0),SUMIFS($AV$7:$AV$1576,$BU$7:$BU$1576,BU688,$AY$7:$AY$1576,"&gt;"&amp;AY688)+SUMIFS($AV$7:$AV$1576,$BU$7:$BU$1576,BU688,$AY$7:$AY$1576,AY688,$BO$7:$BO$1576,"&lt;="&amp;BO688),"")</f>
        <v/>
      </c>
      <c r="BA688" s="65" t="n">
        <f aca="false">IF(AZ688="",0,MAX(0,MIN(1,(IF(BU688="L1",Parameter!$E$5,Parameter!$E$6+Parameter!$E$7)-(AZ688-AV688))/AV688)))</f>
        <v>0</v>
      </c>
      <c r="BB688" s="55" t="str">
        <f aca="false">IF(AF688&lt;=0,"",IF(BU688="Aussen","Aussenlager",IF(BU688="-","Nicht im Lift",IF(AK688&gt;=1,"Lift",IF(AK688&lt;=0,"Aussenlager","teilweise")))))</f>
        <v/>
      </c>
      <c r="BC688" s="55" t="str">
        <f aca="false">IF(AN688&lt;=0,"",IF(BU688="Aussen","Aussenlager",IF(BU688="-","Nicht im Lift",IF(AS688&gt;=1,"Lift",IF(AS688&lt;=0,"Aussenlager","teilweise")))))</f>
        <v>Nicht im Lift</v>
      </c>
      <c r="BD688" s="55" t="str">
        <f aca="false">IF(AV688&lt;=0,"",IF(BU688="Aussen","Aussenlager",IF(BU688="-","Nicht im Lift",IF(BA688&gt;=1,"Lift",IF(BA688&lt;=0,"Aussenlager","teilweise")))))</f>
        <v>Nicht im Lift</v>
      </c>
      <c r="BE688" s="55" t="str">
        <f aca="false">IF(A688="","",IF(BN688=1,"Neu; ","")&amp;IF(AND(BN688=0,BI688&lt;0),"negativer Bestand (Export "&amp;BI688&amp;"); ","")&amp;IF(I688&lt;=0,"Kein Verbrauch; ","")&amp;IF(CD688&gt;0,"Lift "&amp;U688&amp;" lt. Liftbericht (Fach "&amp;V688&amp;" Stk); ",IF(BR688=1,"Lose – Fläche geschätzt; ",""))&amp;IF(G688&gt;AP688,"Überbestand "&amp;ROUND(G688-AP688,0)&amp;" Stk / CHF "&amp;ROUND((G688-AP688)*F688,0)&amp;"; ","")&amp;IF(AND(BW688=1,BX688&lt;BY688),"MAX &lt; MB+LG; ","")&amp;IF(AND(CC688&gt;0,CB688*10&gt;CC688),"zu hoch für Tablar; ","")&amp;IF(AND(BN688=0,OR(BW688=1,Y688&lt;&gt;"",S688&lt;&gt;"",T688&lt;&gt;"",Z688&lt;&gt;"")),"manuell übersteuert; ","")&amp;IF(AND(BR688=0,Q688=0),"Gebinde unbekannt / Stellmass fehlt; ","")&amp;IF(AND(BR688=0,N(T688)&lt;=0,N(P688)&lt;=0),"Menge pro Gebinde fehlt (Ist = 1 Gebinde); ","")&amp;BM688)</f>
        <v>Lose – Fläche geschätzt; </v>
      </c>
      <c r="BF688" s="55"/>
      <c r="BG688" s="55"/>
      <c r="BH688" s="62"/>
      <c r="BI688" s="57" t="n">
        <v>0</v>
      </c>
      <c r="BJ688" s="57" t="n">
        <v>0</v>
      </c>
      <c r="BK688" s="56" t="n">
        <v>0</v>
      </c>
      <c r="BL688" s="57" t="n">
        <v>4</v>
      </c>
      <c r="BM688" s="55"/>
      <c r="BN688" s="60" t="n">
        <v>0</v>
      </c>
      <c r="BO688" s="60" t="n">
        <v>688</v>
      </c>
      <c r="BP688" s="55" t="str">
        <f aca="false">IF(S688&lt;&gt;"",UPPER(TRIM(S688)),IF(O688="","LOSE",O688))</f>
        <v>LOSE</v>
      </c>
      <c r="BQ688" s="57" t="n">
        <f aca="false">IF(BP688="LOSE",1,IF(N(T688)&gt;0,T688,IF(N(P688)&gt;0,P688,MAX(1,G688))))</f>
        <v>1</v>
      </c>
      <c r="BR688" s="60" t="n">
        <f aca="false">IF(BP688="LOSE",1,0)</f>
        <v>1</v>
      </c>
      <c r="BS688" s="59" t="n">
        <f aca="false">IF(BR688=0,0,IF(N(R688)&gt;0,R688,IFERROR(VLOOKUP(D688,Parameter!$A$35:$C$64,3,0)+0,0)))</f>
        <v>0.15</v>
      </c>
      <c r="BT688" s="55" t="str">
        <f aca="false">IF(Y688&lt;&gt;"",Y688,X688)</f>
        <v>-</v>
      </c>
      <c r="BU688" s="55" t="str">
        <f aca="false">IF(BT688=1,"L1",IF(OR(BT688=2,BT688=3),"L23",IF(BT688="Aussen","Aussen","-")))</f>
        <v>-</v>
      </c>
      <c r="BV688" s="66" t="n">
        <f aca="false">IF(N(Z688)&gt;0,Z688,0)</f>
        <v>0</v>
      </c>
      <c r="BW688" s="60" t="n">
        <f aca="false">IF(ISNUMBER(AC688),1,0)</f>
        <v>0</v>
      </c>
      <c r="BX688" s="57" t="n">
        <f aca="false">N(AC688)</f>
        <v>0</v>
      </c>
      <c r="BY688" s="57" t="n">
        <f aca="false">N(L688)+N(M688)</f>
        <v>1</v>
      </c>
      <c r="BZ688" s="57" t="n">
        <f aca="false">ROUNDUP(G688/BQ688,0)</f>
        <v>0</v>
      </c>
      <c r="CA688" s="57" t="n">
        <f aca="false">ROUNDUP(BX688/BQ688,0)</f>
        <v>0</v>
      </c>
      <c r="CB688" s="60" t="n">
        <f aca="false">IF(BR688=1,0,IFERROR(VLOOKUP(BP688,'Gebinde-Kategorie'!$A$5:$M$45,5,0)+0,0))</f>
        <v>0</v>
      </c>
      <c r="CC688" s="60" t="n">
        <f aca="false">IFERROR(IF(OR(BT688=1,BT688=2,BT688=3),N(INDEX(Parameter!$I$5:$I$7,BT688)),0),0)</f>
        <v>0</v>
      </c>
      <c r="CD688" s="59" t="n">
        <f aca="false">IF(AND(Parameter!$B$21="Ja",ISNUMBER(U688),N(V688)&gt;0),IFERROR(N(INDEX(Parameter!$L$5:$L$7,U688))*INDEX(Parameter!$E$5:$E$7,U688)*V688/SUMIFS($V$7:$V$1576,$U$7:$U$1576,U688),0),0)</f>
        <v>0</v>
      </c>
    </row>
    <row r="689" customFormat="false" ht="15" hidden="false" customHeight="false" outlineLevel="0" collapsed="false">
      <c r="A689" s="55" t="s">
        <v>1367</v>
      </c>
      <c r="B689" s="55" t="s">
        <v>1368</v>
      </c>
      <c r="C689" s="55" t="s">
        <v>160</v>
      </c>
      <c r="D689" s="55" t="s">
        <v>178</v>
      </c>
      <c r="E689" s="55" t="s">
        <v>210</v>
      </c>
      <c r="F689" s="56" t="n">
        <v>8.97</v>
      </c>
      <c r="G689" s="57" t="n">
        <f aca="false">MAX(0,IF(AND(Parameter!$B$21="Ja",ISNUMBER(W689)),W689,IF(Parameter!$B$20="Jahresanfang 2025 + Export",BJ689+BI689,BI689)))</f>
        <v>0</v>
      </c>
      <c r="H689" s="57" t="n">
        <f aca="false">G689*F689</f>
        <v>0</v>
      </c>
      <c r="I689" s="57" t="n">
        <f aca="false">BL689*Parameter!$B$18</f>
        <v>0</v>
      </c>
      <c r="J689" s="58" t="n">
        <v>22.5</v>
      </c>
      <c r="K689" s="59" t="n">
        <v>0</v>
      </c>
      <c r="L689" s="57" t="n">
        <v>0</v>
      </c>
      <c r="M689" s="57" t="n">
        <v>1</v>
      </c>
      <c r="N689" s="60" t="n">
        <v>21</v>
      </c>
      <c r="O689" s="55" t="s">
        <v>411</v>
      </c>
      <c r="P689" s="57" t="n">
        <v>25</v>
      </c>
      <c r="Q689" s="60" t="n">
        <f aca="false">IF(BR689=1,0,IFERROR(VLOOKUP(BP689,'Gebinde-Kategorie'!$A$5:$M$45,13,0)+0,0))</f>
        <v>132</v>
      </c>
      <c r="R689" s="61"/>
      <c r="S689" s="62"/>
      <c r="T689" s="62"/>
      <c r="U689" s="55"/>
      <c r="V689" s="57"/>
      <c r="W689" s="57"/>
      <c r="X689" s="55" t="n">
        <f aca="false">IF(A689="","",IF(AND(Parameter!$B$21="Ja",ISNUMBER(U689)),U689,IF(IFERROR(VLOOKUP(D689,Parameter!$A$35:$C$64,2,0),"Nein")="2+3",IF(ISNUMBER(SEARCH("grosser Artikel",BM689)),2,IFERROR(VLOOKUP(BP689,Parameter!$F$35:$G$64,2,0),2)),IF(OR(IFERROR(VLOOKUP(D689,Parameter!$A$35:$C$64,2,0),"Nein")="Nein",IFERROR(VLOOKUP(D689,Parameter!$A$35:$C$64,2,0),"Nein")=""),"-",VLOOKUP(D689,Parameter!$A$35:$C$64,2,0)))))</f>
        <v>3</v>
      </c>
      <c r="Y689" s="62"/>
      <c r="Z689" s="63"/>
      <c r="AA689" s="57" t="n">
        <f aca="false">AP689</f>
        <v>25</v>
      </c>
      <c r="AB689" s="57" t="n">
        <f aca="false">MAX(AP689,G689)</f>
        <v>25</v>
      </c>
      <c r="AC689" s="64"/>
      <c r="AD689" s="57" t="n">
        <f aca="false">IF(LEFT(Cockpit!$C$5,1)="A",G689,IF(BW689=1,BX689,IF(LEFT(Cockpit!$C$5,1)="B",AH689,MAX(AH689,G689))))</f>
        <v>0</v>
      </c>
      <c r="AE689" s="57" t="n">
        <f aca="false">IF(BR689=1,0,ROUNDUP(AD689/BQ689,0))</f>
        <v>0</v>
      </c>
      <c r="AF689" s="59" t="n">
        <f aca="false">IF(CD689&gt;0,CD689*MAX(1,AD689/V689),IF(BR689=1,IF(AD689&lt;=0,0,BS689*MAX(1,IF(G689&gt;0,AD689/G689,1))),IF(Q689&gt;0,AE689/Q689,0))/MAX(0.1,N(Parameter!$M$21)))</f>
        <v>0</v>
      </c>
      <c r="AG689" s="57" t="n">
        <f aca="false">AD689*F689</f>
        <v>0</v>
      </c>
      <c r="AH689" s="57" t="n">
        <f aca="false">ROUNDUP(MAX(I689/IF(BV689&gt;0,BV689,MAX(0.1,N(Cockpit!$C$6))),BY689)/BQ689,0)*BQ689</f>
        <v>25</v>
      </c>
      <c r="AI689" s="58" t="n">
        <f aca="false">IF(AF689&gt;0,I689/AF689,-1)</f>
        <v>-1</v>
      </c>
      <c r="AJ689" s="58" t="str">
        <f aca="false">IF(AND(OR(BU689="L1",BU689="L23"),AF689&gt;0),SUMIFS($AF$7:$AF$1576,$BU$7:$BU$1576,BU689,$AI$7:$AI$1576,"&gt;"&amp;AI689)+SUMIFS($AF$7:$AF$1576,$BU$7:$BU$1576,BU689,$AI$7:$AI$1576,AI689,$BO$7:$BO$1576,"&lt;="&amp;BO689),"")</f>
        <v/>
      </c>
      <c r="AK689" s="65" t="n">
        <f aca="false">IF(AJ689="",0,MAX(0,MIN(1,(IF(BU689="L1",Parameter!$E$5,Parameter!$E$6+Parameter!$E$7)-(AJ689-AF689))/AF689)))</f>
        <v>0</v>
      </c>
      <c r="AL689" s="57" t="n">
        <f aca="false">IF(LEFT(Cockpit!$I$5,1)="A",G689,IF(BW689=1,BX689,IF(LEFT(Cockpit!$I$5,1)="B",AP689,MAX(AP689,G689))))</f>
        <v>25</v>
      </c>
      <c r="AM689" s="57" t="n">
        <f aca="false">IF(BR689=1,0,ROUNDUP(AL689/BQ689,0))</f>
        <v>1</v>
      </c>
      <c r="AN689" s="59" t="n">
        <f aca="false">IF(CD689&gt;0,CD689*MAX(1,AL689/V689),IF(BR689=1,IF(AL689&lt;=0,0,BS689*MAX(1,IF(G689&gt;0,AL689/G689,1))),IF(Q689&gt;0,AM689/Q689,0))/MAX(0.1,N(Parameter!$M$21)))</f>
        <v>0.00757575757575758</v>
      </c>
      <c r="AO689" s="57" t="n">
        <f aca="false">AL689*F689</f>
        <v>224.25</v>
      </c>
      <c r="AP689" s="57" t="n">
        <f aca="false">ROUNDUP(MAX(I689/IF(BV689&gt;0,BV689,MAX(0.1,N(Cockpit!$I$6))),BY689)/BQ689,0)*BQ689</f>
        <v>25</v>
      </c>
      <c r="AQ689" s="58" t="n">
        <f aca="false">IF(AN689&gt;0,I689/AN689,-1)</f>
        <v>0</v>
      </c>
      <c r="AR689" s="58" t="n">
        <f aca="false">IF(AND(OR(BU689="L1",BU689="L23"),AN689&gt;0),SUMIFS($AN$7:$AN$1576,$BU$7:$BU$1576,BU689,$AQ$7:$AQ$1576,"&gt;"&amp;AQ689)+SUMIFS($AN$7:$AN$1576,$BU$7:$BU$1576,BU689,$AQ$7:$AQ$1576,AQ689,$BO$7:$BO$1576,"&lt;="&amp;BO689),"")</f>
        <v>128.9091136159</v>
      </c>
      <c r="AS689" s="65" t="n">
        <f aca="false">IF(AR689="",0,MAX(0,MIN(1,(IF(BU689="L1",Parameter!$E$5,Parameter!$E$6+Parameter!$E$7)-(AR689-AN689))/AN689)))</f>
        <v>0</v>
      </c>
      <c r="AT689" s="57" t="n">
        <f aca="false">IF(LEFT(Cockpit!$O$5,1)="A",G689,IF(BW689=1,BX689,IF(LEFT(Cockpit!$O$5,1)="B",AX689,MAX(AX689,G689))))</f>
        <v>25</v>
      </c>
      <c r="AU689" s="57" t="n">
        <f aca="false">IF(BR689=1,0,ROUNDUP(AT689/BQ689,0))</f>
        <v>1</v>
      </c>
      <c r="AV689" s="59" t="n">
        <f aca="false">IF(CD689&gt;0,CD689*MAX(1,AT689/V689),IF(BR689=1,IF(AT689&lt;=0,0,BS689*MAX(1,IF(G689&gt;0,AT689/G689,1))),IF(Q689&gt;0,AU689/Q689,0))/MAX(0.1,N(Parameter!$M$21)))</f>
        <v>0.00757575757575758</v>
      </c>
      <c r="AW689" s="57" t="n">
        <f aca="false">AT689*F689</f>
        <v>224.25</v>
      </c>
      <c r="AX689" s="57" t="n">
        <f aca="false">ROUNDUP(MAX(I689/IF(BV689&gt;0,BV689,MAX(0.1,N(Cockpit!$O$6))),BY689)/BQ689,0)*BQ689</f>
        <v>25</v>
      </c>
      <c r="AY689" s="58" t="n">
        <f aca="false">IF(AV689&gt;0,I689/AV689,-1)</f>
        <v>0</v>
      </c>
      <c r="AZ689" s="58" t="n">
        <f aca="false">IF(AND(OR(BU689="L1",BU689="L23"),AV689&gt;0),SUMIFS($AV$7:$AV$1576,$BU$7:$BU$1576,BU689,$AY$7:$AY$1576,"&gt;"&amp;AY689)+SUMIFS($AV$7:$AV$1576,$BU$7:$BU$1576,BU689,$AY$7:$AY$1576,AY689,$BO$7:$BO$1576,"&lt;="&amp;BO689),"")</f>
        <v>118.968664065451</v>
      </c>
      <c r="BA689" s="65" t="n">
        <f aca="false">IF(AZ689="",0,MAX(0,MIN(1,(IF(BU689="L1",Parameter!$E$5,Parameter!$E$6+Parameter!$E$7)-(AZ689-AV689))/AV689)))</f>
        <v>0</v>
      </c>
      <c r="BB689" s="55" t="str">
        <f aca="false">IF(AF689&lt;=0,"",IF(BU689="Aussen","Aussenlager",IF(BU689="-","Nicht im Lift",IF(AK689&gt;=1,"Lift",IF(AK689&lt;=0,"Aussenlager","teilweise")))))</f>
        <v/>
      </c>
      <c r="BC689" s="55" t="str">
        <f aca="false">IF(AN689&lt;=0,"",IF(BU689="Aussen","Aussenlager",IF(BU689="-","Nicht im Lift",IF(AS689&gt;=1,"Lift",IF(AS689&lt;=0,"Aussenlager","teilweise")))))</f>
        <v>Aussenlager</v>
      </c>
      <c r="BD689" s="55" t="str">
        <f aca="false">IF(AV689&lt;=0,"",IF(BU689="Aussen","Aussenlager",IF(BU689="-","Nicht im Lift",IF(BA689&gt;=1,"Lift",IF(BA689&lt;=0,"Aussenlager","teilweise")))))</f>
        <v>Aussenlager</v>
      </c>
      <c r="BE689" s="55" t="str">
        <f aca="false">IF(A689="","",IF(BN689=1,"Neu; ","")&amp;IF(AND(BN689=0,BI689&lt;0),"negativer Bestand (Export "&amp;BI689&amp;"); ","")&amp;IF(I689&lt;=0,"Kein Verbrauch; ","")&amp;IF(CD689&gt;0,"Lift "&amp;U689&amp;" lt. Liftbericht (Fach "&amp;V689&amp;" Stk); ",IF(BR689=1,"Lose – Fläche geschätzt; ",""))&amp;IF(G689&gt;AP689,"Überbestand "&amp;ROUND(G689-AP689,0)&amp;" Stk / CHF "&amp;ROUND((G689-AP689)*F689,0)&amp;"; ","")&amp;IF(AND(BW689=1,BX689&lt;BY689),"MAX &lt; MB+LG; ","")&amp;IF(AND(CC689&gt;0,CB689*10&gt;CC689),"zu hoch für Tablar; ","")&amp;IF(AND(BN689=0,OR(BW689=1,Y689&lt;&gt;"",S689&lt;&gt;"",T689&lt;&gt;"",Z689&lt;&gt;"")),"manuell übersteuert; ","")&amp;IF(AND(BR689=0,Q689=0),"Gebinde unbekannt / Stellmass fehlt; ","")&amp;IF(AND(BR689=0,N(T689)&lt;=0,N(P689)&lt;=0),"Menge pro Gebinde fehlt (Ist = 1 Gebinde); ","")&amp;BM689)</f>
        <v>Kein Verbrauch; </v>
      </c>
      <c r="BF689" s="55"/>
      <c r="BG689" s="55"/>
      <c r="BH689" s="62"/>
      <c r="BI689" s="57" t="n">
        <v>0</v>
      </c>
      <c r="BJ689" s="57" t="n">
        <v>22</v>
      </c>
      <c r="BK689" s="56" t="n">
        <v>0</v>
      </c>
      <c r="BL689" s="57" t="n">
        <v>0</v>
      </c>
      <c r="BM689" s="55"/>
      <c r="BN689" s="60" t="n">
        <v>0</v>
      </c>
      <c r="BO689" s="60" t="n">
        <v>689</v>
      </c>
      <c r="BP689" s="55" t="str">
        <f aca="false">IF(S689&lt;&gt;"",UPPER(TRIM(S689)),IF(O689="","LOSE",O689))</f>
        <v>S32</v>
      </c>
      <c r="BQ689" s="57" t="n">
        <f aca="false">IF(BP689="LOSE",1,IF(N(T689)&gt;0,T689,IF(N(P689)&gt;0,P689,MAX(1,G689))))</f>
        <v>25</v>
      </c>
      <c r="BR689" s="60" t="n">
        <f aca="false">IF(BP689="LOSE",1,0)</f>
        <v>0</v>
      </c>
      <c r="BS689" s="59" t="n">
        <f aca="false">IF(BR689=0,0,IF(N(R689)&gt;0,R689,IFERROR(VLOOKUP(D689,Parameter!$A$35:$C$64,3,0)+0,0)))</f>
        <v>0</v>
      </c>
      <c r="BT689" s="55" t="n">
        <f aca="false">IF(Y689&lt;&gt;"",Y689,X689)</f>
        <v>3</v>
      </c>
      <c r="BU689" s="55" t="str">
        <f aca="false">IF(BT689=1,"L1",IF(OR(BT689=2,BT689=3),"L23",IF(BT689="Aussen","Aussen","-")))</f>
        <v>L23</v>
      </c>
      <c r="BV689" s="66" t="n">
        <f aca="false">IF(N(Z689)&gt;0,Z689,0)</f>
        <v>0</v>
      </c>
      <c r="BW689" s="60" t="n">
        <f aca="false">IF(ISNUMBER(AC689),1,0)</f>
        <v>0</v>
      </c>
      <c r="BX689" s="57" t="n">
        <f aca="false">N(AC689)</f>
        <v>0</v>
      </c>
      <c r="BY689" s="57" t="n">
        <f aca="false">N(L689)+N(M689)</f>
        <v>1</v>
      </c>
      <c r="BZ689" s="57" t="n">
        <f aca="false">ROUNDUP(G689/BQ689,0)</f>
        <v>0</v>
      </c>
      <c r="CA689" s="57" t="n">
        <f aca="false">ROUNDUP(BX689/BQ689,0)</f>
        <v>0</v>
      </c>
      <c r="CB689" s="60" t="n">
        <f aca="false">IF(BR689=1,0,IFERROR(VLOOKUP(BP689,'Gebinde-Kategorie'!$A$5:$M$45,5,0)+0,0))</f>
        <v>8</v>
      </c>
      <c r="CC689" s="60" t="n">
        <f aca="false">IFERROR(IF(OR(BT689=1,BT689=2,BT689=3),N(INDEX(Parameter!$I$5:$I$7,BT689)),0),0)</f>
        <v>0</v>
      </c>
      <c r="CD689" s="59" t="n">
        <f aca="false">IF(AND(Parameter!$B$21="Ja",ISNUMBER(U689),N(V689)&gt;0),IFERROR(N(INDEX(Parameter!$L$5:$L$7,U689))*INDEX(Parameter!$E$5:$E$7,U689)*V689/SUMIFS($V$7:$V$1576,$U$7:$U$1576,U689),0),0)</f>
        <v>0</v>
      </c>
    </row>
    <row r="690" customFormat="false" ht="15" hidden="false" customHeight="false" outlineLevel="0" collapsed="false">
      <c r="A690" s="55" t="s">
        <v>1369</v>
      </c>
      <c r="B690" s="55" t="s">
        <v>565</v>
      </c>
      <c r="C690" s="55" t="s">
        <v>160</v>
      </c>
      <c r="D690" s="55" t="s">
        <v>178</v>
      </c>
      <c r="E690" s="55" t="s">
        <v>210</v>
      </c>
      <c r="F690" s="56" t="n">
        <v>703.81</v>
      </c>
      <c r="G690" s="57" t="n">
        <f aca="false">MAX(0,IF(AND(Parameter!$B$21="Ja",ISNUMBER(W690)),W690,IF(Parameter!$B$20="Jahresanfang 2025 + Export",BJ690+BI690,BI690)))</f>
        <v>0</v>
      </c>
      <c r="H690" s="57" t="n">
        <f aca="false">G690*F690</f>
        <v>0</v>
      </c>
      <c r="I690" s="57" t="n">
        <f aca="false">BL690*Parameter!$B$18</f>
        <v>0</v>
      </c>
      <c r="J690" s="58" t="n">
        <v>17</v>
      </c>
      <c r="K690" s="59" t="n">
        <v>0</v>
      </c>
      <c r="L690" s="57" t="n">
        <v>0</v>
      </c>
      <c r="M690" s="57" t="n">
        <v>1</v>
      </c>
      <c r="N690" s="60" t="n">
        <v>35</v>
      </c>
      <c r="O690" s="55" t="s">
        <v>163</v>
      </c>
      <c r="P690" s="57"/>
      <c r="Q690" s="60" t="n">
        <f aca="false">IF(BR690=1,0,IFERROR(VLOOKUP(BP690,'Gebinde-Kategorie'!$A$5:$M$45,13,0)+0,0))</f>
        <v>0</v>
      </c>
      <c r="R690" s="61"/>
      <c r="S690" s="62"/>
      <c r="T690" s="62"/>
      <c r="U690" s="55"/>
      <c r="V690" s="57"/>
      <c r="W690" s="57"/>
      <c r="X690" s="55" t="n">
        <f aca="false">IF(A690="","",IF(AND(Parameter!$B$21="Ja",ISNUMBER(U690)),U690,IF(IFERROR(VLOOKUP(D690,Parameter!$A$35:$C$64,2,0),"Nein")="2+3",IF(ISNUMBER(SEARCH("grosser Artikel",BM690)),2,IFERROR(VLOOKUP(BP690,Parameter!$F$35:$G$64,2,0),2)),IF(OR(IFERROR(VLOOKUP(D690,Parameter!$A$35:$C$64,2,0),"Nein")="Nein",IFERROR(VLOOKUP(D690,Parameter!$A$35:$C$64,2,0),"Nein")=""),"-",VLOOKUP(D690,Parameter!$A$35:$C$64,2,0)))))</f>
        <v>2</v>
      </c>
      <c r="Y690" s="62"/>
      <c r="Z690" s="63"/>
      <c r="AA690" s="57" t="n">
        <f aca="false">AP690</f>
        <v>1</v>
      </c>
      <c r="AB690" s="57" t="n">
        <f aca="false">MAX(AP690,G690)</f>
        <v>1</v>
      </c>
      <c r="AC690" s="64"/>
      <c r="AD690" s="57" t="n">
        <f aca="false">IF(LEFT(Cockpit!$C$5,1)="A",G690,IF(BW690=1,BX690,IF(LEFT(Cockpit!$C$5,1)="B",AH690,MAX(AH690,G690))))</f>
        <v>0</v>
      </c>
      <c r="AE690" s="57" t="n">
        <f aca="false">IF(BR690=1,0,ROUNDUP(AD690/BQ690,0))</f>
        <v>0</v>
      </c>
      <c r="AF690" s="59" t="n">
        <f aca="false">IF(CD690&gt;0,CD690*MAX(1,AD690/V690),IF(BR690=1,IF(AD690&lt;=0,0,BS690*MAX(1,IF(G690&gt;0,AD690/G690,1))),IF(Q690&gt;0,AE690/Q690,0))/MAX(0.1,N(Parameter!$M$21)))</f>
        <v>0</v>
      </c>
      <c r="AG690" s="57" t="n">
        <f aca="false">AD690*F690</f>
        <v>0</v>
      </c>
      <c r="AH690" s="57" t="n">
        <f aca="false">ROUNDUP(MAX(I690/IF(BV690&gt;0,BV690,MAX(0.1,N(Cockpit!$C$6))),BY690)/BQ690,0)*BQ690</f>
        <v>1</v>
      </c>
      <c r="AI690" s="58" t="n">
        <f aca="false">IF(AF690&gt;0,I690/AF690,-1)</f>
        <v>-1</v>
      </c>
      <c r="AJ690" s="58" t="str">
        <f aca="false">IF(AND(OR(BU690="L1",BU690="L23"),AF690&gt;0),SUMIFS($AF$7:$AF$1576,$BU$7:$BU$1576,BU690,$AI$7:$AI$1576,"&gt;"&amp;AI690)+SUMIFS($AF$7:$AF$1576,$BU$7:$BU$1576,BU690,$AI$7:$AI$1576,AI690,$BO$7:$BO$1576,"&lt;="&amp;BO690),"")</f>
        <v/>
      </c>
      <c r="AK690" s="65" t="n">
        <f aca="false">IF(AJ690="",0,MAX(0,MIN(1,(IF(BU690="L1",Parameter!$E$5,Parameter!$E$6+Parameter!$E$7)-(AJ690-AF690))/AF690)))</f>
        <v>0</v>
      </c>
      <c r="AL690" s="57" t="n">
        <f aca="false">IF(LEFT(Cockpit!$I$5,1)="A",G690,IF(BW690=1,BX690,IF(LEFT(Cockpit!$I$5,1)="B",AP690,MAX(AP690,G690))))</f>
        <v>1</v>
      </c>
      <c r="AM690" s="57" t="n">
        <f aca="false">IF(BR690=1,0,ROUNDUP(AL690/BQ690,0))</f>
        <v>0</v>
      </c>
      <c r="AN690" s="59" t="n">
        <f aca="false">IF(CD690&gt;0,CD690*MAX(1,AL690/V690),IF(BR690=1,IF(AL690&lt;=0,0,BS690*MAX(1,IF(G690&gt;0,AL690/G690,1))),IF(Q690&gt;0,AM690/Q690,0))/MAX(0.1,N(Parameter!$M$21)))</f>
        <v>0.03</v>
      </c>
      <c r="AO690" s="57" t="n">
        <f aca="false">AL690*F690</f>
        <v>703.81</v>
      </c>
      <c r="AP690" s="57" t="n">
        <f aca="false">ROUNDUP(MAX(I690/IF(BV690&gt;0,BV690,MAX(0.1,N(Cockpit!$I$6))),BY690)/BQ690,0)*BQ690</f>
        <v>1</v>
      </c>
      <c r="AQ690" s="58" t="n">
        <f aca="false">IF(AN690&gt;0,I690/AN690,-1)</f>
        <v>0</v>
      </c>
      <c r="AR690" s="58" t="n">
        <f aca="false">IF(AND(OR(BU690="L1",BU690="L23"),AN690&gt;0),SUMIFS($AN$7:$AN$1576,$BU$7:$BU$1576,BU690,$AQ$7:$AQ$1576,"&gt;"&amp;AQ690)+SUMIFS($AN$7:$AN$1576,$BU$7:$BU$1576,BU690,$AQ$7:$AQ$1576,AQ690,$BO$7:$BO$1576,"&lt;="&amp;BO690),"")</f>
        <v>128.9391136159</v>
      </c>
      <c r="AS690" s="65" t="n">
        <f aca="false">IF(AR690="",0,MAX(0,MIN(1,(IF(BU690="L1",Parameter!$E$5,Parameter!$E$6+Parameter!$E$7)-(AR690-AN690))/AN690)))</f>
        <v>0</v>
      </c>
      <c r="AT690" s="57" t="n">
        <f aca="false">IF(LEFT(Cockpit!$O$5,1)="A",G690,IF(BW690=1,BX690,IF(LEFT(Cockpit!$O$5,1)="B",AX690,MAX(AX690,G690))))</f>
        <v>1</v>
      </c>
      <c r="AU690" s="57" t="n">
        <f aca="false">IF(BR690=1,0,ROUNDUP(AT690/BQ690,0))</f>
        <v>0</v>
      </c>
      <c r="AV690" s="59" t="n">
        <f aca="false">IF(CD690&gt;0,CD690*MAX(1,AT690/V690),IF(BR690=1,IF(AT690&lt;=0,0,BS690*MAX(1,IF(G690&gt;0,AT690/G690,1))),IF(Q690&gt;0,AU690/Q690,0))/MAX(0.1,N(Parameter!$M$21)))</f>
        <v>0.03</v>
      </c>
      <c r="AW690" s="57" t="n">
        <f aca="false">AT690*F690</f>
        <v>703.81</v>
      </c>
      <c r="AX690" s="57" t="n">
        <f aca="false">ROUNDUP(MAX(I690/IF(BV690&gt;0,BV690,MAX(0.1,N(Cockpit!$O$6))),BY690)/BQ690,0)*BQ690</f>
        <v>1</v>
      </c>
      <c r="AY690" s="58" t="n">
        <f aca="false">IF(AV690&gt;0,I690/AV690,-1)</f>
        <v>0</v>
      </c>
      <c r="AZ690" s="58" t="n">
        <f aca="false">IF(AND(OR(BU690="L1",BU690="L23"),AV690&gt;0),SUMIFS($AV$7:$AV$1576,$BU$7:$BU$1576,BU690,$AY$7:$AY$1576,"&gt;"&amp;AY690)+SUMIFS($AV$7:$AV$1576,$BU$7:$BU$1576,BU690,$AY$7:$AY$1576,AY690,$BO$7:$BO$1576,"&lt;="&amp;BO690),"")</f>
        <v>118.998664065451</v>
      </c>
      <c r="BA690" s="65" t="n">
        <f aca="false">IF(AZ690="",0,MAX(0,MIN(1,(IF(BU690="L1",Parameter!$E$5,Parameter!$E$6+Parameter!$E$7)-(AZ690-AV690))/AV690)))</f>
        <v>0</v>
      </c>
      <c r="BB690" s="55" t="str">
        <f aca="false">IF(AF690&lt;=0,"",IF(BU690="Aussen","Aussenlager",IF(BU690="-","Nicht im Lift",IF(AK690&gt;=1,"Lift",IF(AK690&lt;=0,"Aussenlager","teilweise")))))</f>
        <v/>
      </c>
      <c r="BC690" s="55" t="str">
        <f aca="false">IF(AN690&lt;=0,"",IF(BU690="Aussen","Aussenlager",IF(BU690="-","Nicht im Lift",IF(AS690&gt;=1,"Lift",IF(AS690&lt;=0,"Aussenlager","teilweise")))))</f>
        <v>Aussenlager</v>
      </c>
      <c r="BD690" s="55" t="str">
        <f aca="false">IF(AV690&lt;=0,"",IF(BU690="Aussen","Aussenlager",IF(BU690="-","Nicht im Lift",IF(BA690&gt;=1,"Lift",IF(BA690&lt;=0,"Aussenlager","teilweise")))))</f>
        <v>Aussenlager</v>
      </c>
      <c r="BE690" s="55" t="str">
        <f aca="false">IF(A690="","",IF(BN690=1,"Neu; ","")&amp;IF(AND(BN690=0,BI690&lt;0),"negativer Bestand (Export "&amp;BI690&amp;"); ","")&amp;IF(I690&lt;=0,"Kein Verbrauch; ","")&amp;IF(CD690&gt;0,"Lift "&amp;U690&amp;" lt. Liftbericht (Fach "&amp;V690&amp;" Stk); ",IF(BR690=1,"Lose – Fläche geschätzt; ",""))&amp;IF(G690&gt;AP690,"Überbestand "&amp;ROUND(G690-AP690,0)&amp;" Stk / CHF "&amp;ROUND((G690-AP690)*F690,0)&amp;"; ","")&amp;IF(AND(BW690=1,BX690&lt;BY690),"MAX &lt; MB+LG; ","")&amp;IF(AND(CC690&gt;0,CB690*10&gt;CC690),"zu hoch für Tablar; ","")&amp;IF(AND(BN690=0,OR(BW690=1,Y690&lt;&gt;"",S690&lt;&gt;"",T690&lt;&gt;"",Z690&lt;&gt;"")),"manuell übersteuert; ","")&amp;IF(AND(BR690=0,Q690=0),"Gebinde unbekannt / Stellmass fehlt; ","")&amp;IF(AND(BR690=0,N(T690)&lt;=0,N(P690)&lt;=0),"Menge pro Gebinde fehlt (Ist = 1 Gebinde); ","")&amp;BM690)</f>
        <v>Kein Verbrauch; Lose – Fläche geschätzt; </v>
      </c>
      <c r="BF690" s="55"/>
      <c r="BG690" s="55"/>
      <c r="BH690" s="62"/>
      <c r="BI690" s="57" t="n">
        <v>0</v>
      </c>
      <c r="BJ690" s="57" t="n">
        <v>17</v>
      </c>
      <c r="BK690" s="56" t="n">
        <v>0</v>
      </c>
      <c r="BL690" s="57" t="n">
        <v>0</v>
      </c>
      <c r="BM690" s="55"/>
      <c r="BN690" s="60" t="n">
        <v>0</v>
      </c>
      <c r="BO690" s="60" t="n">
        <v>690</v>
      </c>
      <c r="BP690" s="55" t="str">
        <f aca="false">IF(S690&lt;&gt;"",UPPER(TRIM(S690)),IF(O690="","LOSE",O690))</f>
        <v>LOSE</v>
      </c>
      <c r="BQ690" s="57" t="n">
        <f aca="false">IF(BP690="LOSE",1,IF(N(T690)&gt;0,T690,IF(N(P690)&gt;0,P690,MAX(1,G690))))</f>
        <v>1</v>
      </c>
      <c r="BR690" s="60" t="n">
        <f aca="false">IF(BP690="LOSE",1,0)</f>
        <v>1</v>
      </c>
      <c r="BS690" s="59" t="n">
        <f aca="false">IF(BR690=0,0,IF(N(R690)&gt;0,R690,IFERROR(VLOOKUP(D690,Parameter!$A$35:$C$64,3,0)+0,0)))</f>
        <v>0.03</v>
      </c>
      <c r="BT690" s="55" t="n">
        <f aca="false">IF(Y690&lt;&gt;"",Y690,X690)</f>
        <v>2</v>
      </c>
      <c r="BU690" s="55" t="str">
        <f aca="false">IF(BT690=1,"L1",IF(OR(BT690=2,BT690=3),"L23",IF(BT690="Aussen","Aussen","-")))</f>
        <v>L23</v>
      </c>
      <c r="BV690" s="66" t="n">
        <f aca="false">IF(N(Z690)&gt;0,Z690,0)</f>
        <v>0</v>
      </c>
      <c r="BW690" s="60" t="n">
        <f aca="false">IF(ISNUMBER(AC690),1,0)</f>
        <v>0</v>
      </c>
      <c r="BX690" s="57" t="n">
        <f aca="false">N(AC690)</f>
        <v>0</v>
      </c>
      <c r="BY690" s="57" t="n">
        <f aca="false">N(L690)+N(M690)</f>
        <v>1</v>
      </c>
      <c r="BZ690" s="57" t="n">
        <f aca="false">ROUNDUP(G690/BQ690,0)</f>
        <v>0</v>
      </c>
      <c r="CA690" s="57" t="n">
        <f aca="false">ROUNDUP(BX690/BQ690,0)</f>
        <v>0</v>
      </c>
      <c r="CB690" s="60" t="n">
        <f aca="false">IF(BR690=1,0,IFERROR(VLOOKUP(BP690,'Gebinde-Kategorie'!$A$5:$M$45,5,0)+0,0))</f>
        <v>0</v>
      </c>
      <c r="CC690" s="60" t="n">
        <f aca="false">IFERROR(IF(OR(BT690=1,BT690=2,BT690=3),N(INDEX(Parameter!$I$5:$I$7,BT690)),0),0)</f>
        <v>0</v>
      </c>
      <c r="CD690" s="59" t="n">
        <f aca="false">IF(AND(Parameter!$B$21="Ja",ISNUMBER(U690),N(V690)&gt;0),IFERROR(N(INDEX(Parameter!$L$5:$L$7,U690))*INDEX(Parameter!$E$5:$E$7,U690)*V690/SUMIFS($V$7:$V$1576,$U$7:$U$1576,U690),0),0)</f>
        <v>0</v>
      </c>
    </row>
    <row r="691" customFormat="false" ht="15" hidden="false" customHeight="false" outlineLevel="0" collapsed="false">
      <c r="A691" s="55" t="s">
        <v>1370</v>
      </c>
      <c r="B691" s="55" t="s">
        <v>421</v>
      </c>
      <c r="C691" s="55" t="s">
        <v>160</v>
      </c>
      <c r="D691" s="55" t="s">
        <v>178</v>
      </c>
      <c r="E691" s="55" t="s">
        <v>210</v>
      </c>
      <c r="F691" s="56" t="n">
        <v>137.1</v>
      </c>
      <c r="G691" s="57" t="n">
        <f aca="false">MAX(0,IF(AND(Parameter!$B$21="Ja",ISNUMBER(W691)),W691,IF(Parameter!$B$20="Jahresanfang 2025 + Export",BJ691+BI691,BI691)))</f>
        <v>0</v>
      </c>
      <c r="H691" s="57" t="n">
        <f aca="false">G691*F691</f>
        <v>0</v>
      </c>
      <c r="I691" s="57" t="n">
        <f aca="false">BL691*Parameter!$B$18</f>
        <v>1</v>
      </c>
      <c r="J691" s="58" t="n">
        <v>1</v>
      </c>
      <c r="K691" s="59" t="n">
        <v>1</v>
      </c>
      <c r="L691" s="57" t="n">
        <v>0</v>
      </c>
      <c r="M691" s="57" t="n">
        <v>1</v>
      </c>
      <c r="N691" s="60" t="n">
        <v>70</v>
      </c>
      <c r="O691" s="55" t="s">
        <v>391</v>
      </c>
      <c r="P691" s="57" t="n">
        <v>1</v>
      </c>
      <c r="Q691" s="60" t="n">
        <f aca="false">IF(BR691=1,0,IFERROR(VLOOKUP(BP691,'Gebinde-Kategorie'!$A$5:$M$45,13,0)+0,0))</f>
        <v>414</v>
      </c>
      <c r="R691" s="61"/>
      <c r="S691" s="62"/>
      <c r="T691" s="62"/>
      <c r="U691" s="55"/>
      <c r="V691" s="57"/>
      <c r="W691" s="57"/>
      <c r="X691" s="55" t="n">
        <f aca="false">IF(A691="","",IF(AND(Parameter!$B$21="Ja",ISNUMBER(U691)),U691,IF(IFERROR(VLOOKUP(D691,Parameter!$A$35:$C$64,2,0),"Nein")="2+3",IF(ISNUMBER(SEARCH("grosser Artikel",BM691)),2,IFERROR(VLOOKUP(BP691,Parameter!$F$35:$G$64,2,0),2)),IF(OR(IFERROR(VLOOKUP(D691,Parameter!$A$35:$C$64,2,0),"Nein")="Nein",IFERROR(VLOOKUP(D691,Parameter!$A$35:$C$64,2,0),"Nein")=""),"-",VLOOKUP(D691,Parameter!$A$35:$C$64,2,0)))))</f>
        <v>3</v>
      </c>
      <c r="Y691" s="62"/>
      <c r="Z691" s="63"/>
      <c r="AA691" s="57" t="n">
        <f aca="false">AP691</f>
        <v>1</v>
      </c>
      <c r="AB691" s="57" t="n">
        <f aca="false">MAX(AP691,G691)</f>
        <v>1</v>
      </c>
      <c r="AC691" s="64"/>
      <c r="AD691" s="57" t="n">
        <f aca="false">IF(LEFT(Cockpit!$C$5,1)="A",G691,IF(BW691=1,BX691,IF(LEFT(Cockpit!$C$5,1)="B",AH691,MAX(AH691,G691))))</f>
        <v>0</v>
      </c>
      <c r="AE691" s="57" t="n">
        <f aca="false">IF(BR691=1,0,ROUNDUP(AD691/BQ691,0))</f>
        <v>0</v>
      </c>
      <c r="AF691" s="59" t="n">
        <f aca="false">IF(CD691&gt;0,CD691*MAX(1,AD691/V691),IF(BR691=1,IF(AD691&lt;=0,0,BS691*MAX(1,IF(G691&gt;0,AD691/G691,1))),IF(Q691&gt;0,AE691/Q691,0))/MAX(0.1,N(Parameter!$M$21)))</f>
        <v>0</v>
      </c>
      <c r="AG691" s="57" t="n">
        <f aca="false">AD691*F691</f>
        <v>0</v>
      </c>
      <c r="AH691" s="57" t="n">
        <f aca="false">ROUNDUP(MAX(I691/IF(BV691&gt;0,BV691,MAX(0.1,N(Cockpit!$C$6))),BY691)/BQ691,0)*BQ691</f>
        <v>1</v>
      </c>
      <c r="AI691" s="58" t="n">
        <f aca="false">IF(AF691&gt;0,I691/AF691,-1)</f>
        <v>-1</v>
      </c>
      <c r="AJ691" s="58" t="str">
        <f aca="false">IF(AND(OR(BU691="L1",BU691="L23"),AF691&gt;0),SUMIFS($AF$7:$AF$1576,$BU$7:$BU$1576,BU691,$AI$7:$AI$1576,"&gt;"&amp;AI691)+SUMIFS($AF$7:$AF$1576,$BU$7:$BU$1576,BU691,$AI$7:$AI$1576,AI691,$BO$7:$BO$1576,"&lt;="&amp;BO691),"")</f>
        <v/>
      </c>
      <c r="AK691" s="65" t="n">
        <f aca="false">IF(AJ691="",0,MAX(0,MIN(1,(IF(BU691="L1",Parameter!$E$5,Parameter!$E$6+Parameter!$E$7)-(AJ691-AF691))/AF691)))</f>
        <v>0</v>
      </c>
      <c r="AL691" s="57" t="n">
        <f aca="false">IF(LEFT(Cockpit!$I$5,1)="A",G691,IF(BW691=1,BX691,IF(LEFT(Cockpit!$I$5,1)="B",AP691,MAX(AP691,G691))))</f>
        <v>1</v>
      </c>
      <c r="AM691" s="57" t="n">
        <f aca="false">IF(BR691=1,0,ROUNDUP(AL691/BQ691,0))</f>
        <v>1</v>
      </c>
      <c r="AN691" s="59" t="n">
        <f aca="false">IF(CD691&gt;0,CD691*MAX(1,AL691/V691),IF(BR691=1,IF(AL691&lt;=0,0,BS691*MAX(1,IF(G691&gt;0,AL691/G691,1))),IF(Q691&gt;0,AM691/Q691,0))/MAX(0.1,N(Parameter!$M$21)))</f>
        <v>0.00241545893719807</v>
      </c>
      <c r="AO691" s="57" t="n">
        <f aca="false">AL691*F691</f>
        <v>137.1</v>
      </c>
      <c r="AP691" s="57" t="n">
        <f aca="false">ROUNDUP(MAX(I691/IF(BV691&gt;0,BV691,MAX(0.1,N(Cockpit!$I$6))),BY691)/BQ691,0)*BQ691</f>
        <v>1</v>
      </c>
      <c r="AQ691" s="58" t="n">
        <f aca="false">IF(AN691&gt;0,I691/AN691,-1)</f>
        <v>414</v>
      </c>
      <c r="AR691" s="58" t="n">
        <f aca="false">IF(AND(OR(BU691="L1",BU691="L23"),AN691&gt;0),SUMIFS($AN$7:$AN$1576,$BU$7:$BU$1576,BU691,$AQ$7:$AQ$1576,"&gt;"&amp;AQ691)+SUMIFS($AN$7:$AN$1576,$BU$7:$BU$1576,BU691,$AQ$7:$AQ$1576,AQ691,$BO$7:$BO$1576,"&lt;="&amp;BO691),"")</f>
        <v>36.4342983710487</v>
      </c>
      <c r="AS691" s="65" t="n">
        <f aca="false">IF(AR691="",0,MAX(0,MIN(1,(IF(BU691="L1",Parameter!$E$5,Parameter!$E$6+Parameter!$E$7)-(AR691-AN691))/AN691)))</f>
        <v>1</v>
      </c>
      <c r="AT691" s="57" t="n">
        <f aca="false">IF(LEFT(Cockpit!$O$5,1)="A",G691,IF(BW691=1,BX691,IF(LEFT(Cockpit!$O$5,1)="B",AX691,MAX(AX691,G691))))</f>
        <v>1</v>
      </c>
      <c r="AU691" s="57" t="n">
        <f aca="false">IF(BR691=1,0,ROUNDUP(AT691/BQ691,0))</f>
        <v>1</v>
      </c>
      <c r="AV691" s="59" t="n">
        <f aca="false">IF(CD691&gt;0,CD691*MAX(1,AT691/V691),IF(BR691=1,IF(AT691&lt;=0,0,BS691*MAX(1,IF(G691&gt;0,AT691/G691,1))),IF(Q691&gt;0,AU691/Q691,0))/MAX(0.1,N(Parameter!$M$21)))</f>
        <v>0.00241545893719807</v>
      </c>
      <c r="AW691" s="57" t="n">
        <f aca="false">AT691*F691</f>
        <v>137.1</v>
      </c>
      <c r="AX691" s="57" t="n">
        <f aca="false">ROUNDUP(MAX(I691/IF(BV691&gt;0,BV691,MAX(0.1,N(Cockpit!$O$6))),BY691)/BQ691,0)*BQ691</f>
        <v>1</v>
      </c>
      <c r="AY691" s="58" t="n">
        <f aca="false">IF(AV691&gt;0,I691/AV691,-1)</f>
        <v>414</v>
      </c>
      <c r="AZ691" s="58" t="n">
        <f aca="false">IF(AND(OR(BU691="L1",BU691="L23"),AV691&gt;0),SUMIFS($AV$7:$AV$1576,$BU$7:$BU$1576,BU691,$AY$7:$AY$1576,"&gt;"&amp;AY691)+SUMIFS($AV$7:$AV$1576,$BU$7:$BU$1576,BU691,$AY$7:$AY$1576,AY691,$BO$7:$BO$1576,"&lt;="&amp;BO691),"")</f>
        <v>35.5990436257939</v>
      </c>
      <c r="BA691" s="65" t="n">
        <f aca="false">IF(AZ691="",0,MAX(0,MIN(1,(IF(BU691="L1",Parameter!$E$5,Parameter!$E$6+Parameter!$E$7)-(AZ691-AV691))/AV691)))</f>
        <v>1</v>
      </c>
      <c r="BB691" s="55" t="str">
        <f aca="false">IF(AF691&lt;=0,"",IF(BU691="Aussen","Aussenlager",IF(BU691="-","Nicht im Lift",IF(AK691&gt;=1,"Lift",IF(AK691&lt;=0,"Aussenlager","teilweise")))))</f>
        <v/>
      </c>
      <c r="BC691" s="55" t="str">
        <f aca="false">IF(AN691&lt;=0,"",IF(BU691="Aussen","Aussenlager",IF(BU691="-","Nicht im Lift",IF(AS691&gt;=1,"Lift",IF(AS691&lt;=0,"Aussenlager","teilweise")))))</f>
        <v>Lift</v>
      </c>
      <c r="BD691" s="55" t="str">
        <f aca="false">IF(AV691&lt;=0,"",IF(BU691="Aussen","Aussenlager",IF(BU691="-","Nicht im Lift",IF(BA691&gt;=1,"Lift",IF(BA691&lt;=0,"Aussenlager","teilweise")))))</f>
        <v>Lift</v>
      </c>
      <c r="BE691" s="55" t="str">
        <f aca="false">IF(A691="","",IF(BN691=1,"Neu; ","")&amp;IF(AND(BN691=0,BI691&lt;0),"negativer Bestand (Export "&amp;BI691&amp;"); ","")&amp;IF(I691&lt;=0,"Kein Verbrauch; ","")&amp;IF(CD691&gt;0,"Lift "&amp;U691&amp;" lt. Liftbericht (Fach "&amp;V691&amp;" Stk); ",IF(BR691=1,"Lose – Fläche geschätzt; ",""))&amp;IF(G691&gt;AP691,"Überbestand "&amp;ROUND(G691-AP691,0)&amp;" Stk / CHF "&amp;ROUND((G691-AP691)*F691,0)&amp;"; ","")&amp;IF(AND(BW691=1,BX691&lt;BY691),"MAX &lt; MB+LG; ","")&amp;IF(AND(CC691&gt;0,CB691*10&gt;CC691),"zu hoch für Tablar; ","")&amp;IF(AND(BN691=0,OR(BW691=1,Y691&lt;&gt;"",S691&lt;&gt;"",T691&lt;&gt;"",Z691&lt;&gt;"")),"manuell übersteuert; ","")&amp;IF(AND(BR691=0,Q691=0),"Gebinde unbekannt / Stellmass fehlt; ","")&amp;IF(AND(BR691=0,N(T691)&lt;=0,N(P691)&lt;=0),"Menge pro Gebinde fehlt (Ist = 1 Gebinde); ","")&amp;BM691)</f>
        <v/>
      </c>
      <c r="BF691" s="55"/>
      <c r="BG691" s="55"/>
      <c r="BH691" s="62"/>
      <c r="BI691" s="57" t="n">
        <v>0</v>
      </c>
      <c r="BJ691" s="57" t="n">
        <v>1</v>
      </c>
      <c r="BK691" s="56" t="n">
        <v>0</v>
      </c>
      <c r="BL691" s="57" t="n">
        <v>1</v>
      </c>
      <c r="BM691" s="55"/>
      <c r="BN691" s="60" t="n">
        <v>0</v>
      </c>
      <c r="BO691" s="60" t="n">
        <v>691</v>
      </c>
      <c r="BP691" s="55" t="str">
        <f aca="false">IF(S691&lt;&gt;"",UPPER(TRIM(S691)),IF(O691="","LOSE",O691))</f>
        <v>S21</v>
      </c>
      <c r="BQ691" s="57" t="n">
        <f aca="false">IF(BP691="LOSE",1,IF(N(T691)&gt;0,T691,IF(N(P691)&gt;0,P691,MAX(1,G691))))</f>
        <v>1</v>
      </c>
      <c r="BR691" s="60" t="n">
        <f aca="false">IF(BP691="LOSE",1,0)</f>
        <v>0</v>
      </c>
      <c r="BS691" s="59" t="n">
        <f aca="false">IF(BR691=0,0,IF(N(R691)&gt;0,R691,IFERROR(VLOOKUP(D691,Parameter!$A$35:$C$64,3,0)+0,0)))</f>
        <v>0</v>
      </c>
      <c r="BT691" s="55" t="n">
        <f aca="false">IF(Y691&lt;&gt;"",Y691,X691)</f>
        <v>3</v>
      </c>
      <c r="BU691" s="55" t="str">
        <f aca="false">IF(BT691=1,"L1",IF(OR(BT691=2,BT691=3),"L23",IF(BT691="Aussen","Aussen","-")))</f>
        <v>L23</v>
      </c>
      <c r="BV691" s="66" t="n">
        <f aca="false">IF(N(Z691)&gt;0,Z691,0)</f>
        <v>0</v>
      </c>
      <c r="BW691" s="60" t="n">
        <f aca="false">IF(ISNUMBER(AC691),1,0)</f>
        <v>0</v>
      </c>
      <c r="BX691" s="57" t="n">
        <f aca="false">N(AC691)</f>
        <v>0</v>
      </c>
      <c r="BY691" s="57" t="n">
        <f aca="false">N(L691)+N(M691)</f>
        <v>1</v>
      </c>
      <c r="BZ691" s="57" t="n">
        <f aca="false">ROUNDUP(G691/BQ691,0)</f>
        <v>0</v>
      </c>
      <c r="CA691" s="57" t="n">
        <f aca="false">ROUNDUP(BX691/BQ691,0)</f>
        <v>0</v>
      </c>
      <c r="CB691" s="60" t="n">
        <f aca="false">IF(BR691=1,0,IFERROR(VLOOKUP(BP691,'Gebinde-Kategorie'!$A$5:$M$45,5,0)+0,0))</f>
        <v>8</v>
      </c>
      <c r="CC691" s="60" t="n">
        <f aca="false">IFERROR(IF(OR(BT691=1,BT691=2,BT691=3),N(INDEX(Parameter!$I$5:$I$7,BT691)),0),0)</f>
        <v>0</v>
      </c>
      <c r="CD691" s="59" t="n">
        <f aca="false">IF(AND(Parameter!$B$21="Ja",ISNUMBER(U691),N(V691)&gt;0),IFERROR(N(INDEX(Parameter!$L$5:$L$7,U691))*INDEX(Parameter!$E$5:$E$7,U691)*V691/SUMIFS($V$7:$V$1576,$U$7:$U$1576,U691),0),0)</f>
        <v>0</v>
      </c>
    </row>
    <row r="692" customFormat="false" ht="15" hidden="false" customHeight="false" outlineLevel="0" collapsed="false">
      <c r="A692" s="55" t="s">
        <v>1371</v>
      </c>
      <c r="B692" s="55" t="s">
        <v>1372</v>
      </c>
      <c r="C692" s="55" t="s">
        <v>160</v>
      </c>
      <c r="D692" s="55" t="s">
        <v>168</v>
      </c>
      <c r="E692" s="55" t="s">
        <v>210</v>
      </c>
      <c r="F692" s="56" t="n">
        <v>11045.16</v>
      </c>
      <c r="G692" s="57" t="n">
        <f aca="false">MAX(0,IF(AND(Parameter!$B$21="Ja",ISNUMBER(W692)),W692,IF(Parameter!$B$20="Jahresanfang 2025 + Export",BJ692+BI692,BI692)))</f>
        <v>0</v>
      </c>
      <c r="H692" s="57" t="n">
        <f aca="false">G692*F692</f>
        <v>0</v>
      </c>
      <c r="I692" s="57" t="n">
        <f aca="false">BL692*Parameter!$B$18</f>
        <v>2</v>
      </c>
      <c r="J692" s="58" t="n">
        <v>0</v>
      </c>
      <c r="K692" s="59" t="n">
        <v>0</v>
      </c>
      <c r="L692" s="57" t="n">
        <v>0</v>
      </c>
      <c r="M692" s="57" t="n">
        <v>1</v>
      </c>
      <c r="N692" s="60" t="n">
        <v>170</v>
      </c>
      <c r="O692" s="55" t="s">
        <v>163</v>
      </c>
      <c r="P692" s="57"/>
      <c r="Q692" s="60" t="n">
        <f aca="false">IF(BR692=1,0,IFERROR(VLOOKUP(BP692,'Gebinde-Kategorie'!$A$5:$M$45,13,0)+0,0))</f>
        <v>0</v>
      </c>
      <c r="R692" s="61"/>
      <c r="S692" s="62"/>
      <c r="T692" s="62"/>
      <c r="U692" s="55"/>
      <c r="V692" s="57"/>
      <c r="W692" s="57"/>
      <c r="X692" s="55" t="n">
        <f aca="false">IF(A692="","",IF(AND(Parameter!$B$21="Ja",ISNUMBER(U692)),U692,IF(IFERROR(VLOOKUP(D692,Parameter!$A$35:$C$64,2,0),"Nein")="2+3",IF(ISNUMBER(SEARCH("grosser Artikel",BM692)),2,IFERROR(VLOOKUP(BP692,Parameter!$F$35:$G$64,2,0),2)),IF(OR(IFERROR(VLOOKUP(D692,Parameter!$A$35:$C$64,2,0),"Nein")="Nein",IFERROR(VLOOKUP(D692,Parameter!$A$35:$C$64,2,0),"Nein")=""),"-",VLOOKUP(D692,Parameter!$A$35:$C$64,2,0)))))</f>
        <v>2</v>
      </c>
      <c r="Y692" s="62"/>
      <c r="Z692" s="63"/>
      <c r="AA692" s="57" t="n">
        <f aca="false">AP692</f>
        <v>1</v>
      </c>
      <c r="AB692" s="57" t="n">
        <f aca="false">MAX(AP692,G692)</f>
        <v>1</v>
      </c>
      <c r="AC692" s="64"/>
      <c r="AD692" s="57" t="n">
        <f aca="false">IF(LEFT(Cockpit!$C$5,1)="A",G692,IF(BW692=1,BX692,IF(LEFT(Cockpit!$C$5,1)="B",AH692,MAX(AH692,G692))))</f>
        <v>0</v>
      </c>
      <c r="AE692" s="57" t="n">
        <f aca="false">IF(BR692=1,0,ROUNDUP(AD692/BQ692,0))</f>
        <v>0</v>
      </c>
      <c r="AF692" s="59" t="n">
        <f aca="false">IF(CD692&gt;0,CD692*MAX(1,AD692/V692),IF(BR692=1,IF(AD692&lt;=0,0,BS692*MAX(1,IF(G692&gt;0,AD692/G692,1))),IF(Q692&gt;0,AE692/Q692,0))/MAX(0.1,N(Parameter!$M$21)))</f>
        <v>0</v>
      </c>
      <c r="AG692" s="57" t="n">
        <f aca="false">AD692*F692</f>
        <v>0</v>
      </c>
      <c r="AH692" s="57" t="n">
        <f aca="false">ROUNDUP(MAX(I692/IF(BV692&gt;0,BV692,MAX(0.1,N(Cockpit!$C$6))),BY692)/BQ692,0)*BQ692</f>
        <v>1</v>
      </c>
      <c r="AI692" s="58" t="n">
        <f aca="false">IF(AF692&gt;0,I692/AF692,-1)</f>
        <v>-1</v>
      </c>
      <c r="AJ692" s="58" t="str">
        <f aca="false">IF(AND(OR(BU692="L1",BU692="L23"),AF692&gt;0),SUMIFS($AF$7:$AF$1576,$BU$7:$BU$1576,BU692,$AI$7:$AI$1576,"&gt;"&amp;AI692)+SUMIFS($AF$7:$AF$1576,$BU$7:$BU$1576,BU692,$AI$7:$AI$1576,AI692,$BO$7:$BO$1576,"&lt;="&amp;BO692),"")</f>
        <v/>
      </c>
      <c r="AK692" s="65" t="n">
        <f aca="false">IF(AJ692="",0,MAX(0,MIN(1,(IF(BU692="L1",Parameter!$E$5,Parameter!$E$6+Parameter!$E$7)-(AJ692-AF692))/AF692)))</f>
        <v>0</v>
      </c>
      <c r="AL692" s="57" t="n">
        <f aca="false">IF(LEFT(Cockpit!$I$5,1)="A",G692,IF(BW692=1,BX692,IF(LEFT(Cockpit!$I$5,1)="B",AP692,MAX(AP692,G692))))</f>
        <v>1</v>
      </c>
      <c r="AM692" s="57" t="n">
        <f aca="false">IF(BR692=1,0,ROUNDUP(AL692/BQ692,0))</f>
        <v>0</v>
      </c>
      <c r="AN692" s="59" t="n">
        <f aca="false">IF(CD692&gt;0,CD692*MAX(1,AL692/V692),IF(BR692=1,IF(AL692&lt;=0,0,BS692*MAX(1,IF(G692&gt;0,AL692/G692,1))),IF(Q692&gt;0,AM692/Q692,0))/MAX(0.1,N(Parameter!$M$21)))</f>
        <v>0.15</v>
      </c>
      <c r="AO692" s="57" t="n">
        <f aca="false">AL692*F692</f>
        <v>11045.16</v>
      </c>
      <c r="AP692" s="57" t="n">
        <f aca="false">ROUNDUP(MAX(I692/IF(BV692&gt;0,BV692,MAX(0.1,N(Cockpit!$I$6))),BY692)/BQ692,0)*BQ692</f>
        <v>1</v>
      </c>
      <c r="AQ692" s="58" t="n">
        <f aca="false">IF(AN692&gt;0,I692/AN692,-1)</f>
        <v>13.3333333333333</v>
      </c>
      <c r="AR692" s="58" t="n">
        <f aca="false">IF(AND(OR(BU692="L1",BU692="L23"),AN692&gt;0),SUMIFS($AN$7:$AN$1576,$BU$7:$BU$1576,BU692,$AQ$7:$AQ$1576,"&gt;"&amp;AQ692)+SUMIFS($AN$7:$AN$1576,$BU$7:$BU$1576,BU692,$AQ$7:$AQ$1576,AQ692,$BO$7:$BO$1576,"&lt;="&amp;BO692),"")</f>
        <v>105.718075614337</v>
      </c>
      <c r="AS692" s="65" t="n">
        <f aca="false">IF(AR692="",0,MAX(0,MIN(1,(IF(BU692="L1",Parameter!$E$5,Parameter!$E$6+Parameter!$E$7)-(AR692-AN692))/AN692)))</f>
        <v>0</v>
      </c>
      <c r="AT692" s="57" t="n">
        <f aca="false">IF(LEFT(Cockpit!$O$5,1)="A",G692,IF(BW692=1,BX692,IF(LEFT(Cockpit!$O$5,1)="B",AX692,MAX(AX692,G692))))</f>
        <v>1</v>
      </c>
      <c r="AU692" s="57" t="n">
        <f aca="false">IF(BR692=1,0,ROUNDUP(AT692/BQ692,0))</f>
        <v>0</v>
      </c>
      <c r="AV692" s="59" t="n">
        <f aca="false">IF(CD692&gt;0,CD692*MAX(1,AT692/V692),IF(BR692=1,IF(AT692&lt;=0,0,BS692*MAX(1,IF(G692&gt;0,AT692/G692,1))),IF(Q692&gt;0,AU692/Q692,0))/MAX(0.1,N(Parameter!$M$21)))</f>
        <v>0.15</v>
      </c>
      <c r="AW692" s="57" t="n">
        <f aca="false">AT692*F692</f>
        <v>11045.16</v>
      </c>
      <c r="AX692" s="57" t="n">
        <f aca="false">ROUNDUP(MAX(I692/IF(BV692&gt;0,BV692,MAX(0.1,N(Cockpit!$O$6))),BY692)/BQ692,0)*BQ692</f>
        <v>1</v>
      </c>
      <c r="AY692" s="58" t="n">
        <f aca="false">IF(AV692&gt;0,I692/AV692,-1)</f>
        <v>13.3333333333333</v>
      </c>
      <c r="AZ692" s="58" t="n">
        <f aca="false">IF(AND(OR(BU692="L1",BU692="L23"),AV692&gt;0),SUMIFS($AV$7:$AV$1576,$BU$7:$BU$1576,BU692,$AY$7:$AY$1576,"&gt;"&amp;AY692)+SUMIFS($AV$7:$AV$1576,$BU$7:$BU$1576,BU692,$AY$7:$AY$1576,AY692,$BO$7:$BO$1576,"&lt;="&amp;BO692),"")</f>
        <v>95.7776260638872</v>
      </c>
      <c r="BA692" s="65" t="n">
        <f aca="false">IF(AZ692="",0,MAX(0,MIN(1,(IF(BU692="L1",Parameter!$E$5,Parameter!$E$6+Parameter!$E$7)-(AZ692-AV692))/AV692)))</f>
        <v>1</v>
      </c>
      <c r="BB692" s="55" t="str">
        <f aca="false">IF(AF692&lt;=0,"",IF(BU692="Aussen","Aussenlager",IF(BU692="-","Nicht im Lift",IF(AK692&gt;=1,"Lift",IF(AK692&lt;=0,"Aussenlager","teilweise")))))</f>
        <v/>
      </c>
      <c r="BC692" s="55" t="str">
        <f aca="false">IF(AN692&lt;=0,"",IF(BU692="Aussen","Aussenlager",IF(BU692="-","Nicht im Lift",IF(AS692&gt;=1,"Lift",IF(AS692&lt;=0,"Aussenlager","teilweise")))))</f>
        <v>Aussenlager</v>
      </c>
      <c r="BD692" s="55" t="str">
        <f aca="false">IF(AV692&lt;=0,"",IF(BU692="Aussen","Aussenlager",IF(BU692="-","Nicht im Lift",IF(BA692&gt;=1,"Lift",IF(BA692&lt;=0,"Aussenlager","teilweise")))))</f>
        <v>Lift</v>
      </c>
      <c r="BE692" s="55" t="str">
        <f aca="false">IF(A692="","",IF(BN692=1,"Neu; ","")&amp;IF(AND(BN692=0,BI692&lt;0),"negativer Bestand (Export "&amp;BI692&amp;"); ","")&amp;IF(I692&lt;=0,"Kein Verbrauch; ","")&amp;IF(CD692&gt;0,"Lift "&amp;U692&amp;" lt. Liftbericht (Fach "&amp;V692&amp;" Stk); ",IF(BR692=1,"Lose – Fläche geschätzt; ",""))&amp;IF(G692&gt;AP692,"Überbestand "&amp;ROUND(G692-AP692,0)&amp;" Stk / CHF "&amp;ROUND((G692-AP692)*F692,0)&amp;"; ","")&amp;IF(AND(BW692=1,BX692&lt;BY692),"MAX &lt; MB+LG; ","")&amp;IF(AND(CC692&gt;0,CB692*10&gt;CC692),"zu hoch für Tablar; ","")&amp;IF(AND(BN692=0,OR(BW692=1,Y692&lt;&gt;"",S692&lt;&gt;"",T692&lt;&gt;"",Z692&lt;&gt;"")),"manuell übersteuert; ","")&amp;IF(AND(BR692=0,Q692=0),"Gebinde unbekannt / Stellmass fehlt; ","")&amp;IF(AND(BR692=0,N(T692)&lt;=0,N(P692)&lt;=0),"Menge pro Gebinde fehlt (Ist = 1 Gebinde); ","")&amp;BM692)</f>
        <v>Lose – Fläche geschätzt; </v>
      </c>
      <c r="BF692" s="55"/>
      <c r="BG692" s="55"/>
      <c r="BH692" s="62"/>
      <c r="BI692" s="57" t="n">
        <v>0</v>
      </c>
      <c r="BJ692" s="57" t="n">
        <v>0</v>
      </c>
      <c r="BK692" s="56" t="n">
        <v>0</v>
      </c>
      <c r="BL692" s="57" t="n">
        <v>2</v>
      </c>
      <c r="BM692" s="55"/>
      <c r="BN692" s="60" t="n">
        <v>0</v>
      </c>
      <c r="BO692" s="60" t="n">
        <v>692</v>
      </c>
      <c r="BP692" s="55" t="str">
        <f aca="false">IF(S692&lt;&gt;"",UPPER(TRIM(S692)),IF(O692="","LOSE",O692))</f>
        <v>LOSE</v>
      </c>
      <c r="BQ692" s="57" t="n">
        <f aca="false">IF(BP692="LOSE",1,IF(N(T692)&gt;0,T692,IF(N(P692)&gt;0,P692,MAX(1,G692))))</f>
        <v>1</v>
      </c>
      <c r="BR692" s="60" t="n">
        <f aca="false">IF(BP692="LOSE",1,0)</f>
        <v>1</v>
      </c>
      <c r="BS692" s="59" t="n">
        <f aca="false">IF(BR692=0,0,IF(N(R692)&gt;0,R692,IFERROR(VLOOKUP(D692,Parameter!$A$35:$C$64,3,0)+0,0)))</f>
        <v>0.15</v>
      </c>
      <c r="BT692" s="55" t="n">
        <f aca="false">IF(Y692&lt;&gt;"",Y692,X692)</f>
        <v>2</v>
      </c>
      <c r="BU692" s="55" t="str">
        <f aca="false">IF(BT692=1,"L1",IF(OR(BT692=2,BT692=3),"L23",IF(BT692="Aussen","Aussen","-")))</f>
        <v>L23</v>
      </c>
      <c r="BV692" s="66" t="n">
        <f aca="false">IF(N(Z692)&gt;0,Z692,0)</f>
        <v>0</v>
      </c>
      <c r="BW692" s="60" t="n">
        <f aca="false">IF(ISNUMBER(AC692),1,0)</f>
        <v>0</v>
      </c>
      <c r="BX692" s="57" t="n">
        <f aca="false">N(AC692)</f>
        <v>0</v>
      </c>
      <c r="BY692" s="57" t="n">
        <f aca="false">N(L692)+N(M692)</f>
        <v>1</v>
      </c>
      <c r="BZ692" s="57" t="n">
        <f aca="false">ROUNDUP(G692/BQ692,0)</f>
        <v>0</v>
      </c>
      <c r="CA692" s="57" t="n">
        <f aca="false">ROUNDUP(BX692/BQ692,0)</f>
        <v>0</v>
      </c>
      <c r="CB692" s="60" t="n">
        <f aca="false">IF(BR692=1,0,IFERROR(VLOOKUP(BP692,'Gebinde-Kategorie'!$A$5:$M$45,5,0)+0,0))</f>
        <v>0</v>
      </c>
      <c r="CC692" s="60" t="n">
        <f aca="false">IFERROR(IF(OR(BT692=1,BT692=2,BT692=3),N(INDEX(Parameter!$I$5:$I$7,BT692)),0),0)</f>
        <v>0</v>
      </c>
      <c r="CD692" s="59" t="n">
        <f aca="false">IF(AND(Parameter!$B$21="Ja",ISNUMBER(U692),N(V692)&gt;0),IFERROR(N(INDEX(Parameter!$L$5:$L$7,U692))*INDEX(Parameter!$E$5:$E$7,U692)*V692/SUMIFS($V$7:$V$1576,$U$7:$U$1576,U692),0),0)</f>
        <v>0</v>
      </c>
    </row>
    <row r="693" customFormat="false" ht="15" hidden="false" customHeight="false" outlineLevel="0" collapsed="false">
      <c r="A693" s="55" t="s">
        <v>1373</v>
      </c>
      <c r="B693" s="55" t="s">
        <v>1374</v>
      </c>
      <c r="C693" s="55" t="s">
        <v>160</v>
      </c>
      <c r="D693" s="55" t="s">
        <v>178</v>
      </c>
      <c r="E693" s="55" t="s">
        <v>210</v>
      </c>
      <c r="F693" s="56" t="n">
        <v>480</v>
      </c>
      <c r="G693" s="57" t="n">
        <f aca="false">MAX(0,IF(AND(Parameter!$B$21="Ja",ISNUMBER(W693)),W693,IF(Parameter!$B$20="Jahresanfang 2025 + Export",BJ693+BI693,BI693)))</f>
        <v>0</v>
      </c>
      <c r="H693" s="57" t="n">
        <f aca="false">G693*F693</f>
        <v>0</v>
      </c>
      <c r="I693" s="57" t="n">
        <f aca="false">BL693*Parameter!$B$18</f>
        <v>5</v>
      </c>
      <c r="J693" s="58" t="n">
        <v>2.5</v>
      </c>
      <c r="K693" s="59" t="n">
        <v>2</v>
      </c>
      <c r="L693" s="57" t="n">
        <v>0</v>
      </c>
      <c r="M693" s="57" t="n">
        <v>5</v>
      </c>
      <c r="N693" s="60" t="n">
        <v>35</v>
      </c>
      <c r="O693" s="55" t="s">
        <v>169</v>
      </c>
      <c r="P693" s="57" t="n">
        <v>1</v>
      </c>
      <c r="Q693" s="60" t="n">
        <f aca="false">IF(BR693=1,0,IFERROR(VLOOKUP(BP693,'Gebinde-Kategorie'!$A$5:$M$45,13,0)+0,0))</f>
        <v>6</v>
      </c>
      <c r="R693" s="61"/>
      <c r="S693" s="62"/>
      <c r="T693" s="62"/>
      <c r="U693" s="55"/>
      <c r="V693" s="57"/>
      <c r="W693" s="57"/>
      <c r="X693" s="55" t="n">
        <f aca="false">IF(A693="","",IF(AND(Parameter!$B$21="Ja",ISNUMBER(U693)),U693,IF(IFERROR(VLOOKUP(D693,Parameter!$A$35:$C$64,2,0),"Nein")="2+3",IF(ISNUMBER(SEARCH("grosser Artikel",BM693)),2,IFERROR(VLOOKUP(BP693,Parameter!$F$35:$G$64,2,0),2)),IF(OR(IFERROR(VLOOKUP(D693,Parameter!$A$35:$C$64,2,0),"Nein")="Nein",IFERROR(VLOOKUP(D693,Parameter!$A$35:$C$64,2,0),"Nein")=""),"-",VLOOKUP(D693,Parameter!$A$35:$C$64,2,0)))))</f>
        <v>2</v>
      </c>
      <c r="Y693" s="62"/>
      <c r="Z693" s="63"/>
      <c r="AA693" s="57" t="n">
        <f aca="false">AP693</f>
        <v>5</v>
      </c>
      <c r="AB693" s="57" t="n">
        <f aca="false">MAX(AP693,G693)</f>
        <v>5</v>
      </c>
      <c r="AC693" s="64"/>
      <c r="AD693" s="57" t="n">
        <f aca="false">IF(LEFT(Cockpit!$C$5,1)="A",G693,IF(BW693=1,BX693,IF(LEFT(Cockpit!$C$5,1)="B",AH693,MAX(AH693,G693))))</f>
        <v>0</v>
      </c>
      <c r="AE693" s="57" t="n">
        <f aca="false">IF(BR693=1,0,ROUNDUP(AD693/BQ693,0))</f>
        <v>0</v>
      </c>
      <c r="AF693" s="59" t="n">
        <f aca="false">IF(CD693&gt;0,CD693*MAX(1,AD693/V693),IF(BR693=1,IF(AD693&lt;=0,0,BS693*MAX(1,IF(G693&gt;0,AD693/G693,1))),IF(Q693&gt;0,AE693/Q693,0))/MAX(0.1,N(Parameter!$M$21)))</f>
        <v>0</v>
      </c>
      <c r="AG693" s="57" t="n">
        <f aca="false">AD693*F693</f>
        <v>0</v>
      </c>
      <c r="AH693" s="57" t="n">
        <f aca="false">ROUNDUP(MAX(I693/IF(BV693&gt;0,BV693,MAX(0.1,N(Cockpit!$C$6))),BY693)/BQ693,0)*BQ693</f>
        <v>5</v>
      </c>
      <c r="AI693" s="58" t="n">
        <f aca="false">IF(AF693&gt;0,I693/AF693,-1)</f>
        <v>-1</v>
      </c>
      <c r="AJ693" s="58" t="str">
        <f aca="false">IF(AND(OR(BU693="L1",BU693="L23"),AF693&gt;0),SUMIFS($AF$7:$AF$1576,$BU$7:$BU$1576,BU693,$AI$7:$AI$1576,"&gt;"&amp;AI693)+SUMIFS($AF$7:$AF$1576,$BU$7:$BU$1576,BU693,$AI$7:$AI$1576,AI693,$BO$7:$BO$1576,"&lt;="&amp;BO693),"")</f>
        <v/>
      </c>
      <c r="AK693" s="65" t="n">
        <f aca="false">IF(AJ693="",0,MAX(0,MIN(1,(IF(BU693="L1",Parameter!$E$5,Parameter!$E$6+Parameter!$E$7)-(AJ693-AF693))/AF693)))</f>
        <v>0</v>
      </c>
      <c r="AL693" s="57" t="n">
        <f aca="false">IF(LEFT(Cockpit!$I$5,1)="A",G693,IF(BW693=1,BX693,IF(LEFT(Cockpit!$I$5,1)="B",AP693,MAX(AP693,G693))))</f>
        <v>5</v>
      </c>
      <c r="AM693" s="57" t="n">
        <f aca="false">IF(BR693=1,0,ROUNDUP(AL693/BQ693,0))</f>
        <v>5</v>
      </c>
      <c r="AN693" s="59" t="n">
        <f aca="false">IF(CD693&gt;0,CD693*MAX(1,AL693/V693),IF(BR693=1,IF(AL693&lt;=0,0,BS693*MAX(1,IF(G693&gt;0,AL693/G693,1))),IF(Q693&gt;0,AM693/Q693,0))/MAX(0.1,N(Parameter!$M$21)))</f>
        <v>0.833333333333333</v>
      </c>
      <c r="AO693" s="57" t="n">
        <f aca="false">AL693*F693</f>
        <v>2400</v>
      </c>
      <c r="AP693" s="57" t="n">
        <f aca="false">ROUNDUP(MAX(I693/IF(BV693&gt;0,BV693,MAX(0.1,N(Cockpit!$I$6))),BY693)/BQ693,0)*BQ693</f>
        <v>5</v>
      </c>
      <c r="AQ693" s="58" t="n">
        <f aca="false">IF(AN693&gt;0,I693/AN693,-1)</f>
        <v>6</v>
      </c>
      <c r="AR693" s="58" t="n">
        <f aca="false">IF(AND(OR(BU693="L1",BU693="L23"),AN693&gt;0),SUMIFS($AN$7:$AN$1576,$BU$7:$BU$1576,BU693,$AQ$7:$AQ$1576,"&gt;"&amp;AQ693)+SUMIFS($AN$7:$AN$1576,$BU$7:$BU$1576,BU693,$AQ$7:$AQ$1576,AQ693,$BO$7:$BO$1576,"&lt;="&amp;BO693),"")</f>
        <v>112.125767922029</v>
      </c>
      <c r="AS693" s="65" t="n">
        <f aca="false">IF(AR693="",0,MAX(0,MIN(1,(IF(BU693="L1",Parameter!$E$5,Parameter!$E$6+Parameter!$E$7)-(AR693-AN693))/AN693)))</f>
        <v>0</v>
      </c>
      <c r="AT693" s="57" t="n">
        <f aca="false">IF(LEFT(Cockpit!$O$5,1)="A",G693,IF(BW693=1,BX693,IF(LEFT(Cockpit!$O$5,1)="B",AX693,MAX(AX693,G693))))</f>
        <v>5</v>
      </c>
      <c r="AU693" s="57" t="n">
        <f aca="false">IF(BR693=1,0,ROUNDUP(AT693/BQ693,0))</f>
        <v>5</v>
      </c>
      <c r="AV693" s="59" t="n">
        <f aca="false">IF(CD693&gt;0,CD693*MAX(1,AT693/V693),IF(BR693=1,IF(AT693&lt;=0,0,BS693*MAX(1,IF(G693&gt;0,AT693/G693,1))),IF(Q693&gt;0,AU693/Q693,0))/MAX(0.1,N(Parameter!$M$21)))</f>
        <v>0.833333333333333</v>
      </c>
      <c r="AW693" s="57" t="n">
        <f aca="false">AT693*F693</f>
        <v>2400</v>
      </c>
      <c r="AX693" s="57" t="n">
        <f aca="false">ROUNDUP(MAX(I693/IF(BV693&gt;0,BV693,MAX(0.1,N(Cockpit!$O$6))),BY693)/BQ693,0)*BQ693</f>
        <v>5</v>
      </c>
      <c r="AY693" s="58" t="n">
        <f aca="false">IF(AV693&gt;0,I693/AV693,-1)</f>
        <v>6</v>
      </c>
      <c r="AZ693" s="58" t="n">
        <f aca="false">IF(AND(OR(BU693="L1",BU693="L23"),AV693&gt;0),SUMIFS($AV$7:$AV$1576,$BU$7:$BU$1576,BU693,$AY$7:$AY$1576,"&gt;"&amp;AY693)+SUMIFS($AV$7:$AV$1576,$BU$7:$BU$1576,BU693,$AY$7:$AY$1576,AY693,$BO$7:$BO$1576,"&lt;="&amp;BO693),"")</f>
        <v>102.18531837158</v>
      </c>
      <c r="BA693" s="65" t="n">
        <f aca="false">IF(AZ693="",0,MAX(0,MIN(1,(IF(BU693="L1",Parameter!$E$5,Parameter!$E$6+Parameter!$E$7)-(AZ693-AV693))/AV693)))</f>
        <v>0</v>
      </c>
      <c r="BB693" s="55" t="str">
        <f aca="false">IF(AF693&lt;=0,"",IF(BU693="Aussen","Aussenlager",IF(BU693="-","Nicht im Lift",IF(AK693&gt;=1,"Lift",IF(AK693&lt;=0,"Aussenlager","teilweise")))))</f>
        <v/>
      </c>
      <c r="BC693" s="55" t="str">
        <f aca="false">IF(AN693&lt;=0,"",IF(BU693="Aussen","Aussenlager",IF(BU693="-","Nicht im Lift",IF(AS693&gt;=1,"Lift",IF(AS693&lt;=0,"Aussenlager","teilweise")))))</f>
        <v>Aussenlager</v>
      </c>
      <c r="BD693" s="55" t="str">
        <f aca="false">IF(AV693&lt;=0,"",IF(BU693="Aussen","Aussenlager",IF(BU693="-","Nicht im Lift",IF(BA693&gt;=1,"Lift",IF(BA693&lt;=0,"Aussenlager","teilweise")))))</f>
        <v>Aussenlager</v>
      </c>
      <c r="BE693" s="55" t="str">
        <f aca="false">IF(A693="","",IF(BN693=1,"Neu; ","")&amp;IF(AND(BN693=0,BI693&lt;0),"negativer Bestand (Export "&amp;BI693&amp;"); ","")&amp;IF(I693&lt;=0,"Kein Verbrauch; ","")&amp;IF(CD693&gt;0,"Lift "&amp;U693&amp;" lt. Liftbericht (Fach "&amp;V693&amp;" Stk); ",IF(BR693=1,"Lose – Fläche geschätzt; ",""))&amp;IF(G693&gt;AP693,"Überbestand "&amp;ROUND(G693-AP693,0)&amp;" Stk / CHF "&amp;ROUND((G693-AP693)*F693,0)&amp;"; ","")&amp;IF(AND(BW693=1,BX693&lt;BY693),"MAX &lt; MB+LG; ","")&amp;IF(AND(CC693&gt;0,CB693*10&gt;CC693),"zu hoch für Tablar; ","")&amp;IF(AND(BN693=0,OR(BW693=1,Y693&lt;&gt;"",S693&lt;&gt;"",T693&lt;&gt;"",Z693&lt;&gt;"")),"manuell übersteuert; ","")&amp;IF(AND(BR693=0,Q693=0),"Gebinde unbekannt / Stellmass fehlt; ","")&amp;IF(AND(BR693=0,N(T693)&lt;=0,N(P693)&lt;=0),"Menge pro Gebinde fehlt (Ist = 1 Gebinde); ","")&amp;BM693)</f>
        <v>grosser Artikel &amp; nicht im KTL</v>
      </c>
      <c r="BF693" s="55"/>
      <c r="BG693" s="55"/>
      <c r="BH693" s="62"/>
      <c r="BI693" s="57" t="n">
        <v>0</v>
      </c>
      <c r="BJ693" s="57" t="n">
        <v>4</v>
      </c>
      <c r="BK693" s="56" t="n">
        <v>0</v>
      </c>
      <c r="BL693" s="57" t="n">
        <v>5</v>
      </c>
      <c r="BM693" s="55" t="s">
        <v>253</v>
      </c>
      <c r="BN693" s="60" t="n">
        <v>0</v>
      </c>
      <c r="BO693" s="60" t="n">
        <v>693</v>
      </c>
      <c r="BP693" s="55" t="str">
        <f aca="false">IF(S693&lt;&gt;"",UPPER(TRIM(S693)),IF(O693="","LOSE",O693))</f>
        <v>S71</v>
      </c>
      <c r="BQ693" s="57" t="n">
        <f aca="false">IF(BP693="LOSE",1,IF(N(T693)&gt;0,T693,IF(N(P693)&gt;0,P693,MAX(1,G693))))</f>
        <v>1</v>
      </c>
      <c r="BR693" s="60" t="n">
        <f aca="false">IF(BP693="LOSE",1,0)</f>
        <v>0</v>
      </c>
      <c r="BS693" s="59" t="n">
        <f aca="false">IF(BR693=0,0,IF(N(R693)&gt;0,R693,IFERROR(VLOOKUP(D693,Parameter!$A$35:$C$64,3,0)+0,0)))</f>
        <v>0</v>
      </c>
      <c r="BT693" s="55" t="n">
        <f aca="false">IF(Y693&lt;&gt;"",Y693,X693)</f>
        <v>2</v>
      </c>
      <c r="BU693" s="55" t="str">
        <f aca="false">IF(BT693=1,"L1",IF(OR(BT693=2,BT693=3),"L23",IF(BT693="Aussen","Aussen","-")))</f>
        <v>L23</v>
      </c>
      <c r="BV693" s="66" t="n">
        <f aca="false">IF(N(Z693)&gt;0,Z693,0)</f>
        <v>0</v>
      </c>
      <c r="BW693" s="60" t="n">
        <f aca="false">IF(ISNUMBER(AC693),1,0)</f>
        <v>0</v>
      </c>
      <c r="BX693" s="57" t="n">
        <f aca="false">N(AC693)</f>
        <v>0</v>
      </c>
      <c r="BY693" s="57" t="n">
        <f aca="false">N(L693)+N(M693)</f>
        <v>5</v>
      </c>
      <c r="BZ693" s="57" t="n">
        <f aca="false">ROUNDUP(G693/BQ693,0)</f>
        <v>0</v>
      </c>
      <c r="CA693" s="57" t="n">
        <f aca="false">ROUNDUP(BX693/BQ693,0)</f>
        <v>0</v>
      </c>
      <c r="CB693" s="60" t="n">
        <f aca="false">IF(BR693=1,0,IFERROR(VLOOKUP(BP693,'Gebinde-Kategorie'!$A$5:$M$45,5,0)+0,0))</f>
        <v>20</v>
      </c>
      <c r="CC693" s="60" t="n">
        <f aca="false">IFERROR(IF(OR(BT693=1,BT693=2,BT693=3),N(INDEX(Parameter!$I$5:$I$7,BT693)),0),0)</f>
        <v>0</v>
      </c>
      <c r="CD693" s="59" t="n">
        <f aca="false">IF(AND(Parameter!$B$21="Ja",ISNUMBER(U693),N(V693)&gt;0),IFERROR(N(INDEX(Parameter!$L$5:$L$7,U693))*INDEX(Parameter!$E$5:$E$7,U693)*V693/SUMIFS($V$7:$V$1576,$U$7:$U$1576,U693),0),0)</f>
        <v>0</v>
      </c>
    </row>
    <row r="694" customFormat="false" ht="15" hidden="false" customHeight="false" outlineLevel="0" collapsed="false">
      <c r="A694" s="55" t="s">
        <v>1375</v>
      </c>
      <c r="B694" s="55" t="s">
        <v>1376</v>
      </c>
      <c r="C694" s="55" t="s">
        <v>160</v>
      </c>
      <c r="D694" s="55" t="s">
        <v>1377</v>
      </c>
      <c r="E694" s="55" t="s">
        <v>210</v>
      </c>
      <c r="F694" s="56" t="n">
        <v>930</v>
      </c>
      <c r="G694" s="57" t="n">
        <f aca="false">MAX(0,IF(AND(Parameter!$B$21="Ja",ISNUMBER(W694)),W694,IF(Parameter!$B$20="Jahresanfang 2025 + Export",BJ694+BI694,BI694)))</f>
        <v>0</v>
      </c>
      <c r="H694" s="57" t="n">
        <f aca="false">G694*F694</f>
        <v>0</v>
      </c>
      <c r="I694" s="57" t="n">
        <f aca="false">BL694*Parameter!$B$18</f>
        <v>4</v>
      </c>
      <c r="J694" s="58" t="n">
        <v>3</v>
      </c>
      <c r="K694" s="59" t="n">
        <v>1.33333333333333</v>
      </c>
      <c r="L694" s="57" t="n">
        <v>0</v>
      </c>
      <c r="M694" s="57" t="n">
        <v>1</v>
      </c>
      <c r="N694" s="60" t="n">
        <v>0</v>
      </c>
      <c r="O694" s="55" t="s">
        <v>163</v>
      </c>
      <c r="P694" s="57"/>
      <c r="Q694" s="60" t="n">
        <f aca="false">IF(BR694=1,0,IFERROR(VLOOKUP(BP694,'Gebinde-Kategorie'!$A$5:$M$45,13,0)+0,0))</f>
        <v>0</v>
      </c>
      <c r="R694" s="61"/>
      <c r="S694" s="62"/>
      <c r="T694" s="62"/>
      <c r="U694" s="55"/>
      <c r="V694" s="57"/>
      <c r="W694" s="57"/>
      <c r="X694" s="55" t="str">
        <f aca="false">IF(A694="","",IF(AND(Parameter!$B$21="Ja",ISNUMBER(U694)),U694,IF(IFERROR(VLOOKUP(D694,Parameter!$A$35:$C$64,2,0),"Nein")="2+3",IF(ISNUMBER(SEARCH("grosser Artikel",BM694)),2,IFERROR(VLOOKUP(BP694,Parameter!$F$35:$G$64,2,0),2)),IF(OR(IFERROR(VLOOKUP(D694,Parameter!$A$35:$C$64,2,0),"Nein")="Nein",IFERROR(VLOOKUP(D694,Parameter!$A$35:$C$64,2,0),"Nein")=""),"-",VLOOKUP(D694,Parameter!$A$35:$C$64,2,0)))))</f>
        <v>-</v>
      </c>
      <c r="Y694" s="62"/>
      <c r="Z694" s="63"/>
      <c r="AA694" s="57" t="n">
        <f aca="false">AP694</f>
        <v>2</v>
      </c>
      <c r="AB694" s="57" t="n">
        <f aca="false">MAX(AP694,G694)</f>
        <v>2</v>
      </c>
      <c r="AC694" s="64"/>
      <c r="AD694" s="57" t="n">
        <f aca="false">IF(LEFT(Cockpit!$C$5,1)="A",G694,IF(BW694=1,BX694,IF(LEFT(Cockpit!$C$5,1)="B",AH694,MAX(AH694,G694))))</f>
        <v>0</v>
      </c>
      <c r="AE694" s="57" t="n">
        <f aca="false">IF(BR694=1,0,ROUNDUP(AD694/BQ694,0))</f>
        <v>0</v>
      </c>
      <c r="AF694" s="59" t="n">
        <f aca="false">IF(CD694&gt;0,CD694*MAX(1,AD694/V694),IF(BR694=1,IF(AD694&lt;=0,0,BS694*MAX(1,IF(G694&gt;0,AD694/G694,1))),IF(Q694&gt;0,AE694/Q694,0))/MAX(0.1,N(Parameter!$M$21)))</f>
        <v>0</v>
      </c>
      <c r="AG694" s="57" t="n">
        <f aca="false">AD694*F694</f>
        <v>0</v>
      </c>
      <c r="AH694" s="57" t="n">
        <f aca="false">ROUNDUP(MAX(I694/IF(BV694&gt;0,BV694,MAX(0.1,N(Cockpit!$C$6))),BY694)/BQ694,0)*BQ694</f>
        <v>2</v>
      </c>
      <c r="AI694" s="58" t="n">
        <f aca="false">IF(AF694&gt;0,I694/AF694,-1)</f>
        <v>-1</v>
      </c>
      <c r="AJ694" s="58" t="str">
        <f aca="false">IF(AND(OR(BU694="L1",BU694="L23"),AF694&gt;0),SUMIFS($AF$7:$AF$1576,$BU$7:$BU$1576,BU694,$AI$7:$AI$1576,"&gt;"&amp;AI694)+SUMIFS($AF$7:$AF$1576,$BU$7:$BU$1576,BU694,$AI$7:$AI$1576,AI694,$BO$7:$BO$1576,"&lt;="&amp;BO694),"")</f>
        <v/>
      </c>
      <c r="AK694" s="65" t="n">
        <f aca="false">IF(AJ694="",0,MAX(0,MIN(1,(IF(BU694="L1",Parameter!$E$5,Parameter!$E$6+Parameter!$E$7)-(AJ694-AF694))/AF694)))</f>
        <v>0</v>
      </c>
      <c r="AL694" s="57" t="n">
        <f aca="false">IF(LEFT(Cockpit!$I$5,1)="A",G694,IF(BW694=1,BX694,IF(LEFT(Cockpit!$I$5,1)="B",AP694,MAX(AP694,G694))))</f>
        <v>2</v>
      </c>
      <c r="AM694" s="57" t="n">
        <f aca="false">IF(BR694=1,0,ROUNDUP(AL694/BQ694,0))</f>
        <v>0</v>
      </c>
      <c r="AN694" s="59" t="n">
        <f aca="false">IF(CD694&gt;0,CD694*MAX(1,AL694/V694),IF(BR694=1,IF(AL694&lt;=0,0,BS694*MAX(1,IF(G694&gt;0,AL694/G694,1))),IF(Q694&gt;0,AM694/Q694,0))/MAX(0.1,N(Parameter!$M$21)))</f>
        <v>0.15</v>
      </c>
      <c r="AO694" s="57" t="n">
        <f aca="false">AL694*F694</f>
        <v>1860</v>
      </c>
      <c r="AP694" s="57" t="n">
        <f aca="false">ROUNDUP(MAX(I694/IF(BV694&gt;0,BV694,MAX(0.1,N(Cockpit!$I$6))),BY694)/BQ694,0)*BQ694</f>
        <v>2</v>
      </c>
      <c r="AQ694" s="58" t="n">
        <f aca="false">IF(AN694&gt;0,I694/AN694,-1)</f>
        <v>26.6666666666667</v>
      </c>
      <c r="AR694" s="58" t="str">
        <f aca="false">IF(AND(OR(BU694="L1",BU694="L23"),AN694&gt;0),SUMIFS($AN$7:$AN$1576,$BU$7:$BU$1576,BU694,$AQ$7:$AQ$1576,"&gt;"&amp;AQ694)+SUMIFS($AN$7:$AN$1576,$BU$7:$BU$1576,BU694,$AQ$7:$AQ$1576,AQ694,$BO$7:$BO$1576,"&lt;="&amp;BO694),"")</f>
        <v/>
      </c>
      <c r="AS694" s="65" t="n">
        <f aca="false">IF(AR694="",0,MAX(0,MIN(1,(IF(BU694="L1",Parameter!$E$5,Parameter!$E$6+Parameter!$E$7)-(AR694-AN694))/AN694)))</f>
        <v>0</v>
      </c>
      <c r="AT694" s="57" t="n">
        <f aca="false">IF(LEFT(Cockpit!$O$5,1)="A",G694,IF(BW694=1,BX694,IF(LEFT(Cockpit!$O$5,1)="B",AX694,MAX(AX694,G694))))</f>
        <v>2</v>
      </c>
      <c r="AU694" s="57" t="n">
        <f aca="false">IF(BR694=1,0,ROUNDUP(AT694/BQ694,0))</f>
        <v>0</v>
      </c>
      <c r="AV694" s="59" t="n">
        <f aca="false">IF(CD694&gt;0,CD694*MAX(1,AT694/V694),IF(BR694=1,IF(AT694&lt;=0,0,BS694*MAX(1,IF(G694&gt;0,AT694/G694,1))),IF(Q694&gt;0,AU694/Q694,0))/MAX(0.1,N(Parameter!$M$21)))</f>
        <v>0.15</v>
      </c>
      <c r="AW694" s="57" t="n">
        <f aca="false">AT694*F694</f>
        <v>1860</v>
      </c>
      <c r="AX694" s="57" t="n">
        <f aca="false">ROUNDUP(MAX(I694/IF(BV694&gt;0,BV694,MAX(0.1,N(Cockpit!$O$6))),BY694)/BQ694,0)*BQ694</f>
        <v>2</v>
      </c>
      <c r="AY694" s="58" t="n">
        <f aca="false">IF(AV694&gt;0,I694/AV694,-1)</f>
        <v>26.6666666666667</v>
      </c>
      <c r="AZ694" s="58" t="str">
        <f aca="false">IF(AND(OR(BU694="L1",BU694="L23"),AV694&gt;0),SUMIFS($AV$7:$AV$1576,$BU$7:$BU$1576,BU694,$AY$7:$AY$1576,"&gt;"&amp;AY694)+SUMIFS($AV$7:$AV$1576,$BU$7:$BU$1576,BU694,$AY$7:$AY$1576,AY694,$BO$7:$BO$1576,"&lt;="&amp;BO694),"")</f>
        <v/>
      </c>
      <c r="BA694" s="65" t="n">
        <f aca="false">IF(AZ694="",0,MAX(0,MIN(1,(IF(BU694="L1",Parameter!$E$5,Parameter!$E$6+Parameter!$E$7)-(AZ694-AV694))/AV694)))</f>
        <v>0</v>
      </c>
      <c r="BB694" s="55" t="str">
        <f aca="false">IF(AF694&lt;=0,"",IF(BU694="Aussen","Aussenlager",IF(BU694="-","Nicht im Lift",IF(AK694&gt;=1,"Lift",IF(AK694&lt;=0,"Aussenlager","teilweise")))))</f>
        <v/>
      </c>
      <c r="BC694" s="55" t="str">
        <f aca="false">IF(AN694&lt;=0,"",IF(BU694="Aussen","Aussenlager",IF(BU694="-","Nicht im Lift",IF(AS694&gt;=1,"Lift",IF(AS694&lt;=0,"Aussenlager","teilweise")))))</f>
        <v>Nicht im Lift</v>
      </c>
      <c r="BD694" s="55" t="str">
        <f aca="false">IF(AV694&lt;=0,"",IF(BU694="Aussen","Aussenlager",IF(BU694="-","Nicht im Lift",IF(BA694&gt;=1,"Lift",IF(BA694&lt;=0,"Aussenlager","teilweise")))))</f>
        <v>Nicht im Lift</v>
      </c>
      <c r="BE694" s="55" t="str">
        <f aca="false">IF(A694="","",IF(BN694=1,"Neu; ","")&amp;IF(AND(BN694=0,BI694&lt;0),"negativer Bestand (Export "&amp;BI694&amp;"); ","")&amp;IF(I694&lt;=0,"Kein Verbrauch; ","")&amp;IF(CD694&gt;0,"Lift "&amp;U694&amp;" lt. Liftbericht (Fach "&amp;V694&amp;" Stk); ",IF(BR694=1,"Lose – Fläche geschätzt; ",""))&amp;IF(G694&gt;AP694,"Überbestand "&amp;ROUND(G694-AP694,0)&amp;" Stk / CHF "&amp;ROUND((G694-AP694)*F694,0)&amp;"; ","")&amp;IF(AND(BW694=1,BX694&lt;BY694),"MAX &lt; MB+LG; ","")&amp;IF(AND(CC694&gt;0,CB694*10&gt;CC694),"zu hoch für Tablar; ","")&amp;IF(AND(BN694=0,OR(BW694=1,Y694&lt;&gt;"",S694&lt;&gt;"",T694&lt;&gt;"",Z694&lt;&gt;"")),"manuell übersteuert; ","")&amp;IF(AND(BR694=0,Q694=0),"Gebinde unbekannt / Stellmass fehlt; ","")&amp;IF(AND(BR694=0,N(T694)&lt;=0,N(P694)&lt;=0),"Menge pro Gebinde fehlt (Ist = 1 Gebinde); ","")&amp;BM694)</f>
        <v>Lose – Fläche geschätzt; </v>
      </c>
      <c r="BF694" s="55"/>
      <c r="BG694" s="55"/>
      <c r="BH694" s="62"/>
      <c r="BI694" s="57" t="n">
        <v>0</v>
      </c>
      <c r="BJ694" s="57" t="n">
        <v>0</v>
      </c>
      <c r="BK694" s="56" t="n">
        <v>0</v>
      </c>
      <c r="BL694" s="57" t="n">
        <v>4</v>
      </c>
      <c r="BM694" s="55"/>
      <c r="BN694" s="60" t="n">
        <v>0</v>
      </c>
      <c r="BO694" s="60" t="n">
        <v>694</v>
      </c>
      <c r="BP694" s="55" t="str">
        <f aca="false">IF(S694&lt;&gt;"",UPPER(TRIM(S694)),IF(O694="","LOSE",O694))</f>
        <v>LOSE</v>
      </c>
      <c r="BQ694" s="57" t="n">
        <f aca="false">IF(BP694="LOSE",1,IF(N(T694)&gt;0,T694,IF(N(P694)&gt;0,P694,MAX(1,G694))))</f>
        <v>1</v>
      </c>
      <c r="BR694" s="60" t="n">
        <f aca="false">IF(BP694="LOSE",1,0)</f>
        <v>1</v>
      </c>
      <c r="BS694" s="59" t="n">
        <f aca="false">IF(BR694=0,0,IF(N(R694)&gt;0,R694,IFERROR(VLOOKUP(D694,Parameter!$A$35:$C$64,3,0)+0,0)))</f>
        <v>0.15</v>
      </c>
      <c r="BT694" s="55" t="str">
        <f aca="false">IF(Y694&lt;&gt;"",Y694,X694)</f>
        <v>-</v>
      </c>
      <c r="BU694" s="55" t="str">
        <f aca="false">IF(BT694=1,"L1",IF(OR(BT694=2,BT694=3),"L23",IF(BT694="Aussen","Aussen","-")))</f>
        <v>-</v>
      </c>
      <c r="BV694" s="66" t="n">
        <f aca="false">IF(N(Z694)&gt;0,Z694,0)</f>
        <v>0</v>
      </c>
      <c r="BW694" s="60" t="n">
        <f aca="false">IF(ISNUMBER(AC694),1,0)</f>
        <v>0</v>
      </c>
      <c r="BX694" s="57" t="n">
        <f aca="false">N(AC694)</f>
        <v>0</v>
      </c>
      <c r="BY694" s="57" t="n">
        <f aca="false">N(L694)+N(M694)</f>
        <v>1</v>
      </c>
      <c r="BZ694" s="57" t="n">
        <f aca="false">ROUNDUP(G694/BQ694,0)</f>
        <v>0</v>
      </c>
      <c r="CA694" s="57" t="n">
        <f aca="false">ROUNDUP(BX694/BQ694,0)</f>
        <v>0</v>
      </c>
      <c r="CB694" s="60" t="n">
        <f aca="false">IF(BR694=1,0,IFERROR(VLOOKUP(BP694,'Gebinde-Kategorie'!$A$5:$M$45,5,0)+0,0))</f>
        <v>0</v>
      </c>
      <c r="CC694" s="60" t="n">
        <f aca="false">IFERROR(IF(OR(BT694=1,BT694=2,BT694=3),N(INDEX(Parameter!$I$5:$I$7,BT694)),0),0)</f>
        <v>0</v>
      </c>
      <c r="CD694" s="59" t="n">
        <f aca="false">IF(AND(Parameter!$B$21="Ja",ISNUMBER(U694),N(V694)&gt;0),IFERROR(N(INDEX(Parameter!$L$5:$L$7,U694))*INDEX(Parameter!$E$5:$E$7,U694)*V694/SUMIFS($V$7:$V$1576,$U$7:$U$1576,U694),0),0)</f>
        <v>0</v>
      </c>
    </row>
    <row r="695" customFormat="false" ht="15" hidden="false" customHeight="false" outlineLevel="0" collapsed="false">
      <c r="A695" s="55" t="s">
        <v>1378</v>
      </c>
      <c r="B695" s="55" t="s">
        <v>533</v>
      </c>
      <c r="C695" s="55" t="s">
        <v>160</v>
      </c>
      <c r="D695" s="55" t="s">
        <v>984</v>
      </c>
      <c r="E695" s="55" t="s">
        <v>210</v>
      </c>
      <c r="F695" s="56" t="n">
        <v>27.23</v>
      </c>
      <c r="G695" s="57" t="n">
        <f aca="false">MAX(0,IF(AND(Parameter!$B$21="Ja",ISNUMBER(W695)),W695,IF(Parameter!$B$20="Jahresanfang 2025 + Export",BJ695+BI695,BI695)))</f>
        <v>0</v>
      </c>
      <c r="H695" s="57" t="n">
        <f aca="false">G695*F695</f>
        <v>0</v>
      </c>
      <c r="I695" s="57" t="n">
        <f aca="false">BL695*Parameter!$B$18</f>
        <v>0</v>
      </c>
      <c r="J695" s="58" t="n">
        <v>3.5</v>
      </c>
      <c r="K695" s="59" t="n">
        <v>0</v>
      </c>
      <c r="L695" s="57" t="n">
        <v>0</v>
      </c>
      <c r="M695" s="57" t="n">
        <v>1</v>
      </c>
      <c r="N695" s="60" t="n">
        <v>21</v>
      </c>
      <c r="O695" s="55" t="s">
        <v>163</v>
      </c>
      <c r="P695" s="57"/>
      <c r="Q695" s="60" t="n">
        <f aca="false">IF(BR695=1,0,IFERROR(VLOOKUP(BP695,'Gebinde-Kategorie'!$A$5:$M$45,13,0)+0,0))</f>
        <v>0</v>
      </c>
      <c r="R695" s="61"/>
      <c r="S695" s="62"/>
      <c r="T695" s="62"/>
      <c r="U695" s="55"/>
      <c r="V695" s="57"/>
      <c r="W695" s="57"/>
      <c r="X695" s="55" t="str">
        <f aca="false">IF(A695="","",IF(AND(Parameter!$B$21="Ja",ISNUMBER(U695)),U695,IF(IFERROR(VLOOKUP(D695,Parameter!$A$35:$C$64,2,0),"Nein")="2+3",IF(ISNUMBER(SEARCH("grosser Artikel",BM695)),2,IFERROR(VLOOKUP(BP695,Parameter!$F$35:$G$64,2,0),2)),IF(OR(IFERROR(VLOOKUP(D695,Parameter!$A$35:$C$64,2,0),"Nein")="Nein",IFERROR(VLOOKUP(D695,Parameter!$A$35:$C$64,2,0),"Nein")=""),"-",VLOOKUP(D695,Parameter!$A$35:$C$64,2,0)))))</f>
        <v>-</v>
      </c>
      <c r="Y695" s="62"/>
      <c r="Z695" s="63"/>
      <c r="AA695" s="57" t="n">
        <f aca="false">AP695</f>
        <v>1</v>
      </c>
      <c r="AB695" s="57" t="n">
        <f aca="false">MAX(AP695,G695)</f>
        <v>1</v>
      </c>
      <c r="AC695" s="64"/>
      <c r="AD695" s="57" t="n">
        <f aca="false">IF(LEFT(Cockpit!$C$5,1)="A",G695,IF(BW695=1,BX695,IF(LEFT(Cockpit!$C$5,1)="B",AH695,MAX(AH695,G695))))</f>
        <v>0</v>
      </c>
      <c r="AE695" s="57" t="n">
        <f aca="false">IF(BR695=1,0,ROUNDUP(AD695/BQ695,0))</f>
        <v>0</v>
      </c>
      <c r="AF695" s="59" t="n">
        <f aca="false">IF(CD695&gt;0,CD695*MAX(1,AD695/V695),IF(BR695=1,IF(AD695&lt;=0,0,BS695*MAX(1,IF(G695&gt;0,AD695/G695,1))),IF(Q695&gt;0,AE695/Q695,0))/MAX(0.1,N(Parameter!$M$21)))</f>
        <v>0</v>
      </c>
      <c r="AG695" s="57" t="n">
        <f aca="false">AD695*F695</f>
        <v>0</v>
      </c>
      <c r="AH695" s="57" t="n">
        <f aca="false">ROUNDUP(MAX(I695/IF(BV695&gt;0,BV695,MAX(0.1,N(Cockpit!$C$6))),BY695)/BQ695,0)*BQ695</f>
        <v>1</v>
      </c>
      <c r="AI695" s="58" t="n">
        <f aca="false">IF(AF695&gt;0,I695/AF695,-1)</f>
        <v>-1</v>
      </c>
      <c r="AJ695" s="58" t="str">
        <f aca="false">IF(AND(OR(BU695="L1",BU695="L23"),AF695&gt;0),SUMIFS($AF$7:$AF$1576,$BU$7:$BU$1576,BU695,$AI$7:$AI$1576,"&gt;"&amp;AI695)+SUMIFS($AF$7:$AF$1576,$BU$7:$BU$1576,BU695,$AI$7:$AI$1576,AI695,$BO$7:$BO$1576,"&lt;="&amp;BO695),"")</f>
        <v/>
      </c>
      <c r="AK695" s="65" t="n">
        <f aca="false">IF(AJ695="",0,MAX(0,MIN(1,(IF(BU695="L1",Parameter!$E$5,Parameter!$E$6+Parameter!$E$7)-(AJ695-AF695))/AF695)))</f>
        <v>0</v>
      </c>
      <c r="AL695" s="57" t="n">
        <f aca="false">IF(LEFT(Cockpit!$I$5,1)="A",G695,IF(BW695=1,BX695,IF(LEFT(Cockpit!$I$5,1)="B",AP695,MAX(AP695,G695))))</f>
        <v>1</v>
      </c>
      <c r="AM695" s="57" t="n">
        <f aca="false">IF(BR695=1,0,ROUNDUP(AL695/BQ695,0))</f>
        <v>0</v>
      </c>
      <c r="AN695" s="59" t="n">
        <f aca="false">IF(CD695&gt;0,CD695*MAX(1,AL695/V695),IF(BR695=1,IF(AL695&lt;=0,0,BS695*MAX(1,IF(G695&gt;0,AL695/G695,1))),IF(Q695&gt;0,AM695/Q695,0))/MAX(0.1,N(Parameter!$M$21)))</f>
        <v>0.15</v>
      </c>
      <c r="AO695" s="57" t="n">
        <f aca="false">AL695*F695</f>
        <v>27.23</v>
      </c>
      <c r="AP695" s="57" t="n">
        <f aca="false">ROUNDUP(MAX(I695/IF(BV695&gt;0,BV695,MAX(0.1,N(Cockpit!$I$6))),BY695)/BQ695,0)*BQ695</f>
        <v>1</v>
      </c>
      <c r="AQ695" s="58" t="n">
        <f aca="false">IF(AN695&gt;0,I695/AN695,-1)</f>
        <v>0</v>
      </c>
      <c r="AR695" s="58" t="str">
        <f aca="false">IF(AND(OR(BU695="L1",BU695="L23"),AN695&gt;0),SUMIFS($AN$7:$AN$1576,$BU$7:$BU$1576,BU695,$AQ$7:$AQ$1576,"&gt;"&amp;AQ695)+SUMIFS($AN$7:$AN$1576,$BU$7:$BU$1576,BU695,$AQ$7:$AQ$1576,AQ695,$BO$7:$BO$1576,"&lt;="&amp;BO695),"")</f>
        <v/>
      </c>
      <c r="AS695" s="65" t="n">
        <f aca="false">IF(AR695="",0,MAX(0,MIN(1,(IF(BU695="L1",Parameter!$E$5,Parameter!$E$6+Parameter!$E$7)-(AR695-AN695))/AN695)))</f>
        <v>0</v>
      </c>
      <c r="AT695" s="57" t="n">
        <f aca="false">IF(LEFT(Cockpit!$O$5,1)="A",G695,IF(BW695=1,BX695,IF(LEFT(Cockpit!$O$5,1)="B",AX695,MAX(AX695,G695))))</f>
        <v>1</v>
      </c>
      <c r="AU695" s="57" t="n">
        <f aca="false">IF(BR695=1,0,ROUNDUP(AT695/BQ695,0))</f>
        <v>0</v>
      </c>
      <c r="AV695" s="59" t="n">
        <f aca="false">IF(CD695&gt;0,CD695*MAX(1,AT695/V695),IF(BR695=1,IF(AT695&lt;=0,0,BS695*MAX(1,IF(G695&gt;0,AT695/G695,1))),IF(Q695&gt;0,AU695/Q695,0))/MAX(0.1,N(Parameter!$M$21)))</f>
        <v>0.15</v>
      </c>
      <c r="AW695" s="57" t="n">
        <f aca="false">AT695*F695</f>
        <v>27.23</v>
      </c>
      <c r="AX695" s="57" t="n">
        <f aca="false">ROUNDUP(MAX(I695/IF(BV695&gt;0,BV695,MAX(0.1,N(Cockpit!$O$6))),BY695)/BQ695,0)*BQ695</f>
        <v>1</v>
      </c>
      <c r="AY695" s="58" t="n">
        <f aca="false">IF(AV695&gt;0,I695/AV695,-1)</f>
        <v>0</v>
      </c>
      <c r="AZ695" s="58" t="str">
        <f aca="false">IF(AND(OR(BU695="L1",BU695="L23"),AV695&gt;0),SUMIFS($AV$7:$AV$1576,$BU$7:$BU$1576,BU695,$AY$7:$AY$1576,"&gt;"&amp;AY695)+SUMIFS($AV$7:$AV$1576,$BU$7:$BU$1576,BU695,$AY$7:$AY$1576,AY695,$BO$7:$BO$1576,"&lt;="&amp;BO695),"")</f>
        <v/>
      </c>
      <c r="BA695" s="65" t="n">
        <f aca="false">IF(AZ695="",0,MAX(0,MIN(1,(IF(BU695="L1",Parameter!$E$5,Parameter!$E$6+Parameter!$E$7)-(AZ695-AV695))/AV695)))</f>
        <v>0</v>
      </c>
      <c r="BB695" s="55" t="str">
        <f aca="false">IF(AF695&lt;=0,"",IF(BU695="Aussen","Aussenlager",IF(BU695="-","Nicht im Lift",IF(AK695&gt;=1,"Lift",IF(AK695&lt;=0,"Aussenlager","teilweise")))))</f>
        <v/>
      </c>
      <c r="BC695" s="55" t="str">
        <f aca="false">IF(AN695&lt;=0,"",IF(BU695="Aussen","Aussenlager",IF(BU695="-","Nicht im Lift",IF(AS695&gt;=1,"Lift",IF(AS695&lt;=0,"Aussenlager","teilweise")))))</f>
        <v>Nicht im Lift</v>
      </c>
      <c r="BD695" s="55" t="str">
        <f aca="false">IF(AV695&lt;=0,"",IF(BU695="Aussen","Aussenlager",IF(BU695="-","Nicht im Lift",IF(BA695&gt;=1,"Lift",IF(BA695&lt;=0,"Aussenlager","teilweise")))))</f>
        <v>Nicht im Lift</v>
      </c>
      <c r="BE695" s="55" t="str">
        <f aca="false">IF(A695="","",IF(BN695=1,"Neu; ","")&amp;IF(AND(BN695=0,BI695&lt;0),"negativer Bestand (Export "&amp;BI695&amp;"); ","")&amp;IF(I695&lt;=0,"Kein Verbrauch; ","")&amp;IF(CD695&gt;0,"Lift "&amp;U695&amp;" lt. Liftbericht (Fach "&amp;V695&amp;" Stk); ",IF(BR695=1,"Lose – Fläche geschätzt; ",""))&amp;IF(G695&gt;AP695,"Überbestand "&amp;ROUND(G695-AP695,0)&amp;" Stk / CHF "&amp;ROUND((G695-AP695)*F695,0)&amp;"; ","")&amp;IF(AND(BW695=1,BX695&lt;BY695),"MAX &lt; MB+LG; ","")&amp;IF(AND(CC695&gt;0,CB695*10&gt;CC695),"zu hoch für Tablar; ","")&amp;IF(AND(BN695=0,OR(BW695=1,Y695&lt;&gt;"",S695&lt;&gt;"",T695&lt;&gt;"",Z695&lt;&gt;"")),"manuell übersteuert; ","")&amp;IF(AND(BR695=0,Q695=0),"Gebinde unbekannt / Stellmass fehlt; ","")&amp;IF(AND(BR695=0,N(T695)&lt;=0,N(P695)&lt;=0),"Menge pro Gebinde fehlt (Ist = 1 Gebinde); ","")&amp;BM695)</f>
        <v>Kein Verbrauch; Lose – Fläche geschätzt; </v>
      </c>
      <c r="BF695" s="55"/>
      <c r="BG695" s="55"/>
      <c r="BH695" s="62"/>
      <c r="BI695" s="57" t="n">
        <v>0</v>
      </c>
      <c r="BJ695" s="57" t="n">
        <v>4</v>
      </c>
      <c r="BK695" s="56" t="n">
        <v>0</v>
      </c>
      <c r="BL695" s="57" t="n">
        <v>0</v>
      </c>
      <c r="BM695" s="55"/>
      <c r="BN695" s="60" t="n">
        <v>0</v>
      </c>
      <c r="BO695" s="60" t="n">
        <v>695</v>
      </c>
      <c r="BP695" s="55" t="str">
        <f aca="false">IF(S695&lt;&gt;"",UPPER(TRIM(S695)),IF(O695="","LOSE",O695))</f>
        <v>LOSE</v>
      </c>
      <c r="BQ695" s="57" t="n">
        <f aca="false">IF(BP695="LOSE",1,IF(N(T695)&gt;0,T695,IF(N(P695)&gt;0,P695,MAX(1,G695))))</f>
        <v>1</v>
      </c>
      <c r="BR695" s="60" t="n">
        <f aca="false">IF(BP695="LOSE",1,0)</f>
        <v>1</v>
      </c>
      <c r="BS695" s="59" t="n">
        <f aca="false">IF(BR695=0,0,IF(N(R695)&gt;0,R695,IFERROR(VLOOKUP(D695,Parameter!$A$35:$C$64,3,0)+0,0)))</f>
        <v>0.15</v>
      </c>
      <c r="BT695" s="55" t="str">
        <f aca="false">IF(Y695&lt;&gt;"",Y695,X695)</f>
        <v>-</v>
      </c>
      <c r="BU695" s="55" t="str">
        <f aca="false">IF(BT695=1,"L1",IF(OR(BT695=2,BT695=3),"L23",IF(BT695="Aussen","Aussen","-")))</f>
        <v>-</v>
      </c>
      <c r="BV695" s="66" t="n">
        <f aca="false">IF(N(Z695)&gt;0,Z695,0)</f>
        <v>0</v>
      </c>
      <c r="BW695" s="60" t="n">
        <f aca="false">IF(ISNUMBER(AC695),1,0)</f>
        <v>0</v>
      </c>
      <c r="BX695" s="57" t="n">
        <f aca="false">N(AC695)</f>
        <v>0</v>
      </c>
      <c r="BY695" s="57" t="n">
        <f aca="false">N(L695)+N(M695)</f>
        <v>1</v>
      </c>
      <c r="BZ695" s="57" t="n">
        <f aca="false">ROUNDUP(G695/BQ695,0)</f>
        <v>0</v>
      </c>
      <c r="CA695" s="57" t="n">
        <f aca="false">ROUNDUP(BX695/BQ695,0)</f>
        <v>0</v>
      </c>
      <c r="CB695" s="60" t="n">
        <f aca="false">IF(BR695=1,0,IFERROR(VLOOKUP(BP695,'Gebinde-Kategorie'!$A$5:$M$45,5,0)+0,0))</f>
        <v>0</v>
      </c>
      <c r="CC695" s="60" t="n">
        <f aca="false">IFERROR(IF(OR(BT695=1,BT695=2,BT695=3),N(INDEX(Parameter!$I$5:$I$7,BT695)),0),0)</f>
        <v>0</v>
      </c>
      <c r="CD695" s="59" t="n">
        <f aca="false">IF(AND(Parameter!$B$21="Ja",ISNUMBER(U695),N(V695)&gt;0),IFERROR(N(INDEX(Parameter!$L$5:$L$7,U695))*INDEX(Parameter!$E$5:$E$7,U695)*V695/SUMIFS($V$7:$V$1576,$U$7:$U$1576,U695),0),0)</f>
        <v>0</v>
      </c>
    </row>
    <row r="696" customFormat="false" ht="15" hidden="false" customHeight="false" outlineLevel="0" collapsed="false">
      <c r="A696" s="55" t="s">
        <v>1379</v>
      </c>
      <c r="B696" s="55" t="s">
        <v>1380</v>
      </c>
      <c r="C696" s="55" t="s">
        <v>446</v>
      </c>
      <c r="D696" s="55" t="s">
        <v>178</v>
      </c>
      <c r="E696" s="55" t="s">
        <v>210</v>
      </c>
      <c r="F696" s="56" t="n">
        <v>139.35</v>
      </c>
      <c r="G696" s="57" t="n">
        <f aca="false">MAX(0,IF(AND(Parameter!$B$21="Ja",ISNUMBER(W696)),W696,IF(Parameter!$B$20="Jahresanfang 2025 + Export",BJ696+BI696,BI696)))</f>
        <v>0</v>
      </c>
      <c r="H696" s="57" t="n">
        <f aca="false">G696*F696</f>
        <v>0</v>
      </c>
      <c r="I696" s="57" t="n">
        <f aca="false">BL696*Parameter!$B$18</f>
        <v>0</v>
      </c>
      <c r="J696" s="58" t="n">
        <v>0</v>
      </c>
      <c r="K696" s="59" t="n">
        <v>0</v>
      </c>
      <c r="L696" s="57" t="n">
        <v>0</v>
      </c>
      <c r="M696" s="57" t="n">
        <v>1</v>
      </c>
      <c r="N696" s="60" t="n">
        <v>56</v>
      </c>
      <c r="O696" s="55" t="s">
        <v>218</v>
      </c>
      <c r="P696" s="57" t="n">
        <v>140</v>
      </c>
      <c r="Q696" s="60" t="n">
        <f aca="false">IF(BR696=1,0,IFERROR(VLOOKUP(BP696,'Gebinde-Kategorie'!$A$5:$M$45,13,0)+0,0))</f>
        <v>12</v>
      </c>
      <c r="R696" s="61"/>
      <c r="S696" s="62"/>
      <c r="T696" s="62"/>
      <c r="U696" s="55"/>
      <c r="V696" s="57"/>
      <c r="W696" s="57"/>
      <c r="X696" s="55" t="n">
        <f aca="false">IF(A696="","",IF(AND(Parameter!$B$21="Ja",ISNUMBER(U696)),U696,IF(IFERROR(VLOOKUP(D696,Parameter!$A$35:$C$64,2,0),"Nein")="2+3",IF(ISNUMBER(SEARCH("grosser Artikel",BM696)),2,IFERROR(VLOOKUP(BP696,Parameter!$F$35:$G$64,2,0),2)),IF(OR(IFERROR(VLOOKUP(D696,Parameter!$A$35:$C$64,2,0),"Nein")="Nein",IFERROR(VLOOKUP(D696,Parameter!$A$35:$C$64,2,0),"Nein")=""),"-",VLOOKUP(D696,Parameter!$A$35:$C$64,2,0)))))</f>
        <v>2</v>
      </c>
      <c r="Y696" s="62"/>
      <c r="Z696" s="63"/>
      <c r="AA696" s="57" t="n">
        <f aca="false">AP696</f>
        <v>140</v>
      </c>
      <c r="AB696" s="57" t="n">
        <f aca="false">MAX(AP696,G696)</f>
        <v>140</v>
      </c>
      <c r="AC696" s="64"/>
      <c r="AD696" s="57" t="n">
        <f aca="false">IF(LEFT(Cockpit!$C$5,1)="A",G696,IF(BW696=1,BX696,IF(LEFT(Cockpit!$C$5,1)="B",AH696,MAX(AH696,G696))))</f>
        <v>0</v>
      </c>
      <c r="AE696" s="57" t="n">
        <f aca="false">IF(BR696=1,0,ROUNDUP(AD696/BQ696,0))</f>
        <v>0</v>
      </c>
      <c r="AF696" s="59" t="n">
        <f aca="false">IF(CD696&gt;0,CD696*MAX(1,AD696/V696),IF(BR696=1,IF(AD696&lt;=0,0,BS696*MAX(1,IF(G696&gt;0,AD696/G696,1))),IF(Q696&gt;0,AE696/Q696,0))/MAX(0.1,N(Parameter!$M$21)))</f>
        <v>0</v>
      </c>
      <c r="AG696" s="57" t="n">
        <f aca="false">AD696*F696</f>
        <v>0</v>
      </c>
      <c r="AH696" s="57" t="n">
        <f aca="false">ROUNDUP(MAX(I696/IF(BV696&gt;0,BV696,MAX(0.1,N(Cockpit!$C$6))),BY696)/BQ696,0)*BQ696</f>
        <v>140</v>
      </c>
      <c r="AI696" s="58" t="n">
        <f aca="false">IF(AF696&gt;0,I696/AF696,-1)</f>
        <v>-1</v>
      </c>
      <c r="AJ696" s="58" t="str">
        <f aca="false">IF(AND(OR(BU696="L1",BU696="L23"),AF696&gt;0),SUMIFS($AF$7:$AF$1576,$BU$7:$BU$1576,BU696,$AI$7:$AI$1576,"&gt;"&amp;AI696)+SUMIFS($AF$7:$AF$1576,$BU$7:$BU$1576,BU696,$AI$7:$AI$1576,AI696,$BO$7:$BO$1576,"&lt;="&amp;BO696),"")</f>
        <v/>
      </c>
      <c r="AK696" s="65" t="n">
        <f aca="false">IF(AJ696="",0,MAX(0,MIN(1,(IF(BU696="L1",Parameter!$E$5,Parameter!$E$6+Parameter!$E$7)-(AJ696-AF696))/AF696)))</f>
        <v>0</v>
      </c>
      <c r="AL696" s="57" t="n">
        <f aca="false">IF(LEFT(Cockpit!$I$5,1)="A",G696,IF(BW696=1,BX696,IF(LEFT(Cockpit!$I$5,1)="B",AP696,MAX(AP696,G696))))</f>
        <v>140</v>
      </c>
      <c r="AM696" s="57" t="n">
        <f aca="false">IF(BR696=1,0,ROUNDUP(AL696/BQ696,0))</f>
        <v>1</v>
      </c>
      <c r="AN696" s="59" t="n">
        <f aca="false">IF(CD696&gt;0,CD696*MAX(1,AL696/V696),IF(BR696=1,IF(AL696&lt;=0,0,BS696*MAX(1,IF(G696&gt;0,AL696/G696,1))),IF(Q696&gt;0,AM696/Q696,0))/MAX(0.1,N(Parameter!$M$21)))</f>
        <v>0.0833333333333333</v>
      </c>
      <c r="AO696" s="57" t="n">
        <f aca="false">AL696*F696</f>
        <v>19509</v>
      </c>
      <c r="AP696" s="57" t="n">
        <f aca="false">ROUNDUP(MAX(I696/IF(BV696&gt;0,BV696,MAX(0.1,N(Cockpit!$I$6))),BY696)/BQ696,0)*BQ696</f>
        <v>140</v>
      </c>
      <c r="AQ696" s="58" t="n">
        <f aca="false">IF(AN696&gt;0,I696/AN696,-1)</f>
        <v>0</v>
      </c>
      <c r="AR696" s="58" t="n">
        <f aca="false">IF(AND(OR(BU696="L1",BU696="L23"),AN696&gt;0),SUMIFS($AN$7:$AN$1576,$BU$7:$BU$1576,BU696,$AQ$7:$AQ$1576,"&gt;"&amp;AQ696)+SUMIFS($AN$7:$AN$1576,$BU$7:$BU$1576,BU696,$AQ$7:$AQ$1576,AQ696,$BO$7:$BO$1576,"&lt;="&amp;BO696),"")</f>
        <v>129.022446949234</v>
      </c>
      <c r="AS696" s="65" t="n">
        <f aca="false">IF(AR696="",0,MAX(0,MIN(1,(IF(BU696="L1",Parameter!$E$5,Parameter!$E$6+Parameter!$E$7)-(AR696-AN696))/AN696)))</f>
        <v>0</v>
      </c>
      <c r="AT696" s="57" t="n">
        <f aca="false">IF(LEFT(Cockpit!$O$5,1)="A",G696,IF(BW696=1,BX696,IF(LEFT(Cockpit!$O$5,1)="B",AX696,MAX(AX696,G696))))</f>
        <v>140</v>
      </c>
      <c r="AU696" s="57" t="n">
        <f aca="false">IF(BR696=1,0,ROUNDUP(AT696/BQ696,0))</f>
        <v>1</v>
      </c>
      <c r="AV696" s="59" t="n">
        <f aca="false">IF(CD696&gt;0,CD696*MAX(1,AT696/V696),IF(BR696=1,IF(AT696&lt;=0,0,BS696*MAX(1,IF(G696&gt;0,AT696/G696,1))),IF(Q696&gt;0,AU696/Q696,0))/MAX(0.1,N(Parameter!$M$21)))</f>
        <v>0.0833333333333333</v>
      </c>
      <c r="AW696" s="57" t="n">
        <f aca="false">AT696*F696</f>
        <v>19509</v>
      </c>
      <c r="AX696" s="57" t="n">
        <f aca="false">ROUNDUP(MAX(I696/IF(BV696&gt;0,BV696,MAX(0.1,N(Cockpit!$O$6))),BY696)/BQ696,0)*BQ696</f>
        <v>140</v>
      </c>
      <c r="AY696" s="58" t="n">
        <f aca="false">IF(AV696&gt;0,I696/AV696,-1)</f>
        <v>0</v>
      </c>
      <c r="AZ696" s="58" t="n">
        <f aca="false">IF(AND(OR(BU696="L1",BU696="L23"),AV696&gt;0),SUMIFS($AV$7:$AV$1576,$BU$7:$BU$1576,BU696,$AY$7:$AY$1576,"&gt;"&amp;AY696)+SUMIFS($AV$7:$AV$1576,$BU$7:$BU$1576,BU696,$AY$7:$AY$1576,AY696,$BO$7:$BO$1576,"&lt;="&amp;BO696),"")</f>
        <v>119.081997398784</v>
      </c>
      <c r="BA696" s="65" t="n">
        <f aca="false">IF(AZ696="",0,MAX(0,MIN(1,(IF(BU696="L1",Parameter!$E$5,Parameter!$E$6+Parameter!$E$7)-(AZ696-AV696))/AV696)))</f>
        <v>0</v>
      </c>
      <c r="BB696" s="55" t="str">
        <f aca="false">IF(AF696&lt;=0,"",IF(BU696="Aussen","Aussenlager",IF(BU696="-","Nicht im Lift",IF(AK696&gt;=1,"Lift",IF(AK696&lt;=0,"Aussenlager","teilweise")))))</f>
        <v/>
      </c>
      <c r="BC696" s="55" t="str">
        <f aca="false">IF(AN696&lt;=0,"",IF(BU696="Aussen","Aussenlager",IF(BU696="-","Nicht im Lift",IF(AS696&gt;=1,"Lift",IF(AS696&lt;=0,"Aussenlager","teilweise")))))</f>
        <v>Aussenlager</v>
      </c>
      <c r="BD696" s="55" t="str">
        <f aca="false">IF(AV696&lt;=0,"",IF(BU696="Aussen","Aussenlager",IF(BU696="-","Nicht im Lift",IF(BA696&gt;=1,"Lift",IF(BA696&lt;=0,"Aussenlager","teilweise")))))</f>
        <v>Aussenlager</v>
      </c>
      <c r="BE696" s="55" t="str">
        <f aca="false">IF(A696="","",IF(BN696=1,"Neu; ","")&amp;IF(AND(BN696=0,BI696&lt;0),"negativer Bestand (Export "&amp;BI696&amp;"); ","")&amp;IF(I696&lt;=0,"Kein Verbrauch; ","")&amp;IF(CD696&gt;0,"Lift "&amp;U696&amp;" lt. Liftbericht (Fach "&amp;V696&amp;" Stk); ",IF(BR696=1,"Lose – Fläche geschätzt; ",""))&amp;IF(G696&gt;AP696,"Überbestand "&amp;ROUND(G696-AP696,0)&amp;" Stk / CHF "&amp;ROUND((G696-AP696)*F696,0)&amp;"; ","")&amp;IF(AND(BW696=1,BX696&lt;BY696),"MAX &lt; MB+LG; ","")&amp;IF(AND(CC696&gt;0,CB696*10&gt;CC696),"zu hoch für Tablar; ","")&amp;IF(AND(BN696=0,OR(BW696=1,Y696&lt;&gt;"",S696&lt;&gt;"",T696&lt;&gt;"",Z696&lt;&gt;"")),"manuell übersteuert; ","")&amp;IF(AND(BR696=0,Q696=0),"Gebinde unbekannt / Stellmass fehlt; ","")&amp;IF(AND(BR696=0,N(T696)&lt;=0,N(P696)&lt;=0),"Menge pro Gebinde fehlt (Ist = 1 Gebinde); ","")&amp;BM696)</f>
        <v>Kein Verbrauch; </v>
      </c>
      <c r="BF696" s="55"/>
      <c r="BG696" s="55"/>
      <c r="BH696" s="62"/>
      <c r="BI696" s="57" t="n">
        <v>0</v>
      </c>
      <c r="BJ696" s="57" t="n">
        <v>0</v>
      </c>
      <c r="BK696" s="56" t="n">
        <v>0</v>
      </c>
      <c r="BL696" s="57" t="n">
        <v>0</v>
      </c>
      <c r="BM696" s="55"/>
      <c r="BN696" s="60" t="n">
        <v>0</v>
      </c>
      <c r="BO696" s="60" t="n">
        <v>696</v>
      </c>
      <c r="BP696" s="55" t="str">
        <f aca="false">IF(S696&lt;&gt;"",UPPER(TRIM(S696)),IF(O696="","LOSE",O696))</f>
        <v>S63</v>
      </c>
      <c r="BQ696" s="57" t="n">
        <f aca="false">IF(BP696="LOSE",1,IF(N(T696)&gt;0,T696,IF(N(P696)&gt;0,P696,MAX(1,G696))))</f>
        <v>140</v>
      </c>
      <c r="BR696" s="60" t="n">
        <f aca="false">IF(BP696="LOSE",1,0)</f>
        <v>0</v>
      </c>
      <c r="BS696" s="59" t="n">
        <f aca="false">IF(BR696=0,0,IF(N(R696)&gt;0,R696,IFERROR(VLOOKUP(D696,Parameter!$A$35:$C$64,3,0)+0,0)))</f>
        <v>0</v>
      </c>
      <c r="BT696" s="55" t="n">
        <f aca="false">IF(Y696&lt;&gt;"",Y696,X696)</f>
        <v>2</v>
      </c>
      <c r="BU696" s="55" t="str">
        <f aca="false">IF(BT696=1,"L1",IF(OR(BT696=2,BT696=3),"L23",IF(BT696="Aussen","Aussen","-")))</f>
        <v>L23</v>
      </c>
      <c r="BV696" s="66" t="n">
        <f aca="false">IF(N(Z696)&gt;0,Z696,0)</f>
        <v>0</v>
      </c>
      <c r="BW696" s="60" t="n">
        <f aca="false">IF(ISNUMBER(AC696),1,0)</f>
        <v>0</v>
      </c>
      <c r="BX696" s="57" t="n">
        <f aca="false">N(AC696)</f>
        <v>0</v>
      </c>
      <c r="BY696" s="57" t="n">
        <f aca="false">N(L696)+N(M696)</f>
        <v>1</v>
      </c>
      <c r="BZ696" s="57" t="n">
        <f aca="false">ROUNDUP(G696/BQ696,0)</f>
        <v>0</v>
      </c>
      <c r="CA696" s="57" t="n">
        <f aca="false">ROUNDUP(BX696/BQ696,0)</f>
        <v>0</v>
      </c>
      <c r="CB696" s="60" t="n">
        <f aca="false">IF(BR696=1,0,IFERROR(VLOOKUP(BP696,'Gebinde-Kategorie'!$A$5:$M$45,5,0)+0,0))</f>
        <v>31</v>
      </c>
      <c r="CC696" s="60" t="n">
        <f aca="false">IFERROR(IF(OR(BT696=1,BT696=2,BT696=3),N(INDEX(Parameter!$I$5:$I$7,BT696)),0),0)</f>
        <v>0</v>
      </c>
      <c r="CD696" s="59" t="n">
        <f aca="false">IF(AND(Parameter!$B$21="Ja",ISNUMBER(U696),N(V696)&gt;0),IFERROR(N(INDEX(Parameter!$L$5:$L$7,U696))*INDEX(Parameter!$E$5:$E$7,U696)*V696/SUMIFS($V$7:$V$1576,$U$7:$U$1576,U696),0),0)</f>
        <v>0</v>
      </c>
    </row>
    <row r="697" customFormat="false" ht="15" hidden="false" customHeight="false" outlineLevel="0" collapsed="false">
      <c r="A697" s="55" t="s">
        <v>1381</v>
      </c>
      <c r="B697" s="55" t="s">
        <v>1382</v>
      </c>
      <c r="C697" s="55" t="s">
        <v>160</v>
      </c>
      <c r="D697" s="55" t="s">
        <v>178</v>
      </c>
      <c r="E697" s="55" t="s">
        <v>210</v>
      </c>
      <c r="F697" s="56" t="n">
        <v>51.81</v>
      </c>
      <c r="G697" s="57" t="n">
        <f aca="false">MAX(0,IF(AND(Parameter!$B$21="Ja",ISNUMBER(W697)),W697,IF(Parameter!$B$20="Jahresanfang 2025 + Export",BJ697+BI697,BI697)))</f>
        <v>0</v>
      </c>
      <c r="H697" s="57" t="n">
        <f aca="false">G697*F697</f>
        <v>0</v>
      </c>
      <c r="I697" s="57" t="n">
        <f aca="false">BL697*Parameter!$B$18</f>
        <v>1</v>
      </c>
      <c r="J697" s="58" t="n">
        <v>7</v>
      </c>
      <c r="K697" s="59" t="n">
        <v>0.142857142857143</v>
      </c>
      <c r="L697" s="57" t="n">
        <v>0</v>
      </c>
      <c r="M697" s="57" t="n">
        <v>1</v>
      </c>
      <c r="N697" s="60" t="n">
        <v>42</v>
      </c>
      <c r="O697" s="55" t="s">
        <v>411</v>
      </c>
      <c r="P697" s="57" t="n">
        <v>4</v>
      </c>
      <c r="Q697" s="60" t="n">
        <f aca="false">IF(BR697=1,0,IFERROR(VLOOKUP(BP697,'Gebinde-Kategorie'!$A$5:$M$45,13,0)+0,0))</f>
        <v>132</v>
      </c>
      <c r="R697" s="61"/>
      <c r="S697" s="62"/>
      <c r="T697" s="62"/>
      <c r="U697" s="55"/>
      <c r="V697" s="57"/>
      <c r="W697" s="57"/>
      <c r="X697" s="55" t="n">
        <f aca="false">IF(A697="","",IF(AND(Parameter!$B$21="Ja",ISNUMBER(U697)),U697,IF(IFERROR(VLOOKUP(D697,Parameter!$A$35:$C$64,2,0),"Nein")="2+3",IF(ISNUMBER(SEARCH("grosser Artikel",BM697)),2,IFERROR(VLOOKUP(BP697,Parameter!$F$35:$G$64,2,0),2)),IF(OR(IFERROR(VLOOKUP(D697,Parameter!$A$35:$C$64,2,0),"Nein")="Nein",IFERROR(VLOOKUP(D697,Parameter!$A$35:$C$64,2,0),"Nein")=""),"-",VLOOKUP(D697,Parameter!$A$35:$C$64,2,0)))))</f>
        <v>3</v>
      </c>
      <c r="Y697" s="62"/>
      <c r="Z697" s="63"/>
      <c r="AA697" s="57" t="n">
        <f aca="false">AP697</f>
        <v>4</v>
      </c>
      <c r="AB697" s="57" t="n">
        <f aca="false">MAX(AP697,G697)</f>
        <v>4</v>
      </c>
      <c r="AC697" s="64"/>
      <c r="AD697" s="57" t="n">
        <f aca="false">IF(LEFT(Cockpit!$C$5,1)="A",G697,IF(BW697=1,BX697,IF(LEFT(Cockpit!$C$5,1)="B",AH697,MAX(AH697,G697))))</f>
        <v>0</v>
      </c>
      <c r="AE697" s="57" t="n">
        <f aca="false">IF(BR697=1,0,ROUNDUP(AD697/BQ697,0))</f>
        <v>0</v>
      </c>
      <c r="AF697" s="59" t="n">
        <f aca="false">IF(CD697&gt;0,CD697*MAX(1,AD697/V697),IF(BR697=1,IF(AD697&lt;=0,0,BS697*MAX(1,IF(G697&gt;0,AD697/G697,1))),IF(Q697&gt;0,AE697/Q697,0))/MAX(0.1,N(Parameter!$M$21)))</f>
        <v>0</v>
      </c>
      <c r="AG697" s="57" t="n">
        <f aca="false">AD697*F697</f>
        <v>0</v>
      </c>
      <c r="AH697" s="57" t="n">
        <f aca="false">ROUNDUP(MAX(I697/IF(BV697&gt;0,BV697,MAX(0.1,N(Cockpit!$C$6))),BY697)/BQ697,0)*BQ697</f>
        <v>4</v>
      </c>
      <c r="AI697" s="58" t="n">
        <f aca="false">IF(AF697&gt;0,I697/AF697,-1)</f>
        <v>-1</v>
      </c>
      <c r="AJ697" s="58" t="str">
        <f aca="false">IF(AND(OR(BU697="L1",BU697="L23"),AF697&gt;0),SUMIFS($AF$7:$AF$1576,$BU$7:$BU$1576,BU697,$AI$7:$AI$1576,"&gt;"&amp;AI697)+SUMIFS($AF$7:$AF$1576,$BU$7:$BU$1576,BU697,$AI$7:$AI$1576,AI697,$BO$7:$BO$1576,"&lt;="&amp;BO697),"")</f>
        <v/>
      </c>
      <c r="AK697" s="65" t="n">
        <f aca="false">IF(AJ697="",0,MAX(0,MIN(1,(IF(BU697="L1",Parameter!$E$5,Parameter!$E$6+Parameter!$E$7)-(AJ697-AF697))/AF697)))</f>
        <v>0</v>
      </c>
      <c r="AL697" s="57" t="n">
        <f aca="false">IF(LEFT(Cockpit!$I$5,1)="A",G697,IF(BW697=1,BX697,IF(LEFT(Cockpit!$I$5,1)="B",AP697,MAX(AP697,G697))))</f>
        <v>4</v>
      </c>
      <c r="AM697" s="57" t="n">
        <f aca="false">IF(BR697=1,0,ROUNDUP(AL697/BQ697,0))</f>
        <v>1</v>
      </c>
      <c r="AN697" s="59" t="n">
        <f aca="false">IF(CD697&gt;0,CD697*MAX(1,AL697/V697),IF(BR697=1,IF(AL697&lt;=0,0,BS697*MAX(1,IF(G697&gt;0,AL697/G697,1))),IF(Q697&gt;0,AM697/Q697,0))/MAX(0.1,N(Parameter!$M$21)))</f>
        <v>0.00757575757575758</v>
      </c>
      <c r="AO697" s="57" t="n">
        <f aca="false">AL697*F697</f>
        <v>207.24</v>
      </c>
      <c r="AP697" s="57" t="n">
        <f aca="false">ROUNDUP(MAX(I697/IF(BV697&gt;0,BV697,MAX(0.1,N(Cockpit!$I$6))),BY697)/BQ697,0)*BQ697</f>
        <v>4</v>
      </c>
      <c r="AQ697" s="58" t="n">
        <f aca="false">IF(AN697&gt;0,I697/AN697,-1)</f>
        <v>132</v>
      </c>
      <c r="AR697" s="58" t="n">
        <f aca="false">IF(AND(OR(BU697="L1",BU697="L23"),AN697&gt;0),SUMIFS($AN$7:$AN$1576,$BU$7:$BU$1576,BU697,$AQ$7:$AQ$1576,"&gt;"&amp;AQ697)+SUMIFS($AN$7:$AN$1576,$BU$7:$BU$1576,BU697,$AQ$7:$AQ$1576,AQ697,$BO$7:$BO$1576,"&lt;="&amp;BO697),"")</f>
        <v>60.1691935242047</v>
      </c>
      <c r="AS697" s="65" t="n">
        <f aca="false">IF(AR697="",0,MAX(0,MIN(1,(IF(BU697="L1",Parameter!$E$5,Parameter!$E$6+Parameter!$E$7)-(AR697-AN697))/AN697)))</f>
        <v>1</v>
      </c>
      <c r="AT697" s="57" t="n">
        <f aca="false">IF(LEFT(Cockpit!$O$5,1)="A",G697,IF(BW697=1,BX697,IF(LEFT(Cockpit!$O$5,1)="B",AX697,MAX(AX697,G697))))</f>
        <v>4</v>
      </c>
      <c r="AU697" s="57" t="n">
        <f aca="false">IF(BR697=1,0,ROUNDUP(AT697/BQ697,0))</f>
        <v>1</v>
      </c>
      <c r="AV697" s="59" t="n">
        <f aca="false">IF(CD697&gt;0,CD697*MAX(1,AT697/V697),IF(BR697=1,IF(AT697&lt;=0,0,BS697*MAX(1,IF(G697&gt;0,AT697/G697,1))),IF(Q697&gt;0,AU697/Q697,0))/MAX(0.1,N(Parameter!$M$21)))</f>
        <v>0.00757575757575758</v>
      </c>
      <c r="AW697" s="57" t="n">
        <f aca="false">AT697*F697</f>
        <v>207.24</v>
      </c>
      <c r="AX697" s="57" t="n">
        <f aca="false">ROUNDUP(MAX(I697/IF(BV697&gt;0,BV697,MAX(0.1,N(Cockpit!$O$6))),BY697)/BQ697,0)*BQ697</f>
        <v>4</v>
      </c>
      <c r="AY697" s="58" t="n">
        <f aca="false">IF(AV697&gt;0,I697/AV697,-1)</f>
        <v>132</v>
      </c>
      <c r="AZ697" s="58" t="n">
        <f aca="false">IF(AND(OR(BU697="L1",BU697="L23"),AV697&gt;0),SUMIFS($AV$7:$AV$1576,$BU$7:$BU$1576,BU697,$AY$7:$AY$1576,"&gt;"&amp;AY697)+SUMIFS($AV$7:$AV$1576,$BU$7:$BU$1576,BU697,$AY$7:$AY$1576,AY697,$BO$7:$BO$1576,"&lt;="&amp;BO697),"")</f>
        <v>54.8316606404218</v>
      </c>
      <c r="BA697" s="65" t="n">
        <f aca="false">IF(AZ697="",0,MAX(0,MIN(1,(IF(BU697="L1",Parameter!$E$5,Parameter!$E$6+Parameter!$E$7)-(AZ697-AV697))/AV697)))</f>
        <v>1</v>
      </c>
      <c r="BB697" s="55" t="str">
        <f aca="false">IF(AF697&lt;=0,"",IF(BU697="Aussen","Aussenlager",IF(BU697="-","Nicht im Lift",IF(AK697&gt;=1,"Lift",IF(AK697&lt;=0,"Aussenlager","teilweise")))))</f>
        <v/>
      </c>
      <c r="BC697" s="55" t="str">
        <f aca="false">IF(AN697&lt;=0,"",IF(BU697="Aussen","Aussenlager",IF(BU697="-","Nicht im Lift",IF(AS697&gt;=1,"Lift",IF(AS697&lt;=0,"Aussenlager","teilweise")))))</f>
        <v>Lift</v>
      </c>
      <c r="BD697" s="55" t="str">
        <f aca="false">IF(AV697&lt;=0,"",IF(BU697="Aussen","Aussenlager",IF(BU697="-","Nicht im Lift",IF(BA697&gt;=1,"Lift",IF(BA697&lt;=0,"Aussenlager","teilweise")))))</f>
        <v>Lift</v>
      </c>
      <c r="BE697" s="55" t="str">
        <f aca="false">IF(A697="","",IF(BN697=1,"Neu; ","")&amp;IF(AND(BN697=0,BI697&lt;0),"negativer Bestand (Export "&amp;BI697&amp;"); ","")&amp;IF(I697&lt;=0,"Kein Verbrauch; ","")&amp;IF(CD697&gt;0,"Lift "&amp;U697&amp;" lt. Liftbericht (Fach "&amp;V697&amp;" Stk); ",IF(BR697=1,"Lose – Fläche geschätzt; ",""))&amp;IF(G697&gt;AP697,"Überbestand "&amp;ROUND(G697-AP697,0)&amp;" Stk / CHF "&amp;ROUND((G697-AP697)*F697,0)&amp;"; ","")&amp;IF(AND(BW697=1,BX697&lt;BY697),"MAX &lt; MB+LG; ","")&amp;IF(AND(CC697&gt;0,CB697*10&gt;CC697),"zu hoch für Tablar; ","")&amp;IF(AND(BN697=0,OR(BW697=1,Y697&lt;&gt;"",S697&lt;&gt;"",T697&lt;&gt;"",Z697&lt;&gt;"")),"manuell übersteuert; ","")&amp;IF(AND(BR697=0,Q697=0),"Gebinde unbekannt / Stellmass fehlt; ","")&amp;IF(AND(BR697=0,N(T697)&lt;=0,N(P697)&lt;=0),"Menge pro Gebinde fehlt (Ist = 1 Gebinde); ","")&amp;BM697)</f>
        <v/>
      </c>
      <c r="BF697" s="55"/>
      <c r="BG697" s="55"/>
      <c r="BH697" s="62"/>
      <c r="BI697" s="57" t="n">
        <v>0</v>
      </c>
      <c r="BJ697" s="57" t="n">
        <v>7</v>
      </c>
      <c r="BK697" s="56" t="n">
        <v>0</v>
      </c>
      <c r="BL697" s="57" t="n">
        <v>1</v>
      </c>
      <c r="BM697" s="55"/>
      <c r="BN697" s="60" t="n">
        <v>0</v>
      </c>
      <c r="BO697" s="60" t="n">
        <v>697</v>
      </c>
      <c r="BP697" s="55" t="str">
        <f aca="false">IF(S697&lt;&gt;"",UPPER(TRIM(S697)),IF(O697="","LOSE",O697))</f>
        <v>S32</v>
      </c>
      <c r="BQ697" s="57" t="n">
        <f aca="false">IF(BP697="LOSE",1,IF(N(T697)&gt;0,T697,IF(N(P697)&gt;0,P697,MAX(1,G697))))</f>
        <v>4</v>
      </c>
      <c r="BR697" s="60" t="n">
        <f aca="false">IF(BP697="LOSE",1,0)</f>
        <v>0</v>
      </c>
      <c r="BS697" s="59" t="n">
        <f aca="false">IF(BR697=0,0,IF(N(R697)&gt;0,R697,IFERROR(VLOOKUP(D697,Parameter!$A$35:$C$64,3,0)+0,0)))</f>
        <v>0</v>
      </c>
      <c r="BT697" s="55" t="n">
        <f aca="false">IF(Y697&lt;&gt;"",Y697,X697)</f>
        <v>3</v>
      </c>
      <c r="BU697" s="55" t="str">
        <f aca="false">IF(BT697=1,"L1",IF(OR(BT697=2,BT697=3),"L23",IF(BT697="Aussen","Aussen","-")))</f>
        <v>L23</v>
      </c>
      <c r="BV697" s="66" t="n">
        <f aca="false">IF(N(Z697)&gt;0,Z697,0)</f>
        <v>0</v>
      </c>
      <c r="BW697" s="60" t="n">
        <f aca="false">IF(ISNUMBER(AC697),1,0)</f>
        <v>0</v>
      </c>
      <c r="BX697" s="57" t="n">
        <f aca="false">N(AC697)</f>
        <v>0</v>
      </c>
      <c r="BY697" s="57" t="n">
        <f aca="false">N(L697)+N(M697)</f>
        <v>1</v>
      </c>
      <c r="BZ697" s="57" t="n">
        <f aca="false">ROUNDUP(G697/BQ697,0)</f>
        <v>0</v>
      </c>
      <c r="CA697" s="57" t="n">
        <f aca="false">ROUNDUP(BX697/BQ697,0)</f>
        <v>0</v>
      </c>
      <c r="CB697" s="60" t="n">
        <f aca="false">IF(BR697=1,0,IFERROR(VLOOKUP(BP697,'Gebinde-Kategorie'!$A$5:$M$45,5,0)+0,0))</f>
        <v>8</v>
      </c>
      <c r="CC697" s="60" t="n">
        <f aca="false">IFERROR(IF(OR(BT697=1,BT697=2,BT697=3),N(INDEX(Parameter!$I$5:$I$7,BT697)),0),0)</f>
        <v>0</v>
      </c>
      <c r="CD697" s="59" t="n">
        <f aca="false">IF(AND(Parameter!$B$21="Ja",ISNUMBER(U697),N(V697)&gt;0),IFERROR(N(INDEX(Parameter!$L$5:$L$7,U697))*INDEX(Parameter!$E$5:$E$7,U697)*V697/SUMIFS($V$7:$V$1576,$U$7:$U$1576,U697),0),0)</f>
        <v>0</v>
      </c>
    </row>
    <row r="698" customFormat="false" ht="15" hidden="false" customHeight="false" outlineLevel="0" collapsed="false">
      <c r="A698" s="55" t="s">
        <v>1383</v>
      </c>
      <c r="B698" s="55" t="s">
        <v>1384</v>
      </c>
      <c r="C698" s="55" t="s">
        <v>160</v>
      </c>
      <c r="D698" s="55" t="s">
        <v>168</v>
      </c>
      <c r="E698" s="55" t="s">
        <v>210</v>
      </c>
      <c r="F698" s="56" t="n">
        <v>544.15</v>
      </c>
      <c r="G698" s="57" t="n">
        <f aca="false">MAX(0,IF(AND(Parameter!$B$21="Ja",ISNUMBER(W698)),W698,IF(Parameter!$B$20="Jahresanfang 2025 + Export",BJ698+BI698,BI698)))</f>
        <v>0</v>
      </c>
      <c r="H698" s="57" t="n">
        <f aca="false">G698*F698</f>
        <v>0</v>
      </c>
      <c r="I698" s="57" t="n">
        <f aca="false">BL698*Parameter!$B$18</f>
        <v>1</v>
      </c>
      <c r="J698" s="58" t="n">
        <v>0</v>
      </c>
      <c r="K698" s="59" t="n">
        <v>0</v>
      </c>
      <c r="L698" s="57" t="n">
        <v>0</v>
      </c>
      <c r="M698" s="57" t="n">
        <v>1</v>
      </c>
      <c r="N698" s="60" t="n">
        <v>21</v>
      </c>
      <c r="O698" s="55" t="s">
        <v>163</v>
      </c>
      <c r="P698" s="57"/>
      <c r="Q698" s="60" t="n">
        <f aca="false">IF(BR698=1,0,IFERROR(VLOOKUP(BP698,'Gebinde-Kategorie'!$A$5:$M$45,13,0)+0,0))</f>
        <v>0</v>
      </c>
      <c r="R698" s="61"/>
      <c r="S698" s="62"/>
      <c r="T698" s="62"/>
      <c r="U698" s="55"/>
      <c r="V698" s="57"/>
      <c r="W698" s="57"/>
      <c r="X698" s="55" t="n">
        <f aca="false">IF(A698="","",IF(AND(Parameter!$B$21="Ja",ISNUMBER(U698)),U698,IF(IFERROR(VLOOKUP(D698,Parameter!$A$35:$C$64,2,0),"Nein")="2+3",IF(ISNUMBER(SEARCH("grosser Artikel",BM698)),2,IFERROR(VLOOKUP(BP698,Parameter!$F$35:$G$64,2,0),2)),IF(OR(IFERROR(VLOOKUP(D698,Parameter!$A$35:$C$64,2,0),"Nein")="Nein",IFERROR(VLOOKUP(D698,Parameter!$A$35:$C$64,2,0),"Nein")=""),"-",VLOOKUP(D698,Parameter!$A$35:$C$64,2,0)))))</f>
        <v>2</v>
      </c>
      <c r="Y698" s="62"/>
      <c r="Z698" s="63"/>
      <c r="AA698" s="57" t="n">
        <f aca="false">AP698</f>
        <v>1</v>
      </c>
      <c r="AB698" s="57" t="n">
        <f aca="false">MAX(AP698,G698)</f>
        <v>1</v>
      </c>
      <c r="AC698" s="64"/>
      <c r="AD698" s="57" t="n">
        <f aca="false">IF(LEFT(Cockpit!$C$5,1)="A",G698,IF(BW698=1,BX698,IF(LEFT(Cockpit!$C$5,1)="B",AH698,MAX(AH698,G698))))</f>
        <v>0</v>
      </c>
      <c r="AE698" s="57" t="n">
        <f aca="false">IF(BR698=1,0,ROUNDUP(AD698/BQ698,0))</f>
        <v>0</v>
      </c>
      <c r="AF698" s="59" t="n">
        <f aca="false">IF(CD698&gt;0,CD698*MAX(1,AD698/V698),IF(BR698=1,IF(AD698&lt;=0,0,BS698*MAX(1,IF(G698&gt;0,AD698/G698,1))),IF(Q698&gt;0,AE698/Q698,0))/MAX(0.1,N(Parameter!$M$21)))</f>
        <v>0</v>
      </c>
      <c r="AG698" s="57" t="n">
        <f aca="false">AD698*F698</f>
        <v>0</v>
      </c>
      <c r="AH698" s="57" t="n">
        <f aca="false">ROUNDUP(MAX(I698/IF(BV698&gt;0,BV698,MAX(0.1,N(Cockpit!$C$6))),BY698)/BQ698,0)*BQ698</f>
        <v>1</v>
      </c>
      <c r="AI698" s="58" t="n">
        <f aca="false">IF(AF698&gt;0,I698/AF698,-1)</f>
        <v>-1</v>
      </c>
      <c r="AJ698" s="58" t="str">
        <f aca="false">IF(AND(OR(BU698="L1",BU698="L23"),AF698&gt;0),SUMIFS($AF$7:$AF$1576,$BU$7:$BU$1576,BU698,$AI$7:$AI$1576,"&gt;"&amp;AI698)+SUMIFS($AF$7:$AF$1576,$BU$7:$BU$1576,BU698,$AI$7:$AI$1576,AI698,$BO$7:$BO$1576,"&lt;="&amp;BO698),"")</f>
        <v/>
      </c>
      <c r="AK698" s="65" t="n">
        <f aca="false">IF(AJ698="",0,MAX(0,MIN(1,(IF(BU698="L1",Parameter!$E$5,Parameter!$E$6+Parameter!$E$7)-(AJ698-AF698))/AF698)))</f>
        <v>0</v>
      </c>
      <c r="AL698" s="57" t="n">
        <f aca="false">IF(LEFT(Cockpit!$I$5,1)="A",G698,IF(BW698=1,BX698,IF(LEFT(Cockpit!$I$5,1)="B",AP698,MAX(AP698,G698))))</f>
        <v>1</v>
      </c>
      <c r="AM698" s="57" t="n">
        <f aca="false">IF(BR698=1,0,ROUNDUP(AL698/BQ698,0))</f>
        <v>0</v>
      </c>
      <c r="AN698" s="59" t="n">
        <f aca="false">IF(CD698&gt;0,CD698*MAX(1,AL698/V698),IF(BR698=1,IF(AL698&lt;=0,0,BS698*MAX(1,IF(G698&gt;0,AL698/G698,1))),IF(Q698&gt;0,AM698/Q698,0))/MAX(0.1,N(Parameter!$M$21)))</f>
        <v>0.15</v>
      </c>
      <c r="AO698" s="57" t="n">
        <f aca="false">AL698*F698</f>
        <v>544.15</v>
      </c>
      <c r="AP698" s="57" t="n">
        <f aca="false">ROUNDUP(MAX(I698/IF(BV698&gt;0,BV698,MAX(0.1,N(Cockpit!$I$6))),BY698)/BQ698,0)*BQ698</f>
        <v>1</v>
      </c>
      <c r="AQ698" s="58" t="n">
        <f aca="false">IF(AN698&gt;0,I698/AN698,-1)</f>
        <v>6.66666666666667</v>
      </c>
      <c r="AR698" s="58" t="n">
        <f aca="false">IF(AND(OR(BU698="L1",BU698="L23"),AN698&gt;0),SUMIFS($AN$7:$AN$1576,$BU$7:$BU$1576,BU698,$AQ$7:$AQ$1576,"&gt;"&amp;AQ698)+SUMIFS($AN$7:$AN$1576,$BU$7:$BU$1576,BU698,$AQ$7:$AQ$1576,AQ698,$BO$7:$BO$1576,"&lt;="&amp;BO698),"")</f>
        <v>110.542434588696</v>
      </c>
      <c r="AS698" s="65" t="n">
        <f aca="false">IF(AR698="",0,MAX(0,MIN(1,(IF(BU698="L1",Parameter!$E$5,Parameter!$E$6+Parameter!$E$7)-(AR698-AN698))/AN698)))</f>
        <v>0</v>
      </c>
      <c r="AT698" s="57" t="n">
        <f aca="false">IF(LEFT(Cockpit!$O$5,1)="A",G698,IF(BW698=1,BX698,IF(LEFT(Cockpit!$O$5,1)="B",AX698,MAX(AX698,G698))))</f>
        <v>1</v>
      </c>
      <c r="AU698" s="57" t="n">
        <f aca="false">IF(BR698=1,0,ROUNDUP(AT698/BQ698,0))</f>
        <v>0</v>
      </c>
      <c r="AV698" s="59" t="n">
        <f aca="false">IF(CD698&gt;0,CD698*MAX(1,AT698/V698),IF(BR698=1,IF(AT698&lt;=0,0,BS698*MAX(1,IF(G698&gt;0,AT698/G698,1))),IF(Q698&gt;0,AU698/Q698,0))/MAX(0.1,N(Parameter!$M$21)))</f>
        <v>0.15</v>
      </c>
      <c r="AW698" s="57" t="n">
        <f aca="false">AT698*F698</f>
        <v>544.15</v>
      </c>
      <c r="AX698" s="57" t="n">
        <f aca="false">ROUNDUP(MAX(I698/IF(BV698&gt;0,BV698,MAX(0.1,N(Cockpit!$O$6))),BY698)/BQ698,0)*BQ698</f>
        <v>1</v>
      </c>
      <c r="AY698" s="58" t="n">
        <f aca="false">IF(AV698&gt;0,I698/AV698,-1)</f>
        <v>6.66666666666667</v>
      </c>
      <c r="AZ698" s="58" t="n">
        <f aca="false">IF(AND(OR(BU698="L1",BU698="L23"),AV698&gt;0),SUMIFS($AV$7:$AV$1576,$BU$7:$BU$1576,BU698,$AY$7:$AY$1576,"&gt;"&amp;AY698)+SUMIFS($AV$7:$AV$1576,$BU$7:$BU$1576,BU698,$AY$7:$AY$1576,AY698,$BO$7:$BO$1576,"&lt;="&amp;BO698),"")</f>
        <v>100.601985038246</v>
      </c>
      <c r="BA698" s="65" t="n">
        <f aca="false">IF(AZ698="",0,MAX(0,MIN(1,(IF(BU698="L1",Parameter!$E$5,Parameter!$E$6+Parameter!$E$7)-(AZ698-AV698))/AV698)))</f>
        <v>0</v>
      </c>
      <c r="BB698" s="55" t="str">
        <f aca="false">IF(AF698&lt;=0,"",IF(BU698="Aussen","Aussenlager",IF(BU698="-","Nicht im Lift",IF(AK698&gt;=1,"Lift",IF(AK698&lt;=0,"Aussenlager","teilweise")))))</f>
        <v/>
      </c>
      <c r="BC698" s="55" t="str">
        <f aca="false">IF(AN698&lt;=0,"",IF(BU698="Aussen","Aussenlager",IF(BU698="-","Nicht im Lift",IF(AS698&gt;=1,"Lift",IF(AS698&lt;=0,"Aussenlager","teilweise")))))</f>
        <v>Aussenlager</v>
      </c>
      <c r="BD698" s="55" t="str">
        <f aca="false">IF(AV698&lt;=0,"",IF(BU698="Aussen","Aussenlager",IF(BU698="-","Nicht im Lift",IF(BA698&gt;=1,"Lift",IF(BA698&lt;=0,"Aussenlager","teilweise")))))</f>
        <v>Aussenlager</v>
      </c>
      <c r="BE698" s="55" t="str">
        <f aca="false">IF(A698="","",IF(BN698=1,"Neu; ","")&amp;IF(AND(BN698=0,BI698&lt;0),"negativer Bestand (Export "&amp;BI698&amp;"); ","")&amp;IF(I698&lt;=0,"Kein Verbrauch; ","")&amp;IF(CD698&gt;0,"Lift "&amp;U698&amp;" lt. Liftbericht (Fach "&amp;V698&amp;" Stk); ",IF(BR698=1,"Lose – Fläche geschätzt; ",""))&amp;IF(G698&gt;AP698,"Überbestand "&amp;ROUND(G698-AP698,0)&amp;" Stk / CHF "&amp;ROUND((G698-AP698)*F698,0)&amp;"; ","")&amp;IF(AND(BW698=1,BX698&lt;BY698),"MAX &lt; MB+LG; ","")&amp;IF(AND(CC698&gt;0,CB698*10&gt;CC698),"zu hoch für Tablar; ","")&amp;IF(AND(BN698=0,OR(BW698=1,Y698&lt;&gt;"",S698&lt;&gt;"",T698&lt;&gt;"",Z698&lt;&gt;"")),"manuell übersteuert; ","")&amp;IF(AND(BR698=0,Q698=0),"Gebinde unbekannt / Stellmass fehlt; ","")&amp;IF(AND(BR698=0,N(T698)&lt;=0,N(P698)&lt;=0),"Menge pro Gebinde fehlt (Ist = 1 Gebinde); ","")&amp;BM698)</f>
        <v>Lose – Fläche geschätzt; </v>
      </c>
      <c r="BF698" s="55"/>
      <c r="BG698" s="55"/>
      <c r="BH698" s="62"/>
      <c r="BI698" s="57" t="n">
        <v>0</v>
      </c>
      <c r="BJ698" s="57" t="n">
        <v>0</v>
      </c>
      <c r="BK698" s="56" t="n">
        <v>0</v>
      </c>
      <c r="BL698" s="57" t="n">
        <v>1</v>
      </c>
      <c r="BM698" s="55"/>
      <c r="BN698" s="60" t="n">
        <v>0</v>
      </c>
      <c r="BO698" s="60" t="n">
        <v>698</v>
      </c>
      <c r="BP698" s="55" t="str">
        <f aca="false">IF(S698&lt;&gt;"",UPPER(TRIM(S698)),IF(O698="","LOSE",O698))</f>
        <v>LOSE</v>
      </c>
      <c r="BQ698" s="57" t="n">
        <f aca="false">IF(BP698="LOSE",1,IF(N(T698)&gt;0,T698,IF(N(P698)&gt;0,P698,MAX(1,G698))))</f>
        <v>1</v>
      </c>
      <c r="BR698" s="60" t="n">
        <f aca="false">IF(BP698="LOSE",1,0)</f>
        <v>1</v>
      </c>
      <c r="BS698" s="59" t="n">
        <f aca="false">IF(BR698=0,0,IF(N(R698)&gt;0,R698,IFERROR(VLOOKUP(D698,Parameter!$A$35:$C$64,3,0)+0,0)))</f>
        <v>0.15</v>
      </c>
      <c r="BT698" s="55" t="n">
        <f aca="false">IF(Y698&lt;&gt;"",Y698,X698)</f>
        <v>2</v>
      </c>
      <c r="BU698" s="55" t="str">
        <f aca="false">IF(BT698=1,"L1",IF(OR(BT698=2,BT698=3),"L23",IF(BT698="Aussen","Aussen","-")))</f>
        <v>L23</v>
      </c>
      <c r="BV698" s="66" t="n">
        <f aca="false">IF(N(Z698)&gt;0,Z698,0)</f>
        <v>0</v>
      </c>
      <c r="BW698" s="60" t="n">
        <f aca="false">IF(ISNUMBER(AC698),1,0)</f>
        <v>0</v>
      </c>
      <c r="BX698" s="57" t="n">
        <f aca="false">N(AC698)</f>
        <v>0</v>
      </c>
      <c r="BY698" s="57" t="n">
        <f aca="false">N(L698)+N(M698)</f>
        <v>1</v>
      </c>
      <c r="BZ698" s="57" t="n">
        <f aca="false">ROUNDUP(G698/BQ698,0)</f>
        <v>0</v>
      </c>
      <c r="CA698" s="57" t="n">
        <f aca="false">ROUNDUP(BX698/BQ698,0)</f>
        <v>0</v>
      </c>
      <c r="CB698" s="60" t="n">
        <f aca="false">IF(BR698=1,0,IFERROR(VLOOKUP(BP698,'Gebinde-Kategorie'!$A$5:$M$45,5,0)+0,0))</f>
        <v>0</v>
      </c>
      <c r="CC698" s="60" t="n">
        <f aca="false">IFERROR(IF(OR(BT698=1,BT698=2,BT698=3),N(INDEX(Parameter!$I$5:$I$7,BT698)),0),0)</f>
        <v>0</v>
      </c>
      <c r="CD698" s="59" t="n">
        <f aca="false">IF(AND(Parameter!$B$21="Ja",ISNUMBER(U698),N(V698)&gt;0),IFERROR(N(INDEX(Parameter!$L$5:$L$7,U698))*INDEX(Parameter!$E$5:$E$7,U698)*V698/SUMIFS($V$7:$V$1576,$U$7:$U$1576,U698),0),0)</f>
        <v>0</v>
      </c>
    </row>
    <row r="699" customFormat="false" ht="15" hidden="false" customHeight="false" outlineLevel="0" collapsed="false">
      <c r="A699" s="55" t="s">
        <v>1385</v>
      </c>
      <c r="B699" s="55" t="s">
        <v>1386</v>
      </c>
      <c r="C699" s="55" t="s">
        <v>160</v>
      </c>
      <c r="D699" s="55" t="s">
        <v>984</v>
      </c>
      <c r="E699" s="55" t="s">
        <v>210</v>
      </c>
      <c r="F699" s="56" t="n">
        <v>1635.8</v>
      </c>
      <c r="G699" s="57" t="n">
        <f aca="false">MAX(0,IF(AND(Parameter!$B$21="Ja",ISNUMBER(W699)),W699,IF(Parameter!$B$20="Jahresanfang 2025 + Export",BJ699+BI699,BI699)))</f>
        <v>0</v>
      </c>
      <c r="H699" s="57" t="n">
        <f aca="false">G699*F699</f>
        <v>0</v>
      </c>
      <c r="I699" s="57" t="n">
        <f aca="false">BL699*Parameter!$B$18</f>
        <v>0</v>
      </c>
      <c r="J699" s="58" t="n">
        <v>0.5</v>
      </c>
      <c r="K699" s="59" t="n">
        <v>0</v>
      </c>
      <c r="L699" s="57" t="n">
        <v>0</v>
      </c>
      <c r="M699" s="57" t="n">
        <v>1</v>
      </c>
      <c r="N699" s="60" t="n">
        <v>7</v>
      </c>
      <c r="O699" s="55" t="s">
        <v>163</v>
      </c>
      <c r="P699" s="57"/>
      <c r="Q699" s="60" t="n">
        <f aca="false">IF(BR699=1,0,IFERROR(VLOOKUP(BP699,'Gebinde-Kategorie'!$A$5:$M$45,13,0)+0,0))</f>
        <v>0</v>
      </c>
      <c r="R699" s="61"/>
      <c r="S699" s="62"/>
      <c r="T699" s="62"/>
      <c r="U699" s="55"/>
      <c r="V699" s="57"/>
      <c r="W699" s="57"/>
      <c r="X699" s="55" t="str">
        <f aca="false">IF(A699="","",IF(AND(Parameter!$B$21="Ja",ISNUMBER(U699)),U699,IF(IFERROR(VLOOKUP(D699,Parameter!$A$35:$C$64,2,0),"Nein")="2+3",IF(ISNUMBER(SEARCH("grosser Artikel",BM699)),2,IFERROR(VLOOKUP(BP699,Parameter!$F$35:$G$64,2,0),2)),IF(OR(IFERROR(VLOOKUP(D699,Parameter!$A$35:$C$64,2,0),"Nein")="Nein",IFERROR(VLOOKUP(D699,Parameter!$A$35:$C$64,2,0),"Nein")=""),"-",VLOOKUP(D699,Parameter!$A$35:$C$64,2,0)))))</f>
        <v>-</v>
      </c>
      <c r="Y699" s="62"/>
      <c r="Z699" s="63"/>
      <c r="AA699" s="57" t="n">
        <f aca="false">AP699</f>
        <v>1</v>
      </c>
      <c r="AB699" s="57" t="n">
        <f aca="false">MAX(AP699,G699)</f>
        <v>1</v>
      </c>
      <c r="AC699" s="64"/>
      <c r="AD699" s="57" t="n">
        <f aca="false">IF(LEFT(Cockpit!$C$5,1)="A",G699,IF(BW699=1,BX699,IF(LEFT(Cockpit!$C$5,1)="B",AH699,MAX(AH699,G699))))</f>
        <v>0</v>
      </c>
      <c r="AE699" s="57" t="n">
        <f aca="false">IF(BR699=1,0,ROUNDUP(AD699/BQ699,0))</f>
        <v>0</v>
      </c>
      <c r="AF699" s="59" t="n">
        <f aca="false">IF(CD699&gt;0,CD699*MAX(1,AD699/V699),IF(BR699=1,IF(AD699&lt;=0,0,BS699*MAX(1,IF(G699&gt;0,AD699/G699,1))),IF(Q699&gt;0,AE699/Q699,0))/MAX(0.1,N(Parameter!$M$21)))</f>
        <v>0</v>
      </c>
      <c r="AG699" s="57" t="n">
        <f aca="false">AD699*F699</f>
        <v>0</v>
      </c>
      <c r="AH699" s="57" t="n">
        <f aca="false">ROUNDUP(MAX(I699/IF(BV699&gt;0,BV699,MAX(0.1,N(Cockpit!$C$6))),BY699)/BQ699,0)*BQ699</f>
        <v>1</v>
      </c>
      <c r="AI699" s="58" t="n">
        <f aca="false">IF(AF699&gt;0,I699/AF699,-1)</f>
        <v>-1</v>
      </c>
      <c r="AJ699" s="58" t="str">
        <f aca="false">IF(AND(OR(BU699="L1",BU699="L23"),AF699&gt;0),SUMIFS($AF$7:$AF$1576,$BU$7:$BU$1576,BU699,$AI$7:$AI$1576,"&gt;"&amp;AI699)+SUMIFS($AF$7:$AF$1576,$BU$7:$BU$1576,BU699,$AI$7:$AI$1576,AI699,$BO$7:$BO$1576,"&lt;="&amp;BO699),"")</f>
        <v/>
      </c>
      <c r="AK699" s="65" t="n">
        <f aca="false">IF(AJ699="",0,MAX(0,MIN(1,(IF(BU699="L1",Parameter!$E$5,Parameter!$E$6+Parameter!$E$7)-(AJ699-AF699))/AF699)))</f>
        <v>0</v>
      </c>
      <c r="AL699" s="57" t="n">
        <f aca="false">IF(LEFT(Cockpit!$I$5,1)="A",G699,IF(BW699=1,BX699,IF(LEFT(Cockpit!$I$5,1)="B",AP699,MAX(AP699,G699))))</f>
        <v>1</v>
      </c>
      <c r="AM699" s="57" t="n">
        <f aca="false">IF(BR699=1,0,ROUNDUP(AL699/BQ699,0))</f>
        <v>0</v>
      </c>
      <c r="AN699" s="59" t="n">
        <f aca="false">IF(CD699&gt;0,CD699*MAX(1,AL699/V699),IF(BR699=1,IF(AL699&lt;=0,0,BS699*MAX(1,IF(G699&gt;0,AL699/G699,1))),IF(Q699&gt;0,AM699/Q699,0))/MAX(0.1,N(Parameter!$M$21)))</f>
        <v>0.15</v>
      </c>
      <c r="AO699" s="57" t="n">
        <f aca="false">AL699*F699</f>
        <v>1635.8</v>
      </c>
      <c r="AP699" s="57" t="n">
        <f aca="false">ROUNDUP(MAX(I699/IF(BV699&gt;0,BV699,MAX(0.1,N(Cockpit!$I$6))),BY699)/BQ699,0)*BQ699</f>
        <v>1</v>
      </c>
      <c r="AQ699" s="58" t="n">
        <f aca="false">IF(AN699&gt;0,I699/AN699,-1)</f>
        <v>0</v>
      </c>
      <c r="AR699" s="58" t="str">
        <f aca="false">IF(AND(OR(BU699="L1",BU699="L23"),AN699&gt;0),SUMIFS($AN$7:$AN$1576,$BU$7:$BU$1576,BU699,$AQ$7:$AQ$1576,"&gt;"&amp;AQ699)+SUMIFS($AN$7:$AN$1576,$BU$7:$BU$1576,BU699,$AQ$7:$AQ$1576,AQ699,$BO$7:$BO$1576,"&lt;="&amp;BO699),"")</f>
        <v/>
      </c>
      <c r="AS699" s="65" t="n">
        <f aca="false">IF(AR699="",0,MAX(0,MIN(1,(IF(BU699="L1",Parameter!$E$5,Parameter!$E$6+Parameter!$E$7)-(AR699-AN699))/AN699)))</f>
        <v>0</v>
      </c>
      <c r="AT699" s="57" t="n">
        <f aca="false">IF(LEFT(Cockpit!$O$5,1)="A",G699,IF(BW699=1,BX699,IF(LEFT(Cockpit!$O$5,1)="B",AX699,MAX(AX699,G699))))</f>
        <v>1</v>
      </c>
      <c r="AU699" s="57" t="n">
        <f aca="false">IF(BR699=1,0,ROUNDUP(AT699/BQ699,0))</f>
        <v>0</v>
      </c>
      <c r="AV699" s="59" t="n">
        <f aca="false">IF(CD699&gt;0,CD699*MAX(1,AT699/V699),IF(BR699=1,IF(AT699&lt;=0,0,BS699*MAX(1,IF(G699&gt;0,AT699/G699,1))),IF(Q699&gt;0,AU699/Q699,0))/MAX(0.1,N(Parameter!$M$21)))</f>
        <v>0.15</v>
      </c>
      <c r="AW699" s="57" t="n">
        <f aca="false">AT699*F699</f>
        <v>1635.8</v>
      </c>
      <c r="AX699" s="57" t="n">
        <f aca="false">ROUNDUP(MAX(I699/IF(BV699&gt;0,BV699,MAX(0.1,N(Cockpit!$O$6))),BY699)/BQ699,0)*BQ699</f>
        <v>1</v>
      </c>
      <c r="AY699" s="58" t="n">
        <f aca="false">IF(AV699&gt;0,I699/AV699,-1)</f>
        <v>0</v>
      </c>
      <c r="AZ699" s="58" t="str">
        <f aca="false">IF(AND(OR(BU699="L1",BU699="L23"),AV699&gt;0),SUMIFS($AV$7:$AV$1576,$BU$7:$BU$1576,BU699,$AY$7:$AY$1576,"&gt;"&amp;AY699)+SUMIFS($AV$7:$AV$1576,$BU$7:$BU$1576,BU699,$AY$7:$AY$1576,AY699,$BO$7:$BO$1576,"&lt;="&amp;BO699),"")</f>
        <v/>
      </c>
      <c r="BA699" s="65" t="n">
        <f aca="false">IF(AZ699="",0,MAX(0,MIN(1,(IF(BU699="L1",Parameter!$E$5,Parameter!$E$6+Parameter!$E$7)-(AZ699-AV699))/AV699)))</f>
        <v>0</v>
      </c>
      <c r="BB699" s="55" t="str">
        <f aca="false">IF(AF699&lt;=0,"",IF(BU699="Aussen","Aussenlager",IF(BU699="-","Nicht im Lift",IF(AK699&gt;=1,"Lift",IF(AK699&lt;=0,"Aussenlager","teilweise")))))</f>
        <v/>
      </c>
      <c r="BC699" s="55" t="str">
        <f aca="false">IF(AN699&lt;=0,"",IF(BU699="Aussen","Aussenlager",IF(BU699="-","Nicht im Lift",IF(AS699&gt;=1,"Lift",IF(AS699&lt;=0,"Aussenlager","teilweise")))))</f>
        <v>Nicht im Lift</v>
      </c>
      <c r="BD699" s="55" t="str">
        <f aca="false">IF(AV699&lt;=0,"",IF(BU699="Aussen","Aussenlager",IF(BU699="-","Nicht im Lift",IF(BA699&gt;=1,"Lift",IF(BA699&lt;=0,"Aussenlager","teilweise")))))</f>
        <v>Nicht im Lift</v>
      </c>
      <c r="BE699" s="55" t="str">
        <f aca="false">IF(A699="","",IF(BN699=1,"Neu; ","")&amp;IF(AND(BN699=0,BI699&lt;0),"negativer Bestand (Export "&amp;BI699&amp;"); ","")&amp;IF(I699&lt;=0,"Kein Verbrauch; ","")&amp;IF(CD699&gt;0,"Lift "&amp;U699&amp;" lt. Liftbericht (Fach "&amp;V699&amp;" Stk); ",IF(BR699=1,"Lose – Fläche geschätzt; ",""))&amp;IF(G699&gt;AP699,"Überbestand "&amp;ROUND(G699-AP699,0)&amp;" Stk / CHF "&amp;ROUND((G699-AP699)*F699,0)&amp;"; ","")&amp;IF(AND(BW699=1,BX699&lt;BY699),"MAX &lt; MB+LG; ","")&amp;IF(AND(CC699&gt;0,CB699*10&gt;CC699),"zu hoch für Tablar; ","")&amp;IF(AND(BN699=0,OR(BW699=1,Y699&lt;&gt;"",S699&lt;&gt;"",T699&lt;&gt;"",Z699&lt;&gt;"")),"manuell übersteuert; ","")&amp;IF(AND(BR699=0,Q699=0),"Gebinde unbekannt / Stellmass fehlt; ","")&amp;IF(AND(BR699=0,N(T699)&lt;=0,N(P699)&lt;=0),"Menge pro Gebinde fehlt (Ist = 1 Gebinde); ","")&amp;BM699)</f>
        <v>Kein Verbrauch; Lose – Fläche geschätzt; </v>
      </c>
      <c r="BF699" s="55"/>
      <c r="BG699" s="55"/>
      <c r="BH699" s="62"/>
      <c r="BI699" s="57" t="n">
        <v>0</v>
      </c>
      <c r="BJ699" s="57" t="n">
        <v>0</v>
      </c>
      <c r="BK699" s="56" t="n">
        <v>0</v>
      </c>
      <c r="BL699" s="57" t="n">
        <v>0</v>
      </c>
      <c r="BM699" s="55"/>
      <c r="BN699" s="60" t="n">
        <v>0</v>
      </c>
      <c r="BO699" s="60" t="n">
        <v>699</v>
      </c>
      <c r="BP699" s="55" t="str">
        <f aca="false">IF(S699&lt;&gt;"",UPPER(TRIM(S699)),IF(O699="","LOSE",O699))</f>
        <v>LOSE</v>
      </c>
      <c r="BQ699" s="57" t="n">
        <f aca="false">IF(BP699="LOSE",1,IF(N(T699)&gt;0,T699,IF(N(P699)&gt;0,P699,MAX(1,G699))))</f>
        <v>1</v>
      </c>
      <c r="BR699" s="60" t="n">
        <f aca="false">IF(BP699="LOSE",1,0)</f>
        <v>1</v>
      </c>
      <c r="BS699" s="59" t="n">
        <f aca="false">IF(BR699=0,0,IF(N(R699)&gt;0,R699,IFERROR(VLOOKUP(D699,Parameter!$A$35:$C$64,3,0)+0,0)))</f>
        <v>0.15</v>
      </c>
      <c r="BT699" s="55" t="str">
        <f aca="false">IF(Y699&lt;&gt;"",Y699,X699)</f>
        <v>-</v>
      </c>
      <c r="BU699" s="55" t="str">
        <f aca="false">IF(BT699=1,"L1",IF(OR(BT699=2,BT699=3),"L23",IF(BT699="Aussen","Aussen","-")))</f>
        <v>-</v>
      </c>
      <c r="BV699" s="66" t="n">
        <f aca="false">IF(N(Z699)&gt;0,Z699,0)</f>
        <v>0</v>
      </c>
      <c r="BW699" s="60" t="n">
        <f aca="false">IF(ISNUMBER(AC699),1,0)</f>
        <v>0</v>
      </c>
      <c r="BX699" s="57" t="n">
        <f aca="false">N(AC699)</f>
        <v>0</v>
      </c>
      <c r="BY699" s="57" t="n">
        <f aca="false">N(L699)+N(M699)</f>
        <v>1</v>
      </c>
      <c r="BZ699" s="57" t="n">
        <f aca="false">ROUNDUP(G699/BQ699,0)</f>
        <v>0</v>
      </c>
      <c r="CA699" s="57" t="n">
        <f aca="false">ROUNDUP(BX699/BQ699,0)</f>
        <v>0</v>
      </c>
      <c r="CB699" s="60" t="n">
        <f aca="false">IF(BR699=1,0,IFERROR(VLOOKUP(BP699,'Gebinde-Kategorie'!$A$5:$M$45,5,0)+0,0))</f>
        <v>0</v>
      </c>
      <c r="CC699" s="60" t="n">
        <f aca="false">IFERROR(IF(OR(BT699=1,BT699=2,BT699=3),N(INDEX(Parameter!$I$5:$I$7,BT699)),0),0)</f>
        <v>0</v>
      </c>
      <c r="CD699" s="59" t="n">
        <f aca="false">IF(AND(Parameter!$B$21="Ja",ISNUMBER(U699),N(V699)&gt;0),IFERROR(N(INDEX(Parameter!$L$5:$L$7,U699))*INDEX(Parameter!$E$5:$E$7,U699)*V699/SUMIFS($V$7:$V$1576,$U$7:$U$1576,U699),0),0)</f>
        <v>0</v>
      </c>
    </row>
    <row r="700" customFormat="false" ht="15" hidden="false" customHeight="false" outlineLevel="0" collapsed="false">
      <c r="A700" s="55" t="s">
        <v>1387</v>
      </c>
      <c r="B700" s="55" t="s">
        <v>1388</v>
      </c>
      <c r="C700" s="55" t="s">
        <v>160</v>
      </c>
      <c r="D700" s="55" t="s">
        <v>178</v>
      </c>
      <c r="E700" s="55" t="s">
        <v>210</v>
      </c>
      <c r="F700" s="56" t="n">
        <v>956</v>
      </c>
      <c r="G700" s="57" t="n">
        <f aca="false">MAX(0,IF(AND(Parameter!$B$21="Ja",ISNUMBER(W700)),W700,IF(Parameter!$B$20="Jahresanfang 2025 + Export",BJ700+BI700,BI700)))</f>
        <v>0</v>
      </c>
      <c r="H700" s="57" t="n">
        <f aca="false">G700*F700</f>
        <v>0</v>
      </c>
      <c r="I700" s="57" t="n">
        <f aca="false">BL700*Parameter!$B$18</f>
        <v>1</v>
      </c>
      <c r="J700" s="58" t="n">
        <v>0</v>
      </c>
      <c r="K700" s="59" t="n">
        <v>0</v>
      </c>
      <c r="L700" s="57" t="n">
        <v>0</v>
      </c>
      <c r="M700" s="57" t="n">
        <v>1</v>
      </c>
      <c r="N700" s="60" t="n">
        <v>100</v>
      </c>
      <c r="O700" s="55" t="s">
        <v>163</v>
      </c>
      <c r="P700" s="57"/>
      <c r="Q700" s="60" t="n">
        <f aca="false">IF(BR700=1,0,IFERROR(VLOOKUP(BP700,'Gebinde-Kategorie'!$A$5:$M$45,13,0)+0,0))</f>
        <v>0</v>
      </c>
      <c r="R700" s="61"/>
      <c r="S700" s="62"/>
      <c r="T700" s="62"/>
      <c r="U700" s="55"/>
      <c r="V700" s="57"/>
      <c r="W700" s="57"/>
      <c r="X700" s="55" t="n">
        <f aca="false">IF(A700="","",IF(AND(Parameter!$B$21="Ja",ISNUMBER(U700)),U700,IF(IFERROR(VLOOKUP(D700,Parameter!$A$35:$C$64,2,0),"Nein")="2+3",IF(ISNUMBER(SEARCH("grosser Artikel",BM700)),2,IFERROR(VLOOKUP(BP700,Parameter!$F$35:$G$64,2,0),2)),IF(OR(IFERROR(VLOOKUP(D700,Parameter!$A$35:$C$64,2,0),"Nein")="Nein",IFERROR(VLOOKUP(D700,Parameter!$A$35:$C$64,2,0),"Nein")=""),"-",VLOOKUP(D700,Parameter!$A$35:$C$64,2,0)))))</f>
        <v>2</v>
      </c>
      <c r="Y700" s="62"/>
      <c r="Z700" s="63"/>
      <c r="AA700" s="57" t="n">
        <f aca="false">AP700</f>
        <v>1</v>
      </c>
      <c r="AB700" s="57" t="n">
        <f aca="false">MAX(AP700,G700)</f>
        <v>1</v>
      </c>
      <c r="AC700" s="64"/>
      <c r="AD700" s="57" t="n">
        <f aca="false">IF(LEFT(Cockpit!$C$5,1)="A",G700,IF(BW700=1,BX700,IF(LEFT(Cockpit!$C$5,1)="B",AH700,MAX(AH700,G700))))</f>
        <v>0</v>
      </c>
      <c r="AE700" s="57" t="n">
        <f aca="false">IF(BR700=1,0,ROUNDUP(AD700/BQ700,0))</f>
        <v>0</v>
      </c>
      <c r="AF700" s="59" t="n">
        <f aca="false">IF(CD700&gt;0,CD700*MAX(1,AD700/V700),IF(BR700=1,IF(AD700&lt;=0,0,BS700*MAX(1,IF(G700&gt;0,AD700/G700,1))),IF(Q700&gt;0,AE700/Q700,0))/MAX(0.1,N(Parameter!$M$21)))</f>
        <v>0</v>
      </c>
      <c r="AG700" s="57" t="n">
        <f aca="false">AD700*F700</f>
        <v>0</v>
      </c>
      <c r="AH700" s="57" t="n">
        <f aca="false">ROUNDUP(MAX(I700/IF(BV700&gt;0,BV700,MAX(0.1,N(Cockpit!$C$6))),BY700)/BQ700,0)*BQ700</f>
        <v>1</v>
      </c>
      <c r="AI700" s="58" t="n">
        <f aca="false">IF(AF700&gt;0,I700/AF700,-1)</f>
        <v>-1</v>
      </c>
      <c r="AJ700" s="58" t="str">
        <f aca="false">IF(AND(OR(BU700="L1",BU700="L23"),AF700&gt;0),SUMIFS($AF$7:$AF$1576,$BU$7:$BU$1576,BU700,$AI$7:$AI$1576,"&gt;"&amp;AI700)+SUMIFS($AF$7:$AF$1576,$BU$7:$BU$1576,BU700,$AI$7:$AI$1576,AI700,$BO$7:$BO$1576,"&lt;="&amp;BO700),"")</f>
        <v/>
      </c>
      <c r="AK700" s="65" t="n">
        <f aca="false">IF(AJ700="",0,MAX(0,MIN(1,(IF(BU700="L1",Parameter!$E$5,Parameter!$E$6+Parameter!$E$7)-(AJ700-AF700))/AF700)))</f>
        <v>0</v>
      </c>
      <c r="AL700" s="57" t="n">
        <f aca="false">IF(LEFT(Cockpit!$I$5,1)="A",G700,IF(BW700=1,BX700,IF(LEFT(Cockpit!$I$5,1)="B",AP700,MAX(AP700,G700))))</f>
        <v>1</v>
      </c>
      <c r="AM700" s="57" t="n">
        <f aca="false">IF(BR700=1,0,ROUNDUP(AL700/BQ700,0))</f>
        <v>0</v>
      </c>
      <c r="AN700" s="59" t="n">
        <f aca="false">IF(CD700&gt;0,CD700*MAX(1,AL700/V700),IF(BR700=1,IF(AL700&lt;=0,0,BS700*MAX(1,IF(G700&gt;0,AL700/G700,1))),IF(Q700&gt;0,AM700/Q700,0))/MAX(0.1,N(Parameter!$M$21)))</f>
        <v>0.03</v>
      </c>
      <c r="AO700" s="57" t="n">
        <f aca="false">AL700*F700</f>
        <v>956</v>
      </c>
      <c r="AP700" s="57" t="n">
        <f aca="false">ROUNDUP(MAX(I700/IF(BV700&gt;0,BV700,MAX(0.1,N(Cockpit!$I$6))),BY700)/BQ700,0)*BQ700</f>
        <v>1</v>
      </c>
      <c r="AQ700" s="58" t="n">
        <f aca="false">IF(AN700&gt;0,I700/AN700,-1)</f>
        <v>33.3333333333333</v>
      </c>
      <c r="AR700" s="58" t="n">
        <f aca="false">IF(AND(OR(BU700="L1",BU700="L23"),AN700&gt;0),SUMIFS($AN$7:$AN$1576,$BU$7:$BU$1576,BU700,$AQ$7:$AQ$1576,"&gt;"&amp;AQ700)+SUMIFS($AN$7:$AN$1576,$BU$7:$BU$1576,BU700,$AQ$7:$AQ$1576,AQ700,$BO$7:$BO$1576,"&lt;="&amp;BO700),"")</f>
        <v>94.2474345886957</v>
      </c>
      <c r="AS700" s="65" t="n">
        <f aca="false">IF(AR700="",0,MAX(0,MIN(1,(IF(BU700="L1",Parameter!$E$5,Parameter!$E$6+Parameter!$E$7)-(AR700-AN700))/AN700)))</f>
        <v>1</v>
      </c>
      <c r="AT700" s="57" t="n">
        <f aca="false">IF(LEFT(Cockpit!$O$5,1)="A",G700,IF(BW700=1,BX700,IF(LEFT(Cockpit!$O$5,1)="B",AX700,MAX(AX700,G700))))</f>
        <v>1</v>
      </c>
      <c r="AU700" s="57" t="n">
        <f aca="false">IF(BR700=1,0,ROUNDUP(AT700/BQ700,0))</f>
        <v>0</v>
      </c>
      <c r="AV700" s="59" t="n">
        <f aca="false">IF(CD700&gt;0,CD700*MAX(1,AT700/V700),IF(BR700=1,IF(AT700&lt;=0,0,BS700*MAX(1,IF(G700&gt;0,AT700/G700,1))),IF(Q700&gt;0,AU700/Q700,0))/MAX(0.1,N(Parameter!$M$21)))</f>
        <v>0.03</v>
      </c>
      <c r="AW700" s="57" t="n">
        <f aca="false">AT700*F700</f>
        <v>956</v>
      </c>
      <c r="AX700" s="57" t="n">
        <f aca="false">ROUNDUP(MAX(I700/IF(BV700&gt;0,BV700,MAX(0.1,N(Cockpit!$O$6))),BY700)/BQ700,0)*BQ700</f>
        <v>1</v>
      </c>
      <c r="AY700" s="58" t="n">
        <f aca="false">IF(AV700&gt;0,I700/AV700,-1)</f>
        <v>33.3333333333333</v>
      </c>
      <c r="AZ700" s="58" t="n">
        <f aca="false">IF(AND(OR(BU700="L1",BU700="L23"),AV700&gt;0),SUMIFS($AV$7:$AV$1576,$BU$7:$BU$1576,BU700,$AY$7:$AY$1576,"&gt;"&amp;AY700)+SUMIFS($AV$7:$AV$1576,$BU$7:$BU$1576,BU700,$AY$7:$AY$1576,AY700,$BO$7:$BO$1576,"&lt;="&amp;BO700),"")</f>
        <v>86.0319850382462</v>
      </c>
      <c r="BA700" s="65" t="n">
        <f aca="false">IF(AZ700="",0,MAX(0,MIN(1,(IF(BU700="L1",Parameter!$E$5,Parameter!$E$6+Parameter!$E$7)-(AZ700-AV700))/AV700)))</f>
        <v>1</v>
      </c>
      <c r="BB700" s="55" t="str">
        <f aca="false">IF(AF700&lt;=0,"",IF(BU700="Aussen","Aussenlager",IF(BU700="-","Nicht im Lift",IF(AK700&gt;=1,"Lift",IF(AK700&lt;=0,"Aussenlager","teilweise")))))</f>
        <v/>
      </c>
      <c r="BC700" s="55" t="str">
        <f aca="false">IF(AN700&lt;=0,"",IF(BU700="Aussen","Aussenlager",IF(BU700="-","Nicht im Lift",IF(AS700&gt;=1,"Lift",IF(AS700&lt;=0,"Aussenlager","teilweise")))))</f>
        <v>Lift</v>
      </c>
      <c r="BD700" s="55" t="str">
        <f aca="false">IF(AV700&lt;=0,"",IF(BU700="Aussen","Aussenlager",IF(BU700="-","Nicht im Lift",IF(BA700&gt;=1,"Lift",IF(BA700&lt;=0,"Aussenlager","teilweise")))))</f>
        <v>Lift</v>
      </c>
      <c r="BE700" s="55" t="str">
        <f aca="false">IF(A700="","",IF(BN700=1,"Neu; ","")&amp;IF(AND(BN700=0,BI700&lt;0),"negativer Bestand (Export "&amp;BI700&amp;"); ","")&amp;IF(I700&lt;=0,"Kein Verbrauch; ","")&amp;IF(CD700&gt;0,"Lift "&amp;U700&amp;" lt. Liftbericht (Fach "&amp;V700&amp;" Stk); ",IF(BR700=1,"Lose – Fläche geschätzt; ",""))&amp;IF(G700&gt;AP700,"Überbestand "&amp;ROUND(G700-AP700,0)&amp;" Stk / CHF "&amp;ROUND((G700-AP700)*F700,0)&amp;"; ","")&amp;IF(AND(BW700=1,BX700&lt;BY700),"MAX &lt; MB+LG; ","")&amp;IF(AND(CC700&gt;0,CB700*10&gt;CC700),"zu hoch für Tablar; ","")&amp;IF(AND(BN700=0,OR(BW700=1,Y700&lt;&gt;"",S700&lt;&gt;"",T700&lt;&gt;"",Z700&lt;&gt;"")),"manuell übersteuert; ","")&amp;IF(AND(BR700=0,Q700=0),"Gebinde unbekannt / Stellmass fehlt; ","")&amp;IF(AND(BR700=0,N(T700)&lt;=0,N(P700)&lt;=0),"Menge pro Gebinde fehlt (Ist = 1 Gebinde); ","")&amp;BM700)</f>
        <v>Lose – Fläche geschätzt; </v>
      </c>
      <c r="BF700" s="55"/>
      <c r="BG700" s="55"/>
      <c r="BH700" s="62"/>
      <c r="BI700" s="57" t="n">
        <v>0</v>
      </c>
      <c r="BJ700" s="57" t="n">
        <v>0</v>
      </c>
      <c r="BK700" s="56" t="n">
        <v>0</v>
      </c>
      <c r="BL700" s="57" t="n">
        <v>1</v>
      </c>
      <c r="BM700" s="55"/>
      <c r="BN700" s="60" t="n">
        <v>0</v>
      </c>
      <c r="BO700" s="60" t="n">
        <v>700</v>
      </c>
      <c r="BP700" s="55" t="str">
        <f aca="false">IF(S700&lt;&gt;"",UPPER(TRIM(S700)),IF(O700="","LOSE",O700))</f>
        <v>LOSE</v>
      </c>
      <c r="BQ700" s="57" t="n">
        <f aca="false">IF(BP700="LOSE",1,IF(N(T700)&gt;0,T700,IF(N(P700)&gt;0,P700,MAX(1,G700))))</f>
        <v>1</v>
      </c>
      <c r="BR700" s="60" t="n">
        <f aca="false">IF(BP700="LOSE",1,0)</f>
        <v>1</v>
      </c>
      <c r="BS700" s="59" t="n">
        <f aca="false">IF(BR700=0,0,IF(N(R700)&gt;0,R700,IFERROR(VLOOKUP(D700,Parameter!$A$35:$C$64,3,0)+0,0)))</f>
        <v>0.03</v>
      </c>
      <c r="BT700" s="55" t="n">
        <f aca="false">IF(Y700&lt;&gt;"",Y700,X700)</f>
        <v>2</v>
      </c>
      <c r="BU700" s="55" t="str">
        <f aca="false">IF(BT700=1,"L1",IF(OR(BT700=2,BT700=3),"L23",IF(BT700="Aussen","Aussen","-")))</f>
        <v>L23</v>
      </c>
      <c r="BV700" s="66" t="n">
        <f aca="false">IF(N(Z700)&gt;0,Z700,0)</f>
        <v>0</v>
      </c>
      <c r="BW700" s="60" t="n">
        <f aca="false">IF(ISNUMBER(AC700),1,0)</f>
        <v>0</v>
      </c>
      <c r="BX700" s="57" t="n">
        <f aca="false">N(AC700)</f>
        <v>0</v>
      </c>
      <c r="BY700" s="57" t="n">
        <f aca="false">N(L700)+N(M700)</f>
        <v>1</v>
      </c>
      <c r="BZ700" s="57" t="n">
        <f aca="false">ROUNDUP(G700/BQ700,0)</f>
        <v>0</v>
      </c>
      <c r="CA700" s="57" t="n">
        <f aca="false">ROUNDUP(BX700/BQ700,0)</f>
        <v>0</v>
      </c>
      <c r="CB700" s="60" t="n">
        <f aca="false">IF(BR700=1,0,IFERROR(VLOOKUP(BP700,'Gebinde-Kategorie'!$A$5:$M$45,5,0)+0,0))</f>
        <v>0</v>
      </c>
      <c r="CC700" s="60" t="n">
        <f aca="false">IFERROR(IF(OR(BT700=1,BT700=2,BT700=3),N(INDEX(Parameter!$I$5:$I$7,BT700)),0),0)</f>
        <v>0</v>
      </c>
      <c r="CD700" s="59" t="n">
        <f aca="false">IF(AND(Parameter!$B$21="Ja",ISNUMBER(U700),N(V700)&gt;0),IFERROR(N(INDEX(Parameter!$L$5:$L$7,U700))*INDEX(Parameter!$E$5:$E$7,U700)*V700/SUMIFS($V$7:$V$1576,$U$7:$U$1576,U700),0),0)</f>
        <v>0</v>
      </c>
    </row>
    <row r="701" customFormat="false" ht="15" hidden="false" customHeight="false" outlineLevel="0" collapsed="false">
      <c r="A701" s="55" t="s">
        <v>1389</v>
      </c>
      <c r="B701" s="55" t="s">
        <v>1390</v>
      </c>
      <c r="C701" s="55" t="s">
        <v>160</v>
      </c>
      <c r="D701" s="55" t="s">
        <v>168</v>
      </c>
      <c r="E701" s="55" t="s">
        <v>210</v>
      </c>
      <c r="F701" s="56" t="n">
        <v>79.13</v>
      </c>
      <c r="G701" s="57" t="n">
        <f aca="false">MAX(0,IF(AND(Parameter!$B$21="Ja",ISNUMBER(W701)),W701,IF(Parameter!$B$20="Jahresanfang 2025 + Export",BJ701+BI701,BI701)))</f>
        <v>0</v>
      </c>
      <c r="H701" s="57" t="n">
        <f aca="false">G701*F701</f>
        <v>0</v>
      </c>
      <c r="I701" s="57" t="n">
        <f aca="false">BL701*Parameter!$B$18</f>
        <v>1</v>
      </c>
      <c r="J701" s="58" t="n">
        <v>12.5</v>
      </c>
      <c r="K701" s="59" t="n">
        <v>0.08</v>
      </c>
      <c r="L701" s="57" t="n">
        <v>0</v>
      </c>
      <c r="M701" s="57" t="n">
        <v>1</v>
      </c>
      <c r="N701" s="60" t="n">
        <v>14</v>
      </c>
      <c r="O701" s="55" t="s">
        <v>169</v>
      </c>
      <c r="P701" s="57" t="n">
        <v>4</v>
      </c>
      <c r="Q701" s="60" t="n">
        <f aca="false">IF(BR701=1,0,IFERROR(VLOOKUP(BP701,'Gebinde-Kategorie'!$A$5:$M$45,13,0)+0,0))</f>
        <v>6</v>
      </c>
      <c r="R701" s="61"/>
      <c r="S701" s="62"/>
      <c r="T701" s="62"/>
      <c r="U701" s="55"/>
      <c r="V701" s="57"/>
      <c r="W701" s="57"/>
      <c r="X701" s="55" t="n">
        <f aca="false">IF(A701="","",IF(AND(Parameter!$B$21="Ja",ISNUMBER(U701)),U701,IF(IFERROR(VLOOKUP(D701,Parameter!$A$35:$C$64,2,0),"Nein")="2+3",IF(ISNUMBER(SEARCH("grosser Artikel",BM701)),2,IFERROR(VLOOKUP(BP701,Parameter!$F$35:$G$64,2,0),2)),IF(OR(IFERROR(VLOOKUP(D701,Parameter!$A$35:$C$64,2,0),"Nein")="Nein",IFERROR(VLOOKUP(D701,Parameter!$A$35:$C$64,2,0),"Nein")=""),"-",VLOOKUP(D701,Parameter!$A$35:$C$64,2,0)))))</f>
        <v>2</v>
      </c>
      <c r="Y701" s="62"/>
      <c r="Z701" s="63"/>
      <c r="AA701" s="57" t="n">
        <f aca="false">AP701</f>
        <v>4</v>
      </c>
      <c r="AB701" s="57" t="n">
        <f aca="false">MAX(AP701,G701)</f>
        <v>4</v>
      </c>
      <c r="AC701" s="64"/>
      <c r="AD701" s="57" t="n">
        <f aca="false">IF(LEFT(Cockpit!$C$5,1)="A",G701,IF(BW701=1,BX701,IF(LEFT(Cockpit!$C$5,1)="B",AH701,MAX(AH701,G701))))</f>
        <v>0</v>
      </c>
      <c r="AE701" s="57" t="n">
        <f aca="false">IF(BR701=1,0,ROUNDUP(AD701/BQ701,0))</f>
        <v>0</v>
      </c>
      <c r="AF701" s="59" t="n">
        <f aca="false">IF(CD701&gt;0,CD701*MAX(1,AD701/V701),IF(BR701=1,IF(AD701&lt;=0,0,BS701*MAX(1,IF(G701&gt;0,AD701/G701,1))),IF(Q701&gt;0,AE701/Q701,0))/MAX(0.1,N(Parameter!$M$21)))</f>
        <v>0</v>
      </c>
      <c r="AG701" s="57" t="n">
        <f aca="false">AD701*F701</f>
        <v>0</v>
      </c>
      <c r="AH701" s="57" t="n">
        <f aca="false">ROUNDUP(MAX(I701/IF(BV701&gt;0,BV701,MAX(0.1,N(Cockpit!$C$6))),BY701)/BQ701,0)*BQ701</f>
        <v>4</v>
      </c>
      <c r="AI701" s="58" t="n">
        <f aca="false">IF(AF701&gt;0,I701/AF701,-1)</f>
        <v>-1</v>
      </c>
      <c r="AJ701" s="58" t="str">
        <f aca="false">IF(AND(OR(BU701="L1",BU701="L23"),AF701&gt;0),SUMIFS($AF$7:$AF$1576,$BU$7:$BU$1576,BU701,$AI$7:$AI$1576,"&gt;"&amp;AI701)+SUMIFS($AF$7:$AF$1576,$BU$7:$BU$1576,BU701,$AI$7:$AI$1576,AI701,$BO$7:$BO$1576,"&lt;="&amp;BO701),"")</f>
        <v/>
      </c>
      <c r="AK701" s="65" t="n">
        <f aca="false">IF(AJ701="",0,MAX(0,MIN(1,(IF(BU701="L1",Parameter!$E$5,Parameter!$E$6+Parameter!$E$7)-(AJ701-AF701))/AF701)))</f>
        <v>0</v>
      </c>
      <c r="AL701" s="57" t="n">
        <f aca="false">IF(LEFT(Cockpit!$I$5,1)="A",G701,IF(BW701=1,BX701,IF(LEFT(Cockpit!$I$5,1)="B",AP701,MAX(AP701,G701))))</f>
        <v>4</v>
      </c>
      <c r="AM701" s="57" t="n">
        <f aca="false">IF(BR701=1,0,ROUNDUP(AL701/BQ701,0))</f>
        <v>1</v>
      </c>
      <c r="AN701" s="59" t="n">
        <f aca="false">IF(CD701&gt;0,CD701*MAX(1,AL701/V701),IF(BR701=1,IF(AL701&lt;=0,0,BS701*MAX(1,IF(G701&gt;0,AL701/G701,1))),IF(Q701&gt;0,AM701/Q701,0))/MAX(0.1,N(Parameter!$M$21)))</f>
        <v>0.166666666666667</v>
      </c>
      <c r="AO701" s="57" t="n">
        <f aca="false">AL701*F701</f>
        <v>316.52</v>
      </c>
      <c r="AP701" s="57" t="n">
        <f aca="false">ROUNDUP(MAX(I701/IF(BV701&gt;0,BV701,MAX(0.1,N(Cockpit!$I$6))),BY701)/BQ701,0)*BQ701</f>
        <v>4</v>
      </c>
      <c r="AQ701" s="58" t="n">
        <f aca="false">IF(AN701&gt;0,I701/AN701,-1)</f>
        <v>6</v>
      </c>
      <c r="AR701" s="58" t="n">
        <f aca="false">IF(AND(OR(BU701="L1",BU701="L23"),AN701&gt;0),SUMIFS($AN$7:$AN$1576,$BU$7:$BU$1576,BU701,$AQ$7:$AQ$1576,"&gt;"&amp;AQ701)+SUMIFS($AN$7:$AN$1576,$BU$7:$BU$1576,BU701,$AQ$7:$AQ$1576,AQ701,$BO$7:$BO$1576,"&lt;="&amp;BO701),"")</f>
        <v>112.292434588696</v>
      </c>
      <c r="AS701" s="65" t="n">
        <f aca="false">IF(AR701="",0,MAX(0,MIN(1,(IF(BU701="L1",Parameter!$E$5,Parameter!$E$6+Parameter!$E$7)-(AR701-AN701))/AN701)))</f>
        <v>0</v>
      </c>
      <c r="AT701" s="57" t="n">
        <f aca="false">IF(LEFT(Cockpit!$O$5,1)="A",G701,IF(BW701=1,BX701,IF(LEFT(Cockpit!$O$5,1)="B",AX701,MAX(AX701,G701))))</f>
        <v>4</v>
      </c>
      <c r="AU701" s="57" t="n">
        <f aca="false">IF(BR701=1,0,ROUNDUP(AT701/BQ701,0))</f>
        <v>1</v>
      </c>
      <c r="AV701" s="59" t="n">
        <f aca="false">IF(CD701&gt;0,CD701*MAX(1,AT701/V701),IF(BR701=1,IF(AT701&lt;=0,0,BS701*MAX(1,IF(G701&gt;0,AT701/G701,1))),IF(Q701&gt;0,AU701/Q701,0))/MAX(0.1,N(Parameter!$M$21)))</f>
        <v>0.166666666666667</v>
      </c>
      <c r="AW701" s="57" t="n">
        <f aca="false">AT701*F701</f>
        <v>316.52</v>
      </c>
      <c r="AX701" s="57" t="n">
        <f aca="false">ROUNDUP(MAX(I701/IF(BV701&gt;0,BV701,MAX(0.1,N(Cockpit!$O$6))),BY701)/BQ701,0)*BQ701</f>
        <v>4</v>
      </c>
      <c r="AY701" s="58" t="n">
        <f aca="false">IF(AV701&gt;0,I701/AV701,-1)</f>
        <v>6</v>
      </c>
      <c r="AZ701" s="58" t="n">
        <f aca="false">IF(AND(OR(BU701="L1",BU701="L23"),AV701&gt;0),SUMIFS($AV$7:$AV$1576,$BU$7:$BU$1576,BU701,$AY$7:$AY$1576,"&gt;"&amp;AY701)+SUMIFS($AV$7:$AV$1576,$BU$7:$BU$1576,BU701,$AY$7:$AY$1576,AY701,$BO$7:$BO$1576,"&lt;="&amp;BO701),"")</f>
        <v>102.351985038246</v>
      </c>
      <c r="BA701" s="65" t="n">
        <f aca="false">IF(AZ701="",0,MAX(0,MIN(1,(IF(BU701="L1",Parameter!$E$5,Parameter!$E$6+Parameter!$E$7)-(AZ701-AV701))/AV701)))</f>
        <v>0</v>
      </c>
      <c r="BB701" s="55" t="str">
        <f aca="false">IF(AF701&lt;=0,"",IF(BU701="Aussen","Aussenlager",IF(BU701="-","Nicht im Lift",IF(AK701&gt;=1,"Lift",IF(AK701&lt;=0,"Aussenlager","teilweise")))))</f>
        <v/>
      </c>
      <c r="BC701" s="55" t="str">
        <f aca="false">IF(AN701&lt;=0,"",IF(BU701="Aussen","Aussenlager",IF(BU701="-","Nicht im Lift",IF(AS701&gt;=1,"Lift",IF(AS701&lt;=0,"Aussenlager","teilweise")))))</f>
        <v>Aussenlager</v>
      </c>
      <c r="BD701" s="55" t="str">
        <f aca="false">IF(AV701&lt;=0,"",IF(BU701="Aussen","Aussenlager",IF(BU701="-","Nicht im Lift",IF(BA701&gt;=1,"Lift",IF(BA701&lt;=0,"Aussenlager","teilweise")))))</f>
        <v>Aussenlager</v>
      </c>
      <c r="BE701" s="55" t="str">
        <f aca="false">IF(A701="","",IF(BN701=1,"Neu; ","")&amp;IF(AND(BN701=0,BI701&lt;0),"negativer Bestand (Export "&amp;BI701&amp;"); ","")&amp;IF(I701&lt;=0,"Kein Verbrauch; ","")&amp;IF(CD701&gt;0,"Lift "&amp;U701&amp;" lt. Liftbericht (Fach "&amp;V701&amp;" Stk); ",IF(BR701=1,"Lose – Fläche geschätzt; ",""))&amp;IF(G701&gt;AP701,"Überbestand "&amp;ROUND(G701-AP701,0)&amp;" Stk / CHF "&amp;ROUND((G701-AP701)*F701,0)&amp;"; ","")&amp;IF(AND(BW701=1,BX701&lt;BY701),"MAX &lt; MB+LG; ","")&amp;IF(AND(CC701&gt;0,CB701*10&gt;CC701),"zu hoch für Tablar; ","")&amp;IF(AND(BN701=0,OR(BW701=1,Y701&lt;&gt;"",S701&lt;&gt;"",T701&lt;&gt;"",Z701&lt;&gt;"")),"manuell übersteuert; ","")&amp;IF(AND(BR701=0,Q701=0),"Gebinde unbekannt / Stellmass fehlt; ","")&amp;IF(AND(BR701=0,N(T701)&lt;=0,N(P701)&lt;=0),"Menge pro Gebinde fehlt (Ist = 1 Gebinde); ","")&amp;BM701)</f>
        <v>grosser Artikel &amp; nicht im KTL</v>
      </c>
      <c r="BF701" s="55"/>
      <c r="BG701" s="55"/>
      <c r="BH701" s="62"/>
      <c r="BI701" s="57" t="n">
        <v>0</v>
      </c>
      <c r="BJ701" s="57" t="n">
        <v>13</v>
      </c>
      <c r="BK701" s="56" t="n">
        <v>0</v>
      </c>
      <c r="BL701" s="57" t="n">
        <v>1</v>
      </c>
      <c r="BM701" s="55" t="s">
        <v>253</v>
      </c>
      <c r="BN701" s="60" t="n">
        <v>0</v>
      </c>
      <c r="BO701" s="60" t="n">
        <v>701</v>
      </c>
      <c r="BP701" s="55" t="str">
        <f aca="false">IF(S701&lt;&gt;"",UPPER(TRIM(S701)),IF(O701="","LOSE",O701))</f>
        <v>S71</v>
      </c>
      <c r="BQ701" s="57" t="n">
        <f aca="false">IF(BP701="LOSE",1,IF(N(T701)&gt;0,T701,IF(N(P701)&gt;0,P701,MAX(1,G701))))</f>
        <v>4</v>
      </c>
      <c r="BR701" s="60" t="n">
        <f aca="false">IF(BP701="LOSE",1,0)</f>
        <v>0</v>
      </c>
      <c r="BS701" s="59" t="n">
        <f aca="false">IF(BR701=0,0,IF(N(R701)&gt;0,R701,IFERROR(VLOOKUP(D701,Parameter!$A$35:$C$64,3,0)+0,0)))</f>
        <v>0</v>
      </c>
      <c r="BT701" s="55" t="n">
        <f aca="false">IF(Y701&lt;&gt;"",Y701,X701)</f>
        <v>2</v>
      </c>
      <c r="BU701" s="55" t="str">
        <f aca="false">IF(BT701=1,"L1",IF(OR(BT701=2,BT701=3),"L23",IF(BT701="Aussen","Aussen","-")))</f>
        <v>L23</v>
      </c>
      <c r="BV701" s="66" t="n">
        <f aca="false">IF(N(Z701)&gt;0,Z701,0)</f>
        <v>0</v>
      </c>
      <c r="BW701" s="60" t="n">
        <f aca="false">IF(ISNUMBER(AC701),1,0)</f>
        <v>0</v>
      </c>
      <c r="BX701" s="57" t="n">
        <f aca="false">N(AC701)</f>
        <v>0</v>
      </c>
      <c r="BY701" s="57" t="n">
        <f aca="false">N(L701)+N(M701)</f>
        <v>1</v>
      </c>
      <c r="BZ701" s="57" t="n">
        <f aca="false">ROUNDUP(G701/BQ701,0)</f>
        <v>0</v>
      </c>
      <c r="CA701" s="57" t="n">
        <f aca="false">ROUNDUP(BX701/BQ701,0)</f>
        <v>0</v>
      </c>
      <c r="CB701" s="60" t="n">
        <f aca="false">IF(BR701=1,0,IFERROR(VLOOKUP(BP701,'Gebinde-Kategorie'!$A$5:$M$45,5,0)+0,0))</f>
        <v>20</v>
      </c>
      <c r="CC701" s="60" t="n">
        <f aca="false">IFERROR(IF(OR(BT701=1,BT701=2,BT701=3),N(INDEX(Parameter!$I$5:$I$7,BT701)),0),0)</f>
        <v>0</v>
      </c>
      <c r="CD701" s="59" t="n">
        <f aca="false">IF(AND(Parameter!$B$21="Ja",ISNUMBER(U701),N(V701)&gt;0),IFERROR(N(INDEX(Parameter!$L$5:$L$7,U701))*INDEX(Parameter!$E$5:$E$7,U701)*V701/SUMIFS($V$7:$V$1576,$U$7:$U$1576,U701),0),0)</f>
        <v>0</v>
      </c>
    </row>
    <row r="702" customFormat="false" ht="15" hidden="false" customHeight="false" outlineLevel="0" collapsed="false">
      <c r="A702" s="55" t="s">
        <v>1391</v>
      </c>
      <c r="B702" s="55" t="s">
        <v>1392</v>
      </c>
      <c r="C702" s="55" t="s">
        <v>160</v>
      </c>
      <c r="D702" s="55" t="s">
        <v>178</v>
      </c>
      <c r="E702" s="55" t="s">
        <v>210</v>
      </c>
      <c r="F702" s="56" t="n">
        <v>293</v>
      </c>
      <c r="G702" s="57" t="n">
        <f aca="false">MAX(0,IF(AND(Parameter!$B$21="Ja",ISNUMBER(W702)),W702,IF(Parameter!$B$20="Jahresanfang 2025 + Export",BJ702+BI702,BI702)))</f>
        <v>0</v>
      </c>
      <c r="H702" s="57" t="n">
        <f aca="false">G702*F702</f>
        <v>0</v>
      </c>
      <c r="I702" s="57" t="n">
        <f aca="false">BL702*Parameter!$B$18</f>
        <v>3</v>
      </c>
      <c r="J702" s="58" t="n">
        <v>0</v>
      </c>
      <c r="K702" s="59" t="n">
        <v>0</v>
      </c>
      <c r="L702" s="57" t="n">
        <v>0</v>
      </c>
      <c r="M702" s="57" t="n">
        <v>5</v>
      </c>
      <c r="N702" s="60" t="n">
        <v>112</v>
      </c>
      <c r="O702" s="55" t="s">
        <v>163</v>
      </c>
      <c r="P702" s="57"/>
      <c r="Q702" s="60" t="n">
        <f aca="false">IF(BR702=1,0,IFERROR(VLOOKUP(BP702,'Gebinde-Kategorie'!$A$5:$M$45,13,0)+0,0))</f>
        <v>0</v>
      </c>
      <c r="R702" s="61"/>
      <c r="S702" s="62"/>
      <c r="T702" s="62"/>
      <c r="U702" s="55"/>
      <c r="V702" s="57"/>
      <c r="W702" s="57"/>
      <c r="X702" s="55" t="n">
        <f aca="false">IF(A702="","",IF(AND(Parameter!$B$21="Ja",ISNUMBER(U702)),U702,IF(IFERROR(VLOOKUP(D702,Parameter!$A$35:$C$64,2,0),"Nein")="2+3",IF(ISNUMBER(SEARCH("grosser Artikel",BM702)),2,IFERROR(VLOOKUP(BP702,Parameter!$F$35:$G$64,2,0),2)),IF(OR(IFERROR(VLOOKUP(D702,Parameter!$A$35:$C$64,2,0),"Nein")="Nein",IFERROR(VLOOKUP(D702,Parameter!$A$35:$C$64,2,0),"Nein")=""),"-",VLOOKUP(D702,Parameter!$A$35:$C$64,2,0)))))</f>
        <v>2</v>
      </c>
      <c r="Y702" s="62"/>
      <c r="Z702" s="63"/>
      <c r="AA702" s="57" t="n">
        <f aca="false">AP702</f>
        <v>5</v>
      </c>
      <c r="AB702" s="57" t="n">
        <f aca="false">MAX(AP702,G702)</f>
        <v>5</v>
      </c>
      <c r="AC702" s="64"/>
      <c r="AD702" s="57" t="n">
        <f aca="false">IF(LEFT(Cockpit!$C$5,1)="A",G702,IF(BW702=1,BX702,IF(LEFT(Cockpit!$C$5,1)="B",AH702,MAX(AH702,G702))))</f>
        <v>0</v>
      </c>
      <c r="AE702" s="57" t="n">
        <f aca="false">IF(BR702=1,0,ROUNDUP(AD702/BQ702,0))</f>
        <v>0</v>
      </c>
      <c r="AF702" s="59" t="n">
        <f aca="false">IF(CD702&gt;0,CD702*MAX(1,AD702/V702),IF(BR702=1,IF(AD702&lt;=0,0,BS702*MAX(1,IF(G702&gt;0,AD702/G702,1))),IF(Q702&gt;0,AE702/Q702,0))/MAX(0.1,N(Parameter!$M$21)))</f>
        <v>0</v>
      </c>
      <c r="AG702" s="57" t="n">
        <f aca="false">AD702*F702</f>
        <v>0</v>
      </c>
      <c r="AH702" s="57" t="n">
        <f aca="false">ROUNDUP(MAX(I702/IF(BV702&gt;0,BV702,MAX(0.1,N(Cockpit!$C$6))),BY702)/BQ702,0)*BQ702</f>
        <v>5</v>
      </c>
      <c r="AI702" s="58" t="n">
        <f aca="false">IF(AF702&gt;0,I702/AF702,-1)</f>
        <v>-1</v>
      </c>
      <c r="AJ702" s="58" t="str">
        <f aca="false">IF(AND(OR(BU702="L1",BU702="L23"),AF702&gt;0),SUMIFS($AF$7:$AF$1576,$BU$7:$BU$1576,BU702,$AI$7:$AI$1576,"&gt;"&amp;AI702)+SUMIFS($AF$7:$AF$1576,$BU$7:$BU$1576,BU702,$AI$7:$AI$1576,AI702,$BO$7:$BO$1576,"&lt;="&amp;BO702),"")</f>
        <v/>
      </c>
      <c r="AK702" s="65" t="n">
        <f aca="false">IF(AJ702="",0,MAX(0,MIN(1,(IF(BU702="L1",Parameter!$E$5,Parameter!$E$6+Parameter!$E$7)-(AJ702-AF702))/AF702)))</f>
        <v>0</v>
      </c>
      <c r="AL702" s="57" t="n">
        <f aca="false">IF(LEFT(Cockpit!$I$5,1)="A",G702,IF(BW702=1,BX702,IF(LEFT(Cockpit!$I$5,1)="B",AP702,MAX(AP702,G702))))</f>
        <v>5</v>
      </c>
      <c r="AM702" s="57" t="n">
        <f aca="false">IF(BR702=1,0,ROUNDUP(AL702/BQ702,0))</f>
        <v>0</v>
      </c>
      <c r="AN702" s="59" t="n">
        <f aca="false">IF(CD702&gt;0,CD702*MAX(1,AL702/V702),IF(BR702=1,IF(AL702&lt;=0,0,BS702*MAX(1,IF(G702&gt;0,AL702/G702,1))),IF(Q702&gt;0,AM702/Q702,0))/MAX(0.1,N(Parameter!$M$21)))</f>
        <v>0.03</v>
      </c>
      <c r="AO702" s="57" t="n">
        <f aca="false">AL702*F702</f>
        <v>1465</v>
      </c>
      <c r="AP702" s="57" t="n">
        <f aca="false">ROUNDUP(MAX(I702/IF(BV702&gt;0,BV702,MAX(0.1,N(Cockpit!$I$6))),BY702)/BQ702,0)*BQ702</f>
        <v>5</v>
      </c>
      <c r="AQ702" s="58" t="n">
        <f aca="false">IF(AN702&gt;0,I702/AN702,-1)</f>
        <v>100</v>
      </c>
      <c r="AR702" s="58" t="n">
        <f aca="false">IF(AND(OR(BU702="L1",BU702="L23"),AN702&gt;0),SUMIFS($AN$7:$AN$1576,$BU$7:$BU$1576,BU702,$AQ$7:$AQ$1576,"&gt;"&amp;AQ702)+SUMIFS($AN$7:$AN$1576,$BU$7:$BU$1576,BU702,$AQ$7:$AQ$1576,AQ702,$BO$7:$BO$1576,"&lt;="&amp;BO702),"")</f>
        <v>69.3667780230392</v>
      </c>
      <c r="AS702" s="65" t="n">
        <f aca="false">IF(AR702="",0,MAX(0,MIN(1,(IF(BU702="L1",Parameter!$E$5,Parameter!$E$6+Parameter!$E$7)-(AR702-AN702))/AN702)))</f>
        <v>1</v>
      </c>
      <c r="AT702" s="57" t="n">
        <f aca="false">IF(LEFT(Cockpit!$O$5,1)="A",G702,IF(BW702=1,BX702,IF(LEFT(Cockpit!$O$5,1)="B",AX702,MAX(AX702,G702))))</f>
        <v>5</v>
      </c>
      <c r="AU702" s="57" t="n">
        <f aca="false">IF(BR702=1,0,ROUNDUP(AT702/BQ702,0))</f>
        <v>0</v>
      </c>
      <c r="AV702" s="59" t="n">
        <f aca="false">IF(CD702&gt;0,CD702*MAX(1,AT702/V702),IF(BR702=1,IF(AT702&lt;=0,0,BS702*MAX(1,IF(G702&gt;0,AT702/G702,1))),IF(Q702&gt;0,AU702/Q702,0))/MAX(0.1,N(Parameter!$M$21)))</f>
        <v>0.03</v>
      </c>
      <c r="AW702" s="57" t="n">
        <f aca="false">AT702*F702</f>
        <v>1465</v>
      </c>
      <c r="AX702" s="57" t="n">
        <f aca="false">ROUNDUP(MAX(I702/IF(BV702&gt;0,BV702,MAX(0.1,N(Cockpit!$O$6))),BY702)/BQ702,0)*BQ702</f>
        <v>5</v>
      </c>
      <c r="AY702" s="58" t="n">
        <f aca="false">IF(AV702&gt;0,I702/AV702,-1)</f>
        <v>100</v>
      </c>
      <c r="AZ702" s="58" t="n">
        <f aca="false">IF(AND(OR(BU702="L1",BU702="L23"),AV702&gt;0),SUMIFS($AV$7:$AV$1576,$BU$7:$BU$1576,BU702,$AY$7:$AY$1576,"&gt;"&amp;AY702)+SUMIFS($AV$7:$AV$1576,$BU$7:$BU$1576,BU702,$AY$7:$AY$1576,AY702,$BO$7:$BO$1576,"&lt;="&amp;BO702),"")</f>
        <v>63.927161805923</v>
      </c>
      <c r="BA702" s="65" t="n">
        <f aca="false">IF(AZ702="",0,MAX(0,MIN(1,(IF(BU702="L1",Parameter!$E$5,Parameter!$E$6+Parameter!$E$7)-(AZ702-AV702))/AV702)))</f>
        <v>1</v>
      </c>
      <c r="BB702" s="55" t="str">
        <f aca="false">IF(AF702&lt;=0,"",IF(BU702="Aussen","Aussenlager",IF(BU702="-","Nicht im Lift",IF(AK702&gt;=1,"Lift",IF(AK702&lt;=0,"Aussenlager","teilweise")))))</f>
        <v/>
      </c>
      <c r="BC702" s="55" t="str">
        <f aca="false">IF(AN702&lt;=0,"",IF(BU702="Aussen","Aussenlager",IF(BU702="-","Nicht im Lift",IF(AS702&gt;=1,"Lift",IF(AS702&lt;=0,"Aussenlager","teilweise")))))</f>
        <v>Lift</v>
      </c>
      <c r="BD702" s="55" t="str">
        <f aca="false">IF(AV702&lt;=0,"",IF(BU702="Aussen","Aussenlager",IF(BU702="-","Nicht im Lift",IF(BA702&gt;=1,"Lift",IF(BA702&lt;=0,"Aussenlager","teilweise")))))</f>
        <v>Lift</v>
      </c>
      <c r="BE702" s="55" t="str">
        <f aca="false">IF(A702="","",IF(BN702=1,"Neu; ","")&amp;IF(AND(BN702=0,BI702&lt;0),"negativer Bestand (Export "&amp;BI702&amp;"); ","")&amp;IF(I702&lt;=0,"Kein Verbrauch; ","")&amp;IF(CD702&gt;0,"Lift "&amp;U702&amp;" lt. Liftbericht (Fach "&amp;V702&amp;" Stk); ",IF(BR702=1,"Lose – Fläche geschätzt; ",""))&amp;IF(G702&gt;AP702,"Überbestand "&amp;ROUND(G702-AP702,0)&amp;" Stk / CHF "&amp;ROUND((G702-AP702)*F702,0)&amp;"; ","")&amp;IF(AND(BW702=1,BX702&lt;BY702),"MAX &lt; MB+LG; ","")&amp;IF(AND(CC702&gt;0,CB702*10&gt;CC702),"zu hoch für Tablar; ","")&amp;IF(AND(BN702=0,OR(BW702=1,Y702&lt;&gt;"",S702&lt;&gt;"",T702&lt;&gt;"",Z702&lt;&gt;"")),"manuell übersteuert; ","")&amp;IF(AND(BR702=0,Q702=0),"Gebinde unbekannt / Stellmass fehlt; ","")&amp;IF(AND(BR702=0,N(T702)&lt;=0,N(P702)&lt;=0),"Menge pro Gebinde fehlt (Ist = 1 Gebinde); ","")&amp;BM702)</f>
        <v>Lose – Fläche geschätzt; </v>
      </c>
      <c r="BF702" s="55"/>
      <c r="BG702" s="55"/>
      <c r="BH702" s="62"/>
      <c r="BI702" s="57" t="n">
        <v>0</v>
      </c>
      <c r="BJ702" s="57" t="n">
        <v>0</v>
      </c>
      <c r="BK702" s="56" t="n">
        <v>0</v>
      </c>
      <c r="BL702" s="57" t="n">
        <v>3</v>
      </c>
      <c r="BM702" s="55"/>
      <c r="BN702" s="60" t="n">
        <v>0</v>
      </c>
      <c r="BO702" s="60" t="n">
        <v>702</v>
      </c>
      <c r="BP702" s="55" t="str">
        <f aca="false">IF(S702&lt;&gt;"",UPPER(TRIM(S702)),IF(O702="","LOSE",O702))</f>
        <v>LOSE</v>
      </c>
      <c r="BQ702" s="57" t="n">
        <f aca="false">IF(BP702="LOSE",1,IF(N(T702)&gt;0,T702,IF(N(P702)&gt;0,P702,MAX(1,G702))))</f>
        <v>1</v>
      </c>
      <c r="BR702" s="60" t="n">
        <f aca="false">IF(BP702="LOSE",1,0)</f>
        <v>1</v>
      </c>
      <c r="BS702" s="59" t="n">
        <f aca="false">IF(BR702=0,0,IF(N(R702)&gt;0,R702,IFERROR(VLOOKUP(D702,Parameter!$A$35:$C$64,3,0)+0,0)))</f>
        <v>0.03</v>
      </c>
      <c r="BT702" s="55" t="n">
        <f aca="false">IF(Y702&lt;&gt;"",Y702,X702)</f>
        <v>2</v>
      </c>
      <c r="BU702" s="55" t="str">
        <f aca="false">IF(BT702=1,"L1",IF(OR(BT702=2,BT702=3),"L23",IF(BT702="Aussen","Aussen","-")))</f>
        <v>L23</v>
      </c>
      <c r="BV702" s="66" t="n">
        <f aca="false">IF(N(Z702)&gt;0,Z702,0)</f>
        <v>0</v>
      </c>
      <c r="BW702" s="60" t="n">
        <f aca="false">IF(ISNUMBER(AC702),1,0)</f>
        <v>0</v>
      </c>
      <c r="BX702" s="57" t="n">
        <f aca="false">N(AC702)</f>
        <v>0</v>
      </c>
      <c r="BY702" s="57" t="n">
        <f aca="false">N(L702)+N(M702)</f>
        <v>5</v>
      </c>
      <c r="BZ702" s="57" t="n">
        <f aca="false">ROUNDUP(G702/BQ702,0)</f>
        <v>0</v>
      </c>
      <c r="CA702" s="57" t="n">
        <f aca="false">ROUNDUP(BX702/BQ702,0)</f>
        <v>0</v>
      </c>
      <c r="CB702" s="60" t="n">
        <f aca="false">IF(BR702=1,0,IFERROR(VLOOKUP(BP702,'Gebinde-Kategorie'!$A$5:$M$45,5,0)+0,0))</f>
        <v>0</v>
      </c>
      <c r="CC702" s="60" t="n">
        <f aca="false">IFERROR(IF(OR(BT702=1,BT702=2,BT702=3),N(INDEX(Parameter!$I$5:$I$7,BT702)),0),0)</f>
        <v>0</v>
      </c>
      <c r="CD702" s="59" t="n">
        <f aca="false">IF(AND(Parameter!$B$21="Ja",ISNUMBER(U702),N(V702)&gt;0),IFERROR(N(INDEX(Parameter!$L$5:$L$7,U702))*INDEX(Parameter!$E$5:$E$7,U702)*V702/SUMIFS($V$7:$V$1576,$U$7:$U$1576,U702),0),0)</f>
        <v>0</v>
      </c>
    </row>
    <row r="703" customFormat="false" ht="15" hidden="false" customHeight="false" outlineLevel="0" collapsed="false">
      <c r="A703" s="55" t="s">
        <v>1393</v>
      </c>
      <c r="B703" s="55" t="s">
        <v>533</v>
      </c>
      <c r="C703" s="55" t="s">
        <v>160</v>
      </c>
      <c r="D703" s="55" t="s">
        <v>984</v>
      </c>
      <c r="E703" s="55" t="s">
        <v>210</v>
      </c>
      <c r="F703" s="56" t="n">
        <v>27.2</v>
      </c>
      <c r="G703" s="57" t="n">
        <f aca="false">MAX(0,IF(AND(Parameter!$B$21="Ja",ISNUMBER(W703)),W703,IF(Parameter!$B$20="Jahresanfang 2025 + Export",BJ703+BI703,BI703)))</f>
        <v>0</v>
      </c>
      <c r="H703" s="57" t="n">
        <f aca="false">G703*F703</f>
        <v>0</v>
      </c>
      <c r="I703" s="57" t="n">
        <f aca="false">BL703*Parameter!$B$18</f>
        <v>0</v>
      </c>
      <c r="J703" s="58" t="n">
        <v>17</v>
      </c>
      <c r="K703" s="59" t="n">
        <v>0</v>
      </c>
      <c r="L703" s="57" t="n">
        <v>0</v>
      </c>
      <c r="M703" s="57" t="n">
        <v>1</v>
      </c>
      <c r="N703" s="60" t="n">
        <v>21</v>
      </c>
      <c r="O703" s="55" t="s">
        <v>163</v>
      </c>
      <c r="P703" s="57"/>
      <c r="Q703" s="60" t="n">
        <f aca="false">IF(BR703=1,0,IFERROR(VLOOKUP(BP703,'Gebinde-Kategorie'!$A$5:$M$45,13,0)+0,0))</f>
        <v>0</v>
      </c>
      <c r="R703" s="61"/>
      <c r="S703" s="62"/>
      <c r="T703" s="62"/>
      <c r="U703" s="55"/>
      <c r="V703" s="57"/>
      <c r="W703" s="57"/>
      <c r="X703" s="55" t="str">
        <f aca="false">IF(A703="","",IF(AND(Parameter!$B$21="Ja",ISNUMBER(U703)),U703,IF(IFERROR(VLOOKUP(D703,Parameter!$A$35:$C$64,2,0),"Nein")="2+3",IF(ISNUMBER(SEARCH("grosser Artikel",BM703)),2,IFERROR(VLOOKUP(BP703,Parameter!$F$35:$G$64,2,0),2)),IF(OR(IFERROR(VLOOKUP(D703,Parameter!$A$35:$C$64,2,0),"Nein")="Nein",IFERROR(VLOOKUP(D703,Parameter!$A$35:$C$64,2,0),"Nein")=""),"-",VLOOKUP(D703,Parameter!$A$35:$C$64,2,0)))))</f>
        <v>-</v>
      </c>
      <c r="Y703" s="62"/>
      <c r="Z703" s="63"/>
      <c r="AA703" s="57" t="n">
        <f aca="false">AP703</f>
        <v>1</v>
      </c>
      <c r="AB703" s="57" t="n">
        <f aca="false">MAX(AP703,G703)</f>
        <v>1</v>
      </c>
      <c r="AC703" s="64"/>
      <c r="AD703" s="57" t="n">
        <f aca="false">IF(LEFT(Cockpit!$C$5,1)="A",G703,IF(BW703=1,BX703,IF(LEFT(Cockpit!$C$5,1)="B",AH703,MAX(AH703,G703))))</f>
        <v>0</v>
      </c>
      <c r="AE703" s="57" t="n">
        <f aca="false">IF(BR703=1,0,ROUNDUP(AD703/BQ703,0))</f>
        <v>0</v>
      </c>
      <c r="AF703" s="59" t="n">
        <f aca="false">IF(CD703&gt;0,CD703*MAX(1,AD703/V703),IF(BR703=1,IF(AD703&lt;=0,0,BS703*MAX(1,IF(G703&gt;0,AD703/G703,1))),IF(Q703&gt;0,AE703/Q703,0))/MAX(0.1,N(Parameter!$M$21)))</f>
        <v>0</v>
      </c>
      <c r="AG703" s="57" t="n">
        <f aca="false">AD703*F703</f>
        <v>0</v>
      </c>
      <c r="AH703" s="57" t="n">
        <f aca="false">ROUNDUP(MAX(I703/IF(BV703&gt;0,BV703,MAX(0.1,N(Cockpit!$C$6))),BY703)/BQ703,0)*BQ703</f>
        <v>1</v>
      </c>
      <c r="AI703" s="58" t="n">
        <f aca="false">IF(AF703&gt;0,I703/AF703,-1)</f>
        <v>-1</v>
      </c>
      <c r="AJ703" s="58" t="str">
        <f aca="false">IF(AND(OR(BU703="L1",BU703="L23"),AF703&gt;0),SUMIFS($AF$7:$AF$1576,$BU$7:$BU$1576,BU703,$AI$7:$AI$1576,"&gt;"&amp;AI703)+SUMIFS($AF$7:$AF$1576,$BU$7:$BU$1576,BU703,$AI$7:$AI$1576,AI703,$BO$7:$BO$1576,"&lt;="&amp;BO703),"")</f>
        <v/>
      </c>
      <c r="AK703" s="65" t="n">
        <f aca="false">IF(AJ703="",0,MAX(0,MIN(1,(IF(BU703="L1",Parameter!$E$5,Parameter!$E$6+Parameter!$E$7)-(AJ703-AF703))/AF703)))</f>
        <v>0</v>
      </c>
      <c r="AL703" s="57" t="n">
        <f aca="false">IF(LEFT(Cockpit!$I$5,1)="A",G703,IF(BW703=1,BX703,IF(LEFT(Cockpit!$I$5,1)="B",AP703,MAX(AP703,G703))))</f>
        <v>1</v>
      </c>
      <c r="AM703" s="57" t="n">
        <f aca="false">IF(BR703=1,0,ROUNDUP(AL703/BQ703,0))</f>
        <v>0</v>
      </c>
      <c r="AN703" s="59" t="n">
        <f aca="false">IF(CD703&gt;0,CD703*MAX(1,AL703/V703),IF(BR703=1,IF(AL703&lt;=0,0,BS703*MAX(1,IF(G703&gt;0,AL703/G703,1))),IF(Q703&gt;0,AM703/Q703,0))/MAX(0.1,N(Parameter!$M$21)))</f>
        <v>0.15</v>
      </c>
      <c r="AO703" s="57" t="n">
        <f aca="false">AL703*F703</f>
        <v>27.2</v>
      </c>
      <c r="AP703" s="57" t="n">
        <f aca="false">ROUNDUP(MAX(I703/IF(BV703&gt;0,BV703,MAX(0.1,N(Cockpit!$I$6))),BY703)/BQ703,0)*BQ703</f>
        <v>1</v>
      </c>
      <c r="AQ703" s="58" t="n">
        <f aca="false">IF(AN703&gt;0,I703/AN703,-1)</f>
        <v>0</v>
      </c>
      <c r="AR703" s="58" t="str">
        <f aca="false">IF(AND(OR(BU703="L1",BU703="L23"),AN703&gt;0),SUMIFS($AN$7:$AN$1576,$BU$7:$BU$1576,BU703,$AQ$7:$AQ$1576,"&gt;"&amp;AQ703)+SUMIFS($AN$7:$AN$1576,$BU$7:$BU$1576,BU703,$AQ$7:$AQ$1576,AQ703,$BO$7:$BO$1576,"&lt;="&amp;BO703),"")</f>
        <v/>
      </c>
      <c r="AS703" s="65" t="n">
        <f aca="false">IF(AR703="",0,MAX(0,MIN(1,(IF(BU703="L1",Parameter!$E$5,Parameter!$E$6+Parameter!$E$7)-(AR703-AN703))/AN703)))</f>
        <v>0</v>
      </c>
      <c r="AT703" s="57" t="n">
        <f aca="false">IF(LEFT(Cockpit!$O$5,1)="A",G703,IF(BW703=1,BX703,IF(LEFT(Cockpit!$O$5,1)="B",AX703,MAX(AX703,G703))))</f>
        <v>1</v>
      </c>
      <c r="AU703" s="57" t="n">
        <f aca="false">IF(BR703=1,0,ROUNDUP(AT703/BQ703,0))</f>
        <v>0</v>
      </c>
      <c r="AV703" s="59" t="n">
        <f aca="false">IF(CD703&gt;0,CD703*MAX(1,AT703/V703),IF(BR703=1,IF(AT703&lt;=0,0,BS703*MAX(1,IF(G703&gt;0,AT703/G703,1))),IF(Q703&gt;0,AU703/Q703,0))/MAX(0.1,N(Parameter!$M$21)))</f>
        <v>0.15</v>
      </c>
      <c r="AW703" s="57" t="n">
        <f aca="false">AT703*F703</f>
        <v>27.2</v>
      </c>
      <c r="AX703" s="57" t="n">
        <f aca="false">ROUNDUP(MAX(I703/IF(BV703&gt;0,BV703,MAX(0.1,N(Cockpit!$O$6))),BY703)/BQ703,0)*BQ703</f>
        <v>1</v>
      </c>
      <c r="AY703" s="58" t="n">
        <f aca="false">IF(AV703&gt;0,I703/AV703,-1)</f>
        <v>0</v>
      </c>
      <c r="AZ703" s="58" t="str">
        <f aca="false">IF(AND(OR(BU703="L1",BU703="L23"),AV703&gt;0),SUMIFS($AV$7:$AV$1576,$BU$7:$BU$1576,BU703,$AY$7:$AY$1576,"&gt;"&amp;AY703)+SUMIFS($AV$7:$AV$1576,$BU$7:$BU$1576,BU703,$AY$7:$AY$1576,AY703,$BO$7:$BO$1576,"&lt;="&amp;BO703),"")</f>
        <v/>
      </c>
      <c r="BA703" s="65" t="n">
        <f aca="false">IF(AZ703="",0,MAX(0,MIN(1,(IF(BU703="L1",Parameter!$E$5,Parameter!$E$6+Parameter!$E$7)-(AZ703-AV703))/AV703)))</f>
        <v>0</v>
      </c>
      <c r="BB703" s="55" t="str">
        <f aca="false">IF(AF703&lt;=0,"",IF(BU703="Aussen","Aussenlager",IF(BU703="-","Nicht im Lift",IF(AK703&gt;=1,"Lift",IF(AK703&lt;=0,"Aussenlager","teilweise")))))</f>
        <v/>
      </c>
      <c r="BC703" s="55" t="str">
        <f aca="false">IF(AN703&lt;=0,"",IF(BU703="Aussen","Aussenlager",IF(BU703="-","Nicht im Lift",IF(AS703&gt;=1,"Lift",IF(AS703&lt;=0,"Aussenlager","teilweise")))))</f>
        <v>Nicht im Lift</v>
      </c>
      <c r="BD703" s="55" t="str">
        <f aca="false">IF(AV703&lt;=0,"",IF(BU703="Aussen","Aussenlager",IF(BU703="-","Nicht im Lift",IF(BA703&gt;=1,"Lift",IF(BA703&lt;=0,"Aussenlager","teilweise")))))</f>
        <v>Nicht im Lift</v>
      </c>
      <c r="BE703" s="55" t="str">
        <f aca="false">IF(A703="","",IF(BN703=1,"Neu; ","")&amp;IF(AND(BN703=0,BI703&lt;0),"negativer Bestand (Export "&amp;BI703&amp;"); ","")&amp;IF(I703&lt;=0,"Kein Verbrauch; ","")&amp;IF(CD703&gt;0,"Lift "&amp;U703&amp;" lt. Liftbericht (Fach "&amp;V703&amp;" Stk); ",IF(BR703=1,"Lose – Fläche geschätzt; ",""))&amp;IF(G703&gt;AP703,"Überbestand "&amp;ROUND(G703-AP703,0)&amp;" Stk / CHF "&amp;ROUND((G703-AP703)*F703,0)&amp;"; ","")&amp;IF(AND(BW703=1,BX703&lt;BY703),"MAX &lt; MB+LG; ","")&amp;IF(AND(CC703&gt;0,CB703*10&gt;CC703),"zu hoch für Tablar; ","")&amp;IF(AND(BN703=0,OR(BW703=1,Y703&lt;&gt;"",S703&lt;&gt;"",T703&lt;&gt;"",Z703&lt;&gt;"")),"manuell übersteuert; ","")&amp;IF(AND(BR703=0,Q703=0),"Gebinde unbekannt / Stellmass fehlt; ","")&amp;IF(AND(BR703=0,N(T703)&lt;=0,N(P703)&lt;=0),"Menge pro Gebinde fehlt (Ist = 1 Gebinde); ","")&amp;BM703)</f>
        <v>Kein Verbrauch; Lose – Fläche geschätzt; Neu; gehört nicht ins KTL</v>
      </c>
      <c r="BF703" s="55"/>
      <c r="BG703" s="55"/>
      <c r="BH703" s="62"/>
      <c r="BI703" s="57" t="n">
        <v>0</v>
      </c>
      <c r="BJ703" s="57" t="n">
        <v>14</v>
      </c>
      <c r="BK703" s="56" t="n">
        <v>0</v>
      </c>
      <c r="BL703" s="57" t="n">
        <v>0</v>
      </c>
      <c r="BM703" s="55" t="s">
        <v>1394</v>
      </c>
      <c r="BN703" s="60" t="n">
        <v>0</v>
      </c>
      <c r="BO703" s="60" t="n">
        <v>703</v>
      </c>
      <c r="BP703" s="55" t="str">
        <f aca="false">IF(S703&lt;&gt;"",UPPER(TRIM(S703)),IF(O703="","LOSE",O703))</f>
        <v>LOSE</v>
      </c>
      <c r="BQ703" s="57" t="n">
        <f aca="false">IF(BP703="LOSE",1,IF(N(T703)&gt;0,T703,IF(N(P703)&gt;0,P703,MAX(1,G703))))</f>
        <v>1</v>
      </c>
      <c r="BR703" s="60" t="n">
        <f aca="false">IF(BP703="LOSE",1,0)</f>
        <v>1</v>
      </c>
      <c r="BS703" s="59" t="n">
        <f aca="false">IF(BR703=0,0,IF(N(R703)&gt;0,R703,IFERROR(VLOOKUP(D703,Parameter!$A$35:$C$64,3,0)+0,0)))</f>
        <v>0.15</v>
      </c>
      <c r="BT703" s="55" t="str">
        <f aca="false">IF(Y703&lt;&gt;"",Y703,X703)</f>
        <v>-</v>
      </c>
      <c r="BU703" s="55" t="str">
        <f aca="false">IF(BT703=1,"L1",IF(OR(BT703=2,BT703=3),"L23",IF(BT703="Aussen","Aussen","-")))</f>
        <v>-</v>
      </c>
      <c r="BV703" s="66" t="n">
        <f aca="false">IF(N(Z703)&gt;0,Z703,0)</f>
        <v>0</v>
      </c>
      <c r="BW703" s="60" t="n">
        <f aca="false">IF(ISNUMBER(AC703),1,0)</f>
        <v>0</v>
      </c>
      <c r="BX703" s="57" t="n">
        <f aca="false">N(AC703)</f>
        <v>0</v>
      </c>
      <c r="BY703" s="57" t="n">
        <f aca="false">N(L703)+N(M703)</f>
        <v>1</v>
      </c>
      <c r="BZ703" s="57" t="n">
        <f aca="false">ROUNDUP(G703/BQ703,0)</f>
        <v>0</v>
      </c>
      <c r="CA703" s="57" t="n">
        <f aca="false">ROUNDUP(BX703/BQ703,0)</f>
        <v>0</v>
      </c>
      <c r="CB703" s="60" t="n">
        <f aca="false">IF(BR703=1,0,IFERROR(VLOOKUP(BP703,'Gebinde-Kategorie'!$A$5:$M$45,5,0)+0,0))</f>
        <v>0</v>
      </c>
      <c r="CC703" s="60" t="n">
        <f aca="false">IFERROR(IF(OR(BT703=1,BT703=2,BT703=3),N(INDEX(Parameter!$I$5:$I$7,BT703)),0),0)</f>
        <v>0</v>
      </c>
      <c r="CD703" s="59" t="n">
        <f aca="false">IF(AND(Parameter!$B$21="Ja",ISNUMBER(U703),N(V703)&gt;0),IFERROR(N(INDEX(Parameter!$L$5:$L$7,U703))*INDEX(Parameter!$E$5:$E$7,U703)*V703/SUMIFS($V$7:$V$1576,$U$7:$U$1576,U703),0),0)</f>
        <v>0</v>
      </c>
    </row>
    <row r="704" customFormat="false" ht="15" hidden="false" customHeight="false" outlineLevel="0" collapsed="false">
      <c r="A704" s="55" t="s">
        <v>1395</v>
      </c>
      <c r="B704" s="55" t="s">
        <v>1396</v>
      </c>
      <c r="C704" s="55" t="s">
        <v>160</v>
      </c>
      <c r="D704" s="55" t="s">
        <v>168</v>
      </c>
      <c r="E704" s="55" t="s">
        <v>210</v>
      </c>
      <c r="F704" s="56" t="n">
        <v>629.85</v>
      </c>
      <c r="G704" s="57" t="n">
        <f aca="false">MAX(0,IF(AND(Parameter!$B$21="Ja",ISNUMBER(W704)),W704,IF(Parameter!$B$20="Jahresanfang 2025 + Export",BJ704+BI704,BI704)))</f>
        <v>0</v>
      </c>
      <c r="H704" s="57" t="n">
        <f aca="false">G704*F704</f>
        <v>0</v>
      </c>
      <c r="I704" s="57" t="n">
        <f aca="false">BL704*Parameter!$B$18</f>
        <v>0</v>
      </c>
      <c r="J704" s="58" t="n">
        <v>0</v>
      </c>
      <c r="K704" s="59" t="n">
        <v>0</v>
      </c>
      <c r="L704" s="57" t="n">
        <v>0</v>
      </c>
      <c r="M704" s="57" t="n">
        <v>1</v>
      </c>
      <c r="N704" s="60" t="n">
        <v>14</v>
      </c>
      <c r="O704" s="55" t="s">
        <v>163</v>
      </c>
      <c r="P704" s="57"/>
      <c r="Q704" s="60" t="n">
        <f aca="false">IF(BR704=1,0,IFERROR(VLOOKUP(BP704,'Gebinde-Kategorie'!$A$5:$M$45,13,0)+0,0))</f>
        <v>0</v>
      </c>
      <c r="R704" s="61"/>
      <c r="S704" s="62"/>
      <c r="T704" s="62"/>
      <c r="U704" s="55"/>
      <c r="V704" s="57"/>
      <c r="W704" s="57"/>
      <c r="X704" s="55" t="n">
        <f aca="false">IF(A704="","",IF(AND(Parameter!$B$21="Ja",ISNUMBER(U704)),U704,IF(IFERROR(VLOOKUP(D704,Parameter!$A$35:$C$64,2,0),"Nein")="2+3",IF(ISNUMBER(SEARCH("grosser Artikel",BM704)),2,IFERROR(VLOOKUP(BP704,Parameter!$F$35:$G$64,2,0),2)),IF(OR(IFERROR(VLOOKUP(D704,Parameter!$A$35:$C$64,2,0),"Nein")="Nein",IFERROR(VLOOKUP(D704,Parameter!$A$35:$C$64,2,0),"Nein")=""),"-",VLOOKUP(D704,Parameter!$A$35:$C$64,2,0)))))</f>
        <v>2</v>
      </c>
      <c r="Y704" s="62"/>
      <c r="Z704" s="63"/>
      <c r="AA704" s="57" t="n">
        <f aca="false">AP704</f>
        <v>1</v>
      </c>
      <c r="AB704" s="57" t="n">
        <f aca="false">MAX(AP704,G704)</f>
        <v>1</v>
      </c>
      <c r="AC704" s="64"/>
      <c r="AD704" s="57" t="n">
        <f aca="false">IF(LEFT(Cockpit!$C$5,1)="A",G704,IF(BW704=1,BX704,IF(LEFT(Cockpit!$C$5,1)="B",AH704,MAX(AH704,G704))))</f>
        <v>0</v>
      </c>
      <c r="AE704" s="57" t="n">
        <f aca="false">IF(BR704=1,0,ROUNDUP(AD704/BQ704,0))</f>
        <v>0</v>
      </c>
      <c r="AF704" s="59" t="n">
        <f aca="false">IF(CD704&gt;0,CD704*MAX(1,AD704/V704),IF(BR704=1,IF(AD704&lt;=0,0,BS704*MAX(1,IF(G704&gt;0,AD704/G704,1))),IF(Q704&gt;0,AE704/Q704,0))/MAX(0.1,N(Parameter!$M$21)))</f>
        <v>0</v>
      </c>
      <c r="AG704" s="57" t="n">
        <f aca="false">AD704*F704</f>
        <v>0</v>
      </c>
      <c r="AH704" s="57" t="n">
        <f aca="false">ROUNDUP(MAX(I704/IF(BV704&gt;0,BV704,MAX(0.1,N(Cockpit!$C$6))),BY704)/BQ704,0)*BQ704</f>
        <v>1</v>
      </c>
      <c r="AI704" s="58" t="n">
        <f aca="false">IF(AF704&gt;0,I704/AF704,-1)</f>
        <v>-1</v>
      </c>
      <c r="AJ704" s="58" t="str">
        <f aca="false">IF(AND(OR(BU704="L1",BU704="L23"),AF704&gt;0),SUMIFS($AF$7:$AF$1576,$BU$7:$BU$1576,BU704,$AI$7:$AI$1576,"&gt;"&amp;AI704)+SUMIFS($AF$7:$AF$1576,$BU$7:$BU$1576,BU704,$AI$7:$AI$1576,AI704,$BO$7:$BO$1576,"&lt;="&amp;BO704),"")</f>
        <v/>
      </c>
      <c r="AK704" s="65" t="n">
        <f aca="false">IF(AJ704="",0,MAX(0,MIN(1,(IF(BU704="L1",Parameter!$E$5,Parameter!$E$6+Parameter!$E$7)-(AJ704-AF704))/AF704)))</f>
        <v>0</v>
      </c>
      <c r="AL704" s="57" t="n">
        <f aca="false">IF(LEFT(Cockpit!$I$5,1)="A",G704,IF(BW704=1,BX704,IF(LEFT(Cockpit!$I$5,1)="B",AP704,MAX(AP704,G704))))</f>
        <v>1</v>
      </c>
      <c r="AM704" s="57" t="n">
        <f aca="false">IF(BR704=1,0,ROUNDUP(AL704/BQ704,0))</f>
        <v>0</v>
      </c>
      <c r="AN704" s="59" t="n">
        <f aca="false">IF(CD704&gt;0,CD704*MAX(1,AL704/V704),IF(BR704=1,IF(AL704&lt;=0,0,BS704*MAX(1,IF(G704&gt;0,AL704/G704,1))),IF(Q704&gt;0,AM704/Q704,0))/MAX(0.1,N(Parameter!$M$21)))</f>
        <v>0.15</v>
      </c>
      <c r="AO704" s="57" t="n">
        <f aca="false">AL704*F704</f>
        <v>629.85</v>
      </c>
      <c r="AP704" s="57" t="n">
        <f aca="false">ROUNDUP(MAX(I704/IF(BV704&gt;0,BV704,MAX(0.1,N(Cockpit!$I$6))),BY704)/BQ704,0)*BQ704</f>
        <v>1</v>
      </c>
      <c r="AQ704" s="58" t="n">
        <f aca="false">IF(AN704&gt;0,I704/AN704,-1)</f>
        <v>0</v>
      </c>
      <c r="AR704" s="58" t="n">
        <f aca="false">IF(AND(OR(BU704="L1",BU704="L23"),AN704&gt;0),SUMIFS($AN$7:$AN$1576,$BU$7:$BU$1576,BU704,$AQ$7:$AQ$1576,"&gt;"&amp;AQ704)+SUMIFS($AN$7:$AN$1576,$BU$7:$BU$1576,BU704,$AQ$7:$AQ$1576,AQ704,$BO$7:$BO$1576,"&lt;="&amp;BO704),"")</f>
        <v>129.172446949234</v>
      </c>
      <c r="AS704" s="65" t="n">
        <f aca="false">IF(AR704="",0,MAX(0,MIN(1,(IF(BU704="L1",Parameter!$E$5,Parameter!$E$6+Parameter!$E$7)-(AR704-AN704))/AN704)))</f>
        <v>0</v>
      </c>
      <c r="AT704" s="57" t="n">
        <f aca="false">IF(LEFT(Cockpit!$O$5,1)="A",G704,IF(BW704=1,BX704,IF(LEFT(Cockpit!$O$5,1)="B",AX704,MAX(AX704,G704))))</f>
        <v>1</v>
      </c>
      <c r="AU704" s="57" t="n">
        <f aca="false">IF(BR704=1,0,ROUNDUP(AT704/BQ704,0))</f>
        <v>0</v>
      </c>
      <c r="AV704" s="59" t="n">
        <f aca="false">IF(CD704&gt;0,CD704*MAX(1,AT704/V704),IF(BR704=1,IF(AT704&lt;=0,0,BS704*MAX(1,IF(G704&gt;0,AT704/G704,1))),IF(Q704&gt;0,AU704/Q704,0))/MAX(0.1,N(Parameter!$M$21)))</f>
        <v>0.15</v>
      </c>
      <c r="AW704" s="57" t="n">
        <f aca="false">AT704*F704</f>
        <v>629.85</v>
      </c>
      <c r="AX704" s="57" t="n">
        <f aca="false">ROUNDUP(MAX(I704/IF(BV704&gt;0,BV704,MAX(0.1,N(Cockpit!$O$6))),BY704)/BQ704,0)*BQ704</f>
        <v>1</v>
      </c>
      <c r="AY704" s="58" t="n">
        <f aca="false">IF(AV704&gt;0,I704/AV704,-1)</f>
        <v>0</v>
      </c>
      <c r="AZ704" s="58" t="n">
        <f aca="false">IF(AND(OR(BU704="L1",BU704="L23"),AV704&gt;0),SUMIFS($AV$7:$AV$1576,$BU$7:$BU$1576,BU704,$AY$7:$AY$1576,"&gt;"&amp;AY704)+SUMIFS($AV$7:$AV$1576,$BU$7:$BU$1576,BU704,$AY$7:$AY$1576,AY704,$BO$7:$BO$1576,"&lt;="&amp;BO704),"")</f>
        <v>119.231997398784</v>
      </c>
      <c r="BA704" s="65" t="n">
        <f aca="false">IF(AZ704="",0,MAX(0,MIN(1,(IF(BU704="L1",Parameter!$E$5,Parameter!$E$6+Parameter!$E$7)-(AZ704-AV704))/AV704)))</f>
        <v>0</v>
      </c>
      <c r="BB704" s="55" t="str">
        <f aca="false">IF(AF704&lt;=0,"",IF(BU704="Aussen","Aussenlager",IF(BU704="-","Nicht im Lift",IF(AK704&gt;=1,"Lift",IF(AK704&lt;=0,"Aussenlager","teilweise")))))</f>
        <v/>
      </c>
      <c r="BC704" s="55" t="str">
        <f aca="false">IF(AN704&lt;=0,"",IF(BU704="Aussen","Aussenlager",IF(BU704="-","Nicht im Lift",IF(AS704&gt;=1,"Lift",IF(AS704&lt;=0,"Aussenlager","teilweise")))))</f>
        <v>Aussenlager</v>
      </c>
      <c r="BD704" s="55" t="str">
        <f aca="false">IF(AV704&lt;=0,"",IF(BU704="Aussen","Aussenlager",IF(BU704="-","Nicht im Lift",IF(BA704&gt;=1,"Lift",IF(BA704&lt;=0,"Aussenlager","teilweise")))))</f>
        <v>Aussenlager</v>
      </c>
      <c r="BE704" s="55" t="str">
        <f aca="false">IF(A704="","",IF(BN704=1,"Neu; ","")&amp;IF(AND(BN704=0,BI704&lt;0),"negativer Bestand (Export "&amp;BI704&amp;"); ","")&amp;IF(I704&lt;=0,"Kein Verbrauch; ","")&amp;IF(CD704&gt;0,"Lift "&amp;U704&amp;" lt. Liftbericht (Fach "&amp;V704&amp;" Stk); ",IF(BR704=1,"Lose – Fläche geschätzt; ",""))&amp;IF(G704&gt;AP704,"Überbestand "&amp;ROUND(G704-AP704,0)&amp;" Stk / CHF "&amp;ROUND((G704-AP704)*F704,0)&amp;"; ","")&amp;IF(AND(BW704=1,BX704&lt;BY704),"MAX &lt; MB+LG; ","")&amp;IF(AND(CC704&gt;0,CB704*10&gt;CC704),"zu hoch für Tablar; ","")&amp;IF(AND(BN704=0,OR(BW704=1,Y704&lt;&gt;"",S704&lt;&gt;"",T704&lt;&gt;"",Z704&lt;&gt;"")),"manuell übersteuert; ","")&amp;IF(AND(BR704=0,Q704=0),"Gebinde unbekannt / Stellmass fehlt; ","")&amp;IF(AND(BR704=0,N(T704)&lt;=0,N(P704)&lt;=0),"Menge pro Gebinde fehlt (Ist = 1 Gebinde); ","")&amp;BM704)</f>
        <v>Kein Verbrauch; Lose – Fläche geschätzt; </v>
      </c>
      <c r="BF704" s="55"/>
      <c r="BG704" s="55"/>
      <c r="BH704" s="62"/>
      <c r="BI704" s="57" t="n">
        <v>0</v>
      </c>
      <c r="BJ704" s="57" t="n">
        <v>0</v>
      </c>
      <c r="BK704" s="56" t="n">
        <v>0</v>
      </c>
      <c r="BL704" s="57" t="n">
        <v>0</v>
      </c>
      <c r="BM704" s="55"/>
      <c r="BN704" s="60" t="n">
        <v>0</v>
      </c>
      <c r="BO704" s="60" t="n">
        <v>704</v>
      </c>
      <c r="BP704" s="55" t="str">
        <f aca="false">IF(S704&lt;&gt;"",UPPER(TRIM(S704)),IF(O704="","LOSE",O704))</f>
        <v>LOSE</v>
      </c>
      <c r="BQ704" s="57" t="n">
        <f aca="false">IF(BP704="LOSE",1,IF(N(T704)&gt;0,T704,IF(N(P704)&gt;0,P704,MAX(1,G704))))</f>
        <v>1</v>
      </c>
      <c r="BR704" s="60" t="n">
        <f aca="false">IF(BP704="LOSE",1,0)</f>
        <v>1</v>
      </c>
      <c r="BS704" s="59" t="n">
        <f aca="false">IF(BR704=0,0,IF(N(R704)&gt;0,R704,IFERROR(VLOOKUP(D704,Parameter!$A$35:$C$64,3,0)+0,0)))</f>
        <v>0.15</v>
      </c>
      <c r="BT704" s="55" t="n">
        <f aca="false">IF(Y704&lt;&gt;"",Y704,X704)</f>
        <v>2</v>
      </c>
      <c r="BU704" s="55" t="str">
        <f aca="false">IF(BT704=1,"L1",IF(OR(BT704=2,BT704=3),"L23",IF(BT704="Aussen","Aussen","-")))</f>
        <v>L23</v>
      </c>
      <c r="BV704" s="66" t="n">
        <f aca="false">IF(N(Z704)&gt;0,Z704,0)</f>
        <v>0</v>
      </c>
      <c r="BW704" s="60" t="n">
        <f aca="false">IF(ISNUMBER(AC704),1,0)</f>
        <v>0</v>
      </c>
      <c r="BX704" s="57" t="n">
        <f aca="false">N(AC704)</f>
        <v>0</v>
      </c>
      <c r="BY704" s="57" t="n">
        <f aca="false">N(L704)+N(M704)</f>
        <v>1</v>
      </c>
      <c r="BZ704" s="57" t="n">
        <f aca="false">ROUNDUP(G704/BQ704,0)</f>
        <v>0</v>
      </c>
      <c r="CA704" s="57" t="n">
        <f aca="false">ROUNDUP(BX704/BQ704,0)</f>
        <v>0</v>
      </c>
      <c r="CB704" s="60" t="n">
        <f aca="false">IF(BR704=1,0,IFERROR(VLOOKUP(BP704,'Gebinde-Kategorie'!$A$5:$M$45,5,0)+0,0))</f>
        <v>0</v>
      </c>
      <c r="CC704" s="60" t="n">
        <f aca="false">IFERROR(IF(OR(BT704=1,BT704=2,BT704=3),N(INDEX(Parameter!$I$5:$I$7,BT704)),0),0)</f>
        <v>0</v>
      </c>
      <c r="CD704" s="59" t="n">
        <f aca="false">IF(AND(Parameter!$B$21="Ja",ISNUMBER(U704),N(V704)&gt;0),IFERROR(N(INDEX(Parameter!$L$5:$L$7,U704))*INDEX(Parameter!$E$5:$E$7,U704)*V704/SUMIFS($V$7:$V$1576,$U$7:$U$1576,U704),0),0)</f>
        <v>0</v>
      </c>
    </row>
    <row r="705" customFormat="false" ht="15" hidden="false" customHeight="false" outlineLevel="0" collapsed="false">
      <c r="A705" s="55" t="s">
        <v>1397</v>
      </c>
      <c r="B705" s="55" t="s">
        <v>1398</v>
      </c>
      <c r="C705" s="55" t="s">
        <v>160</v>
      </c>
      <c r="D705" s="55" t="s">
        <v>984</v>
      </c>
      <c r="E705" s="55" t="s">
        <v>210</v>
      </c>
      <c r="F705" s="56" t="n">
        <v>12657.45</v>
      </c>
      <c r="G705" s="57" t="n">
        <f aca="false">MAX(0,IF(AND(Parameter!$B$21="Ja",ISNUMBER(W705)),W705,IF(Parameter!$B$20="Jahresanfang 2025 + Export",BJ705+BI705,BI705)))</f>
        <v>0</v>
      </c>
      <c r="H705" s="57" t="n">
        <f aca="false">G705*F705</f>
        <v>0</v>
      </c>
      <c r="I705" s="57" t="n">
        <f aca="false">BL705*Parameter!$B$18</f>
        <v>0</v>
      </c>
      <c r="J705" s="58" t="n">
        <v>1</v>
      </c>
      <c r="K705" s="59" t="n">
        <v>0</v>
      </c>
      <c r="L705" s="57" t="n">
        <v>0</v>
      </c>
      <c r="M705" s="57" t="n">
        <v>1</v>
      </c>
      <c r="N705" s="60" t="n">
        <v>35</v>
      </c>
      <c r="O705" s="55" t="s">
        <v>163</v>
      </c>
      <c r="P705" s="57"/>
      <c r="Q705" s="60" t="n">
        <f aca="false">IF(BR705=1,0,IFERROR(VLOOKUP(BP705,'Gebinde-Kategorie'!$A$5:$M$45,13,0)+0,0))</f>
        <v>0</v>
      </c>
      <c r="R705" s="61"/>
      <c r="S705" s="62"/>
      <c r="T705" s="62"/>
      <c r="U705" s="55"/>
      <c r="V705" s="57"/>
      <c r="W705" s="57"/>
      <c r="X705" s="55" t="str">
        <f aca="false">IF(A705="","",IF(AND(Parameter!$B$21="Ja",ISNUMBER(U705)),U705,IF(IFERROR(VLOOKUP(D705,Parameter!$A$35:$C$64,2,0),"Nein")="2+3",IF(ISNUMBER(SEARCH("grosser Artikel",BM705)),2,IFERROR(VLOOKUP(BP705,Parameter!$F$35:$G$64,2,0),2)),IF(OR(IFERROR(VLOOKUP(D705,Parameter!$A$35:$C$64,2,0),"Nein")="Nein",IFERROR(VLOOKUP(D705,Parameter!$A$35:$C$64,2,0),"Nein")=""),"-",VLOOKUP(D705,Parameter!$A$35:$C$64,2,0)))))</f>
        <v>-</v>
      </c>
      <c r="Y705" s="62"/>
      <c r="Z705" s="63"/>
      <c r="AA705" s="57" t="n">
        <f aca="false">AP705</f>
        <v>1</v>
      </c>
      <c r="AB705" s="57" t="n">
        <f aca="false">MAX(AP705,G705)</f>
        <v>1</v>
      </c>
      <c r="AC705" s="64"/>
      <c r="AD705" s="57" t="n">
        <f aca="false">IF(LEFT(Cockpit!$C$5,1)="A",G705,IF(BW705=1,BX705,IF(LEFT(Cockpit!$C$5,1)="B",AH705,MAX(AH705,G705))))</f>
        <v>0</v>
      </c>
      <c r="AE705" s="57" t="n">
        <f aca="false">IF(BR705=1,0,ROUNDUP(AD705/BQ705,0))</f>
        <v>0</v>
      </c>
      <c r="AF705" s="59" t="n">
        <f aca="false">IF(CD705&gt;0,CD705*MAX(1,AD705/V705),IF(BR705=1,IF(AD705&lt;=0,0,BS705*MAX(1,IF(G705&gt;0,AD705/G705,1))),IF(Q705&gt;0,AE705/Q705,0))/MAX(0.1,N(Parameter!$M$21)))</f>
        <v>0</v>
      </c>
      <c r="AG705" s="57" t="n">
        <f aca="false">AD705*F705</f>
        <v>0</v>
      </c>
      <c r="AH705" s="57" t="n">
        <f aca="false">ROUNDUP(MAX(I705/IF(BV705&gt;0,BV705,MAX(0.1,N(Cockpit!$C$6))),BY705)/BQ705,0)*BQ705</f>
        <v>1</v>
      </c>
      <c r="AI705" s="58" t="n">
        <f aca="false">IF(AF705&gt;0,I705/AF705,-1)</f>
        <v>-1</v>
      </c>
      <c r="AJ705" s="58" t="str">
        <f aca="false">IF(AND(OR(BU705="L1",BU705="L23"),AF705&gt;0),SUMIFS($AF$7:$AF$1576,$BU$7:$BU$1576,BU705,$AI$7:$AI$1576,"&gt;"&amp;AI705)+SUMIFS($AF$7:$AF$1576,$BU$7:$BU$1576,BU705,$AI$7:$AI$1576,AI705,$BO$7:$BO$1576,"&lt;="&amp;BO705),"")</f>
        <v/>
      </c>
      <c r="AK705" s="65" t="n">
        <f aca="false">IF(AJ705="",0,MAX(0,MIN(1,(IF(BU705="L1",Parameter!$E$5,Parameter!$E$6+Parameter!$E$7)-(AJ705-AF705))/AF705)))</f>
        <v>0</v>
      </c>
      <c r="AL705" s="57" t="n">
        <f aca="false">IF(LEFT(Cockpit!$I$5,1)="A",G705,IF(BW705=1,BX705,IF(LEFT(Cockpit!$I$5,1)="B",AP705,MAX(AP705,G705))))</f>
        <v>1</v>
      </c>
      <c r="AM705" s="57" t="n">
        <f aca="false">IF(BR705=1,0,ROUNDUP(AL705/BQ705,0))</f>
        <v>0</v>
      </c>
      <c r="AN705" s="59" t="n">
        <f aca="false">IF(CD705&gt;0,CD705*MAX(1,AL705/V705),IF(BR705=1,IF(AL705&lt;=0,0,BS705*MAX(1,IF(G705&gt;0,AL705/G705,1))),IF(Q705&gt;0,AM705/Q705,0))/MAX(0.1,N(Parameter!$M$21)))</f>
        <v>0.15</v>
      </c>
      <c r="AO705" s="57" t="n">
        <f aca="false">AL705*F705</f>
        <v>12657.45</v>
      </c>
      <c r="AP705" s="57" t="n">
        <f aca="false">ROUNDUP(MAX(I705/IF(BV705&gt;0,BV705,MAX(0.1,N(Cockpit!$I$6))),BY705)/BQ705,0)*BQ705</f>
        <v>1</v>
      </c>
      <c r="AQ705" s="58" t="n">
        <f aca="false">IF(AN705&gt;0,I705/AN705,-1)</f>
        <v>0</v>
      </c>
      <c r="AR705" s="58" t="str">
        <f aca="false">IF(AND(OR(BU705="L1",BU705="L23"),AN705&gt;0),SUMIFS($AN$7:$AN$1576,$BU$7:$BU$1576,BU705,$AQ$7:$AQ$1576,"&gt;"&amp;AQ705)+SUMIFS($AN$7:$AN$1576,$BU$7:$BU$1576,BU705,$AQ$7:$AQ$1576,AQ705,$BO$7:$BO$1576,"&lt;="&amp;BO705),"")</f>
        <v/>
      </c>
      <c r="AS705" s="65" t="n">
        <f aca="false">IF(AR705="",0,MAX(0,MIN(1,(IF(BU705="L1",Parameter!$E$5,Parameter!$E$6+Parameter!$E$7)-(AR705-AN705))/AN705)))</f>
        <v>0</v>
      </c>
      <c r="AT705" s="57" t="n">
        <f aca="false">IF(LEFT(Cockpit!$O$5,1)="A",G705,IF(BW705=1,BX705,IF(LEFT(Cockpit!$O$5,1)="B",AX705,MAX(AX705,G705))))</f>
        <v>1</v>
      </c>
      <c r="AU705" s="57" t="n">
        <f aca="false">IF(BR705=1,0,ROUNDUP(AT705/BQ705,0))</f>
        <v>0</v>
      </c>
      <c r="AV705" s="59" t="n">
        <f aca="false">IF(CD705&gt;0,CD705*MAX(1,AT705/V705),IF(BR705=1,IF(AT705&lt;=0,0,BS705*MAX(1,IF(G705&gt;0,AT705/G705,1))),IF(Q705&gt;0,AU705/Q705,0))/MAX(0.1,N(Parameter!$M$21)))</f>
        <v>0.15</v>
      </c>
      <c r="AW705" s="57" t="n">
        <f aca="false">AT705*F705</f>
        <v>12657.45</v>
      </c>
      <c r="AX705" s="57" t="n">
        <f aca="false">ROUNDUP(MAX(I705/IF(BV705&gt;0,BV705,MAX(0.1,N(Cockpit!$O$6))),BY705)/BQ705,0)*BQ705</f>
        <v>1</v>
      </c>
      <c r="AY705" s="58" t="n">
        <f aca="false">IF(AV705&gt;0,I705/AV705,-1)</f>
        <v>0</v>
      </c>
      <c r="AZ705" s="58" t="str">
        <f aca="false">IF(AND(OR(BU705="L1",BU705="L23"),AV705&gt;0),SUMIFS($AV$7:$AV$1576,$BU$7:$BU$1576,BU705,$AY$7:$AY$1576,"&gt;"&amp;AY705)+SUMIFS($AV$7:$AV$1576,$BU$7:$BU$1576,BU705,$AY$7:$AY$1576,AY705,$BO$7:$BO$1576,"&lt;="&amp;BO705),"")</f>
        <v/>
      </c>
      <c r="BA705" s="65" t="n">
        <f aca="false">IF(AZ705="",0,MAX(0,MIN(1,(IF(BU705="L1",Parameter!$E$5,Parameter!$E$6+Parameter!$E$7)-(AZ705-AV705))/AV705)))</f>
        <v>0</v>
      </c>
      <c r="BB705" s="55" t="str">
        <f aca="false">IF(AF705&lt;=0,"",IF(BU705="Aussen","Aussenlager",IF(BU705="-","Nicht im Lift",IF(AK705&gt;=1,"Lift",IF(AK705&lt;=0,"Aussenlager","teilweise")))))</f>
        <v/>
      </c>
      <c r="BC705" s="55" t="str">
        <f aca="false">IF(AN705&lt;=0,"",IF(BU705="Aussen","Aussenlager",IF(BU705="-","Nicht im Lift",IF(AS705&gt;=1,"Lift",IF(AS705&lt;=0,"Aussenlager","teilweise")))))</f>
        <v>Nicht im Lift</v>
      </c>
      <c r="BD705" s="55" t="str">
        <f aca="false">IF(AV705&lt;=0,"",IF(BU705="Aussen","Aussenlager",IF(BU705="-","Nicht im Lift",IF(BA705&gt;=1,"Lift",IF(BA705&lt;=0,"Aussenlager","teilweise")))))</f>
        <v>Nicht im Lift</v>
      </c>
      <c r="BE705" s="55" t="str">
        <f aca="false">IF(A705="","",IF(BN705=1,"Neu; ","")&amp;IF(AND(BN705=0,BI705&lt;0),"negativer Bestand (Export "&amp;BI705&amp;"); ","")&amp;IF(I705&lt;=0,"Kein Verbrauch; ","")&amp;IF(CD705&gt;0,"Lift "&amp;U705&amp;" lt. Liftbericht (Fach "&amp;V705&amp;" Stk); ",IF(BR705=1,"Lose – Fläche geschätzt; ",""))&amp;IF(G705&gt;AP705,"Überbestand "&amp;ROUND(G705-AP705,0)&amp;" Stk / CHF "&amp;ROUND((G705-AP705)*F705,0)&amp;"; ","")&amp;IF(AND(BW705=1,BX705&lt;BY705),"MAX &lt; MB+LG; ","")&amp;IF(AND(CC705&gt;0,CB705*10&gt;CC705),"zu hoch für Tablar; ","")&amp;IF(AND(BN705=0,OR(BW705=1,Y705&lt;&gt;"",S705&lt;&gt;"",T705&lt;&gt;"",Z705&lt;&gt;"")),"manuell übersteuert; ","")&amp;IF(AND(BR705=0,Q705=0),"Gebinde unbekannt / Stellmass fehlt; ","")&amp;IF(AND(BR705=0,N(T705)&lt;=0,N(P705)&lt;=0),"Menge pro Gebinde fehlt (Ist = 1 Gebinde); ","")&amp;BM705)</f>
        <v>Kein Verbrauch; Lose – Fläche geschätzt; </v>
      </c>
      <c r="BF705" s="55"/>
      <c r="BG705" s="55"/>
      <c r="BH705" s="62"/>
      <c r="BI705" s="57" t="n">
        <v>0</v>
      </c>
      <c r="BJ705" s="57" t="n">
        <v>0</v>
      </c>
      <c r="BK705" s="56" t="n">
        <v>0</v>
      </c>
      <c r="BL705" s="57" t="n">
        <v>0</v>
      </c>
      <c r="BM705" s="55"/>
      <c r="BN705" s="60" t="n">
        <v>0</v>
      </c>
      <c r="BO705" s="60" t="n">
        <v>705</v>
      </c>
      <c r="BP705" s="55" t="str">
        <f aca="false">IF(S705&lt;&gt;"",UPPER(TRIM(S705)),IF(O705="","LOSE",O705))</f>
        <v>LOSE</v>
      </c>
      <c r="BQ705" s="57" t="n">
        <f aca="false">IF(BP705="LOSE",1,IF(N(T705)&gt;0,T705,IF(N(P705)&gt;0,P705,MAX(1,G705))))</f>
        <v>1</v>
      </c>
      <c r="BR705" s="60" t="n">
        <f aca="false">IF(BP705="LOSE",1,0)</f>
        <v>1</v>
      </c>
      <c r="BS705" s="59" t="n">
        <f aca="false">IF(BR705=0,0,IF(N(R705)&gt;0,R705,IFERROR(VLOOKUP(D705,Parameter!$A$35:$C$64,3,0)+0,0)))</f>
        <v>0.15</v>
      </c>
      <c r="BT705" s="55" t="str">
        <f aca="false">IF(Y705&lt;&gt;"",Y705,X705)</f>
        <v>-</v>
      </c>
      <c r="BU705" s="55" t="str">
        <f aca="false">IF(BT705=1,"L1",IF(OR(BT705=2,BT705=3),"L23",IF(BT705="Aussen","Aussen","-")))</f>
        <v>-</v>
      </c>
      <c r="BV705" s="66" t="n">
        <f aca="false">IF(N(Z705)&gt;0,Z705,0)</f>
        <v>0</v>
      </c>
      <c r="BW705" s="60" t="n">
        <f aca="false">IF(ISNUMBER(AC705),1,0)</f>
        <v>0</v>
      </c>
      <c r="BX705" s="57" t="n">
        <f aca="false">N(AC705)</f>
        <v>0</v>
      </c>
      <c r="BY705" s="57" t="n">
        <f aca="false">N(L705)+N(M705)</f>
        <v>1</v>
      </c>
      <c r="BZ705" s="57" t="n">
        <f aca="false">ROUNDUP(G705/BQ705,0)</f>
        <v>0</v>
      </c>
      <c r="CA705" s="57" t="n">
        <f aca="false">ROUNDUP(BX705/BQ705,0)</f>
        <v>0</v>
      </c>
      <c r="CB705" s="60" t="n">
        <f aca="false">IF(BR705=1,0,IFERROR(VLOOKUP(BP705,'Gebinde-Kategorie'!$A$5:$M$45,5,0)+0,0))</f>
        <v>0</v>
      </c>
      <c r="CC705" s="60" t="n">
        <f aca="false">IFERROR(IF(OR(BT705=1,BT705=2,BT705=3),N(INDEX(Parameter!$I$5:$I$7,BT705)),0),0)</f>
        <v>0</v>
      </c>
      <c r="CD705" s="59" t="n">
        <f aca="false">IF(AND(Parameter!$B$21="Ja",ISNUMBER(U705),N(V705)&gt;0),IFERROR(N(INDEX(Parameter!$L$5:$L$7,U705))*INDEX(Parameter!$E$5:$E$7,U705)*V705/SUMIFS($V$7:$V$1576,$U$7:$U$1576,U705),0),0)</f>
        <v>0</v>
      </c>
    </row>
    <row r="706" customFormat="false" ht="15" hidden="false" customHeight="false" outlineLevel="0" collapsed="false">
      <c r="A706" s="55" t="s">
        <v>1399</v>
      </c>
      <c r="B706" s="55" t="s">
        <v>622</v>
      </c>
      <c r="C706" s="55" t="s">
        <v>160</v>
      </c>
      <c r="D706" s="55" t="s">
        <v>168</v>
      </c>
      <c r="E706" s="55" t="s">
        <v>210</v>
      </c>
      <c r="F706" s="56" t="n">
        <v>798.3</v>
      </c>
      <c r="G706" s="57" t="n">
        <f aca="false">MAX(0,IF(AND(Parameter!$B$21="Ja",ISNUMBER(W706)),W706,IF(Parameter!$B$20="Jahresanfang 2025 + Export",BJ706+BI706,BI706)))</f>
        <v>0</v>
      </c>
      <c r="H706" s="57" t="n">
        <f aca="false">G706*F706</f>
        <v>0</v>
      </c>
      <c r="I706" s="57" t="n">
        <f aca="false">BL706*Parameter!$B$18</f>
        <v>2</v>
      </c>
      <c r="J706" s="58" t="n">
        <v>5.5</v>
      </c>
      <c r="K706" s="59" t="n">
        <v>0.363636363636364</v>
      </c>
      <c r="L706" s="57" t="n">
        <v>0</v>
      </c>
      <c r="M706" s="57" t="n">
        <v>1</v>
      </c>
      <c r="N706" s="60" t="n">
        <v>14</v>
      </c>
      <c r="O706" s="55" t="s">
        <v>163</v>
      </c>
      <c r="P706" s="57"/>
      <c r="Q706" s="60" t="n">
        <f aca="false">IF(BR706=1,0,IFERROR(VLOOKUP(BP706,'Gebinde-Kategorie'!$A$5:$M$45,13,0)+0,0))</f>
        <v>0</v>
      </c>
      <c r="R706" s="61"/>
      <c r="S706" s="62"/>
      <c r="T706" s="62"/>
      <c r="U706" s="55"/>
      <c r="V706" s="57"/>
      <c r="W706" s="57"/>
      <c r="X706" s="55" t="n">
        <f aca="false">IF(A706="","",IF(AND(Parameter!$B$21="Ja",ISNUMBER(U706)),U706,IF(IFERROR(VLOOKUP(D706,Parameter!$A$35:$C$64,2,0),"Nein")="2+3",IF(ISNUMBER(SEARCH("grosser Artikel",BM706)),2,IFERROR(VLOOKUP(BP706,Parameter!$F$35:$G$64,2,0),2)),IF(OR(IFERROR(VLOOKUP(D706,Parameter!$A$35:$C$64,2,0),"Nein")="Nein",IFERROR(VLOOKUP(D706,Parameter!$A$35:$C$64,2,0),"Nein")=""),"-",VLOOKUP(D706,Parameter!$A$35:$C$64,2,0)))))</f>
        <v>2</v>
      </c>
      <c r="Y706" s="62"/>
      <c r="Z706" s="63"/>
      <c r="AA706" s="57" t="n">
        <f aca="false">AP706</f>
        <v>1</v>
      </c>
      <c r="AB706" s="57" t="n">
        <f aca="false">MAX(AP706,G706)</f>
        <v>1</v>
      </c>
      <c r="AC706" s="64"/>
      <c r="AD706" s="57" t="n">
        <f aca="false">IF(LEFT(Cockpit!$C$5,1)="A",G706,IF(BW706=1,BX706,IF(LEFT(Cockpit!$C$5,1)="B",AH706,MAX(AH706,G706))))</f>
        <v>0</v>
      </c>
      <c r="AE706" s="57" t="n">
        <f aca="false">IF(BR706=1,0,ROUNDUP(AD706/BQ706,0))</f>
        <v>0</v>
      </c>
      <c r="AF706" s="59" t="n">
        <f aca="false">IF(CD706&gt;0,CD706*MAX(1,AD706/V706),IF(BR706=1,IF(AD706&lt;=0,0,BS706*MAX(1,IF(G706&gt;0,AD706/G706,1))),IF(Q706&gt;0,AE706/Q706,0))/MAX(0.1,N(Parameter!$M$21)))</f>
        <v>0</v>
      </c>
      <c r="AG706" s="57" t="n">
        <f aca="false">AD706*F706</f>
        <v>0</v>
      </c>
      <c r="AH706" s="57" t="n">
        <f aca="false">ROUNDUP(MAX(I706/IF(BV706&gt;0,BV706,MAX(0.1,N(Cockpit!$C$6))),BY706)/BQ706,0)*BQ706</f>
        <v>1</v>
      </c>
      <c r="AI706" s="58" t="n">
        <f aca="false">IF(AF706&gt;0,I706/AF706,-1)</f>
        <v>-1</v>
      </c>
      <c r="AJ706" s="58" t="str">
        <f aca="false">IF(AND(OR(BU706="L1",BU706="L23"),AF706&gt;0),SUMIFS($AF$7:$AF$1576,$BU$7:$BU$1576,BU706,$AI$7:$AI$1576,"&gt;"&amp;AI706)+SUMIFS($AF$7:$AF$1576,$BU$7:$BU$1576,BU706,$AI$7:$AI$1576,AI706,$BO$7:$BO$1576,"&lt;="&amp;BO706),"")</f>
        <v/>
      </c>
      <c r="AK706" s="65" t="n">
        <f aca="false">IF(AJ706="",0,MAX(0,MIN(1,(IF(BU706="L1",Parameter!$E$5,Parameter!$E$6+Parameter!$E$7)-(AJ706-AF706))/AF706)))</f>
        <v>0</v>
      </c>
      <c r="AL706" s="57" t="n">
        <f aca="false">IF(LEFT(Cockpit!$I$5,1)="A",G706,IF(BW706=1,BX706,IF(LEFT(Cockpit!$I$5,1)="B",AP706,MAX(AP706,G706))))</f>
        <v>1</v>
      </c>
      <c r="AM706" s="57" t="n">
        <f aca="false">IF(BR706=1,0,ROUNDUP(AL706/BQ706,0))</f>
        <v>0</v>
      </c>
      <c r="AN706" s="59" t="n">
        <f aca="false">IF(CD706&gt;0,CD706*MAX(1,AL706/V706),IF(BR706=1,IF(AL706&lt;=0,0,BS706*MAX(1,IF(G706&gt;0,AL706/G706,1))),IF(Q706&gt;0,AM706/Q706,0))/MAX(0.1,N(Parameter!$M$21)))</f>
        <v>0.15</v>
      </c>
      <c r="AO706" s="57" t="n">
        <f aca="false">AL706*F706</f>
        <v>798.3</v>
      </c>
      <c r="AP706" s="57" t="n">
        <f aca="false">ROUNDUP(MAX(I706/IF(BV706&gt;0,BV706,MAX(0.1,N(Cockpit!$I$6))),BY706)/BQ706,0)*BQ706</f>
        <v>1</v>
      </c>
      <c r="AQ706" s="58" t="n">
        <f aca="false">IF(AN706&gt;0,I706/AN706,-1)</f>
        <v>13.3333333333333</v>
      </c>
      <c r="AR706" s="58" t="n">
        <f aca="false">IF(AND(OR(BU706="L1",BU706="L23"),AN706&gt;0),SUMIFS($AN$7:$AN$1576,$BU$7:$BU$1576,BU706,$AQ$7:$AQ$1576,"&gt;"&amp;AQ706)+SUMIFS($AN$7:$AN$1576,$BU$7:$BU$1576,BU706,$AQ$7:$AQ$1576,AQ706,$BO$7:$BO$1576,"&lt;="&amp;BO706),"")</f>
        <v>105.868075614337</v>
      </c>
      <c r="AS706" s="65" t="n">
        <f aca="false">IF(AR706="",0,MAX(0,MIN(1,(IF(BU706="L1",Parameter!$E$5,Parameter!$E$6+Parameter!$E$7)-(AR706-AN706))/AN706)))</f>
        <v>0</v>
      </c>
      <c r="AT706" s="57" t="n">
        <f aca="false">IF(LEFT(Cockpit!$O$5,1)="A",G706,IF(BW706=1,BX706,IF(LEFT(Cockpit!$O$5,1)="B",AX706,MAX(AX706,G706))))</f>
        <v>1</v>
      </c>
      <c r="AU706" s="57" t="n">
        <f aca="false">IF(BR706=1,0,ROUNDUP(AT706/BQ706,0))</f>
        <v>0</v>
      </c>
      <c r="AV706" s="59" t="n">
        <f aca="false">IF(CD706&gt;0,CD706*MAX(1,AT706/V706),IF(BR706=1,IF(AT706&lt;=0,0,BS706*MAX(1,IF(G706&gt;0,AT706/G706,1))),IF(Q706&gt;0,AU706/Q706,0))/MAX(0.1,N(Parameter!$M$21)))</f>
        <v>0.15</v>
      </c>
      <c r="AW706" s="57" t="n">
        <f aca="false">AT706*F706</f>
        <v>798.3</v>
      </c>
      <c r="AX706" s="57" t="n">
        <f aca="false">ROUNDUP(MAX(I706/IF(BV706&gt;0,BV706,MAX(0.1,N(Cockpit!$O$6))),BY706)/BQ706,0)*BQ706</f>
        <v>1</v>
      </c>
      <c r="AY706" s="58" t="n">
        <f aca="false">IF(AV706&gt;0,I706/AV706,-1)</f>
        <v>13.3333333333333</v>
      </c>
      <c r="AZ706" s="58" t="n">
        <f aca="false">IF(AND(OR(BU706="L1",BU706="L23"),AV706&gt;0),SUMIFS($AV$7:$AV$1576,$BU$7:$BU$1576,BU706,$AY$7:$AY$1576,"&gt;"&amp;AY706)+SUMIFS($AV$7:$AV$1576,$BU$7:$BU$1576,BU706,$AY$7:$AY$1576,AY706,$BO$7:$BO$1576,"&lt;="&amp;BO706),"")</f>
        <v>95.9276260638872</v>
      </c>
      <c r="BA706" s="65" t="n">
        <f aca="false">IF(AZ706="",0,MAX(0,MIN(1,(IF(BU706="L1",Parameter!$E$5,Parameter!$E$6+Parameter!$E$7)-(AZ706-AV706))/AV706)))</f>
        <v>1</v>
      </c>
      <c r="BB706" s="55" t="str">
        <f aca="false">IF(AF706&lt;=0,"",IF(BU706="Aussen","Aussenlager",IF(BU706="-","Nicht im Lift",IF(AK706&gt;=1,"Lift",IF(AK706&lt;=0,"Aussenlager","teilweise")))))</f>
        <v/>
      </c>
      <c r="BC706" s="55" t="str">
        <f aca="false">IF(AN706&lt;=0,"",IF(BU706="Aussen","Aussenlager",IF(BU706="-","Nicht im Lift",IF(AS706&gt;=1,"Lift",IF(AS706&lt;=0,"Aussenlager","teilweise")))))</f>
        <v>Aussenlager</v>
      </c>
      <c r="BD706" s="55" t="str">
        <f aca="false">IF(AV706&lt;=0,"",IF(BU706="Aussen","Aussenlager",IF(BU706="-","Nicht im Lift",IF(BA706&gt;=1,"Lift",IF(BA706&lt;=0,"Aussenlager","teilweise")))))</f>
        <v>Lift</v>
      </c>
      <c r="BE706" s="55" t="str">
        <f aca="false">IF(A706="","",IF(BN706=1,"Neu; ","")&amp;IF(AND(BN706=0,BI706&lt;0),"negativer Bestand (Export "&amp;BI706&amp;"); ","")&amp;IF(I706&lt;=0,"Kein Verbrauch; ","")&amp;IF(CD706&gt;0,"Lift "&amp;U706&amp;" lt. Liftbericht (Fach "&amp;V706&amp;" Stk); ",IF(BR706=1,"Lose – Fläche geschätzt; ",""))&amp;IF(G706&gt;AP706,"Überbestand "&amp;ROUND(G706-AP706,0)&amp;" Stk / CHF "&amp;ROUND((G706-AP706)*F706,0)&amp;"; ","")&amp;IF(AND(BW706=1,BX706&lt;BY706),"MAX &lt; MB+LG; ","")&amp;IF(AND(CC706&gt;0,CB706*10&gt;CC706),"zu hoch für Tablar; ","")&amp;IF(AND(BN706=0,OR(BW706=1,Y706&lt;&gt;"",S706&lt;&gt;"",T706&lt;&gt;"",Z706&lt;&gt;"")),"manuell übersteuert; ","")&amp;IF(AND(BR706=0,Q706=0),"Gebinde unbekannt / Stellmass fehlt; ","")&amp;IF(AND(BR706=0,N(T706)&lt;=0,N(P706)&lt;=0),"Menge pro Gebinde fehlt (Ist = 1 Gebinde); ","")&amp;BM706)</f>
        <v>Lose – Fläche geschätzt; </v>
      </c>
      <c r="BF706" s="55"/>
      <c r="BG706" s="55"/>
      <c r="BH706" s="62"/>
      <c r="BI706" s="57" t="n">
        <v>0</v>
      </c>
      <c r="BJ706" s="57" t="n">
        <v>0</v>
      </c>
      <c r="BK706" s="56" t="n">
        <v>0</v>
      </c>
      <c r="BL706" s="57" t="n">
        <v>2</v>
      </c>
      <c r="BM706" s="55"/>
      <c r="BN706" s="60" t="n">
        <v>0</v>
      </c>
      <c r="BO706" s="60" t="n">
        <v>706</v>
      </c>
      <c r="BP706" s="55" t="str">
        <f aca="false">IF(S706&lt;&gt;"",UPPER(TRIM(S706)),IF(O706="","LOSE",O706))</f>
        <v>LOSE</v>
      </c>
      <c r="BQ706" s="57" t="n">
        <f aca="false">IF(BP706="LOSE",1,IF(N(T706)&gt;0,T706,IF(N(P706)&gt;0,P706,MAX(1,G706))))</f>
        <v>1</v>
      </c>
      <c r="BR706" s="60" t="n">
        <f aca="false">IF(BP706="LOSE",1,0)</f>
        <v>1</v>
      </c>
      <c r="BS706" s="59" t="n">
        <f aca="false">IF(BR706=0,0,IF(N(R706)&gt;0,R706,IFERROR(VLOOKUP(D706,Parameter!$A$35:$C$64,3,0)+0,0)))</f>
        <v>0.15</v>
      </c>
      <c r="BT706" s="55" t="n">
        <f aca="false">IF(Y706&lt;&gt;"",Y706,X706)</f>
        <v>2</v>
      </c>
      <c r="BU706" s="55" t="str">
        <f aca="false">IF(BT706=1,"L1",IF(OR(BT706=2,BT706=3),"L23",IF(BT706="Aussen","Aussen","-")))</f>
        <v>L23</v>
      </c>
      <c r="BV706" s="66" t="n">
        <f aca="false">IF(N(Z706)&gt;0,Z706,0)</f>
        <v>0</v>
      </c>
      <c r="BW706" s="60" t="n">
        <f aca="false">IF(ISNUMBER(AC706),1,0)</f>
        <v>0</v>
      </c>
      <c r="BX706" s="57" t="n">
        <f aca="false">N(AC706)</f>
        <v>0</v>
      </c>
      <c r="BY706" s="57" t="n">
        <f aca="false">N(L706)+N(M706)</f>
        <v>1</v>
      </c>
      <c r="BZ706" s="57" t="n">
        <f aca="false">ROUNDUP(G706/BQ706,0)</f>
        <v>0</v>
      </c>
      <c r="CA706" s="57" t="n">
        <f aca="false">ROUNDUP(BX706/BQ706,0)</f>
        <v>0</v>
      </c>
      <c r="CB706" s="60" t="n">
        <f aca="false">IF(BR706=1,0,IFERROR(VLOOKUP(BP706,'Gebinde-Kategorie'!$A$5:$M$45,5,0)+0,0))</f>
        <v>0</v>
      </c>
      <c r="CC706" s="60" t="n">
        <f aca="false">IFERROR(IF(OR(BT706=1,BT706=2,BT706=3),N(INDEX(Parameter!$I$5:$I$7,BT706)),0),0)</f>
        <v>0</v>
      </c>
      <c r="CD706" s="59" t="n">
        <f aca="false">IF(AND(Parameter!$B$21="Ja",ISNUMBER(U706),N(V706)&gt;0),IFERROR(N(INDEX(Parameter!$L$5:$L$7,U706))*INDEX(Parameter!$E$5:$E$7,U706)*V706/SUMIFS($V$7:$V$1576,$U$7:$U$1576,U706),0),0)</f>
        <v>0</v>
      </c>
    </row>
    <row r="707" customFormat="false" ht="15" hidden="false" customHeight="false" outlineLevel="0" collapsed="false">
      <c r="A707" s="55" t="s">
        <v>1400</v>
      </c>
      <c r="B707" s="55" t="s">
        <v>1401</v>
      </c>
      <c r="C707" s="55" t="s">
        <v>160</v>
      </c>
      <c r="D707" s="55" t="s">
        <v>984</v>
      </c>
      <c r="E707" s="55" t="s">
        <v>210</v>
      </c>
      <c r="F707" s="56" t="n">
        <v>4993.1</v>
      </c>
      <c r="G707" s="57" t="n">
        <f aca="false">MAX(0,IF(AND(Parameter!$B$21="Ja",ISNUMBER(W707)),W707,IF(Parameter!$B$20="Jahresanfang 2025 + Export",BJ707+BI707,BI707)))</f>
        <v>0</v>
      </c>
      <c r="H707" s="57" t="n">
        <f aca="false">G707*F707</f>
        <v>0</v>
      </c>
      <c r="I707" s="57" t="n">
        <f aca="false">BL707*Parameter!$B$18</f>
        <v>0</v>
      </c>
      <c r="J707" s="58" t="n">
        <v>1</v>
      </c>
      <c r="K707" s="59" t="n">
        <v>0</v>
      </c>
      <c r="L707" s="57" t="n">
        <v>0</v>
      </c>
      <c r="M707" s="57" t="n">
        <v>1</v>
      </c>
      <c r="N707" s="60" t="n">
        <v>35</v>
      </c>
      <c r="O707" s="55" t="s">
        <v>163</v>
      </c>
      <c r="P707" s="57"/>
      <c r="Q707" s="60" t="n">
        <f aca="false">IF(BR707=1,0,IFERROR(VLOOKUP(BP707,'Gebinde-Kategorie'!$A$5:$M$45,13,0)+0,0))</f>
        <v>0</v>
      </c>
      <c r="R707" s="61"/>
      <c r="S707" s="62"/>
      <c r="T707" s="62"/>
      <c r="U707" s="55"/>
      <c r="V707" s="57"/>
      <c r="W707" s="57"/>
      <c r="X707" s="55" t="str">
        <f aca="false">IF(A707="","",IF(AND(Parameter!$B$21="Ja",ISNUMBER(U707)),U707,IF(IFERROR(VLOOKUP(D707,Parameter!$A$35:$C$64,2,0),"Nein")="2+3",IF(ISNUMBER(SEARCH("grosser Artikel",BM707)),2,IFERROR(VLOOKUP(BP707,Parameter!$F$35:$G$64,2,0),2)),IF(OR(IFERROR(VLOOKUP(D707,Parameter!$A$35:$C$64,2,0),"Nein")="Nein",IFERROR(VLOOKUP(D707,Parameter!$A$35:$C$64,2,0),"Nein")=""),"-",VLOOKUP(D707,Parameter!$A$35:$C$64,2,0)))))</f>
        <v>-</v>
      </c>
      <c r="Y707" s="62"/>
      <c r="Z707" s="63"/>
      <c r="AA707" s="57" t="n">
        <f aca="false">AP707</f>
        <v>1</v>
      </c>
      <c r="AB707" s="57" t="n">
        <f aca="false">MAX(AP707,G707)</f>
        <v>1</v>
      </c>
      <c r="AC707" s="64"/>
      <c r="AD707" s="57" t="n">
        <f aca="false">IF(LEFT(Cockpit!$C$5,1)="A",G707,IF(BW707=1,BX707,IF(LEFT(Cockpit!$C$5,1)="B",AH707,MAX(AH707,G707))))</f>
        <v>0</v>
      </c>
      <c r="AE707" s="57" t="n">
        <f aca="false">IF(BR707=1,0,ROUNDUP(AD707/BQ707,0))</f>
        <v>0</v>
      </c>
      <c r="AF707" s="59" t="n">
        <f aca="false">IF(CD707&gt;0,CD707*MAX(1,AD707/V707),IF(BR707=1,IF(AD707&lt;=0,0,BS707*MAX(1,IF(G707&gt;0,AD707/G707,1))),IF(Q707&gt;0,AE707/Q707,0))/MAX(0.1,N(Parameter!$M$21)))</f>
        <v>0</v>
      </c>
      <c r="AG707" s="57" t="n">
        <f aca="false">AD707*F707</f>
        <v>0</v>
      </c>
      <c r="AH707" s="57" t="n">
        <f aca="false">ROUNDUP(MAX(I707/IF(BV707&gt;0,BV707,MAX(0.1,N(Cockpit!$C$6))),BY707)/BQ707,0)*BQ707</f>
        <v>1</v>
      </c>
      <c r="AI707" s="58" t="n">
        <f aca="false">IF(AF707&gt;0,I707/AF707,-1)</f>
        <v>-1</v>
      </c>
      <c r="AJ707" s="58" t="str">
        <f aca="false">IF(AND(OR(BU707="L1",BU707="L23"),AF707&gt;0),SUMIFS($AF$7:$AF$1576,$BU$7:$BU$1576,BU707,$AI$7:$AI$1576,"&gt;"&amp;AI707)+SUMIFS($AF$7:$AF$1576,$BU$7:$BU$1576,BU707,$AI$7:$AI$1576,AI707,$BO$7:$BO$1576,"&lt;="&amp;BO707),"")</f>
        <v/>
      </c>
      <c r="AK707" s="65" t="n">
        <f aca="false">IF(AJ707="",0,MAX(0,MIN(1,(IF(BU707="L1",Parameter!$E$5,Parameter!$E$6+Parameter!$E$7)-(AJ707-AF707))/AF707)))</f>
        <v>0</v>
      </c>
      <c r="AL707" s="57" t="n">
        <f aca="false">IF(LEFT(Cockpit!$I$5,1)="A",G707,IF(BW707=1,BX707,IF(LEFT(Cockpit!$I$5,1)="B",AP707,MAX(AP707,G707))))</f>
        <v>1</v>
      </c>
      <c r="AM707" s="57" t="n">
        <f aca="false">IF(BR707=1,0,ROUNDUP(AL707/BQ707,0))</f>
        <v>0</v>
      </c>
      <c r="AN707" s="59" t="n">
        <f aca="false">IF(CD707&gt;0,CD707*MAX(1,AL707/V707),IF(BR707=1,IF(AL707&lt;=0,0,BS707*MAX(1,IF(G707&gt;0,AL707/G707,1))),IF(Q707&gt;0,AM707/Q707,0))/MAX(0.1,N(Parameter!$M$21)))</f>
        <v>0.15</v>
      </c>
      <c r="AO707" s="57" t="n">
        <f aca="false">AL707*F707</f>
        <v>4993.1</v>
      </c>
      <c r="AP707" s="57" t="n">
        <f aca="false">ROUNDUP(MAX(I707/IF(BV707&gt;0,BV707,MAX(0.1,N(Cockpit!$I$6))),BY707)/BQ707,0)*BQ707</f>
        <v>1</v>
      </c>
      <c r="AQ707" s="58" t="n">
        <f aca="false">IF(AN707&gt;0,I707/AN707,-1)</f>
        <v>0</v>
      </c>
      <c r="AR707" s="58" t="str">
        <f aca="false">IF(AND(OR(BU707="L1",BU707="L23"),AN707&gt;0),SUMIFS($AN$7:$AN$1576,$BU$7:$BU$1576,BU707,$AQ$7:$AQ$1576,"&gt;"&amp;AQ707)+SUMIFS($AN$7:$AN$1576,$BU$7:$BU$1576,BU707,$AQ$7:$AQ$1576,AQ707,$BO$7:$BO$1576,"&lt;="&amp;BO707),"")</f>
        <v/>
      </c>
      <c r="AS707" s="65" t="n">
        <f aca="false">IF(AR707="",0,MAX(0,MIN(1,(IF(BU707="L1",Parameter!$E$5,Parameter!$E$6+Parameter!$E$7)-(AR707-AN707))/AN707)))</f>
        <v>0</v>
      </c>
      <c r="AT707" s="57" t="n">
        <f aca="false">IF(LEFT(Cockpit!$O$5,1)="A",G707,IF(BW707=1,BX707,IF(LEFT(Cockpit!$O$5,1)="B",AX707,MAX(AX707,G707))))</f>
        <v>1</v>
      </c>
      <c r="AU707" s="57" t="n">
        <f aca="false">IF(BR707=1,0,ROUNDUP(AT707/BQ707,0))</f>
        <v>0</v>
      </c>
      <c r="AV707" s="59" t="n">
        <f aca="false">IF(CD707&gt;0,CD707*MAX(1,AT707/V707),IF(BR707=1,IF(AT707&lt;=0,0,BS707*MAX(1,IF(G707&gt;0,AT707/G707,1))),IF(Q707&gt;0,AU707/Q707,0))/MAX(0.1,N(Parameter!$M$21)))</f>
        <v>0.15</v>
      </c>
      <c r="AW707" s="57" t="n">
        <f aca="false">AT707*F707</f>
        <v>4993.1</v>
      </c>
      <c r="AX707" s="57" t="n">
        <f aca="false">ROUNDUP(MAX(I707/IF(BV707&gt;0,BV707,MAX(0.1,N(Cockpit!$O$6))),BY707)/BQ707,0)*BQ707</f>
        <v>1</v>
      </c>
      <c r="AY707" s="58" t="n">
        <f aca="false">IF(AV707&gt;0,I707/AV707,-1)</f>
        <v>0</v>
      </c>
      <c r="AZ707" s="58" t="str">
        <f aca="false">IF(AND(OR(BU707="L1",BU707="L23"),AV707&gt;0),SUMIFS($AV$7:$AV$1576,$BU$7:$BU$1576,BU707,$AY$7:$AY$1576,"&gt;"&amp;AY707)+SUMIFS($AV$7:$AV$1576,$BU$7:$BU$1576,BU707,$AY$7:$AY$1576,AY707,$BO$7:$BO$1576,"&lt;="&amp;BO707),"")</f>
        <v/>
      </c>
      <c r="BA707" s="65" t="n">
        <f aca="false">IF(AZ707="",0,MAX(0,MIN(1,(IF(BU707="L1",Parameter!$E$5,Parameter!$E$6+Parameter!$E$7)-(AZ707-AV707))/AV707)))</f>
        <v>0</v>
      </c>
      <c r="BB707" s="55" t="str">
        <f aca="false">IF(AF707&lt;=0,"",IF(BU707="Aussen","Aussenlager",IF(BU707="-","Nicht im Lift",IF(AK707&gt;=1,"Lift",IF(AK707&lt;=0,"Aussenlager","teilweise")))))</f>
        <v/>
      </c>
      <c r="BC707" s="55" t="str">
        <f aca="false">IF(AN707&lt;=0,"",IF(BU707="Aussen","Aussenlager",IF(BU707="-","Nicht im Lift",IF(AS707&gt;=1,"Lift",IF(AS707&lt;=0,"Aussenlager","teilweise")))))</f>
        <v>Nicht im Lift</v>
      </c>
      <c r="BD707" s="55" t="str">
        <f aca="false">IF(AV707&lt;=0,"",IF(BU707="Aussen","Aussenlager",IF(BU707="-","Nicht im Lift",IF(BA707&gt;=1,"Lift",IF(BA707&lt;=0,"Aussenlager","teilweise")))))</f>
        <v>Nicht im Lift</v>
      </c>
      <c r="BE707" s="55" t="str">
        <f aca="false">IF(A707="","",IF(BN707=1,"Neu; ","")&amp;IF(AND(BN707=0,BI707&lt;0),"negativer Bestand (Export "&amp;BI707&amp;"); ","")&amp;IF(I707&lt;=0,"Kein Verbrauch; ","")&amp;IF(CD707&gt;0,"Lift "&amp;U707&amp;" lt. Liftbericht (Fach "&amp;V707&amp;" Stk); ",IF(BR707=1,"Lose – Fläche geschätzt; ",""))&amp;IF(G707&gt;AP707,"Überbestand "&amp;ROUND(G707-AP707,0)&amp;" Stk / CHF "&amp;ROUND((G707-AP707)*F707,0)&amp;"; ","")&amp;IF(AND(BW707=1,BX707&lt;BY707),"MAX &lt; MB+LG; ","")&amp;IF(AND(CC707&gt;0,CB707*10&gt;CC707),"zu hoch für Tablar; ","")&amp;IF(AND(BN707=0,OR(BW707=1,Y707&lt;&gt;"",S707&lt;&gt;"",T707&lt;&gt;"",Z707&lt;&gt;"")),"manuell übersteuert; ","")&amp;IF(AND(BR707=0,Q707=0),"Gebinde unbekannt / Stellmass fehlt; ","")&amp;IF(AND(BR707=0,N(T707)&lt;=0,N(P707)&lt;=0),"Menge pro Gebinde fehlt (Ist = 1 Gebinde); ","")&amp;BM707)</f>
        <v>Kein Verbrauch; Lose – Fläche geschätzt; </v>
      </c>
      <c r="BF707" s="55"/>
      <c r="BG707" s="55"/>
      <c r="BH707" s="62"/>
      <c r="BI707" s="57" t="n">
        <v>0</v>
      </c>
      <c r="BJ707" s="57" t="n">
        <v>0</v>
      </c>
      <c r="BK707" s="56" t="n">
        <v>0</v>
      </c>
      <c r="BL707" s="57" t="n">
        <v>0</v>
      </c>
      <c r="BM707" s="55"/>
      <c r="BN707" s="60" t="n">
        <v>0</v>
      </c>
      <c r="BO707" s="60" t="n">
        <v>707</v>
      </c>
      <c r="BP707" s="55" t="str">
        <f aca="false">IF(S707&lt;&gt;"",UPPER(TRIM(S707)),IF(O707="","LOSE",O707))</f>
        <v>LOSE</v>
      </c>
      <c r="BQ707" s="57" t="n">
        <f aca="false">IF(BP707="LOSE",1,IF(N(T707)&gt;0,T707,IF(N(P707)&gt;0,P707,MAX(1,G707))))</f>
        <v>1</v>
      </c>
      <c r="BR707" s="60" t="n">
        <f aca="false">IF(BP707="LOSE",1,0)</f>
        <v>1</v>
      </c>
      <c r="BS707" s="59" t="n">
        <f aca="false">IF(BR707=0,0,IF(N(R707)&gt;0,R707,IFERROR(VLOOKUP(D707,Parameter!$A$35:$C$64,3,0)+0,0)))</f>
        <v>0.15</v>
      </c>
      <c r="BT707" s="55" t="str">
        <f aca="false">IF(Y707&lt;&gt;"",Y707,X707)</f>
        <v>-</v>
      </c>
      <c r="BU707" s="55" t="str">
        <f aca="false">IF(BT707=1,"L1",IF(OR(BT707=2,BT707=3),"L23",IF(BT707="Aussen","Aussen","-")))</f>
        <v>-</v>
      </c>
      <c r="BV707" s="66" t="n">
        <f aca="false">IF(N(Z707)&gt;0,Z707,0)</f>
        <v>0</v>
      </c>
      <c r="BW707" s="60" t="n">
        <f aca="false">IF(ISNUMBER(AC707),1,0)</f>
        <v>0</v>
      </c>
      <c r="BX707" s="57" t="n">
        <f aca="false">N(AC707)</f>
        <v>0</v>
      </c>
      <c r="BY707" s="57" t="n">
        <f aca="false">N(L707)+N(M707)</f>
        <v>1</v>
      </c>
      <c r="BZ707" s="57" t="n">
        <f aca="false">ROUNDUP(G707/BQ707,0)</f>
        <v>0</v>
      </c>
      <c r="CA707" s="57" t="n">
        <f aca="false">ROUNDUP(BX707/BQ707,0)</f>
        <v>0</v>
      </c>
      <c r="CB707" s="60" t="n">
        <f aca="false">IF(BR707=1,0,IFERROR(VLOOKUP(BP707,'Gebinde-Kategorie'!$A$5:$M$45,5,0)+0,0))</f>
        <v>0</v>
      </c>
      <c r="CC707" s="60" t="n">
        <f aca="false">IFERROR(IF(OR(BT707=1,BT707=2,BT707=3),N(INDEX(Parameter!$I$5:$I$7,BT707)),0),0)</f>
        <v>0</v>
      </c>
      <c r="CD707" s="59" t="n">
        <f aca="false">IF(AND(Parameter!$B$21="Ja",ISNUMBER(U707),N(V707)&gt;0),IFERROR(N(INDEX(Parameter!$L$5:$L$7,U707))*INDEX(Parameter!$E$5:$E$7,U707)*V707/SUMIFS($V$7:$V$1576,$U$7:$U$1576,U707),0),0)</f>
        <v>0</v>
      </c>
    </row>
    <row r="708" customFormat="false" ht="15" hidden="false" customHeight="false" outlineLevel="0" collapsed="false">
      <c r="A708" s="55" t="s">
        <v>1402</v>
      </c>
      <c r="B708" s="55" t="s">
        <v>358</v>
      </c>
      <c r="C708" s="55" t="s">
        <v>160</v>
      </c>
      <c r="D708" s="55" t="s">
        <v>178</v>
      </c>
      <c r="E708" s="55" t="s">
        <v>210</v>
      </c>
      <c r="F708" s="56" t="n">
        <v>5.85</v>
      </c>
      <c r="G708" s="57" t="n">
        <f aca="false">MAX(0,IF(AND(Parameter!$B$21="Ja",ISNUMBER(W708)),W708,IF(Parameter!$B$20="Jahresanfang 2025 + Export",BJ708+BI708,BI708)))</f>
        <v>0</v>
      </c>
      <c r="H708" s="57" t="n">
        <f aca="false">G708*F708</f>
        <v>0</v>
      </c>
      <c r="I708" s="57" t="n">
        <f aca="false">BL708*Parameter!$B$18</f>
        <v>0</v>
      </c>
      <c r="J708" s="58" t="n">
        <v>43.5</v>
      </c>
      <c r="K708" s="59" t="n">
        <v>0</v>
      </c>
      <c r="L708" s="57" t="n">
        <v>0</v>
      </c>
      <c r="M708" s="57" t="n">
        <v>1</v>
      </c>
      <c r="N708" s="60" t="n">
        <v>21</v>
      </c>
      <c r="O708" s="55" t="s">
        <v>391</v>
      </c>
      <c r="P708" s="57" t="n">
        <v>50</v>
      </c>
      <c r="Q708" s="60" t="n">
        <f aca="false">IF(BR708=1,0,IFERROR(VLOOKUP(BP708,'Gebinde-Kategorie'!$A$5:$M$45,13,0)+0,0))</f>
        <v>414</v>
      </c>
      <c r="R708" s="61"/>
      <c r="S708" s="62"/>
      <c r="T708" s="62"/>
      <c r="U708" s="55"/>
      <c r="V708" s="57"/>
      <c r="W708" s="57"/>
      <c r="X708" s="55" t="n">
        <f aca="false">IF(A708="","",IF(AND(Parameter!$B$21="Ja",ISNUMBER(U708)),U708,IF(IFERROR(VLOOKUP(D708,Parameter!$A$35:$C$64,2,0),"Nein")="2+3",IF(ISNUMBER(SEARCH("grosser Artikel",BM708)),2,IFERROR(VLOOKUP(BP708,Parameter!$F$35:$G$64,2,0),2)),IF(OR(IFERROR(VLOOKUP(D708,Parameter!$A$35:$C$64,2,0),"Nein")="Nein",IFERROR(VLOOKUP(D708,Parameter!$A$35:$C$64,2,0),"Nein")=""),"-",VLOOKUP(D708,Parameter!$A$35:$C$64,2,0)))))</f>
        <v>3</v>
      </c>
      <c r="Y708" s="62"/>
      <c r="Z708" s="63"/>
      <c r="AA708" s="57" t="n">
        <f aca="false">AP708</f>
        <v>50</v>
      </c>
      <c r="AB708" s="57" t="n">
        <f aca="false">MAX(AP708,G708)</f>
        <v>50</v>
      </c>
      <c r="AC708" s="64"/>
      <c r="AD708" s="57" t="n">
        <f aca="false">IF(LEFT(Cockpit!$C$5,1)="A",G708,IF(BW708=1,BX708,IF(LEFT(Cockpit!$C$5,1)="B",AH708,MAX(AH708,G708))))</f>
        <v>0</v>
      </c>
      <c r="AE708" s="57" t="n">
        <f aca="false">IF(BR708=1,0,ROUNDUP(AD708/BQ708,0))</f>
        <v>0</v>
      </c>
      <c r="AF708" s="59" t="n">
        <f aca="false">IF(CD708&gt;0,CD708*MAX(1,AD708/V708),IF(BR708=1,IF(AD708&lt;=0,0,BS708*MAX(1,IF(G708&gt;0,AD708/G708,1))),IF(Q708&gt;0,AE708/Q708,0))/MAX(0.1,N(Parameter!$M$21)))</f>
        <v>0</v>
      </c>
      <c r="AG708" s="57" t="n">
        <f aca="false">AD708*F708</f>
        <v>0</v>
      </c>
      <c r="AH708" s="57" t="n">
        <f aca="false">ROUNDUP(MAX(I708/IF(BV708&gt;0,BV708,MAX(0.1,N(Cockpit!$C$6))),BY708)/BQ708,0)*BQ708</f>
        <v>50</v>
      </c>
      <c r="AI708" s="58" t="n">
        <f aca="false">IF(AF708&gt;0,I708/AF708,-1)</f>
        <v>-1</v>
      </c>
      <c r="AJ708" s="58" t="str">
        <f aca="false">IF(AND(OR(BU708="L1",BU708="L23"),AF708&gt;0),SUMIFS($AF$7:$AF$1576,$BU$7:$BU$1576,BU708,$AI$7:$AI$1576,"&gt;"&amp;AI708)+SUMIFS($AF$7:$AF$1576,$BU$7:$BU$1576,BU708,$AI$7:$AI$1576,AI708,$BO$7:$BO$1576,"&lt;="&amp;BO708),"")</f>
        <v/>
      </c>
      <c r="AK708" s="65" t="n">
        <f aca="false">IF(AJ708="",0,MAX(0,MIN(1,(IF(BU708="L1",Parameter!$E$5,Parameter!$E$6+Parameter!$E$7)-(AJ708-AF708))/AF708)))</f>
        <v>0</v>
      </c>
      <c r="AL708" s="57" t="n">
        <f aca="false">IF(LEFT(Cockpit!$I$5,1)="A",G708,IF(BW708=1,BX708,IF(LEFT(Cockpit!$I$5,1)="B",AP708,MAX(AP708,G708))))</f>
        <v>50</v>
      </c>
      <c r="AM708" s="57" t="n">
        <f aca="false">IF(BR708=1,0,ROUNDUP(AL708/BQ708,0))</f>
        <v>1</v>
      </c>
      <c r="AN708" s="59" t="n">
        <f aca="false">IF(CD708&gt;0,CD708*MAX(1,AL708/V708),IF(BR708=1,IF(AL708&lt;=0,0,BS708*MAX(1,IF(G708&gt;0,AL708/G708,1))),IF(Q708&gt;0,AM708/Q708,0))/MAX(0.1,N(Parameter!$M$21)))</f>
        <v>0.00241545893719807</v>
      </c>
      <c r="AO708" s="57" t="n">
        <f aca="false">AL708*F708</f>
        <v>292.5</v>
      </c>
      <c r="AP708" s="57" t="n">
        <f aca="false">ROUNDUP(MAX(I708/IF(BV708&gt;0,BV708,MAX(0.1,N(Cockpit!$I$6))),BY708)/BQ708,0)*BQ708</f>
        <v>50</v>
      </c>
      <c r="AQ708" s="58" t="n">
        <f aca="false">IF(AN708&gt;0,I708/AN708,-1)</f>
        <v>0</v>
      </c>
      <c r="AR708" s="58" t="n">
        <f aca="false">IF(AND(OR(BU708="L1",BU708="L23"),AN708&gt;0),SUMIFS($AN$7:$AN$1576,$BU$7:$BU$1576,BU708,$AQ$7:$AQ$1576,"&gt;"&amp;AQ708)+SUMIFS($AN$7:$AN$1576,$BU$7:$BU$1576,BU708,$AQ$7:$AQ$1576,AQ708,$BO$7:$BO$1576,"&lt;="&amp;BO708),"")</f>
        <v>129.174862408171</v>
      </c>
      <c r="AS708" s="65" t="n">
        <f aca="false">IF(AR708="",0,MAX(0,MIN(1,(IF(BU708="L1",Parameter!$E$5,Parameter!$E$6+Parameter!$E$7)-(AR708-AN708))/AN708)))</f>
        <v>0</v>
      </c>
      <c r="AT708" s="57" t="n">
        <f aca="false">IF(LEFT(Cockpit!$O$5,1)="A",G708,IF(BW708=1,BX708,IF(LEFT(Cockpit!$O$5,1)="B",AX708,MAX(AX708,G708))))</f>
        <v>50</v>
      </c>
      <c r="AU708" s="57" t="n">
        <f aca="false">IF(BR708=1,0,ROUNDUP(AT708/BQ708,0))</f>
        <v>1</v>
      </c>
      <c r="AV708" s="59" t="n">
        <f aca="false">IF(CD708&gt;0,CD708*MAX(1,AT708/V708),IF(BR708=1,IF(AT708&lt;=0,0,BS708*MAX(1,IF(G708&gt;0,AT708/G708,1))),IF(Q708&gt;0,AU708/Q708,0))/MAX(0.1,N(Parameter!$M$21)))</f>
        <v>0.00241545893719807</v>
      </c>
      <c r="AW708" s="57" t="n">
        <f aca="false">AT708*F708</f>
        <v>292.5</v>
      </c>
      <c r="AX708" s="57" t="n">
        <f aca="false">ROUNDUP(MAX(I708/IF(BV708&gt;0,BV708,MAX(0.1,N(Cockpit!$O$6))),BY708)/BQ708,0)*BQ708</f>
        <v>50</v>
      </c>
      <c r="AY708" s="58" t="n">
        <f aca="false">IF(AV708&gt;0,I708/AV708,-1)</f>
        <v>0</v>
      </c>
      <c r="AZ708" s="58" t="n">
        <f aca="false">IF(AND(OR(BU708="L1",BU708="L23"),AV708&gt;0),SUMIFS($AV$7:$AV$1576,$BU$7:$BU$1576,BU708,$AY$7:$AY$1576,"&gt;"&amp;AY708)+SUMIFS($AV$7:$AV$1576,$BU$7:$BU$1576,BU708,$AY$7:$AY$1576,AY708,$BO$7:$BO$1576,"&lt;="&amp;BO708),"")</f>
        <v>119.234412857721</v>
      </c>
      <c r="BA708" s="65" t="n">
        <f aca="false">IF(AZ708="",0,MAX(0,MIN(1,(IF(BU708="L1",Parameter!$E$5,Parameter!$E$6+Parameter!$E$7)-(AZ708-AV708))/AV708)))</f>
        <v>0</v>
      </c>
      <c r="BB708" s="55" t="str">
        <f aca="false">IF(AF708&lt;=0,"",IF(BU708="Aussen","Aussenlager",IF(BU708="-","Nicht im Lift",IF(AK708&gt;=1,"Lift",IF(AK708&lt;=0,"Aussenlager","teilweise")))))</f>
        <v/>
      </c>
      <c r="BC708" s="55" t="str">
        <f aca="false">IF(AN708&lt;=0,"",IF(BU708="Aussen","Aussenlager",IF(BU708="-","Nicht im Lift",IF(AS708&gt;=1,"Lift",IF(AS708&lt;=0,"Aussenlager","teilweise")))))</f>
        <v>Aussenlager</v>
      </c>
      <c r="BD708" s="55" t="str">
        <f aca="false">IF(AV708&lt;=0,"",IF(BU708="Aussen","Aussenlager",IF(BU708="-","Nicht im Lift",IF(BA708&gt;=1,"Lift",IF(BA708&lt;=0,"Aussenlager","teilweise")))))</f>
        <v>Aussenlager</v>
      </c>
      <c r="BE708" s="55" t="str">
        <f aca="false">IF(A708="","",IF(BN708=1,"Neu; ","")&amp;IF(AND(BN708=0,BI708&lt;0),"negativer Bestand (Export "&amp;BI708&amp;"); ","")&amp;IF(I708&lt;=0,"Kein Verbrauch; ","")&amp;IF(CD708&gt;0,"Lift "&amp;U708&amp;" lt. Liftbericht (Fach "&amp;V708&amp;" Stk); ",IF(BR708=1,"Lose – Fläche geschätzt; ",""))&amp;IF(G708&gt;AP708,"Überbestand "&amp;ROUND(G708-AP708,0)&amp;" Stk / CHF "&amp;ROUND((G708-AP708)*F708,0)&amp;"; ","")&amp;IF(AND(BW708=1,BX708&lt;BY708),"MAX &lt; MB+LG; ","")&amp;IF(AND(CC708&gt;0,CB708*10&gt;CC708),"zu hoch für Tablar; ","")&amp;IF(AND(BN708=0,OR(BW708=1,Y708&lt;&gt;"",S708&lt;&gt;"",T708&lt;&gt;"",Z708&lt;&gt;"")),"manuell übersteuert; ","")&amp;IF(AND(BR708=0,Q708=0),"Gebinde unbekannt / Stellmass fehlt; ","")&amp;IF(AND(BR708=0,N(T708)&lt;=0,N(P708)&lt;=0),"Menge pro Gebinde fehlt (Ist = 1 Gebinde); ","")&amp;BM708)</f>
        <v>Kein Verbrauch; </v>
      </c>
      <c r="BF708" s="55"/>
      <c r="BG708" s="55"/>
      <c r="BH708" s="62"/>
      <c r="BI708" s="57" t="n">
        <v>0</v>
      </c>
      <c r="BJ708" s="57" t="n">
        <v>43</v>
      </c>
      <c r="BK708" s="56" t="n">
        <v>0</v>
      </c>
      <c r="BL708" s="57" t="n">
        <v>0</v>
      </c>
      <c r="BM708" s="55"/>
      <c r="BN708" s="60" t="n">
        <v>0</v>
      </c>
      <c r="BO708" s="60" t="n">
        <v>708</v>
      </c>
      <c r="BP708" s="55" t="str">
        <f aca="false">IF(S708&lt;&gt;"",UPPER(TRIM(S708)),IF(O708="","LOSE",O708))</f>
        <v>S21</v>
      </c>
      <c r="BQ708" s="57" t="n">
        <f aca="false">IF(BP708="LOSE",1,IF(N(T708)&gt;0,T708,IF(N(P708)&gt;0,P708,MAX(1,G708))))</f>
        <v>50</v>
      </c>
      <c r="BR708" s="60" t="n">
        <f aca="false">IF(BP708="LOSE",1,0)</f>
        <v>0</v>
      </c>
      <c r="BS708" s="59" t="n">
        <f aca="false">IF(BR708=0,0,IF(N(R708)&gt;0,R708,IFERROR(VLOOKUP(D708,Parameter!$A$35:$C$64,3,0)+0,0)))</f>
        <v>0</v>
      </c>
      <c r="BT708" s="55" t="n">
        <f aca="false">IF(Y708&lt;&gt;"",Y708,X708)</f>
        <v>3</v>
      </c>
      <c r="BU708" s="55" t="str">
        <f aca="false">IF(BT708=1,"L1",IF(OR(BT708=2,BT708=3),"L23",IF(BT708="Aussen","Aussen","-")))</f>
        <v>L23</v>
      </c>
      <c r="BV708" s="66" t="n">
        <f aca="false">IF(N(Z708)&gt;0,Z708,0)</f>
        <v>0</v>
      </c>
      <c r="BW708" s="60" t="n">
        <f aca="false">IF(ISNUMBER(AC708),1,0)</f>
        <v>0</v>
      </c>
      <c r="BX708" s="57" t="n">
        <f aca="false">N(AC708)</f>
        <v>0</v>
      </c>
      <c r="BY708" s="57" t="n">
        <f aca="false">N(L708)+N(M708)</f>
        <v>1</v>
      </c>
      <c r="BZ708" s="57" t="n">
        <f aca="false">ROUNDUP(G708/BQ708,0)</f>
        <v>0</v>
      </c>
      <c r="CA708" s="57" t="n">
        <f aca="false">ROUNDUP(BX708/BQ708,0)</f>
        <v>0</v>
      </c>
      <c r="CB708" s="60" t="n">
        <f aca="false">IF(BR708=1,0,IFERROR(VLOOKUP(BP708,'Gebinde-Kategorie'!$A$5:$M$45,5,0)+0,0))</f>
        <v>8</v>
      </c>
      <c r="CC708" s="60" t="n">
        <f aca="false">IFERROR(IF(OR(BT708=1,BT708=2,BT708=3),N(INDEX(Parameter!$I$5:$I$7,BT708)),0),0)</f>
        <v>0</v>
      </c>
      <c r="CD708" s="59" t="n">
        <f aca="false">IF(AND(Parameter!$B$21="Ja",ISNUMBER(U708),N(V708)&gt;0),IFERROR(N(INDEX(Parameter!$L$5:$L$7,U708))*INDEX(Parameter!$E$5:$E$7,U708)*V708/SUMIFS($V$7:$V$1576,$U$7:$U$1576,U708),0),0)</f>
        <v>0</v>
      </c>
    </row>
    <row r="709" customFormat="false" ht="15" hidden="false" customHeight="false" outlineLevel="0" collapsed="false">
      <c r="A709" s="55" t="s">
        <v>1403</v>
      </c>
      <c r="B709" s="55" t="s">
        <v>1317</v>
      </c>
      <c r="C709" s="55" t="s">
        <v>160</v>
      </c>
      <c r="D709" s="55" t="s">
        <v>178</v>
      </c>
      <c r="E709" s="55" t="s">
        <v>210</v>
      </c>
      <c r="F709" s="56" t="n">
        <v>55.5</v>
      </c>
      <c r="G709" s="57" t="n">
        <f aca="false">MAX(0,IF(AND(Parameter!$B$21="Ja",ISNUMBER(W709)),W709,IF(Parameter!$B$20="Jahresanfang 2025 + Export",BJ709+BI709,BI709)))</f>
        <v>0</v>
      </c>
      <c r="H709" s="57" t="n">
        <f aca="false">G709*F709</f>
        <v>0</v>
      </c>
      <c r="I709" s="57" t="n">
        <f aca="false">BL709*Parameter!$B$18</f>
        <v>2</v>
      </c>
      <c r="J709" s="58" t="n">
        <v>3</v>
      </c>
      <c r="K709" s="59" t="n">
        <v>0.666666666666667</v>
      </c>
      <c r="L709" s="57" t="n">
        <v>0</v>
      </c>
      <c r="M709" s="57" t="n">
        <v>1</v>
      </c>
      <c r="N709" s="60" t="n">
        <v>28</v>
      </c>
      <c r="O709" s="55" t="s">
        <v>293</v>
      </c>
      <c r="P709" s="57" t="n">
        <v>6</v>
      </c>
      <c r="Q709" s="60" t="n">
        <f aca="false">IF(BR709=1,0,IFERROR(VLOOKUP(BP709,'Gebinde-Kategorie'!$A$5:$M$45,13,0)+0,0))</f>
        <v>26</v>
      </c>
      <c r="R709" s="61"/>
      <c r="S709" s="62"/>
      <c r="T709" s="62"/>
      <c r="U709" s="55"/>
      <c r="V709" s="57"/>
      <c r="W709" s="57"/>
      <c r="X709" s="55" t="n">
        <f aca="false">IF(A709="","",IF(AND(Parameter!$B$21="Ja",ISNUMBER(U709)),U709,IF(IFERROR(VLOOKUP(D709,Parameter!$A$35:$C$64,2,0),"Nein")="2+3",IF(ISNUMBER(SEARCH("grosser Artikel",BM709)),2,IFERROR(VLOOKUP(BP709,Parameter!$F$35:$G$64,2,0),2)),IF(OR(IFERROR(VLOOKUP(D709,Parameter!$A$35:$C$64,2,0),"Nein")="Nein",IFERROR(VLOOKUP(D709,Parameter!$A$35:$C$64,2,0),"Nein")=""),"-",VLOOKUP(D709,Parameter!$A$35:$C$64,2,0)))))</f>
        <v>3</v>
      </c>
      <c r="Y709" s="62"/>
      <c r="Z709" s="63"/>
      <c r="AA709" s="57" t="n">
        <f aca="false">AP709</f>
        <v>6</v>
      </c>
      <c r="AB709" s="57" t="n">
        <f aca="false">MAX(AP709,G709)</f>
        <v>6</v>
      </c>
      <c r="AC709" s="64"/>
      <c r="AD709" s="57" t="n">
        <f aca="false">IF(LEFT(Cockpit!$C$5,1)="A",G709,IF(BW709=1,BX709,IF(LEFT(Cockpit!$C$5,1)="B",AH709,MAX(AH709,G709))))</f>
        <v>0</v>
      </c>
      <c r="AE709" s="57" t="n">
        <f aca="false">IF(BR709=1,0,ROUNDUP(AD709/BQ709,0))</f>
        <v>0</v>
      </c>
      <c r="AF709" s="59" t="n">
        <f aca="false">IF(CD709&gt;0,CD709*MAX(1,AD709/V709),IF(BR709=1,IF(AD709&lt;=0,0,BS709*MAX(1,IF(G709&gt;0,AD709/G709,1))),IF(Q709&gt;0,AE709/Q709,0))/MAX(0.1,N(Parameter!$M$21)))</f>
        <v>0</v>
      </c>
      <c r="AG709" s="57" t="n">
        <f aca="false">AD709*F709</f>
        <v>0</v>
      </c>
      <c r="AH709" s="57" t="n">
        <f aca="false">ROUNDUP(MAX(I709/IF(BV709&gt;0,BV709,MAX(0.1,N(Cockpit!$C$6))),BY709)/BQ709,0)*BQ709</f>
        <v>6</v>
      </c>
      <c r="AI709" s="58" t="n">
        <f aca="false">IF(AF709&gt;0,I709/AF709,-1)</f>
        <v>-1</v>
      </c>
      <c r="AJ709" s="58" t="str">
        <f aca="false">IF(AND(OR(BU709="L1",BU709="L23"),AF709&gt;0),SUMIFS($AF$7:$AF$1576,$BU$7:$BU$1576,BU709,$AI$7:$AI$1576,"&gt;"&amp;AI709)+SUMIFS($AF$7:$AF$1576,$BU$7:$BU$1576,BU709,$AI$7:$AI$1576,AI709,$BO$7:$BO$1576,"&lt;="&amp;BO709),"")</f>
        <v/>
      </c>
      <c r="AK709" s="65" t="n">
        <f aca="false">IF(AJ709="",0,MAX(0,MIN(1,(IF(BU709="L1",Parameter!$E$5,Parameter!$E$6+Parameter!$E$7)-(AJ709-AF709))/AF709)))</f>
        <v>0</v>
      </c>
      <c r="AL709" s="57" t="n">
        <f aca="false">IF(LEFT(Cockpit!$I$5,1)="A",G709,IF(BW709=1,BX709,IF(LEFT(Cockpit!$I$5,1)="B",AP709,MAX(AP709,G709))))</f>
        <v>6</v>
      </c>
      <c r="AM709" s="57" t="n">
        <f aca="false">IF(BR709=1,0,ROUNDUP(AL709/BQ709,0))</f>
        <v>1</v>
      </c>
      <c r="AN709" s="59" t="n">
        <f aca="false">IF(CD709&gt;0,CD709*MAX(1,AL709/V709),IF(BR709=1,IF(AL709&lt;=0,0,BS709*MAX(1,IF(G709&gt;0,AL709/G709,1))),IF(Q709&gt;0,AM709/Q709,0))/MAX(0.1,N(Parameter!$M$21)))</f>
        <v>0.0384615384615385</v>
      </c>
      <c r="AO709" s="57" t="n">
        <f aca="false">AL709*F709</f>
        <v>333</v>
      </c>
      <c r="AP709" s="57" t="n">
        <f aca="false">ROUNDUP(MAX(I709/IF(BV709&gt;0,BV709,MAX(0.1,N(Cockpit!$I$6))),BY709)/BQ709,0)*BQ709</f>
        <v>6</v>
      </c>
      <c r="AQ709" s="58" t="n">
        <f aca="false">IF(AN709&gt;0,I709/AN709,-1)</f>
        <v>52</v>
      </c>
      <c r="AR709" s="58" t="n">
        <f aca="false">IF(AND(OR(BU709="L1",BU709="L23"),AN709&gt;0),SUMIFS($AN$7:$AN$1576,$BU$7:$BU$1576,BU709,$AQ$7:$AQ$1576,"&gt;"&amp;AQ709)+SUMIFS($AN$7:$AN$1576,$BU$7:$BU$1576,BU709,$AQ$7:$AQ$1576,AQ709,$BO$7:$BO$1576,"&lt;="&amp;BO709),"")</f>
        <v>82.0991012553624</v>
      </c>
      <c r="AS709" s="65" t="n">
        <f aca="false">IF(AR709="",0,MAX(0,MIN(1,(IF(BU709="L1",Parameter!$E$5,Parameter!$E$6+Parameter!$E$7)-(AR709-AN709))/AN709)))</f>
        <v>1</v>
      </c>
      <c r="AT709" s="57" t="n">
        <f aca="false">IF(LEFT(Cockpit!$O$5,1)="A",G709,IF(BW709=1,BX709,IF(LEFT(Cockpit!$O$5,1)="B",AX709,MAX(AX709,G709))))</f>
        <v>6</v>
      </c>
      <c r="AU709" s="57" t="n">
        <f aca="false">IF(BR709=1,0,ROUNDUP(AT709/BQ709,0))</f>
        <v>1</v>
      </c>
      <c r="AV709" s="59" t="n">
        <f aca="false">IF(CD709&gt;0,CD709*MAX(1,AT709/V709),IF(BR709=1,IF(AT709&lt;=0,0,BS709*MAX(1,IF(G709&gt;0,AT709/G709,1))),IF(Q709&gt;0,AU709/Q709,0))/MAX(0.1,N(Parameter!$M$21)))</f>
        <v>0.0384615384615385</v>
      </c>
      <c r="AW709" s="57" t="n">
        <f aca="false">AT709*F709</f>
        <v>333</v>
      </c>
      <c r="AX709" s="57" t="n">
        <f aca="false">ROUNDUP(MAX(I709/IF(BV709&gt;0,BV709,MAX(0.1,N(Cockpit!$O$6))),BY709)/BQ709,0)*BQ709</f>
        <v>6</v>
      </c>
      <c r="AY709" s="58" t="n">
        <f aca="false">IF(AV709&gt;0,I709/AV709,-1)</f>
        <v>52</v>
      </c>
      <c r="AZ709" s="58" t="n">
        <f aca="false">IF(AND(OR(BU709="L1",BU709="L23"),AV709&gt;0),SUMIFS($AV$7:$AV$1576,$BU$7:$BU$1576,BU709,$AY$7:$AY$1576,"&gt;"&amp;AY709)+SUMIFS($AV$7:$AV$1576,$BU$7:$BU$1576,BU709,$AY$7:$AY$1576,AY709,$BO$7:$BO$1576,"&lt;="&amp;BO709),"")</f>
        <v>78.5169850382462</v>
      </c>
      <c r="BA709" s="65" t="n">
        <f aca="false">IF(AZ709="",0,MAX(0,MIN(1,(IF(BU709="L1",Parameter!$E$5,Parameter!$E$6+Parameter!$E$7)-(AZ709-AV709))/AV709)))</f>
        <v>1</v>
      </c>
      <c r="BB709" s="55" t="str">
        <f aca="false">IF(AF709&lt;=0,"",IF(BU709="Aussen","Aussenlager",IF(BU709="-","Nicht im Lift",IF(AK709&gt;=1,"Lift",IF(AK709&lt;=0,"Aussenlager","teilweise")))))</f>
        <v/>
      </c>
      <c r="BC709" s="55" t="str">
        <f aca="false">IF(AN709&lt;=0,"",IF(BU709="Aussen","Aussenlager",IF(BU709="-","Nicht im Lift",IF(AS709&gt;=1,"Lift",IF(AS709&lt;=0,"Aussenlager","teilweise")))))</f>
        <v>Lift</v>
      </c>
      <c r="BD709" s="55" t="str">
        <f aca="false">IF(AV709&lt;=0,"",IF(BU709="Aussen","Aussenlager",IF(BU709="-","Nicht im Lift",IF(BA709&gt;=1,"Lift",IF(BA709&lt;=0,"Aussenlager","teilweise")))))</f>
        <v>Lift</v>
      </c>
      <c r="BE709" s="55" t="str">
        <f aca="false">IF(A709="","",IF(BN709=1,"Neu; ","")&amp;IF(AND(BN709=0,BI709&lt;0),"negativer Bestand (Export "&amp;BI709&amp;"); ","")&amp;IF(I709&lt;=0,"Kein Verbrauch; ","")&amp;IF(CD709&gt;0,"Lift "&amp;U709&amp;" lt. Liftbericht (Fach "&amp;V709&amp;" Stk); ",IF(BR709=1,"Lose – Fläche geschätzt; ",""))&amp;IF(G709&gt;AP709,"Überbestand "&amp;ROUND(G709-AP709,0)&amp;" Stk / CHF "&amp;ROUND((G709-AP709)*F709,0)&amp;"; ","")&amp;IF(AND(BW709=1,BX709&lt;BY709),"MAX &lt; MB+LG; ","")&amp;IF(AND(CC709&gt;0,CB709*10&gt;CC709),"zu hoch für Tablar; ","")&amp;IF(AND(BN709=0,OR(BW709=1,Y709&lt;&gt;"",S709&lt;&gt;"",T709&lt;&gt;"",Z709&lt;&gt;"")),"manuell übersteuert; ","")&amp;IF(AND(BR709=0,Q709=0),"Gebinde unbekannt / Stellmass fehlt; ","")&amp;IF(AND(BR709=0,N(T709)&lt;=0,N(P709)&lt;=0),"Menge pro Gebinde fehlt (Ist = 1 Gebinde); ","")&amp;BM709)</f>
        <v/>
      </c>
      <c r="BF709" s="55"/>
      <c r="BG709" s="55"/>
      <c r="BH709" s="62"/>
      <c r="BI709" s="57" t="n">
        <v>0</v>
      </c>
      <c r="BJ709" s="57" t="n">
        <v>4</v>
      </c>
      <c r="BK709" s="56" t="n">
        <v>0</v>
      </c>
      <c r="BL709" s="57" t="n">
        <v>2</v>
      </c>
      <c r="BM709" s="55"/>
      <c r="BN709" s="60" t="n">
        <v>0</v>
      </c>
      <c r="BO709" s="60" t="n">
        <v>709</v>
      </c>
      <c r="BP709" s="55" t="str">
        <f aca="false">IF(S709&lt;&gt;"",UPPER(TRIM(S709)),IF(O709="","LOSE",O709))</f>
        <v>S51</v>
      </c>
      <c r="BQ709" s="57" t="n">
        <f aca="false">IF(BP709="LOSE",1,IF(N(T709)&gt;0,T709,IF(N(P709)&gt;0,P709,MAX(1,G709))))</f>
        <v>6</v>
      </c>
      <c r="BR709" s="60" t="n">
        <f aca="false">IF(BP709="LOSE",1,0)</f>
        <v>0</v>
      </c>
      <c r="BS709" s="59" t="n">
        <f aca="false">IF(BR709=0,0,IF(N(R709)&gt;0,R709,IFERROR(VLOOKUP(D709,Parameter!$A$35:$C$64,3,0)+0,0)))</f>
        <v>0</v>
      </c>
      <c r="BT709" s="55" t="n">
        <f aca="false">IF(Y709&lt;&gt;"",Y709,X709)</f>
        <v>3</v>
      </c>
      <c r="BU709" s="55" t="str">
        <f aca="false">IF(BT709=1,"L1",IF(OR(BT709=2,BT709=3),"L23",IF(BT709="Aussen","Aussen","-")))</f>
        <v>L23</v>
      </c>
      <c r="BV709" s="66" t="n">
        <f aca="false">IF(N(Z709)&gt;0,Z709,0)</f>
        <v>0</v>
      </c>
      <c r="BW709" s="60" t="n">
        <f aca="false">IF(ISNUMBER(AC709),1,0)</f>
        <v>0</v>
      </c>
      <c r="BX709" s="57" t="n">
        <f aca="false">N(AC709)</f>
        <v>0</v>
      </c>
      <c r="BY709" s="57" t="n">
        <f aca="false">N(L709)+N(M709)</f>
        <v>1</v>
      </c>
      <c r="BZ709" s="57" t="n">
        <f aca="false">ROUNDUP(G709/BQ709,0)</f>
        <v>0</v>
      </c>
      <c r="CA709" s="57" t="n">
        <f aca="false">ROUNDUP(BX709/BQ709,0)</f>
        <v>0</v>
      </c>
      <c r="CB709" s="60" t="n">
        <f aca="false">IF(BR709=1,0,IFERROR(VLOOKUP(BP709,'Gebinde-Kategorie'!$A$5:$M$45,5,0)+0,0))</f>
        <v>11</v>
      </c>
      <c r="CC709" s="60" t="n">
        <f aca="false">IFERROR(IF(OR(BT709=1,BT709=2,BT709=3),N(INDEX(Parameter!$I$5:$I$7,BT709)),0),0)</f>
        <v>0</v>
      </c>
      <c r="CD709" s="59" t="n">
        <f aca="false">IF(AND(Parameter!$B$21="Ja",ISNUMBER(U709),N(V709)&gt;0),IFERROR(N(INDEX(Parameter!$L$5:$L$7,U709))*INDEX(Parameter!$E$5:$E$7,U709)*V709/SUMIFS($V$7:$V$1576,$U$7:$U$1576,U709),0),0)</f>
        <v>0</v>
      </c>
    </row>
    <row r="710" customFormat="false" ht="15" hidden="false" customHeight="false" outlineLevel="0" collapsed="false">
      <c r="A710" s="55" t="s">
        <v>1404</v>
      </c>
      <c r="B710" s="55" t="s">
        <v>1405</v>
      </c>
      <c r="C710" s="55" t="s">
        <v>160</v>
      </c>
      <c r="D710" s="55" t="s">
        <v>178</v>
      </c>
      <c r="E710" s="55" t="s">
        <v>210</v>
      </c>
      <c r="F710" s="56" t="n">
        <v>268</v>
      </c>
      <c r="G710" s="57" t="n">
        <f aca="false">MAX(0,IF(AND(Parameter!$B$21="Ja",ISNUMBER(W710)),W710,IF(Parameter!$B$20="Jahresanfang 2025 + Export",BJ710+BI710,BI710)))</f>
        <v>0</v>
      </c>
      <c r="H710" s="57" t="n">
        <f aca="false">G710*F710</f>
        <v>0</v>
      </c>
      <c r="I710" s="57" t="n">
        <f aca="false">BL710*Parameter!$B$18</f>
        <v>0</v>
      </c>
      <c r="J710" s="58" t="n">
        <v>0</v>
      </c>
      <c r="K710" s="59" t="n">
        <v>0</v>
      </c>
      <c r="L710" s="57" t="n">
        <v>0</v>
      </c>
      <c r="M710" s="57" t="n">
        <v>1</v>
      </c>
      <c r="N710" s="60" t="n">
        <v>90</v>
      </c>
      <c r="O710" s="55" t="s">
        <v>163</v>
      </c>
      <c r="P710" s="57"/>
      <c r="Q710" s="60" t="n">
        <f aca="false">IF(BR710=1,0,IFERROR(VLOOKUP(BP710,'Gebinde-Kategorie'!$A$5:$M$45,13,0)+0,0))</f>
        <v>0</v>
      </c>
      <c r="R710" s="61"/>
      <c r="S710" s="62"/>
      <c r="T710" s="62"/>
      <c r="U710" s="55"/>
      <c r="V710" s="57"/>
      <c r="W710" s="57"/>
      <c r="X710" s="55" t="n">
        <f aca="false">IF(A710="","",IF(AND(Parameter!$B$21="Ja",ISNUMBER(U710)),U710,IF(IFERROR(VLOOKUP(D710,Parameter!$A$35:$C$64,2,0),"Nein")="2+3",IF(ISNUMBER(SEARCH("grosser Artikel",BM710)),2,IFERROR(VLOOKUP(BP710,Parameter!$F$35:$G$64,2,0),2)),IF(OR(IFERROR(VLOOKUP(D710,Parameter!$A$35:$C$64,2,0),"Nein")="Nein",IFERROR(VLOOKUP(D710,Parameter!$A$35:$C$64,2,0),"Nein")=""),"-",VLOOKUP(D710,Parameter!$A$35:$C$64,2,0)))))</f>
        <v>2</v>
      </c>
      <c r="Y710" s="62"/>
      <c r="Z710" s="63"/>
      <c r="AA710" s="57" t="n">
        <f aca="false">AP710</f>
        <v>1</v>
      </c>
      <c r="AB710" s="57" t="n">
        <f aca="false">MAX(AP710,G710)</f>
        <v>1</v>
      </c>
      <c r="AC710" s="64"/>
      <c r="AD710" s="57" t="n">
        <f aca="false">IF(LEFT(Cockpit!$C$5,1)="A",G710,IF(BW710=1,BX710,IF(LEFT(Cockpit!$C$5,1)="B",AH710,MAX(AH710,G710))))</f>
        <v>0</v>
      </c>
      <c r="AE710" s="57" t="n">
        <f aca="false">IF(BR710=1,0,ROUNDUP(AD710/BQ710,0))</f>
        <v>0</v>
      </c>
      <c r="AF710" s="59" t="n">
        <f aca="false">IF(CD710&gt;0,CD710*MAX(1,AD710/V710),IF(BR710=1,IF(AD710&lt;=0,0,BS710*MAX(1,IF(G710&gt;0,AD710/G710,1))),IF(Q710&gt;0,AE710/Q710,0))/MAX(0.1,N(Parameter!$M$21)))</f>
        <v>0</v>
      </c>
      <c r="AG710" s="57" t="n">
        <f aca="false">AD710*F710</f>
        <v>0</v>
      </c>
      <c r="AH710" s="57" t="n">
        <f aca="false">ROUNDUP(MAX(I710/IF(BV710&gt;0,BV710,MAX(0.1,N(Cockpit!$C$6))),BY710)/BQ710,0)*BQ710</f>
        <v>1</v>
      </c>
      <c r="AI710" s="58" t="n">
        <f aca="false">IF(AF710&gt;0,I710/AF710,-1)</f>
        <v>-1</v>
      </c>
      <c r="AJ710" s="58" t="str">
        <f aca="false">IF(AND(OR(BU710="L1",BU710="L23"),AF710&gt;0),SUMIFS($AF$7:$AF$1576,$BU$7:$BU$1576,BU710,$AI$7:$AI$1576,"&gt;"&amp;AI710)+SUMIFS($AF$7:$AF$1576,$BU$7:$BU$1576,BU710,$AI$7:$AI$1576,AI710,$BO$7:$BO$1576,"&lt;="&amp;BO710),"")</f>
        <v/>
      </c>
      <c r="AK710" s="65" t="n">
        <f aca="false">IF(AJ710="",0,MAX(0,MIN(1,(IF(BU710="L1",Parameter!$E$5,Parameter!$E$6+Parameter!$E$7)-(AJ710-AF710))/AF710)))</f>
        <v>0</v>
      </c>
      <c r="AL710" s="57" t="n">
        <f aca="false">IF(LEFT(Cockpit!$I$5,1)="A",G710,IF(BW710=1,BX710,IF(LEFT(Cockpit!$I$5,1)="B",AP710,MAX(AP710,G710))))</f>
        <v>1</v>
      </c>
      <c r="AM710" s="57" t="n">
        <f aca="false">IF(BR710=1,0,ROUNDUP(AL710/BQ710,0))</f>
        <v>0</v>
      </c>
      <c r="AN710" s="59" t="n">
        <f aca="false">IF(CD710&gt;0,CD710*MAX(1,AL710/V710),IF(BR710=1,IF(AL710&lt;=0,0,BS710*MAX(1,IF(G710&gt;0,AL710/G710,1))),IF(Q710&gt;0,AM710/Q710,0))/MAX(0.1,N(Parameter!$M$21)))</f>
        <v>0.03</v>
      </c>
      <c r="AO710" s="57" t="n">
        <f aca="false">AL710*F710</f>
        <v>268</v>
      </c>
      <c r="AP710" s="57" t="n">
        <f aca="false">ROUNDUP(MAX(I710/IF(BV710&gt;0,BV710,MAX(0.1,N(Cockpit!$I$6))),BY710)/BQ710,0)*BQ710</f>
        <v>1</v>
      </c>
      <c r="AQ710" s="58" t="n">
        <f aca="false">IF(AN710&gt;0,I710/AN710,-1)</f>
        <v>0</v>
      </c>
      <c r="AR710" s="58" t="n">
        <f aca="false">IF(AND(OR(BU710="L1",BU710="L23"),AN710&gt;0),SUMIFS($AN$7:$AN$1576,$BU$7:$BU$1576,BU710,$AQ$7:$AQ$1576,"&gt;"&amp;AQ710)+SUMIFS($AN$7:$AN$1576,$BU$7:$BU$1576,BU710,$AQ$7:$AQ$1576,AQ710,$BO$7:$BO$1576,"&lt;="&amp;BO710),"")</f>
        <v>129.204862408171</v>
      </c>
      <c r="AS710" s="65" t="n">
        <f aca="false">IF(AR710="",0,MAX(0,MIN(1,(IF(BU710="L1",Parameter!$E$5,Parameter!$E$6+Parameter!$E$7)-(AR710-AN710))/AN710)))</f>
        <v>0</v>
      </c>
      <c r="AT710" s="57" t="n">
        <f aca="false">IF(LEFT(Cockpit!$O$5,1)="A",G710,IF(BW710=1,BX710,IF(LEFT(Cockpit!$O$5,1)="B",AX710,MAX(AX710,G710))))</f>
        <v>1</v>
      </c>
      <c r="AU710" s="57" t="n">
        <f aca="false">IF(BR710=1,0,ROUNDUP(AT710/BQ710,0))</f>
        <v>0</v>
      </c>
      <c r="AV710" s="59" t="n">
        <f aca="false">IF(CD710&gt;0,CD710*MAX(1,AT710/V710),IF(BR710=1,IF(AT710&lt;=0,0,BS710*MAX(1,IF(G710&gt;0,AT710/G710,1))),IF(Q710&gt;0,AU710/Q710,0))/MAX(0.1,N(Parameter!$M$21)))</f>
        <v>0.03</v>
      </c>
      <c r="AW710" s="57" t="n">
        <f aca="false">AT710*F710</f>
        <v>268</v>
      </c>
      <c r="AX710" s="57" t="n">
        <f aca="false">ROUNDUP(MAX(I710/IF(BV710&gt;0,BV710,MAX(0.1,N(Cockpit!$O$6))),BY710)/BQ710,0)*BQ710</f>
        <v>1</v>
      </c>
      <c r="AY710" s="58" t="n">
        <f aca="false">IF(AV710&gt;0,I710/AV710,-1)</f>
        <v>0</v>
      </c>
      <c r="AZ710" s="58" t="n">
        <f aca="false">IF(AND(OR(BU710="L1",BU710="L23"),AV710&gt;0),SUMIFS($AV$7:$AV$1576,$BU$7:$BU$1576,BU710,$AY$7:$AY$1576,"&gt;"&amp;AY710)+SUMIFS($AV$7:$AV$1576,$BU$7:$BU$1576,BU710,$AY$7:$AY$1576,AY710,$BO$7:$BO$1576,"&lt;="&amp;BO710),"")</f>
        <v>119.264412857721</v>
      </c>
      <c r="BA710" s="65" t="n">
        <f aca="false">IF(AZ710="",0,MAX(0,MIN(1,(IF(BU710="L1",Parameter!$E$5,Parameter!$E$6+Parameter!$E$7)-(AZ710-AV710))/AV710)))</f>
        <v>0</v>
      </c>
      <c r="BB710" s="55" t="str">
        <f aca="false">IF(AF710&lt;=0,"",IF(BU710="Aussen","Aussenlager",IF(BU710="-","Nicht im Lift",IF(AK710&gt;=1,"Lift",IF(AK710&lt;=0,"Aussenlager","teilweise")))))</f>
        <v/>
      </c>
      <c r="BC710" s="55" t="str">
        <f aca="false">IF(AN710&lt;=0,"",IF(BU710="Aussen","Aussenlager",IF(BU710="-","Nicht im Lift",IF(AS710&gt;=1,"Lift",IF(AS710&lt;=0,"Aussenlager","teilweise")))))</f>
        <v>Aussenlager</v>
      </c>
      <c r="BD710" s="55" t="str">
        <f aca="false">IF(AV710&lt;=0,"",IF(BU710="Aussen","Aussenlager",IF(BU710="-","Nicht im Lift",IF(BA710&gt;=1,"Lift",IF(BA710&lt;=0,"Aussenlager","teilweise")))))</f>
        <v>Aussenlager</v>
      </c>
      <c r="BE710" s="55" t="str">
        <f aca="false">IF(A710="","",IF(BN710=1,"Neu; ","")&amp;IF(AND(BN710=0,BI710&lt;0),"negativer Bestand (Export "&amp;BI710&amp;"); ","")&amp;IF(I710&lt;=0,"Kein Verbrauch; ","")&amp;IF(CD710&gt;0,"Lift "&amp;U710&amp;" lt. Liftbericht (Fach "&amp;V710&amp;" Stk); ",IF(BR710=1,"Lose – Fläche geschätzt; ",""))&amp;IF(G710&gt;AP710,"Überbestand "&amp;ROUND(G710-AP710,0)&amp;" Stk / CHF "&amp;ROUND((G710-AP710)*F710,0)&amp;"; ","")&amp;IF(AND(BW710=1,BX710&lt;BY710),"MAX &lt; MB+LG; ","")&amp;IF(AND(CC710&gt;0,CB710*10&gt;CC710),"zu hoch für Tablar; ","")&amp;IF(AND(BN710=0,OR(BW710=1,Y710&lt;&gt;"",S710&lt;&gt;"",T710&lt;&gt;"",Z710&lt;&gt;"")),"manuell übersteuert; ","")&amp;IF(AND(BR710=0,Q710=0),"Gebinde unbekannt / Stellmass fehlt; ","")&amp;IF(AND(BR710=0,N(T710)&lt;=0,N(P710)&lt;=0),"Menge pro Gebinde fehlt (Ist = 1 Gebinde); ","")&amp;BM710)</f>
        <v>Kein Verbrauch; Lose – Fläche geschätzt; </v>
      </c>
      <c r="BF710" s="55"/>
      <c r="BG710" s="55"/>
      <c r="BH710" s="62"/>
      <c r="BI710" s="57" t="n">
        <v>0</v>
      </c>
      <c r="BJ710" s="57" t="n">
        <v>0</v>
      </c>
      <c r="BK710" s="56" t="n">
        <v>0</v>
      </c>
      <c r="BL710" s="57" t="n">
        <v>0</v>
      </c>
      <c r="BM710" s="55"/>
      <c r="BN710" s="60" t="n">
        <v>0</v>
      </c>
      <c r="BO710" s="60" t="n">
        <v>710</v>
      </c>
      <c r="BP710" s="55" t="str">
        <f aca="false">IF(S710&lt;&gt;"",UPPER(TRIM(S710)),IF(O710="","LOSE",O710))</f>
        <v>LOSE</v>
      </c>
      <c r="BQ710" s="57" t="n">
        <f aca="false">IF(BP710="LOSE",1,IF(N(T710)&gt;0,T710,IF(N(P710)&gt;0,P710,MAX(1,G710))))</f>
        <v>1</v>
      </c>
      <c r="BR710" s="60" t="n">
        <f aca="false">IF(BP710="LOSE",1,0)</f>
        <v>1</v>
      </c>
      <c r="BS710" s="59" t="n">
        <f aca="false">IF(BR710=0,0,IF(N(R710)&gt;0,R710,IFERROR(VLOOKUP(D710,Parameter!$A$35:$C$64,3,0)+0,0)))</f>
        <v>0.03</v>
      </c>
      <c r="BT710" s="55" t="n">
        <f aca="false">IF(Y710&lt;&gt;"",Y710,X710)</f>
        <v>2</v>
      </c>
      <c r="BU710" s="55" t="str">
        <f aca="false">IF(BT710=1,"L1",IF(OR(BT710=2,BT710=3),"L23",IF(BT710="Aussen","Aussen","-")))</f>
        <v>L23</v>
      </c>
      <c r="BV710" s="66" t="n">
        <f aca="false">IF(N(Z710)&gt;0,Z710,0)</f>
        <v>0</v>
      </c>
      <c r="BW710" s="60" t="n">
        <f aca="false">IF(ISNUMBER(AC710),1,0)</f>
        <v>0</v>
      </c>
      <c r="BX710" s="57" t="n">
        <f aca="false">N(AC710)</f>
        <v>0</v>
      </c>
      <c r="BY710" s="57" t="n">
        <f aca="false">N(L710)+N(M710)</f>
        <v>1</v>
      </c>
      <c r="BZ710" s="57" t="n">
        <f aca="false">ROUNDUP(G710/BQ710,0)</f>
        <v>0</v>
      </c>
      <c r="CA710" s="57" t="n">
        <f aca="false">ROUNDUP(BX710/BQ710,0)</f>
        <v>0</v>
      </c>
      <c r="CB710" s="60" t="n">
        <f aca="false">IF(BR710=1,0,IFERROR(VLOOKUP(BP710,'Gebinde-Kategorie'!$A$5:$M$45,5,0)+0,0))</f>
        <v>0</v>
      </c>
      <c r="CC710" s="60" t="n">
        <f aca="false">IFERROR(IF(OR(BT710=1,BT710=2,BT710=3),N(INDEX(Parameter!$I$5:$I$7,BT710)),0),0)</f>
        <v>0</v>
      </c>
      <c r="CD710" s="59" t="n">
        <f aca="false">IF(AND(Parameter!$B$21="Ja",ISNUMBER(U710),N(V710)&gt;0),IFERROR(N(INDEX(Parameter!$L$5:$L$7,U710))*INDEX(Parameter!$E$5:$E$7,U710)*V710/SUMIFS($V$7:$V$1576,$U$7:$U$1576,U710),0),0)</f>
        <v>0</v>
      </c>
    </row>
    <row r="711" customFormat="false" ht="15" hidden="false" customHeight="false" outlineLevel="0" collapsed="false">
      <c r="A711" s="55" t="s">
        <v>1406</v>
      </c>
      <c r="B711" s="55" t="s">
        <v>1407</v>
      </c>
      <c r="C711" s="55" t="s">
        <v>160</v>
      </c>
      <c r="D711" s="55" t="s">
        <v>178</v>
      </c>
      <c r="E711" s="55" t="s">
        <v>210</v>
      </c>
      <c r="F711" s="56" t="n">
        <v>644</v>
      </c>
      <c r="G711" s="57" t="n">
        <f aca="false">MAX(0,IF(AND(Parameter!$B$21="Ja",ISNUMBER(W711)),W711,IF(Parameter!$B$20="Jahresanfang 2025 + Export",BJ711+BI711,BI711)))</f>
        <v>0</v>
      </c>
      <c r="H711" s="57" t="n">
        <f aca="false">G711*F711</f>
        <v>0</v>
      </c>
      <c r="I711" s="57" t="n">
        <f aca="false">BL711*Parameter!$B$18</f>
        <v>1</v>
      </c>
      <c r="J711" s="58" t="n">
        <v>0</v>
      </c>
      <c r="K711" s="59" t="n">
        <v>0</v>
      </c>
      <c r="L711" s="57" t="n">
        <v>0</v>
      </c>
      <c r="M711" s="57" t="n">
        <v>1</v>
      </c>
      <c r="N711" s="60" t="n">
        <v>28</v>
      </c>
      <c r="O711" s="55" t="s">
        <v>163</v>
      </c>
      <c r="P711" s="57"/>
      <c r="Q711" s="60" t="n">
        <f aca="false">IF(BR711=1,0,IFERROR(VLOOKUP(BP711,'Gebinde-Kategorie'!$A$5:$M$45,13,0)+0,0))</f>
        <v>0</v>
      </c>
      <c r="R711" s="61"/>
      <c r="S711" s="62"/>
      <c r="T711" s="62"/>
      <c r="U711" s="55"/>
      <c r="V711" s="57"/>
      <c r="W711" s="57"/>
      <c r="X711" s="55" t="n">
        <f aca="false">IF(A711="","",IF(AND(Parameter!$B$21="Ja",ISNUMBER(U711)),U711,IF(IFERROR(VLOOKUP(D711,Parameter!$A$35:$C$64,2,0),"Nein")="2+3",IF(ISNUMBER(SEARCH("grosser Artikel",BM711)),2,IFERROR(VLOOKUP(BP711,Parameter!$F$35:$G$64,2,0),2)),IF(OR(IFERROR(VLOOKUP(D711,Parameter!$A$35:$C$64,2,0),"Nein")="Nein",IFERROR(VLOOKUP(D711,Parameter!$A$35:$C$64,2,0),"Nein")=""),"-",VLOOKUP(D711,Parameter!$A$35:$C$64,2,0)))))</f>
        <v>2</v>
      </c>
      <c r="Y711" s="62"/>
      <c r="Z711" s="63"/>
      <c r="AA711" s="57" t="n">
        <f aca="false">AP711</f>
        <v>1</v>
      </c>
      <c r="AB711" s="57" t="n">
        <f aca="false">MAX(AP711,G711)</f>
        <v>1</v>
      </c>
      <c r="AC711" s="64"/>
      <c r="AD711" s="57" t="n">
        <f aca="false">IF(LEFT(Cockpit!$C$5,1)="A",G711,IF(BW711=1,BX711,IF(LEFT(Cockpit!$C$5,1)="B",AH711,MAX(AH711,G711))))</f>
        <v>0</v>
      </c>
      <c r="AE711" s="57" t="n">
        <f aca="false">IF(BR711=1,0,ROUNDUP(AD711/BQ711,0))</f>
        <v>0</v>
      </c>
      <c r="AF711" s="59" t="n">
        <f aca="false">IF(CD711&gt;0,CD711*MAX(1,AD711/V711),IF(BR711=1,IF(AD711&lt;=0,0,BS711*MAX(1,IF(G711&gt;0,AD711/G711,1))),IF(Q711&gt;0,AE711/Q711,0))/MAX(0.1,N(Parameter!$M$21)))</f>
        <v>0</v>
      </c>
      <c r="AG711" s="57" t="n">
        <f aca="false">AD711*F711</f>
        <v>0</v>
      </c>
      <c r="AH711" s="57" t="n">
        <f aca="false">ROUNDUP(MAX(I711/IF(BV711&gt;0,BV711,MAX(0.1,N(Cockpit!$C$6))),BY711)/BQ711,0)*BQ711</f>
        <v>1</v>
      </c>
      <c r="AI711" s="58" t="n">
        <f aca="false">IF(AF711&gt;0,I711/AF711,-1)</f>
        <v>-1</v>
      </c>
      <c r="AJ711" s="58" t="str">
        <f aca="false">IF(AND(OR(BU711="L1",BU711="L23"),AF711&gt;0),SUMIFS($AF$7:$AF$1576,$BU$7:$BU$1576,BU711,$AI$7:$AI$1576,"&gt;"&amp;AI711)+SUMIFS($AF$7:$AF$1576,$BU$7:$BU$1576,BU711,$AI$7:$AI$1576,AI711,$BO$7:$BO$1576,"&lt;="&amp;BO711),"")</f>
        <v/>
      </c>
      <c r="AK711" s="65" t="n">
        <f aca="false">IF(AJ711="",0,MAX(0,MIN(1,(IF(BU711="L1",Parameter!$E$5,Parameter!$E$6+Parameter!$E$7)-(AJ711-AF711))/AF711)))</f>
        <v>0</v>
      </c>
      <c r="AL711" s="57" t="n">
        <f aca="false">IF(LEFT(Cockpit!$I$5,1)="A",G711,IF(BW711=1,BX711,IF(LEFT(Cockpit!$I$5,1)="B",AP711,MAX(AP711,G711))))</f>
        <v>1</v>
      </c>
      <c r="AM711" s="57" t="n">
        <f aca="false">IF(BR711=1,0,ROUNDUP(AL711/BQ711,0))</f>
        <v>0</v>
      </c>
      <c r="AN711" s="59" t="n">
        <f aca="false">IF(CD711&gt;0,CD711*MAX(1,AL711/V711),IF(BR711=1,IF(AL711&lt;=0,0,BS711*MAX(1,IF(G711&gt;0,AL711/G711,1))),IF(Q711&gt;0,AM711/Q711,0))/MAX(0.1,N(Parameter!$M$21)))</f>
        <v>0.03</v>
      </c>
      <c r="AO711" s="57" t="n">
        <f aca="false">AL711*F711</f>
        <v>644</v>
      </c>
      <c r="AP711" s="57" t="n">
        <f aca="false">ROUNDUP(MAX(I711/IF(BV711&gt;0,BV711,MAX(0.1,N(Cockpit!$I$6))),BY711)/BQ711,0)*BQ711</f>
        <v>1</v>
      </c>
      <c r="AQ711" s="58" t="n">
        <f aca="false">IF(AN711&gt;0,I711/AN711,-1)</f>
        <v>33.3333333333333</v>
      </c>
      <c r="AR711" s="58" t="n">
        <f aca="false">IF(AND(OR(BU711="L1",BU711="L23"),AN711&gt;0),SUMIFS($AN$7:$AN$1576,$BU$7:$BU$1576,BU711,$AQ$7:$AQ$1576,"&gt;"&amp;AQ711)+SUMIFS($AN$7:$AN$1576,$BU$7:$BU$1576,BU711,$AQ$7:$AQ$1576,AQ711,$BO$7:$BO$1576,"&lt;="&amp;BO711),"")</f>
        <v>94.2774345886957</v>
      </c>
      <c r="AS711" s="65" t="n">
        <f aca="false">IF(AR711="",0,MAX(0,MIN(1,(IF(BU711="L1",Parameter!$E$5,Parameter!$E$6+Parameter!$E$7)-(AR711-AN711))/AN711)))</f>
        <v>1</v>
      </c>
      <c r="AT711" s="57" t="n">
        <f aca="false">IF(LEFT(Cockpit!$O$5,1)="A",G711,IF(BW711=1,BX711,IF(LEFT(Cockpit!$O$5,1)="B",AX711,MAX(AX711,G711))))</f>
        <v>1</v>
      </c>
      <c r="AU711" s="57" t="n">
        <f aca="false">IF(BR711=1,0,ROUNDUP(AT711/BQ711,0))</f>
        <v>0</v>
      </c>
      <c r="AV711" s="59" t="n">
        <f aca="false">IF(CD711&gt;0,CD711*MAX(1,AT711/V711),IF(BR711=1,IF(AT711&lt;=0,0,BS711*MAX(1,IF(G711&gt;0,AT711/G711,1))),IF(Q711&gt;0,AU711/Q711,0))/MAX(0.1,N(Parameter!$M$21)))</f>
        <v>0.03</v>
      </c>
      <c r="AW711" s="57" t="n">
        <f aca="false">AT711*F711</f>
        <v>644</v>
      </c>
      <c r="AX711" s="57" t="n">
        <f aca="false">ROUNDUP(MAX(I711/IF(BV711&gt;0,BV711,MAX(0.1,N(Cockpit!$O$6))),BY711)/BQ711,0)*BQ711</f>
        <v>1</v>
      </c>
      <c r="AY711" s="58" t="n">
        <f aca="false">IF(AV711&gt;0,I711/AV711,-1)</f>
        <v>33.3333333333333</v>
      </c>
      <c r="AZ711" s="58" t="n">
        <f aca="false">IF(AND(OR(BU711="L1",BU711="L23"),AV711&gt;0),SUMIFS($AV$7:$AV$1576,$BU$7:$BU$1576,BU711,$AY$7:$AY$1576,"&gt;"&amp;AY711)+SUMIFS($AV$7:$AV$1576,$BU$7:$BU$1576,BU711,$AY$7:$AY$1576,AY711,$BO$7:$BO$1576,"&lt;="&amp;BO711),"")</f>
        <v>86.0619850382462</v>
      </c>
      <c r="BA711" s="65" t="n">
        <f aca="false">IF(AZ711="",0,MAX(0,MIN(1,(IF(BU711="L1",Parameter!$E$5,Parameter!$E$6+Parameter!$E$7)-(AZ711-AV711))/AV711)))</f>
        <v>1</v>
      </c>
      <c r="BB711" s="55" t="str">
        <f aca="false">IF(AF711&lt;=0,"",IF(BU711="Aussen","Aussenlager",IF(BU711="-","Nicht im Lift",IF(AK711&gt;=1,"Lift",IF(AK711&lt;=0,"Aussenlager","teilweise")))))</f>
        <v/>
      </c>
      <c r="BC711" s="55" t="str">
        <f aca="false">IF(AN711&lt;=0,"",IF(BU711="Aussen","Aussenlager",IF(BU711="-","Nicht im Lift",IF(AS711&gt;=1,"Lift",IF(AS711&lt;=0,"Aussenlager","teilweise")))))</f>
        <v>Lift</v>
      </c>
      <c r="BD711" s="55" t="str">
        <f aca="false">IF(AV711&lt;=0,"",IF(BU711="Aussen","Aussenlager",IF(BU711="-","Nicht im Lift",IF(BA711&gt;=1,"Lift",IF(BA711&lt;=0,"Aussenlager","teilweise")))))</f>
        <v>Lift</v>
      </c>
      <c r="BE711" s="55" t="str">
        <f aca="false">IF(A711="","",IF(BN711=1,"Neu; ","")&amp;IF(AND(BN711=0,BI711&lt;0),"negativer Bestand (Export "&amp;BI711&amp;"); ","")&amp;IF(I711&lt;=0,"Kein Verbrauch; ","")&amp;IF(CD711&gt;0,"Lift "&amp;U711&amp;" lt. Liftbericht (Fach "&amp;V711&amp;" Stk); ",IF(BR711=1,"Lose – Fläche geschätzt; ",""))&amp;IF(G711&gt;AP711,"Überbestand "&amp;ROUND(G711-AP711,0)&amp;" Stk / CHF "&amp;ROUND((G711-AP711)*F711,0)&amp;"; ","")&amp;IF(AND(BW711=1,BX711&lt;BY711),"MAX &lt; MB+LG; ","")&amp;IF(AND(CC711&gt;0,CB711*10&gt;CC711),"zu hoch für Tablar; ","")&amp;IF(AND(BN711=0,OR(BW711=1,Y711&lt;&gt;"",S711&lt;&gt;"",T711&lt;&gt;"",Z711&lt;&gt;"")),"manuell übersteuert; ","")&amp;IF(AND(BR711=0,Q711=0),"Gebinde unbekannt / Stellmass fehlt; ","")&amp;IF(AND(BR711=0,N(T711)&lt;=0,N(P711)&lt;=0),"Menge pro Gebinde fehlt (Ist = 1 Gebinde); ","")&amp;BM711)</f>
        <v>Lose – Fläche geschätzt; </v>
      </c>
      <c r="BF711" s="55"/>
      <c r="BG711" s="55"/>
      <c r="BH711" s="62"/>
      <c r="BI711" s="57" t="n">
        <v>0</v>
      </c>
      <c r="BJ711" s="57" t="n">
        <v>0</v>
      </c>
      <c r="BK711" s="56" t="n">
        <v>0</v>
      </c>
      <c r="BL711" s="57" t="n">
        <v>1</v>
      </c>
      <c r="BM711" s="55"/>
      <c r="BN711" s="60" t="n">
        <v>0</v>
      </c>
      <c r="BO711" s="60" t="n">
        <v>711</v>
      </c>
      <c r="BP711" s="55" t="str">
        <f aca="false">IF(S711&lt;&gt;"",UPPER(TRIM(S711)),IF(O711="","LOSE",O711))</f>
        <v>LOSE</v>
      </c>
      <c r="BQ711" s="57" t="n">
        <f aca="false">IF(BP711="LOSE",1,IF(N(T711)&gt;0,T711,IF(N(P711)&gt;0,P711,MAX(1,G711))))</f>
        <v>1</v>
      </c>
      <c r="BR711" s="60" t="n">
        <f aca="false">IF(BP711="LOSE",1,0)</f>
        <v>1</v>
      </c>
      <c r="BS711" s="59" t="n">
        <f aca="false">IF(BR711=0,0,IF(N(R711)&gt;0,R711,IFERROR(VLOOKUP(D711,Parameter!$A$35:$C$64,3,0)+0,0)))</f>
        <v>0.03</v>
      </c>
      <c r="BT711" s="55" t="n">
        <f aca="false">IF(Y711&lt;&gt;"",Y711,X711)</f>
        <v>2</v>
      </c>
      <c r="BU711" s="55" t="str">
        <f aca="false">IF(BT711=1,"L1",IF(OR(BT711=2,BT711=3),"L23",IF(BT711="Aussen","Aussen","-")))</f>
        <v>L23</v>
      </c>
      <c r="BV711" s="66" t="n">
        <f aca="false">IF(N(Z711)&gt;0,Z711,0)</f>
        <v>0</v>
      </c>
      <c r="BW711" s="60" t="n">
        <f aca="false">IF(ISNUMBER(AC711),1,0)</f>
        <v>0</v>
      </c>
      <c r="BX711" s="57" t="n">
        <f aca="false">N(AC711)</f>
        <v>0</v>
      </c>
      <c r="BY711" s="57" t="n">
        <f aca="false">N(L711)+N(M711)</f>
        <v>1</v>
      </c>
      <c r="BZ711" s="57" t="n">
        <f aca="false">ROUNDUP(G711/BQ711,0)</f>
        <v>0</v>
      </c>
      <c r="CA711" s="57" t="n">
        <f aca="false">ROUNDUP(BX711/BQ711,0)</f>
        <v>0</v>
      </c>
      <c r="CB711" s="60" t="n">
        <f aca="false">IF(BR711=1,0,IFERROR(VLOOKUP(BP711,'Gebinde-Kategorie'!$A$5:$M$45,5,0)+0,0))</f>
        <v>0</v>
      </c>
      <c r="CC711" s="60" t="n">
        <f aca="false">IFERROR(IF(OR(BT711=1,BT711=2,BT711=3),N(INDEX(Parameter!$I$5:$I$7,BT711)),0),0)</f>
        <v>0</v>
      </c>
      <c r="CD711" s="59" t="n">
        <f aca="false">IF(AND(Parameter!$B$21="Ja",ISNUMBER(U711),N(V711)&gt;0),IFERROR(N(INDEX(Parameter!$L$5:$L$7,U711))*INDEX(Parameter!$E$5:$E$7,U711)*V711/SUMIFS($V$7:$V$1576,$U$7:$U$1576,U711),0),0)</f>
        <v>0</v>
      </c>
    </row>
    <row r="712" customFormat="false" ht="15" hidden="false" customHeight="false" outlineLevel="0" collapsed="false">
      <c r="A712" s="55" t="s">
        <v>1408</v>
      </c>
      <c r="B712" s="55" t="s">
        <v>452</v>
      </c>
      <c r="C712" s="55" t="s">
        <v>160</v>
      </c>
      <c r="D712" s="55" t="s">
        <v>168</v>
      </c>
      <c r="E712" s="55" t="s">
        <v>210</v>
      </c>
      <c r="F712" s="56" t="n">
        <v>531.26</v>
      </c>
      <c r="G712" s="57" t="n">
        <f aca="false">MAX(0,IF(AND(Parameter!$B$21="Ja",ISNUMBER(W712)),W712,IF(Parameter!$B$20="Jahresanfang 2025 + Export",BJ712+BI712,BI712)))</f>
        <v>0</v>
      </c>
      <c r="H712" s="57" t="n">
        <f aca="false">G712*F712</f>
        <v>0</v>
      </c>
      <c r="I712" s="57" t="n">
        <f aca="false">BL712*Parameter!$B$18</f>
        <v>0</v>
      </c>
      <c r="J712" s="58" t="n">
        <v>0</v>
      </c>
      <c r="K712" s="59" t="n">
        <v>0</v>
      </c>
      <c r="L712" s="57" t="n">
        <v>0</v>
      </c>
      <c r="M712" s="57" t="n">
        <v>1</v>
      </c>
      <c r="N712" s="60" t="n">
        <v>28</v>
      </c>
      <c r="O712" s="55" t="s">
        <v>163</v>
      </c>
      <c r="P712" s="57"/>
      <c r="Q712" s="60" t="n">
        <f aca="false">IF(BR712=1,0,IFERROR(VLOOKUP(BP712,'Gebinde-Kategorie'!$A$5:$M$45,13,0)+0,0))</f>
        <v>0</v>
      </c>
      <c r="R712" s="61"/>
      <c r="S712" s="62"/>
      <c r="T712" s="62"/>
      <c r="U712" s="55"/>
      <c r="V712" s="57"/>
      <c r="W712" s="57"/>
      <c r="X712" s="55" t="n">
        <f aca="false">IF(A712="","",IF(AND(Parameter!$B$21="Ja",ISNUMBER(U712)),U712,IF(IFERROR(VLOOKUP(D712,Parameter!$A$35:$C$64,2,0),"Nein")="2+3",IF(ISNUMBER(SEARCH("grosser Artikel",BM712)),2,IFERROR(VLOOKUP(BP712,Parameter!$F$35:$G$64,2,0),2)),IF(OR(IFERROR(VLOOKUP(D712,Parameter!$A$35:$C$64,2,0),"Nein")="Nein",IFERROR(VLOOKUP(D712,Parameter!$A$35:$C$64,2,0),"Nein")=""),"-",VLOOKUP(D712,Parameter!$A$35:$C$64,2,0)))))</f>
        <v>2</v>
      </c>
      <c r="Y712" s="62"/>
      <c r="Z712" s="63"/>
      <c r="AA712" s="57" t="n">
        <f aca="false">AP712</f>
        <v>1</v>
      </c>
      <c r="AB712" s="57" t="n">
        <f aca="false">MAX(AP712,G712)</f>
        <v>1</v>
      </c>
      <c r="AC712" s="64"/>
      <c r="AD712" s="57" t="n">
        <f aca="false">IF(LEFT(Cockpit!$C$5,1)="A",G712,IF(BW712=1,BX712,IF(LEFT(Cockpit!$C$5,1)="B",AH712,MAX(AH712,G712))))</f>
        <v>0</v>
      </c>
      <c r="AE712" s="57" t="n">
        <f aca="false">IF(BR712=1,0,ROUNDUP(AD712/BQ712,0))</f>
        <v>0</v>
      </c>
      <c r="AF712" s="59" t="n">
        <f aca="false">IF(CD712&gt;0,CD712*MAX(1,AD712/V712),IF(BR712=1,IF(AD712&lt;=0,0,BS712*MAX(1,IF(G712&gt;0,AD712/G712,1))),IF(Q712&gt;0,AE712/Q712,0))/MAX(0.1,N(Parameter!$M$21)))</f>
        <v>0</v>
      </c>
      <c r="AG712" s="57" t="n">
        <f aca="false">AD712*F712</f>
        <v>0</v>
      </c>
      <c r="AH712" s="57" t="n">
        <f aca="false">ROUNDUP(MAX(I712/IF(BV712&gt;0,BV712,MAX(0.1,N(Cockpit!$C$6))),BY712)/BQ712,0)*BQ712</f>
        <v>1</v>
      </c>
      <c r="AI712" s="58" t="n">
        <f aca="false">IF(AF712&gt;0,I712/AF712,-1)</f>
        <v>-1</v>
      </c>
      <c r="AJ712" s="58" t="str">
        <f aca="false">IF(AND(OR(BU712="L1",BU712="L23"),AF712&gt;0),SUMIFS($AF$7:$AF$1576,$BU$7:$BU$1576,BU712,$AI$7:$AI$1576,"&gt;"&amp;AI712)+SUMIFS($AF$7:$AF$1576,$BU$7:$BU$1576,BU712,$AI$7:$AI$1576,AI712,$BO$7:$BO$1576,"&lt;="&amp;BO712),"")</f>
        <v/>
      </c>
      <c r="AK712" s="65" t="n">
        <f aca="false">IF(AJ712="",0,MAX(0,MIN(1,(IF(BU712="L1",Parameter!$E$5,Parameter!$E$6+Parameter!$E$7)-(AJ712-AF712))/AF712)))</f>
        <v>0</v>
      </c>
      <c r="AL712" s="57" t="n">
        <f aca="false">IF(LEFT(Cockpit!$I$5,1)="A",G712,IF(BW712=1,BX712,IF(LEFT(Cockpit!$I$5,1)="B",AP712,MAX(AP712,G712))))</f>
        <v>1</v>
      </c>
      <c r="AM712" s="57" t="n">
        <f aca="false">IF(BR712=1,0,ROUNDUP(AL712/BQ712,0))</f>
        <v>0</v>
      </c>
      <c r="AN712" s="59" t="n">
        <f aca="false">IF(CD712&gt;0,CD712*MAX(1,AL712/V712),IF(BR712=1,IF(AL712&lt;=0,0,BS712*MAX(1,IF(G712&gt;0,AL712/G712,1))),IF(Q712&gt;0,AM712/Q712,0))/MAX(0.1,N(Parameter!$M$21)))</f>
        <v>0.15</v>
      </c>
      <c r="AO712" s="57" t="n">
        <f aca="false">AL712*F712</f>
        <v>531.26</v>
      </c>
      <c r="AP712" s="57" t="n">
        <f aca="false">ROUNDUP(MAX(I712/IF(BV712&gt;0,BV712,MAX(0.1,N(Cockpit!$I$6))),BY712)/BQ712,0)*BQ712</f>
        <v>1</v>
      </c>
      <c r="AQ712" s="58" t="n">
        <f aca="false">IF(AN712&gt;0,I712/AN712,-1)</f>
        <v>0</v>
      </c>
      <c r="AR712" s="58" t="n">
        <f aca="false">IF(AND(OR(BU712="L1",BU712="L23"),AN712&gt;0),SUMIFS($AN$7:$AN$1576,$BU$7:$BU$1576,BU712,$AQ$7:$AQ$1576,"&gt;"&amp;AQ712)+SUMIFS($AN$7:$AN$1576,$BU$7:$BU$1576,BU712,$AQ$7:$AQ$1576,AQ712,$BO$7:$BO$1576,"&lt;="&amp;BO712),"")</f>
        <v>129.354862408171</v>
      </c>
      <c r="AS712" s="65" t="n">
        <f aca="false">IF(AR712="",0,MAX(0,MIN(1,(IF(BU712="L1",Parameter!$E$5,Parameter!$E$6+Parameter!$E$7)-(AR712-AN712))/AN712)))</f>
        <v>0</v>
      </c>
      <c r="AT712" s="57" t="n">
        <f aca="false">IF(LEFT(Cockpit!$O$5,1)="A",G712,IF(BW712=1,BX712,IF(LEFT(Cockpit!$O$5,1)="B",AX712,MAX(AX712,G712))))</f>
        <v>1</v>
      </c>
      <c r="AU712" s="57" t="n">
        <f aca="false">IF(BR712=1,0,ROUNDUP(AT712/BQ712,0))</f>
        <v>0</v>
      </c>
      <c r="AV712" s="59" t="n">
        <f aca="false">IF(CD712&gt;0,CD712*MAX(1,AT712/V712),IF(BR712=1,IF(AT712&lt;=0,0,BS712*MAX(1,IF(G712&gt;0,AT712/G712,1))),IF(Q712&gt;0,AU712/Q712,0))/MAX(0.1,N(Parameter!$M$21)))</f>
        <v>0.15</v>
      </c>
      <c r="AW712" s="57" t="n">
        <f aca="false">AT712*F712</f>
        <v>531.26</v>
      </c>
      <c r="AX712" s="57" t="n">
        <f aca="false">ROUNDUP(MAX(I712/IF(BV712&gt;0,BV712,MAX(0.1,N(Cockpit!$O$6))),BY712)/BQ712,0)*BQ712</f>
        <v>1</v>
      </c>
      <c r="AY712" s="58" t="n">
        <f aca="false">IF(AV712&gt;0,I712/AV712,-1)</f>
        <v>0</v>
      </c>
      <c r="AZ712" s="58" t="n">
        <f aca="false">IF(AND(OR(BU712="L1",BU712="L23"),AV712&gt;0),SUMIFS($AV$7:$AV$1576,$BU$7:$BU$1576,BU712,$AY$7:$AY$1576,"&gt;"&amp;AY712)+SUMIFS($AV$7:$AV$1576,$BU$7:$BU$1576,BU712,$AY$7:$AY$1576,AY712,$BO$7:$BO$1576,"&lt;="&amp;BO712),"")</f>
        <v>119.414412857721</v>
      </c>
      <c r="BA712" s="65" t="n">
        <f aca="false">IF(AZ712="",0,MAX(0,MIN(1,(IF(BU712="L1",Parameter!$E$5,Parameter!$E$6+Parameter!$E$7)-(AZ712-AV712))/AV712)))</f>
        <v>0</v>
      </c>
      <c r="BB712" s="55" t="str">
        <f aca="false">IF(AF712&lt;=0,"",IF(BU712="Aussen","Aussenlager",IF(BU712="-","Nicht im Lift",IF(AK712&gt;=1,"Lift",IF(AK712&lt;=0,"Aussenlager","teilweise")))))</f>
        <v/>
      </c>
      <c r="BC712" s="55" t="str">
        <f aca="false">IF(AN712&lt;=0,"",IF(BU712="Aussen","Aussenlager",IF(BU712="-","Nicht im Lift",IF(AS712&gt;=1,"Lift",IF(AS712&lt;=0,"Aussenlager","teilweise")))))</f>
        <v>Aussenlager</v>
      </c>
      <c r="BD712" s="55" t="str">
        <f aca="false">IF(AV712&lt;=0,"",IF(BU712="Aussen","Aussenlager",IF(BU712="-","Nicht im Lift",IF(BA712&gt;=1,"Lift",IF(BA712&lt;=0,"Aussenlager","teilweise")))))</f>
        <v>Aussenlager</v>
      </c>
      <c r="BE712" s="55" t="str">
        <f aca="false">IF(A712="","",IF(BN712=1,"Neu; ","")&amp;IF(AND(BN712=0,BI712&lt;0),"negativer Bestand (Export "&amp;BI712&amp;"); ","")&amp;IF(I712&lt;=0,"Kein Verbrauch; ","")&amp;IF(CD712&gt;0,"Lift "&amp;U712&amp;" lt. Liftbericht (Fach "&amp;V712&amp;" Stk); ",IF(BR712=1,"Lose – Fläche geschätzt; ",""))&amp;IF(G712&gt;AP712,"Überbestand "&amp;ROUND(G712-AP712,0)&amp;" Stk / CHF "&amp;ROUND((G712-AP712)*F712,0)&amp;"; ","")&amp;IF(AND(BW712=1,BX712&lt;BY712),"MAX &lt; MB+LG; ","")&amp;IF(AND(CC712&gt;0,CB712*10&gt;CC712),"zu hoch für Tablar; ","")&amp;IF(AND(BN712=0,OR(BW712=1,Y712&lt;&gt;"",S712&lt;&gt;"",T712&lt;&gt;"",Z712&lt;&gt;"")),"manuell übersteuert; ","")&amp;IF(AND(BR712=0,Q712=0),"Gebinde unbekannt / Stellmass fehlt; ","")&amp;IF(AND(BR712=0,N(T712)&lt;=0,N(P712)&lt;=0),"Menge pro Gebinde fehlt (Ist = 1 Gebinde); ","")&amp;BM712)</f>
        <v>Kein Verbrauch; Lose – Fläche geschätzt; </v>
      </c>
      <c r="BF712" s="55"/>
      <c r="BG712" s="55"/>
      <c r="BH712" s="62"/>
      <c r="BI712" s="57" t="n">
        <v>0</v>
      </c>
      <c r="BJ712" s="57" t="n">
        <v>0</v>
      </c>
      <c r="BK712" s="56" t="n">
        <v>0</v>
      </c>
      <c r="BL712" s="57" t="n">
        <v>0</v>
      </c>
      <c r="BM712" s="55"/>
      <c r="BN712" s="60" t="n">
        <v>0</v>
      </c>
      <c r="BO712" s="60" t="n">
        <v>712</v>
      </c>
      <c r="BP712" s="55" t="str">
        <f aca="false">IF(S712&lt;&gt;"",UPPER(TRIM(S712)),IF(O712="","LOSE",O712))</f>
        <v>LOSE</v>
      </c>
      <c r="BQ712" s="57" t="n">
        <f aca="false">IF(BP712="LOSE",1,IF(N(T712)&gt;0,T712,IF(N(P712)&gt;0,P712,MAX(1,G712))))</f>
        <v>1</v>
      </c>
      <c r="BR712" s="60" t="n">
        <f aca="false">IF(BP712="LOSE",1,0)</f>
        <v>1</v>
      </c>
      <c r="BS712" s="59" t="n">
        <f aca="false">IF(BR712=0,0,IF(N(R712)&gt;0,R712,IFERROR(VLOOKUP(D712,Parameter!$A$35:$C$64,3,0)+0,0)))</f>
        <v>0.15</v>
      </c>
      <c r="BT712" s="55" t="n">
        <f aca="false">IF(Y712&lt;&gt;"",Y712,X712)</f>
        <v>2</v>
      </c>
      <c r="BU712" s="55" t="str">
        <f aca="false">IF(BT712=1,"L1",IF(OR(BT712=2,BT712=3),"L23",IF(BT712="Aussen","Aussen","-")))</f>
        <v>L23</v>
      </c>
      <c r="BV712" s="66" t="n">
        <f aca="false">IF(N(Z712)&gt;0,Z712,0)</f>
        <v>0</v>
      </c>
      <c r="BW712" s="60" t="n">
        <f aca="false">IF(ISNUMBER(AC712),1,0)</f>
        <v>0</v>
      </c>
      <c r="BX712" s="57" t="n">
        <f aca="false">N(AC712)</f>
        <v>0</v>
      </c>
      <c r="BY712" s="57" t="n">
        <f aca="false">N(L712)+N(M712)</f>
        <v>1</v>
      </c>
      <c r="BZ712" s="57" t="n">
        <f aca="false">ROUNDUP(G712/BQ712,0)</f>
        <v>0</v>
      </c>
      <c r="CA712" s="57" t="n">
        <f aca="false">ROUNDUP(BX712/BQ712,0)</f>
        <v>0</v>
      </c>
      <c r="CB712" s="60" t="n">
        <f aca="false">IF(BR712=1,0,IFERROR(VLOOKUP(BP712,'Gebinde-Kategorie'!$A$5:$M$45,5,0)+0,0))</f>
        <v>0</v>
      </c>
      <c r="CC712" s="60" t="n">
        <f aca="false">IFERROR(IF(OR(BT712=1,BT712=2,BT712=3),N(INDEX(Parameter!$I$5:$I$7,BT712)),0),0)</f>
        <v>0</v>
      </c>
      <c r="CD712" s="59" t="n">
        <f aca="false">IF(AND(Parameter!$B$21="Ja",ISNUMBER(U712),N(V712)&gt;0),IFERROR(N(INDEX(Parameter!$L$5:$L$7,U712))*INDEX(Parameter!$E$5:$E$7,U712)*V712/SUMIFS($V$7:$V$1576,$U$7:$U$1576,U712),0),0)</f>
        <v>0</v>
      </c>
    </row>
    <row r="713" customFormat="false" ht="15" hidden="false" customHeight="false" outlineLevel="0" collapsed="false">
      <c r="A713" s="55" t="s">
        <v>1409</v>
      </c>
      <c r="B713" s="55" t="s">
        <v>1410</v>
      </c>
      <c r="C713" s="55" t="s">
        <v>160</v>
      </c>
      <c r="D713" s="55" t="s">
        <v>168</v>
      </c>
      <c r="E713" s="55" t="s">
        <v>210</v>
      </c>
      <c r="F713" s="56" t="n">
        <v>700</v>
      </c>
      <c r="G713" s="57" t="n">
        <f aca="false">MAX(0,IF(AND(Parameter!$B$21="Ja",ISNUMBER(W713)),W713,IF(Parameter!$B$20="Jahresanfang 2025 + Export",BJ713+BI713,BI713)))</f>
        <v>0</v>
      </c>
      <c r="H713" s="57" t="n">
        <f aca="false">G713*F713</f>
        <v>0</v>
      </c>
      <c r="I713" s="57" t="n">
        <f aca="false">BL713*Parameter!$B$18</f>
        <v>4</v>
      </c>
      <c r="J713" s="58" t="n">
        <v>0</v>
      </c>
      <c r="K713" s="59" t="n">
        <v>0</v>
      </c>
      <c r="L713" s="57" t="n">
        <v>0</v>
      </c>
      <c r="M713" s="57" t="n">
        <v>5</v>
      </c>
      <c r="N713" s="60" t="n">
        <v>21</v>
      </c>
      <c r="O713" s="55" t="s">
        <v>163</v>
      </c>
      <c r="P713" s="57"/>
      <c r="Q713" s="60" t="n">
        <f aca="false">IF(BR713=1,0,IFERROR(VLOOKUP(BP713,'Gebinde-Kategorie'!$A$5:$M$45,13,0)+0,0))</f>
        <v>0</v>
      </c>
      <c r="R713" s="61"/>
      <c r="S713" s="62"/>
      <c r="T713" s="62"/>
      <c r="U713" s="55"/>
      <c r="V713" s="57"/>
      <c r="W713" s="57"/>
      <c r="X713" s="55" t="n">
        <f aca="false">IF(A713="","",IF(AND(Parameter!$B$21="Ja",ISNUMBER(U713)),U713,IF(IFERROR(VLOOKUP(D713,Parameter!$A$35:$C$64,2,0),"Nein")="2+3",IF(ISNUMBER(SEARCH("grosser Artikel",BM713)),2,IFERROR(VLOOKUP(BP713,Parameter!$F$35:$G$64,2,0),2)),IF(OR(IFERROR(VLOOKUP(D713,Parameter!$A$35:$C$64,2,0),"Nein")="Nein",IFERROR(VLOOKUP(D713,Parameter!$A$35:$C$64,2,0),"Nein")=""),"-",VLOOKUP(D713,Parameter!$A$35:$C$64,2,0)))))</f>
        <v>2</v>
      </c>
      <c r="Y713" s="62"/>
      <c r="Z713" s="63"/>
      <c r="AA713" s="57" t="n">
        <f aca="false">AP713</f>
        <v>5</v>
      </c>
      <c r="AB713" s="57" t="n">
        <f aca="false">MAX(AP713,G713)</f>
        <v>5</v>
      </c>
      <c r="AC713" s="64"/>
      <c r="AD713" s="57" t="n">
        <f aca="false">IF(LEFT(Cockpit!$C$5,1)="A",G713,IF(BW713=1,BX713,IF(LEFT(Cockpit!$C$5,1)="B",AH713,MAX(AH713,G713))))</f>
        <v>0</v>
      </c>
      <c r="AE713" s="57" t="n">
        <f aca="false">IF(BR713=1,0,ROUNDUP(AD713/BQ713,0))</f>
        <v>0</v>
      </c>
      <c r="AF713" s="59" t="n">
        <f aca="false">IF(CD713&gt;0,CD713*MAX(1,AD713/V713),IF(BR713=1,IF(AD713&lt;=0,0,BS713*MAX(1,IF(G713&gt;0,AD713/G713,1))),IF(Q713&gt;0,AE713/Q713,0))/MAX(0.1,N(Parameter!$M$21)))</f>
        <v>0</v>
      </c>
      <c r="AG713" s="57" t="n">
        <f aca="false">AD713*F713</f>
        <v>0</v>
      </c>
      <c r="AH713" s="57" t="n">
        <f aca="false">ROUNDUP(MAX(I713/IF(BV713&gt;0,BV713,MAX(0.1,N(Cockpit!$C$6))),BY713)/BQ713,0)*BQ713</f>
        <v>5</v>
      </c>
      <c r="AI713" s="58" t="n">
        <f aca="false">IF(AF713&gt;0,I713/AF713,-1)</f>
        <v>-1</v>
      </c>
      <c r="AJ713" s="58" t="str">
        <f aca="false">IF(AND(OR(BU713="L1",BU713="L23"),AF713&gt;0),SUMIFS($AF$7:$AF$1576,$BU$7:$BU$1576,BU713,$AI$7:$AI$1576,"&gt;"&amp;AI713)+SUMIFS($AF$7:$AF$1576,$BU$7:$BU$1576,BU713,$AI$7:$AI$1576,AI713,$BO$7:$BO$1576,"&lt;="&amp;BO713),"")</f>
        <v/>
      </c>
      <c r="AK713" s="65" t="n">
        <f aca="false">IF(AJ713="",0,MAX(0,MIN(1,(IF(BU713="L1",Parameter!$E$5,Parameter!$E$6+Parameter!$E$7)-(AJ713-AF713))/AF713)))</f>
        <v>0</v>
      </c>
      <c r="AL713" s="57" t="n">
        <f aca="false">IF(LEFT(Cockpit!$I$5,1)="A",G713,IF(BW713=1,BX713,IF(LEFT(Cockpit!$I$5,1)="B",AP713,MAX(AP713,G713))))</f>
        <v>5</v>
      </c>
      <c r="AM713" s="57" t="n">
        <f aca="false">IF(BR713=1,0,ROUNDUP(AL713/BQ713,0))</f>
        <v>0</v>
      </c>
      <c r="AN713" s="59" t="n">
        <f aca="false">IF(CD713&gt;0,CD713*MAX(1,AL713/V713),IF(BR713=1,IF(AL713&lt;=0,0,BS713*MAX(1,IF(G713&gt;0,AL713/G713,1))),IF(Q713&gt;0,AM713/Q713,0))/MAX(0.1,N(Parameter!$M$21)))</f>
        <v>0.15</v>
      </c>
      <c r="AO713" s="57" t="n">
        <f aca="false">AL713*F713</f>
        <v>3500</v>
      </c>
      <c r="AP713" s="57" t="n">
        <f aca="false">ROUNDUP(MAX(I713/IF(BV713&gt;0,BV713,MAX(0.1,N(Cockpit!$I$6))),BY713)/BQ713,0)*BQ713</f>
        <v>5</v>
      </c>
      <c r="AQ713" s="58" t="n">
        <f aca="false">IF(AN713&gt;0,I713/AN713,-1)</f>
        <v>26.6666666666667</v>
      </c>
      <c r="AR713" s="58" t="n">
        <f aca="false">IF(AND(OR(BU713="L1",BU713="L23"),AN713&gt;0),SUMIFS($AN$7:$AN$1576,$BU$7:$BU$1576,BU713,$AQ$7:$AQ$1576,"&gt;"&amp;AQ713)+SUMIFS($AN$7:$AN$1576,$BU$7:$BU$1576,BU713,$AQ$7:$AQ$1576,AQ713,$BO$7:$BO$1576,"&lt;="&amp;BO713),"")</f>
        <v>96.7424345886957</v>
      </c>
      <c r="AS713" s="65" t="n">
        <f aca="false">IF(AR713="",0,MAX(0,MIN(1,(IF(BU713="L1",Parameter!$E$5,Parameter!$E$6+Parameter!$E$7)-(AR713-AN713))/AN713)))</f>
        <v>1</v>
      </c>
      <c r="AT713" s="57" t="n">
        <f aca="false">IF(LEFT(Cockpit!$O$5,1)="A",G713,IF(BW713=1,BX713,IF(LEFT(Cockpit!$O$5,1)="B",AX713,MAX(AX713,G713))))</f>
        <v>5</v>
      </c>
      <c r="AU713" s="57" t="n">
        <f aca="false">IF(BR713=1,0,ROUNDUP(AT713/BQ713,0))</f>
        <v>0</v>
      </c>
      <c r="AV713" s="59" t="n">
        <f aca="false">IF(CD713&gt;0,CD713*MAX(1,AT713/V713),IF(BR713=1,IF(AT713&lt;=0,0,BS713*MAX(1,IF(G713&gt;0,AT713/G713,1))),IF(Q713&gt;0,AU713/Q713,0))/MAX(0.1,N(Parameter!$M$21)))</f>
        <v>0.15</v>
      </c>
      <c r="AW713" s="57" t="n">
        <f aca="false">AT713*F713</f>
        <v>3500</v>
      </c>
      <c r="AX713" s="57" t="n">
        <f aca="false">ROUNDUP(MAX(I713/IF(BV713&gt;0,BV713,MAX(0.1,N(Cockpit!$O$6))),BY713)/BQ713,0)*BQ713</f>
        <v>5</v>
      </c>
      <c r="AY713" s="58" t="n">
        <f aca="false">IF(AV713&gt;0,I713/AV713,-1)</f>
        <v>26.6666666666667</v>
      </c>
      <c r="AZ713" s="58" t="n">
        <f aca="false">IF(AND(OR(BU713="L1",BU713="L23"),AV713&gt;0),SUMIFS($AV$7:$AV$1576,$BU$7:$BU$1576,BU713,$AY$7:$AY$1576,"&gt;"&amp;AY713)+SUMIFS($AV$7:$AV$1576,$BU$7:$BU$1576,BU713,$AY$7:$AY$1576,AY713,$BO$7:$BO$1576,"&lt;="&amp;BO713),"")</f>
        <v>87.5519850382462</v>
      </c>
      <c r="BA713" s="65" t="n">
        <f aca="false">IF(AZ713="",0,MAX(0,MIN(1,(IF(BU713="L1",Parameter!$E$5,Parameter!$E$6+Parameter!$E$7)-(AZ713-AV713))/AV713)))</f>
        <v>1</v>
      </c>
      <c r="BB713" s="55" t="str">
        <f aca="false">IF(AF713&lt;=0,"",IF(BU713="Aussen","Aussenlager",IF(BU713="-","Nicht im Lift",IF(AK713&gt;=1,"Lift",IF(AK713&lt;=0,"Aussenlager","teilweise")))))</f>
        <v/>
      </c>
      <c r="BC713" s="55" t="str">
        <f aca="false">IF(AN713&lt;=0,"",IF(BU713="Aussen","Aussenlager",IF(BU713="-","Nicht im Lift",IF(AS713&gt;=1,"Lift",IF(AS713&lt;=0,"Aussenlager","teilweise")))))</f>
        <v>Lift</v>
      </c>
      <c r="BD713" s="55" t="str">
        <f aca="false">IF(AV713&lt;=0,"",IF(BU713="Aussen","Aussenlager",IF(BU713="-","Nicht im Lift",IF(BA713&gt;=1,"Lift",IF(BA713&lt;=0,"Aussenlager","teilweise")))))</f>
        <v>Lift</v>
      </c>
      <c r="BE713" s="55" t="str">
        <f aca="false">IF(A713="","",IF(BN713=1,"Neu; ","")&amp;IF(AND(BN713=0,BI713&lt;0),"negativer Bestand (Export "&amp;BI713&amp;"); ","")&amp;IF(I713&lt;=0,"Kein Verbrauch; ","")&amp;IF(CD713&gt;0,"Lift "&amp;U713&amp;" lt. Liftbericht (Fach "&amp;V713&amp;" Stk); ",IF(BR713=1,"Lose – Fläche geschätzt; ",""))&amp;IF(G713&gt;AP713,"Überbestand "&amp;ROUND(G713-AP713,0)&amp;" Stk / CHF "&amp;ROUND((G713-AP713)*F713,0)&amp;"; ","")&amp;IF(AND(BW713=1,BX713&lt;BY713),"MAX &lt; MB+LG; ","")&amp;IF(AND(CC713&gt;0,CB713*10&gt;CC713),"zu hoch für Tablar; ","")&amp;IF(AND(BN713=0,OR(BW713=1,Y713&lt;&gt;"",S713&lt;&gt;"",T713&lt;&gt;"",Z713&lt;&gt;"")),"manuell übersteuert; ","")&amp;IF(AND(BR713=0,Q713=0),"Gebinde unbekannt / Stellmass fehlt; ","")&amp;IF(AND(BR713=0,N(T713)&lt;=0,N(P713)&lt;=0),"Menge pro Gebinde fehlt (Ist = 1 Gebinde); ","")&amp;BM713)</f>
        <v>Lose – Fläche geschätzt; </v>
      </c>
      <c r="BF713" s="55"/>
      <c r="BG713" s="55"/>
      <c r="BH713" s="62"/>
      <c r="BI713" s="57" t="n">
        <v>0</v>
      </c>
      <c r="BJ713" s="57" t="n">
        <v>0</v>
      </c>
      <c r="BK713" s="56" t="n">
        <v>0</v>
      </c>
      <c r="BL713" s="57" t="n">
        <v>4</v>
      </c>
      <c r="BM713" s="55"/>
      <c r="BN713" s="60" t="n">
        <v>0</v>
      </c>
      <c r="BO713" s="60" t="n">
        <v>713</v>
      </c>
      <c r="BP713" s="55" t="str">
        <f aca="false">IF(S713&lt;&gt;"",UPPER(TRIM(S713)),IF(O713="","LOSE",O713))</f>
        <v>LOSE</v>
      </c>
      <c r="BQ713" s="57" t="n">
        <f aca="false">IF(BP713="LOSE",1,IF(N(T713)&gt;0,T713,IF(N(P713)&gt;0,P713,MAX(1,G713))))</f>
        <v>1</v>
      </c>
      <c r="BR713" s="60" t="n">
        <f aca="false">IF(BP713="LOSE",1,0)</f>
        <v>1</v>
      </c>
      <c r="BS713" s="59" t="n">
        <f aca="false">IF(BR713=0,0,IF(N(R713)&gt;0,R713,IFERROR(VLOOKUP(D713,Parameter!$A$35:$C$64,3,0)+0,0)))</f>
        <v>0.15</v>
      </c>
      <c r="BT713" s="55" t="n">
        <f aca="false">IF(Y713&lt;&gt;"",Y713,X713)</f>
        <v>2</v>
      </c>
      <c r="BU713" s="55" t="str">
        <f aca="false">IF(BT713=1,"L1",IF(OR(BT713=2,BT713=3),"L23",IF(BT713="Aussen","Aussen","-")))</f>
        <v>L23</v>
      </c>
      <c r="BV713" s="66" t="n">
        <f aca="false">IF(N(Z713)&gt;0,Z713,0)</f>
        <v>0</v>
      </c>
      <c r="BW713" s="60" t="n">
        <f aca="false">IF(ISNUMBER(AC713),1,0)</f>
        <v>0</v>
      </c>
      <c r="BX713" s="57" t="n">
        <f aca="false">N(AC713)</f>
        <v>0</v>
      </c>
      <c r="BY713" s="57" t="n">
        <f aca="false">N(L713)+N(M713)</f>
        <v>5</v>
      </c>
      <c r="BZ713" s="57" t="n">
        <f aca="false">ROUNDUP(G713/BQ713,0)</f>
        <v>0</v>
      </c>
      <c r="CA713" s="57" t="n">
        <f aca="false">ROUNDUP(BX713/BQ713,0)</f>
        <v>0</v>
      </c>
      <c r="CB713" s="60" t="n">
        <f aca="false">IF(BR713=1,0,IFERROR(VLOOKUP(BP713,'Gebinde-Kategorie'!$A$5:$M$45,5,0)+0,0))</f>
        <v>0</v>
      </c>
      <c r="CC713" s="60" t="n">
        <f aca="false">IFERROR(IF(OR(BT713=1,BT713=2,BT713=3),N(INDEX(Parameter!$I$5:$I$7,BT713)),0),0)</f>
        <v>0</v>
      </c>
      <c r="CD713" s="59" t="n">
        <f aca="false">IF(AND(Parameter!$B$21="Ja",ISNUMBER(U713),N(V713)&gt;0),IFERROR(N(INDEX(Parameter!$L$5:$L$7,U713))*INDEX(Parameter!$E$5:$E$7,U713)*V713/SUMIFS($V$7:$V$1576,$U$7:$U$1576,U713),0),0)</f>
        <v>0</v>
      </c>
    </row>
    <row r="714" customFormat="false" ht="15" hidden="false" customHeight="false" outlineLevel="0" collapsed="false">
      <c r="A714" s="55" t="s">
        <v>1411</v>
      </c>
      <c r="B714" s="55" t="s">
        <v>593</v>
      </c>
      <c r="C714" s="55" t="s">
        <v>160</v>
      </c>
      <c r="D714" s="55" t="s">
        <v>168</v>
      </c>
      <c r="E714" s="55" t="s">
        <v>210</v>
      </c>
      <c r="F714" s="56" t="n">
        <v>144.5</v>
      </c>
      <c r="G714" s="57" t="n">
        <f aca="false">MAX(0,IF(AND(Parameter!$B$21="Ja",ISNUMBER(W714)),W714,IF(Parameter!$B$20="Jahresanfang 2025 + Export",BJ714+BI714,BI714)))</f>
        <v>0</v>
      </c>
      <c r="H714" s="57" t="n">
        <f aca="false">G714*F714</f>
        <v>0</v>
      </c>
      <c r="I714" s="57" t="n">
        <f aca="false">BL714*Parameter!$B$18</f>
        <v>0</v>
      </c>
      <c r="J714" s="58" t="n">
        <v>13.5</v>
      </c>
      <c r="K714" s="59" t="n">
        <v>0</v>
      </c>
      <c r="L714" s="57" t="n">
        <v>0</v>
      </c>
      <c r="M714" s="57" t="n">
        <v>1</v>
      </c>
      <c r="N714" s="60" t="n">
        <v>49</v>
      </c>
      <c r="O714" s="55" t="s">
        <v>169</v>
      </c>
      <c r="P714" s="57" t="n">
        <v>15</v>
      </c>
      <c r="Q714" s="60" t="n">
        <f aca="false">IF(BR714=1,0,IFERROR(VLOOKUP(BP714,'Gebinde-Kategorie'!$A$5:$M$45,13,0)+0,0))</f>
        <v>6</v>
      </c>
      <c r="R714" s="61"/>
      <c r="S714" s="62"/>
      <c r="T714" s="62"/>
      <c r="U714" s="55"/>
      <c r="V714" s="57"/>
      <c r="W714" s="57"/>
      <c r="X714" s="55" t="n">
        <f aca="false">IF(A714="","",IF(AND(Parameter!$B$21="Ja",ISNUMBER(U714)),U714,IF(IFERROR(VLOOKUP(D714,Parameter!$A$35:$C$64,2,0),"Nein")="2+3",IF(ISNUMBER(SEARCH("grosser Artikel",BM714)),2,IFERROR(VLOOKUP(BP714,Parameter!$F$35:$G$64,2,0),2)),IF(OR(IFERROR(VLOOKUP(D714,Parameter!$A$35:$C$64,2,0),"Nein")="Nein",IFERROR(VLOOKUP(D714,Parameter!$A$35:$C$64,2,0),"Nein")=""),"-",VLOOKUP(D714,Parameter!$A$35:$C$64,2,0)))))</f>
        <v>2</v>
      </c>
      <c r="Y714" s="62"/>
      <c r="Z714" s="63"/>
      <c r="AA714" s="57" t="n">
        <f aca="false">AP714</f>
        <v>15</v>
      </c>
      <c r="AB714" s="57" t="n">
        <f aca="false">MAX(AP714,G714)</f>
        <v>15</v>
      </c>
      <c r="AC714" s="64"/>
      <c r="AD714" s="57" t="n">
        <f aca="false">IF(LEFT(Cockpit!$C$5,1)="A",G714,IF(BW714=1,BX714,IF(LEFT(Cockpit!$C$5,1)="B",AH714,MAX(AH714,G714))))</f>
        <v>0</v>
      </c>
      <c r="AE714" s="57" t="n">
        <f aca="false">IF(BR714=1,0,ROUNDUP(AD714/BQ714,0))</f>
        <v>0</v>
      </c>
      <c r="AF714" s="59" t="n">
        <f aca="false">IF(CD714&gt;0,CD714*MAX(1,AD714/V714),IF(BR714=1,IF(AD714&lt;=0,0,BS714*MAX(1,IF(G714&gt;0,AD714/G714,1))),IF(Q714&gt;0,AE714/Q714,0))/MAX(0.1,N(Parameter!$M$21)))</f>
        <v>0</v>
      </c>
      <c r="AG714" s="57" t="n">
        <f aca="false">AD714*F714</f>
        <v>0</v>
      </c>
      <c r="AH714" s="57" t="n">
        <f aca="false">ROUNDUP(MAX(I714/IF(BV714&gt;0,BV714,MAX(0.1,N(Cockpit!$C$6))),BY714)/BQ714,0)*BQ714</f>
        <v>15</v>
      </c>
      <c r="AI714" s="58" t="n">
        <f aca="false">IF(AF714&gt;0,I714/AF714,-1)</f>
        <v>-1</v>
      </c>
      <c r="AJ714" s="58" t="str">
        <f aca="false">IF(AND(OR(BU714="L1",BU714="L23"),AF714&gt;0),SUMIFS($AF$7:$AF$1576,$BU$7:$BU$1576,BU714,$AI$7:$AI$1576,"&gt;"&amp;AI714)+SUMIFS($AF$7:$AF$1576,$BU$7:$BU$1576,BU714,$AI$7:$AI$1576,AI714,$BO$7:$BO$1576,"&lt;="&amp;BO714),"")</f>
        <v/>
      </c>
      <c r="AK714" s="65" t="n">
        <f aca="false">IF(AJ714="",0,MAX(0,MIN(1,(IF(BU714="L1",Parameter!$E$5,Parameter!$E$6+Parameter!$E$7)-(AJ714-AF714))/AF714)))</f>
        <v>0</v>
      </c>
      <c r="AL714" s="57" t="n">
        <f aca="false">IF(LEFT(Cockpit!$I$5,1)="A",G714,IF(BW714=1,BX714,IF(LEFT(Cockpit!$I$5,1)="B",AP714,MAX(AP714,G714))))</f>
        <v>15</v>
      </c>
      <c r="AM714" s="57" t="n">
        <f aca="false">IF(BR714=1,0,ROUNDUP(AL714/BQ714,0))</f>
        <v>1</v>
      </c>
      <c r="AN714" s="59" t="n">
        <f aca="false">IF(CD714&gt;0,CD714*MAX(1,AL714/V714),IF(BR714=1,IF(AL714&lt;=0,0,BS714*MAX(1,IF(G714&gt;0,AL714/G714,1))),IF(Q714&gt;0,AM714/Q714,0))/MAX(0.1,N(Parameter!$M$21)))</f>
        <v>0.166666666666667</v>
      </c>
      <c r="AO714" s="57" t="n">
        <f aca="false">AL714*F714</f>
        <v>2167.5</v>
      </c>
      <c r="AP714" s="57" t="n">
        <f aca="false">ROUNDUP(MAX(I714/IF(BV714&gt;0,BV714,MAX(0.1,N(Cockpit!$I$6))),BY714)/BQ714,0)*BQ714</f>
        <v>15</v>
      </c>
      <c r="AQ714" s="58" t="n">
        <f aca="false">IF(AN714&gt;0,I714/AN714,-1)</f>
        <v>0</v>
      </c>
      <c r="AR714" s="58" t="n">
        <f aca="false">IF(AND(OR(BU714="L1",BU714="L23"),AN714&gt;0),SUMIFS($AN$7:$AN$1576,$BU$7:$BU$1576,BU714,$AQ$7:$AQ$1576,"&gt;"&amp;AQ714)+SUMIFS($AN$7:$AN$1576,$BU$7:$BU$1576,BU714,$AQ$7:$AQ$1576,AQ714,$BO$7:$BO$1576,"&lt;="&amp;BO714),"")</f>
        <v>129.521529074837</v>
      </c>
      <c r="AS714" s="65" t="n">
        <f aca="false">IF(AR714="",0,MAX(0,MIN(1,(IF(BU714="L1",Parameter!$E$5,Parameter!$E$6+Parameter!$E$7)-(AR714-AN714))/AN714)))</f>
        <v>0</v>
      </c>
      <c r="AT714" s="57" t="n">
        <f aca="false">IF(LEFT(Cockpit!$O$5,1)="A",G714,IF(BW714=1,BX714,IF(LEFT(Cockpit!$O$5,1)="B",AX714,MAX(AX714,G714))))</f>
        <v>15</v>
      </c>
      <c r="AU714" s="57" t="n">
        <f aca="false">IF(BR714=1,0,ROUNDUP(AT714/BQ714,0))</f>
        <v>1</v>
      </c>
      <c r="AV714" s="59" t="n">
        <f aca="false">IF(CD714&gt;0,CD714*MAX(1,AT714/V714),IF(BR714=1,IF(AT714&lt;=0,0,BS714*MAX(1,IF(G714&gt;0,AT714/G714,1))),IF(Q714&gt;0,AU714/Q714,0))/MAX(0.1,N(Parameter!$M$21)))</f>
        <v>0.166666666666667</v>
      </c>
      <c r="AW714" s="57" t="n">
        <f aca="false">AT714*F714</f>
        <v>2167.5</v>
      </c>
      <c r="AX714" s="57" t="n">
        <f aca="false">ROUNDUP(MAX(I714/IF(BV714&gt;0,BV714,MAX(0.1,N(Cockpit!$O$6))),BY714)/BQ714,0)*BQ714</f>
        <v>15</v>
      </c>
      <c r="AY714" s="58" t="n">
        <f aca="false">IF(AV714&gt;0,I714/AV714,-1)</f>
        <v>0</v>
      </c>
      <c r="AZ714" s="58" t="n">
        <f aca="false">IF(AND(OR(BU714="L1",BU714="L23"),AV714&gt;0),SUMIFS($AV$7:$AV$1576,$BU$7:$BU$1576,BU714,$AY$7:$AY$1576,"&gt;"&amp;AY714)+SUMIFS($AV$7:$AV$1576,$BU$7:$BU$1576,BU714,$AY$7:$AY$1576,AY714,$BO$7:$BO$1576,"&lt;="&amp;BO714),"")</f>
        <v>119.581079524388</v>
      </c>
      <c r="BA714" s="65" t="n">
        <f aca="false">IF(AZ714="",0,MAX(0,MIN(1,(IF(BU714="L1",Parameter!$E$5,Parameter!$E$6+Parameter!$E$7)-(AZ714-AV714))/AV714)))</f>
        <v>0</v>
      </c>
      <c r="BB714" s="55" t="str">
        <f aca="false">IF(AF714&lt;=0,"",IF(BU714="Aussen","Aussenlager",IF(BU714="-","Nicht im Lift",IF(AK714&gt;=1,"Lift",IF(AK714&lt;=0,"Aussenlager","teilweise")))))</f>
        <v/>
      </c>
      <c r="BC714" s="55" t="str">
        <f aca="false">IF(AN714&lt;=0,"",IF(BU714="Aussen","Aussenlager",IF(BU714="-","Nicht im Lift",IF(AS714&gt;=1,"Lift",IF(AS714&lt;=0,"Aussenlager","teilweise")))))</f>
        <v>Aussenlager</v>
      </c>
      <c r="BD714" s="55" t="str">
        <f aca="false">IF(AV714&lt;=0,"",IF(BU714="Aussen","Aussenlager",IF(BU714="-","Nicht im Lift",IF(BA714&gt;=1,"Lift",IF(BA714&lt;=0,"Aussenlager","teilweise")))))</f>
        <v>Aussenlager</v>
      </c>
      <c r="BE714" s="55" t="str">
        <f aca="false">IF(A714="","",IF(BN714=1,"Neu; ","")&amp;IF(AND(BN714=0,BI714&lt;0),"negativer Bestand (Export "&amp;BI714&amp;"); ","")&amp;IF(I714&lt;=0,"Kein Verbrauch; ","")&amp;IF(CD714&gt;0,"Lift "&amp;U714&amp;" lt. Liftbericht (Fach "&amp;V714&amp;" Stk); ",IF(BR714=1,"Lose – Fläche geschätzt; ",""))&amp;IF(G714&gt;AP714,"Überbestand "&amp;ROUND(G714-AP714,0)&amp;" Stk / CHF "&amp;ROUND((G714-AP714)*F714,0)&amp;"; ","")&amp;IF(AND(BW714=1,BX714&lt;BY714),"MAX &lt; MB+LG; ","")&amp;IF(AND(CC714&gt;0,CB714*10&gt;CC714),"zu hoch für Tablar; ","")&amp;IF(AND(BN714=0,OR(BW714=1,Y714&lt;&gt;"",S714&lt;&gt;"",T714&lt;&gt;"",Z714&lt;&gt;"")),"manuell übersteuert; ","")&amp;IF(AND(BR714=0,Q714=0),"Gebinde unbekannt / Stellmass fehlt; ","")&amp;IF(AND(BR714=0,N(T714)&lt;=0,N(P714)&lt;=0),"Menge pro Gebinde fehlt (Ist = 1 Gebinde); ","")&amp;BM714)</f>
        <v>Kein Verbrauch; Überbestand; grosser Artikel &amp; nicht im KTL</v>
      </c>
      <c r="BF714" s="55"/>
      <c r="BG714" s="55"/>
      <c r="BH714" s="62"/>
      <c r="BI714" s="57" t="n">
        <v>0</v>
      </c>
      <c r="BJ714" s="57" t="n">
        <v>13</v>
      </c>
      <c r="BK714" s="56" t="n">
        <v>0</v>
      </c>
      <c r="BL714" s="57" t="n">
        <v>0</v>
      </c>
      <c r="BM714" s="55" t="s">
        <v>350</v>
      </c>
      <c r="BN714" s="60" t="n">
        <v>0</v>
      </c>
      <c r="BO714" s="60" t="n">
        <v>714</v>
      </c>
      <c r="BP714" s="55" t="str">
        <f aca="false">IF(S714&lt;&gt;"",UPPER(TRIM(S714)),IF(O714="","LOSE",O714))</f>
        <v>S71</v>
      </c>
      <c r="BQ714" s="57" t="n">
        <f aca="false">IF(BP714="LOSE",1,IF(N(T714)&gt;0,T714,IF(N(P714)&gt;0,P714,MAX(1,G714))))</f>
        <v>15</v>
      </c>
      <c r="BR714" s="60" t="n">
        <f aca="false">IF(BP714="LOSE",1,0)</f>
        <v>0</v>
      </c>
      <c r="BS714" s="59" t="n">
        <f aca="false">IF(BR714=0,0,IF(N(R714)&gt;0,R714,IFERROR(VLOOKUP(D714,Parameter!$A$35:$C$64,3,0)+0,0)))</f>
        <v>0</v>
      </c>
      <c r="BT714" s="55" t="n">
        <f aca="false">IF(Y714&lt;&gt;"",Y714,X714)</f>
        <v>2</v>
      </c>
      <c r="BU714" s="55" t="str">
        <f aca="false">IF(BT714=1,"L1",IF(OR(BT714=2,BT714=3),"L23",IF(BT714="Aussen","Aussen","-")))</f>
        <v>L23</v>
      </c>
      <c r="BV714" s="66" t="n">
        <f aca="false">IF(N(Z714)&gt;0,Z714,0)</f>
        <v>0</v>
      </c>
      <c r="BW714" s="60" t="n">
        <f aca="false">IF(ISNUMBER(AC714),1,0)</f>
        <v>0</v>
      </c>
      <c r="BX714" s="57" t="n">
        <f aca="false">N(AC714)</f>
        <v>0</v>
      </c>
      <c r="BY714" s="57" t="n">
        <f aca="false">N(L714)+N(M714)</f>
        <v>1</v>
      </c>
      <c r="BZ714" s="57" t="n">
        <f aca="false">ROUNDUP(G714/BQ714,0)</f>
        <v>0</v>
      </c>
      <c r="CA714" s="57" t="n">
        <f aca="false">ROUNDUP(BX714/BQ714,0)</f>
        <v>0</v>
      </c>
      <c r="CB714" s="60" t="n">
        <f aca="false">IF(BR714=1,0,IFERROR(VLOOKUP(BP714,'Gebinde-Kategorie'!$A$5:$M$45,5,0)+0,0))</f>
        <v>20</v>
      </c>
      <c r="CC714" s="60" t="n">
        <f aca="false">IFERROR(IF(OR(BT714=1,BT714=2,BT714=3),N(INDEX(Parameter!$I$5:$I$7,BT714)),0),0)</f>
        <v>0</v>
      </c>
      <c r="CD714" s="59" t="n">
        <f aca="false">IF(AND(Parameter!$B$21="Ja",ISNUMBER(U714),N(V714)&gt;0),IFERROR(N(INDEX(Parameter!$L$5:$L$7,U714))*INDEX(Parameter!$E$5:$E$7,U714)*V714/SUMIFS($V$7:$V$1576,$U$7:$U$1576,U714),0),0)</f>
        <v>0</v>
      </c>
    </row>
    <row r="715" customFormat="false" ht="15" hidden="false" customHeight="false" outlineLevel="0" collapsed="false">
      <c r="A715" s="55" t="s">
        <v>1412</v>
      </c>
      <c r="B715" s="55" t="s">
        <v>1413</v>
      </c>
      <c r="C715" s="55" t="s">
        <v>160</v>
      </c>
      <c r="D715" s="55" t="s">
        <v>984</v>
      </c>
      <c r="E715" s="55" t="s">
        <v>210</v>
      </c>
      <c r="F715" s="56" t="n">
        <v>5572.64</v>
      </c>
      <c r="G715" s="57" t="n">
        <f aca="false">MAX(0,IF(AND(Parameter!$B$21="Ja",ISNUMBER(W715)),W715,IF(Parameter!$B$20="Jahresanfang 2025 + Export",BJ715+BI715,BI715)))</f>
        <v>5</v>
      </c>
      <c r="H715" s="57" t="n">
        <f aca="false">G715*F715</f>
        <v>27863.2</v>
      </c>
      <c r="I715" s="57" t="n">
        <f aca="false">BL715*Parameter!$B$18</f>
        <v>0</v>
      </c>
      <c r="J715" s="58" t="n">
        <v>0.5</v>
      </c>
      <c r="K715" s="59" t="n">
        <v>0</v>
      </c>
      <c r="L715" s="57" t="n">
        <v>0</v>
      </c>
      <c r="M715" s="57" t="n">
        <v>1</v>
      </c>
      <c r="N715" s="60" t="n">
        <v>28</v>
      </c>
      <c r="O715" s="55" t="s">
        <v>163</v>
      </c>
      <c r="P715" s="57"/>
      <c r="Q715" s="60" t="n">
        <f aca="false">IF(BR715=1,0,IFERROR(VLOOKUP(BP715,'Gebinde-Kategorie'!$A$5:$M$45,13,0)+0,0))</f>
        <v>0</v>
      </c>
      <c r="R715" s="61"/>
      <c r="S715" s="62"/>
      <c r="T715" s="62"/>
      <c r="U715" s="55"/>
      <c r="V715" s="57"/>
      <c r="W715" s="57"/>
      <c r="X715" s="55" t="str">
        <f aca="false">IF(A715="","",IF(AND(Parameter!$B$21="Ja",ISNUMBER(U715)),U715,IF(IFERROR(VLOOKUP(D715,Parameter!$A$35:$C$64,2,0),"Nein")="2+3",IF(ISNUMBER(SEARCH("grosser Artikel",BM715)),2,IFERROR(VLOOKUP(BP715,Parameter!$F$35:$G$64,2,0),2)),IF(OR(IFERROR(VLOOKUP(D715,Parameter!$A$35:$C$64,2,0),"Nein")="Nein",IFERROR(VLOOKUP(D715,Parameter!$A$35:$C$64,2,0),"Nein")=""),"-",VLOOKUP(D715,Parameter!$A$35:$C$64,2,0)))))</f>
        <v>-</v>
      </c>
      <c r="Y715" s="62"/>
      <c r="Z715" s="63"/>
      <c r="AA715" s="57" t="n">
        <f aca="false">AP715</f>
        <v>1</v>
      </c>
      <c r="AB715" s="57" t="n">
        <f aca="false">MAX(AP715,G715)</f>
        <v>5</v>
      </c>
      <c r="AC715" s="64"/>
      <c r="AD715" s="57" t="n">
        <f aca="false">IF(LEFT(Cockpit!$C$5,1)="A",G715,IF(BW715=1,BX715,IF(LEFT(Cockpit!$C$5,1)="B",AH715,MAX(AH715,G715))))</f>
        <v>5</v>
      </c>
      <c r="AE715" s="57" t="n">
        <f aca="false">IF(BR715=1,0,ROUNDUP(AD715/BQ715,0))</f>
        <v>0</v>
      </c>
      <c r="AF715" s="59" t="n">
        <f aca="false">IF(CD715&gt;0,CD715*MAX(1,AD715/V715),IF(BR715=1,IF(AD715&lt;=0,0,BS715*MAX(1,IF(G715&gt;0,AD715/G715,1))),IF(Q715&gt;0,AE715/Q715,0))/MAX(0.1,N(Parameter!$M$21)))</f>
        <v>0.15</v>
      </c>
      <c r="AG715" s="57" t="n">
        <f aca="false">AD715*F715</f>
        <v>27863.2</v>
      </c>
      <c r="AH715" s="57" t="n">
        <f aca="false">ROUNDUP(MAX(I715/IF(BV715&gt;0,BV715,MAX(0.1,N(Cockpit!$C$6))),BY715)/BQ715,0)*BQ715</f>
        <v>1</v>
      </c>
      <c r="AI715" s="58" t="n">
        <f aca="false">IF(AF715&gt;0,I715/AF715,-1)</f>
        <v>0</v>
      </c>
      <c r="AJ715" s="58" t="str">
        <f aca="false">IF(AND(OR(BU715="L1",BU715="L23"),AF715&gt;0),SUMIFS($AF$7:$AF$1576,$BU$7:$BU$1576,BU715,$AI$7:$AI$1576,"&gt;"&amp;AI715)+SUMIFS($AF$7:$AF$1576,$BU$7:$BU$1576,BU715,$AI$7:$AI$1576,AI715,$BO$7:$BO$1576,"&lt;="&amp;BO715),"")</f>
        <v/>
      </c>
      <c r="AK715" s="65" t="n">
        <f aca="false">IF(AJ715="",0,MAX(0,MIN(1,(IF(BU715="L1",Parameter!$E$5,Parameter!$E$6+Parameter!$E$7)-(AJ715-AF715))/AF715)))</f>
        <v>0</v>
      </c>
      <c r="AL715" s="57" t="n">
        <f aca="false">IF(LEFT(Cockpit!$I$5,1)="A",G715,IF(BW715=1,BX715,IF(LEFT(Cockpit!$I$5,1)="B",AP715,MAX(AP715,G715))))</f>
        <v>5</v>
      </c>
      <c r="AM715" s="57" t="n">
        <f aca="false">IF(BR715=1,0,ROUNDUP(AL715/BQ715,0))</f>
        <v>0</v>
      </c>
      <c r="AN715" s="59" t="n">
        <f aca="false">IF(CD715&gt;0,CD715*MAX(1,AL715/V715),IF(BR715=1,IF(AL715&lt;=0,0,BS715*MAX(1,IF(G715&gt;0,AL715/G715,1))),IF(Q715&gt;0,AM715/Q715,0))/MAX(0.1,N(Parameter!$M$21)))</f>
        <v>0.15</v>
      </c>
      <c r="AO715" s="57" t="n">
        <f aca="false">AL715*F715</f>
        <v>27863.2</v>
      </c>
      <c r="AP715" s="57" t="n">
        <f aca="false">ROUNDUP(MAX(I715/IF(BV715&gt;0,BV715,MAX(0.1,N(Cockpit!$I$6))),BY715)/BQ715,0)*BQ715</f>
        <v>1</v>
      </c>
      <c r="AQ715" s="58" t="n">
        <f aca="false">IF(AN715&gt;0,I715/AN715,-1)</f>
        <v>0</v>
      </c>
      <c r="AR715" s="58" t="str">
        <f aca="false">IF(AND(OR(BU715="L1",BU715="L23"),AN715&gt;0),SUMIFS($AN$7:$AN$1576,$BU$7:$BU$1576,BU715,$AQ$7:$AQ$1576,"&gt;"&amp;AQ715)+SUMIFS($AN$7:$AN$1576,$BU$7:$BU$1576,BU715,$AQ$7:$AQ$1576,AQ715,$BO$7:$BO$1576,"&lt;="&amp;BO715),"")</f>
        <v/>
      </c>
      <c r="AS715" s="65" t="n">
        <f aca="false">IF(AR715="",0,MAX(0,MIN(1,(IF(BU715="L1",Parameter!$E$5,Parameter!$E$6+Parameter!$E$7)-(AR715-AN715))/AN715)))</f>
        <v>0</v>
      </c>
      <c r="AT715" s="57" t="n">
        <f aca="false">IF(LEFT(Cockpit!$O$5,1)="A",G715,IF(BW715=1,BX715,IF(LEFT(Cockpit!$O$5,1)="B",AX715,MAX(AX715,G715))))</f>
        <v>5</v>
      </c>
      <c r="AU715" s="57" t="n">
        <f aca="false">IF(BR715=1,0,ROUNDUP(AT715/BQ715,0))</f>
        <v>0</v>
      </c>
      <c r="AV715" s="59" t="n">
        <f aca="false">IF(CD715&gt;0,CD715*MAX(1,AT715/V715),IF(BR715=1,IF(AT715&lt;=0,0,BS715*MAX(1,IF(G715&gt;0,AT715/G715,1))),IF(Q715&gt;0,AU715/Q715,0))/MAX(0.1,N(Parameter!$M$21)))</f>
        <v>0.15</v>
      </c>
      <c r="AW715" s="57" t="n">
        <f aca="false">AT715*F715</f>
        <v>27863.2</v>
      </c>
      <c r="AX715" s="57" t="n">
        <f aca="false">ROUNDUP(MAX(I715/IF(BV715&gt;0,BV715,MAX(0.1,N(Cockpit!$O$6))),BY715)/BQ715,0)*BQ715</f>
        <v>1</v>
      </c>
      <c r="AY715" s="58" t="n">
        <f aca="false">IF(AV715&gt;0,I715/AV715,-1)</f>
        <v>0</v>
      </c>
      <c r="AZ715" s="58" t="str">
        <f aca="false">IF(AND(OR(BU715="L1",BU715="L23"),AV715&gt;0),SUMIFS($AV$7:$AV$1576,$BU$7:$BU$1576,BU715,$AY$7:$AY$1576,"&gt;"&amp;AY715)+SUMIFS($AV$7:$AV$1576,$BU$7:$BU$1576,BU715,$AY$7:$AY$1576,AY715,$BO$7:$BO$1576,"&lt;="&amp;BO715),"")</f>
        <v/>
      </c>
      <c r="BA715" s="65" t="n">
        <f aca="false">IF(AZ715="",0,MAX(0,MIN(1,(IF(BU715="L1",Parameter!$E$5,Parameter!$E$6+Parameter!$E$7)-(AZ715-AV715))/AV715)))</f>
        <v>0</v>
      </c>
      <c r="BB715" s="55" t="str">
        <f aca="false">IF(AF715&lt;=0,"",IF(BU715="Aussen","Aussenlager",IF(BU715="-","Nicht im Lift",IF(AK715&gt;=1,"Lift",IF(AK715&lt;=0,"Aussenlager","teilweise")))))</f>
        <v>Nicht im Lift</v>
      </c>
      <c r="BC715" s="55" t="str">
        <f aca="false">IF(AN715&lt;=0,"",IF(BU715="Aussen","Aussenlager",IF(BU715="-","Nicht im Lift",IF(AS715&gt;=1,"Lift",IF(AS715&lt;=0,"Aussenlager","teilweise")))))</f>
        <v>Nicht im Lift</v>
      </c>
      <c r="BD715" s="55" t="str">
        <f aca="false">IF(AV715&lt;=0,"",IF(BU715="Aussen","Aussenlager",IF(BU715="-","Nicht im Lift",IF(BA715&gt;=1,"Lift",IF(BA715&lt;=0,"Aussenlager","teilweise")))))</f>
        <v>Nicht im Lift</v>
      </c>
      <c r="BE715" s="55" t="str">
        <f aca="false">IF(A715="","",IF(BN715=1,"Neu; ","")&amp;IF(AND(BN715=0,BI715&lt;0),"negativer Bestand (Export "&amp;BI715&amp;"); ","")&amp;IF(I715&lt;=0,"Kein Verbrauch; ","")&amp;IF(CD715&gt;0,"Lift "&amp;U715&amp;" lt. Liftbericht (Fach "&amp;V715&amp;" Stk); ",IF(BR715=1,"Lose – Fläche geschätzt; ",""))&amp;IF(G715&gt;AP715,"Überbestand "&amp;ROUND(G715-AP715,0)&amp;" Stk / CHF "&amp;ROUND((G715-AP715)*F715,0)&amp;"; ","")&amp;IF(AND(BW715=1,BX715&lt;BY715),"MAX &lt; MB+LG; ","")&amp;IF(AND(CC715&gt;0,CB715*10&gt;CC715),"zu hoch für Tablar; ","")&amp;IF(AND(BN715=0,OR(BW715=1,Y715&lt;&gt;"",S715&lt;&gt;"",T715&lt;&gt;"",Z715&lt;&gt;"")),"manuell übersteuert; ","")&amp;IF(AND(BR715=0,Q715=0),"Gebinde unbekannt / Stellmass fehlt; ","")&amp;IF(AND(BR715=0,N(T715)&lt;=0,N(P715)&lt;=0),"Menge pro Gebinde fehlt (Ist = 1 Gebinde); ","")&amp;BM715)</f>
        <v>Kein Verbrauch; Lose – Fläche geschätzt; Überbestand 4 Stk / CHF 22291; </v>
      </c>
      <c r="BF715" s="55"/>
      <c r="BG715" s="55"/>
      <c r="BH715" s="62"/>
      <c r="BI715" s="57" t="n">
        <v>5</v>
      </c>
      <c r="BJ715" s="57" t="n">
        <v>0</v>
      </c>
      <c r="BK715" s="56" t="n">
        <v>0</v>
      </c>
      <c r="BL715" s="57" t="n">
        <v>0</v>
      </c>
      <c r="BM715" s="55"/>
      <c r="BN715" s="60" t="n">
        <v>0</v>
      </c>
      <c r="BO715" s="60" t="n">
        <v>715</v>
      </c>
      <c r="BP715" s="55" t="str">
        <f aca="false">IF(S715&lt;&gt;"",UPPER(TRIM(S715)),IF(O715="","LOSE",O715))</f>
        <v>LOSE</v>
      </c>
      <c r="BQ715" s="57" t="n">
        <f aca="false">IF(BP715="LOSE",1,IF(N(T715)&gt;0,T715,IF(N(P715)&gt;0,P715,MAX(1,G715))))</f>
        <v>1</v>
      </c>
      <c r="BR715" s="60" t="n">
        <f aca="false">IF(BP715="LOSE",1,0)</f>
        <v>1</v>
      </c>
      <c r="BS715" s="59" t="n">
        <f aca="false">IF(BR715=0,0,IF(N(R715)&gt;0,R715,IFERROR(VLOOKUP(D715,Parameter!$A$35:$C$64,3,0)+0,0)))</f>
        <v>0.15</v>
      </c>
      <c r="BT715" s="55" t="str">
        <f aca="false">IF(Y715&lt;&gt;"",Y715,X715)</f>
        <v>-</v>
      </c>
      <c r="BU715" s="55" t="str">
        <f aca="false">IF(BT715=1,"L1",IF(OR(BT715=2,BT715=3),"L23",IF(BT715="Aussen","Aussen","-")))</f>
        <v>-</v>
      </c>
      <c r="BV715" s="66" t="n">
        <f aca="false">IF(N(Z715)&gt;0,Z715,0)</f>
        <v>0</v>
      </c>
      <c r="BW715" s="60" t="n">
        <f aca="false">IF(ISNUMBER(AC715),1,0)</f>
        <v>0</v>
      </c>
      <c r="BX715" s="57" t="n">
        <f aca="false">N(AC715)</f>
        <v>0</v>
      </c>
      <c r="BY715" s="57" t="n">
        <f aca="false">N(L715)+N(M715)</f>
        <v>1</v>
      </c>
      <c r="BZ715" s="57" t="n">
        <f aca="false">ROUNDUP(G715/BQ715,0)</f>
        <v>5</v>
      </c>
      <c r="CA715" s="57" t="n">
        <f aca="false">ROUNDUP(BX715/BQ715,0)</f>
        <v>0</v>
      </c>
      <c r="CB715" s="60" t="n">
        <f aca="false">IF(BR715=1,0,IFERROR(VLOOKUP(BP715,'Gebinde-Kategorie'!$A$5:$M$45,5,0)+0,0))</f>
        <v>0</v>
      </c>
      <c r="CC715" s="60" t="n">
        <f aca="false">IFERROR(IF(OR(BT715=1,BT715=2,BT715=3),N(INDEX(Parameter!$I$5:$I$7,BT715)),0),0)</f>
        <v>0</v>
      </c>
      <c r="CD715" s="59" t="n">
        <f aca="false">IF(AND(Parameter!$B$21="Ja",ISNUMBER(U715),N(V715)&gt;0),IFERROR(N(INDEX(Parameter!$L$5:$L$7,U715))*INDEX(Parameter!$E$5:$E$7,U715)*V715/SUMIFS($V$7:$V$1576,$U$7:$U$1576,U715),0),0)</f>
        <v>0</v>
      </c>
    </row>
    <row r="716" customFormat="false" ht="15" hidden="false" customHeight="false" outlineLevel="0" collapsed="false">
      <c r="A716" s="55" t="s">
        <v>1414</v>
      </c>
      <c r="B716" s="55" t="s">
        <v>533</v>
      </c>
      <c r="C716" s="55" t="s">
        <v>160</v>
      </c>
      <c r="D716" s="55" t="s">
        <v>984</v>
      </c>
      <c r="E716" s="55" t="s">
        <v>210</v>
      </c>
      <c r="F716" s="56" t="n">
        <v>27.64</v>
      </c>
      <c r="G716" s="57" t="n">
        <f aca="false">MAX(0,IF(AND(Parameter!$B$21="Ja",ISNUMBER(W716)),W716,IF(Parameter!$B$20="Jahresanfang 2025 + Export",BJ716+BI716,BI716)))</f>
        <v>0</v>
      </c>
      <c r="H716" s="57" t="n">
        <f aca="false">G716*F716</f>
        <v>0</v>
      </c>
      <c r="I716" s="57" t="n">
        <f aca="false">BL716*Parameter!$B$18</f>
        <v>0</v>
      </c>
      <c r="J716" s="58" t="n">
        <v>0</v>
      </c>
      <c r="K716" s="59" t="n">
        <v>0</v>
      </c>
      <c r="L716" s="57" t="n">
        <v>0</v>
      </c>
      <c r="M716" s="57" t="n">
        <v>10</v>
      </c>
      <c r="N716" s="60" t="n">
        <v>28</v>
      </c>
      <c r="O716" s="55" t="s">
        <v>163</v>
      </c>
      <c r="P716" s="57"/>
      <c r="Q716" s="60" t="n">
        <f aca="false">IF(BR716=1,0,IFERROR(VLOOKUP(BP716,'Gebinde-Kategorie'!$A$5:$M$45,13,0)+0,0))</f>
        <v>0</v>
      </c>
      <c r="R716" s="61"/>
      <c r="S716" s="62"/>
      <c r="T716" s="62"/>
      <c r="U716" s="55"/>
      <c r="V716" s="57"/>
      <c r="W716" s="57"/>
      <c r="X716" s="55" t="str">
        <f aca="false">IF(A716="","",IF(AND(Parameter!$B$21="Ja",ISNUMBER(U716)),U716,IF(IFERROR(VLOOKUP(D716,Parameter!$A$35:$C$64,2,0),"Nein")="2+3",IF(ISNUMBER(SEARCH("grosser Artikel",BM716)),2,IFERROR(VLOOKUP(BP716,Parameter!$F$35:$G$64,2,0),2)),IF(OR(IFERROR(VLOOKUP(D716,Parameter!$A$35:$C$64,2,0),"Nein")="Nein",IFERROR(VLOOKUP(D716,Parameter!$A$35:$C$64,2,0),"Nein")=""),"-",VLOOKUP(D716,Parameter!$A$35:$C$64,2,0)))))</f>
        <v>-</v>
      </c>
      <c r="Y716" s="62"/>
      <c r="Z716" s="63"/>
      <c r="AA716" s="57" t="n">
        <f aca="false">AP716</f>
        <v>10</v>
      </c>
      <c r="AB716" s="57" t="n">
        <f aca="false">MAX(AP716,G716)</f>
        <v>10</v>
      </c>
      <c r="AC716" s="64"/>
      <c r="AD716" s="57" t="n">
        <f aca="false">IF(LEFT(Cockpit!$C$5,1)="A",G716,IF(BW716=1,BX716,IF(LEFT(Cockpit!$C$5,1)="B",AH716,MAX(AH716,G716))))</f>
        <v>0</v>
      </c>
      <c r="AE716" s="57" t="n">
        <f aca="false">IF(BR716=1,0,ROUNDUP(AD716/BQ716,0))</f>
        <v>0</v>
      </c>
      <c r="AF716" s="59" t="n">
        <f aca="false">IF(CD716&gt;0,CD716*MAX(1,AD716/V716),IF(BR716=1,IF(AD716&lt;=0,0,BS716*MAX(1,IF(G716&gt;0,AD716/G716,1))),IF(Q716&gt;0,AE716/Q716,0))/MAX(0.1,N(Parameter!$M$21)))</f>
        <v>0</v>
      </c>
      <c r="AG716" s="57" t="n">
        <f aca="false">AD716*F716</f>
        <v>0</v>
      </c>
      <c r="AH716" s="57" t="n">
        <f aca="false">ROUNDUP(MAX(I716/IF(BV716&gt;0,BV716,MAX(0.1,N(Cockpit!$C$6))),BY716)/BQ716,0)*BQ716</f>
        <v>10</v>
      </c>
      <c r="AI716" s="58" t="n">
        <f aca="false">IF(AF716&gt;0,I716/AF716,-1)</f>
        <v>-1</v>
      </c>
      <c r="AJ716" s="58" t="str">
        <f aca="false">IF(AND(OR(BU716="L1",BU716="L23"),AF716&gt;0),SUMIFS($AF$7:$AF$1576,$BU$7:$BU$1576,BU716,$AI$7:$AI$1576,"&gt;"&amp;AI716)+SUMIFS($AF$7:$AF$1576,$BU$7:$BU$1576,BU716,$AI$7:$AI$1576,AI716,$BO$7:$BO$1576,"&lt;="&amp;BO716),"")</f>
        <v/>
      </c>
      <c r="AK716" s="65" t="n">
        <f aca="false">IF(AJ716="",0,MAX(0,MIN(1,(IF(BU716="L1",Parameter!$E$5,Parameter!$E$6+Parameter!$E$7)-(AJ716-AF716))/AF716)))</f>
        <v>0</v>
      </c>
      <c r="AL716" s="57" t="n">
        <f aca="false">IF(LEFT(Cockpit!$I$5,1)="A",G716,IF(BW716=1,BX716,IF(LEFT(Cockpit!$I$5,1)="B",AP716,MAX(AP716,G716))))</f>
        <v>10</v>
      </c>
      <c r="AM716" s="57" t="n">
        <f aca="false">IF(BR716=1,0,ROUNDUP(AL716/BQ716,0))</f>
        <v>0</v>
      </c>
      <c r="AN716" s="59" t="n">
        <f aca="false">IF(CD716&gt;0,CD716*MAX(1,AL716/V716),IF(BR716=1,IF(AL716&lt;=0,0,BS716*MAX(1,IF(G716&gt;0,AL716/G716,1))),IF(Q716&gt;0,AM716/Q716,0))/MAX(0.1,N(Parameter!$M$21)))</f>
        <v>0.15</v>
      </c>
      <c r="AO716" s="57" t="n">
        <f aca="false">AL716*F716</f>
        <v>276.4</v>
      </c>
      <c r="AP716" s="57" t="n">
        <f aca="false">ROUNDUP(MAX(I716/IF(BV716&gt;0,BV716,MAX(0.1,N(Cockpit!$I$6))),BY716)/BQ716,0)*BQ716</f>
        <v>10</v>
      </c>
      <c r="AQ716" s="58" t="n">
        <f aca="false">IF(AN716&gt;0,I716/AN716,-1)</f>
        <v>0</v>
      </c>
      <c r="AR716" s="58" t="str">
        <f aca="false">IF(AND(OR(BU716="L1",BU716="L23"),AN716&gt;0),SUMIFS($AN$7:$AN$1576,$BU$7:$BU$1576,BU716,$AQ$7:$AQ$1576,"&gt;"&amp;AQ716)+SUMIFS($AN$7:$AN$1576,$BU$7:$BU$1576,BU716,$AQ$7:$AQ$1576,AQ716,$BO$7:$BO$1576,"&lt;="&amp;BO716),"")</f>
        <v/>
      </c>
      <c r="AS716" s="65" t="n">
        <f aca="false">IF(AR716="",0,MAX(0,MIN(1,(IF(BU716="L1",Parameter!$E$5,Parameter!$E$6+Parameter!$E$7)-(AR716-AN716))/AN716)))</f>
        <v>0</v>
      </c>
      <c r="AT716" s="57" t="n">
        <f aca="false">IF(LEFT(Cockpit!$O$5,1)="A",G716,IF(BW716=1,BX716,IF(LEFT(Cockpit!$O$5,1)="B",AX716,MAX(AX716,G716))))</f>
        <v>10</v>
      </c>
      <c r="AU716" s="57" t="n">
        <f aca="false">IF(BR716=1,0,ROUNDUP(AT716/BQ716,0))</f>
        <v>0</v>
      </c>
      <c r="AV716" s="59" t="n">
        <f aca="false">IF(CD716&gt;0,CD716*MAX(1,AT716/V716),IF(BR716=1,IF(AT716&lt;=0,0,BS716*MAX(1,IF(G716&gt;0,AT716/G716,1))),IF(Q716&gt;0,AU716/Q716,0))/MAX(0.1,N(Parameter!$M$21)))</f>
        <v>0.15</v>
      </c>
      <c r="AW716" s="57" t="n">
        <f aca="false">AT716*F716</f>
        <v>276.4</v>
      </c>
      <c r="AX716" s="57" t="n">
        <f aca="false">ROUNDUP(MAX(I716/IF(BV716&gt;0,BV716,MAX(0.1,N(Cockpit!$O$6))),BY716)/BQ716,0)*BQ716</f>
        <v>10</v>
      </c>
      <c r="AY716" s="58" t="n">
        <f aca="false">IF(AV716&gt;0,I716/AV716,-1)</f>
        <v>0</v>
      </c>
      <c r="AZ716" s="58" t="str">
        <f aca="false">IF(AND(OR(BU716="L1",BU716="L23"),AV716&gt;0),SUMIFS($AV$7:$AV$1576,$BU$7:$BU$1576,BU716,$AY$7:$AY$1576,"&gt;"&amp;AY716)+SUMIFS($AV$7:$AV$1576,$BU$7:$BU$1576,BU716,$AY$7:$AY$1576,AY716,$BO$7:$BO$1576,"&lt;="&amp;BO716),"")</f>
        <v/>
      </c>
      <c r="BA716" s="65" t="n">
        <f aca="false">IF(AZ716="",0,MAX(0,MIN(1,(IF(BU716="L1",Parameter!$E$5,Parameter!$E$6+Parameter!$E$7)-(AZ716-AV716))/AV716)))</f>
        <v>0</v>
      </c>
      <c r="BB716" s="55" t="str">
        <f aca="false">IF(AF716&lt;=0,"",IF(BU716="Aussen","Aussenlager",IF(BU716="-","Nicht im Lift",IF(AK716&gt;=1,"Lift",IF(AK716&lt;=0,"Aussenlager","teilweise")))))</f>
        <v/>
      </c>
      <c r="BC716" s="55" t="str">
        <f aca="false">IF(AN716&lt;=0,"",IF(BU716="Aussen","Aussenlager",IF(BU716="-","Nicht im Lift",IF(AS716&gt;=1,"Lift",IF(AS716&lt;=0,"Aussenlager","teilweise")))))</f>
        <v>Nicht im Lift</v>
      </c>
      <c r="BD716" s="55" t="str">
        <f aca="false">IF(AV716&lt;=0,"",IF(BU716="Aussen","Aussenlager",IF(BU716="-","Nicht im Lift",IF(BA716&gt;=1,"Lift",IF(BA716&lt;=0,"Aussenlager","teilweise")))))</f>
        <v>Nicht im Lift</v>
      </c>
      <c r="BE716" s="55" t="str">
        <f aca="false">IF(A716="","",IF(BN716=1,"Neu; ","")&amp;IF(AND(BN716=0,BI716&lt;0),"negativer Bestand (Export "&amp;BI716&amp;"); ","")&amp;IF(I716&lt;=0,"Kein Verbrauch; ","")&amp;IF(CD716&gt;0,"Lift "&amp;U716&amp;" lt. Liftbericht (Fach "&amp;V716&amp;" Stk); ",IF(BR716=1,"Lose – Fläche geschätzt; ",""))&amp;IF(G716&gt;AP716,"Überbestand "&amp;ROUND(G716-AP716,0)&amp;" Stk / CHF "&amp;ROUND((G716-AP716)*F716,0)&amp;"; ","")&amp;IF(AND(BW716=1,BX716&lt;BY716),"MAX &lt; MB+LG; ","")&amp;IF(AND(CC716&gt;0,CB716*10&gt;CC716),"zu hoch für Tablar; ","")&amp;IF(AND(BN716=0,OR(BW716=1,Y716&lt;&gt;"",S716&lt;&gt;"",T716&lt;&gt;"",Z716&lt;&gt;"")),"manuell übersteuert; ","")&amp;IF(AND(BR716=0,Q716=0),"Gebinde unbekannt / Stellmass fehlt; ","")&amp;IF(AND(BR716=0,N(T716)&lt;=0,N(P716)&lt;=0),"Menge pro Gebinde fehlt (Ist = 1 Gebinde); ","")&amp;BM716)</f>
        <v>Kein Verbrauch; Lose – Fläche geschätzt; </v>
      </c>
      <c r="BF716" s="55"/>
      <c r="BG716" s="55"/>
      <c r="BH716" s="62"/>
      <c r="BI716" s="57" t="n">
        <v>0</v>
      </c>
      <c r="BJ716" s="57" t="n">
        <v>0</v>
      </c>
      <c r="BK716" s="56" t="n">
        <v>0</v>
      </c>
      <c r="BL716" s="57" t="n">
        <v>0</v>
      </c>
      <c r="BM716" s="55"/>
      <c r="BN716" s="60" t="n">
        <v>0</v>
      </c>
      <c r="BO716" s="60" t="n">
        <v>716</v>
      </c>
      <c r="BP716" s="55" t="str">
        <f aca="false">IF(S716&lt;&gt;"",UPPER(TRIM(S716)),IF(O716="","LOSE",O716))</f>
        <v>LOSE</v>
      </c>
      <c r="BQ716" s="57" t="n">
        <f aca="false">IF(BP716="LOSE",1,IF(N(T716)&gt;0,T716,IF(N(P716)&gt;0,P716,MAX(1,G716))))</f>
        <v>1</v>
      </c>
      <c r="BR716" s="60" t="n">
        <f aca="false">IF(BP716="LOSE",1,0)</f>
        <v>1</v>
      </c>
      <c r="BS716" s="59" t="n">
        <f aca="false">IF(BR716=0,0,IF(N(R716)&gt;0,R716,IFERROR(VLOOKUP(D716,Parameter!$A$35:$C$64,3,0)+0,0)))</f>
        <v>0.15</v>
      </c>
      <c r="BT716" s="55" t="str">
        <f aca="false">IF(Y716&lt;&gt;"",Y716,X716)</f>
        <v>-</v>
      </c>
      <c r="BU716" s="55" t="str">
        <f aca="false">IF(BT716=1,"L1",IF(OR(BT716=2,BT716=3),"L23",IF(BT716="Aussen","Aussen","-")))</f>
        <v>-</v>
      </c>
      <c r="BV716" s="66" t="n">
        <f aca="false">IF(N(Z716)&gt;0,Z716,0)</f>
        <v>0</v>
      </c>
      <c r="BW716" s="60" t="n">
        <f aca="false">IF(ISNUMBER(AC716),1,0)</f>
        <v>0</v>
      </c>
      <c r="BX716" s="57" t="n">
        <f aca="false">N(AC716)</f>
        <v>0</v>
      </c>
      <c r="BY716" s="57" t="n">
        <f aca="false">N(L716)+N(M716)</f>
        <v>10</v>
      </c>
      <c r="BZ716" s="57" t="n">
        <f aca="false">ROUNDUP(G716/BQ716,0)</f>
        <v>0</v>
      </c>
      <c r="CA716" s="57" t="n">
        <f aca="false">ROUNDUP(BX716/BQ716,0)</f>
        <v>0</v>
      </c>
      <c r="CB716" s="60" t="n">
        <f aca="false">IF(BR716=1,0,IFERROR(VLOOKUP(BP716,'Gebinde-Kategorie'!$A$5:$M$45,5,0)+0,0))</f>
        <v>0</v>
      </c>
      <c r="CC716" s="60" t="n">
        <f aca="false">IFERROR(IF(OR(BT716=1,BT716=2,BT716=3),N(INDEX(Parameter!$I$5:$I$7,BT716)),0),0)</f>
        <v>0</v>
      </c>
      <c r="CD716" s="59" t="n">
        <f aca="false">IF(AND(Parameter!$B$21="Ja",ISNUMBER(U716),N(V716)&gt;0),IFERROR(N(INDEX(Parameter!$L$5:$L$7,U716))*INDEX(Parameter!$E$5:$E$7,U716)*V716/SUMIFS($V$7:$V$1576,$U$7:$U$1576,U716),0),0)</f>
        <v>0</v>
      </c>
    </row>
    <row r="717" customFormat="false" ht="15" hidden="false" customHeight="false" outlineLevel="0" collapsed="false">
      <c r="A717" s="55" t="s">
        <v>1415</v>
      </c>
      <c r="B717" s="55" t="s">
        <v>1416</v>
      </c>
      <c r="C717" s="55" t="s">
        <v>160</v>
      </c>
      <c r="D717" s="55" t="s">
        <v>984</v>
      </c>
      <c r="E717" s="55" t="s">
        <v>210</v>
      </c>
      <c r="F717" s="56" t="n">
        <v>161.1</v>
      </c>
      <c r="G717" s="57" t="n">
        <f aca="false">MAX(0,IF(AND(Parameter!$B$21="Ja",ISNUMBER(W717)),W717,IF(Parameter!$B$20="Jahresanfang 2025 + Export",BJ717+BI717,BI717)))</f>
        <v>0</v>
      </c>
      <c r="H717" s="57" t="n">
        <f aca="false">G717*F717</f>
        <v>0</v>
      </c>
      <c r="I717" s="57" t="n">
        <f aca="false">BL717*Parameter!$B$18</f>
        <v>0</v>
      </c>
      <c r="J717" s="58" t="n">
        <v>0.5</v>
      </c>
      <c r="K717" s="59" t="n">
        <v>0</v>
      </c>
      <c r="L717" s="57" t="n">
        <v>0</v>
      </c>
      <c r="M717" s="57" t="n">
        <v>1</v>
      </c>
      <c r="N717" s="60" t="n">
        <v>7</v>
      </c>
      <c r="O717" s="55" t="s">
        <v>163</v>
      </c>
      <c r="P717" s="57"/>
      <c r="Q717" s="60" t="n">
        <f aca="false">IF(BR717=1,0,IFERROR(VLOOKUP(BP717,'Gebinde-Kategorie'!$A$5:$M$45,13,0)+0,0))</f>
        <v>0</v>
      </c>
      <c r="R717" s="61"/>
      <c r="S717" s="62"/>
      <c r="T717" s="62"/>
      <c r="U717" s="55"/>
      <c r="V717" s="57"/>
      <c r="W717" s="57"/>
      <c r="X717" s="55" t="str">
        <f aca="false">IF(A717="","",IF(AND(Parameter!$B$21="Ja",ISNUMBER(U717)),U717,IF(IFERROR(VLOOKUP(D717,Parameter!$A$35:$C$64,2,0),"Nein")="2+3",IF(ISNUMBER(SEARCH("grosser Artikel",BM717)),2,IFERROR(VLOOKUP(BP717,Parameter!$F$35:$G$64,2,0),2)),IF(OR(IFERROR(VLOOKUP(D717,Parameter!$A$35:$C$64,2,0),"Nein")="Nein",IFERROR(VLOOKUP(D717,Parameter!$A$35:$C$64,2,0),"Nein")=""),"-",VLOOKUP(D717,Parameter!$A$35:$C$64,2,0)))))</f>
        <v>-</v>
      </c>
      <c r="Y717" s="62"/>
      <c r="Z717" s="63"/>
      <c r="AA717" s="57" t="n">
        <f aca="false">AP717</f>
        <v>1</v>
      </c>
      <c r="AB717" s="57" t="n">
        <f aca="false">MAX(AP717,G717)</f>
        <v>1</v>
      </c>
      <c r="AC717" s="64"/>
      <c r="AD717" s="57" t="n">
        <f aca="false">IF(LEFT(Cockpit!$C$5,1)="A",G717,IF(BW717=1,BX717,IF(LEFT(Cockpit!$C$5,1)="B",AH717,MAX(AH717,G717))))</f>
        <v>0</v>
      </c>
      <c r="AE717" s="57" t="n">
        <f aca="false">IF(BR717=1,0,ROUNDUP(AD717/BQ717,0))</f>
        <v>0</v>
      </c>
      <c r="AF717" s="59" t="n">
        <f aca="false">IF(CD717&gt;0,CD717*MAX(1,AD717/V717),IF(BR717=1,IF(AD717&lt;=0,0,BS717*MAX(1,IF(G717&gt;0,AD717/G717,1))),IF(Q717&gt;0,AE717/Q717,0))/MAX(0.1,N(Parameter!$M$21)))</f>
        <v>0</v>
      </c>
      <c r="AG717" s="57" t="n">
        <f aca="false">AD717*F717</f>
        <v>0</v>
      </c>
      <c r="AH717" s="57" t="n">
        <f aca="false">ROUNDUP(MAX(I717/IF(BV717&gt;0,BV717,MAX(0.1,N(Cockpit!$C$6))),BY717)/BQ717,0)*BQ717</f>
        <v>1</v>
      </c>
      <c r="AI717" s="58" t="n">
        <f aca="false">IF(AF717&gt;0,I717/AF717,-1)</f>
        <v>-1</v>
      </c>
      <c r="AJ717" s="58" t="str">
        <f aca="false">IF(AND(OR(BU717="L1",BU717="L23"),AF717&gt;0),SUMIFS($AF$7:$AF$1576,$BU$7:$BU$1576,BU717,$AI$7:$AI$1576,"&gt;"&amp;AI717)+SUMIFS($AF$7:$AF$1576,$BU$7:$BU$1576,BU717,$AI$7:$AI$1576,AI717,$BO$7:$BO$1576,"&lt;="&amp;BO717),"")</f>
        <v/>
      </c>
      <c r="AK717" s="65" t="n">
        <f aca="false">IF(AJ717="",0,MAX(0,MIN(1,(IF(BU717="L1",Parameter!$E$5,Parameter!$E$6+Parameter!$E$7)-(AJ717-AF717))/AF717)))</f>
        <v>0</v>
      </c>
      <c r="AL717" s="57" t="n">
        <f aca="false">IF(LEFT(Cockpit!$I$5,1)="A",G717,IF(BW717=1,BX717,IF(LEFT(Cockpit!$I$5,1)="B",AP717,MAX(AP717,G717))))</f>
        <v>1</v>
      </c>
      <c r="AM717" s="57" t="n">
        <f aca="false">IF(BR717=1,0,ROUNDUP(AL717/BQ717,0))</f>
        <v>0</v>
      </c>
      <c r="AN717" s="59" t="n">
        <f aca="false">IF(CD717&gt;0,CD717*MAX(1,AL717/V717),IF(BR717=1,IF(AL717&lt;=0,0,BS717*MAX(1,IF(G717&gt;0,AL717/G717,1))),IF(Q717&gt;0,AM717/Q717,0))/MAX(0.1,N(Parameter!$M$21)))</f>
        <v>0.15</v>
      </c>
      <c r="AO717" s="57" t="n">
        <f aca="false">AL717*F717</f>
        <v>161.1</v>
      </c>
      <c r="AP717" s="57" t="n">
        <f aca="false">ROUNDUP(MAX(I717/IF(BV717&gt;0,BV717,MAX(0.1,N(Cockpit!$I$6))),BY717)/BQ717,0)*BQ717</f>
        <v>1</v>
      </c>
      <c r="AQ717" s="58" t="n">
        <f aca="false">IF(AN717&gt;0,I717/AN717,-1)</f>
        <v>0</v>
      </c>
      <c r="AR717" s="58" t="str">
        <f aca="false">IF(AND(OR(BU717="L1",BU717="L23"),AN717&gt;0),SUMIFS($AN$7:$AN$1576,$BU$7:$BU$1576,BU717,$AQ$7:$AQ$1576,"&gt;"&amp;AQ717)+SUMIFS($AN$7:$AN$1576,$BU$7:$BU$1576,BU717,$AQ$7:$AQ$1576,AQ717,$BO$7:$BO$1576,"&lt;="&amp;BO717),"")</f>
        <v/>
      </c>
      <c r="AS717" s="65" t="n">
        <f aca="false">IF(AR717="",0,MAX(0,MIN(1,(IF(BU717="L1",Parameter!$E$5,Parameter!$E$6+Parameter!$E$7)-(AR717-AN717))/AN717)))</f>
        <v>0</v>
      </c>
      <c r="AT717" s="57" t="n">
        <f aca="false">IF(LEFT(Cockpit!$O$5,1)="A",G717,IF(BW717=1,BX717,IF(LEFT(Cockpit!$O$5,1)="B",AX717,MAX(AX717,G717))))</f>
        <v>1</v>
      </c>
      <c r="AU717" s="57" t="n">
        <f aca="false">IF(BR717=1,0,ROUNDUP(AT717/BQ717,0))</f>
        <v>0</v>
      </c>
      <c r="AV717" s="59" t="n">
        <f aca="false">IF(CD717&gt;0,CD717*MAX(1,AT717/V717),IF(BR717=1,IF(AT717&lt;=0,0,BS717*MAX(1,IF(G717&gt;0,AT717/G717,1))),IF(Q717&gt;0,AU717/Q717,0))/MAX(0.1,N(Parameter!$M$21)))</f>
        <v>0.15</v>
      </c>
      <c r="AW717" s="57" t="n">
        <f aca="false">AT717*F717</f>
        <v>161.1</v>
      </c>
      <c r="AX717" s="57" t="n">
        <f aca="false">ROUNDUP(MAX(I717/IF(BV717&gt;0,BV717,MAX(0.1,N(Cockpit!$O$6))),BY717)/BQ717,0)*BQ717</f>
        <v>1</v>
      </c>
      <c r="AY717" s="58" t="n">
        <f aca="false">IF(AV717&gt;0,I717/AV717,-1)</f>
        <v>0</v>
      </c>
      <c r="AZ717" s="58" t="str">
        <f aca="false">IF(AND(OR(BU717="L1",BU717="L23"),AV717&gt;0),SUMIFS($AV$7:$AV$1576,$BU$7:$BU$1576,BU717,$AY$7:$AY$1576,"&gt;"&amp;AY717)+SUMIFS($AV$7:$AV$1576,$BU$7:$BU$1576,BU717,$AY$7:$AY$1576,AY717,$BO$7:$BO$1576,"&lt;="&amp;BO717),"")</f>
        <v/>
      </c>
      <c r="BA717" s="65" t="n">
        <f aca="false">IF(AZ717="",0,MAX(0,MIN(1,(IF(BU717="L1",Parameter!$E$5,Parameter!$E$6+Parameter!$E$7)-(AZ717-AV717))/AV717)))</f>
        <v>0</v>
      </c>
      <c r="BB717" s="55" t="str">
        <f aca="false">IF(AF717&lt;=0,"",IF(BU717="Aussen","Aussenlager",IF(BU717="-","Nicht im Lift",IF(AK717&gt;=1,"Lift",IF(AK717&lt;=0,"Aussenlager","teilweise")))))</f>
        <v/>
      </c>
      <c r="BC717" s="55" t="str">
        <f aca="false">IF(AN717&lt;=0,"",IF(BU717="Aussen","Aussenlager",IF(BU717="-","Nicht im Lift",IF(AS717&gt;=1,"Lift",IF(AS717&lt;=0,"Aussenlager","teilweise")))))</f>
        <v>Nicht im Lift</v>
      </c>
      <c r="BD717" s="55" t="str">
        <f aca="false">IF(AV717&lt;=0,"",IF(BU717="Aussen","Aussenlager",IF(BU717="-","Nicht im Lift",IF(BA717&gt;=1,"Lift",IF(BA717&lt;=0,"Aussenlager","teilweise")))))</f>
        <v>Nicht im Lift</v>
      </c>
      <c r="BE717" s="55" t="str">
        <f aca="false">IF(A717="","",IF(BN717=1,"Neu; ","")&amp;IF(AND(BN717=0,BI717&lt;0),"negativer Bestand (Export "&amp;BI717&amp;"); ","")&amp;IF(I717&lt;=0,"Kein Verbrauch; ","")&amp;IF(CD717&gt;0,"Lift "&amp;U717&amp;" lt. Liftbericht (Fach "&amp;V717&amp;" Stk); ",IF(BR717=1,"Lose – Fläche geschätzt; ",""))&amp;IF(G717&gt;AP717,"Überbestand "&amp;ROUND(G717-AP717,0)&amp;" Stk / CHF "&amp;ROUND((G717-AP717)*F717,0)&amp;"; ","")&amp;IF(AND(BW717=1,BX717&lt;BY717),"MAX &lt; MB+LG; ","")&amp;IF(AND(CC717&gt;0,CB717*10&gt;CC717),"zu hoch für Tablar; ","")&amp;IF(AND(BN717=0,OR(BW717=1,Y717&lt;&gt;"",S717&lt;&gt;"",T717&lt;&gt;"",Z717&lt;&gt;"")),"manuell übersteuert; ","")&amp;IF(AND(BR717=0,Q717=0),"Gebinde unbekannt / Stellmass fehlt; ","")&amp;IF(AND(BR717=0,N(T717)&lt;=0,N(P717)&lt;=0),"Menge pro Gebinde fehlt (Ist = 1 Gebinde); ","")&amp;BM717)</f>
        <v>Kein Verbrauch; Lose – Fläche geschätzt; </v>
      </c>
      <c r="BF717" s="55"/>
      <c r="BG717" s="55"/>
      <c r="BH717" s="62"/>
      <c r="BI717" s="57" t="n">
        <v>0</v>
      </c>
      <c r="BJ717" s="57" t="n">
        <v>0</v>
      </c>
      <c r="BK717" s="56" t="n">
        <v>0</v>
      </c>
      <c r="BL717" s="57" t="n">
        <v>0</v>
      </c>
      <c r="BM717" s="55"/>
      <c r="BN717" s="60" t="n">
        <v>0</v>
      </c>
      <c r="BO717" s="60" t="n">
        <v>717</v>
      </c>
      <c r="BP717" s="55" t="str">
        <f aca="false">IF(S717&lt;&gt;"",UPPER(TRIM(S717)),IF(O717="","LOSE",O717))</f>
        <v>LOSE</v>
      </c>
      <c r="BQ717" s="57" t="n">
        <f aca="false">IF(BP717="LOSE",1,IF(N(T717)&gt;0,T717,IF(N(P717)&gt;0,P717,MAX(1,G717))))</f>
        <v>1</v>
      </c>
      <c r="BR717" s="60" t="n">
        <f aca="false">IF(BP717="LOSE",1,0)</f>
        <v>1</v>
      </c>
      <c r="BS717" s="59" t="n">
        <f aca="false">IF(BR717=0,0,IF(N(R717)&gt;0,R717,IFERROR(VLOOKUP(D717,Parameter!$A$35:$C$64,3,0)+0,0)))</f>
        <v>0.15</v>
      </c>
      <c r="BT717" s="55" t="str">
        <f aca="false">IF(Y717&lt;&gt;"",Y717,X717)</f>
        <v>-</v>
      </c>
      <c r="BU717" s="55" t="str">
        <f aca="false">IF(BT717=1,"L1",IF(OR(BT717=2,BT717=3),"L23",IF(BT717="Aussen","Aussen","-")))</f>
        <v>-</v>
      </c>
      <c r="BV717" s="66" t="n">
        <f aca="false">IF(N(Z717)&gt;0,Z717,0)</f>
        <v>0</v>
      </c>
      <c r="BW717" s="60" t="n">
        <f aca="false">IF(ISNUMBER(AC717),1,0)</f>
        <v>0</v>
      </c>
      <c r="BX717" s="57" t="n">
        <f aca="false">N(AC717)</f>
        <v>0</v>
      </c>
      <c r="BY717" s="57" t="n">
        <f aca="false">N(L717)+N(M717)</f>
        <v>1</v>
      </c>
      <c r="BZ717" s="57" t="n">
        <f aca="false">ROUNDUP(G717/BQ717,0)</f>
        <v>0</v>
      </c>
      <c r="CA717" s="57" t="n">
        <f aca="false">ROUNDUP(BX717/BQ717,0)</f>
        <v>0</v>
      </c>
      <c r="CB717" s="60" t="n">
        <f aca="false">IF(BR717=1,0,IFERROR(VLOOKUP(BP717,'Gebinde-Kategorie'!$A$5:$M$45,5,0)+0,0))</f>
        <v>0</v>
      </c>
      <c r="CC717" s="60" t="n">
        <f aca="false">IFERROR(IF(OR(BT717=1,BT717=2,BT717=3),N(INDEX(Parameter!$I$5:$I$7,BT717)),0),0)</f>
        <v>0</v>
      </c>
      <c r="CD717" s="59" t="n">
        <f aca="false">IF(AND(Parameter!$B$21="Ja",ISNUMBER(U717),N(V717)&gt;0),IFERROR(N(INDEX(Parameter!$L$5:$L$7,U717))*INDEX(Parameter!$E$5:$E$7,U717)*V717/SUMIFS($V$7:$V$1576,$U$7:$U$1576,U717),0),0)</f>
        <v>0</v>
      </c>
    </row>
    <row r="718" customFormat="false" ht="15" hidden="false" customHeight="false" outlineLevel="0" collapsed="false">
      <c r="A718" s="55" t="s">
        <v>1417</v>
      </c>
      <c r="B718" s="55" t="s">
        <v>533</v>
      </c>
      <c r="C718" s="55" t="s">
        <v>160</v>
      </c>
      <c r="D718" s="55" t="s">
        <v>984</v>
      </c>
      <c r="E718" s="55" t="s">
        <v>210</v>
      </c>
      <c r="F718" s="56" t="n">
        <v>27.2</v>
      </c>
      <c r="G718" s="57" t="n">
        <f aca="false">MAX(0,IF(AND(Parameter!$B$21="Ja",ISNUMBER(W718)),W718,IF(Parameter!$B$20="Jahresanfang 2025 + Export",BJ718+BI718,BI718)))</f>
        <v>1</v>
      </c>
      <c r="H718" s="57" t="n">
        <f aca="false">G718*F718</f>
        <v>27.2</v>
      </c>
      <c r="I718" s="57" t="n">
        <f aca="false">BL718*Parameter!$B$18</f>
        <v>0</v>
      </c>
      <c r="J718" s="58" t="n">
        <v>0.5</v>
      </c>
      <c r="K718" s="59" t="n">
        <v>0</v>
      </c>
      <c r="L718" s="57" t="n">
        <v>0</v>
      </c>
      <c r="M718" s="57" t="n">
        <v>10</v>
      </c>
      <c r="N718" s="60" t="n">
        <v>28</v>
      </c>
      <c r="O718" s="55" t="s">
        <v>163</v>
      </c>
      <c r="P718" s="57"/>
      <c r="Q718" s="60" t="n">
        <f aca="false">IF(BR718=1,0,IFERROR(VLOOKUP(BP718,'Gebinde-Kategorie'!$A$5:$M$45,13,0)+0,0))</f>
        <v>0</v>
      </c>
      <c r="R718" s="61"/>
      <c r="S718" s="62"/>
      <c r="T718" s="62"/>
      <c r="U718" s="55"/>
      <c r="V718" s="57"/>
      <c r="W718" s="57"/>
      <c r="X718" s="55" t="str">
        <f aca="false">IF(A718="","",IF(AND(Parameter!$B$21="Ja",ISNUMBER(U718)),U718,IF(IFERROR(VLOOKUP(D718,Parameter!$A$35:$C$64,2,0),"Nein")="2+3",IF(ISNUMBER(SEARCH("grosser Artikel",BM718)),2,IFERROR(VLOOKUP(BP718,Parameter!$F$35:$G$64,2,0),2)),IF(OR(IFERROR(VLOOKUP(D718,Parameter!$A$35:$C$64,2,0),"Nein")="Nein",IFERROR(VLOOKUP(D718,Parameter!$A$35:$C$64,2,0),"Nein")=""),"-",VLOOKUP(D718,Parameter!$A$35:$C$64,2,0)))))</f>
        <v>-</v>
      </c>
      <c r="Y718" s="62"/>
      <c r="Z718" s="63"/>
      <c r="AA718" s="57" t="n">
        <f aca="false">AP718</f>
        <v>10</v>
      </c>
      <c r="AB718" s="57" t="n">
        <f aca="false">MAX(AP718,G718)</f>
        <v>10</v>
      </c>
      <c r="AC718" s="64"/>
      <c r="AD718" s="57" t="n">
        <f aca="false">IF(LEFT(Cockpit!$C$5,1)="A",G718,IF(BW718=1,BX718,IF(LEFT(Cockpit!$C$5,1)="B",AH718,MAX(AH718,G718))))</f>
        <v>1</v>
      </c>
      <c r="AE718" s="57" t="n">
        <f aca="false">IF(BR718=1,0,ROUNDUP(AD718/BQ718,0))</f>
        <v>0</v>
      </c>
      <c r="AF718" s="59" t="n">
        <f aca="false">IF(CD718&gt;0,CD718*MAX(1,AD718/V718),IF(BR718=1,IF(AD718&lt;=0,0,BS718*MAX(1,IF(G718&gt;0,AD718/G718,1))),IF(Q718&gt;0,AE718/Q718,0))/MAX(0.1,N(Parameter!$M$21)))</f>
        <v>0.15</v>
      </c>
      <c r="AG718" s="57" t="n">
        <f aca="false">AD718*F718</f>
        <v>27.2</v>
      </c>
      <c r="AH718" s="57" t="n">
        <f aca="false">ROUNDUP(MAX(I718/IF(BV718&gt;0,BV718,MAX(0.1,N(Cockpit!$C$6))),BY718)/BQ718,0)*BQ718</f>
        <v>10</v>
      </c>
      <c r="AI718" s="58" t="n">
        <f aca="false">IF(AF718&gt;0,I718/AF718,-1)</f>
        <v>0</v>
      </c>
      <c r="AJ718" s="58" t="str">
        <f aca="false">IF(AND(OR(BU718="L1",BU718="L23"),AF718&gt;0),SUMIFS($AF$7:$AF$1576,$BU$7:$BU$1576,BU718,$AI$7:$AI$1576,"&gt;"&amp;AI718)+SUMIFS($AF$7:$AF$1576,$BU$7:$BU$1576,BU718,$AI$7:$AI$1576,AI718,$BO$7:$BO$1576,"&lt;="&amp;BO718),"")</f>
        <v/>
      </c>
      <c r="AK718" s="65" t="n">
        <f aca="false">IF(AJ718="",0,MAX(0,MIN(1,(IF(BU718="L1",Parameter!$E$5,Parameter!$E$6+Parameter!$E$7)-(AJ718-AF718))/AF718)))</f>
        <v>0</v>
      </c>
      <c r="AL718" s="57" t="n">
        <f aca="false">IF(LEFT(Cockpit!$I$5,1)="A",G718,IF(BW718=1,BX718,IF(LEFT(Cockpit!$I$5,1)="B",AP718,MAX(AP718,G718))))</f>
        <v>10</v>
      </c>
      <c r="AM718" s="57" t="n">
        <f aca="false">IF(BR718=1,0,ROUNDUP(AL718/BQ718,0))</f>
        <v>0</v>
      </c>
      <c r="AN718" s="59" t="n">
        <f aca="false">IF(CD718&gt;0,CD718*MAX(1,AL718/V718),IF(BR718=1,IF(AL718&lt;=0,0,BS718*MAX(1,IF(G718&gt;0,AL718/G718,1))),IF(Q718&gt;0,AM718/Q718,0))/MAX(0.1,N(Parameter!$M$21)))</f>
        <v>1.5</v>
      </c>
      <c r="AO718" s="57" t="n">
        <f aca="false">AL718*F718</f>
        <v>272</v>
      </c>
      <c r="AP718" s="57" t="n">
        <f aca="false">ROUNDUP(MAX(I718/IF(BV718&gt;0,BV718,MAX(0.1,N(Cockpit!$I$6))),BY718)/BQ718,0)*BQ718</f>
        <v>10</v>
      </c>
      <c r="AQ718" s="58" t="n">
        <f aca="false">IF(AN718&gt;0,I718/AN718,-1)</f>
        <v>0</v>
      </c>
      <c r="AR718" s="58" t="str">
        <f aca="false">IF(AND(OR(BU718="L1",BU718="L23"),AN718&gt;0),SUMIFS($AN$7:$AN$1576,$BU$7:$BU$1576,BU718,$AQ$7:$AQ$1576,"&gt;"&amp;AQ718)+SUMIFS($AN$7:$AN$1576,$BU$7:$BU$1576,BU718,$AQ$7:$AQ$1576,AQ718,$BO$7:$BO$1576,"&lt;="&amp;BO718),"")</f>
        <v/>
      </c>
      <c r="AS718" s="65" t="n">
        <f aca="false">IF(AR718="",0,MAX(0,MIN(1,(IF(BU718="L1",Parameter!$E$5,Parameter!$E$6+Parameter!$E$7)-(AR718-AN718))/AN718)))</f>
        <v>0</v>
      </c>
      <c r="AT718" s="57" t="n">
        <f aca="false">IF(LEFT(Cockpit!$O$5,1)="A",G718,IF(BW718=1,BX718,IF(LEFT(Cockpit!$O$5,1)="B",AX718,MAX(AX718,G718))))</f>
        <v>10</v>
      </c>
      <c r="AU718" s="57" t="n">
        <f aca="false">IF(BR718=1,0,ROUNDUP(AT718/BQ718,0))</f>
        <v>0</v>
      </c>
      <c r="AV718" s="59" t="n">
        <f aca="false">IF(CD718&gt;0,CD718*MAX(1,AT718/V718),IF(BR718=1,IF(AT718&lt;=0,0,BS718*MAX(1,IF(G718&gt;0,AT718/G718,1))),IF(Q718&gt;0,AU718/Q718,0))/MAX(0.1,N(Parameter!$M$21)))</f>
        <v>1.5</v>
      </c>
      <c r="AW718" s="57" t="n">
        <f aca="false">AT718*F718</f>
        <v>272</v>
      </c>
      <c r="AX718" s="57" t="n">
        <f aca="false">ROUNDUP(MAX(I718/IF(BV718&gt;0,BV718,MAX(0.1,N(Cockpit!$O$6))),BY718)/BQ718,0)*BQ718</f>
        <v>10</v>
      </c>
      <c r="AY718" s="58" t="n">
        <f aca="false">IF(AV718&gt;0,I718/AV718,-1)</f>
        <v>0</v>
      </c>
      <c r="AZ718" s="58" t="str">
        <f aca="false">IF(AND(OR(BU718="L1",BU718="L23"),AV718&gt;0),SUMIFS($AV$7:$AV$1576,$BU$7:$BU$1576,BU718,$AY$7:$AY$1576,"&gt;"&amp;AY718)+SUMIFS($AV$7:$AV$1576,$BU$7:$BU$1576,BU718,$AY$7:$AY$1576,AY718,$BO$7:$BO$1576,"&lt;="&amp;BO718),"")</f>
        <v/>
      </c>
      <c r="BA718" s="65" t="n">
        <f aca="false">IF(AZ718="",0,MAX(0,MIN(1,(IF(BU718="L1",Parameter!$E$5,Parameter!$E$6+Parameter!$E$7)-(AZ718-AV718))/AV718)))</f>
        <v>0</v>
      </c>
      <c r="BB718" s="55" t="str">
        <f aca="false">IF(AF718&lt;=0,"",IF(BU718="Aussen","Aussenlager",IF(BU718="-","Nicht im Lift",IF(AK718&gt;=1,"Lift",IF(AK718&lt;=0,"Aussenlager","teilweise")))))</f>
        <v>Nicht im Lift</v>
      </c>
      <c r="BC718" s="55" t="str">
        <f aca="false">IF(AN718&lt;=0,"",IF(BU718="Aussen","Aussenlager",IF(BU718="-","Nicht im Lift",IF(AS718&gt;=1,"Lift",IF(AS718&lt;=0,"Aussenlager","teilweise")))))</f>
        <v>Nicht im Lift</v>
      </c>
      <c r="BD718" s="55" t="str">
        <f aca="false">IF(AV718&lt;=0,"",IF(BU718="Aussen","Aussenlager",IF(BU718="-","Nicht im Lift",IF(BA718&gt;=1,"Lift",IF(BA718&lt;=0,"Aussenlager","teilweise")))))</f>
        <v>Nicht im Lift</v>
      </c>
      <c r="BE718" s="55" t="str">
        <f aca="false">IF(A718="","",IF(BN718=1,"Neu; ","")&amp;IF(AND(BN718=0,BI718&lt;0),"negativer Bestand (Export "&amp;BI718&amp;"); ","")&amp;IF(I718&lt;=0,"Kein Verbrauch; ","")&amp;IF(CD718&gt;0,"Lift "&amp;U718&amp;" lt. Liftbericht (Fach "&amp;V718&amp;" Stk); ",IF(BR718=1,"Lose – Fläche geschätzt; ",""))&amp;IF(G718&gt;AP718,"Überbestand "&amp;ROUND(G718-AP718,0)&amp;" Stk / CHF "&amp;ROUND((G718-AP718)*F718,0)&amp;"; ","")&amp;IF(AND(BW718=1,BX718&lt;BY718),"MAX &lt; MB+LG; ","")&amp;IF(AND(CC718&gt;0,CB718*10&gt;CC718),"zu hoch für Tablar; ","")&amp;IF(AND(BN718=0,OR(BW718=1,Y718&lt;&gt;"",S718&lt;&gt;"",T718&lt;&gt;"",Z718&lt;&gt;"")),"manuell übersteuert; ","")&amp;IF(AND(BR718=0,Q718=0),"Gebinde unbekannt / Stellmass fehlt; ","")&amp;IF(AND(BR718=0,N(T718)&lt;=0,N(P718)&lt;=0),"Menge pro Gebinde fehlt (Ist = 1 Gebinde); ","")&amp;BM718)</f>
        <v>Kein Verbrauch; Lose – Fläche geschätzt; </v>
      </c>
      <c r="BF718" s="55"/>
      <c r="BG718" s="55"/>
      <c r="BH718" s="62"/>
      <c r="BI718" s="57" t="n">
        <v>1</v>
      </c>
      <c r="BJ718" s="57" t="n">
        <v>0</v>
      </c>
      <c r="BK718" s="56" t="n">
        <v>0</v>
      </c>
      <c r="BL718" s="57" t="n">
        <v>0</v>
      </c>
      <c r="BM718" s="55"/>
      <c r="BN718" s="60" t="n">
        <v>0</v>
      </c>
      <c r="BO718" s="60" t="n">
        <v>718</v>
      </c>
      <c r="BP718" s="55" t="str">
        <f aca="false">IF(S718&lt;&gt;"",UPPER(TRIM(S718)),IF(O718="","LOSE",O718))</f>
        <v>LOSE</v>
      </c>
      <c r="BQ718" s="57" t="n">
        <f aca="false">IF(BP718="LOSE",1,IF(N(T718)&gt;0,T718,IF(N(P718)&gt;0,P718,MAX(1,G718))))</f>
        <v>1</v>
      </c>
      <c r="BR718" s="60" t="n">
        <f aca="false">IF(BP718="LOSE",1,0)</f>
        <v>1</v>
      </c>
      <c r="BS718" s="59" t="n">
        <f aca="false">IF(BR718=0,0,IF(N(R718)&gt;0,R718,IFERROR(VLOOKUP(D718,Parameter!$A$35:$C$64,3,0)+0,0)))</f>
        <v>0.15</v>
      </c>
      <c r="BT718" s="55" t="str">
        <f aca="false">IF(Y718&lt;&gt;"",Y718,X718)</f>
        <v>-</v>
      </c>
      <c r="BU718" s="55" t="str">
        <f aca="false">IF(BT718=1,"L1",IF(OR(BT718=2,BT718=3),"L23",IF(BT718="Aussen","Aussen","-")))</f>
        <v>-</v>
      </c>
      <c r="BV718" s="66" t="n">
        <f aca="false">IF(N(Z718)&gt;0,Z718,0)</f>
        <v>0</v>
      </c>
      <c r="BW718" s="60" t="n">
        <f aca="false">IF(ISNUMBER(AC718),1,0)</f>
        <v>0</v>
      </c>
      <c r="BX718" s="57" t="n">
        <f aca="false">N(AC718)</f>
        <v>0</v>
      </c>
      <c r="BY718" s="57" t="n">
        <f aca="false">N(L718)+N(M718)</f>
        <v>10</v>
      </c>
      <c r="BZ718" s="57" t="n">
        <f aca="false">ROUNDUP(G718/BQ718,0)</f>
        <v>1</v>
      </c>
      <c r="CA718" s="57" t="n">
        <f aca="false">ROUNDUP(BX718/BQ718,0)</f>
        <v>0</v>
      </c>
      <c r="CB718" s="60" t="n">
        <f aca="false">IF(BR718=1,0,IFERROR(VLOOKUP(BP718,'Gebinde-Kategorie'!$A$5:$M$45,5,0)+0,0))</f>
        <v>0</v>
      </c>
      <c r="CC718" s="60" t="n">
        <f aca="false">IFERROR(IF(OR(BT718=1,BT718=2,BT718=3),N(INDEX(Parameter!$I$5:$I$7,BT718)),0),0)</f>
        <v>0</v>
      </c>
      <c r="CD718" s="59" t="n">
        <f aca="false">IF(AND(Parameter!$B$21="Ja",ISNUMBER(U718),N(V718)&gt;0),IFERROR(N(INDEX(Parameter!$L$5:$L$7,U718))*INDEX(Parameter!$E$5:$E$7,U718)*V718/SUMIFS($V$7:$V$1576,$U$7:$U$1576,U718),0),0)</f>
        <v>0</v>
      </c>
    </row>
    <row r="719" customFormat="false" ht="15" hidden="false" customHeight="false" outlineLevel="0" collapsed="false">
      <c r="A719" s="55" t="s">
        <v>1418</v>
      </c>
      <c r="B719" s="55" t="s">
        <v>643</v>
      </c>
      <c r="C719" s="55" t="s">
        <v>160</v>
      </c>
      <c r="D719" s="55" t="s">
        <v>178</v>
      </c>
      <c r="E719" s="55" t="s">
        <v>210</v>
      </c>
      <c r="F719" s="56" t="n">
        <v>0.39</v>
      </c>
      <c r="G719" s="57" t="n">
        <f aca="false">MAX(0,IF(AND(Parameter!$B$21="Ja",ISNUMBER(W719)),W719,IF(Parameter!$B$20="Jahresanfang 2025 + Export",BJ719+BI719,BI719)))</f>
        <v>0</v>
      </c>
      <c r="H719" s="57" t="n">
        <f aca="false">G719*F719</f>
        <v>0</v>
      </c>
      <c r="I719" s="57" t="n">
        <f aca="false">BL719*Parameter!$B$18</f>
        <v>2</v>
      </c>
      <c r="J719" s="58" t="n">
        <v>21</v>
      </c>
      <c r="K719" s="59" t="n">
        <v>0.0952380952380952</v>
      </c>
      <c r="L719" s="57" t="n">
        <v>0</v>
      </c>
      <c r="M719" s="57" t="n">
        <v>1</v>
      </c>
      <c r="N719" s="60" t="n">
        <v>21</v>
      </c>
      <c r="O719" s="55" t="s">
        <v>391</v>
      </c>
      <c r="P719" s="57" t="n">
        <v>36</v>
      </c>
      <c r="Q719" s="60" t="n">
        <f aca="false">IF(BR719=1,0,IFERROR(VLOOKUP(BP719,'Gebinde-Kategorie'!$A$5:$M$45,13,0)+0,0))</f>
        <v>414</v>
      </c>
      <c r="R719" s="61"/>
      <c r="S719" s="62"/>
      <c r="T719" s="62"/>
      <c r="U719" s="55"/>
      <c r="V719" s="57"/>
      <c r="W719" s="57"/>
      <c r="X719" s="55" t="n">
        <f aca="false">IF(A719="","",IF(AND(Parameter!$B$21="Ja",ISNUMBER(U719)),U719,IF(IFERROR(VLOOKUP(D719,Parameter!$A$35:$C$64,2,0),"Nein")="2+3",IF(ISNUMBER(SEARCH("grosser Artikel",BM719)),2,IFERROR(VLOOKUP(BP719,Parameter!$F$35:$G$64,2,0),2)),IF(OR(IFERROR(VLOOKUP(D719,Parameter!$A$35:$C$64,2,0),"Nein")="Nein",IFERROR(VLOOKUP(D719,Parameter!$A$35:$C$64,2,0),"Nein")=""),"-",VLOOKUP(D719,Parameter!$A$35:$C$64,2,0)))))</f>
        <v>3</v>
      </c>
      <c r="Y719" s="62"/>
      <c r="Z719" s="63"/>
      <c r="AA719" s="57" t="n">
        <f aca="false">AP719</f>
        <v>36</v>
      </c>
      <c r="AB719" s="57" t="n">
        <f aca="false">MAX(AP719,G719)</f>
        <v>36</v>
      </c>
      <c r="AC719" s="64"/>
      <c r="AD719" s="57" t="n">
        <f aca="false">IF(LEFT(Cockpit!$C$5,1)="A",G719,IF(BW719=1,BX719,IF(LEFT(Cockpit!$C$5,1)="B",AH719,MAX(AH719,G719))))</f>
        <v>0</v>
      </c>
      <c r="AE719" s="57" t="n">
        <f aca="false">IF(BR719=1,0,ROUNDUP(AD719/BQ719,0))</f>
        <v>0</v>
      </c>
      <c r="AF719" s="59" t="n">
        <f aca="false">IF(CD719&gt;0,CD719*MAX(1,AD719/V719),IF(BR719=1,IF(AD719&lt;=0,0,BS719*MAX(1,IF(G719&gt;0,AD719/G719,1))),IF(Q719&gt;0,AE719/Q719,0))/MAX(0.1,N(Parameter!$M$21)))</f>
        <v>0</v>
      </c>
      <c r="AG719" s="57" t="n">
        <f aca="false">AD719*F719</f>
        <v>0</v>
      </c>
      <c r="AH719" s="57" t="n">
        <f aca="false">ROUNDUP(MAX(I719/IF(BV719&gt;0,BV719,MAX(0.1,N(Cockpit!$C$6))),BY719)/BQ719,0)*BQ719</f>
        <v>36</v>
      </c>
      <c r="AI719" s="58" t="n">
        <f aca="false">IF(AF719&gt;0,I719/AF719,-1)</f>
        <v>-1</v>
      </c>
      <c r="AJ719" s="58" t="str">
        <f aca="false">IF(AND(OR(BU719="L1",BU719="L23"),AF719&gt;0),SUMIFS($AF$7:$AF$1576,$BU$7:$BU$1576,BU719,$AI$7:$AI$1576,"&gt;"&amp;AI719)+SUMIFS($AF$7:$AF$1576,$BU$7:$BU$1576,BU719,$AI$7:$AI$1576,AI719,$BO$7:$BO$1576,"&lt;="&amp;BO719),"")</f>
        <v/>
      </c>
      <c r="AK719" s="65" t="n">
        <f aca="false">IF(AJ719="",0,MAX(0,MIN(1,(IF(BU719="L1",Parameter!$E$5,Parameter!$E$6+Parameter!$E$7)-(AJ719-AF719))/AF719)))</f>
        <v>0</v>
      </c>
      <c r="AL719" s="57" t="n">
        <f aca="false">IF(LEFT(Cockpit!$I$5,1)="A",G719,IF(BW719=1,BX719,IF(LEFT(Cockpit!$I$5,1)="B",AP719,MAX(AP719,G719))))</f>
        <v>36</v>
      </c>
      <c r="AM719" s="57" t="n">
        <f aca="false">IF(BR719=1,0,ROUNDUP(AL719/BQ719,0))</f>
        <v>1</v>
      </c>
      <c r="AN719" s="59" t="n">
        <f aca="false">IF(CD719&gt;0,CD719*MAX(1,AL719/V719),IF(BR719=1,IF(AL719&lt;=0,0,BS719*MAX(1,IF(G719&gt;0,AL719/G719,1))),IF(Q719&gt;0,AM719/Q719,0))/MAX(0.1,N(Parameter!$M$21)))</f>
        <v>0.00241545893719807</v>
      </c>
      <c r="AO719" s="57" t="n">
        <f aca="false">AL719*F719</f>
        <v>14.04</v>
      </c>
      <c r="AP719" s="57" t="n">
        <f aca="false">ROUNDUP(MAX(I719/IF(BV719&gt;0,BV719,MAX(0.1,N(Cockpit!$I$6))),BY719)/BQ719,0)*BQ719</f>
        <v>36</v>
      </c>
      <c r="AQ719" s="58" t="n">
        <f aca="false">IF(AN719&gt;0,I719/AN719,-1)</f>
        <v>828</v>
      </c>
      <c r="AR719" s="58" t="n">
        <f aca="false">IF(AND(OR(BU719="L1",BU719="L23"),AN719&gt;0),SUMIFS($AN$7:$AN$1576,$BU$7:$BU$1576,BU719,$AQ$7:$AQ$1576,"&gt;"&amp;AQ719)+SUMIFS($AN$7:$AN$1576,$BU$7:$BU$1576,BU719,$AQ$7:$AQ$1576,AQ719,$BO$7:$BO$1576,"&lt;="&amp;BO719),"")</f>
        <v>25.615098102718</v>
      </c>
      <c r="AS719" s="65" t="n">
        <f aca="false">IF(AR719="",0,MAX(0,MIN(1,(IF(BU719="L1",Parameter!$E$5,Parameter!$E$6+Parameter!$E$7)-(AR719-AN719))/AN719)))</f>
        <v>1</v>
      </c>
      <c r="AT719" s="57" t="n">
        <f aca="false">IF(LEFT(Cockpit!$O$5,1)="A",G719,IF(BW719=1,BX719,IF(LEFT(Cockpit!$O$5,1)="B",AX719,MAX(AX719,G719))))</f>
        <v>36</v>
      </c>
      <c r="AU719" s="57" t="n">
        <f aca="false">IF(BR719=1,0,ROUNDUP(AT719/BQ719,0))</f>
        <v>1</v>
      </c>
      <c r="AV719" s="59" t="n">
        <f aca="false">IF(CD719&gt;0,CD719*MAX(1,AT719/V719),IF(BR719=1,IF(AT719&lt;=0,0,BS719*MAX(1,IF(G719&gt;0,AT719/G719,1))),IF(Q719&gt;0,AU719/Q719,0))/MAX(0.1,N(Parameter!$M$21)))</f>
        <v>0.00241545893719807</v>
      </c>
      <c r="AW719" s="57" t="n">
        <f aca="false">AT719*F719</f>
        <v>14.04</v>
      </c>
      <c r="AX719" s="57" t="n">
        <f aca="false">ROUNDUP(MAX(I719/IF(BV719&gt;0,BV719,MAX(0.1,N(Cockpit!$O$6))),BY719)/BQ719,0)*BQ719</f>
        <v>36</v>
      </c>
      <c r="AY719" s="58" t="n">
        <f aca="false">IF(AV719&gt;0,I719/AV719,-1)</f>
        <v>828</v>
      </c>
      <c r="AZ719" s="58" t="n">
        <f aca="false">IF(AND(OR(BU719="L1",BU719="L23"),AV719&gt;0),SUMIFS($AV$7:$AV$1576,$BU$7:$BU$1576,BU719,$AY$7:$AY$1576,"&gt;"&amp;AY719)+SUMIFS($AV$7:$AV$1576,$BU$7:$BU$1576,BU719,$AY$7:$AY$1576,AY719,$BO$7:$BO$1576,"&lt;="&amp;BO719),"")</f>
        <v>25.9321144197343</v>
      </c>
      <c r="BA719" s="65" t="n">
        <f aca="false">IF(AZ719="",0,MAX(0,MIN(1,(IF(BU719="L1",Parameter!$E$5,Parameter!$E$6+Parameter!$E$7)-(AZ719-AV719))/AV719)))</f>
        <v>1</v>
      </c>
      <c r="BB719" s="55" t="str">
        <f aca="false">IF(AF719&lt;=0,"",IF(BU719="Aussen","Aussenlager",IF(BU719="-","Nicht im Lift",IF(AK719&gt;=1,"Lift",IF(AK719&lt;=0,"Aussenlager","teilweise")))))</f>
        <v/>
      </c>
      <c r="BC719" s="55" t="str">
        <f aca="false">IF(AN719&lt;=0,"",IF(BU719="Aussen","Aussenlager",IF(BU719="-","Nicht im Lift",IF(AS719&gt;=1,"Lift",IF(AS719&lt;=0,"Aussenlager","teilweise")))))</f>
        <v>Lift</v>
      </c>
      <c r="BD719" s="55" t="str">
        <f aca="false">IF(AV719&lt;=0,"",IF(BU719="Aussen","Aussenlager",IF(BU719="-","Nicht im Lift",IF(BA719&gt;=1,"Lift",IF(BA719&lt;=0,"Aussenlager","teilweise")))))</f>
        <v>Lift</v>
      </c>
      <c r="BE719" s="55" t="str">
        <f aca="false">IF(A719="","",IF(BN719=1,"Neu; ","")&amp;IF(AND(BN719=0,BI719&lt;0),"negativer Bestand (Export "&amp;BI719&amp;"); ","")&amp;IF(I719&lt;=0,"Kein Verbrauch; ","")&amp;IF(CD719&gt;0,"Lift "&amp;U719&amp;" lt. Liftbericht (Fach "&amp;V719&amp;" Stk); ",IF(BR719=1,"Lose – Fläche geschätzt; ",""))&amp;IF(G719&gt;AP719,"Überbestand "&amp;ROUND(G719-AP719,0)&amp;" Stk / CHF "&amp;ROUND((G719-AP719)*F719,0)&amp;"; ","")&amp;IF(AND(BW719=1,BX719&lt;BY719),"MAX &lt; MB+LG; ","")&amp;IF(AND(CC719&gt;0,CB719*10&gt;CC719),"zu hoch für Tablar; ","")&amp;IF(AND(BN719=0,OR(BW719=1,Y719&lt;&gt;"",S719&lt;&gt;"",T719&lt;&gt;"",Z719&lt;&gt;"")),"manuell übersteuert; ","")&amp;IF(AND(BR719=0,Q719=0),"Gebinde unbekannt / Stellmass fehlt; ","")&amp;IF(AND(BR719=0,N(T719)&lt;=0,N(P719)&lt;=0),"Menge pro Gebinde fehlt (Ist = 1 Gebinde); ","")&amp;BM719)</f>
        <v>Überbestand</v>
      </c>
      <c r="BF719" s="55"/>
      <c r="BG719" s="55"/>
      <c r="BH719" s="62"/>
      <c r="BI719" s="57" t="n">
        <v>0</v>
      </c>
      <c r="BJ719" s="57" t="n">
        <v>22</v>
      </c>
      <c r="BK719" s="56" t="n">
        <v>0</v>
      </c>
      <c r="BL719" s="57" t="n">
        <v>2</v>
      </c>
      <c r="BM719" s="55" t="s">
        <v>382</v>
      </c>
      <c r="BN719" s="60" t="n">
        <v>0</v>
      </c>
      <c r="BO719" s="60" t="n">
        <v>719</v>
      </c>
      <c r="BP719" s="55" t="str">
        <f aca="false">IF(S719&lt;&gt;"",UPPER(TRIM(S719)),IF(O719="","LOSE",O719))</f>
        <v>S21</v>
      </c>
      <c r="BQ719" s="57" t="n">
        <f aca="false">IF(BP719="LOSE",1,IF(N(T719)&gt;0,T719,IF(N(P719)&gt;0,P719,MAX(1,G719))))</f>
        <v>36</v>
      </c>
      <c r="BR719" s="60" t="n">
        <f aca="false">IF(BP719="LOSE",1,0)</f>
        <v>0</v>
      </c>
      <c r="BS719" s="59" t="n">
        <f aca="false">IF(BR719=0,0,IF(N(R719)&gt;0,R719,IFERROR(VLOOKUP(D719,Parameter!$A$35:$C$64,3,0)+0,0)))</f>
        <v>0</v>
      </c>
      <c r="BT719" s="55" t="n">
        <f aca="false">IF(Y719&lt;&gt;"",Y719,X719)</f>
        <v>3</v>
      </c>
      <c r="BU719" s="55" t="str">
        <f aca="false">IF(BT719=1,"L1",IF(OR(BT719=2,BT719=3),"L23",IF(BT719="Aussen","Aussen","-")))</f>
        <v>L23</v>
      </c>
      <c r="BV719" s="66" t="n">
        <f aca="false">IF(N(Z719)&gt;0,Z719,0)</f>
        <v>0</v>
      </c>
      <c r="BW719" s="60" t="n">
        <f aca="false">IF(ISNUMBER(AC719),1,0)</f>
        <v>0</v>
      </c>
      <c r="BX719" s="57" t="n">
        <f aca="false">N(AC719)</f>
        <v>0</v>
      </c>
      <c r="BY719" s="57" t="n">
        <f aca="false">N(L719)+N(M719)</f>
        <v>1</v>
      </c>
      <c r="BZ719" s="57" t="n">
        <f aca="false">ROUNDUP(G719/BQ719,0)</f>
        <v>0</v>
      </c>
      <c r="CA719" s="57" t="n">
        <f aca="false">ROUNDUP(BX719/BQ719,0)</f>
        <v>0</v>
      </c>
      <c r="CB719" s="60" t="n">
        <f aca="false">IF(BR719=1,0,IFERROR(VLOOKUP(BP719,'Gebinde-Kategorie'!$A$5:$M$45,5,0)+0,0))</f>
        <v>8</v>
      </c>
      <c r="CC719" s="60" t="n">
        <f aca="false">IFERROR(IF(OR(BT719=1,BT719=2,BT719=3),N(INDEX(Parameter!$I$5:$I$7,BT719)),0),0)</f>
        <v>0</v>
      </c>
      <c r="CD719" s="59" t="n">
        <f aca="false">IF(AND(Parameter!$B$21="Ja",ISNUMBER(U719),N(V719)&gt;0),IFERROR(N(INDEX(Parameter!$L$5:$L$7,U719))*INDEX(Parameter!$E$5:$E$7,U719)*V719/SUMIFS($V$7:$V$1576,$U$7:$U$1576,U719),0),0)</f>
        <v>0</v>
      </c>
    </row>
    <row r="720" customFormat="false" ht="15" hidden="false" customHeight="false" outlineLevel="0" collapsed="false">
      <c r="A720" s="55" t="s">
        <v>1419</v>
      </c>
      <c r="B720" s="55" t="s">
        <v>533</v>
      </c>
      <c r="C720" s="55" t="s">
        <v>160</v>
      </c>
      <c r="D720" s="55" t="s">
        <v>984</v>
      </c>
      <c r="E720" s="55" t="s">
        <v>210</v>
      </c>
      <c r="F720" s="56" t="n">
        <v>32.17</v>
      </c>
      <c r="G720" s="57" t="n">
        <f aca="false">MAX(0,IF(AND(Parameter!$B$21="Ja",ISNUMBER(W720)),W720,IF(Parameter!$B$20="Jahresanfang 2025 + Export",BJ720+BI720,BI720)))</f>
        <v>4</v>
      </c>
      <c r="H720" s="57" t="n">
        <f aca="false">G720*F720</f>
        <v>128.68</v>
      </c>
      <c r="I720" s="57" t="n">
        <f aca="false">BL720*Parameter!$B$18</f>
        <v>0</v>
      </c>
      <c r="J720" s="58" t="n">
        <v>2.5</v>
      </c>
      <c r="K720" s="59" t="n">
        <v>0</v>
      </c>
      <c r="L720" s="57" t="n">
        <v>0</v>
      </c>
      <c r="M720" s="57" t="n">
        <v>10</v>
      </c>
      <c r="N720" s="60" t="n">
        <v>28</v>
      </c>
      <c r="O720" s="55" t="s">
        <v>163</v>
      </c>
      <c r="P720" s="57"/>
      <c r="Q720" s="60" t="n">
        <f aca="false">IF(BR720=1,0,IFERROR(VLOOKUP(BP720,'Gebinde-Kategorie'!$A$5:$M$45,13,0)+0,0))</f>
        <v>0</v>
      </c>
      <c r="R720" s="61"/>
      <c r="S720" s="62"/>
      <c r="T720" s="62"/>
      <c r="U720" s="55"/>
      <c r="V720" s="57"/>
      <c r="W720" s="57"/>
      <c r="X720" s="55" t="str">
        <f aca="false">IF(A720="","",IF(AND(Parameter!$B$21="Ja",ISNUMBER(U720)),U720,IF(IFERROR(VLOOKUP(D720,Parameter!$A$35:$C$64,2,0),"Nein")="2+3",IF(ISNUMBER(SEARCH("grosser Artikel",BM720)),2,IFERROR(VLOOKUP(BP720,Parameter!$F$35:$G$64,2,0),2)),IF(OR(IFERROR(VLOOKUP(D720,Parameter!$A$35:$C$64,2,0),"Nein")="Nein",IFERROR(VLOOKUP(D720,Parameter!$A$35:$C$64,2,0),"Nein")=""),"-",VLOOKUP(D720,Parameter!$A$35:$C$64,2,0)))))</f>
        <v>-</v>
      </c>
      <c r="Y720" s="62"/>
      <c r="Z720" s="63"/>
      <c r="AA720" s="57" t="n">
        <f aca="false">AP720</f>
        <v>10</v>
      </c>
      <c r="AB720" s="57" t="n">
        <f aca="false">MAX(AP720,G720)</f>
        <v>10</v>
      </c>
      <c r="AC720" s="64"/>
      <c r="AD720" s="57" t="n">
        <f aca="false">IF(LEFT(Cockpit!$C$5,1)="A",G720,IF(BW720=1,BX720,IF(LEFT(Cockpit!$C$5,1)="B",AH720,MAX(AH720,G720))))</f>
        <v>4</v>
      </c>
      <c r="AE720" s="57" t="n">
        <f aca="false">IF(BR720=1,0,ROUNDUP(AD720/BQ720,0))</f>
        <v>0</v>
      </c>
      <c r="AF720" s="59" t="n">
        <f aca="false">IF(CD720&gt;0,CD720*MAX(1,AD720/V720),IF(BR720=1,IF(AD720&lt;=0,0,BS720*MAX(1,IF(G720&gt;0,AD720/G720,1))),IF(Q720&gt;0,AE720/Q720,0))/MAX(0.1,N(Parameter!$M$21)))</f>
        <v>0.15</v>
      </c>
      <c r="AG720" s="57" t="n">
        <f aca="false">AD720*F720</f>
        <v>128.68</v>
      </c>
      <c r="AH720" s="57" t="n">
        <f aca="false">ROUNDUP(MAX(I720/IF(BV720&gt;0,BV720,MAX(0.1,N(Cockpit!$C$6))),BY720)/BQ720,0)*BQ720</f>
        <v>10</v>
      </c>
      <c r="AI720" s="58" t="n">
        <f aca="false">IF(AF720&gt;0,I720/AF720,-1)</f>
        <v>0</v>
      </c>
      <c r="AJ720" s="58" t="str">
        <f aca="false">IF(AND(OR(BU720="L1",BU720="L23"),AF720&gt;0),SUMIFS($AF$7:$AF$1576,$BU$7:$BU$1576,BU720,$AI$7:$AI$1576,"&gt;"&amp;AI720)+SUMIFS($AF$7:$AF$1576,$BU$7:$BU$1576,BU720,$AI$7:$AI$1576,AI720,$BO$7:$BO$1576,"&lt;="&amp;BO720),"")</f>
        <v/>
      </c>
      <c r="AK720" s="65" t="n">
        <f aca="false">IF(AJ720="",0,MAX(0,MIN(1,(IF(BU720="L1",Parameter!$E$5,Parameter!$E$6+Parameter!$E$7)-(AJ720-AF720))/AF720)))</f>
        <v>0</v>
      </c>
      <c r="AL720" s="57" t="n">
        <f aca="false">IF(LEFT(Cockpit!$I$5,1)="A",G720,IF(BW720=1,BX720,IF(LEFT(Cockpit!$I$5,1)="B",AP720,MAX(AP720,G720))))</f>
        <v>10</v>
      </c>
      <c r="AM720" s="57" t="n">
        <f aca="false">IF(BR720=1,0,ROUNDUP(AL720/BQ720,0))</f>
        <v>0</v>
      </c>
      <c r="AN720" s="59" t="n">
        <f aca="false">IF(CD720&gt;0,CD720*MAX(1,AL720/V720),IF(BR720=1,IF(AL720&lt;=0,0,BS720*MAX(1,IF(G720&gt;0,AL720/G720,1))),IF(Q720&gt;0,AM720/Q720,0))/MAX(0.1,N(Parameter!$M$21)))</f>
        <v>0.375</v>
      </c>
      <c r="AO720" s="57" t="n">
        <f aca="false">AL720*F720</f>
        <v>321.7</v>
      </c>
      <c r="AP720" s="57" t="n">
        <f aca="false">ROUNDUP(MAX(I720/IF(BV720&gt;0,BV720,MAX(0.1,N(Cockpit!$I$6))),BY720)/BQ720,0)*BQ720</f>
        <v>10</v>
      </c>
      <c r="AQ720" s="58" t="n">
        <f aca="false">IF(AN720&gt;0,I720/AN720,-1)</f>
        <v>0</v>
      </c>
      <c r="AR720" s="58" t="str">
        <f aca="false">IF(AND(OR(BU720="L1",BU720="L23"),AN720&gt;0),SUMIFS($AN$7:$AN$1576,$BU$7:$BU$1576,BU720,$AQ$7:$AQ$1576,"&gt;"&amp;AQ720)+SUMIFS($AN$7:$AN$1576,$BU$7:$BU$1576,BU720,$AQ$7:$AQ$1576,AQ720,$BO$7:$BO$1576,"&lt;="&amp;BO720),"")</f>
        <v/>
      </c>
      <c r="AS720" s="65" t="n">
        <f aca="false">IF(AR720="",0,MAX(0,MIN(1,(IF(BU720="L1",Parameter!$E$5,Parameter!$E$6+Parameter!$E$7)-(AR720-AN720))/AN720)))</f>
        <v>0</v>
      </c>
      <c r="AT720" s="57" t="n">
        <f aca="false">IF(LEFT(Cockpit!$O$5,1)="A",G720,IF(BW720=1,BX720,IF(LEFT(Cockpit!$O$5,1)="B",AX720,MAX(AX720,G720))))</f>
        <v>10</v>
      </c>
      <c r="AU720" s="57" t="n">
        <f aca="false">IF(BR720=1,0,ROUNDUP(AT720/BQ720,0))</f>
        <v>0</v>
      </c>
      <c r="AV720" s="59" t="n">
        <f aca="false">IF(CD720&gt;0,CD720*MAX(1,AT720/V720),IF(BR720=1,IF(AT720&lt;=0,0,BS720*MAX(1,IF(G720&gt;0,AT720/G720,1))),IF(Q720&gt;0,AU720/Q720,0))/MAX(0.1,N(Parameter!$M$21)))</f>
        <v>0.375</v>
      </c>
      <c r="AW720" s="57" t="n">
        <f aca="false">AT720*F720</f>
        <v>321.7</v>
      </c>
      <c r="AX720" s="57" t="n">
        <f aca="false">ROUNDUP(MAX(I720/IF(BV720&gt;0,BV720,MAX(0.1,N(Cockpit!$O$6))),BY720)/BQ720,0)*BQ720</f>
        <v>10</v>
      </c>
      <c r="AY720" s="58" t="n">
        <f aca="false">IF(AV720&gt;0,I720/AV720,-1)</f>
        <v>0</v>
      </c>
      <c r="AZ720" s="58" t="str">
        <f aca="false">IF(AND(OR(BU720="L1",BU720="L23"),AV720&gt;0),SUMIFS($AV$7:$AV$1576,$BU$7:$BU$1576,BU720,$AY$7:$AY$1576,"&gt;"&amp;AY720)+SUMIFS($AV$7:$AV$1576,$BU$7:$BU$1576,BU720,$AY$7:$AY$1576,AY720,$BO$7:$BO$1576,"&lt;="&amp;BO720),"")</f>
        <v/>
      </c>
      <c r="BA720" s="65" t="n">
        <f aca="false">IF(AZ720="",0,MAX(0,MIN(1,(IF(BU720="L1",Parameter!$E$5,Parameter!$E$6+Parameter!$E$7)-(AZ720-AV720))/AV720)))</f>
        <v>0</v>
      </c>
      <c r="BB720" s="55" t="str">
        <f aca="false">IF(AF720&lt;=0,"",IF(BU720="Aussen","Aussenlager",IF(BU720="-","Nicht im Lift",IF(AK720&gt;=1,"Lift",IF(AK720&lt;=0,"Aussenlager","teilweise")))))</f>
        <v>Nicht im Lift</v>
      </c>
      <c r="BC720" s="55" t="str">
        <f aca="false">IF(AN720&lt;=0,"",IF(BU720="Aussen","Aussenlager",IF(BU720="-","Nicht im Lift",IF(AS720&gt;=1,"Lift",IF(AS720&lt;=0,"Aussenlager","teilweise")))))</f>
        <v>Nicht im Lift</v>
      </c>
      <c r="BD720" s="55" t="str">
        <f aca="false">IF(AV720&lt;=0,"",IF(BU720="Aussen","Aussenlager",IF(BU720="-","Nicht im Lift",IF(BA720&gt;=1,"Lift",IF(BA720&lt;=0,"Aussenlager","teilweise")))))</f>
        <v>Nicht im Lift</v>
      </c>
      <c r="BE720" s="55" t="str">
        <f aca="false">IF(A720="","",IF(BN720=1,"Neu; ","")&amp;IF(AND(BN720=0,BI720&lt;0),"negativer Bestand (Export "&amp;BI720&amp;"); ","")&amp;IF(I720&lt;=0,"Kein Verbrauch; ","")&amp;IF(CD720&gt;0,"Lift "&amp;U720&amp;" lt. Liftbericht (Fach "&amp;V720&amp;" Stk); ",IF(BR720=1,"Lose – Fläche geschätzt; ",""))&amp;IF(G720&gt;AP720,"Überbestand "&amp;ROUND(G720-AP720,0)&amp;" Stk / CHF "&amp;ROUND((G720-AP720)*F720,0)&amp;"; ","")&amp;IF(AND(BW720=1,BX720&lt;BY720),"MAX &lt; MB+LG; ","")&amp;IF(AND(CC720&gt;0,CB720*10&gt;CC720),"zu hoch für Tablar; ","")&amp;IF(AND(BN720=0,OR(BW720=1,Y720&lt;&gt;"",S720&lt;&gt;"",T720&lt;&gt;"",Z720&lt;&gt;"")),"manuell übersteuert; ","")&amp;IF(AND(BR720=0,Q720=0),"Gebinde unbekannt / Stellmass fehlt; ","")&amp;IF(AND(BR720=0,N(T720)&lt;=0,N(P720)&lt;=0),"Menge pro Gebinde fehlt (Ist = 1 Gebinde); ","")&amp;BM720)</f>
        <v>Kein Verbrauch; Lose – Fläche geschätzt; </v>
      </c>
      <c r="BF720" s="55"/>
      <c r="BG720" s="55"/>
      <c r="BH720" s="62"/>
      <c r="BI720" s="57" t="n">
        <v>4</v>
      </c>
      <c r="BJ720" s="57" t="n">
        <v>2</v>
      </c>
      <c r="BK720" s="56" t="n">
        <v>0</v>
      </c>
      <c r="BL720" s="57" t="n">
        <v>0</v>
      </c>
      <c r="BM720" s="55"/>
      <c r="BN720" s="60" t="n">
        <v>0</v>
      </c>
      <c r="BO720" s="60" t="n">
        <v>720</v>
      </c>
      <c r="BP720" s="55" t="str">
        <f aca="false">IF(S720&lt;&gt;"",UPPER(TRIM(S720)),IF(O720="","LOSE",O720))</f>
        <v>LOSE</v>
      </c>
      <c r="BQ720" s="57" t="n">
        <f aca="false">IF(BP720="LOSE",1,IF(N(T720)&gt;0,T720,IF(N(P720)&gt;0,P720,MAX(1,G720))))</f>
        <v>1</v>
      </c>
      <c r="BR720" s="60" t="n">
        <f aca="false">IF(BP720="LOSE",1,0)</f>
        <v>1</v>
      </c>
      <c r="BS720" s="59" t="n">
        <f aca="false">IF(BR720=0,0,IF(N(R720)&gt;0,R720,IFERROR(VLOOKUP(D720,Parameter!$A$35:$C$64,3,0)+0,0)))</f>
        <v>0.15</v>
      </c>
      <c r="BT720" s="55" t="str">
        <f aca="false">IF(Y720&lt;&gt;"",Y720,X720)</f>
        <v>-</v>
      </c>
      <c r="BU720" s="55" t="str">
        <f aca="false">IF(BT720=1,"L1",IF(OR(BT720=2,BT720=3),"L23",IF(BT720="Aussen","Aussen","-")))</f>
        <v>-</v>
      </c>
      <c r="BV720" s="66" t="n">
        <f aca="false">IF(N(Z720)&gt;0,Z720,0)</f>
        <v>0</v>
      </c>
      <c r="BW720" s="60" t="n">
        <f aca="false">IF(ISNUMBER(AC720),1,0)</f>
        <v>0</v>
      </c>
      <c r="BX720" s="57" t="n">
        <f aca="false">N(AC720)</f>
        <v>0</v>
      </c>
      <c r="BY720" s="57" t="n">
        <f aca="false">N(L720)+N(M720)</f>
        <v>10</v>
      </c>
      <c r="BZ720" s="57" t="n">
        <f aca="false">ROUNDUP(G720/BQ720,0)</f>
        <v>4</v>
      </c>
      <c r="CA720" s="57" t="n">
        <f aca="false">ROUNDUP(BX720/BQ720,0)</f>
        <v>0</v>
      </c>
      <c r="CB720" s="60" t="n">
        <f aca="false">IF(BR720=1,0,IFERROR(VLOOKUP(BP720,'Gebinde-Kategorie'!$A$5:$M$45,5,0)+0,0))</f>
        <v>0</v>
      </c>
      <c r="CC720" s="60" t="n">
        <f aca="false">IFERROR(IF(OR(BT720=1,BT720=2,BT720=3),N(INDEX(Parameter!$I$5:$I$7,BT720)),0),0)</f>
        <v>0</v>
      </c>
      <c r="CD720" s="59" t="n">
        <f aca="false">IF(AND(Parameter!$B$21="Ja",ISNUMBER(U720),N(V720)&gt;0),IFERROR(N(INDEX(Parameter!$L$5:$L$7,U720))*INDEX(Parameter!$E$5:$E$7,U720)*V720/SUMIFS($V$7:$V$1576,$U$7:$U$1576,U720),0),0)</f>
        <v>0</v>
      </c>
    </row>
    <row r="721" customFormat="false" ht="15" hidden="false" customHeight="false" outlineLevel="0" collapsed="false">
      <c r="A721" s="55" t="s">
        <v>1420</v>
      </c>
      <c r="B721" s="55" t="s">
        <v>1421</v>
      </c>
      <c r="C721" s="55" t="s">
        <v>160</v>
      </c>
      <c r="D721" s="55" t="s">
        <v>168</v>
      </c>
      <c r="E721" s="55" t="s">
        <v>210</v>
      </c>
      <c r="F721" s="56" t="n">
        <v>299</v>
      </c>
      <c r="G721" s="57" t="n">
        <f aca="false">MAX(0,IF(AND(Parameter!$B$21="Ja",ISNUMBER(W721)),W721,IF(Parameter!$B$20="Jahresanfang 2025 + Export",BJ721+BI721,BI721)))</f>
        <v>0</v>
      </c>
      <c r="H721" s="57" t="n">
        <f aca="false">G721*F721</f>
        <v>0</v>
      </c>
      <c r="I721" s="57" t="n">
        <f aca="false">BL721*Parameter!$B$18</f>
        <v>0</v>
      </c>
      <c r="J721" s="58" t="n">
        <v>0</v>
      </c>
      <c r="K721" s="59" t="n">
        <v>0</v>
      </c>
      <c r="L721" s="57" t="n">
        <v>0</v>
      </c>
      <c r="M721" s="57" t="n">
        <v>1</v>
      </c>
      <c r="N721" s="60" t="n">
        <v>28</v>
      </c>
      <c r="O721" s="55" t="s">
        <v>179</v>
      </c>
      <c r="P721" s="57" t="n">
        <v>1</v>
      </c>
      <c r="Q721" s="60" t="n">
        <f aca="false">IF(BR721=1,0,IFERROR(VLOOKUP(BP721,'Gebinde-Kategorie'!$A$5:$M$45,13,0)+0,0))</f>
        <v>12</v>
      </c>
      <c r="R721" s="61"/>
      <c r="S721" s="62"/>
      <c r="T721" s="62"/>
      <c r="U721" s="55"/>
      <c r="V721" s="57"/>
      <c r="W721" s="57"/>
      <c r="X721" s="55" t="n">
        <f aca="false">IF(A721="","",IF(AND(Parameter!$B$21="Ja",ISNUMBER(U721)),U721,IF(IFERROR(VLOOKUP(D721,Parameter!$A$35:$C$64,2,0),"Nein")="2+3",IF(ISNUMBER(SEARCH("grosser Artikel",BM721)),2,IFERROR(VLOOKUP(BP721,Parameter!$F$35:$G$64,2,0),2)),IF(OR(IFERROR(VLOOKUP(D721,Parameter!$A$35:$C$64,2,0),"Nein")="Nein",IFERROR(VLOOKUP(D721,Parameter!$A$35:$C$64,2,0),"Nein")=""),"-",VLOOKUP(D721,Parameter!$A$35:$C$64,2,0)))))</f>
        <v>2</v>
      </c>
      <c r="Y721" s="62"/>
      <c r="Z721" s="63"/>
      <c r="AA721" s="57" t="n">
        <f aca="false">AP721</f>
        <v>1</v>
      </c>
      <c r="AB721" s="57" t="n">
        <f aca="false">MAX(AP721,G721)</f>
        <v>1</v>
      </c>
      <c r="AC721" s="64"/>
      <c r="AD721" s="57" t="n">
        <f aca="false">IF(LEFT(Cockpit!$C$5,1)="A",G721,IF(BW721=1,BX721,IF(LEFT(Cockpit!$C$5,1)="B",AH721,MAX(AH721,G721))))</f>
        <v>0</v>
      </c>
      <c r="AE721" s="57" t="n">
        <f aca="false">IF(BR721=1,0,ROUNDUP(AD721/BQ721,0))</f>
        <v>0</v>
      </c>
      <c r="AF721" s="59" t="n">
        <f aca="false">IF(CD721&gt;0,CD721*MAX(1,AD721/V721),IF(BR721=1,IF(AD721&lt;=0,0,BS721*MAX(1,IF(G721&gt;0,AD721/G721,1))),IF(Q721&gt;0,AE721/Q721,0))/MAX(0.1,N(Parameter!$M$21)))</f>
        <v>0</v>
      </c>
      <c r="AG721" s="57" t="n">
        <f aca="false">AD721*F721</f>
        <v>0</v>
      </c>
      <c r="AH721" s="57" t="n">
        <f aca="false">ROUNDUP(MAX(I721/IF(BV721&gt;0,BV721,MAX(0.1,N(Cockpit!$C$6))),BY721)/BQ721,0)*BQ721</f>
        <v>1</v>
      </c>
      <c r="AI721" s="58" t="n">
        <f aca="false">IF(AF721&gt;0,I721/AF721,-1)</f>
        <v>-1</v>
      </c>
      <c r="AJ721" s="58" t="str">
        <f aca="false">IF(AND(OR(BU721="L1",BU721="L23"),AF721&gt;0),SUMIFS($AF$7:$AF$1576,$BU$7:$BU$1576,BU721,$AI$7:$AI$1576,"&gt;"&amp;AI721)+SUMIFS($AF$7:$AF$1576,$BU$7:$BU$1576,BU721,$AI$7:$AI$1576,AI721,$BO$7:$BO$1576,"&lt;="&amp;BO721),"")</f>
        <v/>
      </c>
      <c r="AK721" s="65" t="n">
        <f aca="false">IF(AJ721="",0,MAX(0,MIN(1,(IF(BU721="L1",Parameter!$E$5,Parameter!$E$6+Parameter!$E$7)-(AJ721-AF721))/AF721)))</f>
        <v>0</v>
      </c>
      <c r="AL721" s="57" t="n">
        <f aca="false">IF(LEFT(Cockpit!$I$5,1)="A",G721,IF(BW721=1,BX721,IF(LEFT(Cockpit!$I$5,1)="B",AP721,MAX(AP721,G721))))</f>
        <v>1</v>
      </c>
      <c r="AM721" s="57" t="n">
        <f aca="false">IF(BR721=1,0,ROUNDUP(AL721/BQ721,0))</f>
        <v>1</v>
      </c>
      <c r="AN721" s="59" t="n">
        <f aca="false">IF(CD721&gt;0,CD721*MAX(1,AL721/V721),IF(BR721=1,IF(AL721&lt;=0,0,BS721*MAX(1,IF(G721&gt;0,AL721/G721,1))),IF(Q721&gt;0,AM721/Q721,0))/MAX(0.1,N(Parameter!$M$21)))</f>
        <v>0.0833333333333333</v>
      </c>
      <c r="AO721" s="57" t="n">
        <f aca="false">AL721*F721</f>
        <v>299</v>
      </c>
      <c r="AP721" s="57" t="n">
        <f aca="false">ROUNDUP(MAX(I721/IF(BV721&gt;0,BV721,MAX(0.1,N(Cockpit!$I$6))),BY721)/BQ721,0)*BQ721</f>
        <v>1</v>
      </c>
      <c r="AQ721" s="58" t="n">
        <f aca="false">IF(AN721&gt;0,I721/AN721,-1)</f>
        <v>0</v>
      </c>
      <c r="AR721" s="58" t="n">
        <f aca="false">IF(AND(OR(BU721="L1",BU721="L23"),AN721&gt;0),SUMIFS($AN$7:$AN$1576,$BU$7:$BU$1576,BU721,$AQ$7:$AQ$1576,"&gt;"&amp;AQ721)+SUMIFS($AN$7:$AN$1576,$BU$7:$BU$1576,BU721,$AQ$7:$AQ$1576,AQ721,$BO$7:$BO$1576,"&lt;="&amp;BO721),"")</f>
        <v>129.604862408171</v>
      </c>
      <c r="AS721" s="65" t="n">
        <f aca="false">IF(AR721="",0,MAX(0,MIN(1,(IF(BU721="L1",Parameter!$E$5,Parameter!$E$6+Parameter!$E$7)-(AR721-AN721))/AN721)))</f>
        <v>0</v>
      </c>
      <c r="AT721" s="57" t="n">
        <f aca="false">IF(LEFT(Cockpit!$O$5,1)="A",G721,IF(BW721=1,BX721,IF(LEFT(Cockpit!$O$5,1)="B",AX721,MAX(AX721,G721))))</f>
        <v>1</v>
      </c>
      <c r="AU721" s="57" t="n">
        <f aca="false">IF(BR721=1,0,ROUNDUP(AT721/BQ721,0))</f>
        <v>1</v>
      </c>
      <c r="AV721" s="59" t="n">
        <f aca="false">IF(CD721&gt;0,CD721*MAX(1,AT721/V721),IF(BR721=1,IF(AT721&lt;=0,0,BS721*MAX(1,IF(G721&gt;0,AT721/G721,1))),IF(Q721&gt;0,AU721/Q721,0))/MAX(0.1,N(Parameter!$M$21)))</f>
        <v>0.0833333333333333</v>
      </c>
      <c r="AW721" s="57" t="n">
        <f aca="false">AT721*F721</f>
        <v>299</v>
      </c>
      <c r="AX721" s="57" t="n">
        <f aca="false">ROUNDUP(MAX(I721/IF(BV721&gt;0,BV721,MAX(0.1,N(Cockpit!$O$6))),BY721)/BQ721,0)*BQ721</f>
        <v>1</v>
      </c>
      <c r="AY721" s="58" t="n">
        <f aca="false">IF(AV721&gt;0,I721/AV721,-1)</f>
        <v>0</v>
      </c>
      <c r="AZ721" s="58" t="n">
        <f aca="false">IF(AND(OR(BU721="L1",BU721="L23"),AV721&gt;0),SUMIFS($AV$7:$AV$1576,$BU$7:$BU$1576,BU721,$AY$7:$AY$1576,"&gt;"&amp;AY721)+SUMIFS($AV$7:$AV$1576,$BU$7:$BU$1576,BU721,$AY$7:$AY$1576,AY721,$BO$7:$BO$1576,"&lt;="&amp;BO721),"")</f>
        <v>119.664412857721</v>
      </c>
      <c r="BA721" s="65" t="n">
        <f aca="false">IF(AZ721="",0,MAX(0,MIN(1,(IF(BU721="L1",Parameter!$E$5,Parameter!$E$6+Parameter!$E$7)-(AZ721-AV721))/AV721)))</f>
        <v>0</v>
      </c>
      <c r="BB721" s="55" t="str">
        <f aca="false">IF(AF721&lt;=0,"",IF(BU721="Aussen","Aussenlager",IF(BU721="-","Nicht im Lift",IF(AK721&gt;=1,"Lift",IF(AK721&lt;=0,"Aussenlager","teilweise")))))</f>
        <v/>
      </c>
      <c r="BC721" s="55" t="str">
        <f aca="false">IF(AN721&lt;=0,"",IF(BU721="Aussen","Aussenlager",IF(BU721="-","Nicht im Lift",IF(AS721&gt;=1,"Lift",IF(AS721&lt;=0,"Aussenlager","teilweise")))))</f>
        <v>Aussenlager</v>
      </c>
      <c r="BD721" s="55" t="str">
        <f aca="false">IF(AV721&lt;=0,"",IF(BU721="Aussen","Aussenlager",IF(BU721="-","Nicht im Lift",IF(BA721&gt;=1,"Lift",IF(BA721&lt;=0,"Aussenlager","teilweise")))))</f>
        <v>Aussenlager</v>
      </c>
      <c r="BE721" s="55" t="str">
        <f aca="false">IF(A721="","",IF(BN721=1,"Neu; ","")&amp;IF(AND(BN721=0,BI721&lt;0),"negativer Bestand (Export "&amp;BI721&amp;"); ","")&amp;IF(I721&lt;=0,"Kein Verbrauch; ","")&amp;IF(CD721&gt;0,"Lift "&amp;U721&amp;" lt. Liftbericht (Fach "&amp;V721&amp;" Stk); ",IF(BR721=1,"Lose – Fläche geschätzt; ",""))&amp;IF(G721&gt;AP721,"Überbestand "&amp;ROUND(G721-AP721,0)&amp;" Stk / CHF "&amp;ROUND((G721-AP721)*F721,0)&amp;"; ","")&amp;IF(AND(BW721=1,BX721&lt;BY721),"MAX &lt; MB+LG; ","")&amp;IF(AND(CC721&gt;0,CB721*10&gt;CC721),"zu hoch für Tablar; ","")&amp;IF(AND(BN721=0,OR(BW721=1,Y721&lt;&gt;"",S721&lt;&gt;"",T721&lt;&gt;"",Z721&lt;&gt;"")),"manuell übersteuert; ","")&amp;IF(AND(BR721=0,Q721=0),"Gebinde unbekannt / Stellmass fehlt; ","")&amp;IF(AND(BR721=0,N(T721)&lt;=0,N(P721)&lt;=0),"Menge pro Gebinde fehlt (Ist = 1 Gebinde); ","")&amp;BM721)</f>
        <v>Kein Verbrauch; </v>
      </c>
      <c r="BF721" s="55"/>
      <c r="BG721" s="55"/>
      <c r="BH721" s="62"/>
      <c r="BI721" s="57" t="n">
        <v>0</v>
      </c>
      <c r="BJ721" s="57" t="n">
        <v>0</v>
      </c>
      <c r="BK721" s="56" t="n">
        <v>0</v>
      </c>
      <c r="BL721" s="57" t="n">
        <v>0</v>
      </c>
      <c r="BM721" s="55"/>
      <c r="BN721" s="60" t="n">
        <v>0</v>
      </c>
      <c r="BO721" s="60" t="n">
        <v>721</v>
      </c>
      <c r="BP721" s="55" t="str">
        <f aca="false">IF(S721&lt;&gt;"",UPPER(TRIM(S721)),IF(O721="","LOSE",O721))</f>
        <v>S61</v>
      </c>
      <c r="BQ721" s="57" t="n">
        <f aca="false">IF(BP721="LOSE",1,IF(N(T721)&gt;0,T721,IF(N(P721)&gt;0,P721,MAX(1,G721))))</f>
        <v>1</v>
      </c>
      <c r="BR721" s="60" t="n">
        <f aca="false">IF(BP721="LOSE",1,0)</f>
        <v>0</v>
      </c>
      <c r="BS721" s="59" t="n">
        <f aca="false">IF(BR721=0,0,IF(N(R721)&gt;0,R721,IFERROR(VLOOKUP(D721,Parameter!$A$35:$C$64,3,0)+0,0)))</f>
        <v>0</v>
      </c>
      <c r="BT721" s="55" t="n">
        <f aca="false">IF(Y721&lt;&gt;"",Y721,X721)</f>
        <v>2</v>
      </c>
      <c r="BU721" s="55" t="str">
        <f aca="false">IF(BT721=1,"L1",IF(OR(BT721=2,BT721=3),"L23",IF(BT721="Aussen","Aussen","-")))</f>
        <v>L23</v>
      </c>
      <c r="BV721" s="66" t="n">
        <f aca="false">IF(N(Z721)&gt;0,Z721,0)</f>
        <v>0</v>
      </c>
      <c r="BW721" s="60" t="n">
        <f aca="false">IF(ISNUMBER(AC721),1,0)</f>
        <v>0</v>
      </c>
      <c r="BX721" s="57" t="n">
        <f aca="false">N(AC721)</f>
        <v>0</v>
      </c>
      <c r="BY721" s="57" t="n">
        <f aca="false">N(L721)+N(M721)</f>
        <v>1</v>
      </c>
      <c r="BZ721" s="57" t="n">
        <f aca="false">ROUNDUP(G721/BQ721,0)</f>
        <v>0</v>
      </c>
      <c r="CA721" s="57" t="n">
        <f aca="false">ROUNDUP(BX721/BQ721,0)</f>
        <v>0</v>
      </c>
      <c r="CB721" s="60" t="n">
        <f aca="false">IF(BR721=1,0,IFERROR(VLOOKUP(BP721,'Gebinde-Kategorie'!$A$5:$M$45,5,0)+0,0))</f>
        <v>11</v>
      </c>
      <c r="CC721" s="60" t="n">
        <f aca="false">IFERROR(IF(OR(BT721=1,BT721=2,BT721=3),N(INDEX(Parameter!$I$5:$I$7,BT721)),0),0)</f>
        <v>0</v>
      </c>
      <c r="CD721" s="59" t="n">
        <f aca="false">IF(AND(Parameter!$B$21="Ja",ISNUMBER(U721),N(V721)&gt;0),IFERROR(N(INDEX(Parameter!$L$5:$L$7,U721))*INDEX(Parameter!$E$5:$E$7,U721)*V721/SUMIFS($V$7:$V$1576,$U$7:$U$1576,U721),0),0)</f>
        <v>0</v>
      </c>
    </row>
    <row r="722" customFormat="false" ht="15" hidden="false" customHeight="false" outlineLevel="0" collapsed="false">
      <c r="A722" s="55" t="s">
        <v>1422</v>
      </c>
      <c r="B722" s="55" t="s">
        <v>533</v>
      </c>
      <c r="C722" s="55" t="s">
        <v>160</v>
      </c>
      <c r="D722" s="55" t="s">
        <v>984</v>
      </c>
      <c r="E722" s="55" t="s">
        <v>210</v>
      </c>
      <c r="F722" s="56" t="n">
        <v>28.69</v>
      </c>
      <c r="G722" s="57" t="n">
        <f aca="false">MAX(0,IF(AND(Parameter!$B$21="Ja",ISNUMBER(W722)),W722,IF(Parameter!$B$20="Jahresanfang 2025 + Export",BJ722+BI722,BI722)))</f>
        <v>3</v>
      </c>
      <c r="H722" s="57" t="n">
        <f aca="false">G722*F722</f>
        <v>86.07</v>
      </c>
      <c r="I722" s="57" t="n">
        <f aca="false">BL722*Parameter!$B$18</f>
        <v>0</v>
      </c>
      <c r="J722" s="58" t="n">
        <v>12</v>
      </c>
      <c r="K722" s="59" t="n">
        <v>0</v>
      </c>
      <c r="L722" s="57" t="n">
        <v>0</v>
      </c>
      <c r="M722" s="57" t="n">
        <v>10</v>
      </c>
      <c r="N722" s="60" t="n">
        <v>28</v>
      </c>
      <c r="O722" s="55" t="s">
        <v>163</v>
      </c>
      <c r="P722" s="57"/>
      <c r="Q722" s="60" t="n">
        <f aca="false">IF(BR722=1,0,IFERROR(VLOOKUP(BP722,'Gebinde-Kategorie'!$A$5:$M$45,13,0)+0,0))</f>
        <v>0</v>
      </c>
      <c r="R722" s="61"/>
      <c r="S722" s="62"/>
      <c r="T722" s="62"/>
      <c r="U722" s="55"/>
      <c r="V722" s="57"/>
      <c r="W722" s="57"/>
      <c r="X722" s="55" t="str">
        <f aca="false">IF(A722="","",IF(AND(Parameter!$B$21="Ja",ISNUMBER(U722)),U722,IF(IFERROR(VLOOKUP(D722,Parameter!$A$35:$C$64,2,0),"Nein")="2+3",IF(ISNUMBER(SEARCH("grosser Artikel",BM722)),2,IFERROR(VLOOKUP(BP722,Parameter!$F$35:$G$64,2,0),2)),IF(OR(IFERROR(VLOOKUP(D722,Parameter!$A$35:$C$64,2,0),"Nein")="Nein",IFERROR(VLOOKUP(D722,Parameter!$A$35:$C$64,2,0),"Nein")=""),"-",VLOOKUP(D722,Parameter!$A$35:$C$64,2,0)))))</f>
        <v>-</v>
      </c>
      <c r="Y722" s="62"/>
      <c r="Z722" s="63"/>
      <c r="AA722" s="57" t="n">
        <f aca="false">AP722</f>
        <v>10</v>
      </c>
      <c r="AB722" s="57" t="n">
        <f aca="false">MAX(AP722,G722)</f>
        <v>10</v>
      </c>
      <c r="AC722" s="64"/>
      <c r="AD722" s="57" t="n">
        <f aca="false">IF(LEFT(Cockpit!$C$5,1)="A",G722,IF(BW722=1,BX722,IF(LEFT(Cockpit!$C$5,1)="B",AH722,MAX(AH722,G722))))</f>
        <v>3</v>
      </c>
      <c r="AE722" s="57" t="n">
        <f aca="false">IF(BR722=1,0,ROUNDUP(AD722/BQ722,0))</f>
        <v>0</v>
      </c>
      <c r="AF722" s="59" t="n">
        <f aca="false">IF(CD722&gt;0,CD722*MAX(1,AD722/V722),IF(BR722=1,IF(AD722&lt;=0,0,BS722*MAX(1,IF(G722&gt;0,AD722/G722,1))),IF(Q722&gt;0,AE722/Q722,0))/MAX(0.1,N(Parameter!$M$21)))</f>
        <v>0.15</v>
      </c>
      <c r="AG722" s="57" t="n">
        <f aca="false">AD722*F722</f>
        <v>86.07</v>
      </c>
      <c r="AH722" s="57" t="n">
        <f aca="false">ROUNDUP(MAX(I722/IF(BV722&gt;0,BV722,MAX(0.1,N(Cockpit!$C$6))),BY722)/BQ722,0)*BQ722</f>
        <v>10</v>
      </c>
      <c r="AI722" s="58" t="n">
        <f aca="false">IF(AF722&gt;0,I722/AF722,-1)</f>
        <v>0</v>
      </c>
      <c r="AJ722" s="58" t="str">
        <f aca="false">IF(AND(OR(BU722="L1",BU722="L23"),AF722&gt;0),SUMIFS($AF$7:$AF$1576,$BU$7:$BU$1576,BU722,$AI$7:$AI$1576,"&gt;"&amp;AI722)+SUMIFS($AF$7:$AF$1576,$BU$7:$BU$1576,BU722,$AI$7:$AI$1576,AI722,$BO$7:$BO$1576,"&lt;="&amp;BO722),"")</f>
        <v/>
      </c>
      <c r="AK722" s="65" t="n">
        <f aca="false">IF(AJ722="",0,MAX(0,MIN(1,(IF(BU722="L1",Parameter!$E$5,Parameter!$E$6+Parameter!$E$7)-(AJ722-AF722))/AF722)))</f>
        <v>0</v>
      </c>
      <c r="AL722" s="57" t="n">
        <f aca="false">IF(LEFT(Cockpit!$I$5,1)="A",G722,IF(BW722=1,BX722,IF(LEFT(Cockpit!$I$5,1)="B",AP722,MAX(AP722,G722))))</f>
        <v>10</v>
      </c>
      <c r="AM722" s="57" t="n">
        <f aca="false">IF(BR722=1,0,ROUNDUP(AL722/BQ722,0))</f>
        <v>0</v>
      </c>
      <c r="AN722" s="59" t="n">
        <f aca="false">IF(CD722&gt;0,CD722*MAX(1,AL722/V722),IF(BR722=1,IF(AL722&lt;=0,0,BS722*MAX(1,IF(G722&gt;0,AL722/G722,1))),IF(Q722&gt;0,AM722/Q722,0))/MAX(0.1,N(Parameter!$M$21)))</f>
        <v>0.5</v>
      </c>
      <c r="AO722" s="57" t="n">
        <f aca="false">AL722*F722</f>
        <v>286.9</v>
      </c>
      <c r="AP722" s="57" t="n">
        <f aca="false">ROUNDUP(MAX(I722/IF(BV722&gt;0,BV722,MAX(0.1,N(Cockpit!$I$6))),BY722)/BQ722,0)*BQ722</f>
        <v>10</v>
      </c>
      <c r="AQ722" s="58" t="n">
        <f aca="false">IF(AN722&gt;0,I722/AN722,-1)</f>
        <v>0</v>
      </c>
      <c r="AR722" s="58" t="str">
        <f aca="false">IF(AND(OR(BU722="L1",BU722="L23"),AN722&gt;0),SUMIFS($AN$7:$AN$1576,$BU$7:$BU$1576,BU722,$AQ$7:$AQ$1576,"&gt;"&amp;AQ722)+SUMIFS($AN$7:$AN$1576,$BU$7:$BU$1576,BU722,$AQ$7:$AQ$1576,AQ722,$BO$7:$BO$1576,"&lt;="&amp;BO722),"")</f>
        <v/>
      </c>
      <c r="AS722" s="65" t="n">
        <f aca="false">IF(AR722="",0,MAX(0,MIN(1,(IF(BU722="L1",Parameter!$E$5,Parameter!$E$6+Parameter!$E$7)-(AR722-AN722))/AN722)))</f>
        <v>0</v>
      </c>
      <c r="AT722" s="57" t="n">
        <f aca="false">IF(LEFT(Cockpit!$O$5,1)="A",G722,IF(BW722=1,BX722,IF(LEFT(Cockpit!$O$5,1)="B",AX722,MAX(AX722,G722))))</f>
        <v>10</v>
      </c>
      <c r="AU722" s="57" t="n">
        <f aca="false">IF(BR722=1,0,ROUNDUP(AT722/BQ722,0))</f>
        <v>0</v>
      </c>
      <c r="AV722" s="59" t="n">
        <f aca="false">IF(CD722&gt;0,CD722*MAX(1,AT722/V722),IF(BR722=1,IF(AT722&lt;=0,0,BS722*MAX(1,IF(G722&gt;0,AT722/G722,1))),IF(Q722&gt;0,AU722/Q722,0))/MAX(0.1,N(Parameter!$M$21)))</f>
        <v>0.5</v>
      </c>
      <c r="AW722" s="57" t="n">
        <f aca="false">AT722*F722</f>
        <v>286.9</v>
      </c>
      <c r="AX722" s="57" t="n">
        <f aca="false">ROUNDUP(MAX(I722/IF(BV722&gt;0,BV722,MAX(0.1,N(Cockpit!$O$6))),BY722)/BQ722,0)*BQ722</f>
        <v>10</v>
      </c>
      <c r="AY722" s="58" t="n">
        <f aca="false">IF(AV722&gt;0,I722/AV722,-1)</f>
        <v>0</v>
      </c>
      <c r="AZ722" s="58" t="str">
        <f aca="false">IF(AND(OR(BU722="L1",BU722="L23"),AV722&gt;0),SUMIFS($AV$7:$AV$1576,$BU$7:$BU$1576,BU722,$AY$7:$AY$1576,"&gt;"&amp;AY722)+SUMIFS($AV$7:$AV$1576,$BU$7:$BU$1576,BU722,$AY$7:$AY$1576,AY722,$BO$7:$BO$1576,"&lt;="&amp;BO722),"")</f>
        <v/>
      </c>
      <c r="BA722" s="65" t="n">
        <f aca="false">IF(AZ722="",0,MAX(0,MIN(1,(IF(BU722="L1",Parameter!$E$5,Parameter!$E$6+Parameter!$E$7)-(AZ722-AV722))/AV722)))</f>
        <v>0</v>
      </c>
      <c r="BB722" s="55" t="str">
        <f aca="false">IF(AF722&lt;=0,"",IF(BU722="Aussen","Aussenlager",IF(BU722="-","Nicht im Lift",IF(AK722&gt;=1,"Lift",IF(AK722&lt;=0,"Aussenlager","teilweise")))))</f>
        <v>Nicht im Lift</v>
      </c>
      <c r="BC722" s="55" t="str">
        <f aca="false">IF(AN722&lt;=0,"",IF(BU722="Aussen","Aussenlager",IF(BU722="-","Nicht im Lift",IF(AS722&gt;=1,"Lift",IF(AS722&lt;=0,"Aussenlager","teilweise")))))</f>
        <v>Nicht im Lift</v>
      </c>
      <c r="BD722" s="55" t="str">
        <f aca="false">IF(AV722&lt;=0,"",IF(BU722="Aussen","Aussenlager",IF(BU722="-","Nicht im Lift",IF(BA722&gt;=1,"Lift",IF(BA722&lt;=0,"Aussenlager","teilweise")))))</f>
        <v>Nicht im Lift</v>
      </c>
      <c r="BE722" s="55" t="str">
        <f aca="false">IF(A722="","",IF(BN722=1,"Neu; ","")&amp;IF(AND(BN722=0,BI722&lt;0),"negativer Bestand (Export "&amp;BI722&amp;"); ","")&amp;IF(I722&lt;=0,"Kein Verbrauch; ","")&amp;IF(CD722&gt;0,"Lift "&amp;U722&amp;" lt. Liftbericht (Fach "&amp;V722&amp;" Stk); ",IF(BR722=1,"Lose – Fläche geschätzt; ",""))&amp;IF(G722&gt;AP722,"Überbestand "&amp;ROUND(G722-AP722,0)&amp;" Stk / CHF "&amp;ROUND((G722-AP722)*F722,0)&amp;"; ","")&amp;IF(AND(BW722=1,BX722&lt;BY722),"MAX &lt; MB+LG; ","")&amp;IF(AND(CC722&gt;0,CB722*10&gt;CC722),"zu hoch für Tablar; ","")&amp;IF(AND(BN722=0,OR(BW722=1,Y722&lt;&gt;"",S722&lt;&gt;"",T722&lt;&gt;"",Z722&lt;&gt;"")),"manuell übersteuert; ","")&amp;IF(AND(BR722=0,Q722=0),"Gebinde unbekannt / Stellmass fehlt; ","")&amp;IF(AND(BR722=0,N(T722)&lt;=0,N(P722)&lt;=0),"Menge pro Gebinde fehlt (Ist = 1 Gebinde); ","")&amp;BM722)</f>
        <v>Kein Verbrauch; Lose – Fläche geschätzt; </v>
      </c>
      <c r="BF722" s="55"/>
      <c r="BG722" s="55"/>
      <c r="BH722" s="62"/>
      <c r="BI722" s="57" t="n">
        <v>3</v>
      </c>
      <c r="BJ722" s="57" t="n">
        <v>12</v>
      </c>
      <c r="BK722" s="56" t="n">
        <v>0</v>
      </c>
      <c r="BL722" s="57" t="n">
        <v>0</v>
      </c>
      <c r="BM722" s="55"/>
      <c r="BN722" s="60" t="n">
        <v>0</v>
      </c>
      <c r="BO722" s="60" t="n">
        <v>722</v>
      </c>
      <c r="BP722" s="55" t="str">
        <f aca="false">IF(S722&lt;&gt;"",UPPER(TRIM(S722)),IF(O722="","LOSE",O722))</f>
        <v>LOSE</v>
      </c>
      <c r="BQ722" s="57" t="n">
        <f aca="false">IF(BP722="LOSE",1,IF(N(T722)&gt;0,T722,IF(N(P722)&gt;0,P722,MAX(1,G722))))</f>
        <v>1</v>
      </c>
      <c r="BR722" s="60" t="n">
        <f aca="false">IF(BP722="LOSE",1,0)</f>
        <v>1</v>
      </c>
      <c r="BS722" s="59" t="n">
        <f aca="false">IF(BR722=0,0,IF(N(R722)&gt;0,R722,IFERROR(VLOOKUP(D722,Parameter!$A$35:$C$64,3,0)+0,0)))</f>
        <v>0.15</v>
      </c>
      <c r="BT722" s="55" t="str">
        <f aca="false">IF(Y722&lt;&gt;"",Y722,X722)</f>
        <v>-</v>
      </c>
      <c r="BU722" s="55" t="str">
        <f aca="false">IF(BT722=1,"L1",IF(OR(BT722=2,BT722=3),"L23",IF(BT722="Aussen","Aussen","-")))</f>
        <v>-</v>
      </c>
      <c r="BV722" s="66" t="n">
        <f aca="false">IF(N(Z722)&gt;0,Z722,0)</f>
        <v>0</v>
      </c>
      <c r="BW722" s="60" t="n">
        <f aca="false">IF(ISNUMBER(AC722),1,0)</f>
        <v>0</v>
      </c>
      <c r="BX722" s="57" t="n">
        <f aca="false">N(AC722)</f>
        <v>0</v>
      </c>
      <c r="BY722" s="57" t="n">
        <f aca="false">N(L722)+N(M722)</f>
        <v>10</v>
      </c>
      <c r="BZ722" s="57" t="n">
        <f aca="false">ROUNDUP(G722/BQ722,0)</f>
        <v>3</v>
      </c>
      <c r="CA722" s="57" t="n">
        <f aca="false">ROUNDUP(BX722/BQ722,0)</f>
        <v>0</v>
      </c>
      <c r="CB722" s="60" t="n">
        <f aca="false">IF(BR722=1,0,IFERROR(VLOOKUP(BP722,'Gebinde-Kategorie'!$A$5:$M$45,5,0)+0,0))</f>
        <v>0</v>
      </c>
      <c r="CC722" s="60" t="n">
        <f aca="false">IFERROR(IF(OR(BT722=1,BT722=2,BT722=3),N(INDEX(Parameter!$I$5:$I$7,BT722)),0),0)</f>
        <v>0</v>
      </c>
      <c r="CD722" s="59" t="n">
        <f aca="false">IF(AND(Parameter!$B$21="Ja",ISNUMBER(U722),N(V722)&gt;0),IFERROR(N(INDEX(Parameter!$L$5:$L$7,U722))*INDEX(Parameter!$E$5:$E$7,U722)*V722/SUMIFS($V$7:$V$1576,$U$7:$U$1576,U722),0),0)</f>
        <v>0</v>
      </c>
    </row>
    <row r="723" customFormat="false" ht="15" hidden="false" customHeight="false" outlineLevel="0" collapsed="false">
      <c r="A723" s="55" t="s">
        <v>1423</v>
      </c>
      <c r="B723" s="55" t="s">
        <v>1043</v>
      </c>
      <c r="C723" s="55" t="s">
        <v>160</v>
      </c>
      <c r="D723" s="55" t="s">
        <v>839</v>
      </c>
      <c r="E723" s="55" t="s">
        <v>210</v>
      </c>
      <c r="F723" s="56" t="n">
        <v>4.4</v>
      </c>
      <c r="G723" s="57" t="n">
        <f aca="false">MAX(0,IF(AND(Parameter!$B$21="Ja",ISNUMBER(W723)),W723,IF(Parameter!$B$20="Jahresanfang 2025 + Export",BJ723+BI723,BI723)))</f>
        <v>0</v>
      </c>
      <c r="H723" s="57" t="n">
        <f aca="false">G723*F723</f>
        <v>0</v>
      </c>
      <c r="I723" s="57" t="n">
        <f aca="false">BL723*Parameter!$B$18</f>
        <v>24</v>
      </c>
      <c r="J723" s="58" t="n">
        <v>0</v>
      </c>
      <c r="K723" s="59" t="n">
        <v>0</v>
      </c>
      <c r="L723" s="57" t="n">
        <v>0</v>
      </c>
      <c r="M723" s="57" t="n">
        <v>12</v>
      </c>
      <c r="N723" s="60" t="n">
        <v>14</v>
      </c>
      <c r="O723" s="55" t="s">
        <v>293</v>
      </c>
      <c r="P723" s="57" t="n">
        <v>50</v>
      </c>
      <c r="Q723" s="60" t="n">
        <f aca="false">IF(BR723=1,0,IFERROR(VLOOKUP(BP723,'Gebinde-Kategorie'!$A$5:$M$45,13,0)+0,0))</f>
        <v>26</v>
      </c>
      <c r="R723" s="61"/>
      <c r="S723" s="62"/>
      <c r="T723" s="62"/>
      <c r="U723" s="55"/>
      <c r="V723" s="57"/>
      <c r="W723" s="57"/>
      <c r="X723" s="55" t="str">
        <f aca="false">IF(A723="","",IF(AND(Parameter!$B$21="Ja",ISNUMBER(U723)),U723,IF(IFERROR(VLOOKUP(D723,Parameter!$A$35:$C$64,2,0),"Nein")="2+3",IF(ISNUMBER(SEARCH("grosser Artikel",BM723)),2,IFERROR(VLOOKUP(BP723,Parameter!$F$35:$G$64,2,0),2)),IF(OR(IFERROR(VLOOKUP(D723,Parameter!$A$35:$C$64,2,0),"Nein")="Nein",IFERROR(VLOOKUP(D723,Parameter!$A$35:$C$64,2,0),"Nein")=""),"-",VLOOKUP(D723,Parameter!$A$35:$C$64,2,0)))))</f>
        <v>-</v>
      </c>
      <c r="Y723" s="62"/>
      <c r="Z723" s="63"/>
      <c r="AA723" s="57" t="n">
        <f aca="false">AP723</f>
        <v>50</v>
      </c>
      <c r="AB723" s="57" t="n">
        <f aca="false">MAX(AP723,G723)</f>
        <v>50</v>
      </c>
      <c r="AC723" s="64"/>
      <c r="AD723" s="57" t="n">
        <f aca="false">IF(LEFT(Cockpit!$C$5,1)="A",G723,IF(BW723=1,BX723,IF(LEFT(Cockpit!$C$5,1)="B",AH723,MAX(AH723,G723))))</f>
        <v>0</v>
      </c>
      <c r="AE723" s="57" t="n">
        <f aca="false">IF(BR723=1,0,ROUNDUP(AD723/BQ723,0))</f>
        <v>0</v>
      </c>
      <c r="AF723" s="59" t="n">
        <f aca="false">IF(CD723&gt;0,CD723*MAX(1,AD723/V723),IF(BR723=1,IF(AD723&lt;=0,0,BS723*MAX(1,IF(G723&gt;0,AD723/G723,1))),IF(Q723&gt;0,AE723/Q723,0))/MAX(0.1,N(Parameter!$M$21)))</f>
        <v>0</v>
      </c>
      <c r="AG723" s="57" t="n">
        <f aca="false">AD723*F723</f>
        <v>0</v>
      </c>
      <c r="AH723" s="57" t="n">
        <f aca="false">ROUNDUP(MAX(I723/IF(BV723&gt;0,BV723,MAX(0.1,N(Cockpit!$C$6))),BY723)/BQ723,0)*BQ723</f>
        <v>50</v>
      </c>
      <c r="AI723" s="58" t="n">
        <f aca="false">IF(AF723&gt;0,I723/AF723,-1)</f>
        <v>-1</v>
      </c>
      <c r="AJ723" s="58" t="str">
        <f aca="false">IF(AND(OR(BU723="L1",BU723="L23"),AF723&gt;0),SUMIFS($AF$7:$AF$1576,$BU$7:$BU$1576,BU723,$AI$7:$AI$1576,"&gt;"&amp;AI723)+SUMIFS($AF$7:$AF$1576,$BU$7:$BU$1576,BU723,$AI$7:$AI$1576,AI723,$BO$7:$BO$1576,"&lt;="&amp;BO723),"")</f>
        <v/>
      </c>
      <c r="AK723" s="65" t="n">
        <f aca="false">IF(AJ723="",0,MAX(0,MIN(1,(IF(BU723="L1",Parameter!$E$5,Parameter!$E$6+Parameter!$E$7)-(AJ723-AF723))/AF723)))</f>
        <v>0</v>
      </c>
      <c r="AL723" s="57" t="n">
        <f aca="false">IF(LEFT(Cockpit!$I$5,1)="A",G723,IF(BW723=1,BX723,IF(LEFT(Cockpit!$I$5,1)="B",AP723,MAX(AP723,G723))))</f>
        <v>50</v>
      </c>
      <c r="AM723" s="57" t="n">
        <f aca="false">IF(BR723=1,0,ROUNDUP(AL723/BQ723,0))</f>
        <v>1</v>
      </c>
      <c r="AN723" s="59" t="n">
        <f aca="false">IF(CD723&gt;0,CD723*MAX(1,AL723/V723),IF(BR723=1,IF(AL723&lt;=0,0,BS723*MAX(1,IF(G723&gt;0,AL723/G723,1))),IF(Q723&gt;0,AM723/Q723,0))/MAX(0.1,N(Parameter!$M$21)))</f>
        <v>0.0384615384615385</v>
      </c>
      <c r="AO723" s="57" t="n">
        <f aca="false">AL723*F723</f>
        <v>220</v>
      </c>
      <c r="AP723" s="57" t="n">
        <f aca="false">ROUNDUP(MAX(I723/IF(BV723&gt;0,BV723,MAX(0.1,N(Cockpit!$I$6))),BY723)/BQ723,0)*BQ723</f>
        <v>50</v>
      </c>
      <c r="AQ723" s="58" t="n">
        <f aca="false">IF(AN723&gt;0,I723/AN723,-1)</f>
        <v>624</v>
      </c>
      <c r="AR723" s="58" t="str">
        <f aca="false">IF(AND(OR(BU723="L1",BU723="L23"),AN723&gt;0),SUMIFS($AN$7:$AN$1576,$BU$7:$BU$1576,BU723,$AQ$7:$AQ$1576,"&gt;"&amp;AQ723)+SUMIFS($AN$7:$AN$1576,$BU$7:$BU$1576,BU723,$AQ$7:$AQ$1576,AQ723,$BO$7:$BO$1576,"&lt;="&amp;BO723),"")</f>
        <v/>
      </c>
      <c r="AS723" s="65" t="n">
        <f aca="false">IF(AR723="",0,MAX(0,MIN(1,(IF(BU723="L1",Parameter!$E$5,Parameter!$E$6+Parameter!$E$7)-(AR723-AN723))/AN723)))</f>
        <v>0</v>
      </c>
      <c r="AT723" s="57" t="n">
        <f aca="false">IF(LEFT(Cockpit!$O$5,1)="A",G723,IF(BW723=1,BX723,IF(LEFT(Cockpit!$O$5,1)="B",AX723,MAX(AX723,G723))))</f>
        <v>50</v>
      </c>
      <c r="AU723" s="57" t="n">
        <f aca="false">IF(BR723=1,0,ROUNDUP(AT723/BQ723,0))</f>
        <v>1</v>
      </c>
      <c r="AV723" s="59" t="n">
        <f aca="false">IF(CD723&gt;0,CD723*MAX(1,AT723/V723),IF(BR723=1,IF(AT723&lt;=0,0,BS723*MAX(1,IF(G723&gt;0,AT723/G723,1))),IF(Q723&gt;0,AU723/Q723,0))/MAX(0.1,N(Parameter!$M$21)))</f>
        <v>0.0384615384615385</v>
      </c>
      <c r="AW723" s="57" t="n">
        <f aca="false">AT723*F723</f>
        <v>220</v>
      </c>
      <c r="AX723" s="57" t="n">
        <f aca="false">ROUNDUP(MAX(I723/IF(BV723&gt;0,BV723,MAX(0.1,N(Cockpit!$O$6))),BY723)/BQ723,0)*BQ723</f>
        <v>50</v>
      </c>
      <c r="AY723" s="58" t="n">
        <f aca="false">IF(AV723&gt;0,I723/AV723,-1)</f>
        <v>624</v>
      </c>
      <c r="AZ723" s="58" t="str">
        <f aca="false">IF(AND(OR(BU723="L1",BU723="L23"),AV723&gt;0),SUMIFS($AV$7:$AV$1576,$BU$7:$BU$1576,BU723,$AY$7:$AY$1576,"&gt;"&amp;AY723)+SUMIFS($AV$7:$AV$1576,$BU$7:$BU$1576,BU723,$AY$7:$AY$1576,AY723,$BO$7:$BO$1576,"&lt;="&amp;BO723),"")</f>
        <v/>
      </c>
      <c r="BA723" s="65" t="n">
        <f aca="false">IF(AZ723="",0,MAX(0,MIN(1,(IF(BU723="L1",Parameter!$E$5,Parameter!$E$6+Parameter!$E$7)-(AZ723-AV723))/AV723)))</f>
        <v>0</v>
      </c>
      <c r="BB723" s="55" t="str">
        <f aca="false">IF(AF723&lt;=0,"",IF(BU723="Aussen","Aussenlager",IF(BU723="-","Nicht im Lift",IF(AK723&gt;=1,"Lift",IF(AK723&lt;=0,"Aussenlager","teilweise")))))</f>
        <v/>
      </c>
      <c r="BC723" s="55" t="str">
        <f aca="false">IF(AN723&lt;=0,"",IF(BU723="Aussen","Aussenlager",IF(BU723="-","Nicht im Lift",IF(AS723&gt;=1,"Lift",IF(AS723&lt;=0,"Aussenlager","teilweise")))))</f>
        <v>Nicht im Lift</v>
      </c>
      <c r="BD723" s="55" t="str">
        <f aca="false">IF(AV723&lt;=0,"",IF(BU723="Aussen","Aussenlager",IF(BU723="-","Nicht im Lift",IF(BA723&gt;=1,"Lift",IF(BA723&lt;=0,"Aussenlager","teilweise")))))</f>
        <v>Nicht im Lift</v>
      </c>
      <c r="BE723" s="55" t="str">
        <f aca="false">IF(A723="","",IF(BN723=1,"Neu; ","")&amp;IF(AND(BN723=0,BI723&lt;0),"negativer Bestand (Export "&amp;BI723&amp;"); ","")&amp;IF(I723&lt;=0,"Kein Verbrauch; ","")&amp;IF(CD723&gt;0,"Lift "&amp;U723&amp;" lt. Liftbericht (Fach "&amp;V723&amp;" Stk); ",IF(BR723=1,"Lose – Fläche geschätzt; ",""))&amp;IF(G723&gt;AP723,"Überbestand "&amp;ROUND(G723-AP723,0)&amp;" Stk / CHF "&amp;ROUND((G723-AP723)*F723,0)&amp;"; ","")&amp;IF(AND(BW723=1,BX723&lt;BY723),"MAX &lt; MB+LG; ","")&amp;IF(AND(CC723&gt;0,CB723*10&gt;CC723),"zu hoch für Tablar; ","")&amp;IF(AND(BN723=0,OR(BW723=1,Y723&lt;&gt;"",S723&lt;&gt;"",T723&lt;&gt;"",Z723&lt;&gt;"")),"manuell übersteuert; ","")&amp;IF(AND(BR723=0,Q723=0),"Gebinde unbekannt / Stellmass fehlt; ","")&amp;IF(AND(BR723=0,N(T723)&lt;=0,N(P723)&lt;=0),"Menge pro Gebinde fehlt (Ist = 1 Gebinde); ","")&amp;BM723)</f>
        <v/>
      </c>
      <c r="BF723" s="55"/>
      <c r="BG723" s="55"/>
      <c r="BH723" s="62"/>
      <c r="BI723" s="57" t="n">
        <v>0</v>
      </c>
      <c r="BJ723" s="57" t="n">
        <v>0</v>
      </c>
      <c r="BK723" s="56" t="n">
        <v>0</v>
      </c>
      <c r="BL723" s="57" t="n">
        <v>24</v>
      </c>
      <c r="BM723" s="55"/>
      <c r="BN723" s="60" t="n">
        <v>0</v>
      </c>
      <c r="BO723" s="60" t="n">
        <v>723</v>
      </c>
      <c r="BP723" s="55" t="str">
        <f aca="false">IF(S723&lt;&gt;"",UPPER(TRIM(S723)),IF(O723="","LOSE",O723))</f>
        <v>S51</v>
      </c>
      <c r="BQ723" s="57" t="n">
        <f aca="false">IF(BP723="LOSE",1,IF(N(T723)&gt;0,T723,IF(N(P723)&gt;0,P723,MAX(1,G723))))</f>
        <v>50</v>
      </c>
      <c r="BR723" s="60" t="n">
        <f aca="false">IF(BP723="LOSE",1,0)</f>
        <v>0</v>
      </c>
      <c r="BS723" s="59" t="n">
        <f aca="false">IF(BR723=0,0,IF(N(R723)&gt;0,R723,IFERROR(VLOOKUP(D723,Parameter!$A$35:$C$64,3,0)+0,0)))</f>
        <v>0</v>
      </c>
      <c r="BT723" s="55" t="str">
        <f aca="false">IF(Y723&lt;&gt;"",Y723,X723)</f>
        <v>-</v>
      </c>
      <c r="BU723" s="55" t="str">
        <f aca="false">IF(BT723=1,"L1",IF(OR(BT723=2,BT723=3),"L23",IF(BT723="Aussen","Aussen","-")))</f>
        <v>-</v>
      </c>
      <c r="BV723" s="66" t="n">
        <f aca="false">IF(N(Z723)&gt;0,Z723,0)</f>
        <v>0</v>
      </c>
      <c r="BW723" s="60" t="n">
        <f aca="false">IF(ISNUMBER(AC723),1,0)</f>
        <v>0</v>
      </c>
      <c r="BX723" s="57" t="n">
        <f aca="false">N(AC723)</f>
        <v>0</v>
      </c>
      <c r="BY723" s="57" t="n">
        <f aca="false">N(L723)+N(M723)</f>
        <v>12</v>
      </c>
      <c r="BZ723" s="57" t="n">
        <f aca="false">ROUNDUP(G723/BQ723,0)</f>
        <v>0</v>
      </c>
      <c r="CA723" s="57" t="n">
        <f aca="false">ROUNDUP(BX723/BQ723,0)</f>
        <v>0</v>
      </c>
      <c r="CB723" s="60" t="n">
        <f aca="false">IF(BR723=1,0,IFERROR(VLOOKUP(BP723,'Gebinde-Kategorie'!$A$5:$M$45,5,0)+0,0))</f>
        <v>11</v>
      </c>
      <c r="CC723" s="60" t="n">
        <f aca="false">IFERROR(IF(OR(BT723=1,BT723=2,BT723=3),N(INDEX(Parameter!$I$5:$I$7,BT723)),0),0)</f>
        <v>0</v>
      </c>
      <c r="CD723" s="59" t="n">
        <f aca="false">IF(AND(Parameter!$B$21="Ja",ISNUMBER(U723),N(V723)&gt;0),IFERROR(N(INDEX(Parameter!$L$5:$L$7,U723))*INDEX(Parameter!$E$5:$E$7,U723)*V723/SUMIFS($V$7:$V$1576,$U$7:$U$1576,U723),0),0)</f>
        <v>0</v>
      </c>
    </row>
    <row r="724" customFormat="false" ht="15" hidden="false" customHeight="false" outlineLevel="0" collapsed="false">
      <c r="A724" s="55" t="s">
        <v>1424</v>
      </c>
      <c r="B724" s="55" t="s">
        <v>1425</v>
      </c>
      <c r="C724" s="55" t="s">
        <v>160</v>
      </c>
      <c r="D724" s="55" t="s">
        <v>168</v>
      </c>
      <c r="E724" s="55" t="s">
        <v>210</v>
      </c>
      <c r="F724" s="56" t="n">
        <v>658.54</v>
      </c>
      <c r="G724" s="57" t="n">
        <f aca="false">MAX(0,IF(AND(Parameter!$B$21="Ja",ISNUMBER(W724)),W724,IF(Parameter!$B$20="Jahresanfang 2025 + Export",BJ724+BI724,BI724)))</f>
        <v>0</v>
      </c>
      <c r="H724" s="57" t="n">
        <f aca="false">G724*F724</f>
        <v>0</v>
      </c>
      <c r="I724" s="57" t="n">
        <f aca="false">BL724*Parameter!$B$18</f>
        <v>3</v>
      </c>
      <c r="J724" s="58" t="n">
        <v>4</v>
      </c>
      <c r="K724" s="59" t="n">
        <v>0.75</v>
      </c>
      <c r="L724" s="57" t="n">
        <v>0</v>
      </c>
      <c r="M724" s="57" t="n">
        <v>1</v>
      </c>
      <c r="N724" s="60" t="n">
        <v>14</v>
      </c>
      <c r="O724" s="55" t="s">
        <v>163</v>
      </c>
      <c r="P724" s="57"/>
      <c r="Q724" s="60" t="n">
        <f aca="false">IF(BR724=1,0,IFERROR(VLOOKUP(BP724,'Gebinde-Kategorie'!$A$5:$M$45,13,0)+0,0))</f>
        <v>0</v>
      </c>
      <c r="R724" s="61"/>
      <c r="S724" s="62"/>
      <c r="T724" s="62"/>
      <c r="U724" s="55"/>
      <c r="V724" s="57"/>
      <c r="W724" s="57"/>
      <c r="X724" s="55" t="n">
        <f aca="false">IF(A724="","",IF(AND(Parameter!$B$21="Ja",ISNUMBER(U724)),U724,IF(IFERROR(VLOOKUP(D724,Parameter!$A$35:$C$64,2,0),"Nein")="2+3",IF(ISNUMBER(SEARCH("grosser Artikel",BM724)),2,IFERROR(VLOOKUP(BP724,Parameter!$F$35:$G$64,2,0),2)),IF(OR(IFERROR(VLOOKUP(D724,Parameter!$A$35:$C$64,2,0),"Nein")="Nein",IFERROR(VLOOKUP(D724,Parameter!$A$35:$C$64,2,0),"Nein")=""),"-",VLOOKUP(D724,Parameter!$A$35:$C$64,2,0)))))</f>
        <v>2</v>
      </c>
      <c r="Y724" s="62"/>
      <c r="Z724" s="63"/>
      <c r="AA724" s="57" t="n">
        <f aca="false">AP724</f>
        <v>2</v>
      </c>
      <c r="AB724" s="57" t="n">
        <f aca="false">MAX(AP724,G724)</f>
        <v>2</v>
      </c>
      <c r="AC724" s="64"/>
      <c r="AD724" s="57" t="n">
        <f aca="false">IF(LEFT(Cockpit!$C$5,1)="A",G724,IF(BW724=1,BX724,IF(LEFT(Cockpit!$C$5,1)="B",AH724,MAX(AH724,G724))))</f>
        <v>0</v>
      </c>
      <c r="AE724" s="57" t="n">
        <f aca="false">IF(BR724=1,0,ROUNDUP(AD724/BQ724,0))</f>
        <v>0</v>
      </c>
      <c r="AF724" s="59" t="n">
        <f aca="false">IF(CD724&gt;0,CD724*MAX(1,AD724/V724),IF(BR724=1,IF(AD724&lt;=0,0,BS724*MAX(1,IF(G724&gt;0,AD724/G724,1))),IF(Q724&gt;0,AE724/Q724,0))/MAX(0.1,N(Parameter!$M$21)))</f>
        <v>0</v>
      </c>
      <c r="AG724" s="57" t="n">
        <f aca="false">AD724*F724</f>
        <v>0</v>
      </c>
      <c r="AH724" s="57" t="n">
        <f aca="false">ROUNDUP(MAX(I724/IF(BV724&gt;0,BV724,MAX(0.1,N(Cockpit!$C$6))),BY724)/BQ724,0)*BQ724</f>
        <v>2</v>
      </c>
      <c r="AI724" s="58" t="n">
        <f aca="false">IF(AF724&gt;0,I724/AF724,-1)</f>
        <v>-1</v>
      </c>
      <c r="AJ724" s="58" t="str">
        <f aca="false">IF(AND(OR(BU724="L1",BU724="L23"),AF724&gt;0),SUMIFS($AF$7:$AF$1576,$BU$7:$BU$1576,BU724,$AI$7:$AI$1576,"&gt;"&amp;AI724)+SUMIFS($AF$7:$AF$1576,$BU$7:$BU$1576,BU724,$AI$7:$AI$1576,AI724,$BO$7:$BO$1576,"&lt;="&amp;BO724),"")</f>
        <v/>
      </c>
      <c r="AK724" s="65" t="n">
        <f aca="false">IF(AJ724="",0,MAX(0,MIN(1,(IF(BU724="L1",Parameter!$E$5,Parameter!$E$6+Parameter!$E$7)-(AJ724-AF724))/AF724)))</f>
        <v>0</v>
      </c>
      <c r="AL724" s="57" t="n">
        <f aca="false">IF(LEFT(Cockpit!$I$5,1)="A",G724,IF(BW724=1,BX724,IF(LEFT(Cockpit!$I$5,1)="B",AP724,MAX(AP724,G724))))</f>
        <v>2</v>
      </c>
      <c r="AM724" s="57" t="n">
        <f aca="false">IF(BR724=1,0,ROUNDUP(AL724/BQ724,0))</f>
        <v>0</v>
      </c>
      <c r="AN724" s="59" t="n">
        <f aca="false">IF(CD724&gt;0,CD724*MAX(1,AL724/V724),IF(BR724=1,IF(AL724&lt;=0,0,BS724*MAX(1,IF(G724&gt;0,AL724/G724,1))),IF(Q724&gt;0,AM724/Q724,0))/MAX(0.1,N(Parameter!$M$21)))</f>
        <v>0.15</v>
      </c>
      <c r="AO724" s="57" t="n">
        <f aca="false">AL724*F724</f>
        <v>1317.08</v>
      </c>
      <c r="AP724" s="57" t="n">
        <f aca="false">ROUNDUP(MAX(I724/IF(BV724&gt;0,BV724,MAX(0.1,N(Cockpit!$I$6))),BY724)/BQ724,0)*BQ724</f>
        <v>2</v>
      </c>
      <c r="AQ724" s="58" t="n">
        <f aca="false">IF(AN724&gt;0,I724/AN724,-1)</f>
        <v>20</v>
      </c>
      <c r="AR724" s="58" t="n">
        <f aca="false">IF(AND(OR(BU724="L1",BU724="L23"),AN724&gt;0),SUMIFS($AN$7:$AN$1576,$BU$7:$BU$1576,BU724,$AQ$7:$AQ$1576,"&gt;"&amp;AQ724)+SUMIFS($AN$7:$AN$1576,$BU$7:$BU$1576,BU724,$AQ$7:$AQ$1576,AQ724,$BO$7:$BO$1576,"&lt;="&amp;BO724),"")</f>
        <v>100.15140894767</v>
      </c>
      <c r="AS724" s="65" t="n">
        <f aca="false">IF(AR724="",0,MAX(0,MIN(1,(IF(BU724="L1",Parameter!$E$5,Parameter!$E$6+Parameter!$E$7)-(AR724-AN724))/AN724)))</f>
        <v>0</v>
      </c>
      <c r="AT724" s="57" t="n">
        <f aca="false">IF(LEFT(Cockpit!$O$5,1)="A",G724,IF(BW724=1,BX724,IF(LEFT(Cockpit!$O$5,1)="B",AX724,MAX(AX724,G724))))</f>
        <v>1</v>
      </c>
      <c r="AU724" s="57" t="n">
        <f aca="false">IF(BR724=1,0,ROUNDUP(AT724/BQ724,0))</f>
        <v>0</v>
      </c>
      <c r="AV724" s="59" t="n">
        <f aca="false">IF(CD724&gt;0,CD724*MAX(1,AT724/V724),IF(BR724=1,IF(AT724&lt;=0,0,BS724*MAX(1,IF(G724&gt;0,AT724/G724,1))),IF(Q724&gt;0,AU724/Q724,0))/MAX(0.1,N(Parameter!$M$21)))</f>
        <v>0.15</v>
      </c>
      <c r="AW724" s="57" t="n">
        <f aca="false">AT724*F724</f>
        <v>658.54</v>
      </c>
      <c r="AX724" s="57" t="n">
        <f aca="false">ROUNDUP(MAX(I724/IF(BV724&gt;0,BV724,MAX(0.1,N(Cockpit!$O$6))),BY724)/BQ724,0)*BQ724</f>
        <v>1</v>
      </c>
      <c r="AY724" s="58" t="n">
        <f aca="false">IF(AV724&gt;0,I724/AV724,-1)</f>
        <v>20</v>
      </c>
      <c r="AZ724" s="58" t="n">
        <f aca="false">IF(AND(OR(BU724="L1",BU724="L23"),AV724&gt;0),SUMIFS($AV$7:$AV$1576,$BU$7:$BU$1576,BU724,$AY$7:$AY$1576,"&gt;"&amp;AY724)+SUMIFS($AV$7:$AV$1576,$BU$7:$BU$1576,BU724,$AY$7:$AY$1576,AY724,$BO$7:$BO$1576,"&lt;="&amp;BO724),"")</f>
        <v>90.9609593972206</v>
      </c>
      <c r="BA724" s="65" t="n">
        <f aca="false">IF(AZ724="",0,MAX(0,MIN(1,(IF(BU724="L1",Parameter!$E$5,Parameter!$E$6+Parameter!$E$7)-(AZ724-AV724))/AV724)))</f>
        <v>1</v>
      </c>
      <c r="BB724" s="55" t="str">
        <f aca="false">IF(AF724&lt;=0,"",IF(BU724="Aussen","Aussenlager",IF(BU724="-","Nicht im Lift",IF(AK724&gt;=1,"Lift",IF(AK724&lt;=0,"Aussenlager","teilweise")))))</f>
        <v/>
      </c>
      <c r="BC724" s="55" t="str">
        <f aca="false">IF(AN724&lt;=0,"",IF(BU724="Aussen","Aussenlager",IF(BU724="-","Nicht im Lift",IF(AS724&gt;=1,"Lift",IF(AS724&lt;=0,"Aussenlager","teilweise")))))</f>
        <v>Aussenlager</v>
      </c>
      <c r="BD724" s="55" t="str">
        <f aca="false">IF(AV724&lt;=0,"",IF(BU724="Aussen","Aussenlager",IF(BU724="-","Nicht im Lift",IF(BA724&gt;=1,"Lift",IF(BA724&lt;=0,"Aussenlager","teilweise")))))</f>
        <v>Lift</v>
      </c>
      <c r="BE724" s="55" t="str">
        <f aca="false">IF(A724="","",IF(BN724=1,"Neu; ","")&amp;IF(AND(BN724=0,BI724&lt;0),"negativer Bestand (Export "&amp;BI724&amp;"); ","")&amp;IF(I724&lt;=0,"Kein Verbrauch; ","")&amp;IF(CD724&gt;0,"Lift "&amp;U724&amp;" lt. Liftbericht (Fach "&amp;V724&amp;" Stk); ",IF(BR724=1,"Lose – Fläche geschätzt; ",""))&amp;IF(G724&gt;AP724,"Überbestand "&amp;ROUND(G724-AP724,0)&amp;" Stk / CHF "&amp;ROUND((G724-AP724)*F724,0)&amp;"; ","")&amp;IF(AND(BW724=1,BX724&lt;BY724),"MAX &lt; MB+LG; ","")&amp;IF(AND(CC724&gt;0,CB724*10&gt;CC724),"zu hoch für Tablar; ","")&amp;IF(AND(BN724=0,OR(BW724=1,Y724&lt;&gt;"",S724&lt;&gt;"",T724&lt;&gt;"",Z724&lt;&gt;"")),"manuell übersteuert; ","")&amp;IF(AND(BR724=0,Q724=0),"Gebinde unbekannt / Stellmass fehlt; ","")&amp;IF(AND(BR724=0,N(T724)&lt;=0,N(P724)&lt;=0),"Menge pro Gebinde fehlt (Ist = 1 Gebinde); ","")&amp;BM724)</f>
        <v>Lose – Fläche geschätzt; </v>
      </c>
      <c r="BF724" s="55"/>
      <c r="BG724" s="55"/>
      <c r="BH724" s="62"/>
      <c r="BI724" s="57" t="n">
        <v>0</v>
      </c>
      <c r="BJ724" s="57" t="n">
        <v>0</v>
      </c>
      <c r="BK724" s="56" t="n">
        <v>0</v>
      </c>
      <c r="BL724" s="57" t="n">
        <v>3</v>
      </c>
      <c r="BM724" s="55"/>
      <c r="BN724" s="60" t="n">
        <v>0</v>
      </c>
      <c r="BO724" s="60" t="n">
        <v>724</v>
      </c>
      <c r="BP724" s="55" t="str">
        <f aca="false">IF(S724&lt;&gt;"",UPPER(TRIM(S724)),IF(O724="","LOSE",O724))</f>
        <v>LOSE</v>
      </c>
      <c r="BQ724" s="57" t="n">
        <f aca="false">IF(BP724="LOSE",1,IF(N(T724)&gt;0,T724,IF(N(P724)&gt;0,P724,MAX(1,G724))))</f>
        <v>1</v>
      </c>
      <c r="BR724" s="60" t="n">
        <f aca="false">IF(BP724="LOSE",1,0)</f>
        <v>1</v>
      </c>
      <c r="BS724" s="59" t="n">
        <f aca="false">IF(BR724=0,0,IF(N(R724)&gt;0,R724,IFERROR(VLOOKUP(D724,Parameter!$A$35:$C$64,3,0)+0,0)))</f>
        <v>0.15</v>
      </c>
      <c r="BT724" s="55" t="n">
        <f aca="false">IF(Y724&lt;&gt;"",Y724,X724)</f>
        <v>2</v>
      </c>
      <c r="BU724" s="55" t="str">
        <f aca="false">IF(BT724=1,"L1",IF(OR(BT724=2,BT724=3),"L23",IF(BT724="Aussen","Aussen","-")))</f>
        <v>L23</v>
      </c>
      <c r="BV724" s="66" t="n">
        <f aca="false">IF(N(Z724)&gt;0,Z724,0)</f>
        <v>0</v>
      </c>
      <c r="BW724" s="60" t="n">
        <f aca="false">IF(ISNUMBER(AC724),1,0)</f>
        <v>0</v>
      </c>
      <c r="BX724" s="57" t="n">
        <f aca="false">N(AC724)</f>
        <v>0</v>
      </c>
      <c r="BY724" s="57" t="n">
        <f aca="false">N(L724)+N(M724)</f>
        <v>1</v>
      </c>
      <c r="BZ724" s="57" t="n">
        <f aca="false">ROUNDUP(G724/BQ724,0)</f>
        <v>0</v>
      </c>
      <c r="CA724" s="57" t="n">
        <f aca="false">ROUNDUP(BX724/BQ724,0)</f>
        <v>0</v>
      </c>
      <c r="CB724" s="60" t="n">
        <f aca="false">IF(BR724=1,0,IFERROR(VLOOKUP(BP724,'Gebinde-Kategorie'!$A$5:$M$45,5,0)+0,0))</f>
        <v>0</v>
      </c>
      <c r="CC724" s="60" t="n">
        <f aca="false">IFERROR(IF(OR(BT724=1,BT724=2,BT724=3),N(INDEX(Parameter!$I$5:$I$7,BT724)),0),0)</f>
        <v>0</v>
      </c>
      <c r="CD724" s="59" t="n">
        <f aca="false">IF(AND(Parameter!$B$21="Ja",ISNUMBER(U724),N(V724)&gt;0),IFERROR(N(INDEX(Parameter!$L$5:$L$7,U724))*INDEX(Parameter!$E$5:$E$7,U724)*V724/SUMIFS($V$7:$V$1576,$U$7:$U$1576,U724),0),0)</f>
        <v>0</v>
      </c>
    </row>
    <row r="725" customFormat="false" ht="15" hidden="false" customHeight="false" outlineLevel="0" collapsed="false">
      <c r="A725" s="55" t="s">
        <v>1426</v>
      </c>
      <c r="B725" s="55" t="s">
        <v>1427</v>
      </c>
      <c r="C725" s="55" t="s">
        <v>446</v>
      </c>
      <c r="D725" s="55" t="s">
        <v>168</v>
      </c>
      <c r="E725" s="55" t="s">
        <v>210</v>
      </c>
      <c r="F725" s="56" t="n">
        <v>100.23</v>
      </c>
      <c r="G725" s="57" t="n">
        <f aca="false">MAX(0,IF(AND(Parameter!$B$21="Ja",ISNUMBER(W725)),W725,IF(Parameter!$B$20="Jahresanfang 2025 + Export",BJ725+BI725,BI725)))</f>
        <v>0</v>
      </c>
      <c r="H725" s="57" t="n">
        <f aca="false">G725*F725</f>
        <v>0</v>
      </c>
      <c r="I725" s="57" t="n">
        <f aca="false">BL725*Parameter!$B$18</f>
        <v>0</v>
      </c>
      <c r="J725" s="58" t="n">
        <v>0</v>
      </c>
      <c r="K725" s="59" t="n">
        <v>0</v>
      </c>
      <c r="L725" s="57" t="n">
        <v>0</v>
      </c>
      <c r="M725" s="57" t="n">
        <v>1</v>
      </c>
      <c r="N725" s="60" t="n">
        <v>21</v>
      </c>
      <c r="O725" s="55" t="s">
        <v>163</v>
      </c>
      <c r="P725" s="57"/>
      <c r="Q725" s="60" t="n">
        <f aca="false">IF(BR725=1,0,IFERROR(VLOOKUP(BP725,'Gebinde-Kategorie'!$A$5:$M$45,13,0)+0,0))</f>
        <v>0</v>
      </c>
      <c r="R725" s="61"/>
      <c r="S725" s="62"/>
      <c r="T725" s="62"/>
      <c r="U725" s="55"/>
      <c r="V725" s="57"/>
      <c r="W725" s="57"/>
      <c r="X725" s="55" t="n">
        <f aca="false">IF(A725="","",IF(AND(Parameter!$B$21="Ja",ISNUMBER(U725)),U725,IF(IFERROR(VLOOKUP(D725,Parameter!$A$35:$C$64,2,0),"Nein")="2+3",IF(ISNUMBER(SEARCH("grosser Artikel",BM725)),2,IFERROR(VLOOKUP(BP725,Parameter!$F$35:$G$64,2,0),2)),IF(OR(IFERROR(VLOOKUP(D725,Parameter!$A$35:$C$64,2,0),"Nein")="Nein",IFERROR(VLOOKUP(D725,Parameter!$A$35:$C$64,2,0),"Nein")=""),"-",VLOOKUP(D725,Parameter!$A$35:$C$64,2,0)))))</f>
        <v>2</v>
      </c>
      <c r="Y725" s="62"/>
      <c r="Z725" s="63"/>
      <c r="AA725" s="57" t="n">
        <f aca="false">AP725</f>
        <v>1</v>
      </c>
      <c r="AB725" s="57" t="n">
        <f aca="false">MAX(AP725,G725)</f>
        <v>1</v>
      </c>
      <c r="AC725" s="64"/>
      <c r="AD725" s="57" t="n">
        <f aca="false">IF(LEFT(Cockpit!$C$5,1)="A",G725,IF(BW725=1,BX725,IF(LEFT(Cockpit!$C$5,1)="B",AH725,MAX(AH725,G725))))</f>
        <v>0</v>
      </c>
      <c r="AE725" s="57" t="n">
        <f aca="false">IF(BR725=1,0,ROUNDUP(AD725/BQ725,0))</f>
        <v>0</v>
      </c>
      <c r="AF725" s="59" t="n">
        <f aca="false">IF(CD725&gt;0,CD725*MAX(1,AD725/V725),IF(BR725=1,IF(AD725&lt;=0,0,BS725*MAX(1,IF(G725&gt;0,AD725/G725,1))),IF(Q725&gt;0,AE725/Q725,0))/MAX(0.1,N(Parameter!$M$21)))</f>
        <v>0</v>
      </c>
      <c r="AG725" s="57" t="n">
        <f aca="false">AD725*F725</f>
        <v>0</v>
      </c>
      <c r="AH725" s="57" t="n">
        <f aca="false">ROUNDUP(MAX(I725/IF(BV725&gt;0,BV725,MAX(0.1,N(Cockpit!$C$6))),BY725)/BQ725,0)*BQ725</f>
        <v>1</v>
      </c>
      <c r="AI725" s="58" t="n">
        <f aca="false">IF(AF725&gt;0,I725/AF725,-1)</f>
        <v>-1</v>
      </c>
      <c r="AJ725" s="58" t="str">
        <f aca="false">IF(AND(OR(BU725="L1",BU725="L23"),AF725&gt;0),SUMIFS($AF$7:$AF$1576,$BU$7:$BU$1576,BU725,$AI$7:$AI$1576,"&gt;"&amp;AI725)+SUMIFS($AF$7:$AF$1576,$BU$7:$BU$1576,BU725,$AI$7:$AI$1576,AI725,$BO$7:$BO$1576,"&lt;="&amp;BO725),"")</f>
        <v/>
      </c>
      <c r="AK725" s="65" t="n">
        <f aca="false">IF(AJ725="",0,MAX(0,MIN(1,(IF(BU725="L1",Parameter!$E$5,Parameter!$E$6+Parameter!$E$7)-(AJ725-AF725))/AF725)))</f>
        <v>0</v>
      </c>
      <c r="AL725" s="57" t="n">
        <f aca="false">IF(LEFT(Cockpit!$I$5,1)="A",G725,IF(BW725=1,BX725,IF(LEFT(Cockpit!$I$5,1)="B",AP725,MAX(AP725,G725))))</f>
        <v>1</v>
      </c>
      <c r="AM725" s="57" t="n">
        <f aca="false">IF(BR725=1,0,ROUNDUP(AL725/BQ725,0))</f>
        <v>0</v>
      </c>
      <c r="AN725" s="59" t="n">
        <f aca="false">IF(CD725&gt;0,CD725*MAX(1,AL725/V725),IF(BR725=1,IF(AL725&lt;=0,0,BS725*MAX(1,IF(G725&gt;0,AL725/G725,1))),IF(Q725&gt;0,AM725/Q725,0))/MAX(0.1,N(Parameter!$M$21)))</f>
        <v>0.15</v>
      </c>
      <c r="AO725" s="57" t="n">
        <f aca="false">AL725*F725</f>
        <v>100.23</v>
      </c>
      <c r="AP725" s="57" t="n">
        <f aca="false">ROUNDUP(MAX(I725/IF(BV725&gt;0,BV725,MAX(0.1,N(Cockpit!$I$6))),BY725)/BQ725,0)*BQ725</f>
        <v>1</v>
      </c>
      <c r="AQ725" s="58" t="n">
        <f aca="false">IF(AN725&gt;0,I725/AN725,-1)</f>
        <v>0</v>
      </c>
      <c r="AR725" s="58" t="n">
        <f aca="false">IF(AND(OR(BU725="L1",BU725="L23"),AN725&gt;0),SUMIFS($AN$7:$AN$1576,$BU$7:$BU$1576,BU725,$AQ$7:$AQ$1576,"&gt;"&amp;AQ725)+SUMIFS($AN$7:$AN$1576,$BU$7:$BU$1576,BU725,$AQ$7:$AQ$1576,AQ725,$BO$7:$BO$1576,"&lt;="&amp;BO725),"")</f>
        <v>129.754862408171</v>
      </c>
      <c r="AS725" s="65" t="n">
        <f aca="false">IF(AR725="",0,MAX(0,MIN(1,(IF(BU725="L1",Parameter!$E$5,Parameter!$E$6+Parameter!$E$7)-(AR725-AN725))/AN725)))</f>
        <v>0</v>
      </c>
      <c r="AT725" s="57" t="n">
        <f aca="false">IF(LEFT(Cockpit!$O$5,1)="A",G725,IF(BW725=1,BX725,IF(LEFT(Cockpit!$O$5,1)="B",AX725,MAX(AX725,G725))))</f>
        <v>1</v>
      </c>
      <c r="AU725" s="57" t="n">
        <f aca="false">IF(BR725=1,0,ROUNDUP(AT725/BQ725,0))</f>
        <v>0</v>
      </c>
      <c r="AV725" s="59" t="n">
        <f aca="false">IF(CD725&gt;0,CD725*MAX(1,AT725/V725),IF(BR725=1,IF(AT725&lt;=0,0,BS725*MAX(1,IF(G725&gt;0,AT725/G725,1))),IF(Q725&gt;0,AU725/Q725,0))/MAX(0.1,N(Parameter!$M$21)))</f>
        <v>0.15</v>
      </c>
      <c r="AW725" s="57" t="n">
        <f aca="false">AT725*F725</f>
        <v>100.23</v>
      </c>
      <c r="AX725" s="57" t="n">
        <f aca="false">ROUNDUP(MAX(I725/IF(BV725&gt;0,BV725,MAX(0.1,N(Cockpit!$O$6))),BY725)/BQ725,0)*BQ725</f>
        <v>1</v>
      </c>
      <c r="AY725" s="58" t="n">
        <f aca="false">IF(AV725&gt;0,I725/AV725,-1)</f>
        <v>0</v>
      </c>
      <c r="AZ725" s="58" t="n">
        <f aca="false">IF(AND(OR(BU725="L1",BU725="L23"),AV725&gt;0),SUMIFS($AV$7:$AV$1576,$BU$7:$BU$1576,BU725,$AY$7:$AY$1576,"&gt;"&amp;AY725)+SUMIFS($AV$7:$AV$1576,$BU$7:$BU$1576,BU725,$AY$7:$AY$1576,AY725,$BO$7:$BO$1576,"&lt;="&amp;BO725),"")</f>
        <v>119.814412857721</v>
      </c>
      <c r="BA725" s="65" t="n">
        <f aca="false">IF(AZ725="",0,MAX(0,MIN(1,(IF(BU725="L1",Parameter!$E$5,Parameter!$E$6+Parameter!$E$7)-(AZ725-AV725))/AV725)))</f>
        <v>0</v>
      </c>
      <c r="BB725" s="55" t="str">
        <f aca="false">IF(AF725&lt;=0,"",IF(BU725="Aussen","Aussenlager",IF(BU725="-","Nicht im Lift",IF(AK725&gt;=1,"Lift",IF(AK725&lt;=0,"Aussenlager","teilweise")))))</f>
        <v/>
      </c>
      <c r="BC725" s="55" t="str">
        <f aca="false">IF(AN725&lt;=0,"",IF(BU725="Aussen","Aussenlager",IF(BU725="-","Nicht im Lift",IF(AS725&gt;=1,"Lift",IF(AS725&lt;=0,"Aussenlager","teilweise")))))</f>
        <v>Aussenlager</v>
      </c>
      <c r="BD725" s="55" t="str">
        <f aca="false">IF(AV725&lt;=0,"",IF(BU725="Aussen","Aussenlager",IF(BU725="-","Nicht im Lift",IF(BA725&gt;=1,"Lift",IF(BA725&lt;=0,"Aussenlager","teilweise")))))</f>
        <v>Aussenlager</v>
      </c>
      <c r="BE725" s="55" t="str">
        <f aca="false">IF(A725="","",IF(BN725=1,"Neu; ","")&amp;IF(AND(BN725=0,BI725&lt;0),"negativer Bestand (Export "&amp;BI725&amp;"); ","")&amp;IF(I725&lt;=0,"Kein Verbrauch; ","")&amp;IF(CD725&gt;0,"Lift "&amp;U725&amp;" lt. Liftbericht (Fach "&amp;V725&amp;" Stk); ",IF(BR725=1,"Lose – Fläche geschätzt; ",""))&amp;IF(G725&gt;AP725,"Überbestand "&amp;ROUND(G725-AP725,0)&amp;" Stk / CHF "&amp;ROUND((G725-AP725)*F725,0)&amp;"; ","")&amp;IF(AND(BW725=1,BX725&lt;BY725),"MAX &lt; MB+LG; ","")&amp;IF(AND(CC725&gt;0,CB725*10&gt;CC725),"zu hoch für Tablar; ","")&amp;IF(AND(BN725=0,OR(BW725=1,Y725&lt;&gt;"",S725&lt;&gt;"",T725&lt;&gt;"",Z725&lt;&gt;"")),"manuell übersteuert; ","")&amp;IF(AND(BR725=0,Q725=0),"Gebinde unbekannt / Stellmass fehlt; ","")&amp;IF(AND(BR725=0,N(T725)&lt;=0,N(P725)&lt;=0),"Menge pro Gebinde fehlt (Ist = 1 Gebinde); ","")&amp;BM725)</f>
        <v>Kein Verbrauch; Lose – Fläche geschätzt; </v>
      </c>
      <c r="BF725" s="55"/>
      <c r="BG725" s="55"/>
      <c r="BH725" s="62"/>
      <c r="BI725" s="57" t="n">
        <v>0</v>
      </c>
      <c r="BJ725" s="57" t="n">
        <v>0</v>
      </c>
      <c r="BK725" s="56" t="n">
        <v>0</v>
      </c>
      <c r="BL725" s="57" t="n">
        <v>0</v>
      </c>
      <c r="BM725" s="55"/>
      <c r="BN725" s="60" t="n">
        <v>0</v>
      </c>
      <c r="BO725" s="60" t="n">
        <v>725</v>
      </c>
      <c r="BP725" s="55" t="str">
        <f aca="false">IF(S725&lt;&gt;"",UPPER(TRIM(S725)),IF(O725="","LOSE",O725))</f>
        <v>LOSE</v>
      </c>
      <c r="BQ725" s="57" t="n">
        <f aca="false">IF(BP725="LOSE",1,IF(N(T725)&gt;0,T725,IF(N(P725)&gt;0,P725,MAX(1,G725))))</f>
        <v>1</v>
      </c>
      <c r="BR725" s="60" t="n">
        <f aca="false">IF(BP725="LOSE",1,0)</f>
        <v>1</v>
      </c>
      <c r="BS725" s="59" t="n">
        <f aca="false">IF(BR725=0,0,IF(N(R725)&gt;0,R725,IFERROR(VLOOKUP(D725,Parameter!$A$35:$C$64,3,0)+0,0)))</f>
        <v>0.15</v>
      </c>
      <c r="BT725" s="55" t="n">
        <f aca="false">IF(Y725&lt;&gt;"",Y725,X725)</f>
        <v>2</v>
      </c>
      <c r="BU725" s="55" t="str">
        <f aca="false">IF(BT725=1,"L1",IF(OR(BT725=2,BT725=3),"L23",IF(BT725="Aussen","Aussen","-")))</f>
        <v>L23</v>
      </c>
      <c r="BV725" s="66" t="n">
        <f aca="false">IF(N(Z725)&gt;0,Z725,0)</f>
        <v>0</v>
      </c>
      <c r="BW725" s="60" t="n">
        <f aca="false">IF(ISNUMBER(AC725),1,0)</f>
        <v>0</v>
      </c>
      <c r="BX725" s="57" t="n">
        <f aca="false">N(AC725)</f>
        <v>0</v>
      </c>
      <c r="BY725" s="57" t="n">
        <f aca="false">N(L725)+N(M725)</f>
        <v>1</v>
      </c>
      <c r="BZ725" s="57" t="n">
        <f aca="false">ROUNDUP(G725/BQ725,0)</f>
        <v>0</v>
      </c>
      <c r="CA725" s="57" t="n">
        <f aca="false">ROUNDUP(BX725/BQ725,0)</f>
        <v>0</v>
      </c>
      <c r="CB725" s="60" t="n">
        <f aca="false">IF(BR725=1,0,IFERROR(VLOOKUP(BP725,'Gebinde-Kategorie'!$A$5:$M$45,5,0)+0,0))</f>
        <v>0</v>
      </c>
      <c r="CC725" s="60" t="n">
        <f aca="false">IFERROR(IF(OR(BT725=1,BT725=2,BT725=3),N(INDEX(Parameter!$I$5:$I$7,BT725)),0),0)</f>
        <v>0</v>
      </c>
      <c r="CD725" s="59" t="n">
        <f aca="false">IF(AND(Parameter!$B$21="Ja",ISNUMBER(U725),N(V725)&gt;0),IFERROR(N(INDEX(Parameter!$L$5:$L$7,U725))*INDEX(Parameter!$E$5:$E$7,U725)*V725/SUMIFS($V$7:$V$1576,$U$7:$U$1576,U725),0),0)</f>
        <v>0</v>
      </c>
    </row>
    <row r="726" customFormat="false" ht="15" hidden="false" customHeight="false" outlineLevel="0" collapsed="false">
      <c r="A726" s="55" t="s">
        <v>1428</v>
      </c>
      <c r="B726" s="55" t="s">
        <v>1429</v>
      </c>
      <c r="C726" s="55" t="s">
        <v>160</v>
      </c>
      <c r="D726" s="55" t="s">
        <v>168</v>
      </c>
      <c r="E726" s="55" t="s">
        <v>210</v>
      </c>
      <c r="F726" s="56" t="n">
        <v>467.1</v>
      </c>
      <c r="G726" s="57" t="n">
        <f aca="false">MAX(0,IF(AND(Parameter!$B$21="Ja",ISNUMBER(W726)),W726,IF(Parameter!$B$20="Jahresanfang 2025 + Export",BJ726+BI726,BI726)))</f>
        <v>0</v>
      </c>
      <c r="H726" s="57" t="n">
        <f aca="false">G726*F726</f>
        <v>0</v>
      </c>
      <c r="I726" s="57" t="n">
        <f aca="false">BL726*Parameter!$B$18</f>
        <v>1</v>
      </c>
      <c r="J726" s="58" t="n">
        <v>0</v>
      </c>
      <c r="K726" s="59" t="n">
        <v>0</v>
      </c>
      <c r="L726" s="57" t="n">
        <v>0</v>
      </c>
      <c r="M726" s="57" t="n">
        <v>1</v>
      </c>
      <c r="N726" s="60" t="n">
        <v>28</v>
      </c>
      <c r="O726" s="55" t="s">
        <v>163</v>
      </c>
      <c r="P726" s="57"/>
      <c r="Q726" s="60" t="n">
        <f aca="false">IF(BR726=1,0,IFERROR(VLOOKUP(BP726,'Gebinde-Kategorie'!$A$5:$M$45,13,0)+0,0))</f>
        <v>0</v>
      </c>
      <c r="R726" s="61"/>
      <c r="S726" s="62"/>
      <c r="T726" s="62"/>
      <c r="U726" s="55"/>
      <c r="V726" s="57"/>
      <c r="W726" s="57"/>
      <c r="X726" s="55" t="n">
        <f aca="false">IF(A726="","",IF(AND(Parameter!$B$21="Ja",ISNUMBER(U726)),U726,IF(IFERROR(VLOOKUP(D726,Parameter!$A$35:$C$64,2,0),"Nein")="2+3",IF(ISNUMBER(SEARCH("grosser Artikel",BM726)),2,IFERROR(VLOOKUP(BP726,Parameter!$F$35:$G$64,2,0),2)),IF(OR(IFERROR(VLOOKUP(D726,Parameter!$A$35:$C$64,2,0),"Nein")="Nein",IFERROR(VLOOKUP(D726,Parameter!$A$35:$C$64,2,0),"Nein")=""),"-",VLOOKUP(D726,Parameter!$A$35:$C$64,2,0)))))</f>
        <v>2</v>
      </c>
      <c r="Y726" s="62"/>
      <c r="Z726" s="63"/>
      <c r="AA726" s="57" t="n">
        <f aca="false">AP726</f>
        <v>1</v>
      </c>
      <c r="AB726" s="57" t="n">
        <f aca="false">MAX(AP726,G726)</f>
        <v>1</v>
      </c>
      <c r="AC726" s="64"/>
      <c r="AD726" s="57" t="n">
        <f aca="false">IF(LEFT(Cockpit!$C$5,1)="A",G726,IF(BW726=1,BX726,IF(LEFT(Cockpit!$C$5,1)="B",AH726,MAX(AH726,G726))))</f>
        <v>0</v>
      </c>
      <c r="AE726" s="57" t="n">
        <f aca="false">IF(BR726=1,0,ROUNDUP(AD726/BQ726,0))</f>
        <v>0</v>
      </c>
      <c r="AF726" s="59" t="n">
        <f aca="false">IF(CD726&gt;0,CD726*MAX(1,AD726/V726),IF(BR726=1,IF(AD726&lt;=0,0,BS726*MAX(1,IF(G726&gt;0,AD726/G726,1))),IF(Q726&gt;0,AE726/Q726,0))/MAX(0.1,N(Parameter!$M$21)))</f>
        <v>0</v>
      </c>
      <c r="AG726" s="57" t="n">
        <f aca="false">AD726*F726</f>
        <v>0</v>
      </c>
      <c r="AH726" s="57" t="n">
        <f aca="false">ROUNDUP(MAX(I726/IF(BV726&gt;0,BV726,MAX(0.1,N(Cockpit!$C$6))),BY726)/BQ726,0)*BQ726</f>
        <v>1</v>
      </c>
      <c r="AI726" s="58" t="n">
        <f aca="false">IF(AF726&gt;0,I726/AF726,-1)</f>
        <v>-1</v>
      </c>
      <c r="AJ726" s="58" t="str">
        <f aca="false">IF(AND(OR(BU726="L1",BU726="L23"),AF726&gt;0),SUMIFS($AF$7:$AF$1576,$BU$7:$BU$1576,BU726,$AI$7:$AI$1576,"&gt;"&amp;AI726)+SUMIFS($AF$7:$AF$1576,$BU$7:$BU$1576,BU726,$AI$7:$AI$1576,AI726,$BO$7:$BO$1576,"&lt;="&amp;BO726),"")</f>
        <v/>
      </c>
      <c r="AK726" s="65" t="n">
        <f aca="false">IF(AJ726="",0,MAX(0,MIN(1,(IF(BU726="L1",Parameter!$E$5,Parameter!$E$6+Parameter!$E$7)-(AJ726-AF726))/AF726)))</f>
        <v>0</v>
      </c>
      <c r="AL726" s="57" t="n">
        <f aca="false">IF(LEFT(Cockpit!$I$5,1)="A",G726,IF(BW726=1,BX726,IF(LEFT(Cockpit!$I$5,1)="B",AP726,MAX(AP726,G726))))</f>
        <v>1</v>
      </c>
      <c r="AM726" s="57" t="n">
        <f aca="false">IF(BR726=1,0,ROUNDUP(AL726/BQ726,0))</f>
        <v>0</v>
      </c>
      <c r="AN726" s="59" t="n">
        <f aca="false">IF(CD726&gt;0,CD726*MAX(1,AL726/V726),IF(BR726=1,IF(AL726&lt;=0,0,BS726*MAX(1,IF(G726&gt;0,AL726/G726,1))),IF(Q726&gt;0,AM726/Q726,0))/MAX(0.1,N(Parameter!$M$21)))</f>
        <v>0.15</v>
      </c>
      <c r="AO726" s="57" t="n">
        <f aca="false">AL726*F726</f>
        <v>467.1</v>
      </c>
      <c r="AP726" s="57" t="n">
        <f aca="false">ROUNDUP(MAX(I726/IF(BV726&gt;0,BV726,MAX(0.1,N(Cockpit!$I$6))),BY726)/BQ726,0)*BQ726</f>
        <v>1</v>
      </c>
      <c r="AQ726" s="58" t="n">
        <f aca="false">IF(AN726&gt;0,I726/AN726,-1)</f>
        <v>6.66666666666667</v>
      </c>
      <c r="AR726" s="58" t="n">
        <f aca="false">IF(AND(OR(BU726="L1",BU726="L23"),AN726&gt;0),SUMIFS($AN$7:$AN$1576,$BU$7:$BU$1576,BU726,$AQ$7:$AQ$1576,"&gt;"&amp;AQ726)+SUMIFS($AN$7:$AN$1576,$BU$7:$BU$1576,BU726,$AQ$7:$AQ$1576,AQ726,$BO$7:$BO$1576,"&lt;="&amp;BO726),"")</f>
        <v>110.692434588696</v>
      </c>
      <c r="AS726" s="65" t="n">
        <f aca="false">IF(AR726="",0,MAX(0,MIN(1,(IF(BU726="L1",Parameter!$E$5,Parameter!$E$6+Parameter!$E$7)-(AR726-AN726))/AN726)))</f>
        <v>0</v>
      </c>
      <c r="AT726" s="57" t="n">
        <f aca="false">IF(LEFT(Cockpit!$O$5,1)="A",G726,IF(BW726=1,BX726,IF(LEFT(Cockpit!$O$5,1)="B",AX726,MAX(AX726,G726))))</f>
        <v>1</v>
      </c>
      <c r="AU726" s="57" t="n">
        <f aca="false">IF(BR726=1,0,ROUNDUP(AT726/BQ726,0))</f>
        <v>0</v>
      </c>
      <c r="AV726" s="59" t="n">
        <f aca="false">IF(CD726&gt;0,CD726*MAX(1,AT726/V726),IF(BR726=1,IF(AT726&lt;=0,0,BS726*MAX(1,IF(G726&gt;0,AT726/G726,1))),IF(Q726&gt;0,AU726/Q726,0))/MAX(0.1,N(Parameter!$M$21)))</f>
        <v>0.15</v>
      </c>
      <c r="AW726" s="57" t="n">
        <f aca="false">AT726*F726</f>
        <v>467.1</v>
      </c>
      <c r="AX726" s="57" t="n">
        <f aca="false">ROUNDUP(MAX(I726/IF(BV726&gt;0,BV726,MAX(0.1,N(Cockpit!$O$6))),BY726)/BQ726,0)*BQ726</f>
        <v>1</v>
      </c>
      <c r="AY726" s="58" t="n">
        <f aca="false">IF(AV726&gt;0,I726/AV726,-1)</f>
        <v>6.66666666666667</v>
      </c>
      <c r="AZ726" s="58" t="n">
        <f aca="false">IF(AND(OR(BU726="L1",BU726="L23"),AV726&gt;0),SUMIFS($AV$7:$AV$1576,$BU$7:$BU$1576,BU726,$AY$7:$AY$1576,"&gt;"&amp;AY726)+SUMIFS($AV$7:$AV$1576,$BU$7:$BU$1576,BU726,$AY$7:$AY$1576,AY726,$BO$7:$BO$1576,"&lt;="&amp;BO726),"")</f>
        <v>100.751985038246</v>
      </c>
      <c r="BA726" s="65" t="n">
        <f aca="false">IF(AZ726="",0,MAX(0,MIN(1,(IF(BU726="L1",Parameter!$E$5,Parameter!$E$6+Parameter!$E$7)-(AZ726-AV726))/AV726)))</f>
        <v>0</v>
      </c>
      <c r="BB726" s="55" t="str">
        <f aca="false">IF(AF726&lt;=0,"",IF(BU726="Aussen","Aussenlager",IF(BU726="-","Nicht im Lift",IF(AK726&gt;=1,"Lift",IF(AK726&lt;=0,"Aussenlager","teilweise")))))</f>
        <v/>
      </c>
      <c r="BC726" s="55" t="str">
        <f aca="false">IF(AN726&lt;=0,"",IF(BU726="Aussen","Aussenlager",IF(BU726="-","Nicht im Lift",IF(AS726&gt;=1,"Lift",IF(AS726&lt;=0,"Aussenlager","teilweise")))))</f>
        <v>Aussenlager</v>
      </c>
      <c r="BD726" s="55" t="str">
        <f aca="false">IF(AV726&lt;=0,"",IF(BU726="Aussen","Aussenlager",IF(BU726="-","Nicht im Lift",IF(BA726&gt;=1,"Lift",IF(BA726&lt;=0,"Aussenlager","teilweise")))))</f>
        <v>Aussenlager</v>
      </c>
      <c r="BE726" s="55" t="str">
        <f aca="false">IF(A726="","",IF(BN726=1,"Neu; ","")&amp;IF(AND(BN726=0,BI726&lt;0),"negativer Bestand (Export "&amp;BI726&amp;"); ","")&amp;IF(I726&lt;=0,"Kein Verbrauch; ","")&amp;IF(CD726&gt;0,"Lift "&amp;U726&amp;" lt. Liftbericht (Fach "&amp;V726&amp;" Stk); ",IF(BR726=1,"Lose – Fläche geschätzt; ",""))&amp;IF(G726&gt;AP726,"Überbestand "&amp;ROUND(G726-AP726,0)&amp;" Stk / CHF "&amp;ROUND((G726-AP726)*F726,0)&amp;"; ","")&amp;IF(AND(BW726=1,BX726&lt;BY726),"MAX &lt; MB+LG; ","")&amp;IF(AND(CC726&gt;0,CB726*10&gt;CC726),"zu hoch für Tablar; ","")&amp;IF(AND(BN726=0,OR(BW726=1,Y726&lt;&gt;"",S726&lt;&gt;"",T726&lt;&gt;"",Z726&lt;&gt;"")),"manuell übersteuert; ","")&amp;IF(AND(BR726=0,Q726=0),"Gebinde unbekannt / Stellmass fehlt; ","")&amp;IF(AND(BR726=0,N(T726)&lt;=0,N(P726)&lt;=0),"Menge pro Gebinde fehlt (Ist = 1 Gebinde); ","")&amp;BM726)</f>
        <v>Lose – Fläche geschätzt; </v>
      </c>
      <c r="BF726" s="55"/>
      <c r="BG726" s="55"/>
      <c r="BH726" s="62"/>
      <c r="BI726" s="57" t="n">
        <v>0</v>
      </c>
      <c r="BJ726" s="57" t="n">
        <v>0</v>
      </c>
      <c r="BK726" s="56" t="n">
        <v>0</v>
      </c>
      <c r="BL726" s="57" t="n">
        <v>1</v>
      </c>
      <c r="BM726" s="55"/>
      <c r="BN726" s="60" t="n">
        <v>0</v>
      </c>
      <c r="BO726" s="60" t="n">
        <v>726</v>
      </c>
      <c r="BP726" s="55" t="str">
        <f aca="false">IF(S726&lt;&gt;"",UPPER(TRIM(S726)),IF(O726="","LOSE",O726))</f>
        <v>LOSE</v>
      </c>
      <c r="BQ726" s="57" t="n">
        <f aca="false">IF(BP726="LOSE",1,IF(N(T726)&gt;0,T726,IF(N(P726)&gt;0,P726,MAX(1,G726))))</f>
        <v>1</v>
      </c>
      <c r="BR726" s="60" t="n">
        <f aca="false">IF(BP726="LOSE",1,0)</f>
        <v>1</v>
      </c>
      <c r="BS726" s="59" t="n">
        <f aca="false">IF(BR726=0,0,IF(N(R726)&gt;0,R726,IFERROR(VLOOKUP(D726,Parameter!$A$35:$C$64,3,0)+0,0)))</f>
        <v>0.15</v>
      </c>
      <c r="BT726" s="55" t="n">
        <f aca="false">IF(Y726&lt;&gt;"",Y726,X726)</f>
        <v>2</v>
      </c>
      <c r="BU726" s="55" t="str">
        <f aca="false">IF(BT726=1,"L1",IF(OR(BT726=2,BT726=3),"L23",IF(BT726="Aussen","Aussen","-")))</f>
        <v>L23</v>
      </c>
      <c r="BV726" s="66" t="n">
        <f aca="false">IF(N(Z726)&gt;0,Z726,0)</f>
        <v>0</v>
      </c>
      <c r="BW726" s="60" t="n">
        <f aca="false">IF(ISNUMBER(AC726),1,0)</f>
        <v>0</v>
      </c>
      <c r="BX726" s="57" t="n">
        <f aca="false">N(AC726)</f>
        <v>0</v>
      </c>
      <c r="BY726" s="57" t="n">
        <f aca="false">N(L726)+N(M726)</f>
        <v>1</v>
      </c>
      <c r="BZ726" s="57" t="n">
        <f aca="false">ROUNDUP(G726/BQ726,0)</f>
        <v>0</v>
      </c>
      <c r="CA726" s="57" t="n">
        <f aca="false">ROUNDUP(BX726/BQ726,0)</f>
        <v>0</v>
      </c>
      <c r="CB726" s="60" t="n">
        <f aca="false">IF(BR726=1,0,IFERROR(VLOOKUP(BP726,'Gebinde-Kategorie'!$A$5:$M$45,5,0)+0,0))</f>
        <v>0</v>
      </c>
      <c r="CC726" s="60" t="n">
        <f aca="false">IFERROR(IF(OR(BT726=1,BT726=2,BT726=3),N(INDEX(Parameter!$I$5:$I$7,BT726)),0),0)</f>
        <v>0</v>
      </c>
      <c r="CD726" s="59" t="n">
        <f aca="false">IF(AND(Parameter!$B$21="Ja",ISNUMBER(U726),N(V726)&gt;0),IFERROR(N(INDEX(Parameter!$L$5:$L$7,U726))*INDEX(Parameter!$E$5:$E$7,U726)*V726/SUMIFS($V$7:$V$1576,$U$7:$U$1576,U726),0),0)</f>
        <v>0</v>
      </c>
    </row>
    <row r="727" customFormat="false" ht="15" hidden="false" customHeight="false" outlineLevel="0" collapsed="false">
      <c r="A727" s="55" t="s">
        <v>1430</v>
      </c>
      <c r="B727" s="55" t="s">
        <v>1431</v>
      </c>
      <c r="C727" s="55" t="s">
        <v>160</v>
      </c>
      <c r="D727" s="55" t="s">
        <v>178</v>
      </c>
      <c r="E727" s="55" t="s">
        <v>210</v>
      </c>
      <c r="F727" s="56" t="n">
        <v>141.03</v>
      </c>
      <c r="G727" s="57" t="n">
        <f aca="false">MAX(0,IF(AND(Parameter!$B$21="Ja",ISNUMBER(W727)),W727,IF(Parameter!$B$20="Jahresanfang 2025 + Export",BJ727+BI727,BI727)))</f>
        <v>0</v>
      </c>
      <c r="H727" s="57" t="n">
        <f aca="false">G727*F727</f>
        <v>0</v>
      </c>
      <c r="I727" s="57" t="n">
        <f aca="false">BL727*Parameter!$B$18</f>
        <v>1</v>
      </c>
      <c r="J727" s="58" t="n">
        <v>11.5</v>
      </c>
      <c r="K727" s="59" t="n">
        <v>0.0869565217391304</v>
      </c>
      <c r="L727" s="57" t="n">
        <v>0</v>
      </c>
      <c r="M727" s="57" t="n">
        <v>1</v>
      </c>
      <c r="N727" s="60" t="n">
        <v>28</v>
      </c>
      <c r="O727" s="55" t="s">
        <v>293</v>
      </c>
      <c r="P727" s="57" t="n">
        <v>15</v>
      </c>
      <c r="Q727" s="60" t="n">
        <f aca="false">IF(BR727=1,0,IFERROR(VLOOKUP(BP727,'Gebinde-Kategorie'!$A$5:$M$45,13,0)+0,0))</f>
        <v>26</v>
      </c>
      <c r="R727" s="61"/>
      <c r="S727" s="62"/>
      <c r="T727" s="62"/>
      <c r="U727" s="55"/>
      <c r="V727" s="57"/>
      <c r="W727" s="57"/>
      <c r="X727" s="55" t="n">
        <f aca="false">IF(A727="","",IF(AND(Parameter!$B$21="Ja",ISNUMBER(U727)),U727,IF(IFERROR(VLOOKUP(D727,Parameter!$A$35:$C$64,2,0),"Nein")="2+3",IF(ISNUMBER(SEARCH("grosser Artikel",BM727)),2,IFERROR(VLOOKUP(BP727,Parameter!$F$35:$G$64,2,0),2)),IF(OR(IFERROR(VLOOKUP(D727,Parameter!$A$35:$C$64,2,0),"Nein")="Nein",IFERROR(VLOOKUP(D727,Parameter!$A$35:$C$64,2,0),"Nein")=""),"-",VLOOKUP(D727,Parameter!$A$35:$C$64,2,0)))))</f>
        <v>3</v>
      </c>
      <c r="Y727" s="62"/>
      <c r="Z727" s="63"/>
      <c r="AA727" s="57" t="n">
        <f aca="false">AP727</f>
        <v>15</v>
      </c>
      <c r="AB727" s="57" t="n">
        <f aca="false">MAX(AP727,G727)</f>
        <v>15</v>
      </c>
      <c r="AC727" s="64"/>
      <c r="AD727" s="57" t="n">
        <f aca="false">IF(LEFT(Cockpit!$C$5,1)="A",G727,IF(BW727=1,BX727,IF(LEFT(Cockpit!$C$5,1)="B",AH727,MAX(AH727,G727))))</f>
        <v>0</v>
      </c>
      <c r="AE727" s="57" t="n">
        <f aca="false">IF(BR727=1,0,ROUNDUP(AD727/BQ727,0))</f>
        <v>0</v>
      </c>
      <c r="AF727" s="59" t="n">
        <f aca="false">IF(CD727&gt;0,CD727*MAX(1,AD727/V727),IF(BR727=1,IF(AD727&lt;=0,0,BS727*MAX(1,IF(G727&gt;0,AD727/G727,1))),IF(Q727&gt;0,AE727/Q727,0))/MAX(0.1,N(Parameter!$M$21)))</f>
        <v>0</v>
      </c>
      <c r="AG727" s="57" t="n">
        <f aca="false">AD727*F727</f>
        <v>0</v>
      </c>
      <c r="AH727" s="57" t="n">
        <f aca="false">ROUNDUP(MAX(I727/IF(BV727&gt;0,BV727,MAX(0.1,N(Cockpit!$C$6))),BY727)/BQ727,0)*BQ727</f>
        <v>15</v>
      </c>
      <c r="AI727" s="58" t="n">
        <f aca="false">IF(AF727&gt;0,I727/AF727,-1)</f>
        <v>-1</v>
      </c>
      <c r="AJ727" s="58" t="str">
        <f aca="false">IF(AND(OR(BU727="L1",BU727="L23"),AF727&gt;0),SUMIFS($AF$7:$AF$1576,$BU$7:$BU$1576,BU727,$AI$7:$AI$1576,"&gt;"&amp;AI727)+SUMIFS($AF$7:$AF$1576,$BU$7:$BU$1576,BU727,$AI$7:$AI$1576,AI727,$BO$7:$BO$1576,"&lt;="&amp;BO727),"")</f>
        <v/>
      </c>
      <c r="AK727" s="65" t="n">
        <f aca="false">IF(AJ727="",0,MAX(0,MIN(1,(IF(BU727="L1",Parameter!$E$5,Parameter!$E$6+Parameter!$E$7)-(AJ727-AF727))/AF727)))</f>
        <v>0</v>
      </c>
      <c r="AL727" s="57" t="n">
        <f aca="false">IF(LEFT(Cockpit!$I$5,1)="A",G727,IF(BW727=1,BX727,IF(LEFT(Cockpit!$I$5,1)="B",AP727,MAX(AP727,G727))))</f>
        <v>15</v>
      </c>
      <c r="AM727" s="57" t="n">
        <f aca="false">IF(BR727=1,0,ROUNDUP(AL727/BQ727,0))</f>
        <v>1</v>
      </c>
      <c r="AN727" s="59" t="n">
        <f aca="false">IF(CD727&gt;0,CD727*MAX(1,AL727/V727),IF(BR727=1,IF(AL727&lt;=0,0,BS727*MAX(1,IF(G727&gt;0,AL727/G727,1))),IF(Q727&gt;0,AM727/Q727,0))/MAX(0.1,N(Parameter!$M$21)))</f>
        <v>0.0384615384615385</v>
      </c>
      <c r="AO727" s="57" t="n">
        <f aca="false">AL727*F727</f>
        <v>2115.45</v>
      </c>
      <c r="AP727" s="57" t="n">
        <f aca="false">ROUNDUP(MAX(I727/IF(BV727&gt;0,BV727,MAX(0.1,N(Cockpit!$I$6))),BY727)/BQ727,0)*BQ727</f>
        <v>15</v>
      </c>
      <c r="AQ727" s="58" t="n">
        <f aca="false">IF(AN727&gt;0,I727/AN727,-1)</f>
        <v>26</v>
      </c>
      <c r="AR727" s="58" t="n">
        <f aca="false">IF(AND(OR(BU727="L1",BU727="L23"),AN727&gt;0),SUMIFS($AN$7:$AN$1576,$BU$7:$BU$1576,BU727,$AQ$7:$AQ$1576,"&gt;"&amp;AQ727)+SUMIFS($AN$7:$AN$1576,$BU$7:$BU$1576,BU727,$AQ$7:$AQ$1576,AQ727,$BO$7:$BO$1576,"&lt;="&amp;BO727),"")</f>
        <v>97.1616653579265</v>
      </c>
      <c r="AS727" s="65" t="n">
        <f aca="false">IF(AR727="",0,MAX(0,MIN(1,(IF(BU727="L1",Parameter!$E$5,Parameter!$E$6+Parameter!$E$7)-(AR727-AN727))/AN727)))</f>
        <v>1</v>
      </c>
      <c r="AT727" s="57" t="n">
        <f aca="false">IF(LEFT(Cockpit!$O$5,1)="A",G727,IF(BW727=1,BX727,IF(LEFT(Cockpit!$O$5,1)="B",AX727,MAX(AX727,G727))))</f>
        <v>15</v>
      </c>
      <c r="AU727" s="57" t="n">
        <f aca="false">IF(BR727=1,0,ROUNDUP(AT727/BQ727,0))</f>
        <v>1</v>
      </c>
      <c r="AV727" s="59" t="n">
        <f aca="false">IF(CD727&gt;0,CD727*MAX(1,AT727/V727),IF(BR727=1,IF(AT727&lt;=0,0,BS727*MAX(1,IF(G727&gt;0,AT727/G727,1))),IF(Q727&gt;0,AU727/Q727,0))/MAX(0.1,N(Parameter!$M$21)))</f>
        <v>0.0384615384615385</v>
      </c>
      <c r="AW727" s="57" t="n">
        <f aca="false">AT727*F727</f>
        <v>2115.45</v>
      </c>
      <c r="AX727" s="57" t="n">
        <f aca="false">ROUNDUP(MAX(I727/IF(BV727&gt;0,BV727,MAX(0.1,N(Cockpit!$O$6))),BY727)/BQ727,0)*BQ727</f>
        <v>15</v>
      </c>
      <c r="AY727" s="58" t="n">
        <f aca="false">IF(AV727&gt;0,I727/AV727,-1)</f>
        <v>26</v>
      </c>
      <c r="AZ727" s="58" t="n">
        <f aca="false">IF(AND(OR(BU727="L1",BU727="L23"),AV727&gt;0),SUMIFS($AV$7:$AV$1576,$BU$7:$BU$1576,BU727,$AY$7:$AY$1576,"&gt;"&amp;AY727)+SUMIFS($AV$7:$AV$1576,$BU$7:$BU$1576,BU727,$AY$7:$AY$1576,AY727,$BO$7:$BO$1576,"&lt;="&amp;BO727),"")</f>
        <v>87.971215807477</v>
      </c>
      <c r="BA727" s="65" t="n">
        <f aca="false">IF(AZ727="",0,MAX(0,MIN(1,(IF(BU727="L1",Parameter!$E$5,Parameter!$E$6+Parameter!$E$7)-(AZ727-AV727))/AV727)))</f>
        <v>1</v>
      </c>
      <c r="BB727" s="55" t="str">
        <f aca="false">IF(AF727&lt;=0,"",IF(BU727="Aussen","Aussenlager",IF(BU727="-","Nicht im Lift",IF(AK727&gt;=1,"Lift",IF(AK727&lt;=0,"Aussenlager","teilweise")))))</f>
        <v/>
      </c>
      <c r="BC727" s="55" t="str">
        <f aca="false">IF(AN727&lt;=0,"",IF(BU727="Aussen","Aussenlager",IF(BU727="-","Nicht im Lift",IF(AS727&gt;=1,"Lift",IF(AS727&lt;=0,"Aussenlager","teilweise")))))</f>
        <v>Lift</v>
      </c>
      <c r="BD727" s="55" t="str">
        <f aca="false">IF(AV727&lt;=0,"",IF(BU727="Aussen","Aussenlager",IF(BU727="-","Nicht im Lift",IF(BA727&gt;=1,"Lift",IF(BA727&lt;=0,"Aussenlager","teilweise")))))</f>
        <v>Lift</v>
      </c>
      <c r="BE727" s="55" t="str">
        <f aca="false">IF(A727="","",IF(BN727=1,"Neu; ","")&amp;IF(AND(BN727=0,BI727&lt;0),"negativer Bestand (Export "&amp;BI727&amp;"); ","")&amp;IF(I727&lt;=0,"Kein Verbrauch; ","")&amp;IF(CD727&gt;0,"Lift "&amp;U727&amp;" lt. Liftbericht (Fach "&amp;V727&amp;" Stk); ",IF(BR727=1,"Lose – Fläche geschätzt; ",""))&amp;IF(G727&gt;AP727,"Überbestand "&amp;ROUND(G727-AP727,0)&amp;" Stk / CHF "&amp;ROUND((G727-AP727)*F727,0)&amp;"; ","")&amp;IF(AND(BW727=1,BX727&lt;BY727),"MAX &lt; MB+LG; ","")&amp;IF(AND(CC727&gt;0,CB727*10&gt;CC727),"zu hoch für Tablar; ","")&amp;IF(AND(BN727=0,OR(BW727=1,Y727&lt;&gt;"",S727&lt;&gt;"",T727&lt;&gt;"",Z727&lt;&gt;"")),"manuell übersteuert; ","")&amp;IF(AND(BR727=0,Q727=0),"Gebinde unbekannt / Stellmass fehlt; ","")&amp;IF(AND(BR727=0,N(T727)&lt;=0,N(P727)&lt;=0),"Menge pro Gebinde fehlt (Ist = 1 Gebinde); ","")&amp;BM727)</f>
        <v/>
      </c>
      <c r="BF727" s="55"/>
      <c r="BG727" s="55"/>
      <c r="BH727" s="62"/>
      <c r="BI727" s="57" t="n">
        <v>0</v>
      </c>
      <c r="BJ727" s="57" t="n">
        <v>12</v>
      </c>
      <c r="BK727" s="56" t="n">
        <v>0</v>
      </c>
      <c r="BL727" s="57" t="n">
        <v>1</v>
      </c>
      <c r="BM727" s="55"/>
      <c r="BN727" s="60" t="n">
        <v>0</v>
      </c>
      <c r="BO727" s="60" t="n">
        <v>727</v>
      </c>
      <c r="BP727" s="55" t="str">
        <f aca="false">IF(S727&lt;&gt;"",UPPER(TRIM(S727)),IF(O727="","LOSE",O727))</f>
        <v>S51</v>
      </c>
      <c r="BQ727" s="57" t="n">
        <f aca="false">IF(BP727="LOSE",1,IF(N(T727)&gt;0,T727,IF(N(P727)&gt;0,P727,MAX(1,G727))))</f>
        <v>15</v>
      </c>
      <c r="BR727" s="60" t="n">
        <f aca="false">IF(BP727="LOSE",1,0)</f>
        <v>0</v>
      </c>
      <c r="BS727" s="59" t="n">
        <f aca="false">IF(BR727=0,0,IF(N(R727)&gt;0,R727,IFERROR(VLOOKUP(D727,Parameter!$A$35:$C$64,3,0)+0,0)))</f>
        <v>0</v>
      </c>
      <c r="BT727" s="55" t="n">
        <f aca="false">IF(Y727&lt;&gt;"",Y727,X727)</f>
        <v>3</v>
      </c>
      <c r="BU727" s="55" t="str">
        <f aca="false">IF(BT727=1,"L1",IF(OR(BT727=2,BT727=3),"L23",IF(BT727="Aussen","Aussen","-")))</f>
        <v>L23</v>
      </c>
      <c r="BV727" s="66" t="n">
        <f aca="false">IF(N(Z727)&gt;0,Z727,0)</f>
        <v>0</v>
      </c>
      <c r="BW727" s="60" t="n">
        <f aca="false">IF(ISNUMBER(AC727),1,0)</f>
        <v>0</v>
      </c>
      <c r="BX727" s="57" t="n">
        <f aca="false">N(AC727)</f>
        <v>0</v>
      </c>
      <c r="BY727" s="57" t="n">
        <f aca="false">N(L727)+N(M727)</f>
        <v>1</v>
      </c>
      <c r="BZ727" s="57" t="n">
        <f aca="false">ROUNDUP(G727/BQ727,0)</f>
        <v>0</v>
      </c>
      <c r="CA727" s="57" t="n">
        <f aca="false">ROUNDUP(BX727/BQ727,0)</f>
        <v>0</v>
      </c>
      <c r="CB727" s="60" t="n">
        <f aca="false">IF(BR727=1,0,IFERROR(VLOOKUP(BP727,'Gebinde-Kategorie'!$A$5:$M$45,5,0)+0,0))</f>
        <v>11</v>
      </c>
      <c r="CC727" s="60" t="n">
        <f aca="false">IFERROR(IF(OR(BT727=1,BT727=2,BT727=3),N(INDEX(Parameter!$I$5:$I$7,BT727)),0),0)</f>
        <v>0</v>
      </c>
      <c r="CD727" s="59" t="n">
        <f aca="false">IF(AND(Parameter!$B$21="Ja",ISNUMBER(U727),N(V727)&gt;0),IFERROR(N(INDEX(Parameter!$L$5:$L$7,U727))*INDEX(Parameter!$E$5:$E$7,U727)*V727/SUMIFS($V$7:$V$1576,$U$7:$U$1576,U727),0),0)</f>
        <v>0</v>
      </c>
    </row>
    <row r="728" customFormat="false" ht="15" hidden="false" customHeight="false" outlineLevel="0" collapsed="false">
      <c r="A728" s="55" t="s">
        <v>1432</v>
      </c>
      <c r="B728" s="55" t="s">
        <v>1433</v>
      </c>
      <c r="C728" s="55" t="s">
        <v>160</v>
      </c>
      <c r="D728" s="55" t="s">
        <v>178</v>
      </c>
      <c r="E728" s="55" t="s">
        <v>210</v>
      </c>
      <c r="F728" s="56" t="n">
        <v>0</v>
      </c>
      <c r="G728" s="57" t="n">
        <f aca="false">MAX(0,IF(AND(Parameter!$B$21="Ja",ISNUMBER(W728)),W728,IF(Parameter!$B$20="Jahresanfang 2025 + Export",BJ728+BI728,BI728)))</f>
        <v>0</v>
      </c>
      <c r="H728" s="57" t="n">
        <f aca="false">G728*F728</f>
        <v>0</v>
      </c>
      <c r="I728" s="57" t="n">
        <f aca="false">BL728*Parameter!$B$18</f>
        <v>0</v>
      </c>
      <c r="J728" s="58" t="n">
        <v>0.5</v>
      </c>
      <c r="K728" s="59" t="n">
        <v>0</v>
      </c>
      <c r="L728" s="57" t="n">
        <v>0</v>
      </c>
      <c r="M728" s="57" t="n">
        <v>1</v>
      </c>
      <c r="N728" s="60" t="n">
        <v>14</v>
      </c>
      <c r="O728" s="55" t="s">
        <v>163</v>
      </c>
      <c r="P728" s="57"/>
      <c r="Q728" s="60" t="n">
        <f aca="false">IF(BR728=1,0,IFERROR(VLOOKUP(BP728,'Gebinde-Kategorie'!$A$5:$M$45,13,0)+0,0))</f>
        <v>0</v>
      </c>
      <c r="R728" s="61"/>
      <c r="S728" s="62"/>
      <c r="T728" s="62"/>
      <c r="U728" s="55"/>
      <c r="V728" s="57"/>
      <c r="W728" s="57"/>
      <c r="X728" s="55" t="n">
        <f aca="false">IF(A728="","",IF(AND(Parameter!$B$21="Ja",ISNUMBER(U728)),U728,IF(IFERROR(VLOOKUP(D728,Parameter!$A$35:$C$64,2,0),"Nein")="2+3",IF(ISNUMBER(SEARCH("grosser Artikel",BM728)),2,IFERROR(VLOOKUP(BP728,Parameter!$F$35:$G$64,2,0),2)),IF(OR(IFERROR(VLOOKUP(D728,Parameter!$A$35:$C$64,2,0),"Nein")="Nein",IFERROR(VLOOKUP(D728,Parameter!$A$35:$C$64,2,0),"Nein")=""),"-",VLOOKUP(D728,Parameter!$A$35:$C$64,2,0)))))</f>
        <v>2</v>
      </c>
      <c r="Y728" s="62"/>
      <c r="Z728" s="63"/>
      <c r="AA728" s="57" t="n">
        <f aca="false">AP728</f>
        <v>1</v>
      </c>
      <c r="AB728" s="57" t="n">
        <f aca="false">MAX(AP728,G728)</f>
        <v>1</v>
      </c>
      <c r="AC728" s="64"/>
      <c r="AD728" s="57" t="n">
        <f aca="false">IF(LEFT(Cockpit!$C$5,1)="A",G728,IF(BW728=1,BX728,IF(LEFT(Cockpit!$C$5,1)="B",AH728,MAX(AH728,G728))))</f>
        <v>0</v>
      </c>
      <c r="AE728" s="57" t="n">
        <f aca="false">IF(BR728=1,0,ROUNDUP(AD728/BQ728,0))</f>
        <v>0</v>
      </c>
      <c r="AF728" s="59" t="n">
        <f aca="false">IF(CD728&gt;0,CD728*MAX(1,AD728/V728),IF(BR728=1,IF(AD728&lt;=0,0,BS728*MAX(1,IF(G728&gt;0,AD728/G728,1))),IF(Q728&gt;0,AE728/Q728,0))/MAX(0.1,N(Parameter!$M$21)))</f>
        <v>0</v>
      </c>
      <c r="AG728" s="57" t="n">
        <f aca="false">AD728*F728</f>
        <v>0</v>
      </c>
      <c r="AH728" s="57" t="n">
        <f aca="false">ROUNDUP(MAX(I728/IF(BV728&gt;0,BV728,MAX(0.1,N(Cockpit!$C$6))),BY728)/BQ728,0)*BQ728</f>
        <v>1</v>
      </c>
      <c r="AI728" s="58" t="n">
        <f aca="false">IF(AF728&gt;0,I728/AF728,-1)</f>
        <v>-1</v>
      </c>
      <c r="AJ728" s="58" t="str">
        <f aca="false">IF(AND(OR(BU728="L1",BU728="L23"),AF728&gt;0),SUMIFS($AF$7:$AF$1576,$BU$7:$BU$1576,BU728,$AI$7:$AI$1576,"&gt;"&amp;AI728)+SUMIFS($AF$7:$AF$1576,$BU$7:$BU$1576,BU728,$AI$7:$AI$1576,AI728,$BO$7:$BO$1576,"&lt;="&amp;BO728),"")</f>
        <v/>
      </c>
      <c r="AK728" s="65" t="n">
        <f aca="false">IF(AJ728="",0,MAX(0,MIN(1,(IF(BU728="L1",Parameter!$E$5,Parameter!$E$6+Parameter!$E$7)-(AJ728-AF728))/AF728)))</f>
        <v>0</v>
      </c>
      <c r="AL728" s="57" t="n">
        <f aca="false">IF(LEFT(Cockpit!$I$5,1)="A",G728,IF(BW728=1,BX728,IF(LEFT(Cockpit!$I$5,1)="B",AP728,MAX(AP728,G728))))</f>
        <v>1</v>
      </c>
      <c r="AM728" s="57" t="n">
        <f aca="false">IF(BR728=1,0,ROUNDUP(AL728/BQ728,0))</f>
        <v>0</v>
      </c>
      <c r="AN728" s="59" t="n">
        <f aca="false">IF(CD728&gt;0,CD728*MAX(1,AL728/V728),IF(BR728=1,IF(AL728&lt;=0,0,BS728*MAX(1,IF(G728&gt;0,AL728/G728,1))),IF(Q728&gt;0,AM728/Q728,0))/MAX(0.1,N(Parameter!$M$21)))</f>
        <v>0.03</v>
      </c>
      <c r="AO728" s="57" t="n">
        <f aca="false">AL728*F728</f>
        <v>0</v>
      </c>
      <c r="AP728" s="57" t="n">
        <f aca="false">ROUNDUP(MAX(I728/IF(BV728&gt;0,BV728,MAX(0.1,N(Cockpit!$I$6))),BY728)/BQ728,0)*BQ728</f>
        <v>1</v>
      </c>
      <c r="AQ728" s="58" t="n">
        <f aca="false">IF(AN728&gt;0,I728/AN728,-1)</f>
        <v>0</v>
      </c>
      <c r="AR728" s="58" t="n">
        <f aca="false">IF(AND(OR(BU728="L1",BU728="L23"),AN728&gt;0),SUMIFS($AN$7:$AN$1576,$BU$7:$BU$1576,BU728,$AQ$7:$AQ$1576,"&gt;"&amp;AQ728)+SUMIFS($AN$7:$AN$1576,$BU$7:$BU$1576,BU728,$AQ$7:$AQ$1576,AQ728,$BO$7:$BO$1576,"&lt;="&amp;BO728),"")</f>
        <v>129.784862408171</v>
      </c>
      <c r="AS728" s="65" t="n">
        <f aca="false">IF(AR728="",0,MAX(0,MIN(1,(IF(BU728="L1",Parameter!$E$5,Parameter!$E$6+Parameter!$E$7)-(AR728-AN728))/AN728)))</f>
        <v>0</v>
      </c>
      <c r="AT728" s="57" t="n">
        <f aca="false">IF(LEFT(Cockpit!$O$5,1)="A",G728,IF(BW728=1,BX728,IF(LEFT(Cockpit!$O$5,1)="B",AX728,MAX(AX728,G728))))</f>
        <v>1</v>
      </c>
      <c r="AU728" s="57" t="n">
        <f aca="false">IF(BR728=1,0,ROUNDUP(AT728/BQ728,0))</f>
        <v>0</v>
      </c>
      <c r="AV728" s="59" t="n">
        <f aca="false">IF(CD728&gt;0,CD728*MAX(1,AT728/V728),IF(BR728=1,IF(AT728&lt;=0,0,BS728*MAX(1,IF(G728&gt;0,AT728/G728,1))),IF(Q728&gt;0,AU728/Q728,0))/MAX(0.1,N(Parameter!$M$21)))</f>
        <v>0.03</v>
      </c>
      <c r="AW728" s="57" t="n">
        <f aca="false">AT728*F728</f>
        <v>0</v>
      </c>
      <c r="AX728" s="57" t="n">
        <f aca="false">ROUNDUP(MAX(I728/IF(BV728&gt;0,BV728,MAX(0.1,N(Cockpit!$O$6))),BY728)/BQ728,0)*BQ728</f>
        <v>1</v>
      </c>
      <c r="AY728" s="58" t="n">
        <f aca="false">IF(AV728&gt;0,I728/AV728,-1)</f>
        <v>0</v>
      </c>
      <c r="AZ728" s="58" t="n">
        <f aca="false">IF(AND(OR(BU728="L1",BU728="L23"),AV728&gt;0),SUMIFS($AV$7:$AV$1576,$BU$7:$BU$1576,BU728,$AY$7:$AY$1576,"&gt;"&amp;AY728)+SUMIFS($AV$7:$AV$1576,$BU$7:$BU$1576,BU728,$AY$7:$AY$1576,AY728,$BO$7:$BO$1576,"&lt;="&amp;BO728),"")</f>
        <v>119.844412857721</v>
      </c>
      <c r="BA728" s="65" t="n">
        <f aca="false">IF(AZ728="",0,MAX(0,MIN(1,(IF(BU728="L1",Parameter!$E$5,Parameter!$E$6+Parameter!$E$7)-(AZ728-AV728))/AV728)))</f>
        <v>0</v>
      </c>
      <c r="BB728" s="55" t="str">
        <f aca="false">IF(AF728&lt;=0,"",IF(BU728="Aussen","Aussenlager",IF(BU728="-","Nicht im Lift",IF(AK728&gt;=1,"Lift",IF(AK728&lt;=0,"Aussenlager","teilweise")))))</f>
        <v/>
      </c>
      <c r="BC728" s="55" t="str">
        <f aca="false">IF(AN728&lt;=0,"",IF(BU728="Aussen","Aussenlager",IF(BU728="-","Nicht im Lift",IF(AS728&gt;=1,"Lift",IF(AS728&lt;=0,"Aussenlager","teilweise")))))</f>
        <v>Aussenlager</v>
      </c>
      <c r="BD728" s="55" t="str">
        <f aca="false">IF(AV728&lt;=0,"",IF(BU728="Aussen","Aussenlager",IF(BU728="-","Nicht im Lift",IF(BA728&gt;=1,"Lift",IF(BA728&lt;=0,"Aussenlager","teilweise")))))</f>
        <v>Aussenlager</v>
      </c>
      <c r="BE728" s="55" t="str">
        <f aca="false">IF(A728="","",IF(BN728=1,"Neu; ","")&amp;IF(AND(BN728=0,BI728&lt;0),"negativer Bestand (Export "&amp;BI728&amp;"); ","")&amp;IF(I728&lt;=0,"Kein Verbrauch; ","")&amp;IF(CD728&gt;0,"Lift "&amp;U728&amp;" lt. Liftbericht (Fach "&amp;V728&amp;" Stk); ",IF(BR728=1,"Lose – Fläche geschätzt; ",""))&amp;IF(G728&gt;AP728,"Überbestand "&amp;ROUND(G728-AP728,0)&amp;" Stk / CHF "&amp;ROUND((G728-AP728)*F728,0)&amp;"; ","")&amp;IF(AND(BW728=1,BX728&lt;BY728),"MAX &lt; MB+LG; ","")&amp;IF(AND(CC728&gt;0,CB728*10&gt;CC728),"zu hoch für Tablar; ","")&amp;IF(AND(BN728=0,OR(BW728=1,Y728&lt;&gt;"",S728&lt;&gt;"",T728&lt;&gt;"",Z728&lt;&gt;"")),"manuell übersteuert; ","")&amp;IF(AND(BR728=0,Q728=0),"Gebinde unbekannt / Stellmass fehlt; ","")&amp;IF(AND(BR728=0,N(T728)&lt;=0,N(P728)&lt;=0),"Menge pro Gebinde fehlt (Ist = 1 Gebinde); ","")&amp;BM728)</f>
        <v>negativer Bestand (Export -1); Kein Verbrauch; Lose – Fläche geschätzt; </v>
      </c>
      <c r="BF728" s="55"/>
      <c r="BG728" s="55"/>
      <c r="BH728" s="62"/>
      <c r="BI728" s="57" t="n">
        <v>-1</v>
      </c>
      <c r="BJ728" s="57" t="n">
        <v>1</v>
      </c>
      <c r="BK728" s="56" t="n">
        <v>0</v>
      </c>
      <c r="BL728" s="57" t="n">
        <v>0</v>
      </c>
      <c r="BM728" s="55"/>
      <c r="BN728" s="60" t="n">
        <v>0</v>
      </c>
      <c r="BO728" s="60" t="n">
        <v>728</v>
      </c>
      <c r="BP728" s="55" t="str">
        <f aca="false">IF(S728&lt;&gt;"",UPPER(TRIM(S728)),IF(O728="","LOSE",O728))</f>
        <v>LOSE</v>
      </c>
      <c r="BQ728" s="57" t="n">
        <f aca="false">IF(BP728="LOSE",1,IF(N(T728)&gt;0,T728,IF(N(P728)&gt;0,P728,MAX(1,G728))))</f>
        <v>1</v>
      </c>
      <c r="BR728" s="60" t="n">
        <f aca="false">IF(BP728="LOSE",1,0)</f>
        <v>1</v>
      </c>
      <c r="BS728" s="59" t="n">
        <f aca="false">IF(BR728=0,0,IF(N(R728)&gt;0,R728,IFERROR(VLOOKUP(D728,Parameter!$A$35:$C$64,3,0)+0,0)))</f>
        <v>0.03</v>
      </c>
      <c r="BT728" s="55" t="n">
        <f aca="false">IF(Y728&lt;&gt;"",Y728,X728)</f>
        <v>2</v>
      </c>
      <c r="BU728" s="55" t="str">
        <f aca="false">IF(BT728=1,"L1",IF(OR(BT728=2,BT728=3),"L23",IF(BT728="Aussen","Aussen","-")))</f>
        <v>L23</v>
      </c>
      <c r="BV728" s="66" t="n">
        <f aca="false">IF(N(Z728)&gt;0,Z728,0)</f>
        <v>0</v>
      </c>
      <c r="BW728" s="60" t="n">
        <f aca="false">IF(ISNUMBER(AC728),1,0)</f>
        <v>0</v>
      </c>
      <c r="BX728" s="57" t="n">
        <f aca="false">N(AC728)</f>
        <v>0</v>
      </c>
      <c r="BY728" s="57" t="n">
        <f aca="false">N(L728)+N(M728)</f>
        <v>1</v>
      </c>
      <c r="BZ728" s="57" t="n">
        <f aca="false">ROUNDUP(G728/BQ728,0)</f>
        <v>0</v>
      </c>
      <c r="CA728" s="57" t="n">
        <f aca="false">ROUNDUP(BX728/BQ728,0)</f>
        <v>0</v>
      </c>
      <c r="CB728" s="60" t="n">
        <f aca="false">IF(BR728=1,0,IFERROR(VLOOKUP(BP728,'Gebinde-Kategorie'!$A$5:$M$45,5,0)+0,0))</f>
        <v>0</v>
      </c>
      <c r="CC728" s="60" t="n">
        <f aca="false">IFERROR(IF(OR(BT728=1,BT728=2,BT728=3),N(INDEX(Parameter!$I$5:$I$7,BT728)),0),0)</f>
        <v>0</v>
      </c>
      <c r="CD728" s="59" t="n">
        <f aca="false">IF(AND(Parameter!$B$21="Ja",ISNUMBER(U728),N(V728)&gt;0),IFERROR(N(INDEX(Parameter!$L$5:$L$7,U728))*INDEX(Parameter!$E$5:$E$7,U728)*V728/SUMIFS($V$7:$V$1576,$U$7:$U$1576,U728),0),0)</f>
        <v>0</v>
      </c>
    </row>
    <row r="729" customFormat="false" ht="15" hidden="false" customHeight="false" outlineLevel="0" collapsed="false">
      <c r="A729" s="55" t="s">
        <v>1434</v>
      </c>
      <c r="B729" s="55" t="s">
        <v>1043</v>
      </c>
      <c r="C729" s="55" t="s">
        <v>160</v>
      </c>
      <c r="D729" s="55" t="s">
        <v>839</v>
      </c>
      <c r="E729" s="55" t="s">
        <v>210</v>
      </c>
      <c r="F729" s="56" t="n">
        <v>4.4</v>
      </c>
      <c r="G729" s="57" t="n">
        <f aca="false">MAX(0,IF(AND(Parameter!$B$21="Ja",ISNUMBER(W729)),W729,IF(Parameter!$B$20="Jahresanfang 2025 + Export",BJ729+BI729,BI729)))</f>
        <v>0</v>
      </c>
      <c r="H729" s="57" t="n">
        <f aca="false">G729*F729</f>
        <v>0</v>
      </c>
      <c r="I729" s="57" t="n">
        <f aca="false">BL729*Parameter!$B$18</f>
        <v>24</v>
      </c>
      <c r="J729" s="58" t="n">
        <v>0</v>
      </c>
      <c r="K729" s="59" t="n">
        <v>0</v>
      </c>
      <c r="L729" s="57" t="n">
        <v>0</v>
      </c>
      <c r="M729" s="57" t="n">
        <v>12</v>
      </c>
      <c r="N729" s="60" t="n">
        <v>14</v>
      </c>
      <c r="O729" s="55" t="s">
        <v>293</v>
      </c>
      <c r="P729" s="57" t="n">
        <v>24</v>
      </c>
      <c r="Q729" s="60" t="n">
        <f aca="false">IF(BR729=1,0,IFERROR(VLOOKUP(BP729,'Gebinde-Kategorie'!$A$5:$M$45,13,0)+0,0))</f>
        <v>26</v>
      </c>
      <c r="R729" s="61"/>
      <c r="S729" s="62"/>
      <c r="T729" s="62"/>
      <c r="U729" s="55"/>
      <c r="V729" s="57"/>
      <c r="W729" s="57"/>
      <c r="X729" s="55" t="str">
        <f aca="false">IF(A729="","",IF(AND(Parameter!$B$21="Ja",ISNUMBER(U729)),U729,IF(IFERROR(VLOOKUP(D729,Parameter!$A$35:$C$64,2,0),"Nein")="2+3",IF(ISNUMBER(SEARCH("grosser Artikel",BM729)),2,IFERROR(VLOOKUP(BP729,Parameter!$F$35:$G$64,2,0),2)),IF(OR(IFERROR(VLOOKUP(D729,Parameter!$A$35:$C$64,2,0),"Nein")="Nein",IFERROR(VLOOKUP(D729,Parameter!$A$35:$C$64,2,0),"Nein")=""),"-",VLOOKUP(D729,Parameter!$A$35:$C$64,2,0)))))</f>
        <v>-</v>
      </c>
      <c r="Y729" s="62"/>
      <c r="Z729" s="63"/>
      <c r="AA729" s="57" t="n">
        <f aca="false">AP729</f>
        <v>24</v>
      </c>
      <c r="AB729" s="57" t="n">
        <f aca="false">MAX(AP729,G729)</f>
        <v>24</v>
      </c>
      <c r="AC729" s="64"/>
      <c r="AD729" s="57" t="n">
        <f aca="false">IF(LEFT(Cockpit!$C$5,1)="A",G729,IF(BW729=1,BX729,IF(LEFT(Cockpit!$C$5,1)="B",AH729,MAX(AH729,G729))))</f>
        <v>0</v>
      </c>
      <c r="AE729" s="57" t="n">
        <f aca="false">IF(BR729=1,0,ROUNDUP(AD729/BQ729,0))</f>
        <v>0</v>
      </c>
      <c r="AF729" s="59" t="n">
        <f aca="false">IF(CD729&gt;0,CD729*MAX(1,AD729/V729),IF(BR729=1,IF(AD729&lt;=0,0,BS729*MAX(1,IF(G729&gt;0,AD729/G729,1))),IF(Q729&gt;0,AE729/Q729,0))/MAX(0.1,N(Parameter!$M$21)))</f>
        <v>0</v>
      </c>
      <c r="AG729" s="57" t="n">
        <f aca="false">AD729*F729</f>
        <v>0</v>
      </c>
      <c r="AH729" s="57" t="n">
        <f aca="false">ROUNDUP(MAX(I729/IF(BV729&gt;0,BV729,MAX(0.1,N(Cockpit!$C$6))),BY729)/BQ729,0)*BQ729</f>
        <v>24</v>
      </c>
      <c r="AI729" s="58" t="n">
        <f aca="false">IF(AF729&gt;0,I729/AF729,-1)</f>
        <v>-1</v>
      </c>
      <c r="AJ729" s="58" t="str">
        <f aca="false">IF(AND(OR(BU729="L1",BU729="L23"),AF729&gt;0),SUMIFS($AF$7:$AF$1576,$BU$7:$BU$1576,BU729,$AI$7:$AI$1576,"&gt;"&amp;AI729)+SUMIFS($AF$7:$AF$1576,$BU$7:$BU$1576,BU729,$AI$7:$AI$1576,AI729,$BO$7:$BO$1576,"&lt;="&amp;BO729),"")</f>
        <v/>
      </c>
      <c r="AK729" s="65" t="n">
        <f aca="false">IF(AJ729="",0,MAX(0,MIN(1,(IF(BU729="L1",Parameter!$E$5,Parameter!$E$6+Parameter!$E$7)-(AJ729-AF729))/AF729)))</f>
        <v>0</v>
      </c>
      <c r="AL729" s="57" t="n">
        <f aca="false">IF(LEFT(Cockpit!$I$5,1)="A",G729,IF(BW729=1,BX729,IF(LEFT(Cockpit!$I$5,1)="B",AP729,MAX(AP729,G729))))</f>
        <v>24</v>
      </c>
      <c r="AM729" s="57" t="n">
        <f aca="false">IF(BR729=1,0,ROUNDUP(AL729/BQ729,0))</f>
        <v>1</v>
      </c>
      <c r="AN729" s="59" t="n">
        <f aca="false">IF(CD729&gt;0,CD729*MAX(1,AL729/V729),IF(BR729=1,IF(AL729&lt;=0,0,BS729*MAX(1,IF(G729&gt;0,AL729/G729,1))),IF(Q729&gt;0,AM729/Q729,0))/MAX(0.1,N(Parameter!$M$21)))</f>
        <v>0.0384615384615385</v>
      </c>
      <c r="AO729" s="57" t="n">
        <f aca="false">AL729*F729</f>
        <v>105.6</v>
      </c>
      <c r="AP729" s="57" t="n">
        <f aca="false">ROUNDUP(MAX(I729/IF(BV729&gt;0,BV729,MAX(0.1,N(Cockpit!$I$6))),BY729)/BQ729,0)*BQ729</f>
        <v>24</v>
      </c>
      <c r="AQ729" s="58" t="n">
        <f aca="false">IF(AN729&gt;0,I729/AN729,-1)</f>
        <v>624</v>
      </c>
      <c r="AR729" s="58" t="str">
        <f aca="false">IF(AND(OR(BU729="L1",BU729="L23"),AN729&gt;0),SUMIFS($AN$7:$AN$1576,$BU$7:$BU$1576,BU729,$AQ$7:$AQ$1576,"&gt;"&amp;AQ729)+SUMIFS($AN$7:$AN$1576,$BU$7:$BU$1576,BU729,$AQ$7:$AQ$1576,AQ729,$BO$7:$BO$1576,"&lt;="&amp;BO729),"")</f>
        <v/>
      </c>
      <c r="AS729" s="65" t="n">
        <f aca="false">IF(AR729="",0,MAX(0,MIN(1,(IF(BU729="L1",Parameter!$E$5,Parameter!$E$6+Parameter!$E$7)-(AR729-AN729))/AN729)))</f>
        <v>0</v>
      </c>
      <c r="AT729" s="57" t="n">
        <f aca="false">IF(LEFT(Cockpit!$O$5,1)="A",G729,IF(BW729=1,BX729,IF(LEFT(Cockpit!$O$5,1)="B",AX729,MAX(AX729,G729))))</f>
        <v>24</v>
      </c>
      <c r="AU729" s="57" t="n">
        <f aca="false">IF(BR729=1,0,ROUNDUP(AT729/BQ729,0))</f>
        <v>1</v>
      </c>
      <c r="AV729" s="59" t="n">
        <f aca="false">IF(CD729&gt;0,CD729*MAX(1,AT729/V729),IF(BR729=1,IF(AT729&lt;=0,0,BS729*MAX(1,IF(G729&gt;0,AT729/G729,1))),IF(Q729&gt;0,AU729/Q729,0))/MAX(0.1,N(Parameter!$M$21)))</f>
        <v>0.0384615384615385</v>
      </c>
      <c r="AW729" s="57" t="n">
        <f aca="false">AT729*F729</f>
        <v>105.6</v>
      </c>
      <c r="AX729" s="57" t="n">
        <f aca="false">ROUNDUP(MAX(I729/IF(BV729&gt;0,BV729,MAX(0.1,N(Cockpit!$O$6))),BY729)/BQ729,0)*BQ729</f>
        <v>24</v>
      </c>
      <c r="AY729" s="58" t="n">
        <f aca="false">IF(AV729&gt;0,I729/AV729,-1)</f>
        <v>624</v>
      </c>
      <c r="AZ729" s="58" t="str">
        <f aca="false">IF(AND(OR(BU729="L1",BU729="L23"),AV729&gt;0),SUMIFS($AV$7:$AV$1576,$BU$7:$BU$1576,BU729,$AY$7:$AY$1576,"&gt;"&amp;AY729)+SUMIFS($AV$7:$AV$1576,$BU$7:$BU$1576,BU729,$AY$7:$AY$1576,AY729,$BO$7:$BO$1576,"&lt;="&amp;BO729),"")</f>
        <v/>
      </c>
      <c r="BA729" s="65" t="n">
        <f aca="false">IF(AZ729="",0,MAX(0,MIN(1,(IF(BU729="L1",Parameter!$E$5,Parameter!$E$6+Parameter!$E$7)-(AZ729-AV729))/AV729)))</f>
        <v>0</v>
      </c>
      <c r="BB729" s="55" t="str">
        <f aca="false">IF(AF729&lt;=0,"",IF(BU729="Aussen","Aussenlager",IF(BU729="-","Nicht im Lift",IF(AK729&gt;=1,"Lift",IF(AK729&lt;=0,"Aussenlager","teilweise")))))</f>
        <v/>
      </c>
      <c r="BC729" s="55" t="str">
        <f aca="false">IF(AN729&lt;=0,"",IF(BU729="Aussen","Aussenlager",IF(BU729="-","Nicht im Lift",IF(AS729&gt;=1,"Lift",IF(AS729&lt;=0,"Aussenlager","teilweise")))))</f>
        <v>Nicht im Lift</v>
      </c>
      <c r="BD729" s="55" t="str">
        <f aca="false">IF(AV729&lt;=0,"",IF(BU729="Aussen","Aussenlager",IF(BU729="-","Nicht im Lift",IF(BA729&gt;=1,"Lift",IF(BA729&lt;=0,"Aussenlager","teilweise")))))</f>
        <v>Nicht im Lift</v>
      </c>
      <c r="BE729" s="55" t="str">
        <f aca="false">IF(A729="","",IF(BN729=1,"Neu; ","")&amp;IF(AND(BN729=0,BI729&lt;0),"negativer Bestand (Export "&amp;BI729&amp;"); ","")&amp;IF(I729&lt;=0,"Kein Verbrauch; ","")&amp;IF(CD729&gt;0,"Lift "&amp;U729&amp;" lt. Liftbericht (Fach "&amp;V729&amp;" Stk); ",IF(BR729=1,"Lose – Fläche geschätzt; ",""))&amp;IF(G729&gt;AP729,"Überbestand "&amp;ROUND(G729-AP729,0)&amp;" Stk / CHF "&amp;ROUND((G729-AP729)*F729,0)&amp;"; ","")&amp;IF(AND(BW729=1,BX729&lt;BY729),"MAX &lt; MB+LG; ","")&amp;IF(AND(CC729&gt;0,CB729*10&gt;CC729),"zu hoch für Tablar; ","")&amp;IF(AND(BN729=0,OR(BW729=1,Y729&lt;&gt;"",S729&lt;&gt;"",T729&lt;&gt;"",Z729&lt;&gt;"")),"manuell übersteuert; ","")&amp;IF(AND(BR729=0,Q729=0),"Gebinde unbekannt / Stellmass fehlt; ","")&amp;IF(AND(BR729=0,N(T729)&lt;=0,N(P729)&lt;=0),"Menge pro Gebinde fehlt (Ist = 1 Gebinde); ","")&amp;BM729)</f>
        <v/>
      </c>
      <c r="BF729" s="55"/>
      <c r="BG729" s="55"/>
      <c r="BH729" s="62"/>
      <c r="BI729" s="57" t="n">
        <v>0</v>
      </c>
      <c r="BJ729" s="57" t="n">
        <v>0</v>
      </c>
      <c r="BK729" s="56" t="n">
        <v>0</v>
      </c>
      <c r="BL729" s="57" t="n">
        <v>24</v>
      </c>
      <c r="BM729" s="55"/>
      <c r="BN729" s="60" t="n">
        <v>0</v>
      </c>
      <c r="BO729" s="60" t="n">
        <v>729</v>
      </c>
      <c r="BP729" s="55" t="str">
        <f aca="false">IF(S729&lt;&gt;"",UPPER(TRIM(S729)),IF(O729="","LOSE",O729))</f>
        <v>S51</v>
      </c>
      <c r="BQ729" s="57" t="n">
        <f aca="false">IF(BP729="LOSE",1,IF(N(T729)&gt;0,T729,IF(N(P729)&gt;0,P729,MAX(1,G729))))</f>
        <v>24</v>
      </c>
      <c r="BR729" s="60" t="n">
        <f aca="false">IF(BP729="LOSE",1,0)</f>
        <v>0</v>
      </c>
      <c r="BS729" s="59" t="n">
        <f aca="false">IF(BR729=0,0,IF(N(R729)&gt;0,R729,IFERROR(VLOOKUP(D729,Parameter!$A$35:$C$64,3,0)+0,0)))</f>
        <v>0</v>
      </c>
      <c r="BT729" s="55" t="str">
        <f aca="false">IF(Y729&lt;&gt;"",Y729,X729)</f>
        <v>-</v>
      </c>
      <c r="BU729" s="55" t="str">
        <f aca="false">IF(BT729=1,"L1",IF(OR(BT729=2,BT729=3),"L23",IF(BT729="Aussen","Aussen","-")))</f>
        <v>-</v>
      </c>
      <c r="BV729" s="66" t="n">
        <f aca="false">IF(N(Z729)&gt;0,Z729,0)</f>
        <v>0</v>
      </c>
      <c r="BW729" s="60" t="n">
        <f aca="false">IF(ISNUMBER(AC729),1,0)</f>
        <v>0</v>
      </c>
      <c r="BX729" s="57" t="n">
        <f aca="false">N(AC729)</f>
        <v>0</v>
      </c>
      <c r="BY729" s="57" t="n">
        <f aca="false">N(L729)+N(M729)</f>
        <v>12</v>
      </c>
      <c r="BZ729" s="57" t="n">
        <f aca="false">ROUNDUP(G729/BQ729,0)</f>
        <v>0</v>
      </c>
      <c r="CA729" s="57" t="n">
        <f aca="false">ROUNDUP(BX729/BQ729,0)</f>
        <v>0</v>
      </c>
      <c r="CB729" s="60" t="n">
        <f aca="false">IF(BR729=1,0,IFERROR(VLOOKUP(BP729,'Gebinde-Kategorie'!$A$5:$M$45,5,0)+0,0))</f>
        <v>11</v>
      </c>
      <c r="CC729" s="60" t="n">
        <f aca="false">IFERROR(IF(OR(BT729=1,BT729=2,BT729=3),N(INDEX(Parameter!$I$5:$I$7,BT729)),0),0)</f>
        <v>0</v>
      </c>
      <c r="CD729" s="59" t="n">
        <f aca="false">IF(AND(Parameter!$B$21="Ja",ISNUMBER(U729),N(V729)&gt;0),IFERROR(N(INDEX(Parameter!$L$5:$L$7,U729))*INDEX(Parameter!$E$5:$E$7,U729)*V729/SUMIFS($V$7:$V$1576,$U$7:$U$1576,U729),0),0)</f>
        <v>0</v>
      </c>
    </row>
    <row r="730" customFormat="false" ht="15" hidden="false" customHeight="false" outlineLevel="0" collapsed="false">
      <c r="A730" s="55" t="s">
        <v>1435</v>
      </c>
      <c r="B730" s="55" t="s">
        <v>1436</v>
      </c>
      <c r="C730" s="55" t="s">
        <v>160</v>
      </c>
      <c r="D730" s="55" t="s">
        <v>178</v>
      </c>
      <c r="E730" s="55" t="s">
        <v>210</v>
      </c>
      <c r="F730" s="56" t="n">
        <v>70.7</v>
      </c>
      <c r="G730" s="57" t="n">
        <f aca="false">MAX(0,IF(AND(Parameter!$B$21="Ja",ISNUMBER(W730)),W730,IF(Parameter!$B$20="Jahresanfang 2025 + Export",BJ730+BI730,BI730)))</f>
        <v>0</v>
      </c>
      <c r="H730" s="57" t="n">
        <f aca="false">G730*F730</f>
        <v>0</v>
      </c>
      <c r="I730" s="57" t="n">
        <f aca="false">BL730*Parameter!$B$18</f>
        <v>1</v>
      </c>
      <c r="J730" s="58" t="n">
        <v>172</v>
      </c>
      <c r="K730" s="59" t="n">
        <v>0.00581395348837209</v>
      </c>
      <c r="L730" s="57" t="n">
        <v>0</v>
      </c>
      <c r="M730" s="57" t="n">
        <v>10</v>
      </c>
      <c r="N730" s="60" t="n">
        <v>105</v>
      </c>
      <c r="O730" s="55" t="s">
        <v>293</v>
      </c>
      <c r="P730" s="57" t="n">
        <v>181</v>
      </c>
      <c r="Q730" s="60" t="n">
        <f aca="false">IF(BR730=1,0,IFERROR(VLOOKUP(BP730,'Gebinde-Kategorie'!$A$5:$M$45,13,0)+0,0))</f>
        <v>26</v>
      </c>
      <c r="R730" s="61"/>
      <c r="S730" s="62"/>
      <c r="T730" s="62"/>
      <c r="U730" s="55"/>
      <c r="V730" s="57"/>
      <c r="W730" s="57"/>
      <c r="X730" s="55" t="n">
        <f aca="false">IF(A730="","",IF(AND(Parameter!$B$21="Ja",ISNUMBER(U730)),U730,IF(IFERROR(VLOOKUP(D730,Parameter!$A$35:$C$64,2,0),"Nein")="2+3",IF(ISNUMBER(SEARCH("grosser Artikel",BM730)),2,IFERROR(VLOOKUP(BP730,Parameter!$F$35:$G$64,2,0),2)),IF(OR(IFERROR(VLOOKUP(D730,Parameter!$A$35:$C$64,2,0),"Nein")="Nein",IFERROR(VLOOKUP(D730,Parameter!$A$35:$C$64,2,0),"Nein")=""),"-",VLOOKUP(D730,Parameter!$A$35:$C$64,2,0)))))</f>
        <v>3</v>
      </c>
      <c r="Y730" s="62"/>
      <c r="Z730" s="63"/>
      <c r="AA730" s="57" t="n">
        <f aca="false">AP730</f>
        <v>181</v>
      </c>
      <c r="AB730" s="57" t="n">
        <f aca="false">MAX(AP730,G730)</f>
        <v>181</v>
      </c>
      <c r="AC730" s="64"/>
      <c r="AD730" s="57" t="n">
        <f aca="false">IF(LEFT(Cockpit!$C$5,1)="A",G730,IF(BW730=1,BX730,IF(LEFT(Cockpit!$C$5,1)="B",AH730,MAX(AH730,G730))))</f>
        <v>0</v>
      </c>
      <c r="AE730" s="57" t="n">
        <f aca="false">IF(BR730=1,0,ROUNDUP(AD730/BQ730,0))</f>
        <v>0</v>
      </c>
      <c r="AF730" s="59" t="n">
        <f aca="false">IF(CD730&gt;0,CD730*MAX(1,AD730/V730),IF(BR730=1,IF(AD730&lt;=0,0,BS730*MAX(1,IF(G730&gt;0,AD730/G730,1))),IF(Q730&gt;0,AE730/Q730,0))/MAX(0.1,N(Parameter!$M$21)))</f>
        <v>0</v>
      </c>
      <c r="AG730" s="57" t="n">
        <f aca="false">AD730*F730</f>
        <v>0</v>
      </c>
      <c r="AH730" s="57" t="n">
        <f aca="false">ROUNDUP(MAX(I730/IF(BV730&gt;0,BV730,MAX(0.1,N(Cockpit!$C$6))),BY730)/BQ730,0)*BQ730</f>
        <v>181</v>
      </c>
      <c r="AI730" s="58" t="n">
        <f aca="false">IF(AF730&gt;0,I730/AF730,-1)</f>
        <v>-1</v>
      </c>
      <c r="AJ730" s="58" t="str">
        <f aca="false">IF(AND(OR(BU730="L1",BU730="L23"),AF730&gt;0),SUMIFS($AF$7:$AF$1576,$BU$7:$BU$1576,BU730,$AI$7:$AI$1576,"&gt;"&amp;AI730)+SUMIFS($AF$7:$AF$1576,$BU$7:$BU$1576,BU730,$AI$7:$AI$1576,AI730,$BO$7:$BO$1576,"&lt;="&amp;BO730),"")</f>
        <v/>
      </c>
      <c r="AK730" s="65" t="n">
        <f aca="false">IF(AJ730="",0,MAX(0,MIN(1,(IF(BU730="L1",Parameter!$E$5,Parameter!$E$6+Parameter!$E$7)-(AJ730-AF730))/AF730)))</f>
        <v>0</v>
      </c>
      <c r="AL730" s="57" t="n">
        <f aca="false">IF(LEFT(Cockpit!$I$5,1)="A",G730,IF(BW730=1,BX730,IF(LEFT(Cockpit!$I$5,1)="B",AP730,MAX(AP730,G730))))</f>
        <v>181</v>
      </c>
      <c r="AM730" s="57" t="n">
        <f aca="false">IF(BR730=1,0,ROUNDUP(AL730/BQ730,0))</f>
        <v>1</v>
      </c>
      <c r="AN730" s="59" t="n">
        <f aca="false">IF(CD730&gt;0,CD730*MAX(1,AL730/V730),IF(BR730=1,IF(AL730&lt;=0,0,BS730*MAX(1,IF(G730&gt;0,AL730/G730,1))),IF(Q730&gt;0,AM730/Q730,0))/MAX(0.1,N(Parameter!$M$21)))</f>
        <v>0.0384615384615385</v>
      </c>
      <c r="AO730" s="57" t="n">
        <f aca="false">AL730*F730</f>
        <v>12796.7</v>
      </c>
      <c r="AP730" s="57" t="n">
        <f aca="false">ROUNDUP(MAX(I730/IF(BV730&gt;0,BV730,MAX(0.1,N(Cockpit!$I$6))),BY730)/BQ730,0)*BQ730</f>
        <v>181</v>
      </c>
      <c r="AQ730" s="58" t="n">
        <f aca="false">IF(AN730&gt;0,I730/AN730,-1)</f>
        <v>26</v>
      </c>
      <c r="AR730" s="58" t="n">
        <f aca="false">IF(AND(OR(BU730="L1",BU730="L23"),AN730&gt;0),SUMIFS($AN$7:$AN$1576,$BU$7:$BU$1576,BU730,$AQ$7:$AQ$1576,"&gt;"&amp;AQ730)+SUMIFS($AN$7:$AN$1576,$BU$7:$BU$1576,BU730,$AQ$7:$AQ$1576,AQ730,$BO$7:$BO$1576,"&lt;="&amp;BO730),"")</f>
        <v>97.2001268963881</v>
      </c>
      <c r="AS730" s="65" t="n">
        <f aca="false">IF(AR730="",0,MAX(0,MIN(1,(IF(BU730="L1",Parameter!$E$5,Parameter!$E$6+Parameter!$E$7)-(AR730-AN730))/AN730)))</f>
        <v>1</v>
      </c>
      <c r="AT730" s="57" t="n">
        <f aca="false">IF(LEFT(Cockpit!$O$5,1)="A",G730,IF(BW730=1,BX730,IF(LEFT(Cockpit!$O$5,1)="B",AX730,MAX(AX730,G730))))</f>
        <v>181</v>
      </c>
      <c r="AU730" s="57" t="n">
        <f aca="false">IF(BR730=1,0,ROUNDUP(AT730/BQ730,0))</f>
        <v>1</v>
      </c>
      <c r="AV730" s="59" t="n">
        <f aca="false">IF(CD730&gt;0,CD730*MAX(1,AT730/V730),IF(BR730=1,IF(AT730&lt;=0,0,BS730*MAX(1,IF(G730&gt;0,AT730/G730,1))),IF(Q730&gt;0,AU730/Q730,0))/MAX(0.1,N(Parameter!$M$21)))</f>
        <v>0.0384615384615385</v>
      </c>
      <c r="AW730" s="57" t="n">
        <f aca="false">AT730*F730</f>
        <v>12796.7</v>
      </c>
      <c r="AX730" s="57" t="n">
        <f aca="false">ROUNDUP(MAX(I730/IF(BV730&gt;0,BV730,MAX(0.1,N(Cockpit!$O$6))),BY730)/BQ730,0)*BQ730</f>
        <v>181</v>
      </c>
      <c r="AY730" s="58" t="n">
        <f aca="false">IF(AV730&gt;0,I730/AV730,-1)</f>
        <v>26</v>
      </c>
      <c r="AZ730" s="58" t="n">
        <f aca="false">IF(AND(OR(BU730="L1",BU730="L23"),AV730&gt;0),SUMIFS($AV$7:$AV$1576,$BU$7:$BU$1576,BU730,$AY$7:$AY$1576,"&gt;"&amp;AY730)+SUMIFS($AV$7:$AV$1576,$BU$7:$BU$1576,BU730,$AY$7:$AY$1576,AY730,$BO$7:$BO$1576,"&lt;="&amp;BO730),"")</f>
        <v>88.0096773459385</v>
      </c>
      <c r="BA730" s="65" t="n">
        <f aca="false">IF(AZ730="",0,MAX(0,MIN(1,(IF(BU730="L1",Parameter!$E$5,Parameter!$E$6+Parameter!$E$7)-(AZ730-AV730))/AV730)))</f>
        <v>1</v>
      </c>
      <c r="BB730" s="55" t="str">
        <f aca="false">IF(AF730&lt;=0,"",IF(BU730="Aussen","Aussenlager",IF(BU730="-","Nicht im Lift",IF(AK730&gt;=1,"Lift",IF(AK730&lt;=0,"Aussenlager","teilweise")))))</f>
        <v/>
      </c>
      <c r="BC730" s="55" t="str">
        <f aca="false">IF(AN730&lt;=0,"",IF(BU730="Aussen","Aussenlager",IF(BU730="-","Nicht im Lift",IF(AS730&gt;=1,"Lift",IF(AS730&lt;=0,"Aussenlager","teilweise")))))</f>
        <v>Lift</v>
      </c>
      <c r="BD730" s="55" t="str">
        <f aca="false">IF(AV730&lt;=0,"",IF(BU730="Aussen","Aussenlager",IF(BU730="-","Nicht im Lift",IF(BA730&gt;=1,"Lift",IF(BA730&lt;=0,"Aussenlager","teilweise")))))</f>
        <v>Lift</v>
      </c>
      <c r="BE730" s="55" t="str">
        <f aca="false">IF(A730="","",IF(BN730=1,"Neu; ","")&amp;IF(AND(BN730=0,BI730&lt;0),"negativer Bestand (Export "&amp;BI730&amp;"); ","")&amp;IF(I730&lt;=0,"Kein Verbrauch; ","")&amp;IF(CD730&gt;0,"Lift "&amp;U730&amp;" lt. Liftbericht (Fach "&amp;V730&amp;" Stk); ",IF(BR730=1,"Lose – Fläche geschätzt; ",""))&amp;IF(G730&gt;AP730,"Überbestand "&amp;ROUND(G730-AP730,0)&amp;" Stk / CHF "&amp;ROUND((G730-AP730)*F730,0)&amp;"; ","")&amp;IF(AND(BW730=1,BX730&lt;BY730),"MAX &lt; MB+LG; ","")&amp;IF(AND(CC730&gt;0,CB730*10&gt;CC730),"zu hoch für Tablar; ","")&amp;IF(AND(BN730=0,OR(BW730=1,Y730&lt;&gt;"",S730&lt;&gt;"",T730&lt;&gt;"",Z730&lt;&gt;"")),"manuell übersteuert; ","")&amp;IF(AND(BR730=0,Q730=0),"Gebinde unbekannt / Stellmass fehlt; ","")&amp;IF(AND(BR730=0,N(T730)&lt;=0,N(P730)&lt;=0),"Menge pro Gebinde fehlt (Ist = 1 Gebinde); ","")&amp;BM730)</f>
        <v>Überbestand</v>
      </c>
      <c r="BF730" s="55"/>
      <c r="BG730" s="55"/>
      <c r="BH730" s="62"/>
      <c r="BI730" s="57" t="n">
        <v>0</v>
      </c>
      <c r="BJ730" s="57" t="n">
        <v>172</v>
      </c>
      <c r="BK730" s="56" t="n">
        <v>0</v>
      </c>
      <c r="BL730" s="57" t="n">
        <v>1</v>
      </c>
      <c r="BM730" s="55" t="s">
        <v>382</v>
      </c>
      <c r="BN730" s="60" t="n">
        <v>0</v>
      </c>
      <c r="BO730" s="60" t="n">
        <v>730</v>
      </c>
      <c r="BP730" s="55" t="str">
        <f aca="false">IF(S730&lt;&gt;"",UPPER(TRIM(S730)),IF(O730="","LOSE",O730))</f>
        <v>S51</v>
      </c>
      <c r="BQ730" s="57" t="n">
        <f aca="false">IF(BP730="LOSE",1,IF(N(T730)&gt;0,T730,IF(N(P730)&gt;0,P730,MAX(1,G730))))</f>
        <v>181</v>
      </c>
      <c r="BR730" s="60" t="n">
        <f aca="false">IF(BP730="LOSE",1,0)</f>
        <v>0</v>
      </c>
      <c r="BS730" s="59" t="n">
        <f aca="false">IF(BR730=0,0,IF(N(R730)&gt;0,R730,IFERROR(VLOOKUP(D730,Parameter!$A$35:$C$64,3,0)+0,0)))</f>
        <v>0</v>
      </c>
      <c r="BT730" s="55" t="n">
        <f aca="false">IF(Y730&lt;&gt;"",Y730,X730)</f>
        <v>3</v>
      </c>
      <c r="BU730" s="55" t="str">
        <f aca="false">IF(BT730=1,"L1",IF(OR(BT730=2,BT730=3),"L23",IF(BT730="Aussen","Aussen","-")))</f>
        <v>L23</v>
      </c>
      <c r="BV730" s="66" t="n">
        <f aca="false">IF(N(Z730)&gt;0,Z730,0)</f>
        <v>0</v>
      </c>
      <c r="BW730" s="60" t="n">
        <f aca="false">IF(ISNUMBER(AC730),1,0)</f>
        <v>0</v>
      </c>
      <c r="BX730" s="57" t="n">
        <f aca="false">N(AC730)</f>
        <v>0</v>
      </c>
      <c r="BY730" s="57" t="n">
        <f aca="false">N(L730)+N(M730)</f>
        <v>10</v>
      </c>
      <c r="BZ730" s="57" t="n">
        <f aca="false">ROUNDUP(G730/BQ730,0)</f>
        <v>0</v>
      </c>
      <c r="CA730" s="57" t="n">
        <f aca="false">ROUNDUP(BX730/BQ730,0)</f>
        <v>0</v>
      </c>
      <c r="CB730" s="60" t="n">
        <f aca="false">IF(BR730=1,0,IFERROR(VLOOKUP(BP730,'Gebinde-Kategorie'!$A$5:$M$45,5,0)+0,0))</f>
        <v>11</v>
      </c>
      <c r="CC730" s="60" t="n">
        <f aca="false">IFERROR(IF(OR(BT730=1,BT730=2,BT730=3),N(INDEX(Parameter!$I$5:$I$7,BT730)),0),0)</f>
        <v>0</v>
      </c>
      <c r="CD730" s="59" t="n">
        <f aca="false">IF(AND(Parameter!$B$21="Ja",ISNUMBER(U730),N(V730)&gt;0),IFERROR(N(INDEX(Parameter!$L$5:$L$7,U730))*INDEX(Parameter!$E$5:$E$7,U730)*V730/SUMIFS($V$7:$V$1576,$U$7:$U$1576,U730),0),0)</f>
        <v>0</v>
      </c>
    </row>
    <row r="731" customFormat="false" ht="15" hidden="false" customHeight="false" outlineLevel="0" collapsed="false">
      <c r="A731" s="55" t="s">
        <v>1437</v>
      </c>
      <c r="B731" s="55" t="s">
        <v>1438</v>
      </c>
      <c r="C731" s="55" t="s">
        <v>160</v>
      </c>
      <c r="D731" s="55" t="s">
        <v>168</v>
      </c>
      <c r="E731" s="55" t="s">
        <v>210</v>
      </c>
      <c r="F731" s="56" t="n">
        <v>0</v>
      </c>
      <c r="G731" s="57" t="n">
        <f aca="false">MAX(0,IF(AND(Parameter!$B$21="Ja",ISNUMBER(W731)),W731,IF(Parameter!$B$20="Jahresanfang 2025 + Export",BJ731+BI731,BI731)))</f>
        <v>0</v>
      </c>
      <c r="H731" s="57" t="n">
        <f aca="false">G731*F731</f>
        <v>0</v>
      </c>
      <c r="I731" s="57" t="n">
        <f aca="false">BL731*Parameter!$B$18</f>
        <v>0</v>
      </c>
      <c r="J731" s="58" t="n">
        <v>0.5</v>
      </c>
      <c r="K731" s="59" t="n">
        <v>0</v>
      </c>
      <c r="L731" s="57" t="n">
        <v>0</v>
      </c>
      <c r="M731" s="57" t="n">
        <v>1</v>
      </c>
      <c r="N731" s="60" t="n">
        <v>90</v>
      </c>
      <c r="O731" s="55" t="s">
        <v>163</v>
      </c>
      <c r="P731" s="57"/>
      <c r="Q731" s="60" t="n">
        <f aca="false">IF(BR731=1,0,IFERROR(VLOOKUP(BP731,'Gebinde-Kategorie'!$A$5:$M$45,13,0)+0,0))</f>
        <v>0</v>
      </c>
      <c r="R731" s="61"/>
      <c r="S731" s="62"/>
      <c r="T731" s="62"/>
      <c r="U731" s="55"/>
      <c r="V731" s="57"/>
      <c r="W731" s="57"/>
      <c r="X731" s="55" t="n">
        <f aca="false">IF(A731="","",IF(AND(Parameter!$B$21="Ja",ISNUMBER(U731)),U731,IF(IFERROR(VLOOKUP(D731,Parameter!$A$35:$C$64,2,0),"Nein")="2+3",IF(ISNUMBER(SEARCH("grosser Artikel",BM731)),2,IFERROR(VLOOKUP(BP731,Parameter!$F$35:$G$64,2,0),2)),IF(OR(IFERROR(VLOOKUP(D731,Parameter!$A$35:$C$64,2,0),"Nein")="Nein",IFERROR(VLOOKUP(D731,Parameter!$A$35:$C$64,2,0),"Nein")=""),"-",VLOOKUP(D731,Parameter!$A$35:$C$64,2,0)))))</f>
        <v>2</v>
      </c>
      <c r="Y731" s="62"/>
      <c r="Z731" s="63"/>
      <c r="AA731" s="57" t="n">
        <f aca="false">AP731</f>
        <v>1</v>
      </c>
      <c r="AB731" s="57" t="n">
        <f aca="false">MAX(AP731,G731)</f>
        <v>1</v>
      </c>
      <c r="AC731" s="64"/>
      <c r="AD731" s="57" t="n">
        <f aca="false">IF(LEFT(Cockpit!$C$5,1)="A",G731,IF(BW731=1,BX731,IF(LEFT(Cockpit!$C$5,1)="B",AH731,MAX(AH731,G731))))</f>
        <v>0</v>
      </c>
      <c r="AE731" s="57" t="n">
        <f aca="false">IF(BR731=1,0,ROUNDUP(AD731/BQ731,0))</f>
        <v>0</v>
      </c>
      <c r="AF731" s="59" t="n">
        <f aca="false">IF(CD731&gt;0,CD731*MAX(1,AD731/V731),IF(BR731=1,IF(AD731&lt;=0,0,BS731*MAX(1,IF(G731&gt;0,AD731/G731,1))),IF(Q731&gt;0,AE731/Q731,0))/MAX(0.1,N(Parameter!$M$21)))</f>
        <v>0</v>
      </c>
      <c r="AG731" s="57" t="n">
        <f aca="false">AD731*F731</f>
        <v>0</v>
      </c>
      <c r="AH731" s="57" t="n">
        <f aca="false">ROUNDUP(MAX(I731/IF(BV731&gt;0,BV731,MAX(0.1,N(Cockpit!$C$6))),BY731)/BQ731,0)*BQ731</f>
        <v>1</v>
      </c>
      <c r="AI731" s="58" t="n">
        <f aca="false">IF(AF731&gt;0,I731/AF731,-1)</f>
        <v>-1</v>
      </c>
      <c r="AJ731" s="58" t="str">
        <f aca="false">IF(AND(OR(BU731="L1",BU731="L23"),AF731&gt;0),SUMIFS($AF$7:$AF$1576,$BU$7:$BU$1576,BU731,$AI$7:$AI$1576,"&gt;"&amp;AI731)+SUMIFS($AF$7:$AF$1576,$BU$7:$BU$1576,BU731,$AI$7:$AI$1576,AI731,$BO$7:$BO$1576,"&lt;="&amp;BO731),"")</f>
        <v/>
      </c>
      <c r="AK731" s="65" t="n">
        <f aca="false">IF(AJ731="",0,MAX(0,MIN(1,(IF(BU731="L1",Parameter!$E$5,Parameter!$E$6+Parameter!$E$7)-(AJ731-AF731))/AF731)))</f>
        <v>0</v>
      </c>
      <c r="AL731" s="57" t="n">
        <f aca="false">IF(LEFT(Cockpit!$I$5,1)="A",G731,IF(BW731=1,BX731,IF(LEFT(Cockpit!$I$5,1)="B",AP731,MAX(AP731,G731))))</f>
        <v>1</v>
      </c>
      <c r="AM731" s="57" t="n">
        <f aca="false">IF(BR731=1,0,ROUNDUP(AL731/BQ731,0))</f>
        <v>0</v>
      </c>
      <c r="AN731" s="59" t="n">
        <f aca="false">IF(CD731&gt;0,CD731*MAX(1,AL731/V731),IF(BR731=1,IF(AL731&lt;=0,0,BS731*MAX(1,IF(G731&gt;0,AL731/G731,1))),IF(Q731&gt;0,AM731/Q731,0))/MAX(0.1,N(Parameter!$M$21)))</f>
        <v>0.15</v>
      </c>
      <c r="AO731" s="57" t="n">
        <f aca="false">AL731*F731</f>
        <v>0</v>
      </c>
      <c r="AP731" s="57" t="n">
        <f aca="false">ROUNDUP(MAX(I731/IF(BV731&gt;0,BV731,MAX(0.1,N(Cockpit!$I$6))),BY731)/BQ731,0)*BQ731</f>
        <v>1</v>
      </c>
      <c r="AQ731" s="58" t="n">
        <f aca="false">IF(AN731&gt;0,I731/AN731,-1)</f>
        <v>0</v>
      </c>
      <c r="AR731" s="58" t="n">
        <f aca="false">IF(AND(OR(BU731="L1",BU731="L23"),AN731&gt;0),SUMIFS($AN$7:$AN$1576,$BU$7:$BU$1576,BU731,$AQ$7:$AQ$1576,"&gt;"&amp;AQ731)+SUMIFS($AN$7:$AN$1576,$BU$7:$BU$1576,BU731,$AQ$7:$AQ$1576,AQ731,$BO$7:$BO$1576,"&lt;="&amp;BO731),"")</f>
        <v>129.934862408171</v>
      </c>
      <c r="AS731" s="65" t="n">
        <f aca="false">IF(AR731="",0,MAX(0,MIN(1,(IF(BU731="L1",Parameter!$E$5,Parameter!$E$6+Parameter!$E$7)-(AR731-AN731))/AN731)))</f>
        <v>0</v>
      </c>
      <c r="AT731" s="57" t="n">
        <f aca="false">IF(LEFT(Cockpit!$O$5,1)="A",G731,IF(BW731=1,BX731,IF(LEFT(Cockpit!$O$5,1)="B",AX731,MAX(AX731,G731))))</f>
        <v>1</v>
      </c>
      <c r="AU731" s="57" t="n">
        <f aca="false">IF(BR731=1,0,ROUNDUP(AT731/BQ731,0))</f>
        <v>0</v>
      </c>
      <c r="AV731" s="59" t="n">
        <f aca="false">IF(CD731&gt;0,CD731*MAX(1,AT731/V731),IF(BR731=1,IF(AT731&lt;=0,0,BS731*MAX(1,IF(G731&gt;0,AT731/G731,1))),IF(Q731&gt;0,AU731/Q731,0))/MAX(0.1,N(Parameter!$M$21)))</f>
        <v>0.15</v>
      </c>
      <c r="AW731" s="57" t="n">
        <f aca="false">AT731*F731</f>
        <v>0</v>
      </c>
      <c r="AX731" s="57" t="n">
        <f aca="false">ROUNDUP(MAX(I731/IF(BV731&gt;0,BV731,MAX(0.1,N(Cockpit!$O$6))),BY731)/BQ731,0)*BQ731</f>
        <v>1</v>
      </c>
      <c r="AY731" s="58" t="n">
        <f aca="false">IF(AV731&gt;0,I731/AV731,-1)</f>
        <v>0</v>
      </c>
      <c r="AZ731" s="58" t="n">
        <f aca="false">IF(AND(OR(BU731="L1",BU731="L23"),AV731&gt;0),SUMIFS($AV$7:$AV$1576,$BU$7:$BU$1576,BU731,$AY$7:$AY$1576,"&gt;"&amp;AY731)+SUMIFS($AV$7:$AV$1576,$BU$7:$BU$1576,BU731,$AY$7:$AY$1576,AY731,$BO$7:$BO$1576,"&lt;="&amp;BO731),"")</f>
        <v>119.994412857721</v>
      </c>
      <c r="BA731" s="65" t="n">
        <f aca="false">IF(AZ731="",0,MAX(0,MIN(1,(IF(BU731="L1",Parameter!$E$5,Parameter!$E$6+Parameter!$E$7)-(AZ731-AV731))/AV731)))</f>
        <v>0</v>
      </c>
      <c r="BB731" s="55" t="str">
        <f aca="false">IF(AF731&lt;=0,"",IF(BU731="Aussen","Aussenlager",IF(BU731="-","Nicht im Lift",IF(AK731&gt;=1,"Lift",IF(AK731&lt;=0,"Aussenlager","teilweise")))))</f>
        <v/>
      </c>
      <c r="BC731" s="55" t="str">
        <f aca="false">IF(AN731&lt;=0,"",IF(BU731="Aussen","Aussenlager",IF(BU731="-","Nicht im Lift",IF(AS731&gt;=1,"Lift",IF(AS731&lt;=0,"Aussenlager","teilweise")))))</f>
        <v>Aussenlager</v>
      </c>
      <c r="BD731" s="55" t="str">
        <f aca="false">IF(AV731&lt;=0,"",IF(BU731="Aussen","Aussenlager",IF(BU731="-","Nicht im Lift",IF(BA731&gt;=1,"Lift",IF(BA731&lt;=0,"Aussenlager","teilweise")))))</f>
        <v>Aussenlager</v>
      </c>
      <c r="BE731" s="55" t="str">
        <f aca="false">IF(A731="","",IF(BN731=1,"Neu; ","")&amp;IF(AND(BN731=0,BI731&lt;0),"negativer Bestand (Export "&amp;BI731&amp;"); ","")&amp;IF(I731&lt;=0,"Kein Verbrauch; ","")&amp;IF(CD731&gt;0,"Lift "&amp;U731&amp;" lt. Liftbericht (Fach "&amp;V731&amp;" Stk); ",IF(BR731=1,"Lose – Fläche geschätzt; ",""))&amp;IF(G731&gt;AP731,"Überbestand "&amp;ROUND(G731-AP731,0)&amp;" Stk / CHF "&amp;ROUND((G731-AP731)*F731,0)&amp;"; ","")&amp;IF(AND(BW731=1,BX731&lt;BY731),"MAX &lt; MB+LG; ","")&amp;IF(AND(CC731&gt;0,CB731*10&gt;CC731),"zu hoch für Tablar; ","")&amp;IF(AND(BN731=0,OR(BW731=1,Y731&lt;&gt;"",S731&lt;&gt;"",T731&lt;&gt;"",Z731&lt;&gt;"")),"manuell übersteuert; ","")&amp;IF(AND(BR731=0,Q731=0),"Gebinde unbekannt / Stellmass fehlt; ","")&amp;IF(AND(BR731=0,N(T731)&lt;=0,N(P731)&lt;=0),"Menge pro Gebinde fehlt (Ist = 1 Gebinde); ","")&amp;BM731)</f>
        <v>negativer Bestand (Export -1); Kein Verbrauch; Lose – Fläche geschätzt; </v>
      </c>
      <c r="BF731" s="55"/>
      <c r="BG731" s="55"/>
      <c r="BH731" s="62"/>
      <c r="BI731" s="57" t="n">
        <v>-1</v>
      </c>
      <c r="BJ731" s="57" t="n">
        <v>1</v>
      </c>
      <c r="BK731" s="56" t="n">
        <v>0</v>
      </c>
      <c r="BL731" s="57" t="n">
        <v>0</v>
      </c>
      <c r="BM731" s="55"/>
      <c r="BN731" s="60" t="n">
        <v>0</v>
      </c>
      <c r="BO731" s="60" t="n">
        <v>731</v>
      </c>
      <c r="BP731" s="55" t="str">
        <f aca="false">IF(S731&lt;&gt;"",UPPER(TRIM(S731)),IF(O731="","LOSE",O731))</f>
        <v>LOSE</v>
      </c>
      <c r="BQ731" s="57" t="n">
        <f aca="false">IF(BP731="LOSE",1,IF(N(T731)&gt;0,T731,IF(N(P731)&gt;0,P731,MAX(1,G731))))</f>
        <v>1</v>
      </c>
      <c r="BR731" s="60" t="n">
        <f aca="false">IF(BP731="LOSE",1,0)</f>
        <v>1</v>
      </c>
      <c r="BS731" s="59" t="n">
        <f aca="false">IF(BR731=0,0,IF(N(R731)&gt;0,R731,IFERROR(VLOOKUP(D731,Parameter!$A$35:$C$64,3,0)+0,0)))</f>
        <v>0.15</v>
      </c>
      <c r="BT731" s="55" t="n">
        <f aca="false">IF(Y731&lt;&gt;"",Y731,X731)</f>
        <v>2</v>
      </c>
      <c r="BU731" s="55" t="str">
        <f aca="false">IF(BT731=1,"L1",IF(OR(BT731=2,BT731=3),"L23",IF(BT731="Aussen","Aussen","-")))</f>
        <v>L23</v>
      </c>
      <c r="BV731" s="66" t="n">
        <f aca="false">IF(N(Z731)&gt;0,Z731,0)</f>
        <v>0</v>
      </c>
      <c r="BW731" s="60" t="n">
        <f aca="false">IF(ISNUMBER(AC731),1,0)</f>
        <v>0</v>
      </c>
      <c r="BX731" s="57" t="n">
        <f aca="false">N(AC731)</f>
        <v>0</v>
      </c>
      <c r="BY731" s="57" t="n">
        <f aca="false">N(L731)+N(M731)</f>
        <v>1</v>
      </c>
      <c r="BZ731" s="57" t="n">
        <f aca="false">ROUNDUP(G731/BQ731,0)</f>
        <v>0</v>
      </c>
      <c r="CA731" s="57" t="n">
        <f aca="false">ROUNDUP(BX731/BQ731,0)</f>
        <v>0</v>
      </c>
      <c r="CB731" s="60" t="n">
        <f aca="false">IF(BR731=1,0,IFERROR(VLOOKUP(BP731,'Gebinde-Kategorie'!$A$5:$M$45,5,0)+0,0))</f>
        <v>0</v>
      </c>
      <c r="CC731" s="60" t="n">
        <f aca="false">IFERROR(IF(OR(BT731=1,BT731=2,BT731=3),N(INDEX(Parameter!$I$5:$I$7,BT731)),0),0)</f>
        <v>0</v>
      </c>
      <c r="CD731" s="59" t="n">
        <f aca="false">IF(AND(Parameter!$B$21="Ja",ISNUMBER(U731),N(V731)&gt;0),IFERROR(N(INDEX(Parameter!$L$5:$L$7,U731))*INDEX(Parameter!$E$5:$E$7,U731)*V731/SUMIFS($V$7:$V$1576,$U$7:$U$1576,U731),0),0)</f>
        <v>0</v>
      </c>
    </row>
    <row r="732" customFormat="false" ht="15" hidden="false" customHeight="false" outlineLevel="0" collapsed="false">
      <c r="A732" s="55" t="s">
        <v>1439</v>
      </c>
      <c r="B732" s="55" t="s">
        <v>881</v>
      </c>
      <c r="C732" s="55" t="s">
        <v>160</v>
      </c>
      <c r="D732" s="55" t="s">
        <v>178</v>
      </c>
      <c r="E732" s="55" t="s">
        <v>210</v>
      </c>
      <c r="F732" s="56" t="n">
        <v>22.27</v>
      </c>
      <c r="G732" s="57" t="n">
        <f aca="false">MAX(0,IF(AND(Parameter!$B$21="Ja",ISNUMBER(W732)),W732,IF(Parameter!$B$20="Jahresanfang 2025 + Export",BJ732+BI732,BI732)))</f>
        <v>0</v>
      </c>
      <c r="H732" s="57" t="n">
        <f aca="false">G732*F732</f>
        <v>0</v>
      </c>
      <c r="I732" s="57" t="n">
        <f aca="false">BL732*Parameter!$B$18</f>
        <v>1</v>
      </c>
      <c r="J732" s="58" t="n">
        <v>12.5</v>
      </c>
      <c r="K732" s="59" t="n">
        <v>0.08</v>
      </c>
      <c r="L732" s="57" t="n">
        <v>0</v>
      </c>
      <c r="M732" s="57" t="n">
        <v>1</v>
      </c>
      <c r="N732" s="60" t="n">
        <v>14</v>
      </c>
      <c r="O732" s="55" t="s">
        <v>465</v>
      </c>
      <c r="P732" s="57" t="n">
        <v>16</v>
      </c>
      <c r="Q732" s="60" t="n">
        <f aca="false">IF(BR732=1,0,IFERROR(VLOOKUP(BP732,'Gebinde-Kategorie'!$A$5:$M$45,13,0)+0,0))</f>
        <v>66</v>
      </c>
      <c r="R732" s="61"/>
      <c r="S732" s="62"/>
      <c r="T732" s="62"/>
      <c r="U732" s="55"/>
      <c r="V732" s="57"/>
      <c r="W732" s="57"/>
      <c r="X732" s="55" t="n">
        <f aca="false">IF(A732="","",IF(AND(Parameter!$B$21="Ja",ISNUMBER(U732)),U732,IF(IFERROR(VLOOKUP(D732,Parameter!$A$35:$C$64,2,0),"Nein")="2+3",IF(ISNUMBER(SEARCH("grosser Artikel",BM732)),2,IFERROR(VLOOKUP(BP732,Parameter!$F$35:$G$64,2,0),2)),IF(OR(IFERROR(VLOOKUP(D732,Parameter!$A$35:$C$64,2,0),"Nein")="Nein",IFERROR(VLOOKUP(D732,Parameter!$A$35:$C$64,2,0),"Nein")=""),"-",VLOOKUP(D732,Parameter!$A$35:$C$64,2,0)))))</f>
        <v>3</v>
      </c>
      <c r="Y732" s="62"/>
      <c r="Z732" s="63"/>
      <c r="AA732" s="57" t="n">
        <f aca="false">AP732</f>
        <v>16</v>
      </c>
      <c r="AB732" s="57" t="n">
        <f aca="false">MAX(AP732,G732)</f>
        <v>16</v>
      </c>
      <c r="AC732" s="64"/>
      <c r="AD732" s="57" t="n">
        <f aca="false">IF(LEFT(Cockpit!$C$5,1)="A",G732,IF(BW732=1,BX732,IF(LEFT(Cockpit!$C$5,1)="B",AH732,MAX(AH732,G732))))</f>
        <v>0</v>
      </c>
      <c r="AE732" s="57" t="n">
        <f aca="false">IF(BR732=1,0,ROUNDUP(AD732/BQ732,0))</f>
        <v>0</v>
      </c>
      <c r="AF732" s="59" t="n">
        <f aca="false">IF(CD732&gt;0,CD732*MAX(1,AD732/V732),IF(BR732=1,IF(AD732&lt;=0,0,BS732*MAX(1,IF(G732&gt;0,AD732/G732,1))),IF(Q732&gt;0,AE732/Q732,0))/MAX(0.1,N(Parameter!$M$21)))</f>
        <v>0</v>
      </c>
      <c r="AG732" s="57" t="n">
        <f aca="false">AD732*F732</f>
        <v>0</v>
      </c>
      <c r="AH732" s="57" t="n">
        <f aca="false">ROUNDUP(MAX(I732/IF(BV732&gt;0,BV732,MAX(0.1,N(Cockpit!$C$6))),BY732)/BQ732,0)*BQ732</f>
        <v>16</v>
      </c>
      <c r="AI732" s="58" t="n">
        <f aca="false">IF(AF732&gt;0,I732/AF732,-1)</f>
        <v>-1</v>
      </c>
      <c r="AJ732" s="58" t="str">
        <f aca="false">IF(AND(OR(BU732="L1",BU732="L23"),AF732&gt;0),SUMIFS($AF$7:$AF$1576,$BU$7:$BU$1576,BU732,$AI$7:$AI$1576,"&gt;"&amp;AI732)+SUMIFS($AF$7:$AF$1576,$BU$7:$BU$1576,BU732,$AI$7:$AI$1576,AI732,$BO$7:$BO$1576,"&lt;="&amp;BO732),"")</f>
        <v/>
      </c>
      <c r="AK732" s="65" t="n">
        <f aca="false">IF(AJ732="",0,MAX(0,MIN(1,(IF(BU732="L1",Parameter!$E$5,Parameter!$E$6+Parameter!$E$7)-(AJ732-AF732))/AF732)))</f>
        <v>0</v>
      </c>
      <c r="AL732" s="57" t="n">
        <f aca="false">IF(LEFT(Cockpit!$I$5,1)="A",G732,IF(BW732=1,BX732,IF(LEFT(Cockpit!$I$5,1)="B",AP732,MAX(AP732,G732))))</f>
        <v>16</v>
      </c>
      <c r="AM732" s="57" t="n">
        <f aca="false">IF(BR732=1,0,ROUNDUP(AL732/BQ732,0))</f>
        <v>1</v>
      </c>
      <c r="AN732" s="59" t="n">
        <f aca="false">IF(CD732&gt;0,CD732*MAX(1,AL732/V732),IF(BR732=1,IF(AL732&lt;=0,0,BS732*MAX(1,IF(G732&gt;0,AL732/G732,1))),IF(Q732&gt;0,AM732/Q732,0))/MAX(0.1,N(Parameter!$M$21)))</f>
        <v>0.0151515151515152</v>
      </c>
      <c r="AO732" s="57" t="n">
        <f aca="false">AL732*F732</f>
        <v>356.32</v>
      </c>
      <c r="AP732" s="57" t="n">
        <f aca="false">ROUNDUP(MAX(I732/IF(BV732&gt;0,BV732,MAX(0.1,N(Cockpit!$I$6))),BY732)/BQ732,0)*BQ732</f>
        <v>16</v>
      </c>
      <c r="AQ732" s="58" t="n">
        <f aca="false">IF(AN732&gt;0,I732/AN732,-1)</f>
        <v>66</v>
      </c>
      <c r="AR732" s="58" t="n">
        <f aca="false">IF(AND(OR(BU732="L1",BU732="L23"),AN732&gt;0),SUMIFS($AN$7:$AN$1576,$BU$7:$BU$1576,BU732,$AQ$7:$AQ$1576,"&gt;"&amp;AQ732)+SUMIFS($AN$7:$AN$1576,$BU$7:$BU$1576,BU732,$AQ$7:$AQ$1576,AQ732,$BO$7:$BO$1576,"&lt;="&amp;BO732),"")</f>
        <v>76.2577492740104</v>
      </c>
      <c r="AS732" s="65" t="n">
        <f aca="false">IF(AR732="",0,MAX(0,MIN(1,(IF(BU732="L1",Parameter!$E$5,Parameter!$E$6+Parameter!$E$7)-(AR732-AN732))/AN732)))</f>
        <v>1</v>
      </c>
      <c r="AT732" s="57" t="n">
        <f aca="false">IF(LEFT(Cockpit!$O$5,1)="A",G732,IF(BW732=1,BX732,IF(LEFT(Cockpit!$O$5,1)="B",AX732,MAX(AX732,G732))))</f>
        <v>16</v>
      </c>
      <c r="AU732" s="57" t="n">
        <f aca="false">IF(BR732=1,0,ROUNDUP(AT732/BQ732,0))</f>
        <v>1</v>
      </c>
      <c r="AV732" s="59" t="n">
        <f aca="false">IF(CD732&gt;0,CD732*MAX(1,AT732/V732),IF(BR732=1,IF(AT732&lt;=0,0,BS732*MAX(1,IF(G732&gt;0,AT732/G732,1))),IF(Q732&gt;0,AU732/Q732,0))/MAX(0.1,N(Parameter!$M$21)))</f>
        <v>0.0151515151515152</v>
      </c>
      <c r="AW732" s="57" t="n">
        <f aca="false">AT732*F732</f>
        <v>356.32</v>
      </c>
      <c r="AX732" s="57" t="n">
        <f aca="false">ROUNDUP(MAX(I732/IF(BV732&gt;0,BV732,MAX(0.1,N(Cockpit!$O$6))),BY732)/BQ732,0)*BQ732</f>
        <v>16</v>
      </c>
      <c r="AY732" s="58" t="n">
        <f aca="false">IF(AV732&gt;0,I732/AV732,-1)</f>
        <v>66</v>
      </c>
      <c r="AZ732" s="58" t="n">
        <f aca="false">IF(AND(OR(BU732="L1",BU732="L23"),AV732&gt;0),SUMIFS($AV$7:$AV$1576,$BU$7:$BU$1576,BU732,$AY$7:$AY$1576,"&gt;"&amp;AY732)+SUMIFS($AV$7:$AV$1576,$BU$7:$BU$1576,BU732,$AY$7:$AY$1576,AY732,$BO$7:$BO$1576,"&lt;="&amp;BO732),"")</f>
        <v>74.9689663902276</v>
      </c>
      <c r="BA732" s="65" t="n">
        <f aca="false">IF(AZ732="",0,MAX(0,MIN(1,(IF(BU732="L1",Parameter!$E$5,Parameter!$E$6+Parameter!$E$7)-(AZ732-AV732))/AV732)))</f>
        <v>1</v>
      </c>
      <c r="BB732" s="55" t="str">
        <f aca="false">IF(AF732&lt;=0,"",IF(BU732="Aussen","Aussenlager",IF(BU732="-","Nicht im Lift",IF(AK732&gt;=1,"Lift",IF(AK732&lt;=0,"Aussenlager","teilweise")))))</f>
        <v/>
      </c>
      <c r="BC732" s="55" t="str">
        <f aca="false">IF(AN732&lt;=0,"",IF(BU732="Aussen","Aussenlager",IF(BU732="-","Nicht im Lift",IF(AS732&gt;=1,"Lift",IF(AS732&lt;=0,"Aussenlager","teilweise")))))</f>
        <v>Lift</v>
      </c>
      <c r="BD732" s="55" t="str">
        <f aca="false">IF(AV732&lt;=0,"",IF(BU732="Aussen","Aussenlager",IF(BU732="-","Nicht im Lift",IF(BA732&gt;=1,"Lift",IF(BA732&lt;=0,"Aussenlager","teilweise")))))</f>
        <v>Lift</v>
      </c>
      <c r="BE732" s="55" t="str">
        <f aca="false">IF(A732="","",IF(BN732=1,"Neu; ","")&amp;IF(AND(BN732=0,BI732&lt;0),"negativer Bestand (Export "&amp;BI732&amp;"); ","")&amp;IF(I732&lt;=0,"Kein Verbrauch; ","")&amp;IF(CD732&gt;0,"Lift "&amp;U732&amp;" lt. Liftbericht (Fach "&amp;V732&amp;" Stk); ",IF(BR732=1,"Lose – Fläche geschätzt; ",""))&amp;IF(G732&gt;AP732,"Überbestand "&amp;ROUND(G732-AP732,0)&amp;" Stk / CHF "&amp;ROUND((G732-AP732)*F732,0)&amp;"; ","")&amp;IF(AND(BW732=1,BX732&lt;BY732),"MAX &lt; MB+LG; ","")&amp;IF(AND(CC732&gt;0,CB732*10&gt;CC732),"zu hoch für Tablar; ","")&amp;IF(AND(BN732=0,OR(BW732=1,Y732&lt;&gt;"",S732&lt;&gt;"",T732&lt;&gt;"",Z732&lt;&gt;"")),"manuell übersteuert; ","")&amp;IF(AND(BR732=0,Q732=0),"Gebinde unbekannt / Stellmass fehlt; ","")&amp;IF(AND(BR732=0,N(T732)&lt;=0,N(P732)&lt;=0),"Menge pro Gebinde fehlt (Ist = 1 Gebinde); ","")&amp;BM732)</f>
        <v/>
      </c>
      <c r="BF732" s="55"/>
      <c r="BG732" s="55"/>
      <c r="BH732" s="62"/>
      <c r="BI732" s="57" t="n">
        <v>0</v>
      </c>
      <c r="BJ732" s="57" t="n">
        <v>13</v>
      </c>
      <c r="BK732" s="56" t="n">
        <v>0</v>
      </c>
      <c r="BL732" s="57" t="n">
        <v>1</v>
      </c>
      <c r="BM732" s="55"/>
      <c r="BN732" s="60" t="n">
        <v>0</v>
      </c>
      <c r="BO732" s="60" t="n">
        <v>732</v>
      </c>
      <c r="BP732" s="55" t="str">
        <f aca="false">IF(S732&lt;&gt;"",UPPER(TRIM(S732)),IF(O732="","LOSE",O732))</f>
        <v>S33</v>
      </c>
      <c r="BQ732" s="57" t="n">
        <f aca="false">IF(BP732="LOSE",1,IF(N(T732)&gt;0,T732,IF(N(P732)&gt;0,P732,MAX(1,G732))))</f>
        <v>16</v>
      </c>
      <c r="BR732" s="60" t="n">
        <f aca="false">IF(BP732="LOSE",1,0)</f>
        <v>0</v>
      </c>
      <c r="BS732" s="59" t="n">
        <f aca="false">IF(BR732=0,0,IF(N(R732)&gt;0,R732,IFERROR(VLOOKUP(D732,Parameter!$A$35:$C$64,3,0)+0,0)))</f>
        <v>0</v>
      </c>
      <c r="BT732" s="55" t="n">
        <f aca="false">IF(Y732&lt;&gt;"",Y732,X732)</f>
        <v>3</v>
      </c>
      <c r="BU732" s="55" t="str">
        <f aca="false">IF(BT732=1,"L1",IF(OR(BT732=2,BT732=3),"L23",IF(BT732="Aussen","Aussen","-")))</f>
        <v>L23</v>
      </c>
      <c r="BV732" s="66" t="n">
        <f aca="false">IF(N(Z732)&gt;0,Z732,0)</f>
        <v>0</v>
      </c>
      <c r="BW732" s="60" t="n">
        <f aca="false">IF(ISNUMBER(AC732),1,0)</f>
        <v>0</v>
      </c>
      <c r="BX732" s="57" t="n">
        <f aca="false">N(AC732)</f>
        <v>0</v>
      </c>
      <c r="BY732" s="57" t="n">
        <f aca="false">N(L732)+N(M732)</f>
        <v>1</v>
      </c>
      <c r="BZ732" s="57" t="n">
        <f aca="false">ROUNDUP(G732/BQ732,0)</f>
        <v>0</v>
      </c>
      <c r="CA732" s="57" t="n">
        <f aca="false">ROUNDUP(BX732/BQ732,0)</f>
        <v>0</v>
      </c>
      <c r="CB732" s="60" t="n">
        <f aca="false">IF(BR732=1,0,IFERROR(VLOOKUP(BP732,'Gebinde-Kategorie'!$A$5:$M$45,5,0)+0,0))</f>
        <v>8</v>
      </c>
      <c r="CC732" s="60" t="n">
        <f aca="false">IFERROR(IF(OR(BT732=1,BT732=2,BT732=3),N(INDEX(Parameter!$I$5:$I$7,BT732)),0),0)</f>
        <v>0</v>
      </c>
      <c r="CD732" s="59" t="n">
        <f aca="false">IF(AND(Parameter!$B$21="Ja",ISNUMBER(U732),N(V732)&gt;0),IFERROR(N(INDEX(Parameter!$L$5:$L$7,U732))*INDEX(Parameter!$E$5:$E$7,U732)*V732/SUMIFS($V$7:$V$1576,$U$7:$U$1576,U732),0),0)</f>
        <v>0</v>
      </c>
    </row>
    <row r="733" customFormat="false" ht="15" hidden="false" customHeight="false" outlineLevel="0" collapsed="false">
      <c r="A733" s="55" t="s">
        <v>1440</v>
      </c>
      <c r="B733" s="55" t="s">
        <v>1441</v>
      </c>
      <c r="C733" s="55" t="s">
        <v>160</v>
      </c>
      <c r="D733" s="55" t="s">
        <v>178</v>
      </c>
      <c r="E733" s="55" t="s">
        <v>210</v>
      </c>
      <c r="F733" s="56" t="n">
        <v>20.37</v>
      </c>
      <c r="G733" s="57" t="n">
        <f aca="false">MAX(0,IF(AND(Parameter!$B$21="Ja",ISNUMBER(W733)),W733,IF(Parameter!$B$20="Jahresanfang 2025 + Export",BJ733+BI733,BI733)))</f>
        <v>0</v>
      </c>
      <c r="H733" s="57" t="n">
        <f aca="false">G733*F733</f>
        <v>0</v>
      </c>
      <c r="I733" s="57" t="n">
        <f aca="false">BL733*Parameter!$B$18</f>
        <v>0</v>
      </c>
      <c r="J733" s="58" t="n">
        <v>17</v>
      </c>
      <c r="K733" s="59" t="n">
        <v>0</v>
      </c>
      <c r="L733" s="57" t="n">
        <v>0</v>
      </c>
      <c r="M733" s="57" t="n">
        <v>1</v>
      </c>
      <c r="N733" s="60" t="n">
        <v>28</v>
      </c>
      <c r="O733" s="55" t="s">
        <v>416</v>
      </c>
      <c r="P733" s="57" t="n">
        <v>7</v>
      </c>
      <c r="Q733" s="60" t="n">
        <f aca="false">IF(BR733=1,0,IFERROR(VLOOKUP(BP733,'Gebinde-Kategorie'!$A$5:$M$45,13,0)+0,0))</f>
        <v>198</v>
      </c>
      <c r="R733" s="61"/>
      <c r="S733" s="62"/>
      <c r="T733" s="62"/>
      <c r="U733" s="55"/>
      <c r="V733" s="57"/>
      <c r="W733" s="57"/>
      <c r="X733" s="55" t="n">
        <f aca="false">IF(A733="","",IF(AND(Parameter!$B$21="Ja",ISNUMBER(U733)),U733,IF(IFERROR(VLOOKUP(D733,Parameter!$A$35:$C$64,2,0),"Nein")="2+3",IF(ISNUMBER(SEARCH("grosser Artikel",BM733)),2,IFERROR(VLOOKUP(BP733,Parameter!$F$35:$G$64,2,0),2)),IF(OR(IFERROR(VLOOKUP(D733,Parameter!$A$35:$C$64,2,0),"Nein")="Nein",IFERROR(VLOOKUP(D733,Parameter!$A$35:$C$64,2,0),"Nein")=""),"-",VLOOKUP(D733,Parameter!$A$35:$C$64,2,0)))))</f>
        <v>3</v>
      </c>
      <c r="Y733" s="62"/>
      <c r="Z733" s="63"/>
      <c r="AA733" s="57" t="n">
        <f aca="false">AP733</f>
        <v>7</v>
      </c>
      <c r="AB733" s="57" t="n">
        <f aca="false">MAX(AP733,G733)</f>
        <v>7</v>
      </c>
      <c r="AC733" s="64"/>
      <c r="AD733" s="57" t="n">
        <f aca="false">IF(LEFT(Cockpit!$C$5,1)="A",G733,IF(BW733=1,BX733,IF(LEFT(Cockpit!$C$5,1)="B",AH733,MAX(AH733,G733))))</f>
        <v>0</v>
      </c>
      <c r="AE733" s="57" t="n">
        <f aca="false">IF(BR733=1,0,ROUNDUP(AD733/BQ733,0))</f>
        <v>0</v>
      </c>
      <c r="AF733" s="59" t="n">
        <f aca="false">IF(CD733&gt;0,CD733*MAX(1,AD733/V733),IF(BR733=1,IF(AD733&lt;=0,0,BS733*MAX(1,IF(G733&gt;0,AD733/G733,1))),IF(Q733&gt;0,AE733/Q733,0))/MAX(0.1,N(Parameter!$M$21)))</f>
        <v>0</v>
      </c>
      <c r="AG733" s="57" t="n">
        <f aca="false">AD733*F733</f>
        <v>0</v>
      </c>
      <c r="AH733" s="57" t="n">
        <f aca="false">ROUNDUP(MAX(I733/IF(BV733&gt;0,BV733,MAX(0.1,N(Cockpit!$C$6))),BY733)/BQ733,0)*BQ733</f>
        <v>7</v>
      </c>
      <c r="AI733" s="58" t="n">
        <f aca="false">IF(AF733&gt;0,I733/AF733,-1)</f>
        <v>-1</v>
      </c>
      <c r="AJ733" s="58" t="str">
        <f aca="false">IF(AND(OR(BU733="L1",BU733="L23"),AF733&gt;0),SUMIFS($AF$7:$AF$1576,$BU$7:$BU$1576,BU733,$AI$7:$AI$1576,"&gt;"&amp;AI733)+SUMIFS($AF$7:$AF$1576,$BU$7:$BU$1576,BU733,$AI$7:$AI$1576,AI733,$BO$7:$BO$1576,"&lt;="&amp;BO733),"")</f>
        <v/>
      </c>
      <c r="AK733" s="65" t="n">
        <f aca="false">IF(AJ733="",0,MAX(0,MIN(1,(IF(BU733="L1",Parameter!$E$5,Parameter!$E$6+Parameter!$E$7)-(AJ733-AF733))/AF733)))</f>
        <v>0</v>
      </c>
      <c r="AL733" s="57" t="n">
        <f aca="false">IF(LEFT(Cockpit!$I$5,1)="A",G733,IF(BW733=1,BX733,IF(LEFT(Cockpit!$I$5,1)="B",AP733,MAX(AP733,G733))))</f>
        <v>7</v>
      </c>
      <c r="AM733" s="57" t="n">
        <f aca="false">IF(BR733=1,0,ROUNDUP(AL733/BQ733,0))</f>
        <v>1</v>
      </c>
      <c r="AN733" s="59" t="n">
        <f aca="false">IF(CD733&gt;0,CD733*MAX(1,AL733/V733),IF(BR733=1,IF(AL733&lt;=0,0,BS733*MAX(1,IF(G733&gt;0,AL733/G733,1))),IF(Q733&gt;0,AM733/Q733,0))/MAX(0.1,N(Parameter!$M$21)))</f>
        <v>0.00505050505050505</v>
      </c>
      <c r="AO733" s="57" t="n">
        <f aca="false">AL733*F733</f>
        <v>142.59</v>
      </c>
      <c r="AP733" s="57" t="n">
        <f aca="false">ROUNDUP(MAX(I733/IF(BV733&gt;0,BV733,MAX(0.1,N(Cockpit!$I$6))),BY733)/BQ733,0)*BQ733</f>
        <v>7</v>
      </c>
      <c r="AQ733" s="58" t="n">
        <f aca="false">IF(AN733&gt;0,I733/AN733,-1)</f>
        <v>0</v>
      </c>
      <c r="AR733" s="58" t="n">
        <f aca="false">IF(AND(OR(BU733="L1",BU733="L23"),AN733&gt;0),SUMIFS($AN$7:$AN$1576,$BU$7:$BU$1576,BU733,$AQ$7:$AQ$1576,"&gt;"&amp;AQ733)+SUMIFS($AN$7:$AN$1576,$BU$7:$BU$1576,BU733,$AQ$7:$AQ$1576,AQ733,$BO$7:$BO$1576,"&lt;="&amp;BO733),"")</f>
        <v>129.939912913221</v>
      </c>
      <c r="AS733" s="65" t="n">
        <f aca="false">IF(AR733="",0,MAX(0,MIN(1,(IF(BU733="L1",Parameter!$E$5,Parameter!$E$6+Parameter!$E$7)-(AR733-AN733))/AN733)))</f>
        <v>0</v>
      </c>
      <c r="AT733" s="57" t="n">
        <f aca="false">IF(LEFT(Cockpit!$O$5,1)="A",G733,IF(BW733=1,BX733,IF(LEFT(Cockpit!$O$5,1)="B",AX733,MAX(AX733,G733))))</f>
        <v>7</v>
      </c>
      <c r="AU733" s="57" t="n">
        <f aca="false">IF(BR733=1,0,ROUNDUP(AT733/BQ733,0))</f>
        <v>1</v>
      </c>
      <c r="AV733" s="59" t="n">
        <f aca="false">IF(CD733&gt;0,CD733*MAX(1,AT733/V733),IF(BR733=1,IF(AT733&lt;=0,0,BS733*MAX(1,IF(G733&gt;0,AT733/G733,1))),IF(Q733&gt;0,AU733/Q733,0))/MAX(0.1,N(Parameter!$M$21)))</f>
        <v>0.00505050505050505</v>
      </c>
      <c r="AW733" s="57" t="n">
        <f aca="false">AT733*F733</f>
        <v>142.59</v>
      </c>
      <c r="AX733" s="57" t="n">
        <f aca="false">ROUNDUP(MAX(I733/IF(BV733&gt;0,BV733,MAX(0.1,N(Cockpit!$O$6))),BY733)/BQ733,0)*BQ733</f>
        <v>7</v>
      </c>
      <c r="AY733" s="58" t="n">
        <f aca="false">IF(AV733&gt;0,I733/AV733,-1)</f>
        <v>0</v>
      </c>
      <c r="AZ733" s="58" t="n">
        <f aca="false">IF(AND(OR(BU733="L1",BU733="L23"),AV733&gt;0),SUMIFS($AV$7:$AV$1576,$BU$7:$BU$1576,BU733,$AY$7:$AY$1576,"&gt;"&amp;AY733)+SUMIFS($AV$7:$AV$1576,$BU$7:$BU$1576,BU733,$AY$7:$AY$1576,AY733,$BO$7:$BO$1576,"&lt;="&amp;BO733),"")</f>
        <v>119.999463362772</v>
      </c>
      <c r="BA733" s="65" t="n">
        <f aca="false">IF(AZ733="",0,MAX(0,MIN(1,(IF(BU733="L1",Parameter!$E$5,Parameter!$E$6+Parameter!$E$7)-(AZ733-AV733))/AV733)))</f>
        <v>0</v>
      </c>
      <c r="BB733" s="55" t="str">
        <f aca="false">IF(AF733&lt;=0,"",IF(BU733="Aussen","Aussenlager",IF(BU733="-","Nicht im Lift",IF(AK733&gt;=1,"Lift",IF(AK733&lt;=0,"Aussenlager","teilweise")))))</f>
        <v/>
      </c>
      <c r="BC733" s="55" t="str">
        <f aca="false">IF(AN733&lt;=0,"",IF(BU733="Aussen","Aussenlager",IF(BU733="-","Nicht im Lift",IF(AS733&gt;=1,"Lift",IF(AS733&lt;=0,"Aussenlager","teilweise")))))</f>
        <v>Aussenlager</v>
      </c>
      <c r="BD733" s="55" t="str">
        <f aca="false">IF(AV733&lt;=0,"",IF(BU733="Aussen","Aussenlager",IF(BU733="-","Nicht im Lift",IF(BA733&gt;=1,"Lift",IF(BA733&lt;=0,"Aussenlager","teilweise")))))</f>
        <v>Aussenlager</v>
      </c>
      <c r="BE733" s="55" t="str">
        <f aca="false">IF(A733="","",IF(BN733=1,"Neu; ","")&amp;IF(AND(BN733=0,BI733&lt;0),"negativer Bestand (Export "&amp;BI733&amp;"); ","")&amp;IF(I733&lt;=0,"Kein Verbrauch; ","")&amp;IF(CD733&gt;0,"Lift "&amp;U733&amp;" lt. Liftbericht (Fach "&amp;V733&amp;" Stk); ",IF(BR733=1,"Lose – Fläche geschätzt; ",""))&amp;IF(G733&gt;AP733,"Überbestand "&amp;ROUND(G733-AP733,0)&amp;" Stk / CHF "&amp;ROUND((G733-AP733)*F733,0)&amp;"; ","")&amp;IF(AND(BW733=1,BX733&lt;BY733),"MAX &lt; MB+LG; ","")&amp;IF(AND(CC733&gt;0,CB733*10&gt;CC733),"zu hoch für Tablar; ","")&amp;IF(AND(BN733=0,OR(BW733=1,Y733&lt;&gt;"",S733&lt;&gt;"",T733&lt;&gt;"",Z733&lt;&gt;"")),"manuell übersteuert; ","")&amp;IF(AND(BR733=0,Q733=0),"Gebinde unbekannt / Stellmass fehlt; ","")&amp;IF(AND(BR733=0,N(T733)&lt;=0,N(P733)&lt;=0),"Menge pro Gebinde fehlt (Ist = 1 Gebinde); ","")&amp;BM733)</f>
        <v>Kein Verbrauch; Überbestand</v>
      </c>
      <c r="BF733" s="55"/>
      <c r="BG733" s="55"/>
      <c r="BH733" s="62"/>
      <c r="BI733" s="57" t="n">
        <v>0</v>
      </c>
      <c r="BJ733" s="57" t="n">
        <v>17</v>
      </c>
      <c r="BK733" s="56" t="n">
        <v>0</v>
      </c>
      <c r="BL733" s="57" t="n">
        <v>0</v>
      </c>
      <c r="BM733" s="55" t="s">
        <v>382</v>
      </c>
      <c r="BN733" s="60" t="n">
        <v>0</v>
      </c>
      <c r="BO733" s="60" t="n">
        <v>733</v>
      </c>
      <c r="BP733" s="55" t="str">
        <f aca="false">IF(S733&lt;&gt;"",UPPER(TRIM(S733)),IF(O733="","LOSE",O733))</f>
        <v>S22</v>
      </c>
      <c r="BQ733" s="57" t="n">
        <f aca="false">IF(BP733="LOSE",1,IF(N(T733)&gt;0,T733,IF(N(P733)&gt;0,P733,MAX(1,G733))))</f>
        <v>7</v>
      </c>
      <c r="BR733" s="60" t="n">
        <f aca="false">IF(BP733="LOSE",1,0)</f>
        <v>0</v>
      </c>
      <c r="BS733" s="59" t="n">
        <f aca="false">IF(BR733=0,0,IF(N(R733)&gt;0,R733,IFERROR(VLOOKUP(D733,Parameter!$A$35:$C$64,3,0)+0,0)))</f>
        <v>0</v>
      </c>
      <c r="BT733" s="55" t="n">
        <f aca="false">IF(Y733&lt;&gt;"",Y733,X733)</f>
        <v>3</v>
      </c>
      <c r="BU733" s="55" t="str">
        <f aca="false">IF(BT733=1,"L1",IF(OR(BT733=2,BT733=3),"L23",IF(BT733="Aussen","Aussen","-")))</f>
        <v>L23</v>
      </c>
      <c r="BV733" s="66" t="n">
        <f aca="false">IF(N(Z733)&gt;0,Z733,0)</f>
        <v>0</v>
      </c>
      <c r="BW733" s="60" t="n">
        <f aca="false">IF(ISNUMBER(AC733),1,0)</f>
        <v>0</v>
      </c>
      <c r="BX733" s="57" t="n">
        <f aca="false">N(AC733)</f>
        <v>0</v>
      </c>
      <c r="BY733" s="57" t="n">
        <f aca="false">N(L733)+N(M733)</f>
        <v>1</v>
      </c>
      <c r="BZ733" s="57" t="n">
        <f aca="false">ROUNDUP(G733/BQ733,0)</f>
        <v>0</v>
      </c>
      <c r="CA733" s="57" t="n">
        <f aca="false">ROUNDUP(BX733/BQ733,0)</f>
        <v>0</v>
      </c>
      <c r="CB733" s="60" t="n">
        <f aca="false">IF(BR733=1,0,IFERROR(VLOOKUP(BP733,'Gebinde-Kategorie'!$A$5:$M$45,5,0)+0,0))</f>
        <v>8</v>
      </c>
      <c r="CC733" s="60" t="n">
        <f aca="false">IFERROR(IF(OR(BT733=1,BT733=2,BT733=3),N(INDEX(Parameter!$I$5:$I$7,BT733)),0),0)</f>
        <v>0</v>
      </c>
      <c r="CD733" s="59" t="n">
        <f aca="false">IF(AND(Parameter!$B$21="Ja",ISNUMBER(U733),N(V733)&gt;0),IFERROR(N(INDEX(Parameter!$L$5:$L$7,U733))*INDEX(Parameter!$E$5:$E$7,U733)*V733/SUMIFS($V$7:$V$1576,$U$7:$U$1576,U733),0),0)</f>
        <v>0</v>
      </c>
    </row>
    <row r="734" customFormat="false" ht="15" hidden="false" customHeight="false" outlineLevel="0" collapsed="false">
      <c r="A734" s="55" t="s">
        <v>1442</v>
      </c>
      <c r="B734" s="55" t="s">
        <v>1429</v>
      </c>
      <c r="C734" s="55" t="s">
        <v>160</v>
      </c>
      <c r="D734" s="55" t="s">
        <v>168</v>
      </c>
      <c r="E734" s="55" t="s">
        <v>210</v>
      </c>
      <c r="F734" s="56" t="n">
        <v>490.5</v>
      </c>
      <c r="G734" s="57" t="n">
        <f aca="false">MAX(0,IF(AND(Parameter!$B$21="Ja",ISNUMBER(W734)),W734,IF(Parameter!$B$20="Jahresanfang 2025 + Export",BJ734+BI734,BI734)))</f>
        <v>0</v>
      </c>
      <c r="H734" s="57" t="n">
        <f aca="false">G734*F734</f>
        <v>0</v>
      </c>
      <c r="I734" s="57" t="n">
        <f aca="false">BL734*Parameter!$B$18</f>
        <v>2</v>
      </c>
      <c r="J734" s="58" t="n">
        <v>0</v>
      </c>
      <c r="K734" s="59" t="n">
        <v>0</v>
      </c>
      <c r="L734" s="57" t="n">
        <v>0</v>
      </c>
      <c r="M734" s="57" t="n">
        <v>1</v>
      </c>
      <c r="N734" s="60" t="n">
        <v>42</v>
      </c>
      <c r="O734" s="55" t="s">
        <v>163</v>
      </c>
      <c r="P734" s="57"/>
      <c r="Q734" s="60" t="n">
        <f aca="false">IF(BR734=1,0,IFERROR(VLOOKUP(BP734,'Gebinde-Kategorie'!$A$5:$M$45,13,0)+0,0))</f>
        <v>0</v>
      </c>
      <c r="R734" s="61"/>
      <c r="S734" s="62"/>
      <c r="T734" s="62"/>
      <c r="U734" s="55"/>
      <c r="V734" s="57"/>
      <c r="W734" s="57"/>
      <c r="X734" s="55" t="n">
        <f aca="false">IF(A734="","",IF(AND(Parameter!$B$21="Ja",ISNUMBER(U734)),U734,IF(IFERROR(VLOOKUP(D734,Parameter!$A$35:$C$64,2,0),"Nein")="2+3",IF(ISNUMBER(SEARCH("grosser Artikel",BM734)),2,IFERROR(VLOOKUP(BP734,Parameter!$F$35:$G$64,2,0),2)),IF(OR(IFERROR(VLOOKUP(D734,Parameter!$A$35:$C$64,2,0),"Nein")="Nein",IFERROR(VLOOKUP(D734,Parameter!$A$35:$C$64,2,0),"Nein")=""),"-",VLOOKUP(D734,Parameter!$A$35:$C$64,2,0)))))</f>
        <v>2</v>
      </c>
      <c r="Y734" s="62"/>
      <c r="Z734" s="63"/>
      <c r="AA734" s="57" t="n">
        <f aca="false">AP734</f>
        <v>1</v>
      </c>
      <c r="AB734" s="57" t="n">
        <f aca="false">MAX(AP734,G734)</f>
        <v>1</v>
      </c>
      <c r="AC734" s="64"/>
      <c r="AD734" s="57" t="n">
        <f aca="false">IF(LEFT(Cockpit!$C$5,1)="A",G734,IF(BW734=1,BX734,IF(LEFT(Cockpit!$C$5,1)="B",AH734,MAX(AH734,G734))))</f>
        <v>0</v>
      </c>
      <c r="AE734" s="57" t="n">
        <f aca="false">IF(BR734=1,0,ROUNDUP(AD734/BQ734,0))</f>
        <v>0</v>
      </c>
      <c r="AF734" s="59" t="n">
        <f aca="false">IF(CD734&gt;0,CD734*MAX(1,AD734/V734),IF(BR734=1,IF(AD734&lt;=0,0,BS734*MAX(1,IF(G734&gt;0,AD734/G734,1))),IF(Q734&gt;0,AE734/Q734,0))/MAX(0.1,N(Parameter!$M$21)))</f>
        <v>0</v>
      </c>
      <c r="AG734" s="57" t="n">
        <f aca="false">AD734*F734</f>
        <v>0</v>
      </c>
      <c r="AH734" s="57" t="n">
        <f aca="false">ROUNDUP(MAX(I734/IF(BV734&gt;0,BV734,MAX(0.1,N(Cockpit!$C$6))),BY734)/BQ734,0)*BQ734</f>
        <v>1</v>
      </c>
      <c r="AI734" s="58" t="n">
        <f aca="false">IF(AF734&gt;0,I734/AF734,-1)</f>
        <v>-1</v>
      </c>
      <c r="AJ734" s="58" t="str">
        <f aca="false">IF(AND(OR(BU734="L1",BU734="L23"),AF734&gt;0),SUMIFS($AF$7:$AF$1576,$BU$7:$BU$1576,BU734,$AI$7:$AI$1576,"&gt;"&amp;AI734)+SUMIFS($AF$7:$AF$1576,$BU$7:$BU$1576,BU734,$AI$7:$AI$1576,AI734,$BO$7:$BO$1576,"&lt;="&amp;BO734),"")</f>
        <v/>
      </c>
      <c r="AK734" s="65" t="n">
        <f aca="false">IF(AJ734="",0,MAX(0,MIN(1,(IF(BU734="L1",Parameter!$E$5,Parameter!$E$6+Parameter!$E$7)-(AJ734-AF734))/AF734)))</f>
        <v>0</v>
      </c>
      <c r="AL734" s="57" t="n">
        <f aca="false">IF(LEFT(Cockpit!$I$5,1)="A",G734,IF(BW734=1,BX734,IF(LEFT(Cockpit!$I$5,1)="B",AP734,MAX(AP734,G734))))</f>
        <v>1</v>
      </c>
      <c r="AM734" s="57" t="n">
        <f aca="false">IF(BR734=1,0,ROUNDUP(AL734/BQ734,0))</f>
        <v>0</v>
      </c>
      <c r="AN734" s="59" t="n">
        <f aca="false">IF(CD734&gt;0,CD734*MAX(1,AL734/V734),IF(BR734=1,IF(AL734&lt;=0,0,BS734*MAX(1,IF(G734&gt;0,AL734/G734,1))),IF(Q734&gt;0,AM734/Q734,0))/MAX(0.1,N(Parameter!$M$21)))</f>
        <v>0.15</v>
      </c>
      <c r="AO734" s="57" t="n">
        <f aca="false">AL734*F734</f>
        <v>490.5</v>
      </c>
      <c r="AP734" s="57" t="n">
        <f aca="false">ROUNDUP(MAX(I734/IF(BV734&gt;0,BV734,MAX(0.1,N(Cockpit!$I$6))),BY734)/BQ734,0)*BQ734</f>
        <v>1</v>
      </c>
      <c r="AQ734" s="58" t="n">
        <f aca="false">IF(AN734&gt;0,I734/AN734,-1)</f>
        <v>13.3333333333333</v>
      </c>
      <c r="AR734" s="58" t="n">
        <f aca="false">IF(AND(OR(BU734="L1",BU734="L23"),AN734&gt;0),SUMIFS($AN$7:$AN$1576,$BU$7:$BU$1576,BU734,$AQ$7:$AQ$1576,"&gt;"&amp;AQ734)+SUMIFS($AN$7:$AN$1576,$BU$7:$BU$1576,BU734,$AQ$7:$AQ$1576,AQ734,$BO$7:$BO$1576,"&lt;="&amp;BO734),"")</f>
        <v>106.018075614337</v>
      </c>
      <c r="AS734" s="65" t="n">
        <f aca="false">IF(AR734="",0,MAX(0,MIN(1,(IF(BU734="L1",Parameter!$E$5,Parameter!$E$6+Parameter!$E$7)-(AR734-AN734))/AN734)))</f>
        <v>0</v>
      </c>
      <c r="AT734" s="57" t="n">
        <f aca="false">IF(LEFT(Cockpit!$O$5,1)="A",G734,IF(BW734=1,BX734,IF(LEFT(Cockpit!$O$5,1)="B",AX734,MAX(AX734,G734))))</f>
        <v>1</v>
      </c>
      <c r="AU734" s="57" t="n">
        <f aca="false">IF(BR734=1,0,ROUNDUP(AT734/BQ734,0))</f>
        <v>0</v>
      </c>
      <c r="AV734" s="59" t="n">
        <f aca="false">IF(CD734&gt;0,CD734*MAX(1,AT734/V734),IF(BR734=1,IF(AT734&lt;=0,0,BS734*MAX(1,IF(G734&gt;0,AT734/G734,1))),IF(Q734&gt;0,AU734/Q734,0))/MAX(0.1,N(Parameter!$M$21)))</f>
        <v>0.15</v>
      </c>
      <c r="AW734" s="57" t="n">
        <f aca="false">AT734*F734</f>
        <v>490.5</v>
      </c>
      <c r="AX734" s="57" t="n">
        <f aca="false">ROUNDUP(MAX(I734/IF(BV734&gt;0,BV734,MAX(0.1,N(Cockpit!$O$6))),BY734)/BQ734,0)*BQ734</f>
        <v>1</v>
      </c>
      <c r="AY734" s="58" t="n">
        <f aca="false">IF(AV734&gt;0,I734/AV734,-1)</f>
        <v>13.3333333333333</v>
      </c>
      <c r="AZ734" s="58" t="n">
        <f aca="false">IF(AND(OR(BU734="L1",BU734="L23"),AV734&gt;0),SUMIFS($AV$7:$AV$1576,$BU$7:$BU$1576,BU734,$AY$7:$AY$1576,"&gt;"&amp;AY734)+SUMIFS($AV$7:$AV$1576,$BU$7:$BU$1576,BU734,$AY$7:$AY$1576,AY734,$BO$7:$BO$1576,"&lt;="&amp;BO734),"")</f>
        <v>96.0776260638872</v>
      </c>
      <c r="BA734" s="65" t="n">
        <f aca="false">IF(AZ734="",0,MAX(0,MIN(1,(IF(BU734="L1",Parameter!$E$5,Parameter!$E$6+Parameter!$E$7)-(AZ734-AV734))/AV734)))</f>
        <v>1</v>
      </c>
      <c r="BB734" s="55" t="str">
        <f aca="false">IF(AF734&lt;=0,"",IF(BU734="Aussen","Aussenlager",IF(BU734="-","Nicht im Lift",IF(AK734&gt;=1,"Lift",IF(AK734&lt;=0,"Aussenlager","teilweise")))))</f>
        <v/>
      </c>
      <c r="BC734" s="55" t="str">
        <f aca="false">IF(AN734&lt;=0,"",IF(BU734="Aussen","Aussenlager",IF(BU734="-","Nicht im Lift",IF(AS734&gt;=1,"Lift",IF(AS734&lt;=0,"Aussenlager","teilweise")))))</f>
        <v>Aussenlager</v>
      </c>
      <c r="BD734" s="55" t="str">
        <f aca="false">IF(AV734&lt;=0,"",IF(BU734="Aussen","Aussenlager",IF(BU734="-","Nicht im Lift",IF(BA734&gt;=1,"Lift",IF(BA734&lt;=0,"Aussenlager","teilweise")))))</f>
        <v>Lift</v>
      </c>
      <c r="BE734" s="55" t="str">
        <f aca="false">IF(A734="","",IF(BN734=1,"Neu; ","")&amp;IF(AND(BN734=0,BI734&lt;0),"negativer Bestand (Export "&amp;BI734&amp;"); ","")&amp;IF(I734&lt;=0,"Kein Verbrauch; ","")&amp;IF(CD734&gt;0,"Lift "&amp;U734&amp;" lt. Liftbericht (Fach "&amp;V734&amp;" Stk); ",IF(BR734=1,"Lose – Fläche geschätzt; ",""))&amp;IF(G734&gt;AP734,"Überbestand "&amp;ROUND(G734-AP734,0)&amp;" Stk / CHF "&amp;ROUND((G734-AP734)*F734,0)&amp;"; ","")&amp;IF(AND(BW734=1,BX734&lt;BY734),"MAX &lt; MB+LG; ","")&amp;IF(AND(CC734&gt;0,CB734*10&gt;CC734),"zu hoch für Tablar; ","")&amp;IF(AND(BN734=0,OR(BW734=1,Y734&lt;&gt;"",S734&lt;&gt;"",T734&lt;&gt;"",Z734&lt;&gt;"")),"manuell übersteuert; ","")&amp;IF(AND(BR734=0,Q734=0),"Gebinde unbekannt / Stellmass fehlt; ","")&amp;IF(AND(BR734=0,N(T734)&lt;=0,N(P734)&lt;=0),"Menge pro Gebinde fehlt (Ist = 1 Gebinde); ","")&amp;BM734)</f>
        <v>Lose – Fläche geschätzt; </v>
      </c>
      <c r="BF734" s="55"/>
      <c r="BG734" s="55"/>
      <c r="BH734" s="62"/>
      <c r="BI734" s="57" t="n">
        <v>0</v>
      </c>
      <c r="BJ734" s="57" t="n">
        <v>0</v>
      </c>
      <c r="BK734" s="56" t="n">
        <v>0</v>
      </c>
      <c r="BL734" s="57" t="n">
        <v>2</v>
      </c>
      <c r="BM734" s="55"/>
      <c r="BN734" s="60" t="n">
        <v>0</v>
      </c>
      <c r="BO734" s="60" t="n">
        <v>734</v>
      </c>
      <c r="BP734" s="55" t="str">
        <f aca="false">IF(S734&lt;&gt;"",UPPER(TRIM(S734)),IF(O734="","LOSE",O734))</f>
        <v>LOSE</v>
      </c>
      <c r="BQ734" s="57" t="n">
        <f aca="false">IF(BP734="LOSE",1,IF(N(T734)&gt;0,T734,IF(N(P734)&gt;0,P734,MAX(1,G734))))</f>
        <v>1</v>
      </c>
      <c r="BR734" s="60" t="n">
        <f aca="false">IF(BP734="LOSE",1,0)</f>
        <v>1</v>
      </c>
      <c r="BS734" s="59" t="n">
        <f aca="false">IF(BR734=0,0,IF(N(R734)&gt;0,R734,IFERROR(VLOOKUP(D734,Parameter!$A$35:$C$64,3,0)+0,0)))</f>
        <v>0.15</v>
      </c>
      <c r="BT734" s="55" t="n">
        <f aca="false">IF(Y734&lt;&gt;"",Y734,X734)</f>
        <v>2</v>
      </c>
      <c r="BU734" s="55" t="str">
        <f aca="false">IF(BT734=1,"L1",IF(OR(BT734=2,BT734=3),"L23",IF(BT734="Aussen","Aussen","-")))</f>
        <v>L23</v>
      </c>
      <c r="BV734" s="66" t="n">
        <f aca="false">IF(N(Z734)&gt;0,Z734,0)</f>
        <v>0</v>
      </c>
      <c r="BW734" s="60" t="n">
        <f aca="false">IF(ISNUMBER(AC734),1,0)</f>
        <v>0</v>
      </c>
      <c r="BX734" s="57" t="n">
        <f aca="false">N(AC734)</f>
        <v>0</v>
      </c>
      <c r="BY734" s="57" t="n">
        <f aca="false">N(L734)+N(M734)</f>
        <v>1</v>
      </c>
      <c r="BZ734" s="57" t="n">
        <f aca="false">ROUNDUP(G734/BQ734,0)</f>
        <v>0</v>
      </c>
      <c r="CA734" s="57" t="n">
        <f aca="false">ROUNDUP(BX734/BQ734,0)</f>
        <v>0</v>
      </c>
      <c r="CB734" s="60" t="n">
        <f aca="false">IF(BR734=1,0,IFERROR(VLOOKUP(BP734,'Gebinde-Kategorie'!$A$5:$M$45,5,0)+0,0))</f>
        <v>0</v>
      </c>
      <c r="CC734" s="60" t="n">
        <f aca="false">IFERROR(IF(OR(BT734=1,BT734=2,BT734=3),N(INDEX(Parameter!$I$5:$I$7,BT734)),0),0)</f>
        <v>0</v>
      </c>
      <c r="CD734" s="59" t="n">
        <f aca="false">IF(AND(Parameter!$B$21="Ja",ISNUMBER(U734),N(V734)&gt;0),IFERROR(N(INDEX(Parameter!$L$5:$L$7,U734))*INDEX(Parameter!$E$5:$E$7,U734)*V734/SUMIFS($V$7:$V$1576,$U$7:$U$1576,U734),0),0)</f>
        <v>0</v>
      </c>
    </row>
    <row r="735" customFormat="false" ht="15" hidden="false" customHeight="false" outlineLevel="0" collapsed="false">
      <c r="A735" s="55" t="s">
        <v>1443</v>
      </c>
      <c r="B735" s="55" t="s">
        <v>1444</v>
      </c>
      <c r="C735" s="55" t="s">
        <v>160</v>
      </c>
      <c r="D735" s="55" t="s">
        <v>178</v>
      </c>
      <c r="E735" s="55" t="s">
        <v>210</v>
      </c>
      <c r="F735" s="56" t="n">
        <v>0</v>
      </c>
      <c r="G735" s="57" t="n">
        <f aca="false">MAX(0,IF(AND(Parameter!$B$21="Ja",ISNUMBER(W735)),W735,IF(Parameter!$B$20="Jahresanfang 2025 + Export",BJ735+BI735,BI735)))</f>
        <v>0</v>
      </c>
      <c r="H735" s="57" t="n">
        <f aca="false">G735*F735</f>
        <v>0</v>
      </c>
      <c r="I735" s="57" t="n">
        <f aca="false">BL735*Parameter!$B$18</f>
        <v>0</v>
      </c>
      <c r="J735" s="58" t="n">
        <v>0.5</v>
      </c>
      <c r="K735" s="59" t="n">
        <v>0</v>
      </c>
      <c r="L735" s="57" t="n">
        <v>0</v>
      </c>
      <c r="M735" s="57" t="n">
        <v>1</v>
      </c>
      <c r="N735" s="60" t="n">
        <v>14</v>
      </c>
      <c r="O735" s="55" t="s">
        <v>163</v>
      </c>
      <c r="P735" s="57"/>
      <c r="Q735" s="60" t="n">
        <f aca="false">IF(BR735=1,0,IFERROR(VLOOKUP(BP735,'Gebinde-Kategorie'!$A$5:$M$45,13,0)+0,0))</f>
        <v>0</v>
      </c>
      <c r="R735" s="61"/>
      <c r="S735" s="62"/>
      <c r="T735" s="62"/>
      <c r="U735" s="55"/>
      <c r="V735" s="57"/>
      <c r="W735" s="57"/>
      <c r="X735" s="55" t="n">
        <f aca="false">IF(A735="","",IF(AND(Parameter!$B$21="Ja",ISNUMBER(U735)),U735,IF(IFERROR(VLOOKUP(D735,Parameter!$A$35:$C$64,2,0),"Nein")="2+3",IF(ISNUMBER(SEARCH("grosser Artikel",BM735)),2,IFERROR(VLOOKUP(BP735,Parameter!$F$35:$G$64,2,0),2)),IF(OR(IFERROR(VLOOKUP(D735,Parameter!$A$35:$C$64,2,0),"Nein")="Nein",IFERROR(VLOOKUP(D735,Parameter!$A$35:$C$64,2,0),"Nein")=""),"-",VLOOKUP(D735,Parameter!$A$35:$C$64,2,0)))))</f>
        <v>2</v>
      </c>
      <c r="Y735" s="62"/>
      <c r="Z735" s="63"/>
      <c r="AA735" s="57" t="n">
        <f aca="false">AP735</f>
        <v>1</v>
      </c>
      <c r="AB735" s="57" t="n">
        <f aca="false">MAX(AP735,G735)</f>
        <v>1</v>
      </c>
      <c r="AC735" s="64"/>
      <c r="AD735" s="57" t="n">
        <f aca="false">IF(LEFT(Cockpit!$C$5,1)="A",G735,IF(BW735=1,BX735,IF(LEFT(Cockpit!$C$5,1)="B",AH735,MAX(AH735,G735))))</f>
        <v>0</v>
      </c>
      <c r="AE735" s="57" t="n">
        <f aca="false">IF(BR735=1,0,ROUNDUP(AD735/BQ735,0))</f>
        <v>0</v>
      </c>
      <c r="AF735" s="59" t="n">
        <f aca="false">IF(CD735&gt;0,CD735*MAX(1,AD735/V735),IF(BR735=1,IF(AD735&lt;=0,0,BS735*MAX(1,IF(G735&gt;0,AD735/G735,1))),IF(Q735&gt;0,AE735/Q735,0))/MAX(0.1,N(Parameter!$M$21)))</f>
        <v>0</v>
      </c>
      <c r="AG735" s="57" t="n">
        <f aca="false">AD735*F735</f>
        <v>0</v>
      </c>
      <c r="AH735" s="57" t="n">
        <f aca="false">ROUNDUP(MAX(I735/IF(BV735&gt;0,BV735,MAX(0.1,N(Cockpit!$C$6))),BY735)/BQ735,0)*BQ735</f>
        <v>1</v>
      </c>
      <c r="AI735" s="58" t="n">
        <f aca="false">IF(AF735&gt;0,I735/AF735,-1)</f>
        <v>-1</v>
      </c>
      <c r="AJ735" s="58" t="str">
        <f aca="false">IF(AND(OR(BU735="L1",BU735="L23"),AF735&gt;0),SUMIFS($AF$7:$AF$1576,$BU$7:$BU$1576,BU735,$AI$7:$AI$1576,"&gt;"&amp;AI735)+SUMIFS($AF$7:$AF$1576,$BU$7:$BU$1576,BU735,$AI$7:$AI$1576,AI735,$BO$7:$BO$1576,"&lt;="&amp;BO735),"")</f>
        <v/>
      </c>
      <c r="AK735" s="65" t="n">
        <f aca="false">IF(AJ735="",0,MAX(0,MIN(1,(IF(BU735="L1",Parameter!$E$5,Parameter!$E$6+Parameter!$E$7)-(AJ735-AF735))/AF735)))</f>
        <v>0</v>
      </c>
      <c r="AL735" s="57" t="n">
        <f aca="false">IF(LEFT(Cockpit!$I$5,1)="A",G735,IF(BW735=1,BX735,IF(LEFT(Cockpit!$I$5,1)="B",AP735,MAX(AP735,G735))))</f>
        <v>1</v>
      </c>
      <c r="AM735" s="57" t="n">
        <f aca="false">IF(BR735=1,0,ROUNDUP(AL735/BQ735,0))</f>
        <v>0</v>
      </c>
      <c r="AN735" s="59" t="n">
        <f aca="false">IF(CD735&gt;0,CD735*MAX(1,AL735/V735),IF(BR735=1,IF(AL735&lt;=0,0,BS735*MAX(1,IF(G735&gt;0,AL735/G735,1))),IF(Q735&gt;0,AM735/Q735,0))/MAX(0.1,N(Parameter!$M$21)))</f>
        <v>0.03</v>
      </c>
      <c r="AO735" s="57" t="n">
        <f aca="false">AL735*F735</f>
        <v>0</v>
      </c>
      <c r="AP735" s="57" t="n">
        <f aca="false">ROUNDUP(MAX(I735/IF(BV735&gt;0,BV735,MAX(0.1,N(Cockpit!$I$6))),BY735)/BQ735,0)*BQ735</f>
        <v>1</v>
      </c>
      <c r="AQ735" s="58" t="n">
        <f aca="false">IF(AN735&gt;0,I735/AN735,-1)</f>
        <v>0</v>
      </c>
      <c r="AR735" s="58" t="n">
        <f aca="false">IF(AND(OR(BU735="L1",BU735="L23"),AN735&gt;0),SUMIFS($AN$7:$AN$1576,$BU$7:$BU$1576,BU735,$AQ$7:$AQ$1576,"&gt;"&amp;AQ735)+SUMIFS($AN$7:$AN$1576,$BU$7:$BU$1576,BU735,$AQ$7:$AQ$1576,AQ735,$BO$7:$BO$1576,"&lt;="&amp;BO735),"")</f>
        <v>129.969912913221</v>
      </c>
      <c r="AS735" s="65" t="n">
        <f aca="false">IF(AR735="",0,MAX(0,MIN(1,(IF(BU735="L1",Parameter!$E$5,Parameter!$E$6+Parameter!$E$7)-(AR735-AN735))/AN735)))</f>
        <v>0</v>
      </c>
      <c r="AT735" s="57" t="n">
        <f aca="false">IF(LEFT(Cockpit!$O$5,1)="A",G735,IF(BW735=1,BX735,IF(LEFT(Cockpit!$O$5,1)="B",AX735,MAX(AX735,G735))))</f>
        <v>1</v>
      </c>
      <c r="AU735" s="57" t="n">
        <f aca="false">IF(BR735=1,0,ROUNDUP(AT735/BQ735,0))</f>
        <v>0</v>
      </c>
      <c r="AV735" s="59" t="n">
        <f aca="false">IF(CD735&gt;0,CD735*MAX(1,AT735/V735),IF(BR735=1,IF(AT735&lt;=0,0,BS735*MAX(1,IF(G735&gt;0,AT735/G735,1))),IF(Q735&gt;0,AU735/Q735,0))/MAX(0.1,N(Parameter!$M$21)))</f>
        <v>0.03</v>
      </c>
      <c r="AW735" s="57" t="n">
        <f aca="false">AT735*F735</f>
        <v>0</v>
      </c>
      <c r="AX735" s="57" t="n">
        <f aca="false">ROUNDUP(MAX(I735/IF(BV735&gt;0,BV735,MAX(0.1,N(Cockpit!$O$6))),BY735)/BQ735,0)*BQ735</f>
        <v>1</v>
      </c>
      <c r="AY735" s="58" t="n">
        <f aca="false">IF(AV735&gt;0,I735/AV735,-1)</f>
        <v>0</v>
      </c>
      <c r="AZ735" s="58" t="n">
        <f aca="false">IF(AND(OR(BU735="L1",BU735="L23"),AV735&gt;0),SUMIFS($AV$7:$AV$1576,$BU$7:$BU$1576,BU735,$AY$7:$AY$1576,"&gt;"&amp;AY735)+SUMIFS($AV$7:$AV$1576,$BU$7:$BU$1576,BU735,$AY$7:$AY$1576,AY735,$BO$7:$BO$1576,"&lt;="&amp;BO735),"")</f>
        <v>120.029463362772</v>
      </c>
      <c r="BA735" s="65" t="n">
        <f aca="false">IF(AZ735="",0,MAX(0,MIN(1,(IF(BU735="L1",Parameter!$E$5,Parameter!$E$6+Parameter!$E$7)-(AZ735-AV735))/AV735)))</f>
        <v>0</v>
      </c>
      <c r="BB735" s="55" t="str">
        <f aca="false">IF(AF735&lt;=0,"",IF(BU735="Aussen","Aussenlager",IF(BU735="-","Nicht im Lift",IF(AK735&gt;=1,"Lift",IF(AK735&lt;=0,"Aussenlager","teilweise")))))</f>
        <v/>
      </c>
      <c r="BC735" s="55" t="str">
        <f aca="false">IF(AN735&lt;=0,"",IF(BU735="Aussen","Aussenlager",IF(BU735="-","Nicht im Lift",IF(AS735&gt;=1,"Lift",IF(AS735&lt;=0,"Aussenlager","teilweise")))))</f>
        <v>Aussenlager</v>
      </c>
      <c r="BD735" s="55" t="str">
        <f aca="false">IF(AV735&lt;=0,"",IF(BU735="Aussen","Aussenlager",IF(BU735="-","Nicht im Lift",IF(BA735&gt;=1,"Lift",IF(BA735&lt;=0,"Aussenlager","teilweise")))))</f>
        <v>Aussenlager</v>
      </c>
      <c r="BE735" s="55" t="str">
        <f aca="false">IF(A735="","",IF(BN735=1,"Neu; ","")&amp;IF(AND(BN735=0,BI735&lt;0),"negativer Bestand (Export "&amp;BI735&amp;"); ","")&amp;IF(I735&lt;=0,"Kein Verbrauch; ","")&amp;IF(CD735&gt;0,"Lift "&amp;U735&amp;" lt. Liftbericht (Fach "&amp;V735&amp;" Stk); ",IF(BR735=1,"Lose – Fläche geschätzt; ",""))&amp;IF(G735&gt;AP735,"Überbestand "&amp;ROUND(G735-AP735,0)&amp;" Stk / CHF "&amp;ROUND((G735-AP735)*F735,0)&amp;"; ","")&amp;IF(AND(BW735=1,BX735&lt;BY735),"MAX &lt; MB+LG; ","")&amp;IF(AND(CC735&gt;0,CB735*10&gt;CC735),"zu hoch für Tablar; ","")&amp;IF(AND(BN735=0,OR(BW735=1,Y735&lt;&gt;"",S735&lt;&gt;"",T735&lt;&gt;"",Z735&lt;&gt;"")),"manuell übersteuert; ","")&amp;IF(AND(BR735=0,Q735=0),"Gebinde unbekannt / Stellmass fehlt; ","")&amp;IF(AND(BR735=0,N(T735)&lt;=0,N(P735)&lt;=0),"Menge pro Gebinde fehlt (Ist = 1 Gebinde); ","")&amp;BM735)</f>
        <v>negativer Bestand (Export -1); Kein Verbrauch; Lose – Fläche geschätzt; </v>
      </c>
      <c r="BF735" s="55"/>
      <c r="BG735" s="55"/>
      <c r="BH735" s="62"/>
      <c r="BI735" s="57" t="n">
        <v>-1</v>
      </c>
      <c r="BJ735" s="57" t="n">
        <v>1</v>
      </c>
      <c r="BK735" s="56" t="n">
        <v>0</v>
      </c>
      <c r="BL735" s="57" t="n">
        <v>0</v>
      </c>
      <c r="BM735" s="55"/>
      <c r="BN735" s="60" t="n">
        <v>0</v>
      </c>
      <c r="BO735" s="60" t="n">
        <v>735</v>
      </c>
      <c r="BP735" s="55" t="str">
        <f aca="false">IF(S735&lt;&gt;"",UPPER(TRIM(S735)),IF(O735="","LOSE",O735))</f>
        <v>LOSE</v>
      </c>
      <c r="BQ735" s="57" t="n">
        <f aca="false">IF(BP735="LOSE",1,IF(N(T735)&gt;0,T735,IF(N(P735)&gt;0,P735,MAX(1,G735))))</f>
        <v>1</v>
      </c>
      <c r="BR735" s="60" t="n">
        <f aca="false">IF(BP735="LOSE",1,0)</f>
        <v>1</v>
      </c>
      <c r="BS735" s="59" t="n">
        <f aca="false">IF(BR735=0,0,IF(N(R735)&gt;0,R735,IFERROR(VLOOKUP(D735,Parameter!$A$35:$C$64,3,0)+0,0)))</f>
        <v>0.03</v>
      </c>
      <c r="BT735" s="55" t="n">
        <f aca="false">IF(Y735&lt;&gt;"",Y735,X735)</f>
        <v>2</v>
      </c>
      <c r="BU735" s="55" t="str">
        <f aca="false">IF(BT735=1,"L1",IF(OR(BT735=2,BT735=3),"L23",IF(BT735="Aussen","Aussen","-")))</f>
        <v>L23</v>
      </c>
      <c r="BV735" s="66" t="n">
        <f aca="false">IF(N(Z735)&gt;0,Z735,0)</f>
        <v>0</v>
      </c>
      <c r="BW735" s="60" t="n">
        <f aca="false">IF(ISNUMBER(AC735),1,0)</f>
        <v>0</v>
      </c>
      <c r="BX735" s="57" t="n">
        <f aca="false">N(AC735)</f>
        <v>0</v>
      </c>
      <c r="BY735" s="57" t="n">
        <f aca="false">N(L735)+N(M735)</f>
        <v>1</v>
      </c>
      <c r="BZ735" s="57" t="n">
        <f aca="false">ROUNDUP(G735/BQ735,0)</f>
        <v>0</v>
      </c>
      <c r="CA735" s="57" t="n">
        <f aca="false">ROUNDUP(BX735/BQ735,0)</f>
        <v>0</v>
      </c>
      <c r="CB735" s="60" t="n">
        <f aca="false">IF(BR735=1,0,IFERROR(VLOOKUP(BP735,'Gebinde-Kategorie'!$A$5:$M$45,5,0)+0,0))</f>
        <v>0</v>
      </c>
      <c r="CC735" s="60" t="n">
        <f aca="false">IFERROR(IF(OR(BT735=1,BT735=2,BT735=3),N(INDEX(Parameter!$I$5:$I$7,BT735)),0),0)</f>
        <v>0</v>
      </c>
      <c r="CD735" s="59" t="n">
        <f aca="false">IF(AND(Parameter!$B$21="Ja",ISNUMBER(U735),N(V735)&gt;0),IFERROR(N(INDEX(Parameter!$L$5:$L$7,U735))*INDEX(Parameter!$E$5:$E$7,U735)*V735/SUMIFS($V$7:$V$1576,$U$7:$U$1576,U735),0),0)</f>
        <v>0</v>
      </c>
    </row>
    <row r="736" customFormat="false" ht="15" hidden="false" customHeight="false" outlineLevel="0" collapsed="false">
      <c r="A736" s="55" t="s">
        <v>1445</v>
      </c>
      <c r="B736" s="55" t="s">
        <v>1446</v>
      </c>
      <c r="C736" s="55" t="s">
        <v>160</v>
      </c>
      <c r="D736" s="55" t="s">
        <v>178</v>
      </c>
      <c r="E736" s="55" t="s">
        <v>210</v>
      </c>
      <c r="F736" s="56" t="n">
        <v>16.35</v>
      </c>
      <c r="G736" s="57" t="n">
        <f aca="false">MAX(0,IF(AND(Parameter!$B$21="Ja",ISNUMBER(W736)),W736,IF(Parameter!$B$20="Jahresanfang 2025 + Export",BJ736+BI736,BI736)))</f>
        <v>0</v>
      </c>
      <c r="H736" s="57" t="n">
        <f aca="false">G736*F736</f>
        <v>0</v>
      </c>
      <c r="I736" s="57" t="n">
        <f aca="false">BL736*Parameter!$B$18</f>
        <v>72</v>
      </c>
      <c r="J736" s="58" t="n">
        <v>0</v>
      </c>
      <c r="K736" s="59" t="n">
        <v>0</v>
      </c>
      <c r="L736" s="57" t="n">
        <v>0</v>
      </c>
      <c r="M736" s="57" t="n">
        <v>0</v>
      </c>
      <c r="N736" s="60" t="n">
        <v>21</v>
      </c>
      <c r="O736" s="55" t="s">
        <v>163</v>
      </c>
      <c r="P736" s="57"/>
      <c r="Q736" s="60" t="n">
        <f aca="false">IF(BR736=1,0,IFERROR(VLOOKUP(BP736,'Gebinde-Kategorie'!$A$5:$M$45,13,0)+0,0))</f>
        <v>0</v>
      </c>
      <c r="R736" s="61"/>
      <c r="S736" s="62"/>
      <c r="T736" s="62"/>
      <c r="U736" s="55"/>
      <c r="V736" s="57"/>
      <c r="W736" s="57"/>
      <c r="X736" s="55" t="n">
        <f aca="false">IF(A736="","",IF(AND(Parameter!$B$21="Ja",ISNUMBER(U736)),U736,IF(IFERROR(VLOOKUP(D736,Parameter!$A$35:$C$64,2,0),"Nein")="2+3",IF(ISNUMBER(SEARCH("grosser Artikel",BM736)),2,IFERROR(VLOOKUP(BP736,Parameter!$F$35:$G$64,2,0),2)),IF(OR(IFERROR(VLOOKUP(D736,Parameter!$A$35:$C$64,2,0),"Nein")="Nein",IFERROR(VLOOKUP(D736,Parameter!$A$35:$C$64,2,0),"Nein")=""),"-",VLOOKUP(D736,Parameter!$A$35:$C$64,2,0)))))</f>
        <v>2</v>
      </c>
      <c r="Y736" s="62"/>
      <c r="Z736" s="63"/>
      <c r="AA736" s="57" t="n">
        <f aca="false">AP736</f>
        <v>36</v>
      </c>
      <c r="AB736" s="57" t="n">
        <f aca="false">MAX(AP736,G736)</f>
        <v>36</v>
      </c>
      <c r="AC736" s="64"/>
      <c r="AD736" s="57" t="n">
        <f aca="false">IF(LEFT(Cockpit!$C$5,1)="A",G736,IF(BW736=1,BX736,IF(LEFT(Cockpit!$C$5,1)="B",AH736,MAX(AH736,G736))))</f>
        <v>0</v>
      </c>
      <c r="AE736" s="57" t="n">
        <f aca="false">IF(BR736=1,0,ROUNDUP(AD736/BQ736,0))</f>
        <v>0</v>
      </c>
      <c r="AF736" s="59" t="n">
        <f aca="false">IF(CD736&gt;0,CD736*MAX(1,AD736/V736),IF(BR736=1,IF(AD736&lt;=0,0,BS736*MAX(1,IF(G736&gt;0,AD736/G736,1))),IF(Q736&gt;0,AE736/Q736,0))/MAX(0.1,N(Parameter!$M$21)))</f>
        <v>0</v>
      </c>
      <c r="AG736" s="57" t="n">
        <f aca="false">AD736*F736</f>
        <v>0</v>
      </c>
      <c r="AH736" s="57" t="n">
        <f aca="false">ROUNDUP(MAX(I736/IF(BV736&gt;0,BV736,MAX(0.1,N(Cockpit!$C$6))),BY736)/BQ736,0)*BQ736</f>
        <v>36</v>
      </c>
      <c r="AI736" s="58" t="n">
        <f aca="false">IF(AF736&gt;0,I736/AF736,-1)</f>
        <v>-1</v>
      </c>
      <c r="AJ736" s="58" t="str">
        <f aca="false">IF(AND(OR(BU736="L1",BU736="L23"),AF736&gt;0),SUMIFS($AF$7:$AF$1576,$BU$7:$BU$1576,BU736,$AI$7:$AI$1576,"&gt;"&amp;AI736)+SUMIFS($AF$7:$AF$1576,$BU$7:$BU$1576,BU736,$AI$7:$AI$1576,AI736,$BO$7:$BO$1576,"&lt;="&amp;BO736),"")</f>
        <v/>
      </c>
      <c r="AK736" s="65" t="n">
        <f aca="false">IF(AJ736="",0,MAX(0,MIN(1,(IF(BU736="L1",Parameter!$E$5,Parameter!$E$6+Parameter!$E$7)-(AJ736-AF736))/AF736)))</f>
        <v>0</v>
      </c>
      <c r="AL736" s="57" t="n">
        <f aca="false">IF(LEFT(Cockpit!$I$5,1)="A",G736,IF(BW736=1,BX736,IF(LEFT(Cockpit!$I$5,1)="B",AP736,MAX(AP736,G736))))</f>
        <v>36</v>
      </c>
      <c r="AM736" s="57" t="n">
        <f aca="false">IF(BR736=1,0,ROUNDUP(AL736/BQ736,0))</f>
        <v>0</v>
      </c>
      <c r="AN736" s="59" t="n">
        <f aca="false">IF(CD736&gt;0,CD736*MAX(1,AL736/V736),IF(BR736=1,IF(AL736&lt;=0,0,BS736*MAX(1,IF(G736&gt;0,AL736/G736,1))),IF(Q736&gt;0,AM736/Q736,0))/MAX(0.1,N(Parameter!$M$21)))</f>
        <v>0.03</v>
      </c>
      <c r="AO736" s="57" t="n">
        <f aca="false">AL736*F736</f>
        <v>588.6</v>
      </c>
      <c r="AP736" s="57" t="n">
        <f aca="false">ROUNDUP(MAX(I736/IF(BV736&gt;0,BV736,MAX(0.1,N(Cockpit!$I$6))),BY736)/BQ736,0)*BQ736</f>
        <v>36</v>
      </c>
      <c r="AQ736" s="58" t="n">
        <f aca="false">IF(AN736&gt;0,I736/AN736,-1)</f>
        <v>2400</v>
      </c>
      <c r="AR736" s="58" t="n">
        <f aca="false">IF(AND(OR(BU736="L1",BU736="L23"),AN736&gt;0),SUMIFS($AN$7:$AN$1576,$BU$7:$BU$1576,BU736,$AQ$7:$AQ$1576,"&gt;"&amp;AQ736)+SUMIFS($AN$7:$AN$1576,$BU$7:$BU$1576,BU736,$AQ$7:$AQ$1576,AQ736,$BO$7:$BO$1576,"&lt;="&amp;BO736),"")</f>
        <v>15.7986878463077</v>
      </c>
      <c r="AS736" s="65" t="n">
        <f aca="false">IF(AR736="",0,MAX(0,MIN(1,(IF(BU736="L1",Parameter!$E$5,Parameter!$E$6+Parameter!$E$7)-(AR736-AN736))/AN736)))</f>
        <v>1</v>
      </c>
      <c r="AT736" s="57" t="n">
        <f aca="false">IF(LEFT(Cockpit!$O$5,1)="A",G736,IF(BW736=1,BX736,IF(LEFT(Cockpit!$O$5,1)="B",AX736,MAX(AX736,G736))))</f>
        <v>24</v>
      </c>
      <c r="AU736" s="57" t="n">
        <f aca="false">IF(BR736=1,0,ROUNDUP(AT736/BQ736,0))</f>
        <v>0</v>
      </c>
      <c r="AV736" s="59" t="n">
        <f aca="false">IF(CD736&gt;0,CD736*MAX(1,AT736/V736),IF(BR736=1,IF(AT736&lt;=0,0,BS736*MAX(1,IF(G736&gt;0,AT736/G736,1))),IF(Q736&gt;0,AU736/Q736,0))/MAX(0.1,N(Parameter!$M$21)))</f>
        <v>0.03</v>
      </c>
      <c r="AW736" s="57" t="n">
        <f aca="false">AT736*F736</f>
        <v>392.4</v>
      </c>
      <c r="AX736" s="57" t="n">
        <f aca="false">ROUNDUP(MAX(I736/IF(BV736&gt;0,BV736,MAX(0.1,N(Cockpit!$O$6))),BY736)/BQ736,0)*BQ736</f>
        <v>24</v>
      </c>
      <c r="AY736" s="58" t="n">
        <f aca="false">IF(AV736&gt;0,I736/AV736,-1)</f>
        <v>2400</v>
      </c>
      <c r="AZ736" s="58" t="n">
        <f aca="false">IF(AND(OR(BU736="L1",BU736="L23"),AV736&gt;0),SUMIFS($AV$7:$AV$1576,$BU$7:$BU$1576,BU736,$AY$7:$AY$1576,"&gt;"&amp;AY736)+SUMIFS($AV$7:$AV$1576,$BU$7:$BU$1576,BU736,$AY$7:$AY$1576,AY736,$BO$7:$BO$1576,"&lt;="&amp;BO736),"")</f>
        <v>14.6028836505035</v>
      </c>
      <c r="BA736" s="65" t="n">
        <f aca="false">IF(AZ736="",0,MAX(0,MIN(1,(IF(BU736="L1",Parameter!$E$5,Parameter!$E$6+Parameter!$E$7)-(AZ736-AV736))/AV736)))</f>
        <v>1</v>
      </c>
      <c r="BB736" s="55" t="str">
        <f aca="false">IF(AF736&lt;=0,"",IF(BU736="Aussen","Aussenlager",IF(BU736="-","Nicht im Lift",IF(AK736&gt;=1,"Lift",IF(AK736&lt;=0,"Aussenlager","teilweise")))))</f>
        <v/>
      </c>
      <c r="BC736" s="55" t="str">
        <f aca="false">IF(AN736&lt;=0,"",IF(BU736="Aussen","Aussenlager",IF(BU736="-","Nicht im Lift",IF(AS736&gt;=1,"Lift",IF(AS736&lt;=0,"Aussenlager","teilweise")))))</f>
        <v>Lift</v>
      </c>
      <c r="BD736" s="55" t="str">
        <f aca="false">IF(AV736&lt;=0,"",IF(BU736="Aussen","Aussenlager",IF(BU736="-","Nicht im Lift",IF(BA736&gt;=1,"Lift",IF(BA736&lt;=0,"Aussenlager","teilweise")))))</f>
        <v>Lift</v>
      </c>
      <c r="BE736" s="55" t="str">
        <f aca="false">IF(A736="","",IF(BN736=1,"Neu; ","")&amp;IF(AND(BN736=0,BI736&lt;0),"negativer Bestand (Export "&amp;BI736&amp;"); ","")&amp;IF(I736&lt;=0,"Kein Verbrauch; ","")&amp;IF(CD736&gt;0,"Lift "&amp;U736&amp;" lt. Liftbericht (Fach "&amp;V736&amp;" Stk); ",IF(BR736=1,"Lose – Fläche geschätzt; ",""))&amp;IF(G736&gt;AP736,"Überbestand "&amp;ROUND(G736-AP736,0)&amp;" Stk / CHF "&amp;ROUND((G736-AP736)*F736,0)&amp;"; ","")&amp;IF(AND(BW736=1,BX736&lt;BY736),"MAX &lt; MB+LG; ","")&amp;IF(AND(CC736&gt;0,CB736*10&gt;CC736),"zu hoch für Tablar; ","")&amp;IF(AND(BN736=0,OR(BW736=1,Y736&lt;&gt;"",S736&lt;&gt;"",T736&lt;&gt;"",Z736&lt;&gt;"")),"manuell übersteuert; ","")&amp;IF(AND(BR736=0,Q736=0),"Gebinde unbekannt / Stellmass fehlt; ","")&amp;IF(AND(BR736=0,N(T736)&lt;=0,N(P736)&lt;=0),"Menge pro Gebinde fehlt (Ist = 1 Gebinde); ","")&amp;BM736)</f>
        <v>Lose – Fläche geschätzt; </v>
      </c>
      <c r="BF736" s="55"/>
      <c r="BG736" s="55"/>
      <c r="BH736" s="62"/>
      <c r="BI736" s="57" t="n">
        <v>0</v>
      </c>
      <c r="BJ736" s="57" t="n">
        <v>0</v>
      </c>
      <c r="BK736" s="56" t="n">
        <v>0</v>
      </c>
      <c r="BL736" s="57" t="n">
        <v>72</v>
      </c>
      <c r="BM736" s="55"/>
      <c r="BN736" s="60" t="n">
        <v>0</v>
      </c>
      <c r="BO736" s="60" t="n">
        <v>736</v>
      </c>
      <c r="BP736" s="55" t="str">
        <f aca="false">IF(S736&lt;&gt;"",UPPER(TRIM(S736)),IF(O736="","LOSE",O736))</f>
        <v>LOSE</v>
      </c>
      <c r="BQ736" s="57" t="n">
        <f aca="false">IF(BP736="LOSE",1,IF(N(T736)&gt;0,T736,IF(N(P736)&gt;0,P736,MAX(1,G736))))</f>
        <v>1</v>
      </c>
      <c r="BR736" s="60" t="n">
        <f aca="false">IF(BP736="LOSE",1,0)</f>
        <v>1</v>
      </c>
      <c r="BS736" s="59" t="n">
        <f aca="false">IF(BR736=0,0,IF(N(R736)&gt;0,R736,IFERROR(VLOOKUP(D736,Parameter!$A$35:$C$64,3,0)+0,0)))</f>
        <v>0.03</v>
      </c>
      <c r="BT736" s="55" t="n">
        <f aca="false">IF(Y736&lt;&gt;"",Y736,X736)</f>
        <v>2</v>
      </c>
      <c r="BU736" s="55" t="str">
        <f aca="false">IF(BT736=1,"L1",IF(OR(BT736=2,BT736=3),"L23",IF(BT736="Aussen","Aussen","-")))</f>
        <v>L23</v>
      </c>
      <c r="BV736" s="66" t="n">
        <f aca="false">IF(N(Z736)&gt;0,Z736,0)</f>
        <v>0</v>
      </c>
      <c r="BW736" s="60" t="n">
        <f aca="false">IF(ISNUMBER(AC736),1,0)</f>
        <v>0</v>
      </c>
      <c r="BX736" s="57" t="n">
        <f aca="false">N(AC736)</f>
        <v>0</v>
      </c>
      <c r="BY736" s="57" t="n">
        <f aca="false">N(L736)+N(M736)</f>
        <v>0</v>
      </c>
      <c r="BZ736" s="57" t="n">
        <f aca="false">ROUNDUP(G736/BQ736,0)</f>
        <v>0</v>
      </c>
      <c r="CA736" s="57" t="n">
        <f aca="false">ROUNDUP(BX736/BQ736,0)</f>
        <v>0</v>
      </c>
      <c r="CB736" s="60" t="n">
        <f aca="false">IF(BR736=1,0,IFERROR(VLOOKUP(BP736,'Gebinde-Kategorie'!$A$5:$M$45,5,0)+0,0))</f>
        <v>0</v>
      </c>
      <c r="CC736" s="60" t="n">
        <f aca="false">IFERROR(IF(OR(BT736=1,BT736=2,BT736=3),N(INDEX(Parameter!$I$5:$I$7,BT736)),0),0)</f>
        <v>0</v>
      </c>
      <c r="CD736" s="59" t="n">
        <f aca="false">IF(AND(Parameter!$B$21="Ja",ISNUMBER(U736),N(V736)&gt;0),IFERROR(N(INDEX(Parameter!$L$5:$L$7,U736))*INDEX(Parameter!$E$5:$E$7,U736)*V736/SUMIFS($V$7:$V$1576,$U$7:$U$1576,U736),0),0)</f>
        <v>0</v>
      </c>
    </row>
    <row r="737" customFormat="false" ht="15" hidden="false" customHeight="false" outlineLevel="0" collapsed="false">
      <c r="A737" s="55" t="s">
        <v>1447</v>
      </c>
      <c r="B737" s="55" t="s">
        <v>1448</v>
      </c>
      <c r="C737" s="55" t="s">
        <v>160</v>
      </c>
      <c r="D737" s="55" t="s">
        <v>178</v>
      </c>
      <c r="E737" s="55" t="s">
        <v>210</v>
      </c>
      <c r="F737" s="56" t="n">
        <v>914.73</v>
      </c>
      <c r="G737" s="57" t="n">
        <f aca="false">MAX(0,IF(AND(Parameter!$B$21="Ja",ISNUMBER(W737)),W737,IF(Parameter!$B$20="Jahresanfang 2025 + Export",BJ737+BI737,BI737)))</f>
        <v>0</v>
      </c>
      <c r="H737" s="57" t="n">
        <f aca="false">G737*F737</f>
        <v>0</v>
      </c>
      <c r="I737" s="57" t="n">
        <f aca="false">BL737*Parameter!$B$18</f>
        <v>0</v>
      </c>
      <c r="J737" s="58" t="n">
        <v>5</v>
      </c>
      <c r="K737" s="59" t="n">
        <v>0</v>
      </c>
      <c r="L737" s="57" t="n">
        <v>0</v>
      </c>
      <c r="M737" s="57" t="n">
        <v>1</v>
      </c>
      <c r="N737" s="60" t="n">
        <v>14</v>
      </c>
      <c r="O737" s="55" t="s">
        <v>179</v>
      </c>
      <c r="P737" s="57" t="n">
        <v>3</v>
      </c>
      <c r="Q737" s="60" t="n">
        <f aca="false">IF(BR737=1,0,IFERROR(VLOOKUP(BP737,'Gebinde-Kategorie'!$A$5:$M$45,13,0)+0,0))</f>
        <v>12</v>
      </c>
      <c r="R737" s="61"/>
      <c r="S737" s="62"/>
      <c r="T737" s="62"/>
      <c r="U737" s="55"/>
      <c r="V737" s="57"/>
      <c r="W737" s="57"/>
      <c r="X737" s="55" t="n">
        <f aca="false">IF(A737="","",IF(AND(Parameter!$B$21="Ja",ISNUMBER(U737)),U737,IF(IFERROR(VLOOKUP(D737,Parameter!$A$35:$C$64,2,0),"Nein")="2+3",IF(ISNUMBER(SEARCH("grosser Artikel",BM737)),2,IFERROR(VLOOKUP(BP737,Parameter!$F$35:$G$64,2,0),2)),IF(OR(IFERROR(VLOOKUP(D737,Parameter!$A$35:$C$64,2,0),"Nein")="Nein",IFERROR(VLOOKUP(D737,Parameter!$A$35:$C$64,2,0),"Nein")=""),"-",VLOOKUP(D737,Parameter!$A$35:$C$64,2,0)))))</f>
        <v>2</v>
      </c>
      <c r="Y737" s="62"/>
      <c r="Z737" s="63"/>
      <c r="AA737" s="57" t="n">
        <f aca="false">AP737</f>
        <v>3</v>
      </c>
      <c r="AB737" s="57" t="n">
        <f aca="false">MAX(AP737,G737)</f>
        <v>3</v>
      </c>
      <c r="AC737" s="64"/>
      <c r="AD737" s="57" t="n">
        <f aca="false">IF(LEFT(Cockpit!$C$5,1)="A",G737,IF(BW737=1,BX737,IF(LEFT(Cockpit!$C$5,1)="B",AH737,MAX(AH737,G737))))</f>
        <v>0</v>
      </c>
      <c r="AE737" s="57" t="n">
        <f aca="false">IF(BR737=1,0,ROUNDUP(AD737/BQ737,0))</f>
        <v>0</v>
      </c>
      <c r="AF737" s="59" t="n">
        <f aca="false">IF(CD737&gt;0,CD737*MAX(1,AD737/V737),IF(BR737=1,IF(AD737&lt;=0,0,BS737*MAX(1,IF(G737&gt;0,AD737/G737,1))),IF(Q737&gt;0,AE737/Q737,0))/MAX(0.1,N(Parameter!$M$21)))</f>
        <v>0</v>
      </c>
      <c r="AG737" s="57" t="n">
        <f aca="false">AD737*F737</f>
        <v>0</v>
      </c>
      <c r="AH737" s="57" t="n">
        <f aca="false">ROUNDUP(MAX(I737/IF(BV737&gt;0,BV737,MAX(0.1,N(Cockpit!$C$6))),BY737)/BQ737,0)*BQ737</f>
        <v>3</v>
      </c>
      <c r="AI737" s="58" t="n">
        <f aca="false">IF(AF737&gt;0,I737/AF737,-1)</f>
        <v>-1</v>
      </c>
      <c r="AJ737" s="58" t="str">
        <f aca="false">IF(AND(OR(BU737="L1",BU737="L23"),AF737&gt;0),SUMIFS($AF$7:$AF$1576,$BU$7:$BU$1576,BU737,$AI$7:$AI$1576,"&gt;"&amp;AI737)+SUMIFS($AF$7:$AF$1576,$BU$7:$BU$1576,BU737,$AI$7:$AI$1576,AI737,$BO$7:$BO$1576,"&lt;="&amp;BO737),"")</f>
        <v/>
      </c>
      <c r="AK737" s="65" t="n">
        <f aca="false">IF(AJ737="",0,MAX(0,MIN(1,(IF(BU737="L1",Parameter!$E$5,Parameter!$E$6+Parameter!$E$7)-(AJ737-AF737))/AF737)))</f>
        <v>0</v>
      </c>
      <c r="AL737" s="57" t="n">
        <f aca="false">IF(LEFT(Cockpit!$I$5,1)="A",G737,IF(BW737=1,BX737,IF(LEFT(Cockpit!$I$5,1)="B",AP737,MAX(AP737,G737))))</f>
        <v>3</v>
      </c>
      <c r="AM737" s="57" t="n">
        <f aca="false">IF(BR737=1,0,ROUNDUP(AL737/BQ737,0))</f>
        <v>1</v>
      </c>
      <c r="AN737" s="59" t="n">
        <f aca="false">IF(CD737&gt;0,CD737*MAX(1,AL737/V737),IF(BR737=1,IF(AL737&lt;=0,0,BS737*MAX(1,IF(G737&gt;0,AL737/G737,1))),IF(Q737&gt;0,AM737/Q737,0))/MAX(0.1,N(Parameter!$M$21)))</f>
        <v>0.0833333333333333</v>
      </c>
      <c r="AO737" s="57" t="n">
        <f aca="false">AL737*F737</f>
        <v>2744.19</v>
      </c>
      <c r="AP737" s="57" t="n">
        <f aca="false">ROUNDUP(MAX(I737/IF(BV737&gt;0,BV737,MAX(0.1,N(Cockpit!$I$6))),BY737)/BQ737,0)*BQ737</f>
        <v>3</v>
      </c>
      <c r="AQ737" s="58" t="n">
        <f aca="false">IF(AN737&gt;0,I737/AN737,-1)</f>
        <v>0</v>
      </c>
      <c r="AR737" s="58" t="n">
        <f aca="false">IF(AND(OR(BU737="L1",BU737="L23"),AN737&gt;0),SUMIFS($AN$7:$AN$1576,$BU$7:$BU$1576,BU737,$AQ$7:$AQ$1576,"&gt;"&amp;AQ737)+SUMIFS($AN$7:$AN$1576,$BU$7:$BU$1576,BU737,$AQ$7:$AQ$1576,AQ737,$BO$7:$BO$1576,"&lt;="&amp;BO737),"")</f>
        <v>130.053246246555</v>
      </c>
      <c r="AS737" s="65" t="n">
        <f aca="false">IF(AR737="",0,MAX(0,MIN(1,(IF(BU737="L1",Parameter!$E$5,Parameter!$E$6+Parameter!$E$7)-(AR737-AN737))/AN737)))</f>
        <v>0</v>
      </c>
      <c r="AT737" s="57" t="n">
        <f aca="false">IF(LEFT(Cockpit!$O$5,1)="A",G737,IF(BW737=1,BX737,IF(LEFT(Cockpit!$O$5,1)="B",AX737,MAX(AX737,G737))))</f>
        <v>3</v>
      </c>
      <c r="AU737" s="57" t="n">
        <f aca="false">IF(BR737=1,0,ROUNDUP(AT737/BQ737,0))</f>
        <v>1</v>
      </c>
      <c r="AV737" s="59" t="n">
        <f aca="false">IF(CD737&gt;0,CD737*MAX(1,AT737/V737),IF(BR737=1,IF(AT737&lt;=0,0,BS737*MAX(1,IF(G737&gt;0,AT737/G737,1))),IF(Q737&gt;0,AU737/Q737,0))/MAX(0.1,N(Parameter!$M$21)))</f>
        <v>0.0833333333333333</v>
      </c>
      <c r="AW737" s="57" t="n">
        <f aca="false">AT737*F737</f>
        <v>2744.19</v>
      </c>
      <c r="AX737" s="57" t="n">
        <f aca="false">ROUNDUP(MAX(I737/IF(BV737&gt;0,BV737,MAX(0.1,N(Cockpit!$O$6))),BY737)/BQ737,0)*BQ737</f>
        <v>3</v>
      </c>
      <c r="AY737" s="58" t="n">
        <f aca="false">IF(AV737&gt;0,I737/AV737,-1)</f>
        <v>0</v>
      </c>
      <c r="AZ737" s="58" t="n">
        <f aca="false">IF(AND(OR(BU737="L1",BU737="L23"),AV737&gt;0),SUMIFS($AV$7:$AV$1576,$BU$7:$BU$1576,BU737,$AY$7:$AY$1576,"&gt;"&amp;AY737)+SUMIFS($AV$7:$AV$1576,$BU$7:$BU$1576,BU737,$AY$7:$AY$1576,AY737,$BO$7:$BO$1576,"&lt;="&amp;BO737),"")</f>
        <v>120.112796696105</v>
      </c>
      <c r="BA737" s="65" t="n">
        <f aca="false">IF(AZ737="",0,MAX(0,MIN(1,(IF(BU737="L1",Parameter!$E$5,Parameter!$E$6+Parameter!$E$7)-(AZ737-AV737))/AV737)))</f>
        <v>0</v>
      </c>
      <c r="BB737" s="55" t="str">
        <f aca="false">IF(AF737&lt;=0,"",IF(BU737="Aussen","Aussenlager",IF(BU737="-","Nicht im Lift",IF(AK737&gt;=1,"Lift",IF(AK737&lt;=0,"Aussenlager","teilweise")))))</f>
        <v/>
      </c>
      <c r="BC737" s="55" t="str">
        <f aca="false">IF(AN737&lt;=0,"",IF(BU737="Aussen","Aussenlager",IF(BU737="-","Nicht im Lift",IF(AS737&gt;=1,"Lift",IF(AS737&lt;=0,"Aussenlager","teilweise")))))</f>
        <v>Aussenlager</v>
      </c>
      <c r="BD737" s="55" t="str">
        <f aca="false">IF(AV737&lt;=0,"",IF(BU737="Aussen","Aussenlager",IF(BU737="-","Nicht im Lift",IF(BA737&gt;=1,"Lift",IF(BA737&lt;=0,"Aussenlager","teilweise")))))</f>
        <v>Aussenlager</v>
      </c>
      <c r="BE737" s="55" t="str">
        <f aca="false">IF(A737="","",IF(BN737=1,"Neu; ","")&amp;IF(AND(BN737=0,BI737&lt;0),"negativer Bestand (Export "&amp;BI737&amp;"); ","")&amp;IF(I737&lt;=0,"Kein Verbrauch; ","")&amp;IF(CD737&gt;0,"Lift "&amp;U737&amp;" lt. Liftbericht (Fach "&amp;V737&amp;" Stk); ",IF(BR737=1,"Lose – Fläche geschätzt; ",""))&amp;IF(G737&gt;AP737,"Überbestand "&amp;ROUND(G737-AP737,0)&amp;" Stk / CHF "&amp;ROUND((G737-AP737)*F737,0)&amp;"; ","")&amp;IF(AND(BW737=1,BX737&lt;BY737),"MAX &lt; MB+LG; ","")&amp;IF(AND(CC737&gt;0,CB737*10&gt;CC737),"zu hoch für Tablar; ","")&amp;IF(AND(BN737=0,OR(BW737=1,Y737&lt;&gt;"",S737&lt;&gt;"",T737&lt;&gt;"",Z737&lt;&gt;"")),"manuell übersteuert; ","")&amp;IF(AND(BR737=0,Q737=0),"Gebinde unbekannt / Stellmass fehlt; ","")&amp;IF(AND(BR737=0,N(T737)&lt;=0,N(P737)&lt;=0),"Menge pro Gebinde fehlt (Ist = 1 Gebinde); ","")&amp;BM737)</f>
        <v>Kein Verbrauch; Ohne Fuss</v>
      </c>
      <c r="BF737" s="55"/>
      <c r="BG737" s="55"/>
      <c r="BH737" s="62"/>
      <c r="BI737" s="57" t="n">
        <v>0</v>
      </c>
      <c r="BJ737" s="57" t="n">
        <v>5</v>
      </c>
      <c r="BK737" s="56" t="n">
        <v>0</v>
      </c>
      <c r="BL737" s="57" t="n">
        <v>0</v>
      </c>
      <c r="BM737" s="55" t="s">
        <v>1449</v>
      </c>
      <c r="BN737" s="60" t="n">
        <v>0</v>
      </c>
      <c r="BO737" s="60" t="n">
        <v>737</v>
      </c>
      <c r="BP737" s="55" t="str">
        <f aca="false">IF(S737&lt;&gt;"",UPPER(TRIM(S737)),IF(O737="","LOSE",O737))</f>
        <v>S61</v>
      </c>
      <c r="BQ737" s="57" t="n">
        <f aca="false">IF(BP737="LOSE",1,IF(N(T737)&gt;0,T737,IF(N(P737)&gt;0,P737,MAX(1,G737))))</f>
        <v>3</v>
      </c>
      <c r="BR737" s="60" t="n">
        <f aca="false">IF(BP737="LOSE",1,0)</f>
        <v>0</v>
      </c>
      <c r="BS737" s="59" t="n">
        <f aca="false">IF(BR737=0,0,IF(N(R737)&gt;0,R737,IFERROR(VLOOKUP(D737,Parameter!$A$35:$C$64,3,0)+0,0)))</f>
        <v>0</v>
      </c>
      <c r="BT737" s="55" t="n">
        <f aca="false">IF(Y737&lt;&gt;"",Y737,X737)</f>
        <v>2</v>
      </c>
      <c r="BU737" s="55" t="str">
        <f aca="false">IF(BT737=1,"L1",IF(OR(BT737=2,BT737=3),"L23",IF(BT737="Aussen","Aussen","-")))</f>
        <v>L23</v>
      </c>
      <c r="BV737" s="66" t="n">
        <f aca="false">IF(N(Z737)&gt;0,Z737,0)</f>
        <v>0</v>
      </c>
      <c r="BW737" s="60" t="n">
        <f aca="false">IF(ISNUMBER(AC737),1,0)</f>
        <v>0</v>
      </c>
      <c r="BX737" s="57" t="n">
        <f aca="false">N(AC737)</f>
        <v>0</v>
      </c>
      <c r="BY737" s="57" t="n">
        <f aca="false">N(L737)+N(M737)</f>
        <v>1</v>
      </c>
      <c r="BZ737" s="57" t="n">
        <f aca="false">ROUNDUP(G737/BQ737,0)</f>
        <v>0</v>
      </c>
      <c r="CA737" s="57" t="n">
        <f aca="false">ROUNDUP(BX737/BQ737,0)</f>
        <v>0</v>
      </c>
      <c r="CB737" s="60" t="n">
        <f aca="false">IF(BR737=1,0,IFERROR(VLOOKUP(BP737,'Gebinde-Kategorie'!$A$5:$M$45,5,0)+0,0))</f>
        <v>11</v>
      </c>
      <c r="CC737" s="60" t="n">
        <f aca="false">IFERROR(IF(OR(BT737=1,BT737=2,BT737=3),N(INDEX(Parameter!$I$5:$I$7,BT737)),0),0)</f>
        <v>0</v>
      </c>
      <c r="CD737" s="59" t="n">
        <f aca="false">IF(AND(Parameter!$B$21="Ja",ISNUMBER(U737),N(V737)&gt;0),IFERROR(N(INDEX(Parameter!$L$5:$L$7,U737))*INDEX(Parameter!$E$5:$E$7,U737)*V737/SUMIFS($V$7:$V$1576,$U$7:$U$1576,U737),0),0)</f>
        <v>0</v>
      </c>
    </row>
    <row r="738" customFormat="false" ht="15" hidden="false" customHeight="false" outlineLevel="0" collapsed="false">
      <c r="A738" s="55" t="s">
        <v>1450</v>
      </c>
      <c r="B738" s="55" t="s">
        <v>1451</v>
      </c>
      <c r="C738" s="55" t="s">
        <v>160</v>
      </c>
      <c r="D738" s="55" t="s">
        <v>178</v>
      </c>
      <c r="E738" s="55" t="s">
        <v>210</v>
      </c>
      <c r="F738" s="56" t="n">
        <v>170.05</v>
      </c>
      <c r="G738" s="57" t="n">
        <f aca="false">MAX(0,IF(AND(Parameter!$B$21="Ja",ISNUMBER(W738)),W738,IF(Parameter!$B$20="Jahresanfang 2025 + Export",BJ738+BI738,BI738)))</f>
        <v>0</v>
      </c>
      <c r="H738" s="57" t="n">
        <f aca="false">G738*F738</f>
        <v>0</v>
      </c>
      <c r="I738" s="57" t="n">
        <f aca="false">BL738*Parameter!$B$18</f>
        <v>0</v>
      </c>
      <c r="J738" s="58" t="n">
        <v>8</v>
      </c>
      <c r="K738" s="59" t="n">
        <v>0</v>
      </c>
      <c r="L738" s="57" t="n">
        <v>0</v>
      </c>
      <c r="M738" s="57" t="n">
        <v>1</v>
      </c>
      <c r="N738" s="60" t="n">
        <v>28</v>
      </c>
      <c r="O738" s="55" t="s">
        <v>319</v>
      </c>
      <c r="P738" s="57" t="n">
        <v>15</v>
      </c>
      <c r="Q738" s="60" t="n">
        <f aca="false">IF(BR738=1,0,IFERROR(VLOOKUP(BP738,'Gebinde-Kategorie'!$A$5:$M$45,13,0)+0,0))</f>
        <v>52</v>
      </c>
      <c r="R738" s="61"/>
      <c r="S738" s="62"/>
      <c r="T738" s="62"/>
      <c r="U738" s="55"/>
      <c r="V738" s="57"/>
      <c r="W738" s="57"/>
      <c r="X738" s="55" t="n">
        <f aca="false">IF(A738="","",IF(AND(Parameter!$B$21="Ja",ISNUMBER(U738)),U738,IF(IFERROR(VLOOKUP(D738,Parameter!$A$35:$C$64,2,0),"Nein")="2+3",IF(ISNUMBER(SEARCH("grosser Artikel",BM738)),2,IFERROR(VLOOKUP(BP738,Parameter!$F$35:$G$64,2,0),2)),IF(OR(IFERROR(VLOOKUP(D738,Parameter!$A$35:$C$64,2,0),"Nein")="Nein",IFERROR(VLOOKUP(D738,Parameter!$A$35:$C$64,2,0),"Nein")=""),"-",VLOOKUP(D738,Parameter!$A$35:$C$64,2,0)))))</f>
        <v>3</v>
      </c>
      <c r="Y738" s="62"/>
      <c r="Z738" s="63"/>
      <c r="AA738" s="57" t="n">
        <f aca="false">AP738</f>
        <v>15</v>
      </c>
      <c r="AB738" s="57" t="n">
        <f aca="false">MAX(AP738,G738)</f>
        <v>15</v>
      </c>
      <c r="AC738" s="64"/>
      <c r="AD738" s="57" t="n">
        <f aca="false">IF(LEFT(Cockpit!$C$5,1)="A",G738,IF(BW738=1,BX738,IF(LEFT(Cockpit!$C$5,1)="B",AH738,MAX(AH738,G738))))</f>
        <v>0</v>
      </c>
      <c r="AE738" s="57" t="n">
        <f aca="false">IF(BR738=1,0,ROUNDUP(AD738/BQ738,0))</f>
        <v>0</v>
      </c>
      <c r="AF738" s="59" t="n">
        <f aca="false">IF(CD738&gt;0,CD738*MAX(1,AD738/V738),IF(BR738=1,IF(AD738&lt;=0,0,BS738*MAX(1,IF(G738&gt;0,AD738/G738,1))),IF(Q738&gt;0,AE738/Q738,0))/MAX(0.1,N(Parameter!$M$21)))</f>
        <v>0</v>
      </c>
      <c r="AG738" s="57" t="n">
        <f aca="false">AD738*F738</f>
        <v>0</v>
      </c>
      <c r="AH738" s="57" t="n">
        <f aca="false">ROUNDUP(MAX(I738/IF(BV738&gt;0,BV738,MAX(0.1,N(Cockpit!$C$6))),BY738)/BQ738,0)*BQ738</f>
        <v>15</v>
      </c>
      <c r="AI738" s="58" t="n">
        <f aca="false">IF(AF738&gt;0,I738/AF738,-1)</f>
        <v>-1</v>
      </c>
      <c r="AJ738" s="58" t="str">
        <f aca="false">IF(AND(OR(BU738="L1",BU738="L23"),AF738&gt;0),SUMIFS($AF$7:$AF$1576,$BU$7:$BU$1576,BU738,$AI$7:$AI$1576,"&gt;"&amp;AI738)+SUMIFS($AF$7:$AF$1576,$BU$7:$BU$1576,BU738,$AI$7:$AI$1576,AI738,$BO$7:$BO$1576,"&lt;="&amp;BO738),"")</f>
        <v/>
      </c>
      <c r="AK738" s="65" t="n">
        <f aca="false">IF(AJ738="",0,MAX(0,MIN(1,(IF(BU738="L1",Parameter!$E$5,Parameter!$E$6+Parameter!$E$7)-(AJ738-AF738))/AF738)))</f>
        <v>0</v>
      </c>
      <c r="AL738" s="57" t="n">
        <f aca="false">IF(LEFT(Cockpit!$I$5,1)="A",G738,IF(BW738=1,BX738,IF(LEFT(Cockpit!$I$5,1)="B",AP738,MAX(AP738,G738))))</f>
        <v>15</v>
      </c>
      <c r="AM738" s="57" t="n">
        <f aca="false">IF(BR738=1,0,ROUNDUP(AL738/BQ738,0))</f>
        <v>1</v>
      </c>
      <c r="AN738" s="59" t="n">
        <f aca="false">IF(CD738&gt;0,CD738*MAX(1,AL738/V738),IF(BR738=1,IF(AL738&lt;=0,0,BS738*MAX(1,IF(G738&gt;0,AL738/G738,1))),IF(Q738&gt;0,AM738/Q738,0))/MAX(0.1,N(Parameter!$M$21)))</f>
        <v>0.0192307692307692</v>
      </c>
      <c r="AO738" s="57" t="n">
        <f aca="false">AL738*F738</f>
        <v>2550.75</v>
      </c>
      <c r="AP738" s="57" t="n">
        <f aca="false">ROUNDUP(MAX(I738/IF(BV738&gt;0,BV738,MAX(0.1,N(Cockpit!$I$6))),BY738)/BQ738,0)*BQ738</f>
        <v>15</v>
      </c>
      <c r="AQ738" s="58" t="n">
        <f aca="false">IF(AN738&gt;0,I738/AN738,-1)</f>
        <v>0</v>
      </c>
      <c r="AR738" s="58" t="n">
        <f aca="false">IF(AND(OR(BU738="L1",BU738="L23"),AN738&gt;0),SUMIFS($AN$7:$AN$1576,$BU$7:$BU$1576,BU738,$AQ$7:$AQ$1576,"&gt;"&amp;AQ738)+SUMIFS($AN$7:$AN$1576,$BU$7:$BU$1576,BU738,$AQ$7:$AQ$1576,AQ738,$BO$7:$BO$1576,"&lt;="&amp;BO738),"")</f>
        <v>130.072477015785</v>
      </c>
      <c r="AS738" s="65" t="n">
        <f aca="false">IF(AR738="",0,MAX(0,MIN(1,(IF(BU738="L1",Parameter!$E$5,Parameter!$E$6+Parameter!$E$7)-(AR738-AN738))/AN738)))</f>
        <v>0</v>
      </c>
      <c r="AT738" s="57" t="n">
        <f aca="false">IF(LEFT(Cockpit!$O$5,1)="A",G738,IF(BW738=1,BX738,IF(LEFT(Cockpit!$O$5,1)="B",AX738,MAX(AX738,G738))))</f>
        <v>15</v>
      </c>
      <c r="AU738" s="57" t="n">
        <f aca="false">IF(BR738=1,0,ROUNDUP(AT738/BQ738,0))</f>
        <v>1</v>
      </c>
      <c r="AV738" s="59" t="n">
        <f aca="false">IF(CD738&gt;0,CD738*MAX(1,AT738/V738),IF(BR738=1,IF(AT738&lt;=0,0,BS738*MAX(1,IF(G738&gt;0,AT738/G738,1))),IF(Q738&gt;0,AU738/Q738,0))/MAX(0.1,N(Parameter!$M$21)))</f>
        <v>0.0192307692307692</v>
      </c>
      <c r="AW738" s="57" t="n">
        <f aca="false">AT738*F738</f>
        <v>2550.75</v>
      </c>
      <c r="AX738" s="57" t="n">
        <f aca="false">ROUNDUP(MAX(I738/IF(BV738&gt;0,BV738,MAX(0.1,N(Cockpit!$O$6))),BY738)/BQ738,0)*BQ738</f>
        <v>15</v>
      </c>
      <c r="AY738" s="58" t="n">
        <f aca="false">IF(AV738&gt;0,I738/AV738,-1)</f>
        <v>0</v>
      </c>
      <c r="AZ738" s="58" t="n">
        <f aca="false">IF(AND(OR(BU738="L1",BU738="L23"),AV738&gt;0),SUMIFS($AV$7:$AV$1576,$BU$7:$BU$1576,BU738,$AY$7:$AY$1576,"&gt;"&amp;AY738)+SUMIFS($AV$7:$AV$1576,$BU$7:$BU$1576,BU738,$AY$7:$AY$1576,AY738,$BO$7:$BO$1576,"&lt;="&amp;BO738),"")</f>
        <v>120.132027465336</v>
      </c>
      <c r="BA738" s="65" t="n">
        <f aca="false">IF(AZ738="",0,MAX(0,MIN(1,(IF(BU738="L1",Parameter!$E$5,Parameter!$E$6+Parameter!$E$7)-(AZ738-AV738))/AV738)))</f>
        <v>0</v>
      </c>
      <c r="BB738" s="55" t="str">
        <f aca="false">IF(AF738&lt;=0,"",IF(BU738="Aussen","Aussenlager",IF(BU738="-","Nicht im Lift",IF(AK738&gt;=1,"Lift",IF(AK738&lt;=0,"Aussenlager","teilweise")))))</f>
        <v/>
      </c>
      <c r="BC738" s="55" t="str">
        <f aca="false">IF(AN738&lt;=0,"",IF(BU738="Aussen","Aussenlager",IF(BU738="-","Nicht im Lift",IF(AS738&gt;=1,"Lift",IF(AS738&lt;=0,"Aussenlager","teilweise")))))</f>
        <v>Aussenlager</v>
      </c>
      <c r="BD738" s="55" t="str">
        <f aca="false">IF(AV738&lt;=0,"",IF(BU738="Aussen","Aussenlager",IF(BU738="-","Nicht im Lift",IF(BA738&gt;=1,"Lift",IF(BA738&lt;=0,"Aussenlager","teilweise")))))</f>
        <v>Aussenlager</v>
      </c>
      <c r="BE738" s="55" t="str">
        <f aca="false">IF(A738="","",IF(BN738=1,"Neu; ","")&amp;IF(AND(BN738=0,BI738&lt;0),"negativer Bestand (Export "&amp;BI738&amp;"); ","")&amp;IF(I738&lt;=0,"Kein Verbrauch; ","")&amp;IF(CD738&gt;0,"Lift "&amp;U738&amp;" lt. Liftbericht (Fach "&amp;V738&amp;" Stk); ",IF(BR738=1,"Lose – Fläche geschätzt; ",""))&amp;IF(G738&gt;AP738,"Überbestand "&amp;ROUND(G738-AP738,0)&amp;" Stk / CHF "&amp;ROUND((G738-AP738)*F738,0)&amp;"; ","")&amp;IF(AND(BW738=1,BX738&lt;BY738),"MAX &lt; MB+LG; ","")&amp;IF(AND(CC738&gt;0,CB738*10&gt;CC738),"zu hoch für Tablar; ","")&amp;IF(AND(BN738=0,OR(BW738=1,Y738&lt;&gt;"",S738&lt;&gt;"",T738&lt;&gt;"",Z738&lt;&gt;"")),"manuell übersteuert; ","")&amp;IF(AND(BR738=0,Q738=0),"Gebinde unbekannt / Stellmass fehlt; ","")&amp;IF(AND(BR738=0,N(T738)&lt;=0,N(P738)&lt;=0),"Menge pro Gebinde fehlt (Ist = 1 Gebinde); ","")&amp;BM738)</f>
        <v>Kein Verbrauch; </v>
      </c>
      <c r="BF738" s="55"/>
      <c r="BG738" s="55"/>
      <c r="BH738" s="62"/>
      <c r="BI738" s="57" t="n">
        <v>0</v>
      </c>
      <c r="BJ738" s="57" t="n">
        <v>8</v>
      </c>
      <c r="BK738" s="56" t="n">
        <v>0</v>
      </c>
      <c r="BL738" s="57" t="n">
        <v>0</v>
      </c>
      <c r="BM738" s="55"/>
      <c r="BN738" s="60" t="n">
        <v>0</v>
      </c>
      <c r="BO738" s="60" t="n">
        <v>738</v>
      </c>
      <c r="BP738" s="55" t="str">
        <f aca="false">IF(S738&lt;&gt;"",UPPER(TRIM(S738)),IF(O738="","LOSE",O738))</f>
        <v>S41</v>
      </c>
      <c r="BQ738" s="57" t="n">
        <f aca="false">IF(BP738="LOSE",1,IF(N(T738)&gt;0,T738,IF(N(P738)&gt;0,P738,MAX(1,G738))))</f>
        <v>15</v>
      </c>
      <c r="BR738" s="60" t="n">
        <f aca="false">IF(BP738="LOSE",1,0)</f>
        <v>0</v>
      </c>
      <c r="BS738" s="59" t="n">
        <f aca="false">IF(BR738=0,0,IF(N(R738)&gt;0,R738,IFERROR(VLOOKUP(D738,Parameter!$A$35:$C$64,3,0)+0,0)))</f>
        <v>0</v>
      </c>
      <c r="BT738" s="55" t="n">
        <f aca="false">IF(Y738&lt;&gt;"",Y738,X738)</f>
        <v>3</v>
      </c>
      <c r="BU738" s="55" t="str">
        <f aca="false">IF(BT738=1,"L1",IF(OR(BT738=2,BT738=3),"L23",IF(BT738="Aussen","Aussen","-")))</f>
        <v>L23</v>
      </c>
      <c r="BV738" s="66" t="n">
        <f aca="false">IF(N(Z738)&gt;0,Z738,0)</f>
        <v>0</v>
      </c>
      <c r="BW738" s="60" t="n">
        <f aca="false">IF(ISNUMBER(AC738),1,0)</f>
        <v>0</v>
      </c>
      <c r="BX738" s="57" t="n">
        <f aca="false">N(AC738)</f>
        <v>0</v>
      </c>
      <c r="BY738" s="57" t="n">
        <f aca="false">N(L738)+N(M738)</f>
        <v>1</v>
      </c>
      <c r="BZ738" s="57" t="n">
        <f aca="false">ROUNDUP(G738/BQ738,0)</f>
        <v>0</v>
      </c>
      <c r="CA738" s="57" t="n">
        <f aca="false">ROUNDUP(BX738/BQ738,0)</f>
        <v>0</v>
      </c>
      <c r="CB738" s="60" t="n">
        <f aca="false">IF(BR738=1,0,IFERROR(VLOOKUP(BP738,'Gebinde-Kategorie'!$A$5:$M$45,5,0)+0,0))</f>
        <v>11</v>
      </c>
      <c r="CC738" s="60" t="n">
        <f aca="false">IFERROR(IF(OR(BT738=1,BT738=2,BT738=3),N(INDEX(Parameter!$I$5:$I$7,BT738)),0),0)</f>
        <v>0</v>
      </c>
      <c r="CD738" s="59" t="n">
        <f aca="false">IF(AND(Parameter!$B$21="Ja",ISNUMBER(U738),N(V738)&gt;0),IFERROR(N(INDEX(Parameter!$L$5:$L$7,U738))*INDEX(Parameter!$E$5:$E$7,U738)*V738/SUMIFS($V$7:$V$1576,$U$7:$U$1576,U738),0),0)</f>
        <v>0</v>
      </c>
    </row>
    <row r="739" customFormat="false" ht="15" hidden="false" customHeight="false" outlineLevel="0" collapsed="false">
      <c r="A739" s="55" t="s">
        <v>1452</v>
      </c>
      <c r="B739" s="55" t="s">
        <v>1453</v>
      </c>
      <c r="C739" s="55" t="s">
        <v>160</v>
      </c>
      <c r="D739" s="55" t="s">
        <v>984</v>
      </c>
      <c r="E739" s="55" t="s">
        <v>210</v>
      </c>
      <c r="F739" s="56" t="n">
        <v>1088.02</v>
      </c>
      <c r="G739" s="57" t="n">
        <f aca="false">MAX(0,IF(AND(Parameter!$B$21="Ja",ISNUMBER(W739)),W739,IF(Parameter!$B$20="Jahresanfang 2025 + Export",BJ739+BI739,BI739)))</f>
        <v>0</v>
      </c>
      <c r="H739" s="57" t="n">
        <f aca="false">G739*F739</f>
        <v>0</v>
      </c>
      <c r="I739" s="57" t="n">
        <f aca="false">BL739*Parameter!$B$18</f>
        <v>0</v>
      </c>
      <c r="J739" s="58" t="n">
        <v>0</v>
      </c>
      <c r="K739" s="59" t="n">
        <v>0</v>
      </c>
      <c r="L739" s="57" t="n">
        <v>0</v>
      </c>
      <c r="M739" s="57" t="n">
        <v>1</v>
      </c>
      <c r="N739" s="60" t="n">
        <v>42</v>
      </c>
      <c r="O739" s="55" t="s">
        <v>163</v>
      </c>
      <c r="P739" s="57"/>
      <c r="Q739" s="60" t="n">
        <f aca="false">IF(BR739=1,0,IFERROR(VLOOKUP(BP739,'Gebinde-Kategorie'!$A$5:$M$45,13,0)+0,0))</f>
        <v>0</v>
      </c>
      <c r="R739" s="61"/>
      <c r="S739" s="62"/>
      <c r="T739" s="62"/>
      <c r="U739" s="55"/>
      <c r="V739" s="57"/>
      <c r="W739" s="57"/>
      <c r="X739" s="55" t="str">
        <f aca="false">IF(A739="","",IF(AND(Parameter!$B$21="Ja",ISNUMBER(U739)),U739,IF(IFERROR(VLOOKUP(D739,Parameter!$A$35:$C$64,2,0),"Nein")="2+3",IF(ISNUMBER(SEARCH("grosser Artikel",BM739)),2,IFERROR(VLOOKUP(BP739,Parameter!$F$35:$G$64,2,0),2)),IF(OR(IFERROR(VLOOKUP(D739,Parameter!$A$35:$C$64,2,0),"Nein")="Nein",IFERROR(VLOOKUP(D739,Parameter!$A$35:$C$64,2,0),"Nein")=""),"-",VLOOKUP(D739,Parameter!$A$35:$C$64,2,0)))))</f>
        <v>-</v>
      </c>
      <c r="Y739" s="62"/>
      <c r="Z739" s="63"/>
      <c r="AA739" s="57" t="n">
        <f aca="false">AP739</f>
        <v>1</v>
      </c>
      <c r="AB739" s="57" t="n">
        <f aca="false">MAX(AP739,G739)</f>
        <v>1</v>
      </c>
      <c r="AC739" s="64"/>
      <c r="AD739" s="57" t="n">
        <f aca="false">IF(LEFT(Cockpit!$C$5,1)="A",G739,IF(BW739=1,BX739,IF(LEFT(Cockpit!$C$5,1)="B",AH739,MAX(AH739,G739))))</f>
        <v>0</v>
      </c>
      <c r="AE739" s="57" t="n">
        <f aca="false">IF(BR739=1,0,ROUNDUP(AD739/BQ739,0))</f>
        <v>0</v>
      </c>
      <c r="AF739" s="59" t="n">
        <f aca="false">IF(CD739&gt;0,CD739*MAX(1,AD739/V739),IF(BR739=1,IF(AD739&lt;=0,0,BS739*MAX(1,IF(G739&gt;0,AD739/G739,1))),IF(Q739&gt;0,AE739/Q739,0))/MAX(0.1,N(Parameter!$M$21)))</f>
        <v>0</v>
      </c>
      <c r="AG739" s="57" t="n">
        <f aca="false">AD739*F739</f>
        <v>0</v>
      </c>
      <c r="AH739" s="57" t="n">
        <f aca="false">ROUNDUP(MAX(I739/IF(BV739&gt;0,BV739,MAX(0.1,N(Cockpit!$C$6))),BY739)/BQ739,0)*BQ739</f>
        <v>1</v>
      </c>
      <c r="AI739" s="58" t="n">
        <f aca="false">IF(AF739&gt;0,I739/AF739,-1)</f>
        <v>-1</v>
      </c>
      <c r="AJ739" s="58" t="str">
        <f aca="false">IF(AND(OR(BU739="L1",BU739="L23"),AF739&gt;0),SUMIFS($AF$7:$AF$1576,$BU$7:$BU$1576,BU739,$AI$7:$AI$1576,"&gt;"&amp;AI739)+SUMIFS($AF$7:$AF$1576,$BU$7:$BU$1576,BU739,$AI$7:$AI$1576,AI739,$BO$7:$BO$1576,"&lt;="&amp;BO739),"")</f>
        <v/>
      </c>
      <c r="AK739" s="65" t="n">
        <f aca="false">IF(AJ739="",0,MAX(0,MIN(1,(IF(BU739="L1",Parameter!$E$5,Parameter!$E$6+Parameter!$E$7)-(AJ739-AF739))/AF739)))</f>
        <v>0</v>
      </c>
      <c r="AL739" s="57" t="n">
        <f aca="false">IF(LEFT(Cockpit!$I$5,1)="A",G739,IF(BW739=1,BX739,IF(LEFT(Cockpit!$I$5,1)="B",AP739,MAX(AP739,G739))))</f>
        <v>1</v>
      </c>
      <c r="AM739" s="57" t="n">
        <f aca="false">IF(BR739=1,0,ROUNDUP(AL739/BQ739,0))</f>
        <v>0</v>
      </c>
      <c r="AN739" s="59" t="n">
        <f aca="false">IF(CD739&gt;0,CD739*MAX(1,AL739/V739),IF(BR739=1,IF(AL739&lt;=0,0,BS739*MAX(1,IF(G739&gt;0,AL739/G739,1))),IF(Q739&gt;0,AM739/Q739,0))/MAX(0.1,N(Parameter!$M$21)))</f>
        <v>0.15</v>
      </c>
      <c r="AO739" s="57" t="n">
        <f aca="false">AL739*F739</f>
        <v>1088.02</v>
      </c>
      <c r="AP739" s="57" t="n">
        <f aca="false">ROUNDUP(MAX(I739/IF(BV739&gt;0,BV739,MAX(0.1,N(Cockpit!$I$6))),BY739)/BQ739,0)*BQ739</f>
        <v>1</v>
      </c>
      <c r="AQ739" s="58" t="n">
        <f aca="false">IF(AN739&gt;0,I739/AN739,-1)</f>
        <v>0</v>
      </c>
      <c r="AR739" s="58" t="str">
        <f aca="false">IF(AND(OR(BU739="L1",BU739="L23"),AN739&gt;0),SUMIFS($AN$7:$AN$1576,$BU$7:$BU$1576,BU739,$AQ$7:$AQ$1576,"&gt;"&amp;AQ739)+SUMIFS($AN$7:$AN$1576,$BU$7:$BU$1576,BU739,$AQ$7:$AQ$1576,AQ739,$BO$7:$BO$1576,"&lt;="&amp;BO739),"")</f>
        <v/>
      </c>
      <c r="AS739" s="65" t="n">
        <f aca="false">IF(AR739="",0,MAX(0,MIN(1,(IF(BU739="L1",Parameter!$E$5,Parameter!$E$6+Parameter!$E$7)-(AR739-AN739))/AN739)))</f>
        <v>0</v>
      </c>
      <c r="AT739" s="57" t="n">
        <f aca="false">IF(LEFT(Cockpit!$O$5,1)="A",G739,IF(BW739=1,BX739,IF(LEFT(Cockpit!$O$5,1)="B",AX739,MAX(AX739,G739))))</f>
        <v>1</v>
      </c>
      <c r="AU739" s="57" t="n">
        <f aca="false">IF(BR739=1,0,ROUNDUP(AT739/BQ739,0))</f>
        <v>0</v>
      </c>
      <c r="AV739" s="59" t="n">
        <f aca="false">IF(CD739&gt;0,CD739*MAX(1,AT739/V739),IF(BR739=1,IF(AT739&lt;=0,0,BS739*MAX(1,IF(G739&gt;0,AT739/G739,1))),IF(Q739&gt;0,AU739/Q739,0))/MAX(0.1,N(Parameter!$M$21)))</f>
        <v>0.15</v>
      </c>
      <c r="AW739" s="57" t="n">
        <f aca="false">AT739*F739</f>
        <v>1088.02</v>
      </c>
      <c r="AX739" s="57" t="n">
        <f aca="false">ROUNDUP(MAX(I739/IF(BV739&gt;0,BV739,MAX(0.1,N(Cockpit!$O$6))),BY739)/BQ739,0)*BQ739</f>
        <v>1</v>
      </c>
      <c r="AY739" s="58" t="n">
        <f aca="false">IF(AV739&gt;0,I739/AV739,-1)</f>
        <v>0</v>
      </c>
      <c r="AZ739" s="58" t="str">
        <f aca="false">IF(AND(OR(BU739="L1",BU739="L23"),AV739&gt;0),SUMIFS($AV$7:$AV$1576,$BU$7:$BU$1576,BU739,$AY$7:$AY$1576,"&gt;"&amp;AY739)+SUMIFS($AV$7:$AV$1576,$BU$7:$BU$1576,BU739,$AY$7:$AY$1576,AY739,$BO$7:$BO$1576,"&lt;="&amp;BO739),"")</f>
        <v/>
      </c>
      <c r="BA739" s="65" t="n">
        <f aca="false">IF(AZ739="",0,MAX(0,MIN(1,(IF(BU739="L1",Parameter!$E$5,Parameter!$E$6+Parameter!$E$7)-(AZ739-AV739))/AV739)))</f>
        <v>0</v>
      </c>
      <c r="BB739" s="55" t="str">
        <f aca="false">IF(AF739&lt;=0,"",IF(BU739="Aussen","Aussenlager",IF(BU739="-","Nicht im Lift",IF(AK739&gt;=1,"Lift",IF(AK739&lt;=0,"Aussenlager","teilweise")))))</f>
        <v/>
      </c>
      <c r="BC739" s="55" t="str">
        <f aca="false">IF(AN739&lt;=0,"",IF(BU739="Aussen","Aussenlager",IF(BU739="-","Nicht im Lift",IF(AS739&gt;=1,"Lift",IF(AS739&lt;=0,"Aussenlager","teilweise")))))</f>
        <v>Nicht im Lift</v>
      </c>
      <c r="BD739" s="55" t="str">
        <f aca="false">IF(AV739&lt;=0,"",IF(BU739="Aussen","Aussenlager",IF(BU739="-","Nicht im Lift",IF(BA739&gt;=1,"Lift",IF(BA739&lt;=0,"Aussenlager","teilweise")))))</f>
        <v>Nicht im Lift</v>
      </c>
      <c r="BE739" s="55" t="str">
        <f aca="false">IF(A739="","",IF(BN739=1,"Neu; ","")&amp;IF(AND(BN739=0,BI739&lt;0),"negativer Bestand (Export "&amp;BI739&amp;"); ","")&amp;IF(I739&lt;=0,"Kein Verbrauch; ","")&amp;IF(CD739&gt;0,"Lift "&amp;U739&amp;" lt. Liftbericht (Fach "&amp;V739&amp;" Stk); ",IF(BR739=1,"Lose – Fläche geschätzt; ",""))&amp;IF(G739&gt;AP739,"Überbestand "&amp;ROUND(G739-AP739,0)&amp;" Stk / CHF "&amp;ROUND((G739-AP739)*F739,0)&amp;"; ","")&amp;IF(AND(BW739=1,BX739&lt;BY739),"MAX &lt; MB+LG; ","")&amp;IF(AND(CC739&gt;0,CB739*10&gt;CC739),"zu hoch für Tablar; ","")&amp;IF(AND(BN739=0,OR(BW739=1,Y739&lt;&gt;"",S739&lt;&gt;"",T739&lt;&gt;"",Z739&lt;&gt;"")),"manuell übersteuert; ","")&amp;IF(AND(BR739=0,Q739=0),"Gebinde unbekannt / Stellmass fehlt; ","")&amp;IF(AND(BR739=0,N(T739)&lt;=0,N(P739)&lt;=0),"Menge pro Gebinde fehlt (Ist = 1 Gebinde); ","")&amp;BM739)</f>
        <v>Kein Verbrauch; Lose – Fläche geschätzt; </v>
      </c>
      <c r="BF739" s="55"/>
      <c r="BG739" s="55"/>
      <c r="BH739" s="62"/>
      <c r="BI739" s="57" t="n">
        <v>0</v>
      </c>
      <c r="BJ739" s="57" t="n">
        <v>0</v>
      </c>
      <c r="BK739" s="56" t="n">
        <v>0</v>
      </c>
      <c r="BL739" s="57" t="n">
        <v>0</v>
      </c>
      <c r="BM739" s="55"/>
      <c r="BN739" s="60" t="n">
        <v>0</v>
      </c>
      <c r="BO739" s="60" t="n">
        <v>739</v>
      </c>
      <c r="BP739" s="55" t="str">
        <f aca="false">IF(S739&lt;&gt;"",UPPER(TRIM(S739)),IF(O739="","LOSE",O739))</f>
        <v>LOSE</v>
      </c>
      <c r="BQ739" s="57" t="n">
        <f aca="false">IF(BP739="LOSE",1,IF(N(T739)&gt;0,T739,IF(N(P739)&gt;0,P739,MAX(1,G739))))</f>
        <v>1</v>
      </c>
      <c r="BR739" s="60" t="n">
        <f aca="false">IF(BP739="LOSE",1,0)</f>
        <v>1</v>
      </c>
      <c r="BS739" s="59" t="n">
        <f aca="false">IF(BR739=0,0,IF(N(R739)&gt;0,R739,IFERROR(VLOOKUP(D739,Parameter!$A$35:$C$64,3,0)+0,0)))</f>
        <v>0.15</v>
      </c>
      <c r="BT739" s="55" t="str">
        <f aca="false">IF(Y739&lt;&gt;"",Y739,X739)</f>
        <v>-</v>
      </c>
      <c r="BU739" s="55" t="str">
        <f aca="false">IF(BT739=1,"L1",IF(OR(BT739=2,BT739=3),"L23",IF(BT739="Aussen","Aussen","-")))</f>
        <v>-</v>
      </c>
      <c r="BV739" s="66" t="n">
        <f aca="false">IF(N(Z739)&gt;0,Z739,0)</f>
        <v>0</v>
      </c>
      <c r="BW739" s="60" t="n">
        <f aca="false">IF(ISNUMBER(AC739),1,0)</f>
        <v>0</v>
      </c>
      <c r="BX739" s="57" t="n">
        <f aca="false">N(AC739)</f>
        <v>0</v>
      </c>
      <c r="BY739" s="57" t="n">
        <f aca="false">N(L739)+N(M739)</f>
        <v>1</v>
      </c>
      <c r="BZ739" s="57" t="n">
        <f aca="false">ROUNDUP(G739/BQ739,0)</f>
        <v>0</v>
      </c>
      <c r="CA739" s="57" t="n">
        <f aca="false">ROUNDUP(BX739/BQ739,0)</f>
        <v>0</v>
      </c>
      <c r="CB739" s="60" t="n">
        <f aca="false">IF(BR739=1,0,IFERROR(VLOOKUP(BP739,'Gebinde-Kategorie'!$A$5:$M$45,5,0)+0,0))</f>
        <v>0</v>
      </c>
      <c r="CC739" s="60" t="n">
        <f aca="false">IFERROR(IF(OR(BT739=1,BT739=2,BT739=3),N(INDEX(Parameter!$I$5:$I$7,BT739)),0),0)</f>
        <v>0</v>
      </c>
      <c r="CD739" s="59" t="n">
        <f aca="false">IF(AND(Parameter!$B$21="Ja",ISNUMBER(U739),N(V739)&gt;0),IFERROR(N(INDEX(Parameter!$L$5:$L$7,U739))*INDEX(Parameter!$E$5:$E$7,U739)*V739/SUMIFS($V$7:$V$1576,$U$7:$U$1576,U739),0),0)</f>
        <v>0</v>
      </c>
    </row>
    <row r="740" customFormat="false" ht="15" hidden="false" customHeight="false" outlineLevel="0" collapsed="false">
      <c r="A740" s="55" t="s">
        <v>1454</v>
      </c>
      <c r="B740" s="55" t="s">
        <v>1455</v>
      </c>
      <c r="C740" s="55" t="s">
        <v>446</v>
      </c>
      <c r="D740" s="55" t="s">
        <v>168</v>
      </c>
      <c r="E740" s="55" t="s">
        <v>210</v>
      </c>
      <c r="F740" s="56" t="n">
        <v>0.01</v>
      </c>
      <c r="G740" s="57" t="n">
        <f aca="false">MAX(0,IF(AND(Parameter!$B$21="Ja",ISNUMBER(W740)),W740,IF(Parameter!$B$20="Jahresanfang 2025 + Export",BJ740+BI740,BI740)))</f>
        <v>0</v>
      </c>
      <c r="H740" s="57" t="n">
        <f aca="false">G740*F740</f>
        <v>0</v>
      </c>
      <c r="I740" s="57" t="n">
        <f aca="false">BL740*Parameter!$B$18</f>
        <v>0</v>
      </c>
      <c r="J740" s="58" t="n">
        <v>49.5</v>
      </c>
      <c r="K740" s="59" t="n">
        <v>0</v>
      </c>
      <c r="L740" s="57" t="n">
        <v>0</v>
      </c>
      <c r="M740" s="57" t="n">
        <v>10</v>
      </c>
      <c r="N740" s="60" t="n">
        <v>90</v>
      </c>
      <c r="O740" s="55" t="s">
        <v>163</v>
      </c>
      <c r="P740" s="57"/>
      <c r="Q740" s="60" t="n">
        <f aca="false">IF(BR740=1,0,IFERROR(VLOOKUP(BP740,'Gebinde-Kategorie'!$A$5:$M$45,13,0)+0,0))</f>
        <v>0</v>
      </c>
      <c r="R740" s="61"/>
      <c r="S740" s="62"/>
      <c r="T740" s="62"/>
      <c r="U740" s="55"/>
      <c r="V740" s="57"/>
      <c r="W740" s="57"/>
      <c r="X740" s="55" t="n">
        <f aca="false">IF(A740="","",IF(AND(Parameter!$B$21="Ja",ISNUMBER(U740)),U740,IF(IFERROR(VLOOKUP(D740,Parameter!$A$35:$C$64,2,0),"Nein")="2+3",IF(ISNUMBER(SEARCH("grosser Artikel",BM740)),2,IFERROR(VLOOKUP(BP740,Parameter!$F$35:$G$64,2,0),2)),IF(OR(IFERROR(VLOOKUP(D740,Parameter!$A$35:$C$64,2,0),"Nein")="Nein",IFERROR(VLOOKUP(D740,Parameter!$A$35:$C$64,2,0),"Nein")=""),"-",VLOOKUP(D740,Parameter!$A$35:$C$64,2,0)))))</f>
        <v>2</v>
      </c>
      <c r="Y740" s="62"/>
      <c r="Z740" s="63"/>
      <c r="AA740" s="57" t="n">
        <f aca="false">AP740</f>
        <v>10</v>
      </c>
      <c r="AB740" s="57" t="n">
        <f aca="false">MAX(AP740,G740)</f>
        <v>10</v>
      </c>
      <c r="AC740" s="64"/>
      <c r="AD740" s="57" t="n">
        <f aca="false">IF(LEFT(Cockpit!$C$5,1)="A",G740,IF(BW740=1,BX740,IF(LEFT(Cockpit!$C$5,1)="B",AH740,MAX(AH740,G740))))</f>
        <v>0</v>
      </c>
      <c r="AE740" s="57" t="n">
        <f aca="false">IF(BR740=1,0,ROUNDUP(AD740/BQ740,0))</f>
        <v>0</v>
      </c>
      <c r="AF740" s="59" t="n">
        <f aca="false">IF(CD740&gt;0,CD740*MAX(1,AD740/V740),IF(BR740=1,IF(AD740&lt;=0,0,BS740*MAX(1,IF(G740&gt;0,AD740/G740,1))),IF(Q740&gt;0,AE740/Q740,0))/MAX(0.1,N(Parameter!$M$21)))</f>
        <v>0</v>
      </c>
      <c r="AG740" s="57" t="n">
        <f aca="false">AD740*F740</f>
        <v>0</v>
      </c>
      <c r="AH740" s="57" t="n">
        <f aca="false">ROUNDUP(MAX(I740/IF(BV740&gt;0,BV740,MAX(0.1,N(Cockpit!$C$6))),BY740)/BQ740,0)*BQ740</f>
        <v>10</v>
      </c>
      <c r="AI740" s="58" t="n">
        <f aca="false">IF(AF740&gt;0,I740/AF740,-1)</f>
        <v>-1</v>
      </c>
      <c r="AJ740" s="58" t="str">
        <f aca="false">IF(AND(OR(BU740="L1",BU740="L23"),AF740&gt;0),SUMIFS($AF$7:$AF$1576,$BU$7:$BU$1576,BU740,$AI$7:$AI$1576,"&gt;"&amp;AI740)+SUMIFS($AF$7:$AF$1576,$BU$7:$BU$1576,BU740,$AI$7:$AI$1576,AI740,$BO$7:$BO$1576,"&lt;="&amp;BO740),"")</f>
        <v/>
      </c>
      <c r="AK740" s="65" t="n">
        <f aca="false">IF(AJ740="",0,MAX(0,MIN(1,(IF(BU740="L1",Parameter!$E$5,Parameter!$E$6+Parameter!$E$7)-(AJ740-AF740))/AF740)))</f>
        <v>0</v>
      </c>
      <c r="AL740" s="57" t="n">
        <f aca="false">IF(LEFT(Cockpit!$I$5,1)="A",G740,IF(BW740=1,BX740,IF(LEFT(Cockpit!$I$5,1)="B",AP740,MAX(AP740,G740))))</f>
        <v>10</v>
      </c>
      <c r="AM740" s="57" t="n">
        <f aca="false">IF(BR740=1,0,ROUNDUP(AL740/BQ740,0))</f>
        <v>0</v>
      </c>
      <c r="AN740" s="59" t="n">
        <f aca="false">IF(CD740&gt;0,CD740*MAX(1,AL740/V740),IF(BR740=1,IF(AL740&lt;=0,0,BS740*MAX(1,IF(G740&gt;0,AL740/G740,1))),IF(Q740&gt;0,AM740/Q740,0))/MAX(0.1,N(Parameter!$M$21)))</f>
        <v>0.15</v>
      </c>
      <c r="AO740" s="57" t="n">
        <f aca="false">AL740*F740</f>
        <v>0.1</v>
      </c>
      <c r="AP740" s="57" t="n">
        <f aca="false">ROUNDUP(MAX(I740/IF(BV740&gt;0,BV740,MAX(0.1,N(Cockpit!$I$6))),BY740)/BQ740,0)*BQ740</f>
        <v>10</v>
      </c>
      <c r="AQ740" s="58" t="n">
        <f aca="false">IF(AN740&gt;0,I740/AN740,-1)</f>
        <v>0</v>
      </c>
      <c r="AR740" s="58" t="n">
        <f aca="false">IF(AND(OR(BU740="L1",BU740="L23"),AN740&gt;0),SUMIFS($AN$7:$AN$1576,$BU$7:$BU$1576,BU740,$AQ$7:$AQ$1576,"&gt;"&amp;AQ740)+SUMIFS($AN$7:$AN$1576,$BU$7:$BU$1576,BU740,$AQ$7:$AQ$1576,AQ740,$BO$7:$BO$1576,"&lt;="&amp;BO740),"")</f>
        <v>130.222477015785</v>
      </c>
      <c r="AS740" s="65" t="n">
        <f aca="false">IF(AR740="",0,MAX(0,MIN(1,(IF(BU740="L1",Parameter!$E$5,Parameter!$E$6+Parameter!$E$7)-(AR740-AN740))/AN740)))</f>
        <v>0</v>
      </c>
      <c r="AT740" s="57" t="n">
        <f aca="false">IF(LEFT(Cockpit!$O$5,1)="A",G740,IF(BW740=1,BX740,IF(LEFT(Cockpit!$O$5,1)="B",AX740,MAX(AX740,G740))))</f>
        <v>10</v>
      </c>
      <c r="AU740" s="57" t="n">
        <f aca="false">IF(BR740=1,0,ROUNDUP(AT740/BQ740,0))</f>
        <v>0</v>
      </c>
      <c r="AV740" s="59" t="n">
        <f aca="false">IF(CD740&gt;0,CD740*MAX(1,AT740/V740),IF(BR740=1,IF(AT740&lt;=0,0,BS740*MAX(1,IF(G740&gt;0,AT740/G740,1))),IF(Q740&gt;0,AU740/Q740,0))/MAX(0.1,N(Parameter!$M$21)))</f>
        <v>0.15</v>
      </c>
      <c r="AW740" s="57" t="n">
        <f aca="false">AT740*F740</f>
        <v>0.1</v>
      </c>
      <c r="AX740" s="57" t="n">
        <f aca="false">ROUNDUP(MAX(I740/IF(BV740&gt;0,BV740,MAX(0.1,N(Cockpit!$O$6))),BY740)/BQ740,0)*BQ740</f>
        <v>10</v>
      </c>
      <c r="AY740" s="58" t="n">
        <f aca="false">IF(AV740&gt;0,I740/AV740,-1)</f>
        <v>0</v>
      </c>
      <c r="AZ740" s="58" t="n">
        <f aca="false">IF(AND(OR(BU740="L1",BU740="L23"),AV740&gt;0),SUMIFS($AV$7:$AV$1576,$BU$7:$BU$1576,BU740,$AY$7:$AY$1576,"&gt;"&amp;AY740)+SUMIFS($AV$7:$AV$1576,$BU$7:$BU$1576,BU740,$AY$7:$AY$1576,AY740,$BO$7:$BO$1576,"&lt;="&amp;BO740),"")</f>
        <v>120.282027465336</v>
      </c>
      <c r="BA740" s="65" t="n">
        <f aca="false">IF(AZ740="",0,MAX(0,MIN(1,(IF(BU740="L1",Parameter!$E$5,Parameter!$E$6+Parameter!$E$7)-(AZ740-AV740))/AV740)))</f>
        <v>0</v>
      </c>
      <c r="BB740" s="55" t="str">
        <f aca="false">IF(AF740&lt;=0,"",IF(BU740="Aussen","Aussenlager",IF(BU740="-","Nicht im Lift",IF(AK740&gt;=1,"Lift",IF(AK740&lt;=0,"Aussenlager","teilweise")))))</f>
        <v/>
      </c>
      <c r="BC740" s="55" t="str">
        <f aca="false">IF(AN740&lt;=0,"",IF(BU740="Aussen","Aussenlager",IF(BU740="-","Nicht im Lift",IF(AS740&gt;=1,"Lift",IF(AS740&lt;=0,"Aussenlager","teilweise")))))</f>
        <v>Aussenlager</v>
      </c>
      <c r="BD740" s="55" t="str">
        <f aca="false">IF(AV740&lt;=0,"",IF(BU740="Aussen","Aussenlager",IF(BU740="-","Nicht im Lift",IF(BA740&gt;=1,"Lift",IF(BA740&lt;=0,"Aussenlager","teilweise")))))</f>
        <v>Aussenlager</v>
      </c>
      <c r="BE740" s="55" t="str">
        <f aca="false">IF(A740="","",IF(BN740=1,"Neu; ","")&amp;IF(AND(BN740=0,BI740&lt;0),"negativer Bestand (Export "&amp;BI740&amp;"); ","")&amp;IF(I740&lt;=0,"Kein Verbrauch; ","")&amp;IF(CD740&gt;0,"Lift "&amp;U740&amp;" lt. Liftbericht (Fach "&amp;V740&amp;" Stk); ",IF(BR740=1,"Lose – Fläche geschätzt; ",""))&amp;IF(G740&gt;AP740,"Überbestand "&amp;ROUND(G740-AP740,0)&amp;" Stk / CHF "&amp;ROUND((G740-AP740)*F740,0)&amp;"; ","")&amp;IF(AND(BW740=1,BX740&lt;BY740),"MAX &lt; MB+LG; ","")&amp;IF(AND(CC740&gt;0,CB740*10&gt;CC740),"zu hoch für Tablar; ","")&amp;IF(AND(BN740=0,OR(BW740=1,Y740&lt;&gt;"",S740&lt;&gt;"",T740&lt;&gt;"",Z740&lt;&gt;"")),"manuell übersteuert; ","")&amp;IF(AND(BR740=0,Q740=0),"Gebinde unbekannt / Stellmass fehlt; ","")&amp;IF(AND(BR740=0,N(T740)&lt;=0,N(P740)&lt;=0),"Menge pro Gebinde fehlt (Ist = 1 Gebinde); ","")&amp;BM740)</f>
        <v>Kein Verbrauch; Lose – Fläche geschätzt; </v>
      </c>
      <c r="BF740" s="55"/>
      <c r="BG740" s="55"/>
      <c r="BH740" s="62"/>
      <c r="BI740" s="57" t="n">
        <v>0</v>
      </c>
      <c r="BJ740" s="57" t="n">
        <v>0</v>
      </c>
      <c r="BK740" s="56" t="n">
        <v>-1.11022302462516E-016</v>
      </c>
      <c r="BL740" s="57" t="n">
        <v>0</v>
      </c>
      <c r="BM740" s="55"/>
      <c r="BN740" s="60" t="n">
        <v>0</v>
      </c>
      <c r="BO740" s="60" t="n">
        <v>740</v>
      </c>
      <c r="BP740" s="55" t="str">
        <f aca="false">IF(S740&lt;&gt;"",UPPER(TRIM(S740)),IF(O740="","LOSE",O740))</f>
        <v>LOSE</v>
      </c>
      <c r="BQ740" s="57" t="n">
        <f aca="false">IF(BP740="LOSE",1,IF(N(T740)&gt;0,T740,IF(N(P740)&gt;0,P740,MAX(1,G740))))</f>
        <v>1</v>
      </c>
      <c r="BR740" s="60" t="n">
        <f aca="false">IF(BP740="LOSE",1,0)</f>
        <v>1</v>
      </c>
      <c r="BS740" s="59" t="n">
        <f aca="false">IF(BR740=0,0,IF(N(R740)&gt;0,R740,IFERROR(VLOOKUP(D740,Parameter!$A$35:$C$64,3,0)+0,0)))</f>
        <v>0.15</v>
      </c>
      <c r="BT740" s="55" t="n">
        <f aca="false">IF(Y740&lt;&gt;"",Y740,X740)</f>
        <v>2</v>
      </c>
      <c r="BU740" s="55" t="str">
        <f aca="false">IF(BT740=1,"L1",IF(OR(BT740=2,BT740=3),"L23",IF(BT740="Aussen","Aussen","-")))</f>
        <v>L23</v>
      </c>
      <c r="BV740" s="66" t="n">
        <f aca="false">IF(N(Z740)&gt;0,Z740,0)</f>
        <v>0</v>
      </c>
      <c r="BW740" s="60" t="n">
        <f aca="false">IF(ISNUMBER(AC740),1,0)</f>
        <v>0</v>
      </c>
      <c r="BX740" s="57" t="n">
        <f aca="false">N(AC740)</f>
        <v>0</v>
      </c>
      <c r="BY740" s="57" t="n">
        <f aca="false">N(L740)+N(M740)</f>
        <v>10</v>
      </c>
      <c r="BZ740" s="57" t="n">
        <f aca="false">ROUNDUP(G740/BQ740,0)</f>
        <v>0</v>
      </c>
      <c r="CA740" s="57" t="n">
        <f aca="false">ROUNDUP(BX740/BQ740,0)</f>
        <v>0</v>
      </c>
      <c r="CB740" s="60" t="n">
        <f aca="false">IF(BR740=1,0,IFERROR(VLOOKUP(BP740,'Gebinde-Kategorie'!$A$5:$M$45,5,0)+0,0))</f>
        <v>0</v>
      </c>
      <c r="CC740" s="60" t="n">
        <f aca="false">IFERROR(IF(OR(BT740=1,BT740=2,BT740=3),N(INDEX(Parameter!$I$5:$I$7,BT740)),0),0)</f>
        <v>0</v>
      </c>
      <c r="CD740" s="59" t="n">
        <f aca="false">IF(AND(Parameter!$B$21="Ja",ISNUMBER(U740),N(V740)&gt;0),IFERROR(N(INDEX(Parameter!$L$5:$L$7,U740))*INDEX(Parameter!$E$5:$E$7,U740)*V740/SUMIFS($V$7:$V$1576,$U$7:$U$1576,U740),0),0)</f>
        <v>0</v>
      </c>
    </row>
    <row r="741" customFormat="false" ht="15" hidden="false" customHeight="false" outlineLevel="0" collapsed="false">
      <c r="A741" s="55" t="s">
        <v>1456</v>
      </c>
      <c r="B741" s="55" t="s">
        <v>533</v>
      </c>
      <c r="C741" s="55" t="s">
        <v>160</v>
      </c>
      <c r="D741" s="55" t="s">
        <v>984</v>
      </c>
      <c r="E741" s="55" t="s">
        <v>210</v>
      </c>
      <c r="F741" s="56" t="n">
        <v>32.3</v>
      </c>
      <c r="G741" s="57" t="n">
        <f aca="false">MAX(0,IF(AND(Parameter!$B$21="Ja",ISNUMBER(W741)),W741,IF(Parameter!$B$20="Jahresanfang 2025 + Export",BJ741+BI741,BI741)))</f>
        <v>0</v>
      </c>
      <c r="H741" s="57" t="n">
        <f aca="false">G741*F741</f>
        <v>0</v>
      </c>
      <c r="I741" s="57" t="n">
        <f aca="false">BL741*Parameter!$B$18</f>
        <v>3</v>
      </c>
      <c r="J741" s="58" t="n">
        <v>7.5</v>
      </c>
      <c r="K741" s="59" t="n">
        <v>0.4</v>
      </c>
      <c r="L741" s="57" t="n">
        <v>0</v>
      </c>
      <c r="M741" s="57" t="n">
        <v>0</v>
      </c>
      <c r="N741" s="60" t="n">
        <v>28</v>
      </c>
      <c r="O741" s="55" t="s">
        <v>163</v>
      </c>
      <c r="P741" s="57"/>
      <c r="Q741" s="60" t="n">
        <f aca="false">IF(BR741=1,0,IFERROR(VLOOKUP(BP741,'Gebinde-Kategorie'!$A$5:$M$45,13,0)+0,0))</f>
        <v>0</v>
      </c>
      <c r="R741" s="61"/>
      <c r="S741" s="62"/>
      <c r="T741" s="62"/>
      <c r="U741" s="55"/>
      <c r="V741" s="57"/>
      <c r="W741" s="57"/>
      <c r="X741" s="55" t="str">
        <f aca="false">IF(A741="","",IF(AND(Parameter!$B$21="Ja",ISNUMBER(U741)),U741,IF(IFERROR(VLOOKUP(D741,Parameter!$A$35:$C$64,2,0),"Nein")="2+3",IF(ISNUMBER(SEARCH("grosser Artikel",BM741)),2,IFERROR(VLOOKUP(BP741,Parameter!$F$35:$G$64,2,0),2)),IF(OR(IFERROR(VLOOKUP(D741,Parameter!$A$35:$C$64,2,0),"Nein")="Nein",IFERROR(VLOOKUP(D741,Parameter!$A$35:$C$64,2,0),"Nein")=""),"-",VLOOKUP(D741,Parameter!$A$35:$C$64,2,0)))))</f>
        <v>-</v>
      </c>
      <c r="Y741" s="62"/>
      <c r="Z741" s="63"/>
      <c r="AA741" s="57" t="n">
        <f aca="false">AP741</f>
        <v>2</v>
      </c>
      <c r="AB741" s="57" t="n">
        <f aca="false">MAX(AP741,G741)</f>
        <v>2</v>
      </c>
      <c r="AC741" s="64"/>
      <c r="AD741" s="57" t="n">
        <f aca="false">IF(LEFT(Cockpit!$C$5,1)="A",G741,IF(BW741=1,BX741,IF(LEFT(Cockpit!$C$5,1)="B",AH741,MAX(AH741,G741))))</f>
        <v>0</v>
      </c>
      <c r="AE741" s="57" t="n">
        <f aca="false">IF(BR741=1,0,ROUNDUP(AD741/BQ741,0))</f>
        <v>0</v>
      </c>
      <c r="AF741" s="59" t="n">
        <f aca="false">IF(CD741&gt;0,CD741*MAX(1,AD741/V741),IF(BR741=1,IF(AD741&lt;=0,0,BS741*MAX(1,IF(G741&gt;0,AD741/G741,1))),IF(Q741&gt;0,AE741/Q741,0))/MAX(0.1,N(Parameter!$M$21)))</f>
        <v>0</v>
      </c>
      <c r="AG741" s="57" t="n">
        <f aca="false">AD741*F741</f>
        <v>0</v>
      </c>
      <c r="AH741" s="57" t="n">
        <f aca="false">ROUNDUP(MAX(I741/IF(BV741&gt;0,BV741,MAX(0.1,N(Cockpit!$C$6))),BY741)/BQ741,0)*BQ741</f>
        <v>2</v>
      </c>
      <c r="AI741" s="58" t="n">
        <f aca="false">IF(AF741&gt;0,I741/AF741,-1)</f>
        <v>-1</v>
      </c>
      <c r="AJ741" s="58" t="str">
        <f aca="false">IF(AND(OR(BU741="L1",BU741="L23"),AF741&gt;0),SUMIFS($AF$7:$AF$1576,$BU$7:$BU$1576,BU741,$AI$7:$AI$1576,"&gt;"&amp;AI741)+SUMIFS($AF$7:$AF$1576,$BU$7:$BU$1576,BU741,$AI$7:$AI$1576,AI741,$BO$7:$BO$1576,"&lt;="&amp;BO741),"")</f>
        <v/>
      </c>
      <c r="AK741" s="65" t="n">
        <f aca="false">IF(AJ741="",0,MAX(0,MIN(1,(IF(BU741="L1",Parameter!$E$5,Parameter!$E$6+Parameter!$E$7)-(AJ741-AF741))/AF741)))</f>
        <v>0</v>
      </c>
      <c r="AL741" s="57" t="n">
        <f aca="false">IF(LEFT(Cockpit!$I$5,1)="A",G741,IF(BW741=1,BX741,IF(LEFT(Cockpit!$I$5,1)="B",AP741,MAX(AP741,G741))))</f>
        <v>2</v>
      </c>
      <c r="AM741" s="57" t="n">
        <f aca="false">IF(BR741=1,0,ROUNDUP(AL741/BQ741,0))</f>
        <v>0</v>
      </c>
      <c r="AN741" s="59" t="n">
        <f aca="false">IF(CD741&gt;0,CD741*MAX(1,AL741/V741),IF(BR741=1,IF(AL741&lt;=0,0,BS741*MAX(1,IF(G741&gt;0,AL741/G741,1))),IF(Q741&gt;0,AM741/Q741,0))/MAX(0.1,N(Parameter!$M$21)))</f>
        <v>0.15</v>
      </c>
      <c r="AO741" s="57" t="n">
        <f aca="false">AL741*F741</f>
        <v>64.6</v>
      </c>
      <c r="AP741" s="57" t="n">
        <f aca="false">ROUNDUP(MAX(I741/IF(BV741&gt;0,BV741,MAX(0.1,N(Cockpit!$I$6))),BY741)/BQ741,0)*BQ741</f>
        <v>2</v>
      </c>
      <c r="AQ741" s="58" t="n">
        <f aca="false">IF(AN741&gt;0,I741/AN741,-1)</f>
        <v>20</v>
      </c>
      <c r="AR741" s="58" t="str">
        <f aca="false">IF(AND(OR(BU741="L1",BU741="L23"),AN741&gt;0),SUMIFS($AN$7:$AN$1576,$BU$7:$BU$1576,BU741,$AQ$7:$AQ$1576,"&gt;"&amp;AQ741)+SUMIFS($AN$7:$AN$1576,$BU$7:$BU$1576,BU741,$AQ$7:$AQ$1576,AQ741,$BO$7:$BO$1576,"&lt;="&amp;BO741),"")</f>
        <v/>
      </c>
      <c r="AS741" s="65" t="n">
        <f aca="false">IF(AR741="",0,MAX(0,MIN(1,(IF(BU741="L1",Parameter!$E$5,Parameter!$E$6+Parameter!$E$7)-(AR741-AN741))/AN741)))</f>
        <v>0</v>
      </c>
      <c r="AT741" s="57" t="n">
        <f aca="false">IF(LEFT(Cockpit!$O$5,1)="A",G741,IF(BW741=1,BX741,IF(LEFT(Cockpit!$O$5,1)="B",AX741,MAX(AX741,G741))))</f>
        <v>1</v>
      </c>
      <c r="AU741" s="57" t="n">
        <f aca="false">IF(BR741=1,0,ROUNDUP(AT741/BQ741,0))</f>
        <v>0</v>
      </c>
      <c r="AV741" s="59" t="n">
        <f aca="false">IF(CD741&gt;0,CD741*MAX(1,AT741/V741),IF(BR741=1,IF(AT741&lt;=0,0,BS741*MAX(1,IF(G741&gt;0,AT741/G741,1))),IF(Q741&gt;0,AU741/Q741,0))/MAX(0.1,N(Parameter!$M$21)))</f>
        <v>0.15</v>
      </c>
      <c r="AW741" s="57" t="n">
        <f aca="false">AT741*F741</f>
        <v>32.3</v>
      </c>
      <c r="AX741" s="57" t="n">
        <f aca="false">ROUNDUP(MAX(I741/IF(BV741&gt;0,BV741,MAX(0.1,N(Cockpit!$O$6))),BY741)/BQ741,0)*BQ741</f>
        <v>1</v>
      </c>
      <c r="AY741" s="58" t="n">
        <f aca="false">IF(AV741&gt;0,I741/AV741,-1)</f>
        <v>20</v>
      </c>
      <c r="AZ741" s="58" t="str">
        <f aca="false">IF(AND(OR(BU741="L1",BU741="L23"),AV741&gt;0),SUMIFS($AV$7:$AV$1576,$BU$7:$BU$1576,BU741,$AY$7:$AY$1576,"&gt;"&amp;AY741)+SUMIFS($AV$7:$AV$1576,$BU$7:$BU$1576,BU741,$AY$7:$AY$1576,AY741,$BO$7:$BO$1576,"&lt;="&amp;BO741),"")</f>
        <v/>
      </c>
      <c r="BA741" s="65" t="n">
        <f aca="false">IF(AZ741="",0,MAX(0,MIN(1,(IF(BU741="L1",Parameter!$E$5,Parameter!$E$6+Parameter!$E$7)-(AZ741-AV741))/AV741)))</f>
        <v>0</v>
      </c>
      <c r="BB741" s="55" t="str">
        <f aca="false">IF(AF741&lt;=0,"",IF(BU741="Aussen","Aussenlager",IF(BU741="-","Nicht im Lift",IF(AK741&gt;=1,"Lift",IF(AK741&lt;=0,"Aussenlager","teilweise")))))</f>
        <v/>
      </c>
      <c r="BC741" s="55" t="str">
        <f aca="false">IF(AN741&lt;=0,"",IF(BU741="Aussen","Aussenlager",IF(BU741="-","Nicht im Lift",IF(AS741&gt;=1,"Lift",IF(AS741&lt;=0,"Aussenlager","teilweise")))))</f>
        <v>Nicht im Lift</v>
      </c>
      <c r="BD741" s="55" t="str">
        <f aca="false">IF(AV741&lt;=0,"",IF(BU741="Aussen","Aussenlager",IF(BU741="-","Nicht im Lift",IF(BA741&gt;=1,"Lift",IF(BA741&lt;=0,"Aussenlager","teilweise")))))</f>
        <v>Nicht im Lift</v>
      </c>
      <c r="BE741" s="55" t="str">
        <f aca="false">IF(A741="","",IF(BN741=1,"Neu; ","")&amp;IF(AND(BN741=0,BI741&lt;0),"negativer Bestand (Export "&amp;BI741&amp;"); ","")&amp;IF(I741&lt;=0,"Kein Verbrauch; ","")&amp;IF(CD741&gt;0,"Lift "&amp;U741&amp;" lt. Liftbericht (Fach "&amp;V741&amp;" Stk); ",IF(BR741=1,"Lose – Fläche geschätzt; ",""))&amp;IF(G741&gt;AP741,"Überbestand "&amp;ROUND(G741-AP741,0)&amp;" Stk / CHF "&amp;ROUND((G741-AP741)*F741,0)&amp;"; ","")&amp;IF(AND(BW741=1,BX741&lt;BY741),"MAX &lt; MB+LG; ","")&amp;IF(AND(CC741&gt;0,CB741*10&gt;CC741),"zu hoch für Tablar; ","")&amp;IF(AND(BN741=0,OR(BW741=1,Y741&lt;&gt;"",S741&lt;&gt;"",T741&lt;&gt;"",Z741&lt;&gt;"")),"manuell übersteuert; ","")&amp;IF(AND(BR741=0,Q741=0),"Gebinde unbekannt / Stellmass fehlt; ","")&amp;IF(AND(BR741=0,N(T741)&lt;=0,N(P741)&lt;=0),"Menge pro Gebinde fehlt (Ist = 1 Gebinde); ","")&amp;BM741)</f>
        <v>Lose – Fläche geschätzt; gehört nicht ins KTL</v>
      </c>
      <c r="BF741" s="55"/>
      <c r="BG741" s="55"/>
      <c r="BH741" s="62"/>
      <c r="BI741" s="57" t="n">
        <v>0</v>
      </c>
      <c r="BJ741" s="57" t="n">
        <v>7</v>
      </c>
      <c r="BK741" s="56" t="n">
        <v>-1.4210854715202E-014</v>
      </c>
      <c r="BL741" s="57" t="n">
        <v>3</v>
      </c>
      <c r="BM741" s="55" t="s">
        <v>1457</v>
      </c>
      <c r="BN741" s="60" t="n">
        <v>0</v>
      </c>
      <c r="BO741" s="60" t="n">
        <v>741</v>
      </c>
      <c r="BP741" s="55" t="str">
        <f aca="false">IF(S741&lt;&gt;"",UPPER(TRIM(S741)),IF(O741="","LOSE",O741))</f>
        <v>LOSE</v>
      </c>
      <c r="BQ741" s="57" t="n">
        <f aca="false">IF(BP741="LOSE",1,IF(N(T741)&gt;0,T741,IF(N(P741)&gt;0,P741,MAX(1,G741))))</f>
        <v>1</v>
      </c>
      <c r="BR741" s="60" t="n">
        <f aca="false">IF(BP741="LOSE",1,0)</f>
        <v>1</v>
      </c>
      <c r="BS741" s="59" t="n">
        <f aca="false">IF(BR741=0,0,IF(N(R741)&gt;0,R741,IFERROR(VLOOKUP(D741,Parameter!$A$35:$C$64,3,0)+0,0)))</f>
        <v>0.15</v>
      </c>
      <c r="BT741" s="55" t="str">
        <f aca="false">IF(Y741&lt;&gt;"",Y741,X741)</f>
        <v>-</v>
      </c>
      <c r="BU741" s="55" t="str">
        <f aca="false">IF(BT741=1,"L1",IF(OR(BT741=2,BT741=3),"L23",IF(BT741="Aussen","Aussen","-")))</f>
        <v>-</v>
      </c>
      <c r="BV741" s="66" t="n">
        <f aca="false">IF(N(Z741)&gt;0,Z741,0)</f>
        <v>0</v>
      </c>
      <c r="BW741" s="60" t="n">
        <f aca="false">IF(ISNUMBER(AC741),1,0)</f>
        <v>0</v>
      </c>
      <c r="BX741" s="57" t="n">
        <f aca="false">N(AC741)</f>
        <v>0</v>
      </c>
      <c r="BY741" s="57" t="n">
        <f aca="false">N(L741)+N(M741)</f>
        <v>0</v>
      </c>
      <c r="BZ741" s="57" t="n">
        <f aca="false">ROUNDUP(G741/BQ741,0)</f>
        <v>0</v>
      </c>
      <c r="CA741" s="57" t="n">
        <f aca="false">ROUNDUP(BX741/BQ741,0)</f>
        <v>0</v>
      </c>
      <c r="CB741" s="60" t="n">
        <f aca="false">IF(BR741=1,0,IFERROR(VLOOKUP(BP741,'Gebinde-Kategorie'!$A$5:$M$45,5,0)+0,0))</f>
        <v>0</v>
      </c>
      <c r="CC741" s="60" t="n">
        <f aca="false">IFERROR(IF(OR(BT741=1,BT741=2,BT741=3),N(INDEX(Parameter!$I$5:$I$7,BT741)),0),0)</f>
        <v>0</v>
      </c>
      <c r="CD741" s="59" t="n">
        <f aca="false">IF(AND(Parameter!$B$21="Ja",ISNUMBER(U741),N(V741)&gt;0),IFERROR(N(INDEX(Parameter!$L$5:$L$7,U741))*INDEX(Parameter!$E$5:$E$7,U741)*V741/SUMIFS($V$7:$V$1576,$U$7:$U$1576,U741),0),0)</f>
        <v>0</v>
      </c>
    </row>
    <row r="742" customFormat="false" ht="15" hidden="false" customHeight="false" outlineLevel="0" collapsed="false">
      <c r="A742" s="55" t="s">
        <v>1458</v>
      </c>
      <c r="B742" s="55" t="s">
        <v>1459</v>
      </c>
      <c r="C742" s="55" t="s">
        <v>160</v>
      </c>
      <c r="D742" s="55" t="s">
        <v>1460</v>
      </c>
      <c r="E742" s="55" t="s">
        <v>210</v>
      </c>
      <c r="F742" s="56" t="n">
        <v>79.34</v>
      </c>
      <c r="G742" s="57" t="n">
        <f aca="false">MAX(0,IF(AND(Parameter!$B$21="Ja",ISNUMBER(W742)),W742,IF(Parameter!$B$20="Jahresanfang 2025 + Export",BJ742+BI742,BI742)))</f>
        <v>0</v>
      </c>
      <c r="H742" s="57" t="n">
        <f aca="false">G742*F742</f>
        <v>0</v>
      </c>
      <c r="I742" s="57" t="n">
        <f aca="false">BL742*Parameter!$B$18</f>
        <v>2</v>
      </c>
      <c r="J742" s="58" t="n">
        <v>3</v>
      </c>
      <c r="K742" s="59" t="n">
        <v>0.666666666666667</v>
      </c>
      <c r="L742" s="57" t="n">
        <v>0</v>
      </c>
      <c r="M742" s="57" t="n">
        <v>2</v>
      </c>
      <c r="N742" s="60" t="n">
        <v>21</v>
      </c>
      <c r="O742" s="55" t="s">
        <v>163</v>
      </c>
      <c r="P742" s="57"/>
      <c r="Q742" s="60" t="n">
        <f aca="false">IF(BR742=1,0,IFERROR(VLOOKUP(BP742,'Gebinde-Kategorie'!$A$5:$M$45,13,0)+0,0))</f>
        <v>0</v>
      </c>
      <c r="R742" s="61"/>
      <c r="S742" s="62"/>
      <c r="T742" s="62"/>
      <c r="U742" s="55"/>
      <c r="V742" s="57"/>
      <c r="W742" s="57"/>
      <c r="X742" s="55" t="str">
        <f aca="false">IF(A742="","",IF(AND(Parameter!$B$21="Ja",ISNUMBER(U742)),U742,IF(IFERROR(VLOOKUP(D742,Parameter!$A$35:$C$64,2,0),"Nein")="2+3",IF(ISNUMBER(SEARCH("grosser Artikel",BM742)),2,IFERROR(VLOOKUP(BP742,Parameter!$F$35:$G$64,2,0),2)),IF(OR(IFERROR(VLOOKUP(D742,Parameter!$A$35:$C$64,2,0),"Nein")="Nein",IFERROR(VLOOKUP(D742,Parameter!$A$35:$C$64,2,0),"Nein")=""),"-",VLOOKUP(D742,Parameter!$A$35:$C$64,2,0)))))</f>
        <v>-</v>
      </c>
      <c r="Y742" s="62"/>
      <c r="Z742" s="63"/>
      <c r="AA742" s="57" t="n">
        <f aca="false">AP742</f>
        <v>2</v>
      </c>
      <c r="AB742" s="57" t="n">
        <f aca="false">MAX(AP742,G742)</f>
        <v>2</v>
      </c>
      <c r="AC742" s="64"/>
      <c r="AD742" s="57" t="n">
        <f aca="false">IF(LEFT(Cockpit!$C$5,1)="A",G742,IF(BW742=1,BX742,IF(LEFT(Cockpit!$C$5,1)="B",AH742,MAX(AH742,G742))))</f>
        <v>0</v>
      </c>
      <c r="AE742" s="57" t="n">
        <f aca="false">IF(BR742=1,0,ROUNDUP(AD742/BQ742,0))</f>
        <v>0</v>
      </c>
      <c r="AF742" s="59" t="n">
        <f aca="false">IF(CD742&gt;0,CD742*MAX(1,AD742/V742),IF(BR742=1,IF(AD742&lt;=0,0,BS742*MAX(1,IF(G742&gt;0,AD742/G742,1))),IF(Q742&gt;0,AE742/Q742,0))/MAX(0.1,N(Parameter!$M$21)))</f>
        <v>0</v>
      </c>
      <c r="AG742" s="57" t="n">
        <f aca="false">AD742*F742</f>
        <v>0</v>
      </c>
      <c r="AH742" s="57" t="n">
        <f aca="false">ROUNDUP(MAX(I742/IF(BV742&gt;0,BV742,MAX(0.1,N(Cockpit!$C$6))),BY742)/BQ742,0)*BQ742</f>
        <v>2</v>
      </c>
      <c r="AI742" s="58" t="n">
        <f aca="false">IF(AF742&gt;0,I742/AF742,-1)</f>
        <v>-1</v>
      </c>
      <c r="AJ742" s="58" t="str">
        <f aca="false">IF(AND(OR(BU742="L1",BU742="L23"),AF742&gt;0),SUMIFS($AF$7:$AF$1576,$BU$7:$BU$1576,BU742,$AI$7:$AI$1576,"&gt;"&amp;AI742)+SUMIFS($AF$7:$AF$1576,$BU$7:$BU$1576,BU742,$AI$7:$AI$1576,AI742,$BO$7:$BO$1576,"&lt;="&amp;BO742),"")</f>
        <v/>
      </c>
      <c r="AK742" s="65" t="n">
        <f aca="false">IF(AJ742="",0,MAX(0,MIN(1,(IF(BU742="L1",Parameter!$E$5,Parameter!$E$6+Parameter!$E$7)-(AJ742-AF742))/AF742)))</f>
        <v>0</v>
      </c>
      <c r="AL742" s="57" t="n">
        <f aca="false">IF(LEFT(Cockpit!$I$5,1)="A",G742,IF(BW742=1,BX742,IF(LEFT(Cockpit!$I$5,1)="B",AP742,MAX(AP742,G742))))</f>
        <v>2</v>
      </c>
      <c r="AM742" s="57" t="n">
        <f aca="false">IF(BR742=1,0,ROUNDUP(AL742/BQ742,0))</f>
        <v>0</v>
      </c>
      <c r="AN742" s="59" t="n">
        <f aca="false">IF(CD742&gt;0,CD742*MAX(1,AL742/V742),IF(BR742=1,IF(AL742&lt;=0,0,BS742*MAX(1,IF(G742&gt;0,AL742/G742,1))),IF(Q742&gt;0,AM742/Q742,0))/MAX(0.1,N(Parameter!$M$21)))</f>
        <v>0.15</v>
      </c>
      <c r="AO742" s="57" t="n">
        <f aca="false">AL742*F742</f>
        <v>158.68</v>
      </c>
      <c r="AP742" s="57" t="n">
        <f aca="false">ROUNDUP(MAX(I742/IF(BV742&gt;0,BV742,MAX(0.1,N(Cockpit!$I$6))),BY742)/BQ742,0)*BQ742</f>
        <v>2</v>
      </c>
      <c r="AQ742" s="58" t="n">
        <f aca="false">IF(AN742&gt;0,I742/AN742,-1)</f>
        <v>13.3333333333333</v>
      </c>
      <c r="AR742" s="58" t="str">
        <f aca="false">IF(AND(OR(BU742="L1",BU742="L23"),AN742&gt;0),SUMIFS($AN$7:$AN$1576,$BU$7:$BU$1576,BU742,$AQ$7:$AQ$1576,"&gt;"&amp;AQ742)+SUMIFS($AN$7:$AN$1576,$BU$7:$BU$1576,BU742,$AQ$7:$AQ$1576,AQ742,$BO$7:$BO$1576,"&lt;="&amp;BO742),"")</f>
        <v/>
      </c>
      <c r="AS742" s="65" t="n">
        <f aca="false">IF(AR742="",0,MAX(0,MIN(1,(IF(BU742="L1",Parameter!$E$5,Parameter!$E$6+Parameter!$E$7)-(AR742-AN742))/AN742)))</f>
        <v>0</v>
      </c>
      <c r="AT742" s="57" t="n">
        <f aca="false">IF(LEFT(Cockpit!$O$5,1)="A",G742,IF(BW742=1,BX742,IF(LEFT(Cockpit!$O$5,1)="B",AX742,MAX(AX742,G742))))</f>
        <v>2</v>
      </c>
      <c r="AU742" s="57" t="n">
        <f aca="false">IF(BR742=1,0,ROUNDUP(AT742/BQ742,0))</f>
        <v>0</v>
      </c>
      <c r="AV742" s="59" t="n">
        <f aca="false">IF(CD742&gt;0,CD742*MAX(1,AT742/V742),IF(BR742=1,IF(AT742&lt;=0,0,BS742*MAX(1,IF(G742&gt;0,AT742/G742,1))),IF(Q742&gt;0,AU742/Q742,0))/MAX(0.1,N(Parameter!$M$21)))</f>
        <v>0.15</v>
      </c>
      <c r="AW742" s="57" t="n">
        <f aca="false">AT742*F742</f>
        <v>158.68</v>
      </c>
      <c r="AX742" s="57" t="n">
        <f aca="false">ROUNDUP(MAX(I742/IF(BV742&gt;0,BV742,MAX(0.1,N(Cockpit!$O$6))),BY742)/BQ742,0)*BQ742</f>
        <v>2</v>
      </c>
      <c r="AY742" s="58" t="n">
        <f aca="false">IF(AV742&gt;0,I742/AV742,-1)</f>
        <v>13.3333333333333</v>
      </c>
      <c r="AZ742" s="58" t="str">
        <f aca="false">IF(AND(OR(BU742="L1",BU742="L23"),AV742&gt;0),SUMIFS($AV$7:$AV$1576,$BU$7:$BU$1576,BU742,$AY$7:$AY$1576,"&gt;"&amp;AY742)+SUMIFS($AV$7:$AV$1576,$BU$7:$BU$1576,BU742,$AY$7:$AY$1576,AY742,$BO$7:$BO$1576,"&lt;="&amp;BO742),"")</f>
        <v/>
      </c>
      <c r="BA742" s="65" t="n">
        <f aca="false">IF(AZ742="",0,MAX(0,MIN(1,(IF(BU742="L1",Parameter!$E$5,Parameter!$E$6+Parameter!$E$7)-(AZ742-AV742))/AV742)))</f>
        <v>0</v>
      </c>
      <c r="BB742" s="55" t="str">
        <f aca="false">IF(AF742&lt;=0,"",IF(BU742="Aussen","Aussenlager",IF(BU742="-","Nicht im Lift",IF(AK742&gt;=1,"Lift",IF(AK742&lt;=0,"Aussenlager","teilweise")))))</f>
        <v/>
      </c>
      <c r="BC742" s="55" t="str">
        <f aca="false">IF(AN742&lt;=0,"",IF(BU742="Aussen","Aussenlager",IF(BU742="-","Nicht im Lift",IF(AS742&gt;=1,"Lift",IF(AS742&lt;=0,"Aussenlager","teilweise")))))</f>
        <v>Nicht im Lift</v>
      </c>
      <c r="BD742" s="55" t="str">
        <f aca="false">IF(AV742&lt;=0,"",IF(BU742="Aussen","Aussenlager",IF(BU742="-","Nicht im Lift",IF(BA742&gt;=1,"Lift",IF(BA742&lt;=0,"Aussenlager","teilweise")))))</f>
        <v>Nicht im Lift</v>
      </c>
      <c r="BE742" s="55" t="str">
        <f aca="false">IF(A742="","",IF(BN742=1,"Neu; ","")&amp;IF(AND(BN742=0,BI742&lt;0),"negativer Bestand (Export "&amp;BI742&amp;"); ","")&amp;IF(I742&lt;=0,"Kein Verbrauch; ","")&amp;IF(CD742&gt;0,"Lift "&amp;U742&amp;" lt. Liftbericht (Fach "&amp;V742&amp;" Stk); ",IF(BR742=1,"Lose – Fläche geschätzt; ",""))&amp;IF(G742&gt;AP742,"Überbestand "&amp;ROUND(G742-AP742,0)&amp;" Stk / CHF "&amp;ROUND((G742-AP742)*F742,0)&amp;"; ","")&amp;IF(AND(BW742=1,BX742&lt;BY742),"MAX &lt; MB+LG; ","")&amp;IF(AND(CC742&gt;0,CB742*10&gt;CC742),"zu hoch für Tablar; ","")&amp;IF(AND(BN742=0,OR(BW742=1,Y742&lt;&gt;"",S742&lt;&gt;"",T742&lt;&gt;"",Z742&lt;&gt;"")),"manuell übersteuert; ","")&amp;IF(AND(BR742=0,Q742=0),"Gebinde unbekannt / Stellmass fehlt; ","")&amp;IF(AND(BR742=0,N(T742)&lt;=0,N(P742)&lt;=0),"Menge pro Gebinde fehlt (Ist = 1 Gebinde); ","")&amp;BM742)</f>
        <v>Lose – Fläche geschätzt; Kleidung</v>
      </c>
      <c r="BF742" s="55"/>
      <c r="BG742" s="55"/>
      <c r="BH742" s="62"/>
      <c r="BI742" s="57" t="n">
        <v>0</v>
      </c>
      <c r="BJ742" s="57" t="n">
        <v>1</v>
      </c>
      <c r="BK742" s="56" t="n">
        <v>-1.4210854715202E-014</v>
      </c>
      <c r="BL742" s="57" t="n">
        <v>2</v>
      </c>
      <c r="BM742" s="55" t="s">
        <v>1461</v>
      </c>
      <c r="BN742" s="60" t="n">
        <v>0</v>
      </c>
      <c r="BO742" s="60" t="n">
        <v>742</v>
      </c>
      <c r="BP742" s="55" t="str">
        <f aca="false">IF(S742&lt;&gt;"",UPPER(TRIM(S742)),IF(O742="","LOSE",O742))</f>
        <v>LOSE</v>
      </c>
      <c r="BQ742" s="57" t="n">
        <f aca="false">IF(BP742="LOSE",1,IF(N(T742)&gt;0,T742,IF(N(P742)&gt;0,P742,MAX(1,G742))))</f>
        <v>1</v>
      </c>
      <c r="BR742" s="60" t="n">
        <f aca="false">IF(BP742="LOSE",1,0)</f>
        <v>1</v>
      </c>
      <c r="BS742" s="59" t="n">
        <f aca="false">IF(BR742=0,0,IF(N(R742)&gt;0,R742,IFERROR(VLOOKUP(D742,Parameter!$A$35:$C$64,3,0)+0,0)))</f>
        <v>0.15</v>
      </c>
      <c r="BT742" s="55" t="str">
        <f aca="false">IF(Y742&lt;&gt;"",Y742,X742)</f>
        <v>-</v>
      </c>
      <c r="BU742" s="55" t="str">
        <f aca="false">IF(BT742=1,"L1",IF(OR(BT742=2,BT742=3),"L23",IF(BT742="Aussen","Aussen","-")))</f>
        <v>-</v>
      </c>
      <c r="BV742" s="66" t="n">
        <f aca="false">IF(N(Z742)&gt;0,Z742,0)</f>
        <v>0</v>
      </c>
      <c r="BW742" s="60" t="n">
        <f aca="false">IF(ISNUMBER(AC742),1,0)</f>
        <v>0</v>
      </c>
      <c r="BX742" s="57" t="n">
        <f aca="false">N(AC742)</f>
        <v>0</v>
      </c>
      <c r="BY742" s="57" t="n">
        <f aca="false">N(L742)+N(M742)</f>
        <v>2</v>
      </c>
      <c r="BZ742" s="57" t="n">
        <f aca="false">ROUNDUP(G742/BQ742,0)</f>
        <v>0</v>
      </c>
      <c r="CA742" s="57" t="n">
        <f aca="false">ROUNDUP(BX742/BQ742,0)</f>
        <v>0</v>
      </c>
      <c r="CB742" s="60" t="n">
        <f aca="false">IF(BR742=1,0,IFERROR(VLOOKUP(BP742,'Gebinde-Kategorie'!$A$5:$M$45,5,0)+0,0))</f>
        <v>0</v>
      </c>
      <c r="CC742" s="60" t="n">
        <f aca="false">IFERROR(IF(OR(BT742=1,BT742=2,BT742=3),N(INDEX(Parameter!$I$5:$I$7,BT742)),0),0)</f>
        <v>0</v>
      </c>
      <c r="CD742" s="59" t="n">
        <f aca="false">IF(AND(Parameter!$B$21="Ja",ISNUMBER(U742),N(V742)&gt;0),IFERROR(N(INDEX(Parameter!$L$5:$L$7,U742))*INDEX(Parameter!$E$5:$E$7,U742)*V742/SUMIFS($V$7:$V$1576,$U$7:$U$1576,U742),0),0)</f>
        <v>0</v>
      </c>
    </row>
    <row r="743" customFormat="false" ht="15" hidden="false" customHeight="false" outlineLevel="0" collapsed="false">
      <c r="A743" s="55" t="s">
        <v>1462</v>
      </c>
      <c r="B743" s="55" t="s">
        <v>1317</v>
      </c>
      <c r="C743" s="55" t="s">
        <v>160</v>
      </c>
      <c r="D743" s="55" t="s">
        <v>984</v>
      </c>
      <c r="E743" s="55" t="s">
        <v>210</v>
      </c>
      <c r="F743" s="56" t="n">
        <v>19.76</v>
      </c>
      <c r="G743" s="57" t="n">
        <f aca="false">MAX(0,IF(AND(Parameter!$B$21="Ja",ISNUMBER(W743)),W743,IF(Parameter!$B$20="Jahresanfang 2025 + Export",BJ743+BI743,BI743)))</f>
        <v>0</v>
      </c>
      <c r="H743" s="57" t="n">
        <f aca="false">G743*F743</f>
        <v>0</v>
      </c>
      <c r="I743" s="57" t="n">
        <f aca="false">BL743*Parameter!$B$18</f>
        <v>60</v>
      </c>
      <c r="J743" s="58" t="n">
        <v>0</v>
      </c>
      <c r="K743" s="59" t="n">
        <v>0</v>
      </c>
      <c r="L743" s="57" t="n">
        <v>0</v>
      </c>
      <c r="M743" s="57" t="n">
        <v>10</v>
      </c>
      <c r="N743" s="60" t="n">
        <v>28</v>
      </c>
      <c r="O743" s="55" t="s">
        <v>163</v>
      </c>
      <c r="P743" s="57"/>
      <c r="Q743" s="60" t="n">
        <f aca="false">IF(BR743=1,0,IFERROR(VLOOKUP(BP743,'Gebinde-Kategorie'!$A$5:$M$45,13,0)+0,0))</f>
        <v>0</v>
      </c>
      <c r="R743" s="61"/>
      <c r="S743" s="62"/>
      <c r="T743" s="62"/>
      <c r="U743" s="55"/>
      <c r="V743" s="57"/>
      <c r="W743" s="57"/>
      <c r="X743" s="55" t="str">
        <f aca="false">IF(A743="","",IF(AND(Parameter!$B$21="Ja",ISNUMBER(U743)),U743,IF(IFERROR(VLOOKUP(D743,Parameter!$A$35:$C$64,2,0),"Nein")="2+3",IF(ISNUMBER(SEARCH("grosser Artikel",BM743)),2,IFERROR(VLOOKUP(BP743,Parameter!$F$35:$G$64,2,0),2)),IF(OR(IFERROR(VLOOKUP(D743,Parameter!$A$35:$C$64,2,0),"Nein")="Nein",IFERROR(VLOOKUP(D743,Parameter!$A$35:$C$64,2,0),"Nein")=""),"-",VLOOKUP(D743,Parameter!$A$35:$C$64,2,0)))))</f>
        <v>-</v>
      </c>
      <c r="Y743" s="62"/>
      <c r="Z743" s="63"/>
      <c r="AA743" s="57" t="n">
        <f aca="false">AP743</f>
        <v>30</v>
      </c>
      <c r="AB743" s="57" t="n">
        <f aca="false">MAX(AP743,G743)</f>
        <v>30</v>
      </c>
      <c r="AC743" s="64"/>
      <c r="AD743" s="57" t="n">
        <f aca="false">IF(LEFT(Cockpit!$C$5,1)="A",G743,IF(BW743=1,BX743,IF(LEFT(Cockpit!$C$5,1)="B",AH743,MAX(AH743,G743))))</f>
        <v>0</v>
      </c>
      <c r="AE743" s="57" t="n">
        <f aca="false">IF(BR743=1,0,ROUNDUP(AD743/BQ743,0))</f>
        <v>0</v>
      </c>
      <c r="AF743" s="59" t="n">
        <f aca="false">IF(CD743&gt;0,CD743*MAX(1,AD743/V743),IF(BR743=1,IF(AD743&lt;=0,0,BS743*MAX(1,IF(G743&gt;0,AD743/G743,1))),IF(Q743&gt;0,AE743/Q743,0))/MAX(0.1,N(Parameter!$M$21)))</f>
        <v>0</v>
      </c>
      <c r="AG743" s="57" t="n">
        <f aca="false">AD743*F743</f>
        <v>0</v>
      </c>
      <c r="AH743" s="57" t="n">
        <f aca="false">ROUNDUP(MAX(I743/IF(BV743&gt;0,BV743,MAX(0.1,N(Cockpit!$C$6))),BY743)/BQ743,0)*BQ743</f>
        <v>30</v>
      </c>
      <c r="AI743" s="58" t="n">
        <f aca="false">IF(AF743&gt;0,I743/AF743,-1)</f>
        <v>-1</v>
      </c>
      <c r="AJ743" s="58" t="str">
        <f aca="false">IF(AND(OR(BU743="L1",BU743="L23"),AF743&gt;0),SUMIFS($AF$7:$AF$1576,$BU$7:$BU$1576,BU743,$AI$7:$AI$1576,"&gt;"&amp;AI743)+SUMIFS($AF$7:$AF$1576,$BU$7:$BU$1576,BU743,$AI$7:$AI$1576,AI743,$BO$7:$BO$1576,"&lt;="&amp;BO743),"")</f>
        <v/>
      </c>
      <c r="AK743" s="65" t="n">
        <f aca="false">IF(AJ743="",0,MAX(0,MIN(1,(IF(BU743="L1",Parameter!$E$5,Parameter!$E$6+Parameter!$E$7)-(AJ743-AF743))/AF743)))</f>
        <v>0</v>
      </c>
      <c r="AL743" s="57" t="n">
        <f aca="false">IF(LEFT(Cockpit!$I$5,1)="A",G743,IF(BW743=1,BX743,IF(LEFT(Cockpit!$I$5,1)="B",AP743,MAX(AP743,G743))))</f>
        <v>30</v>
      </c>
      <c r="AM743" s="57" t="n">
        <f aca="false">IF(BR743=1,0,ROUNDUP(AL743/BQ743,0))</f>
        <v>0</v>
      </c>
      <c r="AN743" s="59" t="n">
        <f aca="false">IF(CD743&gt;0,CD743*MAX(1,AL743/V743),IF(BR743=1,IF(AL743&lt;=0,0,BS743*MAX(1,IF(G743&gt;0,AL743/G743,1))),IF(Q743&gt;0,AM743/Q743,0))/MAX(0.1,N(Parameter!$M$21)))</f>
        <v>0.15</v>
      </c>
      <c r="AO743" s="57" t="n">
        <f aca="false">AL743*F743</f>
        <v>592.8</v>
      </c>
      <c r="AP743" s="57" t="n">
        <f aca="false">ROUNDUP(MAX(I743/IF(BV743&gt;0,BV743,MAX(0.1,N(Cockpit!$I$6))),BY743)/BQ743,0)*BQ743</f>
        <v>30</v>
      </c>
      <c r="AQ743" s="58" t="n">
        <f aca="false">IF(AN743&gt;0,I743/AN743,-1)</f>
        <v>400</v>
      </c>
      <c r="AR743" s="58" t="str">
        <f aca="false">IF(AND(OR(BU743="L1",BU743="L23"),AN743&gt;0),SUMIFS($AN$7:$AN$1576,$BU$7:$BU$1576,BU743,$AQ$7:$AQ$1576,"&gt;"&amp;AQ743)+SUMIFS($AN$7:$AN$1576,$BU$7:$BU$1576,BU743,$AQ$7:$AQ$1576,AQ743,$BO$7:$BO$1576,"&lt;="&amp;BO743),"")</f>
        <v/>
      </c>
      <c r="AS743" s="65" t="n">
        <f aca="false">IF(AR743="",0,MAX(0,MIN(1,(IF(BU743="L1",Parameter!$E$5,Parameter!$E$6+Parameter!$E$7)-(AR743-AN743))/AN743)))</f>
        <v>0</v>
      </c>
      <c r="AT743" s="57" t="n">
        <f aca="false">IF(LEFT(Cockpit!$O$5,1)="A",G743,IF(BW743=1,BX743,IF(LEFT(Cockpit!$O$5,1)="B",AX743,MAX(AX743,G743))))</f>
        <v>20</v>
      </c>
      <c r="AU743" s="57" t="n">
        <f aca="false">IF(BR743=1,0,ROUNDUP(AT743/BQ743,0))</f>
        <v>0</v>
      </c>
      <c r="AV743" s="59" t="n">
        <f aca="false">IF(CD743&gt;0,CD743*MAX(1,AT743/V743),IF(BR743=1,IF(AT743&lt;=0,0,BS743*MAX(1,IF(G743&gt;0,AT743/G743,1))),IF(Q743&gt;0,AU743/Q743,0))/MAX(0.1,N(Parameter!$M$21)))</f>
        <v>0.15</v>
      </c>
      <c r="AW743" s="57" t="n">
        <f aca="false">AT743*F743</f>
        <v>395.2</v>
      </c>
      <c r="AX743" s="57" t="n">
        <f aca="false">ROUNDUP(MAX(I743/IF(BV743&gt;0,BV743,MAX(0.1,N(Cockpit!$O$6))),BY743)/BQ743,0)*BQ743</f>
        <v>20</v>
      </c>
      <c r="AY743" s="58" t="n">
        <f aca="false">IF(AV743&gt;0,I743/AV743,-1)</f>
        <v>400</v>
      </c>
      <c r="AZ743" s="58" t="str">
        <f aca="false">IF(AND(OR(BU743="L1",BU743="L23"),AV743&gt;0),SUMIFS($AV$7:$AV$1576,$BU$7:$BU$1576,BU743,$AY$7:$AY$1576,"&gt;"&amp;AY743)+SUMIFS($AV$7:$AV$1576,$BU$7:$BU$1576,BU743,$AY$7:$AY$1576,AY743,$BO$7:$BO$1576,"&lt;="&amp;BO743),"")</f>
        <v/>
      </c>
      <c r="BA743" s="65" t="n">
        <f aca="false">IF(AZ743="",0,MAX(0,MIN(1,(IF(BU743="L1",Parameter!$E$5,Parameter!$E$6+Parameter!$E$7)-(AZ743-AV743))/AV743)))</f>
        <v>0</v>
      </c>
      <c r="BB743" s="55" t="str">
        <f aca="false">IF(AF743&lt;=0,"",IF(BU743="Aussen","Aussenlager",IF(BU743="-","Nicht im Lift",IF(AK743&gt;=1,"Lift",IF(AK743&lt;=0,"Aussenlager","teilweise")))))</f>
        <v/>
      </c>
      <c r="BC743" s="55" t="str">
        <f aca="false">IF(AN743&lt;=0,"",IF(BU743="Aussen","Aussenlager",IF(BU743="-","Nicht im Lift",IF(AS743&gt;=1,"Lift",IF(AS743&lt;=0,"Aussenlager","teilweise")))))</f>
        <v>Nicht im Lift</v>
      </c>
      <c r="BD743" s="55" t="str">
        <f aca="false">IF(AV743&lt;=0,"",IF(BU743="Aussen","Aussenlager",IF(BU743="-","Nicht im Lift",IF(BA743&gt;=1,"Lift",IF(BA743&lt;=0,"Aussenlager","teilweise")))))</f>
        <v>Nicht im Lift</v>
      </c>
      <c r="BE743" s="55" t="str">
        <f aca="false">IF(A743="","",IF(BN743=1,"Neu; ","")&amp;IF(AND(BN743=0,BI743&lt;0),"negativer Bestand (Export "&amp;BI743&amp;"); ","")&amp;IF(I743&lt;=0,"Kein Verbrauch; ","")&amp;IF(CD743&gt;0,"Lift "&amp;U743&amp;" lt. Liftbericht (Fach "&amp;V743&amp;" Stk); ",IF(BR743=1,"Lose – Fläche geschätzt; ",""))&amp;IF(G743&gt;AP743,"Überbestand "&amp;ROUND(G743-AP743,0)&amp;" Stk / CHF "&amp;ROUND((G743-AP743)*F743,0)&amp;"; ","")&amp;IF(AND(BW743=1,BX743&lt;BY743),"MAX &lt; MB+LG; ","")&amp;IF(AND(CC743&gt;0,CB743*10&gt;CC743),"zu hoch für Tablar; ","")&amp;IF(AND(BN743=0,OR(BW743=1,Y743&lt;&gt;"",S743&lt;&gt;"",T743&lt;&gt;"",Z743&lt;&gt;"")),"manuell übersteuert; ","")&amp;IF(AND(BR743=0,Q743=0),"Gebinde unbekannt / Stellmass fehlt; ","")&amp;IF(AND(BR743=0,N(T743)&lt;=0,N(P743)&lt;=0),"Menge pro Gebinde fehlt (Ist = 1 Gebinde); ","")&amp;BM743)</f>
        <v>Lose – Fläche geschätzt; </v>
      </c>
      <c r="BF743" s="55"/>
      <c r="BG743" s="55"/>
      <c r="BH743" s="62"/>
      <c r="BI743" s="57" t="n">
        <v>0</v>
      </c>
      <c r="BJ743" s="57" t="n">
        <v>0</v>
      </c>
      <c r="BK743" s="56" t="n">
        <v>-2.1316282072803E-014</v>
      </c>
      <c r="BL743" s="57" t="n">
        <v>60</v>
      </c>
      <c r="BM743" s="55"/>
      <c r="BN743" s="60" t="n">
        <v>0</v>
      </c>
      <c r="BO743" s="60" t="n">
        <v>743</v>
      </c>
      <c r="BP743" s="55" t="str">
        <f aca="false">IF(S743&lt;&gt;"",UPPER(TRIM(S743)),IF(O743="","LOSE",O743))</f>
        <v>LOSE</v>
      </c>
      <c r="BQ743" s="57" t="n">
        <f aca="false">IF(BP743="LOSE",1,IF(N(T743)&gt;0,T743,IF(N(P743)&gt;0,P743,MAX(1,G743))))</f>
        <v>1</v>
      </c>
      <c r="BR743" s="60" t="n">
        <f aca="false">IF(BP743="LOSE",1,0)</f>
        <v>1</v>
      </c>
      <c r="BS743" s="59" t="n">
        <f aca="false">IF(BR743=0,0,IF(N(R743)&gt;0,R743,IFERROR(VLOOKUP(D743,Parameter!$A$35:$C$64,3,0)+0,0)))</f>
        <v>0.15</v>
      </c>
      <c r="BT743" s="55" t="str">
        <f aca="false">IF(Y743&lt;&gt;"",Y743,X743)</f>
        <v>-</v>
      </c>
      <c r="BU743" s="55" t="str">
        <f aca="false">IF(BT743=1,"L1",IF(OR(BT743=2,BT743=3),"L23",IF(BT743="Aussen","Aussen","-")))</f>
        <v>-</v>
      </c>
      <c r="BV743" s="66" t="n">
        <f aca="false">IF(N(Z743)&gt;0,Z743,0)</f>
        <v>0</v>
      </c>
      <c r="BW743" s="60" t="n">
        <f aca="false">IF(ISNUMBER(AC743),1,0)</f>
        <v>0</v>
      </c>
      <c r="BX743" s="57" t="n">
        <f aca="false">N(AC743)</f>
        <v>0</v>
      </c>
      <c r="BY743" s="57" t="n">
        <f aca="false">N(L743)+N(M743)</f>
        <v>10</v>
      </c>
      <c r="BZ743" s="57" t="n">
        <f aca="false">ROUNDUP(G743/BQ743,0)</f>
        <v>0</v>
      </c>
      <c r="CA743" s="57" t="n">
        <f aca="false">ROUNDUP(BX743/BQ743,0)</f>
        <v>0</v>
      </c>
      <c r="CB743" s="60" t="n">
        <f aca="false">IF(BR743=1,0,IFERROR(VLOOKUP(BP743,'Gebinde-Kategorie'!$A$5:$M$45,5,0)+0,0))</f>
        <v>0</v>
      </c>
      <c r="CC743" s="60" t="n">
        <f aca="false">IFERROR(IF(OR(BT743=1,BT743=2,BT743=3),N(INDEX(Parameter!$I$5:$I$7,BT743)),0),0)</f>
        <v>0</v>
      </c>
      <c r="CD743" s="59" t="n">
        <f aca="false">IF(AND(Parameter!$B$21="Ja",ISNUMBER(U743),N(V743)&gt;0),IFERROR(N(INDEX(Parameter!$L$5:$L$7,U743))*INDEX(Parameter!$E$5:$E$7,U743)*V743/SUMIFS($V$7:$V$1576,$U$7:$U$1576,U743),0),0)</f>
        <v>0</v>
      </c>
    </row>
    <row r="744" customFormat="false" ht="15" hidden="false" customHeight="false" outlineLevel="0" collapsed="false">
      <c r="A744" s="55" t="s">
        <v>1463</v>
      </c>
      <c r="B744" s="55" t="s">
        <v>578</v>
      </c>
      <c r="C744" s="55" t="s">
        <v>160</v>
      </c>
      <c r="D744" s="55" t="s">
        <v>178</v>
      </c>
      <c r="E744" s="55" t="s">
        <v>210</v>
      </c>
      <c r="F744" s="56" t="n">
        <v>1.7</v>
      </c>
      <c r="G744" s="57" t="n">
        <f aca="false">MAX(0,IF(AND(Parameter!$B$21="Ja",ISNUMBER(W744)),W744,IF(Parameter!$B$20="Jahresanfang 2025 + Export",BJ744+BI744,BI744)))</f>
        <v>0</v>
      </c>
      <c r="H744" s="57" t="n">
        <f aca="false">G744*F744</f>
        <v>0</v>
      </c>
      <c r="I744" s="57" t="n">
        <f aca="false">BL744*Parameter!$B$18</f>
        <v>80</v>
      </c>
      <c r="J744" s="58" t="n">
        <v>74</v>
      </c>
      <c r="K744" s="59" t="n">
        <v>1.08108108108108</v>
      </c>
      <c r="L744" s="57" t="n">
        <v>4</v>
      </c>
      <c r="M744" s="57" t="n">
        <v>80</v>
      </c>
      <c r="N744" s="60" t="n">
        <v>21</v>
      </c>
      <c r="O744" s="55" t="s">
        <v>416</v>
      </c>
      <c r="P744" s="57" t="n">
        <v>157</v>
      </c>
      <c r="Q744" s="60" t="n">
        <f aca="false">IF(BR744=1,0,IFERROR(VLOOKUP(BP744,'Gebinde-Kategorie'!$A$5:$M$45,13,0)+0,0))</f>
        <v>198</v>
      </c>
      <c r="R744" s="61"/>
      <c r="S744" s="62"/>
      <c r="T744" s="62"/>
      <c r="U744" s="55"/>
      <c r="V744" s="57"/>
      <c r="W744" s="57"/>
      <c r="X744" s="55" t="n">
        <f aca="false">IF(A744="","",IF(AND(Parameter!$B$21="Ja",ISNUMBER(U744)),U744,IF(IFERROR(VLOOKUP(D744,Parameter!$A$35:$C$64,2,0),"Nein")="2+3",IF(ISNUMBER(SEARCH("grosser Artikel",BM744)),2,IFERROR(VLOOKUP(BP744,Parameter!$F$35:$G$64,2,0),2)),IF(OR(IFERROR(VLOOKUP(D744,Parameter!$A$35:$C$64,2,0),"Nein")="Nein",IFERROR(VLOOKUP(D744,Parameter!$A$35:$C$64,2,0),"Nein")=""),"-",VLOOKUP(D744,Parameter!$A$35:$C$64,2,0)))))</f>
        <v>3</v>
      </c>
      <c r="Y744" s="62"/>
      <c r="Z744" s="63"/>
      <c r="AA744" s="57" t="n">
        <f aca="false">AP744</f>
        <v>157</v>
      </c>
      <c r="AB744" s="57" t="n">
        <f aca="false">MAX(AP744,G744)</f>
        <v>157</v>
      </c>
      <c r="AC744" s="64"/>
      <c r="AD744" s="57" t="n">
        <f aca="false">IF(LEFT(Cockpit!$C$5,1)="A",G744,IF(BW744=1,BX744,IF(LEFT(Cockpit!$C$5,1)="B",AH744,MAX(AH744,G744))))</f>
        <v>0</v>
      </c>
      <c r="AE744" s="57" t="n">
        <f aca="false">IF(BR744=1,0,ROUNDUP(AD744/BQ744,0))</f>
        <v>0</v>
      </c>
      <c r="AF744" s="59" t="n">
        <f aca="false">IF(CD744&gt;0,CD744*MAX(1,AD744/V744),IF(BR744=1,IF(AD744&lt;=0,0,BS744*MAX(1,IF(G744&gt;0,AD744/G744,1))),IF(Q744&gt;0,AE744/Q744,0))/MAX(0.1,N(Parameter!$M$21)))</f>
        <v>0</v>
      </c>
      <c r="AG744" s="57" t="n">
        <f aca="false">AD744*F744</f>
        <v>0</v>
      </c>
      <c r="AH744" s="57" t="n">
        <f aca="false">ROUNDUP(MAX(I744/IF(BV744&gt;0,BV744,MAX(0.1,N(Cockpit!$C$6))),BY744)/BQ744,0)*BQ744</f>
        <v>157</v>
      </c>
      <c r="AI744" s="58" t="n">
        <f aca="false">IF(AF744&gt;0,I744/AF744,-1)</f>
        <v>-1</v>
      </c>
      <c r="AJ744" s="58" t="str">
        <f aca="false">IF(AND(OR(BU744="L1",BU744="L23"),AF744&gt;0),SUMIFS($AF$7:$AF$1576,$BU$7:$BU$1576,BU744,$AI$7:$AI$1576,"&gt;"&amp;AI744)+SUMIFS($AF$7:$AF$1576,$BU$7:$BU$1576,BU744,$AI$7:$AI$1576,AI744,$BO$7:$BO$1576,"&lt;="&amp;BO744),"")</f>
        <v/>
      </c>
      <c r="AK744" s="65" t="n">
        <f aca="false">IF(AJ744="",0,MAX(0,MIN(1,(IF(BU744="L1",Parameter!$E$5,Parameter!$E$6+Parameter!$E$7)-(AJ744-AF744))/AF744)))</f>
        <v>0</v>
      </c>
      <c r="AL744" s="57" t="n">
        <f aca="false">IF(LEFT(Cockpit!$I$5,1)="A",G744,IF(BW744=1,BX744,IF(LEFT(Cockpit!$I$5,1)="B",AP744,MAX(AP744,G744))))</f>
        <v>157</v>
      </c>
      <c r="AM744" s="57" t="n">
        <f aca="false">IF(BR744=1,0,ROUNDUP(AL744/BQ744,0))</f>
        <v>1</v>
      </c>
      <c r="AN744" s="59" t="n">
        <f aca="false">IF(CD744&gt;0,CD744*MAX(1,AL744/V744),IF(BR744=1,IF(AL744&lt;=0,0,BS744*MAX(1,IF(G744&gt;0,AL744/G744,1))),IF(Q744&gt;0,AM744/Q744,0))/MAX(0.1,N(Parameter!$M$21)))</f>
        <v>0.00505050505050505</v>
      </c>
      <c r="AO744" s="57" t="n">
        <f aca="false">AL744*F744</f>
        <v>266.9</v>
      </c>
      <c r="AP744" s="57" t="n">
        <f aca="false">ROUNDUP(MAX(I744/IF(BV744&gt;0,BV744,MAX(0.1,N(Cockpit!$I$6))),BY744)/BQ744,0)*BQ744</f>
        <v>157</v>
      </c>
      <c r="AQ744" s="58" t="n">
        <f aca="false">IF(AN744&gt;0,I744/AN744,-1)</f>
        <v>15840</v>
      </c>
      <c r="AR744" s="58" t="n">
        <f aca="false">IF(AND(OR(BU744="L1",BU744="L23"),AN744&gt;0),SUMIFS($AN$7:$AN$1576,$BU$7:$BU$1576,BU744,$AQ$7:$AQ$1576,"&gt;"&amp;AQ744)+SUMIFS($AN$7:$AN$1576,$BU$7:$BU$1576,BU744,$AQ$7:$AQ$1576,AQ744,$BO$7:$BO$1576,"&lt;="&amp;BO744),"")</f>
        <v>5.56691632039458</v>
      </c>
      <c r="AS744" s="65" t="n">
        <f aca="false">IF(AR744="",0,MAX(0,MIN(1,(IF(BU744="L1",Parameter!$E$5,Parameter!$E$6+Parameter!$E$7)-(AR744-AN744))/AN744)))</f>
        <v>1</v>
      </c>
      <c r="AT744" s="57" t="n">
        <f aca="false">IF(LEFT(Cockpit!$O$5,1)="A",G744,IF(BW744=1,BX744,IF(LEFT(Cockpit!$O$5,1)="B",AX744,MAX(AX744,G744))))</f>
        <v>157</v>
      </c>
      <c r="AU744" s="57" t="n">
        <f aca="false">IF(BR744=1,0,ROUNDUP(AT744/BQ744,0))</f>
        <v>1</v>
      </c>
      <c r="AV744" s="59" t="n">
        <f aca="false">IF(CD744&gt;0,CD744*MAX(1,AT744/V744),IF(BR744=1,IF(AT744&lt;=0,0,BS744*MAX(1,IF(G744&gt;0,AT744/G744,1))),IF(Q744&gt;0,AU744/Q744,0))/MAX(0.1,N(Parameter!$M$21)))</f>
        <v>0.00505050505050505</v>
      </c>
      <c r="AW744" s="57" t="n">
        <f aca="false">AT744*F744</f>
        <v>266.9</v>
      </c>
      <c r="AX744" s="57" t="n">
        <f aca="false">ROUNDUP(MAX(I744/IF(BV744&gt;0,BV744,MAX(0.1,N(Cockpit!$O$6))),BY744)/BQ744,0)*BQ744</f>
        <v>157</v>
      </c>
      <c r="AY744" s="58" t="n">
        <f aca="false">IF(AV744&gt;0,I744/AV744,-1)</f>
        <v>15840</v>
      </c>
      <c r="AZ744" s="58" t="n">
        <f aca="false">IF(AND(OR(BU744="L1",BU744="L23"),AV744&gt;0),SUMIFS($AV$7:$AV$1576,$BU$7:$BU$1576,BU744,$AY$7:$AY$1576,"&gt;"&amp;AY744)+SUMIFS($AV$7:$AV$1576,$BU$7:$BU$1576,BU744,$AY$7:$AY$1576,AY744,$BO$7:$BO$1576,"&lt;="&amp;BO744),"")</f>
        <v>4.94803520151346</v>
      </c>
      <c r="BA744" s="65" t="n">
        <f aca="false">IF(AZ744="",0,MAX(0,MIN(1,(IF(BU744="L1",Parameter!$E$5,Parameter!$E$6+Parameter!$E$7)-(AZ744-AV744))/AV744)))</f>
        <v>1</v>
      </c>
      <c r="BB744" s="55" t="str">
        <f aca="false">IF(AF744&lt;=0,"",IF(BU744="Aussen","Aussenlager",IF(BU744="-","Nicht im Lift",IF(AK744&gt;=1,"Lift",IF(AK744&lt;=0,"Aussenlager","teilweise")))))</f>
        <v/>
      </c>
      <c r="BC744" s="55" t="str">
        <f aca="false">IF(AN744&lt;=0,"",IF(BU744="Aussen","Aussenlager",IF(BU744="-","Nicht im Lift",IF(AS744&gt;=1,"Lift",IF(AS744&lt;=0,"Aussenlager","teilweise")))))</f>
        <v>Lift</v>
      </c>
      <c r="BD744" s="55" t="str">
        <f aca="false">IF(AV744&lt;=0,"",IF(BU744="Aussen","Aussenlager",IF(BU744="-","Nicht im Lift",IF(BA744&gt;=1,"Lift",IF(BA744&lt;=0,"Aussenlager","teilweise")))))</f>
        <v>Lift</v>
      </c>
      <c r="BE744" s="55" t="str">
        <f aca="false">IF(A744="","",IF(BN744=1,"Neu; ","")&amp;IF(AND(BN744=0,BI744&lt;0),"negativer Bestand (Export "&amp;BI744&amp;"); ","")&amp;IF(I744&lt;=0,"Kein Verbrauch; ","")&amp;IF(CD744&gt;0,"Lift "&amp;U744&amp;" lt. Liftbericht (Fach "&amp;V744&amp;" Stk); ",IF(BR744=1,"Lose – Fläche geschätzt; ",""))&amp;IF(G744&gt;AP744,"Überbestand "&amp;ROUND(G744-AP744,0)&amp;" Stk / CHF "&amp;ROUND((G744-AP744)*F744,0)&amp;"; ","")&amp;IF(AND(BW744=1,BX744&lt;BY744),"MAX &lt; MB+LG; ","")&amp;IF(AND(CC744&gt;0,CB744*10&gt;CC744),"zu hoch für Tablar; ","")&amp;IF(AND(BN744=0,OR(BW744=1,Y744&lt;&gt;"",S744&lt;&gt;"",T744&lt;&gt;"",Z744&lt;&gt;"")),"manuell übersteuert; ","")&amp;IF(AND(BR744=0,Q744=0),"Gebinde unbekannt / Stellmass fehlt; ","")&amp;IF(AND(BR744=0,N(T744)&lt;=0,N(P744)&lt;=0),"Menge pro Gebinde fehlt (Ist = 1 Gebinde); ","")&amp;BM744)</f>
        <v/>
      </c>
      <c r="BF744" s="55"/>
      <c r="BG744" s="55"/>
      <c r="BH744" s="62"/>
      <c r="BI744" s="57" t="n">
        <v>0</v>
      </c>
      <c r="BJ744" s="57" t="n">
        <v>78</v>
      </c>
      <c r="BK744" s="56" t="n">
        <v>-2.1316282072803E-014</v>
      </c>
      <c r="BL744" s="57" t="n">
        <v>80</v>
      </c>
      <c r="BM744" s="55"/>
      <c r="BN744" s="60" t="n">
        <v>0</v>
      </c>
      <c r="BO744" s="60" t="n">
        <v>744</v>
      </c>
      <c r="BP744" s="55" t="str">
        <f aca="false">IF(S744&lt;&gt;"",UPPER(TRIM(S744)),IF(O744="","LOSE",O744))</f>
        <v>S22</v>
      </c>
      <c r="BQ744" s="57" t="n">
        <f aca="false">IF(BP744="LOSE",1,IF(N(T744)&gt;0,T744,IF(N(P744)&gt;0,P744,MAX(1,G744))))</f>
        <v>157</v>
      </c>
      <c r="BR744" s="60" t="n">
        <f aca="false">IF(BP744="LOSE",1,0)</f>
        <v>0</v>
      </c>
      <c r="BS744" s="59" t="n">
        <f aca="false">IF(BR744=0,0,IF(N(R744)&gt;0,R744,IFERROR(VLOOKUP(D744,Parameter!$A$35:$C$64,3,0)+0,0)))</f>
        <v>0</v>
      </c>
      <c r="BT744" s="55" t="n">
        <f aca="false">IF(Y744&lt;&gt;"",Y744,X744)</f>
        <v>3</v>
      </c>
      <c r="BU744" s="55" t="str">
        <f aca="false">IF(BT744=1,"L1",IF(OR(BT744=2,BT744=3),"L23",IF(BT744="Aussen","Aussen","-")))</f>
        <v>L23</v>
      </c>
      <c r="BV744" s="66" t="n">
        <f aca="false">IF(N(Z744)&gt;0,Z744,0)</f>
        <v>0</v>
      </c>
      <c r="BW744" s="60" t="n">
        <f aca="false">IF(ISNUMBER(AC744),1,0)</f>
        <v>0</v>
      </c>
      <c r="BX744" s="57" t="n">
        <f aca="false">N(AC744)</f>
        <v>0</v>
      </c>
      <c r="BY744" s="57" t="n">
        <f aca="false">N(L744)+N(M744)</f>
        <v>84</v>
      </c>
      <c r="BZ744" s="57" t="n">
        <f aca="false">ROUNDUP(G744/BQ744,0)</f>
        <v>0</v>
      </c>
      <c r="CA744" s="57" t="n">
        <f aca="false">ROUNDUP(BX744/BQ744,0)</f>
        <v>0</v>
      </c>
      <c r="CB744" s="60" t="n">
        <f aca="false">IF(BR744=1,0,IFERROR(VLOOKUP(BP744,'Gebinde-Kategorie'!$A$5:$M$45,5,0)+0,0))</f>
        <v>8</v>
      </c>
      <c r="CC744" s="60" t="n">
        <f aca="false">IFERROR(IF(OR(BT744=1,BT744=2,BT744=3),N(INDEX(Parameter!$I$5:$I$7,BT744)),0),0)</f>
        <v>0</v>
      </c>
      <c r="CD744" s="59" t="n">
        <f aca="false">IF(AND(Parameter!$B$21="Ja",ISNUMBER(U744),N(V744)&gt;0),IFERROR(N(INDEX(Parameter!$L$5:$L$7,U744))*INDEX(Parameter!$E$5:$E$7,U744)*V744/SUMIFS($V$7:$V$1576,$U$7:$U$1576,U744),0),0)</f>
        <v>0</v>
      </c>
    </row>
    <row r="745" customFormat="false" ht="15" hidden="false" customHeight="false" outlineLevel="0" collapsed="false">
      <c r="A745" s="55" t="s">
        <v>1464</v>
      </c>
      <c r="B745" s="55" t="s">
        <v>1372</v>
      </c>
      <c r="C745" s="55" t="s">
        <v>160</v>
      </c>
      <c r="D745" s="55" t="s">
        <v>168</v>
      </c>
      <c r="E745" s="55" t="s">
        <v>210</v>
      </c>
      <c r="F745" s="56" t="n">
        <v>11075.32</v>
      </c>
      <c r="G745" s="57" t="n">
        <f aca="false">MAX(0,IF(AND(Parameter!$B$21="Ja",ISNUMBER(W745)),W745,IF(Parameter!$B$20="Jahresanfang 2025 + Export",BJ745+BI745,BI745)))</f>
        <v>0</v>
      </c>
      <c r="H745" s="57" t="n">
        <f aca="false">G745*F745</f>
        <v>0</v>
      </c>
      <c r="I745" s="57" t="n">
        <f aca="false">BL745*Parameter!$B$18</f>
        <v>1</v>
      </c>
      <c r="J745" s="58" t="n">
        <v>0</v>
      </c>
      <c r="K745" s="59" t="n">
        <v>0</v>
      </c>
      <c r="L745" s="57" t="n">
        <v>0</v>
      </c>
      <c r="M745" s="57" t="n">
        <v>1</v>
      </c>
      <c r="N745" s="60" t="n">
        <v>170</v>
      </c>
      <c r="O745" s="55" t="s">
        <v>163</v>
      </c>
      <c r="P745" s="57"/>
      <c r="Q745" s="60" t="n">
        <f aca="false">IF(BR745=1,0,IFERROR(VLOOKUP(BP745,'Gebinde-Kategorie'!$A$5:$M$45,13,0)+0,0))</f>
        <v>0</v>
      </c>
      <c r="R745" s="61"/>
      <c r="S745" s="62"/>
      <c r="T745" s="62"/>
      <c r="U745" s="55"/>
      <c r="V745" s="57"/>
      <c r="W745" s="57"/>
      <c r="X745" s="55" t="n">
        <f aca="false">IF(A745="","",IF(AND(Parameter!$B$21="Ja",ISNUMBER(U745)),U745,IF(IFERROR(VLOOKUP(D745,Parameter!$A$35:$C$64,2,0),"Nein")="2+3",IF(ISNUMBER(SEARCH("grosser Artikel",BM745)),2,IFERROR(VLOOKUP(BP745,Parameter!$F$35:$G$64,2,0),2)),IF(OR(IFERROR(VLOOKUP(D745,Parameter!$A$35:$C$64,2,0),"Nein")="Nein",IFERROR(VLOOKUP(D745,Parameter!$A$35:$C$64,2,0),"Nein")=""),"-",VLOOKUP(D745,Parameter!$A$35:$C$64,2,0)))))</f>
        <v>2</v>
      </c>
      <c r="Y745" s="62"/>
      <c r="Z745" s="63"/>
      <c r="AA745" s="57" t="n">
        <f aca="false">AP745</f>
        <v>1</v>
      </c>
      <c r="AB745" s="57" t="n">
        <f aca="false">MAX(AP745,G745)</f>
        <v>1</v>
      </c>
      <c r="AC745" s="64"/>
      <c r="AD745" s="57" t="n">
        <f aca="false">IF(LEFT(Cockpit!$C$5,1)="A",G745,IF(BW745=1,BX745,IF(LEFT(Cockpit!$C$5,1)="B",AH745,MAX(AH745,G745))))</f>
        <v>0</v>
      </c>
      <c r="AE745" s="57" t="n">
        <f aca="false">IF(BR745=1,0,ROUNDUP(AD745/BQ745,0))</f>
        <v>0</v>
      </c>
      <c r="AF745" s="59" t="n">
        <f aca="false">IF(CD745&gt;0,CD745*MAX(1,AD745/V745),IF(BR745=1,IF(AD745&lt;=0,0,BS745*MAX(1,IF(G745&gt;0,AD745/G745,1))),IF(Q745&gt;0,AE745/Q745,0))/MAX(0.1,N(Parameter!$M$21)))</f>
        <v>0</v>
      </c>
      <c r="AG745" s="57" t="n">
        <f aca="false">AD745*F745</f>
        <v>0</v>
      </c>
      <c r="AH745" s="57" t="n">
        <f aca="false">ROUNDUP(MAX(I745/IF(BV745&gt;0,BV745,MAX(0.1,N(Cockpit!$C$6))),BY745)/BQ745,0)*BQ745</f>
        <v>1</v>
      </c>
      <c r="AI745" s="58" t="n">
        <f aca="false">IF(AF745&gt;0,I745/AF745,-1)</f>
        <v>-1</v>
      </c>
      <c r="AJ745" s="58" t="str">
        <f aca="false">IF(AND(OR(BU745="L1",BU745="L23"),AF745&gt;0),SUMIFS($AF$7:$AF$1576,$BU$7:$BU$1576,BU745,$AI$7:$AI$1576,"&gt;"&amp;AI745)+SUMIFS($AF$7:$AF$1576,$BU$7:$BU$1576,BU745,$AI$7:$AI$1576,AI745,$BO$7:$BO$1576,"&lt;="&amp;BO745),"")</f>
        <v/>
      </c>
      <c r="AK745" s="65" t="n">
        <f aca="false">IF(AJ745="",0,MAX(0,MIN(1,(IF(BU745="L1",Parameter!$E$5,Parameter!$E$6+Parameter!$E$7)-(AJ745-AF745))/AF745)))</f>
        <v>0</v>
      </c>
      <c r="AL745" s="57" t="n">
        <f aca="false">IF(LEFT(Cockpit!$I$5,1)="A",G745,IF(BW745=1,BX745,IF(LEFT(Cockpit!$I$5,1)="B",AP745,MAX(AP745,G745))))</f>
        <v>1</v>
      </c>
      <c r="AM745" s="57" t="n">
        <f aca="false">IF(BR745=1,0,ROUNDUP(AL745/BQ745,0))</f>
        <v>0</v>
      </c>
      <c r="AN745" s="59" t="n">
        <f aca="false">IF(CD745&gt;0,CD745*MAX(1,AL745/V745),IF(BR745=1,IF(AL745&lt;=0,0,BS745*MAX(1,IF(G745&gt;0,AL745/G745,1))),IF(Q745&gt;0,AM745/Q745,0))/MAX(0.1,N(Parameter!$M$21)))</f>
        <v>0.15</v>
      </c>
      <c r="AO745" s="57" t="n">
        <f aca="false">AL745*F745</f>
        <v>11075.32</v>
      </c>
      <c r="AP745" s="57" t="n">
        <f aca="false">ROUNDUP(MAX(I745/IF(BV745&gt;0,BV745,MAX(0.1,N(Cockpit!$I$6))),BY745)/BQ745,0)*BQ745</f>
        <v>1</v>
      </c>
      <c r="AQ745" s="58" t="n">
        <f aca="false">IF(AN745&gt;0,I745/AN745,-1)</f>
        <v>6.66666666666667</v>
      </c>
      <c r="AR745" s="58" t="n">
        <f aca="false">IF(AND(OR(BU745="L1",BU745="L23"),AN745&gt;0),SUMIFS($AN$7:$AN$1576,$BU$7:$BU$1576,BU745,$AQ$7:$AQ$1576,"&gt;"&amp;AQ745)+SUMIFS($AN$7:$AN$1576,$BU$7:$BU$1576,BU745,$AQ$7:$AQ$1576,AQ745,$BO$7:$BO$1576,"&lt;="&amp;BO745),"")</f>
        <v>110.842434588696</v>
      </c>
      <c r="AS745" s="65" t="n">
        <f aca="false">IF(AR745="",0,MAX(0,MIN(1,(IF(BU745="L1",Parameter!$E$5,Parameter!$E$6+Parameter!$E$7)-(AR745-AN745))/AN745)))</f>
        <v>0</v>
      </c>
      <c r="AT745" s="57" t="n">
        <f aca="false">IF(LEFT(Cockpit!$O$5,1)="A",G745,IF(BW745=1,BX745,IF(LEFT(Cockpit!$O$5,1)="B",AX745,MAX(AX745,G745))))</f>
        <v>1</v>
      </c>
      <c r="AU745" s="57" t="n">
        <f aca="false">IF(BR745=1,0,ROUNDUP(AT745/BQ745,0))</f>
        <v>0</v>
      </c>
      <c r="AV745" s="59" t="n">
        <f aca="false">IF(CD745&gt;0,CD745*MAX(1,AT745/V745),IF(BR745=1,IF(AT745&lt;=0,0,BS745*MAX(1,IF(G745&gt;0,AT745/G745,1))),IF(Q745&gt;0,AU745/Q745,0))/MAX(0.1,N(Parameter!$M$21)))</f>
        <v>0.15</v>
      </c>
      <c r="AW745" s="57" t="n">
        <f aca="false">AT745*F745</f>
        <v>11075.32</v>
      </c>
      <c r="AX745" s="57" t="n">
        <f aca="false">ROUNDUP(MAX(I745/IF(BV745&gt;0,BV745,MAX(0.1,N(Cockpit!$O$6))),BY745)/BQ745,0)*BQ745</f>
        <v>1</v>
      </c>
      <c r="AY745" s="58" t="n">
        <f aca="false">IF(AV745&gt;0,I745/AV745,-1)</f>
        <v>6.66666666666667</v>
      </c>
      <c r="AZ745" s="58" t="n">
        <f aca="false">IF(AND(OR(BU745="L1",BU745="L23"),AV745&gt;0),SUMIFS($AV$7:$AV$1576,$BU$7:$BU$1576,BU745,$AY$7:$AY$1576,"&gt;"&amp;AY745)+SUMIFS($AV$7:$AV$1576,$BU$7:$BU$1576,BU745,$AY$7:$AY$1576,AY745,$BO$7:$BO$1576,"&lt;="&amp;BO745),"")</f>
        <v>100.901985038246</v>
      </c>
      <c r="BA745" s="65" t="n">
        <f aca="false">IF(AZ745="",0,MAX(0,MIN(1,(IF(BU745="L1",Parameter!$E$5,Parameter!$E$6+Parameter!$E$7)-(AZ745-AV745))/AV745)))</f>
        <v>0</v>
      </c>
      <c r="BB745" s="55" t="str">
        <f aca="false">IF(AF745&lt;=0,"",IF(BU745="Aussen","Aussenlager",IF(BU745="-","Nicht im Lift",IF(AK745&gt;=1,"Lift",IF(AK745&lt;=0,"Aussenlager","teilweise")))))</f>
        <v/>
      </c>
      <c r="BC745" s="55" t="str">
        <f aca="false">IF(AN745&lt;=0,"",IF(BU745="Aussen","Aussenlager",IF(BU745="-","Nicht im Lift",IF(AS745&gt;=1,"Lift",IF(AS745&lt;=0,"Aussenlager","teilweise")))))</f>
        <v>Aussenlager</v>
      </c>
      <c r="BD745" s="55" t="str">
        <f aca="false">IF(AV745&lt;=0,"",IF(BU745="Aussen","Aussenlager",IF(BU745="-","Nicht im Lift",IF(BA745&gt;=1,"Lift",IF(BA745&lt;=0,"Aussenlager","teilweise")))))</f>
        <v>Aussenlager</v>
      </c>
      <c r="BE745" s="55" t="str">
        <f aca="false">IF(A745="","",IF(BN745=1,"Neu; ","")&amp;IF(AND(BN745=0,BI745&lt;0),"negativer Bestand (Export "&amp;BI745&amp;"); ","")&amp;IF(I745&lt;=0,"Kein Verbrauch; ","")&amp;IF(CD745&gt;0,"Lift "&amp;U745&amp;" lt. Liftbericht (Fach "&amp;V745&amp;" Stk); ",IF(BR745=1,"Lose – Fläche geschätzt; ",""))&amp;IF(G745&gt;AP745,"Überbestand "&amp;ROUND(G745-AP745,0)&amp;" Stk / CHF "&amp;ROUND((G745-AP745)*F745,0)&amp;"; ","")&amp;IF(AND(BW745=1,BX745&lt;BY745),"MAX &lt; MB+LG; ","")&amp;IF(AND(CC745&gt;0,CB745*10&gt;CC745),"zu hoch für Tablar; ","")&amp;IF(AND(BN745=0,OR(BW745=1,Y745&lt;&gt;"",S745&lt;&gt;"",T745&lt;&gt;"",Z745&lt;&gt;"")),"manuell übersteuert; ","")&amp;IF(AND(BR745=0,Q745=0),"Gebinde unbekannt / Stellmass fehlt; ","")&amp;IF(AND(BR745=0,N(T745)&lt;=0,N(P745)&lt;=0),"Menge pro Gebinde fehlt (Ist = 1 Gebinde); ","")&amp;BM745)</f>
        <v>Lose – Fläche geschätzt; </v>
      </c>
      <c r="BF745" s="55"/>
      <c r="BG745" s="55"/>
      <c r="BH745" s="62"/>
      <c r="BI745" s="57" t="n">
        <v>0</v>
      </c>
      <c r="BJ745" s="57" t="n">
        <v>0</v>
      </c>
      <c r="BK745" s="56" t="n">
        <v>-1.70530256582424E-013</v>
      </c>
      <c r="BL745" s="57" t="n">
        <v>1</v>
      </c>
      <c r="BM745" s="55"/>
      <c r="BN745" s="60" t="n">
        <v>0</v>
      </c>
      <c r="BO745" s="60" t="n">
        <v>745</v>
      </c>
      <c r="BP745" s="55" t="str">
        <f aca="false">IF(S745&lt;&gt;"",UPPER(TRIM(S745)),IF(O745="","LOSE",O745))</f>
        <v>LOSE</v>
      </c>
      <c r="BQ745" s="57" t="n">
        <f aca="false">IF(BP745="LOSE",1,IF(N(T745)&gt;0,T745,IF(N(P745)&gt;0,P745,MAX(1,G745))))</f>
        <v>1</v>
      </c>
      <c r="BR745" s="60" t="n">
        <f aca="false">IF(BP745="LOSE",1,0)</f>
        <v>1</v>
      </c>
      <c r="BS745" s="59" t="n">
        <f aca="false">IF(BR745=0,0,IF(N(R745)&gt;0,R745,IFERROR(VLOOKUP(D745,Parameter!$A$35:$C$64,3,0)+0,0)))</f>
        <v>0.15</v>
      </c>
      <c r="BT745" s="55" t="n">
        <f aca="false">IF(Y745&lt;&gt;"",Y745,X745)</f>
        <v>2</v>
      </c>
      <c r="BU745" s="55" t="str">
        <f aca="false">IF(BT745=1,"L1",IF(OR(BT745=2,BT745=3),"L23",IF(BT745="Aussen","Aussen","-")))</f>
        <v>L23</v>
      </c>
      <c r="BV745" s="66" t="n">
        <f aca="false">IF(N(Z745)&gt;0,Z745,0)</f>
        <v>0</v>
      </c>
      <c r="BW745" s="60" t="n">
        <f aca="false">IF(ISNUMBER(AC745),1,0)</f>
        <v>0</v>
      </c>
      <c r="BX745" s="57" t="n">
        <f aca="false">N(AC745)</f>
        <v>0</v>
      </c>
      <c r="BY745" s="57" t="n">
        <f aca="false">N(L745)+N(M745)</f>
        <v>1</v>
      </c>
      <c r="BZ745" s="57" t="n">
        <f aca="false">ROUNDUP(G745/BQ745,0)</f>
        <v>0</v>
      </c>
      <c r="CA745" s="57" t="n">
        <f aca="false">ROUNDUP(BX745/BQ745,0)</f>
        <v>0</v>
      </c>
      <c r="CB745" s="60" t="n">
        <f aca="false">IF(BR745=1,0,IFERROR(VLOOKUP(BP745,'Gebinde-Kategorie'!$A$5:$M$45,5,0)+0,0))</f>
        <v>0</v>
      </c>
      <c r="CC745" s="60" t="n">
        <f aca="false">IFERROR(IF(OR(BT745=1,BT745=2,BT745=3),N(INDEX(Parameter!$I$5:$I$7,BT745)),0),0)</f>
        <v>0</v>
      </c>
      <c r="CD745" s="59" t="n">
        <f aca="false">IF(AND(Parameter!$B$21="Ja",ISNUMBER(U745),N(V745)&gt;0),IFERROR(N(INDEX(Parameter!$L$5:$L$7,U745))*INDEX(Parameter!$E$5:$E$7,U745)*V745/SUMIFS($V$7:$V$1576,$U$7:$U$1576,U745),0),0)</f>
        <v>0</v>
      </c>
    </row>
    <row r="746" customFormat="false" ht="15" hidden="false" customHeight="false" outlineLevel="0" collapsed="false">
      <c r="A746" s="55" t="s">
        <v>1465</v>
      </c>
      <c r="B746" s="55" t="s">
        <v>1466</v>
      </c>
      <c r="C746" s="55" t="s">
        <v>162</v>
      </c>
      <c r="D746" s="55" t="s">
        <v>1377</v>
      </c>
      <c r="E746" s="55" t="s">
        <v>210</v>
      </c>
      <c r="F746" s="56" t="n">
        <v>2567.23</v>
      </c>
      <c r="G746" s="57" t="n">
        <f aca="false">MAX(0,IF(AND(Parameter!$B$21="Ja",ISNUMBER(W746)),W746,IF(Parameter!$B$20="Jahresanfang 2025 + Export",BJ746+BI746,BI746)))</f>
        <v>0</v>
      </c>
      <c r="H746" s="57" t="n">
        <f aca="false">G746*F746</f>
        <v>0</v>
      </c>
      <c r="I746" s="57" t="n">
        <f aca="false">BL746*Parameter!$B$18</f>
        <v>44</v>
      </c>
      <c r="J746" s="58" t="n">
        <v>0</v>
      </c>
      <c r="K746" s="59" t="n">
        <v>0</v>
      </c>
      <c r="L746" s="57" t="n">
        <v>0</v>
      </c>
      <c r="M746" s="57" t="n">
        <v>1</v>
      </c>
      <c r="N746" s="60" t="n">
        <v>7</v>
      </c>
      <c r="O746" s="55" t="s">
        <v>163</v>
      </c>
      <c r="P746" s="57"/>
      <c r="Q746" s="60" t="n">
        <f aca="false">IF(BR746=1,0,IFERROR(VLOOKUP(BP746,'Gebinde-Kategorie'!$A$5:$M$45,13,0)+0,0))</f>
        <v>0</v>
      </c>
      <c r="R746" s="61"/>
      <c r="S746" s="62"/>
      <c r="T746" s="62"/>
      <c r="U746" s="55"/>
      <c r="V746" s="57"/>
      <c r="W746" s="57"/>
      <c r="X746" s="55" t="str">
        <f aca="false">IF(A746="","",IF(AND(Parameter!$B$21="Ja",ISNUMBER(U746)),U746,IF(IFERROR(VLOOKUP(D746,Parameter!$A$35:$C$64,2,0),"Nein")="2+3",IF(ISNUMBER(SEARCH("grosser Artikel",BM746)),2,IFERROR(VLOOKUP(BP746,Parameter!$F$35:$G$64,2,0),2)),IF(OR(IFERROR(VLOOKUP(D746,Parameter!$A$35:$C$64,2,0),"Nein")="Nein",IFERROR(VLOOKUP(D746,Parameter!$A$35:$C$64,2,0),"Nein")=""),"-",VLOOKUP(D746,Parameter!$A$35:$C$64,2,0)))))</f>
        <v>-</v>
      </c>
      <c r="Y746" s="62"/>
      <c r="Z746" s="63"/>
      <c r="AA746" s="57" t="n">
        <f aca="false">AP746</f>
        <v>22</v>
      </c>
      <c r="AB746" s="57" t="n">
        <f aca="false">MAX(AP746,G746)</f>
        <v>22</v>
      </c>
      <c r="AC746" s="64"/>
      <c r="AD746" s="57" t="n">
        <f aca="false">IF(LEFT(Cockpit!$C$5,1)="A",G746,IF(BW746=1,BX746,IF(LEFT(Cockpit!$C$5,1)="B",AH746,MAX(AH746,G746))))</f>
        <v>0</v>
      </c>
      <c r="AE746" s="57" t="n">
        <f aca="false">IF(BR746=1,0,ROUNDUP(AD746/BQ746,0))</f>
        <v>0</v>
      </c>
      <c r="AF746" s="59" t="n">
        <f aca="false">IF(CD746&gt;0,CD746*MAX(1,AD746/V746),IF(BR746=1,IF(AD746&lt;=0,0,BS746*MAX(1,IF(G746&gt;0,AD746/G746,1))),IF(Q746&gt;0,AE746/Q746,0))/MAX(0.1,N(Parameter!$M$21)))</f>
        <v>0</v>
      </c>
      <c r="AG746" s="57" t="n">
        <f aca="false">AD746*F746</f>
        <v>0</v>
      </c>
      <c r="AH746" s="57" t="n">
        <f aca="false">ROUNDUP(MAX(I746/IF(BV746&gt;0,BV746,MAX(0.1,N(Cockpit!$C$6))),BY746)/BQ746,0)*BQ746</f>
        <v>22</v>
      </c>
      <c r="AI746" s="58" t="n">
        <f aca="false">IF(AF746&gt;0,I746/AF746,-1)</f>
        <v>-1</v>
      </c>
      <c r="AJ746" s="58" t="str">
        <f aca="false">IF(AND(OR(BU746="L1",BU746="L23"),AF746&gt;0),SUMIFS($AF$7:$AF$1576,$BU$7:$BU$1576,BU746,$AI$7:$AI$1576,"&gt;"&amp;AI746)+SUMIFS($AF$7:$AF$1576,$BU$7:$BU$1576,BU746,$AI$7:$AI$1576,AI746,$BO$7:$BO$1576,"&lt;="&amp;BO746),"")</f>
        <v/>
      </c>
      <c r="AK746" s="65" t="n">
        <f aca="false">IF(AJ746="",0,MAX(0,MIN(1,(IF(BU746="L1",Parameter!$E$5,Parameter!$E$6+Parameter!$E$7)-(AJ746-AF746))/AF746)))</f>
        <v>0</v>
      </c>
      <c r="AL746" s="57" t="n">
        <f aca="false">IF(LEFT(Cockpit!$I$5,1)="A",G746,IF(BW746=1,BX746,IF(LEFT(Cockpit!$I$5,1)="B",AP746,MAX(AP746,G746))))</f>
        <v>22</v>
      </c>
      <c r="AM746" s="57" t="n">
        <f aca="false">IF(BR746=1,0,ROUNDUP(AL746/BQ746,0))</f>
        <v>0</v>
      </c>
      <c r="AN746" s="59" t="n">
        <f aca="false">IF(CD746&gt;0,CD746*MAX(1,AL746/V746),IF(BR746=1,IF(AL746&lt;=0,0,BS746*MAX(1,IF(G746&gt;0,AL746/G746,1))),IF(Q746&gt;0,AM746/Q746,0))/MAX(0.1,N(Parameter!$M$21)))</f>
        <v>0.15</v>
      </c>
      <c r="AO746" s="57" t="n">
        <f aca="false">AL746*F746</f>
        <v>56479.06</v>
      </c>
      <c r="AP746" s="57" t="n">
        <f aca="false">ROUNDUP(MAX(I746/IF(BV746&gt;0,BV746,MAX(0.1,N(Cockpit!$I$6))),BY746)/BQ746,0)*BQ746</f>
        <v>22</v>
      </c>
      <c r="AQ746" s="58" t="n">
        <f aca="false">IF(AN746&gt;0,I746/AN746,-1)</f>
        <v>293.333333333333</v>
      </c>
      <c r="AR746" s="58" t="str">
        <f aca="false">IF(AND(OR(BU746="L1",BU746="L23"),AN746&gt;0),SUMIFS($AN$7:$AN$1576,$BU$7:$BU$1576,BU746,$AQ$7:$AQ$1576,"&gt;"&amp;AQ746)+SUMIFS($AN$7:$AN$1576,$BU$7:$BU$1576,BU746,$AQ$7:$AQ$1576,AQ746,$BO$7:$BO$1576,"&lt;="&amp;BO746),"")</f>
        <v/>
      </c>
      <c r="AS746" s="65" t="n">
        <f aca="false">IF(AR746="",0,MAX(0,MIN(1,(IF(BU746="L1",Parameter!$E$5,Parameter!$E$6+Parameter!$E$7)-(AR746-AN746))/AN746)))</f>
        <v>0</v>
      </c>
      <c r="AT746" s="57" t="n">
        <f aca="false">IF(LEFT(Cockpit!$O$5,1)="A",G746,IF(BW746=1,BX746,IF(LEFT(Cockpit!$O$5,1)="B",AX746,MAX(AX746,G746))))</f>
        <v>15</v>
      </c>
      <c r="AU746" s="57" t="n">
        <f aca="false">IF(BR746=1,0,ROUNDUP(AT746/BQ746,0))</f>
        <v>0</v>
      </c>
      <c r="AV746" s="59" t="n">
        <f aca="false">IF(CD746&gt;0,CD746*MAX(1,AT746/V746),IF(BR746=1,IF(AT746&lt;=0,0,BS746*MAX(1,IF(G746&gt;0,AT746/G746,1))),IF(Q746&gt;0,AU746/Q746,0))/MAX(0.1,N(Parameter!$M$21)))</f>
        <v>0.15</v>
      </c>
      <c r="AW746" s="57" t="n">
        <f aca="false">AT746*F746</f>
        <v>38508.45</v>
      </c>
      <c r="AX746" s="57" t="n">
        <f aca="false">ROUNDUP(MAX(I746/IF(BV746&gt;0,BV746,MAX(0.1,N(Cockpit!$O$6))),BY746)/BQ746,0)*BQ746</f>
        <v>15</v>
      </c>
      <c r="AY746" s="58" t="n">
        <f aca="false">IF(AV746&gt;0,I746/AV746,-1)</f>
        <v>293.333333333333</v>
      </c>
      <c r="AZ746" s="58" t="str">
        <f aca="false">IF(AND(OR(BU746="L1",BU746="L23"),AV746&gt;0),SUMIFS($AV$7:$AV$1576,$BU$7:$BU$1576,BU746,$AY$7:$AY$1576,"&gt;"&amp;AY746)+SUMIFS($AV$7:$AV$1576,$BU$7:$BU$1576,BU746,$AY$7:$AY$1576,AY746,$BO$7:$BO$1576,"&lt;="&amp;BO746),"")</f>
        <v/>
      </c>
      <c r="BA746" s="65" t="n">
        <f aca="false">IF(AZ746="",0,MAX(0,MIN(1,(IF(BU746="L1",Parameter!$E$5,Parameter!$E$6+Parameter!$E$7)-(AZ746-AV746))/AV746)))</f>
        <v>0</v>
      </c>
      <c r="BB746" s="55" t="str">
        <f aca="false">IF(AF746&lt;=0,"",IF(BU746="Aussen","Aussenlager",IF(BU746="-","Nicht im Lift",IF(AK746&gt;=1,"Lift",IF(AK746&lt;=0,"Aussenlager","teilweise")))))</f>
        <v/>
      </c>
      <c r="BC746" s="55" t="str">
        <f aca="false">IF(AN746&lt;=0,"",IF(BU746="Aussen","Aussenlager",IF(BU746="-","Nicht im Lift",IF(AS746&gt;=1,"Lift",IF(AS746&lt;=0,"Aussenlager","teilweise")))))</f>
        <v>Nicht im Lift</v>
      </c>
      <c r="BD746" s="55" t="str">
        <f aca="false">IF(AV746&lt;=0,"",IF(BU746="Aussen","Aussenlager",IF(BU746="-","Nicht im Lift",IF(BA746&gt;=1,"Lift",IF(BA746&lt;=0,"Aussenlager","teilweise")))))</f>
        <v>Nicht im Lift</v>
      </c>
      <c r="BE746" s="55" t="str">
        <f aca="false">IF(A746="","",IF(BN746=1,"Neu; ","")&amp;IF(AND(BN746=0,BI746&lt;0),"negativer Bestand (Export "&amp;BI746&amp;"); ","")&amp;IF(I746&lt;=0,"Kein Verbrauch; ","")&amp;IF(CD746&gt;0,"Lift "&amp;U746&amp;" lt. Liftbericht (Fach "&amp;V746&amp;" Stk); ",IF(BR746=1,"Lose – Fläche geschätzt; ",""))&amp;IF(G746&gt;AP746,"Überbestand "&amp;ROUND(G746-AP746,0)&amp;" Stk / CHF "&amp;ROUND((G746-AP746)*F746,0)&amp;"; ","")&amp;IF(AND(BW746=1,BX746&lt;BY746),"MAX &lt; MB+LG; ","")&amp;IF(AND(CC746&gt;0,CB746*10&gt;CC746),"zu hoch für Tablar; ","")&amp;IF(AND(BN746=0,OR(BW746=1,Y746&lt;&gt;"",S746&lt;&gt;"",T746&lt;&gt;"",Z746&lt;&gt;"")),"manuell übersteuert; ","")&amp;IF(AND(BR746=0,Q746=0),"Gebinde unbekannt / Stellmass fehlt; ","")&amp;IF(AND(BR746=0,N(T746)&lt;=0,N(P746)&lt;=0),"Menge pro Gebinde fehlt (Ist = 1 Gebinde); ","")&amp;BM746)</f>
        <v>Lose – Fläche geschätzt; </v>
      </c>
      <c r="BF746" s="55"/>
      <c r="BG746" s="55"/>
      <c r="BH746" s="62"/>
      <c r="BI746" s="57" t="n">
        <v>0</v>
      </c>
      <c r="BJ746" s="57" t="n">
        <v>0</v>
      </c>
      <c r="BK746" s="56" t="n">
        <v>-7.27595761418343E-012</v>
      </c>
      <c r="BL746" s="57" t="n">
        <v>44</v>
      </c>
      <c r="BM746" s="55"/>
      <c r="BN746" s="60" t="n">
        <v>0</v>
      </c>
      <c r="BO746" s="60" t="n">
        <v>746</v>
      </c>
      <c r="BP746" s="55" t="str">
        <f aca="false">IF(S746&lt;&gt;"",UPPER(TRIM(S746)),IF(O746="","LOSE",O746))</f>
        <v>LOSE</v>
      </c>
      <c r="BQ746" s="57" t="n">
        <f aca="false">IF(BP746="LOSE",1,IF(N(T746)&gt;0,T746,IF(N(P746)&gt;0,P746,MAX(1,G746))))</f>
        <v>1</v>
      </c>
      <c r="BR746" s="60" t="n">
        <f aca="false">IF(BP746="LOSE",1,0)</f>
        <v>1</v>
      </c>
      <c r="BS746" s="59" t="n">
        <f aca="false">IF(BR746=0,0,IF(N(R746)&gt;0,R746,IFERROR(VLOOKUP(D746,Parameter!$A$35:$C$64,3,0)+0,0)))</f>
        <v>0.15</v>
      </c>
      <c r="BT746" s="55" t="str">
        <f aca="false">IF(Y746&lt;&gt;"",Y746,X746)</f>
        <v>-</v>
      </c>
      <c r="BU746" s="55" t="str">
        <f aca="false">IF(BT746=1,"L1",IF(OR(BT746=2,BT746=3),"L23",IF(BT746="Aussen","Aussen","-")))</f>
        <v>-</v>
      </c>
      <c r="BV746" s="66" t="n">
        <f aca="false">IF(N(Z746)&gt;0,Z746,0)</f>
        <v>0</v>
      </c>
      <c r="BW746" s="60" t="n">
        <f aca="false">IF(ISNUMBER(AC746),1,0)</f>
        <v>0</v>
      </c>
      <c r="BX746" s="57" t="n">
        <f aca="false">N(AC746)</f>
        <v>0</v>
      </c>
      <c r="BY746" s="57" t="n">
        <f aca="false">N(L746)+N(M746)</f>
        <v>1</v>
      </c>
      <c r="BZ746" s="57" t="n">
        <f aca="false">ROUNDUP(G746/BQ746,0)</f>
        <v>0</v>
      </c>
      <c r="CA746" s="57" t="n">
        <f aca="false">ROUNDUP(BX746/BQ746,0)</f>
        <v>0</v>
      </c>
      <c r="CB746" s="60" t="n">
        <f aca="false">IF(BR746=1,0,IFERROR(VLOOKUP(BP746,'Gebinde-Kategorie'!$A$5:$M$45,5,0)+0,0))</f>
        <v>0</v>
      </c>
      <c r="CC746" s="60" t="n">
        <f aca="false">IFERROR(IF(OR(BT746=1,BT746=2,BT746=3),N(INDEX(Parameter!$I$5:$I$7,BT746)),0),0)</f>
        <v>0</v>
      </c>
      <c r="CD746" s="59" t="n">
        <f aca="false">IF(AND(Parameter!$B$21="Ja",ISNUMBER(U746),N(V746)&gt;0),IFERROR(N(INDEX(Parameter!$L$5:$L$7,U746))*INDEX(Parameter!$E$5:$E$7,U746)*V746/SUMIFS($V$7:$V$1576,$U$7:$U$1576,U746),0),0)</f>
        <v>0</v>
      </c>
    </row>
    <row r="747" customFormat="false" ht="15" hidden="false" customHeight="false" outlineLevel="0" collapsed="false">
      <c r="A747" s="55" t="s">
        <v>1467</v>
      </c>
      <c r="B747" s="55" t="s">
        <v>1468</v>
      </c>
      <c r="C747" s="55" t="s">
        <v>162</v>
      </c>
      <c r="D747" s="55" t="s">
        <v>1377</v>
      </c>
      <c r="E747" s="55" t="s">
        <v>210</v>
      </c>
      <c r="F747" s="56" t="n">
        <v>2080.97</v>
      </c>
      <c r="G747" s="57" t="n">
        <f aca="false">MAX(0,IF(AND(Parameter!$B$21="Ja",ISNUMBER(W747)),W747,IF(Parameter!$B$20="Jahresanfang 2025 + Export",BJ747+BI747,BI747)))</f>
        <v>0</v>
      </c>
      <c r="H747" s="57" t="n">
        <f aca="false">G747*F747</f>
        <v>0</v>
      </c>
      <c r="I747" s="57" t="n">
        <f aca="false">BL747*Parameter!$B$18</f>
        <v>115</v>
      </c>
      <c r="J747" s="58" t="n">
        <v>0</v>
      </c>
      <c r="K747" s="59" t="n">
        <v>0</v>
      </c>
      <c r="L747" s="57" t="n">
        <v>0</v>
      </c>
      <c r="M747" s="57" t="n">
        <v>1</v>
      </c>
      <c r="N747" s="60" t="n">
        <v>7</v>
      </c>
      <c r="O747" s="55" t="s">
        <v>163</v>
      </c>
      <c r="P747" s="57"/>
      <c r="Q747" s="60" t="n">
        <f aca="false">IF(BR747=1,0,IFERROR(VLOOKUP(BP747,'Gebinde-Kategorie'!$A$5:$M$45,13,0)+0,0))</f>
        <v>0</v>
      </c>
      <c r="R747" s="61"/>
      <c r="S747" s="62"/>
      <c r="T747" s="62"/>
      <c r="U747" s="55"/>
      <c r="V747" s="57"/>
      <c r="W747" s="57"/>
      <c r="X747" s="55" t="str">
        <f aca="false">IF(A747="","",IF(AND(Parameter!$B$21="Ja",ISNUMBER(U747)),U747,IF(IFERROR(VLOOKUP(D747,Parameter!$A$35:$C$64,2,0),"Nein")="2+3",IF(ISNUMBER(SEARCH("grosser Artikel",BM747)),2,IFERROR(VLOOKUP(BP747,Parameter!$F$35:$G$64,2,0),2)),IF(OR(IFERROR(VLOOKUP(D747,Parameter!$A$35:$C$64,2,0),"Nein")="Nein",IFERROR(VLOOKUP(D747,Parameter!$A$35:$C$64,2,0),"Nein")=""),"-",VLOOKUP(D747,Parameter!$A$35:$C$64,2,0)))))</f>
        <v>-</v>
      </c>
      <c r="Y747" s="62"/>
      <c r="Z747" s="63"/>
      <c r="AA747" s="57" t="n">
        <f aca="false">AP747</f>
        <v>58</v>
      </c>
      <c r="AB747" s="57" t="n">
        <f aca="false">MAX(AP747,G747)</f>
        <v>58</v>
      </c>
      <c r="AC747" s="64"/>
      <c r="AD747" s="57" t="n">
        <f aca="false">IF(LEFT(Cockpit!$C$5,1)="A",G747,IF(BW747=1,BX747,IF(LEFT(Cockpit!$C$5,1)="B",AH747,MAX(AH747,G747))))</f>
        <v>0</v>
      </c>
      <c r="AE747" s="57" t="n">
        <f aca="false">IF(BR747=1,0,ROUNDUP(AD747/BQ747,0))</f>
        <v>0</v>
      </c>
      <c r="AF747" s="59" t="n">
        <f aca="false">IF(CD747&gt;0,CD747*MAX(1,AD747/V747),IF(BR747=1,IF(AD747&lt;=0,0,BS747*MAX(1,IF(G747&gt;0,AD747/G747,1))),IF(Q747&gt;0,AE747/Q747,0))/MAX(0.1,N(Parameter!$M$21)))</f>
        <v>0</v>
      </c>
      <c r="AG747" s="57" t="n">
        <f aca="false">AD747*F747</f>
        <v>0</v>
      </c>
      <c r="AH747" s="57" t="n">
        <f aca="false">ROUNDUP(MAX(I747/IF(BV747&gt;0,BV747,MAX(0.1,N(Cockpit!$C$6))),BY747)/BQ747,0)*BQ747</f>
        <v>58</v>
      </c>
      <c r="AI747" s="58" t="n">
        <f aca="false">IF(AF747&gt;0,I747/AF747,-1)</f>
        <v>-1</v>
      </c>
      <c r="AJ747" s="58" t="str">
        <f aca="false">IF(AND(OR(BU747="L1",BU747="L23"),AF747&gt;0),SUMIFS($AF$7:$AF$1576,$BU$7:$BU$1576,BU747,$AI$7:$AI$1576,"&gt;"&amp;AI747)+SUMIFS($AF$7:$AF$1576,$BU$7:$BU$1576,BU747,$AI$7:$AI$1576,AI747,$BO$7:$BO$1576,"&lt;="&amp;BO747),"")</f>
        <v/>
      </c>
      <c r="AK747" s="65" t="n">
        <f aca="false">IF(AJ747="",0,MAX(0,MIN(1,(IF(BU747="L1",Parameter!$E$5,Parameter!$E$6+Parameter!$E$7)-(AJ747-AF747))/AF747)))</f>
        <v>0</v>
      </c>
      <c r="AL747" s="57" t="n">
        <f aca="false">IF(LEFT(Cockpit!$I$5,1)="A",G747,IF(BW747=1,BX747,IF(LEFT(Cockpit!$I$5,1)="B",AP747,MAX(AP747,G747))))</f>
        <v>58</v>
      </c>
      <c r="AM747" s="57" t="n">
        <f aca="false">IF(BR747=1,0,ROUNDUP(AL747/BQ747,0))</f>
        <v>0</v>
      </c>
      <c r="AN747" s="59" t="n">
        <f aca="false">IF(CD747&gt;0,CD747*MAX(1,AL747/V747),IF(BR747=1,IF(AL747&lt;=0,0,BS747*MAX(1,IF(G747&gt;0,AL747/G747,1))),IF(Q747&gt;0,AM747/Q747,0))/MAX(0.1,N(Parameter!$M$21)))</f>
        <v>0.15</v>
      </c>
      <c r="AO747" s="57" t="n">
        <f aca="false">AL747*F747</f>
        <v>120696.26</v>
      </c>
      <c r="AP747" s="57" t="n">
        <f aca="false">ROUNDUP(MAX(I747/IF(BV747&gt;0,BV747,MAX(0.1,N(Cockpit!$I$6))),BY747)/BQ747,0)*BQ747</f>
        <v>58</v>
      </c>
      <c r="AQ747" s="58" t="n">
        <f aca="false">IF(AN747&gt;0,I747/AN747,-1)</f>
        <v>766.666666666667</v>
      </c>
      <c r="AR747" s="58" t="str">
        <f aca="false">IF(AND(OR(BU747="L1",BU747="L23"),AN747&gt;0),SUMIFS($AN$7:$AN$1576,$BU$7:$BU$1576,BU747,$AQ$7:$AQ$1576,"&gt;"&amp;AQ747)+SUMIFS($AN$7:$AN$1576,$BU$7:$BU$1576,BU747,$AQ$7:$AQ$1576,AQ747,$BO$7:$BO$1576,"&lt;="&amp;BO747),"")</f>
        <v/>
      </c>
      <c r="AS747" s="65" t="n">
        <f aca="false">IF(AR747="",0,MAX(0,MIN(1,(IF(BU747="L1",Parameter!$E$5,Parameter!$E$6+Parameter!$E$7)-(AR747-AN747))/AN747)))</f>
        <v>0</v>
      </c>
      <c r="AT747" s="57" t="n">
        <f aca="false">IF(LEFT(Cockpit!$O$5,1)="A",G747,IF(BW747=1,BX747,IF(LEFT(Cockpit!$O$5,1)="B",AX747,MAX(AX747,G747))))</f>
        <v>39</v>
      </c>
      <c r="AU747" s="57" t="n">
        <f aca="false">IF(BR747=1,0,ROUNDUP(AT747/BQ747,0))</f>
        <v>0</v>
      </c>
      <c r="AV747" s="59" t="n">
        <f aca="false">IF(CD747&gt;0,CD747*MAX(1,AT747/V747),IF(BR747=1,IF(AT747&lt;=0,0,BS747*MAX(1,IF(G747&gt;0,AT747/G747,1))),IF(Q747&gt;0,AU747/Q747,0))/MAX(0.1,N(Parameter!$M$21)))</f>
        <v>0.15</v>
      </c>
      <c r="AW747" s="57" t="n">
        <f aca="false">AT747*F747</f>
        <v>81157.83</v>
      </c>
      <c r="AX747" s="57" t="n">
        <f aca="false">ROUNDUP(MAX(I747/IF(BV747&gt;0,BV747,MAX(0.1,N(Cockpit!$O$6))),BY747)/BQ747,0)*BQ747</f>
        <v>39</v>
      </c>
      <c r="AY747" s="58" t="n">
        <f aca="false">IF(AV747&gt;0,I747/AV747,-1)</f>
        <v>766.666666666667</v>
      </c>
      <c r="AZ747" s="58" t="str">
        <f aca="false">IF(AND(OR(BU747="L1",BU747="L23"),AV747&gt;0),SUMIFS($AV$7:$AV$1576,$BU$7:$BU$1576,BU747,$AY$7:$AY$1576,"&gt;"&amp;AY747)+SUMIFS($AV$7:$AV$1576,$BU$7:$BU$1576,BU747,$AY$7:$AY$1576,AY747,$BO$7:$BO$1576,"&lt;="&amp;BO747),"")</f>
        <v/>
      </c>
      <c r="BA747" s="65" t="n">
        <f aca="false">IF(AZ747="",0,MAX(0,MIN(1,(IF(BU747="L1",Parameter!$E$5,Parameter!$E$6+Parameter!$E$7)-(AZ747-AV747))/AV747)))</f>
        <v>0</v>
      </c>
      <c r="BB747" s="55" t="str">
        <f aca="false">IF(AF747&lt;=0,"",IF(BU747="Aussen","Aussenlager",IF(BU747="-","Nicht im Lift",IF(AK747&gt;=1,"Lift",IF(AK747&lt;=0,"Aussenlager","teilweise")))))</f>
        <v/>
      </c>
      <c r="BC747" s="55" t="str">
        <f aca="false">IF(AN747&lt;=0,"",IF(BU747="Aussen","Aussenlager",IF(BU747="-","Nicht im Lift",IF(AS747&gt;=1,"Lift",IF(AS747&lt;=0,"Aussenlager","teilweise")))))</f>
        <v>Nicht im Lift</v>
      </c>
      <c r="BD747" s="55" t="str">
        <f aca="false">IF(AV747&lt;=0,"",IF(BU747="Aussen","Aussenlager",IF(BU747="-","Nicht im Lift",IF(BA747&gt;=1,"Lift",IF(BA747&lt;=0,"Aussenlager","teilweise")))))</f>
        <v>Nicht im Lift</v>
      </c>
      <c r="BE747" s="55" t="str">
        <f aca="false">IF(A747="","",IF(BN747=1,"Neu; ","")&amp;IF(AND(BN747=0,BI747&lt;0),"negativer Bestand (Export "&amp;BI747&amp;"); ","")&amp;IF(I747&lt;=0,"Kein Verbrauch; ","")&amp;IF(CD747&gt;0,"Lift "&amp;U747&amp;" lt. Liftbericht (Fach "&amp;V747&amp;" Stk); ",IF(BR747=1,"Lose – Fläche geschätzt; ",""))&amp;IF(G747&gt;AP747,"Überbestand "&amp;ROUND(G747-AP747,0)&amp;" Stk / CHF "&amp;ROUND((G747-AP747)*F747,0)&amp;"; ","")&amp;IF(AND(BW747=1,BX747&lt;BY747),"MAX &lt; MB+LG; ","")&amp;IF(AND(CC747&gt;0,CB747*10&gt;CC747),"zu hoch für Tablar; ","")&amp;IF(AND(BN747=0,OR(BW747=1,Y747&lt;&gt;"",S747&lt;&gt;"",T747&lt;&gt;"",Z747&lt;&gt;"")),"manuell übersteuert; ","")&amp;IF(AND(BR747=0,Q747=0),"Gebinde unbekannt / Stellmass fehlt; ","")&amp;IF(AND(BR747=0,N(T747)&lt;=0,N(P747)&lt;=0),"Menge pro Gebinde fehlt (Ist = 1 Gebinde); ","")&amp;BM747)</f>
        <v>Lose – Fläche geschätzt; </v>
      </c>
      <c r="BF747" s="55"/>
      <c r="BG747" s="55"/>
      <c r="BH747" s="62"/>
      <c r="BI747" s="57" t="n">
        <v>0</v>
      </c>
      <c r="BJ747" s="57" t="n">
        <v>0</v>
      </c>
      <c r="BK747" s="56" t="n">
        <v>-1.45519152283669E-011</v>
      </c>
      <c r="BL747" s="57" t="n">
        <v>115</v>
      </c>
      <c r="BM747" s="55"/>
      <c r="BN747" s="60" t="n">
        <v>0</v>
      </c>
      <c r="BO747" s="60" t="n">
        <v>747</v>
      </c>
      <c r="BP747" s="55" t="str">
        <f aca="false">IF(S747&lt;&gt;"",UPPER(TRIM(S747)),IF(O747="","LOSE",O747))</f>
        <v>LOSE</v>
      </c>
      <c r="BQ747" s="57" t="n">
        <f aca="false">IF(BP747="LOSE",1,IF(N(T747)&gt;0,T747,IF(N(P747)&gt;0,P747,MAX(1,G747))))</f>
        <v>1</v>
      </c>
      <c r="BR747" s="60" t="n">
        <f aca="false">IF(BP747="LOSE",1,0)</f>
        <v>1</v>
      </c>
      <c r="BS747" s="59" t="n">
        <f aca="false">IF(BR747=0,0,IF(N(R747)&gt;0,R747,IFERROR(VLOOKUP(D747,Parameter!$A$35:$C$64,3,0)+0,0)))</f>
        <v>0.15</v>
      </c>
      <c r="BT747" s="55" t="str">
        <f aca="false">IF(Y747&lt;&gt;"",Y747,X747)</f>
        <v>-</v>
      </c>
      <c r="BU747" s="55" t="str">
        <f aca="false">IF(BT747=1,"L1",IF(OR(BT747=2,BT747=3),"L23",IF(BT747="Aussen","Aussen","-")))</f>
        <v>-</v>
      </c>
      <c r="BV747" s="66" t="n">
        <f aca="false">IF(N(Z747)&gt;0,Z747,0)</f>
        <v>0</v>
      </c>
      <c r="BW747" s="60" t="n">
        <f aca="false">IF(ISNUMBER(AC747),1,0)</f>
        <v>0</v>
      </c>
      <c r="BX747" s="57" t="n">
        <f aca="false">N(AC747)</f>
        <v>0</v>
      </c>
      <c r="BY747" s="57" t="n">
        <f aca="false">N(L747)+N(M747)</f>
        <v>1</v>
      </c>
      <c r="BZ747" s="57" t="n">
        <f aca="false">ROUNDUP(G747/BQ747,0)</f>
        <v>0</v>
      </c>
      <c r="CA747" s="57" t="n">
        <f aca="false">ROUNDUP(BX747/BQ747,0)</f>
        <v>0</v>
      </c>
      <c r="CB747" s="60" t="n">
        <f aca="false">IF(BR747=1,0,IFERROR(VLOOKUP(BP747,'Gebinde-Kategorie'!$A$5:$M$45,5,0)+0,0))</f>
        <v>0</v>
      </c>
      <c r="CC747" s="60" t="n">
        <f aca="false">IFERROR(IF(OR(BT747=1,BT747=2,BT747=3),N(INDEX(Parameter!$I$5:$I$7,BT747)),0),0)</f>
        <v>0</v>
      </c>
      <c r="CD747" s="59" t="n">
        <f aca="false">IF(AND(Parameter!$B$21="Ja",ISNUMBER(U747),N(V747)&gt;0),IFERROR(N(INDEX(Parameter!$L$5:$L$7,U747))*INDEX(Parameter!$E$5:$E$7,U747)*V747/SUMIFS($V$7:$V$1576,$U$7:$U$1576,U747),0),0)</f>
        <v>0</v>
      </c>
    </row>
    <row r="748" customFormat="false" ht="15" hidden="false" customHeight="false" outlineLevel="0" collapsed="false">
      <c r="A748" s="55" t="s">
        <v>1469</v>
      </c>
      <c r="B748" s="55" t="s">
        <v>938</v>
      </c>
      <c r="C748" s="55" t="s">
        <v>160</v>
      </c>
      <c r="D748" s="55" t="s">
        <v>178</v>
      </c>
      <c r="E748" s="55" t="s">
        <v>210</v>
      </c>
      <c r="F748" s="56" t="n">
        <v>0.02</v>
      </c>
      <c r="G748" s="57" t="n">
        <f aca="false">MAX(0,IF(AND(Parameter!$B$21="Ja",ISNUMBER(W748)),W748,IF(Parameter!$B$20="Jahresanfang 2025 + Export",BJ748+BI748,BI748)))</f>
        <v>0</v>
      </c>
      <c r="H748" s="57" t="n">
        <f aca="false">G748*F748</f>
        <v>0</v>
      </c>
      <c r="I748" s="57" t="n">
        <f aca="false">BL748*Parameter!$B$18</f>
        <v>0</v>
      </c>
      <c r="J748" s="58" t="n">
        <v>94.5</v>
      </c>
      <c r="K748" s="59" t="n">
        <v>0</v>
      </c>
      <c r="L748" s="57" t="n">
        <v>0</v>
      </c>
      <c r="M748" s="57" t="n">
        <v>1</v>
      </c>
      <c r="N748" s="60" t="n">
        <v>14</v>
      </c>
      <c r="O748" s="55" t="s">
        <v>163</v>
      </c>
      <c r="P748" s="57"/>
      <c r="Q748" s="60" t="n">
        <f aca="false">IF(BR748=1,0,IFERROR(VLOOKUP(BP748,'Gebinde-Kategorie'!$A$5:$M$45,13,0)+0,0))</f>
        <v>0</v>
      </c>
      <c r="R748" s="61"/>
      <c r="S748" s="62"/>
      <c r="T748" s="62"/>
      <c r="U748" s="55"/>
      <c r="V748" s="57"/>
      <c r="W748" s="57"/>
      <c r="X748" s="55" t="n">
        <f aca="false">IF(A748="","",IF(AND(Parameter!$B$21="Ja",ISNUMBER(U748)),U748,IF(IFERROR(VLOOKUP(D748,Parameter!$A$35:$C$64,2,0),"Nein")="2+3",IF(ISNUMBER(SEARCH("grosser Artikel",BM748)),2,IFERROR(VLOOKUP(BP748,Parameter!$F$35:$G$64,2,0),2)),IF(OR(IFERROR(VLOOKUP(D748,Parameter!$A$35:$C$64,2,0),"Nein")="Nein",IFERROR(VLOOKUP(D748,Parameter!$A$35:$C$64,2,0),"Nein")=""),"-",VLOOKUP(D748,Parameter!$A$35:$C$64,2,0)))))</f>
        <v>2</v>
      </c>
      <c r="Y748" s="62"/>
      <c r="Z748" s="63"/>
      <c r="AA748" s="57" t="n">
        <f aca="false">AP748</f>
        <v>1</v>
      </c>
      <c r="AB748" s="57" t="n">
        <f aca="false">MAX(AP748,G748)</f>
        <v>1</v>
      </c>
      <c r="AC748" s="64"/>
      <c r="AD748" s="57" t="n">
        <f aca="false">IF(LEFT(Cockpit!$C$5,1)="A",G748,IF(BW748=1,BX748,IF(LEFT(Cockpit!$C$5,1)="B",AH748,MAX(AH748,G748))))</f>
        <v>0</v>
      </c>
      <c r="AE748" s="57" t="n">
        <f aca="false">IF(BR748=1,0,ROUNDUP(AD748/BQ748,0))</f>
        <v>0</v>
      </c>
      <c r="AF748" s="59" t="n">
        <f aca="false">IF(CD748&gt;0,CD748*MAX(1,AD748/V748),IF(BR748=1,IF(AD748&lt;=0,0,BS748*MAX(1,IF(G748&gt;0,AD748/G748,1))),IF(Q748&gt;0,AE748/Q748,0))/MAX(0.1,N(Parameter!$M$21)))</f>
        <v>0</v>
      </c>
      <c r="AG748" s="57" t="n">
        <f aca="false">AD748*F748</f>
        <v>0</v>
      </c>
      <c r="AH748" s="57" t="n">
        <f aca="false">ROUNDUP(MAX(I748/IF(BV748&gt;0,BV748,MAX(0.1,N(Cockpit!$C$6))),BY748)/BQ748,0)*BQ748</f>
        <v>1</v>
      </c>
      <c r="AI748" s="58" t="n">
        <f aca="false">IF(AF748&gt;0,I748/AF748,-1)</f>
        <v>-1</v>
      </c>
      <c r="AJ748" s="58" t="str">
        <f aca="false">IF(AND(OR(BU748="L1",BU748="L23"),AF748&gt;0),SUMIFS($AF$7:$AF$1576,$BU$7:$BU$1576,BU748,$AI$7:$AI$1576,"&gt;"&amp;AI748)+SUMIFS($AF$7:$AF$1576,$BU$7:$BU$1576,BU748,$AI$7:$AI$1576,AI748,$BO$7:$BO$1576,"&lt;="&amp;BO748),"")</f>
        <v/>
      </c>
      <c r="AK748" s="65" t="n">
        <f aca="false">IF(AJ748="",0,MAX(0,MIN(1,(IF(BU748="L1",Parameter!$E$5,Parameter!$E$6+Parameter!$E$7)-(AJ748-AF748))/AF748)))</f>
        <v>0</v>
      </c>
      <c r="AL748" s="57" t="n">
        <f aca="false">IF(LEFT(Cockpit!$I$5,1)="A",G748,IF(BW748=1,BX748,IF(LEFT(Cockpit!$I$5,1)="B",AP748,MAX(AP748,G748))))</f>
        <v>1</v>
      </c>
      <c r="AM748" s="57" t="n">
        <f aca="false">IF(BR748=1,0,ROUNDUP(AL748/BQ748,0))</f>
        <v>0</v>
      </c>
      <c r="AN748" s="59" t="n">
        <f aca="false">IF(CD748&gt;0,CD748*MAX(1,AL748/V748),IF(BR748=1,IF(AL748&lt;=0,0,BS748*MAX(1,IF(G748&gt;0,AL748/G748,1))),IF(Q748&gt;0,AM748/Q748,0))/MAX(0.1,N(Parameter!$M$21)))</f>
        <v>0.03</v>
      </c>
      <c r="AO748" s="57" t="n">
        <f aca="false">AL748*F748</f>
        <v>0.02</v>
      </c>
      <c r="AP748" s="57" t="n">
        <f aca="false">ROUNDUP(MAX(I748/IF(BV748&gt;0,BV748,MAX(0.1,N(Cockpit!$I$6))),BY748)/BQ748,0)*BQ748</f>
        <v>1</v>
      </c>
      <c r="AQ748" s="58" t="n">
        <f aca="false">IF(AN748&gt;0,I748/AN748,-1)</f>
        <v>0</v>
      </c>
      <c r="AR748" s="58" t="n">
        <f aca="false">IF(AND(OR(BU748="L1",BU748="L23"),AN748&gt;0),SUMIFS($AN$7:$AN$1576,$BU$7:$BU$1576,BU748,$AQ$7:$AQ$1576,"&gt;"&amp;AQ748)+SUMIFS($AN$7:$AN$1576,$BU$7:$BU$1576,BU748,$AQ$7:$AQ$1576,AQ748,$BO$7:$BO$1576,"&lt;="&amp;BO748),"")</f>
        <v>130.252477015785</v>
      </c>
      <c r="AS748" s="65" t="n">
        <f aca="false">IF(AR748="",0,MAX(0,MIN(1,(IF(BU748="L1",Parameter!$E$5,Parameter!$E$6+Parameter!$E$7)-(AR748-AN748))/AN748)))</f>
        <v>0</v>
      </c>
      <c r="AT748" s="57" t="n">
        <f aca="false">IF(LEFT(Cockpit!$O$5,1)="A",G748,IF(BW748=1,BX748,IF(LEFT(Cockpit!$O$5,1)="B",AX748,MAX(AX748,G748))))</f>
        <v>1</v>
      </c>
      <c r="AU748" s="57" t="n">
        <f aca="false">IF(BR748=1,0,ROUNDUP(AT748/BQ748,0))</f>
        <v>0</v>
      </c>
      <c r="AV748" s="59" t="n">
        <f aca="false">IF(CD748&gt;0,CD748*MAX(1,AT748/V748),IF(BR748=1,IF(AT748&lt;=0,0,BS748*MAX(1,IF(G748&gt;0,AT748/G748,1))),IF(Q748&gt;0,AU748/Q748,0))/MAX(0.1,N(Parameter!$M$21)))</f>
        <v>0.03</v>
      </c>
      <c r="AW748" s="57" t="n">
        <f aca="false">AT748*F748</f>
        <v>0.02</v>
      </c>
      <c r="AX748" s="57" t="n">
        <f aca="false">ROUNDUP(MAX(I748/IF(BV748&gt;0,BV748,MAX(0.1,N(Cockpit!$O$6))),BY748)/BQ748,0)*BQ748</f>
        <v>1</v>
      </c>
      <c r="AY748" s="58" t="n">
        <f aca="false">IF(AV748&gt;0,I748/AV748,-1)</f>
        <v>0</v>
      </c>
      <c r="AZ748" s="58" t="n">
        <f aca="false">IF(AND(OR(BU748="L1",BU748="L23"),AV748&gt;0),SUMIFS($AV$7:$AV$1576,$BU$7:$BU$1576,BU748,$AY$7:$AY$1576,"&gt;"&amp;AY748)+SUMIFS($AV$7:$AV$1576,$BU$7:$BU$1576,BU748,$AY$7:$AY$1576,AY748,$BO$7:$BO$1576,"&lt;="&amp;BO748),"")</f>
        <v>120.312027465336</v>
      </c>
      <c r="BA748" s="65" t="n">
        <f aca="false">IF(AZ748="",0,MAX(0,MIN(1,(IF(BU748="L1",Parameter!$E$5,Parameter!$E$6+Parameter!$E$7)-(AZ748-AV748))/AV748)))</f>
        <v>0</v>
      </c>
      <c r="BB748" s="55" t="str">
        <f aca="false">IF(AF748&lt;=0,"",IF(BU748="Aussen","Aussenlager",IF(BU748="-","Nicht im Lift",IF(AK748&gt;=1,"Lift",IF(AK748&lt;=0,"Aussenlager","teilweise")))))</f>
        <v/>
      </c>
      <c r="BC748" s="55" t="str">
        <f aca="false">IF(AN748&lt;=0,"",IF(BU748="Aussen","Aussenlager",IF(BU748="-","Nicht im Lift",IF(AS748&gt;=1,"Lift",IF(AS748&lt;=0,"Aussenlager","teilweise")))))</f>
        <v>Aussenlager</v>
      </c>
      <c r="BD748" s="55" t="str">
        <f aca="false">IF(AV748&lt;=0,"",IF(BU748="Aussen","Aussenlager",IF(BU748="-","Nicht im Lift",IF(BA748&gt;=1,"Lift",IF(BA748&lt;=0,"Aussenlager","teilweise")))))</f>
        <v>Aussenlager</v>
      </c>
      <c r="BE748" s="55" t="str">
        <f aca="false">IF(A748="","",IF(BN748=1,"Neu; ","")&amp;IF(AND(BN748=0,BI748&lt;0),"negativer Bestand (Export "&amp;BI748&amp;"); ","")&amp;IF(I748&lt;=0,"Kein Verbrauch; ","")&amp;IF(CD748&gt;0,"Lift "&amp;U748&amp;" lt. Liftbericht (Fach "&amp;V748&amp;" Stk); ",IF(BR748=1,"Lose – Fläche geschätzt; ",""))&amp;IF(G748&gt;AP748,"Überbestand "&amp;ROUND(G748-AP748,0)&amp;" Stk / CHF "&amp;ROUND((G748-AP748)*F748,0)&amp;"; ","")&amp;IF(AND(BW748=1,BX748&lt;BY748),"MAX &lt; MB+LG; ","")&amp;IF(AND(CC748&gt;0,CB748*10&gt;CC748),"zu hoch für Tablar; ","")&amp;IF(AND(BN748=0,OR(BW748=1,Y748&lt;&gt;"",S748&lt;&gt;"",T748&lt;&gt;"",Z748&lt;&gt;"")),"manuell übersteuert; ","")&amp;IF(AND(BR748=0,Q748=0),"Gebinde unbekannt / Stellmass fehlt; ","")&amp;IF(AND(BR748=0,N(T748)&lt;=0,N(P748)&lt;=0),"Menge pro Gebinde fehlt (Ist = 1 Gebinde); ","")&amp;BM748)</f>
        <v>negativer Bestand (Export -1); Kein Verbrauch; Lose – Fläche geschätzt; </v>
      </c>
      <c r="BF748" s="55"/>
      <c r="BG748" s="55"/>
      <c r="BH748" s="62"/>
      <c r="BI748" s="57" t="n">
        <v>-1</v>
      </c>
      <c r="BJ748" s="57" t="n">
        <v>95</v>
      </c>
      <c r="BK748" s="56" t="n">
        <v>-0.02</v>
      </c>
      <c r="BL748" s="57" t="n">
        <v>0</v>
      </c>
      <c r="BM748" s="55"/>
      <c r="BN748" s="60" t="n">
        <v>0</v>
      </c>
      <c r="BO748" s="60" t="n">
        <v>748</v>
      </c>
      <c r="BP748" s="55" t="str">
        <f aca="false">IF(S748&lt;&gt;"",UPPER(TRIM(S748)),IF(O748="","LOSE",O748))</f>
        <v>LOSE</v>
      </c>
      <c r="BQ748" s="57" t="n">
        <f aca="false">IF(BP748="LOSE",1,IF(N(T748)&gt;0,T748,IF(N(P748)&gt;0,P748,MAX(1,G748))))</f>
        <v>1</v>
      </c>
      <c r="BR748" s="60" t="n">
        <f aca="false">IF(BP748="LOSE",1,0)</f>
        <v>1</v>
      </c>
      <c r="BS748" s="59" t="n">
        <f aca="false">IF(BR748=0,0,IF(N(R748)&gt;0,R748,IFERROR(VLOOKUP(D748,Parameter!$A$35:$C$64,3,0)+0,0)))</f>
        <v>0.03</v>
      </c>
      <c r="BT748" s="55" t="n">
        <f aca="false">IF(Y748&lt;&gt;"",Y748,X748)</f>
        <v>2</v>
      </c>
      <c r="BU748" s="55" t="str">
        <f aca="false">IF(BT748=1,"L1",IF(OR(BT748=2,BT748=3),"L23",IF(BT748="Aussen","Aussen","-")))</f>
        <v>L23</v>
      </c>
      <c r="BV748" s="66" t="n">
        <f aca="false">IF(N(Z748)&gt;0,Z748,0)</f>
        <v>0</v>
      </c>
      <c r="BW748" s="60" t="n">
        <f aca="false">IF(ISNUMBER(AC748),1,0)</f>
        <v>0</v>
      </c>
      <c r="BX748" s="57" t="n">
        <f aca="false">N(AC748)</f>
        <v>0</v>
      </c>
      <c r="BY748" s="57" t="n">
        <f aca="false">N(L748)+N(M748)</f>
        <v>1</v>
      </c>
      <c r="BZ748" s="57" t="n">
        <f aca="false">ROUNDUP(G748/BQ748,0)</f>
        <v>0</v>
      </c>
      <c r="CA748" s="57" t="n">
        <f aca="false">ROUNDUP(BX748/BQ748,0)</f>
        <v>0</v>
      </c>
      <c r="CB748" s="60" t="n">
        <f aca="false">IF(BR748=1,0,IFERROR(VLOOKUP(BP748,'Gebinde-Kategorie'!$A$5:$M$45,5,0)+0,0))</f>
        <v>0</v>
      </c>
      <c r="CC748" s="60" t="n">
        <f aca="false">IFERROR(IF(OR(BT748=1,BT748=2,BT748=3),N(INDEX(Parameter!$I$5:$I$7,BT748)),0),0)</f>
        <v>0</v>
      </c>
      <c r="CD748" s="59" t="n">
        <f aca="false">IF(AND(Parameter!$B$21="Ja",ISNUMBER(U748),N(V748)&gt;0),IFERROR(N(INDEX(Parameter!$L$5:$L$7,U748))*INDEX(Parameter!$E$5:$E$7,U748)*V748/SUMIFS($V$7:$V$1576,$U$7:$U$1576,U748),0),0)</f>
        <v>0</v>
      </c>
    </row>
    <row r="749" customFormat="false" ht="15" hidden="false" customHeight="false" outlineLevel="0" collapsed="false">
      <c r="A749" s="55" t="s">
        <v>1470</v>
      </c>
      <c r="B749" s="55" t="s">
        <v>1471</v>
      </c>
      <c r="C749" s="55" t="s">
        <v>446</v>
      </c>
      <c r="D749" s="55" t="s">
        <v>168</v>
      </c>
      <c r="E749" s="55" t="s">
        <v>210</v>
      </c>
      <c r="F749" s="56" t="n">
        <v>0.01</v>
      </c>
      <c r="G749" s="57" t="n">
        <f aca="false">MAX(0,IF(AND(Parameter!$B$21="Ja",ISNUMBER(W749)),W749,IF(Parameter!$B$20="Jahresanfang 2025 + Export",BJ749+BI749,BI749)))</f>
        <v>0</v>
      </c>
      <c r="H749" s="57" t="n">
        <f aca="false">G749*F749</f>
        <v>0</v>
      </c>
      <c r="I749" s="57" t="n">
        <f aca="false">BL749*Parameter!$B$18</f>
        <v>7</v>
      </c>
      <c r="J749" s="58" t="n">
        <v>7</v>
      </c>
      <c r="K749" s="59" t="n">
        <v>1</v>
      </c>
      <c r="L749" s="57" t="n">
        <v>0</v>
      </c>
      <c r="M749" s="57" t="n">
        <v>5</v>
      </c>
      <c r="N749" s="60" t="n">
        <v>90</v>
      </c>
      <c r="O749" s="55" t="s">
        <v>163</v>
      </c>
      <c r="P749" s="57"/>
      <c r="Q749" s="60" t="n">
        <f aca="false">IF(BR749=1,0,IFERROR(VLOOKUP(BP749,'Gebinde-Kategorie'!$A$5:$M$45,13,0)+0,0))</f>
        <v>0</v>
      </c>
      <c r="R749" s="61"/>
      <c r="S749" s="62"/>
      <c r="T749" s="62"/>
      <c r="U749" s="55"/>
      <c r="V749" s="57"/>
      <c r="W749" s="57"/>
      <c r="X749" s="55" t="n">
        <f aca="false">IF(A749="","",IF(AND(Parameter!$B$21="Ja",ISNUMBER(U749)),U749,IF(IFERROR(VLOOKUP(D749,Parameter!$A$35:$C$64,2,0),"Nein")="2+3",IF(ISNUMBER(SEARCH("grosser Artikel",BM749)),2,IFERROR(VLOOKUP(BP749,Parameter!$F$35:$G$64,2,0),2)),IF(OR(IFERROR(VLOOKUP(D749,Parameter!$A$35:$C$64,2,0),"Nein")="Nein",IFERROR(VLOOKUP(D749,Parameter!$A$35:$C$64,2,0),"Nein")=""),"-",VLOOKUP(D749,Parameter!$A$35:$C$64,2,0)))))</f>
        <v>2</v>
      </c>
      <c r="Y749" s="62"/>
      <c r="Z749" s="63"/>
      <c r="AA749" s="57" t="n">
        <f aca="false">AP749</f>
        <v>5</v>
      </c>
      <c r="AB749" s="57" t="n">
        <f aca="false">MAX(AP749,G749)</f>
        <v>5</v>
      </c>
      <c r="AC749" s="64"/>
      <c r="AD749" s="57" t="n">
        <f aca="false">IF(LEFT(Cockpit!$C$5,1)="A",G749,IF(BW749=1,BX749,IF(LEFT(Cockpit!$C$5,1)="B",AH749,MAX(AH749,G749))))</f>
        <v>0</v>
      </c>
      <c r="AE749" s="57" t="n">
        <f aca="false">IF(BR749=1,0,ROUNDUP(AD749/BQ749,0))</f>
        <v>0</v>
      </c>
      <c r="AF749" s="59" t="n">
        <f aca="false">IF(CD749&gt;0,CD749*MAX(1,AD749/V749),IF(BR749=1,IF(AD749&lt;=0,0,BS749*MAX(1,IF(G749&gt;0,AD749/G749,1))),IF(Q749&gt;0,AE749/Q749,0))/MAX(0.1,N(Parameter!$M$21)))</f>
        <v>0</v>
      </c>
      <c r="AG749" s="57" t="n">
        <f aca="false">AD749*F749</f>
        <v>0</v>
      </c>
      <c r="AH749" s="57" t="n">
        <f aca="false">ROUNDUP(MAX(I749/IF(BV749&gt;0,BV749,MAX(0.1,N(Cockpit!$C$6))),BY749)/BQ749,0)*BQ749</f>
        <v>5</v>
      </c>
      <c r="AI749" s="58" t="n">
        <f aca="false">IF(AF749&gt;0,I749/AF749,-1)</f>
        <v>-1</v>
      </c>
      <c r="AJ749" s="58" t="str">
        <f aca="false">IF(AND(OR(BU749="L1",BU749="L23"),AF749&gt;0),SUMIFS($AF$7:$AF$1576,$BU$7:$BU$1576,BU749,$AI$7:$AI$1576,"&gt;"&amp;AI749)+SUMIFS($AF$7:$AF$1576,$BU$7:$BU$1576,BU749,$AI$7:$AI$1576,AI749,$BO$7:$BO$1576,"&lt;="&amp;BO749),"")</f>
        <v/>
      </c>
      <c r="AK749" s="65" t="n">
        <f aca="false">IF(AJ749="",0,MAX(0,MIN(1,(IF(BU749="L1",Parameter!$E$5,Parameter!$E$6+Parameter!$E$7)-(AJ749-AF749))/AF749)))</f>
        <v>0</v>
      </c>
      <c r="AL749" s="57" t="n">
        <f aca="false">IF(LEFT(Cockpit!$I$5,1)="A",G749,IF(BW749=1,BX749,IF(LEFT(Cockpit!$I$5,1)="B",AP749,MAX(AP749,G749))))</f>
        <v>5</v>
      </c>
      <c r="AM749" s="57" t="n">
        <f aca="false">IF(BR749=1,0,ROUNDUP(AL749/BQ749,0))</f>
        <v>0</v>
      </c>
      <c r="AN749" s="59" t="n">
        <f aca="false">IF(CD749&gt;0,CD749*MAX(1,AL749/V749),IF(BR749=1,IF(AL749&lt;=0,0,BS749*MAX(1,IF(G749&gt;0,AL749/G749,1))),IF(Q749&gt;0,AM749/Q749,0))/MAX(0.1,N(Parameter!$M$21)))</f>
        <v>0.15</v>
      </c>
      <c r="AO749" s="57" t="n">
        <f aca="false">AL749*F749</f>
        <v>0.05</v>
      </c>
      <c r="AP749" s="57" t="n">
        <f aca="false">ROUNDUP(MAX(I749/IF(BV749&gt;0,BV749,MAX(0.1,N(Cockpit!$I$6))),BY749)/BQ749,0)*BQ749</f>
        <v>5</v>
      </c>
      <c r="AQ749" s="58" t="n">
        <f aca="false">IF(AN749&gt;0,I749/AN749,-1)</f>
        <v>46.6666666666667</v>
      </c>
      <c r="AR749" s="58" t="n">
        <f aca="false">IF(AND(OR(BU749="L1",BU749="L23"),AN749&gt;0),SUMIFS($AN$7:$AN$1576,$BU$7:$BU$1576,BU749,$AQ$7:$AQ$1576,"&gt;"&amp;AQ749)+SUMIFS($AN$7:$AN$1576,$BU$7:$BU$1576,BU749,$AQ$7:$AQ$1576,AQ749,$BO$7:$BO$1576,"&lt;="&amp;BO749),"")</f>
        <v>87.7869217681829</v>
      </c>
      <c r="AS749" s="65" t="n">
        <f aca="false">IF(AR749="",0,MAX(0,MIN(1,(IF(BU749="L1",Parameter!$E$5,Parameter!$E$6+Parameter!$E$7)-(AR749-AN749))/AN749)))</f>
        <v>1</v>
      </c>
      <c r="AT749" s="57" t="n">
        <f aca="false">IF(LEFT(Cockpit!$O$5,1)="A",G749,IF(BW749=1,BX749,IF(LEFT(Cockpit!$O$5,1)="B",AX749,MAX(AX749,G749))))</f>
        <v>5</v>
      </c>
      <c r="AU749" s="57" t="n">
        <f aca="false">IF(BR749=1,0,ROUNDUP(AT749/BQ749,0))</f>
        <v>0</v>
      </c>
      <c r="AV749" s="59" t="n">
        <f aca="false">IF(CD749&gt;0,CD749*MAX(1,AT749/V749),IF(BR749=1,IF(AT749&lt;=0,0,BS749*MAX(1,IF(G749&gt;0,AT749/G749,1))),IF(Q749&gt;0,AU749/Q749,0))/MAX(0.1,N(Parameter!$M$21)))</f>
        <v>0.15</v>
      </c>
      <c r="AW749" s="57" t="n">
        <f aca="false">AT749*F749</f>
        <v>0.05</v>
      </c>
      <c r="AX749" s="57" t="n">
        <f aca="false">ROUNDUP(MAX(I749/IF(BV749&gt;0,BV749,MAX(0.1,N(Cockpit!$O$6))),BY749)/BQ749,0)*BQ749</f>
        <v>5</v>
      </c>
      <c r="AY749" s="58" t="n">
        <f aca="false">IF(AV749&gt;0,I749/AV749,-1)</f>
        <v>46.6666666666667</v>
      </c>
      <c r="AZ749" s="58" t="n">
        <f aca="false">IF(AND(OR(BU749="L1",BU749="L23"),AV749&gt;0),SUMIFS($AV$7:$AV$1576,$BU$7:$BU$1576,BU749,$AY$7:$AY$1576,"&gt;"&amp;AY749)+SUMIFS($AV$7:$AV$1576,$BU$7:$BU$1576,BU749,$AY$7:$AY$1576,AY749,$BO$7:$BO$1576,"&lt;="&amp;BO749),"")</f>
        <v>81.0131388844001</v>
      </c>
      <c r="BA749" s="65" t="n">
        <f aca="false">IF(AZ749="",0,MAX(0,MIN(1,(IF(BU749="L1",Parameter!$E$5,Parameter!$E$6+Parameter!$E$7)-(AZ749-AV749))/AV749)))</f>
        <v>1</v>
      </c>
      <c r="BB749" s="55" t="str">
        <f aca="false">IF(AF749&lt;=0,"",IF(BU749="Aussen","Aussenlager",IF(BU749="-","Nicht im Lift",IF(AK749&gt;=1,"Lift",IF(AK749&lt;=0,"Aussenlager","teilweise")))))</f>
        <v/>
      </c>
      <c r="BC749" s="55" t="str">
        <f aca="false">IF(AN749&lt;=0,"",IF(BU749="Aussen","Aussenlager",IF(BU749="-","Nicht im Lift",IF(AS749&gt;=1,"Lift",IF(AS749&lt;=0,"Aussenlager","teilweise")))))</f>
        <v>Lift</v>
      </c>
      <c r="BD749" s="55" t="str">
        <f aca="false">IF(AV749&lt;=0,"",IF(BU749="Aussen","Aussenlager",IF(BU749="-","Nicht im Lift",IF(BA749&gt;=1,"Lift",IF(BA749&lt;=0,"Aussenlager","teilweise")))))</f>
        <v>Lift</v>
      </c>
      <c r="BE749" s="55" t="str">
        <f aca="false">IF(A749="","",IF(BN749=1,"Neu; ","")&amp;IF(AND(BN749=0,BI749&lt;0),"negativer Bestand (Export "&amp;BI749&amp;"); ","")&amp;IF(I749&lt;=0,"Kein Verbrauch; ","")&amp;IF(CD749&gt;0,"Lift "&amp;U749&amp;" lt. Liftbericht (Fach "&amp;V749&amp;" Stk); ",IF(BR749=1,"Lose – Fläche geschätzt; ",""))&amp;IF(G749&gt;AP749,"Überbestand "&amp;ROUND(G749-AP749,0)&amp;" Stk / CHF "&amp;ROUND((G749-AP749)*F749,0)&amp;"; ","")&amp;IF(AND(BW749=1,BX749&lt;BY749),"MAX &lt; MB+LG; ","")&amp;IF(AND(CC749&gt;0,CB749*10&gt;CC749),"zu hoch für Tablar; ","")&amp;IF(AND(BN749=0,OR(BW749=1,Y749&lt;&gt;"",S749&lt;&gt;"",T749&lt;&gt;"",Z749&lt;&gt;"")),"manuell übersteuert; ","")&amp;IF(AND(BR749=0,Q749=0),"Gebinde unbekannt / Stellmass fehlt; ","")&amp;IF(AND(BR749=0,N(T749)&lt;=0,N(P749)&lt;=0),"Menge pro Gebinde fehlt (Ist = 1 Gebinde); ","")&amp;BM749)</f>
        <v>negativer Bestand (Export -7); Lose – Fläche geschätzt; </v>
      </c>
      <c r="BF749" s="55"/>
      <c r="BG749" s="55"/>
      <c r="BH749" s="62"/>
      <c r="BI749" s="57" t="n">
        <v>-7</v>
      </c>
      <c r="BJ749" s="57" t="n">
        <v>14</v>
      </c>
      <c r="BK749" s="56" t="n">
        <v>-0.07</v>
      </c>
      <c r="BL749" s="57" t="n">
        <v>7</v>
      </c>
      <c r="BM749" s="55"/>
      <c r="BN749" s="60" t="n">
        <v>0</v>
      </c>
      <c r="BO749" s="60" t="n">
        <v>749</v>
      </c>
      <c r="BP749" s="55" t="str">
        <f aca="false">IF(S749&lt;&gt;"",UPPER(TRIM(S749)),IF(O749="","LOSE",O749))</f>
        <v>LOSE</v>
      </c>
      <c r="BQ749" s="57" t="n">
        <f aca="false">IF(BP749="LOSE",1,IF(N(T749)&gt;0,T749,IF(N(P749)&gt;0,P749,MAX(1,G749))))</f>
        <v>1</v>
      </c>
      <c r="BR749" s="60" t="n">
        <f aca="false">IF(BP749="LOSE",1,0)</f>
        <v>1</v>
      </c>
      <c r="BS749" s="59" t="n">
        <f aca="false">IF(BR749=0,0,IF(N(R749)&gt;0,R749,IFERROR(VLOOKUP(D749,Parameter!$A$35:$C$64,3,0)+0,0)))</f>
        <v>0.15</v>
      </c>
      <c r="BT749" s="55" t="n">
        <f aca="false">IF(Y749&lt;&gt;"",Y749,X749)</f>
        <v>2</v>
      </c>
      <c r="BU749" s="55" t="str">
        <f aca="false">IF(BT749=1,"L1",IF(OR(BT749=2,BT749=3),"L23",IF(BT749="Aussen","Aussen","-")))</f>
        <v>L23</v>
      </c>
      <c r="BV749" s="66" t="n">
        <f aca="false">IF(N(Z749)&gt;0,Z749,0)</f>
        <v>0</v>
      </c>
      <c r="BW749" s="60" t="n">
        <f aca="false">IF(ISNUMBER(AC749),1,0)</f>
        <v>0</v>
      </c>
      <c r="BX749" s="57" t="n">
        <f aca="false">N(AC749)</f>
        <v>0</v>
      </c>
      <c r="BY749" s="57" t="n">
        <f aca="false">N(L749)+N(M749)</f>
        <v>5</v>
      </c>
      <c r="BZ749" s="57" t="n">
        <f aca="false">ROUNDUP(G749/BQ749,0)</f>
        <v>0</v>
      </c>
      <c r="CA749" s="57" t="n">
        <f aca="false">ROUNDUP(BX749/BQ749,0)</f>
        <v>0</v>
      </c>
      <c r="CB749" s="60" t="n">
        <f aca="false">IF(BR749=1,0,IFERROR(VLOOKUP(BP749,'Gebinde-Kategorie'!$A$5:$M$45,5,0)+0,0))</f>
        <v>0</v>
      </c>
      <c r="CC749" s="60" t="n">
        <f aca="false">IFERROR(IF(OR(BT749=1,BT749=2,BT749=3),N(INDEX(Parameter!$I$5:$I$7,BT749)),0),0)</f>
        <v>0</v>
      </c>
      <c r="CD749" s="59" t="n">
        <f aca="false">IF(AND(Parameter!$B$21="Ja",ISNUMBER(U749),N(V749)&gt;0),IFERROR(N(INDEX(Parameter!$L$5:$L$7,U749))*INDEX(Parameter!$E$5:$E$7,U749)*V749/SUMIFS($V$7:$V$1576,$U$7:$U$1576,U749),0),0)</f>
        <v>0</v>
      </c>
    </row>
    <row r="750" customFormat="false" ht="15" hidden="false" customHeight="false" outlineLevel="0" collapsed="false">
      <c r="A750" s="55" t="s">
        <v>1472</v>
      </c>
      <c r="B750" s="55" t="s">
        <v>1473</v>
      </c>
      <c r="C750" s="55" t="s">
        <v>446</v>
      </c>
      <c r="D750" s="55" t="s">
        <v>168</v>
      </c>
      <c r="E750" s="55" t="s">
        <v>210</v>
      </c>
      <c r="F750" s="56" t="n">
        <v>0.01</v>
      </c>
      <c r="G750" s="57" t="n">
        <f aca="false">MAX(0,IF(AND(Parameter!$B$21="Ja",ISNUMBER(W750)),W750,IF(Parameter!$B$20="Jahresanfang 2025 + Export",BJ750+BI750,BI750)))</f>
        <v>0</v>
      </c>
      <c r="H750" s="57" t="n">
        <f aca="false">G750*F750</f>
        <v>0</v>
      </c>
      <c r="I750" s="57" t="n">
        <f aca="false">BL750*Parameter!$B$18</f>
        <v>0</v>
      </c>
      <c r="J750" s="58" t="n">
        <v>53.5</v>
      </c>
      <c r="K750" s="59" t="n">
        <v>0</v>
      </c>
      <c r="L750" s="57" t="n">
        <v>0</v>
      </c>
      <c r="M750" s="57" t="n">
        <v>20</v>
      </c>
      <c r="N750" s="60" t="n">
        <v>90</v>
      </c>
      <c r="O750" s="55" t="s">
        <v>163</v>
      </c>
      <c r="P750" s="57"/>
      <c r="Q750" s="60" t="n">
        <f aca="false">IF(BR750=1,0,IFERROR(VLOOKUP(BP750,'Gebinde-Kategorie'!$A$5:$M$45,13,0)+0,0))</f>
        <v>0</v>
      </c>
      <c r="R750" s="61"/>
      <c r="S750" s="62"/>
      <c r="T750" s="62"/>
      <c r="U750" s="55"/>
      <c r="V750" s="57"/>
      <c r="W750" s="57"/>
      <c r="X750" s="55" t="n">
        <f aca="false">IF(A750="","",IF(AND(Parameter!$B$21="Ja",ISNUMBER(U750)),U750,IF(IFERROR(VLOOKUP(D750,Parameter!$A$35:$C$64,2,0),"Nein")="2+3",IF(ISNUMBER(SEARCH("grosser Artikel",BM750)),2,IFERROR(VLOOKUP(BP750,Parameter!$F$35:$G$64,2,0),2)),IF(OR(IFERROR(VLOOKUP(D750,Parameter!$A$35:$C$64,2,0),"Nein")="Nein",IFERROR(VLOOKUP(D750,Parameter!$A$35:$C$64,2,0),"Nein")=""),"-",VLOOKUP(D750,Parameter!$A$35:$C$64,2,0)))))</f>
        <v>2</v>
      </c>
      <c r="Y750" s="62"/>
      <c r="Z750" s="63"/>
      <c r="AA750" s="57" t="n">
        <f aca="false">AP750</f>
        <v>20</v>
      </c>
      <c r="AB750" s="57" t="n">
        <f aca="false">MAX(AP750,G750)</f>
        <v>20</v>
      </c>
      <c r="AC750" s="64"/>
      <c r="AD750" s="57" t="n">
        <f aca="false">IF(LEFT(Cockpit!$C$5,1)="A",G750,IF(BW750=1,BX750,IF(LEFT(Cockpit!$C$5,1)="B",AH750,MAX(AH750,G750))))</f>
        <v>0</v>
      </c>
      <c r="AE750" s="57" t="n">
        <f aca="false">IF(BR750=1,0,ROUNDUP(AD750/BQ750,0))</f>
        <v>0</v>
      </c>
      <c r="AF750" s="59" t="n">
        <f aca="false">IF(CD750&gt;0,CD750*MAX(1,AD750/V750),IF(BR750=1,IF(AD750&lt;=0,0,BS750*MAX(1,IF(G750&gt;0,AD750/G750,1))),IF(Q750&gt;0,AE750/Q750,0))/MAX(0.1,N(Parameter!$M$21)))</f>
        <v>0</v>
      </c>
      <c r="AG750" s="57" t="n">
        <f aca="false">AD750*F750</f>
        <v>0</v>
      </c>
      <c r="AH750" s="57" t="n">
        <f aca="false">ROUNDUP(MAX(I750/IF(BV750&gt;0,BV750,MAX(0.1,N(Cockpit!$C$6))),BY750)/BQ750,0)*BQ750</f>
        <v>20</v>
      </c>
      <c r="AI750" s="58" t="n">
        <f aca="false">IF(AF750&gt;0,I750/AF750,-1)</f>
        <v>-1</v>
      </c>
      <c r="AJ750" s="58" t="str">
        <f aca="false">IF(AND(OR(BU750="L1",BU750="L23"),AF750&gt;0),SUMIFS($AF$7:$AF$1576,$BU$7:$BU$1576,BU750,$AI$7:$AI$1576,"&gt;"&amp;AI750)+SUMIFS($AF$7:$AF$1576,$BU$7:$BU$1576,BU750,$AI$7:$AI$1576,AI750,$BO$7:$BO$1576,"&lt;="&amp;BO750),"")</f>
        <v/>
      </c>
      <c r="AK750" s="65" t="n">
        <f aca="false">IF(AJ750="",0,MAX(0,MIN(1,(IF(BU750="L1",Parameter!$E$5,Parameter!$E$6+Parameter!$E$7)-(AJ750-AF750))/AF750)))</f>
        <v>0</v>
      </c>
      <c r="AL750" s="57" t="n">
        <f aca="false">IF(LEFT(Cockpit!$I$5,1)="A",G750,IF(BW750=1,BX750,IF(LEFT(Cockpit!$I$5,1)="B",AP750,MAX(AP750,G750))))</f>
        <v>20</v>
      </c>
      <c r="AM750" s="57" t="n">
        <f aca="false">IF(BR750=1,0,ROUNDUP(AL750/BQ750,0))</f>
        <v>0</v>
      </c>
      <c r="AN750" s="59" t="n">
        <f aca="false">IF(CD750&gt;0,CD750*MAX(1,AL750/V750),IF(BR750=1,IF(AL750&lt;=0,0,BS750*MAX(1,IF(G750&gt;0,AL750/G750,1))),IF(Q750&gt;0,AM750/Q750,0))/MAX(0.1,N(Parameter!$M$21)))</f>
        <v>0.15</v>
      </c>
      <c r="AO750" s="57" t="n">
        <f aca="false">AL750*F750</f>
        <v>0.2</v>
      </c>
      <c r="AP750" s="57" t="n">
        <f aca="false">ROUNDUP(MAX(I750/IF(BV750&gt;0,BV750,MAX(0.1,N(Cockpit!$I$6))),BY750)/BQ750,0)*BQ750</f>
        <v>20</v>
      </c>
      <c r="AQ750" s="58" t="n">
        <f aca="false">IF(AN750&gt;0,I750/AN750,-1)</f>
        <v>0</v>
      </c>
      <c r="AR750" s="58" t="n">
        <f aca="false">IF(AND(OR(BU750="L1",BU750="L23"),AN750&gt;0),SUMIFS($AN$7:$AN$1576,$BU$7:$BU$1576,BU750,$AQ$7:$AQ$1576,"&gt;"&amp;AQ750)+SUMIFS($AN$7:$AN$1576,$BU$7:$BU$1576,BU750,$AQ$7:$AQ$1576,AQ750,$BO$7:$BO$1576,"&lt;="&amp;BO750),"")</f>
        <v>130.402477015785</v>
      </c>
      <c r="AS750" s="65" t="n">
        <f aca="false">IF(AR750="",0,MAX(0,MIN(1,(IF(BU750="L1",Parameter!$E$5,Parameter!$E$6+Parameter!$E$7)-(AR750-AN750))/AN750)))</f>
        <v>0</v>
      </c>
      <c r="AT750" s="57" t="n">
        <f aca="false">IF(LEFT(Cockpit!$O$5,1)="A",G750,IF(BW750=1,BX750,IF(LEFT(Cockpit!$O$5,1)="B",AX750,MAX(AX750,G750))))</f>
        <v>20</v>
      </c>
      <c r="AU750" s="57" t="n">
        <f aca="false">IF(BR750=1,0,ROUNDUP(AT750/BQ750,0))</f>
        <v>0</v>
      </c>
      <c r="AV750" s="59" t="n">
        <f aca="false">IF(CD750&gt;0,CD750*MAX(1,AT750/V750),IF(BR750=1,IF(AT750&lt;=0,0,BS750*MAX(1,IF(G750&gt;0,AT750/G750,1))),IF(Q750&gt;0,AU750/Q750,0))/MAX(0.1,N(Parameter!$M$21)))</f>
        <v>0.15</v>
      </c>
      <c r="AW750" s="57" t="n">
        <f aca="false">AT750*F750</f>
        <v>0.2</v>
      </c>
      <c r="AX750" s="57" t="n">
        <f aca="false">ROUNDUP(MAX(I750/IF(BV750&gt;0,BV750,MAX(0.1,N(Cockpit!$O$6))),BY750)/BQ750,0)*BQ750</f>
        <v>20</v>
      </c>
      <c r="AY750" s="58" t="n">
        <f aca="false">IF(AV750&gt;0,I750/AV750,-1)</f>
        <v>0</v>
      </c>
      <c r="AZ750" s="58" t="n">
        <f aca="false">IF(AND(OR(BU750="L1",BU750="L23"),AV750&gt;0),SUMIFS($AV$7:$AV$1576,$BU$7:$BU$1576,BU750,$AY$7:$AY$1576,"&gt;"&amp;AY750)+SUMIFS($AV$7:$AV$1576,$BU$7:$BU$1576,BU750,$AY$7:$AY$1576,AY750,$BO$7:$BO$1576,"&lt;="&amp;BO750),"")</f>
        <v>120.462027465336</v>
      </c>
      <c r="BA750" s="65" t="n">
        <f aca="false">IF(AZ750="",0,MAX(0,MIN(1,(IF(BU750="L1",Parameter!$E$5,Parameter!$E$6+Parameter!$E$7)-(AZ750-AV750))/AV750)))</f>
        <v>0</v>
      </c>
      <c r="BB750" s="55" t="str">
        <f aca="false">IF(AF750&lt;=0,"",IF(BU750="Aussen","Aussenlager",IF(BU750="-","Nicht im Lift",IF(AK750&gt;=1,"Lift",IF(AK750&lt;=0,"Aussenlager","teilweise")))))</f>
        <v/>
      </c>
      <c r="BC750" s="55" t="str">
        <f aca="false">IF(AN750&lt;=0,"",IF(BU750="Aussen","Aussenlager",IF(BU750="-","Nicht im Lift",IF(AS750&gt;=1,"Lift",IF(AS750&lt;=0,"Aussenlager","teilweise")))))</f>
        <v>Aussenlager</v>
      </c>
      <c r="BD750" s="55" t="str">
        <f aca="false">IF(AV750&lt;=0,"",IF(BU750="Aussen","Aussenlager",IF(BU750="-","Nicht im Lift",IF(BA750&gt;=1,"Lift",IF(BA750&lt;=0,"Aussenlager","teilweise")))))</f>
        <v>Aussenlager</v>
      </c>
      <c r="BE750" s="55" t="str">
        <f aca="false">IF(A750="","",IF(BN750=1,"Neu; ","")&amp;IF(AND(BN750=0,BI750&lt;0),"negativer Bestand (Export "&amp;BI750&amp;"); ","")&amp;IF(I750&lt;=0,"Kein Verbrauch; ","")&amp;IF(CD750&gt;0,"Lift "&amp;U750&amp;" lt. Liftbericht (Fach "&amp;V750&amp;" Stk); ",IF(BR750=1,"Lose – Fläche geschätzt; ",""))&amp;IF(G750&gt;AP750,"Überbestand "&amp;ROUND(G750-AP750,0)&amp;" Stk / CHF "&amp;ROUND((G750-AP750)*F750,0)&amp;"; ","")&amp;IF(AND(BW750=1,BX750&lt;BY750),"MAX &lt; MB+LG; ","")&amp;IF(AND(CC750&gt;0,CB750*10&gt;CC750),"zu hoch für Tablar; ","")&amp;IF(AND(BN750=0,OR(BW750=1,Y750&lt;&gt;"",S750&lt;&gt;"",T750&lt;&gt;"",Z750&lt;&gt;"")),"manuell übersteuert; ","")&amp;IF(AND(BR750=0,Q750=0),"Gebinde unbekannt / Stellmass fehlt; ","")&amp;IF(AND(BR750=0,N(T750)&lt;=0,N(P750)&lt;=0),"Menge pro Gebinde fehlt (Ist = 1 Gebinde); ","")&amp;BM750)</f>
        <v>negativer Bestand (Export -7); Kein Verbrauch; Lose – Fläche geschätzt; </v>
      </c>
      <c r="BF750" s="55"/>
      <c r="BG750" s="55"/>
      <c r="BH750" s="62"/>
      <c r="BI750" s="57" t="n">
        <v>-7</v>
      </c>
      <c r="BJ750" s="57" t="n">
        <v>7</v>
      </c>
      <c r="BK750" s="56" t="n">
        <v>-0.0700000000000001</v>
      </c>
      <c r="BL750" s="57" t="n">
        <v>0</v>
      </c>
      <c r="BM750" s="55"/>
      <c r="BN750" s="60" t="n">
        <v>0</v>
      </c>
      <c r="BO750" s="60" t="n">
        <v>750</v>
      </c>
      <c r="BP750" s="55" t="str">
        <f aca="false">IF(S750&lt;&gt;"",UPPER(TRIM(S750)),IF(O750="","LOSE",O750))</f>
        <v>LOSE</v>
      </c>
      <c r="BQ750" s="57" t="n">
        <f aca="false">IF(BP750="LOSE",1,IF(N(T750)&gt;0,T750,IF(N(P750)&gt;0,P750,MAX(1,G750))))</f>
        <v>1</v>
      </c>
      <c r="BR750" s="60" t="n">
        <f aca="false">IF(BP750="LOSE",1,0)</f>
        <v>1</v>
      </c>
      <c r="BS750" s="59" t="n">
        <f aca="false">IF(BR750=0,0,IF(N(R750)&gt;0,R750,IFERROR(VLOOKUP(D750,Parameter!$A$35:$C$64,3,0)+0,0)))</f>
        <v>0.15</v>
      </c>
      <c r="BT750" s="55" t="n">
        <f aca="false">IF(Y750&lt;&gt;"",Y750,X750)</f>
        <v>2</v>
      </c>
      <c r="BU750" s="55" t="str">
        <f aca="false">IF(BT750=1,"L1",IF(OR(BT750=2,BT750=3),"L23",IF(BT750="Aussen","Aussen","-")))</f>
        <v>L23</v>
      </c>
      <c r="BV750" s="66" t="n">
        <f aca="false">IF(N(Z750)&gt;0,Z750,0)</f>
        <v>0</v>
      </c>
      <c r="BW750" s="60" t="n">
        <f aca="false">IF(ISNUMBER(AC750),1,0)</f>
        <v>0</v>
      </c>
      <c r="BX750" s="57" t="n">
        <f aca="false">N(AC750)</f>
        <v>0</v>
      </c>
      <c r="BY750" s="57" t="n">
        <f aca="false">N(L750)+N(M750)</f>
        <v>20</v>
      </c>
      <c r="BZ750" s="57" t="n">
        <f aca="false">ROUNDUP(G750/BQ750,0)</f>
        <v>0</v>
      </c>
      <c r="CA750" s="57" t="n">
        <f aca="false">ROUNDUP(BX750/BQ750,0)</f>
        <v>0</v>
      </c>
      <c r="CB750" s="60" t="n">
        <f aca="false">IF(BR750=1,0,IFERROR(VLOOKUP(BP750,'Gebinde-Kategorie'!$A$5:$M$45,5,0)+0,0))</f>
        <v>0</v>
      </c>
      <c r="CC750" s="60" t="n">
        <f aca="false">IFERROR(IF(OR(BT750=1,BT750=2,BT750=3),N(INDEX(Parameter!$I$5:$I$7,BT750)),0),0)</f>
        <v>0</v>
      </c>
      <c r="CD750" s="59" t="n">
        <f aca="false">IF(AND(Parameter!$B$21="Ja",ISNUMBER(U750),N(V750)&gt;0),IFERROR(N(INDEX(Parameter!$L$5:$L$7,U750))*INDEX(Parameter!$E$5:$E$7,U750)*V750/SUMIFS($V$7:$V$1576,$U$7:$U$1576,U750),0),0)</f>
        <v>0</v>
      </c>
    </row>
    <row r="751" customFormat="false" ht="15" hidden="false" customHeight="false" outlineLevel="0" collapsed="false">
      <c r="A751" s="55" t="s">
        <v>1474</v>
      </c>
      <c r="B751" s="55" t="s">
        <v>1475</v>
      </c>
      <c r="C751" s="55" t="s">
        <v>446</v>
      </c>
      <c r="D751" s="55" t="s">
        <v>168</v>
      </c>
      <c r="E751" s="55" t="s">
        <v>210</v>
      </c>
      <c r="F751" s="56" t="n">
        <v>0.01</v>
      </c>
      <c r="G751" s="57" t="n">
        <f aca="false">MAX(0,IF(AND(Parameter!$B$21="Ja",ISNUMBER(W751)),W751,IF(Parameter!$B$20="Jahresanfang 2025 + Export",BJ751+BI751,BI751)))</f>
        <v>0</v>
      </c>
      <c r="H751" s="57" t="n">
        <f aca="false">G751*F751</f>
        <v>0</v>
      </c>
      <c r="I751" s="57" t="n">
        <f aca="false">BL751*Parameter!$B$18</f>
        <v>9</v>
      </c>
      <c r="J751" s="58" t="n">
        <v>9</v>
      </c>
      <c r="K751" s="59" t="n">
        <v>1</v>
      </c>
      <c r="L751" s="57" t="n">
        <v>0</v>
      </c>
      <c r="M751" s="57" t="n">
        <v>10</v>
      </c>
      <c r="N751" s="60" t="n">
        <v>90</v>
      </c>
      <c r="O751" s="55" t="s">
        <v>163</v>
      </c>
      <c r="P751" s="57"/>
      <c r="Q751" s="60" t="n">
        <f aca="false">IF(BR751=1,0,IFERROR(VLOOKUP(BP751,'Gebinde-Kategorie'!$A$5:$M$45,13,0)+0,0))</f>
        <v>0</v>
      </c>
      <c r="R751" s="61"/>
      <c r="S751" s="62"/>
      <c r="T751" s="62"/>
      <c r="U751" s="55"/>
      <c r="V751" s="57"/>
      <c r="W751" s="57"/>
      <c r="X751" s="55" t="n">
        <f aca="false">IF(A751="","",IF(AND(Parameter!$B$21="Ja",ISNUMBER(U751)),U751,IF(IFERROR(VLOOKUP(D751,Parameter!$A$35:$C$64,2,0),"Nein")="2+3",IF(ISNUMBER(SEARCH("grosser Artikel",BM751)),2,IFERROR(VLOOKUP(BP751,Parameter!$F$35:$G$64,2,0),2)),IF(OR(IFERROR(VLOOKUP(D751,Parameter!$A$35:$C$64,2,0),"Nein")="Nein",IFERROR(VLOOKUP(D751,Parameter!$A$35:$C$64,2,0),"Nein")=""),"-",VLOOKUP(D751,Parameter!$A$35:$C$64,2,0)))))</f>
        <v>2</v>
      </c>
      <c r="Y751" s="62"/>
      <c r="Z751" s="63"/>
      <c r="AA751" s="57" t="n">
        <f aca="false">AP751</f>
        <v>10</v>
      </c>
      <c r="AB751" s="57" t="n">
        <f aca="false">MAX(AP751,G751)</f>
        <v>10</v>
      </c>
      <c r="AC751" s="64"/>
      <c r="AD751" s="57" t="n">
        <f aca="false">IF(LEFT(Cockpit!$C$5,1)="A",G751,IF(BW751=1,BX751,IF(LEFT(Cockpit!$C$5,1)="B",AH751,MAX(AH751,G751))))</f>
        <v>0</v>
      </c>
      <c r="AE751" s="57" t="n">
        <f aca="false">IF(BR751=1,0,ROUNDUP(AD751/BQ751,0))</f>
        <v>0</v>
      </c>
      <c r="AF751" s="59" t="n">
        <f aca="false">IF(CD751&gt;0,CD751*MAX(1,AD751/V751),IF(BR751=1,IF(AD751&lt;=0,0,BS751*MAX(1,IF(G751&gt;0,AD751/G751,1))),IF(Q751&gt;0,AE751/Q751,0))/MAX(0.1,N(Parameter!$M$21)))</f>
        <v>0</v>
      </c>
      <c r="AG751" s="57" t="n">
        <f aca="false">AD751*F751</f>
        <v>0</v>
      </c>
      <c r="AH751" s="57" t="n">
        <f aca="false">ROUNDUP(MAX(I751/IF(BV751&gt;0,BV751,MAX(0.1,N(Cockpit!$C$6))),BY751)/BQ751,0)*BQ751</f>
        <v>10</v>
      </c>
      <c r="AI751" s="58" t="n">
        <f aca="false">IF(AF751&gt;0,I751/AF751,-1)</f>
        <v>-1</v>
      </c>
      <c r="AJ751" s="58" t="str">
        <f aca="false">IF(AND(OR(BU751="L1",BU751="L23"),AF751&gt;0),SUMIFS($AF$7:$AF$1576,$BU$7:$BU$1576,BU751,$AI$7:$AI$1576,"&gt;"&amp;AI751)+SUMIFS($AF$7:$AF$1576,$BU$7:$BU$1576,BU751,$AI$7:$AI$1576,AI751,$BO$7:$BO$1576,"&lt;="&amp;BO751),"")</f>
        <v/>
      </c>
      <c r="AK751" s="65" t="n">
        <f aca="false">IF(AJ751="",0,MAX(0,MIN(1,(IF(BU751="L1",Parameter!$E$5,Parameter!$E$6+Parameter!$E$7)-(AJ751-AF751))/AF751)))</f>
        <v>0</v>
      </c>
      <c r="AL751" s="57" t="n">
        <f aca="false">IF(LEFT(Cockpit!$I$5,1)="A",G751,IF(BW751=1,BX751,IF(LEFT(Cockpit!$I$5,1)="B",AP751,MAX(AP751,G751))))</f>
        <v>10</v>
      </c>
      <c r="AM751" s="57" t="n">
        <f aca="false">IF(BR751=1,0,ROUNDUP(AL751/BQ751,0))</f>
        <v>0</v>
      </c>
      <c r="AN751" s="59" t="n">
        <f aca="false">IF(CD751&gt;0,CD751*MAX(1,AL751/V751),IF(BR751=1,IF(AL751&lt;=0,0,BS751*MAX(1,IF(G751&gt;0,AL751/G751,1))),IF(Q751&gt;0,AM751/Q751,0))/MAX(0.1,N(Parameter!$M$21)))</f>
        <v>0.15</v>
      </c>
      <c r="AO751" s="57" t="n">
        <f aca="false">AL751*F751</f>
        <v>0.1</v>
      </c>
      <c r="AP751" s="57" t="n">
        <f aca="false">ROUNDUP(MAX(I751/IF(BV751&gt;0,BV751,MAX(0.1,N(Cockpit!$I$6))),BY751)/BQ751,0)*BQ751</f>
        <v>10</v>
      </c>
      <c r="AQ751" s="58" t="n">
        <f aca="false">IF(AN751&gt;0,I751/AN751,-1)</f>
        <v>60</v>
      </c>
      <c r="AR751" s="58" t="n">
        <f aca="false">IF(AND(OR(BU751="L1",BU751="L23"),AN751&gt;0),SUMIFS($AN$7:$AN$1576,$BU$7:$BU$1576,BU751,$AQ$7:$AQ$1576,"&gt;"&amp;AQ751)+SUMIFS($AN$7:$AN$1576,$BU$7:$BU$1576,BU751,$AQ$7:$AQ$1576,AQ751,$BO$7:$BO$1576,"&lt;="&amp;BO751),"")</f>
        <v>77.5593576656188</v>
      </c>
      <c r="AS751" s="65" t="n">
        <f aca="false">IF(AR751="",0,MAX(0,MIN(1,(IF(BU751="L1",Parameter!$E$5,Parameter!$E$6+Parameter!$E$7)-(AR751-AN751))/AN751)))</f>
        <v>1</v>
      </c>
      <c r="AT751" s="57" t="n">
        <f aca="false">IF(LEFT(Cockpit!$O$5,1)="A",G751,IF(BW751=1,BX751,IF(LEFT(Cockpit!$O$5,1)="B",AX751,MAX(AX751,G751))))</f>
        <v>10</v>
      </c>
      <c r="AU751" s="57" t="n">
        <f aca="false">IF(BR751=1,0,ROUNDUP(AT751/BQ751,0))</f>
        <v>0</v>
      </c>
      <c r="AV751" s="59" t="n">
        <f aca="false">IF(CD751&gt;0,CD751*MAX(1,AT751/V751),IF(BR751=1,IF(AT751&lt;=0,0,BS751*MAX(1,IF(G751&gt;0,AT751/G751,1))),IF(Q751&gt;0,AU751/Q751,0))/MAX(0.1,N(Parameter!$M$21)))</f>
        <v>0.15</v>
      </c>
      <c r="AW751" s="57" t="n">
        <f aca="false">AT751*F751</f>
        <v>0.1</v>
      </c>
      <c r="AX751" s="57" t="n">
        <f aca="false">ROUNDUP(MAX(I751/IF(BV751&gt;0,BV751,MAX(0.1,N(Cockpit!$O$6))),BY751)/BQ751,0)*BQ751</f>
        <v>10</v>
      </c>
      <c r="AY751" s="58" t="n">
        <f aca="false">IF(AV751&gt;0,I751/AV751,-1)</f>
        <v>60</v>
      </c>
      <c r="AZ751" s="58" t="n">
        <f aca="false">IF(AND(OR(BU751="L1",BU751="L23"),AV751&gt;0),SUMIFS($AV$7:$AV$1576,$BU$7:$BU$1576,BU751,$AY$7:$AY$1576,"&gt;"&amp;AY751)+SUMIFS($AV$7:$AV$1576,$BU$7:$BU$1576,BU751,$AY$7:$AY$1576,AY751,$BO$7:$BO$1576,"&lt;="&amp;BO751),"")</f>
        <v>75.7605747818359</v>
      </c>
      <c r="BA751" s="65" t="n">
        <f aca="false">IF(AZ751="",0,MAX(0,MIN(1,(IF(BU751="L1",Parameter!$E$5,Parameter!$E$6+Parameter!$E$7)-(AZ751-AV751))/AV751)))</f>
        <v>1</v>
      </c>
      <c r="BB751" s="55" t="str">
        <f aca="false">IF(AF751&lt;=0,"",IF(BU751="Aussen","Aussenlager",IF(BU751="-","Nicht im Lift",IF(AK751&gt;=1,"Lift",IF(AK751&lt;=0,"Aussenlager","teilweise")))))</f>
        <v/>
      </c>
      <c r="BC751" s="55" t="str">
        <f aca="false">IF(AN751&lt;=0,"",IF(BU751="Aussen","Aussenlager",IF(BU751="-","Nicht im Lift",IF(AS751&gt;=1,"Lift",IF(AS751&lt;=0,"Aussenlager","teilweise")))))</f>
        <v>Lift</v>
      </c>
      <c r="BD751" s="55" t="str">
        <f aca="false">IF(AV751&lt;=0,"",IF(BU751="Aussen","Aussenlager",IF(BU751="-","Nicht im Lift",IF(BA751&gt;=1,"Lift",IF(BA751&lt;=0,"Aussenlager","teilweise")))))</f>
        <v>Lift</v>
      </c>
      <c r="BE751" s="55" t="str">
        <f aca="false">IF(A751="","",IF(BN751=1,"Neu; ","")&amp;IF(AND(BN751=0,BI751&lt;0),"negativer Bestand (Export "&amp;BI751&amp;"); ","")&amp;IF(I751&lt;=0,"Kein Verbrauch; ","")&amp;IF(CD751&gt;0,"Lift "&amp;U751&amp;" lt. Liftbericht (Fach "&amp;V751&amp;" Stk); ",IF(BR751=1,"Lose – Fläche geschätzt; ",""))&amp;IF(G751&gt;AP751,"Überbestand "&amp;ROUND(G751-AP751,0)&amp;" Stk / CHF "&amp;ROUND((G751-AP751)*F751,0)&amp;"; ","")&amp;IF(AND(BW751=1,BX751&lt;BY751),"MAX &lt; MB+LG; ","")&amp;IF(AND(CC751&gt;0,CB751*10&gt;CC751),"zu hoch für Tablar; ","")&amp;IF(AND(BN751=0,OR(BW751=1,Y751&lt;&gt;"",S751&lt;&gt;"",T751&lt;&gt;"",Z751&lt;&gt;"")),"manuell übersteuert; ","")&amp;IF(AND(BR751=0,Q751=0),"Gebinde unbekannt / Stellmass fehlt; ","")&amp;IF(AND(BR751=0,N(T751)&lt;=0,N(P751)&lt;=0),"Menge pro Gebinde fehlt (Ist = 1 Gebinde); ","")&amp;BM751)</f>
        <v>negativer Bestand (Export -9); Lose – Fläche geschätzt; </v>
      </c>
      <c r="BF751" s="55"/>
      <c r="BG751" s="55"/>
      <c r="BH751" s="62"/>
      <c r="BI751" s="57" t="n">
        <v>-9</v>
      </c>
      <c r="BJ751" s="57" t="n">
        <v>18</v>
      </c>
      <c r="BK751" s="56" t="n">
        <v>-0.09</v>
      </c>
      <c r="BL751" s="57" t="n">
        <v>9</v>
      </c>
      <c r="BM751" s="55"/>
      <c r="BN751" s="60" t="n">
        <v>0</v>
      </c>
      <c r="BO751" s="60" t="n">
        <v>751</v>
      </c>
      <c r="BP751" s="55" t="str">
        <f aca="false">IF(S751&lt;&gt;"",UPPER(TRIM(S751)),IF(O751="","LOSE",O751))</f>
        <v>LOSE</v>
      </c>
      <c r="BQ751" s="57" t="n">
        <f aca="false">IF(BP751="LOSE",1,IF(N(T751)&gt;0,T751,IF(N(P751)&gt;0,P751,MAX(1,G751))))</f>
        <v>1</v>
      </c>
      <c r="BR751" s="60" t="n">
        <f aca="false">IF(BP751="LOSE",1,0)</f>
        <v>1</v>
      </c>
      <c r="BS751" s="59" t="n">
        <f aca="false">IF(BR751=0,0,IF(N(R751)&gt;0,R751,IFERROR(VLOOKUP(D751,Parameter!$A$35:$C$64,3,0)+0,0)))</f>
        <v>0.15</v>
      </c>
      <c r="BT751" s="55" t="n">
        <f aca="false">IF(Y751&lt;&gt;"",Y751,X751)</f>
        <v>2</v>
      </c>
      <c r="BU751" s="55" t="str">
        <f aca="false">IF(BT751=1,"L1",IF(OR(BT751=2,BT751=3),"L23",IF(BT751="Aussen","Aussen","-")))</f>
        <v>L23</v>
      </c>
      <c r="BV751" s="66" t="n">
        <f aca="false">IF(N(Z751)&gt;0,Z751,0)</f>
        <v>0</v>
      </c>
      <c r="BW751" s="60" t="n">
        <f aca="false">IF(ISNUMBER(AC751),1,0)</f>
        <v>0</v>
      </c>
      <c r="BX751" s="57" t="n">
        <f aca="false">N(AC751)</f>
        <v>0</v>
      </c>
      <c r="BY751" s="57" t="n">
        <f aca="false">N(L751)+N(M751)</f>
        <v>10</v>
      </c>
      <c r="BZ751" s="57" t="n">
        <f aca="false">ROUNDUP(G751/BQ751,0)</f>
        <v>0</v>
      </c>
      <c r="CA751" s="57" t="n">
        <f aca="false">ROUNDUP(BX751/BQ751,0)</f>
        <v>0</v>
      </c>
      <c r="CB751" s="60" t="n">
        <f aca="false">IF(BR751=1,0,IFERROR(VLOOKUP(BP751,'Gebinde-Kategorie'!$A$5:$M$45,5,0)+0,0))</f>
        <v>0</v>
      </c>
      <c r="CC751" s="60" t="n">
        <f aca="false">IFERROR(IF(OR(BT751=1,BT751=2,BT751=3),N(INDEX(Parameter!$I$5:$I$7,BT751)),0),0)</f>
        <v>0</v>
      </c>
      <c r="CD751" s="59" t="n">
        <f aca="false">IF(AND(Parameter!$B$21="Ja",ISNUMBER(U751),N(V751)&gt;0),IFERROR(N(INDEX(Parameter!$L$5:$L$7,U751))*INDEX(Parameter!$E$5:$E$7,U751)*V751/SUMIFS($V$7:$V$1576,$U$7:$U$1576,U751),0),0)</f>
        <v>0</v>
      </c>
    </row>
    <row r="752" customFormat="false" ht="15" hidden="false" customHeight="false" outlineLevel="0" collapsed="false">
      <c r="A752" s="55" t="s">
        <v>1476</v>
      </c>
      <c r="B752" s="55" t="s">
        <v>1477</v>
      </c>
      <c r="C752" s="55" t="s">
        <v>446</v>
      </c>
      <c r="D752" s="55" t="s">
        <v>168</v>
      </c>
      <c r="E752" s="55" t="s">
        <v>210</v>
      </c>
      <c r="F752" s="56" t="n">
        <v>0.01</v>
      </c>
      <c r="G752" s="57" t="n">
        <f aca="false">MAX(0,IF(AND(Parameter!$B$21="Ja",ISNUMBER(W752)),W752,IF(Parameter!$B$20="Jahresanfang 2025 + Export",BJ752+BI752,BI752)))</f>
        <v>0</v>
      </c>
      <c r="H752" s="57" t="n">
        <f aca="false">G752*F752</f>
        <v>0</v>
      </c>
      <c r="I752" s="57" t="n">
        <f aca="false">BL752*Parameter!$B$18</f>
        <v>8</v>
      </c>
      <c r="J752" s="58" t="n">
        <v>8</v>
      </c>
      <c r="K752" s="59" t="n">
        <v>1</v>
      </c>
      <c r="L752" s="57" t="n">
        <v>0</v>
      </c>
      <c r="M752" s="57" t="n">
        <v>10</v>
      </c>
      <c r="N752" s="60" t="n">
        <v>90</v>
      </c>
      <c r="O752" s="55" t="s">
        <v>163</v>
      </c>
      <c r="P752" s="57"/>
      <c r="Q752" s="60" t="n">
        <f aca="false">IF(BR752=1,0,IFERROR(VLOOKUP(BP752,'Gebinde-Kategorie'!$A$5:$M$45,13,0)+0,0))</f>
        <v>0</v>
      </c>
      <c r="R752" s="61"/>
      <c r="S752" s="62"/>
      <c r="T752" s="62"/>
      <c r="U752" s="55"/>
      <c r="V752" s="57"/>
      <c r="W752" s="57"/>
      <c r="X752" s="55" t="n">
        <f aca="false">IF(A752="","",IF(AND(Parameter!$B$21="Ja",ISNUMBER(U752)),U752,IF(IFERROR(VLOOKUP(D752,Parameter!$A$35:$C$64,2,0),"Nein")="2+3",IF(ISNUMBER(SEARCH("grosser Artikel",BM752)),2,IFERROR(VLOOKUP(BP752,Parameter!$F$35:$G$64,2,0),2)),IF(OR(IFERROR(VLOOKUP(D752,Parameter!$A$35:$C$64,2,0),"Nein")="Nein",IFERROR(VLOOKUP(D752,Parameter!$A$35:$C$64,2,0),"Nein")=""),"-",VLOOKUP(D752,Parameter!$A$35:$C$64,2,0)))))</f>
        <v>2</v>
      </c>
      <c r="Y752" s="62"/>
      <c r="Z752" s="63"/>
      <c r="AA752" s="57" t="n">
        <f aca="false">AP752</f>
        <v>10</v>
      </c>
      <c r="AB752" s="57" t="n">
        <f aca="false">MAX(AP752,G752)</f>
        <v>10</v>
      </c>
      <c r="AC752" s="64"/>
      <c r="AD752" s="57" t="n">
        <f aca="false">IF(LEFT(Cockpit!$C$5,1)="A",G752,IF(BW752=1,BX752,IF(LEFT(Cockpit!$C$5,1)="B",AH752,MAX(AH752,G752))))</f>
        <v>0</v>
      </c>
      <c r="AE752" s="57" t="n">
        <f aca="false">IF(BR752=1,0,ROUNDUP(AD752/BQ752,0))</f>
        <v>0</v>
      </c>
      <c r="AF752" s="59" t="n">
        <f aca="false">IF(CD752&gt;0,CD752*MAX(1,AD752/V752),IF(BR752=1,IF(AD752&lt;=0,0,BS752*MAX(1,IF(G752&gt;0,AD752/G752,1))),IF(Q752&gt;0,AE752/Q752,0))/MAX(0.1,N(Parameter!$M$21)))</f>
        <v>0</v>
      </c>
      <c r="AG752" s="57" t="n">
        <f aca="false">AD752*F752</f>
        <v>0</v>
      </c>
      <c r="AH752" s="57" t="n">
        <f aca="false">ROUNDUP(MAX(I752/IF(BV752&gt;0,BV752,MAX(0.1,N(Cockpit!$C$6))),BY752)/BQ752,0)*BQ752</f>
        <v>10</v>
      </c>
      <c r="AI752" s="58" t="n">
        <f aca="false">IF(AF752&gt;0,I752/AF752,-1)</f>
        <v>-1</v>
      </c>
      <c r="AJ752" s="58" t="str">
        <f aca="false">IF(AND(OR(BU752="L1",BU752="L23"),AF752&gt;0),SUMIFS($AF$7:$AF$1576,$BU$7:$BU$1576,BU752,$AI$7:$AI$1576,"&gt;"&amp;AI752)+SUMIFS($AF$7:$AF$1576,$BU$7:$BU$1576,BU752,$AI$7:$AI$1576,AI752,$BO$7:$BO$1576,"&lt;="&amp;BO752),"")</f>
        <v/>
      </c>
      <c r="AK752" s="65" t="n">
        <f aca="false">IF(AJ752="",0,MAX(0,MIN(1,(IF(BU752="L1",Parameter!$E$5,Parameter!$E$6+Parameter!$E$7)-(AJ752-AF752))/AF752)))</f>
        <v>0</v>
      </c>
      <c r="AL752" s="57" t="n">
        <f aca="false">IF(LEFT(Cockpit!$I$5,1)="A",G752,IF(BW752=1,BX752,IF(LEFT(Cockpit!$I$5,1)="B",AP752,MAX(AP752,G752))))</f>
        <v>10</v>
      </c>
      <c r="AM752" s="57" t="n">
        <f aca="false">IF(BR752=1,0,ROUNDUP(AL752/BQ752,0))</f>
        <v>0</v>
      </c>
      <c r="AN752" s="59" t="n">
        <f aca="false">IF(CD752&gt;0,CD752*MAX(1,AL752/V752),IF(BR752=1,IF(AL752&lt;=0,0,BS752*MAX(1,IF(G752&gt;0,AL752/G752,1))),IF(Q752&gt;0,AM752/Q752,0))/MAX(0.1,N(Parameter!$M$21)))</f>
        <v>0.15</v>
      </c>
      <c r="AO752" s="57" t="n">
        <f aca="false">AL752*F752</f>
        <v>0.1</v>
      </c>
      <c r="AP752" s="57" t="n">
        <f aca="false">ROUNDUP(MAX(I752/IF(BV752&gt;0,BV752,MAX(0.1,N(Cockpit!$I$6))),BY752)/BQ752,0)*BQ752</f>
        <v>10</v>
      </c>
      <c r="AQ752" s="58" t="n">
        <f aca="false">IF(AN752&gt;0,I752/AN752,-1)</f>
        <v>53.3333333333333</v>
      </c>
      <c r="AR752" s="58" t="n">
        <f aca="false">IF(AND(OR(BU752="L1",BU752="L23"),AN752&gt;0),SUMIFS($AN$7:$AN$1576,$BU$7:$BU$1576,BU752,$AQ$7:$AQ$1576,"&gt;"&amp;AQ752)+SUMIFS($AN$7:$AN$1576,$BU$7:$BU$1576,BU752,$AQ$7:$AQ$1576,AQ752,$BO$7:$BO$1576,"&lt;="&amp;BO752),"")</f>
        <v>81.3760243322855</v>
      </c>
      <c r="AS752" s="65" t="n">
        <f aca="false">IF(AR752="",0,MAX(0,MIN(1,(IF(BU752="L1",Parameter!$E$5,Parameter!$E$6+Parameter!$E$7)-(AR752-AN752))/AN752)))</f>
        <v>1</v>
      </c>
      <c r="AT752" s="57" t="n">
        <f aca="false">IF(LEFT(Cockpit!$O$5,1)="A",G752,IF(BW752=1,BX752,IF(LEFT(Cockpit!$O$5,1)="B",AX752,MAX(AX752,G752))))</f>
        <v>10</v>
      </c>
      <c r="AU752" s="57" t="n">
        <f aca="false">IF(BR752=1,0,ROUNDUP(AT752/BQ752,0))</f>
        <v>0</v>
      </c>
      <c r="AV752" s="59" t="n">
        <f aca="false">IF(CD752&gt;0,CD752*MAX(1,AT752/V752),IF(BR752=1,IF(AT752&lt;=0,0,BS752*MAX(1,IF(G752&gt;0,AT752/G752,1))),IF(Q752&gt;0,AU752/Q752,0))/MAX(0.1,N(Parameter!$M$21)))</f>
        <v>0.15</v>
      </c>
      <c r="AW752" s="57" t="n">
        <f aca="false">AT752*F752</f>
        <v>0.1</v>
      </c>
      <c r="AX752" s="57" t="n">
        <f aca="false">ROUNDUP(MAX(I752/IF(BV752&gt;0,BV752,MAX(0.1,N(Cockpit!$O$6))),BY752)/BQ752,0)*BQ752</f>
        <v>10</v>
      </c>
      <c r="AY752" s="58" t="n">
        <f aca="false">IF(AV752&gt;0,I752/AV752,-1)</f>
        <v>53.3333333333333</v>
      </c>
      <c r="AZ752" s="58" t="n">
        <f aca="false">IF(AND(OR(BU752="L1",BU752="L23"),AV752&gt;0),SUMIFS($AV$7:$AV$1576,$BU$7:$BU$1576,BU752,$AY$7:$AY$1576,"&gt;"&amp;AY752)+SUMIFS($AV$7:$AV$1576,$BU$7:$BU$1576,BU752,$AY$7:$AY$1576,AY752,$BO$7:$BO$1576,"&lt;="&amp;BO752),"")</f>
        <v>77.7939081151693</v>
      </c>
      <c r="BA752" s="65" t="n">
        <f aca="false">IF(AZ752="",0,MAX(0,MIN(1,(IF(BU752="L1",Parameter!$E$5,Parameter!$E$6+Parameter!$E$7)-(AZ752-AV752))/AV752)))</f>
        <v>1</v>
      </c>
      <c r="BB752" s="55" t="str">
        <f aca="false">IF(AF752&lt;=0,"",IF(BU752="Aussen","Aussenlager",IF(BU752="-","Nicht im Lift",IF(AK752&gt;=1,"Lift",IF(AK752&lt;=0,"Aussenlager","teilweise")))))</f>
        <v/>
      </c>
      <c r="BC752" s="55" t="str">
        <f aca="false">IF(AN752&lt;=0,"",IF(BU752="Aussen","Aussenlager",IF(BU752="-","Nicht im Lift",IF(AS752&gt;=1,"Lift",IF(AS752&lt;=0,"Aussenlager","teilweise")))))</f>
        <v>Lift</v>
      </c>
      <c r="BD752" s="55" t="str">
        <f aca="false">IF(AV752&lt;=0,"",IF(BU752="Aussen","Aussenlager",IF(BU752="-","Nicht im Lift",IF(BA752&gt;=1,"Lift",IF(BA752&lt;=0,"Aussenlager","teilweise")))))</f>
        <v>Lift</v>
      </c>
      <c r="BE752" s="55" t="str">
        <f aca="false">IF(A752="","",IF(BN752=1,"Neu; ","")&amp;IF(AND(BN752=0,BI752&lt;0),"negativer Bestand (Export "&amp;BI752&amp;"); ","")&amp;IF(I752&lt;=0,"Kein Verbrauch; ","")&amp;IF(CD752&gt;0,"Lift "&amp;U752&amp;" lt. Liftbericht (Fach "&amp;V752&amp;" Stk); ",IF(BR752=1,"Lose – Fläche geschätzt; ",""))&amp;IF(G752&gt;AP752,"Überbestand "&amp;ROUND(G752-AP752,0)&amp;" Stk / CHF "&amp;ROUND((G752-AP752)*F752,0)&amp;"; ","")&amp;IF(AND(BW752=1,BX752&lt;BY752),"MAX &lt; MB+LG; ","")&amp;IF(AND(CC752&gt;0,CB752*10&gt;CC752),"zu hoch für Tablar; ","")&amp;IF(AND(BN752=0,OR(BW752=1,Y752&lt;&gt;"",S752&lt;&gt;"",T752&lt;&gt;"",Z752&lt;&gt;"")),"manuell übersteuert; ","")&amp;IF(AND(BR752=0,Q752=0),"Gebinde unbekannt / Stellmass fehlt; ","")&amp;IF(AND(BR752=0,N(T752)&lt;=0,N(P752)&lt;=0),"Menge pro Gebinde fehlt (Ist = 1 Gebinde); ","")&amp;BM752)</f>
        <v>negativer Bestand (Export -16); Lose – Fläche geschätzt; </v>
      </c>
      <c r="BF752" s="55"/>
      <c r="BG752" s="55"/>
      <c r="BH752" s="62"/>
      <c r="BI752" s="57" t="n">
        <v>-16</v>
      </c>
      <c r="BJ752" s="57" t="n">
        <v>16</v>
      </c>
      <c r="BK752" s="56" t="n">
        <v>-0.16</v>
      </c>
      <c r="BL752" s="57" t="n">
        <v>8</v>
      </c>
      <c r="BM752" s="55"/>
      <c r="BN752" s="60" t="n">
        <v>0</v>
      </c>
      <c r="BO752" s="60" t="n">
        <v>752</v>
      </c>
      <c r="BP752" s="55" t="str">
        <f aca="false">IF(S752&lt;&gt;"",UPPER(TRIM(S752)),IF(O752="","LOSE",O752))</f>
        <v>LOSE</v>
      </c>
      <c r="BQ752" s="57" t="n">
        <f aca="false">IF(BP752="LOSE",1,IF(N(T752)&gt;0,T752,IF(N(P752)&gt;0,P752,MAX(1,G752))))</f>
        <v>1</v>
      </c>
      <c r="BR752" s="60" t="n">
        <f aca="false">IF(BP752="LOSE",1,0)</f>
        <v>1</v>
      </c>
      <c r="BS752" s="59" t="n">
        <f aca="false">IF(BR752=0,0,IF(N(R752)&gt;0,R752,IFERROR(VLOOKUP(D752,Parameter!$A$35:$C$64,3,0)+0,0)))</f>
        <v>0.15</v>
      </c>
      <c r="BT752" s="55" t="n">
        <f aca="false">IF(Y752&lt;&gt;"",Y752,X752)</f>
        <v>2</v>
      </c>
      <c r="BU752" s="55" t="str">
        <f aca="false">IF(BT752=1,"L1",IF(OR(BT752=2,BT752=3),"L23",IF(BT752="Aussen","Aussen","-")))</f>
        <v>L23</v>
      </c>
      <c r="BV752" s="66" t="n">
        <f aca="false">IF(N(Z752)&gt;0,Z752,0)</f>
        <v>0</v>
      </c>
      <c r="BW752" s="60" t="n">
        <f aca="false">IF(ISNUMBER(AC752),1,0)</f>
        <v>0</v>
      </c>
      <c r="BX752" s="57" t="n">
        <f aca="false">N(AC752)</f>
        <v>0</v>
      </c>
      <c r="BY752" s="57" t="n">
        <f aca="false">N(L752)+N(M752)</f>
        <v>10</v>
      </c>
      <c r="BZ752" s="57" t="n">
        <f aca="false">ROUNDUP(G752/BQ752,0)</f>
        <v>0</v>
      </c>
      <c r="CA752" s="57" t="n">
        <f aca="false">ROUNDUP(BX752/BQ752,0)</f>
        <v>0</v>
      </c>
      <c r="CB752" s="60" t="n">
        <f aca="false">IF(BR752=1,0,IFERROR(VLOOKUP(BP752,'Gebinde-Kategorie'!$A$5:$M$45,5,0)+0,0))</f>
        <v>0</v>
      </c>
      <c r="CC752" s="60" t="n">
        <f aca="false">IFERROR(IF(OR(BT752=1,BT752=2,BT752=3),N(INDEX(Parameter!$I$5:$I$7,BT752)),0),0)</f>
        <v>0</v>
      </c>
      <c r="CD752" s="59" t="n">
        <f aca="false">IF(AND(Parameter!$B$21="Ja",ISNUMBER(U752),N(V752)&gt;0),IFERROR(N(INDEX(Parameter!$L$5:$L$7,U752))*INDEX(Parameter!$E$5:$E$7,U752)*V752/SUMIFS($V$7:$V$1576,$U$7:$U$1576,U752),0),0)</f>
        <v>0</v>
      </c>
    </row>
    <row r="753" customFormat="false" ht="15" hidden="false" customHeight="false" outlineLevel="0" collapsed="false">
      <c r="A753" s="55" t="s">
        <v>1478</v>
      </c>
      <c r="B753" s="55" t="s">
        <v>457</v>
      </c>
      <c r="C753" s="55" t="s">
        <v>160</v>
      </c>
      <c r="D753" s="55" t="s">
        <v>178</v>
      </c>
      <c r="E753" s="55" t="s">
        <v>210</v>
      </c>
      <c r="F753" s="56" t="n">
        <v>0.2</v>
      </c>
      <c r="G753" s="57" t="n">
        <f aca="false">MAX(0,IF(AND(Parameter!$B$21="Ja",ISNUMBER(W753)),W753,IF(Parameter!$B$20="Jahresanfang 2025 + Export",BJ753+BI753,BI753)))</f>
        <v>0</v>
      </c>
      <c r="H753" s="57" t="n">
        <f aca="false">G753*F753</f>
        <v>0</v>
      </c>
      <c r="I753" s="57" t="n">
        <f aca="false">BL753*Parameter!$B$18</f>
        <v>0</v>
      </c>
      <c r="J753" s="58" t="n">
        <v>20.5</v>
      </c>
      <c r="K753" s="59" t="n">
        <v>0</v>
      </c>
      <c r="L753" s="57" t="n">
        <v>0</v>
      </c>
      <c r="M753" s="57" t="n">
        <v>1</v>
      </c>
      <c r="N753" s="60" t="n">
        <v>28</v>
      </c>
      <c r="O753" s="55" t="s">
        <v>391</v>
      </c>
      <c r="P753" s="57" t="n">
        <v>39</v>
      </c>
      <c r="Q753" s="60" t="n">
        <f aca="false">IF(BR753=1,0,IFERROR(VLOOKUP(BP753,'Gebinde-Kategorie'!$A$5:$M$45,13,0)+0,0))</f>
        <v>414</v>
      </c>
      <c r="R753" s="61"/>
      <c r="S753" s="62"/>
      <c r="T753" s="62"/>
      <c r="U753" s="55"/>
      <c r="V753" s="57"/>
      <c r="W753" s="57"/>
      <c r="X753" s="55" t="n">
        <f aca="false">IF(A753="","",IF(AND(Parameter!$B$21="Ja",ISNUMBER(U753)),U753,IF(IFERROR(VLOOKUP(D753,Parameter!$A$35:$C$64,2,0),"Nein")="2+3",IF(ISNUMBER(SEARCH("grosser Artikel",BM753)),2,IFERROR(VLOOKUP(BP753,Parameter!$F$35:$G$64,2,0),2)),IF(OR(IFERROR(VLOOKUP(D753,Parameter!$A$35:$C$64,2,0),"Nein")="Nein",IFERROR(VLOOKUP(D753,Parameter!$A$35:$C$64,2,0),"Nein")=""),"-",VLOOKUP(D753,Parameter!$A$35:$C$64,2,0)))))</f>
        <v>3</v>
      </c>
      <c r="Y753" s="62"/>
      <c r="Z753" s="63"/>
      <c r="AA753" s="57" t="n">
        <f aca="false">AP753</f>
        <v>39</v>
      </c>
      <c r="AB753" s="57" t="n">
        <f aca="false">MAX(AP753,G753)</f>
        <v>39</v>
      </c>
      <c r="AC753" s="64"/>
      <c r="AD753" s="57" t="n">
        <f aca="false">IF(LEFT(Cockpit!$C$5,1)="A",G753,IF(BW753=1,BX753,IF(LEFT(Cockpit!$C$5,1)="B",AH753,MAX(AH753,G753))))</f>
        <v>0</v>
      </c>
      <c r="AE753" s="57" t="n">
        <f aca="false">IF(BR753=1,0,ROUNDUP(AD753/BQ753,0))</f>
        <v>0</v>
      </c>
      <c r="AF753" s="59" t="n">
        <f aca="false">IF(CD753&gt;0,CD753*MAX(1,AD753/V753),IF(BR753=1,IF(AD753&lt;=0,0,BS753*MAX(1,IF(G753&gt;0,AD753/G753,1))),IF(Q753&gt;0,AE753/Q753,0))/MAX(0.1,N(Parameter!$M$21)))</f>
        <v>0</v>
      </c>
      <c r="AG753" s="57" t="n">
        <f aca="false">AD753*F753</f>
        <v>0</v>
      </c>
      <c r="AH753" s="57" t="n">
        <f aca="false">ROUNDUP(MAX(I753/IF(BV753&gt;0,BV753,MAX(0.1,N(Cockpit!$C$6))),BY753)/BQ753,0)*BQ753</f>
        <v>39</v>
      </c>
      <c r="AI753" s="58" t="n">
        <f aca="false">IF(AF753&gt;0,I753/AF753,-1)</f>
        <v>-1</v>
      </c>
      <c r="AJ753" s="58" t="str">
        <f aca="false">IF(AND(OR(BU753="L1",BU753="L23"),AF753&gt;0),SUMIFS($AF$7:$AF$1576,$BU$7:$BU$1576,BU753,$AI$7:$AI$1576,"&gt;"&amp;AI753)+SUMIFS($AF$7:$AF$1576,$BU$7:$BU$1576,BU753,$AI$7:$AI$1576,AI753,$BO$7:$BO$1576,"&lt;="&amp;BO753),"")</f>
        <v/>
      </c>
      <c r="AK753" s="65" t="n">
        <f aca="false">IF(AJ753="",0,MAX(0,MIN(1,(IF(BU753="L1",Parameter!$E$5,Parameter!$E$6+Parameter!$E$7)-(AJ753-AF753))/AF753)))</f>
        <v>0</v>
      </c>
      <c r="AL753" s="57" t="n">
        <f aca="false">IF(LEFT(Cockpit!$I$5,1)="A",G753,IF(BW753=1,BX753,IF(LEFT(Cockpit!$I$5,1)="B",AP753,MAX(AP753,G753))))</f>
        <v>39</v>
      </c>
      <c r="AM753" s="57" t="n">
        <f aca="false">IF(BR753=1,0,ROUNDUP(AL753/BQ753,0))</f>
        <v>1</v>
      </c>
      <c r="AN753" s="59" t="n">
        <f aca="false">IF(CD753&gt;0,CD753*MAX(1,AL753/V753),IF(BR753=1,IF(AL753&lt;=0,0,BS753*MAX(1,IF(G753&gt;0,AL753/G753,1))),IF(Q753&gt;0,AM753/Q753,0))/MAX(0.1,N(Parameter!$M$21)))</f>
        <v>0.00241545893719807</v>
      </c>
      <c r="AO753" s="57" t="n">
        <f aca="false">AL753*F753</f>
        <v>7.8</v>
      </c>
      <c r="AP753" s="57" t="n">
        <f aca="false">ROUNDUP(MAX(I753/IF(BV753&gt;0,BV753,MAX(0.1,N(Cockpit!$I$6))),BY753)/BQ753,0)*BQ753</f>
        <v>39</v>
      </c>
      <c r="AQ753" s="58" t="n">
        <f aca="false">IF(AN753&gt;0,I753/AN753,-1)</f>
        <v>0</v>
      </c>
      <c r="AR753" s="58" t="n">
        <f aca="false">IF(AND(OR(BU753="L1",BU753="L23"),AN753&gt;0),SUMIFS($AN$7:$AN$1576,$BU$7:$BU$1576,BU753,$AQ$7:$AQ$1576,"&gt;"&amp;AQ753)+SUMIFS($AN$7:$AN$1576,$BU$7:$BU$1576,BU753,$AQ$7:$AQ$1576,AQ753,$BO$7:$BO$1576,"&lt;="&amp;BO753),"")</f>
        <v>130.404892474723</v>
      </c>
      <c r="AS753" s="65" t="n">
        <f aca="false">IF(AR753="",0,MAX(0,MIN(1,(IF(BU753="L1",Parameter!$E$5,Parameter!$E$6+Parameter!$E$7)-(AR753-AN753))/AN753)))</f>
        <v>0</v>
      </c>
      <c r="AT753" s="57" t="n">
        <f aca="false">IF(LEFT(Cockpit!$O$5,1)="A",G753,IF(BW753=1,BX753,IF(LEFT(Cockpit!$O$5,1)="B",AX753,MAX(AX753,G753))))</f>
        <v>39</v>
      </c>
      <c r="AU753" s="57" t="n">
        <f aca="false">IF(BR753=1,0,ROUNDUP(AT753/BQ753,0))</f>
        <v>1</v>
      </c>
      <c r="AV753" s="59" t="n">
        <f aca="false">IF(CD753&gt;0,CD753*MAX(1,AT753/V753),IF(BR753=1,IF(AT753&lt;=0,0,BS753*MAX(1,IF(G753&gt;0,AT753/G753,1))),IF(Q753&gt;0,AU753/Q753,0))/MAX(0.1,N(Parameter!$M$21)))</f>
        <v>0.00241545893719807</v>
      </c>
      <c r="AW753" s="57" t="n">
        <f aca="false">AT753*F753</f>
        <v>7.8</v>
      </c>
      <c r="AX753" s="57" t="n">
        <f aca="false">ROUNDUP(MAX(I753/IF(BV753&gt;0,BV753,MAX(0.1,N(Cockpit!$O$6))),BY753)/BQ753,0)*BQ753</f>
        <v>39</v>
      </c>
      <c r="AY753" s="58" t="n">
        <f aca="false">IF(AV753&gt;0,I753/AV753,-1)</f>
        <v>0</v>
      </c>
      <c r="AZ753" s="58" t="n">
        <f aca="false">IF(AND(OR(BU753="L1",BU753="L23"),AV753&gt;0),SUMIFS($AV$7:$AV$1576,$BU$7:$BU$1576,BU753,$AY$7:$AY$1576,"&gt;"&amp;AY753)+SUMIFS($AV$7:$AV$1576,$BU$7:$BU$1576,BU753,$AY$7:$AY$1576,AY753,$BO$7:$BO$1576,"&lt;="&amp;BO753),"")</f>
        <v>120.464442924273</v>
      </c>
      <c r="BA753" s="65" t="n">
        <f aca="false">IF(AZ753="",0,MAX(0,MIN(1,(IF(BU753="L1",Parameter!$E$5,Parameter!$E$6+Parameter!$E$7)-(AZ753-AV753))/AV753)))</f>
        <v>0</v>
      </c>
      <c r="BB753" s="55" t="str">
        <f aca="false">IF(AF753&lt;=0,"",IF(BU753="Aussen","Aussenlager",IF(BU753="-","Nicht im Lift",IF(AK753&gt;=1,"Lift",IF(AK753&lt;=0,"Aussenlager","teilweise")))))</f>
        <v/>
      </c>
      <c r="BC753" s="55" t="str">
        <f aca="false">IF(AN753&lt;=0,"",IF(BU753="Aussen","Aussenlager",IF(BU753="-","Nicht im Lift",IF(AS753&gt;=1,"Lift",IF(AS753&lt;=0,"Aussenlager","teilweise")))))</f>
        <v>Aussenlager</v>
      </c>
      <c r="BD753" s="55" t="str">
        <f aca="false">IF(AV753&lt;=0,"",IF(BU753="Aussen","Aussenlager",IF(BU753="-","Nicht im Lift",IF(BA753&gt;=1,"Lift",IF(BA753&lt;=0,"Aussenlager","teilweise")))))</f>
        <v>Aussenlager</v>
      </c>
      <c r="BE753" s="55" t="str">
        <f aca="false">IF(A753="","",IF(BN753=1,"Neu; ","")&amp;IF(AND(BN753=0,BI753&lt;0),"negativer Bestand (Export "&amp;BI753&amp;"); ","")&amp;IF(I753&lt;=0,"Kein Verbrauch; ","")&amp;IF(CD753&gt;0,"Lift "&amp;U753&amp;" lt. Liftbericht (Fach "&amp;V753&amp;" Stk); ",IF(BR753=1,"Lose – Fläche geschätzt; ",""))&amp;IF(G753&gt;AP753,"Überbestand "&amp;ROUND(G753-AP753,0)&amp;" Stk / CHF "&amp;ROUND((G753-AP753)*F753,0)&amp;"; ","")&amp;IF(AND(BW753=1,BX753&lt;BY753),"MAX &lt; MB+LG; ","")&amp;IF(AND(CC753&gt;0,CB753*10&gt;CC753),"zu hoch für Tablar; ","")&amp;IF(AND(BN753=0,OR(BW753=1,Y753&lt;&gt;"",S753&lt;&gt;"",T753&lt;&gt;"",Z753&lt;&gt;"")),"manuell übersteuert; ","")&amp;IF(AND(BR753=0,Q753=0),"Gebinde unbekannt / Stellmass fehlt; ","")&amp;IF(AND(BR753=0,N(T753)&lt;=0,N(P753)&lt;=0),"Menge pro Gebinde fehlt (Ist = 1 Gebinde); ","")&amp;BM753)</f>
        <v>negativer Bestand (Export -1); Kein Verbrauch; Überbestand</v>
      </c>
      <c r="BF753" s="55"/>
      <c r="BG753" s="55"/>
      <c r="BH753" s="62"/>
      <c r="BI753" s="57" t="n">
        <v>-1</v>
      </c>
      <c r="BJ753" s="57" t="n">
        <v>21</v>
      </c>
      <c r="BK753" s="56" t="n">
        <v>-0.2</v>
      </c>
      <c r="BL753" s="57" t="n">
        <v>0</v>
      </c>
      <c r="BM753" s="55" t="s">
        <v>382</v>
      </c>
      <c r="BN753" s="60" t="n">
        <v>0</v>
      </c>
      <c r="BO753" s="60" t="n">
        <v>753</v>
      </c>
      <c r="BP753" s="55" t="str">
        <f aca="false">IF(S753&lt;&gt;"",UPPER(TRIM(S753)),IF(O753="","LOSE",O753))</f>
        <v>S21</v>
      </c>
      <c r="BQ753" s="57" t="n">
        <f aca="false">IF(BP753="LOSE",1,IF(N(T753)&gt;0,T753,IF(N(P753)&gt;0,P753,MAX(1,G753))))</f>
        <v>39</v>
      </c>
      <c r="BR753" s="60" t="n">
        <f aca="false">IF(BP753="LOSE",1,0)</f>
        <v>0</v>
      </c>
      <c r="BS753" s="59" t="n">
        <f aca="false">IF(BR753=0,0,IF(N(R753)&gt;0,R753,IFERROR(VLOOKUP(D753,Parameter!$A$35:$C$64,3,0)+0,0)))</f>
        <v>0</v>
      </c>
      <c r="BT753" s="55" t="n">
        <f aca="false">IF(Y753&lt;&gt;"",Y753,X753)</f>
        <v>3</v>
      </c>
      <c r="BU753" s="55" t="str">
        <f aca="false">IF(BT753=1,"L1",IF(OR(BT753=2,BT753=3),"L23",IF(BT753="Aussen","Aussen","-")))</f>
        <v>L23</v>
      </c>
      <c r="BV753" s="66" t="n">
        <f aca="false">IF(N(Z753)&gt;0,Z753,0)</f>
        <v>0</v>
      </c>
      <c r="BW753" s="60" t="n">
        <f aca="false">IF(ISNUMBER(AC753),1,0)</f>
        <v>0</v>
      </c>
      <c r="BX753" s="57" t="n">
        <f aca="false">N(AC753)</f>
        <v>0</v>
      </c>
      <c r="BY753" s="57" t="n">
        <f aca="false">N(L753)+N(M753)</f>
        <v>1</v>
      </c>
      <c r="BZ753" s="57" t="n">
        <f aca="false">ROUNDUP(G753/BQ753,0)</f>
        <v>0</v>
      </c>
      <c r="CA753" s="57" t="n">
        <f aca="false">ROUNDUP(BX753/BQ753,0)</f>
        <v>0</v>
      </c>
      <c r="CB753" s="60" t="n">
        <f aca="false">IF(BR753=1,0,IFERROR(VLOOKUP(BP753,'Gebinde-Kategorie'!$A$5:$M$45,5,0)+0,0))</f>
        <v>8</v>
      </c>
      <c r="CC753" s="60" t="n">
        <f aca="false">IFERROR(IF(OR(BT753=1,BT753=2,BT753=3),N(INDEX(Parameter!$I$5:$I$7,BT753)),0),0)</f>
        <v>0</v>
      </c>
      <c r="CD753" s="59" t="n">
        <f aca="false">IF(AND(Parameter!$B$21="Ja",ISNUMBER(U753),N(V753)&gt;0),IFERROR(N(INDEX(Parameter!$L$5:$L$7,U753))*INDEX(Parameter!$E$5:$E$7,U753)*V753/SUMIFS($V$7:$V$1576,$U$7:$U$1576,U753),0),0)</f>
        <v>0</v>
      </c>
    </row>
    <row r="754" customFormat="false" ht="15" hidden="false" customHeight="false" outlineLevel="0" collapsed="false">
      <c r="A754" s="55" t="s">
        <v>1479</v>
      </c>
      <c r="B754" s="55" t="s">
        <v>1255</v>
      </c>
      <c r="C754" s="55" t="s">
        <v>160</v>
      </c>
      <c r="D754" s="55" t="s">
        <v>178</v>
      </c>
      <c r="E754" s="55" t="s">
        <v>210</v>
      </c>
      <c r="F754" s="56" t="n">
        <v>0.04</v>
      </c>
      <c r="G754" s="57" t="n">
        <f aca="false">MAX(0,IF(AND(Parameter!$B$21="Ja",ISNUMBER(W754)),W754,IF(Parameter!$B$20="Jahresanfang 2025 + Export",BJ754+BI754,BI754)))</f>
        <v>0</v>
      </c>
      <c r="H754" s="57" t="n">
        <f aca="false">G754*F754</f>
        <v>0</v>
      </c>
      <c r="I754" s="57" t="n">
        <f aca="false">BL754*Parameter!$B$18</f>
        <v>0</v>
      </c>
      <c r="J754" s="58" t="n">
        <v>352</v>
      </c>
      <c r="K754" s="59" t="n">
        <v>0</v>
      </c>
      <c r="L754" s="57" t="n">
        <v>0</v>
      </c>
      <c r="M754" s="57" t="n">
        <v>1</v>
      </c>
      <c r="N754" s="60" t="n">
        <v>21</v>
      </c>
      <c r="O754" s="55" t="s">
        <v>163</v>
      </c>
      <c r="P754" s="57"/>
      <c r="Q754" s="60" t="n">
        <f aca="false">IF(BR754=1,0,IFERROR(VLOOKUP(BP754,'Gebinde-Kategorie'!$A$5:$M$45,13,0)+0,0))</f>
        <v>0</v>
      </c>
      <c r="R754" s="61"/>
      <c r="S754" s="62"/>
      <c r="T754" s="62"/>
      <c r="U754" s="55"/>
      <c r="V754" s="57"/>
      <c r="W754" s="57"/>
      <c r="X754" s="55" t="n">
        <f aca="false">IF(A754="","",IF(AND(Parameter!$B$21="Ja",ISNUMBER(U754)),U754,IF(IFERROR(VLOOKUP(D754,Parameter!$A$35:$C$64,2,0),"Nein")="2+3",IF(ISNUMBER(SEARCH("grosser Artikel",BM754)),2,IFERROR(VLOOKUP(BP754,Parameter!$F$35:$G$64,2,0),2)),IF(OR(IFERROR(VLOOKUP(D754,Parameter!$A$35:$C$64,2,0),"Nein")="Nein",IFERROR(VLOOKUP(D754,Parameter!$A$35:$C$64,2,0),"Nein")=""),"-",VLOOKUP(D754,Parameter!$A$35:$C$64,2,0)))))</f>
        <v>2</v>
      </c>
      <c r="Y754" s="62"/>
      <c r="Z754" s="63"/>
      <c r="AA754" s="57" t="n">
        <f aca="false">AP754</f>
        <v>1</v>
      </c>
      <c r="AB754" s="57" t="n">
        <f aca="false">MAX(AP754,G754)</f>
        <v>1</v>
      </c>
      <c r="AC754" s="64"/>
      <c r="AD754" s="57" t="n">
        <f aca="false">IF(LEFT(Cockpit!$C$5,1)="A",G754,IF(BW754=1,BX754,IF(LEFT(Cockpit!$C$5,1)="B",AH754,MAX(AH754,G754))))</f>
        <v>0</v>
      </c>
      <c r="AE754" s="57" t="n">
        <f aca="false">IF(BR754=1,0,ROUNDUP(AD754/BQ754,0))</f>
        <v>0</v>
      </c>
      <c r="AF754" s="59" t="n">
        <f aca="false">IF(CD754&gt;0,CD754*MAX(1,AD754/V754),IF(BR754=1,IF(AD754&lt;=0,0,BS754*MAX(1,IF(G754&gt;0,AD754/G754,1))),IF(Q754&gt;0,AE754/Q754,0))/MAX(0.1,N(Parameter!$M$21)))</f>
        <v>0</v>
      </c>
      <c r="AG754" s="57" t="n">
        <f aca="false">AD754*F754</f>
        <v>0</v>
      </c>
      <c r="AH754" s="57" t="n">
        <f aca="false">ROUNDUP(MAX(I754/IF(BV754&gt;0,BV754,MAX(0.1,N(Cockpit!$C$6))),BY754)/BQ754,0)*BQ754</f>
        <v>1</v>
      </c>
      <c r="AI754" s="58" t="n">
        <f aca="false">IF(AF754&gt;0,I754/AF754,-1)</f>
        <v>-1</v>
      </c>
      <c r="AJ754" s="58" t="str">
        <f aca="false">IF(AND(OR(BU754="L1",BU754="L23"),AF754&gt;0),SUMIFS($AF$7:$AF$1576,$BU$7:$BU$1576,BU754,$AI$7:$AI$1576,"&gt;"&amp;AI754)+SUMIFS($AF$7:$AF$1576,$BU$7:$BU$1576,BU754,$AI$7:$AI$1576,AI754,$BO$7:$BO$1576,"&lt;="&amp;BO754),"")</f>
        <v/>
      </c>
      <c r="AK754" s="65" t="n">
        <f aca="false">IF(AJ754="",0,MAX(0,MIN(1,(IF(BU754="L1",Parameter!$E$5,Parameter!$E$6+Parameter!$E$7)-(AJ754-AF754))/AF754)))</f>
        <v>0</v>
      </c>
      <c r="AL754" s="57" t="n">
        <f aca="false">IF(LEFT(Cockpit!$I$5,1)="A",G754,IF(BW754=1,BX754,IF(LEFT(Cockpit!$I$5,1)="B",AP754,MAX(AP754,G754))))</f>
        <v>1</v>
      </c>
      <c r="AM754" s="57" t="n">
        <f aca="false">IF(BR754=1,0,ROUNDUP(AL754/BQ754,0))</f>
        <v>0</v>
      </c>
      <c r="AN754" s="59" t="n">
        <f aca="false">IF(CD754&gt;0,CD754*MAX(1,AL754/V754),IF(BR754=1,IF(AL754&lt;=0,0,BS754*MAX(1,IF(G754&gt;0,AL754/G754,1))),IF(Q754&gt;0,AM754/Q754,0))/MAX(0.1,N(Parameter!$M$21)))</f>
        <v>0.03</v>
      </c>
      <c r="AO754" s="57" t="n">
        <f aca="false">AL754*F754</f>
        <v>0.04</v>
      </c>
      <c r="AP754" s="57" t="n">
        <f aca="false">ROUNDUP(MAX(I754/IF(BV754&gt;0,BV754,MAX(0.1,N(Cockpit!$I$6))),BY754)/BQ754,0)*BQ754</f>
        <v>1</v>
      </c>
      <c r="AQ754" s="58" t="n">
        <f aca="false">IF(AN754&gt;0,I754/AN754,-1)</f>
        <v>0</v>
      </c>
      <c r="AR754" s="58" t="n">
        <f aca="false">IF(AND(OR(BU754="L1",BU754="L23"),AN754&gt;0),SUMIFS($AN$7:$AN$1576,$BU$7:$BU$1576,BU754,$AQ$7:$AQ$1576,"&gt;"&amp;AQ754)+SUMIFS($AN$7:$AN$1576,$BU$7:$BU$1576,BU754,$AQ$7:$AQ$1576,AQ754,$BO$7:$BO$1576,"&lt;="&amp;BO754),"")</f>
        <v>130.434892474723</v>
      </c>
      <c r="AS754" s="65" t="n">
        <f aca="false">IF(AR754="",0,MAX(0,MIN(1,(IF(BU754="L1",Parameter!$E$5,Parameter!$E$6+Parameter!$E$7)-(AR754-AN754))/AN754)))</f>
        <v>0</v>
      </c>
      <c r="AT754" s="57" t="n">
        <f aca="false">IF(LEFT(Cockpit!$O$5,1)="A",G754,IF(BW754=1,BX754,IF(LEFT(Cockpit!$O$5,1)="B",AX754,MAX(AX754,G754))))</f>
        <v>1</v>
      </c>
      <c r="AU754" s="57" t="n">
        <f aca="false">IF(BR754=1,0,ROUNDUP(AT754/BQ754,0))</f>
        <v>0</v>
      </c>
      <c r="AV754" s="59" t="n">
        <f aca="false">IF(CD754&gt;0,CD754*MAX(1,AT754/V754),IF(BR754=1,IF(AT754&lt;=0,0,BS754*MAX(1,IF(G754&gt;0,AT754/G754,1))),IF(Q754&gt;0,AU754/Q754,0))/MAX(0.1,N(Parameter!$M$21)))</f>
        <v>0.03</v>
      </c>
      <c r="AW754" s="57" t="n">
        <f aca="false">AT754*F754</f>
        <v>0.04</v>
      </c>
      <c r="AX754" s="57" t="n">
        <f aca="false">ROUNDUP(MAX(I754/IF(BV754&gt;0,BV754,MAX(0.1,N(Cockpit!$O$6))),BY754)/BQ754,0)*BQ754</f>
        <v>1</v>
      </c>
      <c r="AY754" s="58" t="n">
        <f aca="false">IF(AV754&gt;0,I754/AV754,-1)</f>
        <v>0</v>
      </c>
      <c r="AZ754" s="58" t="n">
        <f aca="false">IF(AND(OR(BU754="L1",BU754="L23"),AV754&gt;0),SUMIFS($AV$7:$AV$1576,$BU$7:$BU$1576,BU754,$AY$7:$AY$1576,"&gt;"&amp;AY754)+SUMIFS($AV$7:$AV$1576,$BU$7:$BU$1576,BU754,$AY$7:$AY$1576,AY754,$BO$7:$BO$1576,"&lt;="&amp;BO754),"")</f>
        <v>120.494442924273</v>
      </c>
      <c r="BA754" s="65" t="n">
        <f aca="false">IF(AZ754="",0,MAX(0,MIN(1,(IF(BU754="L1",Parameter!$E$5,Parameter!$E$6+Parameter!$E$7)-(AZ754-AV754))/AV754)))</f>
        <v>0</v>
      </c>
      <c r="BB754" s="55" t="str">
        <f aca="false">IF(AF754&lt;=0,"",IF(BU754="Aussen","Aussenlager",IF(BU754="-","Nicht im Lift",IF(AK754&gt;=1,"Lift",IF(AK754&lt;=0,"Aussenlager","teilweise")))))</f>
        <v/>
      </c>
      <c r="BC754" s="55" t="str">
        <f aca="false">IF(AN754&lt;=0,"",IF(BU754="Aussen","Aussenlager",IF(BU754="-","Nicht im Lift",IF(AS754&gt;=1,"Lift",IF(AS754&lt;=0,"Aussenlager","teilweise")))))</f>
        <v>Aussenlager</v>
      </c>
      <c r="BD754" s="55" t="str">
        <f aca="false">IF(AV754&lt;=0,"",IF(BU754="Aussen","Aussenlager",IF(BU754="-","Nicht im Lift",IF(BA754&gt;=1,"Lift",IF(BA754&lt;=0,"Aussenlager","teilweise")))))</f>
        <v>Aussenlager</v>
      </c>
      <c r="BE754" s="55" t="str">
        <f aca="false">IF(A754="","",IF(BN754=1,"Neu; ","")&amp;IF(AND(BN754=0,BI754&lt;0),"negativer Bestand (Export "&amp;BI754&amp;"); ","")&amp;IF(I754&lt;=0,"Kein Verbrauch; ","")&amp;IF(CD754&gt;0,"Lift "&amp;U754&amp;" lt. Liftbericht (Fach "&amp;V754&amp;" Stk); ",IF(BR754=1,"Lose – Fläche geschätzt; ",""))&amp;IF(G754&gt;AP754,"Überbestand "&amp;ROUND(G754-AP754,0)&amp;" Stk / CHF "&amp;ROUND((G754-AP754)*F754,0)&amp;"; ","")&amp;IF(AND(BW754=1,BX754&lt;BY754),"MAX &lt; MB+LG; ","")&amp;IF(AND(CC754&gt;0,CB754*10&gt;CC754),"zu hoch für Tablar; ","")&amp;IF(AND(BN754=0,OR(BW754=1,Y754&lt;&gt;"",S754&lt;&gt;"",T754&lt;&gt;"",Z754&lt;&gt;"")),"manuell übersteuert; ","")&amp;IF(AND(BR754=0,Q754=0),"Gebinde unbekannt / Stellmass fehlt; ","")&amp;IF(AND(BR754=0,N(T754)&lt;=0,N(P754)&lt;=0),"Menge pro Gebinde fehlt (Ist = 1 Gebinde); ","")&amp;BM754)</f>
        <v>negativer Bestand (Export -6); Kein Verbrauch; Lose – Fläche geschätzt; </v>
      </c>
      <c r="BF754" s="55"/>
      <c r="BG754" s="55"/>
      <c r="BH754" s="62"/>
      <c r="BI754" s="57" t="n">
        <v>-6</v>
      </c>
      <c r="BJ754" s="57" t="n">
        <v>355</v>
      </c>
      <c r="BK754" s="56" t="n">
        <v>-0.24</v>
      </c>
      <c r="BL754" s="57" t="n">
        <v>0</v>
      </c>
      <c r="BM754" s="55"/>
      <c r="BN754" s="60" t="n">
        <v>0</v>
      </c>
      <c r="BO754" s="60" t="n">
        <v>754</v>
      </c>
      <c r="BP754" s="55" t="str">
        <f aca="false">IF(S754&lt;&gt;"",UPPER(TRIM(S754)),IF(O754="","LOSE",O754))</f>
        <v>LOSE</v>
      </c>
      <c r="BQ754" s="57" t="n">
        <f aca="false">IF(BP754="LOSE",1,IF(N(T754)&gt;0,T754,IF(N(P754)&gt;0,P754,MAX(1,G754))))</f>
        <v>1</v>
      </c>
      <c r="BR754" s="60" t="n">
        <f aca="false">IF(BP754="LOSE",1,0)</f>
        <v>1</v>
      </c>
      <c r="BS754" s="59" t="n">
        <f aca="false">IF(BR754=0,0,IF(N(R754)&gt;0,R754,IFERROR(VLOOKUP(D754,Parameter!$A$35:$C$64,3,0)+0,0)))</f>
        <v>0.03</v>
      </c>
      <c r="BT754" s="55" t="n">
        <f aca="false">IF(Y754&lt;&gt;"",Y754,X754)</f>
        <v>2</v>
      </c>
      <c r="BU754" s="55" t="str">
        <f aca="false">IF(BT754=1,"L1",IF(OR(BT754=2,BT754=3),"L23",IF(BT754="Aussen","Aussen","-")))</f>
        <v>L23</v>
      </c>
      <c r="BV754" s="66" t="n">
        <f aca="false">IF(N(Z754)&gt;0,Z754,0)</f>
        <v>0</v>
      </c>
      <c r="BW754" s="60" t="n">
        <f aca="false">IF(ISNUMBER(AC754),1,0)</f>
        <v>0</v>
      </c>
      <c r="BX754" s="57" t="n">
        <f aca="false">N(AC754)</f>
        <v>0</v>
      </c>
      <c r="BY754" s="57" t="n">
        <f aca="false">N(L754)+N(M754)</f>
        <v>1</v>
      </c>
      <c r="BZ754" s="57" t="n">
        <f aca="false">ROUNDUP(G754/BQ754,0)</f>
        <v>0</v>
      </c>
      <c r="CA754" s="57" t="n">
        <f aca="false">ROUNDUP(BX754/BQ754,0)</f>
        <v>0</v>
      </c>
      <c r="CB754" s="60" t="n">
        <f aca="false">IF(BR754=1,0,IFERROR(VLOOKUP(BP754,'Gebinde-Kategorie'!$A$5:$M$45,5,0)+0,0))</f>
        <v>0</v>
      </c>
      <c r="CC754" s="60" t="n">
        <f aca="false">IFERROR(IF(OR(BT754=1,BT754=2,BT754=3),N(INDEX(Parameter!$I$5:$I$7,BT754)),0),0)</f>
        <v>0</v>
      </c>
      <c r="CD754" s="59" t="n">
        <f aca="false">IF(AND(Parameter!$B$21="Ja",ISNUMBER(U754),N(V754)&gt;0),IFERROR(N(INDEX(Parameter!$L$5:$L$7,U754))*INDEX(Parameter!$E$5:$E$7,U754)*V754/SUMIFS($V$7:$V$1576,$U$7:$U$1576,U754),0),0)</f>
        <v>0</v>
      </c>
    </row>
    <row r="755" customFormat="false" ht="15" hidden="false" customHeight="false" outlineLevel="0" collapsed="false">
      <c r="A755" s="55" t="s">
        <v>1480</v>
      </c>
      <c r="B755" s="55" t="s">
        <v>393</v>
      </c>
      <c r="C755" s="55" t="s">
        <v>446</v>
      </c>
      <c r="D755" s="55" t="s">
        <v>178</v>
      </c>
      <c r="E755" s="55" t="s">
        <v>210</v>
      </c>
      <c r="F755" s="56" t="n">
        <v>0.06</v>
      </c>
      <c r="G755" s="57" t="n">
        <f aca="false">MAX(0,IF(AND(Parameter!$B$21="Ja",ISNUMBER(W755)),W755,IF(Parameter!$B$20="Jahresanfang 2025 + Export",BJ755+BI755,BI755)))</f>
        <v>0</v>
      </c>
      <c r="H755" s="57" t="n">
        <f aca="false">G755*F755</f>
        <v>0</v>
      </c>
      <c r="I755" s="57" t="n">
        <f aca="false">BL755*Parameter!$B$18</f>
        <v>0</v>
      </c>
      <c r="J755" s="58" t="n">
        <v>7</v>
      </c>
      <c r="K755" s="59" t="n">
        <v>0</v>
      </c>
      <c r="L755" s="57" t="n">
        <v>0</v>
      </c>
      <c r="M755" s="57" t="n">
        <v>1</v>
      </c>
      <c r="N755" s="60" t="n">
        <v>14</v>
      </c>
      <c r="O755" s="55" t="s">
        <v>163</v>
      </c>
      <c r="P755" s="57"/>
      <c r="Q755" s="60" t="n">
        <f aca="false">IF(BR755=1,0,IFERROR(VLOOKUP(BP755,'Gebinde-Kategorie'!$A$5:$M$45,13,0)+0,0))</f>
        <v>0</v>
      </c>
      <c r="R755" s="61"/>
      <c r="S755" s="62"/>
      <c r="T755" s="62"/>
      <c r="U755" s="55"/>
      <c r="V755" s="57"/>
      <c r="W755" s="57"/>
      <c r="X755" s="55" t="n">
        <f aca="false">IF(A755="","",IF(AND(Parameter!$B$21="Ja",ISNUMBER(U755)),U755,IF(IFERROR(VLOOKUP(D755,Parameter!$A$35:$C$64,2,0),"Nein")="2+3",IF(ISNUMBER(SEARCH("grosser Artikel",BM755)),2,IFERROR(VLOOKUP(BP755,Parameter!$F$35:$G$64,2,0),2)),IF(OR(IFERROR(VLOOKUP(D755,Parameter!$A$35:$C$64,2,0),"Nein")="Nein",IFERROR(VLOOKUP(D755,Parameter!$A$35:$C$64,2,0),"Nein")=""),"-",VLOOKUP(D755,Parameter!$A$35:$C$64,2,0)))))</f>
        <v>2</v>
      </c>
      <c r="Y755" s="62"/>
      <c r="Z755" s="63"/>
      <c r="AA755" s="57" t="n">
        <f aca="false">AP755</f>
        <v>1</v>
      </c>
      <c r="AB755" s="57" t="n">
        <f aca="false">MAX(AP755,G755)</f>
        <v>1</v>
      </c>
      <c r="AC755" s="64"/>
      <c r="AD755" s="57" t="n">
        <f aca="false">IF(LEFT(Cockpit!$C$5,1)="A",G755,IF(BW755=1,BX755,IF(LEFT(Cockpit!$C$5,1)="B",AH755,MAX(AH755,G755))))</f>
        <v>0</v>
      </c>
      <c r="AE755" s="57" t="n">
        <f aca="false">IF(BR755=1,0,ROUNDUP(AD755/BQ755,0))</f>
        <v>0</v>
      </c>
      <c r="AF755" s="59" t="n">
        <f aca="false">IF(CD755&gt;0,CD755*MAX(1,AD755/V755),IF(BR755=1,IF(AD755&lt;=0,0,BS755*MAX(1,IF(G755&gt;0,AD755/G755,1))),IF(Q755&gt;0,AE755/Q755,0))/MAX(0.1,N(Parameter!$M$21)))</f>
        <v>0</v>
      </c>
      <c r="AG755" s="57" t="n">
        <f aca="false">AD755*F755</f>
        <v>0</v>
      </c>
      <c r="AH755" s="57" t="n">
        <f aca="false">ROUNDUP(MAX(I755/IF(BV755&gt;0,BV755,MAX(0.1,N(Cockpit!$C$6))),BY755)/BQ755,0)*BQ755</f>
        <v>1</v>
      </c>
      <c r="AI755" s="58" t="n">
        <f aca="false">IF(AF755&gt;0,I755/AF755,-1)</f>
        <v>-1</v>
      </c>
      <c r="AJ755" s="58" t="str">
        <f aca="false">IF(AND(OR(BU755="L1",BU755="L23"),AF755&gt;0),SUMIFS($AF$7:$AF$1576,$BU$7:$BU$1576,BU755,$AI$7:$AI$1576,"&gt;"&amp;AI755)+SUMIFS($AF$7:$AF$1576,$BU$7:$BU$1576,BU755,$AI$7:$AI$1576,AI755,$BO$7:$BO$1576,"&lt;="&amp;BO755),"")</f>
        <v/>
      </c>
      <c r="AK755" s="65" t="n">
        <f aca="false">IF(AJ755="",0,MAX(0,MIN(1,(IF(BU755="L1",Parameter!$E$5,Parameter!$E$6+Parameter!$E$7)-(AJ755-AF755))/AF755)))</f>
        <v>0</v>
      </c>
      <c r="AL755" s="57" t="n">
        <f aca="false">IF(LEFT(Cockpit!$I$5,1)="A",G755,IF(BW755=1,BX755,IF(LEFT(Cockpit!$I$5,1)="B",AP755,MAX(AP755,G755))))</f>
        <v>1</v>
      </c>
      <c r="AM755" s="57" t="n">
        <f aca="false">IF(BR755=1,0,ROUNDUP(AL755/BQ755,0))</f>
        <v>0</v>
      </c>
      <c r="AN755" s="59" t="n">
        <f aca="false">IF(CD755&gt;0,CD755*MAX(1,AL755/V755),IF(BR755=1,IF(AL755&lt;=0,0,BS755*MAX(1,IF(G755&gt;0,AL755/G755,1))),IF(Q755&gt;0,AM755/Q755,0))/MAX(0.1,N(Parameter!$M$21)))</f>
        <v>0.03</v>
      </c>
      <c r="AO755" s="57" t="n">
        <f aca="false">AL755*F755</f>
        <v>0.06</v>
      </c>
      <c r="AP755" s="57" t="n">
        <f aca="false">ROUNDUP(MAX(I755/IF(BV755&gt;0,BV755,MAX(0.1,N(Cockpit!$I$6))),BY755)/BQ755,0)*BQ755</f>
        <v>1</v>
      </c>
      <c r="AQ755" s="58" t="n">
        <f aca="false">IF(AN755&gt;0,I755/AN755,-1)</f>
        <v>0</v>
      </c>
      <c r="AR755" s="58" t="n">
        <f aca="false">IF(AND(OR(BU755="L1",BU755="L23"),AN755&gt;0),SUMIFS($AN$7:$AN$1576,$BU$7:$BU$1576,BU755,$AQ$7:$AQ$1576,"&gt;"&amp;AQ755)+SUMIFS($AN$7:$AN$1576,$BU$7:$BU$1576,BU755,$AQ$7:$AQ$1576,AQ755,$BO$7:$BO$1576,"&lt;="&amp;BO755),"")</f>
        <v>130.464892474723</v>
      </c>
      <c r="AS755" s="65" t="n">
        <f aca="false">IF(AR755="",0,MAX(0,MIN(1,(IF(BU755="L1",Parameter!$E$5,Parameter!$E$6+Parameter!$E$7)-(AR755-AN755))/AN755)))</f>
        <v>0</v>
      </c>
      <c r="AT755" s="57" t="n">
        <f aca="false">IF(LEFT(Cockpit!$O$5,1)="A",G755,IF(BW755=1,BX755,IF(LEFT(Cockpit!$O$5,1)="B",AX755,MAX(AX755,G755))))</f>
        <v>1</v>
      </c>
      <c r="AU755" s="57" t="n">
        <f aca="false">IF(BR755=1,0,ROUNDUP(AT755/BQ755,0))</f>
        <v>0</v>
      </c>
      <c r="AV755" s="59" t="n">
        <f aca="false">IF(CD755&gt;0,CD755*MAX(1,AT755/V755),IF(BR755=1,IF(AT755&lt;=0,0,BS755*MAX(1,IF(G755&gt;0,AT755/G755,1))),IF(Q755&gt;0,AU755/Q755,0))/MAX(0.1,N(Parameter!$M$21)))</f>
        <v>0.03</v>
      </c>
      <c r="AW755" s="57" t="n">
        <f aca="false">AT755*F755</f>
        <v>0.06</v>
      </c>
      <c r="AX755" s="57" t="n">
        <f aca="false">ROUNDUP(MAX(I755/IF(BV755&gt;0,BV755,MAX(0.1,N(Cockpit!$O$6))),BY755)/BQ755,0)*BQ755</f>
        <v>1</v>
      </c>
      <c r="AY755" s="58" t="n">
        <f aca="false">IF(AV755&gt;0,I755/AV755,-1)</f>
        <v>0</v>
      </c>
      <c r="AZ755" s="58" t="n">
        <f aca="false">IF(AND(OR(BU755="L1",BU755="L23"),AV755&gt;0),SUMIFS($AV$7:$AV$1576,$BU$7:$BU$1576,BU755,$AY$7:$AY$1576,"&gt;"&amp;AY755)+SUMIFS($AV$7:$AV$1576,$BU$7:$BU$1576,BU755,$AY$7:$AY$1576,AY755,$BO$7:$BO$1576,"&lt;="&amp;BO755),"")</f>
        <v>120.524442924273</v>
      </c>
      <c r="BA755" s="65" t="n">
        <f aca="false">IF(AZ755="",0,MAX(0,MIN(1,(IF(BU755="L1",Parameter!$E$5,Parameter!$E$6+Parameter!$E$7)-(AZ755-AV755))/AV755)))</f>
        <v>0</v>
      </c>
      <c r="BB755" s="55" t="str">
        <f aca="false">IF(AF755&lt;=0,"",IF(BU755="Aussen","Aussenlager",IF(BU755="-","Nicht im Lift",IF(AK755&gt;=1,"Lift",IF(AK755&lt;=0,"Aussenlager","teilweise")))))</f>
        <v/>
      </c>
      <c r="BC755" s="55" t="str">
        <f aca="false">IF(AN755&lt;=0,"",IF(BU755="Aussen","Aussenlager",IF(BU755="-","Nicht im Lift",IF(AS755&gt;=1,"Lift",IF(AS755&lt;=0,"Aussenlager","teilweise")))))</f>
        <v>Aussenlager</v>
      </c>
      <c r="BD755" s="55" t="str">
        <f aca="false">IF(AV755&lt;=0,"",IF(BU755="Aussen","Aussenlager",IF(BU755="-","Nicht im Lift",IF(BA755&gt;=1,"Lift",IF(BA755&lt;=0,"Aussenlager","teilweise")))))</f>
        <v>Aussenlager</v>
      </c>
      <c r="BE755" s="55" t="str">
        <f aca="false">IF(A755="","",IF(BN755=1,"Neu; ","")&amp;IF(AND(BN755=0,BI755&lt;0),"negativer Bestand (Export "&amp;BI755&amp;"); ","")&amp;IF(I755&lt;=0,"Kein Verbrauch; ","")&amp;IF(CD755&gt;0,"Lift "&amp;U755&amp;" lt. Liftbericht (Fach "&amp;V755&amp;" Stk); ",IF(BR755=1,"Lose – Fläche geschätzt; ",""))&amp;IF(G755&gt;AP755,"Überbestand "&amp;ROUND(G755-AP755,0)&amp;" Stk / CHF "&amp;ROUND((G755-AP755)*F755,0)&amp;"; ","")&amp;IF(AND(BW755=1,BX755&lt;BY755),"MAX &lt; MB+LG; ","")&amp;IF(AND(CC755&gt;0,CB755*10&gt;CC755),"zu hoch für Tablar; ","")&amp;IF(AND(BN755=0,OR(BW755=1,Y755&lt;&gt;"",S755&lt;&gt;"",T755&lt;&gt;"",Z755&lt;&gt;"")),"manuell übersteuert; ","")&amp;IF(AND(BR755=0,Q755=0),"Gebinde unbekannt / Stellmass fehlt; ","")&amp;IF(AND(BR755=0,N(T755)&lt;=0,N(P755)&lt;=0),"Menge pro Gebinde fehlt (Ist = 1 Gebinde); ","")&amp;BM755)</f>
        <v>negativer Bestand (Export -4); Kein Verbrauch; Lose – Fläche geschätzt; </v>
      </c>
      <c r="BF755" s="55"/>
      <c r="BG755" s="55"/>
      <c r="BH755" s="62"/>
      <c r="BI755" s="57" t="n">
        <v>-4</v>
      </c>
      <c r="BJ755" s="57" t="n">
        <v>9</v>
      </c>
      <c r="BK755" s="56" t="n">
        <v>-0.24</v>
      </c>
      <c r="BL755" s="57" t="n">
        <v>0</v>
      </c>
      <c r="BM755" s="55"/>
      <c r="BN755" s="60" t="n">
        <v>0</v>
      </c>
      <c r="BO755" s="60" t="n">
        <v>755</v>
      </c>
      <c r="BP755" s="55" t="str">
        <f aca="false">IF(S755&lt;&gt;"",UPPER(TRIM(S755)),IF(O755="","LOSE",O755))</f>
        <v>LOSE</v>
      </c>
      <c r="BQ755" s="57" t="n">
        <f aca="false">IF(BP755="LOSE",1,IF(N(T755)&gt;0,T755,IF(N(P755)&gt;0,P755,MAX(1,G755))))</f>
        <v>1</v>
      </c>
      <c r="BR755" s="60" t="n">
        <f aca="false">IF(BP755="LOSE",1,0)</f>
        <v>1</v>
      </c>
      <c r="BS755" s="59" t="n">
        <f aca="false">IF(BR755=0,0,IF(N(R755)&gt;0,R755,IFERROR(VLOOKUP(D755,Parameter!$A$35:$C$64,3,0)+0,0)))</f>
        <v>0.03</v>
      </c>
      <c r="BT755" s="55" t="n">
        <f aca="false">IF(Y755&lt;&gt;"",Y755,X755)</f>
        <v>2</v>
      </c>
      <c r="BU755" s="55" t="str">
        <f aca="false">IF(BT755=1,"L1",IF(OR(BT755=2,BT755=3),"L23",IF(BT755="Aussen","Aussen","-")))</f>
        <v>L23</v>
      </c>
      <c r="BV755" s="66" t="n">
        <f aca="false">IF(N(Z755)&gt;0,Z755,0)</f>
        <v>0</v>
      </c>
      <c r="BW755" s="60" t="n">
        <f aca="false">IF(ISNUMBER(AC755),1,0)</f>
        <v>0</v>
      </c>
      <c r="BX755" s="57" t="n">
        <f aca="false">N(AC755)</f>
        <v>0</v>
      </c>
      <c r="BY755" s="57" t="n">
        <f aca="false">N(L755)+N(M755)</f>
        <v>1</v>
      </c>
      <c r="BZ755" s="57" t="n">
        <f aca="false">ROUNDUP(G755/BQ755,0)</f>
        <v>0</v>
      </c>
      <c r="CA755" s="57" t="n">
        <f aca="false">ROUNDUP(BX755/BQ755,0)</f>
        <v>0</v>
      </c>
      <c r="CB755" s="60" t="n">
        <f aca="false">IF(BR755=1,0,IFERROR(VLOOKUP(BP755,'Gebinde-Kategorie'!$A$5:$M$45,5,0)+0,0))</f>
        <v>0</v>
      </c>
      <c r="CC755" s="60" t="n">
        <f aca="false">IFERROR(IF(OR(BT755=1,BT755=2,BT755=3),N(INDEX(Parameter!$I$5:$I$7,BT755)),0),0)</f>
        <v>0</v>
      </c>
      <c r="CD755" s="59" t="n">
        <f aca="false">IF(AND(Parameter!$B$21="Ja",ISNUMBER(U755),N(V755)&gt;0),IFERROR(N(INDEX(Parameter!$L$5:$L$7,U755))*INDEX(Parameter!$E$5:$E$7,U755)*V755/SUMIFS($V$7:$V$1576,$U$7:$U$1576,U755),0),0)</f>
        <v>0</v>
      </c>
    </row>
    <row r="756" customFormat="false" ht="15" hidden="false" customHeight="false" outlineLevel="0" collapsed="false">
      <c r="A756" s="55" t="s">
        <v>1481</v>
      </c>
      <c r="B756" s="55" t="s">
        <v>1482</v>
      </c>
      <c r="C756" s="55" t="s">
        <v>160</v>
      </c>
      <c r="D756" s="55" t="s">
        <v>178</v>
      </c>
      <c r="E756" s="55" t="s">
        <v>210</v>
      </c>
      <c r="F756" s="56" t="n">
        <v>0.06</v>
      </c>
      <c r="G756" s="57" t="n">
        <f aca="false">MAX(0,IF(AND(Parameter!$B$21="Ja",ISNUMBER(W756)),W756,IF(Parameter!$B$20="Jahresanfang 2025 + Export",BJ756+BI756,BI756)))</f>
        <v>7</v>
      </c>
      <c r="H756" s="57" t="n">
        <f aca="false">G756*F756</f>
        <v>0.42</v>
      </c>
      <c r="I756" s="57" t="n">
        <f aca="false">BL756*Parameter!$B$18</f>
        <v>393</v>
      </c>
      <c r="J756" s="58" t="n">
        <v>178</v>
      </c>
      <c r="K756" s="59" t="n">
        <v>2.20786516853933</v>
      </c>
      <c r="L756" s="57" t="n">
        <v>22</v>
      </c>
      <c r="M756" s="57" t="n">
        <v>500</v>
      </c>
      <c r="N756" s="60" t="n">
        <v>21</v>
      </c>
      <c r="O756" s="55" t="s">
        <v>319</v>
      </c>
      <c r="P756" s="57" t="n">
        <v>675</v>
      </c>
      <c r="Q756" s="60" t="n">
        <f aca="false">IF(BR756=1,0,IFERROR(VLOOKUP(BP756,'Gebinde-Kategorie'!$A$5:$M$45,13,0)+0,0))</f>
        <v>52</v>
      </c>
      <c r="R756" s="61"/>
      <c r="S756" s="62"/>
      <c r="T756" s="62"/>
      <c r="U756" s="55"/>
      <c r="V756" s="57"/>
      <c r="W756" s="57"/>
      <c r="X756" s="55" t="n">
        <f aca="false">IF(A756="","",IF(AND(Parameter!$B$21="Ja",ISNUMBER(U756)),U756,IF(IFERROR(VLOOKUP(D756,Parameter!$A$35:$C$64,2,0),"Nein")="2+3",IF(ISNUMBER(SEARCH("grosser Artikel",BM756)),2,IFERROR(VLOOKUP(BP756,Parameter!$F$35:$G$64,2,0),2)),IF(OR(IFERROR(VLOOKUP(D756,Parameter!$A$35:$C$64,2,0),"Nein")="Nein",IFERROR(VLOOKUP(D756,Parameter!$A$35:$C$64,2,0),"Nein")=""),"-",VLOOKUP(D756,Parameter!$A$35:$C$64,2,0)))))</f>
        <v>3</v>
      </c>
      <c r="Y756" s="62"/>
      <c r="Z756" s="63"/>
      <c r="AA756" s="57" t="n">
        <f aca="false">AP756</f>
        <v>675</v>
      </c>
      <c r="AB756" s="57" t="n">
        <f aca="false">MAX(AP756,G756)</f>
        <v>675</v>
      </c>
      <c r="AC756" s="64"/>
      <c r="AD756" s="57" t="n">
        <f aca="false">IF(LEFT(Cockpit!$C$5,1)="A",G756,IF(BW756=1,BX756,IF(LEFT(Cockpit!$C$5,1)="B",AH756,MAX(AH756,G756))))</f>
        <v>7</v>
      </c>
      <c r="AE756" s="57" t="n">
        <f aca="false">IF(BR756=1,0,ROUNDUP(AD756/BQ756,0))</f>
        <v>1</v>
      </c>
      <c r="AF756" s="59" t="n">
        <f aca="false">IF(CD756&gt;0,CD756*MAX(1,AD756/V756),IF(BR756=1,IF(AD756&lt;=0,0,BS756*MAX(1,IF(G756&gt;0,AD756/G756,1))),IF(Q756&gt;0,AE756/Q756,0))/MAX(0.1,N(Parameter!$M$21)))</f>
        <v>0.0192307692307692</v>
      </c>
      <c r="AG756" s="57" t="n">
        <f aca="false">AD756*F756</f>
        <v>0.42</v>
      </c>
      <c r="AH756" s="57" t="n">
        <f aca="false">ROUNDUP(MAX(I756/IF(BV756&gt;0,BV756,MAX(0.1,N(Cockpit!$C$6))),BY756)/BQ756,0)*BQ756</f>
        <v>675</v>
      </c>
      <c r="AI756" s="58" t="n">
        <f aca="false">IF(AF756&gt;0,I756/AF756,-1)</f>
        <v>20436</v>
      </c>
      <c r="AJ756" s="58" t="n">
        <f aca="false">IF(AND(OR(BU756="L1",BU756="L23"),AF756&gt;0),SUMIFS($AF$7:$AF$1576,$BU$7:$BU$1576,BU756,$AI$7:$AI$1576,"&gt;"&amp;AI756)+SUMIFS($AF$7:$AF$1576,$BU$7:$BU$1576,BU756,$AI$7:$AI$1576,AI756,$BO$7:$BO$1576,"&lt;="&amp;BO756),"")</f>
        <v>1.78131650957738</v>
      </c>
      <c r="AK756" s="65" t="n">
        <f aca="false">IF(AJ756="",0,MAX(0,MIN(1,(IF(BU756="L1",Parameter!$E$5,Parameter!$E$6+Parameter!$E$7)-(AJ756-AF756))/AF756)))</f>
        <v>1</v>
      </c>
      <c r="AL756" s="57" t="n">
        <f aca="false">IF(LEFT(Cockpit!$I$5,1)="A",G756,IF(BW756=1,BX756,IF(LEFT(Cockpit!$I$5,1)="B",AP756,MAX(AP756,G756))))</f>
        <v>675</v>
      </c>
      <c r="AM756" s="57" t="n">
        <f aca="false">IF(BR756=1,0,ROUNDUP(AL756/BQ756,0))</f>
        <v>1</v>
      </c>
      <c r="AN756" s="59" t="n">
        <f aca="false">IF(CD756&gt;0,CD756*MAX(1,AL756/V756),IF(BR756=1,IF(AL756&lt;=0,0,BS756*MAX(1,IF(G756&gt;0,AL756/G756,1))),IF(Q756&gt;0,AM756/Q756,0))/MAX(0.1,N(Parameter!$M$21)))</f>
        <v>0.0192307692307692</v>
      </c>
      <c r="AO756" s="57" t="n">
        <f aca="false">AL756*F756</f>
        <v>40.5</v>
      </c>
      <c r="AP756" s="57" t="n">
        <f aca="false">ROUNDUP(MAX(I756/IF(BV756&gt;0,BV756,MAX(0.1,N(Cockpit!$I$6))),BY756)/BQ756,0)*BQ756</f>
        <v>675</v>
      </c>
      <c r="AQ756" s="58" t="n">
        <f aca="false">IF(AN756&gt;0,I756/AN756,-1)</f>
        <v>20436</v>
      </c>
      <c r="AR756" s="58" t="n">
        <f aca="false">IF(AND(OR(BU756="L1",BU756="L23"),AN756&gt;0),SUMIFS($AN$7:$AN$1576,$BU$7:$BU$1576,BU756,$AQ$7:$AQ$1576,"&gt;"&amp;AQ756)+SUMIFS($AN$7:$AN$1576,$BU$7:$BU$1576,BU756,$AQ$7:$AQ$1576,AQ756,$BO$7:$BO$1576,"&lt;="&amp;BO756),"")</f>
        <v>3.97150569237526</v>
      </c>
      <c r="AS756" s="65" t="n">
        <f aca="false">IF(AR756="",0,MAX(0,MIN(1,(IF(BU756="L1",Parameter!$E$5,Parameter!$E$6+Parameter!$E$7)-(AR756-AN756))/AN756)))</f>
        <v>1</v>
      </c>
      <c r="AT756" s="57" t="n">
        <f aca="false">IF(LEFT(Cockpit!$O$5,1)="A",G756,IF(BW756=1,BX756,IF(LEFT(Cockpit!$O$5,1)="B",AX756,MAX(AX756,G756))))</f>
        <v>675</v>
      </c>
      <c r="AU756" s="57" t="n">
        <f aca="false">IF(BR756=1,0,ROUNDUP(AT756/BQ756,0))</f>
        <v>1</v>
      </c>
      <c r="AV756" s="59" t="n">
        <f aca="false">IF(CD756&gt;0,CD756*MAX(1,AT756/V756),IF(BR756=1,IF(AT756&lt;=0,0,BS756*MAX(1,IF(G756&gt;0,AT756/G756,1))),IF(Q756&gt;0,AU756/Q756,0))/MAX(0.1,N(Parameter!$M$21)))</f>
        <v>0.0192307692307692</v>
      </c>
      <c r="AW756" s="57" t="n">
        <f aca="false">AT756*F756</f>
        <v>40.5</v>
      </c>
      <c r="AX756" s="57" t="n">
        <f aca="false">ROUNDUP(MAX(I756/IF(BV756&gt;0,BV756,MAX(0.1,N(Cockpit!$O$6))),BY756)/BQ756,0)*BQ756</f>
        <v>675</v>
      </c>
      <c r="AY756" s="58" t="n">
        <f aca="false">IF(AV756&gt;0,I756/AV756,-1)</f>
        <v>20436</v>
      </c>
      <c r="AZ756" s="58" t="n">
        <f aca="false">IF(AND(OR(BU756="L1",BU756="L23"),AV756&gt;0),SUMIFS($AV$7:$AV$1576,$BU$7:$BU$1576,BU756,$AY$7:$AY$1576,"&gt;"&amp;AY756)+SUMIFS($AV$7:$AV$1576,$BU$7:$BU$1576,BU756,$AY$7:$AY$1576,AY756,$BO$7:$BO$1576,"&lt;="&amp;BO756),"")</f>
        <v>4.3141630350326</v>
      </c>
      <c r="BA756" s="65" t="n">
        <f aca="false">IF(AZ756="",0,MAX(0,MIN(1,(IF(BU756="L1",Parameter!$E$5,Parameter!$E$6+Parameter!$E$7)-(AZ756-AV756))/AV756)))</f>
        <v>1</v>
      </c>
      <c r="BB756" s="55" t="str">
        <f aca="false">IF(AF756&lt;=0,"",IF(BU756="Aussen","Aussenlager",IF(BU756="-","Nicht im Lift",IF(AK756&gt;=1,"Lift",IF(AK756&lt;=0,"Aussenlager","teilweise")))))</f>
        <v>Lift</v>
      </c>
      <c r="BC756" s="55" t="str">
        <f aca="false">IF(AN756&lt;=0,"",IF(BU756="Aussen","Aussenlager",IF(BU756="-","Nicht im Lift",IF(AS756&gt;=1,"Lift",IF(AS756&lt;=0,"Aussenlager","teilweise")))))</f>
        <v>Lift</v>
      </c>
      <c r="BD756" s="55" t="str">
        <f aca="false">IF(AV756&lt;=0,"",IF(BU756="Aussen","Aussenlager",IF(BU756="-","Nicht im Lift",IF(BA756&gt;=1,"Lift",IF(BA756&lt;=0,"Aussenlager","teilweise")))))</f>
        <v>Lift</v>
      </c>
      <c r="BE756" s="55" t="str">
        <f aca="false">IF(A756="","",IF(BN756=1,"Neu; ","")&amp;IF(AND(BN756=0,BI756&lt;0),"negativer Bestand (Export "&amp;BI756&amp;"); ","")&amp;IF(I756&lt;=0,"Kein Verbrauch; ","")&amp;IF(CD756&gt;0,"Lift "&amp;U756&amp;" lt. Liftbericht (Fach "&amp;V756&amp;" Stk); ",IF(BR756=1,"Lose – Fläche geschätzt; ",""))&amp;IF(G756&gt;AP756,"Überbestand "&amp;ROUND(G756-AP756,0)&amp;" Stk / CHF "&amp;ROUND((G756-AP756)*F756,0)&amp;"; ","")&amp;IF(AND(BW756=1,BX756&lt;BY756),"MAX &lt; MB+LG; ","")&amp;IF(AND(CC756&gt;0,CB756*10&gt;CC756),"zu hoch für Tablar; ","")&amp;IF(AND(BN756=0,OR(BW756=1,Y756&lt;&gt;"",S756&lt;&gt;"",T756&lt;&gt;"",Z756&lt;&gt;"")),"manuell übersteuert; ","")&amp;IF(AND(BR756=0,Q756=0),"Gebinde unbekannt / Stellmass fehlt; ","")&amp;IF(AND(BR756=0,N(T756)&lt;=0,N(P756)&lt;=0),"Menge pro Gebinde fehlt (Ist = 1 Gebinde); ","")&amp;BM756)</f>
        <v/>
      </c>
      <c r="BF756" s="55"/>
      <c r="BG756" s="55"/>
      <c r="BH756" s="62"/>
      <c r="BI756" s="57" t="n">
        <v>7</v>
      </c>
      <c r="BJ756" s="57" t="n">
        <v>74</v>
      </c>
      <c r="BK756" s="56" t="n">
        <v>-0.269999999999946</v>
      </c>
      <c r="BL756" s="57" t="n">
        <v>393</v>
      </c>
      <c r="BM756" s="55"/>
      <c r="BN756" s="60" t="n">
        <v>0</v>
      </c>
      <c r="BO756" s="60" t="n">
        <v>756</v>
      </c>
      <c r="BP756" s="55" t="str">
        <f aca="false">IF(S756&lt;&gt;"",UPPER(TRIM(S756)),IF(O756="","LOSE",O756))</f>
        <v>S41</v>
      </c>
      <c r="BQ756" s="57" t="n">
        <f aca="false">IF(BP756="LOSE",1,IF(N(T756)&gt;0,T756,IF(N(P756)&gt;0,P756,MAX(1,G756))))</f>
        <v>675</v>
      </c>
      <c r="BR756" s="60" t="n">
        <f aca="false">IF(BP756="LOSE",1,0)</f>
        <v>0</v>
      </c>
      <c r="BS756" s="59" t="n">
        <f aca="false">IF(BR756=0,0,IF(N(R756)&gt;0,R756,IFERROR(VLOOKUP(D756,Parameter!$A$35:$C$64,3,0)+0,0)))</f>
        <v>0</v>
      </c>
      <c r="BT756" s="55" t="n">
        <f aca="false">IF(Y756&lt;&gt;"",Y756,X756)</f>
        <v>3</v>
      </c>
      <c r="BU756" s="55" t="str">
        <f aca="false">IF(BT756=1,"L1",IF(OR(BT756=2,BT756=3),"L23",IF(BT756="Aussen","Aussen","-")))</f>
        <v>L23</v>
      </c>
      <c r="BV756" s="66" t="n">
        <f aca="false">IF(N(Z756)&gt;0,Z756,0)</f>
        <v>0</v>
      </c>
      <c r="BW756" s="60" t="n">
        <f aca="false">IF(ISNUMBER(AC756),1,0)</f>
        <v>0</v>
      </c>
      <c r="BX756" s="57" t="n">
        <f aca="false">N(AC756)</f>
        <v>0</v>
      </c>
      <c r="BY756" s="57" t="n">
        <f aca="false">N(L756)+N(M756)</f>
        <v>522</v>
      </c>
      <c r="BZ756" s="57" t="n">
        <f aca="false">ROUNDUP(G756/BQ756,0)</f>
        <v>1</v>
      </c>
      <c r="CA756" s="57" t="n">
        <f aca="false">ROUNDUP(BX756/BQ756,0)</f>
        <v>0</v>
      </c>
      <c r="CB756" s="60" t="n">
        <f aca="false">IF(BR756=1,0,IFERROR(VLOOKUP(BP756,'Gebinde-Kategorie'!$A$5:$M$45,5,0)+0,0))</f>
        <v>11</v>
      </c>
      <c r="CC756" s="60" t="n">
        <f aca="false">IFERROR(IF(OR(BT756=1,BT756=2,BT756=3),N(INDEX(Parameter!$I$5:$I$7,BT756)),0),0)</f>
        <v>0</v>
      </c>
      <c r="CD756" s="59" t="n">
        <f aca="false">IF(AND(Parameter!$B$21="Ja",ISNUMBER(U756),N(V756)&gt;0),IFERROR(N(INDEX(Parameter!$L$5:$L$7,U756))*INDEX(Parameter!$E$5:$E$7,U756)*V756/SUMIFS($V$7:$V$1576,$U$7:$U$1576,U756),0),0)</f>
        <v>0</v>
      </c>
    </row>
    <row r="757" customFormat="false" ht="15" hidden="false" customHeight="false" outlineLevel="0" collapsed="false">
      <c r="A757" s="55" t="s">
        <v>1483</v>
      </c>
      <c r="B757" s="55" t="s">
        <v>395</v>
      </c>
      <c r="C757" s="55" t="s">
        <v>160</v>
      </c>
      <c r="D757" s="55" t="s">
        <v>178</v>
      </c>
      <c r="E757" s="55" t="s">
        <v>210</v>
      </c>
      <c r="F757" s="56" t="n">
        <v>0.1</v>
      </c>
      <c r="G757" s="57" t="n">
        <f aca="false">MAX(0,IF(AND(Parameter!$B$21="Ja",ISNUMBER(W757)),W757,IF(Parameter!$B$20="Jahresanfang 2025 + Export",BJ757+BI757,BI757)))</f>
        <v>0</v>
      </c>
      <c r="H757" s="57" t="n">
        <f aca="false">G757*F757</f>
        <v>0</v>
      </c>
      <c r="I757" s="57" t="n">
        <f aca="false">BL757*Parameter!$B$18</f>
        <v>1</v>
      </c>
      <c r="J757" s="58" t="n">
        <v>366.5</v>
      </c>
      <c r="K757" s="59" t="n">
        <v>0.00272851296043656</v>
      </c>
      <c r="L757" s="57" t="n">
        <v>0</v>
      </c>
      <c r="M757" s="57" t="n">
        <v>1</v>
      </c>
      <c r="N757" s="60" t="n">
        <v>21</v>
      </c>
      <c r="O757" s="55" t="s">
        <v>319</v>
      </c>
      <c r="P757" s="57" t="n">
        <v>381</v>
      </c>
      <c r="Q757" s="60" t="n">
        <f aca="false">IF(BR757=1,0,IFERROR(VLOOKUP(BP757,'Gebinde-Kategorie'!$A$5:$M$45,13,0)+0,0))</f>
        <v>52</v>
      </c>
      <c r="R757" s="61"/>
      <c r="S757" s="62"/>
      <c r="T757" s="62"/>
      <c r="U757" s="55"/>
      <c r="V757" s="57"/>
      <c r="W757" s="57"/>
      <c r="X757" s="55" t="n">
        <f aca="false">IF(A757="","",IF(AND(Parameter!$B$21="Ja",ISNUMBER(U757)),U757,IF(IFERROR(VLOOKUP(D757,Parameter!$A$35:$C$64,2,0),"Nein")="2+3",IF(ISNUMBER(SEARCH("grosser Artikel",BM757)),2,IFERROR(VLOOKUP(BP757,Parameter!$F$35:$G$64,2,0),2)),IF(OR(IFERROR(VLOOKUP(D757,Parameter!$A$35:$C$64,2,0),"Nein")="Nein",IFERROR(VLOOKUP(D757,Parameter!$A$35:$C$64,2,0),"Nein")=""),"-",VLOOKUP(D757,Parameter!$A$35:$C$64,2,0)))))</f>
        <v>3</v>
      </c>
      <c r="Y757" s="62"/>
      <c r="Z757" s="63"/>
      <c r="AA757" s="57" t="n">
        <f aca="false">AP757</f>
        <v>381</v>
      </c>
      <c r="AB757" s="57" t="n">
        <f aca="false">MAX(AP757,G757)</f>
        <v>381</v>
      </c>
      <c r="AC757" s="64"/>
      <c r="AD757" s="57" t="n">
        <f aca="false">IF(LEFT(Cockpit!$C$5,1)="A",G757,IF(BW757=1,BX757,IF(LEFT(Cockpit!$C$5,1)="B",AH757,MAX(AH757,G757))))</f>
        <v>0</v>
      </c>
      <c r="AE757" s="57" t="n">
        <f aca="false">IF(BR757=1,0,ROUNDUP(AD757/BQ757,0))</f>
        <v>0</v>
      </c>
      <c r="AF757" s="59" t="n">
        <f aca="false">IF(CD757&gt;0,CD757*MAX(1,AD757/V757),IF(BR757=1,IF(AD757&lt;=0,0,BS757*MAX(1,IF(G757&gt;0,AD757/G757,1))),IF(Q757&gt;0,AE757/Q757,0))/MAX(0.1,N(Parameter!$M$21)))</f>
        <v>0</v>
      </c>
      <c r="AG757" s="57" t="n">
        <f aca="false">AD757*F757</f>
        <v>0</v>
      </c>
      <c r="AH757" s="57" t="n">
        <f aca="false">ROUNDUP(MAX(I757/IF(BV757&gt;0,BV757,MAX(0.1,N(Cockpit!$C$6))),BY757)/BQ757,0)*BQ757</f>
        <v>381</v>
      </c>
      <c r="AI757" s="58" t="n">
        <f aca="false">IF(AF757&gt;0,I757/AF757,-1)</f>
        <v>-1</v>
      </c>
      <c r="AJ757" s="58" t="str">
        <f aca="false">IF(AND(OR(BU757="L1",BU757="L23"),AF757&gt;0),SUMIFS($AF$7:$AF$1576,$BU$7:$BU$1576,BU757,$AI$7:$AI$1576,"&gt;"&amp;AI757)+SUMIFS($AF$7:$AF$1576,$BU$7:$BU$1576,BU757,$AI$7:$AI$1576,AI757,$BO$7:$BO$1576,"&lt;="&amp;BO757),"")</f>
        <v/>
      </c>
      <c r="AK757" s="65" t="n">
        <f aca="false">IF(AJ757="",0,MAX(0,MIN(1,(IF(BU757="L1",Parameter!$E$5,Parameter!$E$6+Parameter!$E$7)-(AJ757-AF757))/AF757)))</f>
        <v>0</v>
      </c>
      <c r="AL757" s="57" t="n">
        <f aca="false">IF(LEFT(Cockpit!$I$5,1)="A",G757,IF(BW757=1,BX757,IF(LEFT(Cockpit!$I$5,1)="B",AP757,MAX(AP757,G757))))</f>
        <v>381</v>
      </c>
      <c r="AM757" s="57" t="n">
        <f aca="false">IF(BR757=1,0,ROUNDUP(AL757/BQ757,0))</f>
        <v>1</v>
      </c>
      <c r="AN757" s="59" t="n">
        <f aca="false">IF(CD757&gt;0,CD757*MAX(1,AL757/V757),IF(BR757=1,IF(AL757&lt;=0,0,BS757*MAX(1,IF(G757&gt;0,AL757/G757,1))),IF(Q757&gt;0,AM757/Q757,0))/MAX(0.1,N(Parameter!$M$21)))</f>
        <v>0.0192307692307692</v>
      </c>
      <c r="AO757" s="57" t="n">
        <f aca="false">AL757*F757</f>
        <v>38.1</v>
      </c>
      <c r="AP757" s="57" t="n">
        <f aca="false">ROUNDUP(MAX(I757/IF(BV757&gt;0,BV757,MAX(0.1,N(Cockpit!$I$6))),BY757)/BQ757,0)*BQ757</f>
        <v>381</v>
      </c>
      <c r="AQ757" s="58" t="n">
        <f aca="false">IF(AN757&gt;0,I757/AN757,-1)</f>
        <v>52</v>
      </c>
      <c r="AR757" s="58" t="n">
        <f aca="false">IF(AND(OR(BU757="L1",BU757="L23"),AN757&gt;0),SUMIFS($AN$7:$AN$1576,$BU$7:$BU$1576,BU757,$AQ$7:$AQ$1576,"&gt;"&amp;AQ757)+SUMIFS($AN$7:$AN$1576,$BU$7:$BU$1576,BU757,$AQ$7:$AQ$1576,AQ757,$BO$7:$BO$1576,"&lt;="&amp;BO757),"")</f>
        <v>82.1183320245932</v>
      </c>
      <c r="AS757" s="65" t="n">
        <f aca="false">IF(AR757="",0,MAX(0,MIN(1,(IF(BU757="L1",Parameter!$E$5,Parameter!$E$6+Parameter!$E$7)-(AR757-AN757))/AN757)))</f>
        <v>1</v>
      </c>
      <c r="AT757" s="57" t="n">
        <f aca="false">IF(LEFT(Cockpit!$O$5,1)="A",G757,IF(BW757=1,BX757,IF(LEFT(Cockpit!$O$5,1)="B",AX757,MAX(AX757,G757))))</f>
        <v>381</v>
      </c>
      <c r="AU757" s="57" t="n">
        <f aca="false">IF(BR757=1,0,ROUNDUP(AT757/BQ757,0))</f>
        <v>1</v>
      </c>
      <c r="AV757" s="59" t="n">
        <f aca="false">IF(CD757&gt;0,CD757*MAX(1,AT757/V757),IF(BR757=1,IF(AT757&lt;=0,0,BS757*MAX(1,IF(G757&gt;0,AT757/G757,1))),IF(Q757&gt;0,AU757/Q757,0))/MAX(0.1,N(Parameter!$M$21)))</f>
        <v>0.0192307692307692</v>
      </c>
      <c r="AW757" s="57" t="n">
        <f aca="false">AT757*F757</f>
        <v>38.1</v>
      </c>
      <c r="AX757" s="57" t="n">
        <f aca="false">ROUNDUP(MAX(I757/IF(BV757&gt;0,BV757,MAX(0.1,N(Cockpit!$O$6))),BY757)/BQ757,0)*BQ757</f>
        <v>381</v>
      </c>
      <c r="AY757" s="58" t="n">
        <f aca="false">IF(AV757&gt;0,I757/AV757,-1)</f>
        <v>52</v>
      </c>
      <c r="AZ757" s="58" t="n">
        <f aca="false">IF(AND(OR(BU757="L1",BU757="L23"),AV757&gt;0),SUMIFS($AV$7:$AV$1576,$BU$7:$BU$1576,BU757,$AY$7:$AY$1576,"&gt;"&amp;AY757)+SUMIFS($AV$7:$AV$1576,$BU$7:$BU$1576,BU757,$AY$7:$AY$1576,AY757,$BO$7:$BO$1576,"&lt;="&amp;BO757),"")</f>
        <v>78.536215807477</v>
      </c>
      <c r="BA757" s="65" t="n">
        <f aca="false">IF(AZ757="",0,MAX(0,MIN(1,(IF(BU757="L1",Parameter!$E$5,Parameter!$E$6+Parameter!$E$7)-(AZ757-AV757))/AV757)))</f>
        <v>1</v>
      </c>
      <c r="BB757" s="55" t="str">
        <f aca="false">IF(AF757&lt;=0,"",IF(BU757="Aussen","Aussenlager",IF(BU757="-","Nicht im Lift",IF(AK757&gt;=1,"Lift",IF(AK757&lt;=0,"Aussenlager","teilweise")))))</f>
        <v/>
      </c>
      <c r="BC757" s="55" t="str">
        <f aca="false">IF(AN757&lt;=0,"",IF(BU757="Aussen","Aussenlager",IF(BU757="-","Nicht im Lift",IF(AS757&gt;=1,"Lift",IF(AS757&lt;=0,"Aussenlager","teilweise")))))</f>
        <v>Lift</v>
      </c>
      <c r="BD757" s="55" t="str">
        <f aca="false">IF(AV757&lt;=0,"",IF(BU757="Aussen","Aussenlager",IF(BU757="-","Nicht im Lift",IF(BA757&gt;=1,"Lift",IF(BA757&lt;=0,"Aussenlager","teilweise")))))</f>
        <v>Lift</v>
      </c>
      <c r="BE757" s="55" t="str">
        <f aca="false">IF(A757="","",IF(BN757=1,"Neu; ","")&amp;IF(AND(BN757=0,BI757&lt;0),"negativer Bestand (Export "&amp;BI757&amp;"); ","")&amp;IF(I757&lt;=0,"Kein Verbrauch; ","")&amp;IF(CD757&gt;0,"Lift "&amp;U757&amp;" lt. Liftbericht (Fach "&amp;V757&amp;" Stk); ",IF(BR757=1,"Lose – Fläche geschätzt; ",""))&amp;IF(G757&gt;AP757,"Überbestand "&amp;ROUND(G757-AP757,0)&amp;" Stk / CHF "&amp;ROUND((G757-AP757)*F757,0)&amp;"; ","")&amp;IF(AND(BW757=1,BX757&lt;BY757),"MAX &lt; MB+LG; ","")&amp;IF(AND(CC757&gt;0,CB757*10&gt;CC757),"zu hoch für Tablar; ","")&amp;IF(AND(BN757=0,OR(BW757=1,Y757&lt;&gt;"",S757&lt;&gt;"",T757&lt;&gt;"",Z757&lt;&gt;"")),"manuell übersteuert; ","")&amp;IF(AND(BR757=0,Q757=0),"Gebinde unbekannt / Stellmass fehlt; ","")&amp;IF(AND(BR757=0,N(T757)&lt;=0,N(P757)&lt;=0),"Menge pro Gebinde fehlt (Ist = 1 Gebinde); ","")&amp;BM757)</f>
        <v>negativer Bestand (Export -3); Überbestand</v>
      </c>
      <c r="BF757" s="55"/>
      <c r="BG757" s="55"/>
      <c r="BH757" s="62"/>
      <c r="BI757" s="57" t="n">
        <v>-3</v>
      </c>
      <c r="BJ757" s="57" t="n">
        <v>368</v>
      </c>
      <c r="BK757" s="56" t="n">
        <v>-0.3</v>
      </c>
      <c r="BL757" s="57" t="n">
        <v>1</v>
      </c>
      <c r="BM757" s="55" t="s">
        <v>382</v>
      </c>
      <c r="BN757" s="60" t="n">
        <v>0</v>
      </c>
      <c r="BO757" s="60" t="n">
        <v>757</v>
      </c>
      <c r="BP757" s="55" t="str">
        <f aca="false">IF(S757&lt;&gt;"",UPPER(TRIM(S757)),IF(O757="","LOSE",O757))</f>
        <v>S41</v>
      </c>
      <c r="BQ757" s="57" t="n">
        <f aca="false">IF(BP757="LOSE",1,IF(N(T757)&gt;0,T757,IF(N(P757)&gt;0,P757,MAX(1,G757))))</f>
        <v>381</v>
      </c>
      <c r="BR757" s="60" t="n">
        <f aca="false">IF(BP757="LOSE",1,0)</f>
        <v>0</v>
      </c>
      <c r="BS757" s="59" t="n">
        <f aca="false">IF(BR757=0,0,IF(N(R757)&gt;0,R757,IFERROR(VLOOKUP(D757,Parameter!$A$35:$C$64,3,0)+0,0)))</f>
        <v>0</v>
      </c>
      <c r="BT757" s="55" t="n">
        <f aca="false">IF(Y757&lt;&gt;"",Y757,X757)</f>
        <v>3</v>
      </c>
      <c r="BU757" s="55" t="str">
        <f aca="false">IF(BT757=1,"L1",IF(OR(BT757=2,BT757=3),"L23",IF(BT757="Aussen","Aussen","-")))</f>
        <v>L23</v>
      </c>
      <c r="BV757" s="66" t="n">
        <f aca="false">IF(N(Z757)&gt;0,Z757,0)</f>
        <v>0</v>
      </c>
      <c r="BW757" s="60" t="n">
        <f aca="false">IF(ISNUMBER(AC757),1,0)</f>
        <v>0</v>
      </c>
      <c r="BX757" s="57" t="n">
        <f aca="false">N(AC757)</f>
        <v>0</v>
      </c>
      <c r="BY757" s="57" t="n">
        <f aca="false">N(L757)+N(M757)</f>
        <v>1</v>
      </c>
      <c r="BZ757" s="57" t="n">
        <f aca="false">ROUNDUP(G757/BQ757,0)</f>
        <v>0</v>
      </c>
      <c r="CA757" s="57" t="n">
        <f aca="false">ROUNDUP(BX757/BQ757,0)</f>
        <v>0</v>
      </c>
      <c r="CB757" s="60" t="n">
        <f aca="false">IF(BR757=1,0,IFERROR(VLOOKUP(BP757,'Gebinde-Kategorie'!$A$5:$M$45,5,0)+0,0))</f>
        <v>11</v>
      </c>
      <c r="CC757" s="60" t="n">
        <f aca="false">IFERROR(IF(OR(BT757=1,BT757=2,BT757=3),N(INDEX(Parameter!$I$5:$I$7,BT757)),0),0)</f>
        <v>0</v>
      </c>
      <c r="CD757" s="59" t="n">
        <f aca="false">IF(AND(Parameter!$B$21="Ja",ISNUMBER(U757),N(V757)&gt;0),IFERROR(N(INDEX(Parameter!$L$5:$L$7,U757))*INDEX(Parameter!$E$5:$E$7,U757)*V757/SUMIFS($V$7:$V$1576,$U$7:$U$1576,U757),0),0)</f>
        <v>0</v>
      </c>
    </row>
    <row r="758" customFormat="false" ht="15" hidden="false" customHeight="false" outlineLevel="0" collapsed="false">
      <c r="A758" s="55" t="s">
        <v>1484</v>
      </c>
      <c r="B758" s="55" t="s">
        <v>395</v>
      </c>
      <c r="C758" s="55" t="s">
        <v>160</v>
      </c>
      <c r="D758" s="55" t="s">
        <v>178</v>
      </c>
      <c r="E758" s="55" t="s">
        <v>210</v>
      </c>
      <c r="F758" s="56" t="n">
        <v>0.02</v>
      </c>
      <c r="G758" s="57" t="n">
        <f aca="false">MAX(0,IF(AND(Parameter!$B$21="Ja",ISNUMBER(W758)),W758,IF(Parameter!$B$20="Jahresanfang 2025 + Export",BJ758+BI758,BI758)))</f>
        <v>0</v>
      </c>
      <c r="H758" s="57" t="n">
        <f aca="false">G758*F758</f>
        <v>0</v>
      </c>
      <c r="I758" s="57" t="n">
        <f aca="false">BL758*Parameter!$B$18</f>
        <v>12</v>
      </c>
      <c r="J758" s="58" t="n">
        <v>236.5</v>
      </c>
      <c r="K758" s="59" t="n">
        <v>0.0507399577167019</v>
      </c>
      <c r="L758" s="57" t="n">
        <v>0</v>
      </c>
      <c r="M758" s="57" t="n">
        <v>10</v>
      </c>
      <c r="N758" s="60" t="n">
        <v>14</v>
      </c>
      <c r="O758" s="55" t="s">
        <v>465</v>
      </c>
      <c r="P758" s="57" t="n">
        <v>500</v>
      </c>
      <c r="Q758" s="60" t="n">
        <f aca="false">IF(BR758=1,0,IFERROR(VLOOKUP(BP758,'Gebinde-Kategorie'!$A$5:$M$45,13,0)+0,0))</f>
        <v>66</v>
      </c>
      <c r="R758" s="61"/>
      <c r="S758" s="62"/>
      <c r="T758" s="62"/>
      <c r="U758" s="55"/>
      <c r="V758" s="57"/>
      <c r="W758" s="57"/>
      <c r="X758" s="55" t="n">
        <f aca="false">IF(A758="","",IF(AND(Parameter!$B$21="Ja",ISNUMBER(U758)),U758,IF(IFERROR(VLOOKUP(D758,Parameter!$A$35:$C$64,2,0),"Nein")="2+3",IF(ISNUMBER(SEARCH("grosser Artikel",BM758)),2,IFERROR(VLOOKUP(BP758,Parameter!$F$35:$G$64,2,0),2)),IF(OR(IFERROR(VLOOKUP(D758,Parameter!$A$35:$C$64,2,0),"Nein")="Nein",IFERROR(VLOOKUP(D758,Parameter!$A$35:$C$64,2,0),"Nein")=""),"-",VLOOKUP(D758,Parameter!$A$35:$C$64,2,0)))))</f>
        <v>3</v>
      </c>
      <c r="Y758" s="62"/>
      <c r="Z758" s="63"/>
      <c r="AA758" s="57" t="n">
        <f aca="false">AP758</f>
        <v>500</v>
      </c>
      <c r="AB758" s="57" t="n">
        <f aca="false">MAX(AP758,G758)</f>
        <v>500</v>
      </c>
      <c r="AC758" s="64"/>
      <c r="AD758" s="57" t="n">
        <f aca="false">IF(LEFT(Cockpit!$C$5,1)="A",G758,IF(BW758=1,BX758,IF(LEFT(Cockpit!$C$5,1)="B",AH758,MAX(AH758,G758))))</f>
        <v>0</v>
      </c>
      <c r="AE758" s="57" t="n">
        <f aca="false">IF(BR758=1,0,ROUNDUP(AD758/BQ758,0))</f>
        <v>0</v>
      </c>
      <c r="AF758" s="59" t="n">
        <f aca="false">IF(CD758&gt;0,CD758*MAX(1,AD758/V758),IF(BR758=1,IF(AD758&lt;=0,0,BS758*MAX(1,IF(G758&gt;0,AD758/G758,1))),IF(Q758&gt;0,AE758/Q758,0))/MAX(0.1,N(Parameter!$M$21)))</f>
        <v>0</v>
      </c>
      <c r="AG758" s="57" t="n">
        <f aca="false">AD758*F758</f>
        <v>0</v>
      </c>
      <c r="AH758" s="57" t="n">
        <f aca="false">ROUNDUP(MAX(I758/IF(BV758&gt;0,BV758,MAX(0.1,N(Cockpit!$C$6))),BY758)/BQ758,0)*BQ758</f>
        <v>500</v>
      </c>
      <c r="AI758" s="58" t="n">
        <f aca="false">IF(AF758&gt;0,I758/AF758,-1)</f>
        <v>-1</v>
      </c>
      <c r="AJ758" s="58" t="str">
        <f aca="false">IF(AND(OR(BU758="L1",BU758="L23"),AF758&gt;0),SUMIFS($AF$7:$AF$1576,$BU$7:$BU$1576,BU758,$AI$7:$AI$1576,"&gt;"&amp;AI758)+SUMIFS($AF$7:$AF$1576,$BU$7:$BU$1576,BU758,$AI$7:$AI$1576,AI758,$BO$7:$BO$1576,"&lt;="&amp;BO758),"")</f>
        <v/>
      </c>
      <c r="AK758" s="65" t="n">
        <f aca="false">IF(AJ758="",0,MAX(0,MIN(1,(IF(BU758="L1",Parameter!$E$5,Parameter!$E$6+Parameter!$E$7)-(AJ758-AF758))/AF758)))</f>
        <v>0</v>
      </c>
      <c r="AL758" s="57" t="n">
        <f aca="false">IF(LEFT(Cockpit!$I$5,1)="A",G758,IF(BW758=1,BX758,IF(LEFT(Cockpit!$I$5,1)="B",AP758,MAX(AP758,G758))))</f>
        <v>500</v>
      </c>
      <c r="AM758" s="57" t="n">
        <f aca="false">IF(BR758=1,0,ROUNDUP(AL758/BQ758,0))</f>
        <v>1</v>
      </c>
      <c r="AN758" s="59" t="n">
        <f aca="false">IF(CD758&gt;0,CD758*MAX(1,AL758/V758),IF(BR758=1,IF(AL758&lt;=0,0,BS758*MAX(1,IF(G758&gt;0,AL758/G758,1))),IF(Q758&gt;0,AM758/Q758,0))/MAX(0.1,N(Parameter!$M$21)))</f>
        <v>0.0151515151515152</v>
      </c>
      <c r="AO758" s="57" t="n">
        <f aca="false">AL758*F758</f>
        <v>10</v>
      </c>
      <c r="AP758" s="57" t="n">
        <f aca="false">ROUNDUP(MAX(I758/IF(BV758&gt;0,BV758,MAX(0.1,N(Cockpit!$I$6))),BY758)/BQ758,0)*BQ758</f>
        <v>500</v>
      </c>
      <c r="AQ758" s="58" t="n">
        <f aca="false">IF(AN758&gt;0,I758/AN758,-1)</f>
        <v>792</v>
      </c>
      <c r="AR758" s="58" t="n">
        <f aca="false">IF(AND(OR(BU758="L1",BU758="L23"),AN758&gt;0),SUMIFS($AN$7:$AN$1576,$BU$7:$BU$1576,BU758,$AQ$7:$AQ$1576,"&gt;"&amp;AQ758)+SUMIFS($AN$7:$AN$1576,$BU$7:$BU$1576,BU758,$AQ$7:$AQ$1576,AQ758,$BO$7:$BO$1576,"&lt;="&amp;BO758),"")</f>
        <v>26.2074260646111</v>
      </c>
      <c r="AS758" s="65" t="n">
        <f aca="false">IF(AR758="",0,MAX(0,MIN(1,(IF(BU758="L1",Parameter!$E$5,Parameter!$E$6+Parameter!$E$7)-(AR758-AN758))/AN758)))</f>
        <v>1</v>
      </c>
      <c r="AT758" s="57" t="n">
        <f aca="false">IF(LEFT(Cockpit!$O$5,1)="A",G758,IF(BW758=1,BX758,IF(LEFT(Cockpit!$O$5,1)="B",AX758,MAX(AX758,G758))))</f>
        <v>500</v>
      </c>
      <c r="AU758" s="57" t="n">
        <f aca="false">IF(BR758=1,0,ROUNDUP(AT758/BQ758,0))</f>
        <v>1</v>
      </c>
      <c r="AV758" s="59" t="n">
        <f aca="false">IF(CD758&gt;0,CD758*MAX(1,AT758/V758),IF(BR758=1,IF(AT758&lt;=0,0,BS758*MAX(1,IF(G758&gt;0,AT758/G758,1))),IF(Q758&gt;0,AU758/Q758,0))/MAX(0.1,N(Parameter!$M$21)))</f>
        <v>0.0151515151515152</v>
      </c>
      <c r="AW758" s="57" t="n">
        <f aca="false">AT758*F758</f>
        <v>10</v>
      </c>
      <c r="AX758" s="57" t="n">
        <f aca="false">ROUNDUP(MAX(I758/IF(BV758&gt;0,BV758,MAX(0.1,N(Cockpit!$O$6))),BY758)/BQ758,0)*BQ758</f>
        <v>500</v>
      </c>
      <c r="AY758" s="58" t="n">
        <f aca="false">IF(AV758&gt;0,I758/AV758,-1)</f>
        <v>792</v>
      </c>
      <c r="AZ758" s="58" t="n">
        <f aca="false">IF(AND(OR(BU758="L1",BU758="L23"),AV758&gt;0),SUMIFS($AV$7:$AV$1576,$BU$7:$BU$1576,BU758,$AY$7:$AY$1576,"&gt;"&amp;AY758)+SUMIFS($AV$7:$AV$1576,$BU$7:$BU$1576,BU758,$AY$7:$AY$1576,AY758,$BO$7:$BO$1576,"&lt;="&amp;BO758),"")</f>
        <v>26.1077757149608</v>
      </c>
      <c r="BA758" s="65" t="n">
        <f aca="false">IF(AZ758="",0,MAX(0,MIN(1,(IF(BU758="L1",Parameter!$E$5,Parameter!$E$6+Parameter!$E$7)-(AZ758-AV758))/AV758)))</f>
        <v>1</v>
      </c>
      <c r="BB758" s="55" t="str">
        <f aca="false">IF(AF758&lt;=0,"",IF(BU758="Aussen","Aussenlager",IF(BU758="-","Nicht im Lift",IF(AK758&gt;=1,"Lift",IF(AK758&lt;=0,"Aussenlager","teilweise")))))</f>
        <v/>
      </c>
      <c r="BC758" s="55" t="str">
        <f aca="false">IF(AN758&lt;=0,"",IF(BU758="Aussen","Aussenlager",IF(BU758="-","Nicht im Lift",IF(AS758&gt;=1,"Lift",IF(AS758&lt;=0,"Aussenlager","teilweise")))))</f>
        <v>Lift</v>
      </c>
      <c r="BD758" s="55" t="str">
        <f aca="false">IF(AV758&lt;=0,"",IF(BU758="Aussen","Aussenlager",IF(BU758="-","Nicht im Lift",IF(BA758&gt;=1,"Lift",IF(BA758&lt;=0,"Aussenlager","teilweise")))))</f>
        <v>Lift</v>
      </c>
      <c r="BE758" s="55" t="str">
        <f aca="false">IF(A758="","",IF(BN758=1,"Neu; ","")&amp;IF(AND(BN758=0,BI758&lt;0),"negativer Bestand (Export "&amp;BI758&amp;"); ","")&amp;IF(I758&lt;=0,"Kein Verbrauch; ","")&amp;IF(CD758&gt;0,"Lift "&amp;U758&amp;" lt. Liftbericht (Fach "&amp;V758&amp;" Stk); ",IF(BR758=1,"Lose – Fläche geschätzt; ",""))&amp;IF(G758&gt;AP758,"Überbestand "&amp;ROUND(G758-AP758,0)&amp;" Stk / CHF "&amp;ROUND((G758-AP758)*F758,0)&amp;"; ","")&amp;IF(AND(BW758=1,BX758&lt;BY758),"MAX &lt; MB+LG; ","")&amp;IF(AND(CC758&gt;0,CB758*10&gt;CC758),"zu hoch für Tablar; ","")&amp;IF(AND(BN758=0,OR(BW758=1,Y758&lt;&gt;"",S758&lt;&gt;"",T758&lt;&gt;"",Z758&lt;&gt;"")),"manuell übersteuert; ","")&amp;IF(AND(BR758=0,Q758=0),"Gebinde unbekannt / Stellmass fehlt; ","")&amp;IF(AND(BR758=0,N(T758)&lt;=0,N(P758)&lt;=0),"Menge pro Gebinde fehlt (Ist = 1 Gebinde); ","")&amp;BM758)</f>
        <v>negativer Bestand (Export -19); Neu</v>
      </c>
      <c r="BF758" s="55"/>
      <c r="BG758" s="55"/>
      <c r="BH758" s="62"/>
      <c r="BI758" s="57" t="n">
        <v>-19</v>
      </c>
      <c r="BJ758" s="57" t="n">
        <v>246</v>
      </c>
      <c r="BK758" s="56" t="n">
        <v>-0.38</v>
      </c>
      <c r="BL758" s="57" t="n">
        <v>12</v>
      </c>
      <c r="BM758" s="55" t="s">
        <v>615</v>
      </c>
      <c r="BN758" s="60" t="n">
        <v>0</v>
      </c>
      <c r="BO758" s="60" t="n">
        <v>758</v>
      </c>
      <c r="BP758" s="55" t="str">
        <f aca="false">IF(S758&lt;&gt;"",UPPER(TRIM(S758)),IF(O758="","LOSE",O758))</f>
        <v>S33</v>
      </c>
      <c r="BQ758" s="57" t="n">
        <f aca="false">IF(BP758="LOSE",1,IF(N(T758)&gt;0,T758,IF(N(P758)&gt;0,P758,MAX(1,G758))))</f>
        <v>500</v>
      </c>
      <c r="BR758" s="60" t="n">
        <f aca="false">IF(BP758="LOSE",1,0)</f>
        <v>0</v>
      </c>
      <c r="BS758" s="59" t="n">
        <f aca="false">IF(BR758=0,0,IF(N(R758)&gt;0,R758,IFERROR(VLOOKUP(D758,Parameter!$A$35:$C$64,3,0)+0,0)))</f>
        <v>0</v>
      </c>
      <c r="BT758" s="55" t="n">
        <f aca="false">IF(Y758&lt;&gt;"",Y758,X758)</f>
        <v>3</v>
      </c>
      <c r="BU758" s="55" t="str">
        <f aca="false">IF(BT758=1,"L1",IF(OR(BT758=2,BT758=3),"L23",IF(BT758="Aussen","Aussen","-")))</f>
        <v>L23</v>
      </c>
      <c r="BV758" s="66" t="n">
        <f aca="false">IF(N(Z758)&gt;0,Z758,0)</f>
        <v>0</v>
      </c>
      <c r="BW758" s="60" t="n">
        <f aca="false">IF(ISNUMBER(AC758),1,0)</f>
        <v>0</v>
      </c>
      <c r="BX758" s="57" t="n">
        <f aca="false">N(AC758)</f>
        <v>0</v>
      </c>
      <c r="BY758" s="57" t="n">
        <f aca="false">N(L758)+N(M758)</f>
        <v>10</v>
      </c>
      <c r="BZ758" s="57" t="n">
        <f aca="false">ROUNDUP(G758/BQ758,0)</f>
        <v>0</v>
      </c>
      <c r="CA758" s="57" t="n">
        <f aca="false">ROUNDUP(BX758/BQ758,0)</f>
        <v>0</v>
      </c>
      <c r="CB758" s="60" t="n">
        <f aca="false">IF(BR758=1,0,IFERROR(VLOOKUP(BP758,'Gebinde-Kategorie'!$A$5:$M$45,5,0)+0,0))</f>
        <v>8</v>
      </c>
      <c r="CC758" s="60" t="n">
        <f aca="false">IFERROR(IF(OR(BT758=1,BT758=2,BT758=3),N(INDEX(Parameter!$I$5:$I$7,BT758)),0),0)</f>
        <v>0</v>
      </c>
      <c r="CD758" s="59" t="n">
        <f aca="false">IF(AND(Parameter!$B$21="Ja",ISNUMBER(U758),N(V758)&gt;0),IFERROR(N(INDEX(Parameter!$L$5:$L$7,U758))*INDEX(Parameter!$E$5:$E$7,U758)*V758/SUMIFS($V$7:$V$1576,$U$7:$U$1576,U758),0),0)</f>
        <v>0</v>
      </c>
    </row>
    <row r="759" customFormat="false" ht="15" hidden="false" customHeight="false" outlineLevel="0" collapsed="false">
      <c r="A759" s="55" t="s">
        <v>1485</v>
      </c>
      <c r="B759" s="55" t="s">
        <v>395</v>
      </c>
      <c r="C759" s="55" t="s">
        <v>160</v>
      </c>
      <c r="D759" s="55" t="s">
        <v>178</v>
      </c>
      <c r="E759" s="55" t="s">
        <v>210</v>
      </c>
      <c r="F759" s="56" t="n">
        <v>0.03</v>
      </c>
      <c r="G759" s="57" t="n">
        <f aca="false">MAX(0,IF(AND(Parameter!$B$21="Ja",ISNUMBER(W759)),W759,IF(Parameter!$B$20="Jahresanfang 2025 + Export",BJ759+BI759,BI759)))</f>
        <v>0</v>
      </c>
      <c r="H759" s="57" t="n">
        <f aca="false">G759*F759</f>
        <v>0</v>
      </c>
      <c r="I759" s="57" t="n">
        <f aca="false">BL759*Parameter!$B$18</f>
        <v>0</v>
      </c>
      <c r="J759" s="58" t="n">
        <v>220</v>
      </c>
      <c r="K759" s="59" t="n">
        <v>0</v>
      </c>
      <c r="L759" s="57" t="n">
        <v>0</v>
      </c>
      <c r="M759" s="57" t="n">
        <v>1</v>
      </c>
      <c r="N759" s="60" t="n">
        <v>14</v>
      </c>
      <c r="O759" s="55" t="s">
        <v>416</v>
      </c>
      <c r="P759" s="57" t="n">
        <v>259</v>
      </c>
      <c r="Q759" s="60" t="n">
        <f aca="false">IF(BR759=1,0,IFERROR(VLOOKUP(BP759,'Gebinde-Kategorie'!$A$5:$M$45,13,0)+0,0))</f>
        <v>198</v>
      </c>
      <c r="R759" s="61"/>
      <c r="S759" s="62"/>
      <c r="T759" s="62"/>
      <c r="U759" s="55"/>
      <c r="V759" s="57"/>
      <c r="W759" s="57"/>
      <c r="X759" s="55" t="n">
        <f aca="false">IF(A759="","",IF(AND(Parameter!$B$21="Ja",ISNUMBER(U759)),U759,IF(IFERROR(VLOOKUP(D759,Parameter!$A$35:$C$64,2,0),"Nein")="2+3",IF(ISNUMBER(SEARCH("grosser Artikel",BM759)),2,IFERROR(VLOOKUP(BP759,Parameter!$F$35:$G$64,2,0),2)),IF(OR(IFERROR(VLOOKUP(D759,Parameter!$A$35:$C$64,2,0),"Nein")="Nein",IFERROR(VLOOKUP(D759,Parameter!$A$35:$C$64,2,0),"Nein")=""),"-",VLOOKUP(D759,Parameter!$A$35:$C$64,2,0)))))</f>
        <v>3</v>
      </c>
      <c r="Y759" s="62"/>
      <c r="Z759" s="63"/>
      <c r="AA759" s="57" t="n">
        <f aca="false">AP759</f>
        <v>259</v>
      </c>
      <c r="AB759" s="57" t="n">
        <f aca="false">MAX(AP759,G759)</f>
        <v>259</v>
      </c>
      <c r="AC759" s="64"/>
      <c r="AD759" s="57" t="n">
        <f aca="false">IF(LEFT(Cockpit!$C$5,1)="A",G759,IF(BW759=1,BX759,IF(LEFT(Cockpit!$C$5,1)="B",AH759,MAX(AH759,G759))))</f>
        <v>0</v>
      </c>
      <c r="AE759" s="57" t="n">
        <f aca="false">IF(BR759=1,0,ROUNDUP(AD759/BQ759,0))</f>
        <v>0</v>
      </c>
      <c r="AF759" s="59" t="n">
        <f aca="false">IF(CD759&gt;0,CD759*MAX(1,AD759/V759),IF(BR759=1,IF(AD759&lt;=0,0,BS759*MAX(1,IF(G759&gt;0,AD759/G759,1))),IF(Q759&gt;0,AE759/Q759,0))/MAX(0.1,N(Parameter!$M$21)))</f>
        <v>0</v>
      </c>
      <c r="AG759" s="57" t="n">
        <f aca="false">AD759*F759</f>
        <v>0</v>
      </c>
      <c r="AH759" s="57" t="n">
        <f aca="false">ROUNDUP(MAX(I759/IF(BV759&gt;0,BV759,MAX(0.1,N(Cockpit!$C$6))),BY759)/BQ759,0)*BQ759</f>
        <v>259</v>
      </c>
      <c r="AI759" s="58" t="n">
        <f aca="false">IF(AF759&gt;0,I759/AF759,-1)</f>
        <v>-1</v>
      </c>
      <c r="AJ759" s="58" t="str">
        <f aca="false">IF(AND(OR(BU759="L1",BU759="L23"),AF759&gt;0),SUMIFS($AF$7:$AF$1576,$BU$7:$BU$1576,BU759,$AI$7:$AI$1576,"&gt;"&amp;AI759)+SUMIFS($AF$7:$AF$1576,$BU$7:$BU$1576,BU759,$AI$7:$AI$1576,AI759,$BO$7:$BO$1576,"&lt;="&amp;BO759),"")</f>
        <v/>
      </c>
      <c r="AK759" s="65" t="n">
        <f aca="false">IF(AJ759="",0,MAX(0,MIN(1,(IF(BU759="L1",Parameter!$E$5,Parameter!$E$6+Parameter!$E$7)-(AJ759-AF759))/AF759)))</f>
        <v>0</v>
      </c>
      <c r="AL759" s="57" t="n">
        <f aca="false">IF(LEFT(Cockpit!$I$5,1)="A",G759,IF(BW759=1,BX759,IF(LEFT(Cockpit!$I$5,1)="B",AP759,MAX(AP759,G759))))</f>
        <v>259</v>
      </c>
      <c r="AM759" s="57" t="n">
        <f aca="false">IF(BR759=1,0,ROUNDUP(AL759/BQ759,0))</f>
        <v>1</v>
      </c>
      <c r="AN759" s="59" t="n">
        <f aca="false">IF(CD759&gt;0,CD759*MAX(1,AL759/V759),IF(BR759=1,IF(AL759&lt;=0,0,BS759*MAX(1,IF(G759&gt;0,AL759/G759,1))),IF(Q759&gt;0,AM759/Q759,0))/MAX(0.1,N(Parameter!$M$21)))</f>
        <v>0.00505050505050505</v>
      </c>
      <c r="AO759" s="57" t="n">
        <f aca="false">AL759*F759</f>
        <v>7.77</v>
      </c>
      <c r="AP759" s="57" t="n">
        <f aca="false">ROUNDUP(MAX(I759/IF(BV759&gt;0,BV759,MAX(0.1,N(Cockpit!$I$6))),BY759)/BQ759,0)*BQ759</f>
        <v>259</v>
      </c>
      <c r="AQ759" s="58" t="n">
        <f aca="false">IF(AN759&gt;0,I759/AN759,-1)</f>
        <v>0</v>
      </c>
      <c r="AR759" s="58" t="n">
        <f aca="false">IF(AND(OR(BU759="L1",BU759="L23"),AN759&gt;0),SUMIFS($AN$7:$AN$1576,$BU$7:$BU$1576,BU759,$AQ$7:$AQ$1576,"&gt;"&amp;AQ759)+SUMIFS($AN$7:$AN$1576,$BU$7:$BU$1576,BU759,$AQ$7:$AQ$1576,AQ759,$BO$7:$BO$1576,"&lt;="&amp;BO759),"")</f>
        <v>130.469942979773</v>
      </c>
      <c r="AS759" s="65" t="n">
        <f aca="false">IF(AR759="",0,MAX(0,MIN(1,(IF(BU759="L1",Parameter!$E$5,Parameter!$E$6+Parameter!$E$7)-(AR759-AN759))/AN759)))</f>
        <v>0</v>
      </c>
      <c r="AT759" s="57" t="n">
        <f aca="false">IF(LEFT(Cockpit!$O$5,1)="A",G759,IF(BW759=1,BX759,IF(LEFT(Cockpit!$O$5,1)="B",AX759,MAX(AX759,G759))))</f>
        <v>259</v>
      </c>
      <c r="AU759" s="57" t="n">
        <f aca="false">IF(BR759=1,0,ROUNDUP(AT759/BQ759,0))</f>
        <v>1</v>
      </c>
      <c r="AV759" s="59" t="n">
        <f aca="false">IF(CD759&gt;0,CD759*MAX(1,AT759/V759),IF(BR759=1,IF(AT759&lt;=0,0,BS759*MAX(1,IF(G759&gt;0,AT759/G759,1))),IF(Q759&gt;0,AU759/Q759,0))/MAX(0.1,N(Parameter!$M$21)))</f>
        <v>0.00505050505050505</v>
      </c>
      <c r="AW759" s="57" t="n">
        <f aca="false">AT759*F759</f>
        <v>7.77</v>
      </c>
      <c r="AX759" s="57" t="n">
        <f aca="false">ROUNDUP(MAX(I759/IF(BV759&gt;0,BV759,MAX(0.1,N(Cockpit!$O$6))),BY759)/BQ759,0)*BQ759</f>
        <v>259</v>
      </c>
      <c r="AY759" s="58" t="n">
        <f aca="false">IF(AV759&gt;0,I759/AV759,-1)</f>
        <v>0</v>
      </c>
      <c r="AZ759" s="58" t="n">
        <f aca="false">IF(AND(OR(BU759="L1",BU759="L23"),AV759&gt;0),SUMIFS($AV$7:$AV$1576,$BU$7:$BU$1576,BU759,$AY$7:$AY$1576,"&gt;"&amp;AY759)+SUMIFS($AV$7:$AV$1576,$BU$7:$BU$1576,BU759,$AY$7:$AY$1576,AY759,$BO$7:$BO$1576,"&lt;="&amp;BO759),"")</f>
        <v>120.529493429324</v>
      </c>
      <c r="BA759" s="65" t="n">
        <f aca="false">IF(AZ759="",0,MAX(0,MIN(1,(IF(BU759="L1",Parameter!$E$5,Parameter!$E$6+Parameter!$E$7)-(AZ759-AV759))/AV759)))</f>
        <v>0</v>
      </c>
      <c r="BB759" s="55" t="str">
        <f aca="false">IF(AF759&lt;=0,"",IF(BU759="Aussen","Aussenlager",IF(BU759="-","Nicht im Lift",IF(AK759&gt;=1,"Lift",IF(AK759&lt;=0,"Aussenlager","teilweise")))))</f>
        <v/>
      </c>
      <c r="BC759" s="55" t="str">
        <f aca="false">IF(AN759&lt;=0,"",IF(BU759="Aussen","Aussenlager",IF(BU759="-","Nicht im Lift",IF(AS759&gt;=1,"Lift",IF(AS759&lt;=0,"Aussenlager","teilweise")))))</f>
        <v>Aussenlager</v>
      </c>
      <c r="BD759" s="55" t="str">
        <f aca="false">IF(AV759&lt;=0,"",IF(BU759="Aussen","Aussenlager",IF(BU759="-","Nicht im Lift",IF(BA759&gt;=1,"Lift",IF(BA759&lt;=0,"Aussenlager","teilweise")))))</f>
        <v>Aussenlager</v>
      </c>
      <c r="BE759" s="55" t="str">
        <f aca="false">IF(A759="","",IF(BN759=1,"Neu; ","")&amp;IF(AND(BN759=0,BI759&lt;0),"negativer Bestand (Export "&amp;BI759&amp;"); ","")&amp;IF(I759&lt;=0,"Kein Verbrauch; ","")&amp;IF(CD759&gt;0,"Lift "&amp;U759&amp;" lt. Liftbericht (Fach "&amp;V759&amp;" Stk); ",IF(BR759=1,"Lose – Fläche geschätzt; ",""))&amp;IF(G759&gt;AP759,"Überbestand "&amp;ROUND(G759-AP759,0)&amp;" Stk / CHF "&amp;ROUND((G759-AP759)*F759,0)&amp;"; ","")&amp;IF(AND(BW759=1,BX759&lt;BY759),"MAX &lt; MB+LG; ","")&amp;IF(AND(CC759&gt;0,CB759*10&gt;CC759),"zu hoch für Tablar; ","")&amp;IF(AND(BN759=0,OR(BW759=1,Y759&lt;&gt;"",S759&lt;&gt;"",T759&lt;&gt;"",Z759&lt;&gt;"")),"manuell übersteuert; ","")&amp;IF(AND(BR759=0,Q759=0),"Gebinde unbekannt / Stellmass fehlt; ","")&amp;IF(AND(BR759=0,N(T759)&lt;=0,N(P759)&lt;=0),"Menge pro Gebinde fehlt (Ist = 1 Gebinde); ","")&amp;BM759)</f>
        <v>negativer Bestand (Export -20); Kein Verbrauch; Überbestand</v>
      </c>
      <c r="BF759" s="55"/>
      <c r="BG759" s="55"/>
      <c r="BH759" s="62"/>
      <c r="BI759" s="57" t="n">
        <v>-20</v>
      </c>
      <c r="BJ759" s="57" t="n">
        <v>225</v>
      </c>
      <c r="BK759" s="56" t="n">
        <v>-0.6</v>
      </c>
      <c r="BL759" s="57" t="n">
        <v>0</v>
      </c>
      <c r="BM759" s="55" t="s">
        <v>382</v>
      </c>
      <c r="BN759" s="60" t="n">
        <v>0</v>
      </c>
      <c r="BO759" s="60" t="n">
        <v>759</v>
      </c>
      <c r="BP759" s="55" t="str">
        <f aca="false">IF(S759&lt;&gt;"",UPPER(TRIM(S759)),IF(O759="","LOSE",O759))</f>
        <v>S22</v>
      </c>
      <c r="BQ759" s="57" t="n">
        <f aca="false">IF(BP759="LOSE",1,IF(N(T759)&gt;0,T759,IF(N(P759)&gt;0,P759,MAX(1,G759))))</f>
        <v>259</v>
      </c>
      <c r="BR759" s="60" t="n">
        <f aca="false">IF(BP759="LOSE",1,0)</f>
        <v>0</v>
      </c>
      <c r="BS759" s="59" t="n">
        <f aca="false">IF(BR759=0,0,IF(N(R759)&gt;0,R759,IFERROR(VLOOKUP(D759,Parameter!$A$35:$C$64,3,0)+0,0)))</f>
        <v>0</v>
      </c>
      <c r="BT759" s="55" t="n">
        <f aca="false">IF(Y759&lt;&gt;"",Y759,X759)</f>
        <v>3</v>
      </c>
      <c r="BU759" s="55" t="str">
        <f aca="false">IF(BT759=1,"L1",IF(OR(BT759=2,BT759=3),"L23",IF(BT759="Aussen","Aussen","-")))</f>
        <v>L23</v>
      </c>
      <c r="BV759" s="66" t="n">
        <f aca="false">IF(N(Z759)&gt;0,Z759,0)</f>
        <v>0</v>
      </c>
      <c r="BW759" s="60" t="n">
        <f aca="false">IF(ISNUMBER(AC759),1,0)</f>
        <v>0</v>
      </c>
      <c r="BX759" s="57" t="n">
        <f aca="false">N(AC759)</f>
        <v>0</v>
      </c>
      <c r="BY759" s="57" t="n">
        <f aca="false">N(L759)+N(M759)</f>
        <v>1</v>
      </c>
      <c r="BZ759" s="57" t="n">
        <f aca="false">ROUNDUP(G759/BQ759,0)</f>
        <v>0</v>
      </c>
      <c r="CA759" s="57" t="n">
        <f aca="false">ROUNDUP(BX759/BQ759,0)</f>
        <v>0</v>
      </c>
      <c r="CB759" s="60" t="n">
        <f aca="false">IF(BR759=1,0,IFERROR(VLOOKUP(BP759,'Gebinde-Kategorie'!$A$5:$M$45,5,0)+0,0))</f>
        <v>8</v>
      </c>
      <c r="CC759" s="60" t="n">
        <f aca="false">IFERROR(IF(OR(BT759=1,BT759=2,BT759=3),N(INDEX(Parameter!$I$5:$I$7,BT759)),0),0)</f>
        <v>0</v>
      </c>
      <c r="CD759" s="59" t="n">
        <f aca="false">IF(AND(Parameter!$B$21="Ja",ISNUMBER(U759),N(V759)&gt;0),IFERROR(N(INDEX(Parameter!$L$5:$L$7,U759))*INDEX(Parameter!$E$5:$E$7,U759)*V759/SUMIFS($V$7:$V$1576,$U$7:$U$1576,U759),0),0)</f>
        <v>0</v>
      </c>
    </row>
    <row r="760" customFormat="false" ht="15" hidden="false" customHeight="false" outlineLevel="0" collapsed="false">
      <c r="A760" s="55" t="s">
        <v>1486</v>
      </c>
      <c r="B760" s="55" t="s">
        <v>1255</v>
      </c>
      <c r="C760" s="55" t="s">
        <v>160</v>
      </c>
      <c r="D760" s="55" t="s">
        <v>178</v>
      </c>
      <c r="E760" s="55" t="s">
        <v>210</v>
      </c>
      <c r="F760" s="56" t="n">
        <v>0.09</v>
      </c>
      <c r="G760" s="57" t="n">
        <f aca="false">MAX(0,IF(AND(Parameter!$B$21="Ja",ISNUMBER(W760)),W760,IF(Parameter!$B$20="Jahresanfang 2025 + Export",BJ760+BI760,BI760)))</f>
        <v>0</v>
      </c>
      <c r="H760" s="57" t="n">
        <f aca="false">G760*F760</f>
        <v>0</v>
      </c>
      <c r="I760" s="57" t="n">
        <f aca="false">BL760*Parameter!$B$18</f>
        <v>4</v>
      </c>
      <c r="J760" s="58" t="n">
        <v>301.5</v>
      </c>
      <c r="K760" s="59" t="n">
        <v>0.0132669983416252</v>
      </c>
      <c r="L760" s="57" t="n">
        <v>0</v>
      </c>
      <c r="M760" s="57" t="n">
        <v>5</v>
      </c>
      <c r="N760" s="60" t="n">
        <v>21</v>
      </c>
      <c r="O760" s="55" t="s">
        <v>416</v>
      </c>
      <c r="P760" s="57" t="n">
        <v>300</v>
      </c>
      <c r="Q760" s="60" t="n">
        <f aca="false">IF(BR760=1,0,IFERROR(VLOOKUP(BP760,'Gebinde-Kategorie'!$A$5:$M$45,13,0)+0,0))</f>
        <v>198</v>
      </c>
      <c r="R760" s="61"/>
      <c r="S760" s="62"/>
      <c r="T760" s="62"/>
      <c r="U760" s="55"/>
      <c r="V760" s="57"/>
      <c r="W760" s="57"/>
      <c r="X760" s="55" t="n">
        <f aca="false">IF(A760="","",IF(AND(Parameter!$B$21="Ja",ISNUMBER(U760)),U760,IF(IFERROR(VLOOKUP(D760,Parameter!$A$35:$C$64,2,0),"Nein")="2+3",IF(ISNUMBER(SEARCH("grosser Artikel",BM760)),2,IFERROR(VLOOKUP(BP760,Parameter!$F$35:$G$64,2,0),2)),IF(OR(IFERROR(VLOOKUP(D760,Parameter!$A$35:$C$64,2,0),"Nein")="Nein",IFERROR(VLOOKUP(D760,Parameter!$A$35:$C$64,2,0),"Nein")=""),"-",VLOOKUP(D760,Parameter!$A$35:$C$64,2,0)))))</f>
        <v>3</v>
      </c>
      <c r="Y760" s="62"/>
      <c r="Z760" s="63"/>
      <c r="AA760" s="57" t="n">
        <f aca="false">AP760</f>
        <v>300</v>
      </c>
      <c r="AB760" s="57" t="n">
        <f aca="false">MAX(AP760,G760)</f>
        <v>300</v>
      </c>
      <c r="AC760" s="64"/>
      <c r="AD760" s="57" t="n">
        <f aca="false">IF(LEFT(Cockpit!$C$5,1)="A",G760,IF(BW760=1,BX760,IF(LEFT(Cockpit!$C$5,1)="B",AH760,MAX(AH760,G760))))</f>
        <v>0</v>
      </c>
      <c r="AE760" s="57" t="n">
        <f aca="false">IF(BR760=1,0,ROUNDUP(AD760/BQ760,0))</f>
        <v>0</v>
      </c>
      <c r="AF760" s="59" t="n">
        <f aca="false">IF(CD760&gt;0,CD760*MAX(1,AD760/V760),IF(BR760=1,IF(AD760&lt;=0,0,BS760*MAX(1,IF(G760&gt;0,AD760/G760,1))),IF(Q760&gt;0,AE760/Q760,0))/MAX(0.1,N(Parameter!$M$21)))</f>
        <v>0</v>
      </c>
      <c r="AG760" s="57" t="n">
        <f aca="false">AD760*F760</f>
        <v>0</v>
      </c>
      <c r="AH760" s="57" t="n">
        <f aca="false">ROUNDUP(MAX(I760/IF(BV760&gt;0,BV760,MAX(0.1,N(Cockpit!$C$6))),BY760)/BQ760,0)*BQ760</f>
        <v>300</v>
      </c>
      <c r="AI760" s="58" t="n">
        <f aca="false">IF(AF760&gt;0,I760/AF760,-1)</f>
        <v>-1</v>
      </c>
      <c r="AJ760" s="58" t="str">
        <f aca="false">IF(AND(OR(BU760="L1",BU760="L23"),AF760&gt;0),SUMIFS($AF$7:$AF$1576,$BU$7:$BU$1576,BU760,$AI$7:$AI$1576,"&gt;"&amp;AI760)+SUMIFS($AF$7:$AF$1576,$BU$7:$BU$1576,BU760,$AI$7:$AI$1576,AI760,$BO$7:$BO$1576,"&lt;="&amp;BO760),"")</f>
        <v/>
      </c>
      <c r="AK760" s="65" t="n">
        <f aca="false">IF(AJ760="",0,MAX(0,MIN(1,(IF(BU760="L1",Parameter!$E$5,Parameter!$E$6+Parameter!$E$7)-(AJ760-AF760))/AF760)))</f>
        <v>0</v>
      </c>
      <c r="AL760" s="57" t="n">
        <f aca="false">IF(LEFT(Cockpit!$I$5,1)="A",G760,IF(BW760=1,BX760,IF(LEFT(Cockpit!$I$5,1)="B",AP760,MAX(AP760,G760))))</f>
        <v>300</v>
      </c>
      <c r="AM760" s="57" t="n">
        <f aca="false">IF(BR760=1,0,ROUNDUP(AL760/BQ760,0))</f>
        <v>1</v>
      </c>
      <c r="AN760" s="59" t="n">
        <f aca="false">IF(CD760&gt;0,CD760*MAX(1,AL760/V760),IF(BR760=1,IF(AL760&lt;=0,0,BS760*MAX(1,IF(G760&gt;0,AL760/G760,1))),IF(Q760&gt;0,AM760/Q760,0))/MAX(0.1,N(Parameter!$M$21)))</f>
        <v>0.00505050505050505</v>
      </c>
      <c r="AO760" s="57" t="n">
        <f aca="false">AL760*F760</f>
        <v>27</v>
      </c>
      <c r="AP760" s="57" t="n">
        <f aca="false">ROUNDUP(MAX(I760/IF(BV760&gt;0,BV760,MAX(0.1,N(Cockpit!$I$6))),BY760)/BQ760,0)*BQ760</f>
        <v>300</v>
      </c>
      <c r="AQ760" s="58" t="n">
        <f aca="false">IF(AN760&gt;0,I760/AN760,-1)</f>
        <v>792</v>
      </c>
      <c r="AR760" s="58" t="n">
        <f aca="false">IF(AND(OR(BU760="L1",BU760="L23"),AN760&gt;0),SUMIFS($AN$7:$AN$1576,$BU$7:$BU$1576,BU760,$AQ$7:$AQ$1576,"&gt;"&amp;AQ760)+SUMIFS($AN$7:$AN$1576,$BU$7:$BU$1576,BU760,$AQ$7:$AQ$1576,AQ760,$BO$7:$BO$1576,"&lt;="&amp;BO760),"")</f>
        <v>26.2124765696616</v>
      </c>
      <c r="AS760" s="65" t="n">
        <f aca="false">IF(AR760="",0,MAX(0,MIN(1,(IF(BU760="L1",Parameter!$E$5,Parameter!$E$6+Parameter!$E$7)-(AR760-AN760))/AN760)))</f>
        <v>1</v>
      </c>
      <c r="AT760" s="57" t="n">
        <f aca="false">IF(LEFT(Cockpit!$O$5,1)="A",G760,IF(BW760=1,BX760,IF(LEFT(Cockpit!$O$5,1)="B",AX760,MAX(AX760,G760))))</f>
        <v>300</v>
      </c>
      <c r="AU760" s="57" t="n">
        <f aca="false">IF(BR760=1,0,ROUNDUP(AT760/BQ760,0))</f>
        <v>1</v>
      </c>
      <c r="AV760" s="59" t="n">
        <f aca="false">IF(CD760&gt;0,CD760*MAX(1,AT760/V760),IF(BR760=1,IF(AT760&lt;=0,0,BS760*MAX(1,IF(G760&gt;0,AT760/G760,1))),IF(Q760&gt;0,AU760/Q760,0))/MAX(0.1,N(Parameter!$M$21)))</f>
        <v>0.00505050505050505</v>
      </c>
      <c r="AW760" s="57" t="n">
        <f aca="false">AT760*F760</f>
        <v>27</v>
      </c>
      <c r="AX760" s="57" t="n">
        <f aca="false">ROUNDUP(MAX(I760/IF(BV760&gt;0,BV760,MAX(0.1,N(Cockpit!$O$6))),BY760)/BQ760,0)*BQ760</f>
        <v>300</v>
      </c>
      <c r="AY760" s="58" t="n">
        <f aca="false">IF(AV760&gt;0,I760/AV760,-1)</f>
        <v>792</v>
      </c>
      <c r="AZ760" s="58" t="n">
        <f aca="false">IF(AND(OR(BU760="L1",BU760="L23"),AV760&gt;0),SUMIFS($AV$7:$AV$1576,$BU$7:$BU$1576,BU760,$AY$7:$AY$1576,"&gt;"&amp;AY760)+SUMIFS($AV$7:$AV$1576,$BU$7:$BU$1576,BU760,$AY$7:$AY$1576,AY760,$BO$7:$BO$1576,"&lt;="&amp;BO760),"")</f>
        <v>26.1128262200113</v>
      </c>
      <c r="BA760" s="65" t="n">
        <f aca="false">IF(AZ760="",0,MAX(0,MIN(1,(IF(BU760="L1",Parameter!$E$5,Parameter!$E$6+Parameter!$E$7)-(AZ760-AV760))/AV760)))</f>
        <v>1</v>
      </c>
      <c r="BB760" s="55" t="str">
        <f aca="false">IF(AF760&lt;=0,"",IF(BU760="Aussen","Aussenlager",IF(BU760="-","Nicht im Lift",IF(AK760&gt;=1,"Lift",IF(AK760&lt;=0,"Aussenlager","teilweise")))))</f>
        <v/>
      </c>
      <c r="BC760" s="55" t="str">
        <f aca="false">IF(AN760&lt;=0,"",IF(BU760="Aussen","Aussenlager",IF(BU760="-","Nicht im Lift",IF(AS760&gt;=1,"Lift",IF(AS760&lt;=0,"Aussenlager","teilweise")))))</f>
        <v>Lift</v>
      </c>
      <c r="BD760" s="55" t="str">
        <f aca="false">IF(AV760&lt;=0,"",IF(BU760="Aussen","Aussenlager",IF(BU760="-","Nicht im Lift",IF(BA760&gt;=1,"Lift",IF(BA760&lt;=0,"Aussenlager","teilweise")))))</f>
        <v>Lift</v>
      </c>
      <c r="BE760" s="55" t="str">
        <f aca="false">IF(A760="","",IF(BN760=1,"Neu; ","")&amp;IF(AND(BN760=0,BI760&lt;0),"negativer Bestand (Export "&amp;BI760&amp;"); ","")&amp;IF(I760&lt;=0,"Kein Verbrauch; ","")&amp;IF(CD760&gt;0,"Lift "&amp;U760&amp;" lt. Liftbericht (Fach "&amp;V760&amp;" Stk); ",IF(BR760=1,"Lose – Fläche geschätzt; ",""))&amp;IF(G760&gt;AP760,"Überbestand "&amp;ROUND(G760-AP760,0)&amp;" Stk / CHF "&amp;ROUND((G760-AP760)*F760,0)&amp;"; ","")&amp;IF(AND(BW760=1,BX760&lt;BY760),"MAX &lt; MB+LG; ","")&amp;IF(AND(CC760&gt;0,CB760*10&gt;CC760),"zu hoch für Tablar; ","")&amp;IF(AND(BN760=0,OR(BW760=1,Y760&lt;&gt;"",S760&lt;&gt;"",T760&lt;&gt;"",Z760&lt;&gt;"")),"manuell übersteuert; ","")&amp;IF(AND(BR760=0,Q760=0),"Gebinde unbekannt / Stellmass fehlt; ","")&amp;IF(AND(BR760=0,N(T760)&lt;=0,N(P760)&lt;=0),"Menge pro Gebinde fehlt (Ist = 1 Gebinde); ","")&amp;BM760)</f>
        <v>negativer Bestand (Export -7); </v>
      </c>
      <c r="BF760" s="55"/>
      <c r="BG760" s="55"/>
      <c r="BH760" s="62"/>
      <c r="BI760" s="57" t="n">
        <v>-7</v>
      </c>
      <c r="BJ760" s="57" t="n">
        <v>305</v>
      </c>
      <c r="BK760" s="56" t="n">
        <v>-0.63</v>
      </c>
      <c r="BL760" s="57" t="n">
        <v>4</v>
      </c>
      <c r="BM760" s="55"/>
      <c r="BN760" s="60" t="n">
        <v>0</v>
      </c>
      <c r="BO760" s="60" t="n">
        <v>760</v>
      </c>
      <c r="BP760" s="55" t="str">
        <f aca="false">IF(S760&lt;&gt;"",UPPER(TRIM(S760)),IF(O760="","LOSE",O760))</f>
        <v>S22</v>
      </c>
      <c r="BQ760" s="57" t="n">
        <f aca="false">IF(BP760="LOSE",1,IF(N(T760)&gt;0,T760,IF(N(P760)&gt;0,P760,MAX(1,G760))))</f>
        <v>300</v>
      </c>
      <c r="BR760" s="60" t="n">
        <f aca="false">IF(BP760="LOSE",1,0)</f>
        <v>0</v>
      </c>
      <c r="BS760" s="59" t="n">
        <f aca="false">IF(BR760=0,0,IF(N(R760)&gt;0,R760,IFERROR(VLOOKUP(D760,Parameter!$A$35:$C$64,3,0)+0,0)))</f>
        <v>0</v>
      </c>
      <c r="BT760" s="55" t="n">
        <f aca="false">IF(Y760&lt;&gt;"",Y760,X760)</f>
        <v>3</v>
      </c>
      <c r="BU760" s="55" t="str">
        <f aca="false">IF(BT760=1,"L1",IF(OR(BT760=2,BT760=3),"L23",IF(BT760="Aussen","Aussen","-")))</f>
        <v>L23</v>
      </c>
      <c r="BV760" s="66" t="n">
        <f aca="false">IF(N(Z760)&gt;0,Z760,0)</f>
        <v>0</v>
      </c>
      <c r="BW760" s="60" t="n">
        <f aca="false">IF(ISNUMBER(AC760),1,0)</f>
        <v>0</v>
      </c>
      <c r="BX760" s="57" t="n">
        <f aca="false">N(AC760)</f>
        <v>0</v>
      </c>
      <c r="BY760" s="57" t="n">
        <f aca="false">N(L760)+N(M760)</f>
        <v>5</v>
      </c>
      <c r="BZ760" s="57" t="n">
        <f aca="false">ROUNDUP(G760/BQ760,0)</f>
        <v>0</v>
      </c>
      <c r="CA760" s="57" t="n">
        <f aca="false">ROUNDUP(BX760/BQ760,0)</f>
        <v>0</v>
      </c>
      <c r="CB760" s="60" t="n">
        <f aca="false">IF(BR760=1,0,IFERROR(VLOOKUP(BP760,'Gebinde-Kategorie'!$A$5:$M$45,5,0)+0,0))</f>
        <v>8</v>
      </c>
      <c r="CC760" s="60" t="n">
        <f aca="false">IFERROR(IF(OR(BT760=1,BT760=2,BT760=3),N(INDEX(Parameter!$I$5:$I$7,BT760)),0),0)</f>
        <v>0</v>
      </c>
      <c r="CD760" s="59" t="n">
        <f aca="false">IF(AND(Parameter!$B$21="Ja",ISNUMBER(U760),N(V760)&gt;0),IFERROR(N(INDEX(Parameter!$L$5:$L$7,U760))*INDEX(Parameter!$E$5:$E$7,U760)*V760/SUMIFS($V$7:$V$1576,$U$7:$U$1576,U760),0),0)</f>
        <v>0</v>
      </c>
    </row>
    <row r="761" customFormat="false" ht="15" hidden="false" customHeight="false" outlineLevel="0" collapsed="false">
      <c r="A761" s="55" t="s">
        <v>1487</v>
      </c>
      <c r="B761" s="55" t="s">
        <v>1488</v>
      </c>
      <c r="C761" s="55" t="s">
        <v>446</v>
      </c>
      <c r="D761" s="55" t="s">
        <v>168</v>
      </c>
      <c r="E761" s="55" t="s">
        <v>210</v>
      </c>
      <c r="F761" s="56" t="n">
        <v>0.01</v>
      </c>
      <c r="G761" s="57" t="n">
        <f aca="false">MAX(0,IF(AND(Parameter!$B$21="Ja",ISNUMBER(W761)),W761,IF(Parameter!$B$20="Jahresanfang 2025 + Export",BJ761+BI761,BI761)))</f>
        <v>0</v>
      </c>
      <c r="H761" s="57" t="n">
        <f aca="false">G761*F761</f>
        <v>0</v>
      </c>
      <c r="I761" s="57" t="n">
        <f aca="false">BL761*Parameter!$B$18</f>
        <v>35</v>
      </c>
      <c r="J761" s="58" t="n">
        <v>79.5</v>
      </c>
      <c r="K761" s="59" t="n">
        <v>0.440251572327044</v>
      </c>
      <c r="L761" s="57" t="n">
        <v>0</v>
      </c>
      <c r="M761" s="57" t="n">
        <v>105</v>
      </c>
      <c r="N761" s="60" t="n">
        <v>14</v>
      </c>
      <c r="O761" s="55" t="s">
        <v>163</v>
      </c>
      <c r="P761" s="57"/>
      <c r="Q761" s="60" t="n">
        <f aca="false">IF(BR761=1,0,IFERROR(VLOOKUP(BP761,'Gebinde-Kategorie'!$A$5:$M$45,13,0)+0,0))</f>
        <v>0</v>
      </c>
      <c r="R761" s="61"/>
      <c r="S761" s="62"/>
      <c r="T761" s="62"/>
      <c r="U761" s="55"/>
      <c r="V761" s="57"/>
      <c r="W761" s="57"/>
      <c r="X761" s="55" t="n">
        <f aca="false">IF(A761="","",IF(AND(Parameter!$B$21="Ja",ISNUMBER(U761)),U761,IF(IFERROR(VLOOKUP(D761,Parameter!$A$35:$C$64,2,0),"Nein")="2+3",IF(ISNUMBER(SEARCH("grosser Artikel",BM761)),2,IFERROR(VLOOKUP(BP761,Parameter!$F$35:$G$64,2,0),2)),IF(OR(IFERROR(VLOOKUP(D761,Parameter!$A$35:$C$64,2,0),"Nein")="Nein",IFERROR(VLOOKUP(D761,Parameter!$A$35:$C$64,2,0),"Nein")=""),"-",VLOOKUP(D761,Parameter!$A$35:$C$64,2,0)))))</f>
        <v>2</v>
      </c>
      <c r="Y761" s="62"/>
      <c r="Z761" s="63"/>
      <c r="AA761" s="57" t="n">
        <f aca="false">AP761</f>
        <v>105</v>
      </c>
      <c r="AB761" s="57" t="n">
        <f aca="false">MAX(AP761,G761)</f>
        <v>105</v>
      </c>
      <c r="AC761" s="64"/>
      <c r="AD761" s="57" t="n">
        <f aca="false">IF(LEFT(Cockpit!$C$5,1)="A",G761,IF(BW761=1,BX761,IF(LEFT(Cockpit!$C$5,1)="B",AH761,MAX(AH761,G761))))</f>
        <v>0</v>
      </c>
      <c r="AE761" s="57" t="n">
        <f aca="false">IF(BR761=1,0,ROUNDUP(AD761/BQ761,0))</f>
        <v>0</v>
      </c>
      <c r="AF761" s="59" t="n">
        <f aca="false">IF(CD761&gt;0,CD761*MAX(1,AD761/V761),IF(BR761=1,IF(AD761&lt;=0,0,BS761*MAX(1,IF(G761&gt;0,AD761/G761,1))),IF(Q761&gt;0,AE761/Q761,0))/MAX(0.1,N(Parameter!$M$21)))</f>
        <v>0</v>
      </c>
      <c r="AG761" s="57" t="n">
        <f aca="false">AD761*F761</f>
        <v>0</v>
      </c>
      <c r="AH761" s="57" t="n">
        <f aca="false">ROUNDUP(MAX(I761/IF(BV761&gt;0,BV761,MAX(0.1,N(Cockpit!$C$6))),BY761)/BQ761,0)*BQ761</f>
        <v>105</v>
      </c>
      <c r="AI761" s="58" t="n">
        <f aca="false">IF(AF761&gt;0,I761/AF761,-1)</f>
        <v>-1</v>
      </c>
      <c r="AJ761" s="58" t="str">
        <f aca="false">IF(AND(OR(BU761="L1",BU761="L23"),AF761&gt;0),SUMIFS($AF$7:$AF$1576,$BU$7:$BU$1576,BU761,$AI$7:$AI$1576,"&gt;"&amp;AI761)+SUMIFS($AF$7:$AF$1576,$BU$7:$BU$1576,BU761,$AI$7:$AI$1576,AI761,$BO$7:$BO$1576,"&lt;="&amp;BO761),"")</f>
        <v/>
      </c>
      <c r="AK761" s="65" t="n">
        <f aca="false">IF(AJ761="",0,MAX(0,MIN(1,(IF(BU761="L1",Parameter!$E$5,Parameter!$E$6+Parameter!$E$7)-(AJ761-AF761))/AF761)))</f>
        <v>0</v>
      </c>
      <c r="AL761" s="57" t="n">
        <f aca="false">IF(LEFT(Cockpit!$I$5,1)="A",G761,IF(BW761=1,BX761,IF(LEFT(Cockpit!$I$5,1)="B",AP761,MAX(AP761,G761))))</f>
        <v>105</v>
      </c>
      <c r="AM761" s="57" t="n">
        <f aca="false">IF(BR761=1,0,ROUNDUP(AL761/BQ761,0))</f>
        <v>0</v>
      </c>
      <c r="AN761" s="59" t="n">
        <f aca="false">IF(CD761&gt;0,CD761*MAX(1,AL761/V761),IF(BR761=1,IF(AL761&lt;=0,0,BS761*MAX(1,IF(G761&gt;0,AL761/G761,1))),IF(Q761&gt;0,AM761/Q761,0))/MAX(0.1,N(Parameter!$M$21)))</f>
        <v>0.15</v>
      </c>
      <c r="AO761" s="57" t="n">
        <f aca="false">AL761*F761</f>
        <v>1.05</v>
      </c>
      <c r="AP761" s="57" t="n">
        <f aca="false">ROUNDUP(MAX(I761/IF(BV761&gt;0,BV761,MAX(0.1,N(Cockpit!$I$6))),BY761)/BQ761,0)*BQ761</f>
        <v>105</v>
      </c>
      <c r="AQ761" s="58" t="n">
        <f aca="false">IF(AN761&gt;0,I761/AN761,-1)</f>
        <v>233.333333333333</v>
      </c>
      <c r="AR761" s="58" t="n">
        <f aca="false">IF(AND(OR(BU761="L1",BU761="L23"),AN761&gt;0),SUMIFS($AN$7:$AN$1576,$BU$7:$BU$1576,BU761,$AQ$7:$AQ$1576,"&gt;"&amp;AQ761)+SUMIFS($AN$7:$AN$1576,$BU$7:$BU$1576,BU761,$AQ$7:$AQ$1576,AQ761,$BO$7:$BO$1576,"&lt;="&amp;BO761),"")</f>
        <v>47.0093370521743</v>
      </c>
      <c r="AS761" s="65" t="n">
        <f aca="false">IF(AR761="",0,MAX(0,MIN(1,(IF(BU761="L1",Parameter!$E$5,Parameter!$E$6+Parameter!$E$7)-(AR761-AN761))/AN761)))</f>
        <v>1</v>
      </c>
      <c r="AT761" s="57" t="n">
        <f aca="false">IF(LEFT(Cockpit!$O$5,1)="A",G761,IF(BW761=1,BX761,IF(LEFT(Cockpit!$O$5,1)="B",AX761,MAX(AX761,G761))))</f>
        <v>105</v>
      </c>
      <c r="AU761" s="57" t="n">
        <f aca="false">IF(BR761=1,0,ROUNDUP(AT761/BQ761,0))</f>
        <v>0</v>
      </c>
      <c r="AV761" s="59" t="n">
        <f aca="false">IF(CD761&gt;0,CD761*MAX(1,AT761/V761),IF(BR761=1,IF(AT761&lt;=0,0,BS761*MAX(1,IF(G761&gt;0,AT761/G761,1))),IF(Q761&gt;0,AU761/Q761,0))/MAX(0.1,N(Parameter!$M$21)))</f>
        <v>0.15</v>
      </c>
      <c r="AW761" s="57" t="n">
        <f aca="false">AT761*F761</f>
        <v>1.05</v>
      </c>
      <c r="AX761" s="57" t="n">
        <f aca="false">ROUNDUP(MAX(I761/IF(BV761&gt;0,BV761,MAX(0.1,N(Cockpit!$O$6))),BY761)/BQ761,0)*BQ761</f>
        <v>105</v>
      </c>
      <c r="AY761" s="58" t="n">
        <f aca="false">IF(AV761&gt;0,I761/AV761,-1)</f>
        <v>233.333333333333</v>
      </c>
      <c r="AZ761" s="58" t="n">
        <f aca="false">IF(AND(OR(BU761="L1",BU761="L23"),AV761&gt;0),SUMIFS($AV$7:$AV$1576,$BU$7:$BU$1576,BU761,$AY$7:$AY$1576,"&gt;"&amp;AY761)+SUMIFS($AV$7:$AV$1576,$BU$7:$BU$1576,BU761,$AY$7:$AY$1576,AY761,$BO$7:$BO$1576,"&lt;="&amp;BO761),"")</f>
        <v>43.6207489735862</v>
      </c>
      <c r="BA761" s="65" t="n">
        <f aca="false">IF(AZ761="",0,MAX(0,MIN(1,(IF(BU761="L1",Parameter!$E$5,Parameter!$E$6+Parameter!$E$7)-(AZ761-AV761))/AV761)))</f>
        <v>1</v>
      </c>
      <c r="BB761" s="55" t="str">
        <f aca="false">IF(AF761&lt;=0,"",IF(BU761="Aussen","Aussenlager",IF(BU761="-","Nicht im Lift",IF(AK761&gt;=1,"Lift",IF(AK761&lt;=0,"Aussenlager","teilweise")))))</f>
        <v/>
      </c>
      <c r="BC761" s="55" t="str">
        <f aca="false">IF(AN761&lt;=0,"",IF(BU761="Aussen","Aussenlager",IF(BU761="-","Nicht im Lift",IF(AS761&gt;=1,"Lift",IF(AS761&lt;=0,"Aussenlager","teilweise")))))</f>
        <v>Lift</v>
      </c>
      <c r="BD761" s="55" t="str">
        <f aca="false">IF(AV761&lt;=0,"",IF(BU761="Aussen","Aussenlager",IF(BU761="-","Nicht im Lift",IF(BA761&gt;=1,"Lift",IF(BA761&lt;=0,"Aussenlager","teilweise")))))</f>
        <v>Lift</v>
      </c>
      <c r="BE761" s="55" t="str">
        <f aca="false">IF(A761="","",IF(BN761=1,"Neu; ","")&amp;IF(AND(BN761=0,BI761&lt;0),"negativer Bestand (Export "&amp;BI761&amp;"); ","")&amp;IF(I761&lt;=0,"Kein Verbrauch; ","")&amp;IF(CD761&gt;0,"Lift "&amp;U761&amp;" lt. Liftbericht (Fach "&amp;V761&amp;" Stk); ",IF(BR761=1,"Lose – Fläche geschätzt; ",""))&amp;IF(G761&gt;AP761,"Überbestand "&amp;ROUND(G761-AP761,0)&amp;" Stk / CHF "&amp;ROUND((G761-AP761)*F761,0)&amp;"; ","")&amp;IF(AND(BW761=1,BX761&lt;BY761),"MAX &lt; MB+LG; ","")&amp;IF(AND(CC761&gt;0,CB761*10&gt;CC761),"zu hoch für Tablar; ","")&amp;IF(AND(BN761=0,OR(BW761=1,Y761&lt;&gt;"",S761&lt;&gt;"",T761&lt;&gt;"",Z761&lt;&gt;"")),"manuell übersteuert; ","")&amp;IF(AND(BR761=0,Q761=0),"Gebinde unbekannt / Stellmass fehlt; ","")&amp;IF(AND(BR761=0,N(T761)&lt;=0,N(P761)&lt;=0),"Menge pro Gebinde fehlt (Ist = 1 Gebinde); ","")&amp;BM761)</f>
        <v>negativer Bestand (Export -67); Lose – Fläche geschätzt; </v>
      </c>
      <c r="BF761" s="55"/>
      <c r="BG761" s="55"/>
      <c r="BH761" s="62"/>
      <c r="BI761" s="57" t="n">
        <v>-67</v>
      </c>
      <c r="BJ761" s="57" t="n">
        <v>67</v>
      </c>
      <c r="BK761" s="56" t="n">
        <v>-0.67</v>
      </c>
      <c r="BL761" s="57" t="n">
        <v>35</v>
      </c>
      <c r="BM761" s="55"/>
      <c r="BN761" s="60" t="n">
        <v>0</v>
      </c>
      <c r="BO761" s="60" t="n">
        <v>761</v>
      </c>
      <c r="BP761" s="55" t="str">
        <f aca="false">IF(S761&lt;&gt;"",UPPER(TRIM(S761)),IF(O761="","LOSE",O761))</f>
        <v>LOSE</v>
      </c>
      <c r="BQ761" s="57" t="n">
        <f aca="false">IF(BP761="LOSE",1,IF(N(T761)&gt;0,T761,IF(N(P761)&gt;0,P761,MAX(1,G761))))</f>
        <v>1</v>
      </c>
      <c r="BR761" s="60" t="n">
        <f aca="false">IF(BP761="LOSE",1,0)</f>
        <v>1</v>
      </c>
      <c r="BS761" s="59" t="n">
        <f aca="false">IF(BR761=0,0,IF(N(R761)&gt;0,R761,IFERROR(VLOOKUP(D761,Parameter!$A$35:$C$64,3,0)+0,0)))</f>
        <v>0.15</v>
      </c>
      <c r="BT761" s="55" t="n">
        <f aca="false">IF(Y761&lt;&gt;"",Y761,X761)</f>
        <v>2</v>
      </c>
      <c r="BU761" s="55" t="str">
        <f aca="false">IF(BT761=1,"L1",IF(OR(BT761=2,BT761=3),"L23",IF(BT761="Aussen","Aussen","-")))</f>
        <v>L23</v>
      </c>
      <c r="BV761" s="66" t="n">
        <f aca="false">IF(N(Z761)&gt;0,Z761,0)</f>
        <v>0</v>
      </c>
      <c r="BW761" s="60" t="n">
        <f aca="false">IF(ISNUMBER(AC761),1,0)</f>
        <v>0</v>
      </c>
      <c r="BX761" s="57" t="n">
        <f aca="false">N(AC761)</f>
        <v>0</v>
      </c>
      <c r="BY761" s="57" t="n">
        <f aca="false">N(L761)+N(M761)</f>
        <v>105</v>
      </c>
      <c r="BZ761" s="57" t="n">
        <f aca="false">ROUNDUP(G761/BQ761,0)</f>
        <v>0</v>
      </c>
      <c r="CA761" s="57" t="n">
        <f aca="false">ROUNDUP(BX761/BQ761,0)</f>
        <v>0</v>
      </c>
      <c r="CB761" s="60" t="n">
        <f aca="false">IF(BR761=1,0,IFERROR(VLOOKUP(BP761,'Gebinde-Kategorie'!$A$5:$M$45,5,0)+0,0))</f>
        <v>0</v>
      </c>
      <c r="CC761" s="60" t="n">
        <f aca="false">IFERROR(IF(OR(BT761=1,BT761=2,BT761=3),N(INDEX(Parameter!$I$5:$I$7,BT761)),0),0)</f>
        <v>0</v>
      </c>
      <c r="CD761" s="59" t="n">
        <f aca="false">IF(AND(Parameter!$B$21="Ja",ISNUMBER(U761),N(V761)&gt;0),IFERROR(N(INDEX(Parameter!$L$5:$L$7,U761))*INDEX(Parameter!$E$5:$E$7,U761)*V761/SUMIFS($V$7:$V$1576,$U$7:$U$1576,U761),0),0)</f>
        <v>0</v>
      </c>
    </row>
    <row r="762" customFormat="false" ht="15" hidden="false" customHeight="false" outlineLevel="0" collapsed="false">
      <c r="A762" s="55" t="s">
        <v>1489</v>
      </c>
      <c r="B762" s="55" t="s">
        <v>395</v>
      </c>
      <c r="C762" s="55" t="s">
        <v>160</v>
      </c>
      <c r="D762" s="55" t="s">
        <v>178</v>
      </c>
      <c r="E762" s="55" t="s">
        <v>210</v>
      </c>
      <c r="F762" s="56" t="n">
        <v>0.02</v>
      </c>
      <c r="G762" s="57" t="n">
        <f aca="false">MAX(0,IF(AND(Parameter!$B$21="Ja",ISNUMBER(W762)),W762,IF(Parameter!$B$20="Jahresanfang 2025 + Export",BJ762+BI762,BI762)))</f>
        <v>0</v>
      </c>
      <c r="H762" s="57" t="n">
        <f aca="false">G762*F762</f>
        <v>0</v>
      </c>
      <c r="I762" s="57" t="n">
        <f aca="false">BL762*Parameter!$B$18</f>
        <v>16</v>
      </c>
      <c r="J762" s="58" t="n">
        <v>695</v>
      </c>
      <c r="K762" s="59" t="n">
        <v>0.023021582733813</v>
      </c>
      <c r="L762" s="57" t="n">
        <v>0</v>
      </c>
      <c r="M762" s="57" t="n">
        <v>15</v>
      </c>
      <c r="N762" s="60" t="n">
        <v>14</v>
      </c>
      <c r="O762" s="55" t="s">
        <v>465</v>
      </c>
      <c r="P762" s="57" t="n">
        <v>752</v>
      </c>
      <c r="Q762" s="60" t="n">
        <f aca="false">IF(BR762=1,0,IFERROR(VLOOKUP(BP762,'Gebinde-Kategorie'!$A$5:$M$45,13,0)+0,0))</f>
        <v>66</v>
      </c>
      <c r="R762" s="61"/>
      <c r="S762" s="62"/>
      <c r="T762" s="62"/>
      <c r="U762" s="55"/>
      <c r="V762" s="57"/>
      <c r="W762" s="57"/>
      <c r="X762" s="55" t="n">
        <f aca="false">IF(A762="","",IF(AND(Parameter!$B$21="Ja",ISNUMBER(U762)),U762,IF(IFERROR(VLOOKUP(D762,Parameter!$A$35:$C$64,2,0),"Nein")="2+3",IF(ISNUMBER(SEARCH("grosser Artikel",BM762)),2,IFERROR(VLOOKUP(BP762,Parameter!$F$35:$G$64,2,0),2)),IF(OR(IFERROR(VLOOKUP(D762,Parameter!$A$35:$C$64,2,0),"Nein")="Nein",IFERROR(VLOOKUP(D762,Parameter!$A$35:$C$64,2,0),"Nein")=""),"-",VLOOKUP(D762,Parameter!$A$35:$C$64,2,0)))))</f>
        <v>3</v>
      </c>
      <c r="Y762" s="62"/>
      <c r="Z762" s="63"/>
      <c r="AA762" s="57" t="n">
        <f aca="false">AP762</f>
        <v>752</v>
      </c>
      <c r="AB762" s="57" t="n">
        <f aca="false">MAX(AP762,G762)</f>
        <v>752</v>
      </c>
      <c r="AC762" s="64"/>
      <c r="AD762" s="57" t="n">
        <f aca="false">IF(LEFT(Cockpit!$C$5,1)="A",G762,IF(BW762=1,BX762,IF(LEFT(Cockpit!$C$5,1)="B",AH762,MAX(AH762,G762))))</f>
        <v>0</v>
      </c>
      <c r="AE762" s="57" t="n">
        <f aca="false">IF(BR762=1,0,ROUNDUP(AD762/BQ762,0))</f>
        <v>0</v>
      </c>
      <c r="AF762" s="59" t="n">
        <f aca="false">IF(CD762&gt;0,CD762*MAX(1,AD762/V762),IF(BR762=1,IF(AD762&lt;=0,0,BS762*MAX(1,IF(G762&gt;0,AD762/G762,1))),IF(Q762&gt;0,AE762/Q762,0))/MAX(0.1,N(Parameter!$M$21)))</f>
        <v>0</v>
      </c>
      <c r="AG762" s="57" t="n">
        <f aca="false">AD762*F762</f>
        <v>0</v>
      </c>
      <c r="AH762" s="57" t="n">
        <f aca="false">ROUNDUP(MAX(I762/IF(BV762&gt;0,BV762,MAX(0.1,N(Cockpit!$C$6))),BY762)/BQ762,0)*BQ762</f>
        <v>752</v>
      </c>
      <c r="AI762" s="58" t="n">
        <f aca="false">IF(AF762&gt;0,I762/AF762,-1)</f>
        <v>-1</v>
      </c>
      <c r="AJ762" s="58" t="str">
        <f aca="false">IF(AND(OR(BU762="L1",BU762="L23"),AF762&gt;0),SUMIFS($AF$7:$AF$1576,$BU$7:$BU$1576,BU762,$AI$7:$AI$1576,"&gt;"&amp;AI762)+SUMIFS($AF$7:$AF$1576,$BU$7:$BU$1576,BU762,$AI$7:$AI$1576,AI762,$BO$7:$BO$1576,"&lt;="&amp;BO762),"")</f>
        <v/>
      </c>
      <c r="AK762" s="65" t="n">
        <f aca="false">IF(AJ762="",0,MAX(0,MIN(1,(IF(BU762="L1",Parameter!$E$5,Parameter!$E$6+Parameter!$E$7)-(AJ762-AF762))/AF762)))</f>
        <v>0</v>
      </c>
      <c r="AL762" s="57" t="n">
        <f aca="false">IF(LEFT(Cockpit!$I$5,1)="A",G762,IF(BW762=1,BX762,IF(LEFT(Cockpit!$I$5,1)="B",AP762,MAX(AP762,G762))))</f>
        <v>752</v>
      </c>
      <c r="AM762" s="57" t="n">
        <f aca="false">IF(BR762=1,0,ROUNDUP(AL762/BQ762,0))</f>
        <v>1</v>
      </c>
      <c r="AN762" s="59" t="n">
        <f aca="false">IF(CD762&gt;0,CD762*MAX(1,AL762/V762),IF(BR762=1,IF(AL762&lt;=0,0,BS762*MAX(1,IF(G762&gt;0,AL762/G762,1))),IF(Q762&gt;0,AM762/Q762,0))/MAX(0.1,N(Parameter!$M$21)))</f>
        <v>0.0151515151515152</v>
      </c>
      <c r="AO762" s="57" t="n">
        <f aca="false">AL762*F762</f>
        <v>15.04</v>
      </c>
      <c r="AP762" s="57" t="n">
        <f aca="false">ROUNDUP(MAX(I762/IF(BV762&gt;0,BV762,MAX(0.1,N(Cockpit!$I$6))),BY762)/BQ762,0)*BQ762</f>
        <v>752</v>
      </c>
      <c r="AQ762" s="58" t="n">
        <f aca="false">IF(AN762&gt;0,I762/AN762,-1)</f>
        <v>1056</v>
      </c>
      <c r="AR762" s="58" t="n">
        <f aca="false">IF(AND(OR(BU762="L1",BU762="L23"),AN762&gt;0),SUMIFS($AN$7:$AN$1576,$BU$7:$BU$1576,BU762,$AQ$7:$AQ$1576,"&gt;"&amp;AQ762)+SUMIFS($AN$7:$AN$1576,$BU$7:$BU$1576,BU762,$AQ$7:$AQ$1576,AQ762,$BO$7:$BO$1576,"&lt;="&amp;BO762),"")</f>
        <v>22.427141276935</v>
      </c>
      <c r="AS762" s="65" t="n">
        <f aca="false">IF(AR762="",0,MAX(0,MIN(1,(IF(BU762="L1",Parameter!$E$5,Parameter!$E$6+Parameter!$E$7)-(AR762-AN762))/AN762)))</f>
        <v>1</v>
      </c>
      <c r="AT762" s="57" t="n">
        <f aca="false">IF(LEFT(Cockpit!$O$5,1)="A",G762,IF(BW762=1,BX762,IF(LEFT(Cockpit!$O$5,1)="B",AX762,MAX(AX762,G762))))</f>
        <v>752</v>
      </c>
      <c r="AU762" s="57" t="n">
        <f aca="false">IF(BR762=1,0,ROUNDUP(AT762/BQ762,0))</f>
        <v>1</v>
      </c>
      <c r="AV762" s="59" t="n">
        <f aca="false">IF(CD762&gt;0,CD762*MAX(1,AT762/V762),IF(BR762=1,IF(AT762&lt;=0,0,BS762*MAX(1,IF(G762&gt;0,AT762/G762,1))),IF(Q762&gt;0,AU762/Q762,0))/MAX(0.1,N(Parameter!$M$21)))</f>
        <v>0.0151515151515152</v>
      </c>
      <c r="AW762" s="57" t="n">
        <f aca="false">AT762*F762</f>
        <v>15.04</v>
      </c>
      <c r="AX762" s="57" t="n">
        <f aca="false">ROUNDUP(MAX(I762/IF(BV762&gt;0,BV762,MAX(0.1,N(Cockpit!$O$6))),BY762)/BQ762,0)*BQ762</f>
        <v>752</v>
      </c>
      <c r="AY762" s="58" t="n">
        <f aca="false">IF(AV762&gt;0,I762/AV762,-1)</f>
        <v>1056</v>
      </c>
      <c r="AZ762" s="58" t="n">
        <f aca="false">IF(AND(OR(BU762="L1",BU762="L23"),AV762&gt;0),SUMIFS($AV$7:$AV$1576,$BU$7:$BU$1576,BU762,$AY$7:$AY$1576,"&gt;"&amp;AY762)+SUMIFS($AV$7:$AV$1576,$BU$7:$BU$1576,BU762,$AY$7:$AY$1576,AY762,$BO$7:$BO$1576,"&lt;="&amp;BO762),"")</f>
        <v>21.7377473375411</v>
      </c>
      <c r="BA762" s="65" t="n">
        <f aca="false">IF(AZ762="",0,MAX(0,MIN(1,(IF(BU762="L1",Parameter!$E$5,Parameter!$E$6+Parameter!$E$7)-(AZ762-AV762))/AV762)))</f>
        <v>1</v>
      </c>
      <c r="BB762" s="55" t="str">
        <f aca="false">IF(AF762&lt;=0,"",IF(BU762="Aussen","Aussenlager",IF(BU762="-","Nicht im Lift",IF(AK762&gt;=1,"Lift",IF(AK762&lt;=0,"Aussenlager","teilweise")))))</f>
        <v/>
      </c>
      <c r="BC762" s="55" t="str">
        <f aca="false">IF(AN762&lt;=0,"",IF(BU762="Aussen","Aussenlager",IF(BU762="-","Nicht im Lift",IF(AS762&gt;=1,"Lift",IF(AS762&lt;=0,"Aussenlager","teilweise")))))</f>
        <v>Lift</v>
      </c>
      <c r="BD762" s="55" t="str">
        <f aca="false">IF(AV762&lt;=0,"",IF(BU762="Aussen","Aussenlager",IF(BU762="-","Nicht im Lift",IF(BA762&gt;=1,"Lift",IF(BA762&lt;=0,"Aussenlager","teilweise")))))</f>
        <v>Lift</v>
      </c>
      <c r="BE762" s="55" t="str">
        <f aca="false">IF(A762="","",IF(BN762=1,"Neu; ","")&amp;IF(AND(BN762=0,BI762&lt;0),"negativer Bestand (Export "&amp;BI762&amp;"); ","")&amp;IF(I762&lt;=0,"Kein Verbrauch; ","")&amp;IF(CD762&gt;0,"Lift "&amp;U762&amp;" lt. Liftbericht (Fach "&amp;V762&amp;" Stk); ",IF(BR762=1,"Lose – Fläche geschätzt; ",""))&amp;IF(G762&gt;AP762,"Überbestand "&amp;ROUND(G762-AP762,0)&amp;" Stk / CHF "&amp;ROUND((G762-AP762)*F762,0)&amp;"; ","")&amp;IF(AND(BW762=1,BX762&lt;BY762),"MAX &lt; MB+LG; ","")&amp;IF(AND(CC762&gt;0,CB762*10&gt;CC762),"zu hoch für Tablar; ","")&amp;IF(AND(BN762=0,OR(BW762=1,Y762&lt;&gt;"",S762&lt;&gt;"",T762&lt;&gt;"",Z762&lt;&gt;"")),"manuell übersteuert; ","")&amp;IF(AND(BR762=0,Q762=0),"Gebinde unbekannt / Stellmass fehlt; ","")&amp;IF(AND(BR762=0,N(T762)&lt;=0,N(P762)&lt;=0),"Menge pro Gebinde fehlt (Ist = 1 Gebinde); ","")&amp;BM762)</f>
        <v>negativer Bestand (Export -34); Überbestand</v>
      </c>
      <c r="BF762" s="55"/>
      <c r="BG762" s="55"/>
      <c r="BH762" s="62"/>
      <c r="BI762" s="57" t="n">
        <v>-34</v>
      </c>
      <c r="BJ762" s="57" t="n">
        <v>704</v>
      </c>
      <c r="BK762" s="56" t="n">
        <v>-0.68</v>
      </c>
      <c r="BL762" s="57" t="n">
        <v>16</v>
      </c>
      <c r="BM762" s="55" t="s">
        <v>382</v>
      </c>
      <c r="BN762" s="60" t="n">
        <v>0</v>
      </c>
      <c r="BO762" s="60" t="n">
        <v>762</v>
      </c>
      <c r="BP762" s="55" t="str">
        <f aca="false">IF(S762&lt;&gt;"",UPPER(TRIM(S762)),IF(O762="","LOSE",O762))</f>
        <v>S33</v>
      </c>
      <c r="BQ762" s="57" t="n">
        <f aca="false">IF(BP762="LOSE",1,IF(N(T762)&gt;0,T762,IF(N(P762)&gt;0,P762,MAX(1,G762))))</f>
        <v>752</v>
      </c>
      <c r="BR762" s="60" t="n">
        <f aca="false">IF(BP762="LOSE",1,0)</f>
        <v>0</v>
      </c>
      <c r="BS762" s="59" t="n">
        <f aca="false">IF(BR762=0,0,IF(N(R762)&gt;0,R762,IFERROR(VLOOKUP(D762,Parameter!$A$35:$C$64,3,0)+0,0)))</f>
        <v>0</v>
      </c>
      <c r="BT762" s="55" t="n">
        <f aca="false">IF(Y762&lt;&gt;"",Y762,X762)</f>
        <v>3</v>
      </c>
      <c r="BU762" s="55" t="str">
        <f aca="false">IF(BT762=1,"L1",IF(OR(BT762=2,BT762=3),"L23",IF(BT762="Aussen","Aussen","-")))</f>
        <v>L23</v>
      </c>
      <c r="BV762" s="66" t="n">
        <f aca="false">IF(N(Z762)&gt;0,Z762,0)</f>
        <v>0</v>
      </c>
      <c r="BW762" s="60" t="n">
        <f aca="false">IF(ISNUMBER(AC762),1,0)</f>
        <v>0</v>
      </c>
      <c r="BX762" s="57" t="n">
        <f aca="false">N(AC762)</f>
        <v>0</v>
      </c>
      <c r="BY762" s="57" t="n">
        <f aca="false">N(L762)+N(M762)</f>
        <v>15</v>
      </c>
      <c r="BZ762" s="57" t="n">
        <f aca="false">ROUNDUP(G762/BQ762,0)</f>
        <v>0</v>
      </c>
      <c r="CA762" s="57" t="n">
        <f aca="false">ROUNDUP(BX762/BQ762,0)</f>
        <v>0</v>
      </c>
      <c r="CB762" s="60" t="n">
        <f aca="false">IF(BR762=1,0,IFERROR(VLOOKUP(BP762,'Gebinde-Kategorie'!$A$5:$M$45,5,0)+0,0))</f>
        <v>8</v>
      </c>
      <c r="CC762" s="60" t="n">
        <f aca="false">IFERROR(IF(OR(BT762=1,BT762=2,BT762=3),N(INDEX(Parameter!$I$5:$I$7,BT762)),0),0)</f>
        <v>0</v>
      </c>
      <c r="CD762" s="59" t="n">
        <f aca="false">IF(AND(Parameter!$B$21="Ja",ISNUMBER(U762),N(V762)&gt;0),IFERROR(N(INDEX(Parameter!$L$5:$L$7,U762))*INDEX(Parameter!$E$5:$E$7,U762)*V762/SUMIFS($V$7:$V$1576,$U$7:$U$1576,U762),0),0)</f>
        <v>0</v>
      </c>
    </row>
    <row r="763" customFormat="false" ht="15" hidden="false" customHeight="false" outlineLevel="0" collapsed="false">
      <c r="A763" s="55" t="s">
        <v>1490</v>
      </c>
      <c r="B763" s="55" t="s">
        <v>395</v>
      </c>
      <c r="C763" s="55" t="s">
        <v>160</v>
      </c>
      <c r="D763" s="55" t="s">
        <v>178</v>
      </c>
      <c r="E763" s="55" t="s">
        <v>210</v>
      </c>
      <c r="F763" s="56" t="n">
        <v>0.03</v>
      </c>
      <c r="G763" s="57" t="n">
        <f aca="false">MAX(0,IF(AND(Parameter!$B$21="Ja",ISNUMBER(W763)),W763,IF(Parameter!$B$20="Jahresanfang 2025 + Export",BJ763+BI763,BI763)))</f>
        <v>0</v>
      </c>
      <c r="H763" s="57" t="n">
        <f aca="false">G763*F763</f>
        <v>0</v>
      </c>
      <c r="I763" s="57" t="n">
        <f aca="false">BL763*Parameter!$B$18</f>
        <v>28</v>
      </c>
      <c r="J763" s="58" t="n">
        <v>213.5</v>
      </c>
      <c r="K763" s="59" t="n">
        <v>0.131147540983607</v>
      </c>
      <c r="L763" s="57" t="n">
        <v>1</v>
      </c>
      <c r="M763" s="57" t="n">
        <v>30</v>
      </c>
      <c r="N763" s="60" t="n">
        <v>14</v>
      </c>
      <c r="O763" s="55" t="s">
        <v>411</v>
      </c>
      <c r="P763" s="57" t="n">
        <v>261</v>
      </c>
      <c r="Q763" s="60" t="n">
        <f aca="false">IF(BR763=1,0,IFERROR(VLOOKUP(BP763,'Gebinde-Kategorie'!$A$5:$M$45,13,0)+0,0))</f>
        <v>132</v>
      </c>
      <c r="R763" s="61"/>
      <c r="S763" s="62"/>
      <c r="T763" s="62"/>
      <c r="U763" s="55"/>
      <c r="V763" s="57"/>
      <c r="W763" s="57"/>
      <c r="X763" s="55" t="n">
        <f aca="false">IF(A763="","",IF(AND(Parameter!$B$21="Ja",ISNUMBER(U763)),U763,IF(IFERROR(VLOOKUP(D763,Parameter!$A$35:$C$64,2,0),"Nein")="2+3",IF(ISNUMBER(SEARCH("grosser Artikel",BM763)),2,IFERROR(VLOOKUP(BP763,Parameter!$F$35:$G$64,2,0),2)),IF(OR(IFERROR(VLOOKUP(D763,Parameter!$A$35:$C$64,2,0),"Nein")="Nein",IFERROR(VLOOKUP(D763,Parameter!$A$35:$C$64,2,0),"Nein")=""),"-",VLOOKUP(D763,Parameter!$A$35:$C$64,2,0)))))</f>
        <v>3</v>
      </c>
      <c r="Y763" s="62"/>
      <c r="Z763" s="63"/>
      <c r="AA763" s="57" t="n">
        <f aca="false">AP763</f>
        <v>261</v>
      </c>
      <c r="AB763" s="57" t="n">
        <f aca="false">MAX(AP763,G763)</f>
        <v>261</v>
      </c>
      <c r="AC763" s="64"/>
      <c r="AD763" s="57" t="n">
        <f aca="false">IF(LEFT(Cockpit!$C$5,1)="A",G763,IF(BW763=1,BX763,IF(LEFT(Cockpit!$C$5,1)="B",AH763,MAX(AH763,G763))))</f>
        <v>0</v>
      </c>
      <c r="AE763" s="57" t="n">
        <f aca="false">IF(BR763=1,0,ROUNDUP(AD763/BQ763,0))</f>
        <v>0</v>
      </c>
      <c r="AF763" s="59" t="n">
        <f aca="false">IF(CD763&gt;0,CD763*MAX(1,AD763/V763),IF(BR763=1,IF(AD763&lt;=0,0,BS763*MAX(1,IF(G763&gt;0,AD763/G763,1))),IF(Q763&gt;0,AE763/Q763,0))/MAX(0.1,N(Parameter!$M$21)))</f>
        <v>0</v>
      </c>
      <c r="AG763" s="57" t="n">
        <f aca="false">AD763*F763</f>
        <v>0</v>
      </c>
      <c r="AH763" s="57" t="n">
        <f aca="false">ROUNDUP(MAX(I763/IF(BV763&gt;0,BV763,MAX(0.1,N(Cockpit!$C$6))),BY763)/BQ763,0)*BQ763</f>
        <v>261</v>
      </c>
      <c r="AI763" s="58" t="n">
        <f aca="false">IF(AF763&gt;0,I763/AF763,-1)</f>
        <v>-1</v>
      </c>
      <c r="AJ763" s="58" t="str">
        <f aca="false">IF(AND(OR(BU763="L1",BU763="L23"),AF763&gt;0),SUMIFS($AF$7:$AF$1576,$BU$7:$BU$1576,BU763,$AI$7:$AI$1576,"&gt;"&amp;AI763)+SUMIFS($AF$7:$AF$1576,$BU$7:$BU$1576,BU763,$AI$7:$AI$1576,AI763,$BO$7:$BO$1576,"&lt;="&amp;BO763),"")</f>
        <v/>
      </c>
      <c r="AK763" s="65" t="n">
        <f aca="false">IF(AJ763="",0,MAX(0,MIN(1,(IF(BU763="L1",Parameter!$E$5,Parameter!$E$6+Parameter!$E$7)-(AJ763-AF763))/AF763)))</f>
        <v>0</v>
      </c>
      <c r="AL763" s="57" t="n">
        <f aca="false">IF(LEFT(Cockpit!$I$5,1)="A",G763,IF(BW763=1,BX763,IF(LEFT(Cockpit!$I$5,1)="B",AP763,MAX(AP763,G763))))</f>
        <v>261</v>
      </c>
      <c r="AM763" s="57" t="n">
        <f aca="false">IF(BR763=1,0,ROUNDUP(AL763/BQ763,0))</f>
        <v>1</v>
      </c>
      <c r="AN763" s="59" t="n">
        <f aca="false">IF(CD763&gt;0,CD763*MAX(1,AL763/V763),IF(BR763=1,IF(AL763&lt;=0,0,BS763*MAX(1,IF(G763&gt;0,AL763/G763,1))),IF(Q763&gt;0,AM763/Q763,0))/MAX(0.1,N(Parameter!$M$21)))</f>
        <v>0.00757575757575758</v>
      </c>
      <c r="AO763" s="57" t="n">
        <f aca="false">AL763*F763</f>
        <v>7.83</v>
      </c>
      <c r="AP763" s="57" t="n">
        <f aca="false">ROUNDUP(MAX(I763/IF(BV763&gt;0,BV763,MAX(0.1,N(Cockpit!$I$6))),BY763)/BQ763,0)*BQ763</f>
        <v>261</v>
      </c>
      <c r="AQ763" s="58" t="n">
        <f aca="false">IF(AN763&gt;0,I763/AN763,-1)</f>
        <v>3696</v>
      </c>
      <c r="AR763" s="58" t="n">
        <f aca="false">IF(AND(OR(BU763="L1",BU763="L23"),AN763&gt;0),SUMIFS($AN$7:$AN$1576,$BU$7:$BU$1576,BU763,$AQ$7:$AQ$1576,"&gt;"&amp;AQ763)+SUMIFS($AN$7:$AN$1576,$BU$7:$BU$1576,BU763,$AQ$7:$AQ$1576,AQ763,$BO$7:$BO$1576,"&lt;="&amp;BO763),"")</f>
        <v>13.3418928178102</v>
      </c>
      <c r="AS763" s="65" t="n">
        <f aca="false">IF(AR763="",0,MAX(0,MIN(1,(IF(BU763="L1",Parameter!$E$5,Parameter!$E$6+Parameter!$E$7)-(AR763-AN763))/AN763)))</f>
        <v>1</v>
      </c>
      <c r="AT763" s="57" t="n">
        <f aca="false">IF(LEFT(Cockpit!$O$5,1)="A",G763,IF(BW763=1,BX763,IF(LEFT(Cockpit!$O$5,1)="B",AX763,MAX(AX763,G763))))</f>
        <v>261</v>
      </c>
      <c r="AU763" s="57" t="n">
        <f aca="false">IF(BR763=1,0,ROUNDUP(AT763/BQ763,0))</f>
        <v>1</v>
      </c>
      <c r="AV763" s="59" t="n">
        <f aca="false">IF(CD763&gt;0,CD763*MAX(1,AT763/V763),IF(BR763=1,IF(AT763&lt;=0,0,BS763*MAX(1,IF(G763&gt;0,AT763/G763,1))),IF(Q763&gt;0,AU763/Q763,0))/MAX(0.1,N(Parameter!$M$21)))</f>
        <v>0.00757575757575758</v>
      </c>
      <c r="AW763" s="57" t="n">
        <f aca="false">AT763*F763</f>
        <v>7.83</v>
      </c>
      <c r="AX763" s="57" t="n">
        <f aca="false">ROUNDUP(MAX(I763/IF(BV763&gt;0,BV763,MAX(0.1,N(Cockpit!$O$6))),BY763)/BQ763,0)*BQ763</f>
        <v>261</v>
      </c>
      <c r="AY763" s="58" t="n">
        <f aca="false">IF(AV763&gt;0,I763/AV763,-1)</f>
        <v>3696</v>
      </c>
      <c r="AZ763" s="58" t="n">
        <f aca="false">IF(AND(OR(BU763="L1",BU763="L23"),AV763&gt;0),SUMIFS($AV$7:$AV$1576,$BU$7:$BU$1576,BU763,$AY$7:$AY$1576,"&gt;"&amp;AY763)+SUMIFS($AV$7:$AV$1576,$BU$7:$BU$1576,BU763,$AY$7:$AY$1576,AY763,$BO$7:$BO$1576,"&lt;="&amp;BO763),"")</f>
        <v>12.0627552886727</v>
      </c>
      <c r="BA763" s="65" t="n">
        <f aca="false">IF(AZ763="",0,MAX(0,MIN(1,(IF(BU763="L1",Parameter!$E$5,Parameter!$E$6+Parameter!$E$7)-(AZ763-AV763))/AV763)))</f>
        <v>1</v>
      </c>
      <c r="BB763" s="55" t="str">
        <f aca="false">IF(AF763&lt;=0,"",IF(BU763="Aussen","Aussenlager",IF(BU763="-","Nicht im Lift",IF(AK763&gt;=1,"Lift",IF(AK763&lt;=0,"Aussenlager","teilweise")))))</f>
        <v/>
      </c>
      <c r="BC763" s="55" t="str">
        <f aca="false">IF(AN763&lt;=0,"",IF(BU763="Aussen","Aussenlager",IF(BU763="-","Nicht im Lift",IF(AS763&gt;=1,"Lift",IF(AS763&lt;=0,"Aussenlager","teilweise")))))</f>
        <v>Lift</v>
      </c>
      <c r="BD763" s="55" t="str">
        <f aca="false">IF(AV763&lt;=0,"",IF(BU763="Aussen","Aussenlager",IF(BU763="-","Nicht im Lift",IF(BA763&gt;=1,"Lift",IF(BA763&lt;=0,"Aussenlager","teilweise")))))</f>
        <v>Lift</v>
      </c>
      <c r="BE763" s="55" t="str">
        <f aca="false">IF(A763="","",IF(BN763=1,"Neu; ","")&amp;IF(AND(BN763=0,BI763&lt;0),"negativer Bestand (Export "&amp;BI763&amp;"); ","")&amp;IF(I763&lt;=0,"Kein Verbrauch; ","")&amp;IF(CD763&gt;0,"Lift "&amp;U763&amp;" lt. Liftbericht (Fach "&amp;V763&amp;" Stk); ",IF(BR763=1,"Lose – Fläche geschätzt; ",""))&amp;IF(G763&gt;AP763,"Überbestand "&amp;ROUND(G763-AP763,0)&amp;" Stk / CHF "&amp;ROUND((G763-AP763)*F763,0)&amp;"; ","")&amp;IF(AND(BW763=1,BX763&lt;BY763),"MAX &lt; MB+LG; ","")&amp;IF(AND(CC763&gt;0,CB763*10&gt;CC763),"zu hoch für Tablar; ","")&amp;IF(AND(BN763=0,OR(BW763=1,Y763&lt;&gt;"",S763&lt;&gt;"",T763&lt;&gt;"",Z763&lt;&gt;"")),"manuell übersteuert; ","")&amp;IF(AND(BR763=0,Q763=0),"Gebinde unbekannt / Stellmass fehlt; ","")&amp;IF(AND(BR763=0,N(T763)&lt;=0,N(P763)&lt;=0),"Menge pro Gebinde fehlt (Ist = 1 Gebinde); ","")&amp;BM763)</f>
        <v>negativer Bestand (Export -25); Überbestand</v>
      </c>
      <c r="BF763" s="55"/>
      <c r="BG763" s="55"/>
      <c r="BH763" s="62"/>
      <c r="BI763" s="57" t="n">
        <v>-25</v>
      </c>
      <c r="BJ763" s="57" t="n">
        <v>226</v>
      </c>
      <c r="BK763" s="56" t="n">
        <v>-0.75</v>
      </c>
      <c r="BL763" s="57" t="n">
        <v>28</v>
      </c>
      <c r="BM763" s="55" t="s">
        <v>382</v>
      </c>
      <c r="BN763" s="60" t="n">
        <v>0</v>
      </c>
      <c r="BO763" s="60" t="n">
        <v>763</v>
      </c>
      <c r="BP763" s="55" t="str">
        <f aca="false">IF(S763&lt;&gt;"",UPPER(TRIM(S763)),IF(O763="","LOSE",O763))</f>
        <v>S32</v>
      </c>
      <c r="BQ763" s="57" t="n">
        <f aca="false">IF(BP763="LOSE",1,IF(N(T763)&gt;0,T763,IF(N(P763)&gt;0,P763,MAX(1,G763))))</f>
        <v>261</v>
      </c>
      <c r="BR763" s="60" t="n">
        <f aca="false">IF(BP763="LOSE",1,0)</f>
        <v>0</v>
      </c>
      <c r="BS763" s="59" t="n">
        <f aca="false">IF(BR763=0,0,IF(N(R763)&gt;0,R763,IFERROR(VLOOKUP(D763,Parameter!$A$35:$C$64,3,0)+0,0)))</f>
        <v>0</v>
      </c>
      <c r="BT763" s="55" t="n">
        <f aca="false">IF(Y763&lt;&gt;"",Y763,X763)</f>
        <v>3</v>
      </c>
      <c r="BU763" s="55" t="str">
        <f aca="false">IF(BT763=1,"L1",IF(OR(BT763=2,BT763=3),"L23",IF(BT763="Aussen","Aussen","-")))</f>
        <v>L23</v>
      </c>
      <c r="BV763" s="66" t="n">
        <f aca="false">IF(N(Z763)&gt;0,Z763,0)</f>
        <v>0</v>
      </c>
      <c r="BW763" s="60" t="n">
        <f aca="false">IF(ISNUMBER(AC763),1,0)</f>
        <v>0</v>
      </c>
      <c r="BX763" s="57" t="n">
        <f aca="false">N(AC763)</f>
        <v>0</v>
      </c>
      <c r="BY763" s="57" t="n">
        <f aca="false">N(L763)+N(M763)</f>
        <v>31</v>
      </c>
      <c r="BZ763" s="57" t="n">
        <f aca="false">ROUNDUP(G763/BQ763,0)</f>
        <v>0</v>
      </c>
      <c r="CA763" s="57" t="n">
        <f aca="false">ROUNDUP(BX763/BQ763,0)</f>
        <v>0</v>
      </c>
      <c r="CB763" s="60" t="n">
        <f aca="false">IF(BR763=1,0,IFERROR(VLOOKUP(BP763,'Gebinde-Kategorie'!$A$5:$M$45,5,0)+0,0))</f>
        <v>8</v>
      </c>
      <c r="CC763" s="60" t="n">
        <f aca="false">IFERROR(IF(OR(BT763=1,BT763=2,BT763=3),N(INDEX(Parameter!$I$5:$I$7,BT763)),0),0)</f>
        <v>0</v>
      </c>
      <c r="CD763" s="59" t="n">
        <f aca="false">IF(AND(Parameter!$B$21="Ja",ISNUMBER(U763),N(V763)&gt;0),IFERROR(N(INDEX(Parameter!$L$5:$L$7,U763))*INDEX(Parameter!$E$5:$E$7,U763)*V763/SUMIFS($V$7:$V$1576,$U$7:$U$1576,U763),0),0)</f>
        <v>0</v>
      </c>
    </row>
    <row r="764" customFormat="false" ht="15" hidden="false" customHeight="false" outlineLevel="0" collapsed="false">
      <c r="A764" s="55" t="s">
        <v>1491</v>
      </c>
      <c r="B764" s="55" t="s">
        <v>1492</v>
      </c>
      <c r="C764" s="55" t="s">
        <v>160</v>
      </c>
      <c r="D764" s="55" t="s">
        <v>168</v>
      </c>
      <c r="E764" s="55" t="s">
        <v>210</v>
      </c>
      <c r="F764" s="56" t="n">
        <v>1.03</v>
      </c>
      <c r="G764" s="57" t="n">
        <f aca="false">MAX(0,IF(AND(Parameter!$B$21="Ja",ISNUMBER(W764)),W764,IF(Parameter!$B$20="Jahresanfang 2025 + Export",BJ764+BI764,BI764)))</f>
        <v>0</v>
      </c>
      <c r="H764" s="57" t="n">
        <f aca="false">G764*F764</f>
        <v>0</v>
      </c>
      <c r="I764" s="57" t="n">
        <f aca="false">BL764*Parameter!$B$18</f>
        <v>0.8</v>
      </c>
      <c r="J764" s="58" t="n">
        <v>103.8</v>
      </c>
      <c r="K764" s="59" t="n">
        <v>0.00770712909441234</v>
      </c>
      <c r="L764" s="57" t="n">
        <v>0</v>
      </c>
      <c r="M764" s="57" t="n">
        <v>1</v>
      </c>
      <c r="N764" s="60" t="n">
        <v>21</v>
      </c>
      <c r="O764" s="55" t="s">
        <v>225</v>
      </c>
      <c r="P764" s="57" t="n">
        <v>30</v>
      </c>
      <c r="Q764" s="60" t="n">
        <f aca="false">IF(BR764=1,0,IFERROR(VLOOKUP(BP764,'Gebinde-Kategorie'!$A$5:$M$45,13,0)+0,0))</f>
        <v>26</v>
      </c>
      <c r="R764" s="61"/>
      <c r="S764" s="62"/>
      <c r="T764" s="62"/>
      <c r="U764" s="55"/>
      <c r="V764" s="57"/>
      <c r="W764" s="57"/>
      <c r="X764" s="55" t="n">
        <f aca="false">IF(A764="","",IF(AND(Parameter!$B$21="Ja",ISNUMBER(U764)),U764,IF(IFERROR(VLOOKUP(D764,Parameter!$A$35:$C$64,2,0),"Nein")="2+3",IF(ISNUMBER(SEARCH("grosser Artikel",BM764)),2,IFERROR(VLOOKUP(BP764,Parameter!$F$35:$G$64,2,0),2)),IF(OR(IFERROR(VLOOKUP(D764,Parameter!$A$35:$C$64,2,0),"Nein")="Nein",IFERROR(VLOOKUP(D764,Parameter!$A$35:$C$64,2,0),"Nein")=""),"-",VLOOKUP(D764,Parameter!$A$35:$C$64,2,0)))))</f>
        <v>3</v>
      </c>
      <c r="Y764" s="62"/>
      <c r="Z764" s="63"/>
      <c r="AA764" s="57" t="n">
        <f aca="false">AP764</f>
        <v>30</v>
      </c>
      <c r="AB764" s="57" t="n">
        <f aca="false">MAX(AP764,G764)</f>
        <v>30</v>
      </c>
      <c r="AC764" s="64"/>
      <c r="AD764" s="57" t="n">
        <f aca="false">IF(LEFT(Cockpit!$C$5,1)="A",G764,IF(BW764=1,BX764,IF(LEFT(Cockpit!$C$5,1)="B",AH764,MAX(AH764,G764))))</f>
        <v>0</v>
      </c>
      <c r="AE764" s="57" t="n">
        <f aca="false">IF(BR764=1,0,ROUNDUP(AD764/BQ764,0))</f>
        <v>0</v>
      </c>
      <c r="AF764" s="59" t="n">
        <f aca="false">IF(CD764&gt;0,CD764*MAX(1,AD764/V764),IF(BR764=1,IF(AD764&lt;=0,0,BS764*MAX(1,IF(G764&gt;0,AD764/G764,1))),IF(Q764&gt;0,AE764/Q764,0))/MAX(0.1,N(Parameter!$M$21)))</f>
        <v>0</v>
      </c>
      <c r="AG764" s="57" t="n">
        <f aca="false">AD764*F764</f>
        <v>0</v>
      </c>
      <c r="AH764" s="57" t="n">
        <f aca="false">ROUNDUP(MAX(I764/IF(BV764&gt;0,BV764,MAX(0.1,N(Cockpit!$C$6))),BY764)/BQ764,0)*BQ764</f>
        <v>30</v>
      </c>
      <c r="AI764" s="58" t="n">
        <f aca="false">IF(AF764&gt;0,I764/AF764,-1)</f>
        <v>-1</v>
      </c>
      <c r="AJ764" s="58" t="str">
        <f aca="false">IF(AND(OR(BU764="L1",BU764="L23"),AF764&gt;0),SUMIFS($AF$7:$AF$1576,$BU$7:$BU$1576,BU764,$AI$7:$AI$1576,"&gt;"&amp;AI764)+SUMIFS($AF$7:$AF$1576,$BU$7:$BU$1576,BU764,$AI$7:$AI$1576,AI764,$BO$7:$BO$1576,"&lt;="&amp;BO764),"")</f>
        <v/>
      </c>
      <c r="AK764" s="65" t="n">
        <f aca="false">IF(AJ764="",0,MAX(0,MIN(1,(IF(BU764="L1",Parameter!$E$5,Parameter!$E$6+Parameter!$E$7)-(AJ764-AF764))/AF764)))</f>
        <v>0</v>
      </c>
      <c r="AL764" s="57" t="n">
        <f aca="false">IF(LEFT(Cockpit!$I$5,1)="A",G764,IF(BW764=1,BX764,IF(LEFT(Cockpit!$I$5,1)="B",AP764,MAX(AP764,G764))))</f>
        <v>30</v>
      </c>
      <c r="AM764" s="57" t="n">
        <f aca="false">IF(BR764=1,0,ROUNDUP(AL764/BQ764,0))</f>
        <v>1</v>
      </c>
      <c r="AN764" s="59" t="n">
        <f aca="false">IF(CD764&gt;0,CD764*MAX(1,AL764/V764),IF(BR764=1,IF(AL764&lt;=0,0,BS764*MAX(1,IF(G764&gt;0,AL764/G764,1))),IF(Q764&gt;0,AM764/Q764,0))/MAX(0.1,N(Parameter!$M$21)))</f>
        <v>0.0384615384615385</v>
      </c>
      <c r="AO764" s="57" t="n">
        <f aca="false">AL764*F764</f>
        <v>30.9</v>
      </c>
      <c r="AP764" s="57" t="n">
        <f aca="false">ROUNDUP(MAX(I764/IF(BV764&gt;0,BV764,MAX(0.1,N(Cockpit!$I$6))),BY764)/BQ764,0)*BQ764</f>
        <v>30</v>
      </c>
      <c r="AQ764" s="58" t="n">
        <f aca="false">IF(AN764&gt;0,I764/AN764,-1)</f>
        <v>20.8</v>
      </c>
      <c r="AR764" s="58" t="n">
        <f aca="false">IF(AND(OR(BU764="L1",BU764="L23"),AN764&gt;0),SUMIFS($AN$7:$AN$1576,$BU$7:$BU$1576,BU764,$AQ$7:$AQ$1576,"&gt;"&amp;AQ764)+SUMIFS($AN$7:$AN$1576,$BU$7:$BU$1576,BU764,$AQ$7:$AQ$1576,AQ764,$BO$7:$BO$1576,"&lt;="&amp;BO764),"")</f>
        <v>100.00140894767</v>
      </c>
      <c r="AS764" s="65" t="n">
        <f aca="false">IF(AR764="",0,MAX(0,MIN(1,(IF(BU764="L1",Parameter!$E$5,Parameter!$E$6+Parameter!$E$7)-(AR764-AN764))/AN764)))</f>
        <v>0.963367360577252</v>
      </c>
      <c r="AT764" s="57" t="n">
        <f aca="false">IF(LEFT(Cockpit!$O$5,1)="A",G764,IF(BW764=1,BX764,IF(LEFT(Cockpit!$O$5,1)="B",AX764,MAX(AX764,G764))))</f>
        <v>30</v>
      </c>
      <c r="AU764" s="57" t="n">
        <f aca="false">IF(BR764=1,0,ROUNDUP(AT764/BQ764,0))</f>
        <v>1</v>
      </c>
      <c r="AV764" s="59" t="n">
        <f aca="false">IF(CD764&gt;0,CD764*MAX(1,AT764/V764),IF(BR764=1,IF(AT764&lt;=0,0,BS764*MAX(1,IF(G764&gt;0,AT764/G764,1))),IF(Q764&gt;0,AU764/Q764,0))/MAX(0.1,N(Parameter!$M$21)))</f>
        <v>0.0384615384615385</v>
      </c>
      <c r="AW764" s="57" t="n">
        <f aca="false">AT764*F764</f>
        <v>30.9</v>
      </c>
      <c r="AX764" s="57" t="n">
        <f aca="false">ROUNDUP(MAX(I764/IF(BV764&gt;0,BV764,MAX(0.1,N(Cockpit!$O$6))),BY764)/BQ764,0)*BQ764</f>
        <v>30</v>
      </c>
      <c r="AY764" s="58" t="n">
        <f aca="false">IF(AV764&gt;0,I764/AV764,-1)</f>
        <v>20.8</v>
      </c>
      <c r="AZ764" s="58" t="n">
        <f aca="false">IF(AND(OR(BU764="L1",BU764="L23"),AV764&gt;0),SUMIFS($AV$7:$AV$1576,$BU$7:$BU$1576,BU764,$AY$7:$AY$1576,"&gt;"&amp;AY764)+SUMIFS($AV$7:$AV$1576,$BU$7:$BU$1576,BU764,$AY$7:$AY$1576,AY764,$BO$7:$BO$1576,"&lt;="&amp;BO764),"")</f>
        <v>90.8109593972205</v>
      </c>
      <c r="BA764" s="65" t="n">
        <f aca="false">IF(AZ764="",0,MAX(0,MIN(1,(IF(BU764="L1",Parameter!$E$5,Parameter!$E$6+Parameter!$E$7)-(AZ764-AV764))/AV764)))</f>
        <v>1</v>
      </c>
      <c r="BB764" s="55" t="str">
        <f aca="false">IF(AF764&lt;=0,"",IF(BU764="Aussen","Aussenlager",IF(BU764="-","Nicht im Lift",IF(AK764&gt;=1,"Lift",IF(AK764&lt;=0,"Aussenlager","teilweise")))))</f>
        <v/>
      </c>
      <c r="BC764" s="55" t="str">
        <f aca="false">IF(AN764&lt;=0,"",IF(BU764="Aussen","Aussenlager",IF(BU764="-","Nicht im Lift",IF(AS764&gt;=1,"Lift",IF(AS764&lt;=0,"Aussenlager","teilweise")))))</f>
        <v>teilweise</v>
      </c>
      <c r="BD764" s="55" t="str">
        <f aca="false">IF(AV764&lt;=0,"",IF(BU764="Aussen","Aussenlager",IF(BU764="-","Nicht im Lift",IF(BA764&gt;=1,"Lift",IF(BA764&lt;=0,"Aussenlager","teilweise")))))</f>
        <v>Lift</v>
      </c>
      <c r="BE764" s="55" t="str">
        <f aca="false">IF(A764="","",IF(BN764=1,"Neu; ","")&amp;IF(AND(BN764=0,BI764&lt;0),"negativer Bestand (Export "&amp;BI764&amp;"); ","")&amp;IF(I764&lt;=0,"Kein Verbrauch; ","")&amp;IF(CD764&gt;0,"Lift "&amp;U764&amp;" lt. Liftbericht (Fach "&amp;V764&amp;" Stk); ",IF(BR764=1,"Lose – Fläche geschätzt; ",""))&amp;IF(G764&gt;AP764,"Überbestand "&amp;ROUND(G764-AP764,0)&amp;" Stk / CHF "&amp;ROUND((G764-AP764)*F764,0)&amp;"; ","")&amp;IF(AND(BW764=1,BX764&lt;BY764),"MAX &lt; MB+LG; ","")&amp;IF(AND(CC764&gt;0,CB764*10&gt;CC764),"zu hoch für Tablar; ","")&amp;IF(AND(BN764=0,OR(BW764=1,Y764&lt;&gt;"",S764&lt;&gt;"",T764&lt;&gt;"",Z764&lt;&gt;"")),"manuell übersteuert; ","")&amp;IF(AND(BR764=0,Q764=0),"Gebinde unbekannt / Stellmass fehlt; ","")&amp;IF(AND(BR764=0,N(T764)&lt;=0,N(P764)&lt;=0),"Menge pro Gebinde fehlt (Ist = 1 Gebinde); ","")&amp;BM764)</f>
        <v>negativer Bestand (Export -0.8); Überbestand</v>
      </c>
      <c r="BF764" s="55"/>
      <c r="BG764" s="55"/>
      <c r="BH764" s="62"/>
      <c r="BI764" s="57" t="n">
        <v>-0.8</v>
      </c>
      <c r="BJ764" s="57" t="n">
        <v>104.2</v>
      </c>
      <c r="BK764" s="56" t="n">
        <v>-0.83</v>
      </c>
      <c r="BL764" s="57" t="n">
        <v>0.8</v>
      </c>
      <c r="BM764" s="55" t="s">
        <v>382</v>
      </c>
      <c r="BN764" s="60" t="n">
        <v>0</v>
      </c>
      <c r="BO764" s="60" t="n">
        <v>764</v>
      </c>
      <c r="BP764" s="55" t="str">
        <f aca="false">IF(S764&lt;&gt;"",UPPER(TRIM(S764)),IF(O764="","LOSE",O764))</f>
        <v>S52</v>
      </c>
      <c r="BQ764" s="57" t="n">
        <f aca="false">IF(BP764="LOSE",1,IF(N(T764)&gt;0,T764,IF(N(P764)&gt;0,P764,MAX(1,G764))))</f>
        <v>30</v>
      </c>
      <c r="BR764" s="60" t="n">
        <f aca="false">IF(BP764="LOSE",1,0)</f>
        <v>0</v>
      </c>
      <c r="BS764" s="59" t="n">
        <f aca="false">IF(BR764=0,0,IF(N(R764)&gt;0,R764,IFERROR(VLOOKUP(D764,Parameter!$A$35:$C$64,3,0)+0,0)))</f>
        <v>0</v>
      </c>
      <c r="BT764" s="55" t="n">
        <f aca="false">IF(Y764&lt;&gt;"",Y764,X764)</f>
        <v>3</v>
      </c>
      <c r="BU764" s="55" t="str">
        <f aca="false">IF(BT764=1,"L1",IF(OR(BT764=2,BT764=3),"L23",IF(BT764="Aussen","Aussen","-")))</f>
        <v>L23</v>
      </c>
      <c r="BV764" s="66" t="n">
        <f aca="false">IF(N(Z764)&gt;0,Z764,0)</f>
        <v>0</v>
      </c>
      <c r="BW764" s="60" t="n">
        <f aca="false">IF(ISNUMBER(AC764),1,0)</f>
        <v>0</v>
      </c>
      <c r="BX764" s="57" t="n">
        <f aca="false">N(AC764)</f>
        <v>0</v>
      </c>
      <c r="BY764" s="57" t="n">
        <f aca="false">N(L764)+N(M764)</f>
        <v>1</v>
      </c>
      <c r="BZ764" s="57" t="n">
        <f aca="false">ROUNDUP(G764/BQ764,0)</f>
        <v>0</v>
      </c>
      <c r="CA764" s="57" t="n">
        <f aca="false">ROUNDUP(BX764/BQ764,0)</f>
        <v>0</v>
      </c>
      <c r="CB764" s="60" t="n">
        <f aca="false">IF(BR764=1,0,IFERROR(VLOOKUP(BP764,'Gebinde-Kategorie'!$A$5:$M$45,5,0)+0,0))</f>
        <v>21</v>
      </c>
      <c r="CC764" s="60" t="n">
        <f aca="false">IFERROR(IF(OR(BT764=1,BT764=2,BT764=3),N(INDEX(Parameter!$I$5:$I$7,BT764)),0),0)</f>
        <v>0</v>
      </c>
      <c r="CD764" s="59" t="n">
        <f aca="false">IF(AND(Parameter!$B$21="Ja",ISNUMBER(U764),N(V764)&gt;0),IFERROR(N(INDEX(Parameter!$L$5:$L$7,U764))*INDEX(Parameter!$E$5:$E$7,U764)*V764/SUMIFS($V$7:$V$1576,$U$7:$U$1576,U764),0),0)</f>
        <v>0</v>
      </c>
    </row>
    <row r="765" customFormat="false" ht="15" hidden="false" customHeight="false" outlineLevel="0" collapsed="false">
      <c r="A765" s="55" t="s">
        <v>1493</v>
      </c>
      <c r="B765" s="55" t="s">
        <v>643</v>
      </c>
      <c r="C765" s="55" t="s">
        <v>160</v>
      </c>
      <c r="D765" s="55" t="s">
        <v>178</v>
      </c>
      <c r="E765" s="55" t="s">
        <v>210</v>
      </c>
      <c r="F765" s="56" t="n">
        <v>0.42</v>
      </c>
      <c r="G765" s="57" t="n">
        <f aca="false">MAX(0,IF(AND(Parameter!$B$21="Ja",ISNUMBER(W765)),W765,IF(Parameter!$B$20="Jahresanfang 2025 + Export",BJ765+BI765,BI765)))</f>
        <v>0</v>
      </c>
      <c r="H765" s="57" t="n">
        <f aca="false">G765*F765</f>
        <v>0</v>
      </c>
      <c r="I765" s="57" t="n">
        <f aca="false">BL765*Parameter!$B$18</f>
        <v>0</v>
      </c>
      <c r="J765" s="58" t="n">
        <v>372</v>
      </c>
      <c r="K765" s="59" t="n">
        <v>0</v>
      </c>
      <c r="L765" s="57" t="n">
        <v>0</v>
      </c>
      <c r="M765" s="57" t="n">
        <v>1</v>
      </c>
      <c r="N765" s="60" t="n">
        <v>14</v>
      </c>
      <c r="O765" s="55" t="s">
        <v>293</v>
      </c>
      <c r="P765" s="57" t="n">
        <v>234</v>
      </c>
      <c r="Q765" s="60" t="n">
        <f aca="false">IF(BR765=1,0,IFERROR(VLOOKUP(BP765,'Gebinde-Kategorie'!$A$5:$M$45,13,0)+0,0))</f>
        <v>26</v>
      </c>
      <c r="R765" s="61"/>
      <c r="S765" s="62"/>
      <c r="T765" s="62"/>
      <c r="U765" s="55"/>
      <c r="V765" s="57"/>
      <c r="W765" s="57"/>
      <c r="X765" s="55" t="n">
        <f aca="false">IF(A765="","",IF(AND(Parameter!$B$21="Ja",ISNUMBER(U765)),U765,IF(IFERROR(VLOOKUP(D765,Parameter!$A$35:$C$64,2,0),"Nein")="2+3",IF(ISNUMBER(SEARCH("grosser Artikel",BM765)),2,IFERROR(VLOOKUP(BP765,Parameter!$F$35:$G$64,2,0),2)),IF(OR(IFERROR(VLOOKUP(D765,Parameter!$A$35:$C$64,2,0),"Nein")="Nein",IFERROR(VLOOKUP(D765,Parameter!$A$35:$C$64,2,0),"Nein")=""),"-",VLOOKUP(D765,Parameter!$A$35:$C$64,2,0)))))</f>
        <v>3</v>
      </c>
      <c r="Y765" s="62"/>
      <c r="Z765" s="63"/>
      <c r="AA765" s="57" t="n">
        <f aca="false">AP765</f>
        <v>234</v>
      </c>
      <c r="AB765" s="57" t="n">
        <f aca="false">MAX(AP765,G765)</f>
        <v>234</v>
      </c>
      <c r="AC765" s="64"/>
      <c r="AD765" s="57" t="n">
        <f aca="false">IF(LEFT(Cockpit!$C$5,1)="A",G765,IF(BW765=1,BX765,IF(LEFT(Cockpit!$C$5,1)="B",AH765,MAX(AH765,G765))))</f>
        <v>0</v>
      </c>
      <c r="AE765" s="57" t="n">
        <f aca="false">IF(BR765=1,0,ROUNDUP(AD765/BQ765,0))</f>
        <v>0</v>
      </c>
      <c r="AF765" s="59" t="n">
        <f aca="false">IF(CD765&gt;0,CD765*MAX(1,AD765/V765),IF(BR765=1,IF(AD765&lt;=0,0,BS765*MAX(1,IF(G765&gt;0,AD765/G765,1))),IF(Q765&gt;0,AE765/Q765,0))/MAX(0.1,N(Parameter!$M$21)))</f>
        <v>0</v>
      </c>
      <c r="AG765" s="57" t="n">
        <f aca="false">AD765*F765</f>
        <v>0</v>
      </c>
      <c r="AH765" s="57" t="n">
        <f aca="false">ROUNDUP(MAX(I765/IF(BV765&gt;0,BV765,MAX(0.1,N(Cockpit!$C$6))),BY765)/BQ765,0)*BQ765</f>
        <v>234</v>
      </c>
      <c r="AI765" s="58" t="n">
        <f aca="false">IF(AF765&gt;0,I765/AF765,-1)</f>
        <v>-1</v>
      </c>
      <c r="AJ765" s="58" t="str">
        <f aca="false">IF(AND(OR(BU765="L1",BU765="L23"),AF765&gt;0),SUMIFS($AF$7:$AF$1576,$BU$7:$BU$1576,BU765,$AI$7:$AI$1576,"&gt;"&amp;AI765)+SUMIFS($AF$7:$AF$1576,$BU$7:$BU$1576,BU765,$AI$7:$AI$1576,AI765,$BO$7:$BO$1576,"&lt;="&amp;BO765),"")</f>
        <v/>
      </c>
      <c r="AK765" s="65" t="n">
        <f aca="false">IF(AJ765="",0,MAX(0,MIN(1,(IF(BU765="L1",Parameter!$E$5,Parameter!$E$6+Parameter!$E$7)-(AJ765-AF765))/AF765)))</f>
        <v>0</v>
      </c>
      <c r="AL765" s="57" t="n">
        <f aca="false">IF(LEFT(Cockpit!$I$5,1)="A",G765,IF(BW765=1,BX765,IF(LEFT(Cockpit!$I$5,1)="B",AP765,MAX(AP765,G765))))</f>
        <v>234</v>
      </c>
      <c r="AM765" s="57" t="n">
        <f aca="false">IF(BR765=1,0,ROUNDUP(AL765/BQ765,0))</f>
        <v>1</v>
      </c>
      <c r="AN765" s="59" t="n">
        <f aca="false">IF(CD765&gt;0,CD765*MAX(1,AL765/V765),IF(BR765=1,IF(AL765&lt;=0,0,BS765*MAX(1,IF(G765&gt;0,AL765/G765,1))),IF(Q765&gt;0,AM765/Q765,0))/MAX(0.1,N(Parameter!$M$21)))</f>
        <v>0.0384615384615385</v>
      </c>
      <c r="AO765" s="57" t="n">
        <f aca="false">AL765*F765</f>
        <v>98.28</v>
      </c>
      <c r="AP765" s="57" t="n">
        <f aca="false">ROUNDUP(MAX(I765/IF(BV765&gt;0,BV765,MAX(0.1,N(Cockpit!$I$6))),BY765)/BQ765,0)*BQ765</f>
        <v>234</v>
      </c>
      <c r="AQ765" s="58" t="n">
        <f aca="false">IF(AN765&gt;0,I765/AN765,-1)</f>
        <v>0</v>
      </c>
      <c r="AR765" s="58" t="n">
        <f aca="false">IF(AND(OR(BU765="L1",BU765="L23"),AN765&gt;0),SUMIFS($AN$7:$AN$1576,$BU$7:$BU$1576,BU765,$AQ$7:$AQ$1576,"&gt;"&amp;AQ765)+SUMIFS($AN$7:$AN$1576,$BU$7:$BU$1576,BU765,$AQ$7:$AQ$1576,AQ765,$BO$7:$BO$1576,"&lt;="&amp;BO765),"")</f>
        <v>130.508404518235</v>
      </c>
      <c r="AS765" s="65" t="n">
        <f aca="false">IF(AR765="",0,MAX(0,MIN(1,(IF(BU765="L1",Parameter!$E$5,Parameter!$E$6+Parameter!$E$7)-(AR765-AN765))/AN765)))</f>
        <v>0</v>
      </c>
      <c r="AT765" s="57" t="n">
        <f aca="false">IF(LEFT(Cockpit!$O$5,1)="A",G765,IF(BW765=1,BX765,IF(LEFT(Cockpit!$O$5,1)="B",AX765,MAX(AX765,G765))))</f>
        <v>234</v>
      </c>
      <c r="AU765" s="57" t="n">
        <f aca="false">IF(BR765=1,0,ROUNDUP(AT765/BQ765,0))</f>
        <v>1</v>
      </c>
      <c r="AV765" s="59" t="n">
        <f aca="false">IF(CD765&gt;0,CD765*MAX(1,AT765/V765),IF(BR765=1,IF(AT765&lt;=0,0,BS765*MAX(1,IF(G765&gt;0,AT765/G765,1))),IF(Q765&gt;0,AU765/Q765,0))/MAX(0.1,N(Parameter!$M$21)))</f>
        <v>0.0384615384615385</v>
      </c>
      <c r="AW765" s="57" t="n">
        <f aca="false">AT765*F765</f>
        <v>98.28</v>
      </c>
      <c r="AX765" s="57" t="n">
        <f aca="false">ROUNDUP(MAX(I765/IF(BV765&gt;0,BV765,MAX(0.1,N(Cockpit!$O$6))),BY765)/BQ765,0)*BQ765</f>
        <v>234</v>
      </c>
      <c r="AY765" s="58" t="n">
        <f aca="false">IF(AV765&gt;0,I765/AV765,-1)</f>
        <v>0</v>
      </c>
      <c r="AZ765" s="58" t="n">
        <f aca="false">IF(AND(OR(BU765="L1",BU765="L23"),AV765&gt;0),SUMIFS($AV$7:$AV$1576,$BU$7:$BU$1576,BU765,$AY$7:$AY$1576,"&gt;"&amp;AY765)+SUMIFS($AV$7:$AV$1576,$BU$7:$BU$1576,BU765,$AY$7:$AY$1576,AY765,$BO$7:$BO$1576,"&lt;="&amp;BO765),"")</f>
        <v>120.567954967785</v>
      </c>
      <c r="BA765" s="65" t="n">
        <f aca="false">IF(AZ765="",0,MAX(0,MIN(1,(IF(BU765="L1",Parameter!$E$5,Parameter!$E$6+Parameter!$E$7)-(AZ765-AV765))/AV765)))</f>
        <v>0</v>
      </c>
      <c r="BB765" s="55" t="str">
        <f aca="false">IF(AF765&lt;=0,"",IF(BU765="Aussen","Aussenlager",IF(BU765="-","Nicht im Lift",IF(AK765&gt;=1,"Lift",IF(AK765&lt;=0,"Aussenlager","teilweise")))))</f>
        <v/>
      </c>
      <c r="BC765" s="55" t="str">
        <f aca="false">IF(AN765&lt;=0,"",IF(BU765="Aussen","Aussenlager",IF(BU765="-","Nicht im Lift",IF(AS765&gt;=1,"Lift",IF(AS765&lt;=0,"Aussenlager","teilweise")))))</f>
        <v>Aussenlager</v>
      </c>
      <c r="BD765" s="55" t="str">
        <f aca="false">IF(AV765&lt;=0,"",IF(BU765="Aussen","Aussenlager",IF(BU765="-","Nicht im Lift",IF(BA765&gt;=1,"Lift",IF(BA765&lt;=0,"Aussenlager","teilweise")))))</f>
        <v>Aussenlager</v>
      </c>
      <c r="BE765" s="55" t="str">
        <f aca="false">IF(A765="","",IF(BN765=1,"Neu; ","")&amp;IF(AND(BN765=0,BI765&lt;0),"negativer Bestand (Export "&amp;BI765&amp;"); ","")&amp;IF(I765&lt;=0,"Kein Verbrauch; ","")&amp;IF(CD765&gt;0,"Lift "&amp;U765&amp;" lt. Liftbericht (Fach "&amp;V765&amp;" Stk); ",IF(BR765=1,"Lose – Fläche geschätzt; ",""))&amp;IF(G765&gt;AP765,"Überbestand "&amp;ROUND(G765-AP765,0)&amp;" Stk / CHF "&amp;ROUND((G765-AP765)*F765,0)&amp;"; ","")&amp;IF(AND(BW765=1,BX765&lt;BY765),"MAX &lt; MB+LG; ","")&amp;IF(AND(CC765&gt;0,CB765*10&gt;CC765),"zu hoch für Tablar; ","")&amp;IF(AND(BN765=0,OR(BW765=1,Y765&lt;&gt;"",S765&lt;&gt;"",T765&lt;&gt;"",Z765&lt;&gt;"")),"manuell übersteuert; ","")&amp;IF(AND(BR765=0,Q765=0),"Gebinde unbekannt / Stellmass fehlt; ","")&amp;IF(AND(BR765=0,N(T765)&lt;=0,N(P765)&lt;=0),"Menge pro Gebinde fehlt (Ist = 1 Gebinde); ","")&amp;BM765)</f>
        <v>negativer Bestand (Export -2); Kein Verbrauch; Überbestand</v>
      </c>
      <c r="BF765" s="55"/>
      <c r="BG765" s="55"/>
      <c r="BH765" s="62"/>
      <c r="BI765" s="57" t="n">
        <v>-2</v>
      </c>
      <c r="BJ765" s="57" t="n">
        <v>372</v>
      </c>
      <c r="BK765" s="56" t="n">
        <v>-0.84</v>
      </c>
      <c r="BL765" s="57" t="n">
        <v>0</v>
      </c>
      <c r="BM765" s="55" t="s">
        <v>382</v>
      </c>
      <c r="BN765" s="60" t="n">
        <v>0</v>
      </c>
      <c r="BO765" s="60" t="n">
        <v>765</v>
      </c>
      <c r="BP765" s="55" t="str">
        <f aca="false">IF(S765&lt;&gt;"",UPPER(TRIM(S765)),IF(O765="","LOSE",O765))</f>
        <v>S51</v>
      </c>
      <c r="BQ765" s="57" t="n">
        <f aca="false">IF(BP765="LOSE",1,IF(N(T765)&gt;0,T765,IF(N(P765)&gt;0,P765,MAX(1,G765))))</f>
        <v>234</v>
      </c>
      <c r="BR765" s="60" t="n">
        <f aca="false">IF(BP765="LOSE",1,0)</f>
        <v>0</v>
      </c>
      <c r="BS765" s="59" t="n">
        <f aca="false">IF(BR765=0,0,IF(N(R765)&gt;0,R765,IFERROR(VLOOKUP(D765,Parameter!$A$35:$C$64,3,0)+0,0)))</f>
        <v>0</v>
      </c>
      <c r="BT765" s="55" t="n">
        <f aca="false">IF(Y765&lt;&gt;"",Y765,X765)</f>
        <v>3</v>
      </c>
      <c r="BU765" s="55" t="str">
        <f aca="false">IF(BT765=1,"L1",IF(OR(BT765=2,BT765=3),"L23",IF(BT765="Aussen","Aussen","-")))</f>
        <v>L23</v>
      </c>
      <c r="BV765" s="66" t="n">
        <f aca="false">IF(N(Z765)&gt;0,Z765,0)</f>
        <v>0</v>
      </c>
      <c r="BW765" s="60" t="n">
        <f aca="false">IF(ISNUMBER(AC765),1,0)</f>
        <v>0</v>
      </c>
      <c r="BX765" s="57" t="n">
        <f aca="false">N(AC765)</f>
        <v>0</v>
      </c>
      <c r="BY765" s="57" t="n">
        <f aca="false">N(L765)+N(M765)</f>
        <v>1</v>
      </c>
      <c r="BZ765" s="57" t="n">
        <f aca="false">ROUNDUP(G765/BQ765,0)</f>
        <v>0</v>
      </c>
      <c r="CA765" s="57" t="n">
        <f aca="false">ROUNDUP(BX765/BQ765,0)</f>
        <v>0</v>
      </c>
      <c r="CB765" s="60" t="n">
        <f aca="false">IF(BR765=1,0,IFERROR(VLOOKUP(BP765,'Gebinde-Kategorie'!$A$5:$M$45,5,0)+0,0))</f>
        <v>11</v>
      </c>
      <c r="CC765" s="60" t="n">
        <f aca="false">IFERROR(IF(OR(BT765=1,BT765=2,BT765=3),N(INDEX(Parameter!$I$5:$I$7,BT765)),0),0)</f>
        <v>0</v>
      </c>
      <c r="CD765" s="59" t="n">
        <f aca="false">IF(AND(Parameter!$B$21="Ja",ISNUMBER(U765),N(V765)&gt;0),IFERROR(N(INDEX(Parameter!$L$5:$L$7,U765))*INDEX(Parameter!$E$5:$E$7,U765)*V765/SUMIFS($V$7:$V$1576,$U$7:$U$1576,U765),0),0)</f>
        <v>0</v>
      </c>
    </row>
    <row r="766" customFormat="false" ht="15" hidden="false" customHeight="false" outlineLevel="0" collapsed="false">
      <c r="A766" s="55" t="s">
        <v>1494</v>
      </c>
      <c r="B766" s="55" t="s">
        <v>1495</v>
      </c>
      <c r="C766" s="55" t="s">
        <v>446</v>
      </c>
      <c r="D766" s="55" t="s">
        <v>168</v>
      </c>
      <c r="E766" s="55" t="s">
        <v>210</v>
      </c>
      <c r="F766" s="56" t="n">
        <v>0.01</v>
      </c>
      <c r="G766" s="57" t="n">
        <f aca="false">MAX(0,IF(AND(Parameter!$B$21="Ja",ISNUMBER(W766)),W766,IF(Parameter!$B$20="Jahresanfang 2025 + Export",BJ766+BI766,BI766)))</f>
        <v>0</v>
      </c>
      <c r="H766" s="57" t="n">
        <f aca="false">G766*F766</f>
        <v>0</v>
      </c>
      <c r="I766" s="57" t="n">
        <f aca="false">BL766*Parameter!$B$18</f>
        <v>50</v>
      </c>
      <c r="J766" s="58" t="n">
        <v>90</v>
      </c>
      <c r="K766" s="59" t="n">
        <v>0.555555555555556</v>
      </c>
      <c r="L766" s="57" t="n">
        <v>0</v>
      </c>
      <c r="M766" s="57" t="n">
        <v>50</v>
      </c>
      <c r="N766" s="60" t="n">
        <v>14</v>
      </c>
      <c r="O766" s="55" t="s">
        <v>163</v>
      </c>
      <c r="P766" s="57"/>
      <c r="Q766" s="60" t="n">
        <f aca="false">IF(BR766=1,0,IFERROR(VLOOKUP(BP766,'Gebinde-Kategorie'!$A$5:$M$45,13,0)+0,0))</f>
        <v>0</v>
      </c>
      <c r="R766" s="61"/>
      <c r="S766" s="62"/>
      <c r="T766" s="62"/>
      <c r="U766" s="55"/>
      <c r="V766" s="57"/>
      <c r="W766" s="57"/>
      <c r="X766" s="55" t="n">
        <f aca="false">IF(A766="","",IF(AND(Parameter!$B$21="Ja",ISNUMBER(U766)),U766,IF(IFERROR(VLOOKUP(D766,Parameter!$A$35:$C$64,2,0),"Nein")="2+3",IF(ISNUMBER(SEARCH("grosser Artikel",BM766)),2,IFERROR(VLOOKUP(BP766,Parameter!$F$35:$G$64,2,0),2)),IF(OR(IFERROR(VLOOKUP(D766,Parameter!$A$35:$C$64,2,0),"Nein")="Nein",IFERROR(VLOOKUP(D766,Parameter!$A$35:$C$64,2,0),"Nein")=""),"-",VLOOKUP(D766,Parameter!$A$35:$C$64,2,0)))))</f>
        <v>2</v>
      </c>
      <c r="Y766" s="62"/>
      <c r="Z766" s="63"/>
      <c r="AA766" s="57" t="n">
        <f aca="false">AP766</f>
        <v>50</v>
      </c>
      <c r="AB766" s="57" t="n">
        <f aca="false">MAX(AP766,G766)</f>
        <v>50</v>
      </c>
      <c r="AC766" s="64"/>
      <c r="AD766" s="57" t="n">
        <f aca="false">IF(LEFT(Cockpit!$C$5,1)="A",G766,IF(BW766=1,BX766,IF(LEFT(Cockpit!$C$5,1)="B",AH766,MAX(AH766,G766))))</f>
        <v>0</v>
      </c>
      <c r="AE766" s="57" t="n">
        <f aca="false">IF(BR766=1,0,ROUNDUP(AD766/BQ766,0))</f>
        <v>0</v>
      </c>
      <c r="AF766" s="59" t="n">
        <f aca="false">IF(CD766&gt;0,CD766*MAX(1,AD766/V766),IF(BR766=1,IF(AD766&lt;=0,0,BS766*MAX(1,IF(G766&gt;0,AD766/G766,1))),IF(Q766&gt;0,AE766/Q766,0))/MAX(0.1,N(Parameter!$M$21)))</f>
        <v>0</v>
      </c>
      <c r="AG766" s="57" t="n">
        <f aca="false">AD766*F766</f>
        <v>0</v>
      </c>
      <c r="AH766" s="57" t="n">
        <f aca="false">ROUNDUP(MAX(I766/IF(BV766&gt;0,BV766,MAX(0.1,N(Cockpit!$C$6))),BY766)/BQ766,0)*BQ766</f>
        <v>50</v>
      </c>
      <c r="AI766" s="58" t="n">
        <f aca="false">IF(AF766&gt;0,I766/AF766,-1)</f>
        <v>-1</v>
      </c>
      <c r="AJ766" s="58" t="str">
        <f aca="false">IF(AND(OR(BU766="L1",BU766="L23"),AF766&gt;0),SUMIFS($AF$7:$AF$1576,$BU$7:$BU$1576,BU766,$AI$7:$AI$1576,"&gt;"&amp;AI766)+SUMIFS($AF$7:$AF$1576,$BU$7:$BU$1576,BU766,$AI$7:$AI$1576,AI766,$BO$7:$BO$1576,"&lt;="&amp;BO766),"")</f>
        <v/>
      </c>
      <c r="AK766" s="65" t="n">
        <f aca="false">IF(AJ766="",0,MAX(0,MIN(1,(IF(BU766="L1",Parameter!$E$5,Parameter!$E$6+Parameter!$E$7)-(AJ766-AF766))/AF766)))</f>
        <v>0</v>
      </c>
      <c r="AL766" s="57" t="n">
        <f aca="false">IF(LEFT(Cockpit!$I$5,1)="A",G766,IF(BW766=1,BX766,IF(LEFT(Cockpit!$I$5,1)="B",AP766,MAX(AP766,G766))))</f>
        <v>50</v>
      </c>
      <c r="AM766" s="57" t="n">
        <f aca="false">IF(BR766=1,0,ROUNDUP(AL766/BQ766,0))</f>
        <v>0</v>
      </c>
      <c r="AN766" s="59" t="n">
        <f aca="false">IF(CD766&gt;0,CD766*MAX(1,AL766/V766),IF(BR766=1,IF(AL766&lt;=0,0,BS766*MAX(1,IF(G766&gt;0,AL766/G766,1))),IF(Q766&gt;0,AM766/Q766,0))/MAX(0.1,N(Parameter!$M$21)))</f>
        <v>0.15</v>
      </c>
      <c r="AO766" s="57" t="n">
        <f aca="false">AL766*F766</f>
        <v>0.5</v>
      </c>
      <c r="AP766" s="57" t="n">
        <f aca="false">ROUNDUP(MAX(I766/IF(BV766&gt;0,BV766,MAX(0.1,N(Cockpit!$I$6))),BY766)/BQ766,0)*BQ766</f>
        <v>50</v>
      </c>
      <c r="AQ766" s="58" t="n">
        <f aca="false">IF(AN766&gt;0,I766/AN766,-1)</f>
        <v>333.333333333333</v>
      </c>
      <c r="AR766" s="58" t="n">
        <f aca="false">IF(AND(OR(BU766="L1",BU766="L23"),AN766&gt;0),SUMIFS($AN$7:$AN$1576,$BU$7:$BU$1576,BU766,$AQ$7:$AQ$1576,"&gt;"&amp;AQ766)+SUMIFS($AN$7:$AN$1576,$BU$7:$BU$1576,BU766,$AQ$7:$AQ$1576,AQ766,$BO$7:$BO$1576,"&lt;="&amp;BO766),"")</f>
        <v>41.6411086139459</v>
      </c>
      <c r="AS766" s="65" t="n">
        <f aca="false">IF(AR766="",0,MAX(0,MIN(1,(IF(BU766="L1",Parameter!$E$5,Parameter!$E$6+Parameter!$E$7)-(AR766-AN766))/AN766)))</f>
        <v>1</v>
      </c>
      <c r="AT766" s="57" t="n">
        <f aca="false">IF(LEFT(Cockpit!$O$5,1)="A",G766,IF(BW766=1,BX766,IF(LEFT(Cockpit!$O$5,1)="B",AX766,MAX(AX766,G766))))</f>
        <v>50</v>
      </c>
      <c r="AU766" s="57" t="n">
        <f aca="false">IF(BR766=1,0,ROUNDUP(AT766/BQ766,0))</f>
        <v>0</v>
      </c>
      <c r="AV766" s="59" t="n">
        <f aca="false">IF(CD766&gt;0,CD766*MAX(1,AT766/V766),IF(BR766=1,IF(AT766&lt;=0,0,BS766*MAX(1,IF(G766&gt;0,AT766/G766,1))),IF(Q766&gt;0,AU766/Q766,0))/MAX(0.1,N(Parameter!$M$21)))</f>
        <v>0.15</v>
      </c>
      <c r="AW766" s="57" t="n">
        <f aca="false">AT766*F766</f>
        <v>0.5</v>
      </c>
      <c r="AX766" s="57" t="n">
        <f aca="false">ROUNDUP(MAX(I766/IF(BV766&gt;0,BV766,MAX(0.1,N(Cockpit!$O$6))),BY766)/BQ766,0)*BQ766</f>
        <v>50</v>
      </c>
      <c r="AY766" s="58" t="n">
        <f aca="false">IF(AV766&gt;0,I766/AV766,-1)</f>
        <v>333.333333333333</v>
      </c>
      <c r="AZ766" s="58" t="n">
        <f aca="false">IF(AND(OR(BU766="L1",BU766="L23"),AV766&gt;0),SUMIFS($AV$7:$AV$1576,$BU$7:$BU$1576,BU766,$AY$7:$AY$1576,"&gt;"&amp;AY766)+SUMIFS($AV$7:$AV$1576,$BU$7:$BU$1576,BU766,$AY$7:$AY$1576,AY766,$BO$7:$BO$1576,"&lt;="&amp;BO766),"")</f>
        <v>38.3891872020244</v>
      </c>
      <c r="BA766" s="65" t="n">
        <f aca="false">IF(AZ766="",0,MAX(0,MIN(1,(IF(BU766="L1",Parameter!$E$5,Parameter!$E$6+Parameter!$E$7)-(AZ766-AV766))/AV766)))</f>
        <v>1</v>
      </c>
      <c r="BB766" s="55" t="str">
        <f aca="false">IF(AF766&lt;=0,"",IF(BU766="Aussen","Aussenlager",IF(BU766="-","Nicht im Lift",IF(AK766&gt;=1,"Lift",IF(AK766&lt;=0,"Aussenlager","teilweise")))))</f>
        <v/>
      </c>
      <c r="BC766" s="55" t="str">
        <f aca="false">IF(AN766&lt;=0,"",IF(BU766="Aussen","Aussenlager",IF(BU766="-","Nicht im Lift",IF(AS766&gt;=1,"Lift",IF(AS766&lt;=0,"Aussenlager","teilweise")))))</f>
        <v>Lift</v>
      </c>
      <c r="BD766" s="55" t="str">
        <f aca="false">IF(AV766&lt;=0,"",IF(BU766="Aussen","Aussenlager",IF(BU766="-","Nicht im Lift",IF(BA766&gt;=1,"Lift",IF(BA766&lt;=0,"Aussenlager","teilweise")))))</f>
        <v>Lift</v>
      </c>
      <c r="BE766" s="55" t="str">
        <f aca="false">IF(A766="","",IF(BN766=1,"Neu; ","")&amp;IF(AND(BN766=0,BI766&lt;0),"negativer Bestand (Export "&amp;BI766&amp;"); ","")&amp;IF(I766&lt;=0,"Kein Verbrauch; ","")&amp;IF(CD766&gt;0,"Lift "&amp;U766&amp;" lt. Liftbericht (Fach "&amp;V766&amp;" Stk); ",IF(BR766=1,"Lose – Fläche geschätzt; ",""))&amp;IF(G766&gt;AP766,"Überbestand "&amp;ROUND(G766-AP766,0)&amp;" Stk / CHF "&amp;ROUND((G766-AP766)*F766,0)&amp;"; ","")&amp;IF(AND(BW766=1,BX766&lt;BY766),"MAX &lt; MB+LG; ","")&amp;IF(AND(CC766&gt;0,CB766*10&gt;CC766),"zu hoch für Tablar; ","")&amp;IF(AND(BN766=0,OR(BW766=1,Y766&lt;&gt;"",S766&lt;&gt;"",T766&lt;&gt;"",Z766&lt;&gt;"")),"manuell übersteuert; ","")&amp;IF(AND(BR766=0,Q766=0),"Gebinde unbekannt / Stellmass fehlt; ","")&amp;IF(AND(BR766=0,N(T766)&lt;=0,N(P766)&lt;=0),"Menge pro Gebinde fehlt (Ist = 1 Gebinde); ","")&amp;BM766)</f>
        <v>negativer Bestand (Export -85); Lose – Fläche geschätzt; </v>
      </c>
      <c r="BF766" s="55"/>
      <c r="BG766" s="55"/>
      <c r="BH766" s="62"/>
      <c r="BI766" s="57" t="n">
        <v>-85</v>
      </c>
      <c r="BJ766" s="57" t="n">
        <v>85</v>
      </c>
      <c r="BK766" s="56" t="n">
        <v>-0.85</v>
      </c>
      <c r="BL766" s="57" t="n">
        <v>50</v>
      </c>
      <c r="BM766" s="55"/>
      <c r="BN766" s="60" t="n">
        <v>0</v>
      </c>
      <c r="BO766" s="60" t="n">
        <v>766</v>
      </c>
      <c r="BP766" s="55" t="str">
        <f aca="false">IF(S766&lt;&gt;"",UPPER(TRIM(S766)),IF(O766="","LOSE",O766))</f>
        <v>LOSE</v>
      </c>
      <c r="BQ766" s="57" t="n">
        <f aca="false">IF(BP766="LOSE",1,IF(N(T766)&gt;0,T766,IF(N(P766)&gt;0,P766,MAX(1,G766))))</f>
        <v>1</v>
      </c>
      <c r="BR766" s="60" t="n">
        <f aca="false">IF(BP766="LOSE",1,0)</f>
        <v>1</v>
      </c>
      <c r="BS766" s="59" t="n">
        <f aca="false">IF(BR766=0,0,IF(N(R766)&gt;0,R766,IFERROR(VLOOKUP(D766,Parameter!$A$35:$C$64,3,0)+0,0)))</f>
        <v>0.15</v>
      </c>
      <c r="BT766" s="55" t="n">
        <f aca="false">IF(Y766&lt;&gt;"",Y766,X766)</f>
        <v>2</v>
      </c>
      <c r="BU766" s="55" t="str">
        <f aca="false">IF(BT766=1,"L1",IF(OR(BT766=2,BT766=3),"L23",IF(BT766="Aussen","Aussen","-")))</f>
        <v>L23</v>
      </c>
      <c r="BV766" s="66" t="n">
        <f aca="false">IF(N(Z766)&gt;0,Z766,0)</f>
        <v>0</v>
      </c>
      <c r="BW766" s="60" t="n">
        <f aca="false">IF(ISNUMBER(AC766),1,0)</f>
        <v>0</v>
      </c>
      <c r="BX766" s="57" t="n">
        <f aca="false">N(AC766)</f>
        <v>0</v>
      </c>
      <c r="BY766" s="57" t="n">
        <f aca="false">N(L766)+N(M766)</f>
        <v>50</v>
      </c>
      <c r="BZ766" s="57" t="n">
        <f aca="false">ROUNDUP(G766/BQ766,0)</f>
        <v>0</v>
      </c>
      <c r="CA766" s="57" t="n">
        <f aca="false">ROUNDUP(BX766/BQ766,0)</f>
        <v>0</v>
      </c>
      <c r="CB766" s="60" t="n">
        <f aca="false">IF(BR766=1,0,IFERROR(VLOOKUP(BP766,'Gebinde-Kategorie'!$A$5:$M$45,5,0)+0,0))</f>
        <v>0</v>
      </c>
      <c r="CC766" s="60" t="n">
        <f aca="false">IFERROR(IF(OR(BT766=1,BT766=2,BT766=3),N(INDEX(Parameter!$I$5:$I$7,BT766)),0),0)</f>
        <v>0</v>
      </c>
      <c r="CD766" s="59" t="n">
        <f aca="false">IF(AND(Parameter!$B$21="Ja",ISNUMBER(U766),N(V766)&gt;0),IFERROR(N(INDEX(Parameter!$L$5:$L$7,U766))*INDEX(Parameter!$E$5:$E$7,U766)*V766/SUMIFS($V$7:$V$1576,$U$7:$U$1576,U766),0),0)</f>
        <v>0</v>
      </c>
    </row>
    <row r="767" customFormat="false" ht="15" hidden="false" customHeight="false" outlineLevel="0" collapsed="false">
      <c r="A767" s="55" t="s">
        <v>1496</v>
      </c>
      <c r="B767" s="55" t="s">
        <v>1497</v>
      </c>
      <c r="C767" s="55" t="s">
        <v>160</v>
      </c>
      <c r="D767" s="55" t="s">
        <v>178</v>
      </c>
      <c r="E767" s="55" t="s">
        <v>210</v>
      </c>
      <c r="F767" s="56" t="n">
        <v>0.01</v>
      </c>
      <c r="G767" s="57" t="n">
        <f aca="false">MAX(0,IF(AND(Parameter!$B$21="Ja",ISNUMBER(W767)),W767,IF(Parameter!$B$20="Jahresanfang 2025 + Export",BJ767+BI767,BI767)))</f>
        <v>0</v>
      </c>
      <c r="H767" s="57" t="n">
        <f aca="false">G767*F767</f>
        <v>0</v>
      </c>
      <c r="I767" s="57" t="n">
        <f aca="false">BL767*Parameter!$B$18</f>
        <v>1</v>
      </c>
      <c r="J767" s="58" t="n">
        <v>4924.5</v>
      </c>
      <c r="K767" s="59" t="n">
        <v>0.000203066301147325</v>
      </c>
      <c r="L767" s="57" t="n">
        <v>0</v>
      </c>
      <c r="M767" s="57" t="n">
        <v>1</v>
      </c>
      <c r="N767" s="60" t="n">
        <v>21</v>
      </c>
      <c r="O767" s="55" t="s">
        <v>319</v>
      </c>
      <c r="P767" s="57" t="n">
        <v>5000</v>
      </c>
      <c r="Q767" s="60" t="n">
        <f aca="false">IF(BR767=1,0,IFERROR(VLOOKUP(BP767,'Gebinde-Kategorie'!$A$5:$M$45,13,0)+0,0))</f>
        <v>52</v>
      </c>
      <c r="R767" s="61"/>
      <c r="S767" s="62"/>
      <c r="T767" s="62"/>
      <c r="U767" s="55"/>
      <c r="V767" s="57"/>
      <c r="W767" s="57"/>
      <c r="X767" s="55" t="n">
        <f aca="false">IF(A767="","",IF(AND(Parameter!$B$21="Ja",ISNUMBER(U767)),U767,IF(IFERROR(VLOOKUP(D767,Parameter!$A$35:$C$64,2,0),"Nein")="2+3",IF(ISNUMBER(SEARCH("grosser Artikel",BM767)),2,IFERROR(VLOOKUP(BP767,Parameter!$F$35:$G$64,2,0),2)),IF(OR(IFERROR(VLOOKUP(D767,Parameter!$A$35:$C$64,2,0),"Nein")="Nein",IFERROR(VLOOKUP(D767,Parameter!$A$35:$C$64,2,0),"Nein")=""),"-",VLOOKUP(D767,Parameter!$A$35:$C$64,2,0)))))</f>
        <v>3</v>
      </c>
      <c r="Y767" s="62"/>
      <c r="Z767" s="63"/>
      <c r="AA767" s="57" t="n">
        <f aca="false">AP767</f>
        <v>5000</v>
      </c>
      <c r="AB767" s="57" t="n">
        <f aca="false">MAX(AP767,G767)</f>
        <v>5000</v>
      </c>
      <c r="AC767" s="64"/>
      <c r="AD767" s="57" t="n">
        <f aca="false">IF(LEFT(Cockpit!$C$5,1)="A",G767,IF(BW767=1,BX767,IF(LEFT(Cockpit!$C$5,1)="B",AH767,MAX(AH767,G767))))</f>
        <v>0</v>
      </c>
      <c r="AE767" s="57" t="n">
        <f aca="false">IF(BR767=1,0,ROUNDUP(AD767/BQ767,0))</f>
        <v>0</v>
      </c>
      <c r="AF767" s="59" t="n">
        <f aca="false">IF(CD767&gt;0,CD767*MAX(1,AD767/V767),IF(BR767=1,IF(AD767&lt;=0,0,BS767*MAX(1,IF(G767&gt;0,AD767/G767,1))),IF(Q767&gt;0,AE767/Q767,0))/MAX(0.1,N(Parameter!$M$21)))</f>
        <v>0</v>
      </c>
      <c r="AG767" s="57" t="n">
        <f aca="false">AD767*F767</f>
        <v>0</v>
      </c>
      <c r="AH767" s="57" t="n">
        <f aca="false">ROUNDUP(MAX(I767/IF(BV767&gt;0,BV767,MAX(0.1,N(Cockpit!$C$6))),BY767)/BQ767,0)*BQ767</f>
        <v>5000</v>
      </c>
      <c r="AI767" s="58" t="n">
        <f aca="false">IF(AF767&gt;0,I767/AF767,-1)</f>
        <v>-1</v>
      </c>
      <c r="AJ767" s="58" t="str">
        <f aca="false">IF(AND(OR(BU767="L1",BU767="L23"),AF767&gt;0),SUMIFS($AF$7:$AF$1576,$BU$7:$BU$1576,BU767,$AI$7:$AI$1576,"&gt;"&amp;AI767)+SUMIFS($AF$7:$AF$1576,$BU$7:$BU$1576,BU767,$AI$7:$AI$1576,AI767,$BO$7:$BO$1576,"&lt;="&amp;BO767),"")</f>
        <v/>
      </c>
      <c r="AK767" s="65" t="n">
        <f aca="false">IF(AJ767="",0,MAX(0,MIN(1,(IF(BU767="L1",Parameter!$E$5,Parameter!$E$6+Parameter!$E$7)-(AJ767-AF767))/AF767)))</f>
        <v>0</v>
      </c>
      <c r="AL767" s="57" t="n">
        <f aca="false">IF(LEFT(Cockpit!$I$5,1)="A",G767,IF(BW767=1,BX767,IF(LEFT(Cockpit!$I$5,1)="B",AP767,MAX(AP767,G767))))</f>
        <v>5000</v>
      </c>
      <c r="AM767" s="57" t="n">
        <f aca="false">IF(BR767=1,0,ROUNDUP(AL767/BQ767,0))</f>
        <v>1</v>
      </c>
      <c r="AN767" s="59" t="n">
        <f aca="false">IF(CD767&gt;0,CD767*MAX(1,AL767/V767),IF(BR767=1,IF(AL767&lt;=0,0,BS767*MAX(1,IF(G767&gt;0,AL767/G767,1))),IF(Q767&gt;0,AM767/Q767,0))/MAX(0.1,N(Parameter!$M$21)))</f>
        <v>0.0192307692307692</v>
      </c>
      <c r="AO767" s="57" t="n">
        <f aca="false">AL767*F767</f>
        <v>50</v>
      </c>
      <c r="AP767" s="57" t="n">
        <f aca="false">ROUNDUP(MAX(I767/IF(BV767&gt;0,BV767,MAX(0.1,N(Cockpit!$I$6))),BY767)/BQ767,0)*BQ767</f>
        <v>5000</v>
      </c>
      <c r="AQ767" s="58" t="n">
        <f aca="false">IF(AN767&gt;0,I767/AN767,-1)</f>
        <v>52</v>
      </c>
      <c r="AR767" s="58" t="n">
        <f aca="false">IF(AND(OR(BU767="L1",BU767="L23"),AN767&gt;0),SUMIFS($AN$7:$AN$1576,$BU$7:$BU$1576,BU767,$AQ$7:$AQ$1576,"&gt;"&amp;AQ767)+SUMIFS($AN$7:$AN$1576,$BU$7:$BU$1576,BU767,$AQ$7:$AQ$1576,AQ767,$BO$7:$BO$1576,"&lt;="&amp;BO767),"")</f>
        <v>82.137562793824</v>
      </c>
      <c r="AS767" s="65" t="n">
        <f aca="false">IF(AR767="",0,MAX(0,MIN(1,(IF(BU767="L1",Parameter!$E$5,Parameter!$E$6+Parameter!$E$7)-(AR767-AN767))/AN767)))</f>
        <v>1</v>
      </c>
      <c r="AT767" s="57" t="n">
        <f aca="false">IF(LEFT(Cockpit!$O$5,1)="A",G767,IF(BW767=1,BX767,IF(LEFT(Cockpit!$O$5,1)="B",AX767,MAX(AX767,G767))))</f>
        <v>5000</v>
      </c>
      <c r="AU767" s="57" t="n">
        <f aca="false">IF(BR767=1,0,ROUNDUP(AT767/BQ767,0))</f>
        <v>1</v>
      </c>
      <c r="AV767" s="59" t="n">
        <f aca="false">IF(CD767&gt;0,CD767*MAX(1,AT767/V767),IF(BR767=1,IF(AT767&lt;=0,0,BS767*MAX(1,IF(G767&gt;0,AT767/G767,1))),IF(Q767&gt;0,AU767/Q767,0))/MAX(0.1,N(Parameter!$M$21)))</f>
        <v>0.0192307692307692</v>
      </c>
      <c r="AW767" s="57" t="n">
        <f aca="false">AT767*F767</f>
        <v>50</v>
      </c>
      <c r="AX767" s="57" t="n">
        <f aca="false">ROUNDUP(MAX(I767/IF(BV767&gt;0,BV767,MAX(0.1,N(Cockpit!$O$6))),BY767)/BQ767,0)*BQ767</f>
        <v>5000</v>
      </c>
      <c r="AY767" s="58" t="n">
        <f aca="false">IF(AV767&gt;0,I767/AV767,-1)</f>
        <v>52</v>
      </c>
      <c r="AZ767" s="58" t="n">
        <f aca="false">IF(AND(OR(BU767="L1",BU767="L23"),AV767&gt;0),SUMIFS($AV$7:$AV$1576,$BU$7:$BU$1576,BU767,$AY$7:$AY$1576,"&gt;"&amp;AY767)+SUMIFS($AV$7:$AV$1576,$BU$7:$BU$1576,BU767,$AY$7:$AY$1576,AY767,$BO$7:$BO$1576,"&lt;="&amp;BO767),"")</f>
        <v>78.5554465767077</v>
      </c>
      <c r="BA767" s="65" t="n">
        <f aca="false">IF(AZ767="",0,MAX(0,MIN(1,(IF(BU767="L1",Parameter!$E$5,Parameter!$E$6+Parameter!$E$7)-(AZ767-AV767))/AV767)))</f>
        <v>1</v>
      </c>
      <c r="BB767" s="55" t="str">
        <f aca="false">IF(AF767&lt;=0,"",IF(BU767="Aussen","Aussenlager",IF(BU767="-","Nicht im Lift",IF(AK767&gt;=1,"Lift",IF(AK767&lt;=0,"Aussenlager","teilweise")))))</f>
        <v/>
      </c>
      <c r="BC767" s="55" t="str">
        <f aca="false">IF(AN767&lt;=0,"",IF(BU767="Aussen","Aussenlager",IF(BU767="-","Nicht im Lift",IF(AS767&gt;=1,"Lift",IF(AS767&lt;=0,"Aussenlager","teilweise")))))</f>
        <v>Lift</v>
      </c>
      <c r="BD767" s="55" t="str">
        <f aca="false">IF(AV767&lt;=0,"",IF(BU767="Aussen","Aussenlager",IF(BU767="-","Nicht im Lift",IF(BA767&gt;=1,"Lift",IF(BA767&lt;=0,"Aussenlager","teilweise")))))</f>
        <v>Lift</v>
      </c>
      <c r="BE767" s="55" t="str">
        <f aca="false">IF(A767="","",IF(BN767=1,"Neu; ","")&amp;IF(AND(BN767=0,BI767&lt;0),"negativer Bestand (Export "&amp;BI767&amp;"); ","")&amp;IF(I767&lt;=0,"Kein Verbrauch; ","")&amp;IF(CD767&gt;0,"Lift "&amp;U767&amp;" lt. Liftbericht (Fach "&amp;V767&amp;" Stk); ",IF(BR767=1,"Lose – Fläche geschätzt; ",""))&amp;IF(G767&gt;AP767,"Überbestand "&amp;ROUND(G767-AP767,0)&amp;" Stk / CHF "&amp;ROUND((G767-AP767)*F767,0)&amp;"; ","")&amp;IF(AND(BW767=1,BX767&lt;BY767),"MAX &lt; MB+LG; ","")&amp;IF(AND(CC767&gt;0,CB767*10&gt;CC767),"zu hoch für Tablar; ","")&amp;IF(AND(BN767=0,OR(BW767=1,Y767&lt;&gt;"",S767&lt;&gt;"",T767&lt;&gt;"",Z767&lt;&gt;"")),"manuell übersteuert; ","")&amp;IF(AND(BR767=0,Q767=0),"Gebinde unbekannt / Stellmass fehlt; ","")&amp;IF(AND(BR767=0,N(T767)&lt;=0,N(P767)&lt;=0),"Menge pro Gebinde fehlt (Ist = 1 Gebinde); ","")&amp;BM767)</f>
        <v>negativer Bestand (Export -86); Überbestand</v>
      </c>
      <c r="BF767" s="55"/>
      <c r="BG767" s="55"/>
      <c r="BH767" s="62"/>
      <c r="BI767" s="57" t="n">
        <v>-86</v>
      </c>
      <c r="BJ767" s="57" t="n">
        <v>4950</v>
      </c>
      <c r="BK767" s="56" t="n">
        <v>-0.86</v>
      </c>
      <c r="BL767" s="57" t="n">
        <v>1</v>
      </c>
      <c r="BM767" s="55" t="s">
        <v>382</v>
      </c>
      <c r="BN767" s="60" t="n">
        <v>0</v>
      </c>
      <c r="BO767" s="60" t="n">
        <v>767</v>
      </c>
      <c r="BP767" s="55" t="str">
        <f aca="false">IF(S767&lt;&gt;"",UPPER(TRIM(S767)),IF(O767="","LOSE",O767))</f>
        <v>S41</v>
      </c>
      <c r="BQ767" s="57" t="n">
        <f aca="false">IF(BP767="LOSE",1,IF(N(T767)&gt;0,T767,IF(N(P767)&gt;0,P767,MAX(1,G767))))</f>
        <v>5000</v>
      </c>
      <c r="BR767" s="60" t="n">
        <f aca="false">IF(BP767="LOSE",1,0)</f>
        <v>0</v>
      </c>
      <c r="BS767" s="59" t="n">
        <f aca="false">IF(BR767=0,0,IF(N(R767)&gt;0,R767,IFERROR(VLOOKUP(D767,Parameter!$A$35:$C$64,3,0)+0,0)))</f>
        <v>0</v>
      </c>
      <c r="BT767" s="55" t="n">
        <f aca="false">IF(Y767&lt;&gt;"",Y767,X767)</f>
        <v>3</v>
      </c>
      <c r="BU767" s="55" t="str">
        <f aca="false">IF(BT767=1,"L1",IF(OR(BT767=2,BT767=3),"L23",IF(BT767="Aussen","Aussen","-")))</f>
        <v>L23</v>
      </c>
      <c r="BV767" s="66" t="n">
        <f aca="false">IF(N(Z767)&gt;0,Z767,0)</f>
        <v>0</v>
      </c>
      <c r="BW767" s="60" t="n">
        <f aca="false">IF(ISNUMBER(AC767),1,0)</f>
        <v>0</v>
      </c>
      <c r="BX767" s="57" t="n">
        <f aca="false">N(AC767)</f>
        <v>0</v>
      </c>
      <c r="BY767" s="57" t="n">
        <f aca="false">N(L767)+N(M767)</f>
        <v>1</v>
      </c>
      <c r="BZ767" s="57" t="n">
        <f aca="false">ROUNDUP(G767/BQ767,0)</f>
        <v>0</v>
      </c>
      <c r="CA767" s="57" t="n">
        <f aca="false">ROUNDUP(BX767/BQ767,0)</f>
        <v>0</v>
      </c>
      <c r="CB767" s="60" t="n">
        <f aca="false">IF(BR767=1,0,IFERROR(VLOOKUP(BP767,'Gebinde-Kategorie'!$A$5:$M$45,5,0)+0,0))</f>
        <v>11</v>
      </c>
      <c r="CC767" s="60" t="n">
        <f aca="false">IFERROR(IF(OR(BT767=1,BT767=2,BT767=3),N(INDEX(Parameter!$I$5:$I$7,BT767)),0),0)</f>
        <v>0</v>
      </c>
      <c r="CD767" s="59" t="n">
        <f aca="false">IF(AND(Parameter!$B$21="Ja",ISNUMBER(U767),N(V767)&gt;0),IFERROR(N(INDEX(Parameter!$L$5:$L$7,U767))*INDEX(Parameter!$E$5:$E$7,U767)*V767/SUMIFS($V$7:$V$1576,$U$7:$U$1576,U767),0),0)</f>
        <v>0</v>
      </c>
    </row>
    <row r="768" customFormat="false" ht="15" hidden="false" customHeight="false" outlineLevel="0" collapsed="false">
      <c r="A768" s="55" t="s">
        <v>1498</v>
      </c>
      <c r="B768" s="55" t="s">
        <v>938</v>
      </c>
      <c r="C768" s="55" t="s">
        <v>160</v>
      </c>
      <c r="D768" s="55" t="s">
        <v>178</v>
      </c>
      <c r="E768" s="55" t="s">
        <v>210</v>
      </c>
      <c r="F768" s="56" t="n">
        <v>0.03</v>
      </c>
      <c r="G768" s="57" t="n">
        <f aca="false">MAX(0,IF(AND(Parameter!$B$21="Ja",ISNUMBER(W768)),W768,IF(Parameter!$B$20="Jahresanfang 2025 + Export",BJ768+BI768,BI768)))</f>
        <v>0</v>
      </c>
      <c r="H768" s="57" t="n">
        <f aca="false">G768*F768</f>
        <v>0</v>
      </c>
      <c r="I768" s="57" t="n">
        <f aca="false">BL768*Parameter!$B$18</f>
        <v>12</v>
      </c>
      <c r="J768" s="58" t="n">
        <v>294</v>
      </c>
      <c r="K768" s="59" t="n">
        <v>0.0408163265306122</v>
      </c>
      <c r="L768" s="57" t="n">
        <v>0</v>
      </c>
      <c r="M768" s="57" t="n">
        <v>10</v>
      </c>
      <c r="N768" s="60" t="n">
        <v>14</v>
      </c>
      <c r="O768" s="55" t="s">
        <v>411</v>
      </c>
      <c r="P768" s="57" t="n">
        <v>380</v>
      </c>
      <c r="Q768" s="60" t="n">
        <f aca="false">IF(BR768=1,0,IFERROR(VLOOKUP(BP768,'Gebinde-Kategorie'!$A$5:$M$45,13,0)+0,0))</f>
        <v>132</v>
      </c>
      <c r="R768" s="61"/>
      <c r="S768" s="62"/>
      <c r="T768" s="62"/>
      <c r="U768" s="55"/>
      <c r="V768" s="57"/>
      <c r="W768" s="57"/>
      <c r="X768" s="55" t="n">
        <f aca="false">IF(A768="","",IF(AND(Parameter!$B$21="Ja",ISNUMBER(U768)),U768,IF(IFERROR(VLOOKUP(D768,Parameter!$A$35:$C$64,2,0),"Nein")="2+3",IF(ISNUMBER(SEARCH("grosser Artikel",BM768)),2,IFERROR(VLOOKUP(BP768,Parameter!$F$35:$G$64,2,0),2)),IF(OR(IFERROR(VLOOKUP(D768,Parameter!$A$35:$C$64,2,0),"Nein")="Nein",IFERROR(VLOOKUP(D768,Parameter!$A$35:$C$64,2,0),"Nein")=""),"-",VLOOKUP(D768,Parameter!$A$35:$C$64,2,0)))))</f>
        <v>3</v>
      </c>
      <c r="Y768" s="62"/>
      <c r="Z768" s="63"/>
      <c r="AA768" s="57" t="n">
        <f aca="false">AP768</f>
        <v>380</v>
      </c>
      <c r="AB768" s="57" t="n">
        <f aca="false">MAX(AP768,G768)</f>
        <v>380</v>
      </c>
      <c r="AC768" s="64"/>
      <c r="AD768" s="57" t="n">
        <f aca="false">IF(LEFT(Cockpit!$C$5,1)="A",G768,IF(BW768=1,BX768,IF(LEFT(Cockpit!$C$5,1)="B",AH768,MAX(AH768,G768))))</f>
        <v>0</v>
      </c>
      <c r="AE768" s="57" t="n">
        <f aca="false">IF(BR768=1,0,ROUNDUP(AD768/BQ768,0))</f>
        <v>0</v>
      </c>
      <c r="AF768" s="59" t="n">
        <f aca="false">IF(CD768&gt;0,CD768*MAX(1,AD768/V768),IF(BR768=1,IF(AD768&lt;=0,0,BS768*MAX(1,IF(G768&gt;0,AD768/G768,1))),IF(Q768&gt;0,AE768/Q768,0))/MAX(0.1,N(Parameter!$M$21)))</f>
        <v>0</v>
      </c>
      <c r="AG768" s="57" t="n">
        <f aca="false">AD768*F768</f>
        <v>0</v>
      </c>
      <c r="AH768" s="57" t="n">
        <f aca="false">ROUNDUP(MAX(I768/IF(BV768&gt;0,BV768,MAX(0.1,N(Cockpit!$C$6))),BY768)/BQ768,0)*BQ768</f>
        <v>380</v>
      </c>
      <c r="AI768" s="58" t="n">
        <f aca="false">IF(AF768&gt;0,I768/AF768,-1)</f>
        <v>-1</v>
      </c>
      <c r="AJ768" s="58" t="str">
        <f aca="false">IF(AND(OR(BU768="L1",BU768="L23"),AF768&gt;0),SUMIFS($AF$7:$AF$1576,$BU$7:$BU$1576,BU768,$AI$7:$AI$1576,"&gt;"&amp;AI768)+SUMIFS($AF$7:$AF$1576,$BU$7:$BU$1576,BU768,$AI$7:$AI$1576,AI768,$BO$7:$BO$1576,"&lt;="&amp;BO768),"")</f>
        <v/>
      </c>
      <c r="AK768" s="65" t="n">
        <f aca="false">IF(AJ768="",0,MAX(0,MIN(1,(IF(BU768="L1",Parameter!$E$5,Parameter!$E$6+Parameter!$E$7)-(AJ768-AF768))/AF768)))</f>
        <v>0</v>
      </c>
      <c r="AL768" s="57" t="n">
        <f aca="false">IF(LEFT(Cockpit!$I$5,1)="A",G768,IF(BW768=1,BX768,IF(LEFT(Cockpit!$I$5,1)="B",AP768,MAX(AP768,G768))))</f>
        <v>380</v>
      </c>
      <c r="AM768" s="57" t="n">
        <f aca="false">IF(BR768=1,0,ROUNDUP(AL768/BQ768,0))</f>
        <v>1</v>
      </c>
      <c r="AN768" s="59" t="n">
        <f aca="false">IF(CD768&gt;0,CD768*MAX(1,AL768/V768),IF(BR768=1,IF(AL768&lt;=0,0,BS768*MAX(1,IF(G768&gt;0,AL768/G768,1))),IF(Q768&gt;0,AM768/Q768,0))/MAX(0.1,N(Parameter!$M$21)))</f>
        <v>0.00757575757575758</v>
      </c>
      <c r="AO768" s="57" t="n">
        <f aca="false">AL768*F768</f>
        <v>11.4</v>
      </c>
      <c r="AP768" s="57" t="n">
        <f aca="false">ROUNDUP(MAX(I768/IF(BV768&gt;0,BV768,MAX(0.1,N(Cockpit!$I$6))),BY768)/BQ768,0)*BQ768</f>
        <v>380</v>
      </c>
      <c r="AQ768" s="58" t="n">
        <f aca="false">IF(AN768&gt;0,I768/AN768,-1)</f>
        <v>1584</v>
      </c>
      <c r="AR768" s="58" t="n">
        <f aca="false">IF(AND(OR(BU768="L1",BU768="L23"),AN768&gt;0),SUMIFS($AN$7:$AN$1576,$BU$7:$BU$1576,BU768,$AQ$7:$AQ$1576,"&gt;"&amp;AQ768)+SUMIFS($AN$7:$AN$1576,$BU$7:$BU$1576,BU768,$AQ$7:$AQ$1576,AQ768,$BO$7:$BO$1576,"&lt;="&amp;BO768),"")</f>
        <v>18.8735079537365</v>
      </c>
      <c r="AS768" s="65" t="n">
        <f aca="false">IF(AR768="",0,MAX(0,MIN(1,(IF(BU768="L1",Parameter!$E$5,Parameter!$E$6+Parameter!$E$7)-(AR768-AN768))/AN768)))</f>
        <v>1</v>
      </c>
      <c r="AT768" s="57" t="n">
        <f aca="false">IF(LEFT(Cockpit!$O$5,1)="A",G768,IF(BW768=1,BX768,IF(LEFT(Cockpit!$O$5,1)="B",AX768,MAX(AX768,G768))))</f>
        <v>380</v>
      </c>
      <c r="AU768" s="57" t="n">
        <f aca="false">IF(BR768=1,0,ROUNDUP(AT768/BQ768,0))</f>
        <v>1</v>
      </c>
      <c r="AV768" s="59" t="n">
        <f aca="false">IF(CD768&gt;0,CD768*MAX(1,AT768/V768),IF(BR768=1,IF(AT768&lt;=0,0,BS768*MAX(1,IF(G768&gt;0,AT768/G768,1))),IF(Q768&gt;0,AU768/Q768,0))/MAX(0.1,N(Parameter!$M$21)))</f>
        <v>0.00757575757575758</v>
      </c>
      <c r="AW768" s="57" t="n">
        <f aca="false">AT768*F768</f>
        <v>11.4</v>
      </c>
      <c r="AX768" s="57" t="n">
        <f aca="false">ROUNDUP(MAX(I768/IF(BV768&gt;0,BV768,MAX(0.1,N(Cockpit!$O$6))),BY768)/BQ768,0)*BQ768</f>
        <v>380</v>
      </c>
      <c r="AY768" s="58" t="n">
        <f aca="false">IF(AV768&gt;0,I768/AV768,-1)</f>
        <v>1584</v>
      </c>
      <c r="AZ768" s="58" t="n">
        <f aca="false">IF(AND(OR(BU768="L1",BU768="L23"),AV768&gt;0),SUMIFS($AV$7:$AV$1576,$BU$7:$BU$1576,BU768,$AY$7:$AY$1576,"&gt;"&amp;AY768)+SUMIFS($AV$7:$AV$1576,$BU$7:$BU$1576,BU768,$AY$7:$AY$1576,AY768,$BO$7:$BO$1576,"&lt;="&amp;BO768),"")</f>
        <v>17.8507806810092</v>
      </c>
      <c r="BA768" s="65" t="n">
        <f aca="false">IF(AZ768="",0,MAX(0,MIN(1,(IF(BU768="L1",Parameter!$E$5,Parameter!$E$6+Parameter!$E$7)-(AZ768-AV768))/AV768)))</f>
        <v>1</v>
      </c>
      <c r="BB768" s="55" t="str">
        <f aca="false">IF(AF768&lt;=0,"",IF(BU768="Aussen","Aussenlager",IF(BU768="-","Nicht im Lift",IF(AK768&gt;=1,"Lift",IF(AK768&lt;=0,"Aussenlager","teilweise")))))</f>
        <v/>
      </c>
      <c r="BC768" s="55" t="str">
        <f aca="false">IF(AN768&lt;=0,"",IF(BU768="Aussen","Aussenlager",IF(BU768="-","Nicht im Lift",IF(AS768&gt;=1,"Lift",IF(AS768&lt;=0,"Aussenlager","teilweise")))))</f>
        <v>Lift</v>
      </c>
      <c r="BD768" s="55" t="str">
        <f aca="false">IF(AV768&lt;=0,"",IF(BU768="Aussen","Aussenlager",IF(BU768="-","Nicht im Lift",IF(BA768&gt;=1,"Lift",IF(BA768&lt;=0,"Aussenlager","teilweise")))))</f>
        <v>Lift</v>
      </c>
      <c r="BE768" s="55" t="str">
        <f aca="false">IF(A768="","",IF(BN768=1,"Neu; ","")&amp;IF(AND(BN768=0,BI768&lt;0),"negativer Bestand (Export "&amp;BI768&amp;"); ","")&amp;IF(I768&lt;=0,"Kein Verbrauch; ","")&amp;IF(CD768&gt;0,"Lift "&amp;U768&amp;" lt. Liftbericht (Fach "&amp;V768&amp;" Stk); ",IF(BR768=1,"Lose – Fläche geschätzt; ",""))&amp;IF(G768&gt;AP768,"Überbestand "&amp;ROUND(G768-AP768,0)&amp;" Stk / CHF "&amp;ROUND((G768-AP768)*F768,0)&amp;"; ","")&amp;IF(AND(BW768=1,BX768&lt;BY768),"MAX &lt; MB+LG; ","")&amp;IF(AND(CC768&gt;0,CB768*10&gt;CC768),"zu hoch für Tablar; ","")&amp;IF(AND(BN768=0,OR(BW768=1,Y768&lt;&gt;"",S768&lt;&gt;"",T768&lt;&gt;"",Z768&lt;&gt;"")),"manuell übersteuert; ","")&amp;IF(AND(BR768=0,Q768=0),"Gebinde unbekannt / Stellmass fehlt; ","")&amp;IF(AND(BR768=0,N(T768)&lt;=0,N(P768)&lt;=0),"Menge pro Gebinde fehlt (Ist = 1 Gebinde); ","")&amp;BM768)</f>
        <v>negativer Bestand (Export -34); </v>
      </c>
      <c r="BF768" s="55"/>
      <c r="BG768" s="55"/>
      <c r="BH768" s="62"/>
      <c r="BI768" s="57" t="n">
        <v>-34</v>
      </c>
      <c r="BJ768" s="57" t="n">
        <v>311</v>
      </c>
      <c r="BK768" s="56" t="n">
        <v>-1.02</v>
      </c>
      <c r="BL768" s="57" t="n">
        <v>12</v>
      </c>
      <c r="BM768" s="55"/>
      <c r="BN768" s="60" t="n">
        <v>0</v>
      </c>
      <c r="BO768" s="60" t="n">
        <v>768</v>
      </c>
      <c r="BP768" s="55" t="str">
        <f aca="false">IF(S768&lt;&gt;"",UPPER(TRIM(S768)),IF(O768="","LOSE",O768))</f>
        <v>S32</v>
      </c>
      <c r="BQ768" s="57" t="n">
        <f aca="false">IF(BP768="LOSE",1,IF(N(T768)&gt;0,T768,IF(N(P768)&gt;0,P768,MAX(1,G768))))</f>
        <v>380</v>
      </c>
      <c r="BR768" s="60" t="n">
        <f aca="false">IF(BP768="LOSE",1,0)</f>
        <v>0</v>
      </c>
      <c r="BS768" s="59" t="n">
        <f aca="false">IF(BR768=0,0,IF(N(R768)&gt;0,R768,IFERROR(VLOOKUP(D768,Parameter!$A$35:$C$64,3,0)+0,0)))</f>
        <v>0</v>
      </c>
      <c r="BT768" s="55" t="n">
        <f aca="false">IF(Y768&lt;&gt;"",Y768,X768)</f>
        <v>3</v>
      </c>
      <c r="BU768" s="55" t="str">
        <f aca="false">IF(BT768=1,"L1",IF(OR(BT768=2,BT768=3),"L23",IF(BT768="Aussen","Aussen","-")))</f>
        <v>L23</v>
      </c>
      <c r="BV768" s="66" t="n">
        <f aca="false">IF(N(Z768)&gt;0,Z768,0)</f>
        <v>0</v>
      </c>
      <c r="BW768" s="60" t="n">
        <f aca="false">IF(ISNUMBER(AC768),1,0)</f>
        <v>0</v>
      </c>
      <c r="BX768" s="57" t="n">
        <f aca="false">N(AC768)</f>
        <v>0</v>
      </c>
      <c r="BY768" s="57" t="n">
        <f aca="false">N(L768)+N(M768)</f>
        <v>10</v>
      </c>
      <c r="BZ768" s="57" t="n">
        <f aca="false">ROUNDUP(G768/BQ768,0)</f>
        <v>0</v>
      </c>
      <c r="CA768" s="57" t="n">
        <f aca="false">ROUNDUP(BX768/BQ768,0)</f>
        <v>0</v>
      </c>
      <c r="CB768" s="60" t="n">
        <f aca="false">IF(BR768=1,0,IFERROR(VLOOKUP(BP768,'Gebinde-Kategorie'!$A$5:$M$45,5,0)+0,0))</f>
        <v>8</v>
      </c>
      <c r="CC768" s="60" t="n">
        <f aca="false">IFERROR(IF(OR(BT768=1,BT768=2,BT768=3),N(INDEX(Parameter!$I$5:$I$7,BT768)),0),0)</f>
        <v>0</v>
      </c>
      <c r="CD768" s="59" t="n">
        <f aca="false">IF(AND(Parameter!$B$21="Ja",ISNUMBER(U768),N(V768)&gt;0),IFERROR(N(INDEX(Parameter!$L$5:$L$7,U768))*INDEX(Parameter!$E$5:$E$7,U768)*V768/SUMIFS($V$7:$V$1576,$U$7:$U$1576,U768),0),0)</f>
        <v>0</v>
      </c>
    </row>
    <row r="769" customFormat="false" ht="15" hidden="false" customHeight="false" outlineLevel="0" collapsed="false">
      <c r="A769" s="55" t="s">
        <v>1499</v>
      </c>
      <c r="B769" s="55" t="s">
        <v>1011</v>
      </c>
      <c r="C769" s="55" t="s">
        <v>160</v>
      </c>
      <c r="D769" s="55" t="s">
        <v>178</v>
      </c>
      <c r="E769" s="55" t="s">
        <v>210</v>
      </c>
      <c r="F769" s="56" t="n">
        <v>0.54</v>
      </c>
      <c r="G769" s="57" t="n">
        <f aca="false">MAX(0,IF(AND(Parameter!$B$21="Ja",ISNUMBER(W769)),W769,IF(Parameter!$B$20="Jahresanfang 2025 + Export",BJ769+BI769,BI769)))</f>
        <v>0</v>
      </c>
      <c r="H769" s="57" t="n">
        <f aca="false">G769*F769</f>
        <v>0</v>
      </c>
      <c r="I769" s="57" t="n">
        <f aca="false">BL769*Parameter!$B$18</f>
        <v>0</v>
      </c>
      <c r="J769" s="58" t="n">
        <v>409</v>
      </c>
      <c r="K769" s="59" t="n">
        <v>0</v>
      </c>
      <c r="L769" s="57" t="n">
        <v>0</v>
      </c>
      <c r="M769" s="57" t="n">
        <v>1</v>
      </c>
      <c r="N769" s="60" t="n">
        <v>14</v>
      </c>
      <c r="O769" s="55" t="s">
        <v>293</v>
      </c>
      <c r="P769" s="57" t="n">
        <v>440</v>
      </c>
      <c r="Q769" s="60" t="n">
        <f aca="false">IF(BR769=1,0,IFERROR(VLOOKUP(BP769,'Gebinde-Kategorie'!$A$5:$M$45,13,0)+0,0))</f>
        <v>26</v>
      </c>
      <c r="R769" s="61"/>
      <c r="S769" s="62"/>
      <c r="T769" s="62"/>
      <c r="U769" s="55"/>
      <c r="V769" s="57"/>
      <c r="W769" s="57"/>
      <c r="X769" s="55" t="n">
        <f aca="false">IF(A769="","",IF(AND(Parameter!$B$21="Ja",ISNUMBER(U769)),U769,IF(IFERROR(VLOOKUP(D769,Parameter!$A$35:$C$64,2,0),"Nein")="2+3",IF(ISNUMBER(SEARCH("grosser Artikel",BM769)),2,IFERROR(VLOOKUP(BP769,Parameter!$F$35:$G$64,2,0),2)),IF(OR(IFERROR(VLOOKUP(D769,Parameter!$A$35:$C$64,2,0),"Nein")="Nein",IFERROR(VLOOKUP(D769,Parameter!$A$35:$C$64,2,0),"Nein")=""),"-",VLOOKUP(D769,Parameter!$A$35:$C$64,2,0)))))</f>
        <v>3</v>
      </c>
      <c r="Y769" s="62"/>
      <c r="Z769" s="63"/>
      <c r="AA769" s="57" t="n">
        <f aca="false">AP769</f>
        <v>440</v>
      </c>
      <c r="AB769" s="57" t="n">
        <f aca="false">MAX(AP769,G769)</f>
        <v>440</v>
      </c>
      <c r="AC769" s="64"/>
      <c r="AD769" s="57" t="n">
        <f aca="false">IF(LEFT(Cockpit!$C$5,1)="A",G769,IF(BW769=1,BX769,IF(LEFT(Cockpit!$C$5,1)="B",AH769,MAX(AH769,G769))))</f>
        <v>0</v>
      </c>
      <c r="AE769" s="57" t="n">
        <f aca="false">IF(BR769=1,0,ROUNDUP(AD769/BQ769,0))</f>
        <v>0</v>
      </c>
      <c r="AF769" s="59" t="n">
        <f aca="false">IF(CD769&gt;0,CD769*MAX(1,AD769/V769),IF(BR769=1,IF(AD769&lt;=0,0,BS769*MAX(1,IF(G769&gt;0,AD769/G769,1))),IF(Q769&gt;0,AE769/Q769,0))/MAX(0.1,N(Parameter!$M$21)))</f>
        <v>0</v>
      </c>
      <c r="AG769" s="57" t="n">
        <f aca="false">AD769*F769</f>
        <v>0</v>
      </c>
      <c r="AH769" s="57" t="n">
        <f aca="false">ROUNDUP(MAX(I769/IF(BV769&gt;0,BV769,MAX(0.1,N(Cockpit!$C$6))),BY769)/BQ769,0)*BQ769</f>
        <v>440</v>
      </c>
      <c r="AI769" s="58" t="n">
        <f aca="false">IF(AF769&gt;0,I769/AF769,-1)</f>
        <v>-1</v>
      </c>
      <c r="AJ769" s="58" t="str">
        <f aca="false">IF(AND(OR(BU769="L1",BU769="L23"),AF769&gt;0),SUMIFS($AF$7:$AF$1576,$BU$7:$BU$1576,BU769,$AI$7:$AI$1576,"&gt;"&amp;AI769)+SUMIFS($AF$7:$AF$1576,$BU$7:$BU$1576,BU769,$AI$7:$AI$1576,AI769,$BO$7:$BO$1576,"&lt;="&amp;BO769),"")</f>
        <v/>
      </c>
      <c r="AK769" s="65" t="n">
        <f aca="false">IF(AJ769="",0,MAX(0,MIN(1,(IF(BU769="L1",Parameter!$E$5,Parameter!$E$6+Parameter!$E$7)-(AJ769-AF769))/AF769)))</f>
        <v>0</v>
      </c>
      <c r="AL769" s="57" t="n">
        <f aca="false">IF(LEFT(Cockpit!$I$5,1)="A",G769,IF(BW769=1,BX769,IF(LEFT(Cockpit!$I$5,1)="B",AP769,MAX(AP769,G769))))</f>
        <v>440</v>
      </c>
      <c r="AM769" s="57" t="n">
        <f aca="false">IF(BR769=1,0,ROUNDUP(AL769/BQ769,0))</f>
        <v>1</v>
      </c>
      <c r="AN769" s="59" t="n">
        <f aca="false">IF(CD769&gt;0,CD769*MAX(1,AL769/V769),IF(BR769=1,IF(AL769&lt;=0,0,BS769*MAX(1,IF(G769&gt;0,AL769/G769,1))),IF(Q769&gt;0,AM769/Q769,0))/MAX(0.1,N(Parameter!$M$21)))</f>
        <v>0.0384615384615385</v>
      </c>
      <c r="AO769" s="57" t="n">
        <f aca="false">AL769*F769</f>
        <v>237.6</v>
      </c>
      <c r="AP769" s="57" t="n">
        <f aca="false">ROUNDUP(MAX(I769/IF(BV769&gt;0,BV769,MAX(0.1,N(Cockpit!$I$6))),BY769)/BQ769,0)*BQ769</f>
        <v>440</v>
      </c>
      <c r="AQ769" s="58" t="n">
        <f aca="false">IF(AN769&gt;0,I769/AN769,-1)</f>
        <v>0</v>
      </c>
      <c r="AR769" s="58" t="n">
        <f aca="false">IF(AND(OR(BU769="L1",BU769="L23"),AN769&gt;0),SUMIFS($AN$7:$AN$1576,$BU$7:$BU$1576,BU769,$AQ$7:$AQ$1576,"&gt;"&amp;AQ769)+SUMIFS($AN$7:$AN$1576,$BU$7:$BU$1576,BU769,$AQ$7:$AQ$1576,AQ769,$BO$7:$BO$1576,"&lt;="&amp;BO769),"")</f>
        <v>130.546866056696</v>
      </c>
      <c r="AS769" s="65" t="n">
        <f aca="false">IF(AR769="",0,MAX(0,MIN(1,(IF(BU769="L1",Parameter!$E$5,Parameter!$E$6+Parameter!$E$7)-(AR769-AN769))/AN769)))</f>
        <v>0</v>
      </c>
      <c r="AT769" s="57" t="n">
        <f aca="false">IF(LEFT(Cockpit!$O$5,1)="A",G769,IF(BW769=1,BX769,IF(LEFT(Cockpit!$O$5,1)="B",AX769,MAX(AX769,G769))))</f>
        <v>440</v>
      </c>
      <c r="AU769" s="57" t="n">
        <f aca="false">IF(BR769=1,0,ROUNDUP(AT769/BQ769,0))</f>
        <v>1</v>
      </c>
      <c r="AV769" s="59" t="n">
        <f aca="false">IF(CD769&gt;0,CD769*MAX(1,AT769/V769),IF(BR769=1,IF(AT769&lt;=0,0,BS769*MAX(1,IF(G769&gt;0,AT769/G769,1))),IF(Q769&gt;0,AU769/Q769,0))/MAX(0.1,N(Parameter!$M$21)))</f>
        <v>0.0384615384615385</v>
      </c>
      <c r="AW769" s="57" t="n">
        <f aca="false">AT769*F769</f>
        <v>237.6</v>
      </c>
      <c r="AX769" s="57" t="n">
        <f aca="false">ROUNDUP(MAX(I769/IF(BV769&gt;0,BV769,MAX(0.1,N(Cockpit!$O$6))),BY769)/BQ769,0)*BQ769</f>
        <v>440</v>
      </c>
      <c r="AY769" s="58" t="n">
        <f aca="false">IF(AV769&gt;0,I769/AV769,-1)</f>
        <v>0</v>
      </c>
      <c r="AZ769" s="58" t="n">
        <f aca="false">IF(AND(OR(BU769="L1",BU769="L23"),AV769&gt;0),SUMIFS($AV$7:$AV$1576,$BU$7:$BU$1576,BU769,$AY$7:$AY$1576,"&gt;"&amp;AY769)+SUMIFS($AV$7:$AV$1576,$BU$7:$BU$1576,BU769,$AY$7:$AY$1576,AY769,$BO$7:$BO$1576,"&lt;="&amp;BO769),"")</f>
        <v>120.606416506247</v>
      </c>
      <c r="BA769" s="65" t="n">
        <f aca="false">IF(AZ769="",0,MAX(0,MIN(1,(IF(BU769="L1",Parameter!$E$5,Parameter!$E$6+Parameter!$E$7)-(AZ769-AV769))/AV769)))</f>
        <v>0</v>
      </c>
      <c r="BB769" s="55" t="str">
        <f aca="false">IF(AF769&lt;=0,"",IF(BU769="Aussen","Aussenlager",IF(BU769="-","Nicht im Lift",IF(AK769&gt;=1,"Lift",IF(AK769&lt;=0,"Aussenlager","teilweise")))))</f>
        <v/>
      </c>
      <c r="BC769" s="55" t="str">
        <f aca="false">IF(AN769&lt;=0,"",IF(BU769="Aussen","Aussenlager",IF(BU769="-","Nicht im Lift",IF(AS769&gt;=1,"Lift",IF(AS769&lt;=0,"Aussenlager","teilweise")))))</f>
        <v>Aussenlager</v>
      </c>
      <c r="BD769" s="55" t="str">
        <f aca="false">IF(AV769&lt;=0,"",IF(BU769="Aussen","Aussenlager",IF(BU769="-","Nicht im Lift",IF(BA769&gt;=1,"Lift",IF(BA769&lt;=0,"Aussenlager","teilweise")))))</f>
        <v>Aussenlager</v>
      </c>
      <c r="BE769" s="55" t="str">
        <f aca="false">IF(A769="","",IF(BN769=1,"Neu; ","")&amp;IF(AND(BN769=0,BI769&lt;0),"negativer Bestand (Export "&amp;BI769&amp;"); ","")&amp;IF(I769&lt;=0,"Kein Verbrauch; ","")&amp;IF(CD769&gt;0,"Lift "&amp;U769&amp;" lt. Liftbericht (Fach "&amp;V769&amp;" Stk); ",IF(BR769=1,"Lose – Fläche geschätzt; ",""))&amp;IF(G769&gt;AP769,"Überbestand "&amp;ROUND(G769-AP769,0)&amp;" Stk / CHF "&amp;ROUND((G769-AP769)*F769,0)&amp;"; ","")&amp;IF(AND(BW769=1,BX769&lt;BY769),"MAX &lt; MB+LG; ","")&amp;IF(AND(CC769&gt;0,CB769*10&gt;CC769),"zu hoch für Tablar; ","")&amp;IF(AND(BN769=0,OR(BW769=1,Y769&lt;&gt;"",S769&lt;&gt;"",T769&lt;&gt;"",Z769&lt;&gt;"")),"manuell übersteuert; ","")&amp;IF(AND(BR769=0,Q769=0),"Gebinde unbekannt / Stellmass fehlt; ","")&amp;IF(AND(BR769=0,N(T769)&lt;=0,N(P769)&lt;=0),"Menge pro Gebinde fehlt (Ist = 1 Gebinde); ","")&amp;BM769)</f>
        <v>negativer Bestand (Export -2); Kein Verbrauch; Neu</v>
      </c>
      <c r="BF769" s="55"/>
      <c r="BG769" s="55"/>
      <c r="BH769" s="62"/>
      <c r="BI769" s="57" t="n">
        <v>-2</v>
      </c>
      <c r="BJ769" s="57" t="n">
        <v>410</v>
      </c>
      <c r="BK769" s="56" t="n">
        <v>-1.08</v>
      </c>
      <c r="BL769" s="57" t="n">
        <v>0</v>
      </c>
      <c r="BM769" s="55" t="s">
        <v>615</v>
      </c>
      <c r="BN769" s="60" t="n">
        <v>0</v>
      </c>
      <c r="BO769" s="60" t="n">
        <v>769</v>
      </c>
      <c r="BP769" s="55" t="str">
        <f aca="false">IF(S769&lt;&gt;"",UPPER(TRIM(S769)),IF(O769="","LOSE",O769))</f>
        <v>S51</v>
      </c>
      <c r="BQ769" s="57" t="n">
        <f aca="false">IF(BP769="LOSE",1,IF(N(T769)&gt;0,T769,IF(N(P769)&gt;0,P769,MAX(1,G769))))</f>
        <v>440</v>
      </c>
      <c r="BR769" s="60" t="n">
        <f aca="false">IF(BP769="LOSE",1,0)</f>
        <v>0</v>
      </c>
      <c r="BS769" s="59" t="n">
        <f aca="false">IF(BR769=0,0,IF(N(R769)&gt;0,R769,IFERROR(VLOOKUP(D769,Parameter!$A$35:$C$64,3,0)+0,0)))</f>
        <v>0</v>
      </c>
      <c r="BT769" s="55" t="n">
        <f aca="false">IF(Y769&lt;&gt;"",Y769,X769)</f>
        <v>3</v>
      </c>
      <c r="BU769" s="55" t="str">
        <f aca="false">IF(BT769=1,"L1",IF(OR(BT769=2,BT769=3),"L23",IF(BT769="Aussen","Aussen","-")))</f>
        <v>L23</v>
      </c>
      <c r="BV769" s="66" t="n">
        <f aca="false">IF(N(Z769)&gt;0,Z769,0)</f>
        <v>0</v>
      </c>
      <c r="BW769" s="60" t="n">
        <f aca="false">IF(ISNUMBER(AC769),1,0)</f>
        <v>0</v>
      </c>
      <c r="BX769" s="57" t="n">
        <f aca="false">N(AC769)</f>
        <v>0</v>
      </c>
      <c r="BY769" s="57" t="n">
        <f aca="false">N(L769)+N(M769)</f>
        <v>1</v>
      </c>
      <c r="BZ769" s="57" t="n">
        <f aca="false">ROUNDUP(G769/BQ769,0)</f>
        <v>0</v>
      </c>
      <c r="CA769" s="57" t="n">
        <f aca="false">ROUNDUP(BX769/BQ769,0)</f>
        <v>0</v>
      </c>
      <c r="CB769" s="60" t="n">
        <f aca="false">IF(BR769=1,0,IFERROR(VLOOKUP(BP769,'Gebinde-Kategorie'!$A$5:$M$45,5,0)+0,0))</f>
        <v>11</v>
      </c>
      <c r="CC769" s="60" t="n">
        <f aca="false">IFERROR(IF(OR(BT769=1,BT769=2,BT769=3),N(INDEX(Parameter!$I$5:$I$7,BT769)),0),0)</f>
        <v>0</v>
      </c>
      <c r="CD769" s="59" t="n">
        <f aca="false">IF(AND(Parameter!$B$21="Ja",ISNUMBER(U769),N(V769)&gt;0),IFERROR(N(INDEX(Parameter!$L$5:$L$7,U769))*INDEX(Parameter!$E$5:$E$7,U769)*V769/SUMIFS($V$7:$V$1576,$U$7:$U$1576,U769),0),0)</f>
        <v>0</v>
      </c>
    </row>
    <row r="770" customFormat="false" ht="15" hidden="false" customHeight="false" outlineLevel="0" collapsed="false">
      <c r="A770" s="55" t="s">
        <v>1500</v>
      </c>
      <c r="B770" s="55" t="s">
        <v>643</v>
      </c>
      <c r="C770" s="55" t="s">
        <v>160</v>
      </c>
      <c r="D770" s="55" t="s">
        <v>178</v>
      </c>
      <c r="E770" s="55" t="s">
        <v>210</v>
      </c>
      <c r="F770" s="56" t="n">
        <v>0.01</v>
      </c>
      <c r="G770" s="57" t="n">
        <f aca="false">MAX(0,IF(AND(Parameter!$B$21="Ja",ISNUMBER(W770)),W770,IF(Parameter!$B$20="Jahresanfang 2025 + Export",BJ770+BI770,BI770)))</f>
        <v>0</v>
      </c>
      <c r="H770" s="57" t="n">
        <f aca="false">G770*F770</f>
        <v>0</v>
      </c>
      <c r="I770" s="57" t="n">
        <f aca="false">BL770*Parameter!$B$18</f>
        <v>716</v>
      </c>
      <c r="J770" s="58" t="n">
        <v>491</v>
      </c>
      <c r="K770" s="59" t="n">
        <v>1.45824847250509</v>
      </c>
      <c r="L770" s="57" t="n">
        <v>41</v>
      </c>
      <c r="M770" s="57" t="n">
        <v>715</v>
      </c>
      <c r="N770" s="60" t="n">
        <v>21</v>
      </c>
      <c r="O770" s="55" t="s">
        <v>411</v>
      </c>
      <c r="P770" s="57" t="n">
        <v>819</v>
      </c>
      <c r="Q770" s="60" t="n">
        <f aca="false">IF(BR770=1,0,IFERROR(VLOOKUP(BP770,'Gebinde-Kategorie'!$A$5:$M$45,13,0)+0,0))</f>
        <v>132</v>
      </c>
      <c r="R770" s="61"/>
      <c r="S770" s="62"/>
      <c r="T770" s="62"/>
      <c r="U770" s="55"/>
      <c r="V770" s="57"/>
      <c r="W770" s="57"/>
      <c r="X770" s="55" t="n">
        <f aca="false">IF(A770="","",IF(AND(Parameter!$B$21="Ja",ISNUMBER(U770)),U770,IF(IFERROR(VLOOKUP(D770,Parameter!$A$35:$C$64,2,0),"Nein")="2+3",IF(ISNUMBER(SEARCH("grosser Artikel",BM770)),2,IFERROR(VLOOKUP(BP770,Parameter!$F$35:$G$64,2,0),2)),IF(OR(IFERROR(VLOOKUP(D770,Parameter!$A$35:$C$64,2,0),"Nein")="Nein",IFERROR(VLOOKUP(D770,Parameter!$A$35:$C$64,2,0),"Nein")=""),"-",VLOOKUP(D770,Parameter!$A$35:$C$64,2,0)))))</f>
        <v>3</v>
      </c>
      <c r="Y770" s="62"/>
      <c r="Z770" s="63"/>
      <c r="AA770" s="57" t="n">
        <f aca="false">AP770</f>
        <v>819</v>
      </c>
      <c r="AB770" s="57" t="n">
        <f aca="false">MAX(AP770,G770)</f>
        <v>819</v>
      </c>
      <c r="AC770" s="64"/>
      <c r="AD770" s="57" t="n">
        <f aca="false">IF(LEFT(Cockpit!$C$5,1)="A",G770,IF(BW770=1,BX770,IF(LEFT(Cockpit!$C$5,1)="B",AH770,MAX(AH770,G770))))</f>
        <v>0</v>
      </c>
      <c r="AE770" s="57" t="n">
        <f aca="false">IF(BR770=1,0,ROUNDUP(AD770/BQ770,0))</f>
        <v>0</v>
      </c>
      <c r="AF770" s="59" t="n">
        <f aca="false">IF(CD770&gt;0,CD770*MAX(1,AD770/V770),IF(BR770=1,IF(AD770&lt;=0,0,BS770*MAX(1,IF(G770&gt;0,AD770/G770,1))),IF(Q770&gt;0,AE770/Q770,0))/MAX(0.1,N(Parameter!$M$21)))</f>
        <v>0</v>
      </c>
      <c r="AG770" s="57" t="n">
        <f aca="false">AD770*F770</f>
        <v>0</v>
      </c>
      <c r="AH770" s="57" t="n">
        <f aca="false">ROUNDUP(MAX(I770/IF(BV770&gt;0,BV770,MAX(0.1,N(Cockpit!$C$6))),BY770)/BQ770,0)*BQ770</f>
        <v>819</v>
      </c>
      <c r="AI770" s="58" t="n">
        <f aca="false">IF(AF770&gt;0,I770/AF770,-1)</f>
        <v>-1</v>
      </c>
      <c r="AJ770" s="58" t="str">
        <f aca="false">IF(AND(OR(BU770="L1",BU770="L23"),AF770&gt;0),SUMIFS($AF$7:$AF$1576,$BU$7:$BU$1576,BU770,$AI$7:$AI$1576,"&gt;"&amp;AI770)+SUMIFS($AF$7:$AF$1576,$BU$7:$BU$1576,BU770,$AI$7:$AI$1576,AI770,$BO$7:$BO$1576,"&lt;="&amp;BO770),"")</f>
        <v/>
      </c>
      <c r="AK770" s="65" t="n">
        <f aca="false">IF(AJ770="",0,MAX(0,MIN(1,(IF(BU770="L1",Parameter!$E$5,Parameter!$E$6+Parameter!$E$7)-(AJ770-AF770))/AF770)))</f>
        <v>0</v>
      </c>
      <c r="AL770" s="57" t="n">
        <f aca="false">IF(LEFT(Cockpit!$I$5,1)="A",G770,IF(BW770=1,BX770,IF(LEFT(Cockpit!$I$5,1)="B",AP770,MAX(AP770,G770))))</f>
        <v>819</v>
      </c>
      <c r="AM770" s="57" t="n">
        <f aca="false">IF(BR770=1,0,ROUNDUP(AL770/BQ770,0))</f>
        <v>1</v>
      </c>
      <c r="AN770" s="59" t="n">
        <f aca="false">IF(CD770&gt;0,CD770*MAX(1,AL770/V770),IF(BR770=1,IF(AL770&lt;=0,0,BS770*MAX(1,IF(G770&gt;0,AL770/G770,1))),IF(Q770&gt;0,AM770/Q770,0))/MAX(0.1,N(Parameter!$M$21)))</f>
        <v>0.00757575757575758</v>
      </c>
      <c r="AO770" s="57" t="n">
        <f aca="false">AL770*F770</f>
        <v>8.19</v>
      </c>
      <c r="AP770" s="57" t="n">
        <f aca="false">ROUNDUP(MAX(I770/IF(BV770&gt;0,BV770,MAX(0.1,N(Cockpit!$I$6))),BY770)/BQ770,0)*BQ770</f>
        <v>819</v>
      </c>
      <c r="AQ770" s="58" t="n">
        <f aca="false">IF(AN770&gt;0,I770/AN770,-1)</f>
        <v>94512</v>
      </c>
      <c r="AR770" s="58" t="n">
        <f aca="false">IF(AND(OR(BU770="L1",BU770="L23"),AN770&gt;0),SUMIFS($AN$7:$AN$1576,$BU$7:$BU$1576,BU770,$AQ$7:$AQ$1576,"&gt;"&amp;AQ770)+SUMIFS($AN$7:$AN$1576,$BU$7:$BU$1576,BU770,$AQ$7:$AQ$1576,AQ770,$BO$7:$BO$1576,"&lt;="&amp;BO770),"")</f>
        <v>0.439576365663322</v>
      </c>
      <c r="AS770" s="65" t="n">
        <f aca="false">IF(AR770="",0,MAX(0,MIN(1,(IF(BU770="L1",Parameter!$E$5,Parameter!$E$6+Parameter!$E$7)-(AR770-AN770))/AN770)))</f>
        <v>1</v>
      </c>
      <c r="AT770" s="57" t="n">
        <f aca="false">IF(LEFT(Cockpit!$O$5,1)="A",G770,IF(BW770=1,BX770,IF(LEFT(Cockpit!$O$5,1)="B",AX770,MAX(AX770,G770))))</f>
        <v>819</v>
      </c>
      <c r="AU770" s="57" t="n">
        <f aca="false">IF(BR770=1,0,ROUNDUP(AT770/BQ770,0))</f>
        <v>1</v>
      </c>
      <c r="AV770" s="59" t="n">
        <f aca="false">IF(CD770&gt;0,CD770*MAX(1,AT770/V770),IF(BR770=1,IF(AT770&lt;=0,0,BS770*MAX(1,IF(G770&gt;0,AT770/G770,1))),IF(Q770&gt;0,AU770/Q770,0))/MAX(0.1,N(Parameter!$M$21)))</f>
        <v>0.00757575757575758</v>
      </c>
      <c r="AW770" s="57" t="n">
        <f aca="false">AT770*F770</f>
        <v>8.19</v>
      </c>
      <c r="AX770" s="57" t="n">
        <f aca="false">ROUNDUP(MAX(I770/IF(BV770&gt;0,BV770,MAX(0.1,N(Cockpit!$O$6))),BY770)/BQ770,0)*BQ770</f>
        <v>819</v>
      </c>
      <c r="AY770" s="58" t="n">
        <f aca="false">IF(AV770&gt;0,I770/AV770,-1)</f>
        <v>94512</v>
      </c>
      <c r="AZ770" s="58" t="n">
        <f aca="false">IF(AND(OR(BU770="L1",BU770="L23"),AV770&gt;0),SUMIFS($AV$7:$AV$1576,$BU$7:$BU$1576,BU770,$AY$7:$AY$1576,"&gt;"&amp;AY770)+SUMIFS($AV$7:$AV$1576,$BU$7:$BU$1576,BU770,$AY$7:$AY$1576,AY770,$BO$7:$BO$1576,"&lt;="&amp;BO770),"")</f>
        <v>0.439576365663322</v>
      </c>
      <c r="BA770" s="65" t="n">
        <f aca="false">IF(AZ770="",0,MAX(0,MIN(1,(IF(BU770="L1",Parameter!$E$5,Parameter!$E$6+Parameter!$E$7)-(AZ770-AV770))/AV770)))</f>
        <v>1</v>
      </c>
      <c r="BB770" s="55" t="str">
        <f aca="false">IF(AF770&lt;=0,"",IF(BU770="Aussen","Aussenlager",IF(BU770="-","Nicht im Lift",IF(AK770&gt;=1,"Lift",IF(AK770&lt;=0,"Aussenlager","teilweise")))))</f>
        <v/>
      </c>
      <c r="BC770" s="55" t="str">
        <f aca="false">IF(AN770&lt;=0,"",IF(BU770="Aussen","Aussenlager",IF(BU770="-","Nicht im Lift",IF(AS770&gt;=1,"Lift",IF(AS770&lt;=0,"Aussenlager","teilweise")))))</f>
        <v>Lift</v>
      </c>
      <c r="BD770" s="55" t="str">
        <f aca="false">IF(AV770&lt;=0,"",IF(BU770="Aussen","Aussenlager",IF(BU770="-","Nicht im Lift",IF(BA770&gt;=1,"Lift",IF(BA770&lt;=0,"Aussenlager","teilweise")))))</f>
        <v>Lift</v>
      </c>
      <c r="BE770" s="55" t="str">
        <f aca="false">IF(A770="","",IF(BN770=1,"Neu; ","")&amp;IF(AND(BN770=0,BI770&lt;0),"negativer Bestand (Export "&amp;BI770&amp;"); ","")&amp;IF(I770&lt;=0,"Kein Verbrauch; ","")&amp;IF(CD770&gt;0,"Lift "&amp;U770&amp;" lt. Liftbericht (Fach "&amp;V770&amp;" Stk); ",IF(BR770=1,"Lose – Fläche geschätzt; ",""))&amp;IF(G770&gt;AP770,"Überbestand "&amp;ROUND(G770-AP770,0)&amp;" Stk / CHF "&amp;ROUND((G770-AP770)*F770,0)&amp;"; ","")&amp;IF(AND(BW770=1,BX770&lt;BY770),"MAX &lt; MB+LG; ","")&amp;IF(AND(CC770&gt;0,CB770*10&gt;CC770),"zu hoch für Tablar; ","")&amp;IF(AND(BN770=0,OR(BW770=1,Y770&lt;&gt;"",S770&lt;&gt;"",T770&lt;&gt;"",Z770&lt;&gt;"")),"manuell übersteuert; ","")&amp;IF(AND(BR770=0,Q770=0),"Gebinde unbekannt / Stellmass fehlt; ","")&amp;IF(AND(BR770=0,N(T770)&lt;=0,N(P770)&lt;=0),"Menge pro Gebinde fehlt (Ist = 1 Gebinde); ","")&amp;BM770)</f>
        <v>negativer Bestand (Export -110); </v>
      </c>
      <c r="BF770" s="55"/>
      <c r="BG770" s="55"/>
      <c r="BH770" s="62"/>
      <c r="BI770" s="57" t="n">
        <v>-110</v>
      </c>
      <c r="BJ770" s="57" t="n">
        <v>566</v>
      </c>
      <c r="BK770" s="56" t="n">
        <v>-1.1</v>
      </c>
      <c r="BL770" s="57" t="n">
        <v>716</v>
      </c>
      <c r="BM770" s="55"/>
      <c r="BN770" s="60" t="n">
        <v>0</v>
      </c>
      <c r="BO770" s="60" t="n">
        <v>770</v>
      </c>
      <c r="BP770" s="55" t="str">
        <f aca="false">IF(S770&lt;&gt;"",UPPER(TRIM(S770)),IF(O770="","LOSE",O770))</f>
        <v>S32</v>
      </c>
      <c r="BQ770" s="57" t="n">
        <f aca="false">IF(BP770="LOSE",1,IF(N(T770)&gt;0,T770,IF(N(P770)&gt;0,P770,MAX(1,G770))))</f>
        <v>819</v>
      </c>
      <c r="BR770" s="60" t="n">
        <f aca="false">IF(BP770="LOSE",1,0)</f>
        <v>0</v>
      </c>
      <c r="BS770" s="59" t="n">
        <f aca="false">IF(BR770=0,0,IF(N(R770)&gt;0,R770,IFERROR(VLOOKUP(D770,Parameter!$A$35:$C$64,3,0)+0,0)))</f>
        <v>0</v>
      </c>
      <c r="BT770" s="55" t="n">
        <f aca="false">IF(Y770&lt;&gt;"",Y770,X770)</f>
        <v>3</v>
      </c>
      <c r="BU770" s="55" t="str">
        <f aca="false">IF(BT770=1,"L1",IF(OR(BT770=2,BT770=3),"L23",IF(BT770="Aussen","Aussen","-")))</f>
        <v>L23</v>
      </c>
      <c r="BV770" s="66" t="n">
        <f aca="false">IF(N(Z770)&gt;0,Z770,0)</f>
        <v>0</v>
      </c>
      <c r="BW770" s="60" t="n">
        <f aca="false">IF(ISNUMBER(AC770),1,0)</f>
        <v>0</v>
      </c>
      <c r="BX770" s="57" t="n">
        <f aca="false">N(AC770)</f>
        <v>0</v>
      </c>
      <c r="BY770" s="57" t="n">
        <f aca="false">N(L770)+N(M770)</f>
        <v>756</v>
      </c>
      <c r="BZ770" s="57" t="n">
        <f aca="false">ROUNDUP(G770/BQ770,0)</f>
        <v>0</v>
      </c>
      <c r="CA770" s="57" t="n">
        <f aca="false">ROUNDUP(BX770/BQ770,0)</f>
        <v>0</v>
      </c>
      <c r="CB770" s="60" t="n">
        <f aca="false">IF(BR770=1,0,IFERROR(VLOOKUP(BP770,'Gebinde-Kategorie'!$A$5:$M$45,5,0)+0,0))</f>
        <v>8</v>
      </c>
      <c r="CC770" s="60" t="n">
        <f aca="false">IFERROR(IF(OR(BT770=1,BT770=2,BT770=3),N(INDEX(Parameter!$I$5:$I$7,BT770)),0),0)</f>
        <v>0</v>
      </c>
      <c r="CD770" s="59" t="n">
        <f aca="false">IF(AND(Parameter!$B$21="Ja",ISNUMBER(U770),N(V770)&gt;0),IFERROR(N(INDEX(Parameter!$L$5:$L$7,U770))*INDEX(Parameter!$E$5:$E$7,U770)*V770/SUMIFS($V$7:$V$1576,$U$7:$U$1576,U770),0),0)</f>
        <v>0</v>
      </c>
    </row>
    <row r="771" customFormat="false" ht="15" hidden="false" customHeight="false" outlineLevel="0" collapsed="false">
      <c r="A771" s="55" t="s">
        <v>1501</v>
      </c>
      <c r="B771" s="55" t="s">
        <v>395</v>
      </c>
      <c r="C771" s="55" t="s">
        <v>160</v>
      </c>
      <c r="D771" s="55" t="s">
        <v>178</v>
      </c>
      <c r="E771" s="55" t="s">
        <v>210</v>
      </c>
      <c r="F771" s="56" t="n">
        <v>0.38</v>
      </c>
      <c r="G771" s="57" t="n">
        <f aca="false">MAX(0,IF(AND(Parameter!$B$21="Ja",ISNUMBER(W771)),W771,IF(Parameter!$B$20="Jahresanfang 2025 + Export",BJ771+BI771,BI771)))</f>
        <v>0</v>
      </c>
      <c r="H771" s="57" t="n">
        <f aca="false">G771*F771</f>
        <v>0</v>
      </c>
      <c r="I771" s="57" t="n">
        <f aca="false">BL771*Parameter!$B$18</f>
        <v>2</v>
      </c>
      <c r="J771" s="58" t="n">
        <v>82.5</v>
      </c>
      <c r="K771" s="59" t="n">
        <v>0.0242424242424242</v>
      </c>
      <c r="L771" s="57" t="n">
        <v>0</v>
      </c>
      <c r="M771" s="57" t="n">
        <v>1</v>
      </c>
      <c r="N771" s="60" t="n">
        <v>14</v>
      </c>
      <c r="O771" s="55" t="s">
        <v>411</v>
      </c>
      <c r="P771" s="57" t="n">
        <v>84</v>
      </c>
      <c r="Q771" s="60" t="n">
        <f aca="false">IF(BR771=1,0,IFERROR(VLOOKUP(BP771,'Gebinde-Kategorie'!$A$5:$M$45,13,0)+0,0))</f>
        <v>132</v>
      </c>
      <c r="R771" s="61"/>
      <c r="S771" s="62"/>
      <c r="T771" s="62"/>
      <c r="U771" s="55"/>
      <c r="V771" s="57"/>
      <c r="W771" s="57"/>
      <c r="X771" s="55" t="n">
        <f aca="false">IF(A771="","",IF(AND(Parameter!$B$21="Ja",ISNUMBER(U771)),U771,IF(IFERROR(VLOOKUP(D771,Parameter!$A$35:$C$64,2,0),"Nein")="2+3",IF(ISNUMBER(SEARCH("grosser Artikel",BM771)),2,IFERROR(VLOOKUP(BP771,Parameter!$F$35:$G$64,2,0),2)),IF(OR(IFERROR(VLOOKUP(D771,Parameter!$A$35:$C$64,2,0),"Nein")="Nein",IFERROR(VLOOKUP(D771,Parameter!$A$35:$C$64,2,0),"Nein")=""),"-",VLOOKUP(D771,Parameter!$A$35:$C$64,2,0)))))</f>
        <v>3</v>
      </c>
      <c r="Y771" s="62"/>
      <c r="Z771" s="63"/>
      <c r="AA771" s="57" t="n">
        <f aca="false">AP771</f>
        <v>84</v>
      </c>
      <c r="AB771" s="57" t="n">
        <f aca="false">MAX(AP771,G771)</f>
        <v>84</v>
      </c>
      <c r="AC771" s="64"/>
      <c r="AD771" s="57" t="n">
        <f aca="false">IF(LEFT(Cockpit!$C$5,1)="A",G771,IF(BW771=1,BX771,IF(LEFT(Cockpit!$C$5,1)="B",AH771,MAX(AH771,G771))))</f>
        <v>0</v>
      </c>
      <c r="AE771" s="57" t="n">
        <f aca="false">IF(BR771=1,0,ROUNDUP(AD771/BQ771,0))</f>
        <v>0</v>
      </c>
      <c r="AF771" s="59" t="n">
        <f aca="false">IF(CD771&gt;0,CD771*MAX(1,AD771/V771),IF(BR771=1,IF(AD771&lt;=0,0,BS771*MAX(1,IF(G771&gt;0,AD771/G771,1))),IF(Q771&gt;0,AE771/Q771,0))/MAX(0.1,N(Parameter!$M$21)))</f>
        <v>0</v>
      </c>
      <c r="AG771" s="57" t="n">
        <f aca="false">AD771*F771</f>
        <v>0</v>
      </c>
      <c r="AH771" s="57" t="n">
        <f aca="false">ROUNDUP(MAX(I771/IF(BV771&gt;0,BV771,MAX(0.1,N(Cockpit!$C$6))),BY771)/BQ771,0)*BQ771</f>
        <v>84</v>
      </c>
      <c r="AI771" s="58" t="n">
        <f aca="false">IF(AF771&gt;0,I771/AF771,-1)</f>
        <v>-1</v>
      </c>
      <c r="AJ771" s="58" t="str">
        <f aca="false">IF(AND(OR(BU771="L1",BU771="L23"),AF771&gt;0),SUMIFS($AF$7:$AF$1576,$BU$7:$BU$1576,BU771,$AI$7:$AI$1576,"&gt;"&amp;AI771)+SUMIFS($AF$7:$AF$1576,$BU$7:$BU$1576,BU771,$AI$7:$AI$1576,AI771,$BO$7:$BO$1576,"&lt;="&amp;BO771),"")</f>
        <v/>
      </c>
      <c r="AK771" s="65" t="n">
        <f aca="false">IF(AJ771="",0,MAX(0,MIN(1,(IF(BU771="L1",Parameter!$E$5,Parameter!$E$6+Parameter!$E$7)-(AJ771-AF771))/AF771)))</f>
        <v>0</v>
      </c>
      <c r="AL771" s="57" t="n">
        <f aca="false">IF(LEFT(Cockpit!$I$5,1)="A",G771,IF(BW771=1,BX771,IF(LEFT(Cockpit!$I$5,1)="B",AP771,MAX(AP771,G771))))</f>
        <v>84</v>
      </c>
      <c r="AM771" s="57" t="n">
        <f aca="false">IF(BR771=1,0,ROUNDUP(AL771/BQ771,0))</f>
        <v>1</v>
      </c>
      <c r="AN771" s="59" t="n">
        <f aca="false">IF(CD771&gt;0,CD771*MAX(1,AL771/V771),IF(BR771=1,IF(AL771&lt;=0,0,BS771*MAX(1,IF(G771&gt;0,AL771/G771,1))),IF(Q771&gt;0,AM771/Q771,0))/MAX(0.1,N(Parameter!$M$21)))</f>
        <v>0.00757575757575758</v>
      </c>
      <c r="AO771" s="57" t="n">
        <f aca="false">AL771*F771</f>
        <v>31.92</v>
      </c>
      <c r="AP771" s="57" t="n">
        <f aca="false">ROUNDUP(MAX(I771/IF(BV771&gt;0,BV771,MAX(0.1,N(Cockpit!$I$6))),BY771)/BQ771,0)*BQ771</f>
        <v>84</v>
      </c>
      <c r="AQ771" s="58" t="n">
        <f aca="false">IF(AN771&gt;0,I771/AN771,-1)</f>
        <v>264</v>
      </c>
      <c r="AR771" s="58" t="n">
        <f aca="false">IF(AND(OR(BU771="L1",BU771="L23"),AN771&gt;0),SUMIFS($AN$7:$AN$1576,$BU$7:$BU$1576,BU771,$AQ$7:$AQ$1576,"&gt;"&amp;AQ771)+SUMIFS($AN$7:$AN$1576,$BU$7:$BU$1576,BU771,$AQ$7:$AQ$1576,AQ771,$BO$7:$BO$1576,"&lt;="&amp;BO771),"")</f>
        <v>45.3427869356242</v>
      </c>
      <c r="AS771" s="65" t="n">
        <f aca="false">IF(AR771="",0,MAX(0,MIN(1,(IF(BU771="L1",Parameter!$E$5,Parameter!$E$6+Parameter!$E$7)-(AR771-AN771))/AN771)))</f>
        <v>1</v>
      </c>
      <c r="AT771" s="57" t="n">
        <f aca="false">IF(LEFT(Cockpit!$O$5,1)="A",G771,IF(BW771=1,BX771,IF(LEFT(Cockpit!$O$5,1)="B",AX771,MAX(AX771,G771))))</f>
        <v>84</v>
      </c>
      <c r="AU771" s="57" t="n">
        <f aca="false">IF(BR771=1,0,ROUNDUP(AT771/BQ771,0))</f>
        <v>1</v>
      </c>
      <c r="AV771" s="59" t="n">
        <f aca="false">IF(CD771&gt;0,CD771*MAX(1,AT771/V771),IF(BR771=1,IF(AT771&lt;=0,0,BS771*MAX(1,IF(G771&gt;0,AT771/G771,1))),IF(Q771&gt;0,AU771/Q771,0))/MAX(0.1,N(Parameter!$M$21)))</f>
        <v>0.00757575757575758</v>
      </c>
      <c r="AW771" s="57" t="n">
        <f aca="false">AT771*F771</f>
        <v>31.92</v>
      </c>
      <c r="AX771" s="57" t="n">
        <f aca="false">ROUNDUP(MAX(I771/IF(BV771&gt;0,BV771,MAX(0.1,N(Cockpit!$O$6))),BY771)/BQ771,0)*BQ771</f>
        <v>84</v>
      </c>
      <c r="AY771" s="58" t="n">
        <f aca="false">IF(AV771&gt;0,I771/AV771,-1)</f>
        <v>264</v>
      </c>
      <c r="AZ771" s="58" t="n">
        <f aca="false">IF(AND(OR(BU771="L1",BU771="L23"),AV771&gt;0),SUMIFS($AV$7:$AV$1576,$BU$7:$BU$1576,BU771,$AY$7:$AY$1576,"&gt;"&amp;AY771)+SUMIFS($AV$7:$AV$1576,$BU$7:$BU$1576,BU771,$AY$7:$AY$1576,AY771,$BO$7:$BO$1576,"&lt;="&amp;BO771),"")</f>
        <v>41.6208655237028</v>
      </c>
      <c r="BA771" s="65" t="n">
        <f aca="false">IF(AZ771="",0,MAX(0,MIN(1,(IF(BU771="L1",Parameter!$E$5,Parameter!$E$6+Parameter!$E$7)-(AZ771-AV771))/AV771)))</f>
        <v>1</v>
      </c>
      <c r="BB771" s="55" t="str">
        <f aca="false">IF(AF771&lt;=0,"",IF(BU771="Aussen","Aussenlager",IF(BU771="-","Nicht im Lift",IF(AK771&gt;=1,"Lift",IF(AK771&lt;=0,"Aussenlager","teilweise")))))</f>
        <v/>
      </c>
      <c r="BC771" s="55" t="str">
        <f aca="false">IF(AN771&lt;=0,"",IF(BU771="Aussen","Aussenlager",IF(BU771="-","Nicht im Lift",IF(AS771&gt;=1,"Lift",IF(AS771&lt;=0,"Aussenlager","teilweise")))))</f>
        <v>Lift</v>
      </c>
      <c r="BD771" s="55" t="str">
        <f aca="false">IF(AV771&lt;=0,"",IF(BU771="Aussen","Aussenlager",IF(BU771="-","Nicht im Lift",IF(BA771&gt;=1,"Lift",IF(BA771&lt;=0,"Aussenlager","teilweise")))))</f>
        <v>Lift</v>
      </c>
      <c r="BE771" s="55" t="str">
        <f aca="false">IF(A771="","",IF(BN771=1,"Neu; ","")&amp;IF(AND(BN771=0,BI771&lt;0),"negativer Bestand (Export "&amp;BI771&amp;"); ","")&amp;IF(I771&lt;=0,"Kein Verbrauch; ","")&amp;IF(CD771&gt;0,"Lift "&amp;U771&amp;" lt. Liftbericht (Fach "&amp;V771&amp;" Stk); ",IF(BR771=1,"Lose – Fläche geschätzt; ",""))&amp;IF(G771&gt;AP771,"Überbestand "&amp;ROUND(G771-AP771,0)&amp;" Stk / CHF "&amp;ROUND((G771-AP771)*F771,0)&amp;"; ","")&amp;IF(AND(BW771=1,BX771&lt;BY771),"MAX &lt; MB+LG; ","")&amp;IF(AND(CC771&gt;0,CB771*10&gt;CC771),"zu hoch für Tablar; ","")&amp;IF(AND(BN771=0,OR(BW771=1,Y771&lt;&gt;"",S771&lt;&gt;"",T771&lt;&gt;"",Z771&lt;&gt;"")),"manuell übersteuert; ","")&amp;IF(AND(BR771=0,Q771=0),"Gebinde unbekannt / Stellmass fehlt; ","")&amp;IF(AND(BR771=0,N(T771)&lt;=0,N(P771)&lt;=0),"Menge pro Gebinde fehlt (Ist = 1 Gebinde); ","")&amp;BM771)</f>
        <v>negativer Bestand (Export -3); Überbestand</v>
      </c>
      <c r="BF771" s="55"/>
      <c r="BG771" s="55"/>
      <c r="BH771" s="62"/>
      <c r="BI771" s="57" t="n">
        <v>-3</v>
      </c>
      <c r="BJ771" s="57" t="n">
        <v>84</v>
      </c>
      <c r="BK771" s="56" t="n">
        <v>-1.14</v>
      </c>
      <c r="BL771" s="57" t="n">
        <v>2</v>
      </c>
      <c r="BM771" s="55" t="s">
        <v>382</v>
      </c>
      <c r="BN771" s="60" t="n">
        <v>0</v>
      </c>
      <c r="BO771" s="60" t="n">
        <v>771</v>
      </c>
      <c r="BP771" s="55" t="str">
        <f aca="false">IF(S771&lt;&gt;"",UPPER(TRIM(S771)),IF(O771="","LOSE",O771))</f>
        <v>S32</v>
      </c>
      <c r="BQ771" s="57" t="n">
        <f aca="false">IF(BP771="LOSE",1,IF(N(T771)&gt;0,T771,IF(N(P771)&gt;0,P771,MAX(1,G771))))</f>
        <v>84</v>
      </c>
      <c r="BR771" s="60" t="n">
        <f aca="false">IF(BP771="LOSE",1,0)</f>
        <v>0</v>
      </c>
      <c r="BS771" s="59" t="n">
        <f aca="false">IF(BR771=0,0,IF(N(R771)&gt;0,R771,IFERROR(VLOOKUP(D771,Parameter!$A$35:$C$64,3,0)+0,0)))</f>
        <v>0</v>
      </c>
      <c r="BT771" s="55" t="n">
        <f aca="false">IF(Y771&lt;&gt;"",Y771,X771)</f>
        <v>3</v>
      </c>
      <c r="BU771" s="55" t="str">
        <f aca="false">IF(BT771=1,"L1",IF(OR(BT771=2,BT771=3),"L23",IF(BT771="Aussen","Aussen","-")))</f>
        <v>L23</v>
      </c>
      <c r="BV771" s="66" t="n">
        <f aca="false">IF(N(Z771)&gt;0,Z771,0)</f>
        <v>0</v>
      </c>
      <c r="BW771" s="60" t="n">
        <f aca="false">IF(ISNUMBER(AC771),1,0)</f>
        <v>0</v>
      </c>
      <c r="BX771" s="57" t="n">
        <f aca="false">N(AC771)</f>
        <v>0</v>
      </c>
      <c r="BY771" s="57" t="n">
        <f aca="false">N(L771)+N(M771)</f>
        <v>1</v>
      </c>
      <c r="BZ771" s="57" t="n">
        <f aca="false">ROUNDUP(G771/BQ771,0)</f>
        <v>0</v>
      </c>
      <c r="CA771" s="57" t="n">
        <f aca="false">ROUNDUP(BX771/BQ771,0)</f>
        <v>0</v>
      </c>
      <c r="CB771" s="60" t="n">
        <f aca="false">IF(BR771=1,0,IFERROR(VLOOKUP(BP771,'Gebinde-Kategorie'!$A$5:$M$45,5,0)+0,0))</f>
        <v>8</v>
      </c>
      <c r="CC771" s="60" t="n">
        <f aca="false">IFERROR(IF(OR(BT771=1,BT771=2,BT771=3),N(INDEX(Parameter!$I$5:$I$7,BT771)),0),0)</f>
        <v>0</v>
      </c>
      <c r="CD771" s="59" t="n">
        <f aca="false">IF(AND(Parameter!$B$21="Ja",ISNUMBER(U771),N(V771)&gt;0),IFERROR(N(INDEX(Parameter!$L$5:$L$7,U771))*INDEX(Parameter!$E$5:$E$7,U771)*V771/SUMIFS($V$7:$V$1576,$U$7:$U$1576,U771),0),0)</f>
        <v>0</v>
      </c>
    </row>
    <row r="772" customFormat="false" ht="15" hidden="false" customHeight="false" outlineLevel="0" collapsed="false">
      <c r="A772" s="55" t="s">
        <v>1502</v>
      </c>
      <c r="B772" s="55" t="s">
        <v>1125</v>
      </c>
      <c r="C772" s="55" t="s">
        <v>160</v>
      </c>
      <c r="D772" s="55" t="s">
        <v>178</v>
      </c>
      <c r="E772" s="55" t="s">
        <v>210</v>
      </c>
      <c r="F772" s="56" t="n">
        <v>1.25</v>
      </c>
      <c r="G772" s="57" t="n">
        <f aca="false">MAX(0,IF(AND(Parameter!$B$21="Ja",ISNUMBER(W772)),W772,IF(Parameter!$B$20="Jahresanfang 2025 + Export",BJ772+BI772,BI772)))</f>
        <v>0</v>
      </c>
      <c r="H772" s="57" t="n">
        <f aca="false">G772*F772</f>
        <v>0</v>
      </c>
      <c r="I772" s="57" t="n">
        <f aca="false">BL772*Parameter!$B$18</f>
        <v>0</v>
      </c>
      <c r="J772" s="58" t="n">
        <v>30.5</v>
      </c>
      <c r="K772" s="59" t="n">
        <v>0</v>
      </c>
      <c r="L772" s="57" t="n">
        <v>0</v>
      </c>
      <c r="M772" s="57" t="n">
        <v>1</v>
      </c>
      <c r="N772" s="60" t="n">
        <v>14</v>
      </c>
      <c r="O772" s="55" t="s">
        <v>163</v>
      </c>
      <c r="P772" s="57"/>
      <c r="Q772" s="60" t="n">
        <f aca="false">IF(BR772=1,0,IFERROR(VLOOKUP(BP772,'Gebinde-Kategorie'!$A$5:$M$45,13,0)+0,0))</f>
        <v>0</v>
      </c>
      <c r="R772" s="61"/>
      <c r="S772" s="62"/>
      <c r="T772" s="62"/>
      <c r="U772" s="55"/>
      <c r="V772" s="57"/>
      <c r="W772" s="57"/>
      <c r="X772" s="55" t="n">
        <f aca="false">IF(A772="","",IF(AND(Parameter!$B$21="Ja",ISNUMBER(U772)),U772,IF(IFERROR(VLOOKUP(D772,Parameter!$A$35:$C$64,2,0),"Nein")="2+3",IF(ISNUMBER(SEARCH("grosser Artikel",BM772)),2,IFERROR(VLOOKUP(BP772,Parameter!$F$35:$G$64,2,0),2)),IF(OR(IFERROR(VLOOKUP(D772,Parameter!$A$35:$C$64,2,0),"Nein")="Nein",IFERROR(VLOOKUP(D772,Parameter!$A$35:$C$64,2,0),"Nein")=""),"-",VLOOKUP(D772,Parameter!$A$35:$C$64,2,0)))))</f>
        <v>2</v>
      </c>
      <c r="Y772" s="62"/>
      <c r="Z772" s="63"/>
      <c r="AA772" s="57" t="n">
        <f aca="false">AP772</f>
        <v>1</v>
      </c>
      <c r="AB772" s="57" t="n">
        <f aca="false">MAX(AP772,G772)</f>
        <v>1</v>
      </c>
      <c r="AC772" s="64"/>
      <c r="AD772" s="57" t="n">
        <f aca="false">IF(LEFT(Cockpit!$C$5,1)="A",G772,IF(BW772=1,BX772,IF(LEFT(Cockpit!$C$5,1)="B",AH772,MAX(AH772,G772))))</f>
        <v>0</v>
      </c>
      <c r="AE772" s="57" t="n">
        <f aca="false">IF(BR772=1,0,ROUNDUP(AD772/BQ772,0))</f>
        <v>0</v>
      </c>
      <c r="AF772" s="59" t="n">
        <f aca="false">IF(CD772&gt;0,CD772*MAX(1,AD772/V772),IF(BR772=1,IF(AD772&lt;=0,0,BS772*MAX(1,IF(G772&gt;0,AD772/G772,1))),IF(Q772&gt;0,AE772/Q772,0))/MAX(0.1,N(Parameter!$M$21)))</f>
        <v>0</v>
      </c>
      <c r="AG772" s="57" t="n">
        <f aca="false">AD772*F772</f>
        <v>0</v>
      </c>
      <c r="AH772" s="57" t="n">
        <f aca="false">ROUNDUP(MAX(I772/IF(BV772&gt;0,BV772,MAX(0.1,N(Cockpit!$C$6))),BY772)/BQ772,0)*BQ772</f>
        <v>1</v>
      </c>
      <c r="AI772" s="58" t="n">
        <f aca="false">IF(AF772&gt;0,I772/AF772,-1)</f>
        <v>-1</v>
      </c>
      <c r="AJ772" s="58" t="str">
        <f aca="false">IF(AND(OR(BU772="L1",BU772="L23"),AF772&gt;0),SUMIFS($AF$7:$AF$1576,$BU$7:$BU$1576,BU772,$AI$7:$AI$1576,"&gt;"&amp;AI772)+SUMIFS($AF$7:$AF$1576,$BU$7:$BU$1576,BU772,$AI$7:$AI$1576,AI772,$BO$7:$BO$1576,"&lt;="&amp;BO772),"")</f>
        <v/>
      </c>
      <c r="AK772" s="65" t="n">
        <f aca="false">IF(AJ772="",0,MAX(0,MIN(1,(IF(BU772="L1",Parameter!$E$5,Parameter!$E$6+Parameter!$E$7)-(AJ772-AF772))/AF772)))</f>
        <v>0</v>
      </c>
      <c r="AL772" s="57" t="n">
        <f aca="false">IF(LEFT(Cockpit!$I$5,1)="A",G772,IF(BW772=1,BX772,IF(LEFT(Cockpit!$I$5,1)="B",AP772,MAX(AP772,G772))))</f>
        <v>1</v>
      </c>
      <c r="AM772" s="57" t="n">
        <f aca="false">IF(BR772=1,0,ROUNDUP(AL772/BQ772,0))</f>
        <v>0</v>
      </c>
      <c r="AN772" s="59" t="n">
        <f aca="false">IF(CD772&gt;0,CD772*MAX(1,AL772/V772),IF(BR772=1,IF(AL772&lt;=0,0,BS772*MAX(1,IF(G772&gt;0,AL772/G772,1))),IF(Q772&gt;0,AM772/Q772,0))/MAX(0.1,N(Parameter!$M$21)))</f>
        <v>0.03</v>
      </c>
      <c r="AO772" s="57" t="n">
        <f aca="false">AL772*F772</f>
        <v>1.25</v>
      </c>
      <c r="AP772" s="57" t="n">
        <f aca="false">ROUNDUP(MAX(I772/IF(BV772&gt;0,BV772,MAX(0.1,N(Cockpit!$I$6))),BY772)/BQ772,0)*BQ772</f>
        <v>1</v>
      </c>
      <c r="AQ772" s="58" t="n">
        <f aca="false">IF(AN772&gt;0,I772/AN772,-1)</f>
        <v>0</v>
      </c>
      <c r="AR772" s="58" t="n">
        <f aca="false">IF(AND(OR(BU772="L1",BU772="L23"),AN772&gt;0),SUMIFS($AN$7:$AN$1576,$BU$7:$BU$1576,BU772,$AQ$7:$AQ$1576,"&gt;"&amp;AQ772)+SUMIFS($AN$7:$AN$1576,$BU$7:$BU$1576,BU772,$AQ$7:$AQ$1576,AQ772,$BO$7:$BO$1576,"&lt;="&amp;BO772),"")</f>
        <v>130.576866056696</v>
      </c>
      <c r="AS772" s="65" t="n">
        <f aca="false">IF(AR772="",0,MAX(0,MIN(1,(IF(BU772="L1",Parameter!$E$5,Parameter!$E$6+Parameter!$E$7)-(AR772-AN772))/AN772)))</f>
        <v>0</v>
      </c>
      <c r="AT772" s="57" t="n">
        <f aca="false">IF(LEFT(Cockpit!$O$5,1)="A",G772,IF(BW772=1,BX772,IF(LEFT(Cockpit!$O$5,1)="B",AX772,MAX(AX772,G772))))</f>
        <v>1</v>
      </c>
      <c r="AU772" s="57" t="n">
        <f aca="false">IF(BR772=1,0,ROUNDUP(AT772/BQ772,0))</f>
        <v>0</v>
      </c>
      <c r="AV772" s="59" t="n">
        <f aca="false">IF(CD772&gt;0,CD772*MAX(1,AT772/V772),IF(BR772=1,IF(AT772&lt;=0,0,BS772*MAX(1,IF(G772&gt;0,AT772/G772,1))),IF(Q772&gt;0,AU772/Q772,0))/MAX(0.1,N(Parameter!$M$21)))</f>
        <v>0.03</v>
      </c>
      <c r="AW772" s="57" t="n">
        <f aca="false">AT772*F772</f>
        <v>1.25</v>
      </c>
      <c r="AX772" s="57" t="n">
        <f aca="false">ROUNDUP(MAX(I772/IF(BV772&gt;0,BV772,MAX(0.1,N(Cockpit!$O$6))),BY772)/BQ772,0)*BQ772</f>
        <v>1</v>
      </c>
      <c r="AY772" s="58" t="n">
        <f aca="false">IF(AV772&gt;0,I772/AV772,-1)</f>
        <v>0</v>
      </c>
      <c r="AZ772" s="58" t="n">
        <f aca="false">IF(AND(OR(BU772="L1",BU772="L23"),AV772&gt;0),SUMIFS($AV$7:$AV$1576,$BU$7:$BU$1576,BU772,$AY$7:$AY$1576,"&gt;"&amp;AY772)+SUMIFS($AV$7:$AV$1576,$BU$7:$BU$1576,BU772,$AY$7:$AY$1576,AY772,$BO$7:$BO$1576,"&lt;="&amp;BO772),"")</f>
        <v>120.636416506247</v>
      </c>
      <c r="BA772" s="65" t="n">
        <f aca="false">IF(AZ772="",0,MAX(0,MIN(1,(IF(BU772="L1",Parameter!$E$5,Parameter!$E$6+Parameter!$E$7)-(AZ772-AV772))/AV772)))</f>
        <v>0</v>
      </c>
      <c r="BB772" s="55" t="str">
        <f aca="false">IF(AF772&lt;=0,"",IF(BU772="Aussen","Aussenlager",IF(BU772="-","Nicht im Lift",IF(AK772&gt;=1,"Lift",IF(AK772&lt;=0,"Aussenlager","teilweise")))))</f>
        <v/>
      </c>
      <c r="BC772" s="55" t="str">
        <f aca="false">IF(AN772&lt;=0,"",IF(BU772="Aussen","Aussenlager",IF(BU772="-","Nicht im Lift",IF(AS772&gt;=1,"Lift",IF(AS772&lt;=0,"Aussenlager","teilweise")))))</f>
        <v>Aussenlager</v>
      </c>
      <c r="BD772" s="55" t="str">
        <f aca="false">IF(AV772&lt;=0,"",IF(BU772="Aussen","Aussenlager",IF(BU772="-","Nicht im Lift",IF(BA772&gt;=1,"Lift",IF(BA772&lt;=0,"Aussenlager","teilweise")))))</f>
        <v>Aussenlager</v>
      </c>
      <c r="BE772" s="55" t="str">
        <f aca="false">IF(A772="","",IF(BN772=1,"Neu; ","")&amp;IF(AND(BN772=0,BI772&lt;0),"negativer Bestand (Export "&amp;BI772&amp;"); ","")&amp;IF(I772&lt;=0,"Kein Verbrauch; ","")&amp;IF(CD772&gt;0,"Lift "&amp;U772&amp;" lt. Liftbericht (Fach "&amp;V772&amp;" Stk); ",IF(BR772=1,"Lose – Fläche geschätzt; ",""))&amp;IF(G772&gt;AP772,"Überbestand "&amp;ROUND(G772-AP772,0)&amp;" Stk / CHF "&amp;ROUND((G772-AP772)*F772,0)&amp;"; ","")&amp;IF(AND(BW772=1,BX772&lt;BY772),"MAX &lt; MB+LG; ","")&amp;IF(AND(CC772&gt;0,CB772*10&gt;CC772),"zu hoch für Tablar; ","")&amp;IF(AND(BN772=0,OR(BW772=1,Y772&lt;&gt;"",S772&lt;&gt;"",T772&lt;&gt;"",Z772&lt;&gt;"")),"manuell übersteuert; ","")&amp;IF(AND(BR772=0,Q772=0),"Gebinde unbekannt / Stellmass fehlt; ","")&amp;IF(AND(BR772=0,N(T772)&lt;=0,N(P772)&lt;=0),"Menge pro Gebinde fehlt (Ist = 1 Gebinde); ","")&amp;BM772)</f>
        <v>negativer Bestand (Export -1); Kein Verbrauch; Lose – Fläche geschätzt; Überbestand</v>
      </c>
      <c r="BF772" s="55"/>
      <c r="BG772" s="55"/>
      <c r="BH772" s="62"/>
      <c r="BI772" s="57" t="n">
        <v>-1</v>
      </c>
      <c r="BJ772" s="57" t="n">
        <v>31</v>
      </c>
      <c r="BK772" s="56" t="n">
        <v>-1.25</v>
      </c>
      <c r="BL772" s="57" t="n">
        <v>0</v>
      </c>
      <c r="BM772" s="55" t="s">
        <v>382</v>
      </c>
      <c r="BN772" s="60" t="n">
        <v>0</v>
      </c>
      <c r="BO772" s="60" t="n">
        <v>772</v>
      </c>
      <c r="BP772" s="55" t="str">
        <f aca="false">IF(S772&lt;&gt;"",UPPER(TRIM(S772)),IF(O772="","LOSE",O772))</f>
        <v>LOSE</v>
      </c>
      <c r="BQ772" s="57" t="n">
        <f aca="false">IF(BP772="LOSE",1,IF(N(T772)&gt;0,T772,IF(N(P772)&gt;0,P772,MAX(1,G772))))</f>
        <v>1</v>
      </c>
      <c r="BR772" s="60" t="n">
        <f aca="false">IF(BP772="LOSE",1,0)</f>
        <v>1</v>
      </c>
      <c r="BS772" s="59" t="n">
        <f aca="false">IF(BR772=0,0,IF(N(R772)&gt;0,R772,IFERROR(VLOOKUP(D772,Parameter!$A$35:$C$64,3,0)+0,0)))</f>
        <v>0.03</v>
      </c>
      <c r="BT772" s="55" t="n">
        <f aca="false">IF(Y772&lt;&gt;"",Y772,X772)</f>
        <v>2</v>
      </c>
      <c r="BU772" s="55" t="str">
        <f aca="false">IF(BT772=1,"L1",IF(OR(BT772=2,BT772=3),"L23",IF(BT772="Aussen","Aussen","-")))</f>
        <v>L23</v>
      </c>
      <c r="BV772" s="66" t="n">
        <f aca="false">IF(N(Z772)&gt;0,Z772,0)</f>
        <v>0</v>
      </c>
      <c r="BW772" s="60" t="n">
        <f aca="false">IF(ISNUMBER(AC772),1,0)</f>
        <v>0</v>
      </c>
      <c r="BX772" s="57" t="n">
        <f aca="false">N(AC772)</f>
        <v>0</v>
      </c>
      <c r="BY772" s="57" t="n">
        <f aca="false">N(L772)+N(M772)</f>
        <v>1</v>
      </c>
      <c r="BZ772" s="57" t="n">
        <f aca="false">ROUNDUP(G772/BQ772,0)</f>
        <v>0</v>
      </c>
      <c r="CA772" s="57" t="n">
        <f aca="false">ROUNDUP(BX772/BQ772,0)</f>
        <v>0</v>
      </c>
      <c r="CB772" s="60" t="n">
        <f aca="false">IF(BR772=1,0,IFERROR(VLOOKUP(BP772,'Gebinde-Kategorie'!$A$5:$M$45,5,0)+0,0))</f>
        <v>0</v>
      </c>
      <c r="CC772" s="60" t="n">
        <f aca="false">IFERROR(IF(OR(BT772=1,BT772=2,BT772=3),N(INDEX(Parameter!$I$5:$I$7,BT772)),0),0)</f>
        <v>0</v>
      </c>
      <c r="CD772" s="59" t="n">
        <f aca="false">IF(AND(Parameter!$B$21="Ja",ISNUMBER(U772),N(V772)&gt;0),IFERROR(N(INDEX(Parameter!$L$5:$L$7,U772))*INDEX(Parameter!$E$5:$E$7,U772)*V772/SUMIFS($V$7:$V$1576,$U$7:$U$1576,U772),0),0)</f>
        <v>0</v>
      </c>
    </row>
    <row r="773" customFormat="false" ht="15" hidden="false" customHeight="false" outlineLevel="0" collapsed="false">
      <c r="A773" s="55" t="s">
        <v>1503</v>
      </c>
      <c r="B773" s="55" t="s">
        <v>457</v>
      </c>
      <c r="C773" s="55" t="s">
        <v>160</v>
      </c>
      <c r="D773" s="55" t="s">
        <v>178</v>
      </c>
      <c r="E773" s="55" t="s">
        <v>210</v>
      </c>
      <c r="F773" s="56" t="n">
        <v>0.07</v>
      </c>
      <c r="G773" s="57" t="n">
        <f aca="false">MAX(0,IF(AND(Parameter!$B$21="Ja",ISNUMBER(W773)),W773,IF(Parameter!$B$20="Jahresanfang 2025 + Export",BJ773+BI773,BI773)))</f>
        <v>0</v>
      </c>
      <c r="H773" s="57" t="n">
        <f aca="false">G773*F773</f>
        <v>0</v>
      </c>
      <c r="I773" s="57" t="n">
        <f aca="false">BL773*Parameter!$B$18</f>
        <v>309</v>
      </c>
      <c r="J773" s="58" t="n">
        <v>226</v>
      </c>
      <c r="K773" s="59" t="n">
        <v>1.36725663716814</v>
      </c>
      <c r="L773" s="57" t="n">
        <v>12</v>
      </c>
      <c r="M773" s="57" t="n">
        <v>310</v>
      </c>
      <c r="N773" s="60" t="n">
        <v>14</v>
      </c>
      <c r="O773" s="55" t="s">
        <v>391</v>
      </c>
      <c r="P773" s="57" t="n">
        <v>367</v>
      </c>
      <c r="Q773" s="60" t="n">
        <f aca="false">IF(BR773=1,0,IFERROR(VLOOKUP(BP773,'Gebinde-Kategorie'!$A$5:$M$45,13,0)+0,0))</f>
        <v>414</v>
      </c>
      <c r="R773" s="61"/>
      <c r="S773" s="62"/>
      <c r="T773" s="62"/>
      <c r="U773" s="55"/>
      <c r="V773" s="57"/>
      <c r="W773" s="57"/>
      <c r="X773" s="55" t="n">
        <f aca="false">IF(A773="","",IF(AND(Parameter!$B$21="Ja",ISNUMBER(U773)),U773,IF(IFERROR(VLOOKUP(D773,Parameter!$A$35:$C$64,2,0),"Nein")="2+3",IF(ISNUMBER(SEARCH("grosser Artikel",BM773)),2,IFERROR(VLOOKUP(BP773,Parameter!$F$35:$G$64,2,0),2)),IF(OR(IFERROR(VLOOKUP(D773,Parameter!$A$35:$C$64,2,0),"Nein")="Nein",IFERROR(VLOOKUP(D773,Parameter!$A$35:$C$64,2,0),"Nein")=""),"-",VLOOKUP(D773,Parameter!$A$35:$C$64,2,0)))))</f>
        <v>3</v>
      </c>
      <c r="Y773" s="62"/>
      <c r="Z773" s="63"/>
      <c r="AA773" s="57" t="n">
        <f aca="false">AP773</f>
        <v>367</v>
      </c>
      <c r="AB773" s="57" t="n">
        <f aca="false">MAX(AP773,G773)</f>
        <v>367</v>
      </c>
      <c r="AC773" s="64"/>
      <c r="AD773" s="57" t="n">
        <f aca="false">IF(LEFT(Cockpit!$C$5,1)="A",G773,IF(BW773=1,BX773,IF(LEFT(Cockpit!$C$5,1)="B",AH773,MAX(AH773,G773))))</f>
        <v>0</v>
      </c>
      <c r="AE773" s="57" t="n">
        <f aca="false">IF(BR773=1,0,ROUNDUP(AD773/BQ773,0))</f>
        <v>0</v>
      </c>
      <c r="AF773" s="59" t="n">
        <f aca="false">IF(CD773&gt;0,CD773*MAX(1,AD773/V773),IF(BR773=1,IF(AD773&lt;=0,0,BS773*MAX(1,IF(G773&gt;0,AD773/G773,1))),IF(Q773&gt;0,AE773/Q773,0))/MAX(0.1,N(Parameter!$M$21)))</f>
        <v>0</v>
      </c>
      <c r="AG773" s="57" t="n">
        <f aca="false">AD773*F773</f>
        <v>0</v>
      </c>
      <c r="AH773" s="57" t="n">
        <f aca="false">ROUNDUP(MAX(I773/IF(BV773&gt;0,BV773,MAX(0.1,N(Cockpit!$C$6))),BY773)/BQ773,0)*BQ773</f>
        <v>367</v>
      </c>
      <c r="AI773" s="58" t="n">
        <f aca="false">IF(AF773&gt;0,I773/AF773,-1)</f>
        <v>-1</v>
      </c>
      <c r="AJ773" s="58" t="str">
        <f aca="false">IF(AND(OR(BU773="L1",BU773="L23"),AF773&gt;0),SUMIFS($AF$7:$AF$1576,$BU$7:$BU$1576,BU773,$AI$7:$AI$1576,"&gt;"&amp;AI773)+SUMIFS($AF$7:$AF$1576,$BU$7:$BU$1576,BU773,$AI$7:$AI$1576,AI773,$BO$7:$BO$1576,"&lt;="&amp;BO773),"")</f>
        <v/>
      </c>
      <c r="AK773" s="65" t="n">
        <f aca="false">IF(AJ773="",0,MAX(0,MIN(1,(IF(BU773="L1",Parameter!$E$5,Parameter!$E$6+Parameter!$E$7)-(AJ773-AF773))/AF773)))</f>
        <v>0</v>
      </c>
      <c r="AL773" s="57" t="n">
        <f aca="false">IF(LEFT(Cockpit!$I$5,1)="A",G773,IF(BW773=1,BX773,IF(LEFT(Cockpit!$I$5,1)="B",AP773,MAX(AP773,G773))))</f>
        <v>367</v>
      </c>
      <c r="AM773" s="57" t="n">
        <f aca="false">IF(BR773=1,0,ROUNDUP(AL773/BQ773,0))</f>
        <v>1</v>
      </c>
      <c r="AN773" s="59" t="n">
        <f aca="false">IF(CD773&gt;0,CD773*MAX(1,AL773/V773),IF(BR773=1,IF(AL773&lt;=0,0,BS773*MAX(1,IF(G773&gt;0,AL773/G773,1))),IF(Q773&gt;0,AM773/Q773,0))/MAX(0.1,N(Parameter!$M$21)))</f>
        <v>0.00241545893719807</v>
      </c>
      <c r="AO773" s="57" t="n">
        <f aca="false">AL773*F773</f>
        <v>25.69</v>
      </c>
      <c r="AP773" s="57" t="n">
        <f aca="false">ROUNDUP(MAX(I773/IF(BV773&gt;0,BV773,MAX(0.1,N(Cockpit!$I$6))),BY773)/BQ773,0)*BQ773</f>
        <v>367</v>
      </c>
      <c r="AQ773" s="58" t="n">
        <f aca="false">IF(AN773&gt;0,I773/AN773,-1)</f>
        <v>127926</v>
      </c>
      <c r="AR773" s="58" t="n">
        <f aca="false">IF(AND(OR(BU773="L1",BU773="L23"),AN773&gt;0),SUMIFS($AN$7:$AN$1576,$BU$7:$BU$1576,BU773,$AQ$7:$AQ$1576,"&gt;"&amp;AQ773)+SUMIFS($AN$7:$AN$1576,$BU$7:$BU$1576,BU773,$AQ$7:$AQ$1576,AQ773,$BO$7:$BO$1576,"&lt;="&amp;BO773),"")</f>
        <v>0.186150805716023</v>
      </c>
      <c r="AS773" s="65" t="n">
        <f aca="false">IF(AR773="",0,MAX(0,MIN(1,(IF(BU773="L1",Parameter!$E$5,Parameter!$E$6+Parameter!$E$7)-(AR773-AN773))/AN773)))</f>
        <v>1</v>
      </c>
      <c r="AT773" s="57" t="n">
        <f aca="false">IF(LEFT(Cockpit!$O$5,1)="A",G773,IF(BW773=1,BX773,IF(LEFT(Cockpit!$O$5,1)="B",AX773,MAX(AX773,G773))))</f>
        <v>367</v>
      </c>
      <c r="AU773" s="57" t="n">
        <f aca="false">IF(BR773=1,0,ROUNDUP(AT773/BQ773,0))</f>
        <v>1</v>
      </c>
      <c r="AV773" s="59" t="n">
        <f aca="false">IF(CD773&gt;0,CD773*MAX(1,AT773/V773),IF(BR773=1,IF(AT773&lt;=0,0,BS773*MAX(1,IF(G773&gt;0,AT773/G773,1))),IF(Q773&gt;0,AU773/Q773,0))/MAX(0.1,N(Parameter!$M$21)))</f>
        <v>0.00241545893719807</v>
      </c>
      <c r="AW773" s="57" t="n">
        <f aca="false">AT773*F773</f>
        <v>25.69</v>
      </c>
      <c r="AX773" s="57" t="n">
        <f aca="false">ROUNDUP(MAX(I773/IF(BV773&gt;0,BV773,MAX(0.1,N(Cockpit!$O$6))),BY773)/BQ773,0)*BQ773</f>
        <v>367</v>
      </c>
      <c r="AY773" s="58" t="n">
        <f aca="false">IF(AV773&gt;0,I773/AV773,-1)</f>
        <v>127926</v>
      </c>
      <c r="AZ773" s="58" t="n">
        <f aca="false">IF(AND(OR(BU773="L1",BU773="L23"),AV773&gt;0),SUMIFS($AV$7:$AV$1576,$BU$7:$BU$1576,BU773,$AY$7:$AY$1576,"&gt;"&amp;AY773)+SUMIFS($AV$7:$AV$1576,$BU$7:$BU$1576,BU773,$AY$7:$AY$1576,AY773,$BO$7:$BO$1576,"&lt;="&amp;BO773),"")</f>
        <v>0.186150805716023</v>
      </c>
      <c r="BA773" s="65" t="n">
        <f aca="false">IF(AZ773="",0,MAX(0,MIN(1,(IF(BU773="L1",Parameter!$E$5,Parameter!$E$6+Parameter!$E$7)-(AZ773-AV773))/AV773)))</f>
        <v>1</v>
      </c>
      <c r="BB773" s="55" t="str">
        <f aca="false">IF(AF773&lt;=0,"",IF(BU773="Aussen","Aussenlager",IF(BU773="-","Nicht im Lift",IF(AK773&gt;=1,"Lift",IF(AK773&lt;=0,"Aussenlager","teilweise")))))</f>
        <v/>
      </c>
      <c r="BC773" s="55" t="str">
        <f aca="false">IF(AN773&lt;=0,"",IF(BU773="Aussen","Aussenlager",IF(BU773="-","Nicht im Lift",IF(AS773&gt;=1,"Lift",IF(AS773&lt;=0,"Aussenlager","teilweise")))))</f>
        <v>Lift</v>
      </c>
      <c r="BD773" s="55" t="str">
        <f aca="false">IF(AV773&lt;=0,"",IF(BU773="Aussen","Aussenlager",IF(BU773="-","Nicht im Lift",IF(BA773&gt;=1,"Lift",IF(BA773&lt;=0,"Aussenlager","teilweise")))))</f>
        <v>Lift</v>
      </c>
      <c r="BE773" s="55" t="str">
        <f aca="false">IF(A773="","",IF(BN773=1,"Neu; ","")&amp;IF(AND(BN773=0,BI773&lt;0),"negativer Bestand (Export "&amp;BI773&amp;"); ","")&amp;IF(I773&lt;=0,"Kein Verbrauch; ","")&amp;IF(CD773&gt;0,"Lift "&amp;U773&amp;" lt. Liftbericht (Fach "&amp;V773&amp;" Stk); ",IF(BR773=1,"Lose – Fläche geschätzt; ",""))&amp;IF(G773&gt;AP773,"Überbestand "&amp;ROUND(G773-AP773,0)&amp;" Stk / CHF "&amp;ROUND((G773-AP773)*F773,0)&amp;"; ","")&amp;IF(AND(BW773=1,BX773&lt;BY773),"MAX &lt; MB+LG; ","")&amp;IF(AND(CC773&gt;0,CB773*10&gt;CC773),"zu hoch für Tablar; ","")&amp;IF(AND(BN773=0,OR(BW773=1,Y773&lt;&gt;"",S773&lt;&gt;"",T773&lt;&gt;"",Z773&lt;&gt;"")),"manuell übersteuert; ","")&amp;IF(AND(BR773=0,Q773=0),"Gebinde unbekannt / Stellmass fehlt; ","")&amp;IF(AND(BR773=0,N(T773)&lt;=0,N(P773)&lt;=0),"Menge pro Gebinde fehlt (Ist = 1 Gebinde); ","")&amp;BM773)</f>
        <v>negativer Bestand (Export -18); </v>
      </c>
      <c r="BF773" s="55"/>
      <c r="BG773" s="55"/>
      <c r="BH773" s="62"/>
      <c r="BI773" s="57" t="n">
        <v>-18</v>
      </c>
      <c r="BJ773" s="57" t="n">
        <v>279</v>
      </c>
      <c r="BK773" s="56" t="n">
        <v>-1.26</v>
      </c>
      <c r="BL773" s="57" t="n">
        <v>309</v>
      </c>
      <c r="BM773" s="55"/>
      <c r="BN773" s="60" t="n">
        <v>0</v>
      </c>
      <c r="BO773" s="60" t="n">
        <v>773</v>
      </c>
      <c r="BP773" s="55" t="str">
        <f aca="false">IF(S773&lt;&gt;"",UPPER(TRIM(S773)),IF(O773="","LOSE",O773))</f>
        <v>S21</v>
      </c>
      <c r="BQ773" s="57" t="n">
        <f aca="false">IF(BP773="LOSE",1,IF(N(T773)&gt;0,T773,IF(N(P773)&gt;0,P773,MAX(1,G773))))</f>
        <v>367</v>
      </c>
      <c r="BR773" s="60" t="n">
        <f aca="false">IF(BP773="LOSE",1,0)</f>
        <v>0</v>
      </c>
      <c r="BS773" s="59" t="n">
        <f aca="false">IF(BR773=0,0,IF(N(R773)&gt;0,R773,IFERROR(VLOOKUP(D773,Parameter!$A$35:$C$64,3,0)+0,0)))</f>
        <v>0</v>
      </c>
      <c r="BT773" s="55" t="n">
        <f aca="false">IF(Y773&lt;&gt;"",Y773,X773)</f>
        <v>3</v>
      </c>
      <c r="BU773" s="55" t="str">
        <f aca="false">IF(BT773=1,"L1",IF(OR(BT773=2,BT773=3),"L23",IF(BT773="Aussen","Aussen","-")))</f>
        <v>L23</v>
      </c>
      <c r="BV773" s="66" t="n">
        <f aca="false">IF(N(Z773)&gt;0,Z773,0)</f>
        <v>0</v>
      </c>
      <c r="BW773" s="60" t="n">
        <f aca="false">IF(ISNUMBER(AC773),1,0)</f>
        <v>0</v>
      </c>
      <c r="BX773" s="57" t="n">
        <f aca="false">N(AC773)</f>
        <v>0</v>
      </c>
      <c r="BY773" s="57" t="n">
        <f aca="false">N(L773)+N(M773)</f>
        <v>322</v>
      </c>
      <c r="BZ773" s="57" t="n">
        <f aca="false">ROUNDUP(G773/BQ773,0)</f>
        <v>0</v>
      </c>
      <c r="CA773" s="57" t="n">
        <f aca="false">ROUNDUP(BX773/BQ773,0)</f>
        <v>0</v>
      </c>
      <c r="CB773" s="60" t="n">
        <f aca="false">IF(BR773=1,0,IFERROR(VLOOKUP(BP773,'Gebinde-Kategorie'!$A$5:$M$45,5,0)+0,0))</f>
        <v>8</v>
      </c>
      <c r="CC773" s="60" t="n">
        <f aca="false">IFERROR(IF(OR(BT773=1,BT773=2,BT773=3),N(INDEX(Parameter!$I$5:$I$7,BT773)),0),0)</f>
        <v>0</v>
      </c>
      <c r="CD773" s="59" t="n">
        <f aca="false">IF(AND(Parameter!$B$21="Ja",ISNUMBER(U773),N(V773)&gt;0),IFERROR(N(INDEX(Parameter!$L$5:$L$7,U773))*INDEX(Parameter!$E$5:$E$7,U773)*V773/SUMIFS($V$7:$V$1576,$U$7:$U$1576,U773),0),0)</f>
        <v>0</v>
      </c>
    </row>
    <row r="774" customFormat="false" ht="15" hidden="false" customHeight="false" outlineLevel="0" collapsed="false">
      <c r="A774" s="55" t="s">
        <v>1504</v>
      </c>
      <c r="B774" s="55" t="s">
        <v>643</v>
      </c>
      <c r="C774" s="55" t="s">
        <v>160</v>
      </c>
      <c r="D774" s="55" t="s">
        <v>178</v>
      </c>
      <c r="E774" s="55" t="s">
        <v>210</v>
      </c>
      <c r="F774" s="56" t="n">
        <v>0.06</v>
      </c>
      <c r="G774" s="57" t="n">
        <f aca="false">MAX(0,IF(AND(Parameter!$B$21="Ja",ISNUMBER(W774)),W774,IF(Parameter!$B$20="Jahresanfang 2025 + Export",BJ774+BI774,BI774)))</f>
        <v>0</v>
      </c>
      <c r="H774" s="57" t="n">
        <f aca="false">G774*F774</f>
        <v>0</v>
      </c>
      <c r="I774" s="57" t="n">
        <f aca="false">BL774*Parameter!$B$18</f>
        <v>0</v>
      </c>
      <c r="J774" s="58" t="n">
        <v>24</v>
      </c>
      <c r="K774" s="59" t="n">
        <v>0</v>
      </c>
      <c r="L774" s="57" t="n">
        <v>0</v>
      </c>
      <c r="M774" s="57" t="n">
        <v>1</v>
      </c>
      <c r="N774" s="60" t="n">
        <v>21</v>
      </c>
      <c r="O774" s="55" t="s">
        <v>163</v>
      </c>
      <c r="P774" s="57"/>
      <c r="Q774" s="60" t="n">
        <f aca="false">IF(BR774=1,0,IFERROR(VLOOKUP(BP774,'Gebinde-Kategorie'!$A$5:$M$45,13,0)+0,0))</f>
        <v>0</v>
      </c>
      <c r="R774" s="61"/>
      <c r="S774" s="62"/>
      <c r="T774" s="62"/>
      <c r="U774" s="55"/>
      <c r="V774" s="57"/>
      <c r="W774" s="57"/>
      <c r="X774" s="55" t="n">
        <f aca="false">IF(A774="","",IF(AND(Parameter!$B$21="Ja",ISNUMBER(U774)),U774,IF(IFERROR(VLOOKUP(D774,Parameter!$A$35:$C$64,2,0),"Nein")="2+3",IF(ISNUMBER(SEARCH("grosser Artikel",BM774)),2,IFERROR(VLOOKUP(BP774,Parameter!$F$35:$G$64,2,0),2)),IF(OR(IFERROR(VLOOKUP(D774,Parameter!$A$35:$C$64,2,0),"Nein")="Nein",IFERROR(VLOOKUP(D774,Parameter!$A$35:$C$64,2,0),"Nein")=""),"-",VLOOKUP(D774,Parameter!$A$35:$C$64,2,0)))))</f>
        <v>2</v>
      </c>
      <c r="Y774" s="62"/>
      <c r="Z774" s="63"/>
      <c r="AA774" s="57" t="n">
        <f aca="false">AP774</f>
        <v>1</v>
      </c>
      <c r="AB774" s="57" t="n">
        <f aca="false">MAX(AP774,G774)</f>
        <v>1</v>
      </c>
      <c r="AC774" s="64"/>
      <c r="AD774" s="57" t="n">
        <f aca="false">IF(LEFT(Cockpit!$C$5,1)="A",G774,IF(BW774=1,BX774,IF(LEFT(Cockpit!$C$5,1)="B",AH774,MAX(AH774,G774))))</f>
        <v>0</v>
      </c>
      <c r="AE774" s="57" t="n">
        <f aca="false">IF(BR774=1,0,ROUNDUP(AD774/BQ774,0))</f>
        <v>0</v>
      </c>
      <c r="AF774" s="59" t="n">
        <f aca="false">IF(CD774&gt;0,CD774*MAX(1,AD774/V774),IF(BR774=1,IF(AD774&lt;=0,0,BS774*MAX(1,IF(G774&gt;0,AD774/G774,1))),IF(Q774&gt;0,AE774/Q774,0))/MAX(0.1,N(Parameter!$M$21)))</f>
        <v>0</v>
      </c>
      <c r="AG774" s="57" t="n">
        <f aca="false">AD774*F774</f>
        <v>0</v>
      </c>
      <c r="AH774" s="57" t="n">
        <f aca="false">ROUNDUP(MAX(I774/IF(BV774&gt;0,BV774,MAX(0.1,N(Cockpit!$C$6))),BY774)/BQ774,0)*BQ774</f>
        <v>1</v>
      </c>
      <c r="AI774" s="58" t="n">
        <f aca="false">IF(AF774&gt;0,I774/AF774,-1)</f>
        <v>-1</v>
      </c>
      <c r="AJ774" s="58" t="str">
        <f aca="false">IF(AND(OR(BU774="L1",BU774="L23"),AF774&gt;0),SUMIFS($AF$7:$AF$1576,$BU$7:$BU$1576,BU774,$AI$7:$AI$1576,"&gt;"&amp;AI774)+SUMIFS($AF$7:$AF$1576,$BU$7:$BU$1576,BU774,$AI$7:$AI$1576,AI774,$BO$7:$BO$1576,"&lt;="&amp;BO774),"")</f>
        <v/>
      </c>
      <c r="AK774" s="65" t="n">
        <f aca="false">IF(AJ774="",0,MAX(0,MIN(1,(IF(BU774="L1",Parameter!$E$5,Parameter!$E$6+Parameter!$E$7)-(AJ774-AF774))/AF774)))</f>
        <v>0</v>
      </c>
      <c r="AL774" s="57" t="n">
        <f aca="false">IF(LEFT(Cockpit!$I$5,1)="A",G774,IF(BW774=1,BX774,IF(LEFT(Cockpit!$I$5,1)="B",AP774,MAX(AP774,G774))))</f>
        <v>1</v>
      </c>
      <c r="AM774" s="57" t="n">
        <f aca="false">IF(BR774=1,0,ROUNDUP(AL774/BQ774,0))</f>
        <v>0</v>
      </c>
      <c r="AN774" s="59" t="n">
        <f aca="false">IF(CD774&gt;0,CD774*MAX(1,AL774/V774),IF(BR774=1,IF(AL774&lt;=0,0,BS774*MAX(1,IF(G774&gt;0,AL774/G774,1))),IF(Q774&gt;0,AM774/Q774,0))/MAX(0.1,N(Parameter!$M$21)))</f>
        <v>0.03</v>
      </c>
      <c r="AO774" s="57" t="n">
        <f aca="false">AL774*F774</f>
        <v>0.06</v>
      </c>
      <c r="AP774" s="57" t="n">
        <f aca="false">ROUNDUP(MAX(I774/IF(BV774&gt;0,BV774,MAX(0.1,N(Cockpit!$I$6))),BY774)/BQ774,0)*BQ774</f>
        <v>1</v>
      </c>
      <c r="AQ774" s="58" t="n">
        <f aca="false">IF(AN774&gt;0,I774/AN774,-1)</f>
        <v>0</v>
      </c>
      <c r="AR774" s="58" t="n">
        <f aca="false">IF(AND(OR(BU774="L1",BU774="L23"),AN774&gt;0),SUMIFS($AN$7:$AN$1576,$BU$7:$BU$1576,BU774,$AQ$7:$AQ$1576,"&gt;"&amp;AQ774)+SUMIFS($AN$7:$AN$1576,$BU$7:$BU$1576,BU774,$AQ$7:$AQ$1576,AQ774,$BO$7:$BO$1576,"&lt;="&amp;BO774),"")</f>
        <v>130.606866056696</v>
      </c>
      <c r="AS774" s="65" t="n">
        <f aca="false">IF(AR774="",0,MAX(0,MIN(1,(IF(BU774="L1",Parameter!$E$5,Parameter!$E$6+Parameter!$E$7)-(AR774-AN774))/AN774)))</f>
        <v>0</v>
      </c>
      <c r="AT774" s="57" t="n">
        <f aca="false">IF(LEFT(Cockpit!$O$5,1)="A",G774,IF(BW774=1,BX774,IF(LEFT(Cockpit!$O$5,1)="B",AX774,MAX(AX774,G774))))</f>
        <v>1</v>
      </c>
      <c r="AU774" s="57" t="n">
        <f aca="false">IF(BR774=1,0,ROUNDUP(AT774/BQ774,0))</f>
        <v>0</v>
      </c>
      <c r="AV774" s="59" t="n">
        <f aca="false">IF(CD774&gt;0,CD774*MAX(1,AT774/V774),IF(BR774=1,IF(AT774&lt;=0,0,BS774*MAX(1,IF(G774&gt;0,AT774/G774,1))),IF(Q774&gt;0,AU774/Q774,0))/MAX(0.1,N(Parameter!$M$21)))</f>
        <v>0.03</v>
      </c>
      <c r="AW774" s="57" t="n">
        <f aca="false">AT774*F774</f>
        <v>0.06</v>
      </c>
      <c r="AX774" s="57" t="n">
        <f aca="false">ROUNDUP(MAX(I774/IF(BV774&gt;0,BV774,MAX(0.1,N(Cockpit!$O$6))),BY774)/BQ774,0)*BQ774</f>
        <v>1</v>
      </c>
      <c r="AY774" s="58" t="n">
        <f aca="false">IF(AV774&gt;0,I774/AV774,-1)</f>
        <v>0</v>
      </c>
      <c r="AZ774" s="58" t="n">
        <f aca="false">IF(AND(OR(BU774="L1",BU774="L23"),AV774&gt;0),SUMIFS($AV$7:$AV$1576,$BU$7:$BU$1576,BU774,$AY$7:$AY$1576,"&gt;"&amp;AY774)+SUMIFS($AV$7:$AV$1576,$BU$7:$BU$1576,BU774,$AY$7:$AY$1576,AY774,$BO$7:$BO$1576,"&lt;="&amp;BO774),"")</f>
        <v>120.666416506247</v>
      </c>
      <c r="BA774" s="65" t="n">
        <f aca="false">IF(AZ774="",0,MAX(0,MIN(1,(IF(BU774="L1",Parameter!$E$5,Parameter!$E$6+Parameter!$E$7)-(AZ774-AV774))/AV774)))</f>
        <v>0</v>
      </c>
      <c r="BB774" s="55" t="str">
        <f aca="false">IF(AF774&lt;=0,"",IF(BU774="Aussen","Aussenlager",IF(BU774="-","Nicht im Lift",IF(AK774&gt;=1,"Lift",IF(AK774&lt;=0,"Aussenlager","teilweise")))))</f>
        <v/>
      </c>
      <c r="BC774" s="55" t="str">
        <f aca="false">IF(AN774&lt;=0,"",IF(BU774="Aussen","Aussenlager",IF(BU774="-","Nicht im Lift",IF(AS774&gt;=1,"Lift",IF(AS774&lt;=0,"Aussenlager","teilweise")))))</f>
        <v>Aussenlager</v>
      </c>
      <c r="BD774" s="55" t="str">
        <f aca="false">IF(AV774&lt;=0,"",IF(BU774="Aussen","Aussenlager",IF(BU774="-","Nicht im Lift",IF(BA774&gt;=1,"Lift",IF(BA774&lt;=0,"Aussenlager","teilweise")))))</f>
        <v>Aussenlager</v>
      </c>
      <c r="BE774" s="55" t="str">
        <f aca="false">IF(A774="","",IF(BN774=1,"Neu; ","")&amp;IF(AND(BN774=0,BI774&lt;0),"negativer Bestand (Export "&amp;BI774&amp;"); ","")&amp;IF(I774&lt;=0,"Kein Verbrauch; ","")&amp;IF(CD774&gt;0,"Lift "&amp;U774&amp;" lt. Liftbericht (Fach "&amp;V774&amp;" Stk); ",IF(BR774=1,"Lose – Fläche geschätzt; ",""))&amp;IF(G774&gt;AP774,"Überbestand "&amp;ROUND(G774-AP774,0)&amp;" Stk / CHF "&amp;ROUND((G774-AP774)*F774,0)&amp;"; ","")&amp;IF(AND(BW774=1,BX774&lt;BY774),"MAX &lt; MB+LG; ","")&amp;IF(AND(CC774&gt;0,CB774*10&gt;CC774),"zu hoch für Tablar; ","")&amp;IF(AND(BN774=0,OR(BW774=1,Y774&lt;&gt;"",S774&lt;&gt;"",T774&lt;&gt;"",Z774&lt;&gt;"")),"manuell übersteuert; ","")&amp;IF(AND(BR774=0,Q774=0),"Gebinde unbekannt / Stellmass fehlt; ","")&amp;IF(AND(BR774=0,N(T774)&lt;=0,N(P774)&lt;=0),"Menge pro Gebinde fehlt (Ist = 1 Gebinde); ","")&amp;BM774)</f>
        <v>negativer Bestand (Export -24); Kein Verbrauch; Lose – Fläche geschätzt; </v>
      </c>
      <c r="BF774" s="55"/>
      <c r="BG774" s="55"/>
      <c r="BH774" s="62"/>
      <c r="BI774" s="57" t="n">
        <v>-24</v>
      </c>
      <c r="BJ774" s="57" t="n">
        <v>36</v>
      </c>
      <c r="BK774" s="56" t="n">
        <v>-1.44</v>
      </c>
      <c r="BL774" s="57" t="n">
        <v>0</v>
      </c>
      <c r="BM774" s="55"/>
      <c r="BN774" s="60" t="n">
        <v>0</v>
      </c>
      <c r="BO774" s="60" t="n">
        <v>774</v>
      </c>
      <c r="BP774" s="55" t="str">
        <f aca="false">IF(S774&lt;&gt;"",UPPER(TRIM(S774)),IF(O774="","LOSE",O774))</f>
        <v>LOSE</v>
      </c>
      <c r="BQ774" s="57" t="n">
        <f aca="false">IF(BP774="LOSE",1,IF(N(T774)&gt;0,T774,IF(N(P774)&gt;0,P774,MAX(1,G774))))</f>
        <v>1</v>
      </c>
      <c r="BR774" s="60" t="n">
        <f aca="false">IF(BP774="LOSE",1,0)</f>
        <v>1</v>
      </c>
      <c r="BS774" s="59" t="n">
        <f aca="false">IF(BR774=0,0,IF(N(R774)&gt;0,R774,IFERROR(VLOOKUP(D774,Parameter!$A$35:$C$64,3,0)+0,0)))</f>
        <v>0.03</v>
      </c>
      <c r="BT774" s="55" t="n">
        <f aca="false">IF(Y774&lt;&gt;"",Y774,X774)</f>
        <v>2</v>
      </c>
      <c r="BU774" s="55" t="str">
        <f aca="false">IF(BT774=1,"L1",IF(OR(BT774=2,BT774=3),"L23",IF(BT774="Aussen","Aussen","-")))</f>
        <v>L23</v>
      </c>
      <c r="BV774" s="66" t="n">
        <f aca="false">IF(N(Z774)&gt;0,Z774,0)</f>
        <v>0</v>
      </c>
      <c r="BW774" s="60" t="n">
        <f aca="false">IF(ISNUMBER(AC774),1,0)</f>
        <v>0</v>
      </c>
      <c r="BX774" s="57" t="n">
        <f aca="false">N(AC774)</f>
        <v>0</v>
      </c>
      <c r="BY774" s="57" t="n">
        <f aca="false">N(L774)+N(M774)</f>
        <v>1</v>
      </c>
      <c r="BZ774" s="57" t="n">
        <f aca="false">ROUNDUP(G774/BQ774,0)</f>
        <v>0</v>
      </c>
      <c r="CA774" s="57" t="n">
        <f aca="false">ROUNDUP(BX774/BQ774,0)</f>
        <v>0</v>
      </c>
      <c r="CB774" s="60" t="n">
        <f aca="false">IF(BR774=1,0,IFERROR(VLOOKUP(BP774,'Gebinde-Kategorie'!$A$5:$M$45,5,0)+0,0))</f>
        <v>0</v>
      </c>
      <c r="CC774" s="60" t="n">
        <f aca="false">IFERROR(IF(OR(BT774=1,BT774=2,BT774=3),N(INDEX(Parameter!$I$5:$I$7,BT774)),0),0)</f>
        <v>0</v>
      </c>
      <c r="CD774" s="59" t="n">
        <f aca="false">IF(AND(Parameter!$B$21="Ja",ISNUMBER(U774),N(V774)&gt;0),IFERROR(N(INDEX(Parameter!$L$5:$L$7,U774))*INDEX(Parameter!$E$5:$E$7,U774)*V774/SUMIFS($V$7:$V$1576,$U$7:$U$1576,U774),0),0)</f>
        <v>0</v>
      </c>
    </row>
    <row r="775" customFormat="false" ht="15" hidden="false" customHeight="false" outlineLevel="0" collapsed="false">
      <c r="A775" s="55" t="s">
        <v>1505</v>
      </c>
      <c r="B775" s="55" t="s">
        <v>395</v>
      </c>
      <c r="C775" s="55" t="s">
        <v>160</v>
      </c>
      <c r="D775" s="55" t="s">
        <v>178</v>
      </c>
      <c r="E775" s="55" t="s">
        <v>210</v>
      </c>
      <c r="F775" s="56" t="n">
        <v>0.04</v>
      </c>
      <c r="G775" s="57" t="n">
        <f aca="false">MAX(0,IF(AND(Parameter!$B$21="Ja",ISNUMBER(W775)),W775,IF(Parameter!$B$20="Jahresanfang 2025 + Export",BJ775+BI775,BI775)))</f>
        <v>0</v>
      </c>
      <c r="H775" s="57" t="n">
        <f aca="false">G775*F775</f>
        <v>0</v>
      </c>
      <c r="I775" s="57" t="n">
        <f aca="false">BL775*Parameter!$B$18</f>
        <v>219</v>
      </c>
      <c r="J775" s="58" t="n">
        <v>211</v>
      </c>
      <c r="K775" s="59" t="n">
        <v>1.03791469194313</v>
      </c>
      <c r="L775" s="57" t="n">
        <v>12</v>
      </c>
      <c r="M775" s="57" t="n">
        <v>220</v>
      </c>
      <c r="N775" s="60" t="n">
        <v>21</v>
      </c>
      <c r="O775" s="55" t="s">
        <v>391</v>
      </c>
      <c r="P775" s="57" t="n">
        <v>241</v>
      </c>
      <c r="Q775" s="60" t="n">
        <f aca="false">IF(BR775=1,0,IFERROR(VLOOKUP(BP775,'Gebinde-Kategorie'!$A$5:$M$45,13,0)+0,0))</f>
        <v>414</v>
      </c>
      <c r="R775" s="61"/>
      <c r="S775" s="62"/>
      <c r="T775" s="62"/>
      <c r="U775" s="55"/>
      <c r="V775" s="57"/>
      <c r="W775" s="57"/>
      <c r="X775" s="55" t="n">
        <f aca="false">IF(A775="","",IF(AND(Parameter!$B$21="Ja",ISNUMBER(U775)),U775,IF(IFERROR(VLOOKUP(D775,Parameter!$A$35:$C$64,2,0),"Nein")="2+3",IF(ISNUMBER(SEARCH("grosser Artikel",BM775)),2,IFERROR(VLOOKUP(BP775,Parameter!$F$35:$G$64,2,0),2)),IF(OR(IFERROR(VLOOKUP(D775,Parameter!$A$35:$C$64,2,0),"Nein")="Nein",IFERROR(VLOOKUP(D775,Parameter!$A$35:$C$64,2,0),"Nein")=""),"-",VLOOKUP(D775,Parameter!$A$35:$C$64,2,0)))))</f>
        <v>3</v>
      </c>
      <c r="Y775" s="62"/>
      <c r="Z775" s="63"/>
      <c r="AA775" s="57" t="n">
        <f aca="false">AP775</f>
        <v>241</v>
      </c>
      <c r="AB775" s="57" t="n">
        <f aca="false">MAX(AP775,G775)</f>
        <v>241</v>
      </c>
      <c r="AC775" s="64"/>
      <c r="AD775" s="57" t="n">
        <f aca="false">IF(LEFT(Cockpit!$C$5,1)="A",G775,IF(BW775=1,BX775,IF(LEFT(Cockpit!$C$5,1)="B",AH775,MAX(AH775,G775))))</f>
        <v>0</v>
      </c>
      <c r="AE775" s="57" t="n">
        <f aca="false">IF(BR775=1,0,ROUNDUP(AD775/BQ775,0))</f>
        <v>0</v>
      </c>
      <c r="AF775" s="59" t="n">
        <f aca="false">IF(CD775&gt;0,CD775*MAX(1,AD775/V775),IF(BR775=1,IF(AD775&lt;=0,0,BS775*MAX(1,IF(G775&gt;0,AD775/G775,1))),IF(Q775&gt;0,AE775/Q775,0))/MAX(0.1,N(Parameter!$M$21)))</f>
        <v>0</v>
      </c>
      <c r="AG775" s="57" t="n">
        <f aca="false">AD775*F775</f>
        <v>0</v>
      </c>
      <c r="AH775" s="57" t="n">
        <f aca="false">ROUNDUP(MAX(I775/IF(BV775&gt;0,BV775,MAX(0.1,N(Cockpit!$C$6))),BY775)/BQ775,0)*BQ775</f>
        <v>241</v>
      </c>
      <c r="AI775" s="58" t="n">
        <f aca="false">IF(AF775&gt;0,I775/AF775,-1)</f>
        <v>-1</v>
      </c>
      <c r="AJ775" s="58" t="str">
        <f aca="false">IF(AND(OR(BU775="L1",BU775="L23"),AF775&gt;0),SUMIFS($AF$7:$AF$1576,$BU$7:$BU$1576,BU775,$AI$7:$AI$1576,"&gt;"&amp;AI775)+SUMIFS($AF$7:$AF$1576,$BU$7:$BU$1576,BU775,$AI$7:$AI$1576,AI775,$BO$7:$BO$1576,"&lt;="&amp;BO775),"")</f>
        <v/>
      </c>
      <c r="AK775" s="65" t="n">
        <f aca="false">IF(AJ775="",0,MAX(0,MIN(1,(IF(BU775="L1",Parameter!$E$5,Parameter!$E$6+Parameter!$E$7)-(AJ775-AF775))/AF775)))</f>
        <v>0</v>
      </c>
      <c r="AL775" s="57" t="n">
        <f aca="false">IF(LEFT(Cockpit!$I$5,1)="A",G775,IF(BW775=1,BX775,IF(LEFT(Cockpit!$I$5,1)="B",AP775,MAX(AP775,G775))))</f>
        <v>241</v>
      </c>
      <c r="AM775" s="57" t="n">
        <f aca="false">IF(BR775=1,0,ROUNDUP(AL775/BQ775,0))</f>
        <v>1</v>
      </c>
      <c r="AN775" s="59" t="n">
        <f aca="false">IF(CD775&gt;0,CD775*MAX(1,AL775/V775),IF(BR775=1,IF(AL775&lt;=0,0,BS775*MAX(1,IF(G775&gt;0,AL775/G775,1))),IF(Q775&gt;0,AM775/Q775,0))/MAX(0.1,N(Parameter!$M$21)))</f>
        <v>0.00241545893719807</v>
      </c>
      <c r="AO775" s="57" t="n">
        <f aca="false">AL775*F775</f>
        <v>9.64</v>
      </c>
      <c r="AP775" s="57" t="n">
        <f aca="false">ROUNDUP(MAX(I775/IF(BV775&gt;0,BV775,MAX(0.1,N(Cockpit!$I$6))),BY775)/BQ775,0)*BQ775</f>
        <v>241</v>
      </c>
      <c r="AQ775" s="58" t="n">
        <f aca="false">IF(AN775&gt;0,I775/AN775,-1)</f>
        <v>90666</v>
      </c>
      <c r="AR775" s="58" t="n">
        <f aca="false">IF(AND(OR(BU775="L1",BU775="L23"),AN775&gt;0),SUMIFS($AN$7:$AN$1576,$BU$7:$BU$1576,BU775,$AQ$7:$AQ$1576,"&gt;"&amp;AQ775)+SUMIFS($AN$7:$AN$1576,$BU$7:$BU$1576,BU775,$AQ$7:$AQ$1576,AQ775,$BO$7:$BO$1576,"&lt;="&amp;BO775),"")</f>
        <v>0.560678693287389</v>
      </c>
      <c r="AS775" s="65" t="n">
        <f aca="false">IF(AR775="",0,MAX(0,MIN(1,(IF(BU775="L1",Parameter!$E$5,Parameter!$E$6+Parameter!$E$7)-(AR775-AN775))/AN775)))</f>
        <v>1</v>
      </c>
      <c r="AT775" s="57" t="n">
        <f aca="false">IF(LEFT(Cockpit!$O$5,1)="A",G775,IF(BW775=1,BX775,IF(LEFT(Cockpit!$O$5,1)="B",AX775,MAX(AX775,G775))))</f>
        <v>241</v>
      </c>
      <c r="AU775" s="57" t="n">
        <f aca="false">IF(BR775=1,0,ROUNDUP(AT775/BQ775,0))</f>
        <v>1</v>
      </c>
      <c r="AV775" s="59" t="n">
        <f aca="false">IF(CD775&gt;0,CD775*MAX(1,AT775/V775),IF(BR775=1,IF(AT775&lt;=0,0,BS775*MAX(1,IF(G775&gt;0,AT775/G775,1))),IF(Q775&gt;0,AU775/Q775,0))/MAX(0.1,N(Parameter!$M$21)))</f>
        <v>0.00241545893719807</v>
      </c>
      <c r="AW775" s="57" t="n">
        <f aca="false">AT775*F775</f>
        <v>9.64</v>
      </c>
      <c r="AX775" s="57" t="n">
        <f aca="false">ROUNDUP(MAX(I775/IF(BV775&gt;0,BV775,MAX(0.1,N(Cockpit!$O$6))),BY775)/BQ775,0)*BQ775</f>
        <v>241</v>
      </c>
      <c r="AY775" s="58" t="n">
        <f aca="false">IF(AV775&gt;0,I775/AV775,-1)</f>
        <v>90666</v>
      </c>
      <c r="AZ775" s="58" t="n">
        <f aca="false">IF(AND(OR(BU775="L1",BU775="L23"),AV775&gt;0),SUMIFS($AV$7:$AV$1576,$BU$7:$BU$1576,BU775,$AY$7:$AY$1576,"&gt;"&amp;AY775)+SUMIFS($AV$7:$AV$1576,$BU$7:$BU$1576,BU775,$AY$7:$AY$1576,AY775,$BO$7:$BO$1576,"&lt;="&amp;BO775),"")</f>
        <v>0.637601770210466</v>
      </c>
      <c r="BA775" s="65" t="n">
        <f aca="false">IF(AZ775="",0,MAX(0,MIN(1,(IF(BU775="L1",Parameter!$E$5,Parameter!$E$6+Parameter!$E$7)-(AZ775-AV775))/AV775)))</f>
        <v>1</v>
      </c>
      <c r="BB775" s="55" t="str">
        <f aca="false">IF(AF775&lt;=0,"",IF(BU775="Aussen","Aussenlager",IF(BU775="-","Nicht im Lift",IF(AK775&gt;=1,"Lift",IF(AK775&lt;=0,"Aussenlager","teilweise")))))</f>
        <v/>
      </c>
      <c r="BC775" s="55" t="str">
        <f aca="false">IF(AN775&lt;=0,"",IF(BU775="Aussen","Aussenlager",IF(BU775="-","Nicht im Lift",IF(AS775&gt;=1,"Lift",IF(AS775&lt;=0,"Aussenlager","teilweise")))))</f>
        <v>Lift</v>
      </c>
      <c r="BD775" s="55" t="str">
        <f aca="false">IF(AV775&lt;=0,"",IF(BU775="Aussen","Aussenlager",IF(BU775="-","Nicht im Lift",IF(BA775&gt;=1,"Lift",IF(BA775&lt;=0,"Aussenlager","teilweise")))))</f>
        <v>Lift</v>
      </c>
      <c r="BE775" s="55" t="str">
        <f aca="false">IF(A775="","",IF(BN775=1,"Neu; ","")&amp;IF(AND(BN775=0,BI775&lt;0),"negativer Bestand (Export "&amp;BI775&amp;"); ","")&amp;IF(I775&lt;=0,"Kein Verbrauch; ","")&amp;IF(CD775&gt;0,"Lift "&amp;U775&amp;" lt. Liftbericht (Fach "&amp;V775&amp;" Stk); ",IF(BR775=1,"Lose – Fläche geschätzt; ",""))&amp;IF(G775&gt;AP775,"Überbestand "&amp;ROUND(G775-AP775,0)&amp;" Stk / CHF "&amp;ROUND((G775-AP775)*F775,0)&amp;"; ","")&amp;IF(AND(BW775=1,BX775&lt;BY775),"MAX &lt; MB+LG; ","")&amp;IF(AND(CC775&gt;0,CB775*10&gt;CC775),"zu hoch für Tablar; ","")&amp;IF(AND(BN775=0,OR(BW775=1,Y775&lt;&gt;"",S775&lt;&gt;"",T775&lt;&gt;"",Z775&lt;&gt;"")),"manuell übersteuert; ","")&amp;IF(AND(BR775=0,Q775=0),"Gebinde unbekannt / Stellmass fehlt; ","")&amp;IF(AND(BR775=0,N(T775)&lt;=0,N(P775)&lt;=0),"Menge pro Gebinde fehlt (Ist = 1 Gebinde); ","")&amp;BM775)</f>
        <v>negativer Bestand (Export -36); </v>
      </c>
      <c r="BF775" s="55"/>
      <c r="BG775" s="55"/>
      <c r="BH775" s="62"/>
      <c r="BI775" s="57" t="n">
        <v>-36</v>
      </c>
      <c r="BJ775" s="57" t="n">
        <v>147</v>
      </c>
      <c r="BK775" s="56" t="n">
        <v>-1.44000000000002</v>
      </c>
      <c r="BL775" s="57" t="n">
        <v>219</v>
      </c>
      <c r="BM775" s="55"/>
      <c r="BN775" s="60" t="n">
        <v>0</v>
      </c>
      <c r="BO775" s="60" t="n">
        <v>775</v>
      </c>
      <c r="BP775" s="55" t="str">
        <f aca="false">IF(S775&lt;&gt;"",UPPER(TRIM(S775)),IF(O775="","LOSE",O775))</f>
        <v>S21</v>
      </c>
      <c r="BQ775" s="57" t="n">
        <f aca="false">IF(BP775="LOSE",1,IF(N(T775)&gt;0,T775,IF(N(P775)&gt;0,P775,MAX(1,G775))))</f>
        <v>241</v>
      </c>
      <c r="BR775" s="60" t="n">
        <f aca="false">IF(BP775="LOSE",1,0)</f>
        <v>0</v>
      </c>
      <c r="BS775" s="59" t="n">
        <f aca="false">IF(BR775=0,0,IF(N(R775)&gt;0,R775,IFERROR(VLOOKUP(D775,Parameter!$A$35:$C$64,3,0)+0,0)))</f>
        <v>0</v>
      </c>
      <c r="BT775" s="55" t="n">
        <f aca="false">IF(Y775&lt;&gt;"",Y775,X775)</f>
        <v>3</v>
      </c>
      <c r="BU775" s="55" t="str">
        <f aca="false">IF(BT775=1,"L1",IF(OR(BT775=2,BT775=3),"L23",IF(BT775="Aussen","Aussen","-")))</f>
        <v>L23</v>
      </c>
      <c r="BV775" s="66" t="n">
        <f aca="false">IF(N(Z775)&gt;0,Z775,0)</f>
        <v>0</v>
      </c>
      <c r="BW775" s="60" t="n">
        <f aca="false">IF(ISNUMBER(AC775),1,0)</f>
        <v>0</v>
      </c>
      <c r="BX775" s="57" t="n">
        <f aca="false">N(AC775)</f>
        <v>0</v>
      </c>
      <c r="BY775" s="57" t="n">
        <f aca="false">N(L775)+N(M775)</f>
        <v>232</v>
      </c>
      <c r="BZ775" s="57" t="n">
        <f aca="false">ROUNDUP(G775/BQ775,0)</f>
        <v>0</v>
      </c>
      <c r="CA775" s="57" t="n">
        <f aca="false">ROUNDUP(BX775/BQ775,0)</f>
        <v>0</v>
      </c>
      <c r="CB775" s="60" t="n">
        <f aca="false">IF(BR775=1,0,IFERROR(VLOOKUP(BP775,'Gebinde-Kategorie'!$A$5:$M$45,5,0)+0,0))</f>
        <v>8</v>
      </c>
      <c r="CC775" s="60" t="n">
        <f aca="false">IFERROR(IF(OR(BT775=1,BT775=2,BT775=3),N(INDEX(Parameter!$I$5:$I$7,BT775)),0),0)</f>
        <v>0</v>
      </c>
      <c r="CD775" s="59" t="n">
        <f aca="false">IF(AND(Parameter!$B$21="Ja",ISNUMBER(U775),N(V775)&gt;0),IFERROR(N(INDEX(Parameter!$L$5:$L$7,U775))*INDEX(Parameter!$E$5:$E$7,U775)*V775/SUMIFS($V$7:$V$1576,$U$7:$U$1576,U775),0),0)</f>
        <v>0</v>
      </c>
    </row>
    <row r="776" customFormat="false" ht="15" hidden="false" customHeight="false" outlineLevel="0" collapsed="false">
      <c r="A776" s="55" t="s">
        <v>1506</v>
      </c>
      <c r="B776" s="55" t="s">
        <v>1507</v>
      </c>
      <c r="C776" s="55" t="s">
        <v>160</v>
      </c>
      <c r="D776" s="55" t="s">
        <v>178</v>
      </c>
      <c r="E776" s="55" t="s">
        <v>210</v>
      </c>
      <c r="F776" s="56" t="n">
        <v>0.5</v>
      </c>
      <c r="G776" s="57" t="n">
        <f aca="false">MAX(0,IF(AND(Parameter!$B$21="Ja",ISNUMBER(W776)),W776,IF(Parameter!$B$20="Jahresanfang 2025 + Export",BJ776+BI776,BI776)))</f>
        <v>0</v>
      </c>
      <c r="H776" s="57" t="n">
        <f aca="false">G776*F776</f>
        <v>0</v>
      </c>
      <c r="I776" s="57" t="n">
        <f aca="false">BL776*Parameter!$B$18</f>
        <v>0</v>
      </c>
      <c r="J776" s="58" t="n">
        <v>183</v>
      </c>
      <c r="K776" s="59" t="n">
        <v>0</v>
      </c>
      <c r="L776" s="57" t="n">
        <v>0</v>
      </c>
      <c r="M776" s="57" t="n">
        <v>1</v>
      </c>
      <c r="N776" s="60" t="n">
        <v>14</v>
      </c>
      <c r="O776" s="55" t="s">
        <v>391</v>
      </c>
      <c r="P776" s="57" t="n">
        <v>200</v>
      </c>
      <c r="Q776" s="60" t="n">
        <f aca="false">IF(BR776=1,0,IFERROR(VLOOKUP(BP776,'Gebinde-Kategorie'!$A$5:$M$45,13,0)+0,0))</f>
        <v>414</v>
      </c>
      <c r="R776" s="61"/>
      <c r="S776" s="62"/>
      <c r="T776" s="62"/>
      <c r="U776" s="55"/>
      <c r="V776" s="57"/>
      <c r="W776" s="57"/>
      <c r="X776" s="55" t="n">
        <f aca="false">IF(A776="","",IF(AND(Parameter!$B$21="Ja",ISNUMBER(U776)),U776,IF(IFERROR(VLOOKUP(D776,Parameter!$A$35:$C$64,2,0),"Nein")="2+3",IF(ISNUMBER(SEARCH("grosser Artikel",BM776)),2,IFERROR(VLOOKUP(BP776,Parameter!$F$35:$G$64,2,0),2)),IF(OR(IFERROR(VLOOKUP(D776,Parameter!$A$35:$C$64,2,0),"Nein")="Nein",IFERROR(VLOOKUP(D776,Parameter!$A$35:$C$64,2,0),"Nein")=""),"-",VLOOKUP(D776,Parameter!$A$35:$C$64,2,0)))))</f>
        <v>3</v>
      </c>
      <c r="Y776" s="62"/>
      <c r="Z776" s="63"/>
      <c r="AA776" s="57" t="n">
        <f aca="false">AP776</f>
        <v>200</v>
      </c>
      <c r="AB776" s="57" t="n">
        <f aca="false">MAX(AP776,G776)</f>
        <v>200</v>
      </c>
      <c r="AC776" s="64"/>
      <c r="AD776" s="57" t="n">
        <f aca="false">IF(LEFT(Cockpit!$C$5,1)="A",G776,IF(BW776=1,BX776,IF(LEFT(Cockpit!$C$5,1)="B",AH776,MAX(AH776,G776))))</f>
        <v>0</v>
      </c>
      <c r="AE776" s="57" t="n">
        <f aca="false">IF(BR776=1,0,ROUNDUP(AD776/BQ776,0))</f>
        <v>0</v>
      </c>
      <c r="AF776" s="59" t="n">
        <f aca="false">IF(CD776&gt;0,CD776*MAX(1,AD776/V776),IF(BR776=1,IF(AD776&lt;=0,0,BS776*MAX(1,IF(G776&gt;0,AD776/G776,1))),IF(Q776&gt;0,AE776/Q776,0))/MAX(0.1,N(Parameter!$M$21)))</f>
        <v>0</v>
      </c>
      <c r="AG776" s="57" t="n">
        <f aca="false">AD776*F776</f>
        <v>0</v>
      </c>
      <c r="AH776" s="57" t="n">
        <f aca="false">ROUNDUP(MAX(I776/IF(BV776&gt;0,BV776,MAX(0.1,N(Cockpit!$C$6))),BY776)/BQ776,0)*BQ776</f>
        <v>200</v>
      </c>
      <c r="AI776" s="58" t="n">
        <f aca="false">IF(AF776&gt;0,I776/AF776,-1)</f>
        <v>-1</v>
      </c>
      <c r="AJ776" s="58" t="str">
        <f aca="false">IF(AND(OR(BU776="L1",BU776="L23"),AF776&gt;0),SUMIFS($AF$7:$AF$1576,$BU$7:$BU$1576,BU776,$AI$7:$AI$1576,"&gt;"&amp;AI776)+SUMIFS($AF$7:$AF$1576,$BU$7:$BU$1576,BU776,$AI$7:$AI$1576,AI776,$BO$7:$BO$1576,"&lt;="&amp;BO776),"")</f>
        <v/>
      </c>
      <c r="AK776" s="65" t="n">
        <f aca="false">IF(AJ776="",0,MAX(0,MIN(1,(IF(BU776="L1",Parameter!$E$5,Parameter!$E$6+Parameter!$E$7)-(AJ776-AF776))/AF776)))</f>
        <v>0</v>
      </c>
      <c r="AL776" s="57" t="n">
        <f aca="false">IF(LEFT(Cockpit!$I$5,1)="A",G776,IF(BW776=1,BX776,IF(LEFT(Cockpit!$I$5,1)="B",AP776,MAX(AP776,G776))))</f>
        <v>200</v>
      </c>
      <c r="AM776" s="57" t="n">
        <f aca="false">IF(BR776=1,0,ROUNDUP(AL776/BQ776,0))</f>
        <v>1</v>
      </c>
      <c r="AN776" s="59" t="n">
        <f aca="false">IF(CD776&gt;0,CD776*MAX(1,AL776/V776),IF(BR776=1,IF(AL776&lt;=0,0,BS776*MAX(1,IF(G776&gt;0,AL776/G776,1))),IF(Q776&gt;0,AM776/Q776,0))/MAX(0.1,N(Parameter!$M$21)))</f>
        <v>0.00241545893719807</v>
      </c>
      <c r="AO776" s="57" t="n">
        <f aca="false">AL776*F776</f>
        <v>100</v>
      </c>
      <c r="AP776" s="57" t="n">
        <f aca="false">ROUNDUP(MAX(I776/IF(BV776&gt;0,BV776,MAX(0.1,N(Cockpit!$I$6))),BY776)/BQ776,0)*BQ776</f>
        <v>200</v>
      </c>
      <c r="AQ776" s="58" t="n">
        <f aca="false">IF(AN776&gt;0,I776/AN776,-1)</f>
        <v>0</v>
      </c>
      <c r="AR776" s="58" t="n">
        <f aca="false">IF(AND(OR(BU776="L1",BU776="L23"),AN776&gt;0),SUMIFS($AN$7:$AN$1576,$BU$7:$BU$1576,BU776,$AQ$7:$AQ$1576,"&gt;"&amp;AQ776)+SUMIFS($AN$7:$AN$1576,$BU$7:$BU$1576,BU776,$AQ$7:$AQ$1576,AQ776,$BO$7:$BO$1576,"&lt;="&amp;BO776),"")</f>
        <v>130.609281515633</v>
      </c>
      <c r="AS776" s="65" t="n">
        <f aca="false">IF(AR776="",0,MAX(0,MIN(1,(IF(BU776="L1",Parameter!$E$5,Parameter!$E$6+Parameter!$E$7)-(AR776-AN776))/AN776)))</f>
        <v>0</v>
      </c>
      <c r="AT776" s="57" t="n">
        <f aca="false">IF(LEFT(Cockpit!$O$5,1)="A",G776,IF(BW776=1,BX776,IF(LEFT(Cockpit!$O$5,1)="B",AX776,MAX(AX776,G776))))</f>
        <v>200</v>
      </c>
      <c r="AU776" s="57" t="n">
        <f aca="false">IF(BR776=1,0,ROUNDUP(AT776/BQ776,0))</f>
        <v>1</v>
      </c>
      <c r="AV776" s="59" t="n">
        <f aca="false">IF(CD776&gt;0,CD776*MAX(1,AT776/V776),IF(BR776=1,IF(AT776&lt;=0,0,BS776*MAX(1,IF(G776&gt;0,AT776/G776,1))),IF(Q776&gt;0,AU776/Q776,0))/MAX(0.1,N(Parameter!$M$21)))</f>
        <v>0.00241545893719807</v>
      </c>
      <c r="AW776" s="57" t="n">
        <f aca="false">AT776*F776</f>
        <v>100</v>
      </c>
      <c r="AX776" s="57" t="n">
        <f aca="false">ROUNDUP(MAX(I776/IF(BV776&gt;0,BV776,MAX(0.1,N(Cockpit!$O$6))),BY776)/BQ776,0)*BQ776</f>
        <v>200</v>
      </c>
      <c r="AY776" s="58" t="n">
        <f aca="false">IF(AV776&gt;0,I776/AV776,-1)</f>
        <v>0</v>
      </c>
      <c r="AZ776" s="58" t="n">
        <f aca="false">IF(AND(OR(BU776="L1",BU776="L23"),AV776&gt;0),SUMIFS($AV$7:$AV$1576,$BU$7:$BU$1576,BU776,$AY$7:$AY$1576,"&gt;"&amp;AY776)+SUMIFS($AV$7:$AV$1576,$BU$7:$BU$1576,BU776,$AY$7:$AY$1576,AY776,$BO$7:$BO$1576,"&lt;="&amp;BO776),"")</f>
        <v>120.668831965184</v>
      </c>
      <c r="BA776" s="65" t="n">
        <f aca="false">IF(AZ776="",0,MAX(0,MIN(1,(IF(BU776="L1",Parameter!$E$5,Parameter!$E$6+Parameter!$E$7)-(AZ776-AV776))/AV776)))</f>
        <v>0</v>
      </c>
      <c r="BB776" s="55" t="str">
        <f aca="false">IF(AF776&lt;=0,"",IF(BU776="Aussen","Aussenlager",IF(BU776="-","Nicht im Lift",IF(AK776&gt;=1,"Lift",IF(AK776&lt;=0,"Aussenlager","teilweise")))))</f>
        <v/>
      </c>
      <c r="BC776" s="55" t="str">
        <f aca="false">IF(AN776&lt;=0,"",IF(BU776="Aussen","Aussenlager",IF(BU776="-","Nicht im Lift",IF(AS776&gt;=1,"Lift",IF(AS776&lt;=0,"Aussenlager","teilweise")))))</f>
        <v>Aussenlager</v>
      </c>
      <c r="BD776" s="55" t="str">
        <f aca="false">IF(AV776&lt;=0,"",IF(BU776="Aussen","Aussenlager",IF(BU776="-","Nicht im Lift",IF(BA776&gt;=1,"Lift",IF(BA776&lt;=0,"Aussenlager","teilweise")))))</f>
        <v>Aussenlager</v>
      </c>
      <c r="BE776" s="55" t="str">
        <f aca="false">IF(A776="","",IF(BN776=1,"Neu; ","")&amp;IF(AND(BN776=0,BI776&lt;0),"negativer Bestand (Export "&amp;BI776&amp;"); ","")&amp;IF(I776&lt;=0,"Kein Verbrauch; ","")&amp;IF(CD776&gt;0,"Lift "&amp;U776&amp;" lt. Liftbericht (Fach "&amp;V776&amp;" Stk); ",IF(BR776=1,"Lose – Fläche geschätzt; ",""))&amp;IF(G776&gt;AP776,"Überbestand "&amp;ROUND(G776-AP776,0)&amp;" Stk / CHF "&amp;ROUND((G776-AP776)*F776,0)&amp;"; ","")&amp;IF(AND(BW776=1,BX776&lt;BY776),"MAX &lt; MB+LG; ","")&amp;IF(AND(CC776&gt;0,CB776*10&gt;CC776),"zu hoch für Tablar; ","")&amp;IF(AND(BN776=0,OR(BW776=1,Y776&lt;&gt;"",S776&lt;&gt;"",T776&lt;&gt;"",Z776&lt;&gt;"")),"manuell übersteuert; ","")&amp;IF(AND(BR776=0,Q776=0),"Gebinde unbekannt / Stellmass fehlt; ","")&amp;IF(AND(BR776=0,N(T776)&lt;=0,N(P776)&lt;=0),"Menge pro Gebinde fehlt (Ist = 1 Gebinde); ","")&amp;BM776)</f>
        <v>negativer Bestand (Export -3); Kein Verbrauch; </v>
      </c>
      <c r="BF776" s="55"/>
      <c r="BG776" s="55"/>
      <c r="BH776" s="62"/>
      <c r="BI776" s="57" t="n">
        <v>-3</v>
      </c>
      <c r="BJ776" s="57" t="n">
        <v>183</v>
      </c>
      <c r="BK776" s="56" t="n">
        <v>-1.5</v>
      </c>
      <c r="BL776" s="57" t="n">
        <v>0</v>
      </c>
      <c r="BM776" s="55"/>
      <c r="BN776" s="60" t="n">
        <v>0</v>
      </c>
      <c r="BO776" s="60" t="n">
        <v>776</v>
      </c>
      <c r="BP776" s="55" t="str">
        <f aca="false">IF(S776&lt;&gt;"",UPPER(TRIM(S776)),IF(O776="","LOSE",O776))</f>
        <v>S21</v>
      </c>
      <c r="BQ776" s="57" t="n">
        <f aca="false">IF(BP776="LOSE",1,IF(N(T776)&gt;0,T776,IF(N(P776)&gt;0,P776,MAX(1,G776))))</f>
        <v>200</v>
      </c>
      <c r="BR776" s="60" t="n">
        <f aca="false">IF(BP776="LOSE",1,0)</f>
        <v>0</v>
      </c>
      <c r="BS776" s="59" t="n">
        <f aca="false">IF(BR776=0,0,IF(N(R776)&gt;0,R776,IFERROR(VLOOKUP(D776,Parameter!$A$35:$C$64,3,0)+0,0)))</f>
        <v>0</v>
      </c>
      <c r="BT776" s="55" t="n">
        <f aca="false">IF(Y776&lt;&gt;"",Y776,X776)</f>
        <v>3</v>
      </c>
      <c r="BU776" s="55" t="str">
        <f aca="false">IF(BT776=1,"L1",IF(OR(BT776=2,BT776=3),"L23",IF(BT776="Aussen","Aussen","-")))</f>
        <v>L23</v>
      </c>
      <c r="BV776" s="66" t="n">
        <f aca="false">IF(N(Z776)&gt;0,Z776,0)</f>
        <v>0</v>
      </c>
      <c r="BW776" s="60" t="n">
        <f aca="false">IF(ISNUMBER(AC776),1,0)</f>
        <v>0</v>
      </c>
      <c r="BX776" s="57" t="n">
        <f aca="false">N(AC776)</f>
        <v>0</v>
      </c>
      <c r="BY776" s="57" t="n">
        <f aca="false">N(L776)+N(M776)</f>
        <v>1</v>
      </c>
      <c r="BZ776" s="57" t="n">
        <f aca="false">ROUNDUP(G776/BQ776,0)</f>
        <v>0</v>
      </c>
      <c r="CA776" s="57" t="n">
        <f aca="false">ROUNDUP(BX776/BQ776,0)</f>
        <v>0</v>
      </c>
      <c r="CB776" s="60" t="n">
        <f aca="false">IF(BR776=1,0,IFERROR(VLOOKUP(BP776,'Gebinde-Kategorie'!$A$5:$M$45,5,0)+0,0))</f>
        <v>8</v>
      </c>
      <c r="CC776" s="60" t="n">
        <f aca="false">IFERROR(IF(OR(BT776=1,BT776=2,BT776=3),N(INDEX(Parameter!$I$5:$I$7,BT776)),0),0)</f>
        <v>0</v>
      </c>
      <c r="CD776" s="59" t="n">
        <f aca="false">IF(AND(Parameter!$B$21="Ja",ISNUMBER(U776),N(V776)&gt;0),IFERROR(N(INDEX(Parameter!$L$5:$L$7,U776))*INDEX(Parameter!$E$5:$E$7,U776)*V776/SUMIFS($V$7:$V$1576,$U$7:$U$1576,U776),0),0)</f>
        <v>0</v>
      </c>
    </row>
    <row r="777" customFormat="false" ht="15" hidden="false" customHeight="false" outlineLevel="0" collapsed="false">
      <c r="A777" s="55" t="s">
        <v>1508</v>
      </c>
      <c r="B777" s="55" t="s">
        <v>1225</v>
      </c>
      <c r="C777" s="55" t="s">
        <v>160</v>
      </c>
      <c r="D777" s="55" t="s">
        <v>178</v>
      </c>
      <c r="E777" s="55" t="s">
        <v>210</v>
      </c>
      <c r="F777" s="56" t="n">
        <v>0.03</v>
      </c>
      <c r="G777" s="57" t="n">
        <f aca="false">MAX(0,IF(AND(Parameter!$B$21="Ja",ISNUMBER(W777)),W777,IF(Parameter!$B$20="Jahresanfang 2025 + Export",BJ777+BI777,BI777)))</f>
        <v>0</v>
      </c>
      <c r="H777" s="57" t="n">
        <f aca="false">G777*F777</f>
        <v>0</v>
      </c>
      <c r="I777" s="57" t="n">
        <f aca="false">BL777*Parameter!$B$18</f>
        <v>16</v>
      </c>
      <c r="J777" s="58" t="n">
        <v>510.5</v>
      </c>
      <c r="K777" s="59" t="n">
        <v>0.0313418217433888</v>
      </c>
      <c r="L777" s="57" t="n">
        <v>0</v>
      </c>
      <c r="M777" s="57" t="n">
        <v>15</v>
      </c>
      <c r="N777" s="60" t="n">
        <v>21</v>
      </c>
      <c r="O777" s="55" t="s">
        <v>416</v>
      </c>
      <c r="P777" s="57" t="n">
        <v>535</v>
      </c>
      <c r="Q777" s="60" t="n">
        <f aca="false">IF(BR777=1,0,IFERROR(VLOOKUP(BP777,'Gebinde-Kategorie'!$A$5:$M$45,13,0)+0,0))</f>
        <v>198</v>
      </c>
      <c r="R777" s="61"/>
      <c r="S777" s="62"/>
      <c r="T777" s="62"/>
      <c r="U777" s="55"/>
      <c r="V777" s="57"/>
      <c r="W777" s="57"/>
      <c r="X777" s="55" t="n">
        <f aca="false">IF(A777="","",IF(AND(Parameter!$B$21="Ja",ISNUMBER(U777)),U777,IF(IFERROR(VLOOKUP(D777,Parameter!$A$35:$C$64,2,0),"Nein")="2+3",IF(ISNUMBER(SEARCH("grosser Artikel",BM777)),2,IFERROR(VLOOKUP(BP777,Parameter!$F$35:$G$64,2,0),2)),IF(OR(IFERROR(VLOOKUP(D777,Parameter!$A$35:$C$64,2,0),"Nein")="Nein",IFERROR(VLOOKUP(D777,Parameter!$A$35:$C$64,2,0),"Nein")=""),"-",VLOOKUP(D777,Parameter!$A$35:$C$64,2,0)))))</f>
        <v>3</v>
      </c>
      <c r="Y777" s="62"/>
      <c r="Z777" s="63"/>
      <c r="AA777" s="57" t="n">
        <f aca="false">AP777</f>
        <v>535</v>
      </c>
      <c r="AB777" s="57" t="n">
        <f aca="false">MAX(AP777,G777)</f>
        <v>535</v>
      </c>
      <c r="AC777" s="64"/>
      <c r="AD777" s="57" t="n">
        <f aca="false">IF(LEFT(Cockpit!$C$5,1)="A",G777,IF(BW777=1,BX777,IF(LEFT(Cockpit!$C$5,1)="B",AH777,MAX(AH777,G777))))</f>
        <v>0</v>
      </c>
      <c r="AE777" s="57" t="n">
        <f aca="false">IF(BR777=1,0,ROUNDUP(AD777/BQ777,0))</f>
        <v>0</v>
      </c>
      <c r="AF777" s="59" t="n">
        <f aca="false">IF(CD777&gt;0,CD777*MAX(1,AD777/V777),IF(BR777=1,IF(AD777&lt;=0,0,BS777*MAX(1,IF(G777&gt;0,AD777/G777,1))),IF(Q777&gt;0,AE777/Q777,0))/MAX(0.1,N(Parameter!$M$21)))</f>
        <v>0</v>
      </c>
      <c r="AG777" s="57" t="n">
        <f aca="false">AD777*F777</f>
        <v>0</v>
      </c>
      <c r="AH777" s="57" t="n">
        <f aca="false">ROUNDUP(MAX(I777/IF(BV777&gt;0,BV777,MAX(0.1,N(Cockpit!$C$6))),BY777)/BQ777,0)*BQ777</f>
        <v>535</v>
      </c>
      <c r="AI777" s="58" t="n">
        <f aca="false">IF(AF777&gt;0,I777/AF777,-1)</f>
        <v>-1</v>
      </c>
      <c r="AJ777" s="58" t="str">
        <f aca="false">IF(AND(OR(BU777="L1",BU777="L23"),AF777&gt;0),SUMIFS($AF$7:$AF$1576,$BU$7:$BU$1576,BU777,$AI$7:$AI$1576,"&gt;"&amp;AI777)+SUMIFS($AF$7:$AF$1576,$BU$7:$BU$1576,BU777,$AI$7:$AI$1576,AI777,$BO$7:$BO$1576,"&lt;="&amp;BO777),"")</f>
        <v/>
      </c>
      <c r="AK777" s="65" t="n">
        <f aca="false">IF(AJ777="",0,MAX(0,MIN(1,(IF(BU777="L1",Parameter!$E$5,Parameter!$E$6+Parameter!$E$7)-(AJ777-AF777))/AF777)))</f>
        <v>0</v>
      </c>
      <c r="AL777" s="57" t="n">
        <f aca="false">IF(LEFT(Cockpit!$I$5,1)="A",G777,IF(BW777=1,BX777,IF(LEFT(Cockpit!$I$5,1)="B",AP777,MAX(AP777,G777))))</f>
        <v>535</v>
      </c>
      <c r="AM777" s="57" t="n">
        <f aca="false">IF(BR777=1,0,ROUNDUP(AL777/BQ777,0))</f>
        <v>1</v>
      </c>
      <c r="AN777" s="59" t="n">
        <f aca="false">IF(CD777&gt;0,CD777*MAX(1,AL777/V777),IF(BR777=1,IF(AL777&lt;=0,0,BS777*MAX(1,IF(G777&gt;0,AL777/G777,1))),IF(Q777&gt;0,AM777/Q777,0))/MAX(0.1,N(Parameter!$M$21)))</f>
        <v>0.00505050505050505</v>
      </c>
      <c r="AO777" s="57" t="n">
        <f aca="false">AL777*F777</f>
        <v>16.05</v>
      </c>
      <c r="AP777" s="57" t="n">
        <f aca="false">ROUNDUP(MAX(I777/IF(BV777&gt;0,BV777,MAX(0.1,N(Cockpit!$I$6))),BY777)/BQ777,0)*BQ777</f>
        <v>535</v>
      </c>
      <c r="AQ777" s="58" t="n">
        <f aca="false">IF(AN777&gt;0,I777/AN777,-1)</f>
        <v>3168</v>
      </c>
      <c r="AR777" s="58" t="n">
        <f aca="false">IF(AND(OR(BU777="L1",BU777="L23"),AN777&gt;0),SUMIFS($AN$7:$AN$1576,$BU$7:$BU$1576,BU777,$AQ$7:$AQ$1576,"&gt;"&amp;AQ777)+SUMIFS($AN$7:$AN$1576,$BU$7:$BU$1576,BU777,$AQ$7:$AQ$1576,AQ777,$BO$7:$BO$1576,"&lt;="&amp;BO777),"")</f>
        <v>14.1188692713084</v>
      </c>
      <c r="AS777" s="65" t="n">
        <f aca="false">IF(AR777="",0,MAX(0,MIN(1,(IF(BU777="L1",Parameter!$E$5,Parameter!$E$6+Parameter!$E$7)-(AR777-AN777))/AN777)))</f>
        <v>1</v>
      </c>
      <c r="AT777" s="57" t="n">
        <f aca="false">IF(LEFT(Cockpit!$O$5,1)="A",G777,IF(BW777=1,BX777,IF(LEFT(Cockpit!$O$5,1)="B",AX777,MAX(AX777,G777))))</f>
        <v>535</v>
      </c>
      <c r="AU777" s="57" t="n">
        <f aca="false">IF(BR777=1,0,ROUNDUP(AT777/BQ777,0))</f>
        <v>1</v>
      </c>
      <c r="AV777" s="59" t="n">
        <f aca="false">IF(CD777&gt;0,CD777*MAX(1,AT777/V777),IF(BR777=1,IF(AT777&lt;=0,0,BS777*MAX(1,IF(G777&gt;0,AT777/G777,1))),IF(Q777&gt;0,AU777/Q777,0))/MAX(0.1,N(Parameter!$M$21)))</f>
        <v>0.00505050505050505</v>
      </c>
      <c r="AW777" s="57" t="n">
        <f aca="false">AT777*F777</f>
        <v>16.05</v>
      </c>
      <c r="AX777" s="57" t="n">
        <f aca="false">ROUNDUP(MAX(I777/IF(BV777&gt;0,BV777,MAX(0.1,N(Cockpit!$O$6))),BY777)/BQ777,0)*BQ777</f>
        <v>535</v>
      </c>
      <c r="AY777" s="58" t="n">
        <f aca="false">IF(AV777&gt;0,I777/AV777,-1)</f>
        <v>3168</v>
      </c>
      <c r="AZ777" s="58" t="n">
        <f aca="false">IF(AND(OR(BU777="L1",BU777="L23"),AV777&gt;0),SUMIFS($AV$7:$AV$1576,$BU$7:$BU$1576,BU777,$AY$7:$AY$1576,"&gt;"&amp;AY777)+SUMIFS($AV$7:$AV$1576,$BU$7:$BU$1576,BU777,$AY$7:$AY$1576,AY777,$BO$7:$BO$1576,"&lt;="&amp;BO777),"")</f>
        <v>12.916654819094</v>
      </c>
      <c r="BA777" s="65" t="n">
        <f aca="false">IF(AZ777="",0,MAX(0,MIN(1,(IF(BU777="L1",Parameter!$E$5,Parameter!$E$6+Parameter!$E$7)-(AZ777-AV777))/AV777)))</f>
        <v>1</v>
      </c>
      <c r="BB777" s="55" t="str">
        <f aca="false">IF(AF777&lt;=0,"",IF(BU777="Aussen","Aussenlager",IF(BU777="-","Nicht im Lift",IF(AK777&gt;=1,"Lift",IF(AK777&lt;=0,"Aussenlager","teilweise")))))</f>
        <v/>
      </c>
      <c r="BC777" s="55" t="str">
        <f aca="false">IF(AN777&lt;=0,"",IF(BU777="Aussen","Aussenlager",IF(BU777="-","Nicht im Lift",IF(AS777&gt;=1,"Lift",IF(AS777&lt;=0,"Aussenlager","teilweise")))))</f>
        <v>Lift</v>
      </c>
      <c r="BD777" s="55" t="str">
        <f aca="false">IF(AV777&lt;=0,"",IF(BU777="Aussen","Aussenlager",IF(BU777="-","Nicht im Lift",IF(BA777&gt;=1,"Lift",IF(BA777&lt;=0,"Aussenlager","teilweise")))))</f>
        <v>Lift</v>
      </c>
      <c r="BE777" s="55" t="str">
        <f aca="false">IF(A777="","",IF(BN777=1,"Neu; ","")&amp;IF(AND(BN777=0,BI777&lt;0),"negativer Bestand (Export "&amp;BI777&amp;"); ","")&amp;IF(I777&lt;=0,"Kein Verbrauch; ","")&amp;IF(CD777&gt;0,"Lift "&amp;U777&amp;" lt. Liftbericht (Fach "&amp;V777&amp;" Stk); ",IF(BR777=1,"Lose – Fläche geschätzt; ",""))&amp;IF(G777&gt;AP777,"Überbestand "&amp;ROUND(G777-AP777,0)&amp;" Stk / CHF "&amp;ROUND((G777-AP777)*F777,0)&amp;"; ","")&amp;IF(AND(BW777=1,BX777&lt;BY777),"MAX &lt; MB+LG; ","")&amp;IF(AND(CC777&gt;0,CB777*10&gt;CC777),"zu hoch für Tablar; ","")&amp;IF(AND(BN777=0,OR(BW777=1,Y777&lt;&gt;"",S777&lt;&gt;"",T777&lt;&gt;"",Z777&lt;&gt;"")),"manuell übersteuert; ","")&amp;IF(AND(BR777=0,Q777=0),"Gebinde unbekannt / Stellmass fehlt; ","")&amp;IF(AND(BR777=0,N(T777)&lt;=0,N(P777)&lt;=0),"Menge pro Gebinde fehlt (Ist = 1 Gebinde); ","")&amp;BM777)</f>
        <v>negativer Bestand (Export -51); Überbestand</v>
      </c>
      <c r="BF777" s="55"/>
      <c r="BG777" s="55"/>
      <c r="BH777" s="62"/>
      <c r="BI777" s="57" t="n">
        <v>-51</v>
      </c>
      <c r="BJ777" s="57" t="n">
        <v>510</v>
      </c>
      <c r="BK777" s="56" t="n">
        <v>-1.53</v>
      </c>
      <c r="BL777" s="57" t="n">
        <v>16</v>
      </c>
      <c r="BM777" s="55" t="s">
        <v>382</v>
      </c>
      <c r="BN777" s="60" t="n">
        <v>0</v>
      </c>
      <c r="BO777" s="60" t="n">
        <v>777</v>
      </c>
      <c r="BP777" s="55" t="str">
        <f aca="false">IF(S777&lt;&gt;"",UPPER(TRIM(S777)),IF(O777="","LOSE",O777))</f>
        <v>S22</v>
      </c>
      <c r="BQ777" s="57" t="n">
        <f aca="false">IF(BP777="LOSE",1,IF(N(T777)&gt;0,T777,IF(N(P777)&gt;0,P777,MAX(1,G777))))</f>
        <v>535</v>
      </c>
      <c r="BR777" s="60" t="n">
        <f aca="false">IF(BP777="LOSE",1,0)</f>
        <v>0</v>
      </c>
      <c r="BS777" s="59" t="n">
        <f aca="false">IF(BR777=0,0,IF(N(R777)&gt;0,R777,IFERROR(VLOOKUP(D777,Parameter!$A$35:$C$64,3,0)+0,0)))</f>
        <v>0</v>
      </c>
      <c r="BT777" s="55" t="n">
        <f aca="false">IF(Y777&lt;&gt;"",Y777,X777)</f>
        <v>3</v>
      </c>
      <c r="BU777" s="55" t="str">
        <f aca="false">IF(BT777=1,"L1",IF(OR(BT777=2,BT777=3),"L23",IF(BT777="Aussen","Aussen","-")))</f>
        <v>L23</v>
      </c>
      <c r="BV777" s="66" t="n">
        <f aca="false">IF(N(Z777)&gt;0,Z777,0)</f>
        <v>0</v>
      </c>
      <c r="BW777" s="60" t="n">
        <f aca="false">IF(ISNUMBER(AC777),1,0)</f>
        <v>0</v>
      </c>
      <c r="BX777" s="57" t="n">
        <f aca="false">N(AC777)</f>
        <v>0</v>
      </c>
      <c r="BY777" s="57" t="n">
        <f aca="false">N(L777)+N(M777)</f>
        <v>15</v>
      </c>
      <c r="BZ777" s="57" t="n">
        <f aca="false">ROUNDUP(G777/BQ777,0)</f>
        <v>0</v>
      </c>
      <c r="CA777" s="57" t="n">
        <f aca="false">ROUNDUP(BX777/BQ777,0)</f>
        <v>0</v>
      </c>
      <c r="CB777" s="60" t="n">
        <f aca="false">IF(BR777=1,0,IFERROR(VLOOKUP(BP777,'Gebinde-Kategorie'!$A$5:$M$45,5,0)+0,0))</f>
        <v>8</v>
      </c>
      <c r="CC777" s="60" t="n">
        <f aca="false">IFERROR(IF(OR(BT777=1,BT777=2,BT777=3),N(INDEX(Parameter!$I$5:$I$7,BT777)),0),0)</f>
        <v>0</v>
      </c>
      <c r="CD777" s="59" t="n">
        <f aca="false">IF(AND(Parameter!$B$21="Ja",ISNUMBER(U777),N(V777)&gt;0),IFERROR(N(INDEX(Parameter!$L$5:$L$7,U777))*INDEX(Parameter!$E$5:$E$7,U777)*V777/SUMIFS($V$7:$V$1576,$U$7:$U$1576,U777),0),0)</f>
        <v>0</v>
      </c>
    </row>
    <row r="778" customFormat="false" ht="15" hidden="false" customHeight="false" outlineLevel="0" collapsed="false">
      <c r="A778" s="55" t="s">
        <v>1509</v>
      </c>
      <c r="B778" s="55" t="s">
        <v>395</v>
      </c>
      <c r="C778" s="55" t="s">
        <v>160</v>
      </c>
      <c r="D778" s="55" t="s">
        <v>178</v>
      </c>
      <c r="E778" s="55" t="s">
        <v>210</v>
      </c>
      <c r="F778" s="56" t="n">
        <v>0.03</v>
      </c>
      <c r="G778" s="57" t="n">
        <f aca="false">MAX(0,IF(AND(Parameter!$B$21="Ja",ISNUMBER(W778)),W778,IF(Parameter!$B$20="Jahresanfang 2025 + Export",BJ778+BI778,BI778)))</f>
        <v>0</v>
      </c>
      <c r="H778" s="57" t="n">
        <f aca="false">G778*F778</f>
        <v>0</v>
      </c>
      <c r="I778" s="57" t="n">
        <f aca="false">BL778*Parameter!$B$18</f>
        <v>30</v>
      </c>
      <c r="J778" s="58" t="n">
        <v>736.5</v>
      </c>
      <c r="K778" s="59" t="n">
        <v>0.0407331975560082</v>
      </c>
      <c r="L778" s="57" t="n">
        <v>1</v>
      </c>
      <c r="M778" s="57" t="n">
        <v>30</v>
      </c>
      <c r="N778" s="60" t="n">
        <v>21</v>
      </c>
      <c r="O778" s="55" t="s">
        <v>293</v>
      </c>
      <c r="P778" s="57" t="n">
        <v>426</v>
      </c>
      <c r="Q778" s="60" t="n">
        <f aca="false">IF(BR778=1,0,IFERROR(VLOOKUP(BP778,'Gebinde-Kategorie'!$A$5:$M$45,13,0)+0,0))</f>
        <v>26</v>
      </c>
      <c r="R778" s="61"/>
      <c r="S778" s="62"/>
      <c r="T778" s="62"/>
      <c r="U778" s="55"/>
      <c r="V778" s="57"/>
      <c r="W778" s="57"/>
      <c r="X778" s="55" t="n">
        <f aca="false">IF(A778="","",IF(AND(Parameter!$B$21="Ja",ISNUMBER(U778)),U778,IF(IFERROR(VLOOKUP(D778,Parameter!$A$35:$C$64,2,0),"Nein")="2+3",IF(ISNUMBER(SEARCH("grosser Artikel",BM778)),2,IFERROR(VLOOKUP(BP778,Parameter!$F$35:$G$64,2,0),2)),IF(OR(IFERROR(VLOOKUP(D778,Parameter!$A$35:$C$64,2,0),"Nein")="Nein",IFERROR(VLOOKUP(D778,Parameter!$A$35:$C$64,2,0),"Nein")=""),"-",VLOOKUP(D778,Parameter!$A$35:$C$64,2,0)))))</f>
        <v>3</v>
      </c>
      <c r="Y778" s="62"/>
      <c r="Z778" s="63"/>
      <c r="AA778" s="57" t="n">
        <f aca="false">AP778</f>
        <v>426</v>
      </c>
      <c r="AB778" s="57" t="n">
        <f aca="false">MAX(AP778,G778)</f>
        <v>426</v>
      </c>
      <c r="AC778" s="64"/>
      <c r="AD778" s="57" t="n">
        <f aca="false">IF(LEFT(Cockpit!$C$5,1)="A",G778,IF(BW778=1,BX778,IF(LEFT(Cockpit!$C$5,1)="B",AH778,MAX(AH778,G778))))</f>
        <v>0</v>
      </c>
      <c r="AE778" s="57" t="n">
        <f aca="false">IF(BR778=1,0,ROUNDUP(AD778/BQ778,0))</f>
        <v>0</v>
      </c>
      <c r="AF778" s="59" t="n">
        <f aca="false">IF(CD778&gt;0,CD778*MAX(1,AD778/V778),IF(BR778=1,IF(AD778&lt;=0,0,BS778*MAX(1,IF(G778&gt;0,AD778/G778,1))),IF(Q778&gt;0,AE778/Q778,0))/MAX(0.1,N(Parameter!$M$21)))</f>
        <v>0</v>
      </c>
      <c r="AG778" s="57" t="n">
        <f aca="false">AD778*F778</f>
        <v>0</v>
      </c>
      <c r="AH778" s="57" t="n">
        <f aca="false">ROUNDUP(MAX(I778/IF(BV778&gt;0,BV778,MAX(0.1,N(Cockpit!$C$6))),BY778)/BQ778,0)*BQ778</f>
        <v>426</v>
      </c>
      <c r="AI778" s="58" t="n">
        <f aca="false">IF(AF778&gt;0,I778/AF778,-1)</f>
        <v>-1</v>
      </c>
      <c r="AJ778" s="58" t="str">
        <f aca="false">IF(AND(OR(BU778="L1",BU778="L23"),AF778&gt;0),SUMIFS($AF$7:$AF$1576,$BU$7:$BU$1576,BU778,$AI$7:$AI$1576,"&gt;"&amp;AI778)+SUMIFS($AF$7:$AF$1576,$BU$7:$BU$1576,BU778,$AI$7:$AI$1576,AI778,$BO$7:$BO$1576,"&lt;="&amp;BO778),"")</f>
        <v/>
      </c>
      <c r="AK778" s="65" t="n">
        <f aca="false">IF(AJ778="",0,MAX(0,MIN(1,(IF(BU778="L1",Parameter!$E$5,Parameter!$E$6+Parameter!$E$7)-(AJ778-AF778))/AF778)))</f>
        <v>0</v>
      </c>
      <c r="AL778" s="57" t="n">
        <f aca="false">IF(LEFT(Cockpit!$I$5,1)="A",G778,IF(BW778=1,BX778,IF(LEFT(Cockpit!$I$5,1)="B",AP778,MAX(AP778,G778))))</f>
        <v>426</v>
      </c>
      <c r="AM778" s="57" t="n">
        <f aca="false">IF(BR778=1,0,ROUNDUP(AL778/BQ778,0))</f>
        <v>1</v>
      </c>
      <c r="AN778" s="59" t="n">
        <f aca="false">IF(CD778&gt;0,CD778*MAX(1,AL778/V778),IF(BR778=1,IF(AL778&lt;=0,0,BS778*MAX(1,IF(G778&gt;0,AL778/G778,1))),IF(Q778&gt;0,AM778/Q778,0))/MAX(0.1,N(Parameter!$M$21)))</f>
        <v>0.0384615384615385</v>
      </c>
      <c r="AO778" s="57" t="n">
        <f aca="false">AL778*F778</f>
        <v>12.78</v>
      </c>
      <c r="AP778" s="57" t="n">
        <f aca="false">ROUNDUP(MAX(I778/IF(BV778&gt;0,BV778,MAX(0.1,N(Cockpit!$I$6))),BY778)/BQ778,0)*BQ778</f>
        <v>426</v>
      </c>
      <c r="AQ778" s="58" t="n">
        <f aca="false">IF(AN778&gt;0,I778/AN778,-1)</f>
        <v>780</v>
      </c>
      <c r="AR778" s="58" t="n">
        <f aca="false">IF(AND(OR(BU778="L1",BU778="L23"),AN778&gt;0),SUMIFS($AN$7:$AN$1576,$BU$7:$BU$1576,BU778,$AQ$7:$AQ$1576,"&gt;"&amp;AQ778)+SUMIFS($AN$7:$AN$1576,$BU$7:$BU$1576,BU778,$AQ$7:$AQ$1576,AQ778,$BO$7:$BO$1576,"&lt;="&amp;BO778),"")</f>
        <v>26.3373794445645</v>
      </c>
      <c r="AS778" s="65" t="n">
        <f aca="false">IF(AR778="",0,MAX(0,MIN(1,(IF(BU778="L1",Parameter!$E$5,Parameter!$E$6+Parameter!$E$7)-(AR778-AN778))/AN778)))</f>
        <v>1</v>
      </c>
      <c r="AT778" s="57" t="n">
        <f aca="false">IF(LEFT(Cockpit!$O$5,1)="A",G778,IF(BW778=1,BX778,IF(LEFT(Cockpit!$O$5,1)="B",AX778,MAX(AX778,G778))))</f>
        <v>426</v>
      </c>
      <c r="AU778" s="57" t="n">
        <f aca="false">IF(BR778=1,0,ROUNDUP(AT778/BQ778,0))</f>
        <v>1</v>
      </c>
      <c r="AV778" s="59" t="n">
        <f aca="false">IF(CD778&gt;0,CD778*MAX(1,AT778/V778),IF(BR778=1,IF(AT778&lt;=0,0,BS778*MAX(1,IF(G778&gt;0,AT778/G778,1))),IF(Q778&gt;0,AU778/Q778,0))/MAX(0.1,N(Parameter!$M$21)))</f>
        <v>0.0384615384615385</v>
      </c>
      <c r="AW778" s="57" t="n">
        <f aca="false">AT778*F778</f>
        <v>12.78</v>
      </c>
      <c r="AX778" s="57" t="n">
        <f aca="false">ROUNDUP(MAX(I778/IF(BV778&gt;0,BV778,MAX(0.1,N(Cockpit!$O$6))),BY778)/BQ778,0)*BQ778</f>
        <v>426</v>
      </c>
      <c r="AY778" s="58" t="n">
        <f aca="false">IF(AV778&gt;0,I778/AV778,-1)</f>
        <v>780</v>
      </c>
      <c r="AZ778" s="58" t="n">
        <f aca="false">IF(AND(OR(BU778="L1",BU778="L23"),AV778&gt;0),SUMIFS($AV$7:$AV$1576,$BU$7:$BU$1576,BU778,$AY$7:$AY$1576,"&gt;"&amp;AY778)+SUMIFS($AV$7:$AV$1576,$BU$7:$BU$1576,BU778,$AY$7:$AY$1576,AY778,$BO$7:$BO$1576,"&lt;="&amp;BO778),"")</f>
        <v>26.4043957615808</v>
      </c>
      <c r="BA778" s="65" t="n">
        <f aca="false">IF(AZ778="",0,MAX(0,MIN(1,(IF(BU778="L1",Parameter!$E$5,Parameter!$E$6+Parameter!$E$7)-(AZ778-AV778))/AV778)))</f>
        <v>1</v>
      </c>
      <c r="BB778" s="55" t="str">
        <f aca="false">IF(AF778&lt;=0,"",IF(BU778="Aussen","Aussenlager",IF(BU778="-","Nicht im Lift",IF(AK778&gt;=1,"Lift",IF(AK778&lt;=0,"Aussenlager","teilweise")))))</f>
        <v/>
      </c>
      <c r="BC778" s="55" t="str">
        <f aca="false">IF(AN778&lt;=0,"",IF(BU778="Aussen","Aussenlager",IF(BU778="-","Nicht im Lift",IF(AS778&gt;=1,"Lift",IF(AS778&lt;=0,"Aussenlager","teilweise")))))</f>
        <v>Lift</v>
      </c>
      <c r="BD778" s="55" t="str">
        <f aca="false">IF(AV778&lt;=0,"",IF(BU778="Aussen","Aussenlager",IF(BU778="-","Nicht im Lift",IF(BA778&gt;=1,"Lift",IF(BA778&lt;=0,"Aussenlager","teilweise")))))</f>
        <v>Lift</v>
      </c>
      <c r="BE778" s="55" t="str">
        <f aca="false">IF(A778="","",IF(BN778=1,"Neu; ","")&amp;IF(AND(BN778=0,BI778&lt;0),"negativer Bestand (Export "&amp;BI778&amp;"); ","")&amp;IF(I778&lt;=0,"Kein Verbrauch; ","")&amp;IF(CD778&gt;0,"Lift "&amp;U778&amp;" lt. Liftbericht (Fach "&amp;V778&amp;" Stk); ",IF(BR778=1,"Lose – Fläche geschätzt; ",""))&amp;IF(G778&gt;AP778,"Überbestand "&amp;ROUND(G778-AP778,0)&amp;" Stk / CHF "&amp;ROUND((G778-AP778)*F778,0)&amp;"; ","")&amp;IF(AND(BW778=1,BX778&lt;BY778),"MAX &lt; MB+LG; ","")&amp;IF(AND(CC778&gt;0,CB778*10&gt;CC778),"zu hoch für Tablar; ","")&amp;IF(AND(BN778=0,OR(BW778=1,Y778&lt;&gt;"",S778&lt;&gt;"",T778&lt;&gt;"",Z778&lt;&gt;"")),"manuell übersteuert; ","")&amp;IF(AND(BR778=0,Q778=0),"Gebinde unbekannt / Stellmass fehlt; ","")&amp;IF(AND(BR778=0,N(T778)&lt;=0,N(P778)&lt;=0),"Menge pro Gebinde fehlt (Ist = 1 Gebinde); ","")&amp;BM778)</f>
        <v>negativer Bestand (Export -53); Überbestand</v>
      </c>
      <c r="BF778" s="55"/>
      <c r="BG778" s="55"/>
      <c r="BH778" s="62"/>
      <c r="BI778" s="57" t="n">
        <v>-53</v>
      </c>
      <c r="BJ778" s="57" t="n">
        <v>750</v>
      </c>
      <c r="BK778" s="56" t="n">
        <v>-1.59</v>
      </c>
      <c r="BL778" s="57" t="n">
        <v>30</v>
      </c>
      <c r="BM778" s="55" t="s">
        <v>382</v>
      </c>
      <c r="BN778" s="60" t="n">
        <v>0</v>
      </c>
      <c r="BO778" s="60" t="n">
        <v>778</v>
      </c>
      <c r="BP778" s="55" t="str">
        <f aca="false">IF(S778&lt;&gt;"",UPPER(TRIM(S778)),IF(O778="","LOSE",O778))</f>
        <v>S51</v>
      </c>
      <c r="BQ778" s="57" t="n">
        <f aca="false">IF(BP778="LOSE",1,IF(N(T778)&gt;0,T778,IF(N(P778)&gt;0,P778,MAX(1,G778))))</f>
        <v>426</v>
      </c>
      <c r="BR778" s="60" t="n">
        <f aca="false">IF(BP778="LOSE",1,0)</f>
        <v>0</v>
      </c>
      <c r="BS778" s="59" t="n">
        <f aca="false">IF(BR778=0,0,IF(N(R778)&gt;0,R778,IFERROR(VLOOKUP(D778,Parameter!$A$35:$C$64,3,0)+0,0)))</f>
        <v>0</v>
      </c>
      <c r="BT778" s="55" t="n">
        <f aca="false">IF(Y778&lt;&gt;"",Y778,X778)</f>
        <v>3</v>
      </c>
      <c r="BU778" s="55" t="str">
        <f aca="false">IF(BT778=1,"L1",IF(OR(BT778=2,BT778=3),"L23",IF(BT778="Aussen","Aussen","-")))</f>
        <v>L23</v>
      </c>
      <c r="BV778" s="66" t="n">
        <f aca="false">IF(N(Z778)&gt;0,Z778,0)</f>
        <v>0</v>
      </c>
      <c r="BW778" s="60" t="n">
        <f aca="false">IF(ISNUMBER(AC778),1,0)</f>
        <v>0</v>
      </c>
      <c r="BX778" s="57" t="n">
        <f aca="false">N(AC778)</f>
        <v>0</v>
      </c>
      <c r="BY778" s="57" t="n">
        <f aca="false">N(L778)+N(M778)</f>
        <v>31</v>
      </c>
      <c r="BZ778" s="57" t="n">
        <f aca="false">ROUNDUP(G778/BQ778,0)</f>
        <v>0</v>
      </c>
      <c r="CA778" s="57" t="n">
        <f aca="false">ROUNDUP(BX778/BQ778,0)</f>
        <v>0</v>
      </c>
      <c r="CB778" s="60" t="n">
        <f aca="false">IF(BR778=1,0,IFERROR(VLOOKUP(BP778,'Gebinde-Kategorie'!$A$5:$M$45,5,0)+0,0))</f>
        <v>11</v>
      </c>
      <c r="CC778" s="60" t="n">
        <f aca="false">IFERROR(IF(OR(BT778=1,BT778=2,BT778=3),N(INDEX(Parameter!$I$5:$I$7,BT778)),0),0)</f>
        <v>0</v>
      </c>
      <c r="CD778" s="59" t="n">
        <f aca="false">IF(AND(Parameter!$B$21="Ja",ISNUMBER(U778),N(V778)&gt;0),IFERROR(N(INDEX(Parameter!$L$5:$L$7,U778))*INDEX(Parameter!$E$5:$E$7,U778)*V778/SUMIFS($V$7:$V$1576,$U$7:$U$1576,U778),0),0)</f>
        <v>0</v>
      </c>
    </row>
    <row r="779" customFormat="false" ht="15" hidden="false" customHeight="false" outlineLevel="0" collapsed="false">
      <c r="A779" s="55" t="s">
        <v>1510</v>
      </c>
      <c r="B779" s="55" t="s">
        <v>881</v>
      </c>
      <c r="C779" s="55" t="s">
        <v>160</v>
      </c>
      <c r="D779" s="55" t="s">
        <v>178</v>
      </c>
      <c r="E779" s="55" t="s">
        <v>210</v>
      </c>
      <c r="F779" s="56" t="n">
        <v>8.81</v>
      </c>
      <c r="G779" s="57" t="n">
        <f aca="false">MAX(0,IF(AND(Parameter!$B$21="Ja",ISNUMBER(W779)),W779,IF(Parameter!$B$20="Jahresanfang 2025 + Export",BJ779+BI779,BI779)))</f>
        <v>3</v>
      </c>
      <c r="H779" s="57" t="n">
        <f aca="false">G779*F779</f>
        <v>26.43</v>
      </c>
      <c r="I779" s="57" t="n">
        <f aca="false">BL779*Parameter!$B$18</f>
        <v>8</v>
      </c>
      <c r="J779" s="58" t="n">
        <v>7</v>
      </c>
      <c r="K779" s="59" t="n">
        <v>1.14285714285714</v>
      </c>
      <c r="L779" s="57" t="n">
        <v>0</v>
      </c>
      <c r="M779" s="57" t="n">
        <v>10</v>
      </c>
      <c r="N779" s="60" t="n">
        <v>19</v>
      </c>
      <c r="O779" s="55" t="s">
        <v>411</v>
      </c>
      <c r="P779" s="57" t="n">
        <v>23</v>
      </c>
      <c r="Q779" s="60" t="n">
        <f aca="false">IF(BR779=1,0,IFERROR(VLOOKUP(BP779,'Gebinde-Kategorie'!$A$5:$M$45,13,0)+0,0))</f>
        <v>132</v>
      </c>
      <c r="R779" s="61"/>
      <c r="S779" s="62"/>
      <c r="T779" s="62"/>
      <c r="U779" s="55"/>
      <c r="V779" s="57"/>
      <c r="W779" s="57"/>
      <c r="X779" s="55" t="n">
        <f aca="false">IF(A779="","",IF(AND(Parameter!$B$21="Ja",ISNUMBER(U779)),U779,IF(IFERROR(VLOOKUP(D779,Parameter!$A$35:$C$64,2,0),"Nein")="2+3",IF(ISNUMBER(SEARCH("grosser Artikel",BM779)),2,IFERROR(VLOOKUP(BP779,Parameter!$F$35:$G$64,2,0),2)),IF(OR(IFERROR(VLOOKUP(D779,Parameter!$A$35:$C$64,2,0),"Nein")="Nein",IFERROR(VLOOKUP(D779,Parameter!$A$35:$C$64,2,0),"Nein")=""),"-",VLOOKUP(D779,Parameter!$A$35:$C$64,2,0)))))</f>
        <v>3</v>
      </c>
      <c r="Y779" s="62"/>
      <c r="Z779" s="63"/>
      <c r="AA779" s="57" t="n">
        <f aca="false">AP779</f>
        <v>23</v>
      </c>
      <c r="AB779" s="57" t="n">
        <f aca="false">MAX(AP779,G779)</f>
        <v>23</v>
      </c>
      <c r="AC779" s="64"/>
      <c r="AD779" s="57" t="n">
        <f aca="false">IF(LEFT(Cockpit!$C$5,1)="A",G779,IF(BW779=1,BX779,IF(LEFT(Cockpit!$C$5,1)="B",AH779,MAX(AH779,G779))))</f>
        <v>3</v>
      </c>
      <c r="AE779" s="57" t="n">
        <f aca="false">IF(BR779=1,0,ROUNDUP(AD779/BQ779,0))</f>
        <v>1</v>
      </c>
      <c r="AF779" s="59" t="n">
        <f aca="false">IF(CD779&gt;0,CD779*MAX(1,AD779/V779),IF(BR779=1,IF(AD779&lt;=0,0,BS779*MAX(1,IF(G779&gt;0,AD779/G779,1))),IF(Q779&gt;0,AE779/Q779,0))/MAX(0.1,N(Parameter!$M$21)))</f>
        <v>0.00757575757575758</v>
      </c>
      <c r="AG779" s="57" t="n">
        <f aca="false">AD779*F779</f>
        <v>26.43</v>
      </c>
      <c r="AH779" s="57" t="n">
        <f aca="false">ROUNDUP(MAX(I779/IF(BV779&gt;0,BV779,MAX(0.1,N(Cockpit!$C$6))),BY779)/BQ779,0)*BQ779</f>
        <v>23</v>
      </c>
      <c r="AI779" s="58" t="n">
        <f aca="false">IF(AF779&gt;0,I779/AF779,-1)</f>
        <v>1056</v>
      </c>
      <c r="AJ779" s="58" t="n">
        <f aca="false">IF(AND(OR(BU779="L1",BU779="L23"),AF779&gt;0),SUMIFS($AF$7:$AF$1576,$BU$7:$BU$1576,BU779,$AI$7:$AI$1576,"&gt;"&amp;AI779)+SUMIFS($AF$7:$AF$1576,$BU$7:$BU$1576,BU779,$AI$7:$AI$1576,AI779,$BO$7:$BO$1576,"&lt;="&amp;BO779),"")</f>
        <v>8.92698692611736</v>
      </c>
      <c r="AK779" s="65" t="n">
        <f aca="false">IF(AJ779="",0,MAX(0,MIN(1,(IF(BU779="L1",Parameter!$E$5,Parameter!$E$6+Parameter!$E$7)-(AJ779-AF779))/AF779)))</f>
        <v>1</v>
      </c>
      <c r="AL779" s="57" t="n">
        <f aca="false">IF(LEFT(Cockpit!$I$5,1)="A",G779,IF(BW779=1,BX779,IF(LEFT(Cockpit!$I$5,1)="B",AP779,MAX(AP779,G779))))</f>
        <v>23</v>
      </c>
      <c r="AM779" s="57" t="n">
        <f aca="false">IF(BR779=1,0,ROUNDUP(AL779/BQ779,0))</f>
        <v>1</v>
      </c>
      <c r="AN779" s="59" t="n">
        <f aca="false">IF(CD779&gt;0,CD779*MAX(1,AL779/V779),IF(BR779=1,IF(AL779&lt;=0,0,BS779*MAX(1,IF(G779&gt;0,AL779/G779,1))),IF(Q779&gt;0,AM779/Q779,0))/MAX(0.1,N(Parameter!$M$21)))</f>
        <v>0.00757575757575758</v>
      </c>
      <c r="AO779" s="57" t="n">
        <f aca="false">AL779*F779</f>
        <v>202.63</v>
      </c>
      <c r="AP779" s="57" t="n">
        <f aca="false">ROUNDUP(MAX(I779/IF(BV779&gt;0,BV779,MAX(0.1,N(Cockpit!$I$6))),BY779)/BQ779,0)*BQ779</f>
        <v>23</v>
      </c>
      <c r="AQ779" s="58" t="n">
        <f aca="false">IF(AN779&gt;0,I779/AN779,-1)</f>
        <v>1056</v>
      </c>
      <c r="AR779" s="58" t="n">
        <f aca="false">IF(AND(OR(BU779="L1",BU779="L23"),AN779&gt;0),SUMIFS($AN$7:$AN$1576,$BU$7:$BU$1576,BU779,$AQ$7:$AQ$1576,"&gt;"&amp;AQ779)+SUMIFS($AN$7:$AN$1576,$BU$7:$BU$1576,BU779,$AQ$7:$AQ$1576,AQ779,$BO$7:$BO$1576,"&lt;="&amp;BO779),"")</f>
        <v>22.4347170345108</v>
      </c>
      <c r="AS779" s="65" t="n">
        <f aca="false">IF(AR779="",0,MAX(0,MIN(1,(IF(BU779="L1",Parameter!$E$5,Parameter!$E$6+Parameter!$E$7)-(AR779-AN779))/AN779)))</f>
        <v>1</v>
      </c>
      <c r="AT779" s="57" t="n">
        <f aca="false">IF(LEFT(Cockpit!$O$5,1)="A",G779,IF(BW779=1,BX779,IF(LEFT(Cockpit!$O$5,1)="B",AX779,MAX(AX779,G779))))</f>
        <v>23</v>
      </c>
      <c r="AU779" s="57" t="n">
        <f aca="false">IF(BR779=1,0,ROUNDUP(AT779/BQ779,0))</f>
        <v>1</v>
      </c>
      <c r="AV779" s="59" t="n">
        <f aca="false">IF(CD779&gt;0,CD779*MAX(1,AT779/V779),IF(BR779=1,IF(AT779&lt;=0,0,BS779*MAX(1,IF(G779&gt;0,AT779/G779,1))),IF(Q779&gt;0,AU779/Q779,0))/MAX(0.1,N(Parameter!$M$21)))</f>
        <v>0.00757575757575758</v>
      </c>
      <c r="AW779" s="57" t="n">
        <f aca="false">AT779*F779</f>
        <v>202.63</v>
      </c>
      <c r="AX779" s="57" t="n">
        <f aca="false">ROUNDUP(MAX(I779/IF(BV779&gt;0,BV779,MAX(0.1,N(Cockpit!$O$6))),BY779)/BQ779,0)*BQ779</f>
        <v>23</v>
      </c>
      <c r="AY779" s="58" t="n">
        <f aca="false">IF(AV779&gt;0,I779/AV779,-1)</f>
        <v>1056</v>
      </c>
      <c r="AZ779" s="58" t="n">
        <f aca="false">IF(AND(OR(BU779="L1",BU779="L23"),AV779&gt;0),SUMIFS($AV$7:$AV$1576,$BU$7:$BU$1576,BU779,$AY$7:$AY$1576,"&gt;"&amp;AY779)+SUMIFS($AV$7:$AV$1576,$BU$7:$BU$1576,BU779,$AY$7:$AY$1576,AY779,$BO$7:$BO$1576,"&lt;="&amp;BO779),"")</f>
        <v>21.7453230951169</v>
      </c>
      <c r="BA779" s="65" t="n">
        <f aca="false">IF(AZ779="",0,MAX(0,MIN(1,(IF(BU779="L1",Parameter!$E$5,Parameter!$E$6+Parameter!$E$7)-(AZ779-AV779))/AV779)))</f>
        <v>1</v>
      </c>
      <c r="BB779" s="55" t="str">
        <f aca="false">IF(AF779&lt;=0,"",IF(BU779="Aussen","Aussenlager",IF(BU779="-","Nicht im Lift",IF(AK779&gt;=1,"Lift",IF(AK779&lt;=0,"Aussenlager","teilweise")))))</f>
        <v>Lift</v>
      </c>
      <c r="BC779" s="55" t="str">
        <f aca="false">IF(AN779&lt;=0,"",IF(BU779="Aussen","Aussenlager",IF(BU779="-","Nicht im Lift",IF(AS779&gt;=1,"Lift",IF(AS779&lt;=0,"Aussenlager","teilweise")))))</f>
        <v>Lift</v>
      </c>
      <c r="BD779" s="55" t="str">
        <f aca="false">IF(AV779&lt;=0,"",IF(BU779="Aussen","Aussenlager",IF(BU779="-","Nicht im Lift",IF(BA779&gt;=1,"Lift",IF(BA779&lt;=0,"Aussenlager","teilweise")))))</f>
        <v>Lift</v>
      </c>
      <c r="BE779" s="55" t="str">
        <f aca="false">IF(A779="","",IF(BN779=1,"Neu; ","")&amp;IF(AND(BN779=0,BI779&lt;0),"negativer Bestand (Export "&amp;BI779&amp;"); ","")&amp;IF(I779&lt;=0,"Kein Verbrauch; ","")&amp;IF(CD779&gt;0,"Lift "&amp;U779&amp;" lt. Liftbericht (Fach "&amp;V779&amp;" Stk); ",IF(BR779=1,"Lose – Fläche geschätzt; ",""))&amp;IF(G779&gt;AP779,"Überbestand "&amp;ROUND(G779-AP779,0)&amp;" Stk / CHF "&amp;ROUND((G779-AP779)*F779,0)&amp;"; ","")&amp;IF(AND(BW779=1,BX779&lt;BY779),"MAX &lt; MB+LG; ","")&amp;IF(AND(CC779&gt;0,CB779*10&gt;CC779),"zu hoch für Tablar; ","")&amp;IF(AND(BN779=0,OR(BW779=1,Y779&lt;&gt;"",S779&lt;&gt;"",T779&lt;&gt;"",Z779&lt;&gt;"")),"manuell übersteuert; ","")&amp;IF(AND(BR779=0,Q779=0),"Gebinde unbekannt / Stellmass fehlt; ","")&amp;IF(AND(BR779=0,N(T779)&lt;=0,N(P779)&lt;=0),"Menge pro Gebinde fehlt (Ist = 1 Gebinde); ","")&amp;BM779)</f>
        <v/>
      </c>
      <c r="BF779" s="55"/>
      <c r="BG779" s="55"/>
      <c r="BH779" s="62"/>
      <c r="BI779" s="57" t="n">
        <v>3</v>
      </c>
      <c r="BJ779" s="57" t="n">
        <v>10</v>
      </c>
      <c r="BK779" s="56" t="n">
        <v>-1.66999999999997</v>
      </c>
      <c r="BL779" s="57" t="n">
        <v>8</v>
      </c>
      <c r="BM779" s="55"/>
      <c r="BN779" s="60" t="n">
        <v>0</v>
      </c>
      <c r="BO779" s="60" t="n">
        <v>779</v>
      </c>
      <c r="BP779" s="55" t="str">
        <f aca="false">IF(S779&lt;&gt;"",UPPER(TRIM(S779)),IF(O779="","LOSE",O779))</f>
        <v>S32</v>
      </c>
      <c r="BQ779" s="57" t="n">
        <f aca="false">IF(BP779="LOSE",1,IF(N(T779)&gt;0,T779,IF(N(P779)&gt;0,P779,MAX(1,G779))))</f>
        <v>23</v>
      </c>
      <c r="BR779" s="60" t="n">
        <f aca="false">IF(BP779="LOSE",1,0)</f>
        <v>0</v>
      </c>
      <c r="BS779" s="59" t="n">
        <f aca="false">IF(BR779=0,0,IF(N(R779)&gt;0,R779,IFERROR(VLOOKUP(D779,Parameter!$A$35:$C$64,3,0)+0,0)))</f>
        <v>0</v>
      </c>
      <c r="BT779" s="55" t="n">
        <f aca="false">IF(Y779&lt;&gt;"",Y779,X779)</f>
        <v>3</v>
      </c>
      <c r="BU779" s="55" t="str">
        <f aca="false">IF(BT779=1,"L1",IF(OR(BT779=2,BT779=3),"L23",IF(BT779="Aussen","Aussen","-")))</f>
        <v>L23</v>
      </c>
      <c r="BV779" s="66" t="n">
        <f aca="false">IF(N(Z779)&gt;0,Z779,0)</f>
        <v>0</v>
      </c>
      <c r="BW779" s="60" t="n">
        <f aca="false">IF(ISNUMBER(AC779),1,0)</f>
        <v>0</v>
      </c>
      <c r="BX779" s="57" t="n">
        <f aca="false">N(AC779)</f>
        <v>0</v>
      </c>
      <c r="BY779" s="57" t="n">
        <f aca="false">N(L779)+N(M779)</f>
        <v>10</v>
      </c>
      <c r="BZ779" s="57" t="n">
        <f aca="false">ROUNDUP(G779/BQ779,0)</f>
        <v>1</v>
      </c>
      <c r="CA779" s="57" t="n">
        <f aca="false">ROUNDUP(BX779/BQ779,0)</f>
        <v>0</v>
      </c>
      <c r="CB779" s="60" t="n">
        <f aca="false">IF(BR779=1,0,IFERROR(VLOOKUP(BP779,'Gebinde-Kategorie'!$A$5:$M$45,5,0)+0,0))</f>
        <v>8</v>
      </c>
      <c r="CC779" s="60" t="n">
        <f aca="false">IFERROR(IF(OR(BT779=1,BT779=2,BT779=3),N(INDEX(Parameter!$I$5:$I$7,BT779)),0),0)</f>
        <v>0</v>
      </c>
      <c r="CD779" s="59" t="n">
        <f aca="false">IF(AND(Parameter!$B$21="Ja",ISNUMBER(U779),N(V779)&gt;0),IFERROR(N(INDEX(Parameter!$L$5:$L$7,U779))*INDEX(Parameter!$E$5:$E$7,U779)*V779/SUMIFS($V$7:$V$1576,$U$7:$U$1576,U779),0),0)</f>
        <v>0</v>
      </c>
    </row>
    <row r="780" customFormat="false" ht="15" hidden="false" customHeight="false" outlineLevel="0" collapsed="false">
      <c r="A780" s="55" t="s">
        <v>1511</v>
      </c>
      <c r="B780" s="55" t="s">
        <v>1512</v>
      </c>
      <c r="C780" s="55" t="s">
        <v>162</v>
      </c>
      <c r="D780" s="55" t="s">
        <v>178</v>
      </c>
      <c r="E780" s="55" t="s">
        <v>210</v>
      </c>
      <c r="F780" s="56" t="n">
        <v>0.48</v>
      </c>
      <c r="G780" s="57" t="n">
        <f aca="false">MAX(0,IF(AND(Parameter!$B$21="Ja",ISNUMBER(W780)),W780,IF(Parameter!$B$20="Jahresanfang 2025 + Export",BJ780+BI780,BI780)))</f>
        <v>0</v>
      </c>
      <c r="H780" s="57" t="n">
        <f aca="false">G780*F780</f>
        <v>0</v>
      </c>
      <c r="I780" s="57" t="n">
        <f aca="false">BL780*Parameter!$B$18</f>
        <v>0</v>
      </c>
      <c r="J780" s="58" t="n">
        <v>56</v>
      </c>
      <c r="K780" s="59" t="n">
        <v>0</v>
      </c>
      <c r="L780" s="57" t="n">
        <v>0</v>
      </c>
      <c r="M780" s="57" t="n">
        <v>1</v>
      </c>
      <c r="N780" s="60" t="n">
        <v>14</v>
      </c>
      <c r="O780" s="55" t="s">
        <v>293</v>
      </c>
      <c r="P780" s="57" t="n">
        <v>224</v>
      </c>
      <c r="Q780" s="60" t="n">
        <f aca="false">IF(BR780=1,0,IFERROR(VLOOKUP(BP780,'Gebinde-Kategorie'!$A$5:$M$45,13,0)+0,0))</f>
        <v>26</v>
      </c>
      <c r="R780" s="61"/>
      <c r="S780" s="62"/>
      <c r="T780" s="62"/>
      <c r="U780" s="55"/>
      <c r="V780" s="57"/>
      <c r="W780" s="57"/>
      <c r="X780" s="55" t="n">
        <f aca="false">IF(A780="","",IF(AND(Parameter!$B$21="Ja",ISNUMBER(U780)),U780,IF(IFERROR(VLOOKUP(D780,Parameter!$A$35:$C$64,2,0),"Nein")="2+3",IF(ISNUMBER(SEARCH("grosser Artikel",BM780)),2,IFERROR(VLOOKUP(BP780,Parameter!$F$35:$G$64,2,0),2)),IF(OR(IFERROR(VLOOKUP(D780,Parameter!$A$35:$C$64,2,0),"Nein")="Nein",IFERROR(VLOOKUP(D780,Parameter!$A$35:$C$64,2,0),"Nein")=""),"-",VLOOKUP(D780,Parameter!$A$35:$C$64,2,0)))))</f>
        <v>3</v>
      </c>
      <c r="Y780" s="62"/>
      <c r="Z780" s="63"/>
      <c r="AA780" s="57" t="n">
        <f aca="false">AP780</f>
        <v>224</v>
      </c>
      <c r="AB780" s="57" t="n">
        <f aca="false">MAX(AP780,G780)</f>
        <v>224</v>
      </c>
      <c r="AC780" s="64"/>
      <c r="AD780" s="57" t="n">
        <f aca="false">IF(LEFT(Cockpit!$C$5,1)="A",G780,IF(BW780=1,BX780,IF(LEFT(Cockpit!$C$5,1)="B",AH780,MAX(AH780,G780))))</f>
        <v>0</v>
      </c>
      <c r="AE780" s="57" t="n">
        <f aca="false">IF(BR780=1,0,ROUNDUP(AD780/BQ780,0))</f>
        <v>0</v>
      </c>
      <c r="AF780" s="59" t="n">
        <f aca="false">IF(CD780&gt;0,CD780*MAX(1,AD780/V780),IF(BR780=1,IF(AD780&lt;=0,0,BS780*MAX(1,IF(G780&gt;0,AD780/G780,1))),IF(Q780&gt;0,AE780/Q780,0))/MAX(0.1,N(Parameter!$M$21)))</f>
        <v>0</v>
      </c>
      <c r="AG780" s="57" t="n">
        <f aca="false">AD780*F780</f>
        <v>0</v>
      </c>
      <c r="AH780" s="57" t="n">
        <f aca="false">ROUNDUP(MAX(I780/IF(BV780&gt;0,BV780,MAX(0.1,N(Cockpit!$C$6))),BY780)/BQ780,0)*BQ780</f>
        <v>224</v>
      </c>
      <c r="AI780" s="58" t="n">
        <f aca="false">IF(AF780&gt;0,I780/AF780,-1)</f>
        <v>-1</v>
      </c>
      <c r="AJ780" s="58" t="str">
        <f aca="false">IF(AND(OR(BU780="L1",BU780="L23"),AF780&gt;0),SUMIFS($AF$7:$AF$1576,$BU$7:$BU$1576,BU780,$AI$7:$AI$1576,"&gt;"&amp;AI780)+SUMIFS($AF$7:$AF$1576,$BU$7:$BU$1576,BU780,$AI$7:$AI$1576,AI780,$BO$7:$BO$1576,"&lt;="&amp;BO780),"")</f>
        <v/>
      </c>
      <c r="AK780" s="65" t="n">
        <f aca="false">IF(AJ780="",0,MAX(0,MIN(1,(IF(BU780="L1",Parameter!$E$5,Parameter!$E$6+Parameter!$E$7)-(AJ780-AF780))/AF780)))</f>
        <v>0</v>
      </c>
      <c r="AL780" s="57" t="n">
        <f aca="false">IF(LEFT(Cockpit!$I$5,1)="A",G780,IF(BW780=1,BX780,IF(LEFT(Cockpit!$I$5,1)="B",AP780,MAX(AP780,G780))))</f>
        <v>224</v>
      </c>
      <c r="AM780" s="57" t="n">
        <f aca="false">IF(BR780=1,0,ROUNDUP(AL780/BQ780,0))</f>
        <v>1</v>
      </c>
      <c r="AN780" s="59" t="n">
        <f aca="false">IF(CD780&gt;0,CD780*MAX(1,AL780/V780),IF(BR780=1,IF(AL780&lt;=0,0,BS780*MAX(1,IF(G780&gt;0,AL780/G780,1))),IF(Q780&gt;0,AM780/Q780,0))/MAX(0.1,N(Parameter!$M$21)))</f>
        <v>0.0384615384615385</v>
      </c>
      <c r="AO780" s="57" t="n">
        <f aca="false">AL780*F780</f>
        <v>107.52</v>
      </c>
      <c r="AP780" s="57" t="n">
        <f aca="false">ROUNDUP(MAX(I780/IF(BV780&gt;0,BV780,MAX(0.1,N(Cockpit!$I$6))),BY780)/BQ780,0)*BQ780</f>
        <v>224</v>
      </c>
      <c r="AQ780" s="58" t="n">
        <f aca="false">IF(AN780&gt;0,I780/AN780,-1)</f>
        <v>0</v>
      </c>
      <c r="AR780" s="58" t="n">
        <f aca="false">IF(AND(OR(BU780="L1",BU780="L23"),AN780&gt;0),SUMIFS($AN$7:$AN$1576,$BU$7:$BU$1576,BU780,$AQ$7:$AQ$1576,"&gt;"&amp;AQ780)+SUMIFS($AN$7:$AN$1576,$BU$7:$BU$1576,BU780,$AQ$7:$AQ$1576,AQ780,$BO$7:$BO$1576,"&lt;="&amp;BO780),"")</f>
        <v>130.647743054095</v>
      </c>
      <c r="AS780" s="65" t="n">
        <f aca="false">IF(AR780="",0,MAX(0,MIN(1,(IF(BU780="L1",Parameter!$E$5,Parameter!$E$6+Parameter!$E$7)-(AR780-AN780))/AN780)))</f>
        <v>0</v>
      </c>
      <c r="AT780" s="57" t="n">
        <f aca="false">IF(LEFT(Cockpit!$O$5,1)="A",G780,IF(BW780=1,BX780,IF(LEFT(Cockpit!$O$5,1)="B",AX780,MAX(AX780,G780))))</f>
        <v>224</v>
      </c>
      <c r="AU780" s="57" t="n">
        <f aca="false">IF(BR780=1,0,ROUNDUP(AT780/BQ780,0))</f>
        <v>1</v>
      </c>
      <c r="AV780" s="59" t="n">
        <f aca="false">IF(CD780&gt;0,CD780*MAX(1,AT780/V780),IF(BR780=1,IF(AT780&lt;=0,0,BS780*MAX(1,IF(G780&gt;0,AT780/G780,1))),IF(Q780&gt;0,AU780/Q780,0))/MAX(0.1,N(Parameter!$M$21)))</f>
        <v>0.0384615384615385</v>
      </c>
      <c r="AW780" s="57" t="n">
        <f aca="false">AT780*F780</f>
        <v>107.52</v>
      </c>
      <c r="AX780" s="57" t="n">
        <f aca="false">ROUNDUP(MAX(I780/IF(BV780&gt;0,BV780,MAX(0.1,N(Cockpit!$O$6))),BY780)/BQ780,0)*BQ780</f>
        <v>224</v>
      </c>
      <c r="AY780" s="58" t="n">
        <f aca="false">IF(AV780&gt;0,I780/AV780,-1)</f>
        <v>0</v>
      </c>
      <c r="AZ780" s="58" t="n">
        <f aca="false">IF(AND(OR(BU780="L1",BU780="L23"),AV780&gt;0),SUMIFS($AV$7:$AV$1576,$BU$7:$BU$1576,BU780,$AY$7:$AY$1576,"&gt;"&amp;AY780)+SUMIFS($AV$7:$AV$1576,$BU$7:$BU$1576,BU780,$AY$7:$AY$1576,AY780,$BO$7:$BO$1576,"&lt;="&amp;BO780),"")</f>
        <v>120.707293503645</v>
      </c>
      <c r="BA780" s="65" t="n">
        <f aca="false">IF(AZ780="",0,MAX(0,MIN(1,(IF(BU780="L1",Parameter!$E$5,Parameter!$E$6+Parameter!$E$7)-(AZ780-AV780))/AV780)))</f>
        <v>0</v>
      </c>
      <c r="BB780" s="55" t="str">
        <f aca="false">IF(AF780&lt;=0,"",IF(BU780="Aussen","Aussenlager",IF(BU780="-","Nicht im Lift",IF(AK780&gt;=1,"Lift",IF(AK780&lt;=0,"Aussenlager","teilweise")))))</f>
        <v/>
      </c>
      <c r="BC780" s="55" t="str">
        <f aca="false">IF(AN780&lt;=0,"",IF(BU780="Aussen","Aussenlager",IF(BU780="-","Nicht im Lift",IF(AS780&gt;=1,"Lift",IF(AS780&lt;=0,"Aussenlager","teilweise")))))</f>
        <v>Aussenlager</v>
      </c>
      <c r="BD780" s="55" t="str">
        <f aca="false">IF(AV780&lt;=0,"",IF(BU780="Aussen","Aussenlager",IF(BU780="-","Nicht im Lift",IF(BA780&gt;=1,"Lift",IF(BA780&lt;=0,"Aussenlager","teilweise")))))</f>
        <v>Aussenlager</v>
      </c>
      <c r="BE780" s="55" t="str">
        <f aca="false">IF(A780="","",IF(BN780=1,"Neu; ","")&amp;IF(AND(BN780=0,BI780&lt;0),"negativer Bestand (Export "&amp;BI780&amp;"); ","")&amp;IF(I780&lt;=0,"Kein Verbrauch; ","")&amp;IF(CD780&gt;0,"Lift "&amp;U780&amp;" lt. Liftbericht (Fach "&amp;V780&amp;" Stk); ",IF(BR780=1,"Lose – Fläche geschätzt; ",""))&amp;IF(G780&gt;AP780,"Überbestand "&amp;ROUND(G780-AP780,0)&amp;" Stk / CHF "&amp;ROUND((G780-AP780)*F780,0)&amp;"; ","")&amp;IF(AND(BW780=1,BX780&lt;BY780),"MAX &lt; MB+LG; ","")&amp;IF(AND(CC780&gt;0,CB780*10&gt;CC780),"zu hoch für Tablar; ","")&amp;IF(AND(BN780=0,OR(BW780=1,Y780&lt;&gt;"",S780&lt;&gt;"",T780&lt;&gt;"",Z780&lt;&gt;"")),"manuell übersteuert; ","")&amp;IF(AND(BR780=0,Q780=0),"Gebinde unbekannt / Stellmass fehlt; ","")&amp;IF(AND(BR780=0,N(T780)&lt;=0,N(P780)&lt;=0),"Menge pro Gebinde fehlt (Ist = 1 Gebinde); ","")&amp;BM780)</f>
        <v>negativer Bestand (Export -4); Kein Verbrauch; </v>
      </c>
      <c r="BF780" s="55"/>
      <c r="BG780" s="55"/>
      <c r="BH780" s="62"/>
      <c r="BI780" s="57" t="n">
        <v>-4</v>
      </c>
      <c r="BJ780" s="57" t="n">
        <v>58</v>
      </c>
      <c r="BK780" s="56" t="n">
        <v>-1.92</v>
      </c>
      <c r="BL780" s="57" t="n">
        <v>0</v>
      </c>
      <c r="BM780" s="55"/>
      <c r="BN780" s="60" t="n">
        <v>0</v>
      </c>
      <c r="BO780" s="60" t="n">
        <v>780</v>
      </c>
      <c r="BP780" s="55" t="str">
        <f aca="false">IF(S780&lt;&gt;"",UPPER(TRIM(S780)),IF(O780="","LOSE",O780))</f>
        <v>S51</v>
      </c>
      <c r="BQ780" s="57" t="n">
        <f aca="false">IF(BP780="LOSE",1,IF(N(T780)&gt;0,T780,IF(N(P780)&gt;0,P780,MAX(1,G780))))</f>
        <v>224</v>
      </c>
      <c r="BR780" s="60" t="n">
        <f aca="false">IF(BP780="LOSE",1,0)</f>
        <v>0</v>
      </c>
      <c r="BS780" s="59" t="n">
        <f aca="false">IF(BR780=0,0,IF(N(R780)&gt;0,R780,IFERROR(VLOOKUP(D780,Parameter!$A$35:$C$64,3,0)+0,0)))</f>
        <v>0</v>
      </c>
      <c r="BT780" s="55" t="n">
        <f aca="false">IF(Y780&lt;&gt;"",Y780,X780)</f>
        <v>3</v>
      </c>
      <c r="BU780" s="55" t="str">
        <f aca="false">IF(BT780=1,"L1",IF(OR(BT780=2,BT780=3),"L23",IF(BT780="Aussen","Aussen","-")))</f>
        <v>L23</v>
      </c>
      <c r="BV780" s="66" t="n">
        <f aca="false">IF(N(Z780)&gt;0,Z780,0)</f>
        <v>0</v>
      </c>
      <c r="BW780" s="60" t="n">
        <f aca="false">IF(ISNUMBER(AC780),1,0)</f>
        <v>0</v>
      </c>
      <c r="BX780" s="57" t="n">
        <f aca="false">N(AC780)</f>
        <v>0</v>
      </c>
      <c r="BY780" s="57" t="n">
        <f aca="false">N(L780)+N(M780)</f>
        <v>1</v>
      </c>
      <c r="BZ780" s="57" t="n">
        <f aca="false">ROUNDUP(G780/BQ780,0)</f>
        <v>0</v>
      </c>
      <c r="CA780" s="57" t="n">
        <f aca="false">ROUNDUP(BX780/BQ780,0)</f>
        <v>0</v>
      </c>
      <c r="CB780" s="60" t="n">
        <f aca="false">IF(BR780=1,0,IFERROR(VLOOKUP(BP780,'Gebinde-Kategorie'!$A$5:$M$45,5,0)+0,0))</f>
        <v>11</v>
      </c>
      <c r="CC780" s="60" t="n">
        <f aca="false">IFERROR(IF(OR(BT780=1,BT780=2,BT780=3),N(INDEX(Parameter!$I$5:$I$7,BT780)),0),0)</f>
        <v>0</v>
      </c>
      <c r="CD780" s="59" t="n">
        <f aca="false">IF(AND(Parameter!$B$21="Ja",ISNUMBER(U780),N(V780)&gt;0),IFERROR(N(INDEX(Parameter!$L$5:$L$7,U780))*INDEX(Parameter!$E$5:$E$7,U780)*V780/SUMIFS($V$7:$V$1576,$U$7:$U$1576,U780),0),0)</f>
        <v>0</v>
      </c>
    </row>
    <row r="781" customFormat="false" ht="15" hidden="false" customHeight="false" outlineLevel="0" collapsed="false">
      <c r="A781" s="55" t="s">
        <v>1513</v>
      </c>
      <c r="B781" s="55" t="s">
        <v>1514</v>
      </c>
      <c r="C781" s="55" t="s">
        <v>160</v>
      </c>
      <c r="D781" s="55" t="s">
        <v>344</v>
      </c>
      <c r="E781" s="55" t="s">
        <v>210</v>
      </c>
      <c r="F781" s="56" t="n">
        <v>1.93</v>
      </c>
      <c r="G781" s="57" t="n">
        <f aca="false">MAX(0,IF(AND(Parameter!$B$21="Ja",ISNUMBER(W781)),W781,IF(Parameter!$B$20="Jahresanfang 2025 + Export",BJ781+BI781,BI781)))</f>
        <v>0</v>
      </c>
      <c r="H781" s="57" t="n">
        <f aca="false">G781*F781</f>
        <v>0</v>
      </c>
      <c r="I781" s="57" t="n">
        <f aca="false">BL781*Parameter!$B$18</f>
        <v>1</v>
      </c>
      <c r="J781" s="58" t="n">
        <v>0.5</v>
      </c>
      <c r="K781" s="59" t="n">
        <v>2</v>
      </c>
      <c r="L781" s="57" t="n">
        <v>0</v>
      </c>
      <c r="M781" s="57" t="n">
        <v>1</v>
      </c>
      <c r="N781" s="60" t="n">
        <v>0</v>
      </c>
      <c r="O781" s="55" t="s">
        <v>163</v>
      </c>
      <c r="P781" s="57"/>
      <c r="Q781" s="60" t="n">
        <f aca="false">IF(BR781=1,0,IFERROR(VLOOKUP(BP781,'Gebinde-Kategorie'!$A$5:$M$45,13,0)+0,0))</f>
        <v>0</v>
      </c>
      <c r="R781" s="61"/>
      <c r="S781" s="62"/>
      <c r="T781" s="62"/>
      <c r="U781" s="55"/>
      <c r="V781" s="57"/>
      <c r="W781" s="57"/>
      <c r="X781" s="55" t="str">
        <f aca="false">IF(A781="","",IF(AND(Parameter!$B$21="Ja",ISNUMBER(U781)),U781,IF(IFERROR(VLOOKUP(D781,Parameter!$A$35:$C$64,2,0),"Nein")="2+3",IF(ISNUMBER(SEARCH("grosser Artikel",BM781)),2,IFERROR(VLOOKUP(BP781,Parameter!$F$35:$G$64,2,0),2)),IF(OR(IFERROR(VLOOKUP(D781,Parameter!$A$35:$C$64,2,0),"Nein")="Nein",IFERROR(VLOOKUP(D781,Parameter!$A$35:$C$64,2,0),"Nein")=""),"-",VLOOKUP(D781,Parameter!$A$35:$C$64,2,0)))))</f>
        <v>-</v>
      </c>
      <c r="Y781" s="62"/>
      <c r="Z781" s="63"/>
      <c r="AA781" s="57" t="n">
        <f aca="false">AP781</f>
        <v>1</v>
      </c>
      <c r="AB781" s="57" t="n">
        <f aca="false">MAX(AP781,G781)</f>
        <v>1</v>
      </c>
      <c r="AC781" s="64"/>
      <c r="AD781" s="57" t="n">
        <f aca="false">IF(LEFT(Cockpit!$C$5,1)="A",G781,IF(BW781=1,BX781,IF(LEFT(Cockpit!$C$5,1)="B",AH781,MAX(AH781,G781))))</f>
        <v>0</v>
      </c>
      <c r="AE781" s="57" t="n">
        <f aca="false">IF(BR781=1,0,ROUNDUP(AD781/BQ781,0))</f>
        <v>0</v>
      </c>
      <c r="AF781" s="59" t="n">
        <f aca="false">IF(CD781&gt;0,CD781*MAX(1,AD781/V781),IF(BR781=1,IF(AD781&lt;=0,0,BS781*MAX(1,IF(G781&gt;0,AD781/G781,1))),IF(Q781&gt;0,AE781/Q781,0))/MAX(0.1,N(Parameter!$M$21)))</f>
        <v>0</v>
      </c>
      <c r="AG781" s="57" t="n">
        <f aca="false">AD781*F781</f>
        <v>0</v>
      </c>
      <c r="AH781" s="57" t="n">
        <f aca="false">ROUNDUP(MAX(I781/IF(BV781&gt;0,BV781,MAX(0.1,N(Cockpit!$C$6))),BY781)/BQ781,0)*BQ781</f>
        <v>1</v>
      </c>
      <c r="AI781" s="58" t="n">
        <f aca="false">IF(AF781&gt;0,I781/AF781,-1)</f>
        <v>-1</v>
      </c>
      <c r="AJ781" s="58" t="str">
        <f aca="false">IF(AND(OR(BU781="L1",BU781="L23"),AF781&gt;0),SUMIFS($AF$7:$AF$1576,$BU$7:$BU$1576,BU781,$AI$7:$AI$1576,"&gt;"&amp;AI781)+SUMIFS($AF$7:$AF$1576,$BU$7:$BU$1576,BU781,$AI$7:$AI$1576,AI781,$BO$7:$BO$1576,"&lt;="&amp;BO781),"")</f>
        <v/>
      </c>
      <c r="AK781" s="65" t="n">
        <f aca="false">IF(AJ781="",0,MAX(0,MIN(1,(IF(BU781="L1",Parameter!$E$5,Parameter!$E$6+Parameter!$E$7)-(AJ781-AF781))/AF781)))</f>
        <v>0</v>
      </c>
      <c r="AL781" s="57" t="n">
        <f aca="false">IF(LEFT(Cockpit!$I$5,1)="A",G781,IF(BW781=1,BX781,IF(LEFT(Cockpit!$I$5,1)="B",AP781,MAX(AP781,G781))))</f>
        <v>1</v>
      </c>
      <c r="AM781" s="57" t="n">
        <f aca="false">IF(BR781=1,0,ROUNDUP(AL781/BQ781,0))</f>
        <v>0</v>
      </c>
      <c r="AN781" s="59" t="n">
        <f aca="false">IF(CD781&gt;0,CD781*MAX(1,AL781/V781),IF(BR781=1,IF(AL781&lt;=0,0,BS781*MAX(1,IF(G781&gt;0,AL781/G781,1))),IF(Q781&gt;0,AM781/Q781,0))/MAX(0.1,N(Parameter!$M$21)))</f>
        <v>0.15</v>
      </c>
      <c r="AO781" s="57" t="n">
        <f aca="false">AL781*F781</f>
        <v>1.93</v>
      </c>
      <c r="AP781" s="57" t="n">
        <f aca="false">ROUNDUP(MAX(I781/IF(BV781&gt;0,BV781,MAX(0.1,N(Cockpit!$I$6))),BY781)/BQ781,0)*BQ781</f>
        <v>1</v>
      </c>
      <c r="AQ781" s="58" t="n">
        <f aca="false">IF(AN781&gt;0,I781/AN781,-1)</f>
        <v>6.66666666666667</v>
      </c>
      <c r="AR781" s="58" t="str">
        <f aca="false">IF(AND(OR(BU781="L1",BU781="L23"),AN781&gt;0),SUMIFS($AN$7:$AN$1576,$BU$7:$BU$1576,BU781,$AQ$7:$AQ$1576,"&gt;"&amp;AQ781)+SUMIFS($AN$7:$AN$1576,$BU$7:$BU$1576,BU781,$AQ$7:$AQ$1576,AQ781,$BO$7:$BO$1576,"&lt;="&amp;BO781),"")</f>
        <v/>
      </c>
      <c r="AS781" s="65" t="n">
        <f aca="false">IF(AR781="",0,MAX(0,MIN(1,(IF(BU781="L1",Parameter!$E$5,Parameter!$E$6+Parameter!$E$7)-(AR781-AN781))/AN781)))</f>
        <v>0</v>
      </c>
      <c r="AT781" s="57" t="n">
        <f aca="false">IF(LEFT(Cockpit!$O$5,1)="A",G781,IF(BW781=1,BX781,IF(LEFT(Cockpit!$O$5,1)="B",AX781,MAX(AX781,G781))))</f>
        <v>1</v>
      </c>
      <c r="AU781" s="57" t="n">
        <f aca="false">IF(BR781=1,0,ROUNDUP(AT781/BQ781,0))</f>
        <v>0</v>
      </c>
      <c r="AV781" s="59" t="n">
        <f aca="false">IF(CD781&gt;0,CD781*MAX(1,AT781/V781),IF(BR781=1,IF(AT781&lt;=0,0,BS781*MAX(1,IF(G781&gt;0,AT781/G781,1))),IF(Q781&gt;0,AU781/Q781,0))/MAX(0.1,N(Parameter!$M$21)))</f>
        <v>0.15</v>
      </c>
      <c r="AW781" s="57" t="n">
        <f aca="false">AT781*F781</f>
        <v>1.93</v>
      </c>
      <c r="AX781" s="57" t="n">
        <f aca="false">ROUNDUP(MAX(I781/IF(BV781&gt;0,BV781,MAX(0.1,N(Cockpit!$O$6))),BY781)/BQ781,0)*BQ781</f>
        <v>1</v>
      </c>
      <c r="AY781" s="58" t="n">
        <f aca="false">IF(AV781&gt;0,I781/AV781,-1)</f>
        <v>6.66666666666667</v>
      </c>
      <c r="AZ781" s="58" t="str">
        <f aca="false">IF(AND(OR(BU781="L1",BU781="L23"),AV781&gt;0),SUMIFS($AV$7:$AV$1576,$BU$7:$BU$1576,BU781,$AY$7:$AY$1576,"&gt;"&amp;AY781)+SUMIFS($AV$7:$AV$1576,$BU$7:$BU$1576,BU781,$AY$7:$AY$1576,AY781,$BO$7:$BO$1576,"&lt;="&amp;BO781),"")</f>
        <v/>
      </c>
      <c r="BA781" s="65" t="n">
        <f aca="false">IF(AZ781="",0,MAX(0,MIN(1,(IF(BU781="L1",Parameter!$E$5,Parameter!$E$6+Parameter!$E$7)-(AZ781-AV781))/AV781)))</f>
        <v>0</v>
      </c>
      <c r="BB781" s="55" t="str">
        <f aca="false">IF(AF781&lt;=0,"",IF(BU781="Aussen","Aussenlager",IF(BU781="-","Nicht im Lift",IF(AK781&gt;=1,"Lift",IF(AK781&lt;=0,"Aussenlager","teilweise")))))</f>
        <v/>
      </c>
      <c r="BC781" s="55" t="str">
        <f aca="false">IF(AN781&lt;=0,"",IF(BU781="Aussen","Aussenlager",IF(BU781="-","Nicht im Lift",IF(AS781&gt;=1,"Lift",IF(AS781&lt;=0,"Aussenlager","teilweise")))))</f>
        <v>Nicht im Lift</v>
      </c>
      <c r="BD781" s="55" t="str">
        <f aca="false">IF(AV781&lt;=0,"",IF(BU781="Aussen","Aussenlager",IF(BU781="-","Nicht im Lift",IF(BA781&gt;=1,"Lift",IF(BA781&lt;=0,"Aussenlager","teilweise")))))</f>
        <v>Nicht im Lift</v>
      </c>
      <c r="BE781" s="55" t="str">
        <f aca="false">IF(A781="","",IF(BN781=1,"Neu; ","")&amp;IF(AND(BN781=0,BI781&lt;0),"negativer Bestand (Export "&amp;BI781&amp;"); ","")&amp;IF(I781&lt;=0,"Kein Verbrauch; ","")&amp;IF(CD781&gt;0,"Lift "&amp;U781&amp;" lt. Liftbericht (Fach "&amp;V781&amp;" Stk); ",IF(BR781=1,"Lose – Fläche geschätzt; ",""))&amp;IF(G781&gt;AP781,"Überbestand "&amp;ROUND(G781-AP781,0)&amp;" Stk / CHF "&amp;ROUND((G781-AP781)*F781,0)&amp;"; ","")&amp;IF(AND(BW781=1,BX781&lt;BY781),"MAX &lt; MB+LG; ","")&amp;IF(AND(CC781&gt;0,CB781*10&gt;CC781),"zu hoch für Tablar; ","")&amp;IF(AND(BN781=0,OR(BW781=1,Y781&lt;&gt;"",S781&lt;&gt;"",T781&lt;&gt;"",Z781&lt;&gt;"")),"manuell übersteuert; ","")&amp;IF(AND(BR781=0,Q781=0),"Gebinde unbekannt / Stellmass fehlt; ","")&amp;IF(AND(BR781=0,N(T781)&lt;=0,N(P781)&lt;=0),"Menge pro Gebinde fehlt (Ist = 1 Gebinde); ","")&amp;BM781)</f>
        <v>negativer Bestand (Export -1); Lose – Fläche geschätzt; </v>
      </c>
      <c r="BF781" s="55"/>
      <c r="BG781" s="55"/>
      <c r="BH781" s="62"/>
      <c r="BI781" s="57" t="n">
        <v>-1</v>
      </c>
      <c r="BJ781" s="57" t="n">
        <v>1</v>
      </c>
      <c r="BK781" s="56" t="n">
        <v>-1.93</v>
      </c>
      <c r="BL781" s="57" t="n">
        <v>1</v>
      </c>
      <c r="BM781" s="55"/>
      <c r="BN781" s="60" t="n">
        <v>0</v>
      </c>
      <c r="BO781" s="60" t="n">
        <v>781</v>
      </c>
      <c r="BP781" s="55" t="str">
        <f aca="false">IF(S781&lt;&gt;"",UPPER(TRIM(S781)),IF(O781="","LOSE",O781))</f>
        <v>LOSE</v>
      </c>
      <c r="BQ781" s="57" t="n">
        <f aca="false">IF(BP781="LOSE",1,IF(N(T781)&gt;0,T781,IF(N(P781)&gt;0,P781,MAX(1,G781))))</f>
        <v>1</v>
      </c>
      <c r="BR781" s="60" t="n">
        <f aca="false">IF(BP781="LOSE",1,0)</f>
        <v>1</v>
      </c>
      <c r="BS781" s="59" t="n">
        <f aca="false">IF(BR781=0,0,IF(N(R781)&gt;0,R781,IFERROR(VLOOKUP(D781,Parameter!$A$35:$C$64,3,0)+0,0)))</f>
        <v>0.15</v>
      </c>
      <c r="BT781" s="55" t="str">
        <f aca="false">IF(Y781&lt;&gt;"",Y781,X781)</f>
        <v>-</v>
      </c>
      <c r="BU781" s="55" t="str">
        <f aca="false">IF(BT781=1,"L1",IF(OR(BT781=2,BT781=3),"L23",IF(BT781="Aussen","Aussen","-")))</f>
        <v>-</v>
      </c>
      <c r="BV781" s="66" t="n">
        <f aca="false">IF(N(Z781)&gt;0,Z781,0)</f>
        <v>0</v>
      </c>
      <c r="BW781" s="60" t="n">
        <f aca="false">IF(ISNUMBER(AC781),1,0)</f>
        <v>0</v>
      </c>
      <c r="BX781" s="57" t="n">
        <f aca="false">N(AC781)</f>
        <v>0</v>
      </c>
      <c r="BY781" s="57" t="n">
        <f aca="false">N(L781)+N(M781)</f>
        <v>1</v>
      </c>
      <c r="BZ781" s="57" t="n">
        <f aca="false">ROUNDUP(G781/BQ781,0)</f>
        <v>0</v>
      </c>
      <c r="CA781" s="57" t="n">
        <f aca="false">ROUNDUP(BX781/BQ781,0)</f>
        <v>0</v>
      </c>
      <c r="CB781" s="60" t="n">
        <f aca="false">IF(BR781=1,0,IFERROR(VLOOKUP(BP781,'Gebinde-Kategorie'!$A$5:$M$45,5,0)+0,0))</f>
        <v>0</v>
      </c>
      <c r="CC781" s="60" t="n">
        <f aca="false">IFERROR(IF(OR(BT781=1,BT781=2,BT781=3),N(INDEX(Parameter!$I$5:$I$7,BT781)),0),0)</f>
        <v>0</v>
      </c>
      <c r="CD781" s="59" t="n">
        <f aca="false">IF(AND(Parameter!$B$21="Ja",ISNUMBER(U781),N(V781)&gt;0),IFERROR(N(INDEX(Parameter!$L$5:$L$7,U781))*INDEX(Parameter!$E$5:$E$7,U781)*V781/SUMIFS($V$7:$V$1576,$U$7:$U$1576,U781),0),0)</f>
        <v>0</v>
      </c>
    </row>
    <row r="782" customFormat="false" ht="15" hidden="false" customHeight="false" outlineLevel="0" collapsed="false">
      <c r="A782" s="55" t="s">
        <v>1515</v>
      </c>
      <c r="B782" s="55" t="s">
        <v>643</v>
      </c>
      <c r="C782" s="55" t="s">
        <v>160</v>
      </c>
      <c r="D782" s="55" t="s">
        <v>178</v>
      </c>
      <c r="E782" s="55" t="s">
        <v>210</v>
      </c>
      <c r="F782" s="56" t="n">
        <v>0.13</v>
      </c>
      <c r="G782" s="57" t="n">
        <f aca="false">MAX(0,IF(AND(Parameter!$B$21="Ja",ISNUMBER(W782)),W782,IF(Parameter!$B$20="Jahresanfang 2025 + Export",BJ782+BI782,BI782)))</f>
        <v>0</v>
      </c>
      <c r="H782" s="57" t="n">
        <f aca="false">G782*F782</f>
        <v>0</v>
      </c>
      <c r="I782" s="57" t="n">
        <f aca="false">BL782*Parameter!$B$18</f>
        <v>1196</v>
      </c>
      <c r="J782" s="58" t="n">
        <v>912</v>
      </c>
      <c r="K782" s="59" t="n">
        <v>1.31140350877193</v>
      </c>
      <c r="L782" s="57" t="n">
        <v>70</v>
      </c>
      <c r="M782" s="57" t="n">
        <v>1300</v>
      </c>
      <c r="N782" s="60" t="n">
        <v>21</v>
      </c>
      <c r="O782" s="55" t="s">
        <v>284</v>
      </c>
      <c r="P782" s="57" t="n">
        <v>469</v>
      </c>
      <c r="Q782" s="60" t="n">
        <f aca="false">IF(BR782=1,0,IFERROR(VLOOKUP(BP782,'Gebinde-Kategorie'!$A$5:$M$45,13,0)+0,0))</f>
        <v>12</v>
      </c>
      <c r="R782" s="61"/>
      <c r="S782" s="62"/>
      <c r="T782" s="62"/>
      <c r="U782" s="55"/>
      <c r="V782" s="57"/>
      <c r="W782" s="57"/>
      <c r="X782" s="55" t="n">
        <f aca="false">IF(A782="","",IF(AND(Parameter!$B$21="Ja",ISNUMBER(U782)),U782,IF(IFERROR(VLOOKUP(D782,Parameter!$A$35:$C$64,2,0),"Nein")="2+3",IF(ISNUMBER(SEARCH("grosser Artikel",BM782)),2,IFERROR(VLOOKUP(BP782,Parameter!$F$35:$G$64,2,0),2)),IF(OR(IFERROR(VLOOKUP(D782,Parameter!$A$35:$C$64,2,0),"Nein")="Nein",IFERROR(VLOOKUP(D782,Parameter!$A$35:$C$64,2,0),"Nein")=""),"-",VLOOKUP(D782,Parameter!$A$35:$C$64,2,0)))))</f>
        <v>2</v>
      </c>
      <c r="Y782" s="62"/>
      <c r="Z782" s="63"/>
      <c r="AA782" s="57" t="n">
        <f aca="false">AP782</f>
        <v>1407</v>
      </c>
      <c r="AB782" s="57" t="n">
        <f aca="false">MAX(AP782,G782)</f>
        <v>1407</v>
      </c>
      <c r="AC782" s="64"/>
      <c r="AD782" s="57" t="n">
        <f aca="false">IF(LEFT(Cockpit!$C$5,1)="A",G782,IF(BW782=1,BX782,IF(LEFT(Cockpit!$C$5,1)="B",AH782,MAX(AH782,G782))))</f>
        <v>0</v>
      </c>
      <c r="AE782" s="57" t="n">
        <f aca="false">IF(BR782=1,0,ROUNDUP(AD782/BQ782,0))</f>
        <v>0</v>
      </c>
      <c r="AF782" s="59" t="n">
        <f aca="false">IF(CD782&gt;0,CD782*MAX(1,AD782/V782),IF(BR782=1,IF(AD782&lt;=0,0,BS782*MAX(1,IF(G782&gt;0,AD782/G782,1))),IF(Q782&gt;0,AE782/Q782,0))/MAX(0.1,N(Parameter!$M$21)))</f>
        <v>0</v>
      </c>
      <c r="AG782" s="57" t="n">
        <f aca="false">AD782*F782</f>
        <v>0</v>
      </c>
      <c r="AH782" s="57" t="n">
        <f aca="false">ROUNDUP(MAX(I782/IF(BV782&gt;0,BV782,MAX(0.1,N(Cockpit!$C$6))),BY782)/BQ782,0)*BQ782</f>
        <v>1407</v>
      </c>
      <c r="AI782" s="58" t="n">
        <f aca="false">IF(AF782&gt;0,I782/AF782,-1)</f>
        <v>-1</v>
      </c>
      <c r="AJ782" s="58" t="str">
        <f aca="false">IF(AND(OR(BU782="L1",BU782="L23"),AF782&gt;0),SUMIFS($AF$7:$AF$1576,$BU$7:$BU$1576,BU782,$AI$7:$AI$1576,"&gt;"&amp;AI782)+SUMIFS($AF$7:$AF$1576,$BU$7:$BU$1576,BU782,$AI$7:$AI$1576,AI782,$BO$7:$BO$1576,"&lt;="&amp;BO782),"")</f>
        <v/>
      </c>
      <c r="AK782" s="65" t="n">
        <f aca="false">IF(AJ782="",0,MAX(0,MIN(1,(IF(BU782="L1",Parameter!$E$5,Parameter!$E$6+Parameter!$E$7)-(AJ782-AF782))/AF782)))</f>
        <v>0</v>
      </c>
      <c r="AL782" s="57" t="n">
        <f aca="false">IF(LEFT(Cockpit!$I$5,1)="A",G782,IF(BW782=1,BX782,IF(LEFT(Cockpit!$I$5,1)="B",AP782,MAX(AP782,G782))))</f>
        <v>1407</v>
      </c>
      <c r="AM782" s="57" t="n">
        <f aca="false">IF(BR782=1,0,ROUNDUP(AL782/BQ782,0))</f>
        <v>3</v>
      </c>
      <c r="AN782" s="59" t="n">
        <f aca="false">IF(CD782&gt;0,CD782*MAX(1,AL782/V782),IF(BR782=1,IF(AL782&lt;=0,0,BS782*MAX(1,IF(G782&gt;0,AL782/G782,1))),IF(Q782&gt;0,AM782/Q782,0))/MAX(0.1,N(Parameter!$M$21)))</f>
        <v>0.25</v>
      </c>
      <c r="AO782" s="57" t="n">
        <f aca="false">AL782*F782</f>
        <v>182.91</v>
      </c>
      <c r="AP782" s="57" t="n">
        <f aca="false">ROUNDUP(MAX(I782/IF(BV782&gt;0,BV782,MAX(0.1,N(Cockpit!$I$6))),BY782)/BQ782,0)*BQ782</f>
        <v>1407</v>
      </c>
      <c r="AQ782" s="58" t="n">
        <f aca="false">IF(AN782&gt;0,I782/AN782,-1)</f>
        <v>4784</v>
      </c>
      <c r="AR782" s="58" t="n">
        <f aca="false">IF(AND(OR(BU782="L1",BU782="L23"),AN782&gt;0),SUMIFS($AN$7:$AN$1576,$BU$7:$BU$1576,BU782,$AQ$7:$AQ$1576,"&gt;"&amp;AQ782)+SUMIFS($AN$7:$AN$1576,$BU$7:$BU$1576,BU782,$AQ$7:$AQ$1576,AQ782,$BO$7:$BO$1576,"&lt;="&amp;BO782),"")</f>
        <v>11.9256399885139</v>
      </c>
      <c r="AS782" s="65" t="n">
        <f aca="false">IF(AR782="",0,MAX(0,MIN(1,(IF(BU782="L1",Parameter!$E$5,Parameter!$E$6+Parameter!$E$7)-(AR782-AN782))/AN782)))</f>
        <v>1</v>
      </c>
      <c r="AT782" s="57" t="n">
        <f aca="false">IF(LEFT(Cockpit!$O$5,1)="A",G782,IF(BW782=1,BX782,IF(LEFT(Cockpit!$O$5,1)="B",AX782,MAX(AX782,G782))))</f>
        <v>1407</v>
      </c>
      <c r="AU782" s="57" t="n">
        <f aca="false">IF(BR782=1,0,ROUNDUP(AT782/BQ782,0))</f>
        <v>3</v>
      </c>
      <c r="AV782" s="59" t="n">
        <f aca="false">IF(CD782&gt;0,CD782*MAX(1,AT782/V782),IF(BR782=1,IF(AT782&lt;=0,0,BS782*MAX(1,IF(G782&gt;0,AT782/G782,1))),IF(Q782&gt;0,AU782/Q782,0))/MAX(0.1,N(Parameter!$M$21)))</f>
        <v>0.25</v>
      </c>
      <c r="AW782" s="57" t="n">
        <f aca="false">AT782*F782</f>
        <v>182.91</v>
      </c>
      <c r="AX782" s="57" t="n">
        <f aca="false">ROUNDUP(MAX(I782/IF(BV782&gt;0,BV782,MAX(0.1,N(Cockpit!$O$6))),BY782)/BQ782,0)*BQ782</f>
        <v>1407</v>
      </c>
      <c r="AY782" s="58" t="n">
        <f aca="false">IF(AV782&gt;0,I782/AV782,-1)</f>
        <v>4784</v>
      </c>
      <c r="AZ782" s="58" t="n">
        <f aca="false">IF(AND(OR(BU782="L1",BU782="L23"),AV782&gt;0),SUMIFS($AV$7:$AV$1576,$BU$7:$BU$1576,BU782,$AY$7:$AY$1576,"&gt;"&amp;AY782)+SUMIFS($AV$7:$AV$1576,$BU$7:$BU$1576,BU782,$AY$7:$AY$1576,AY782,$BO$7:$BO$1576,"&lt;="&amp;BO782),"")</f>
        <v>11.1465024593764</v>
      </c>
      <c r="BA782" s="65" t="n">
        <f aca="false">IF(AZ782="",0,MAX(0,MIN(1,(IF(BU782="L1",Parameter!$E$5,Parameter!$E$6+Parameter!$E$7)-(AZ782-AV782))/AV782)))</f>
        <v>1</v>
      </c>
      <c r="BB782" s="55" t="str">
        <f aca="false">IF(AF782&lt;=0,"",IF(BU782="Aussen","Aussenlager",IF(BU782="-","Nicht im Lift",IF(AK782&gt;=1,"Lift",IF(AK782&lt;=0,"Aussenlager","teilweise")))))</f>
        <v/>
      </c>
      <c r="BC782" s="55" t="str">
        <f aca="false">IF(AN782&lt;=0,"",IF(BU782="Aussen","Aussenlager",IF(BU782="-","Nicht im Lift",IF(AS782&gt;=1,"Lift",IF(AS782&lt;=0,"Aussenlager","teilweise")))))</f>
        <v>Lift</v>
      </c>
      <c r="BD782" s="55" t="str">
        <f aca="false">IF(AV782&lt;=0,"",IF(BU782="Aussen","Aussenlager",IF(BU782="-","Nicht im Lift",IF(BA782&gt;=1,"Lift",IF(BA782&lt;=0,"Aussenlager","teilweise")))))</f>
        <v>Lift</v>
      </c>
      <c r="BE782" s="55" t="str">
        <f aca="false">IF(A782="","",IF(BN782=1,"Neu; ","")&amp;IF(AND(BN782=0,BI782&lt;0),"negativer Bestand (Export "&amp;BI782&amp;"); ","")&amp;IF(I782&lt;=0,"Kein Verbrauch; ","")&amp;IF(CD782&gt;0,"Lift "&amp;U782&amp;" lt. Liftbericht (Fach "&amp;V782&amp;" Stk); ",IF(BR782=1,"Lose – Fläche geschätzt; ",""))&amp;IF(G782&gt;AP782,"Überbestand "&amp;ROUND(G782-AP782,0)&amp;" Stk / CHF "&amp;ROUND((G782-AP782)*F782,0)&amp;"; ","")&amp;IF(AND(BW782=1,BX782&lt;BY782),"MAX &lt; MB+LG; ","")&amp;IF(AND(CC782&gt;0,CB782*10&gt;CC782),"zu hoch für Tablar; ","")&amp;IF(AND(BN782=0,OR(BW782=1,Y782&lt;&gt;"",S782&lt;&gt;"",T782&lt;&gt;"",Z782&lt;&gt;"")),"manuell übersteuert; ","")&amp;IF(AND(BR782=0,Q782=0),"Gebinde unbekannt / Stellmass fehlt; ","")&amp;IF(AND(BR782=0,N(T782)&lt;=0,N(P782)&lt;=0),"Menge pro Gebinde fehlt (Ist = 1 Gebinde); ","")&amp;BM782)</f>
        <v>negativer Bestand (Export -16); </v>
      </c>
      <c r="BF782" s="55"/>
      <c r="BG782" s="55"/>
      <c r="BH782" s="62"/>
      <c r="BI782" s="57" t="n">
        <v>-16</v>
      </c>
      <c r="BJ782" s="57" t="n">
        <v>1018</v>
      </c>
      <c r="BK782" s="56" t="n">
        <v>-2.07999999999998</v>
      </c>
      <c r="BL782" s="57" t="n">
        <v>1196</v>
      </c>
      <c r="BM782" s="55"/>
      <c r="BN782" s="60" t="n">
        <v>0</v>
      </c>
      <c r="BO782" s="60" t="n">
        <v>782</v>
      </c>
      <c r="BP782" s="55" t="str">
        <f aca="false">IF(S782&lt;&gt;"",UPPER(TRIM(S782)),IF(O782="","LOSE",O782))</f>
        <v>S62</v>
      </c>
      <c r="BQ782" s="57" t="n">
        <f aca="false">IF(BP782="LOSE",1,IF(N(T782)&gt;0,T782,IF(N(P782)&gt;0,P782,MAX(1,G782))))</f>
        <v>469</v>
      </c>
      <c r="BR782" s="60" t="n">
        <f aca="false">IF(BP782="LOSE",1,0)</f>
        <v>0</v>
      </c>
      <c r="BS782" s="59" t="n">
        <f aca="false">IF(BR782=0,0,IF(N(R782)&gt;0,R782,IFERROR(VLOOKUP(D782,Parameter!$A$35:$C$64,3,0)+0,0)))</f>
        <v>0</v>
      </c>
      <c r="BT782" s="55" t="n">
        <f aca="false">IF(Y782&lt;&gt;"",Y782,X782)</f>
        <v>2</v>
      </c>
      <c r="BU782" s="55" t="str">
        <f aca="false">IF(BT782=1,"L1",IF(OR(BT782=2,BT782=3),"L23",IF(BT782="Aussen","Aussen","-")))</f>
        <v>L23</v>
      </c>
      <c r="BV782" s="66" t="n">
        <f aca="false">IF(N(Z782)&gt;0,Z782,0)</f>
        <v>0</v>
      </c>
      <c r="BW782" s="60" t="n">
        <f aca="false">IF(ISNUMBER(AC782),1,0)</f>
        <v>0</v>
      </c>
      <c r="BX782" s="57" t="n">
        <f aca="false">N(AC782)</f>
        <v>0</v>
      </c>
      <c r="BY782" s="57" t="n">
        <f aca="false">N(L782)+N(M782)</f>
        <v>1370</v>
      </c>
      <c r="BZ782" s="57" t="n">
        <f aca="false">ROUNDUP(G782/BQ782,0)</f>
        <v>0</v>
      </c>
      <c r="CA782" s="57" t="n">
        <f aca="false">ROUNDUP(BX782/BQ782,0)</f>
        <v>0</v>
      </c>
      <c r="CB782" s="60" t="n">
        <f aca="false">IF(BR782=1,0,IFERROR(VLOOKUP(BP782,'Gebinde-Kategorie'!$A$5:$M$45,5,0)+0,0))</f>
        <v>21</v>
      </c>
      <c r="CC782" s="60" t="n">
        <f aca="false">IFERROR(IF(OR(BT782=1,BT782=2,BT782=3),N(INDEX(Parameter!$I$5:$I$7,BT782)),0),0)</f>
        <v>0</v>
      </c>
      <c r="CD782" s="59" t="n">
        <f aca="false">IF(AND(Parameter!$B$21="Ja",ISNUMBER(U782),N(V782)&gt;0),IFERROR(N(INDEX(Parameter!$L$5:$L$7,U782))*INDEX(Parameter!$E$5:$E$7,U782)*V782/SUMIFS($V$7:$V$1576,$U$7:$U$1576,U782),0),0)</f>
        <v>0</v>
      </c>
    </row>
    <row r="783" customFormat="false" ht="15" hidden="false" customHeight="false" outlineLevel="0" collapsed="false">
      <c r="A783" s="55" t="s">
        <v>1516</v>
      </c>
      <c r="B783" s="55" t="s">
        <v>896</v>
      </c>
      <c r="C783" s="55" t="s">
        <v>162</v>
      </c>
      <c r="D783" s="55" t="s">
        <v>178</v>
      </c>
      <c r="E783" s="55" t="s">
        <v>210</v>
      </c>
      <c r="F783" s="56" t="n">
        <v>0.52</v>
      </c>
      <c r="G783" s="57" t="n">
        <f aca="false">MAX(0,IF(AND(Parameter!$B$21="Ja",ISNUMBER(W783)),W783,IF(Parameter!$B$20="Jahresanfang 2025 + Export",BJ783+BI783,BI783)))</f>
        <v>0</v>
      </c>
      <c r="H783" s="57" t="n">
        <f aca="false">G783*F783</f>
        <v>0</v>
      </c>
      <c r="I783" s="57" t="n">
        <f aca="false">BL783*Parameter!$B$18</f>
        <v>0</v>
      </c>
      <c r="J783" s="58" t="n">
        <v>47</v>
      </c>
      <c r="K783" s="59" t="n">
        <v>0</v>
      </c>
      <c r="L783" s="57" t="n">
        <v>0</v>
      </c>
      <c r="M783" s="57" t="n">
        <v>1</v>
      </c>
      <c r="N783" s="60" t="n">
        <v>14</v>
      </c>
      <c r="O783" s="55" t="s">
        <v>319</v>
      </c>
      <c r="P783" s="57" t="n">
        <v>96</v>
      </c>
      <c r="Q783" s="60" t="n">
        <f aca="false">IF(BR783=1,0,IFERROR(VLOOKUP(BP783,'Gebinde-Kategorie'!$A$5:$M$45,13,0)+0,0))</f>
        <v>52</v>
      </c>
      <c r="R783" s="61"/>
      <c r="S783" s="62"/>
      <c r="T783" s="62"/>
      <c r="U783" s="55"/>
      <c r="V783" s="57"/>
      <c r="W783" s="57"/>
      <c r="X783" s="55" t="n">
        <f aca="false">IF(A783="","",IF(AND(Parameter!$B$21="Ja",ISNUMBER(U783)),U783,IF(IFERROR(VLOOKUP(D783,Parameter!$A$35:$C$64,2,0),"Nein")="2+3",IF(ISNUMBER(SEARCH("grosser Artikel",BM783)),2,IFERROR(VLOOKUP(BP783,Parameter!$F$35:$G$64,2,0),2)),IF(OR(IFERROR(VLOOKUP(D783,Parameter!$A$35:$C$64,2,0),"Nein")="Nein",IFERROR(VLOOKUP(D783,Parameter!$A$35:$C$64,2,0),"Nein")=""),"-",VLOOKUP(D783,Parameter!$A$35:$C$64,2,0)))))</f>
        <v>3</v>
      </c>
      <c r="Y783" s="62"/>
      <c r="Z783" s="63"/>
      <c r="AA783" s="57" t="n">
        <f aca="false">AP783</f>
        <v>96</v>
      </c>
      <c r="AB783" s="57" t="n">
        <f aca="false">MAX(AP783,G783)</f>
        <v>96</v>
      </c>
      <c r="AC783" s="64"/>
      <c r="AD783" s="57" t="n">
        <f aca="false">IF(LEFT(Cockpit!$C$5,1)="A",G783,IF(BW783=1,BX783,IF(LEFT(Cockpit!$C$5,1)="B",AH783,MAX(AH783,G783))))</f>
        <v>0</v>
      </c>
      <c r="AE783" s="57" t="n">
        <f aca="false">IF(BR783=1,0,ROUNDUP(AD783/BQ783,0))</f>
        <v>0</v>
      </c>
      <c r="AF783" s="59" t="n">
        <f aca="false">IF(CD783&gt;0,CD783*MAX(1,AD783/V783),IF(BR783=1,IF(AD783&lt;=0,0,BS783*MAX(1,IF(G783&gt;0,AD783/G783,1))),IF(Q783&gt;0,AE783/Q783,0))/MAX(0.1,N(Parameter!$M$21)))</f>
        <v>0</v>
      </c>
      <c r="AG783" s="57" t="n">
        <f aca="false">AD783*F783</f>
        <v>0</v>
      </c>
      <c r="AH783" s="57" t="n">
        <f aca="false">ROUNDUP(MAX(I783/IF(BV783&gt;0,BV783,MAX(0.1,N(Cockpit!$C$6))),BY783)/BQ783,0)*BQ783</f>
        <v>96</v>
      </c>
      <c r="AI783" s="58" t="n">
        <f aca="false">IF(AF783&gt;0,I783/AF783,-1)</f>
        <v>-1</v>
      </c>
      <c r="AJ783" s="58" t="str">
        <f aca="false">IF(AND(OR(BU783="L1",BU783="L23"),AF783&gt;0),SUMIFS($AF$7:$AF$1576,$BU$7:$BU$1576,BU783,$AI$7:$AI$1576,"&gt;"&amp;AI783)+SUMIFS($AF$7:$AF$1576,$BU$7:$BU$1576,BU783,$AI$7:$AI$1576,AI783,$BO$7:$BO$1576,"&lt;="&amp;BO783),"")</f>
        <v/>
      </c>
      <c r="AK783" s="65" t="n">
        <f aca="false">IF(AJ783="",0,MAX(0,MIN(1,(IF(BU783="L1",Parameter!$E$5,Parameter!$E$6+Parameter!$E$7)-(AJ783-AF783))/AF783)))</f>
        <v>0</v>
      </c>
      <c r="AL783" s="57" t="n">
        <f aca="false">IF(LEFT(Cockpit!$I$5,1)="A",G783,IF(BW783=1,BX783,IF(LEFT(Cockpit!$I$5,1)="B",AP783,MAX(AP783,G783))))</f>
        <v>96</v>
      </c>
      <c r="AM783" s="57" t="n">
        <f aca="false">IF(BR783=1,0,ROUNDUP(AL783/BQ783,0))</f>
        <v>1</v>
      </c>
      <c r="AN783" s="59" t="n">
        <f aca="false">IF(CD783&gt;0,CD783*MAX(1,AL783/V783),IF(BR783=1,IF(AL783&lt;=0,0,BS783*MAX(1,IF(G783&gt;0,AL783/G783,1))),IF(Q783&gt;0,AM783/Q783,0))/MAX(0.1,N(Parameter!$M$21)))</f>
        <v>0.0192307692307692</v>
      </c>
      <c r="AO783" s="57" t="n">
        <f aca="false">AL783*F783</f>
        <v>49.92</v>
      </c>
      <c r="AP783" s="57" t="n">
        <f aca="false">ROUNDUP(MAX(I783/IF(BV783&gt;0,BV783,MAX(0.1,N(Cockpit!$I$6))),BY783)/BQ783,0)*BQ783</f>
        <v>96</v>
      </c>
      <c r="AQ783" s="58" t="n">
        <f aca="false">IF(AN783&gt;0,I783/AN783,-1)</f>
        <v>0</v>
      </c>
      <c r="AR783" s="58" t="n">
        <f aca="false">IF(AND(OR(BU783="L1",BU783="L23"),AN783&gt;0),SUMIFS($AN$7:$AN$1576,$BU$7:$BU$1576,BU783,$AQ$7:$AQ$1576,"&gt;"&amp;AQ783)+SUMIFS($AN$7:$AN$1576,$BU$7:$BU$1576,BU783,$AQ$7:$AQ$1576,AQ783,$BO$7:$BO$1576,"&lt;="&amp;BO783),"")</f>
        <v>130.666973823326</v>
      </c>
      <c r="AS783" s="65" t="n">
        <f aca="false">IF(AR783="",0,MAX(0,MIN(1,(IF(BU783="L1",Parameter!$E$5,Parameter!$E$6+Parameter!$E$7)-(AR783-AN783))/AN783)))</f>
        <v>0</v>
      </c>
      <c r="AT783" s="57" t="n">
        <f aca="false">IF(LEFT(Cockpit!$O$5,1)="A",G783,IF(BW783=1,BX783,IF(LEFT(Cockpit!$O$5,1)="B",AX783,MAX(AX783,G783))))</f>
        <v>96</v>
      </c>
      <c r="AU783" s="57" t="n">
        <f aca="false">IF(BR783=1,0,ROUNDUP(AT783/BQ783,0))</f>
        <v>1</v>
      </c>
      <c r="AV783" s="59" t="n">
        <f aca="false">IF(CD783&gt;0,CD783*MAX(1,AT783/V783),IF(BR783=1,IF(AT783&lt;=0,0,BS783*MAX(1,IF(G783&gt;0,AT783/G783,1))),IF(Q783&gt;0,AU783/Q783,0))/MAX(0.1,N(Parameter!$M$21)))</f>
        <v>0.0192307692307692</v>
      </c>
      <c r="AW783" s="57" t="n">
        <f aca="false">AT783*F783</f>
        <v>49.92</v>
      </c>
      <c r="AX783" s="57" t="n">
        <f aca="false">ROUNDUP(MAX(I783/IF(BV783&gt;0,BV783,MAX(0.1,N(Cockpit!$O$6))),BY783)/BQ783,0)*BQ783</f>
        <v>96</v>
      </c>
      <c r="AY783" s="58" t="n">
        <f aca="false">IF(AV783&gt;0,I783/AV783,-1)</f>
        <v>0</v>
      </c>
      <c r="AZ783" s="58" t="n">
        <f aca="false">IF(AND(OR(BU783="L1",BU783="L23"),AV783&gt;0),SUMIFS($AV$7:$AV$1576,$BU$7:$BU$1576,BU783,$AY$7:$AY$1576,"&gt;"&amp;AY783)+SUMIFS($AV$7:$AV$1576,$BU$7:$BU$1576,BU783,$AY$7:$AY$1576,AY783,$BO$7:$BO$1576,"&lt;="&amp;BO783),"")</f>
        <v>120.726524272876</v>
      </c>
      <c r="BA783" s="65" t="n">
        <f aca="false">IF(AZ783="",0,MAX(0,MIN(1,(IF(BU783="L1",Parameter!$E$5,Parameter!$E$6+Parameter!$E$7)-(AZ783-AV783))/AV783)))</f>
        <v>0</v>
      </c>
      <c r="BB783" s="55" t="str">
        <f aca="false">IF(AF783&lt;=0,"",IF(BU783="Aussen","Aussenlager",IF(BU783="-","Nicht im Lift",IF(AK783&gt;=1,"Lift",IF(AK783&lt;=0,"Aussenlager","teilweise")))))</f>
        <v/>
      </c>
      <c r="BC783" s="55" t="str">
        <f aca="false">IF(AN783&lt;=0,"",IF(BU783="Aussen","Aussenlager",IF(BU783="-","Nicht im Lift",IF(AS783&gt;=1,"Lift",IF(AS783&lt;=0,"Aussenlager","teilweise")))))</f>
        <v>Aussenlager</v>
      </c>
      <c r="BD783" s="55" t="str">
        <f aca="false">IF(AV783&lt;=0,"",IF(BU783="Aussen","Aussenlager",IF(BU783="-","Nicht im Lift",IF(BA783&gt;=1,"Lift",IF(BA783&lt;=0,"Aussenlager","teilweise")))))</f>
        <v>Aussenlager</v>
      </c>
      <c r="BE783" s="55" t="str">
        <f aca="false">IF(A783="","",IF(BN783=1,"Neu; ","")&amp;IF(AND(BN783=0,BI783&lt;0),"negativer Bestand (Export "&amp;BI783&amp;"); ","")&amp;IF(I783&lt;=0,"Kein Verbrauch; ","")&amp;IF(CD783&gt;0,"Lift "&amp;U783&amp;" lt. Liftbericht (Fach "&amp;V783&amp;" Stk); ",IF(BR783=1,"Lose – Fläche geschätzt; ",""))&amp;IF(G783&gt;AP783,"Überbestand "&amp;ROUND(G783-AP783,0)&amp;" Stk / CHF "&amp;ROUND((G783-AP783)*F783,0)&amp;"; ","")&amp;IF(AND(BW783=1,BX783&lt;BY783),"MAX &lt; MB+LG; ","")&amp;IF(AND(CC783&gt;0,CB783*10&gt;CC783),"zu hoch für Tablar; ","")&amp;IF(AND(BN783=0,OR(BW783=1,Y783&lt;&gt;"",S783&lt;&gt;"",T783&lt;&gt;"",Z783&lt;&gt;"")),"manuell übersteuert; ","")&amp;IF(AND(BR783=0,Q783=0),"Gebinde unbekannt / Stellmass fehlt; ","")&amp;IF(AND(BR783=0,N(T783)&lt;=0,N(P783)&lt;=0),"Menge pro Gebinde fehlt (Ist = 1 Gebinde); ","")&amp;BM783)</f>
        <v>negativer Bestand (Export -4); Kein Verbrauch; </v>
      </c>
      <c r="BF783" s="55"/>
      <c r="BG783" s="55"/>
      <c r="BH783" s="62"/>
      <c r="BI783" s="57" t="n">
        <v>-4</v>
      </c>
      <c r="BJ783" s="57" t="n">
        <v>49</v>
      </c>
      <c r="BK783" s="56" t="n">
        <v>-2.08</v>
      </c>
      <c r="BL783" s="57" t="n">
        <v>0</v>
      </c>
      <c r="BM783" s="55"/>
      <c r="BN783" s="60" t="n">
        <v>0</v>
      </c>
      <c r="BO783" s="60" t="n">
        <v>783</v>
      </c>
      <c r="BP783" s="55" t="str">
        <f aca="false">IF(S783&lt;&gt;"",UPPER(TRIM(S783)),IF(O783="","LOSE",O783))</f>
        <v>S41</v>
      </c>
      <c r="BQ783" s="57" t="n">
        <f aca="false">IF(BP783="LOSE",1,IF(N(T783)&gt;0,T783,IF(N(P783)&gt;0,P783,MAX(1,G783))))</f>
        <v>96</v>
      </c>
      <c r="BR783" s="60" t="n">
        <f aca="false">IF(BP783="LOSE",1,0)</f>
        <v>0</v>
      </c>
      <c r="BS783" s="59" t="n">
        <f aca="false">IF(BR783=0,0,IF(N(R783)&gt;0,R783,IFERROR(VLOOKUP(D783,Parameter!$A$35:$C$64,3,0)+0,0)))</f>
        <v>0</v>
      </c>
      <c r="BT783" s="55" t="n">
        <f aca="false">IF(Y783&lt;&gt;"",Y783,X783)</f>
        <v>3</v>
      </c>
      <c r="BU783" s="55" t="str">
        <f aca="false">IF(BT783=1,"L1",IF(OR(BT783=2,BT783=3),"L23",IF(BT783="Aussen","Aussen","-")))</f>
        <v>L23</v>
      </c>
      <c r="BV783" s="66" t="n">
        <f aca="false">IF(N(Z783)&gt;0,Z783,0)</f>
        <v>0</v>
      </c>
      <c r="BW783" s="60" t="n">
        <f aca="false">IF(ISNUMBER(AC783),1,0)</f>
        <v>0</v>
      </c>
      <c r="BX783" s="57" t="n">
        <f aca="false">N(AC783)</f>
        <v>0</v>
      </c>
      <c r="BY783" s="57" t="n">
        <f aca="false">N(L783)+N(M783)</f>
        <v>1</v>
      </c>
      <c r="BZ783" s="57" t="n">
        <f aca="false">ROUNDUP(G783/BQ783,0)</f>
        <v>0</v>
      </c>
      <c r="CA783" s="57" t="n">
        <f aca="false">ROUNDUP(BX783/BQ783,0)</f>
        <v>0</v>
      </c>
      <c r="CB783" s="60" t="n">
        <f aca="false">IF(BR783=1,0,IFERROR(VLOOKUP(BP783,'Gebinde-Kategorie'!$A$5:$M$45,5,0)+0,0))</f>
        <v>11</v>
      </c>
      <c r="CC783" s="60" t="n">
        <f aca="false">IFERROR(IF(OR(BT783=1,BT783=2,BT783=3),N(INDEX(Parameter!$I$5:$I$7,BT783)),0),0)</f>
        <v>0</v>
      </c>
      <c r="CD783" s="59" t="n">
        <f aca="false">IF(AND(Parameter!$B$21="Ja",ISNUMBER(U783),N(V783)&gt;0),IFERROR(N(INDEX(Parameter!$L$5:$L$7,U783))*INDEX(Parameter!$E$5:$E$7,U783)*V783/SUMIFS($V$7:$V$1576,$U$7:$U$1576,U783),0),0)</f>
        <v>0</v>
      </c>
    </row>
    <row r="784" customFormat="false" ht="15" hidden="false" customHeight="false" outlineLevel="0" collapsed="false">
      <c r="A784" s="55" t="s">
        <v>1517</v>
      </c>
      <c r="B784" s="55" t="s">
        <v>1518</v>
      </c>
      <c r="C784" s="55" t="s">
        <v>160</v>
      </c>
      <c r="D784" s="55" t="s">
        <v>178</v>
      </c>
      <c r="E784" s="55" t="s">
        <v>210</v>
      </c>
      <c r="F784" s="56" t="n">
        <v>0.45</v>
      </c>
      <c r="G784" s="57" t="n">
        <f aca="false">MAX(0,IF(AND(Parameter!$B$21="Ja",ISNUMBER(W784)),W784,IF(Parameter!$B$20="Jahresanfang 2025 + Export",BJ784+BI784,BI784)))</f>
        <v>0</v>
      </c>
      <c r="H784" s="57" t="n">
        <f aca="false">G784*F784</f>
        <v>0</v>
      </c>
      <c r="I784" s="57" t="n">
        <f aca="false">BL784*Parameter!$B$18</f>
        <v>0</v>
      </c>
      <c r="J784" s="58" t="n">
        <v>53</v>
      </c>
      <c r="K784" s="59" t="n">
        <v>0</v>
      </c>
      <c r="L784" s="57" t="n">
        <v>0</v>
      </c>
      <c r="M784" s="57" t="n">
        <v>1</v>
      </c>
      <c r="N784" s="60" t="n">
        <v>49</v>
      </c>
      <c r="O784" s="55" t="s">
        <v>391</v>
      </c>
      <c r="P784" s="57" t="n">
        <v>56</v>
      </c>
      <c r="Q784" s="60" t="n">
        <f aca="false">IF(BR784=1,0,IFERROR(VLOOKUP(BP784,'Gebinde-Kategorie'!$A$5:$M$45,13,0)+0,0))</f>
        <v>414</v>
      </c>
      <c r="R784" s="61"/>
      <c r="S784" s="62"/>
      <c r="T784" s="62"/>
      <c r="U784" s="55"/>
      <c r="V784" s="57"/>
      <c r="W784" s="57"/>
      <c r="X784" s="55" t="n">
        <f aca="false">IF(A784="","",IF(AND(Parameter!$B$21="Ja",ISNUMBER(U784)),U784,IF(IFERROR(VLOOKUP(D784,Parameter!$A$35:$C$64,2,0),"Nein")="2+3",IF(ISNUMBER(SEARCH("grosser Artikel",BM784)),2,IFERROR(VLOOKUP(BP784,Parameter!$F$35:$G$64,2,0),2)),IF(OR(IFERROR(VLOOKUP(D784,Parameter!$A$35:$C$64,2,0),"Nein")="Nein",IFERROR(VLOOKUP(D784,Parameter!$A$35:$C$64,2,0),"Nein")=""),"-",VLOOKUP(D784,Parameter!$A$35:$C$64,2,0)))))</f>
        <v>3</v>
      </c>
      <c r="Y784" s="62"/>
      <c r="Z784" s="63"/>
      <c r="AA784" s="57" t="n">
        <f aca="false">AP784</f>
        <v>56</v>
      </c>
      <c r="AB784" s="57" t="n">
        <f aca="false">MAX(AP784,G784)</f>
        <v>56</v>
      </c>
      <c r="AC784" s="64"/>
      <c r="AD784" s="57" t="n">
        <f aca="false">IF(LEFT(Cockpit!$C$5,1)="A",G784,IF(BW784=1,BX784,IF(LEFT(Cockpit!$C$5,1)="B",AH784,MAX(AH784,G784))))</f>
        <v>0</v>
      </c>
      <c r="AE784" s="57" t="n">
        <f aca="false">IF(BR784=1,0,ROUNDUP(AD784/BQ784,0))</f>
        <v>0</v>
      </c>
      <c r="AF784" s="59" t="n">
        <f aca="false">IF(CD784&gt;0,CD784*MAX(1,AD784/V784),IF(BR784=1,IF(AD784&lt;=0,0,BS784*MAX(1,IF(G784&gt;0,AD784/G784,1))),IF(Q784&gt;0,AE784/Q784,0))/MAX(0.1,N(Parameter!$M$21)))</f>
        <v>0</v>
      </c>
      <c r="AG784" s="57" t="n">
        <f aca="false">AD784*F784</f>
        <v>0</v>
      </c>
      <c r="AH784" s="57" t="n">
        <f aca="false">ROUNDUP(MAX(I784/IF(BV784&gt;0,BV784,MAX(0.1,N(Cockpit!$C$6))),BY784)/BQ784,0)*BQ784</f>
        <v>56</v>
      </c>
      <c r="AI784" s="58" t="n">
        <f aca="false">IF(AF784&gt;0,I784/AF784,-1)</f>
        <v>-1</v>
      </c>
      <c r="AJ784" s="58" t="str">
        <f aca="false">IF(AND(OR(BU784="L1",BU784="L23"),AF784&gt;0),SUMIFS($AF$7:$AF$1576,$BU$7:$BU$1576,BU784,$AI$7:$AI$1576,"&gt;"&amp;AI784)+SUMIFS($AF$7:$AF$1576,$BU$7:$BU$1576,BU784,$AI$7:$AI$1576,AI784,$BO$7:$BO$1576,"&lt;="&amp;BO784),"")</f>
        <v/>
      </c>
      <c r="AK784" s="65" t="n">
        <f aca="false">IF(AJ784="",0,MAX(0,MIN(1,(IF(BU784="L1",Parameter!$E$5,Parameter!$E$6+Parameter!$E$7)-(AJ784-AF784))/AF784)))</f>
        <v>0</v>
      </c>
      <c r="AL784" s="57" t="n">
        <f aca="false">IF(LEFT(Cockpit!$I$5,1)="A",G784,IF(BW784=1,BX784,IF(LEFT(Cockpit!$I$5,1)="B",AP784,MAX(AP784,G784))))</f>
        <v>56</v>
      </c>
      <c r="AM784" s="57" t="n">
        <f aca="false">IF(BR784=1,0,ROUNDUP(AL784/BQ784,0))</f>
        <v>1</v>
      </c>
      <c r="AN784" s="59" t="n">
        <f aca="false">IF(CD784&gt;0,CD784*MAX(1,AL784/V784),IF(BR784=1,IF(AL784&lt;=0,0,BS784*MAX(1,IF(G784&gt;0,AL784/G784,1))),IF(Q784&gt;0,AM784/Q784,0))/MAX(0.1,N(Parameter!$M$21)))</f>
        <v>0.00241545893719807</v>
      </c>
      <c r="AO784" s="57" t="n">
        <f aca="false">AL784*F784</f>
        <v>25.2</v>
      </c>
      <c r="AP784" s="57" t="n">
        <f aca="false">ROUNDUP(MAX(I784/IF(BV784&gt;0,BV784,MAX(0.1,N(Cockpit!$I$6))),BY784)/BQ784,0)*BQ784</f>
        <v>56</v>
      </c>
      <c r="AQ784" s="58" t="n">
        <f aca="false">IF(AN784&gt;0,I784/AN784,-1)</f>
        <v>0</v>
      </c>
      <c r="AR784" s="58" t="n">
        <f aca="false">IF(AND(OR(BU784="L1",BU784="L23"),AN784&gt;0),SUMIFS($AN$7:$AN$1576,$BU$7:$BU$1576,BU784,$AQ$7:$AQ$1576,"&gt;"&amp;AQ784)+SUMIFS($AN$7:$AN$1576,$BU$7:$BU$1576,BU784,$AQ$7:$AQ$1576,AQ784,$BO$7:$BO$1576,"&lt;="&amp;BO784),"")</f>
        <v>130.669389282263</v>
      </c>
      <c r="AS784" s="65" t="n">
        <f aca="false">IF(AR784="",0,MAX(0,MIN(1,(IF(BU784="L1",Parameter!$E$5,Parameter!$E$6+Parameter!$E$7)-(AR784-AN784))/AN784)))</f>
        <v>0</v>
      </c>
      <c r="AT784" s="57" t="n">
        <f aca="false">IF(LEFT(Cockpit!$O$5,1)="A",G784,IF(BW784=1,BX784,IF(LEFT(Cockpit!$O$5,1)="B",AX784,MAX(AX784,G784))))</f>
        <v>56</v>
      </c>
      <c r="AU784" s="57" t="n">
        <f aca="false">IF(BR784=1,0,ROUNDUP(AT784/BQ784,0))</f>
        <v>1</v>
      </c>
      <c r="AV784" s="59" t="n">
        <f aca="false">IF(CD784&gt;0,CD784*MAX(1,AT784/V784),IF(BR784=1,IF(AT784&lt;=0,0,BS784*MAX(1,IF(G784&gt;0,AT784/G784,1))),IF(Q784&gt;0,AU784/Q784,0))/MAX(0.1,N(Parameter!$M$21)))</f>
        <v>0.00241545893719807</v>
      </c>
      <c r="AW784" s="57" t="n">
        <f aca="false">AT784*F784</f>
        <v>25.2</v>
      </c>
      <c r="AX784" s="57" t="n">
        <f aca="false">ROUNDUP(MAX(I784/IF(BV784&gt;0,BV784,MAX(0.1,N(Cockpit!$O$6))),BY784)/BQ784,0)*BQ784</f>
        <v>56</v>
      </c>
      <c r="AY784" s="58" t="n">
        <f aca="false">IF(AV784&gt;0,I784/AV784,-1)</f>
        <v>0</v>
      </c>
      <c r="AZ784" s="58" t="n">
        <f aca="false">IF(AND(OR(BU784="L1",BU784="L23"),AV784&gt;0),SUMIFS($AV$7:$AV$1576,$BU$7:$BU$1576,BU784,$AY$7:$AY$1576,"&gt;"&amp;AY784)+SUMIFS($AV$7:$AV$1576,$BU$7:$BU$1576,BU784,$AY$7:$AY$1576,AY784,$BO$7:$BO$1576,"&lt;="&amp;BO784),"")</f>
        <v>120.728939731813</v>
      </c>
      <c r="BA784" s="65" t="n">
        <f aca="false">IF(AZ784="",0,MAX(0,MIN(1,(IF(BU784="L1",Parameter!$E$5,Parameter!$E$6+Parameter!$E$7)-(AZ784-AV784))/AV784)))</f>
        <v>0</v>
      </c>
      <c r="BB784" s="55" t="str">
        <f aca="false">IF(AF784&lt;=0,"",IF(BU784="Aussen","Aussenlager",IF(BU784="-","Nicht im Lift",IF(AK784&gt;=1,"Lift",IF(AK784&lt;=0,"Aussenlager","teilweise")))))</f>
        <v/>
      </c>
      <c r="BC784" s="55" t="str">
        <f aca="false">IF(AN784&lt;=0,"",IF(BU784="Aussen","Aussenlager",IF(BU784="-","Nicht im Lift",IF(AS784&gt;=1,"Lift",IF(AS784&lt;=0,"Aussenlager","teilweise")))))</f>
        <v>Aussenlager</v>
      </c>
      <c r="BD784" s="55" t="str">
        <f aca="false">IF(AV784&lt;=0,"",IF(BU784="Aussen","Aussenlager",IF(BU784="-","Nicht im Lift",IF(BA784&gt;=1,"Lift",IF(BA784&lt;=0,"Aussenlager","teilweise")))))</f>
        <v>Aussenlager</v>
      </c>
      <c r="BE784" s="55" t="str">
        <f aca="false">IF(A784="","",IF(BN784=1,"Neu; ","")&amp;IF(AND(BN784=0,BI784&lt;0),"negativer Bestand (Export "&amp;BI784&amp;"); ","")&amp;IF(I784&lt;=0,"Kein Verbrauch; ","")&amp;IF(CD784&gt;0,"Lift "&amp;U784&amp;" lt. Liftbericht (Fach "&amp;V784&amp;" Stk); ",IF(BR784=1,"Lose – Fläche geschätzt; ",""))&amp;IF(G784&gt;AP784,"Überbestand "&amp;ROUND(G784-AP784,0)&amp;" Stk / CHF "&amp;ROUND((G784-AP784)*F784,0)&amp;"; ","")&amp;IF(AND(BW784=1,BX784&lt;BY784),"MAX &lt; MB+LG; ","")&amp;IF(AND(CC784&gt;0,CB784*10&gt;CC784),"zu hoch für Tablar; ","")&amp;IF(AND(BN784=0,OR(BW784=1,Y784&lt;&gt;"",S784&lt;&gt;"",T784&lt;&gt;"",Z784&lt;&gt;"")),"manuell übersteuert; ","")&amp;IF(AND(BR784=0,Q784=0),"Gebinde unbekannt / Stellmass fehlt; ","")&amp;IF(AND(BR784=0,N(T784)&lt;=0,N(P784)&lt;=0),"Menge pro Gebinde fehlt (Ist = 1 Gebinde); ","")&amp;BM784)</f>
        <v>negativer Bestand (Export -5); Kein Verbrauch; </v>
      </c>
      <c r="BF784" s="55"/>
      <c r="BG784" s="55"/>
      <c r="BH784" s="62"/>
      <c r="BI784" s="57" t="n">
        <v>-5</v>
      </c>
      <c r="BJ784" s="57" t="n">
        <v>50</v>
      </c>
      <c r="BK784" s="56" t="n">
        <v>-2.25</v>
      </c>
      <c r="BL784" s="57" t="n">
        <v>0</v>
      </c>
      <c r="BM784" s="55"/>
      <c r="BN784" s="60" t="n">
        <v>0</v>
      </c>
      <c r="BO784" s="60" t="n">
        <v>784</v>
      </c>
      <c r="BP784" s="55" t="str">
        <f aca="false">IF(S784&lt;&gt;"",UPPER(TRIM(S784)),IF(O784="","LOSE",O784))</f>
        <v>S21</v>
      </c>
      <c r="BQ784" s="57" t="n">
        <f aca="false">IF(BP784="LOSE",1,IF(N(T784)&gt;0,T784,IF(N(P784)&gt;0,P784,MAX(1,G784))))</f>
        <v>56</v>
      </c>
      <c r="BR784" s="60" t="n">
        <f aca="false">IF(BP784="LOSE",1,0)</f>
        <v>0</v>
      </c>
      <c r="BS784" s="59" t="n">
        <f aca="false">IF(BR784=0,0,IF(N(R784)&gt;0,R784,IFERROR(VLOOKUP(D784,Parameter!$A$35:$C$64,3,0)+0,0)))</f>
        <v>0</v>
      </c>
      <c r="BT784" s="55" t="n">
        <f aca="false">IF(Y784&lt;&gt;"",Y784,X784)</f>
        <v>3</v>
      </c>
      <c r="BU784" s="55" t="str">
        <f aca="false">IF(BT784=1,"L1",IF(OR(BT784=2,BT784=3),"L23",IF(BT784="Aussen","Aussen","-")))</f>
        <v>L23</v>
      </c>
      <c r="BV784" s="66" t="n">
        <f aca="false">IF(N(Z784)&gt;0,Z784,0)</f>
        <v>0</v>
      </c>
      <c r="BW784" s="60" t="n">
        <f aca="false">IF(ISNUMBER(AC784),1,0)</f>
        <v>0</v>
      </c>
      <c r="BX784" s="57" t="n">
        <f aca="false">N(AC784)</f>
        <v>0</v>
      </c>
      <c r="BY784" s="57" t="n">
        <f aca="false">N(L784)+N(M784)</f>
        <v>1</v>
      </c>
      <c r="BZ784" s="57" t="n">
        <f aca="false">ROUNDUP(G784/BQ784,0)</f>
        <v>0</v>
      </c>
      <c r="CA784" s="57" t="n">
        <f aca="false">ROUNDUP(BX784/BQ784,0)</f>
        <v>0</v>
      </c>
      <c r="CB784" s="60" t="n">
        <f aca="false">IF(BR784=1,0,IFERROR(VLOOKUP(BP784,'Gebinde-Kategorie'!$A$5:$M$45,5,0)+0,0))</f>
        <v>8</v>
      </c>
      <c r="CC784" s="60" t="n">
        <f aca="false">IFERROR(IF(OR(BT784=1,BT784=2,BT784=3),N(INDEX(Parameter!$I$5:$I$7,BT784)),0),0)</f>
        <v>0</v>
      </c>
      <c r="CD784" s="59" t="n">
        <f aca="false">IF(AND(Parameter!$B$21="Ja",ISNUMBER(U784),N(V784)&gt;0),IFERROR(N(INDEX(Parameter!$L$5:$L$7,U784))*INDEX(Parameter!$E$5:$E$7,U784)*V784/SUMIFS($V$7:$V$1576,$U$7:$U$1576,U784),0),0)</f>
        <v>0</v>
      </c>
    </row>
    <row r="785" customFormat="false" ht="15" hidden="false" customHeight="false" outlineLevel="0" collapsed="false">
      <c r="A785" s="55" t="s">
        <v>1519</v>
      </c>
      <c r="B785" s="55" t="s">
        <v>1225</v>
      </c>
      <c r="C785" s="55" t="s">
        <v>160</v>
      </c>
      <c r="D785" s="55" t="s">
        <v>178</v>
      </c>
      <c r="E785" s="55" t="s">
        <v>210</v>
      </c>
      <c r="F785" s="56" t="n">
        <v>0.17</v>
      </c>
      <c r="G785" s="57" t="n">
        <f aca="false">MAX(0,IF(AND(Parameter!$B$21="Ja",ISNUMBER(W785)),W785,IF(Parameter!$B$20="Jahresanfang 2025 + Export",BJ785+BI785,BI785)))</f>
        <v>0</v>
      </c>
      <c r="H785" s="57" t="n">
        <f aca="false">G785*F785</f>
        <v>0</v>
      </c>
      <c r="I785" s="57" t="n">
        <f aca="false">BL785*Parameter!$B$18</f>
        <v>8</v>
      </c>
      <c r="J785" s="58" t="n">
        <v>497.5</v>
      </c>
      <c r="K785" s="59" t="n">
        <v>0.0160804020100503</v>
      </c>
      <c r="L785" s="57" t="n">
        <v>0</v>
      </c>
      <c r="M785" s="57" t="n">
        <v>10</v>
      </c>
      <c r="N785" s="60" t="n">
        <v>21</v>
      </c>
      <c r="O785" s="55" t="s">
        <v>465</v>
      </c>
      <c r="P785" s="57" t="n">
        <v>205</v>
      </c>
      <c r="Q785" s="60" t="n">
        <f aca="false">IF(BR785=1,0,IFERROR(VLOOKUP(BP785,'Gebinde-Kategorie'!$A$5:$M$45,13,0)+0,0))</f>
        <v>66</v>
      </c>
      <c r="R785" s="61"/>
      <c r="S785" s="62"/>
      <c r="T785" s="62"/>
      <c r="U785" s="55"/>
      <c r="V785" s="57"/>
      <c r="W785" s="57"/>
      <c r="X785" s="55" t="n">
        <f aca="false">IF(A785="","",IF(AND(Parameter!$B$21="Ja",ISNUMBER(U785)),U785,IF(IFERROR(VLOOKUP(D785,Parameter!$A$35:$C$64,2,0),"Nein")="2+3",IF(ISNUMBER(SEARCH("grosser Artikel",BM785)),2,IFERROR(VLOOKUP(BP785,Parameter!$F$35:$G$64,2,0),2)),IF(OR(IFERROR(VLOOKUP(D785,Parameter!$A$35:$C$64,2,0),"Nein")="Nein",IFERROR(VLOOKUP(D785,Parameter!$A$35:$C$64,2,0),"Nein")=""),"-",VLOOKUP(D785,Parameter!$A$35:$C$64,2,0)))))</f>
        <v>3</v>
      </c>
      <c r="Y785" s="62"/>
      <c r="Z785" s="63"/>
      <c r="AA785" s="57" t="n">
        <f aca="false">AP785</f>
        <v>205</v>
      </c>
      <c r="AB785" s="57" t="n">
        <f aca="false">MAX(AP785,G785)</f>
        <v>205</v>
      </c>
      <c r="AC785" s="64"/>
      <c r="AD785" s="57" t="n">
        <f aca="false">IF(LEFT(Cockpit!$C$5,1)="A",G785,IF(BW785=1,BX785,IF(LEFT(Cockpit!$C$5,1)="B",AH785,MAX(AH785,G785))))</f>
        <v>0</v>
      </c>
      <c r="AE785" s="57" t="n">
        <f aca="false">IF(BR785=1,0,ROUNDUP(AD785/BQ785,0))</f>
        <v>0</v>
      </c>
      <c r="AF785" s="59" t="n">
        <f aca="false">IF(CD785&gt;0,CD785*MAX(1,AD785/V785),IF(BR785=1,IF(AD785&lt;=0,0,BS785*MAX(1,IF(G785&gt;0,AD785/G785,1))),IF(Q785&gt;0,AE785/Q785,0))/MAX(0.1,N(Parameter!$M$21)))</f>
        <v>0</v>
      </c>
      <c r="AG785" s="57" t="n">
        <f aca="false">AD785*F785</f>
        <v>0</v>
      </c>
      <c r="AH785" s="57" t="n">
        <f aca="false">ROUNDUP(MAX(I785/IF(BV785&gt;0,BV785,MAX(0.1,N(Cockpit!$C$6))),BY785)/BQ785,0)*BQ785</f>
        <v>205</v>
      </c>
      <c r="AI785" s="58" t="n">
        <f aca="false">IF(AF785&gt;0,I785/AF785,-1)</f>
        <v>-1</v>
      </c>
      <c r="AJ785" s="58" t="str">
        <f aca="false">IF(AND(OR(BU785="L1",BU785="L23"),AF785&gt;0),SUMIFS($AF$7:$AF$1576,$BU$7:$BU$1576,BU785,$AI$7:$AI$1576,"&gt;"&amp;AI785)+SUMIFS($AF$7:$AF$1576,$BU$7:$BU$1576,BU785,$AI$7:$AI$1576,AI785,$BO$7:$BO$1576,"&lt;="&amp;BO785),"")</f>
        <v/>
      </c>
      <c r="AK785" s="65" t="n">
        <f aca="false">IF(AJ785="",0,MAX(0,MIN(1,(IF(BU785="L1",Parameter!$E$5,Parameter!$E$6+Parameter!$E$7)-(AJ785-AF785))/AF785)))</f>
        <v>0</v>
      </c>
      <c r="AL785" s="57" t="n">
        <f aca="false">IF(LEFT(Cockpit!$I$5,1)="A",G785,IF(BW785=1,BX785,IF(LEFT(Cockpit!$I$5,1)="B",AP785,MAX(AP785,G785))))</f>
        <v>205</v>
      </c>
      <c r="AM785" s="57" t="n">
        <f aca="false">IF(BR785=1,0,ROUNDUP(AL785/BQ785,0))</f>
        <v>1</v>
      </c>
      <c r="AN785" s="59" t="n">
        <f aca="false">IF(CD785&gt;0,CD785*MAX(1,AL785/V785),IF(BR785=1,IF(AL785&lt;=0,0,BS785*MAX(1,IF(G785&gt;0,AL785/G785,1))),IF(Q785&gt;0,AM785/Q785,0))/MAX(0.1,N(Parameter!$M$21)))</f>
        <v>0.0151515151515152</v>
      </c>
      <c r="AO785" s="57" t="n">
        <f aca="false">AL785*F785</f>
        <v>34.85</v>
      </c>
      <c r="AP785" s="57" t="n">
        <f aca="false">ROUNDUP(MAX(I785/IF(BV785&gt;0,BV785,MAX(0.1,N(Cockpit!$I$6))),BY785)/BQ785,0)*BQ785</f>
        <v>205</v>
      </c>
      <c r="AQ785" s="58" t="n">
        <f aca="false">IF(AN785&gt;0,I785/AN785,-1)</f>
        <v>528</v>
      </c>
      <c r="AR785" s="58" t="n">
        <f aca="false">IF(AND(OR(BU785="L1",BU785="L23"),AN785&gt;0),SUMIFS($AN$7:$AN$1576,$BU$7:$BU$1576,BU785,$AQ$7:$AQ$1576,"&gt;"&amp;AQ785)+SUMIFS($AN$7:$AN$1576,$BU$7:$BU$1576,BU785,$AQ$7:$AQ$1576,AQ785,$BO$7:$BO$1576,"&lt;="&amp;BO785),"")</f>
        <v>32.9119870591721</v>
      </c>
      <c r="AS785" s="65" t="n">
        <f aca="false">IF(AR785="",0,MAX(0,MIN(1,(IF(BU785="L1",Parameter!$E$5,Parameter!$E$6+Parameter!$E$7)-(AR785-AN785))/AN785)))</f>
        <v>1</v>
      </c>
      <c r="AT785" s="57" t="n">
        <f aca="false">IF(LEFT(Cockpit!$O$5,1)="A",G785,IF(BW785=1,BX785,IF(LEFT(Cockpit!$O$5,1)="B",AX785,MAX(AX785,G785))))</f>
        <v>205</v>
      </c>
      <c r="AU785" s="57" t="n">
        <f aca="false">IF(BR785=1,0,ROUNDUP(AT785/BQ785,0))</f>
        <v>1</v>
      </c>
      <c r="AV785" s="59" t="n">
        <f aca="false">IF(CD785&gt;0,CD785*MAX(1,AT785/V785),IF(BR785=1,IF(AT785&lt;=0,0,BS785*MAX(1,IF(G785&gt;0,AT785/G785,1))),IF(Q785&gt;0,AU785/Q785,0))/MAX(0.1,N(Parameter!$M$21)))</f>
        <v>0.0151515151515152</v>
      </c>
      <c r="AW785" s="57" t="n">
        <f aca="false">AT785*F785</f>
        <v>34.85</v>
      </c>
      <c r="AX785" s="57" t="n">
        <f aca="false">ROUNDUP(MAX(I785/IF(BV785&gt;0,BV785,MAX(0.1,N(Cockpit!$O$6))),BY785)/BQ785,0)*BQ785</f>
        <v>205</v>
      </c>
      <c r="AY785" s="58" t="n">
        <f aca="false">IF(AV785&gt;0,I785/AV785,-1)</f>
        <v>528</v>
      </c>
      <c r="AZ785" s="58" t="n">
        <f aca="false">IF(AND(OR(BU785="L1",BU785="L23"),AV785&gt;0),SUMIFS($AV$7:$AV$1576,$BU$7:$BU$1576,BU785,$AY$7:$AY$1576,"&gt;"&amp;AY785)+SUMIFS($AV$7:$AV$1576,$BU$7:$BU$1576,BU785,$AY$7:$AY$1576,AY785,$BO$7:$BO$1576,"&lt;="&amp;BO785),"")</f>
        <v>30.9886737058588</v>
      </c>
      <c r="BA785" s="65" t="n">
        <f aca="false">IF(AZ785="",0,MAX(0,MIN(1,(IF(BU785="L1",Parameter!$E$5,Parameter!$E$6+Parameter!$E$7)-(AZ785-AV785))/AV785)))</f>
        <v>1</v>
      </c>
      <c r="BB785" s="55" t="str">
        <f aca="false">IF(AF785&lt;=0,"",IF(BU785="Aussen","Aussenlager",IF(BU785="-","Nicht im Lift",IF(AK785&gt;=1,"Lift",IF(AK785&lt;=0,"Aussenlager","teilweise")))))</f>
        <v/>
      </c>
      <c r="BC785" s="55" t="str">
        <f aca="false">IF(AN785&lt;=0,"",IF(BU785="Aussen","Aussenlager",IF(BU785="-","Nicht im Lift",IF(AS785&gt;=1,"Lift",IF(AS785&lt;=0,"Aussenlager","teilweise")))))</f>
        <v>Lift</v>
      </c>
      <c r="BD785" s="55" t="str">
        <f aca="false">IF(AV785&lt;=0,"",IF(BU785="Aussen","Aussenlager",IF(BU785="-","Nicht im Lift",IF(BA785&gt;=1,"Lift",IF(BA785&lt;=0,"Aussenlager","teilweise")))))</f>
        <v>Lift</v>
      </c>
      <c r="BE785" s="55" t="str">
        <f aca="false">IF(A785="","",IF(BN785=1,"Neu; ","")&amp;IF(AND(BN785=0,BI785&lt;0),"negativer Bestand (Export "&amp;BI785&amp;"); ","")&amp;IF(I785&lt;=0,"Kein Verbrauch; ","")&amp;IF(CD785&gt;0,"Lift "&amp;U785&amp;" lt. Liftbericht (Fach "&amp;V785&amp;" Stk); ",IF(BR785=1,"Lose – Fläche geschätzt; ",""))&amp;IF(G785&gt;AP785,"Überbestand "&amp;ROUND(G785-AP785,0)&amp;" Stk / CHF "&amp;ROUND((G785-AP785)*F785,0)&amp;"; ","")&amp;IF(AND(BW785=1,BX785&lt;BY785),"MAX &lt; MB+LG; ","")&amp;IF(AND(CC785&gt;0,CB785*10&gt;CC785),"zu hoch für Tablar; ","")&amp;IF(AND(BN785=0,OR(BW785=1,Y785&lt;&gt;"",S785&lt;&gt;"",T785&lt;&gt;"",Z785&lt;&gt;"")),"manuell übersteuert; ","")&amp;IF(AND(BR785=0,Q785=0),"Gebinde unbekannt / Stellmass fehlt; ","")&amp;IF(AND(BR785=0,N(T785)&lt;=0,N(P785)&lt;=0),"Menge pro Gebinde fehlt (Ist = 1 Gebinde); ","")&amp;BM785)</f>
        <v>negativer Bestand (Export -15); Überbestand</v>
      </c>
      <c r="BF785" s="55"/>
      <c r="BG785" s="55"/>
      <c r="BH785" s="62"/>
      <c r="BI785" s="57" t="n">
        <v>-15</v>
      </c>
      <c r="BJ785" s="57" t="n">
        <v>503</v>
      </c>
      <c r="BK785" s="56" t="n">
        <v>-2.55</v>
      </c>
      <c r="BL785" s="57" t="n">
        <v>8</v>
      </c>
      <c r="BM785" s="55" t="s">
        <v>382</v>
      </c>
      <c r="BN785" s="60" t="n">
        <v>0</v>
      </c>
      <c r="BO785" s="60" t="n">
        <v>785</v>
      </c>
      <c r="BP785" s="55" t="str">
        <f aca="false">IF(S785&lt;&gt;"",UPPER(TRIM(S785)),IF(O785="","LOSE",O785))</f>
        <v>S33</v>
      </c>
      <c r="BQ785" s="57" t="n">
        <f aca="false">IF(BP785="LOSE",1,IF(N(T785)&gt;0,T785,IF(N(P785)&gt;0,P785,MAX(1,G785))))</f>
        <v>205</v>
      </c>
      <c r="BR785" s="60" t="n">
        <f aca="false">IF(BP785="LOSE",1,0)</f>
        <v>0</v>
      </c>
      <c r="BS785" s="59" t="n">
        <f aca="false">IF(BR785=0,0,IF(N(R785)&gt;0,R785,IFERROR(VLOOKUP(D785,Parameter!$A$35:$C$64,3,0)+0,0)))</f>
        <v>0</v>
      </c>
      <c r="BT785" s="55" t="n">
        <f aca="false">IF(Y785&lt;&gt;"",Y785,X785)</f>
        <v>3</v>
      </c>
      <c r="BU785" s="55" t="str">
        <f aca="false">IF(BT785=1,"L1",IF(OR(BT785=2,BT785=3),"L23",IF(BT785="Aussen","Aussen","-")))</f>
        <v>L23</v>
      </c>
      <c r="BV785" s="66" t="n">
        <f aca="false">IF(N(Z785)&gt;0,Z785,0)</f>
        <v>0</v>
      </c>
      <c r="BW785" s="60" t="n">
        <f aca="false">IF(ISNUMBER(AC785),1,0)</f>
        <v>0</v>
      </c>
      <c r="BX785" s="57" t="n">
        <f aca="false">N(AC785)</f>
        <v>0</v>
      </c>
      <c r="BY785" s="57" t="n">
        <f aca="false">N(L785)+N(M785)</f>
        <v>10</v>
      </c>
      <c r="BZ785" s="57" t="n">
        <f aca="false">ROUNDUP(G785/BQ785,0)</f>
        <v>0</v>
      </c>
      <c r="CA785" s="57" t="n">
        <f aca="false">ROUNDUP(BX785/BQ785,0)</f>
        <v>0</v>
      </c>
      <c r="CB785" s="60" t="n">
        <f aca="false">IF(BR785=1,0,IFERROR(VLOOKUP(BP785,'Gebinde-Kategorie'!$A$5:$M$45,5,0)+0,0))</f>
        <v>8</v>
      </c>
      <c r="CC785" s="60" t="n">
        <f aca="false">IFERROR(IF(OR(BT785=1,BT785=2,BT785=3),N(INDEX(Parameter!$I$5:$I$7,BT785)),0),0)</f>
        <v>0</v>
      </c>
      <c r="CD785" s="59" t="n">
        <f aca="false">IF(AND(Parameter!$B$21="Ja",ISNUMBER(U785),N(V785)&gt;0),IFERROR(N(INDEX(Parameter!$L$5:$L$7,U785))*INDEX(Parameter!$E$5:$E$7,U785)*V785/SUMIFS($V$7:$V$1576,$U$7:$U$1576,U785),0),0)</f>
        <v>0</v>
      </c>
    </row>
    <row r="786" customFormat="false" ht="15" hidden="false" customHeight="false" outlineLevel="0" collapsed="false">
      <c r="A786" s="55" t="s">
        <v>1520</v>
      </c>
      <c r="B786" s="55" t="s">
        <v>395</v>
      </c>
      <c r="C786" s="55" t="s">
        <v>160</v>
      </c>
      <c r="D786" s="55" t="s">
        <v>178</v>
      </c>
      <c r="E786" s="55" t="s">
        <v>210</v>
      </c>
      <c r="F786" s="56" t="n">
        <v>0.04</v>
      </c>
      <c r="G786" s="57" t="n">
        <f aca="false">MAX(0,IF(AND(Parameter!$B$21="Ja",ISNUMBER(W786)),W786,IF(Parameter!$B$20="Jahresanfang 2025 + Export",BJ786+BI786,BI786)))</f>
        <v>0</v>
      </c>
      <c r="H786" s="57" t="n">
        <f aca="false">G786*F786</f>
        <v>0</v>
      </c>
      <c r="I786" s="57" t="n">
        <f aca="false">BL786*Parameter!$B$18</f>
        <v>60</v>
      </c>
      <c r="J786" s="58" t="n">
        <v>90</v>
      </c>
      <c r="K786" s="59" t="n">
        <v>0.666666666666667</v>
      </c>
      <c r="L786" s="57" t="n">
        <v>3</v>
      </c>
      <c r="M786" s="57" t="n">
        <v>60</v>
      </c>
      <c r="N786" s="60" t="n">
        <v>21</v>
      </c>
      <c r="O786" s="55" t="s">
        <v>416</v>
      </c>
      <c r="P786" s="57" t="n">
        <v>175</v>
      </c>
      <c r="Q786" s="60" t="n">
        <f aca="false">IF(BR786=1,0,IFERROR(VLOOKUP(BP786,'Gebinde-Kategorie'!$A$5:$M$45,13,0)+0,0))</f>
        <v>198</v>
      </c>
      <c r="R786" s="61"/>
      <c r="S786" s="62"/>
      <c r="T786" s="62"/>
      <c r="U786" s="55"/>
      <c r="V786" s="57"/>
      <c r="W786" s="57"/>
      <c r="X786" s="55" t="n">
        <f aca="false">IF(A786="","",IF(AND(Parameter!$B$21="Ja",ISNUMBER(U786)),U786,IF(IFERROR(VLOOKUP(D786,Parameter!$A$35:$C$64,2,0),"Nein")="2+3",IF(ISNUMBER(SEARCH("grosser Artikel",BM786)),2,IFERROR(VLOOKUP(BP786,Parameter!$F$35:$G$64,2,0),2)),IF(OR(IFERROR(VLOOKUP(D786,Parameter!$A$35:$C$64,2,0),"Nein")="Nein",IFERROR(VLOOKUP(D786,Parameter!$A$35:$C$64,2,0),"Nein")=""),"-",VLOOKUP(D786,Parameter!$A$35:$C$64,2,0)))))</f>
        <v>3</v>
      </c>
      <c r="Y786" s="62"/>
      <c r="Z786" s="63"/>
      <c r="AA786" s="57" t="n">
        <f aca="false">AP786</f>
        <v>175</v>
      </c>
      <c r="AB786" s="57" t="n">
        <f aca="false">MAX(AP786,G786)</f>
        <v>175</v>
      </c>
      <c r="AC786" s="64"/>
      <c r="AD786" s="57" t="n">
        <f aca="false">IF(LEFT(Cockpit!$C$5,1)="A",G786,IF(BW786=1,BX786,IF(LEFT(Cockpit!$C$5,1)="B",AH786,MAX(AH786,G786))))</f>
        <v>0</v>
      </c>
      <c r="AE786" s="57" t="n">
        <f aca="false">IF(BR786=1,0,ROUNDUP(AD786/BQ786,0))</f>
        <v>0</v>
      </c>
      <c r="AF786" s="59" t="n">
        <f aca="false">IF(CD786&gt;0,CD786*MAX(1,AD786/V786),IF(BR786=1,IF(AD786&lt;=0,0,BS786*MAX(1,IF(G786&gt;0,AD786/G786,1))),IF(Q786&gt;0,AE786/Q786,0))/MAX(0.1,N(Parameter!$M$21)))</f>
        <v>0</v>
      </c>
      <c r="AG786" s="57" t="n">
        <f aca="false">AD786*F786</f>
        <v>0</v>
      </c>
      <c r="AH786" s="57" t="n">
        <f aca="false">ROUNDUP(MAX(I786/IF(BV786&gt;0,BV786,MAX(0.1,N(Cockpit!$C$6))),BY786)/BQ786,0)*BQ786</f>
        <v>175</v>
      </c>
      <c r="AI786" s="58" t="n">
        <f aca="false">IF(AF786&gt;0,I786/AF786,-1)</f>
        <v>-1</v>
      </c>
      <c r="AJ786" s="58" t="str">
        <f aca="false">IF(AND(OR(BU786="L1",BU786="L23"),AF786&gt;0),SUMIFS($AF$7:$AF$1576,$BU$7:$BU$1576,BU786,$AI$7:$AI$1576,"&gt;"&amp;AI786)+SUMIFS($AF$7:$AF$1576,$BU$7:$BU$1576,BU786,$AI$7:$AI$1576,AI786,$BO$7:$BO$1576,"&lt;="&amp;BO786),"")</f>
        <v/>
      </c>
      <c r="AK786" s="65" t="n">
        <f aca="false">IF(AJ786="",0,MAX(0,MIN(1,(IF(BU786="L1",Parameter!$E$5,Parameter!$E$6+Parameter!$E$7)-(AJ786-AF786))/AF786)))</f>
        <v>0</v>
      </c>
      <c r="AL786" s="57" t="n">
        <f aca="false">IF(LEFT(Cockpit!$I$5,1)="A",G786,IF(BW786=1,BX786,IF(LEFT(Cockpit!$I$5,1)="B",AP786,MAX(AP786,G786))))</f>
        <v>175</v>
      </c>
      <c r="AM786" s="57" t="n">
        <f aca="false">IF(BR786=1,0,ROUNDUP(AL786/BQ786,0))</f>
        <v>1</v>
      </c>
      <c r="AN786" s="59" t="n">
        <f aca="false">IF(CD786&gt;0,CD786*MAX(1,AL786/V786),IF(BR786=1,IF(AL786&lt;=0,0,BS786*MAX(1,IF(G786&gt;0,AL786/G786,1))),IF(Q786&gt;0,AM786/Q786,0))/MAX(0.1,N(Parameter!$M$21)))</f>
        <v>0.00505050505050505</v>
      </c>
      <c r="AO786" s="57" t="n">
        <f aca="false">AL786*F786</f>
        <v>7</v>
      </c>
      <c r="AP786" s="57" t="n">
        <f aca="false">ROUNDUP(MAX(I786/IF(BV786&gt;0,BV786,MAX(0.1,N(Cockpit!$I$6))),BY786)/BQ786,0)*BQ786</f>
        <v>175</v>
      </c>
      <c r="AQ786" s="58" t="n">
        <f aca="false">IF(AN786&gt;0,I786/AN786,-1)</f>
        <v>11880</v>
      </c>
      <c r="AR786" s="58" t="n">
        <f aca="false">IF(AND(OR(BU786="L1",BU786="L23"),AN786&gt;0),SUMIFS($AN$7:$AN$1576,$BU$7:$BU$1576,BU786,$AQ$7:$AQ$1576,"&gt;"&amp;AQ786)+SUMIFS($AN$7:$AN$1576,$BU$7:$BU$1576,BU786,$AQ$7:$AQ$1576,AQ786,$BO$7:$BO$1576,"&lt;="&amp;BO786),"")</f>
        <v>6.28300699300699</v>
      </c>
      <c r="AS786" s="65" t="n">
        <f aca="false">IF(AR786="",0,MAX(0,MIN(1,(IF(BU786="L1",Parameter!$E$5,Parameter!$E$6+Parameter!$E$7)-(AR786-AN786))/AN786)))</f>
        <v>1</v>
      </c>
      <c r="AT786" s="57" t="n">
        <f aca="false">IF(LEFT(Cockpit!$O$5,1)="A",G786,IF(BW786=1,BX786,IF(LEFT(Cockpit!$O$5,1)="B",AX786,MAX(AX786,G786))))</f>
        <v>175</v>
      </c>
      <c r="AU786" s="57" t="n">
        <f aca="false">IF(BR786=1,0,ROUNDUP(AT786/BQ786,0))</f>
        <v>1</v>
      </c>
      <c r="AV786" s="59" t="n">
        <f aca="false">IF(CD786&gt;0,CD786*MAX(1,AT786/V786),IF(BR786=1,IF(AT786&lt;=0,0,BS786*MAX(1,IF(G786&gt;0,AT786/G786,1))),IF(Q786&gt;0,AU786/Q786,0))/MAX(0.1,N(Parameter!$M$21)))</f>
        <v>0.00505050505050505</v>
      </c>
      <c r="AW786" s="57" t="n">
        <f aca="false">AT786*F786</f>
        <v>7</v>
      </c>
      <c r="AX786" s="57" t="n">
        <f aca="false">ROUNDUP(MAX(I786/IF(BV786&gt;0,BV786,MAX(0.1,N(Cockpit!$O$6))),BY786)/BQ786,0)*BQ786</f>
        <v>175</v>
      </c>
      <c r="AY786" s="58" t="n">
        <f aca="false">IF(AV786&gt;0,I786/AV786,-1)</f>
        <v>11880</v>
      </c>
      <c r="AZ786" s="58" t="n">
        <f aca="false">IF(AND(OR(BU786="L1",BU786="L23"),AV786&gt;0),SUMIFS($AV$7:$AV$1576,$BU$7:$BU$1576,BU786,$AY$7:$AY$1576,"&gt;"&amp;AY786)+SUMIFS($AV$7:$AV$1576,$BU$7:$BU$1576,BU786,$AY$7:$AY$1576,AY786,$BO$7:$BO$1576,"&lt;="&amp;BO786),"")</f>
        <v>5.83079254079254</v>
      </c>
      <c r="BA786" s="65" t="n">
        <f aca="false">IF(AZ786="",0,MAX(0,MIN(1,(IF(BU786="L1",Parameter!$E$5,Parameter!$E$6+Parameter!$E$7)-(AZ786-AV786))/AV786)))</f>
        <v>1</v>
      </c>
      <c r="BB786" s="55" t="str">
        <f aca="false">IF(AF786&lt;=0,"",IF(BU786="Aussen","Aussenlager",IF(BU786="-","Nicht im Lift",IF(AK786&gt;=1,"Lift",IF(AK786&lt;=0,"Aussenlager","teilweise")))))</f>
        <v/>
      </c>
      <c r="BC786" s="55" t="str">
        <f aca="false">IF(AN786&lt;=0,"",IF(BU786="Aussen","Aussenlager",IF(BU786="-","Nicht im Lift",IF(AS786&gt;=1,"Lift",IF(AS786&lt;=0,"Aussenlager","teilweise")))))</f>
        <v>Lift</v>
      </c>
      <c r="BD786" s="55" t="str">
        <f aca="false">IF(AV786&lt;=0,"",IF(BU786="Aussen","Aussenlager",IF(BU786="-","Nicht im Lift",IF(BA786&gt;=1,"Lift",IF(BA786&lt;=0,"Aussenlager","teilweise")))))</f>
        <v>Lift</v>
      </c>
      <c r="BE786" s="55" t="str">
        <f aca="false">IF(A786="","",IF(BN786=1,"Neu; ","")&amp;IF(AND(BN786=0,BI786&lt;0),"negativer Bestand (Export "&amp;BI786&amp;"); ","")&amp;IF(I786&lt;=0,"Kein Verbrauch; ","")&amp;IF(CD786&gt;0,"Lift "&amp;U786&amp;" lt. Liftbericht (Fach "&amp;V786&amp;" Stk); ",IF(BR786=1,"Lose – Fläche geschätzt; ",""))&amp;IF(G786&gt;AP786,"Überbestand "&amp;ROUND(G786-AP786,0)&amp;" Stk / CHF "&amp;ROUND((G786-AP786)*F786,0)&amp;"; ","")&amp;IF(AND(BW786=1,BX786&lt;BY786),"MAX &lt; MB+LG; ","")&amp;IF(AND(CC786&gt;0,CB786*10&gt;CC786),"zu hoch für Tablar; ","")&amp;IF(AND(BN786=0,OR(BW786=1,Y786&lt;&gt;"",S786&lt;&gt;"",T786&lt;&gt;"",Z786&lt;&gt;"")),"manuell übersteuert; ","")&amp;IF(AND(BR786=0,Q786=0),"Gebinde unbekannt / Stellmass fehlt; ","")&amp;IF(AND(BR786=0,N(T786)&lt;=0,N(P786)&lt;=0),"Menge pro Gebinde fehlt (Ist = 1 Gebinde); ","")&amp;BM786)</f>
        <v>negativer Bestand (Export -71); </v>
      </c>
      <c r="BF786" s="55"/>
      <c r="BG786" s="55"/>
      <c r="BH786" s="62"/>
      <c r="BI786" s="57" t="n">
        <v>-71</v>
      </c>
      <c r="BJ786" s="57" t="n">
        <v>92</v>
      </c>
      <c r="BK786" s="56" t="n">
        <v>-2.84</v>
      </c>
      <c r="BL786" s="57" t="n">
        <v>60</v>
      </c>
      <c r="BM786" s="55"/>
      <c r="BN786" s="60" t="n">
        <v>0</v>
      </c>
      <c r="BO786" s="60" t="n">
        <v>786</v>
      </c>
      <c r="BP786" s="55" t="str">
        <f aca="false">IF(S786&lt;&gt;"",UPPER(TRIM(S786)),IF(O786="","LOSE",O786))</f>
        <v>S22</v>
      </c>
      <c r="BQ786" s="57" t="n">
        <f aca="false">IF(BP786="LOSE",1,IF(N(T786)&gt;0,T786,IF(N(P786)&gt;0,P786,MAX(1,G786))))</f>
        <v>175</v>
      </c>
      <c r="BR786" s="60" t="n">
        <f aca="false">IF(BP786="LOSE",1,0)</f>
        <v>0</v>
      </c>
      <c r="BS786" s="59" t="n">
        <f aca="false">IF(BR786=0,0,IF(N(R786)&gt;0,R786,IFERROR(VLOOKUP(D786,Parameter!$A$35:$C$64,3,0)+0,0)))</f>
        <v>0</v>
      </c>
      <c r="BT786" s="55" t="n">
        <f aca="false">IF(Y786&lt;&gt;"",Y786,X786)</f>
        <v>3</v>
      </c>
      <c r="BU786" s="55" t="str">
        <f aca="false">IF(BT786=1,"L1",IF(OR(BT786=2,BT786=3),"L23",IF(BT786="Aussen","Aussen","-")))</f>
        <v>L23</v>
      </c>
      <c r="BV786" s="66" t="n">
        <f aca="false">IF(N(Z786)&gt;0,Z786,0)</f>
        <v>0</v>
      </c>
      <c r="BW786" s="60" t="n">
        <f aca="false">IF(ISNUMBER(AC786),1,0)</f>
        <v>0</v>
      </c>
      <c r="BX786" s="57" t="n">
        <f aca="false">N(AC786)</f>
        <v>0</v>
      </c>
      <c r="BY786" s="57" t="n">
        <f aca="false">N(L786)+N(M786)</f>
        <v>63</v>
      </c>
      <c r="BZ786" s="57" t="n">
        <f aca="false">ROUNDUP(G786/BQ786,0)</f>
        <v>0</v>
      </c>
      <c r="CA786" s="57" t="n">
        <f aca="false">ROUNDUP(BX786/BQ786,0)</f>
        <v>0</v>
      </c>
      <c r="CB786" s="60" t="n">
        <f aca="false">IF(BR786=1,0,IFERROR(VLOOKUP(BP786,'Gebinde-Kategorie'!$A$5:$M$45,5,0)+0,0))</f>
        <v>8</v>
      </c>
      <c r="CC786" s="60" t="n">
        <f aca="false">IFERROR(IF(OR(BT786=1,BT786=2,BT786=3),N(INDEX(Parameter!$I$5:$I$7,BT786)),0),0)</f>
        <v>0</v>
      </c>
      <c r="CD786" s="59" t="n">
        <f aca="false">IF(AND(Parameter!$B$21="Ja",ISNUMBER(U786),N(V786)&gt;0),IFERROR(N(INDEX(Parameter!$L$5:$L$7,U786))*INDEX(Parameter!$E$5:$E$7,U786)*V786/SUMIFS($V$7:$V$1576,$U$7:$U$1576,U786),0),0)</f>
        <v>0</v>
      </c>
    </row>
    <row r="787" customFormat="false" ht="15" hidden="false" customHeight="false" outlineLevel="0" collapsed="false">
      <c r="A787" s="55" t="s">
        <v>1521</v>
      </c>
      <c r="B787" s="55" t="s">
        <v>397</v>
      </c>
      <c r="C787" s="55" t="s">
        <v>160</v>
      </c>
      <c r="D787" s="55" t="s">
        <v>178</v>
      </c>
      <c r="E787" s="55" t="s">
        <v>210</v>
      </c>
      <c r="F787" s="56" t="n">
        <v>0.01</v>
      </c>
      <c r="G787" s="57" t="n">
        <f aca="false">MAX(0,IF(AND(Parameter!$B$21="Ja",ISNUMBER(W787)),W787,IF(Parameter!$B$20="Jahresanfang 2025 + Export",BJ787+BI787,BI787)))</f>
        <v>0</v>
      </c>
      <c r="H787" s="57" t="n">
        <f aca="false">G787*F787</f>
        <v>0</v>
      </c>
      <c r="I787" s="57" t="n">
        <f aca="false">BL787*Parameter!$B$18</f>
        <v>642</v>
      </c>
      <c r="J787" s="58" t="n">
        <v>1057.5</v>
      </c>
      <c r="K787" s="59" t="n">
        <v>0.60709219858156</v>
      </c>
      <c r="L787" s="57" t="n">
        <v>38</v>
      </c>
      <c r="M787" s="57" t="n">
        <v>660</v>
      </c>
      <c r="N787" s="60" t="n">
        <v>21</v>
      </c>
      <c r="O787" s="55" t="s">
        <v>416</v>
      </c>
      <c r="P787" s="57" t="n">
        <v>3002</v>
      </c>
      <c r="Q787" s="60" t="n">
        <f aca="false">IF(BR787=1,0,IFERROR(VLOOKUP(BP787,'Gebinde-Kategorie'!$A$5:$M$45,13,0)+0,0))</f>
        <v>198</v>
      </c>
      <c r="R787" s="61"/>
      <c r="S787" s="62"/>
      <c r="T787" s="62"/>
      <c r="U787" s="55"/>
      <c r="V787" s="57"/>
      <c r="W787" s="57"/>
      <c r="X787" s="55" t="n">
        <f aca="false">IF(A787="","",IF(AND(Parameter!$B$21="Ja",ISNUMBER(U787)),U787,IF(IFERROR(VLOOKUP(D787,Parameter!$A$35:$C$64,2,0),"Nein")="2+3",IF(ISNUMBER(SEARCH("grosser Artikel",BM787)),2,IFERROR(VLOOKUP(BP787,Parameter!$F$35:$G$64,2,0),2)),IF(OR(IFERROR(VLOOKUP(D787,Parameter!$A$35:$C$64,2,0),"Nein")="Nein",IFERROR(VLOOKUP(D787,Parameter!$A$35:$C$64,2,0),"Nein")=""),"-",VLOOKUP(D787,Parameter!$A$35:$C$64,2,0)))))</f>
        <v>3</v>
      </c>
      <c r="Y787" s="62"/>
      <c r="Z787" s="63"/>
      <c r="AA787" s="57" t="n">
        <f aca="false">AP787</f>
        <v>3002</v>
      </c>
      <c r="AB787" s="57" t="n">
        <f aca="false">MAX(AP787,G787)</f>
        <v>3002</v>
      </c>
      <c r="AC787" s="64"/>
      <c r="AD787" s="57" t="n">
        <f aca="false">IF(LEFT(Cockpit!$C$5,1)="A",G787,IF(BW787=1,BX787,IF(LEFT(Cockpit!$C$5,1)="B",AH787,MAX(AH787,G787))))</f>
        <v>0</v>
      </c>
      <c r="AE787" s="57" t="n">
        <f aca="false">IF(BR787=1,0,ROUNDUP(AD787/BQ787,0))</f>
        <v>0</v>
      </c>
      <c r="AF787" s="59" t="n">
        <f aca="false">IF(CD787&gt;0,CD787*MAX(1,AD787/V787),IF(BR787=1,IF(AD787&lt;=0,0,BS787*MAX(1,IF(G787&gt;0,AD787/G787,1))),IF(Q787&gt;0,AE787/Q787,0))/MAX(0.1,N(Parameter!$M$21)))</f>
        <v>0</v>
      </c>
      <c r="AG787" s="57" t="n">
        <f aca="false">AD787*F787</f>
        <v>0</v>
      </c>
      <c r="AH787" s="57" t="n">
        <f aca="false">ROUNDUP(MAX(I787/IF(BV787&gt;0,BV787,MAX(0.1,N(Cockpit!$C$6))),BY787)/BQ787,0)*BQ787</f>
        <v>3002</v>
      </c>
      <c r="AI787" s="58" t="n">
        <f aca="false">IF(AF787&gt;0,I787/AF787,-1)</f>
        <v>-1</v>
      </c>
      <c r="AJ787" s="58" t="str">
        <f aca="false">IF(AND(OR(BU787="L1",BU787="L23"),AF787&gt;0),SUMIFS($AF$7:$AF$1576,$BU$7:$BU$1576,BU787,$AI$7:$AI$1576,"&gt;"&amp;AI787)+SUMIFS($AF$7:$AF$1576,$BU$7:$BU$1576,BU787,$AI$7:$AI$1576,AI787,$BO$7:$BO$1576,"&lt;="&amp;BO787),"")</f>
        <v/>
      </c>
      <c r="AK787" s="65" t="n">
        <f aca="false">IF(AJ787="",0,MAX(0,MIN(1,(IF(BU787="L1",Parameter!$E$5,Parameter!$E$6+Parameter!$E$7)-(AJ787-AF787))/AF787)))</f>
        <v>0</v>
      </c>
      <c r="AL787" s="57" t="n">
        <f aca="false">IF(LEFT(Cockpit!$I$5,1)="A",G787,IF(BW787=1,BX787,IF(LEFT(Cockpit!$I$5,1)="B",AP787,MAX(AP787,G787))))</f>
        <v>3002</v>
      </c>
      <c r="AM787" s="57" t="n">
        <f aca="false">IF(BR787=1,0,ROUNDUP(AL787/BQ787,0))</f>
        <v>1</v>
      </c>
      <c r="AN787" s="59" t="n">
        <f aca="false">IF(CD787&gt;0,CD787*MAX(1,AL787/V787),IF(BR787=1,IF(AL787&lt;=0,0,BS787*MAX(1,IF(G787&gt;0,AL787/G787,1))),IF(Q787&gt;0,AM787/Q787,0))/MAX(0.1,N(Parameter!$M$21)))</f>
        <v>0.00505050505050505</v>
      </c>
      <c r="AO787" s="57" t="n">
        <f aca="false">AL787*F787</f>
        <v>30.02</v>
      </c>
      <c r="AP787" s="57" t="n">
        <f aca="false">ROUNDUP(MAX(I787/IF(BV787&gt;0,BV787,MAX(0.1,N(Cockpit!$I$6))),BY787)/BQ787,0)*BQ787</f>
        <v>3002</v>
      </c>
      <c r="AQ787" s="58" t="n">
        <f aca="false">IF(AN787&gt;0,I787/AN787,-1)</f>
        <v>127116</v>
      </c>
      <c r="AR787" s="58" t="n">
        <f aca="false">IF(AND(OR(BU787="L1",BU787="L23"),AN787&gt;0),SUMIFS($AN$7:$AN$1576,$BU$7:$BU$1576,BU787,$AQ$7:$AQ$1576,"&gt;"&amp;AQ787)+SUMIFS($AN$7:$AN$1576,$BU$7:$BU$1576,BU787,$AQ$7:$AQ$1576,AQ787,$BO$7:$BO$1576,"&lt;="&amp;BO787),"")</f>
        <v>0.191201310766528</v>
      </c>
      <c r="AS787" s="65" t="n">
        <f aca="false">IF(AR787="",0,MAX(0,MIN(1,(IF(BU787="L1",Parameter!$E$5,Parameter!$E$6+Parameter!$E$7)-(AR787-AN787))/AN787)))</f>
        <v>1</v>
      </c>
      <c r="AT787" s="57" t="n">
        <f aca="false">IF(LEFT(Cockpit!$O$5,1)="A",G787,IF(BW787=1,BX787,IF(LEFT(Cockpit!$O$5,1)="B",AX787,MAX(AX787,G787))))</f>
        <v>3002</v>
      </c>
      <c r="AU787" s="57" t="n">
        <f aca="false">IF(BR787=1,0,ROUNDUP(AT787/BQ787,0))</f>
        <v>1</v>
      </c>
      <c r="AV787" s="59" t="n">
        <f aca="false">IF(CD787&gt;0,CD787*MAX(1,AT787/V787),IF(BR787=1,IF(AT787&lt;=0,0,BS787*MAX(1,IF(G787&gt;0,AT787/G787,1))),IF(Q787&gt;0,AU787/Q787,0))/MAX(0.1,N(Parameter!$M$21)))</f>
        <v>0.00505050505050505</v>
      </c>
      <c r="AW787" s="57" t="n">
        <f aca="false">AT787*F787</f>
        <v>30.02</v>
      </c>
      <c r="AX787" s="57" t="n">
        <f aca="false">ROUNDUP(MAX(I787/IF(BV787&gt;0,BV787,MAX(0.1,N(Cockpit!$O$6))),BY787)/BQ787,0)*BQ787</f>
        <v>3002</v>
      </c>
      <c r="AY787" s="58" t="n">
        <f aca="false">IF(AV787&gt;0,I787/AV787,-1)</f>
        <v>127116</v>
      </c>
      <c r="AZ787" s="58" t="n">
        <f aca="false">IF(AND(OR(BU787="L1",BU787="L23"),AV787&gt;0),SUMIFS($AV$7:$AV$1576,$BU$7:$BU$1576,BU787,$AY$7:$AY$1576,"&gt;"&amp;AY787)+SUMIFS($AV$7:$AV$1576,$BU$7:$BU$1576,BU787,$AY$7:$AY$1576,AY787,$BO$7:$BO$1576,"&lt;="&amp;BO787),"")</f>
        <v>0.191201310766528</v>
      </c>
      <c r="BA787" s="65" t="n">
        <f aca="false">IF(AZ787="",0,MAX(0,MIN(1,(IF(BU787="L1",Parameter!$E$5,Parameter!$E$6+Parameter!$E$7)-(AZ787-AV787))/AV787)))</f>
        <v>1</v>
      </c>
      <c r="BB787" s="55" t="str">
        <f aca="false">IF(AF787&lt;=0,"",IF(BU787="Aussen","Aussenlager",IF(BU787="-","Nicht im Lift",IF(AK787&gt;=1,"Lift",IF(AK787&lt;=0,"Aussenlager","teilweise")))))</f>
        <v/>
      </c>
      <c r="BC787" s="55" t="str">
        <f aca="false">IF(AN787&lt;=0,"",IF(BU787="Aussen","Aussenlager",IF(BU787="-","Nicht im Lift",IF(AS787&gt;=1,"Lift",IF(AS787&lt;=0,"Aussenlager","teilweise")))))</f>
        <v>Lift</v>
      </c>
      <c r="BD787" s="55" t="str">
        <f aca="false">IF(AV787&lt;=0,"",IF(BU787="Aussen","Aussenlager",IF(BU787="-","Nicht im Lift",IF(BA787&gt;=1,"Lift",IF(BA787&lt;=0,"Aussenlager","teilweise")))))</f>
        <v>Lift</v>
      </c>
      <c r="BE787" s="55" t="str">
        <f aca="false">IF(A787="","",IF(BN787=1,"Neu; ","")&amp;IF(AND(BN787=0,BI787&lt;0),"negativer Bestand (Export "&amp;BI787&amp;"); ","")&amp;IF(I787&lt;=0,"Kein Verbrauch; ","")&amp;IF(CD787&gt;0,"Lift "&amp;U787&amp;" lt. Liftbericht (Fach "&amp;V787&amp;" Stk); ",IF(BR787=1,"Lose – Fläche geschätzt; ",""))&amp;IF(G787&gt;AP787,"Überbestand "&amp;ROUND(G787-AP787,0)&amp;" Stk / CHF "&amp;ROUND((G787-AP787)*F787,0)&amp;"; ","")&amp;IF(AND(BW787=1,BX787&lt;BY787),"MAX &lt; MB+LG; ","")&amp;IF(AND(CC787&gt;0,CB787*10&gt;CC787),"zu hoch für Tablar; ","")&amp;IF(AND(BN787=0,OR(BW787=1,Y787&lt;&gt;"",S787&lt;&gt;"",T787&lt;&gt;"",Z787&lt;&gt;"")),"manuell übersteuert; ","")&amp;IF(AND(BR787=0,Q787=0),"Gebinde unbekannt / Stellmass fehlt; ","")&amp;IF(AND(BR787=0,N(T787)&lt;=0,N(P787)&lt;=0),"Menge pro Gebinde fehlt (Ist = 1 Gebinde); ","")&amp;BM787)</f>
        <v>negativer Bestand (Export -287); Braucht es diesen Artikel ?</v>
      </c>
      <c r="BF787" s="55"/>
      <c r="BG787" s="55"/>
      <c r="BH787" s="62"/>
      <c r="BI787" s="57" t="n">
        <v>-287</v>
      </c>
      <c r="BJ787" s="57" t="n">
        <v>1360</v>
      </c>
      <c r="BK787" s="56" t="n">
        <v>-2.87</v>
      </c>
      <c r="BL787" s="57" t="n">
        <v>642</v>
      </c>
      <c r="BM787" s="55" t="s">
        <v>1522</v>
      </c>
      <c r="BN787" s="60" t="n">
        <v>0</v>
      </c>
      <c r="BO787" s="60" t="n">
        <v>787</v>
      </c>
      <c r="BP787" s="55" t="str">
        <f aca="false">IF(S787&lt;&gt;"",UPPER(TRIM(S787)),IF(O787="","LOSE",O787))</f>
        <v>S22</v>
      </c>
      <c r="BQ787" s="57" t="n">
        <f aca="false">IF(BP787="LOSE",1,IF(N(T787)&gt;0,T787,IF(N(P787)&gt;0,P787,MAX(1,G787))))</f>
        <v>3002</v>
      </c>
      <c r="BR787" s="60" t="n">
        <f aca="false">IF(BP787="LOSE",1,0)</f>
        <v>0</v>
      </c>
      <c r="BS787" s="59" t="n">
        <f aca="false">IF(BR787=0,0,IF(N(R787)&gt;0,R787,IFERROR(VLOOKUP(D787,Parameter!$A$35:$C$64,3,0)+0,0)))</f>
        <v>0</v>
      </c>
      <c r="BT787" s="55" t="n">
        <f aca="false">IF(Y787&lt;&gt;"",Y787,X787)</f>
        <v>3</v>
      </c>
      <c r="BU787" s="55" t="str">
        <f aca="false">IF(BT787=1,"L1",IF(OR(BT787=2,BT787=3),"L23",IF(BT787="Aussen","Aussen","-")))</f>
        <v>L23</v>
      </c>
      <c r="BV787" s="66" t="n">
        <f aca="false">IF(N(Z787)&gt;0,Z787,0)</f>
        <v>0</v>
      </c>
      <c r="BW787" s="60" t="n">
        <f aca="false">IF(ISNUMBER(AC787),1,0)</f>
        <v>0</v>
      </c>
      <c r="BX787" s="57" t="n">
        <f aca="false">N(AC787)</f>
        <v>0</v>
      </c>
      <c r="BY787" s="57" t="n">
        <f aca="false">N(L787)+N(M787)</f>
        <v>698</v>
      </c>
      <c r="BZ787" s="57" t="n">
        <f aca="false">ROUNDUP(G787/BQ787,0)</f>
        <v>0</v>
      </c>
      <c r="CA787" s="57" t="n">
        <f aca="false">ROUNDUP(BX787/BQ787,0)</f>
        <v>0</v>
      </c>
      <c r="CB787" s="60" t="n">
        <f aca="false">IF(BR787=1,0,IFERROR(VLOOKUP(BP787,'Gebinde-Kategorie'!$A$5:$M$45,5,0)+0,0))</f>
        <v>8</v>
      </c>
      <c r="CC787" s="60" t="n">
        <f aca="false">IFERROR(IF(OR(BT787=1,BT787=2,BT787=3),N(INDEX(Parameter!$I$5:$I$7,BT787)),0),0)</f>
        <v>0</v>
      </c>
      <c r="CD787" s="59" t="n">
        <f aca="false">IF(AND(Parameter!$B$21="Ja",ISNUMBER(U787),N(V787)&gt;0),IFERROR(N(INDEX(Parameter!$L$5:$L$7,U787))*INDEX(Parameter!$E$5:$E$7,U787)*V787/SUMIFS($V$7:$V$1576,$U$7:$U$1576,U787),0),0)</f>
        <v>0</v>
      </c>
    </row>
    <row r="788" customFormat="false" ht="15" hidden="false" customHeight="false" outlineLevel="0" collapsed="false">
      <c r="A788" s="55" t="s">
        <v>1523</v>
      </c>
      <c r="B788" s="55" t="s">
        <v>1524</v>
      </c>
      <c r="C788" s="55" t="s">
        <v>160</v>
      </c>
      <c r="D788" s="55" t="s">
        <v>178</v>
      </c>
      <c r="E788" s="55" t="s">
        <v>210</v>
      </c>
      <c r="F788" s="56" t="n">
        <v>1.5</v>
      </c>
      <c r="G788" s="57" t="n">
        <f aca="false">MAX(0,IF(AND(Parameter!$B$21="Ja",ISNUMBER(W788)),W788,IF(Parameter!$B$20="Jahresanfang 2025 + Export",BJ788+BI788,BI788)))</f>
        <v>0</v>
      </c>
      <c r="H788" s="57" t="n">
        <f aca="false">G788*F788</f>
        <v>0</v>
      </c>
      <c r="I788" s="57" t="n">
        <f aca="false">BL788*Parameter!$B$18</f>
        <v>0</v>
      </c>
      <c r="J788" s="58" t="n">
        <v>57</v>
      </c>
      <c r="K788" s="59" t="n">
        <v>0</v>
      </c>
      <c r="L788" s="57" t="n">
        <v>0</v>
      </c>
      <c r="M788" s="57" t="n">
        <v>1</v>
      </c>
      <c r="N788" s="60" t="n">
        <v>42</v>
      </c>
      <c r="O788" s="55" t="s">
        <v>391</v>
      </c>
      <c r="P788" s="57" t="n">
        <v>100</v>
      </c>
      <c r="Q788" s="60" t="n">
        <f aca="false">IF(BR788=1,0,IFERROR(VLOOKUP(BP788,'Gebinde-Kategorie'!$A$5:$M$45,13,0)+0,0))</f>
        <v>414</v>
      </c>
      <c r="R788" s="61"/>
      <c r="S788" s="62"/>
      <c r="T788" s="62"/>
      <c r="U788" s="55"/>
      <c r="V788" s="57"/>
      <c r="W788" s="57"/>
      <c r="X788" s="55" t="n">
        <f aca="false">IF(A788="","",IF(AND(Parameter!$B$21="Ja",ISNUMBER(U788)),U788,IF(IFERROR(VLOOKUP(D788,Parameter!$A$35:$C$64,2,0),"Nein")="2+3",IF(ISNUMBER(SEARCH("grosser Artikel",BM788)),2,IFERROR(VLOOKUP(BP788,Parameter!$F$35:$G$64,2,0),2)),IF(OR(IFERROR(VLOOKUP(D788,Parameter!$A$35:$C$64,2,0),"Nein")="Nein",IFERROR(VLOOKUP(D788,Parameter!$A$35:$C$64,2,0),"Nein")=""),"-",VLOOKUP(D788,Parameter!$A$35:$C$64,2,0)))))</f>
        <v>3</v>
      </c>
      <c r="Y788" s="62"/>
      <c r="Z788" s="63"/>
      <c r="AA788" s="57" t="n">
        <f aca="false">AP788</f>
        <v>100</v>
      </c>
      <c r="AB788" s="57" t="n">
        <f aca="false">MAX(AP788,G788)</f>
        <v>100</v>
      </c>
      <c r="AC788" s="64"/>
      <c r="AD788" s="57" t="n">
        <f aca="false">IF(LEFT(Cockpit!$C$5,1)="A",G788,IF(BW788=1,BX788,IF(LEFT(Cockpit!$C$5,1)="B",AH788,MAX(AH788,G788))))</f>
        <v>0</v>
      </c>
      <c r="AE788" s="57" t="n">
        <f aca="false">IF(BR788=1,0,ROUNDUP(AD788/BQ788,0))</f>
        <v>0</v>
      </c>
      <c r="AF788" s="59" t="n">
        <f aca="false">IF(CD788&gt;0,CD788*MAX(1,AD788/V788),IF(BR788=1,IF(AD788&lt;=0,0,BS788*MAX(1,IF(G788&gt;0,AD788/G788,1))),IF(Q788&gt;0,AE788/Q788,0))/MAX(0.1,N(Parameter!$M$21)))</f>
        <v>0</v>
      </c>
      <c r="AG788" s="57" t="n">
        <f aca="false">AD788*F788</f>
        <v>0</v>
      </c>
      <c r="AH788" s="57" t="n">
        <f aca="false">ROUNDUP(MAX(I788/IF(BV788&gt;0,BV788,MAX(0.1,N(Cockpit!$C$6))),BY788)/BQ788,0)*BQ788</f>
        <v>100</v>
      </c>
      <c r="AI788" s="58" t="n">
        <f aca="false">IF(AF788&gt;0,I788/AF788,-1)</f>
        <v>-1</v>
      </c>
      <c r="AJ788" s="58" t="str">
        <f aca="false">IF(AND(OR(BU788="L1",BU788="L23"),AF788&gt;0),SUMIFS($AF$7:$AF$1576,$BU$7:$BU$1576,BU788,$AI$7:$AI$1576,"&gt;"&amp;AI788)+SUMIFS($AF$7:$AF$1576,$BU$7:$BU$1576,BU788,$AI$7:$AI$1576,AI788,$BO$7:$BO$1576,"&lt;="&amp;BO788),"")</f>
        <v/>
      </c>
      <c r="AK788" s="65" t="n">
        <f aca="false">IF(AJ788="",0,MAX(0,MIN(1,(IF(BU788="L1",Parameter!$E$5,Parameter!$E$6+Parameter!$E$7)-(AJ788-AF788))/AF788)))</f>
        <v>0</v>
      </c>
      <c r="AL788" s="57" t="n">
        <f aca="false">IF(LEFT(Cockpit!$I$5,1)="A",G788,IF(BW788=1,BX788,IF(LEFT(Cockpit!$I$5,1)="B",AP788,MAX(AP788,G788))))</f>
        <v>100</v>
      </c>
      <c r="AM788" s="57" t="n">
        <f aca="false">IF(BR788=1,0,ROUNDUP(AL788/BQ788,0))</f>
        <v>1</v>
      </c>
      <c r="AN788" s="59" t="n">
        <f aca="false">IF(CD788&gt;0,CD788*MAX(1,AL788/V788),IF(BR788=1,IF(AL788&lt;=0,0,BS788*MAX(1,IF(G788&gt;0,AL788/G788,1))),IF(Q788&gt;0,AM788/Q788,0))/MAX(0.1,N(Parameter!$M$21)))</f>
        <v>0.00241545893719807</v>
      </c>
      <c r="AO788" s="57" t="n">
        <f aca="false">AL788*F788</f>
        <v>150</v>
      </c>
      <c r="AP788" s="57" t="n">
        <f aca="false">ROUNDUP(MAX(I788/IF(BV788&gt;0,BV788,MAX(0.1,N(Cockpit!$I$6))),BY788)/BQ788,0)*BQ788</f>
        <v>100</v>
      </c>
      <c r="AQ788" s="58" t="n">
        <f aca="false">IF(AN788&gt;0,I788/AN788,-1)</f>
        <v>0</v>
      </c>
      <c r="AR788" s="58" t="n">
        <f aca="false">IF(AND(OR(BU788="L1",BU788="L23"),AN788&gt;0),SUMIFS($AN$7:$AN$1576,$BU$7:$BU$1576,BU788,$AQ$7:$AQ$1576,"&gt;"&amp;AQ788)+SUMIFS($AN$7:$AN$1576,$BU$7:$BU$1576,BU788,$AQ$7:$AQ$1576,AQ788,$BO$7:$BO$1576,"&lt;="&amp;BO788),"")</f>
        <v>130.6718047412</v>
      </c>
      <c r="AS788" s="65" t="n">
        <f aca="false">IF(AR788="",0,MAX(0,MIN(1,(IF(BU788="L1",Parameter!$E$5,Parameter!$E$6+Parameter!$E$7)-(AR788-AN788))/AN788)))</f>
        <v>0</v>
      </c>
      <c r="AT788" s="57" t="n">
        <f aca="false">IF(LEFT(Cockpit!$O$5,1)="A",G788,IF(BW788=1,BX788,IF(LEFT(Cockpit!$O$5,1)="B",AX788,MAX(AX788,G788))))</f>
        <v>100</v>
      </c>
      <c r="AU788" s="57" t="n">
        <f aca="false">IF(BR788=1,0,ROUNDUP(AT788/BQ788,0))</f>
        <v>1</v>
      </c>
      <c r="AV788" s="59" t="n">
        <f aca="false">IF(CD788&gt;0,CD788*MAX(1,AT788/V788),IF(BR788=1,IF(AT788&lt;=0,0,BS788*MAX(1,IF(G788&gt;0,AT788/G788,1))),IF(Q788&gt;0,AU788/Q788,0))/MAX(0.1,N(Parameter!$M$21)))</f>
        <v>0.00241545893719807</v>
      </c>
      <c r="AW788" s="57" t="n">
        <f aca="false">AT788*F788</f>
        <v>150</v>
      </c>
      <c r="AX788" s="57" t="n">
        <f aca="false">ROUNDUP(MAX(I788/IF(BV788&gt;0,BV788,MAX(0.1,N(Cockpit!$O$6))),BY788)/BQ788,0)*BQ788</f>
        <v>100</v>
      </c>
      <c r="AY788" s="58" t="n">
        <f aca="false">IF(AV788&gt;0,I788/AV788,-1)</f>
        <v>0</v>
      </c>
      <c r="AZ788" s="58" t="n">
        <f aca="false">IF(AND(OR(BU788="L1",BU788="L23"),AV788&gt;0),SUMIFS($AV$7:$AV$1576,$BU$7:$BU$1576,BU788,$AY$7:$AY$1576,"&gt;"&amp;AY788)+SUMIFS($AV$7:$AV$1576,$BU$7:$BU$1576,BU788,$AY$7:$AY$1576,AY788,$BO$7:$BO$1576,"&lt;="&amp;BO788),"")</f>
        <v>120.73135519075</v>
      </c>
      <c r="BA788" s="65" t="n">
        <f aca="false">IF(AZ788="",0,MAX(0,MIN(1,(IF(BU788="L1",Parameter!$E$5,Parameter!$E$6+Parameter!$E$7)-(AZ788-AV788))/AV788)))</f>
        <v>0</v>
      </c>
      <c r="BB788" s="55" t="str">
        <f aca="false">IF(AF788&lt;=0,"",IF(BU788="Aussen","Aussenlager",IF(BU788="-","Nicht im Lift",IF(AK788&gt;=1,"Lift",IF(AK788&lt;=0,"Aussenlager","teilweise")))))</f>
        <v/>
      </c>
      <c r="BC788" s="55" t="str">
        <f aca="false">IF(AN788&lt;=0,"",IF(BU788="Aussen","Aussenlager",IF(BU788="-","Nicht im Lift",IF(AS788&gt;=1,"Lift",IF(AS788&lt;=0,"Aussenlager","teilweise")))))</f>
        <v>Aussenlager</v>
      </c>
      <c r="BD788" s="55" t="str">
        <f aca="false">IF(AV788&lt;=0,"",IF(BU788="Aussen","Aussenlager",IF(BU788="-","Nicht im Lift",IF(BA788&gt;=1,"Lift",IF(BA788&lt;=0,"Aussenlager","teilweise")))))</f>
        <v>Aussenlager</v>
      </c>
      <c r="BE788" s="55" t="str">
        <f aca="false">IF(A788="","",IF(BN788=1,"Neu; ","")&amp;IF(AND(BN788=0,BI788&lt;0),"negativer Bestand (Export "&amp;BI788&amp;"); ","")&amp;IF(I788&lt;=0,"Kein Verbrauch; ","")&amp;IF(CD788&gt;0,"Lift "&amp;U788&amp;" lt. Liftbericht (Fach "&amp;V788&amp;" Stk); ",IF(BR788=1,"Lose – Fläche geschätzt; ",""))&amp;IF(G788&gt;AP788,"Überbestand "&amp;ROUND(G788-AP788,0)&amp;" Stk / CHF "&amp;ROUND((G788-AP788)*F788,0)&amp;"; ","")&amp;IF(AND(BW788=1,BX788&lt;BY788),"MAX &lt; MB+LG; ","")&amp;IF(AND(CC788&gt;0,CB788*10&gt;CC788),"zu hoch für Tablar; ","")&amp;IF(AND(BN788=0,OR(BW788=1,Y788&lt;&gt;"",S788&lt;&gt;"",T788&lt;&gt;"",Z788&lt;&gt;"")),"manuell übersteuert; ","")&amp;IF(AND(BR788=0,Q788=0),"Gebinde unbekannt / Stellmass fehlt; ","")&amp;IF(AND(BR788=0,N(T788)&lt;=0,N(P788)&lt;=0),"Menge pro Gebinde fehlt (Ist = 1 Gebinde); ","")&amp;BM788)</f>
        <v>negativer Bestand (Export -2); Kein Verbrauch; </v>
      </c>
      <c r="BF788" s="55"/>
      <c r="BG788" s="55"/>
      <c r="BH788" s="62"/>
      <c r="BI788" s="57" t="n">
        <v>-2</v>
      </c>
      <c r="BJ788" s="57" t="n">
        <v>58</v>
      </c>
      <c r="BK788" s="56" t="n">
        <v>-3</v>
      </c>
      <c r="BL788" s="57" t="n">
        <v>0</v>
      </c>
      <c r="BM788" s="55"/>
      <c r="BN788" s="60" t="n">
        <v>0</v>
      </c>
      <c r="BO788" s="60" t="n">
        <v>788</v>
      </c>
      <c r="BP788" s="55" t="str">
        <f aca="false">IF(S788&lt;&gt;"",UPPER(TRIM(S788)),IF(O788="","LOSE",O788))</f>
        <v>S21</v>
      </c>
      <c r="BQ788" s="57" t="n">
        <f aca="false">IF(BP788="LOSE",1,IF(N(T788)&gt;0,T788,IF(N(P788)&gt;0,P788,MAX(1,G788))))</f>
        <v>100</v>
      </c>
      <c r="BR788" s="60" t="n">
        <f aca="false">IF(BP788="LOSE",1,0)</f>
        <v>0</v>
      </c>
      <c r="BS788" s="59" t="n">
        <f aca="false">IF(BR788=0,0,IF(N(R788)&gt;0,R788,IFERROR(VLOOKUP(D788,Parameter!$A$35:$C$64,3,0)+0,0)))</f>
        <v>0</v>
      </c>
      <c r="BT788" s="55" t="n">
        <f aca="false">IF(Y788&lt;&gt;"",Y788,X788)</f>
        <v>3</v>
      </c>
      <c r="BU788" s="55" t="str">
        <f aca="false">IF(BT788=1,"L1",IF(OR(BT788=2,BT788=3),"L23",IF(BT788="Aussen","Aussen","-")))</f>
        <v>L23</v>
      </c>
      <c r="BV788" s="66" t="n">
        <f aca="false">IF(N(Z788)&gt;0,Z788,0)</f>
        <v>0</v>
      </c>
      <c r="BW788" s="60" t="n">
        <f aca="false">IF(ISNUMBER(AC788),1,0)</f>
        <v>0</v>
      </c>
      <c r="BX788" s="57" t="n">
        <f aca="false">N(AC788)</f>
        <v>0</v>
      </c>
      <c r="BY788" s="57" t="n">
        <f aca="false">N(L788)+N(M788)</f>
        <v>1</v>
      </c>
      <c r="BZ788" s="57" t="n">
        <f aca="false">ROUNDUP(G788/BQ788,0)</f>
        <v>0</v>
      </c>
      <c r="CA788" s="57" t="n">
        <f aca="false">ROUNDUP(BX788/BQ788,0)</f>
        <v>0</v>
      </c>
      <c r="CB788" s="60" t="n">
        <f aca="false">IF(BR788=1,0,IFERROR(VLOOKUP(BP788,'Gebinde-Kategorie'!$A$5:$M$45,5,0)+0,0))</f>
        <v>8</v>
      </c>
      <c r="CC788" s="60" t="n">
        <f aca="false">IFERROR(IF(OR(BT788=1,BT788=2,BT788=3),N(INDEX(Parameter!$I$5:$I$7,BT788)),0),0)</f>
        <v>0</v>
      </c>
      <c r="CD788" s="59" t="n">
        <f aca="false">IF(AND(Parameter!$B$21="Ja",ISNUMBER(U788),N(V788)&gt;0),IFERROR(N(INDEX(Parameter!$L$5:$L$7,U788))*INDEX(Parameter!$E$5:$E$7,U788)*V788/SUMIFS($V$7:$V$1576,$U$7:$U$1576,U788),0),0)</f>
        <v>0</v>
      </c>
    </row>
    <row r="789" customFormat="false" ht="15" hidden="false" customHeight="false" outlineLevel="0" collapsed="false">
      <c r="A789" s="55" t="s">
        <v>1525</v>
      </c>
      <c r="B789" s="55" t="s">
        <v>938</v>
      </c>
      <c r="C789" s="55" t="s">
        <v>160</v>
      </c>
      <c r="D789" s="55" t="s">
        <v>178</v>
      </c>
      <c r="E789" s="55" t="s">
        <v>210</v>
      </c>
      <c r="F789" s="56" t="n">
        <v>0.03</v>
      </c>
      <c r="G789" s="57" t="n">
        <f aca="false">MAX(0,IF(AND(Parameter!$B$21="Ja",ISNUMBER(W789)),W789,IF(Parameter!$B$20="Jahresanfang 2025 + Export",BJ789+BI789,BI789)))</f>
        <v>0</v>
      </c>
      <c r="H789" s="57" t="n">
        <f aca="false">G789*F789</f>
        <v>0</v>
      </c>
      <c r="I789" s="57" t="n">
        <f aca="false">BL789*Parameter!$B$18</f>
        <v>132</v>
      </c>
      <c r="J789" s="58" t="n">
        <v>151.5</v>
      </c>
      <c r="K789" s="59" t="n">
        <v>0.871287128712871</v>
      </c>
      <c r="L789" s="57" t="n">
        <v>7</v>
      </c>
      <c r="M789" s="57" t="n">
        <v>130</v>
      </c>
      <c r="N789" s="60" t="n">
        <v>21</v>
      </c>
      <c r="O789" s="55" t="s">
        <v>391</v>
      </c>
      <c r="P789" s="57" t="n">
        <v>70</v>
      </c>
      <c r="Q789" s="60" t="n">
        <f aca="false">IF(BR789=1,0,IFERROR(VLOOKUP(BP789,'Gebinde-Kategorie'!$A$5:$M$45,13,0)+0,0))</f>
        <v>414</v>
      </c>
      <c r="R789" s="61"/>
      <c r="S789" s="62"/>
      <c r="T789" s="62"/>
      <c r="U789" s="55"/>
      <c r="V789" s="57"/>
      <c r="W789" s="57"/>
      <c r="X789" s="55" t="n">
        <f aca="false">IF(A789="","",IF(AND(Parameter!$B$21="Ja",ISNUMBER(U789)),U789,IF(IFERROR(VLOOKUP(D789,Parameter!$A$35:$C$64,2,0),"Nein")="2+3",IF(ISNUMBER(SEARCH("grosser Artikel",BM789)),2,IFERROR(VLOOKUP(BP789,Parameter!$F$35:$G$64,2,0),2)),IF(OR(IFERROR(VLOOKUP(D789,Parameter!$A$35:$C$64,2,0),"Nein")="Nein",IFERROR(VLOOKUP(D789,Parameter!$A$35:$C$64,2,0),"Nein")=""),"-",VLOOKUP(D789,Parameter!$A$35:$C$64,2,0)))))</f>
        <v>3</v>
      </c>
      <c r="Y789" s="62"/>
      <c r="Z789" s="63"/>
      <c r="AA789" s="57" t="n">
        <f aca="false">AP789</f>
        <v>140</v>
      </c>
      <c r="AB789" s="57" t="n">
        <f aca="false">MAX(AP789,G789)</f>
        <v>140</v>
      </c>
      <c r="AC789" s="64"/>
      <c r="AD789" s="57" t="n">
        <f aca="false">IF(LEFT(Cockpit!$C$5,1)="A",G789,IF(BW789=1,BX789,IF(LEFT(Cockpit!$C$5,1)="B",AH789,MAX(AH789,G789))))</f>
        <v>0</v>
      </c>
      <c r="AE789" s="57" t="n">
        <f aca="false">IF(BR789=1,0,ROUNDUP(AD789/BQ789,0))</f>
        <v>0</v>
      </c>
      <c r="AF789" s="59" t="n">
        <f aca="false">IF(CD789&gt;0,CD789*MAX(1,AD789/V789),IF(BR789=1,IF(AD789&lt;=0,0,BS789*MAX(1,IF(G789&gt;0,AD789/G789,1))),IF(Q789&gt;0,AE789/Q789,0))/MAX(0.1,N(Parameter!$M$21)))</f>
        <v>0</v>
      </c>
      <c r="AG789" s="57" t="n">
        <f aca="false">AD789*F789</f>
        <v>0</v>
      </c>
      <c r="AH789" s="57" t="n">
        <f aca="false">ROUNDUP(MAX(I789/IF(BV789&gt;0,BV789,MAX(0.1,N(Cockpit!$C$6))),BY789)/BQ789,0)*BQ789</f>
        <v>140</v>
      </c>
      <c r="AI789" s="58" t="n">
        <f aca="false">IF(AF789&gt;0,I789/AF789,-1)</f>
        <v>-1</v>
      </c>
      <c r="AJ789" s="58" t="str">
        <f aca="false">IF(AND(OR(BU789="L1",BU789="L23"),AF789&gt;0),SUMIFS($AF$7:$AF$1576,$BU$7:$BU$1576,BU789,$AI$7:$AI$1576,"&gt;"&amp;AI789)+SUMIFS($AF$7:$AF$1576,$BU$7:$BU$1576,BU789,$AI$7:$AI$1576,AI789,$BO$7:$BO$1576,"&lt;="&amp;BO789),"")</f>
        <v/>
      </c>
      <c r="AK789" s="65" t="n">
        <f aca="false">IF(AJ789="",0,MAX(0,MIN(1,(IF(BU789="L1",Parameter!$E$5,Parameter!$E$6+Parameter!$E$7)-(AJ789-AF789))/AF789)))</f>
        <v>0</v>
      </c>
      <c r="AL789" s="57" t="n">
        <f aca="false">IF(LEFT(Cockpit!$I$5,1)="A",G789,IF(BW789=1,BX789,IF(LEFT(Cockpit!$I$5,1)="B",AP789,MAX(AP789,G789))))</f>
        <v>140</v>
      </c>
      <c r="AM789" s="57" t="n">
        <f aca="false">IF(BR789=1,0,ROUNDUP(AL789/BQ789,0))</f>
        <v>2</v>
      </c>
      <c r="AN789" s="59" t="n">
        <f aca="false">IF(CD789&gt;0,CD789*MAX(1,AL789/V789),IF(BR789=1,IF(AL789&lt;=0,0,BS789*MAX(1,IF(G789&gt;0,AL789/G789,1))),IF(Q789&gt;0,AM789/Q789,0))/MAX(0.1,N(Parameter!$M$21)))</f>
        <v>0.00483091787439614</v>
      </c>
      <c r="AO789" s="57" t="n">
        <f aca="false">AL789*F789</f>
        <v>4.2</v>
      </c>
      <c r="AP789" s="57" t="n">
        <f aca="false">ROUNDUP(MAX(I789/IF(BV789&gt;0,BV789,MAX(0.1,N(Cockpit!$I$6))),BY789)/BQ789,0)*BQ789</f>
        <v>140</v>
      </c>
      <c r="AQ789" s="58" t="n">
        <f aca="false">IF(AN789&gt;0,I789/AN789,-1)</f>
        <v>27324</v>
      </c>
      <c r="AR789" s="58" t="n">
        <f aca="false">IF(AND(OR(BU789="L1",BU789="L23"),AN789&gt;0),SUMIFS($AN$7:$AN$1576,$BU$7:$BU$1576,BU789,$AQ$7:$AQ$1576,"&gt;"&amp;AQ789)+SUMIFS($AN$7:$AN$1576,$BU$7:$BU$1576,BU789,$AQ$7:$AQ$1576,AQ789,$BO$7:$BO$1576,"&lt;="&amp;BO789),"")</f>
        <v>3.22045234958278</v>
      </c>
      <c r="AS789" s="65" t="n">
        <f aca="false">IF(AR789="",0,MAX(0,MIN(1,(IF(BU789="L1",Parameter!$E$5,Parameter!$E$6+Parameter!$E$7)-(AR789-AN789))/AN789)))</f>
        <v>1</v>
      </c>
      <c r="AT789" s="57" t="n">
        <f aca="false">IF(LEFT(Cockpit!$O$5,1)="A",G789,IF(BW789=1,BX789,IF(LEFT(Cockpit!$O$5,1)="B",AX789,MAX(AX789,G789))))</f>
        <v>140</v>
      </c>
      <c r="AU789" s="57" t="n">
        <f aca="false">IF(BR789=1,0,ROUNDUP(AT789/BQ789,0))</f>
        <v>2</v>
      </c>
      <c r="AV789" s="59" t="n">
        <f aca="false">IF(CD789&gt;0,CD789*MAX(1,AT789/V789),IF(BR789=1,IF(AT789&lt;=0,0,BS789*MAX(1,IF(G789&gt;0,AT789/G789,1))),IF(Q789&gt;0,AU789/Q789,0))/MAX(0.1,N(Parameter!$M$21)))</f>
        <v>0.00483091787439614</v>
      </c>
      <c r="AW789" s="57" t="n">
        <f aca="false">AT789*F789</f>
        <v>4.2</v>
      </c>
      <c r="AX789" s="57" t="n">
        <f aca="false">ROUNDUP(MAX(I789/IF(BV789&gt;0,BV789,MAX(0.1,N(Cockpit!$O$6))),BY789)/BQ789,0)*BQ789</f>
        <v>140</v>
      </c>
      <c r="AY789" s="58" t="n">
        <f aca="false">IF(AV789&gt;0,I789/AV789,-1)</f>
        <v>27324</v>
      </c>
      <c r="AZ789" s="58" t="n">
        <f aca="false">IF(AND(OR(BU789="L1",BU789="L23"),AV789&gt;0),SUMIFS($AV$7:$AV$1576,$BU$7:$BU$1576,BU789,$AY$7:$AY$1576,"&gt;"&amp;AY789)+SUMIFS($AV$7:$AV$1576,$BU$7:$BU$1576,BU789,$AY$7:$AY$1576,AY789,$BO$7:$BO$1576,"&lt;="&amp;BO789),"")</f>
        <v>2.98851761764805</v>
      </c>
      <c r="BA789" s="65" t="n">
        <f aca="false">IF(AZ789="",0,MAX(0,MIN(1,(IF(BU789="L1",Parameter!$E$5,Parameter!$E$6+Parameter!$E$7)-(AZ789-AV789))/AV789)))</f>
        <v>1</v>
      </c>
      <c r="BB789" s="55" t="str">
        <f aca="false">IF(AF789&lt;=0,"",IF(BU789="Aussen","Aussenlager",IF(BU789="-","Nicht im Lift",IF(AK789&gt;=1,"Lift",IF(AK789&lt;=0,"Aussenlager","teilweise")))))</f>
        <v/>
      </c>
      <c r="BC789" s="55" t="str">
        <f aca="false">IF(AN789&lt;=0,"",IF(BU789="Aussen","Aussenlager",IF(BU789="-","Nicht im Lift",IF(AS789&gt;=1,"Lift",IF(AS789&lt;=0,"Aussenlager","teilweise")))))</f>
        <v>Lift</v>
      </c>
      <c r="BD789" s="55" t="str">
        <f aca="false">IF(AV789&lt;=0,"",IF(BU789="Aussen","Aussenlager",IF(BU789="-","Nicht im Lift",IF(BA789&gt;=1,"Lift",IF(BA789&lt;=0,"Aussenlager","teilweise")))))</f>
        <v>Lift</v>
      </c>
      <c r="BE789" s="55" t="str">
        <f aca="false">IF(A789="","",IF(BN789=1,"Neu; ","")&amp;IF(AND(BN789=0,BI789&lt;0),"negativer Bestand (Export "&amp;BI789&amp;"); ","")&amp;IF(I789&lt;=0,"Kein Verbrauch; ","")&amp;IF(CD789&gt;0,"Lift "&amp;U789&amp;" lt. Liftbericht (Fach "&amp;V789&amp;" Stk); ",IF(BR789=1,"Lose – Fläche geschätzt; ",""))&amp;IF(G789&gt;AP789,"Überbestand "&amp;ROUND(G789-AP789,0)&amp;" Stk / CHF "&amp;ROUND((G789-AP789)*F789,0)&amp;"; ","")&amp;IF(AND(BW789=1,BX789&lt;BY789),"MAX &lt; MB+LG; ","")&amp;IF(AND(CC789&gt;0,CB789*10&gt;CC789),"zu hoch für Tablar; ","")&amp;IF(AND(BN789=0,OR(BW789=1,Y789&lt;&gt;"",S789&lt;&gt;"",T789&lt;&gt;"",Z789&lt;&gt;"")),"manuell übersteuert; ","")&amp;IF(AND(BR789=0,Q789=0),"Gebinde unbekannt / Stellmass fehlt; ","")&amp;IF(AND(BR789=0,N(T789)&lt;=0,N(P789)&lt;=0),"Menge pro Gebinde fehlt (Ist = 1 Gebinde); ","")&amp;BM789)</f>
        <v>negativer Bestand (Export -101); </v>
      </c>
      <c r="BF789" s="55"/>
      <c r="BG789" s="55"/>
      <c r="BH789" s="62"/>
      <c r="BI789" s="57" t="n">
        <v>-101</v>
      </c>
      <c r="BJ789" s="57" t="n">
        <v>153</v>
      </c>
      <c r="BK789" s="56" t="n">
        <v>-3.03</v>
      </c>
      <c r="BL789" s="57" t="n">
        <v>132</v>
      </c>
      <c r="BM789" s="55"/>
      <c r="BN789" s="60" t="n">
        <v>0</v>
      </c>
      <c r="BO789" s="60" t="n">
        <v>789</v>
      </c>
      <c r="BP789" s="55" t="str">
        <f aca="false">IF(S789&lt;&gt;"",UPPER(TRIM(S789)),IF(O789="","LOSE",O789))</f>
        <v>S21</v>
      </c>
      <c r="BQ789" s="57" t="n">
        <f aca="false">IF(BP789="LOSE",1,IF(N(T789)&gt;0,T789,IF(N(P789)&gt;0,P789,MAX(1,G789))))</f>
        <v>70</v>
      </c>
      <c r="BR789" s="60" t="n">
        <f aca="false">IF(BP789="LOSE",1,0)</f>
        <v>0</v>
      </c>
      <c r="BS789" s="59" t="n">
        <f aca="false">IF(BR789=0,0,IF(N(R789)&gt;0,R789,IFERROR(VLOOKUP(D789,Parameter!$A$35:$C$64,3,0)+0,0)))</f>
        <v>0</v>
      </c>
      <c r="BT789" s="55" t="n">
        <f aca="false">IF(Y789&lt;&gt;"",Y789,X789)</f>
        <v>3</v>
      </c>
      <c r="BU789" s="55" t="str">
        <f aca="false">IF(BT789=1,"L1",IF(OR(BT789=2,BT789=3),"L23",IF(BT789="Aussen","Aussen","-")))</f>
        <v>L23</v>
      </c>
      <c r="BV789" s="66" t="n">
        <f aca="false">IF(N(Z789)&gt;0,Z789,0)</f>
        <v>0</v>
      </c>
      <c r="BW789" s="60" t="n">
        <f aca="false">IF(ISNUMBER(AC789),1,0)</f>
        <v>0</v>
      </c>
      <c r="BX789" s="57" t="n">
        <f aca="false">N(AC789)</f>
        <v>0</v>
      </c>
      <c r="BY789" s="57" t="n">
        <f aca="false">N(L789)+N(M789)</f>
        <v>137</v>
      </c>
      <c r="BZ789" s="57" t="n">
        <f aca="false">ROUNDUP(G789/BQ789,0)</f>
        <v>0</v>
      </c>
      <c r="CA789" s="57" t="n">
        <f aca="false">ROUNDUP(BX789/BQ789,0)</f>
        <v>0</v>
      </c>
      <c r="CB789" s="60" t="n">
        <f aca="false">IF(BR789=1,0,IFERROR(VLOOKUP(BP789,'Gebinde-Kategorie'!$A$5:$M$45,5,0)+0,0))</f>
        <v>8</v>
      </c>
      <c r="CC789" s="60" t="n">
        <f aca="false">IFERROR(IF(OR(BT789=1,BT789=2,BT789=3),N(INDEX(Parameter!$I$5:$I$7,BT789)),0),0)</f>
        <v>0</v>
      </c>
      <c r="CD789" s="59" t="n">
        <f aca="false">IF(AND(Parameter!$B$21="Ja",ISNUMBER(U789),N(V789)&gt;0),IFERROR(N(INDEX(Parameter!$L$5:$L$7,U789))*INDEX(Parameter!$E$5:$E$7,U789)*V789/SUMIFS($V$7:$V$1576,$U$7:$U$1576,U789),0),0)</f>
        <v>0</v>
      </c>
    </row>
    <row r="790" customFormat="false" ht="15" hidden="false" customHeight="false" outlineLevel="0" collapsed="false">
      <c r="A790" s="55" t="s">
        <v>1526</v>
      </c>
      <c r="B790" s="55" t="s">
        <v>364</v>
      </c>
      <c r="C790" s="55" t="s">
        <v>160</v>
      </c>
      <c r="D790" s="55" t="s">
        <v>178</v>
      </c>
      <c r="E790" s="55" t="s">
        <v>210</v>
      </c>
      <c r="F790" s="56" t="n">
        <v>1.53</v>
      </c>
      <c r="G790" s="57" t="n">
        <f aca="false">MAX(0,IF(AND(Parameter!$B$21="Ja",ISNUMBER(W790)),W790,IF(Parameter!$B$20="Jahresanfang 2025 + Export",BJ790+BI790,BI790)))</f>
        <v>0</v>
      </c>
      <c r="H790" s="57" t="n">
        <f aca="false">G790*F790</f>
        <v>0</v>
      </c>
      <c r="I790" s="57" t="n">
        <f aca="false">BL790*Parameter!$B$18</f>
        <v>2</v>
      </c>
      <c r="J790" s="58" t="n">
        <v>28</v>
      </c>
      <c r="K790" s="59" t="n">
        <v>0.0714285714285714</v>
      </c>
      <c r="L790" s="57" t="n">
        <v>0</v>
      </c>
      <c r="M790" s="57" t="n">
        <v>1</v>
      </c>
      <c r="N790" s="60" t="n">
        <v>14</v>
      </c>
      <c r="O790" s="55" t="s">
        <v>416</v>
      </c>
      <c r="P790" s="57" t="n">
        <v>34</v>
      </c>
      <c r="Q790" s="60" t="n">
        <f aca="false">IF(BR790=1,0,IFERROR(VLOOKUP(BP790,'Gebinde-Kategorie'!$A$5:$M$45,13,0)+0,0))</f>
        <v>198</v>
      </c>
      <c r="R790" s="61"/>
      <c r="S790" s="62"/>
      <c r="T790" s="62"/>
      <c r="U790" s="55"/>
      <c r="V790" s="57"/>
      <c r="W790" s="57"/>
      <c r="X790" s="55" t="n">
        <f aca="false">IF(A790="","",IF(AND(Parameter!$B$21="Ja",ISNUMBER(U790)),U790,IF(IFERROR(VLOOKUP(D790,Parameter!$A$35:$C$64,2,0),"Nein")="2+3",IF(ISNUMBER(SEARCH("grosser Artikel",BM790)),2,IFERROR(VLOOKUP(BP790,Parameter!$F$35:$G$64,2,0),2)),IF(OR(IFERROR(VLOOKUP(D790,Parameter!$A$35:$C$64,2,0),"Nein")="Nein",IFERROR(VLOOKUP(D790,Parameter!$A$35:$C$64,2,0),"Nein")=""),"-",VLOOKUP(D790,Parameter!$A$35:$C$64,2,0)))))</f>
        <v>3</v>
      </c>
      <c r="Y790" s="62"/>
      <c r="Z790" s="63"/>
      <c r="AA790" s="57" t="n">
        <f aca="false">AP790</f>
        <v>34</v>
      </c>
      <c r="AB790" s="57" t="n">
        <f aca="false">MAX(AP790,G790)</f>
        <v>34</v>
      </c>
      <c r="AC790" s="64"/>
      <c r="AD790" s="57" t="n">
        <f aca="false">IF(LEFT(Cockpit!$C$5,1)="A",G790,IF(BW790=1,BX790,IF(LEFT(Cockpit!$C$5,1)="B",AH790,MAX(AH790,G790))))</f>
        <v>0</v>
      </c>
      <c r="AE790" s="57" t="n">
        <f aca="false">IF(BR790=1,0,ROUNDUP(AD790/BQ790,0))</f>
        <v>0</v>
      </c>
      <c r="AF790" s="59" t="n">
        <f aca="false">IF(CD790&gt;0,CD790*MAX(1,AD790/V790),IF(BR790=1,IF(AD790&lt;=0,0,BS790*MAX(1,IF(G790&gt;0,AD790/G790,1))),IF(Q790&gt;0,AE790/Q790,0))/MAX(0.1,N(Parameter!$M$21)))</f>
        <v>0</v>
      </c>
      <c r="AG790" s="57" t="n">
        <f aca="false">AD790*F790</f>
        <v>0</v>
      </c>
      <c r="AH790" s="57" t="n">
        <f aca="false">ROUNDUP(MAX(I790/IF(BV790&gt;0,BV790,MAX(0.1,N(Cockpit!$C$6))),BY790)/BQ790,0)*BQ790</f>
        <v>34</v>
      </c>
      <c r="AI790" s="58" t="n">
        <f aca="false">IF(AF790&gt;0,I790/AF790,-1)</f>
        <v>-1</v>
      </c>
      <c r="AJ790" s="58" t="str">
        <f aca="false">IF(AND(OR(BU790="L1",BU790="L23"),AF790&gt;0),SUMIFS($AF$7:$AF$1576,$BU$7:$BU$1576,BU790,$AI$7:$AI$1576,"&gt;"&amp;AI790)+SUMIFS($AF$7:$AF$1576,$BU$7:$BU$1576,BU790,$AI$7:$AI$1576,AI790,$BO$7:$BO$1576,"&lt;="&amp;BO790),"")</f>
        <v/>
      </c>
      <c r="AK790" s="65" t="n">
        <f aca="false">IF(AJ790="",0,MAX(0,MIN(1,(IF(BU790="L1",Parameter!$E$5,Parameter!$E$6+Parameter!$E$7)-(AJ790-AF790))/AF790)))</f>
        <v>0</v>
      </c>
      <c r="AL790" s="57" t="n">
        <f aca="false">IF(LEFT(Cockpit!$I$5,1)="A",G790,IF(BW790=1,BX790,IF(LEFT(Cockpit!$I$5,1)="B",AP790,MAX(AP790,G790))))</f>
        <v>34</v>
      </c>
      <c r="AM790" s="57" t="n">
        <f aca="false">IF(BR790=1,0,ROUNDUP(AL790/BQ790,0))</f>
        <v>1</v>
      </c>
      <c r="AN790" s="59" t="n">
        <f aca="false">IF(CD790&gt;0,CD790*MAX(1,AL790/V790),IF(BR790=1,IF(AL790&lt;=0,0,BS790*MAX(1,IF(G790&gt;0,AL790/G790,1))),IF(Q790&gt;0,AM790/Q790,0))/MAX(0.1,N(Parameter!$M$21)))</f>
        <v>0.00505050505050505</v>
      </c>
      <c r="AO790" s="57" t="n">
        <f aca="false">AL790*F790</f>
        <v>52.02</v>
      </c>
      <c r="AP790" s="57" t="n">
        <f aca="false">ROUNDUP(MAX(I790/IF(BV790&gt;0,BV790,MAX(0.1,N(Cockpit!$I$6))),BY790)/BQ790,0)*BQ790</f>
        <v>34</v>
      </c>
      <c r="AQ790" s="58" t="n">
        <f aca="false">IF(AN790&gt;0,I790/AN790,-1)</f>
        <v>396</v>
      </c>
      <c r="AR790" s="58" t="n">
        <f aca="false">IF(AND(OR(BU790="L1",BU790="L23"),AN790&gt;0),SUMIFS($AN$7:$AN$1576,$BU$7:$BU$1576,BU790,$AQ$7:$AQ$1576,"&gt;"&amp;AQ790)+SUMIFS($AN$7:$AN$1576,$BU$7:$BU$1576,BU790,$AQ$7:$AQ$1576,AQ790,$BO$7:$BO$1576,"&lt;="&amp;BO790),"")</f>
        <v>36.7915359643732</v>
      </c>
      <c r="AS790" s="65" t="n">
        <f aca="false">IF(AR790="",0,MAX(0,MIN(1,(IF(BU790="L1",Parameter!$E$5,Parameter!$E$6+Parameter!$E$7)-(AR790-AN790))/AN790)))</f>
        <v>1</v>
      </c>
      <c r="AT790" s="57" t="n">
        <f aca="false">IF(LEFT(Cockpit!$O$5,1)="A",G790,IF(BW790=1,BX790,IF(LEFT(Cockpit!$O$5,1)="B",AX790,MAX(AX790,G790))))</f>
        <v>34</v>
      </c>
      <c r="AU790" s="57" t="n">
        <f aca="false">IF(BR790=1,0,ROUNDUP(AT790/BQ790,0))</f>
        <v>1</v>
      </c>
      <c r="AV790" s="59" t="n">
        <f aca="false">IF(CD790&gt;0,CD790*MAX(1,AT790/V790),IF(BR790=1,IF(AT790&lt;=0,0,BS790*MAX(1,IF(G790&gt;0,AT790/G790,1))),IF(Q790&gt;0,AU790/Q790,0))/MAX(0.1,N(Parameter!$M$21)))</f>
        <v>0.00505050505050505</v>
      </c>
      <c r="AW790" s="57" t="n">
        <f aca="false">AT790*F790</f>
        <v>52.02</v>
      </c>
      <c r="AX790" s="57" t="n">
        <f aca="false">ROUNDUP(MAX(I790/IF(BV790&gt;0,BV790,MAX(0.1,N(Cockpit!$O$6))),BY790)/BQ790,0)*BQ790</f>
        <v>34</v>
      </c>
      <c r="AY790" s="58" t="n">
        <f aca="false">IF(AV790&gt;0,I790/AV790,-1)</f>
        <v>396</v>
      </c>
      <c r="AZ790" s="58" t="n">
        <f aca="false">IF(AND(OR(BU790="L1",BU790="L23"),AV790&gt;0),SUMIFS($AV$7:$AV$1576,$BU$7:$BU$1576,BU790,$AY$7:$AY$1576,"&gt;"&amp;AY790)+SUMIFS($AV$7:$AV$1576,$BU$7:$BU$1576,BU790,$AY$7:$AY$1576,AY790,$BO$7:$BO$1576,"&lt;="&amp;BO790),"")</f>
        <v>35.9562812191185</v>
      </c>
      <c r="BA790" s="65" t="n">
        <f aca="false">IF(AZ790="",0,MAX(0,MIN(1,(IF(BU790="L1",Parameter!$E$5,Parameter!$E$6+Parameter!$E$7)-(AZ790-AV790))/AV790)))</f>
        <v>1</v>
      </c>
      <c r="BB790" s="55" t="str">
        <f aca="false">IF(AF790&lt;=0,"",IF(BU790="Aussen","Aussenlager",IF(BU790="-","Nicht im Lift",IF(AK790&gt;=1,"Lift",IF(AK790&lt;=0,"Aussenlager","teilweise")))))</f>
        <v/>
      </c>
      <c r="BC790" s="55" t="str">
        <f aca="false">IF(AN790&lt;=0,"",IF(BU790="Aussen","Aussenlager",IF(BU790="-","Nicht im Lift",IF(AS790&gt;=1,"Lift",IF(AS790&lt;=0,"Aussenlager","teilweise")))))</f>
        <v>Lift</v>
      </c>
      <c r="BD790" s="55" t="str">
        <f aca="false">IF(AV790&lt;=0,"",IF(BU790="Aussen","Aussenlager",IF(BU790="-","Nicht im Lift",IF(BA790&gt;=1,"Lift",IF(BA790&lt;=0,"Aussenlager","teilweise")))))</f>
        <v>Lift</v>
      </c>
      <c r="BE790" s="55" t="str">
        <f aca="false">IF(A790="","",IF(BN790=1,"Neu; ","")&amp;IF(AND(BN790=0,BI790&lt;0),"negativer Bestand (Export "&amp;BI790&amp;"); ","")&amp;IF(I790&lt;=0,"Kein Verbrauch; ","")&amp;IF(CD790&gt;0,"Lift "&amp;U790&amp;" lt. Liftbericht (Fach "&amp;V790&amp;" Stk); ",IF(BR790=1,"Lose – Fläche geschätzt; ",""))&amp;IF(G790&gt;AP790,"Überbestand "&amp;ROUND(G790-AP790,0)&amp;" Stk / CHF "&amp;ROUND((G790-AP790)*F790,0)&amp;"; ","")&amp;IF(AND(BW790=1,BX790&lt;BY790),"MAX &lt; MB+LG; ","")&amp;IF(AND(CC790&gt;0,CB790*10&gt;CC790),"zu hoch für Tablar; ","")&amp;IF(AND(BN790=0,OR(BW790=1,Y790&lt;&gt;"",S790&lt;&gt;"",T790&lt;&gt;"",Z790&lt;&gt;"")),"manuell übersteuert; ","")&amp;IF(AND(BR790=0,Q790=0),"Gebinde unbekannt / Stellmass fehlt; ","")&amp;IF(AND(BR790=0,N(T790)&lt;=0,N(P790)&lt;=0),"Menge pro Gebinde fehlt (Ist = 1 Gebinde); ","")&amp;BM790)</f>
        <v>negativer Bestand (Export -2); </v>
      </c>
      <c r="BF790" s="55"/>
      <c r="BG790" s="55"/>
      <c r="BH790" s="62"/>
      <c r="BI790" s="57" t="n">
        <v>-2</v>
      </c>
      <c r="BJ790" s="57" t="n">
        <v>29</v>
      </c>
      <c r="BK790" s="56" t="n">
        <v>-3.06</v>
      </c>
      <c r="BL790" s="57" t="n">
        <v>2</v>
      </c>
      <c r="BM790" s="55"/>
      <c r="BN790" s="60" t="n">
        <v>0</v>
      </c>
      <c r="BO790" s="60" t="n">
        <v>790</v>
      </c>
      <c r="BP790" s="55" t="str">
        <f aca="false">IF(S790&lt;&gt;"",UPPER(TRIM(S790)),IF(O790="","LOSE",O790))</f>
        <v>S22</v>
      </c>
      <c r="BQ790" s="57" t="n">
        <f aca="false">IF(BP790="LOSE",1,IF(N(T790)&gt;0,T790,IF(N(P790)&gt;0,P790,MAX(1,G790))))</f>
        <v>34</v>
      </c>
      <c r="BR790" s="60" t="n">
        <f aca="false">IF(BP790="LOSE",1,0)</f>
        <v>0</v>
      </c>
      <c r="BS790" s="59" t="n">
        <f aca="false">IF(BR790=0,0,IF(N(R790)&gt;0,R790,IFERROR(VLOOKUP(D790,Parameter!$A$35:$C$64,3,0)+0,0)))</f>
        <v>0</v>
      </c>
      <c r="BT790" s="55" t="n">
        <f aca="false">IF(Y790&lt;&gt;"",Y790,X790)</f>
        <v>3</v>
      </c>
      <c r="BU790" s="55" t="str">
        <f aca="false">IF(BT790=1,"L1",IF(OR(BT790=2,BT790=3),"L23",IF(BT790="Aussen","Aussen","-")))</f>
        <v>L23</v>
      </c>
      <c r="BV790" s="66" t="n">
        <f aca="false">IF(N(Z790)&gt;0,Z790,0)</f>
        <v>0</v>
      </c>
      <c r="BW790" s="60" t="n">
        <f aca="false">IF(ISNUMBER(AC790),1,0)</f>
        <v>0</v>
      </c>
      <c r="BX790" s="57" t="n">
        <f aca="false">N(AC790)</f>
        <v>0</v>
      </c>
      <c r="BY790" s="57" t="n">
        <f aca="false">N(L790)+N(M790)</f>
        <v>1</v>
      </c>
      <c r="BZ790" s="57" t="n">
        <f aca="false">ROUNDUP(G790/BQ790,0)</f>
        <v>0</v>
      </c>
      <c r="CA790" s="57" t="n">
        <f aca="false">ROUNDUP(BX790/BQ790,0)</f>
        <v>0</v>
      </c>
      <c r="CB790" s="60" t="n">
        <f aca="false">IF(BR790=1,0,IFERROR(VLOOKUP(BP790,'Gebinde-Kategorie'!$A$5:$M$45,5,0)+0,0))</f>
        <v>8</v>
      </c>
      <c r="CC790" s="60" t="n">
        <f aca="false">IFERROR(IF(OR(BT790=1,BT790=2,BT790=3),N(INDEX(Parameter!$I$5:$I$7,BT790)),0),0)</f>
        <v>0</v>
      </c>
      <c r="CD790" s="59" t="n">
        <f aca="false">IF(AND(Parameter!$B$21="Ja",ISNUMBER(U790),N(V790)&gt;0),IFERROR(N(INDEX(Parameter!$L$5:$L$7,U790))*INDEX(Parameter!$E$5:$E$7,U790)*V790/SUMIFS($V$7:$V$1576,$U$7:$U$1576,U790),0),0)</f>
        <v>0</v>
      </c>
    </row>
    <row r="791" customFormat="false" ht="15" hidden="false" customHeight="false" outlineLevel="0" collapsed="false">
      <c r="A791" s="55" t="s">
        <v>1527</v>
      </c>
      <c r="B791" s="55" t="s">
        <v>395</v>
      </c>
      <c r="C791" s="55" t="s">
        <v>160</v>
      </c>
      <c r="D791" s="55" t="s">
        <v>178</v>
      </c>
      <c r="E791" s="55" t="s">
        <v>210</v>
      </c>
      <c r="F791" s="56" t="n">
        <v>0.19</v>
      </c>
      <c r="G791" s="57" t="n">
        <f aca="false">MAX(0,IF(AND(Parameter!$B$21="Ja",ISNUMBER(W791)),W791,IF(Parameter!$B$20="Jahresanfang 2025 + Export",BJ791+BI791,BI791)))</f>
        <v>0</v>
      </c>
      <c r="H791" s="57" t="n">
        <f aca="false">G791*F791</f>
        <v>0</v>
      </c>
      <c r="I791" s="57" t="n">
        <f aca="false">BL791*Parameter!$B$18</f>
        <v>6</v>
      </c>
      <c r="J791" s="58" t="n">
        <v>70.5</v>
      </c>
      <c r="K791" s="59" t="n">
        <v>0.0851063829787234</v>
      </c>
      <c r="L791" s="57" t="n">
        <v>0</v>
      </c>
      <c r="M791" s="57" t="n">
        <v>5</v>
      </c>
      <c r="N791" s="60" t="n">
        <v>14</v>
      </c>
      <c r="O791" s="55" t="s">
        <v>416</v>
      </c>
      <c r="P791" s="57" t="n">
        <v>93</v>
      </c>
      <c r="Q791" s="60" t="n">
        <f aca="false">IF(BR791=1,0,IFERROR(VLOOKUP(BP791,'Gebinde-Kategorie'!$A$5:$M$45,13,0)+0,0))</f>
        <v>198</v>
      </c>
      <c r="R791" s="61"/>
      <c r="S791" s="62"/>
      <c r="T791" s="62"/>
      <c r="U791" s="55"/>
      <c r="V791" s="57"/>
      <c r="W791" s="57"/>
      <c r="X791" s="55" t="n">
        <f aca="false">IF(A791="","",IF(AND(Parameter!$B$21="Ja",ISNUMBER(U791)),U791,IF(IFERROR(VLOOKUP(D791,Parameter!$A$35:$C$64,2,0),"Nein")="2+3",IF(ISNUMBER(SEARCH("grosser Artikel",BM791)),2,IFERROR(VLOOKUP(BP791,Parameter!$F$35:$G$64,2,0),2)),IF(OR(IFERROR(VLOOKUP(D791,Parameter!$A$35:$C$64,2,0),"Nein")="Nein",IFERROR(VLOOKUP(D791,Parameter!$A$35:$C$64,2,0),"Nein")=""),"-",VLOOKUP(D791,Parameter!$A$35:$C$64,2,0)))))</f>
        <v>3</v>
      </c>
      <c r="Y791" s="62"/>
      <c r="Z791" s="63"/>
      <c r="AA791" s="57" t="n">
        <f aca="false">AP791</f>
        <v>93</v>
      </c>
      <c r="AB791" s="57" t="n">
        <f aca="false">MAX(AP791,G791)</f>
        <v>93</v>
      </c>
      <c r="AC791" s="64"/>
      <c r="AD791" s="57" t="n">
        <f aca="false">IF(LEFT(Cockpit!$C$5,1)="A",G791,IF(BW791=1,BX791,IF(LEFT(Cockpit!$C$5,1)="B",AH791,MAX(AH791,G791))))</f>
        <v>0</v>
      </c>
      <c r="AE791" s="57" t="n">
        <f aca="false">IF(BR791=1,0,ROUNDUP(AD791/BQ791,0))</f>
        <v>0</v>
      </c>
      <c r="AF791" s="59" t="n">
        <f aca="false">IF(CD791&gt;0,CD791*MAX(1,AD791/V791),IF(BR791=1,IF(AD791&lt;=0,0,BS791*MAX(1,IF(G791&gt;0,AD791/G791,1))),IF(Q791&gt;0,AE791/Q791,0))/MAX(0.1,N(Parameter!$M$21)))</f>
        <v>0</v>
      </c>
      <c r="AG791" s="57" t="n">
        <f aca="false">AD791*F791</f>
        <v>0</v>
      </c>
      <c r="AH791" s="57" t="n">
        <f aca="false">ROUNDUP(MAX(I791/IF(BV791&gt;0,BV791,MAX(0.1,N(Cockpit!$C$6))),BY791)/BQ791,0)*BQ791</f>
        <v>93</v>
      </c>
      <c r="AI791" s="58" t="n">
        <f aca="false">IF(AF791&gt;0,I791/AF791,-1)</f>
        <v>-1</v>
      </c>
      <c r="AJ791" s="58" t="str">
        <f aca="false">IF(AND(OR(BU791="L1",BU791="L23"),AF791&gt;0),SUMIFS($AF$7:$AF$1576,$BU$7:$BU$1576,BU791,$AI$7:$AI$1576,"&gt;"&amp;AI791)+SUMIFS($AF$7:$AF$1576,$BU$7:$BU$1576,BU791,$AI$7:$AI$1576,AI791,$BO$7:$BO$1576,"&lt;="&amp;BO791),"")</f>
        <v/>
      </c>
      <c r="AK791" s="65" t="n">
        <f aca="false">IF(AJ791="",0,MAX(0,MIN(1,(IF(BU791="L1",Parameter!$E$5,Parameter!$E$6+Parameter!$E$7)-(AJ791-AF791))/AF791)))</f>
        <v>0</v>
      </c>
      <c r="AL791" s="57" t="n">
        <f aca="false">IF(LEFT(Cockpit!$I$5,1)="A",G791,IF(BW791=1,BX791,IF(LEFT(Cockpit!$I$5,1)="B",AP791,MAX(AP791,G791))))</f>
        <v>93</v>
      </c>
      <c r="AM791" s="57" t="n">
        <f aca="false">IF(BR791=1,0,ROUNDUP(AL791/BQ791,0))</f>
        <v>1</v>
      </c>
      <c r="AN791" s="59" t="n">
        <f aca="false">IF(CD791&gt;0,CD791*MAX(1,AL791/V791),IF(BR791=1,IF(AL791&lt;=0,0,BS791*MAX(1,IF(G791&gt;0,AL791/G791,1))),IF(Q791&gt;0,AM791/Q791,0))/MAX(0.1,N(Parameter!$M$21)))</f>
        <v>0.00505050505050505</v>
      </c>
      <c r="AO791" s="57" t="n">
        <f aca="false">AL791*F791</f>
        <v>17.67</v>
      </c>
      <c r="AP791" s="57" t="n">
        <f aca="false">ROUNDUP(MAX(I791/IF(BV791&gt;0,BV791,MAX(0.1,N(Cockpit!$I$6))),BY791)/BQ791,0)*BQ791</f>
        <v>93</v>
      </c>
      <c r="AQ791" s="58" t="n">
        <f aca="false">IF(AN791&gt;0,I791/AN791,-1)</f>
        <v>1188</v>
      </c>
      <c r="AR791" s="58" t="n">
        <f aca="false">IF(AND(OR(BU791="L1",BU791="L23"),AN791&gt;0),SUMIFS($AN$7:$AN$1576,$BU$7:$BU$1576,BU791,$AQ$7:$AQ$1576,"&gt;"&amp;AQ791)+SUMIFS($AN$7:$AN$1576,$BU$7:$BU$1576,BU791,$AQ$7:$AQ$1576,AQ791,$BO$7:$BO$1576,"&lt;="&amp;BO791),"")</f>
        <v>21.0850278348216</v>
      </c>
      <c r="AS791" s="65" t="n">
        <f aca="false">IF(AR791="",0,MAX(0,MIN(1,(IF(BU791="L1",Parameter!$E$5,Parameter!$E$6+Parameter!$E$7)-(AR791-AN791))/AN791)))</f>
        <v>1</v>
      </c>
      <c r="AT791" s="57" t="n">
        <f aca="false">IF(LEFT(Cockpit!$O$5,1)="A",G791,IF(BW791=1,BX791,IF(LEFT(Cockpit!$O$5,1)="B",AX791,MAX(AX791,G791))))</f>
        <v>93</v>
      </c>
      <c r="AU791" s="57" t="n">
        <f aca="false">IF(BR791=1,0,ROUNDUP(AT791/BQ791,0))</f>
        <v>1</v>
      </c>
      <c r="AV791" s="59" t="n">
        <f aca="false">IF(CD791&gt;0,CD791*MAX(1,AT791/V791),IF(BR791=1,IF(AT791&lt;=0,0,BS791*MAX(1,IF(G791&gt;0,AT791/G791,1))),IF(Q791&gt;0,AU791/Q791,0))/MAX(0.1,N(Parameter!$M$21)))</f>
        <v>0.00505050505050505</v>
      </c>
      <c r="AW791" s="57" t="n">
        <f aca="false">AT791*F791</f>
        <v>17.67</v>
      </c>
      <c r="AX791" s="57" t="n">
        <f aca="false">ROUNDUP(MAX(I791/IF(BV791&gt;0,BV791,MAX(0.1,N(Cockpit!$O$6))),BY791)/BQ791,0)*BQ791</f>
        <v>93</v>
      </c>
      <c r="AY791" s="58" t="n">
        <f aca="false">IF(AV791&gt;0,I791/AV791,-1)</f>
        <v>1188</v>
      </c>
      <c r="AZ791" s="58" t="n">
        <f aca="false">IF(AND(OR(BU791="L1",BU791="L23"),AV791&gt;0),SUMIFS($AV$7:$AV$1576,$BU$7:$BU$1576,BU791,$AY$7:$AY$1576,"&gt;"&amp;AY791)+SUMIFS($AV$7:$AV$1576,$BU$7:$BU$1576,BU791,$AY$7:$AY$1576,AY791,$BO$7:$BO$1576,"&lt;="&amp;BO791),"")</f>
        <v>20.3956338954277</v>
      </c>
      <c r="BA791" s="65" t="n">
        <f aca="false">IF(AZ791="",0,MAX(0,MIN(1,(IF(BU791="L1",Parameter!$E$5,Parameter!$E$6+Parameter!$E$7)-(AZ791-AV791))/AV791)))</f>
        <v>1</v>
      </c>
      <c r="BB791" s="55" t="str">
        <f aca="false">IF(AF791&lt;=0,"",IF(BU791="Aussen","Aussenlager",IF(BU791="-","Nicht im Lift",IF(AK791&gt;=1,"Lift",IF(AK791&lt;=0,"Aussenlager","teilweise")))))</f>
        <v/>
      </c>
      <c r="BC791" s="55" t="str">
        <f aca="false">IF(AN791&lt;=0,"",IF(BU791="Aussen","Aussenlager",IF(BU791="-","Nicht im Lift",IF(AS791&gt;=1,"Lift",IF(AS791&lt;=0,"Aussenlager","teilweise")))))</f>
        <v>Lift</v>
      </c>
      <c r="BD791" s="55" t="str">
        <f aca="false">IF(AV791&lt;=0,"",IF(BU791="Aussen","Aussenlager",IF(BU791="-","Nicht im Lift",IF(BA791&gt;=1,"Lift",IF(BA791&lt;=0,"Aussenlager","teilweise")))))</f>
        <v>Lift</v>
      </c>
      <c r="BE791" s="55" t="str">
        <f aca="false">IF(A791="","",IF(BN791=1,"Neu; ","")&amp;IF(AND(BN791=0,BI791&lt;0),"negativer Bestand (Export "&amp;BI791&amp;"); ","")&amp;IF(I791&lt;=0,"Kein Verbrauch; ","")&amp;IF(CD791&gt;0,"Lift "&amp;U791&amp;" lt. Liftbericht (Fach "&amp;V791&amp;" Stk); ",IF(BR791=1,"Lose – Fläche geschätzt; ",""))&amp;IF(G791&gt;AP791,"Überbestand "&amp;ROUND(G791-AP791,0)&amp;" Stk / CHF "&amp;ROUND((G791-AP791)*F791,0)&amp;"; ","")&amp;IF(AND(BW791=1,BX791&lt;BY791),"MAX &lt; MB+LG; ","")&amp;IF(AND(CC791&gt;0,CB791*10&gt;CC791),"zu hoch für Tablar; ","")&amp;IF(AND(BN791=0,OR(BW791=1,Y791&lt;&gt;"",S791&lt;&gt;"",T791&lt;&gt;"",Z791&lt;&gt;"")),"manuell übersteuert; ","")&amp;IF(AND(BR791=0,Q791=0),"Gebinde unbekannt / Stellmass fehlt; ","")&amp;IF(AND(BR791=0,N(T791)&lt;=0,N(P791)&lt;=0),"Menge pro Gebinde fehlt (Ist = 1 Gebinde); ","")&amp;BM791)</f>
        <v>negativer Bestand (Export -17); Überbestand</v>
      </c>
      <c r="BF791" s="55"/>
      <c r="BG791" s="55"/>
      <c r="BH791" s="62"/>
      <c r="BI791" s="57" t="n">
        <v>-17</v>
      </c>
      <c r="BJ791" s="57" t="n">
        <v>79</v>
      </c>
      <c r="BK791" s="56" t="n">
        <v>-3.23</v>
      </c>
      <c r="BL791" s="57" t="n">
        <v>6</v>
      </c>
      <c r="BM791" s="55" t="s">
        <v>382</v>
      </c>
      <c r="BN791" s="60" t="n">
        <v>0</v>
      </c>
      <c r="BO791" s="60" t="n">
        <v>791</v>
      </c>
      <c r="BP791" s="55" t="str">
        <f aca="false">IF(S791&lt;&gt;"",UPPER(TRIM(S791)),IF(O791="","LOSE",O791))</f>
        <v>S22</v>
      </c>
      <c r="BQ791" s="57" t="n">
        <f aca="false">IF(BP791="LOSE",1,IF(N(T791)&gt;0,T791,IF(N(P791)&gt;0,P791,MAX(1,G791))))</f>
        <v>93</v>
      </c>
      <c r="BR791" s="60" t="n">
        <f aca="false">IF(BP791="LOSE",1,0)</f>
        <v>0</v>
      </c>
      <c r="BS791" s="59" t="n">
        <f aca="false">IF(BR791=0,0,IF(N(R791)&gt;0,R791,IFERROR(VLOOKUP(D791,Parameter!$A$35:$C$64,3,0)+0,0)))</f>
        <v>0</v>
      </c>
      <c r="BT791" s="55" t="n">
        <f aca="false">IF(Y791&lt;&gt;"",Y791,X791)</f>
        <v>3</v>
      </c>
      <c r="BU791" s="55" t="str">
        <f aca="false">IF(BT791=1,"L1",IF(OR(BT791=2,BT791=3),"L23",IF(BT791="Aussen","Aussen","-")))</f>
        <v>L23</v>
      </c>
      <c r="BV791" s="66" t="n">
        <f aca="false">IF(N(Z791)&gt;0,Z791,0)</f>
        <v>0</v>
      </c>
      <c r="BW791" s="60" t="n">
        <f aca="false">IF(ISNUMBER(AC791),1,0)</f>
        <v>0</v>
      </c>
      <c r="BX791" s="57" t="n">
        <f aca="false">N(AC791)</f>
        <v>0</v>
      </c>
      <c r="BY791" s="57" t="n">
        <f aca="false">N(L791)+N(M791)</f>
        <v>5</v>
      </c>
      <c r="BZ791" s="57" t="n">
        <f aca="false">ROUNDUP(G791/BQ791,0)</f>
        <v>0</v>
      </c>
      <c r="CA791" s="57" t="n">
        <f aca="false">ROUNDUP(BX791/BQ791,0)</f>
        <v>0</v>
      </c>
      <c r="CB791" s="60" t="n">
        <f aca="false">IF(BR791=1,0,IFERROR(VLOOKUP(BP791,'Gebinde-Kategorie'!$A$5:$M$45,5,0)+0,0))</f>
        <v>8</v>
      </c>
      <c r="CC791" s="60" t="n">
        <f aca="false">IFERROR(IF(OR(BT791=1,BT791=2,BT791=3),N(INDEX(Parameter!$I$5:$I$7,BT791)),0),0)</f>
        <v>0</v>
      </c>
      <c r="CD791" s="59" t="n">
        <f aca="false">IF(AND(Parameter!$B$21="Ja",ISNUMBER(U791),N(V791)&gt;0),IFERROR(N(INDEX(Parameter!$L$5:$L$7,U791))*INDEX(Parameter!$E$5:$E$7,U791)*V791/SUMIFS($V$7:$V$1576,$U$7:$U$1576,U791),0),0)</f>
        <v>0</v>
      </c>
    </row>
    <row r="792" customFormat="false" ht="15" hidden="false" customHeight="false" outlineLevel="0" collapsed="false">
      <c r="A792" s="55" t="s">
        <v>1528</v>
      </c>
      <c r="B792" s="55" t="s">
        <v>1529</v>
      </c>
      <c r="C792" s="55" t="s">
        <v>160</v>
      </c>
      <c r="D792" s="55" t="s">
        <v>168</v>
      </c>
      <c r="E792" s="55" t="s">
        <v>210</v>
      </c>
      <c r="F792" s="56" t="n">
        <v>3.45</v>
      </c>
      <c r="G792" s="57" t="n">
        <f aca="false">MAX(0,IF(AND(Parameter!$B$21="Ja",ISNUMBER(W792)),W792,IF(Parameter!$B$20="Jahresanfang 2025 + Export",BJ792+BI792,BI792)))</f>
        <v>0</v>
      </c>
      <c r="H792" s="57" t="n">
        <f aca="false">G792*F792</f>
        <v>0</v>
      </c>
      <c r="I792" s="57" t="n">
        <f aca="false">BL792*Parameter!$B$18</f>
        <v>0</v>
      </c>
      <c r="J792" s="58" t="n">
        <v>18.5</v>
      </c>
      <c r="K792" s="59" t="n">
        <v>0</v>
      </c>
      <c r="L792" s="57" t="n">
        <v>0</v>
      </c>
      <c r="M792" s="57" t="n">
        <v>1</v>
      </c>
      <c r="N792" s="60" t="n">
        <v>35</v>
      </c>
      <c r="O792" s="55" t="s">
        <v>411</v>
      </c>
      <c r="P792" s="57" t="n">
        <v>20</v>
      </c>
      <c r="Q792" s="60" t="n">
        <f aca="false">IF(BR792=1,0,IFERROR(VLOOKUP(BP792,'Gebinde-Kategorie'!$A$5:$M$45,13,0)+0,0))</f>
        <v>132</v>
      </c>
      <c r="R792" s="61"/>
      <c r="S792" s="62"/>
      <c r="T792" s="62"/>
      <c r="U792" s="55"/>
      <c r="V792" s="57"/>
      <c r="W792" s="57"/>
      <c r="X792" s="55" t="n">
        <f aca="false">IF(A792="","",IF(AND(Parameter!$B$21="Ja",ISNUMBER(U792)),U792,IF(IFERROR(VLOOKUP(D792,Parameter!$A$35:$C$64,2,0),"Nein")="2+3",IF(ISNUMBER(SEARCH("grosser Artikel",BM792)),2,IFERROR(VLOOKUP(BP792,Parameter!$F$35:$G$64,2,0),2)),IF(OR(IFERROR(VLOOKUP(D792,Parameter!$A$35:$C$64,2,0),"Nein")="Nein",IFERROR(VLOOKUP(D792,Parameter!$A$35:$C$64,2,0),"Nein")=""),"-",VLOOKUP(D792,Parameter!$A$35:$C$64,2,0)))))</f>
        <v>3</v>
      </c>
      <c r="Y792" s="62"/>
      <c r="Z792" s="63"/>
      <c r="AA792" s="57" t="n">
        <f aca="false">AP792</f>
        <v>20</v>
      </c>
      <c r="AB792" s="57" t="n">
        <f aca="false">MAX(AP792,G792)</f>
        <v>20</v>
      </c>
      <c r="AC792" s="64"/>
      <c r="AD792" s="57" t="n">
        <f aca="false">IF(LEFT(Cockpit!$C$5,1)="A",G792,IF(BW792=1,BX792,IF(LEFT(Cockpit!$C$5,1)="B",AH792,MAX(AH792,G792))))</f>
        <v>0</v>
      </c>
      <c r="AE792" s="57" t="n">
        <f aca="false">IF(BR792=1,0,ROUNDUP(AD792/BQ792,0))</f>
        <v>0</v>
      </c>
      <c r="AF792" s="59" t="n">
        <f aca="false">IF(CD792&gt;0,CD792*MAX(1,AD792/V792),IF(BR792=1,IF(AD792&lt;=0,0,BS792*MAX(1,IF(G792&gt;0,AD792/G792,1))),IF(Q792&gt;0,AE792/Q792,0))/MAX(0.1,N(Parameter!$M$21)))</f>
        <v>0</v>
      </c>
      <c r="AG792" s="57" t="n">
        <f aca="false">AD792*F792</f>
        <v>0</v>
      </c>
      <c r="AH792" s="57" t="n">
        <f aca="false">ROUNDUP(MAX(I792/IF(BV792&gt;0,BV792,MAX(0.1,N(Cockpit!$C$6))),BY792)/BQ792,0)*BQ792</f>
        <v>20</v>
      </c>
      <c r="AI792" s="58" t="n">
        <f aca="false">IF(AF792&gt;0,I792/AF792,-1)</f>
        <v>-1</v>
      </c>
      <c r="AJ792" s="58" t="str">
        <f aca="false">IF(AND(OR(BU792="L1",BU792="L23"),AF792&gt;0),SUMIFS($AF$7:$AF$1576,$BU$7:$BU$1576,BU792,$AI$7:$AI$1576,"&gt;"&amp;AI792)+SUMIFS($AF$7:$AF$1576,$BU$7:$BU$1576,BU792,$AI$7:$AI$1576,AI792,$BO$7:$BO$1576,"&lt;="&amp;BO792),"")</f>
        <v/>
      </c>
      <c r="AK792" s="65" t="n">
        <f aca="false">IF(AJ792="",0,MAX(0,MIN(1,(IF(BU792="L1",Parameter!$E$5,Parameter!$E$6+Parameter!$E$7)-(AJ792-AF792))/AF792)))</f>
        <v>0</v>
      </c>
      <c r="AL792" s="57" t="n">
        <f aca="false">IF(LEFT(Cockpit!$I$5,1)="A",G792,IF(BW792=1,BX792,IF(LEFT(Cockpit!$I$5,1)="B",AP792,MAX(AP792,G792))))</f>
        <v>20</v>
      </c>
      <c r="AM792" s="57" t="n">
        <f aca="false">IF(BR792=1,0,ROUNDUP(AL792/BQ792,0))</f>
        <v>1</v>
      </c>
      <c r="AN792" s="59" t="n">
        <f aca="false">IF(CD792&gt;0,CD792*MAX(1,AL792/V792),IF(BR792=1,IF(AL792&lt;=0,0,BS792*MAX(1,IF(G792&gt;0,AL792/G792,1))),IF(Q792&gt;0,AM792/Q792,0))/MAX(0.1,N(Parameter!$M$21)))</f>
        <v>0.00757575757575758</v>
      </c>
      <c r="AO792" s="57" t="n">
        <f aca="false">AL792*F792</f>
        <v>69</v>
      </c>
      <c r="AP792" s="57" t="n">
        <f aca="false">ROUNDUP(MAX(I792/IF(BV792&gt;0,BV792,MAX(0.1,N(Cockpit!$I$6))),BY792)/BQ792,0)*BQ792</f>
        <v>20</v>
      </c>
      <c r="AQ792" s="58" t="n">
        <f aca="false">IF(AN792&gt;0,I792/AN792,-1)</f>
        <v>0</v>
      </c>
      <c r="AR792" s="58" t="n">
        <f aca="false">IF(AND(OR(BU792="L1",BU792="L23"),AN792&gt;0),SUMIFS($AN$7:$AN$1576,$BU$7:$BU$1576,BU792,$AQ$7:$AQ$1576,"&gt;"&amp;AQ792)+SUMIFS($AN$7:$AN$1576,$BU$7:$BU$1576,BU792,$AQ$7:$AQ$1576,AQ792,$BO$7:$BO$1576,"&lt;="&amp;BO792),"")</f>
        <v>130.679380498776</v>
      </c>
      <c r="AS792" s="65" t="n">
        <f aca="false">IF(AR792="",0,MAX(0,MIN(1,(IF(BU792="L1",Parameter!$E$5,Parameter!$E$6+Parameter!$E$7)-(AR792-AN792))/AN792)))</f>
        <v>0</v>
      </c>
      <c r="AT792" s="57" t="n">
        <f aca="false">IF(LEFT(Cockpit!$O$5,1)="A",G792,IF(BW792=1,BX792,IF(LEFT(Cockpit!$O$5,1)="B",AX792,MAX(AX792,G792))))</f>
        <v>20</v>
      </c>
      <c r="AU792" s="57" t="n">
        <f aca="false">IF(BR792=1,0,ROUNDUP(AT792/BQ792,0))</f>
        <v>1</v>
      </c>
      <c r="AV792" s="59" t="n">
        <f aca="false">IF(CD792&gt;0,CD792*MAX(1,AT792/V792),IF(BR792=1,IF(AT792&lt;=0,0,BS792*MAX(1,IF(G792&gt;0,AT792/G792,1))),IF(Q792&gt;0,AU792/Q792,0))/MAX(0.1,N(Parameter!$M$21)))</f>
        <v>0.00757575757575758</v>
      </c>
      <c r="AW792" s="57" t="n">
        <f aca="false">AT792*F792</f>
        <v>69</v>
      </c>
      <c r="AX792" s="57" t="n">
        <f aca="false">ROUNDUP(MAX(I792/IF(BV792&gt;0,BV792,MAX(0.1,N(Cockpit!$O$6))),BY792)/BQ792,0)*BQ792</f>
        <v>20</v>
      </c>
      <c r="AY792" s="58" t="n">
        <f aca="false">IF(AV792&gt;0,I792/AV792,-1)</f>
        <v>0</v>
      </c>
      <c r="AZ792" s="58" t="n">
        <f aca="false">IF(AND(OR(BU792="L1",BU792="L23"),AV792&gt;0),SUMIFS($AV$7:$AV$1576,$BU$7:$BU$1576,BU792,$AY$7:$AY$1576,"&gt;"&amp;AY792)+SUMIFS($AV$7:$AV$1576,$BU$7:$BU$1576,BU792,$AY$7:$AY$1576,AY792,$BO$7:$BO$1576,"&lt;="&amp;BO792),"")</f>
        <v>120.738930948326</v>
      </c>
      <c r="BA792" s="65" t="n">
        <f aca="false">IF(AZ792="",0,MAX(0,MIN(1,(IF(BU792="L1",Parameter!$E$5,Parameter!$E$6+Parameter!$E$7)-(AZ792-AV792))/AV792)))</f>
        <v>0</v>
      </c>
      <c r="BB792" s="55" t="str">
        <f aca="false">IF(AF792&lt;=0,"",IF(BU792="Aussen","Aussenlager",IF(BU792="-","Nicht im Lift",IF(AK792&gt;=1,"Lift",IF(AK792&lt;=0,"Aussenlager","teilweise")))))</f>
        <v/>
      </c>
      <c r="BC792" s="55" t="str">
        <f aca="false">IF(AN792&lt;=0,"",IF(BU792="Aussen","Aussenlager",IF(BU792="-","Nicht im Lift",IF(AS792&gt;=1,"Lift",IF(AS792&lt;=0,"Aussenlager","teilweise")))))</f>
        <v>Aussenlager</v>
      </c>
      <c r="BD792" s="55" t="str">
        <f aca="false">IF(AV792&lt;=0,"",IF(BU792="Aussen","Aussenlager",IF(BU792="-","Nicht im Lift",IF(BA792&gt;=1,"Lift",IF(BA792&lt;=0,"Aussenlager","teilweise")))))</f>
        <v>Aussenlager</v>
      </c>
      <c r="BE792" s="55" t="str">
        <f aca="false">IF(A792="","",IF(BN792=1,"Neu; ","")&amp;IF(AND(BN792=0,BI792&lt;0),"negativer Bestand (Export "&amp;BI792&amp;"); ","")&amp;IF(I792&lt;=0,"Kein Verbrauch; ","")&amp;IF(CD792&gt;0,"Lift "&amp;U792&amp;" lt. Liftbericht (Fach "&amp;V792&amp;" Stk); ",IF(BR792=1,"Lose – Fläche geschätzt; ",""))&amp;IF(G792&gt;AP792,"Überbestand "&amp;ROUND(G792-AP792,0)&amp;" Stk / CHF "&amp;ROUND((G792-AP792)*F792,0)&amp;"; ","")&amp;IF(AND(BW792=1,BX792&lt;BY792),"MAX &lt; MB+LG; ","")&amp;IF(AND(CC792&gt;0,CB792*10&gt;CC792),"zu hoch für Tablar; ","")&amp;IF(AND(BN792=0,OR(BW792=1,Y792&lt;&gt;"",S792&lt;&gt;"",T792&lt;&gt;"",Z792&lt;&gt;"")),"manuell übersteuert; ","")&amp;IF(AND(BR792=0,Q792=0),"Gebinde unbekannt / Stellmass fehlt; ","")&amp;IF(AND(BR792=0,N(T792)&lt;=0,N(P792)&lt;=0),"Menge pro Gebinde fehlt (Ist = 1 Gebinde); ","")&amp;BM792)</f>
        <v>negativer Bestand (Export -1); Kein Verbrauch; Neuer Art.</v>
      </c>
      <c r="BF792" s="55"/>
      <c r="BG792" s="55"/>
      <c r="BH792" s="62"/>
      <c r="BI792" s="57" t="n">
        <v>-1</v>
      </c>
      <c r="BJ792" s="57" t="n">
        <v>19</v>
      </c>
      <c r="BK792" s="56" t="n">
        <v>-3.45</v>
      </c>
      <c r="BL792" s="57" t="n">
        <v>0</v>
      </c>
      <c r="BM792" s="55" t="s">
        <v>501</v>
      </c>
      <c r="BN792" s="60" t="n">
        <v>0</v>
      </c>
      <c r="BO792" s="60" t="n">
        <v>792</v>
      </c>
      <c r="BP792" s="55" t="str">
        <f aca="false">IF(S792&lt;&gt;"",UPPER(TRIM(S792)),IF(O792="","LOSE",O792))</f>
        <v>S32</v>
      </c>
      <c r="BQ792" s="57" t="n">
        <f aca="false">IF(BP792="LOSE",1,IF(N(T792)&gt;0,T792,IF(N(P792)&gt;0,P792,MAX(1,G792))))</f>
        <v>20</v>
      </c>
      <c r="BR792" s="60" t="n">
        <f aca="false">IF(BP792="LOSE",1,0)</f>
        <v>0</v>
      </c>
      <c r="BS792" s="59" t="n">
        <f aca="false">IF(BR792=0,0,IF(N(R792)&gt;0,R792,IFERROR(VLOOKUP(D792,Parameter!$A$35:$C$64,3,0)+0,0)))</f>
        <v>0</v>
      </c>
      <c r="BT792" s="55" t="n">
        <f aca="false">IF(Y792&lt;&gt;"",Y792,X792)</f>
        <v>3</v>
      </c>
      <c r="BU792" s="55" t="str">
        <f aca="false">IF(BT792=1,"L1",IF(OR(BT792=2,BT792=3),"L23",IF(BT792="Aussen","Aussen","-")))</f>
        <v>L23</v>
      </c>
      <c r="BV792" s="66" t="n">
        <f aca="false">IF(N(Z792)&gt;0,Z792,0)</f>
        <v>0</v>
      </c>
      <c r="BW792" s="60" t="n">
        <f aca="false">IF(ISNUMBER(AC792),1,0)</f>
        <v>0</v>
      </c>
      <c r="BX792" s="57" t="n">
        <f aca="false">N(AC792)</f>
        <v>0</v>
      </c>
      <c r="BY792" s="57" t="n">
        <f aca="false">N(L792)+N(M792)</f>
        <v>1</v>
      </c>
      <c r="BZ792" s="57" t="n">
        <f aca="false">ROUNDUP(G792/BQ792,0)</f>
        <v>0</v>
      </c>
      <c r="CA792" s="57" t="n">
        <f aca="false">ROUNDUP(BX792/BQ792,0)</f>
        <v>0</v>
      </c>
      <c r="CB792" s="60" t="n">
        <f aca="false">IF(BR792=1,0,IFERROR(VLOOKUP(BP792,'Gebinde-Kategorie'!$A$5:$M$45,5,0)+0,0))</f>
        <v>8</v>
      </c>
      <c r="CC792" s="60" t="n">
        <f aca="false">IFERROR(IF(OR(BT792=1,BT792=2,BT792=3),N(INDEX(Parameter!$I$5:$I$7,BT792)),0),0)</f>
        <v>0</v>
      </c>
      <c r="CD792" s="59" t="n">
        <f aca="false">IF(AND(Parameter!$B$21="Ja",ISNUMBER(U792),N(V792)&gt;0),IFERROR(N(INDEX(Parameter!$L$5:$L$7,U792))*INDEX(Parameter!$E$5:$E$7,U792)*V792/SUMIFS($V$7:$V$1576,$U$7:$U$1576,U792),0),0)</f>
        <v>0</v>
      </c>
    </row>
    <row r="793" customFormat="false" ht="15" hidden="false" customHeight="false" outlineLevel="0" collapsed="false">
      <c r="A793" s="55" t="s">
        <v>1530</v>
      </c>
      <c r="B793" s="55" t="s">
        <v>1531</v>
      </c>
      <c r="C793" s="55" t="s">
        <v>160</v>
      </c>
      <c r="D793" s="55" t="s">
        <v>178</v>
      </c>
      <c r="E793" s="55" t="s">
        <v>210</v>
      </c>
      <c r="F793" s="56" t="n">
        <v>0.01</v>
      </c>
      <c r="G793" s="57" t="n">
        <f aca="false">MAX(0,IF(AND(Parameter!$B$21="Ja",ISNUMBER(W793)),W793,IF(Parameter!$B$20="Jahresanfang 2025 + Export",BJ793+BI793,BI793)))</f>
        <v>2769</v>
      </c>
      <c r="H793" s="57" t="n">
        <f aca="false">G793*F793</f>
        <v>27.69</v>
      </c>
      <c r="I793" s="57" t="n">
        <f aca="false">BL793*Parameter!$B$18</f>
        <v>9801</v>
      </c>
      <c r="J793" s="58" t="n">
        <v>3164.5</v>
      </c>
      <c r="K793" s="59" t="n">
        <v>3.09717174909148</v>
      </c>
      <c r="L793" s="57" t="n">
        <v>571</v>
      </c>
      <c r="M793" s="57" t="n">
        <v>9800</v>
      </c>
      <c r="N793" s="60" t="n">
        <v>21</v>
      </c>
      <c r="O793" s="55" t="s">
        <v>293</v>
      </c>
      <c r="P793" s="57" t="n">
        <v>4394</v>
      </c>
      <c r="Q793" s="60" t="n">
        <f aca="false">IF(BR793=1,0,IFERROR(VLOOKUP(BP793,'Gebinde-Kategorie'!$A$5:$M$45,13,0)+0,0))</f>
        <v>26</v>
      </c>
      <c r="R793" s="61"/>
      <c r="S793" s="62"/>
      <c r="T793" s="62"/>
      <c r="U793" s="55"/>
      <c r="V793" s="57"/>
      <c r="W793" s="57"/>
      <c r="X793" s="55" t="n">
        <f aca="false">IF(A793="","",IF(AND(Parameter!$B$21="Ja",ISNUMBER(U793)),U793,IF(IFERROR(VLOOKUP(D793,Parameter!$A$35:$C$64,2,0),"Nein")="2+3",IF(ISNUMBER(SEARCH("grosser Artikel",BM793)),2,IFERROR(VLOOKUP(BP793,Parameter!$F$35:$G$64,2,0),2)),IF(OR(IFERROR(VLOOKUP(D793,Parameter!$A$35:$C$64,2,0),"Nein")="Nein",IFERROR(VLOOKUP(D793,Parameter!$A$35:$C$64,2,0),"Nein")=""),"-",VLOOKUP(D793,Parameter!$A$35:$C$64,2,0)))))</f>
        <v>3</v>
      </c>
      <c r="Y793" s="62"/>
      <c r="Z793" s="63"/>
      <c r="AA793" s="57" t="n">
        <f aca="false">AP793</f>
        <v>13182</v>
      </c>
      <c r="AB793" s="57" t="n">
        <f aca="false">MAX(AP793,G793)</f>
        <v>13182</v>
      </c>
      <c r="AC793" s="64"/>
      <c r="AD793" s="57" t="n">
        <f aca="false">IF(LEFT(Cockpit!$C$5,1)="A",G793,IF(BW793=1,BX793,IF(LEFT(Cockpit!$C$5,1)="B",AH793,MAX(AH793,G793))))</f>
        <v>2769</v>
      </c>
      <c r="AE793" s="57" t="n">
        <f aca="false">IF(BR793=1,0,ROUNDUP(AD793/BQ793,0))</f>
        <v>1</v>
      </c>
      <c r="AF793" s="59" t="n">
        <f aca="false">IF(CD793&gt;0,CD793*MAX(1,AD793/V793),IF(BR793=1,IF(AD793&lt;=0,0,BS793*MAX(1,IF(G793&gt;0,AD793/G793,1))),IF(Q793&gt;0,AE793/Q793,0))/MAX(0.1,N(Parameter!$M$21)))</f>
        <v>0.0384615384615385</v>
      </c>
      <c r="AG793" s="57" t="n">
        <f aca="false">AD793*F793</f>
        <v>27.69</v>
      </c>
      <c r="AH793" s="57" t="n">
        <f aca="false">ROUNDUP(MAX(I793/IF(BV793&gt;0,BV793,MAX(0.1,N(Cockpit!$C$6))),BY793)/BQ793,0)*BQ793</f>
        <v>13182</v>
      </c>
      <c r="AI793" s="58" t="n">
        <f aca="false">IF(AF793&gt;0,I793/AF793,-1)</f>
        <v>254826</v>
      </c>
      <c r="AJ793" s="58" t="n">
        <f aca="false">IF(AND(OR(BU793="L1",BU793="L23"),AF793&gt;0),SUMIFS($AF$7:$AF$1576,$BU$7:$BU$1576,BU793,$AI$7:$AI$1576,"&gt;"&amp;AI793)+SUMIFS($AF$7:$AF$1576,$BU$7:$BU$1576,BU793,$AI$7:$AI$1576,AI793,$BO$7:$BO$1576,"&lt;="&amp;BO793),"")</f>
        <v>0.0484527549744941</v>
      </c>
      <c r="AK793" s="65" t="n">
        <f aca="false">IF(AJ793="",0,MAX(0,MIN(1,(IF(BU793="L1",Parameter!$E$5,Parameter!$E$6+Parameter!$E$7)-(AJ793-AF793))/AF793)))</f>
        <v>1</v>
      </c>
      <c r="AL793" s="57" t="n">
        <f aca="false">IF(LEFT(Cockpit!$I$5,1)="A",G793,IF(BW793=1,BX793,IF(LEFT(Cockpit!$I$5,1)="B",AP793,MAX(AP793,G793))))</f>
        <v>13182</v>
      </c>
      <c r="AM793" s="57" t="n">
        <f aca="false">IF(BR793=1,0,ROUNDUP(AL793/BQ793,0))</f>
        <v>3</v>
      </c>
      <c r="AN793" s="59" t="n">
        <f aca="false">IF(CD793&gt;0,CD793*MAX(1,AL793/V793),IF(BR793=1,IF(AL793&lt;=0,0,BS793*MAX(1,IF(G793&gt;0,AL793/G793,1))),IF(Q793&gt;0,AM793/Q793,0))/MAX(0.1,N(Parameter!$M$21)))</f>
        <v>0.115384615384615</v>
      </c>
      <c r="AO793" s="57" t="n">
        <f aca="false">AL793*F793</f>
        <v>131.82</v>
      </c>
      <c r="AP793" s="57" t="n">
        <f aca="false">ROUNDUP(MAX(I793/IF(BV793&gt;0,BV793,MAX(0.1,N(Cockpit!$I$6))),BY793)/BQ793,0)*BQ793</f>
        <v>13182</v>
      </c>
      <c r="AQ793" s="58" t="n">
        <f aca="false">IF(AN793&gt;0,I793/AN793,-1)</f>
        <v>84942</v>
      </c>
      <c r="AR793" s="58" t="n">
        <f aca="false">IF(AND(OR(BU793="L1",BU793="L23"),AN793&gt;0),SUMIFS($AN$7:$AN$1576,$BU$7:$BU$1576,BU793,$AQ$7:$AQ$1576,"&gt;"&amp;AQ793)+SUMIFS($AN$7:$AN$1576,$BU$7:$BU$1576,BU793,$AQ$7:$AQ$1576,AQ793,$BO$7:$BO$1576,"&lt;="&amp;BO793),"")</f>
        <v>0.676063308672004</v>
      </c>
      <c r="AS793" s="65" t="n">
        <f aca="false">IF(AR793="",0,MAX(0,MIN(1,(IF(BU793="L1",Parameter!$E$5,Parameter!$E$6+Parameter!$E$7)-(AR793-AN793))/AN793)))</f>
        <v>1</v>
      </c>
      <c r="AT793" s="57" t="n">
        <f aca="false">IF(LEFT(Cockpit!$O$5,1)="A",G793,IF(BW793=1,BX793,IF(LEFT(Cockpit!$O$5,1)="B",AX793,MAX(AX793,G793))))</f>
        <v>13182</v>
      </c>
      <c r="AU793" s="57" t="n">
        <f aca="false">IF(BR793=1,0,ROUNDUP(AT793/BQ793,0))</f>
        <v>3</v>
      </c>
      <c r="AV793" s="59" t="n">
        <f aca="false">IF(CD793&gt;0,CD793*MAX(1,AT793/V793),IF(BR793=1,IF(AT793&lt;=0,0,BS793*MAX(1,IF(G793&gt;0,AT793/G793,1))),IF(Q793&gt;0,AU793/Q793,0))/MAX(0.1,N(Parameter!$M$21)))</f>
        <v>0.115384615384615</v>
      </c>
      <c r="AW793" s="57" t="n">
        <f aca="false">AT793*F793</f>
        <v>131.82</v>
      </c>
      <c r="AX793" s="57" t="n">
        <f aca="false">ROUNDUP(MAX(I793/IF(BV793&gt;0,BV793,MAX(0.1,N(Cockpit!$O$6))),BY793)/BQ793,0)*BQ793</f>
        <v>13182</v>
      </c>
      <c r="AY793" s="58" t="n">
        <f aca="false">IF(AV793&gt;0,I793/AV793,-1)</f>
        <v>84942</v>
      </c>
      <c r="AZ793" s="58" t="n">
        <f aca="false">IF(AND(OR(BU793="L1",BU793="L23"),AV793&gt;0),SUMIFS($AV$7:$AV$1576,$BU$7:$BU$1576,BU793,$AY$7:$AY$1576,"&gt;"&amp;AY793)+SUMIFS($AV$7:$AV$1576,$BU$7:$BU$1576,BU793,$AY$7:$AY$1576,AY793,$BO$7:$BO$1576,"&lt;="&amp;BO793),"")</f>
        <v>0.752986385595081</v>
      </c>
      <c r="BA793" s="65" t="n">
        <f aca="false">IF(AZ793="",0,MAX(0,MIN(1,(IF(BU793="L1",Parameter!$E$5,Parameter!$E$6+Parameter!$E$7)-(AZ793-AV793))/AV793)))</f>
        <v>1</v>
      </c>
      <c r="BB793" s="55" t="str">
        <f aca="false">IF(AF793&lt;=0,"",IF(BU793="Aussen","Aussenlager",IF(BU793="-","Nicht im Lift",IF(AK793&gt;=1,"Lift",IF(AK793&lt;=0,"Aussenlager","teilweise")))))</f>
        <v>Lift</v>
      </c>
      <c r="BC793" s="55" t="str">
        <f aca="false">IF(AN793&lt;=0,"",IF(BU793="Aussen","Aussenlager",IF(BU793="-","Nicht im Lift",IF(AS793&gt;=1,"Lift",IF(AS793&lt;=0,"Aussenlager","teilweise")))))</f>
        <v>Lift</v>
      </c>
      <c r="BD793" s="55" t="str">
        <f aca="false">IF(AV793&lt;=0,"",IF(BU793="Aussen","Aussenlager",IF(BU793="-","Nicht im Lift",IF(BA793&gt;=1,"Lift",IF(BA793&lt;=0,"Aussenlager","teilweise")))))</f>
        <v>Lift</v>
      </c>
      <c r="BE793" s="55" t="str">
        <f aca="false">IF(A793="","",IF(BN793=1,"Neu; ","")&amp;IF(AND(BN793=0,BI793&lt;0),"negativer Bestand (Export "&amp;BI793&amp;"); ","")&amp;IF(I793&lt;=0,"Kein Verbrauch; ","")&amp;IF(CD793&gt;0,"Lift "&amp;U793&amp;" lt. Liftbericht (Fach "&amp;V793&amp;" Stk); ",IF(BR793=1,"Lose – Fläche geschätzt; ",""))&amp;IF(G793&gt;AP793,"Überbestand "&amp;ROUND(G793-AP793,0)&amp;" Stk / CHF "&amp;ROUND((G793-AP793)*F793,0)&amp;"; ","")&amp;IF(AND(BW793=1,BX793&lt;BY793),"MAX &lt; MB+LG; ","")&amp;IF(AND(CC793&gt;0,CB793*10&gt;CC793),"zu hoch für Tablar; ","")&amp;IF(AND(BN793=0,OR(BW793=1,Y793&lt;&gt;"",S793&lt;&gt;"",T793&lt;&gt;"",Z793&lt;&gt;"")),"manuell übersteuert; ","")&amp;IF(AND(BR793=0,Q793=0),"Gebinde unbekannt / Stellmass fehlt; ","")&amp;IF(AND(BR793=0,N(T793)&lt;=0,N(P793)&lt;=0),"Menge pro Gebinde fehlt (Ist = 1 Gebinde); ","")&amp;BM793)</f>
        <v/>
      </c>
      <c r="BF793" s="55"/>
      <c r="BG793" s="55"/>
      <c r="BH793" s="62"/>
      <c r="BI793" s="57" t="n">
        <v>2769</v>
      </c>
      <c r="BJ793" s="57" t="n">
        <v>1560</v>
      </c>
      <c r="BK793" s="56" t="n">
        <v>-3.50999999999995</v>
      </c>
      <c r="BL793" s="57" t="n">
        <v>9801</v>
      </c>
      <c r="BM793" s="55"/>
      <c r="BN793" s="60" t="n">
        <v>0</v>
      </c>
      <c r="BO793" s="60" t="n">
        <v>793</v>
      </c>
      <c r="BP793" s="55" t="str">
        <f aca="false">IF(S793&lt;&gt;"",UPPER(TRIM(S793)),IF(O793="","LOSE",O793))</f>
        <v>S51</v>
      </c>
      <c r="BQ793" s="57" t="n">
        <f aca="false">IF(BP793="LOSE",1,IF(N(T793)&gt;0,T793,IF(N(P793)&gt;0,P793,MAX(1,G793))))</f>
        <v>4394</v>
      </c>
      <c r="BR793" s="60" t="n">
        <f aca="false">IF(BP793="LOSE",1,0)</f>
        <v>0</v>
      </c>
      <c r="BS793" s="59" t="n">
        <f aca="false">IF(BR793=0,0,IF(N(R793)&gt;0,R793,IFERROR(VLOOKUP(D793,Parameter!$A$35:$C$64,3,0)+0,0)))</f>
        <v>0</v>
      </c>
      <c r="BT793" s="55" t="n">
        <f aca="false">IF(Y793&lt;&gt;"",Y793,X793)</f>
        <v>3</v>
      </c>
      <c r="BU793" s="55" t="str">
        <f aca="false">IF(BT793=1,"L1",IF(OR(BT793=2,BT793=3),"L23",IF(BT793="Aussen","Aussen","-")))</f>
        <v>L23</v>
      </c>
      <c r="BV793" s="66" t="n">
        <f aca="false">IF(N(Z793)&gt;0,Z793,0)</f>
        <v>0</v>
      </c>
      <c r="BW793" s="60" t="n">
        <f aca="false">IF(ISNUMBER(AC793),1,0)</f>
        <v>0</v>
      </c>
      <c r="BX793" s="57" t="n">
        <f aca="false">N(AC793)</f>
        <v>0</v>
      </c>
      <c r="BY793" s="57" t="n">
        <f aca="false">N(L793)+N(M793)</f>
        <v>10371</v>
      </c>
      <c r="BZ793" s="57" t="n">
        <f aca="false">ROUNDUP(G793/BQ793,0)</f>
        <v>1</v>
      </c>
      <c r="CA793" s="57" t="n">
        <f aca="false">ROUNDUP(BX793/BQ793,0)</f>
        <v>0</v>
      </c>
      <c r="CB793" s="60" t="n">
        <f aca="false">IF(BR793=1,0,IFERROR(VLOOKUP(BP793,'Gebinde-Kategorie'!$A$5:$M$45,5,0)+0,0))</f>
        <v>11</v>
      </c>
      <c r="CC793" s="60" t="n">
        <f aca="false">IFERROR(IF(OR(BT793=1,BT793=2,BT793=3),N(INDEX(Parameter!$I$5:$I$7,BT793)),0),0)</f>
        <v>0</v>
      </c>
      <c r="CD793" s="59" t="n">
        <f aca="false">IF(AND(Parameter!$B$21="Ja",ISNUMBER(U793),N(V793)&gt;0),IFERROR(N(INDEX(Parameter!$L$5:$L$7,U793))*INDEX(Parameter!$E$5:$E$7,U793)*V793/SUMIFS($V$7:$V$1576,$U$7:$U$1576,U793),0),0)</f>
        <v>0</v>
      </c>
    </row>
    <row r="794" customFormat="false" ht="15" hidden="false" customHeight="false" outlineLevel="0" collapsed="false">
      <c r="A794" s="55" t="s">
        <v>1532</v>
      </c>
      <c r="B794" s="55" t="s">
        <v>457</v>
      </c>
      <c r="C794" s="55" t="s">
        <v>160</v>
      </c>
      <c r="D794" s="55" t="s">
        <v>178</v>
      </c>
      <c r="E794" s="55" t="s">
        <v>210</v>
      </c>
      <c r="F794" s="56" t="n">
        <v>0.3</v>
      </c>
      <c r="G794" s="57" t="n">
        <f aca="false">MAX(0,IF(AND(Parameter!$B$21="Ja",ISNUMBER(W794)),W794,IF(Parameter!$B$20="Jahresanfang 2025 + Export",BJ794+BI794,BI794)))</f>
        <v>0</v>
      </c>
      <c r="H794" s="57" t="n">
        <f aca="false">G794*F794</f>
        <v>0</v>
      </c>
      <c r="I794" s="57" t="n">
        <f aca="false">BL794*Parameter!$B$18</f>
        <v>385</v>
      </c>
      <c r="J794" s="58" t="n">
        <v>113.5</v>
      </c>
      <c r="K794" s="59" t="n">
        <v>3.3920704845815</v>
      </c>
      <c r="L794" s="57" t="n">
        <v>14</v>
      </c>
      <c r="M794" s="57" t="n">
        <v>400</v>
      </c>
      <c r="N794" s="60" t="n">
        <v>14</v>
      </c>
      <c r="O794" s="55" t="s">
        <v>465</v>
      </c>
      <c r="P794" s="57" t="n">
        <v>206</v>
      </c>
      <c r="Q794" s="60" t="n">
        <f aca="false">IF(BR794=1,0,IFERROR(VLOOKUP(BP794,'Gebinde-Kategorie'!$A$5:$M$45,13,0)+0,0))</f>
        <v>66</v>
      </c>
      <c r="R794" s="61"/>
      <c r="S794" s="62"/>
      <c r="T794" s="62"/>
      <c r="U794" s="55"/>
      <c r="V794" s="57"/>
      <c r="W794" s="57"/>
      <c r="X794" s="55" t="n">
        <f aca="false">IF(A794="","",IF(AND(Parameter!$B$21="Ja",ISNUMBER(U794)),U794,IF(IFERROR(VLOOKUP(D794,Parameter!$A$35:$C$64,2,0),"Nein")="2+3",IF(ISNUMBER(SEARCH("grosser Artikel",BM794)),2,IFERROR(VLOOKUP(BP794,Parameter!$F$35:$G$64,2,0),2)),IF(OR(IFERROR(VLOOKUP(D794,Parameter!$A$35:$C$64,2,0),"Nein")="Nein",IFERROR(VLOOKUP(D794,Parameter!$A$35:$C$64,2,0),"Nein")=""),"-",VLOOKUP(D794,Parameter!$A$35:$C$64,2,0)))))</f>
        <v>3</v>
      </c>
      <c r="Y794" s="62"/>
      <c r="Z794" s="63"/>
      <c r="AA794" s="57" t="n">
        <f aca="false">AP794</f>
        <v>618</v>
      </c>
      <c r="AB794" s="57" t="n">
        <f aca="false">MAX(AP794,G794)</f>
        <v>618</v>
      </c>
      <c r="AC794" s="64"/>
      <c r="AD794" s="57" t="n">
        <f aca="false">IF(LEFT(Cockpit!$C$5,1)="A",G794,IF(BW794=1,BX794,IF(LEFT(Cockpit!$C$5,1)="B",AH794,MAX(AH794,G794))))</f>
        <v>0</v>
      </c>
      <c r="AE794" s="57" t="n">
        <f aca="false">IF(BR794=1,0,ROUNDUP(AD794/BQ794,0))</f>
        <v>0</v>
      </c>
      <c r="AF794" s="59" t="n">
        <f aca="false">IF(CD794&gt;0,CD794*MAX(1,AD794/V794),IF(BR794=1,IF(AD794&lt;=0,0,BS794*MAX(1,IF(G794&gt;0,AD794/G794,1))),IF(Q794&gt;0,AE794/Q794,0))/MAX(0.1,N(Parameter!$M$21)))</f>
        <v>0</v>
      </c>
      <c r="AG794" s="57" t="n">
        <f aca="false">AD794*F794</f>
        <v>0</v>
      </c>
      <c r="AH794" s="57" t="n">
        <f aca="false">ROUNDUP(MAX(I794/IF(BV794&gt;0,BV794,MAX(0.1,N(Cockpit!$C$6))),BY794)/BQ794,0)*BQ794</f>
        <v>618</v>
      </c>
      <c r="AI794" s="58" t="n">
        <f aca="false">IF(AF794&gt;0,I794/AF794,-1)</f>
        <v>-1</v>
      </c>
      <c r="AJ794" s="58" t="str">
        <f aca="false">IF(AND(OR(BU794="L1",BU794="L23"),AF794&gt;0),SUMIFS($AF$7:$AF$1576,$BU$7:$BU$1576,BU794,$AI$7:$AI$1576,"&gt;"&amp;AI794)+SUMIFS($AF$7:$AF$1576,$BU$7:$BU$1576,BU794,$AI$7:$AI$1576,AI794,$BO$7:$BO$1576,"&lt;="&amp;BO794),"")</f>
        <v/>
      </c>
      <c r="AK794" s="65" t="n">
        <f aca="false">IF(AJ794="",0,MAX(0,MIN(1,(IF(BU794="L1",Parameter!$E$5,Parameter!$E$6+Parameter!$E$7)-(AJ794-AF794))/AF794)))</f>
        <v>0</v>
      </c>
      <c r="AL794" s="57" t="n">
        <f aca="false">IF(LEFT(Cockpit!$I$5,1)="A",G794,IF(BW794=1,BX794,IF(LEFT(Cockpit!$I$5,1)="B",AP794,MAX(AP794,G794))))</f>
        <v>618</v>
      </c>
      <c r="AM794" s="57" t="n">
        <f aca="false">IF(BR794=1,0,ROUNDUP(AL794/BQ794,0))</f>
        <v>3</v>
      </c>
      <c r="AN794" s="59" t="n">
        <f aca="false">IF(CD794&gt;0,CD794*MAX(1,AL794/V794),IF(BR794=1,IF(AL794&lt;=0,0,BS794*MAX(1,IF(G794&gt;0,AL794/G794,1))),IF(Q794&gt;0,AM794/Q794,0))/MAX(0.1,N(Parameter!$M$21)))</f>
        <v>0.0454545454545455</v>
      </c>
      <c r="AO794" s="57" t="n">
        <f aca="false">AL794*F794</f>
        <v>185.4</v>
      </c>
      <c r="AP794" s="57" t="n">
        <f aca="false">ROUNDUP(MAX(I794/IF(BV794&gt;0,BV794,MAX(0.1,N(Cockpit!$I$6))),BY794)/BQ794,0)*BQ794</f>
        <v>618</v>
      </c>
      <c r="AQ794" s="58" t="n">
        <f aca="false">IF(AN794&gt;0,I794/AN794,-1)</f>
        <v>8470</v>
      </c>
      <c r="AR794" s="58" t="n">
        <f aca="false">IF(AND(OR(BU794="L1",BU794="L23"),AN794&gt;0),SUMIFS($AN$7:$AN$1576,$BU$7:$BU$1576,BU794,$AQ$7:$AQ$1576,"&gt;"&amp;AQ794)+SUMIFS($AN$7:$AN$1576,$BU$7:$BU$1576,BU794,$AQ$7:$AQ$1576,AQ794,$BO$7:$BO$1576,"&lt;="&amp;BO794),"")</f>
        <v>7.93680348636871</v>
      </c>
      <c r="AS794" s="65" t="n">
        <f aca="false">IF(AR794="",0,MAX(0,MIN(1,(IF(BU794="L1",Parameter!$E$5,Parameter!$E$6+Parameter!$E$7)-(AR794-AN794))/AN794)))</f>
        <v>1</v>
      </c>
      <c r="AT794" s="57" t="n">
        <f aca="false">IF(LEFT(Cockpit!$O$5,1)="A",G794,IF(BW794=1,BX794,IF(LEFT(Cockpit!$O$5,1)="B",AX794,MAX(AX794,G794))))</f>
        <v>618</v>
      </c>
      <c r="AU794" s="57" t="n">
        <f aca="false">IF(BR794=1,0,ROUNDUP(AT794/BQ794,0))</f>
        <v>3</v>
      </c>
      <c r="AV794" s="59" t="n">
        <f aca="false">IF(CD794&gt;0,CD794*MAX(1,AT794/V794),IF(BR794=1,IF(AT794&lt;=0,0,BS794*MAX(1,IF(G794&gt;0,AT794/G794,1))),IF(Q794&gt;0,AU794/Q794,0))/MAX(0.1,N(Parameter!$M$21)))</f>
        <v>0.0454545454545455</v>
      </c>
      <c r="AW794" s="57" t="n">
        <f aca="false">AT794*F794</f>
        <v>185.4</v>
      </c>
      <c r="AX794" s="57" t="n">
        <f aca="false">ROUNDUP(MAX(I794/IF(BV794&gt;0,BV794,MAX(0.1,N(Cockpit!$O$6))),BY794)/BQ794,0)*BQ794</f>
        <v>618</v>
      </c>
      <c r="AY794" s="58" t="n">
        <f aca="false">IF(AV794&gt;0,I794/AV794,-1)</f>
        <v>8470</v>
      </c>
      <c r="AZ794" s="58" t="n">
        <f aca="false">IF(AND(OR(BU794="L1",BU794="L23"),AV794&gt;0),SUMIFS($AV$7:$AV$1576,$BU$7:$BU$1576,BU794,$AY$7:$AY$1576,"&gt;"&amp;AY794)+SUMIFS($AV$7:$AV$1576,$BU$7:$BU$1576,BU794,$AY$7:$AY$1576,AY794,$BO$7:$BO$1576,"&lt;="&amp;BO794),"")</f>
        <v>7.95253775210297</v>
      </c>
      <c r="BA794" s="65" t="n">
        <f aca="false">IF(AZ794="",0,MAX(0,MIN(1,(IF(BU794="L1",Parameter!$E$5,Parameter!$E$6+Parameter!$E$7)-(AZ794-AV794))/AV794)))</f>
        <v>1</v>
      </c>
      <c r="BB794" s="55" t="str">
        <f aca="false">IF(AF794&lt;=0,"",IF(BU794="Aussen","Aussenlager",IF(BU794="-","Nicht im Lift",IF(AK794&gt;=1,"Lift",IF(AK794&lt;=0,"Aussenlager","teilweise")))))</f>
        <v/>
      </c>
      <c r="BC794" s="55" t="str">
        <f aca="false">IF(AN794&lt;=0,"",IF(BU794="Aussen","Aussenlager",IF(BU794="-","Nicht im Lift",IF(AS794&gt;=1,"Lift",IF(AS794&lt;=0,"Aussenlager","teilweise")))))</f>
        <v>Lift</v>
      </c>
      <c r="BD794" s="55" t="str">
        <f aca="false">IF(AV794&lt;=0,"",IF(BU794="Aussen","Aussenlager",IF(BU794="-","Nicht im Lift",IF(BA794&gt;=1,"Lift",IF(BA794&lt;=0,"Aussenlager","teilweise")))))</f>
        <v>Lift</v>
      </c>
      <c r="BE794" s="55" t="str">
        <f aca="false">IF(A794="","",IF(BN794=1,"Neu; ","")&amp;IF(AND(BN794=0,BI794&lt;0),"negativer Bestand (Export "&amp;BI794&amp;"); ","")&amp;IF(I794&lt;=0,"Kein Verbrauch; ","")&amp;IF(CD794&gt;0,"Lift "&amp;U794&amp;" lt. Liftbericht (Fach "&amp;V794&amp;" Stk); ",IF(BR794=1,"Lose – Fläche geschätzt; ",""))&amp;IF(G794&gt;AP794,"Überbestand "&amp;ROUND(G794-AP794,0)&amp;" Stk / CHF "&amp;ROUND((G794-AP794)*F794,0)&amp;"; ","")&amp;IF(AND(BW794=1,BX794&lt;BY794),"MAX &lt; MB+LG; ","")&amp;IF(AND(CC794&gt;0,CB794*10&gt;CC794),"zu hoch für Tablar; ","")&amp;IF(AND(BN794=0,OR(BW794=1,Y794&lt;&gt;"",S794&lt;&gt;"",T794&lt;&gt;"",Z794&lt;&gt;"")),"manuell übersteuert; ","")&amp;IF(AND(BR794=0,Q794=0),"Gebinde unbekannt / Stellmass fehlt; ","")&amp;IF(AND(BR794=0,N(T794)&lt;=0,N(P794)&lt;=0),"Menge pro Gebinde fehlt (Ist = 1 Gebinde); ","")&amp;BM794)</f>
        <v>negativer Bestand (Export -15); </v>
      </c>
      <c r="BF794" s="55"/>
      <c r="BG794" s="55"/>
      <c r="BH794" s="62"/>
      <c r="BI794" s="57" t="n">
        <v>-15</v>
      </c>
      <c r="BJ794" s="57" t="n">
        <v>114</v>
      </c>
      <c r="BK794" s="56" t="n">
        <v>-3.56000000000001</v>
      </c>
      <c r="BL794" s="57" t="n">
        <v>385</v>
      </c>
      <c r="BM794" s="55"/>
      <c r="BN794" s="60" t="n">
        <v>0</v>
      </c>
      <c r="BO794" s="60" t="n">
        <v>794</v>
      </c>
      <c r="BP794" s="55" t="str">
        <f aca="false">IF(S794&lt;&gt;"",UPPER(TRIM(S794)),IF(O794="","LOSE",O794))</f>
        <v>S33</v>
      </c>
      <c r="BQ794" s="57" t="n">
        <f aca="false">IF(BP794="LOSE",1,IF(N(T794)&gt;0,T794,IF(N(P794)&gt;0,P794,MAX(1,G794))))</f>
        <v>206</v>
      </c>
      <c r="BR794" s="60" t="n">
        <f aca="false">IF(BP794="LOSE",1,0)</f>
        <v>0</v>
      </c>
      <c r="BS794" s="59" t="n">
        <f aca="false">IF(BR794=0,0,IF(N(R794)&gt;0,R794,IFERROR(VLOOKUP(D794,Parameter!$A$35:$C$64,3,0)+0,0)))</f>
        <v>0</v>
      </c>
      <c r="BT794" s="55" t="n">
        <f aca="false">IF(Y794&lt;&gt;"",Y794,X794)</f>
        <v>3</v>
      </c>
      <c r="BU794" s="55" t="str">
        <f aca="false">IF(BT794=1,"L1",IF(OR(BT794=2,BT794=3),"L23",IF(BT794="Aussen","Aussen","-")))</f>
        <v>L23</v>
      </c>
      <c r="BV794" s="66" t="n">
        <f aca="false">IF(N(Z794)&gt;0,Z794,0)</f>
        <v>0</v>
      </c>
      <c r="BW794" s="60" t="n">
        <f aca="false">IF(ISNUMBER(AC794),1,0)</f>
        <v>0</v>
      </c>
      <c r="BX794" s="57" t="n">
        <f aca="false">N(AC794)</f>
        <v>0</v>
      </c>
      <c r="BY794" s="57" t="n">
        <f aca="false">N(L794)+N(M794)</f>
        <v>414</v>
      </c>
      <c r="BZ794" s="57" t="n">
        <f aca="false">ROUNDUP(G794/BQ794,0)</f>
        <v>0</v>
      </c>
      <c r="CA794" s="57" t="n">
        <f aca="false">ROUNDUP(BX794/BQ794,0)</f>
        <v>0</v>
      </c>
      <c r="CB794" s="60" t="n">
        <f aca="false">IF(BR794=1,0,IFERROR(VLOOKUP(BP794,'Gebinde-Kategorie'!$A$5:$M$45,5,0)+0,0))</f>
        <v>8</v>
      </c>
      <c r="CC794" s="60" t="n">
        <f aca="false">IFERROR(IF(OR(BT794=1,BT794=2,BT794=3),N(INDEX(Parameter!$I$5:$I$7,BT794)),0),0)</f>
        <v>0</v>
      </c>
      <c r="CD794" s="59" t="n">
        <f aca="false">IF(AND(Parameter!$B$21="Ja",ISNUMBER(U794),N(V794)&gt;0),IFERROR(N(INDEX(Parameter!$L$5:$L$7,U794))*INDEX(Parameter!$E$5:$E$7,U794)*V794/SUMIFS($V$7:$V$1576,$U$7:$U$1576,U794),0),0)</f>
        <v>0</v>
      </c>
    </row>
    <row r="795" customFormat="false" ht="15" hidden="false" customHeight="false" outlineLevel="0" collapsed="false">
      <c r="A795" s="55" t="s">
        <v>1533</v>
      </c>
      <c r="B795" s="55" t="s">
        <v>643</v>
      </c>
      <c r="C795" s="55" t="s">
        <v>446</v>
      </c>
      <c r="D795" s="55" t="s">
        <v>178</v>
      </c>
      <c r="E795" s="55" t="s">
        <v>210</v>
      </c>
      <c r="F795" s="56" t="n">
        <v>0.04</v>
      </c>
      <c r="G795" s="57" t="n">
        <f aca="false">MAX(0,IF(AND(Parameter!$B$21="Ja",ISNUMBER(W795)),W795,IF(Parameter!$B$20="Jahresanfang 2025 + Export",BJ795+BI795,BI795)))</f>
        <v>0</v>
      </c>
      <c r="H795" s="57" t="n">
        <f aca="false">G795*F795</f>
        <v>0</v>
      </c>
      <c r="I795" s="57" t="n">
        <f aca="false">BL795*Parameter!$B$18</f>
        <v>96</v>
      </c>
      <c r="J795" s="58" t="n">
        <v>96</v>
      </c>
      <c r="K795" s="59" t="n">
        <v>1</v>
      </c>
      <c r="L795" s="57" t="n">
        <v>3</v>
      </c>
      <c r="M795" s="57" t="n">
        <v>95</v>
      </c>
      <c r="N795" s="60" t="n">
        <v>14</v>
      </c>
      <c r="O795" s="55" t="s">
        <v>163</v>
      </c>
      <c r="P795" s="57"/>
      <c r="Q795" s="60" t="n">
        <f aca="false">IF(BR795=1,0,IFERROR(VLOOKUP(BP795,'Gebinde-Kategorie'!$A$5:$M$45,13,0)+0,0))</f>
        <v>0</v>
      </c>
      <c r="R795" s="61"/>
      <c r="S795" s="62"/>
      <c r="T795" s="62"/>
      <c r="U795" s="55"/>
      <c r="V795" s="57"/>
      <c r="W795" s="57"/>
      <c r="X795" s="55" t="n">
        <f aca="false">IF(A795="","",IF(AND(Parameter!$B$21="Ja",ISNUMBER(U795)),U795,IF(IFERROR(VLOOKUP(D795,Parameter!$A$35:$C$64,2,0),"Nein")="2+3",IF(ISNUMBER(SEARCH("grosser Artikel",BM795)),2,IFERROR(VLOOKUP(BP795,Parameter!$F$35:$G$64,2,0),2)),IF(OR(IFERROR(VLOOKUP(D795,Parameter!$A$35:$C$64,2,0),"Nein")="Nein",IFERROR(VLOOKUP(D795,Parameter!$A$35:$C$64,2,0),"Nein")=""),"-",VLOOKUP(D795,Parameter!$A$35:$C$64,2,0)))))</f>
        <v>2</v>
      </c>
      <c r="Y795" s="62"/>
      <c r="Z795" s="63"/>
      <c r="AA795" s="57" t="n">
        <f aca="false">AP795</f>
        <v>98</v>
      </c>
      <c r="AB795" s="57" t="n">
        <f aca="false">MAX(AP795,G795)</f>
        <v>98</v>
      </c>
      <c r="AC795" s="64"/>
      <c r="AD795" s="57" t="n">
        <f aca="false">IF(LEFT(Cockpit!$C$5,1)="A",G795,IF(BW795=1,BX795,IF(LEFT(Cockpit!$C$5,1)="B",AH795,MAX(AH795,G795))))</f>
        <v>0</v>
      </c>
      <c r="AE795" s="57" t="n">
        <f aca="false">IF(BR795=1,0,ROUNDUP(AD795/BQ795,0))</f>
        <v>0</v>
      </c>
      <c r="AF795" s="59" t="n">
        <f aca="false">IF(CD795&gt;0,CD795*MAX(1,AD795/V795),IF(BR795=1,IF(AD795&lt;=0,0,BS795*MAX(1,IF(G795&gt;0,AD795/G795,1))),IF(Q795&gt;0,AE795/Q795,0))/MAX(0.1,N(Parameter!$M$21)))</f>
        <v>0</v>
      </c>
      <c r="AG795" s="57" t="n">
        <f aca="false">AD795*F795</f>
        <v>0</v>
      </c>
      <c r="AH795" s="57" t="n">
        <f aca="false">ROUNDUP(MAX(I795/IF(BV795&gt;0,BV795,MAX(0.1,N(Cockpit!$C$6))),BY795)/BQ795,0)*BQ795</f>
        <v>98</v>
      </c>
      <c r="AI795" s="58" t="n">
        <f aca="false">IF(AF795&gt;0,I795/AF795,-1)</f>
        <v>-1</v>
      </c>
      <c r="AJ795" s="58" t="str">
        <f aca="false">IF(AND(OR(BU795="L1",BU795="L23"),AF795&gt;0),SUMIFS($AF$7:$AF$1576,$BU$7:$BU$1576,BU795,$AI$7:$AI$1576,"&gt;"&amp;AI795)+SUMIFS($AF$7:$AF$1576,$BU$7:$BU$1576,BU795,$AI$7:$AI$1576,AI795,$BO$7:$BO$1576,"&lt;="&amp;BO795),"")</f>
        <v/>
      </c>
      <c r="AK795" s="65" t="n">
        <f aca="false">IF(AJ795="",0,MAX(0,MIN(1,(IF(BU795="L1",Parameter!$E$5,Parameter!$E$6+Parameter!$E$7)-(AJ795-AF795))/AF795)))</f>
        <v>0</v>
      </c>
      <c r="AL795" s="57" t="n">
        <f aca="false">IF(LEFT(Cockpit!$I$5,1)="A",G795,IF(BW795=1,BX795,IF(LEFT(Cockpit!$I$5,1)="B",AP795,MAX(AP795,G795))))</f>
        <v>98</v>
      </c>
      <c r="AM795" s="57" t="n">
        <f aca="false">IF(BR795=1,0,ROUNDUP(AL795/BQ795,0))</f>
        <v>0</v>
      </c>
      <c r="AN795" s="59" t="n">
        <f aca="false">IF(CD795&gt;0,CD795*MAX(1,AL795/V795),IF(BR795=1,IF(AL795&lt;=0,0,BS795*MAX(1,IF(G795&gt;0,AL795/G795,1))),IF(Q795&gt;0,AM795/Q795,0))/MAX(0.1,N(Parameter!$M$21)))</f>
        <v>0.03</v>
      </c>
      <c r="AO795" s="57" t="n">
        <f aca="false">AL795*F795</f>
        <v>3.92</v>
      </c>
      <c r="AP795" s="57" t="n">
        <f aca="false">ROUNDUP(MAX(I795/IF(BV795&gt;0,BV795,MAX(0.1,N(Cockpit!$I$6))),BY795)/BQ795,0)*BQ795</f>
        <v>98</v>
      </c>
      <c r="AQ795" s="58" t="n">
        <f aca="false">IF(AN795&gt;0,I795/AN795,-1)</f>
        <v>3200</v>
      </c>
      <c r="AR795" s="58" t="n">
        <f aca="false">IF(AND(OR(BU795="L1",BU795="L23"),AN795&gt;0),SUMIFS($AN$7:$AN$1576,$BU$7:$BU$1576,BU795,$AQ$7:$AQ$1576,"&gt;"&amp;AQ795)+SUMIFS($AN$7:$AN$1576,$BU$7:$BU$1576,BU795,$AQ$7:$AQ$1576,AQ795,$BO$7:$BO$1576,"&lt;="&amp;BO795),"")</f>
        <v>14.1138187662579</v>
      </c>
      <c r="AS795" s="65" t="n">
        <f aca="false">IF(AR795="",0,MAX(0,MIN(1,(IF(BU795="L1",Parameter!$E$5,Parameter!$E$6+Parameter!$E$7)-(AR795-AN795))/AN795)))</f>
        <v>1</v>
      </c>
      <c r="AT795" s="57" t="n">
        <f aca="false">IF(LEFT(Cockpit!$O$5,1)="A",G795,IF(BW795=1,BX795,IF(LEFT(Cockpit!$O$5,1)="B",AX795,MAX(AX795,G795))))</f>
        <v>98</v>
      </c>
      <c r="AU795" s="57" t="n">
        <f aca="false">IF(BR795=1,0,ROUNDUP(AT795/BQ795,0))</f>
        <v>0</v>
      </c>
      <c r="AV795" s="59" t="n">
        <f aca="false">IF(CD795&gt;0,CD795*MAX(1,AT795/V795),IF(BR795=1,IF(AT795&lt;=0,0,BS795*MAX(1,IF(G795&gt;0,AT795/G795,1))),IF(Q795&gt;0,AU795/Q795,0))/MAX(0.1,N(Parameter!$M$21)))</f>
        <v>0.03</v>
      </c>
      <c r="AW795" s="57" t="n">
        <f aca="false">AT795*F795</f>
        <v>3.92</v>
      </c>
      <c r="AX795" s="57" t="n">
        <f aca="false">ROUNDUP(MAX(I795/IF(BV795&gt;0,BV795,MAX(0.1,N(Cockpit!$O$6))),BY795)/BQ795,0)*BQ795</f>
        <v>98</v>
      </c>
      <c r="AY795" s="58" t="n">
        <f aca="false">IF(AV795&gt;0,I795/AV795,-1)</f>
        <v>3200</v>
      </c>
      <c r="AZ795" s="58" t="n">
        <f aca="false">IF(AND(OR(BU795="L1",BU795="L23"),AV795&gt;0),SUMIFS($AV$7:$AV$1576,$BU$7:$BU$1576,BU795,$AY$7:$AY$1576,"&gt;"&amp;AY795)+SUMIFS($AV$7:$AV$1576,$BU$7:$BU$1576,BU795,$AY$7:$AY$1576,AY795,$BO$7:$BO$1576,"&lt;="&amp;BO795),"")</f>
        <v>12.9116043140434</v>
      </c>
      <c r="BA795" s="65" t="n">
        <f aca="false">IF(AZ795="",0,MAX(0,MIN(1,(IF(BU795="L1",Parameter!$E$5,Parameter!$E$6+Parameter!$E$7)-(AZ795-AV795))/AV795)))</f>
        <v>1</v>
      </c>
      <c r="BB795" s="55" t="str">
        <f aca="false">IF(AF795&lt;=0,"",IF(BU795="Aussen","Aussenlager",IF(BU795="-","Nicht im Lift",IF(AK795&gt;=1,"Lift",IF(AK795&lt;=0,"Aussenlager","teilweise")))))</f>
        <v/>
      </c>
      <c r="BC795" s="55" t="str">
        <f aca="false">IF(AN795&lt;=0,"",IF(BU795="Aussen","Aussenlager",IF(BU795="-","Nicht im Lift",IF(AS795&gt;=1,"Lift",IF(AS795&lt;=0,"Aussenlager","teilweise")))))</f>
        <v>Lift</v>
      </c>
      <c r="BD795" s="55" t="str">
        <f aca="false">IF(AV795&lt;=0,"",IF(BU795="Aussen","Aussenlager",IF(BU795="-","Nicht im Lift",IF(BA795&gt;=1,"Lift",IF(BA795&lt;=0,"Aussenlager","teilweise")))))</f>
        <v>Lift</v>
      </c>
      <c r="BE795" s="55" t="str">
        <f aca="false">IF(A795="","",IF(BN795=1,"Neu; ","")&amp;IF(AND(BN795=0,BI795&lt;0),"negativer Bestand (Export "&amp;BI795&amp;"); ","")&amp;IF(I795&lt;=0,"Kein Verbrauch; ","")&amp;IF(CD795&gt;0,"Lift "&amp;U795&amp;" lt. Liftbericht (Fach "&amp;V795&amp;" Stk); ",IF(BR795=1,"Lose – Fläche geschätzt; ",""))&amp;IF(G795&gt;AP795,"Überbestand "&amp;ROUND(G795-AP795,0)&amp;" Stk / CHF "&amp;ROUND((G795-AP795)*F795,0)&amp;"; ","")&amp;IF(AND(BW795=1,BX795&lt;BY795),"MAX &lt; MB+LG; ","")&amp;IF(AND(CC795&gt;0,CB795*10&gt;CC795),"zu hoch für Tablar; ","")&amp;IF(AND(BN795=0,OR(BW795=1,Y795&lt;&gt;"",S795&lt;&gt;"",T795&lt;&gt;"",Z795&lt;&gt;"")),"manuell übersteuert; ","")&amp;IF(AND(BR795=0,Q795=0),"Gebinde unbekannt / Stellmass fehlt; ","")&amp;IF(AND(BR795=0,N(T795)&lt;=0,N(P795)&lt;=0),"Menge pro Gebinde fehlt (Ist = 1 Gebinde); ","")&amp;BM795)</f>
        <v>negativer Bestand (Export -96); Lose – Fläche geschätzt; </v>
      </c>
      <c r="BF795" s="55"/>
      <c r="BG795" s="55"/>
      <c r="BH795" s="62"/>
      <c r="BI795" s="57" t="n">
        <v>-96</v>
      </c>
      <c r="BJ795" s="57" t="n">
        <v>192</v>
      </c>
      <c r="BK795" s="56" t="n">
        <v>-3.84</v>
      </c>
      <c r="BL795" s="57" t="n">
        <v>96</v>
      </c>
      <c r="BM795" s="55"/>
      <c r="BN795" s="60" t="n">
        <v>0</v>
      </c>
      <c r="BO795" s="60" t="n">
        <v>795</v>
      </c>
      <c r="BP795" s="55" t="str">
        <f aca="false">IF(S795&lt;&gt;"",UPPER(TRIM(S795)),IF(O795="","LOSE",O795))</f>
        <v>LOSE</v>
      </c>
      <c r="BQ795" s="57" t="n">
        <f aca="false">IF(BP795="LOSE",1,IF(N(T795)&gt;0,T795,IF(N(P795)&gt;0,P795,MAX(1,G795))))</f>
        <v>1</v>
      </c>
      <c r="BR795" s="60" t="n">
        <f aca="false">IF(BP795="LOSE",1,0)</f>
        <v>1</v>
      </c>
      <c r="BS795" s="59" t="n">
        <f aca="false">IF(BR795=0,0,IF(N(R795)&gt;0,R795,IFERROR(VLOOKUP(D795,Parameter!$A$35:$C$64,3,0)+0,0)))</f>
        <v>0.03</v>
      </c>
      <c r="BT795" s="55" t="n">
        <f aca="false">IF(Y795&lt;&gt;"",Y795,X795)</f>
        <v>2</v>
      </c>
      <c r="BU795" s="55" t="str">
        <f aca="false">IF(BT795=1,"L1",IF(OR(BT795=2,BT795=3),"L23",IF(BT795="Aussen","Aussen","-")))</f>
        <v>L23</v>
      </c>
      <c r="BV795" s="66" t="n">
        <f aca="false">IF(N(Z795)&gt;0,Z795,0)</f>
        <v>0</v>
      </c>
      <c r="BW795" s="60" t="n">
        <f aca="false">IF(ISNUMBER(AC795),1,0)</f>
        <v>0</v>
      </c>
      <c r="BX795" s="57" t="n">
        <f aca="false">N(AC795)</f>
        <v>0</v>
      </c>
      <c r="BY795" s="57" t="n">
        <f aca="false">N(L795)+N(M795)</f>
        <v>98</v>
      </c>
      <c r="BZ795" s="57" t="n">
        <f aca="false">ROUNDUP(G795/BQ795,0)</f>
        <v>0</v>
      </c>
      <c r="CA795" s="57" t="n">
        <f aca="false">ROUNDUP(BX795/BQ795,0)</f>
        <v>0</v>
      </c>
      <c r="CB795" s="60" t="n">
        <f aca="false">IF(BR795=1,0,IFERROR(VLOOKUP(BP795,'Gebinde-Kategorie'!$A$5:$M$45,5,0)+0,0))</f>
        <v>0</v>
      </c>
      <c r="CC795" s="60" t="n">
        <f aca="false">IFERROR(IF(OR(BT795=1,BT795=2,BT795=3),N(INDEX(Parameter!$I$5:$I$7,BT795)),0),0)</f>
        <v>0</v>
      </c>
      <c r="CD795" s="59" t="n">
        <f aca="false">IF(AND(Parameter!$B$21="Ja",ISNUMBER(U795),N(V795)&gt;0),IFERROR(N(INDEX(Parameter!$L$5:$L$7,U795))*INDEX(Parameter!$E$5:$E$7,U795)*V795/SUMIFS($V$7:$V$1576,$U$7:$U$1576,U795),0),0)</f>
        <v>0</v>
      </c>
    </row>
    <row r="796" customFormat="false" ht="15" hidden="false" customHeight="false" outlineLevel="0" collapsed="false">
      <c r="A796" s="55" t="s">
        <v>1534</v>
      </c>
      <c r="B796" s="55" t="s">
        <v>1535</v>
      </c>
      <c r="C796" s="55" t="s">
        <v>160</v>
      </c>
      <c r="D796" s="55" t="s">
        <v>178</v>
      </c>
      <c r="E796" s="55" t="s">
        <v>210</v>
      </c>
      <c r="F796" s="56" t="n">
        <v>1.95</v>
      </c>
      <c r="G796" s="57" t="n">
        <f aca="false">MAX(0,IF(AND(Parameter!$B$21="Ja",ISNUMBER(W796)),W796,IF(Parameter!$B$20="Jahresanfang 2025 + Export",BJ796+BI796,BI796)))</f>
        <v>0</v>
      </c>
      <c r="H796" s="57" t="n">
        <f aca="false">G796*F796</f>
        <v>0</v>
      </c>
      <c r="I796" s="57" t="n">
        <f aca="false">BL796*Parameter!$B$18</f>
        <v>1</v>
      </c>
      <c r="J796" s="58" t="n">
        <v>4.5</v>
      </c>
      <c r="K796" s="59" t="n">
        <v>0.222222222222222</v>
      </c>
      <c r="L796" s="57" t="n">
        <v>0</v>
      </c>
      <c r="M796" s="57" t="n">
        <v>1</v>
      </c>
      <c r="N796" s="60" t="n">
        <v>42</v>
      </c>
      <c r="O796" s="55" t="s">
        <v>416</v>
      </c>
      <c r="P796" s="57" t="n">
        <v>5</v>
      </c>
      <c r="Q796" s="60" t="n">
        <f aca="false">IF(BR796=1,0,IFERROR(VLOOKUP(BP796,'Gebinde-Kategorie'!$A$5:$M$45,13,0)+0,0))</f>
        <v>198</v>
      </c>
      <c r="R796" s="61"/>
      <c r="S796" s="62"/>
      <c r="T796" s="62"/>
      <c r="U796" s="55"/>
      <c r="V796" s="57"/>
      <c r="W796" s="57"/>
      <c r="X796" s="55" t="n">
        <f aca="false">IF(A796="","",IF(AND(Parameter!$B$21="Ja",ISNUMBER(U796)),U796,IF(IFERROR(VLOOKUP(D796,Parameter!$A$35:$C$64,2,0),"Nein")="2+3",IF(ISNUMBER(SEARCH("grosser Artikel",BM796)),2,IFERROR(VLOOKUP(BP796,Parameter!$F$35:$G$64,2,0),2)),IF(OR(IFERROR(VLOOKUP(D796,Parameter!$A$35:$C$64,2,0),"Nein")="Nein",IFERROR(VLOOKUP(D796,Parameter!$A$35:$C$64,2,0),"Nein")=""),"-",VLOOKUP(D796,Parameter!$A$35:$C$64,2,0)))))</f>
        <v>3</v>
      </c>
      <c r="Y796" s="62"/>
      <c r="Z796" s="63"/>
      <c r="AA796" s="57" t="n">
        <f aca="false">AP796</f>
        <v>5</v>
      </c>
      <c r="AB796" s="57" t="n">
        <f aca="false">MAX(AP796,G796)</f>
        <v>5</v>
      </c>
      <c r="AC796" s="64"/>
      <c r="AD796" s="57" t="n">
        <f aca="false">IF(LEFT(Cockpit!$C$5,1)="A",G796,IF(BW796=1,BX796,IF(LEFT(Cockpit!$C$5,1)="B",AH796,MAX(AH796,G796))))</f>
        <v>0</v>
      </c>
      <c r="AE796" s="57" t="n">
        <f aca="false">IF(BR796=1,0,ROUNDUP(AD796/BQ796,0))</f>
        <v>0</v>
      </c>
      <c r="AF796" s="59" t="n">
        <f aca="false">IF(CD796&gt;0,CD796*MAX(1,AD796/V796),IF(BR796=1,IF(AD796&lt;=0,0,BS796*MAX(1,IF(G796&gt;0,AD796/G796,1))),IF(Q796&gt;0,AE796/Q796,0))/MAX(0.1,N(Parameter!$M$21)))</f>
        <v>0</v>
      </c>
      <c r="AG796" s="57" t="n">
        <f aca="false">AD796*F796</f>
        <v>0</v>
      </c>
      <c r="AH796" s="57" t="n">
        <f aca="false">ROUNDUP(MAX(I796/IF(BV796&gt;0,BV796,MAX(0.1,N(Cockpit!$C$6))),BY796)/BQ796,0)*BQ796</f>
        <v>5</v>
      </c>
      <c r="AI796" s="58" t="n">
        <f aca="false">IF(AF796&gt;0,I796/AF796,-1)</f>
        <v>-1</v>
      </c>
      <c r="AJ796" s="58" t="str">
        <f aca="false">IF(AND(OR(BU796="L1",BU796="L23"),AF796&gt;0),SUMIFS($AF$7:$AF$1576,$BU$7:$BU$1576,BU796,$AI$7:$AI$1576,"&gt;"&amp;AI796)+SUMIFS($AF$7:$AF$1576,$BU$7:$BU$1576,BU796,$AI$7:$AI$1576,AI796,$BO$7:$BO$1576,"&lt;="&amp;BO796),"")</f>
        <v/>
      </c>
      <c r="AK796" s="65" t="n">
        <f aca="false">IF(AJ796="",0,MAX(0,MIN(1,(IF(BU796="L1",Parameter!$E$5,Parameter!$E$6+Parameter!$E$7)-(AJ796-AF796))/AF796)))</f>
        <v>0</v>
      </c>
      <c r="AL796" s="57" t="n">
        <f aca="false">IF(LEFT(Cockpit!$I$5,1)="A",G796,IF(BW796=1,BX796,IF(LEFT(Cockpit!$I$5,1)="B",AP796,MAX(AP796,G796))))</f>
        <v>5</v>
      </c>
      <c r="AM796" s="57" t="n">
        <f aca="false">IF(BR796=1,0,ROUNDUP(AL796/BQ796,0))</f>
        <v>1</v>
      </c>
      <c r="AN796" s="59" t="n">
        <f aca="false">IF(CD796&gt;0,CD796*MAX(1,AL796/V796),IF(BR796=1,IF(AL796&lt;=0,0,BS796*MAX(1,IF(G796&gt;0,AL796/G796,1))),IF(Q796&gt;0,AM796/Q796,0))/MAX(0.1,N(Parameter!$M$21)))</f>
        <v>0.00505050505050505</v>
      </c>
      <c r="AO796" s="57" t="n">
        <f aca="false">AL796*F796</f>
        <v>9.75</v>
      </c>
      <c r="AP796" s="57" t="n">
        <f aca="false">ROUNDUP(MAX(I796/IF(BV796&gt;0,BV796,MAX(0.1,N(Cockpit!$I$6))),BY796)/BQ796,0)*BQ796</f>
        <v>5</v>
      </c>
      <c r="AQ796" s="58" t="n">
        <f aca="false">IF(AN796&gt;0,I796/AN796,-1)</f>
        <v>198</v>
      </c>
      <c r="AR796" s="58" t="n">
        <f aca="false">IF(AND(OR(BU796="L1",BU796="L23"),AN796&gt;0),SUMIFS($AN$7:$AN$1576,$BU$7:$BU$1576,BU796,$AQ$7:$AQ$1576,"&gt;"&amp;AQ796)+SUMIFS($AN$7:$AN$1576,$BU$7:$BU$1576,BU796,$AQ$7:$AQ$1576,AQ796,$BO$7:$BO$1576,"&lt;="&amp;BO796),"")</f>
        <v>50.9049544299656</v>
      </c>
      <c r="AS796" s="65" t="n">
        <f aca="false">IF(AR796="",0,MAX(0,MIN(1,(IF(BU796="L1",Parameter!$E$5,Parameter!$E$6+Parameter!$E$7)-(AR796-AN796))/AN796)))</f>
        <v>1</v>
      </c>
      <c r="AT796" s="57" t="n">
        <f aca="false">IF(LEFT(Cockpit!$O$5,1)="A",G796,IF(BW796=1,BX796,IF(LEFT(Cockpit!$O$5,1)="B",AX796,MAX(AX796,G796))))</f>
        <v>5</v>
      </c>
      <c r="AU796" s="57" t="n">
        <f aca="false">IF(BR796=1,0,ROUNDUP(AT796/BQ796,0))</f>
        <v>1</v>
      </c>
      <c r="AV796" s="59" t="n">
        <f aca="false">IF(CD796&gt;0,CD796*MAX(1,AT796/V796),IF(BR796=1,IF(AT796&lt;=0,0,BS796*MAX(1,IF(G796&gt;0,AT796/G796,1))),IF(Q796&gt;0,AU796/Q796,0))/MAX(0.1,N(Parameter!$M$21)))</f>
        <v>0.00505050505050505</v>
      </c>
      <c r="AW796" s="57" t="n">
        <f aca="false">AT796*F796</f>
        <v>9.75</v>
      </c>
      <c r="AX796" s="57" t="n">
        <f aca="false">ROUNDUP(MAX(I796/IF(BV796&gt;0,BV796,MAX(0.1,N(Cockpit!$O$6))),BY796)/BQ796,0)*BQ796</f>
        <v>5</v>
      </c>
      <c r="AY796" s="58" t="n">
        <f aca="false">IF(AV796&gt;0,I796/AV796,-1)</f>
        <v>198</v>
      </c>
      <c r="AZ796" s="58" t="n">
        <f aca="false">IF(AND(OR(BU796="L1",BU796="L23"),AV796&gt;0),SUMIFS($AV$7:$AV$1576,$BU$7:$BU$1576,BU796,$AY$7:$AY$1576,"&gt;"&amp;AY796)+SUMIFS($AV$7:$AV$1576,$BU$7:$BU$1576,BU796,$AY$7:$AY$1576,AY796,$BO$7:$BO$1576,"&lt;="&amp;BO796),"")</f>
        <v>47.101214836226</v>
      </c>
      <c r="BA796" s="65" t="n">
        <f aca="false">IF(AZ796="",0,MAX(0,MIN(1,(IF(BU796="L1",Parameter!$E$5,Parameter!$E$6+Parameter!$E$7)-(AZ796-AV796))/AV796)))</f>
        <v>1</v>
      </c>
      <c r="BB796" s="55" t="str">
        <f aca="false">IF(AF796&lt;=0,"",IF(BU796="Aussen","Aussenlager",IF(BU796="-","Nicht im Lift",IF(AK796&gt;=1,"Lift",IF(AK796&lt;=0,"Aussenlager","teilweise")))))</f>
        <v/>
      </c>
      <c r="BC796" s="55" t="str">
        <f aca="false">IF(AN796&lt;=0,"",IF(BU796="Aussen","Aussenlager",IF(BU796="-","Nicht im Lift",IF(AS796&gt;=1,"Lift",IF(AS796&lt;=0,"Aussenlager","teilweise")))))</f>
        <v>Lift</v>
      </c>
      <c r="BD796" s="55" t="str">
        <f aca="false">IF(AV796&lt;=0,"",IF(BU796="Aussen","Aussenlager",IF(BU796="-","Nicht im Lift",IF(BA796&gt;=1,"Lift",IF(BA796&lt;=0,"Aussenlager","teilweise")))))</f>
        <v>Lift</v>
      </c>
      <c r="BE796" s="55" t="str">
        <f aca="false">IF(A796="","",IF(BN796=1,"Neu; ","")&amp;IF(AND(BN796=0,BI796&lt;0),"negativer Bestand (Export "&amp;BI796&amp;"); ","")&amp;IF(I796&lt;=0,"Kein Verbrauch; ","")&amp;IF(CD796&gt;0,"Lift "&amp;U796&amp;" lt. Liftbericht (Fach "&amp;V796&amp;" Stk); ",IF(BR796=1,"Lose – Fläche geschätzt; ",""))&amp;IF(G796&gt;AP796,"Überbestand "&amp;ROUND(G796-AP796,0)&amp;" Stk / CHF "&amp;ROUND((G796-AP796)*F796,0)&amp;"; ","")&amp;IF(AND(BW796=1,BX796&lt;BY796),"MAX &lt; MB+LG; ","")&amp;IF(AND(CC796&gt;0,CB796*10&gt;CC796),"zu hoch für Tablar; ","")&amp;IF(AND(BN796=0,OR(BW796=1,Y796&lt;&gt;"",S796&lt;&gt;"",T796&lt;&gt;"",Z796&lt;&gt;"")),"manuell übersteuert; ","")&amp;IF(AND(BR796=0,Q796=0),"Gebinde unbekannt / Stellmass fehlt; ","")&amp;IF(AND(BR796=0,N(T796)&lt;=0,N(P796)&lt;=0),"Menge pro Gebinde fehlt (Ist = 1 Gebinde); ","")&amp;BM796)</f>
        <v>negativer Bestand (Export -2); </v>
      </c>
      <c r="BF796" s="55"/>
      <c r="BG796" s="55"/>
      <c r="BH796" s="62"/>
      <c r="BI796" s="57" t="n">
        <v>-2</v>
      </c>
      <c r="BJ796" s="57" t="n">
        <v>5</v>
      </c>
      <c r="BK796" s="56" t="n">
        <v>-3.9</v>
      </c>
      <c r="BL796" s="57" t="n">
        <v>1</v>
      </c>
      <c r="BM796" s="55"/>
      <c r="BN796" s="60" t="n">
        <v>0</v>
      </c>
      <c r="BO796" s="60" t="n">
        <v>796</v>
      </c>
      <c r="BP796" s="55" t="str">
        <f aca="false">IF(S796&lt;&gt;"",UPPER(TRIM(S796)),IF(O796="","LOSE",O796))</f>
        <v>S22</v>
      </c>
      <c r="BQ796" s="57" t="n">
        <f aca="false">IF(BP796="LOSE",1,IF(N(T796)&gt;0,T796,IF(N(P796)&gt;0,P796,MAX(1,G796))))</f>
        <v>5</v>
      </c>
      <c r="BR796" s="60" t="n">
        <f aca="false">IF(BP796="LOSE",1,0)</f>
        <v>0</v>
      </c>
      <c r="BS796" s="59" t="n">
        <f aca="false">IF(BR796=0,0,IF(N(R796)&gt;0,R796,IFERROR(VLOOKUP(D796,Parameter!$A$35:$C$64,3,0)+0,0)))</f>
        <v>0</v>
      </c>
      <c r="BT796" s="55" t="n">
        <f aca="false">IF(Y796&lt;&gt;"",Y796,X796)</f>
        <v>3</v>
      </c>
      <c r="BU796" s="55" t="str">
        <f aca="false">IF(BT796=1,"L1",IF(OR(BT796=2,BT796=3),"L23",IF(BT796="Aussen","Aussen","-")))</f>
        <v>L23</v>
      </c>
      <c r="BV796" s="66" t="n">
        <f aca="false">IF(N(Z796)&gt;0,Z796,0)</f>
        <v>0</v>
      </c>
      <c r="BW796" s="60" t="n">
        <f aca="false">IF(ISNUMBER(AC796),1,0)</f>
        <v>0</v>
      </c>
      <c r="BX796" s="57" t="n">
        <f aca="false">N(AC796)</f>
        <v>0</v>
      </c>
      <c r="BY796" s="57" t="n">
        <f aca="false">N(L796)+N(M796)</f>
        <v>1</v>
      </c>
      <c r="BZ796" s="57" t="n">
        <f aca="false">ROUNDUP(G796/BQ796,0)</f>
        <v>0</v>
      </c>
      <c r="CA796" s="57" t="n">
        <f aca="false">ROUNDUP(BX796/BQ796,0)</f>
        <v>0</v>
      </c>
      <c r="CB796" s="60" t="n">
        <f aca="false">IF(BR796=1,0,IFERROR(VLOOKUP(BP796,'Gebinde-Kategorie'!$A$5:$M$45,5,0)+0,0))</f>
        <v>8</v>
      </c>
      <c r="CC796" s="60" t="n">
        <f aca="false">IFERROR(IF(OR(BT796=1,BT796=2,BT796=3),N(INDEX(Parameter!$I$5:$I$7,BT796)),0),0)</f>
        <v>0</v>
      </c>
      <c r="CD796" s="59" t="n">
        <f aca="false">IF(AND(Parameter!$B$21="Ja",ISNUMBER(U796),N(V796)&gt;0),IFERROR(N(INDEX(Parameter!$L$5:$L$7,U796))*INDEX(Parameter!$E$5:$E$7,U796)*V796/SUMIFS($V$7:$V$1576,$U$7:$U$1576,U796),0),0)</f>
        <v>0</v>
      </c>
    </row>
    <row r="797" customFormat="false" ht="15" hidden="false" customHeight="false" outlineLevel="0" collapsed="false">
      <c r="A797" s="55" t="s">
        <v>1536</v>
      </c>
      <c r="B797" s="55" t="s">
        <v>1537</v>
      </c>
      <c r="C797" s="55" t="s">
        <v>160</v>
      </c>
      <c r="D797" s="55" t="s">
        <v>178</v>
      </c>
      <c r="E797" s="55" t="s">
        <v>210</v>
      </c>
      <c r="F797" s="56" t="n">
        <v>1.26</v>
      </c>
      <c r="G797" s="57" t="n">
        <f aca="false">MAX(0,IF(AND(Parameter!$B$21="Ja",ISNUMBER(W797)),W797,IF(Parameter!$B$20="Jahresanfang 2025 + Export",BJ797+BI797,BI797)))</f>
        <v>0</v>
      </c>
      <c r="H797" s="57" t="n">
        <f aca="false">G797*F797</f>
        <v>0</v>
      </c>
      <c r="I797" s="57" t="n">
        <f aca="false">BL797*Parameter!$B$18</f>
        <v>0</v>
      </c>
      <c r="J797" s="58" t="n">
        <v>106</v>
      </c>
      <c r="K797" s="59" t="n">
        <v>0</v>
      </c>
      <c r="L797" s="57" t="n">
        <v>0</v>
      </c>
      <c r="M797" s="57" t="n">
        <v>1</v>
      </c>
      <c r="N797" s="60" t="n">
        <v>21</v>
      </c>
      <c r="O797" s="55" t="s">
        <v>411</v>
      </c>
      <c r="P797" s="57" t="n">
        <v>100</v>
      </c>
      <c r="Q797" s="60" t="n">
        <f aca="false">IF(BR797=1,0,IFERROR(VLOOKUP(BP797,'Gebinde-Kategorie'!$A$5:$M$45,13,0)+0,0))</f>
        <v>132</v>
      </c>
      <c r="R797" s="61"/>
      <c r="S797" s="62"/>
      <c r="T797" s="62"/>
      <c r="U797" s="55"/>
      <c r="V797" s="57"/>
      <c r="W797" s="57"/>
      <c r="X797" s="55" t="n">
        <f aca="false">IF(A797="","",IF(AND(Parameter!$B$21="Ja",ISNUMBER(U797)),U797,IF(IFERROR(VLOOKUP(D797,Parameter!$A$35:$C$64,2,0),"Nein")="2+3",IF(ISNUMBER(SEARCH("grosser Artikel",BM797)),2,IFERROR(VLOOKUP(BP797,Parameter!$F$35:$G$64,2,0),2)),IF(OR(IFERROR(VLOOKUP(D797,Parameter!$A$35:$C$64,2,0),"Nein")="Nein",IFERROR(VLOOKUP(D797,Parameter!$A$35:$C$64,2,0),"Nein")=""),"-",VLOOKUP(D797,Parameter!$A$35:$C$64,2,0)))))</f>
        <v>3</v>
      </c>
      <c r="Y797" s="62"/>
      <c r="Z797" s="63"/>
      <c r="AA797" s="57" t="n">
        <f aca="false">AP797</f>
        <v>100</v>
      </c>
      <c r="AB797" s="57" t="n">
        <f aca="false">MAX(AP797,G797)</f>
        <v>100</v>
      </c>
      <c r="AC797" s="64"/>
      <c r="AD797" s="57" t="n">
        <f aca="false">IF(LEFT(Cockpit!$C$5,1)="A",G797,IF(BW797=1,BX797,IF(LEFT(Cockpit!$C$5,1)="B",AH797,MAX(AH797,G797))))</f>
        <v>0</v>
      </c>
      <c r="AE797" s="57" t="n">
        <f aca="false">IF(BR797=1,0,ROUNDUP(AD797/BQ797,0))</f>
        <v>0</v>
      </c>
      <c r="AF797" s="59" t="n">
        <f aca="false">IF(CD797&gt;0,CD797*MAX(1,AD797/V797),IF(BR797=1,IF(AD797&lt;=0,0,BS797*MAX(1,IF(G797&gt;0,AD797/G797,1))),IF(Q797&gt;0,AE797/Q797,0))/MAX(0.1,N(Parameter!$M$21)))</f>
        <v>0</v>
      </c>
      <c r="AG797" s="57" t="n">
        <f aca="false">AD797*F797</f>
        <v>0</v>
      </c>
      <c r="AH797" s="57" t="n">
        <f aca="false">ROUNDUP(MAX(I797/IF(BV797&gt;0,BV797,MAX(0.1,N(Cockpit!$C$6))),BY797)/BQ797,0)*BQ797</f>
        <v>100</v>
      </c>
      <c r="AI797" s="58" t="n">
        <f aca="false">IF(AF797&gt;0,I797/AF797,-1)</f>
        <v>-1</v>
      </c>
      <c r="AJ797" s="58" t="str">
        <f aca="false">IF(AND(OR(BU797="L1",BU797="L23"),AF797&gt;0),SUMIFS($AF$7:$AF$1576,$BU$7:$BU$1576,BU797,$AI$7:$AI$1576,"&gt;"&amp;AI797)+SUMIFS($AF$7:$AF$1576,$BU$7:$BU$1576,BU797,$AI$7:$AI$1576,AI797,$BO$7:$BO$1576,"&lt;="&amp;BO797),"")</f>
        <v/>
      </c>
      <c r="AK797" s="65" t="n">
        <f aca="false">IF(AJ797="",0,MAX(0,MIN(1,(IF(BU797="L1",Parameter!$E$5,Parameter!$E$6+Parameter!$E$7)-(AJ797-AF797))/AF797)))</f>
        <v>0</v>
      </c>
      <c r="AL797" s="57" t="n">
        <f aca="false">IF(LEFT(Cockpit!$I$5,1)="A",G797,IF(BW797=1,BX797,IF(LEFT(Cockpit!$I$5,1)="B",AP797,MAX(AP797,G797))))</f>
        <v>100</v>
      </c>
      <c r="AM797" s="57" t="n">
        <f aca="false">IF(BR797=1,0,ROUNDUP(AL797/BQ797,0))</f>
        <v>1</v>
      </c>
      <c r="AN797" s="59" t="n">
        <f aca="false">IF(CD797&gt;0,CD797*MAX(1,AL797/V797),IF(BR797=1,IF(AL797&lt;=0,0,BS797*MAX(1,IF(G797&gt;0,AL797/G797,1))),IF(Q797&gt;0,AM797/Q797,0))/MAX(0.1,N(Parameter!$M$21)))</f>
        <v>0.00757575757575758</v>
      </c>
      <c r="AO797" s="57" t="n">
        <f aca="false">AL797*F797</f>
        <v>126</v>
      </c>
      <c r="AP797" s="57" t="n">
        <f aca="false">ROUNDUP(MAX(I797/IF(BV797&gt;0,BV797,MAX(0.1,N(Cockpit!$I$6))),BY797)/BQ797,0)*BQ797</f>
        <v>100</v>
      </c>
      <c r="AQ797" s="58" t="n">
        <f aca="false">IF(AN797&gt;0,I797/AN797,-1)</f>
        <v>0</v>
      </c>
      <c r="AR797" s="58" t="n">
        <f aca="false">IF(AND(OR(BU797="L1",BU797="L23"),AN797&gt;0),SUMIFS($AN$7:$AN$1576,$BU$7:$BU$1576,BU797,$AQ$7:$AQ$1576,"&gt;"&amp;AQ797)+SUMIFS($AN$7:$AN$1576,$BU$7:$BU$1576,BU797,$AQ$7:$AQ$1576,AQ797,$BO$7:$BO$1576,"&lt;="&amp;BO797),"")</f>
        <v>130.686956256352</v>
      </c>
      <c r="AS797" s="65" t="n">
        <f aca="false">IF(AR797="",0,MAX(0,MIN(1,(IF(BU797="L1",Parameter!$E$5,Parameter!$E$6+Parameter!$E$7)-(AR797-AN797))/AN797)))</f>
        <v>0</v>
      </c>
      <c r="AT797" s="57" t="n">
        <f aca="false">IF(LEFT(Cockpit!$O$5,1)="A",G797,IF(BW797=1,BX797,IF(LEFT(Cockpit!$O$5,1)="B",AX797,MAX(AX797,G797))))</f>
        <v>100</v>
      </c>
      <c r="AU797" s="57" t="n">
        <f aca="false">IF(BR797=1,0,ROUNDUP(AT797/BQ797,0))</f>
        <v>1</v>
      </c>
      <c r="AV797" s="59" t="n">
        <f aca="false">IF(CD797&gt;0,CD797*MAX(1,AT797/V797),IF(BR797=1,IF(AT797&lt;=0,0,BS797*MAX(1,IF(G797&gt;0,AT797/G797,1))),IF(Q797&gt;0,AU797/Q797,0))/MAX(0.1,N(Parameter!$M$21)))</f>
        <v>0.00757575757575758</v>
      </c>
      <c r="AW797" s="57" t="n">
        <f aca="false">AT797*F797</f>
        <v>126</v>
      </c>
      <c r="AX797" s="57" t="n">
        <f aca="false">ROUNDUP(MAX(I797/IF(BV797&gt;0,BV797,MAX(0.1,N(Cockpit!$O$6))),BY797)/BQ797,0)*BQ797</f>
        <v>100</v>
      </c>
      <c r="AY797" s="58" t="n">
        <f aca="false">IF(AV797&gt;0,I797/AV797,-1)</f>
        <v>0</v>
      </c>
      <c r="AZ797" s="58" t="n">
        <f aca="false">IF(AND(OR(BU797="L1",BU797="L23"),AV797&gt;0),SUMIFS($AV$7:$AV$1576,$BU$7:$BU$1576,BU797,$AY$7:$AY$1576,"&gt;"&amp;AY797)+SUMIFS($AV$7:$AV$1576,$BU$7:$BU$1576,BU797,$AY$7:$AY$1576,AY797,$BO$7:$BO$1576,"&lt;="&amp;BO797),"")</f>
        <v>120.746506705902</v>
      </c>
      <c r="BA797" s="65" t="n">
        <f aca="false">IF(AZ797="",0,MAX(0,MIN(1,(IF(BU797="L1",Parameter!$E$5,Parameter!$E$6+Parameter!$E$7)-(AZ797-AV797))/AV797)))</f>
        <v>0</v>
      </c>
      <c r="BB797" s="55" t="str">
        <f aca="false">IF(AF797&lt;=0,"",IF(BU797="Aussen","Aussenlager",IF(BU797="-","Nicht im Lift",IF(AK797&gt;=1,"Lift",IF(AK797&lt;=0,"Aussenlager","teilweise")))))</f>
        <v/>
      </c>
      <c r="BC797" s="55" t="str">
        <f aca="false">IF(AN797&lt;=0,"",IF(BU797="Aussen","Aussenlager",IF(BU797="-","Nicht im Lift",IF(AS797&gt;=1,"Lift",IF(AS797&lt;=0,"Aussenlager","teilweise")))))</f>
        <v>Aussenlager</v>
      </c>
      <c r="BD797" s="55" t="str">
        <f aca="false">IF(AV797&lt;=0,"",IF(BU797="Aussen","Aussenlager",IF(BU797="-","Nicht im Lift",IF(BA797&gt;=1,"Lift",IF(BA797&lt;=0,"Aussenlager","teilweise")))))</f>
        <v>Aussenlager</v>
      </c>
      <c r="BE797" s="55" t="str">
        <f aca="false">IF(A797="","",IF(BN797=1,"Neu; ","")&amp;IF(AND(BN797=0,BI797&lt;0),"negativer Bestand (Export "&amp;BI797&amp;"); ","")&amp;IF(I797&lt;=0,"Kein Verbrauch; ","")&amp;IF(CD797&gt;0,"Lift "&amp;U797&amp;" lt. Liftbericht (Fach "&amp;V797&amp;" Stk); ",IF(BR797=1,"Lose – Fläche geschätzt; ",""))&amp;IF(G797&gt;AP797,"Überbestand "&amp;ROUND(G797-AP797,0)&amp;" Stk / CHF "&amp;ROUND((G797-AP797)*F797,0)&amp;"; ","")&amp;IF(AND(BW797=1,BX797&lt;BY797),"MAX &lt; MB+LG; ","")&amp;IF(AND(CC797&gt;0,CB797*10&gt;CC797),"zu hoch für Tablar; ","")&amp;IF(AND(BN797=0,OR(BW797=1,Y797&lt;&gt;"",S797&lt;&gt;"",T797&lt;&gt;"",Z797&lt;&gt;"")),"manuell übersteuert; ","")&amp;IF(AND(BR797=0,Q797=0),"Gebinde unbekannt / Stellmass fehlt; ","")&amp;IF(AND(BR797=0,N(T797)&lt;=0,N(P797)&lt;=0),"Menge pro Gebinde fehlt (Ist = 1 Gebinde); ","")&amp;BM797)</f>
        <v>negativer Bestand (Export -12); Kein Verbrauch; nicht im KTL vorhanden</v>
      </c>
      <c r="BF797" s="55"/>
      <c r="BG797" s="55"/>
      <c r="BH797" s="62"/>
      <c r="BI797" s="57" t="n">
        <v>-12</v>
      </c>
      <c r="BJ797" s="57" t="n">
        <v>112</v>
      </c>
      <c r="BK797" s="56" t="n">
        <v>-3.91999999999999</v>
      </c>
      <c r="BL797" s="57" t="n">
        <v>0</v>
      </c>
      <c r="BM797" s="55" t="s">
        <v>222</v>
      </c>
      <c r="BN797" s="60" t="n">
        <v>0</v>
      </c>
      <c r="BO797" s="60" t="n">
        <v>797</v>
      </c>
      <c r="BP797" s="55" t="str">
        <f aca="false">IF(S797&lt;&gt;"",UPPER(TRIM(S797)),IF(O797="","LOSE",O797))</f>
        <v>S32</v>
      </c>
      <c r="BQ797" s="57" t="n">
        <f aca="false">IF(BP797="LOSE",1,IF(N(T797)&gt;0,T797,IF(N(P797)&gt;0,P797,MAX(1,G797))))</f>
        <v>100</v>
      </c>
      <c r="BR797" s="60" t="n">
        <f aca="false">IF(BP797="LOSE",1,0)</f>
        <v>0</v>
      </c>
      <c r="BS797" s="59" t="n">
        <f aca="false">IF(BR797=0,0,IF(N(R797)&gt;0,R797,IFERROR(VLOOKUP(D797,Parameter!$A$35:$C$64,3,0)+0,0)))</f>
        <v>0</v>
      </c>
      <c r="BT797" s="55" t="n">
        <f aca="false">IF(Y797&lt;&gt;"",Y797,X797)</f>
        <v>3</v>
      </c>
      <c r="BU797" s="55" t="str">
        <f aca="false">IF(BT797=1,"L1",IF(OR(BT797=2,BT797=3),"L23",IF(BT797="Aussen","Aussen","-")))</f>
        <v>L23</v>
      </c>
      <c r="BV797" s="66" t="n">
        <f aca="false">IF(N(Z797)&gt;0,Z797,0)</f>
        <v>0</v>
      </c>
      <c r="BW797" s="60" t="n">
        <f aca="false">IF(ISNUMBER(AC797),1,0)</f>
        <v>0</v>
      </c>
      <c r="BX797" s="57" t="n">
        <f aca="false">N(AC797)</f>
        <v>0</v>
      </c>
      <c r="BY797" s="57" t="n">
        <f aca="false">N(L797)+N(M797)</f>
        <v>1</v>
      </c>
      <c r="BZ797" s="57" t="n">
        <f aca="false">ROUNDUP(G797/BQ797,0)</f>
        <v>0</v>
      </c>
      <c r="CA797" s="57" t="n">
        <f aca="false">ROUNDUP(BX797/BQ797,0)</f>
        <v>0</v>
      </c>
      <c r="CB797" s="60" t="n">
        <f aca="false">IF(BR797=1,0,IFERROR(VLOOKUP(BP797,'Gebinde-Kategorie'!$A$5:$M$45,5,0)+0,0))</f>
        <v>8</v>
      </c>
      <c r="CC797" s="60" t="n">
        <f aca="false">IFERROR(IF(OR(BT797=1,BT797=2,BT797=3),N(INDEX(Parameter!$I$5:$I$7,BT797)),0),0)</f>
        <v>0</v>
      </c>
      <c r="CD797" s="59" t="n">
        <f aca="false">IF(AND(Parameter!$B$21="Ja",ISNUMBER(U797),N(V797)&gt;0),IFERROR(N(INDEX(Parameter!$L$5:$L$7,U797))*INDEX(Parameter!$E$5:$E$7,U797)*V797/SUMIFS($V$7:$V$1576,$U$7:$U$1576,U797),0),0)</f>
        <v>0</v>
      </c>
    </row>
    <row r="798" customFormat="false" ht="15" hidden="false" customHeight="false" outlineLevel="0" collapsed="false">
      <c r="A798" s="55" t="s">
        <v>1538</v>
      </c>
      <c r="B798" s="55" t="s">
        <v>1539</v>
      </c>
      <c r="C798" s="55" t="s">
        <v>160</v>
      </c>
      <c r="D798" s="55" t="s">
        <v>178</v>
      </c>
      <c r="E798" s="55" t="s">
        <v>210</v>
      </c>
      <c r="F798" s="56" t="n">
        <v>0.05</v>
      </c>
      <c r="G798" s="57" t="n">
        <f aca="false">MAX(0,IF(AND(Parameter!$B$21="Ja",ISNUMBER(W798)),W798,IF(Parameter!$B$20="Jahresanfang 2025 + Export",BJ798+BI798,BI798)))</f>
        <v>0</v>
      </c>
      <c r="H798" s="57" t="n">
        <f aca="false">G798*F798</f>
        <v>0</v>
      </c>
      <c r="I798" s="57" t="n">
        <f aca="false">BL798*Parameter!$B$18</f>
        <v>0</v>
      </c>
      <c r="J798" s="58" t="n">
        <v>1665</v>
      </c>
      <c r="K798" s="59" t="n">
        <v>0</v>
      </c>
      <c r="L798" s="57" t="n">
        <v>0</v>
      </c>
      <c r="M798" s="57" t="n">
        <v>1</v>
      </c>
      <c r="N798" s="60" t="n">
        <v>28</v>
      </c>
      <c r="O798" s="55" t="s">
        <v>416</v>
      </c>
      <c r="P798" s="57" t="n">
        <v>1786</v>
      </c>
      <c r="Q798" s="60" t="n">
        <f aca="false">IF(BR798=1,0,IFERROR(VLOOKUP(BP798,'Gebinde-Kategorie'!$A$5:$M$45,13,0)+0,0))</f>
        <v>198</v>
      </c>
      <c r="R798" s="61"/>
      <c r="S798" s="62"/>
      <c r="T798" s="62"/>
      <c r="U798" s="55"/>
      <c r="V798" s="57"/>
      <c r="W798" s="57"/>
      <c r="X798" s="55" t="n">
        <f aca="false">IF(A798="","",IF(AND(Parameter!$B$21="Ja",ISNUMBER(U798)),U798,IF(IFERROR(VLOOKUP(D798,Parameter!$A$35:$C$64,2,0),"Nein")="2+3",IF(ISNUMBER(SEARCH("grosser Artikel",BM798)),2,IFERROR(VLOOKUP(BP798,Parameter!$F$35:$G$64,2,0),2)),IF(OR(IFERROR(VLOOKUP(D798,Parameter!$A$35:$C$64,2,0),"Nein")="Nein",IFERROR(VLOOKUP(D798,Parameter!$A$35:$C$64,2,0),"Nein")=""),"-",VLOOKUP(D798,Parameter!$A$35:$C$64,2,0)))))</f>
        <v>3</v>
      </c>
      <c r="Y798" s="62"/>
      <c r="Z798" s="63"/>
      <c r="AA798" s="57" t="n">
        <f aca="false">AP798</f>
        <v>1786</v>
      </c>
      <c r="AB798" s="57" t="n">
        <f aca="false">MAX(AP798,G798)</f>
        <v>1786</v>
      </c>
      <c r="AC798" s="64"/>
      <c r="AD798" s="57" t="n">
        <f aca="false">IF(LEFT(Cockpit!$C$5,1)="A",G798,IF(BW798=1,BX798,IF(LEFT(Cockpit!$C$5,1)="B",AH798,MAX(AH798,G798))))</f>
        <v>0</v>
      </c>
      <c r="AE798" s="57" t="n">
        <f aca="false">IF(BR798=1,0,ROUNDUP(AD798/BQ798,0))</f>
        <v>0</v>
      </c>
      <c r="AF798" s="59" t="n">
        <f aca="false">IF(CD798&gt;0,CD798*MAX(1,AD798/V798),IF(BR798=1,IF(AD798&lt;=0,0,BS798*MAX(1,IF(G798&gt;0,AD798/G798,1))),IF(Q798&gt;0,AE798/Q798,0))/MAX(0.1,N(Parameter!$M$21)))</f>
        <v>0</v>
      </c>
      <c r="AG798" s="57" t="n">
        <f aca="false">AD798*F798</f>
        <v>0</v>
      </c>
      <c r="AH798" s="57" t="n">
        <f aca="false">ROUNDUP(MAX(I798/IF(BV798&gt;0,BV798,MAX(0.1,N(Cockpit!$C$6))),BY798)/BQ798,0)*BQ798</f>
        <v>1786</v>
      </c>
      <c r="AI798" s="58" t="n">
        <f aca="false">IF(AF798&gt;0,I798/AF798,-1)</f>
        <v>-1</v>
      </c>
      <c r="AJ798" s="58" t="str">
        <f aca="false">IF(AND(OR(BU798="L1",BU798="L23"),AF798&gt;0),SUMIFS($AF$7:$AF$1576,$BU$7:$BU$1576,BU798,$AI$7:$AI$1576,"&gt;"&amp;AI798)+SUMIFS($AF$7:$AF$1576,$BU$7:$BU$1576,BU798,$AI$7:$AI$1576,AI798,$BO$7:$BO$1576,"&lt;="&amp;BO798),"")</f>
        <v/>
      </c>
      <c r="AK798" s="65" t="n">
        <f aca="false">IF(AJ798="",0,MAX(0,MIN(1,(IF(BU798="L1",Parameter!$E$5,Parameter!$E$6+Parameter!$E$7)-(AJ798-AF798))/AF798)))</f>
        <v>0</v>
      </c>
      <c r="AL798" s="57" t="n">
        <f aca="false">IF(LEFT(Cockpit!$I$5,1)="A",G798,IF(BW798=1,BX798,IF(LEFT(Cockpit!$I$5,1)="B",AP798,MAX(AP798,G798))))</f>
        <v>1786</v>
      </c>
      <c r="AM798" s="57" t="n">
        <f aca="false">IF(BR798=1,0,ROUNDUP(AL798/BQ798,0))</f>
        <v>1</v>
      </c>
      <c r="AN798" s="59" t="n">
        <f aca="false">IF(CD798&gt;0,CD798*MAX(1,AL798/V798),IF(BR798=1,IF(AL798&lt;=0,0,BS798*MAX(1,IF(G798&gt;0,AL798/G798,1))),IF(Q798&gt;0,AM798/Q798,0))/MAX(0.1,N(Parameter!$M$21)))</f>
        <v>0.00505050505050505</v>
      </c>
      <c r="AO798" s="57" t="n">
        <f aca="false">AL798*F798</f>
        <v>89.3</v>
      </c>
      <c r="AP798" s="57" t="n">
        <f aca="false">ROUNDUP(MAX(I798/IF(BV798&gt;0,BV798,MAX(0.1,N(Cockpit!$I$6))),BY798)/BQ798,0)*BQ798</f>
        <v>1786</v>
      </c>
      <c r="AQ798" s="58" t="n">
        <f aca="false">IF(AN798&gt;0,I798/AN798,-1)</f>
        <v>0</v>
      </c>
      <c r="AR798" s="58" t="n">
        <f aca="false">IF(AND(OR(BU798="L1",BU798="L23"),AN798&gt;0),SUMIFS($AN$7:$AN$1576,$BU$7:$BU$1576,BU798,$AQ$7:$AQ$1576,"&gt;"&amp;AQ798)+SUMIFS($AN$7:$AN$1576,$BU$7:$BU$1576,BU798,$AQ$7:$AQ$1576,AQ798,$BO$7:$BO$1576,"&lt;="&amp;BO798),"")</f>
        <v>130.692006761402</v>
      </c>
      <c r="AS798" s="65" t="n">
        <f aca="false">IF(AR798="",0,MAX(0,MIN(1,(IF(BU798="L1",Parameter!$E$5,Parameter!$E$6+Parameter!$E$7)-(AR798-AN798))/AN798)))</f>
        <v>0</v>
      </c>
      <c r="AT798" s="57" t="n">
        <f aca="false">IF(LEFT(Cockpit!$O$5,1)="A",G798,IF(BW798=1,BX798,IF(LEFT(Cockpit!$O$5,1)="B",AX798,MAX(AX798,G798))))</f>
        <v>1786</v>
      </c>
      <c r="AU798" s="57" t="n">
        <f aca="false">IF(BR798=1,0,ROUNDUP(AT798/BQ798,0))</f>
        <v>1</v>
      </c>
      <c r="AV798" s="59" t="n">
        <f aca="false">IF(CD798&gt;0,CD798*MAX(1,AT798/V798),IF(BR798=1,IF(AT798&lt;=0,0,BS798*MAX(1,IF(G798&gt;0,AT798/G798,1))),IF(Q798&gt;0,AU798/Q798,0))/MAX(0.1,N(Parameter!$M$21)))</f>
        <v>0.00505050505050505</v>
      </c>
      <c r="AW798" s="57" t="n">
        <f aca="false">AT798*F798</f>
        <v>89.3</v>
      </c>
      <c r="AX798" s="57" t="n">
        <f aca="false">ROUNDUP(MAX(I798/IF(BV798&gt;0,BV798,MAX(0.1,N(Cockpit!$O$6))),BY798)/BQ798,0)*BQ798</f>
        <v>1786</v>
      </c>
      <c r="AY798" s="58" t="n">
        <f aca="false">IF(AV798&gt;0,I798/AV798,-1)</f>
        <v>0</v>
      </c>
      <c r="AZ798" s="58" t="n">
        <f aca="false">IF(AND(OR(BU798="L1",BU798="L23"),AV798&gt;0),SUMIFS($AV$7:$AV$1576,$BU$7:$BU$1576,BU798,$AY$7:$AY$1576,"&gt;"&amp;AY798)+SUMIFS($AV$7:$AV$1576,$BU$7:$BU$1576,BU798,$AY$7:$AY$1576,AY798,$BO$7:$BO$1576,"&lt;="&amp;BO798),"")</f>
        <v>120.751557210953</v>
      </c>
      <c r="BA798" s="65" t="n">
        <f aca="false">IF(AZ798="",0,MAX(0,MIN(1,(IF(BU798="L1",Parameter!$E$5,Parameter!$E$6+Parameter!$E$7)-(AZ798-AV798))/AV798)))</f>
        <v>0</v>
      </c>
      <c r="BB798" s="55" t="str">
        <f aca="false">IF(AF798&lt;=0,"",IF(BU798="Aussen","Aussenlager",IF(BU798="-","Nicht im Lift",IF(AK798&gt;=1,"Lift",IF(AK798&lt;=0,"Aussenlager","teilweise")))))</f>
        <v/>
      </c>
      <c r="BC798" s="55" t="str">
        <f aca="false">IF(AN798&lt;=0,"",IF(BU798="Aussen","Aussenlager",IF(BU798="-","Nicht im Lift",IF(AS798&gt;=1,"Lift",IF(AS798&lt;=0,"Aussenlager","teilweise")))))</f>
        <v>Aussenlager</v>
      </c>
      <c r="BD798" s="55" t="str">
        <f aca="false">IF(AV798&lt;=0,"",IF(BU798="Aussen","Aussenlager",IF(BU798="-","Nicht im Lift",IF(BA798&gt;=1,"Lift",IF(BA798&lt;=0,"Aussenlager","teilweise")))))</f>
        <v>Aussenlager</v>
      </c>
      <c r="BE798" s="55" t="str">
        <f aca="false">IF(A798="","",IF(BN798=1,"Neu; ","")&amp;IF(AND(BN798=0,BI798&lt;0),"negativer Bestand (Export "&amp;BI798&amp;"); ","")&amp;IF(I798&lt;=0,"Kein Verbrauch; ","")&amp;IF(CD798&gt;0,"Lift "&amp;U798&amp;" lt. Liftbericht (Fach "&amp;V798&amp;" Stk); ",IF(BR798=1,"Lose – Fläche geschätzt; ",""))&amp;IF(G798&gt;AP798,"Überbestand "&amp;ROUND(G798-AP798,0)&amp;" Stk / CHF "&amp;ROUND((G798-AP798)*F798,0)&amp;"; ","")&amp;IF(AND(BW798=1,BX798&lt;BY798),"MAX &lt; MB+LG; ","")&amp;IF(AND(CC798&gt;0,CB798*10&gt;CC798),"zu hoch für Tablar; ","")&amp;IF(AND(BN798=0,OR(BW798=1,Y798&lt;&gt;"",S798&lt;&gt;"",T798&lt;&gt;"",Z798&lt;&gt;"")),"manuell übersteuert; ","")&amp;IF(AND(BR798=0,Q798=0),"Gebinde unbekannt / Stellmass fehlt; ","")&amp;IF(AND(BR798=0,N(T798)&lt;=0,N(P798)&lt;=0),"Menge pro Gebinde fehlt (Ist = 1 Gebinde); ","")&amp;BM798)</f>
        <v>negativer Bestand (Export -83); Kein Verbrauch; Handlager</v>
      </c>
      <c r="BF798" s="55"/>
      <c r="BG798" s="55"/>
      <c r="BH798" s="62"/>
      <c r="BI798" s="57" t="n">
        <v>-83</v>
      </c>
      <c r="BJ798" s="57" t="n">
        <v>1671</v>
      </c>
      <c r="BK798" s="56" t="n">
        <v>-4.15</v>
      </c>
      <c r="BL798" s="57" t="n">
        <v>0</v>
      </c>
      <c r="BM798" s="55" t="s">
        <v>884</v>
      </c>
      <c r="BN798" s="60" t="n">
        <v>0</v>
      </c>
      <c r="BO798" s="60" t="n">
        <v>798</v>
      </c>
      <c r="BP798" s="55" t="str">
        <f aca="false">IF(S798&lt;&gt;"",UPPER(TRIM(S798)),IF(O798="","LOSE",O798))</f>
        <v>S22</v>
      </c>
      <c r="BQ798" s="57" t="n">
        <f aca="false">IF(BP798="LOSE",1,IF(N(T798)&gt;0,T798,IF(N(P798)&gt;0,P798,MAX(1,G798))))</f>
        <v>1786</v>
      </c>
      <c r="BR798" s="60" t="n">
        <f aca="false">IF(BP798="LOSE",1,0)</f>
        <v>0</v>
      </c>
      <c r="BS798" s="59" t="n">
        <f aca="false">IF(BR798=0,0,IF(N(R798)&gt;0,R798,IFERROR(VLOOKUP(D798,Parameter!$A$35:$C$64,3,0)+0,0)))</f>
        <v>0</v>
      </c>
      <c r="BT798" s="55" t="n">
        <f aca="false">IF(Y798&lt;&gt;"",Y798,X798)</f>
        <v>3</v>
      </c>
      <c r="BU798" s="55" t="str">
        <f aca="false">IF(BT798=1,"L1",IF(OR(BT798=2,BT798=3),"L23",IF(BT798="Aussen","Aussen","-")))</f>
        <v>L23</v>
      </c>
      <c r="BV798" s="66" t="n">
        <f aca="false">IF(N(Z798)&gt;0,Z798,0)</f>
        <v>0</v>
      </c>
      <c r="BW798" s="60" t="n">
        <f aca="false">IF(ISNUMBER(AC798),1,0)</f>
        <v>0</v>
      </c>
      <c r="BX798" s="57" t="n">
        <f aca="false">N(AC798)</f>
        <v>0</v>
      </c>
      <c r="BY798" s="57" t="n">
        <f aca="false">N(L798)+N(M798)</f>
        <v>1</v>
      </c>
      <c r="BZ798" s="57" t="n">
        <f aca="false">ROUNDUP(G798/BQ798,0)</f>
        <v>0</v>
      </c>
      <c r="CA798" s="57" t="n">
        <f aca="false">ROUNDUP(BX798/BQ798,0)</f>
        <v>0</v>
      </c>
      <c r="CB798" s="60" t="n">
        <f aca="false">IF(BR798=1,0,IFERROR(VLOOKUP(BP798,'Gebinde-Kategorie'!$A$5:$M$45,5,0)+0,0))</f>
        <v>8</v>
      </c>
      <c r="CC798" s="60" t="n">
        <f aca="false">IFERROR(IF(OR(BT798=1,BT798=2,BT798=3),N(INDEX(Parameter!$I$5:$I$7,BT798)),0),0)</f>
        <v>0</v>
      </c>
      <c r="CD798" s="59" t="n">
        <f aca="false">IF(AND(Parameter!$B$21="Ja",ISNUMBER(U798),N(V798)&gt;0),IFERROR(N(INDEX(Parameter!$L$5:$L$7,U798))*INDEX(Parameter!$E$5:$E$7,U798)*V798/SUMIFS($V$7:$V$1576,$U$7:$U$1576,U798),0),0)</f>
        <v>0</v>
      </c>
    </row>
    <row r="799" customFormat="false" ht="15" hidden="false" customHeight="false" outlineLevel="0" collapsed="false">
      <c r="A799" s="55" t="s">
        <v>1540</v>
      </c>
      <c r="B799" s="55" t="s">
        <v>1541</v>
      </c>
      <c r="C799" s="55" t="s">
        <v>160</v>
      </c>
      <c r="D799" s="55" t="s">
        <v>168</v>
      </c>
      <c r="E799" s="55" t="s">
        <v>210</v>
      </c>
      <c r="F799" s="56" t="n">
        <v>5.23</v>
      </c>
      <c r="G799" s="57" t="n">
        <f aca="false">MAX(0,IF(AND(Parameter!$B$21="Ja",ISNUMBER(W799)),W799,IF(Parameter!$B$20="Jahresanfang 2025 + Export",BJ799+BI799,BI799)))</f>
        <v>0</v>
      </c>
      <c r="H799" s="57" t="n">
        <f aca="false">G799*F799</f>
        <v>0</v>
      </c>
      <c r="I799" s="57" t="n">
        <f aca="false">BL799*Parameter!$B$18</f>
        <v>384</v>
      </c>
      <c r="J799" s="58" t="n">
        <v>44</v>
      </c>
      <c r="K799" s="59" t="n">
        <v>8.72727272727273</v>
      </c>
      <c r="L799" s="57" t="n">
        <v>22</v>
      </c>
      <c r="M799" s="57" t="n">
        <v>60</v>
      </c>
      <c r="N799" s="60" t="n">
        <v>21</v>
      </c>
      <c r="O799" s="55" t="s">
        <v>163</v>
      </c>
      <c r="P799" s="57"/>
      <c r="Q799" s="60" t="n">
        <f aca="false">IF(BR799=1,0,IFERROR(VLOOKUP(BP799,'Gebinde-Kategorie'!$A$5:$M$45,13,0)+0,0))</f>
        <v>0</v>
      </c>
      <c r="R799" s="61"/>
      <c r="S799" s="62"/>
      <c r="T799" s="62"/>
      <c r="U799" s="55"/>
      <c r="V799" s="57"/>
      <c r="W799" s="57"/>
      <c r="X799" s="55" t="n">
        <f aca="false">IF(A799="","",IF(AND(Parameter!$B$21="Ja",ISNUMBER(U799)),U799,IF(IFERROR(VLOOKUP(D799,Parameter!$A$35:$C$64,2,0),"Nein")="2+3",IF(ISNUMBER(SEARCH("grosser Artikel",BM799)),2,IFERROR(VLOOKUP(BP799,Parameter!$F$35:$G$64,2,0),2)),IF(OR(IFERROR(VLOOKUP(D799,Parameter!$A$35:$C$64,2,0),"Nein")="Nein",IFERROR(VLOOKUP(D799,Parameter!$A$35:$C$64,2,0),"Nein")=""),"-",VLOOKUP(D799,Parameter!$A$35:$C$64,2,0)))))</f>
        <v>2</v>
      </c>
      <c r="Y799" s="62"/>
      <c r="Z799" s="63"/>
      <c r="AA799" s="57" t="n">
        <f aca="false">AP799</f>
        <v>192</v>
      </c>
      <c r="AB799" s="57" t="n">
        <f aca="false">MAX(AP799,G799)</f>
        <v>192</v>
      </c>
      <c r="AC799" s="64"/>
      <c r="AD799" s="57" t="n">
        <f aca="false">IF(LEFT(Cockpit!$C$5,1)="A",G799,IF(BW799=1,BX799,IF(LEFT(Cockpit!$C$5,1)="B",AH799,MAX(AH799,G799))))</f>
        <v>0</v>
      </c>
      <c r="AE799" s="57" t="n">
        <f aca="false">IF(BR799=1,0,ROUNDUP(AD799/BQ799,0))</f>
        <v>0</v>
      </c>
      <c r="AF799" s="59" t="n">
        <f aca="false">IF(CD799&gt;0,CD799*MAX(1,AD799/V799),IF(BR799=1,IF(AD799&lt;=0,0,BS799*MAX(1,IF(G799&gt;0,AD799/G799,1))),IF(Q799&gt;0,AE799/Q799,0))/MAX(0.1,N(Parameter!$M$21)))</f>
        <v>0</v>
      </c>
      <c r="AG799" s="57" t="n">
        <f aca="false">AD799*F799</f>
        <v>0</v>
      </c>
      <c r="AH799" s="57" t="n">
        <f aca="false">ROUNDUP(MAX(I799/IF(BV799&gt;0,BV799,MAX(0.1,N(Cockpit!$C$6))),BY799)/BQ799,0)*BQ799</f>
        <v>192</v>
      </c>
      <c r="AI799" s="58" t="n">
        <f aca="false">IF(AF799&gt;0,I799/AF799,-1)</f>
        <v>-1</v>
      </c>
      <c r="AJ799" s="58" t="str">
        <f aca="false">IF(AND(OR(BU799="L1",BU799="L23"),AF799&gt;0),SUMIFS($AF$7:$AF$1576,$BU$7:$BU$1576,BU799,$AI$7:$AI$1576,"&gt;"&amp;AI799)+SUMIFS($AF$7:$AF$1576,$BU$7:$BU$1576,BU799,$AI$7:$AI$1576,AI799,$BO$7:$BO$1576,"&lt;="&amp;BO799),"")</f>
        <v/>
      </c>
      <c r="AK799" s="65" t="n">
        <f aca="false">IF(AJ799="",0,MAX(0,MIN(1,(IF(BU799="L1",Parameter!$E$5,Parameter!$E$6+Parameter!$E$7)-(AJ799-AF799))/AF799)))</f>
        <v>0</v>
      </c>
      <c r="AL799" s="57" t="n">
        <f aca="false">IF(LEFT(Cockpit!$I$5,1)="A",G799,IF(BW799=1,BX799,IF(LEFT(Cockpit!$I$5,1)="B",AP799,MAX(AP799,G799))))</f>
        <v>192</v>
      </c>
      <c r="AM799" s="57" t="n">
        <f aca="false">IF(BR799=1,0,ROUNDUP(AL799/BQ799,0))</f>
        <v>0</v>
      </c>
      <c r="AN799" s="59" t="n">
        <f aca="false">IF(CD799&gt;0,CD799*MAX(1,AL799/V799),IF(BR799=1,IF(AL799&lt;=0,0,BS799*MAX(1,IF(G799&gt;0,AL799/G799,1))),IF(Q799&gt;0,AM799/Q799,0))/MAX(0.1,N(Parameter!$M$21)))</f>
        <v>0.15</v>
      </c>
      <c r="AO799" s="57" t="n">
        <f aca="false">AL799*F799</f>
        <v>1004.16</v>
      </c>
      <c r="AP799" s="57" t="n">
        <f aca="false">ROUNDUP(MAX(I799/IF(BV799&gt;0,BV799,MAX(0.1,N(Cockpit!$I$6))),BY799)/BQ799,0)*BQ799</f>
        <v>192</v>
      </c>
      <c r="AQ799" s="58" t="n">
        <f aca="false">IF(AN799&gt;0,I799/AN799,-1)</f>
        <v>2560</v>
      </c>
      <c r="AR799" s="58" t="n">
        <f aca="false">IF(AND(OR(BU799="L1",BU799="L23"),AN799&gt;0),SUMIFS($AN$7:$AN$1576,$BU$7:$BU$1576,BU799,$AQ$7:$AQ$1576,"&gt;"&amp;AQ799)+SUMIFS($AN$7:$AN$1576,$BU$7:$BU$1576,BU799,$AQ$7:$AQ$1576,AQ799,$BO$7:$BO$1576,"&lt;="&amp;BO799),"")</f>
        <v>15.2512053288252</v>
      </c>
      <c r="AS799" s="65" t="n">
        <f aca="false">IF(AR799="",0,MAX(0,MIN(1,(IF(BU799="L1",Parameter!$E$5,Parameter!$E$6+Parameter!$E$7)-(AR799-AN799))/AN799)))</f>
        <v>1</v>
      </c>
      <c r="AT799" s="57" t="n">
        <f aca="false">IF(LEFT(Cockpit!$O$5,1)="A",G799,IF(BW799=1,BX799,IF(LEFT(Cockpit!$O$5,1)="B",AX799,MAX(AX799,G799))))</f>
        <v>128</v>
      </c>
      <c r="AU799" s="57" t="n">
        <f aca="false">IF(BR799=1,0,ROUNDUP(AT799/BQ799,0))</f>
        <v>0</v>
      </c>
      <c r="AV799" s="59" t="n">
        <f aca="false">IF(CD799&gt;0,CD799*MAX(1,AT799/V799),IF(BR799=1,IF(AT799&lt;=0,0,BS799*MAX(1,IF(G799&gt;0,AT799/G799,1))),IF(Q799&gt;0,AU799/Q799,0))/MAX(0.1,N(Parameter!$M$21)))</f>
        <v>0.15</v>
      </c>
      <c r="AW799" s="57" t="n">
        <f aca="false">AT799*F799</f>
        <v>669.44</v>
      </c>
      <c r="AX799" s="57" t="n">
        <f aca="false">ROUNDUP(MAX(I799/IF(BV799&gt;0,BV799,MAX(0.1,N(Cockpit!$O$6))),BY799)/BQ799,0)*BQ799</f>
        <v>128</v>
      </c>
      <c r="AY799" s="58" t="n">
        <f aca="false">IF(AV799&gt;0,I799/AV799,-1)</f>
        <v>2560</v>
      </c>
      <c r="AZ799" s="58" t="n">
        <f aca="false">IF(AND(OR(BU799="L1",BU799="L23"),AV799&gt;0),SUMIFS($AV$7:$AV$1576,$BU$7:$BU$1576,BU799,$AY$7:$AY$1576,"&gt;"&amp;AY799)+SUMIFS($AV$7:$AV$1576,$BU$7:$BU$1576,BU799,$AY$7:$AY$1576,AY799,$BO$7:$BO$1576,"&lt;="&amp;BO799),"")</f>
        <v>14.055401133021</v>
      </c>
      <c r="BA799" s="65" t="n">
        <f aca="false">IF(AZ799="",0,MAX(0,MIN(1,(IF(BU799="L1",Parameter!$E$5,Parameter!$E$6+Parameter!$E$7)-(AZ799-AV799))/AV799)))</f>
        <v>1</v>
      </c>
      <c r="BB799" s="55" t="str">
        <f aca="false">IF(AF799&lt;=0,"",IF(BU799="Aussen","Aussenlager",IF(BU799="-","Nicht im Lift",IF(AK799&gt;=1,"Lift",IF(AK799&lt;=0,"Aussenlager","teilweise")))))</f>
        <v/>
      </c>
      <c r="BC799" s="55" t="str">
        <f aca="false">IF(AN799&lt;=0,"",IF(BU799="Aussen","Aussenlager",IF(BU799="-","Nicht im Lift",IF(AS799&gt;=1,"Lift",IF(AS799&lt;=0,"Aussenlager","teilweise")))))</f>
        <v>Lift</v>
      </c>
      <c r="BD799" s="55" t="str">
        <f aca="false">IF(AV799&lt;=0,"",IF(BU799="Aussen","Aussenlager",IF(BU799="-","Nicht im Lift",IF(BA799&gt;=1,"Lift",IF(BA799&lt;=0,"Aussenlager","teilweise")))))</f>
        <v>Lift</v>
      </c>
      <c r="BE799" s="55" t="str">
        <f aca="false">IF(A799="","",IF(BN799=1,"Neu; ","")&amp;IF(AND(BN799=0,BI799&lt;0),"negativer Bestand (Export "&amp;BI799&amp;"); ","")&amp;IF(I799&lt;=0,"Kein Verbrauch; ","")&amp;IF(CD799&gt;0,"Lift "&amp;U799&amp;" lt. Liftbericht (Fach "&amp;V799&amp;" Stk); ",IF(BR799=1,"Lose – Fläche geschätzt; ",""))&amp;IF(G799&gt;AP799,"Überbestand "&amp;ROUND(G799-AP799,0)&amp;" Stk / CHF "&amp;ROUND((G799-AP799)*F799,0)&amp;"; ","")&amp;IF(AND(BW799=1,BX799&lt;BY799),"MAX &lt; MB+LG; ","")&amp;IF(AND(CC799&gt;0,CB799*10&gt;CC799),"zu hoch für Tablar; ","")&amp;IF(AND(BN799=0,OR(BW799=1,Y799&lt;&gt;"",S799&lt;&gt;"",T799&lt;&gt;"",Z799&lt;&gt;"")),"manuell übersteuert; ","")&amp;IF(AND(BR799=0,Q799=0),"Gebinde unbekannt / Stellmass fehlt; ","")&amp;IF(AND(BR799=0,N(T799)&lt;=0,N(P799)&lt;=0),"Menge pro Gebinde fehlt (Ist = 1 Gebinde); ","")&amp;BM799)</f>
        <v>negativer Bestand (Export -3); Lose – Fläche geschätzt; </v>
      </c>
      <c r="BF799" s="55"/>
      <c r="BG799" s="55"/>
      <c r="BH799" s="62"/>
      <c r="BI799" s="57" t="n">
        <v>-3</v>
      </c>
      <c r="BJ799" s="57" t="n">
        <v>51</v>
      </c>
      <c r="BK799" s="56" t="n">
        <v>-4.47000000000013</v>
      </c>
      <c r="BL799" s="57" t="n">
        <v>384</v>
      </c>
      <c r="BM799" s="55"/>
      <c r="BN799" s="60" t="n">
        <v>0</v>
      </c>
      <c r="BO799" s="60" t="n">
        <v>799</v>
      </c>
      <c r="BP799" s="55" t="str">
        <f aca="false">IF(S799&lt;&gt;"",UPPER(TRIM(S799)),IF(O799="","LOSE",O799))</f>
        <v>LOSE</v>
      </c>
      <c r="BQ799" s="57" t="n">
        <f aca="false">IF(BP799="LOSE",1,IF(N(T799)&gt;0,T799,IF(N(P799)&gt;0,P799,MAX(1,G799))))</f>
        <v>1</v>
      </c>
      <c r="BR799" s="60" t="n">
        <f aca="false">IF(BP799="LOSE",1,0)</f>
        <v>1</v>
      </c>
      <c r="BS799" s="59" t="n">
        <f aca="false">IF(BR799=0,0,IF(N(R799)&gt;0,R799,IFERROR(VLOOKUP(D799,Parameter!$A$35:$C$64,3,0)+0,0)))</f>
        <v>0.15</v>
      </c>
      <c r="BT799" s="55" t="n">
        <f aca="false">IF(Y799&lt;&gt;"",Y799,X799)</f>
        <v>2</v>
      </c>
      <c r="BU799" s="55" t="str">
        <f aca="false">IF(BT799=1,"L1",IF(OR(BT799=2,BT799=3),"L23",IF(BT799="Aussen","Aussen","-")))</f>
        <v>L23</v>
      </c>
      <c r="BV799" s="66" t="n">
        <f aca="false">IF(N(Z799)&gt;0,Z799,0)</f>
        <v>0</v>
      </c>
      <c r="BW799" s="60" t="n">
        <f aca="false">IF(ISNUMBER(AC799),1,0)</f>
        <v>0</v>
      </c>
      <c r="BX799" s="57" t="n">
        <f aca="false">N(AC799)</f>
        <v>0</v>
      </c>
      <c r="BY799" s="57" t="n">
        <f aca="false">N(L799)+N(M799)</f>
        <v>82</v>
      </c>
      <c r="BZ799" s="57" t="n">
        <f aca="false">ROUNDUP(G799/BQ799,0)</f>
        <v>0</v>
      </c>
      <c r="CA799" s="57" t="n">
        <f aca="false">ROUNDUP(BX799/BQ799,0)</f>
        <v>0</v>
      </c>
      <c r="CB799" s="60" t="n">
        <f aca="false">IF(BR799=1,0,IFERROR(VLOOKUP(BP799,'Gebinde-Kategorie'!$A$5:$M$45,5,0)+0,0))</f>
        <v>0</v>
      </c>
      <c r="CC799" s="60" t="n">
        <f aca="false">IFERROR(IF(OR(BT799=1,BT799=2,BT799=3),N(INDEX(Parameter!$I$5:$I$7,BT799)),0),0)</f>
        <v>0</v>
      </c>
      <c r="CD799" s="59" t="n">
        <f aca="false">IF(AND(Parameter!$B$21="Ja",ISNUMBER(U799),N(V799)&gt;0),IFERROR(N(INDEX(Parameter!$L$5:$L$7,U799))*INDEX(Parameter!$E$5:$E$7,U799)*V799/SUMIFS($V$7:$V$1576,$U$7:$U$1576,U799),0),0)</f>
        <v>0</v>
      </c>
    </row>
    <row r="800" customFormat="false" ht="15" hidden="false" customHeight="false" outlineLevel="0" collapsed="false">
      <c r="A800" s="55" t="s">
        <v>1542</v>
      </c>
      <c r="B800" s="55" t="s">
        <v>938</v>
      </c>
      <c r="C800" s="55" t="s">
        <v>160</v>
      </c>
      <c r="D800" s="55" t="s">
        <v>178</v>
      </c>
      <c r="E800" s="55" t="s">
        <v>210</v>
      </c>
      <c r="F800" s="56" t="n">
        <v>0.01</v>
      </c>
      <c r="G800" s="57" t="n">
        <f aca="false">MAX(0,IF(AND(Parameter!$B$21="Ja",ISNUMBER(W800)),W800,IF(Parameter!$B$20="Jahresanfang 2025 + Export",BJ800+BI800,BI800)))</f>
        <v>126</v>
      </c>
      <c r="H800" s="57" t="n">
        <f aca="false">G800*F800</f>
        <v>1.26</v>
      </c>
      <c r="I800" s="57" t="n">
        <f aca="false">BL800*Parameter!$B$18</f>
        <v>1123</v>
      </c>
      <c r="J800" s="58" t="n">
        <v>583</v>
      </c>
      <c r="K800" s="59" t="n">
        <v>1.926243567753</v>
      </c>
      <c r="L800" s="57" t="n">
        <v>65</v>
      </c>
      <c r="M800" s="57" t="n">
        <v>1125</v>
      </c>
      <c r="N800" s="60" t="n">
        <v>21</v>
      </c>
      <c r="O800" s="55" t="s">
        <v>411</v>
      </c>
      <c r="P800" s="57" t="n">
        <v>381</v>
      </c>
      <c r="Q800" s="60" t="n">
        <f aca="false">IF(BR800=1,0,IFERROR(VLOOKUP(BP800,'Gebinde-Kategorie'!$A$5:$M$45,13,0)+0,0))</f>
        <v>132</v>
      </c>
      <c r="R800" s="61"/>
      <c r="S800" s="62"/>
      <c r="T800" s="62"/>
      <c r="U800" s="55"/>
      <c r="V800" s="57"/>
      <c r="W800" s="57"/>
      <c r="X800" s="55" t="n">
        <f aca="false">IF(A800="","",IF(AND(Parameter!$B$21="Ja",ISNUMBER(U800)),U800,IF(IFERROR(VLOOKUP(D800,Parameter!$A$35:$C$64,2,0),"Nein")="2+3",IF(ISNUMBER(SEARCH("grosser Artikel",BM800)),2,IFERROR(VLOOKUP(BP800,Parameter!$F$35:$G$64,2,0),2)),IF(OR(IFERROR(VLOOKUP(D800,Parameter!$A$35:$C$64,2,0),"Nein")="Nein",IFERROR(VLOOKUP(D800,Parameter!$A$35:$C$64,2,0),"Nein")=""),"-",VLOOKUP(D800,Parameter!$A$35:$C$64,2,0)))))</f>
        <v>3</v>
      </c>
      <c r="Y800" s="62"/>
      <c r="Z800" s="63"/>
      <c r="AA800" s="57" t="n">
        <f aca="false">AP800</f>
        <v>1524</v>
      </c>
      <c r="AB800" s="57" t="n">
        <f aca="false">MAX(AP800,G800)</f>
        <v>1524</v>
      </c>
      <c r="AC800" s="64"/>
      <c r="AD800" s="57" t="n">
        <f aca="false">IF(LEFT(Cockpit!$C$5,1)="A",G800,IF(BW800=1,BX800,IF(LEFT(Cockpit!$C$5,1)="B",AH800,MAX(AH800,G800))))</f>
        <v>126</v>
      </c>
      <c r="AE800" s="57" t="n">
        <f aca="false">IF(BR800=1,0,ROUNDUP(AD800/BQ800,0))</f>
        <v>1</v>
      </c>
      <c r="AF800" s="59" t="n">
        <f aca="false">IF(CD800&gt;0,CD800*MAX(1,AD800/V800),IF(BR800=1,IF(AD800&lt;=0,0,BS800*MAX(1,IF(G800&gt;0,AD800/G800,1))),IF(Q800&gt;0,AE800/Q800,0))/MAX(0.1,N(Parameter!$M$21)))</f>
        <v>0.00757575757575758</v>
      </c>
      <c r="AG800" s="57" t="n">
        <f aca="false">AD800*F800</f>
        <v>1.26</v>
      </c>
      <c r="AH800" s="57" t="n">
        <f aca="false">ROUNDUP(MAX(I800/IF(BV800&gt;0,BV800,MAX(0.1,N(Cockpit!$C$6))),BY800)/BQ800,0)*BQ800</f>
        <v>1524</v>
      </c>
      <c r="AI800" s="58" t="n">
        <f aca="false">IF(AF800&gt;0,I800/AF800,-1)</f>
        <v>148236</v>
      </c>
      <c r="AJ800" s="58" t="n">
        <f aca="false">IF(AND(OR(BU800="L1",BU800="L23"),AF800&gt;0),SUMIFS($AF$7:$AF$1576,$BU$7:$BU$1576,BU800,$AI$7:$AI$1576,"&gt;"&amp;AI800)+SUMIFS($AF$7:$AF$1576,$BU$7:$BU$1576,BU800,$AI$7:$AI$1576,AI800,$BO$7:$BO$1576,"&lt;="&amp;BO800),"")</f>
        <v>0.110393229958447</v>
      </c>
      <c r="AK800" s="65" t="n">
        <f aca="false">IF(AJ800="",0,MAX(0,MIN(1,(IF(BU800="L1",Parameter!$E$5,Parameter!$E$6+Parameter!$E$7)-(AJ800-AF800))/AF800)))</f>
        <v>1</v>
      </c>
      <c r="AL800" s="57" t="n">
        <f aca="false">IF(LEFT(Cockpit!$I$5,1)="A",G800,IF(BW800=1,BX800,IF(LEFT(Cockpit!$I$5,1)="B",AP800,MAX(AP800,G800))))</f>
        <v>1524</v>
      </c>
      <c r="AM800" s="57" t="n">
        <f aca="false">IF(BR800=1,0,ROUNDUP(AL800/BQ800,0))</f>
        <v>4</v>
      </c>
      <c r="AN800" s="59" t="n">
        <f aca="false">IF(CD800&gt;0,CD800*MAX(1,AL800/V800),IF(BR800=1,IF(AL800&lt;=0,0,BS800*MAX(1,IF(G800&gt;0,AL800/G800,1))),IF(Q800&gt;0,AM800/Q800,0))/MAX(0.1,N(Parameter!$M$21)))</f>
        <v>0.0303030303030303</v>
      </c>
      <c r="AO800" s="57" t="n">
        <f aca="false">AL800*F800</f>
        <v>15.24</v>
      </c>
      <c r="AP800" s="57" t="n">
        <f aca="false">ROUNDUP(MAX(I800/IF(BV800&gt;0,BV800,MAX(0.1,N(Cockpit!$I$6))),BY800)/BQ800,0)*BQ800</f>
        <v>1524</v>
      </c>
      <c r="AQ800" s="58" t="n">
        <f aca="false">IF(AN800&gt;0,I800/AN800,-1)</f>
        <v>37059</v>
      </c>
      <c r="AR800" s="58" t="n">
        <f aca="false">IF(AND(OR(BU800="L1",BU800="L23"),AN800&gt;0),SUMIFS($AN$7:$AN$1576,$BU$7:$BU$1576,BU800,$AQ$7:$AQ$1576,"&gt;"&amp;AQ800)+SUMIFS($AN$7:$AN$1576,$BU$7:$BU$1576,BU800,$AQ$7:$AQ$1576,AQ800,$BO$7:$BO$1576,"&lt;="&amp;BO800),"")</f>
        <v>1.89824093780616</v>
      </c>
      <c r="AS800" s="65" t="n">
        <f aca="false">IF(AR800="",0,MAX(0,MIN(1,(IF(BU800="L1",Parameter!$E$5,Parameter!$E$6+Parameter!$E$7)-(AR800-AN800))/AN800)))</f>
        <v>1</v>
      </c>
      <c r="AT800" s="57" t="n">
        <f aca="false">IF(LEFT(Cockpit!$O$5,1)="A",G800,IF(BW800=1,BX800,IF(LEFT(Cockpit!$O$5,1)="B",AX800,MAX(AX800,G800))))</f>
        <v>1524</v>
      </c>
      <c r="AU800" s="57" t="n">
        <f aca="false">IF(BR800=1,0,ROUNDUP(AT800/BQ800,0))</f>
        <v>4</v>
      </c>
      <c r="AV800" s="59" t="n">
        <f aca="false">IF(CD800&gt;0,CD800*MAX(1,AT800/V800),IF(BR800=1,IF(AT800&lt;=0,0,BS800*MAX(1,IF(G800&gt;0,AT800/G800,1))),IF(Q800&gt;0,AU800/Q800,0))/MAX(0.1,N(Parameter!$M$21)))</f>
        <v>0.0303030303030303</v>
      </c>
      <c r="AW800" s="57" t="n">
        <f aca="false">AT800*F800</f>
        <v>15.24</v>
      </c>
      <c r="AX800" s="57" t="n">
        <f aca="false">ROUNDUP(MAX(I800/IF(BV800&gt;0,BV800,MAX(0.1,N(Cockpit!$O$6))),BY800)/BQ800,0)*BQ800</f>
        <v>1524</v>
      </c>
      <c r="AY800" s="58" t="n">
        <f aca="false">IF(AV800&gt;0,I800/AV800,-1)</f>
        <v>37059</v>
      </c>
      <c r="AZ800" s="58" t="n">
        <f aca="false">IF(AND(OR(BU800="L1",BU800="L23"),AV800&gt;0),SUMIFS($AV$7:$AV$1576,$BU$7:$BU$1576,BU800,$AY$7:$AY$1576,"&gt;"&amp;AY800)+SUMIFS($AV$7:$AV$1576,$BU$7:$BU$1576,BU800,$AY$7:$AY$1576,AY800,$BO$7:$BO$1576,"&lt;="&amp;BO800),"")</f>
        <v>2.20476774433296</v>
      </c>
      <c r="BA800" s="65" t="n">
        <f aca="false">IF(AZ800="",0,MAX(0,MIN(1,(IF(BU800="L1",Parameter!$E$5,Parameter!$E$6+Parameter!$E$7)-(AZ800-AV800))/AV800)))</f>
        <v>1</v>
      </c>
      <c r="BB800" s="55" t="str">
        <f aca="false">IF(AF800&lt;=0,"",IF(BU800="Aussen","Aussenlager",IF(BU800="-","Nicht im Lift",IF(AK800&gt;=1,"Lift",IF(AK800&lt;=0,"Aussenlager","teilweise")))))</f>
        <v>Lift</v>
      </c>
      <c r="BC800" s="55" t="str">
        <f aca="false">IF(AN800&lt;=0,"",IF(BU800="Aussen","Aussenlager",IF(BU800="-","Nicht im Lift",IF(AS800&gt;=1,"Lift",IF(AS800&lt;=0,"Aussenlager","teilweise")))))</f>
        <v>Lift</v>
      </c>
      <c r="BD800" s="55" t="str">
        <f aca="false">IF(AV800&lt;=0,"",IF(BU800="Aussen","Aussenlager",IF(BU800="-","Nicht im Lift",IF(BA800&gt;=1,"Lift",IF(BA800&lt;=0,"Aussenlager","teilweise")))))</f>
        <v>Lift</v>
      </c>
      <c r="BE800" s="55" t="str">
        <f aca="false">IF(A800="","",IF(BN800=1,"Neu; ","")&amp;IF(AND(BN800=0,BI800&lt;0),"negativer Bestand (Export "&amp;BI800&amp;"); ","")&amp;IF(I800&lt;=0,"Kein Verbrauch; ","")&amp;IF(CD800&gt;0,"Lift "&amp;U800&amp;" lt. Liftbericht (Fach "&amp;V800&amp;" Stk); ",IF(BR800=1,"Lose – Fläche geschätzt; ",""))&amp;IF(G800&gt;AP800,"Überbestand "&amp;ROUND(G800-AP800,0)&amp;" Stk / CHF "&amp;ROUND((G800-AP800)*F800,0)&amp;"; ","")&amp;IF(AND(BW800=1,BX800&lt;BY800),"MAX &lt; MB+LG; ","")&amp;IF(AND(CC800&gt;0,CB800*10&gt;CC800),"zu hoch für Tablar; ","")&amp;IF(AND(BN800=0,OR(BW800=1,Y800&lt;&gt;"",S800&lt;&gt;"",T800&lt;&gt;"",Z800&lt;&gt;"")),"manuell übersteuert; ","")&amp;IF(AND(BR800=0,Q800=0),"Gebinde unbekannt / Stellmass fehlt; ","")&amp;IF(AND(BR800=0,N(T800)&lt;=0,N(P800)&lt;=0),"Menge pro Gebinde fehlt (Ist = 1 Gebinde); ","")&amp;BM800)</f>
        <v/>
      </c>
      <c r="BF800" s="55"/>
      <c r="BG800" s="55"/>
      <c r="BH800" s="62"/>
      <c r="BI800" s="57" t="n">
        <v>126</v>
      </c>
      <c r="BJ800" s="57" t="n">
        <v>593</v>
      </c>
      <c r="BK800" s="56" t="n">
        <v>-4.66999999999998</v>
      </c>
      <c r="BL800" s="57" t="n">
        <v>1123</v>
      </c>
      <c r="BM800" s="55"/>
      <c r="BN800" s="60" t="n">
        <v>0</v>
      </c>
      <c r="BO800" s="60" t="n">
        <v>800</v>
      </c>
      <c r="BP800" s="55" t="str">
        <f aca="false">IF(S800&lt;&gt;"",UPPER(TRIM(S800)),IF(O800="","LOSE",O800))</f>
        <v>S32</v>
      </c>
      <c r="BQ800" s="57" t="n">
        <f aca="false">IF(BP800="LOSE",1,IF(N(T800)&gt;0,T800,IF(N(P800)&gt;0,P800,MAX(1,G800))))</f>
        <v>381</v>
      </c>
      <c r="BR800" s="60" t="n">
        <f aca="false">IF(BP800="LOSE",1,0)</f>
        <v>0</v>
      </c>
      <c r="BS800" s="59" t="n">
        <f aca="false">IF(BR800=0,0,IF(N(R800)&gt;0,R800,IFERROR(VLOOKUP(D800,Parameter!$A$35:$C$64,3,0)+0,0)))</f>
        <v>0</v>
      </c>
      <c r="BT800" s="55" t="n">
        <f aca="false">IF(Y800&lt;&gt;"",Y800,X800)</f>
        <v>3</v>
      </c>
      <c r="BU800" s="55" t="str">
        <f aca="false">IF(BT800=1,"L1",IF(OR(BT800=2,BT800=3),"L23",IF(BT800="Aussen","Aussen","-")))</f>
        <v>L23</v>
      </c>
      <c r="BV800" s="66" t="n">
        <f aca="false">IF(N(Z800)&gt;0,Z800,0)</f>
        <v>0</v>
      </c>
      <c r="BW800" s="60" t="n">
        <f aca="false">IF(ISNUMBER(AC800),1,0)</f>
        <v>0</v>
      </c>
      <c r="BX800" s="57" t="n">
        <f aca="false">N(AC800)</f>
        <v>0</v>
      </c>
      <c r="BY800" s="57" t="n">
        <f aca="false">N(L800)+N(M800)</f>
        <v>1190</v>
      </c>
      <c r="BZ800" s="57" t="n">
        <f aca="false">ROUNDUP(G800/BQ800,0)</f>
        <v>1</v>
      </c>
      <c r="CA800" s="57" t="n">
        <f aca="false">ROUNDUP(BX800/BQ800,0)</f>
        <v>0</v>
      </c>
      <c r="CB800" s="60" t="n">
        <f aca="false">IF(BR800=1,0,IFERROR(VLOOKUP(BP800,'Gebinde-Kategorie'!$A$5:$M$45,5,0)+0,0))</f>
        <v>8</v>
      </c>
      <c r="CC800" s="60" t="n">
        <f aca="false">IFERROR(IF(OR(BT800=1,BT800=2,BT800=3),N(INDEX(Parameter!$I$5:$I$7,BT800)),0),0)</f>
        <v>0</v>
      </c>
      <c r="CD800" s="59" t="n">
        <f aca="false">IF(AND(Parameter!$B$21="Ja",ISNUMBER(U800),N(V800)&gt;0),IFERROR(N(INDEX(Parameter!$L$5:$L$7,U800))*INDEX(Parameter!$E$5:$E$7,U800)*V800/SUMIFS($V$7:$V$1576,$U$7:$U$1576,U800),0),0)</f>
        <v>0</v>
      </c>
    </row>
    <row r="801" customFormat="false" ht="15" hidden="false" customHeight="false" outlineLevel="0" collapsed="false">
      <c r="A801" s="55" t="s">
        <v>1543</v>
      </c>
      <c r="B801" s="55" t="s">
        <v>1544</v>
      </c>
      <c r="C801" s="55" t="s">
        <v>160</v>
      </c>
      <c r="D801" s="55" t="s">
        <v>178</v>
      </c>
      <c r="E801" s="55" t="s">
        <v>210</v>
      </c>
      <c r="F801" s="56" t="n">
        <v>4.68</v>
      </c>
      <c r="G801" s="57" t="n">
        <f aca="false">MAX(0,IF(AND(Parameter!$B$21="Ja",ISNUMBER(W801)),W801,IF(Parameter!$B$20="Jahresanfang 2025 + Export",BJ801+BI801,BI801)))</f>
        <v>0</v>
      </c>
      <c r="H801" s="57" t="n">
        <f aca="false">G801*F801</f>
        <v>0</v>
      </c>
      <c r="I801" s="57" t="n">
        <f aca="false">BL801*Parameter!$B$18</f>
        <v>2</v>
      </c>
      <c r="J801" s="58" t="n">
        <v>7</v>
      </c>
      <c r="K801" s="59" t="n">
        <v>0.285714285714286</v>
      </c>
      <c r="L801" s="57" t="n">
        <v>0</v>
      </c>
      <c r="M801" s="57" t="n">
        <v>1</v>
      </c>
      <c r="N801" s="60" t="n">
        <v>14</v>
      </c>
      <c r="O801" s="55" t="s">
        <v>391</v>
      </c>
      <c r="P801" s="57" t="n">
        <v>10</v>
      </c>
      <c r="Q801" s="60" t="n">
        <f aca="false">IF(BR801=1,0,IFERROR(VLOOKUP(BP801,'Gebinde-Kategorie'!$A$5:$M$45,13,0)+0,0))</f>
        <v>414</v>
      </c>
      <c r="R801" s="61"/>
      <c r="S801" s="62"/>
      <c r="T801" s="62"/>
      <c r="U801" s="55"/>
      <c r="V801" s="57"/>
      <c r="W801" s="57"/>
      <c r="X801" s="55" t="n">
        <f aca="false">IF(A801="","",IF(AND(Parameter!$B$21="Ja",ISNUMBER(U801)),U801,IF(IFERROR(VLOOKUP(D801,Parameter!$A$35:$C$64,2,0),"Nein")="2+3",IF(ISNUMBER(SEARCH("grosser Artikel",BM801)),2,IFERROR(VLOOKUP(BP801,Parameter!$F$35:$G$64,2,0),2)),IF(OR(IFERROR(VLOOKUP(D801,Parameter!$A$35:$C$64,2,0),"Nein")="Nein",IFERROR(VLOOKUP(D801,Parameter!$A$35:$C$64,2,0),"Nein")=""),"-",VLOOKUP(D801,Parameter!$A$35:$C$64,2,0)))))</f>
        <v>3</v>
      </c>
      <c r="Y801" s="62"/>
      <c r="Z801" s="63"/>
      <c r="AA801" s="57" t="n">
        <f aca="false">AP801</f>
        <v>10</v>
      </c>
      <c r="AB801" s="57" t="n">
        <f aca="false">MAX(AP801,G801)</f>
        <v>10</v>
      </c>
      <c r="AC801" s="64"/>
      <c r="AD801" s="57" t="n">
        <f aca="false">IF(LEFT(Cockpit!$C$5,1)="A",G801,IF(BW801=1,BX801,IF(LEFT(Cockpit!$C$5,1)="B",AH801,MAX(AH801,G801))))</f>
        <v>0</v>
      </c>
      <c r="AE801" s="57" t="n">
        <f aca="false">IF(BR801=1,0,ROUNDUP(AD801/BQ801,0))</f>
        <v>0</v>
      </c>
      <c r="AF801" s="59" t="n">
        <f aca="false">IF(CD801&gt;0,CD801*MAX(1,AD801/V801),IF(BR801=1,IF(AD801&lt;=0,0,BS801*MAX(1,IF(G801&gt;0,AD801/G801,1))),IF(Q801&gt;0,AE801/Q801,0))/MAX(0.1,N(Parameter!$M$21)))</f>
        <v>0</v>
      </c>
      <c r="AG801" s="57" t="n">
        <f aca="false">AD801*F801</f>
        <v>0</v>
      </c>
      <c r="AH801" s="57" t="n">
        <f aca="false">ROUNDUP(MAX(I801/IF(BV801&gt;0,BV801,MAX(0.1,N(Cockpit!$C$6))),BY801)/BQ801,0)*BQ801</f>
        <v>10</v>
      </c>
      <c r="AI801" s="58" t="n">
        <f aca="false">IF(AF801&gt;0,I801/AF801,-1)</f>
        <v>-1</v>
      </c>
      <c r="AJ801" s="58" t="str">
        <f aca="false">IF(AND(OR(BU801="L1",BU801="L23"),AF801&gt;0),SUMIFS($AF$7:$AF$1576,$BU$7:$BU$1576,BU801,$AI$7:$AI$1576,"&gt;"&amp;AI801)+SUMIFS($AF$7:$AF$1576,$BU$7:$BU$1576,BU801,$AI$7:$AI$1576,AI801,$BO$7:$BO$1576,"&lt;="&amp;BO801),"")</f>
        <v/>
      </c>
      <c r="AK801" s="65" t="n">
        <f aca="false">IF(AJ801="",0,MAX(0,MIN(1,(IF(BU801="L1",Parameter!$E$5,Parameter!$E$6+Parameter!$E$7)-(AJ801-AF801))/AF801)))</f>
        <v>0</v>
      </c>
      <c r="AL801" s="57" t="n">
        <f aca="false">IF(LEFT(Cockpit!$I$5,1)="A",G801,IF(BW801=1,BX801,IF(LEFT(Cockpit!$I$5,1)="B",AP801,MAX(AP801,G801))))</f>
        <v>10</v>
      </c>
      <c r="AM801" s="57" t="n">
        <f aca="false">IF(BR801=1,0,ROUNDUP(AL801/BQ801,0))</f>
        <v>1</v>
      </c>
      <c r="AN801" s="59" t="n">
        <f aca="false">IF(CD801&gt;0,CD801*MAX(1,AL801/V801),IF(BR801=1,IF(AL801&lt;=0,0,BS801*MAX(1,IF(G801&gt;0,AL801/G801,1))),IF(Q801&gt;0,AM801/Q801,0))/MAX(0.1,N(Parameter!$M$21)))</f>
        <v>0.00241545893719807</v>
      </c>
      <c r="AO801" s="57" t="n">
        <f aca="false">AL801*F801</f>
        <v>46.8</v>
      </c>
      <c r="AP801" s="57" t="n">
        <f aca="false">ROUNDUP(MAX(I801/IF(BV801&gt;0,BV801,MAX(0.1,N(Cockpit!$I$6))),BY801)/BQ801,0)*BQ801</f>
        <v>10</v>
      </c>
      <c r="AQ801" s="58" t="n">
        <f aca="false">IF(AN801&gt;0,I801/AN801,-1)</f>
        <v>828</v>
      </c>
      <c r="AR801" s="58" t="n">
        <f aca="false">IF(AND(OR(BU801="L1",BU801="L23"),AN801&gt;0),SUMIFS($AN$7:$AN$1576,$BU$7:$BU$1576,BU801,$AQ$7:$AQ$1576,"&gt;"&amp;AQ801)+SUMIFS($AN$7:$AN$1576,$BU$7:$BU$1576,BU801,$AQ$7:$AQ$1576,AQ801,$BO$7:$BO$1576,"&lt;="&amp;BO801),"")</f>
        <v>25.6175135616552</v>
      </c>
      <c r="AS801" s="65" t="n">
        <f aca="false">IF(AR801="",0,MAX(0,MIN(1,(IF(BU801="L1",Parameter!$E$5,Parameter!$E$6+Parameter!$E$7)-(AR801-AN801))/AN801)))</f>
        <v>1</v>
      </c>
      <c r="AT801" s="57" t="n">
        <f aca="false">IF(LEFT(Cockpit!$O$5,1)="A",G801,IF(BW801=1,BX801,IF(LEFT(Cockpit!$O$5,1)="B",AX801,MAX(AX801,G801))))</f>
        <v>10</v>
      </c>
      <c r="AU801" s="57" t="n">
        <f aca="false">IF(BR801=1,0,ROUNDUP(AT801/BQ801,0))</f>
        <v>1</v>
      </c>
      <c r="AV801" s="59" t="n">
        <f aca="false">IF(CD801&gt;0,CD801*MAX(1,AT801/V801),IF(BR801=1,IF(AT801&lt;=0,0,BS801*MAX(1,IF(G801&gt;0,AT801/G801,1))),IF(Q801&gt;0,AU801/Q801,0))/MAX(0.1,N(Parameter!$M$21)))</f>
        <v>0.00241545893719807</v>
      </c>
      <c r="AW801" s="57" t="n">
        <f aca="false">AT801*F801</f>
        <v>46.8</v>
      </c>
      <c r="AX801" s="57" t="n">
        <f aca="false">ROUNDUP(MAX(I801/IF(BV801&gt;0,BV801,MAX(0.1,N(Cockpit!$O$6))),BY801)/BQ801,0)*BQ801</f>
        <v>10</v>
      </c>
      <c r="AY801" s="58" t="n">
        <f aca="false">IF(AV801&gt;0,I801/AV801,-1)</f>
        <v>828</v>
      </c>
      <c r="AZ801" s="58" t="n">
        <f aca="false">IF(AND(OR(BU801="L1",BU801="L23"),AV801&gt;0),SUMIFS($AV$7:$AV$1576,$BU$7:$BU$1576,BU801,$AY$7:$AY$1576,"&gt;"&amp;AY801)+SUMIFS($AV$7:$AV$1576,$BU$7:$BU$1576,BU801,$AY$7:$AY$1576,AY801,$BO$7:$BO$1576,"&lt;="&amp;BO801),"")</f>
        <v>25.9345298786715</v>
      </c>
      <c r="BA801" s="65" t="n">
        <f aca="false">IF(AZ801="",0,MAX(0,MIN(1,(IF(BU801="L1",Parameter!$E$5,Parameter!$E$6+Parameter!$E$7)-(AZ801-AV801))/AV801)))</f>
        <v>1</v>
      </c>
      <c r="BB801" s="55" t="str">
        <f aca="false">IF(AF801&lt;=0,"",IF(BU801="Aussen","Aussenlager",IF(BU801="-","Nicht im Lift",IF(AK801&gt;=1,"Lift",IF(AK801&lt;=0,"Aussenlager","teilweise")))))</f>
        <v/>
      </c>
      <c r="BC801" s="55" t="str">
        <f aca="false">IF(AN801&lt;=0,"",IF(BU801="Aussen","Aussenlager",IF(BU801="-","Nicht im Lift",IF(AS801&gt;=1,"Lift",IF(AS801&lt;=0,"Aussenlager","teilweise")))))</f>
        <v>Lift</v>
      </c>
      <c r="BD801" s="55" t="str">
        <f aca="false">IF(AV801&lt;=0,"",IF(BU801="Aussen","Aussenlager",IF(BU801="-","Nicht im Lift",IF(BA801&gt;=1,"Lift",IF(BA801&lt;=0,"Aussenlager","teilweise")))))</f>
        <v>Lift</v>
      </c>
      <c r="BE801" s="55" t="str">
        <f aca="false">IF(A801="","",IF(BN801=1,"Neu; ","")&amp;IF(AND(BN801=0,BI801&lt;0),"negativer Bestand (Export "&amp;BI801&amp;"); ","")&amp;IF(I801&lt;=0,"Kein Verbrauch; ","")&amp;IF(CD801&gt;0,"Lift "&amp;U801&amp;" lt. Liftbericht (Fach "&amp;V801&amp;" Stk); ",IF(BR801=1,"Lose – Fläche geschätzt; ",""))&amp;IF(G801&gt;AP801,"Überbestand "&amp;ROUND(G801-AP801,0)&amp;" Stk / CHF "&amp;ROUND((G801-AP801)*F801,0)&amp;"; ","")&amp;IF(AND(BW801=1,BX801&lt;BY801),"MAX &lt; MB+LG; ","")&amp;IF(AND(CC801&gt;0,CB801*10&gt;CC801),"zu hoch für Tablar; ","")&amp;IF(AND(BN801=0,OR(BW801=1,Y801&lt;&gt;"",S801&lt;&gt;"",T801&lt;&gt;"",Z801&lt;&gt;"")),"manuell übersteuert; ","")&amp;IF(AND(BR801=0,Q801=0),"Gebinde unbekannt / Stellmass fehlt; ","")&amp;IF(AND(BR801=0,N(T801)&lt;=0,N(P801)&lt;=0),"Menge pro Gebinde fehlt (Ist = 1 Gebinde); ","")&amp;BM801)</f>
        <v>negativer Bestand (Export -1); </v>
      </c>
      <c r="BF801" s="55"/>
      <c r="BG801" s="55"/>
      <c r="BH801" s="62"/>
      <c r="BI801" s="57" t="n">
        <v>-1</v>
      </c>
      <c r="BJ801" s="57" t="n">
        <v>8</v>
      </c>
      <c r="BK801" s="56" t="n">
        <v>-4.68</v>
      </c>
      <c r="BL801" s="57" t="n">
        <v>2</v>
      </c>
      <c r="BM801" s="55"/>
      <c r="BN801" s="60" t="n">
        <v>0</v>
      </c>
      <c r="BO801" s="60" t="n">
        <v>801</v>
      </c>
      <c r="BP801" s="55" t="str">
        <f aca="false">IF(S801&lt;&gt;"",UPPER(TRIM(S801)),IF(O801="","LOSE",O801))</f>
        <v>S21</v>
      </c>
      <c r="BQ801" s="57" t="n">
        <f aca="false">IF(BP801="LOSE",1,IF(N(T801)&gt;0,T801,IF(N(P801)&gt;0,P801,MAX(1,G801))))</f>
        <v>10</v>
      </c>
      <c r="BR801" s="60" t="n">
        <f aca="false">IF(BP801="LOSE",1,0)</f>
        <v>0</v>
      </c>
      <c r="BS801" s="59" t="n">
        <f aca="false">IF(BR801=0,0,IF(N(R801)&gt;0,R801,IFERROR(VLOOKUP(D801,Parameter!$A$35:$C$64,3,0)+0,0)))</f>
        <v>0</v>
      </c>
      <c r="BT801" s="55" t="n">
        <f aca="false">IF(Y801&lt;&gt;"",Y801,X801)</f>
        <v>3</v>
      </c>
      <c r="BU801" s="55" t="str">
        <f aca="false">IF(BT801=1,"L1",IF(OR(BT801=2,BT801=3),"L23",IF(BT801="Aussen","Aussen","-")))</f>
        <v>L23</v>
      </c>
      <c r="BV801" s="66" t="n">
        <f aca="false">IF(N(Z801)&gt;0,Z801,0)</f>
        <v>0</v>
      </c>
      <c r="BW801" s="60" t="n">
        <f aca="false">IF(ISNUMBER(AC801),1,0)</f>
        <v>0</v>
      </c>
      <c r="BX801" s="57" t="n">
        <f aca="false">N(AC801)</f>
        <v>0</v>
      </c>
      <c r="BY801" s="57" t="n">
        <f aca="false">N(L801)+N(M801)</f>
        <v>1</v>
      </c>
      <c r="BZ801" s="57" t="n">
        <f aca="false">ROUNDUP(G801/BQ801,0)</f>
        <v>0</v>
      </c>
      <c r="CA801" s="57" t="n">
        <f aca="false">ROUNDUP(BX801/BQ801,0)</f>
        <v>0</v>
      </c>
      <c r="CB801" s="60" t="n">
        <f aca="false">IF(BR801=1,0,IFERROR(VLOOKUP(BP801,'Gebinde-Kategorie'!$A$5:$M$45,5,0)+0,0))</f>
        <v>8</v>
      </c>
      <c r="CC801" s="60" t="n">
        <f aca="false">IFERROR(IF(OR(BT801=1,BT801=2,BT801=3),N(INDEX(Parameter!$I$5:$I$7,BT801)),0),0)</f>
        <v>0</v>
      </c>
      <c r="CD801" s="59" t="n">
        <f aca="false">IF(AND(Parameter!$B$21="Ja",ISNUMBER(U801),N(V801)&gt;0),IFERROR(N(INDEX(Parameter!$L$5:$L$7,U801))*INDEX(Parameter!$E$5:$E$7,U801)*V801/SUMIFS($V$7:$V$1576,$U$7:$U$1576,U801),0),0)</f>
        <v>0</v>
      </c>
    </row>
    <row r="802" customFormat="false" ht="15" hidden="false" customHeight="false" outlineLevel="0" collapsed="false">
      <c r="A802" s="55" t="s">
        <v>1545</v>
      </c>
      <c r="B802" s="55" t="s">
        <v>1546</v>
      </c>
      <c r="C802" s="55" t="s">
        <v>160</v>
      </c>
      <c r="D802" s="55" t="s">
        <v>178</v>
      </c>
      <c r="E802" s="55" t="s">
        <v>210</v>
      </c>
      <c r="F802" s="56" t="n">
        <v>0.5</v>
      </c>
      <c r="G802" s="57" t="n">
        <f aca="false">MAX(0,IF(AND(Parameter!$B$21="Ja",ISNUMBER(W802)),W802,IF(Parameter!$B$20="Jahresanfang 2025 + Export",BJ802+BI802,BI802)))</f>
        <v>0</v>
      </c>
      <c r="H802" s="57" t="n">
        <f aca="false">G802*F802</f>
        <v>0</v>
      </c>
      <c r="I802" s="57" t="n">
        <f aca="false">BL802*Parameter!$B$18</f>
        <v>0</v>
      </c>
      <c r="J802" s="58" t="n">
        <v>5</v>
      </c>
      <c r="K802" s="59" t="n">
        <v>0</v>
      </c>
      <c r="L802" s="57" t="n">
        <v>0</v>
      </c>
      <c r="M802" s="57" t="n">
        <v>1</v>
      </c>
      <c r="N802" s="60" t="n">
        <v>56</v>
      </c>
      <c r="O802" s="55" t="s">
        <v>163</v>
      </c>
      <c r="P802" s="57"/>
      <c r="Q802" s="60" t="n">
        <f aca="false">IF(BR802=1,0,IFERROR(VLOOKUP(BP802,'Gebinde-Kategorie'!$A$5:$M$45,13,0)+0,0))</f>
        <v>0</v>
      </c>
      <c r="R802" s="61"/>
      <c r="S802" s="62"/>
      <c r="T802" s="62"/>
      <c r="U802" s="55"/>
      <c r="V802" s="57"/>
      <c r="W802" s="57"/>
      <c r="X802" s="55" t="n">
        <f aca="false">IF(A802="","",IF(AND(Parameter!$B$21="Ja",ISNUMBER(U802)),U802,IF(IFERROR(VLOOKUP(D802,Parameter!$A$35:$C$64,2,0),"Nein")="2+3",IF(ISNUMBER(SEARCH("grosser Artikel",BM802)),2,IFERROR(VLOOKUP(BP802,Parameter!$F$35:$G$64,2,0),2)),IF(OR(IFERROR(VLOOKUP(D802,Parameter!$A$35:$C$64,2,0),"Nein")="Nein",IFERROR(VLOOKUP(D802,Parameter!$A$35:$C$64,2,0),"Nein")=""),"-",VLOOKUP(D802,Parameter!$A$35:$C$64,2,0)))))</f>
        <v>2</v>
      </c>
      <c r="Y802" s="62"/>
      <c r="Z802" s="63"/>
      <c r="AA802" s="57" t="n">
        <f aca="false">AP802</f>
        <v>1</v>
      </c>
      <c r="AB802" s="57" t="n">
        <f aca="false">MAX(AP802,G802)</f>
        <v>1</v>
      </c>
      <c r="AC802" s="64"/>
      <c r="AD802" s="57" t="n">
        <f aca="false">IF(LEFT(Cockpit!$C$5,1)="A",G802,IF(BW802=1,BX802,IF(LEFT(Cockpit!$C$5,1)="B",AH802,MAX(AH802,G802))))</f>
        <v>0</v>
      </c>
      <c r="AE802" s="57" t="n">
        <f aca="false">IF(BR802=1,0,ROUNDUP(AD802/BQ802,0))</f>
        <v>0</v>
      </c>
      <c r="AF802" s="59" t="n">
        <f aca="false">IF(CD802&gt;0,CD802*MAX(1,AD802/V802),IF(BR802=1,IF(AD802&lt;=0,0,BS802*MAX(1,IF(G802&gt;0,AD802/G802,1))),IF(Q802&gt;0,AE802/Q802,0))/MAX(0.1,N(Parameter!$M$21)))</f>
        <v>0</v>
      </c>
      <c r="AG802" s="57" t="n">
        <f aca="false">AD802*F802</f>
        <v>0</v>
      </c>
      <c r="AH802" s="57" t="n">
        <f aca="false">ROUNDUP(MAX(I802/IF(BV802&gt;0,BV802,MAX(0.1,N(Cockpit!$C$6))),BY802)/BQ802,0)*BQ802</f>
        <v>1</v>
      </c>
      <c r="AI802" s="58" t="n">
        <f aca="false">IF(AF802&gt;0,I802/AF802,-1)</f>
        <v>-1</v>
      </c>
      <c r="AJ802" s="58" t="str">
        <f aca="false">IF(AND(OR(BU802="L1",BU802="L23"),AF802&gt;0),SUMIFS($AF$7:$AF$1576,$BU$7:$BU$1576,BU802,$AI$7:$AI$1576,"&gt;"&amp;AI802)+SUMIFS($AF$7:$AF$1576,$BU$7:$BU$1576,BU802,$AI$7:$AI$1576,AI802,$BO$7:$BO$1576,"&lt;="&amp;BO802),"")</f>
        <v/>
      </c>
      <c r="AK802" s="65" t="n">
        <f aca="false">IF(AJ802="",0,MAX(0,MIN(1,(IF(BU802="L1",Parameter!$E$5,Parameter!$E$6+Parameter!$E$7)-(AJ802-AF802))/AF802)))</f>
        <v>0</v>
      </c>
      <c r="AL802" s="57" t="n">
        <f aca="false">IF(LEFT(Cockpit!$I$5,1)="A",G802,IF(BW802=1,BX802,IF(LEFT(Cockpit!$I$5,1)="B",AP802,MAX(AP802,G802))))</f>
        <v>1</v>
      </c>
      <c r="AM802" s="57" t="n">
        <f aca="false">IF(BR802=1,0,ROUNDUP(AL802/BQ802,0))</f>
        <v>0</v>
      </c>
      <c r="AN802" s="59" t="n">
        <f aca="false">IF(CD802&gt;0,CD802*MAX(1,AL802/V802),IF(BR802=1,IF(AL802&lt;=0,0,BS802*MAX(1,IF(G802&gt;0,AL802/G802,1))),IF(Q802&gt;0,AM802/Q802,0))/MAX(0.1,N(Parameter!$M$21)))</f>
        <v>0.03</v>
      </c>
      <c r="AO802" s="57" t="n">
        <f aca="false">AL802*F802</f>
        <v>0.5</v>
      </c>
      <c r="AP802" s="57" t="n">
        <f aca="false">ROUNDUP(MAX(I802/IF(BV802&gt;0,BV802,MAX(0.1,N(Cockpit!$I$6))),BY802)/BQ802,0)*BQ802</f>
        <v>1</v>
      </c>
      <c r="AQ802" s="58" t="n">
        <f aca="false">IF(AN802&gt;0,I802/AN802,-1)</f>
        <v>0</v>
      </c>
      <c r="AR802" s="58" t="n">
        <f aca="false">IF(AND(OR(BU802="L1",BU802="L23"),AN802&gt;0),SUMIFS($AN$7:$AN$1576,$BU$7:$BU$1576,BU802,$AQ$7:$AQ$1576,"&gt;"&amp;AQ802)+SUMIFS($AN$7:$AN$1576,$BU$7:$BU$1576,BU802,$AQ$7:$AQ$1576,AQ802,$BO$7:$BO$1576,"&lt;="&amp;BO802),"")</f>
        <v>130.722006761402</v>
      </c>
      <c r="AS802" s="65" t="n">
        <f aca="false">IF(AR802="",0,MAX(0,MIN(1,(IF(BU802="L1",Parameter!$E$5,Parameter!$E$6+Parameter!$E$7)-(AR802-AN802))/AN802)))</f>
        <v>0</v>
      </c>
      <c r="AT802" s="57" t="n">
        <f aca="false">IF(LEFT(Cockpit!$O$5,1)="A",G802,IF(BW802=1,BX802,IF(LEFT(Cockpit!$O$5,1)="B",AX802,MAX(AX802,G802))))</f>
        <v>1</v>
      </c>
      <c r="AU802" s="57" t="n">
        <f aca="false">IF(BR802=1,0,ROUNDUP(AT802/BQ802,0))</f>
        <v>0</v>
      </c>
      <c r="AV802" s="59" t="n">
        <f aca="false">IF(CD802&gt;0,CD802*MAX(1,AT802/V802),IF(BR802=1,IF(AT802&lt;=0,0,BS802*MAX(1,IF(G802&gt;0,AT802/G802,1))),IF(Q802&gt;0,AU802/Q802,0))/MAX(0.1,N(Parameter!$M$21)))</f>
        <v>0.03</v>
      </c>
      <c r="AW802" s="57" t="n">
        <f aca="false">AT802*F802</f>
        <v>0.5</v>
      </c>
      <c r="AX802" s="57" t="n">
        <f aca="false">ROUNDUP(MAX(I802/IF(BV802&gt;0,BV802,MAX(0.1,N(Cockpit!$O$6))),BY802)/BQ802,0)*BQ802</f>
        <v>1</v>
      </c>
      <c r="AY802" s="58" t="n">
        <f aca="false">IF(AV802&gt;0,I802/AV802,-1)</f>
        <v>0</v>
      </c>
      <c r="AZ802" s="58" t="n">
        <f aca="false">IF(AND(OR(BU802="L1",BU802="L23"),AV802&gt;0),SUMIFS($AV$7:$AV$1576,$BU$7:$BU$1576,BU802,$AY$7:$AY$1576,"&gt;"&amp;AY802)+SUMIFS($AV$7:$AV$1576,$BU$7:$BU$1576,BU802,$AY$7:$AY$1576,AY802,$BO$7:$BO$1576,"&lt;="&amp;BO802),"")</f>
        <v>120.781557210953</v>
      </c>
      <c r="BA802" s="65" t="n">
        <f aca="false">IF(AZ802="",0,MAX(0,MIN(1,(IF(BU802="L1",Parameter!$E$5,Parameter!$E$6+Parameter!$E$7)-(AZ802-AV802))/AV802)))</f>
        <v>0</v>
      </c>
      <c r="BB802" s="55" t="str">
        <f aca="false">IF(AF802&lt;=0,"",IF(BU802="Aussen","Aussenlager",IF(BU802="-","Nicht im Lift",IF(AK802&gt;=1,"Lift",IF(AK802&lt;=0,"Aussenlager","teilweise")))))</f>
        <v/>
      </c>
      <c r="BC802" s="55" t="str">
        <f aca="false">IF(AN802&lt;=0,"",IF(BU802="Aussen","Aussenlager",IF(BU802="-","Nicht im Lift",IF(AS802&gt;=1,"Lift",IF(AS802&lt;=0,"Aussenlager","teilweise")))))</f>
        <v>Aussenlager</v>
      </c>
      <c r="BD802" s="55" t="str">
        <f aca="false">IF(AV802&lt;=0,"",IF(BU802="Aussen","Aussenlager",IF(BU802="-","Nicht im Lift",IF(BA802&gt;=1,"Lift",IF(BA802&lt;=0,"Aussenlager","teilweise")))))</f>
        <v>Aussenlager</v>
      </c>
      <c r="BE802" s="55" t="str">
        <f aca="false">IF(A802="","",IF(BN802=1,"Neu; ","")&amp;IF(AND(BN802=0,BI802&lt;0),"negativer Bestand (Export "&amp;BI802&amp;"); ","")&amp;IF(I802&lt;=0,"Kein Verbrauch; ","")&amp;IF(CD802&gt;0,"Lift "&amp;U802&amp;" lt. Liftbericht (Fach "&amp;V802&amp;" Stk); ",IF(BR802=1,"Lose – Fläche geschätzt; ",""))&amp;IF(G802&gt;AP802,"Überbestand "&amp;ROUND(G802-AP802,0)&amp;" Stk / CHF "&amp;ROUND((G802-AP802)*F802,0)&amp;"; ","")&amp;IF(AND(BW802=1,BX802&lt;BY802),"MAX &lt; MB+LG; ","")&amp;IF(AND(CC802&gt;0,CB802*10&gt;CC802),"zu hoch für Tablar; ","")&amp;IF(AND(BN802=0,OR(BW802=1,Y802&lt;&gt;"",S802&lt;&gt;"",T802&lt;&gt;"",Z802&lt;&gt;"")),"manuell übersteuert; ","")&amp;IF(AND(BR802=0,Q802=0),"Gebinde unbekannt / Stellmass fehlt; ","")&amp;IF(AND(BR802=0,N(T802)&lt;=0,N(P802)&lt;=0),"Menge pro Gebinde fehlt (Ist = 1 Gebinde); ","")&amp;BM802)</f>
        <v>negativer Bestand (Export -10); Kein Verbrauch; Lose – Fläche geschätzt; Überbestand</v>
      </c>
      <c r="BF802" s="55"/>
      <c r="BG802" s="55"/>
      <c r="BH802" s="62"/>
      <c r="BI802" s="57" t="n">
        <v>-10</v>
      </c>
      <c r="BJ802" s="57" t="n">
        <v>10</v>
      </c>
      <c r="BK802" s="56" t="n">
        <v>-5</v>
      </c>
      <c r="BL802" s="57" t="n">
        <v>0</v>
      </c>
      <c r="BM802" s="55" t="s">
        <v>382</v>
      </c>
      <c r="BN802" s="60" t="n">
        <v>0</v>
      </c>
      <c r="BO802" s="60" t="n">
        <v>802</v>
      </c>
      <c r="BP802" s="55" t="str">
        <f aca="false">IF(S802&lt;&gt;"",UPPER(TRIM(S802)),IF(O802="","LOSE",O802))</f>
        <v>LOSE</v>
      </c>
      <c r="BQ802" s="57" t="n">
        <f aca="false">IF(BP802="LOSE",1,IF(N(T802)&gt;0,T802,IF(N(P802)&gt;0,P802,MAX(1,G802))))</f>
        <v>1</v>
      </c>
      <c r="BR802" s="60" t="n">
        <f aca="false">IF(BP802="LOSE",1,0)</f>
        <v>1</v>
      </c>
      <c r="BS802" s="59" t="n">
        <f aca="false">IF(BR802=0,0,IF(N(R802)&gt;0,R802,IFERROR(VLOOKUP(D802,Parameter!$A$35:$C$64,3,0)+0,0)))</f>
        <v>0.03</v>
      </c>
      <c r="BT802" s="55" t="n">
        <f aca="false">IF(Y802&lt;&gt;"",Y802,X802)</f>
        <v>2</v>
      </c>
      <c r="BU802" s="55" t="str">
        <f aca="false">IF(BT802=1,"L1",IF(OR(BT802=2,BT802=3),"L23",IF(BT802="Aussen","Aussen","-")))</f>
        <v>L23</v>
      </c>
      <c r="BV802" s="66" t="n">
        <f aca="false">IF(N(Z802)&gt;0,Z802,0)</f>
        <v>0</v>
      </c>
      <c r="BW802" s="60" t="n">
        <f aca="false">IF(ISNUMBER(AC802),1,0)</f>
        <v>0</v>
      </c>
      <c r="BX802" s="57" t="n">
        <f aca="false">N(AC802)</f>
        <v>0</v>
      </c>
      <c r="BY802" s="57" t="n">
        <f aca="false">N(L802)+N(M802)</f>
        <v>1</v>
      </c>
      <c r="BZ802" s="57" t="n">
        <f aca="false">ROUNDUP(G802/BQ802,0)</f>
        <v>0</v>
      </c>
      <c r="CA802" s="57" t="n">
        <f aca="false">ROUNDUP(BX802/BQ802,0)</f>
        <v>0</v>
      </c>
      <c r="CB802" s="60" t="n">
        <f aca="false">IF(BR802=1,0,IFERROR(VLOOKUP(BP802,'Gebinde-Kategorie'!$A$5:$M$45,5,0)+0,0))</f>
        <v>0</v>
      </c>
      <c r="CC802" s="60" t="n">
        <f aca="false">IFERROR(IF(OR(BT802=1,BT802=2,BT802=3),N(INDEX(Parameter!$I$5:$I$7,BT802)),0),0)</f>
        <v>0</v>
      </c>
      <c r="CD802" s="59" t="n">
        <f aca="false">IF(AND(Parameter!$B$21="Ja",ISNUMBER(U802),N(V802)&gt;0),IFERROR(N(INDEX(Parameter!$L$5:$L$7,U802))*INDEX(Parameter!$E$5:$E$7,U802)*V802/SUMIFS($V$7:$V$1576,$U$7:$U$1576,U802),0),0)</f>
        <v>0</v>
      </c>
    </row>
    <row r="803" customFormat="false" ht="15" hidden="false" customHeight="false" outlineLevel="0" collapsed="false">
      <c r="A803" s="55" t="s">
        <v>1547</v>
      </c>
      <c r="B803" s="55" t="s">
        <v>1251</v>
      </c>
      <c r="C803" s="55" t="s">
        <v>160</v>
      </c>
      <c r="D803" s="55" t="s">
        <v>178</v>
      </c>
      <c r="E803" s="55" t="s">
        <v>210</v>
      </c>
      <c r="F803" s="56" t="n">
        <v>0.05</v>
      </c>
      <c r="G803" s="57" t="n">
        <f aca="false">MAX(0,IF(AND(Parameter!$B$21="Ja",ISNUMBER(W803)),W803,IF(Parameter!$B$20="Jahresanfang 2025 + Export",BJ803+BI803,BI803)))</f>
        <v>0</v>
      </c>
      <c r="H803" s="57" t="n">
        <f aca="false">G803*F803</f>
        <v>0</v>
      </c>
      <c r="I803" s="57" t="n">
        <f aca="false">BL803*Parameter!$B$18</f>
        <v>0</v>
      </c>
      <c r="J803" s="58" t="n">
        <v>51.5</v>
      </c>
      <c r="K803" s="59" t="n">
        <v>0</v>
      </c>
      <c r="L803" s="57" t="n">
        <v>0</v>
      </c>
      <c r="M803" s="57" t="n">
        <v>1</v>
      </c>
      <c r="N803" s="60" t="n">
        <v>14</v>
      </c>
      <c r="O803" s="55" t="s">
        <v>391</v>
      </c>
      <c r="P803" s="57" t="n">
        <v>103</v>
      </c>
      <c r="Q803" s="60" t="n">
        <f aca="false">IF(BR803=1,0,IFERROR(VLOOKUP(BP803,'Gebinde-Kategorie'!$A$5:$M$45,13,0)+0,0))</f>
        <v>414</v>
      </c>
      <c r="R803" s="61"/>
      <c r="S803" s="62"/>
      <c r="T803" s="62"/>
      <c r="U803" s="55"/>
      <c r="V803" s="57"/>
      <c r="W803" s="57"/>
      <c r="X803" s="55" t="n">
        <f aca="false">IF(A803="","",IF(AND(Parameter!$B$21="Ja",ISNUMBER(U803)),U803,IF(IFERROR(VLOOKUP(D803,Parameter!$A$35:$C$64,2,0),"Nein")="2+3",IF(ISNUMBER(SEARCH("grosser Artikel",BM803)),2,IFERROR(VLOOKUP(BP803,Parameter!$F$35:$G$64,2,0),2)),IF(OR(IFERROR(VLOOKUP(D803,Parameter!$A$35:$C$64,2,0),"Nein")="Nein",IFERROR(VLOOKUP(D803,Parameter!$A$35:$C$64,2,0),"Nein")=""),"-",VLOOKUP(D803,Parameter!$A$35:$C$64,2,0)))))</f>
        <v>3</v>
      </c>
      <c r="Y803" s="62"/>
      <c r="Z803" s="63"/>
      <c r="AA803" s="57" t="n">
        <f aca="false">AP803</f>
        <v>103</v>
      </c>
      <c r="AB803" s="57" t="n">
        <f aca="false">MAX(AP803,G803)</f>
        <v>103</v>
      </c>
      <c r="AC803" s="64"/>
      <c r="AD803" s="57" t="n">
        <f aca="false">IF(LEFT(Cockpit!$C$5,1)="A",G803,IF(BW803=1,BX803,IF(LEFT(Cockpit!$C$5,1)="B",AH803,MAX(AH803,G803))))</f>
        <v>0</v>
      </c>
      <c r="AE803" s="57" t="n">
        <f aca="false">IF(BR803=1,0,ROUNDUP(AD803/BQ803,0))</f>
        <v>0</v>
      </c>
      <c r="AF803" s="59" t="n">
        <f aca="false">IF(CD803&gt;0,CD803*MAX(1,AD803/V803),IF(BR803=1,IF(AD803&lt;=0,0,BS803*MAX(1,IF(G803&gt;0,AD803/G803,1))),IF(Q803&gt;0,AE803/Q803,0))/MAX(0.1,N(Parameter!$M$21)))</f>
        <v>0</v>
      </c>
      <c r="AG803" s="57" t="n">
        <f aca="false">AD803*F803</f>
        <v>0</v>
      </c>
      <c r="AH803" s="57" t="n">
        <f aca="false">ROUNDUP(MAX(I803/IF(BV803&gt;0,BV803,MAX(0.1,N(Cockpit!$C$6))),BY803)/BQ803,0)*BQ803</f>
        <v>103</v>
      </c>
      <c r="AI803" s="58" t="n">
        <f aca="false">IF(AF803&gt;0,I803/AF803,-1)</f>
        <v>-1</v>
      </c>
      <c r="AJ803" s="58" t="str">
        <f aca="false">IF(AND(OR(BU803="L1",BU803="L23"),AF803&gt;0),SUMIFS($AF$7:$AF$1576,$BU$7:$BU$1576,BU803,$AI$7:$AI$1576,"&gt;"&amp;AI803)+SUMIFS($AF$7:$AF$1576,$BU$7:$BU$1576,BU803,$AI$7:$AI$1576,AI803,$BO$7:$BO$1576,"&lt;="&amp;BO803),"")</f>
        <v/>
      </c>
      <c r="AK803" s="65" t="n">
        <f aca="false">IF(AJ803="",0,MAX(0,MIN(1,(IF(BU803="L1",Parameter!$E$5,Parameter!$E$6+Parameter!$E$7)-(AJ803-AF803))/AF803)))</f>
        <v>0</v>
      </c>
      <c r="AL803" s="57" t="n">
        <f aca="false">IF(LEFT(Cockpit!$I$5,1)="A",G803,IF(BW803=1,BX803,IF(LEFT(Cockpit!$I$5,1)="B",AP803,MAX(AP803,G803))))</f>
        <v>103</v>
      </c>
      <c r="AM803" s="57" t="n">
        <f aca="false">IF(BR803=1,0,ROUNDUP(AL803/BQ803,0))</f>
        <v>1</v>
      </c>
      <c r="AN803" s="59" t="n">
        <f aca="false">IF(CD803&gt;0,CD803*MAX(1,AL803/V803),IF(BR803=1,IF(AL803&lt;=0,0,BS803*MAX(1,IF(G803&gt;0,AL803/G803,1))),IF(Q803&gt;0,AM803/Q803,0))/MAX(0.1,N(Parameter!$M$21)))</f>
        <v>0.00241545893719807</v>
      </c>
      <c r="AO803" s="57" t="n">
        <f aca="false">AL803*F803</f>
        <v>5.15</v>
      </c>
      <c r="AP803" s="57" t="n">
        <f aca="false">ROUNDUP(MAX(I803/IF(BV803&gt;0,BV803,MAX(0.1,N(Cockpit!$I$6))),BY803)/BQ803,0)*BQ803</f>
        <v>103</v>
      </c>
      <c r="AQ803" s="58" t="n">
        <f aca="false">IF(AN803&gt;0,I803/AN803,-1)</f>
        <v>0</v>
      </c>
      <c r="AR803" s="58" t="n">
        <f aca="false">IF(AND(OR(BU803="L1",BU803="L23"),AN803&gt;0),SUMIFS($AN$7:$AN$1576,$BU$7:$BU$1576,BU803,$AQ$7:$AQ$1576,"&gt;"&amp;AQ803)+SUMIFS($AN$7:$AN$1576,$BU$7:$BU$1576,BU803,$AQ$7:$AQ$1576,AQ803,$BO$7:$BO$1576,"&lt;="&amp;BO803),"")</f>
        <v>130.724422220339</v>
      </c>
      <c r="AS803" s="65" t="n">
        <f aca="false">IF(AR803="",0,MAX(0,MIN(1,(IF(BU803="L1",Parameter!$E$5,Parameter!$E$6+Parameter!$E$7)-(AR803-AN803))/AN803)))</f>
        <v>0</v>
      </c>
      <c r="AT803" s="57" t="n">
        <f aca="false">IF(LEFT(Cockpit!$O$5,1)="A",G803,IF(BW803=1,BX803,IF(LEFT(Cockpit!$O$5,1)="B",AX803,MAX(AX803,G803))))</f>
        <v>103</v>
      </c>
      <c r="AU803" s="57" t="n">
        <f aca="false">IF(BR803=1,0,ROUNDUP(AT803/BQ803,0))</f>
        <v>1</v>
      </c>
      <c r="AV803" s="59" t="n">
        <f aca="false">IF(CD803&gt;0,CD803*MAX(1,AT803/V803),IF(BR803=1,IF(AT803&lt;=0,0,BS803*MAX(1,IF(G803&gt;0,AT803/G803,1))),IF(Q803&gt;0,AU803/Q803,0))/MAX(0.1,N(Parameter!$M$21)))</f>
        <v>0.00241545893719807</v>
      </c>
      <c r="AW803" s="57" t="n">
        <f aca="false">AT803*F803</f>
        <v>5.15</v>
      </c>
      <c r="AX803" s="57" t="n">
        <f aca="false">ROUNDUP(MAX(I803/IF(BV803&gt;0,BV803,MAX(0.1,N(Cockpit!$O$6))),BY803)/BQ803,0)*BQ803</f>
        <v>103</v>
      </c>
      <c r="AY803" s="58" t="n">
        <f aca="false">IF(AV803&gt;0,I803/AV803,-1)</f>
        <v>0</v>
      </c>
      <c r="AZ803" s="58" t="n">
        <f aca="false">IF(AND(OR(BU803="L1",BU803="L23"),AV803&gt;0),SUMIFS($AV$7:$AV$1576,$BU$7:$BU$1576,BU803,$AY$7:$AY$1576,"&gt;"&amp;AY803)+SUMIFS($AV$7:$AV$1576,$BU$7:$BU$1576,BU803,$AY$7:$AY$1576,AY803,$BO$7:$BO$1576,"&lt;="&amp;BO803),"")</f>
        <v>120.78397266989</v>
      </c>
      <c r="BA803" s="65" t="n">
        <f aca="false">IF(AZ803="",0,MAX(0,MIN(1,(IF(BU803="L1",Parameter!$E$5,Parameter!$E$6+Parameter!$E$7)-(AZ803-AV803))/AV803)))</f>
        <v>0</v>
      </c>
      <c r="BB803" s="55" t="str">
        <f aca="false">IF(AF803&lt;=0,"",IF(BU803="Aussen","Aussenlager",IF(BU803="-","Nicht im Lift",IF(AK803&gt;=1,"Lift",IF(AK803&lt;=0,"Aussenlager","teilweise")))))</f>
        <v/>
      </c>
      <c r="BC803" s="55" t="str">
        <f aca="false">IF(AN803&lt;=0,"",IF(BU803="Aussen","Aussenlager",IF(BU803="-","Nicht im Lift",IF(AS803&gt;=1,"Lift",IF(AS803&lt;=0,"Aussenlager","teilweise")))))</f>
        <v>Aussenlager</v>
      </c>
      <c r="BD803" s="55" t="str">
        <f aca="false">IF(AV803&lt;=0,"",IF(BU803="Aussen","Aussenlager",IF(BU803="-","Nicht im Lift",IF(BA803&gt;=1,"Lift",IF(BA803&lt;=0,"Aussenlager","teilweise")))))</f>
        <v>Aussenlager</v>
      </c>
      <c r="BE803" s="55" t="str">
        <f aca="false">IF(A803="","",IF(BN803=1,"Neu; ","")&amp;IF(AND(BN803=0,BI803&lt;0),"negativer Bestand (Export "&amp;BI803&amp;"); ","")&amp;IF(I803&lt;=0,"Kein Verbrauch; ","")&amp;IF(CD803&gt;0,"Lift "&amp;U803&amp;" lt. Liftbericht (Fach "&amp;V803&amp;" Stk); ",IF(BR803=1,"Lose – Fläche geschätzt; ",""))&amp;IF(G803&gt;AP803,"Überbestand "&amp;ROUND(G803-AP803,0)&amp;" Stk / CHF "&amp;ROUND((G803-AP803)*F803,0)&amp;"; ","")&amp;IF(AND(BW803=1,BX803&lt;BY803),"MAX &lt; MB+LG; ","")&amp;IF(AND(CC803&gt;0,CB803*10&gt;CC803),"zu hoch für Tablar; ","")&amp;IF(AND(BN803=0,OR(BW803=1,Y803&lt;&gt;"",S803&lt;&gt;"",T803&lt;&gt;"",Z803&lt;&gt;"")),"manuell übersteuert; ","")&amp;IF(AND(BR803=0,Q803=0),"Gebinde unbekannt / Stellmass fehlt; ","")&amp;IF(AND(BR803=0,N(T803)&lt;=0,N(P803)&lt;=0),"Menge pro Gebinde fehlt (Ist = 1 Gebinde); ","")&amp;BM803)</f>
        <v>negativer Bestand (Export -103); Kein Verbrauch; Neu</v>
      </c>
      <c r="BF803" s="55"/>
      <c r="BG803" s="55"/>
      <c r="BH803" s="62"/>
      <c r="BI803" s="57" t="n">
        <v>-103</v>
      </c>
      <c r="BJ803" s="57" t="n">
        <v>103</v>
      </c>
      <c r="BK803" s="56" t="n">
        <v>-5.15</v>
      </c>
      <c r="BL803" s="57" t="n">
        <v>0</v>
      </c>
      <c r="BM803" s="55" t="s">
        <v>615</v>
      </c>
      <c r="BN803" s="60" t="n">
        <v>0</v>
      </c>
      <c r="BO803" s="60" t="n">
        <v>803</v>
      </c>
      <c r="BP803" s="55" t="str">
        <f aca="false">IF(S803&lt;&gt;"",UPPER(TRIM(S803)),IF(O803="","LOSE",O803))</f>
        <v>S21</v>
      </c>
      <c r="BQ803" s="57" t="n">
        <f aca="false">IF(BP803="LOSE",1,IF(N(T803)&gt;0,T803,IF(N(P803)&gt;0,P803,MAX(1,G803))))</f>
        <v>103</v>
      </c>
      <c r="BR803" s="60" t="n">
        <f aca="false">IF(BP803="LOSE",1,0)</f>
        <v>0</v>
      </c>
      <c r="BS803" s="59" t="n">
        <f aca="false">IF(BR803=0,0,IF(N(R803)&gt;0,R803,IFERROR(VLOOKUP(D803,Parameter!$A$35:$C$64,3,0)+0,0)))</f>
        <v>0</v>
      </c>
      <c r="BT803" s="55" t="n">
        <f aca="false">IF(Y803&lt;&gt;"",Y803,X803)</f>
        <v>3</v>
      </c>
      <c r="BU803" s="55" t="str">
        <f aca="false">IF(BT803=1,"L1",IF(OR(BT803=2,BT803=3),"L23",IF(BT803="Aussen","Aussen","-")))</f>
        <v>L23</v>
      </c>
      <c r="BV803" s="66" t="n">
        <f aca="false">IF(N(Z803)&gt;0,Z803,0)</f>
        <v>0</v>
      </c>
      <c r="BW803" s="60" t="n">
        <f aca="false">IF(ISNUMBER(AC803),1,0)</f>
        <v>0</v>
      </c>
      <c r="BX803" s="57" t="n">
        <f aca="false">N(AC803)</f>
        <v>0</v>
      </c>
      <c r="BY803" s="57" t="n">
        <f aca="false">N(L803)+N(M803)</f>
        <v>1</v>
      </c>
      <c r="BZ803" s="57" t="n">
        <f aca="false">ROUNDUP(G803/BQ803,0)</f>
        <v>0</v>
      </c>
      <c r="CA803" s="57" t="n">
        <f aca="false">ROUNDUP(BX803/BQ803,0)</f>
        <v>0</v>
      </c>
      <c r="CB803" s="60" t="n">
        <f aca="false">IF(BR803=1,0,IFERROR(VLOOKUP(BP803,'Gebinde-Kategorie'!$A$5:$M$45,5,0)+0,0))</f>
        <v>8</v>
      </c>
      <c r="CC803" s="60" t="n">
        <f aca="false">IFERROR(IF(OR(BT803=1,BT803=2,BT803=3),N(INDEX(Parameter!$I$5:$I$7,BT803)),0),0)</f>
        <v>0</v>
      </c>
      <c r="CD803" s="59" t="n">
        <f aca="false">IF(AND(Parameter!$B$21="Ja",ISNUMBER(U803),N(V803)&gt;0),IFERROR(N(INDEX(Parameter!$L$5:$L$7,U803))*INDEX(Parameter!$E$5:$E$7,U803)*V803/SUMIFS($V$7:$V$1576,$U$7:$U$1576,U803),0),0)</f>
        <v>0</v>
      </c>
    </row>
    <row r="804" customFormat="false" ht="15" hidden="false" customHeight="false" outlineLevel="0" collapsed="false">
      <c r="A804" s="55" t="s">
        <v>1548</v>
      </c>
      <c r="B804" s="55" t="s">
        <v>395</v>
      </c>
      <c r="C804" s="55" t="s">
        <v>160</v>
      </c>
      <c r="D804" s="55" t="s">
        <v>178</v>
      </c>
      <c r="E804" s="55" t="s">
        <v>210</v>
      </c>
      <c r="F804" s="56" t="n">
        <v>0.04</v>
      </c>
      <c r="G804" s="57" t="n">
        <f aca="false">MAX(0,IF(AND(Parameter!$B$21="Ja",ISNUMBER(W804)),W804,IF(Parameter!$B$20="Jahresanfang 2025 + Export",BJ804+BI804,BI804)))</f>
        <v>0</v>
      </c>
      <c r="H804" s="57" t="n">
        <f aca="false">G804*F804</f>
        <v>0</v>
      </c>
      <c r="I804" s="57" t="n">
        <f aca="false">BL804*Parameter!$B$18</f>
        <v>112</v>
      </c>
      <c r="J804" s="58" t="n">
        <v>454.5</v>
      </c>
      <c r="K804" s="59" t="n">
        <v>0.246424642464246</v>
      </c>
      <c r="L804" s="57" t="n">
        <v>6</v>
      </c>
      <c r="M804" s="57" t="n">
        <v>110</v>
      </c>
      <c r="N804" s="60" t="n">
        <v>21</v>
      </c>
      <c r="O804" s="55" t="s">
        <v>416</v>
      </c>
      <c r="P804" s="57" t="n">
        <v>589</v>
      </c>
      <c r="Q804" s="60" t="n">
        <f aca="false">IF(BR804=1,0,IFERROR(VLOOKUP(BP804,'Gebinde-Kategorie'!$A$5:$M$45,13,0)+0,0))</f>
        <v>198</v>
      </c>
      <c r="R804" s="61"/>
      <c r="S804" s="62"/>
      <c r="T804" s="62"/>
      <c r="U804" s="55"/>
      <c r="V804" s="57"/>
      <c r="W804" s="57"/>
      <c r="X804" s="55" t="n">
        <f aca="false">IF(A804="","",IF(AND(Parameter!$B$21="Ja",ISNUMBER(U804)),U804,IF(IFERROR(VLOOKUP(D804,Parameter!$A$35:$C$64,2,0),"Nein")="2+3",IF(ISNUMBER(SEARCH("grosser Artikel",BM804)),2,IFERROR(VLOOKUP(BP804,Parameter!$F$35:$G$64,2,0),2)),IF(OR(IFERROR(VLOOKUP(D804,Parameter!$A$35:$C$64,2,0),"Nein")="Nein",IFERROR(VLOOKUP(D804,Parameter!$A$35:$C$64,2,0),"Nein")=""),"-",VLOOKUP(D804,Parameter!$A$35:$C$64,2,0)))))</f>
        <v>3</v>
      </c>
      <c r="Y804" s="62"/>
      <c r="Z804" s="63"/>
      <c r="AA804" s="57" t="n">
        <f aca="false">AP804</f>
        <v>589</v>
      </c>
      <c r="AB804" s="57" t="n">
        <f aca="false">MAX(AP804,G804)</f>
        <v>589</v>
      </c>
      <c r="AC804" s="64"/>
      <c r="AD804" s="57" t="n">
        <f aca="false">IF(LEFT(Cockpit!$C$5,1)="A",G804,IF(BW804=1,BX804,IF(LEFT(Cockpit!$C$5,1)="B",AH804,MAX(AH804,G804))))</f>
        <v>0</v>
      </c>
      <c r="AE804" s="57" t="n">
        <f aca="false">IF(BR804=1,0,ROUNDUP(AD804/BQ804,0))</f>
        <v>0</v>
      </c>
      <c r="AF804" s="59" t="n">
        <f aca="false">IF(CD804&gt;0,CD804*MAX(1,AD804/V804),IF(BR804=1,IF(AD804&lt;=0,0,BS804*MAX(1,IF(G804&gt;0,AD804/G804,1))),IF(Q804&gt;0,AE804/Q804,0))/MAX(0.1,N(Parameter!$M$21)))</f>
        <v>0</v>
      </c>
      <c r="AG804" s="57" t="n">
        <f aca="false">AD804*F804</f>
        <v>0</v>
      </c>
      <c r="AH804" s="57" t="n">
        <f aca="false">ROUNDUP(MAX(I804/IF(BV804&gt;0,BV804,MAX(0.1,N(Cockpit!$C$6))),BY804)/BQ804,0)*BQ804</f>
        <v>589</v>
      </c>
      <c r="AI804" s="58" t="n">
        <f aca="false">IF(AF804&gt;0,I804/AF804,-1)</f>
        <v>-1</v>
      </c>
      <c r="AJ804" s="58" t="str">
        <f aca="false">IF(AND(OR(BU804="L1",BU804="L23"),AF804&gt;0),SUMIFS($AF$7:$AF$1576,$BU$7:$BU$1576,BU804,$AI$7:$AI$1576,"&gt;"&amp;AI804)+SUMIFS($AF$7:$AF$1576,$BU$7:$BU$1576,BU804,$AI$7:$AI$1576,AI804,$BO$7:$BO$1576,"&lt;="&amp;BO804),"")</f>
        <v/>
      </c>
      <c r="AK804" s="65" t="n">
        <f aca="false">IF(AJ804="",0,MAX(0,MIN(1,(IF(BU804="L1",Parameter!$E$5,Parameter!$E$6+Parameter!$E$7)-(AJ804-AF804))/AF804)))</f>
        <v>0</v>
      </c>
      <c r="AL804" s="57" t="n">
        <f aca="false">IF(LEFT(Cockpit!$I$5,1)="A",G804,IF(BW804=1,BX804,IF(LEFT(Cockpit!$I$5,1)="B",AP804,MAX(AP804,G804))))</f>
        <v>589</v>
      </c>
      <c r="AM804" s="57" t="n">
        <f aca="false">IF(BR804=1,0,ROUNDUP(AL804/BQ804,0))</f>
        <v>1</v>
      </c>
      <c r="AN804" s="59" t="n">
        <f aca="false">IF(CD804&gt;0,CD804*MAX(1,AL804/V804),IF(BR804=1,IF(AL804&lt;=0,0,BS804*MAX(1,IF(G804&gt;0,AL804/G804,1))),IF(Q804&gt;0,AM804/Q804,0))/MAX(0.1,N(Parameter!$M$21)))</f>
        <v>0.00505050505050505</v>
      </c>
      <c r="AO804" s="57" t="n">
        <f aca="false">AL804*F804</f>
        <v>23.56</v>
      </c>
      <c r="AP804" s="57" t="n">
        <f aca="false">ROUNDUP(MAX(I804/IF(BV804&gt;0,BV804,MAX(0.1,N(Cockpit!$I$6))),BY804)/BQ804,0)*BQ804</f>
        <v>589</v>
      </c>
      <c r="AQ804" s="58" t="n">
        <f aca="false">IF(AN804&gt;0,I804/AN804,-1)</f>
        <v>22176</v>
      </c>
      <c r="AR804" s="58" t="n">
        <f aca="false">IF(AND(OR(BU804="L1",BU804="L23"),AN804&gt;0),SUMIFS($AN$7:$AN$1576,$BU$7:$BU$1576,BU804,$AQ$7:$AQ$1576,"&gt;"&amp;AQ804)+SUMIFS($AN$7:$AN$1576,$BU$7:$BU$1576,BU804,$AQ$7:$AQ$1576,AQ804,$BO$7:$BO$1576,"&lt;="&amp;BO804),"")</f>
        <v>3.75771223945137</v>
      </c>
      <c r="AS804" s="65" t="n">
        <f aca="false">IF(AR804="",0,MAX(0,MIN(1,(IF(BU804="L1",Parameter!$E$5,Parameter!$E$6+Parameter!$E$7)-(AR804-AN804))/AN804)))</f>
        <v>1</v>
      </c>
      <c r="AT804" s="57" t="n">
        <f aca="false">IF(LEFT(Cockpit!$O$5,1)="A",G804,IF(BW804=1,BX804,IF(LEFT(Cockpit!$O$5,1)="B",AX804,MAX(AX804,G804))))</f>
        <v>589</v>
      </c>
      <c r="AU804" s="57" t="n">
        <f aca="false">IF(BR804=1,0,ROUNDUP(AT804/BQ804,0))</f>
        <v>1</v>
      </c>
      <c r="AV804" s="59" t="n">
        <f aca="false">IF(CD804&gt;0,CD804*MAX(1,AT804/V804),IF(BR804=1,IF(AT804&lt;=0,0,BS804*MAX(1,IF(G804&gt;0,AT804/G804,1))),IF(Q804&gt;0,AU804/Q804,0))/MAX(0.1,N(Parameter!$M$21)))</f>
        <v>0.00505050505050505</v>
      </c>
      <c r="AW804" s="57" t="n">
        <f aca="false">AT804*F804</f>
        <v>23.56</v>
      </c>
      <c r="AX804" s="57" t="n">
        <f aca="false">ROUNDUP(MAX(I804/IF(BV804&gt;0,BV804,MAX(0.1,N(Cockpit!$O$6))),BY804)/BQ804,0)*BQ804</f>
        <v>589</v>
      </c>
      <c r="AY804" s="58" t="n">
        <f aca="false">IF(AV804&gt;0,I804/AV804,-1)</f>
        <v>22176</v>
      </c>
      <c r="AZ804" s="58" t="n">
        <f aca="false">IF(AND(OR(BU804="L1",BU804="L23"),AV804&gt;0),SUMIFS($AV$7:$AV$1576,$BU$7:$BU$1576,BU804,$AY$7:$AY$1576,"&gt;"&amp;AY804)+SUMIFS($AV$7:$AV$1576,$BU$7:$BU$1576,BU804,$AY$7:$AY$1576,AY804,$BO$7:$BO$1576,"&lt;="&amp;BO804),"")</f>
        <v>4.11552109726023</v>
      </c>
      <c r="BA804" s="65" t="n">
        <f aca="false">IF(AZ804="",0,MAX(0,MIN(1,(IF(BU804="L1",Parameter!$E$5,Parameter!$E$6+Parameter!$E$7)-(AZ804-AV804))/AV804)))</f>
        <v>1</v>
      </c>
      <c r="BB804" s="55" t="str">
        <f aca="false">IF(AF804&lt;=0,"",IF(BU804="Aussen","Aussenlager",IF(BU804="-","Nicht im Lift",IF(AK804&gt;=1,"Lift",IF(AK804&lt;=0,"Aussenlager","teilweise")))))</f>
        <v/>
      </c>
      <c r="BC804" s="55" t="str">
        <f aca="false">IF(AN804&lt;=0,"",IF(BU804="Aussen","Aussenlager",IF(BU804="-","Nicht im Lift",IF(AS804&gt;=1,"Lift",IF(AS804&lt;=0,"Aussenlager","teilweise")))))</f>
        <v>Lift</v>
      </c>
      <c r="BD804" s="55" t="str">
        <f aca="false">IF(AV804&lt;=0,"",IF(BU804="Aussen","Aussenlager",IF(BU804="-","Nicht im Lift",IF(BA804&gt;=1,"Lift",IF(BA804&lt;=0,"Aussenlager","teilweise")))))</f>
        <v>Lift</v>
      </c>
      <c r="BE804" s="55" t="str">
        <f aca="false">IF(A804="","",IF(BN804=1,"Neu; ","")&amp;IF(AND(BN804=0,BI804&lt;0),"negativer Bestand (Export "&amp;BI804&amp;"); ","")&amp;IF(I804&lt;=0,"Kein Verbrauch; ","")&amp;IF(CD804&gt;0,"Lift "&amp;U804&amp;" lt. Liftbericht (Fach "&amp;V804&amp;" Stk); ",IF(BR804=1,"Lose – Fläche geschätzt; ",""))&amp;IF(G804&gt;AP804,"Überbestand "&amp;ROUND(G804-AP804,0)&amp;" Stk / CHF "&amp;ROUND((G804-AP804)*F804,0)&amp;"; ","")&amp;IF(AND(BW804=1,BX804&lt;BY804),"MAX &lt; MB+LG; ","")&amp;IF(AND(CC804&gt;0,CB804*10&gt;CC804),"zu hoch für Tablar; ","")&amp;IF(AND(BN804=0,OR(BW804=1,Y804&lt;&gt;"",S804&lt;&gt;"",T804&lt;&gt;"",Z804&lt;&gt;"")),"manuell übersteuert; ","")&amp;IF(AND(BR804=0,Q804=0),"Gebinde unbekannt / Stellmass fehlt; ","")&amp;IF(AND(BR804=0,N(T804)&lt;=0,N(P804)&lt;=0),"Menge pro Gebinde fehlt (Ist = 1 Gebinde); ","")&amp;BM804)</f>
        <v>negativer Bestand (Export -135); Überbestand</v>
      </c>
      <c r="BF804" s="55"/>
      <c r="BG804" s="55"/>
      <c r="BH804" s="62"/>
      <c r="BI804" s="57" t="n">
        <v>-135</v>
      </c>
      <c r="BJ804" s="57" t="n">
        <v>517</v>
      </c>
      <c r="BK804" s="56" t="n">
        <v>-5.4</v>
      </c>
      <c r="BL804" s="57" t="n">
        <v>112</v>
      </c>
      <c r="BM804" s="55" t="s">
        <v>382</v>
      </c>
      <c r="BN804" s="60" t="n">
        <v>0</v>
      </c>
      <c r="BO804" s="60" t="n">
        <v>804</v>
      </c>
      <c r="BP804" s="55" t="str">
        <f aca="false">IF(S804&lt;&gt;"",UPPER(TRIM(S804)),IF(O804="","LOSE",O804))</f>
        <v>S22</v>
      </c>
      <c r="BQ804" s="57" t="n">
        <f aca="false">IF(BP804="LOSE",1,IF(N(T804)&gt;0,T804,IF(N(P804)&gt;0,P804,MAX(1,G804))))</f>
        <v>589</v>
      </c>
      <c r="BR804" s="60" t="n">
        <f aca="false">IF(BP804="LOSE",1,0)</f>
        <v>0</v>
      </c>
      <c r="BS804" s="59" t="n">
        <f aca="false">IF(BR804=0,0,IF(N(R804)&gt;0,R804,IFERROR(VLOOKUP(D804,Parameter!$A$35:$C$64,3,0)+0,0)))</f>
        <v>0</v>
      </c>
      <c r="BT804" s="55" t="n">
        <f aca="false">IF(Y804&lt;&gt;"",Y804,X804)</f>
        <v>3</v>
      </c>
      <c r="BU804" s="55" t="str">
        <f aca="false">IF(BT804=1,"L1",IF(OR(BT804=2,BT804=3),"L23",IF(BT804="Aussen","Aussen","-")))</f>
        <v>L23</v>
      </c>
      <c r="BV804" s="66" t="n">
        <f aca="false">IF(N(Z804)&gt;0,Z804,0)</f>
        <v>0</v>
      </c>
      <c r="BW804" s="60" t="n">
        <f aca="false">IF(ISNUMBER(AC804),1,0)</f>
        <v>0</v>
      </c>
      <c r="BX804" s="57" t="n">
        <f aca="false">N(AC804)</f>
        <v>0</v>
      </c>
      <c r="BY804" s="57" t="n">
        <f aca="false">N(L804)+N(M804)</f>
        <v>116</v>
      </c>
      <c r="BZ804" s="57" t="n">
        <f aca="false">ROUNDUP(G804/BQ804,0)</f>
        <v>0</v>
      </c>
      <c r="CA804" s="57" t="n">
        <f aca="false">ROUNDUP(BX804/BQ804,0)</f>
        <v>0</v>
      </c>
      <c r="CB804" s="60" t="n">
        <f aca="false">IF(BR804=1,0,IFERROR(VLOOKUP(BP804,'Gebinde-Kategorie'!$A$5:$M$45,5,0)+0,0))</f>
        <v>8</v>
      </c>
      <c r="CC804" s="60" t="n">
        <f aca="false">IFERROR(IF(OR(BT804=1,BT804=2,BT804=3),N(INDEX(Parameter!$I$5:$I$7,BT804)),0),0)</f>
        <v>0</v>
      </c>
      <c r="CD804" s="59" t="n">
        <f aca="false">IF(AND(Parameter!$B$21="Ja",ISNUMBER(U804),N(V804)&gt;0),IFERROR(N(INDEX(Parameter!$L$5:$L$7,U804))*INDEX(Parameter!$E$5:$E$7,U804)*V804/SUMIFS($V$7:$V$1576,$U$7:$U$1576,U804),0),0)</f>
        <v>0</v>
      </c>
    </row>
    <row r="805" customFormat="false" ht="15" hidden="false" customHeight="false" outlineLevel="0" collapsed="false">
      <c r="A805" s="55" t="s">
        <v>1549</v>
      </c>
      <c r="B805" s="55" t="s">
        <v>1222</v>
      </c>
      <c r="C805" s="55" t="s">
        <v>160</v>
      </c>
      <c r="D805" s="55" t="s">
        <v>178</v>
      </c>
      <c r="E805" s="55" t="s">
        <v>210</v>
      </c>
      <c r="F805" s="56" t="n">
        <v>5.8</v>
      </c>
      <c r="G805" s="57" t="n">
        <f aca="false">MAX(0,IF(AND(Parameter!$B$21="Ja",ISNUMBER(W805)),W805,IF(Parameter!$B$20="Jahresanfang 2025 + Export",BJ805+BI805,BI805)))</f>
        <v>0</v>
      </c>
      <c r="H805" s="57" t="n">
        <f aca="false">G805*F805</f>
        <v>0</v>
      </c>
      <c r="I805" s="57" t="n">
        <f aca="false">BL805*Parameter!$B$18</f>
        <v>0</v>
      </c>
      <c r="J805" s="58" t="n">
        <v>4</v>
      </c>
      <c r="K805" s="59" t="n">
        <v>0</v>
      </c>
      <c r="L805" s="57" t="n">
        <v>0</v>
      </c>
      <c r="M805" s="57" t="n">
        <v>1</v>
      </c>
      <c r="N805" s="60" t="n">
        <v>14</v>
      </c>
      <c r="O805" s="55" t="s">
        <v>416</v>
      </c>
      <c r="P805" s="57" t="n">
        <v>2</v>
      </c>
      <c r="Q805" s="60" t="n">
        <f aca="false">IF(BR805=1,0,IFERROR(VLOOKUP(BP805,'Gebinde-Kategorie'!$A$5:$M$45,13,0)+0,0))</f>
        <v>198</v>
      </c>
      <c r="R805" s="61"/>
      <c r="S805" s="62"/>
      <c r="T805" s="62"/>
      <c r="U805" s="55"/>
      <c r="V805" s="57"/>
      <c r="W805" s="57"/>
      <c r="X805" s="55" t="n">
        <f aca="false">IF(A805="","",IF(AND(Parameter!$B$21="Ja",ISNUMBER(U805)),U805,IF(IFERROR(VLOOKUP(D805,Parameter!$A$35:$C$64,2,0),"Nein")="2+3",IF(ISNUMBER(SEARCH("grosser Artikel",BM805)),2,IFERROR(VLOOKUP(BP805,Parameter!$F$35:$G$64,2,0),2)),IF(OR(IFERROR(VLOOKUP(D805,Parameter!$A$35:$C$64,2,0),"Nein")="Nein",IFERROR(VLOOKUP(D805,Parameter!$A$35:$C$64,2,0),"Nein")=""),"-",VLOOKUP(D805,Parameter!$A$35:$C$64,2,0)))))</f>
        <v>3</v>
      </c>
      <c r="Y805" s="62"/>
      <c r="Z805" s="63"/>
      <c r="AA805" s="57" t="n">
        <f aca="false">AP805</f>
        <v>2</v>
      </c>
      <c r="AB805" s="57" t="n">
        <f aca="false">MAX(AP805,G805)</f>
        <v>2</v>
      </c>
      <c r="AC805" s="64"/>
      <c r="AD805" s="57" t="n">
        <f aca="false">IF(LEFT(Cockpit!$C$5,1)="A",G805,IF(BW805=1,BX805,IF(LEFT(Cockpit!$C$5,1)="B",AH805,MAX(AH805,G805))))</f>
        <v>0</v>
      </c>
      <c r="AE805" s="57" t="n">
        <f aca="false">IF(BR805=1,0,ROUNDUP(AD805/BQ805,0))</f>
        <v>0</v>
      </c>
      <c r="AF805" s="59" t="n">
        <f aca="false">IF(CD805&gt;0,CD805*MAX(1,AD805/V805),IF(BR805=1,IF(AD805&lt;=0,0,BS805*MAX(1,IF(G805&gt;0,AD805/G805,1))),IF(Q805&gt;0,AE805/Q805,0))/MAX(0.1,N(Parameter!$M$21)))</f>
        <v>0</v>
      </c>
      <c r="AG805" s="57" t="n">
        <f aca="false">AD805*F805</f>
        <v>0</v>
      </c>
      <c r="AH805" s="57" t="n">
        <f aca="false">ROUNDUP(MAX(I805/IF(BV805&gt;0,BV805,MAX(0.1,N(Cockpit!$C$6))),BY805)/BQ805,0)*BQ805</f>
        <v>2</v>
      </c>
      <c r="AI805" s="58" t="n">
        <f aca="false">IF(AF805&gt;0,I805/AF805,-1)</f>
        <v>-1</v>
      </c>
      <c r="AJ805" s="58" t="str">
        <f aca="false">IF(AND(OR(BU805="L1",BU805="L23"),AF805&gt;0),SUMIFS($AF$7:$AF$1576,$BU$7:$BU$1576,BU805,$AI$7:$AI$1576,"&gt;"&amp;AI805)+SUMIFS($AF$7:$AF$1576,$BU$7:$BU$1576,BU805,$AI$7:$AI$1576,AI805,$BO$7:$BO$1576,"&lt;="&amp;BO805),"")</f>
        <v/>
      </c>
      <c r="AK805" s="65" t="n">
        <f aca="false">IF(AJ805="",0,MAX(0,MIN(1,(IF(BU805="L1",Parameter!$E$5,Parameter!$E$6+Parameter!$E$7)-(AJ805-AF805))/AF805)))</f>
        <v>0</v>
      </c>
      <c r="AL805" s="57" t="n">
        <f aca="false">IF(LEFT(Cockpit!$I$5,1)="A",G805,IF(BW805=1,BX805,IF(LEFT(Cockpit!$I$5,1)="B",AP805,MAX(AP805,G805))))</f>
        <v>2</v>
      </c>
      <c r="AM805" s="57" t="n">
        <f aca="false">IF(BR805=1,0,ROUNDUP(AL805/BQ805,0))</f>
        <v>1</v>
      </c>
      <c r="AN805" s="59" t="n">
        <f aca="false">IF(CD805&gt;0,CD805*MAX(1,AL805/V805),IF(BR805=1,IF(AL805&lt;=0,0,BS805*MAX(1,IF(G805&gt;0,AL805/G805,1))),IF(Q805&gt;0,AM805/Q805,0))/MAX(0.1,N(Parameter!$M$21)))</f>
        <v>0.00505050505050505</v>
      </c>
      <c r="AO805" s="57" t="n">
        <f aca="false">AL805*F805</f>
        <v>11.6</v>
      </c>
      <c r="AP805" s="57" t="n">
        <f aca="false">ROUNDUP(MAX(I805/IF(BV805&gt;0,BV805,MAX(0.1,N(Cockpit!$I$6))),BY805)/BQ805,0)*BQ805</f>
        <v>2</v>
      </c>
      <c r="AQ805" s="58" t="n">
        <f aca="false">IF(AN805&gt;0,I805/AN805,-1)</f>
        <v>0</v>
      </c>
      <c r="AR805" s="58" t="n">
        <f aca="false">IF(AND(OR(BU805="L1",BU805="L23"),AN805&gt;0),SUMIFS($AN$7:$AN$1576,$BU$7:$BU$1576,BU805,$AQ$7:$AQ$1576,"&gt;"&amp;AQ805)+SUMIFS($AN$7:$AN$1576,$BU$7:$BU$1576,BU805,$AQ$7:$AQ$1576,AQ805,$BO$7:$BO$1576,"&lt;="&amp;BO805),"")</f>
        <v>130.72947272539</v>
      </c>
      <c r="AS805" s="65" t="n">
        <f aca="false">IF(AR805="",0,MAX(0,MIN(1,(IF(BU805="L1",Parameter!$E$5,Parameter!$E$6+Parameter!$E$7)-(AR805-AN805))/AN805)))</f>
        <v>0</v>
      </c>
      <c r="AT805" s="57" t="n">
        <f aca="false">IF(LEFT(Cockpit!$O$5,1)="A",G805,IF(BW805=1,BX805,IF(LEFT(Cockpit!$O$5,1)="B",AX805,MAX(AX805,G805))))</f>
        <v>2</v>
      </c>
      <c r="AU805" s="57" t="n">
        <f aca="false">IF(BR805=1,0,ROUNDUP(AT805/BQ805,0))</f>
        <v>1</v>
      </c>
      <c r="AV805" s="59" t="n">
        <f aca="false">IF(CD805&gt;0,CD805*MAX(1,AT805/V805),IF(BR805=1,IF(AT805&lt;=0,0,BS805*MAX(1,IF(G805&gt;0,AT805/G805,1))),IF(Q805&gt;0,AU805/Q805,0))/MAX(0.1,N(Parameter!$M$21)))</f>
        <v>0.00505050505050505</v>
      </c>
      <c r="AW805" s="57" t="n">
        <f aca="false">AT805*F805</f>
        <v>11.6</v>
      </c>
      <c r="AX805" s="57" t="n">
        <f aca="false">ROUNDUP(MAX(I805/IF(BV805&gt;0,BV805,MAX(0.1,N(Cockpit!$O$6))),BY805)/BQ805,0)*BQ805</f>
        <v>2</v>
      </c>
      <c r="AY805" s="58" t="n">
        <f aca="false">IF(AV805&gt;0,I805/AV805,-1)</f>
        <v>0</v>
      </c>
      <c r="AZ805" s="58" t="n">
        <f aca="false">IF(AND(OR(BU805="L1",BU805="L23"),AV805&gt;0),SUMIFS($AV$7:$AV$1576,$BU$7:$BU$1576,BU805,$AY$7:$AY$1576,"&gt;"&amp;AY805)+SUMIFS($AV$7:$AV$1576,$BU$7:$BU$1576,BU805,$AY$7:$AY$1576,AY805,$BO$7:$BO$1576,"&lt;="&amp;BO805),"")</f>
        <v>120.78902317494</v>
      </c>
      <c r="BA805" s="65" t="n">
        <f aca="false">IF(AZ805="",0,MAX(0,MIN(1,(IF(BU805="L1",Parameter!$E$5,Parameter!$E$6+Parameter!$E$7)-(AZ805-AV805))/AV805)))</f>
        <v>0</v>
      </c>
      <c r="BB805" s="55" t="str">
        <f aca="false">IF(AF805&lt;=0,"",IF(BU805="Aussen","Aussenlager",IF(BU805="-","Nicht im Lift",IF(AK805&gt;=1,"Lift",IF(AK805&lt;=0,"Aussenlager","teilweise")))))</f>
        <v/>
      </c>
      <c r="BC805" s="55" t="str">
        <f aca="false">IF(AN805&lt;=0,"",IF(BU805="Aussen","Aussenlager",IF(BU805="-","Nicht im Lift",IF(AS805&gt;=1,"Lift",IF(AS805&lt;=0,"Aussenlager","teilweise")))))</f>
        <v>Aussenlager</v>
      </c>
      <c r="BD805" s="55" t="str">
        <f aca="false">IF(AV805&lt;=0,"",IF(BU805="Aussen","Aussenlager",IF(BU805="-","Nicht im Lift",IF(BA805&gt;=1,"Lift",IF(BA805&lt;=0,"Aussenlager","teilweise")))))</f>
        <v>Aussenlager</v>
      </c>
      <c r="BE805" s="55" t="str">
        <f aca="false">IF(A805="","",IF(BN805=1,"Neu; ","")&amp;IF(AND(BN805=0,BI805&lt;0),"negativer Bestand (Export "&amp;BI805&amp;"); ","")&amp;IF(I805&lt;=0,"Kein Verbrauch; ","")&amp;IF(CD805&gt;0,"Lift "&amp;U805&amp;" lt. Liftbericht (Fach "&amp;V805&amp;" Stk); ",IF(BR805=1,"Lose – Fläche geschätzt; ",""))&amp;IF(G805&gt;AP805,"Überbestand "&amp;ROUND(G805-AP805,0)&amp;" Stk / CHF "&amp;ROUND((G805-AP805)*F805,0)&amp;"; ","")&amp;IF(AND(BW805=1,BX805&lt;BY805),"MAX &lt; MB+LG; ","")&amp;IF(AND(CC805&gt;0,CB805*10&gt;CC805),"zu hoch für Tablar; ","")&amp;IF(AND(BN805=0,OR(BW805=1,Y805&lt;&gt;"",S805&lt;&gt;"",T805&lt;&gt;"",Z805&lt;&gt;"")),"manuell übersteuert; ","")&amp;IF(AND(BR805=0,Q805=0),"Gebinde unbekannt / Stellmass fehlt; ","")&amp;IF(AND(BR805=0,N(T805)&lt;=0,N(P805)&lt;=0),"Menge pro Gebinde fehlt (Ist = 1 Gebinde); ","")&amp;BM805)</f>
        <v>negativer Bestand (Export -1); Kein Verbrauch; </v>
      </c>
      <c r="BF805" s="55"/>
      <c r="BG805" s="55"/>
      <c r="BH805" s="62"/>
      <c r="BI805" s="57" t="n">
        <v>-1</v>
      </c>
      <c r="BJ805" s="57" t="n">
        <v>4</v>
      </c>
      <c r="BK805" s="56" t="n">
        <v>-5.44000000000001</v>
      </c>
      <c r="BL805" s="57" t="n">
        <v>0</v>
      </c>
      <c r="BM805" s="55"/>
      <c r="BN805" s="60" t="n">
        <v>0</v>
      </c>
      <c r="BO805" s="60" t="n">
        <v>805</v>
      </c>
      <c r="BP805" s="55" t="str">
        <f aca="false">IF(S805&lt;&gt;"",UPPER(TRIM(S805)),IF(O805="","LOSE",O805))</f>
        <v>S22</v>
      </c>
      <c r="BQ805" s="57" t="n">
        <f aca="false">IF(BP805="LOSE",1,IF(N(T805)&gt;0,T805,IF(N(P805)&gt;0,P805,MAX(1,G805))))</f>
        <v>2</v>
      </c>
      <c r="BR805" s="60" t="n">
        <f aca="false">IF(BP805="LOSE",1,0)</f>
        <v>0</v>
      </c>
      <c r="BS805" s="59" t="n">
        <f aca="false">IF(BR805=0,0,IF(N(R805)&gt;0,R805,IFERROR(VLOOKUP(D805,Parameter!$A$35:$C$64,3,0)+0,0)))</f>
        <v>0</v>
      </c>
      <c r="BT805" s="55" t="n">
        <f aca="false">IF(Y805&lt;&gt;"",Y805,X805)</f>
        <v>3</v>
      </c>
      <c r="BU805" s="55" t="str">
        <f aca="false">IF(BT805=1,"L1",IF(OR(BT805=2,BT805=3),"L23",IF(BT805="Aussen","Aussen","-")))</f>
        <v>L23</v>
      </c>
      <c r="BV805" s="66" t="n">
        <f aca="false">IF(N(Z805)&gt;0,Z805,0)</f>
        <v>0</v>
      </c>
      <c r="BW805" s="60" t="n">
        <f aca="false">IF(ISNUMBER(AC805),1,0)</f>
        <v>0</v>
      </c>
      <c r="BX805" s="57" t="n">
        <f aca="false">N(AC805)</f>
        <v>0</v>
      </c>
      <c r="BY805" s="57" t="n">
        <f aca="false">N(L805)+N(M805)</f>
        <v>1</v>
      </c>
      <c r="BZ805" s="57" t="n">
        <f aca="false">ROUNDUP(G805/BQ805,0)</f>
        <v>0</v>
      </c>
      <c r="CA805" s="57" t="n">
        <f aca="false">ROUNDUP(BX805/BQ805,0)</f>
        <v>0</v>
      </c>
      <c r="CB805" s="60" t="n">
        <f aca="false">IF(BR805=1,0,IFERROR(VLOOKUP(BP805,'Gebinde-Kategorie'!$A$5:$M$45,5,0)+0,0))</f>
        <v>8</v>
      </c>
      <c r="CC805" s="60" t="n">
        <f aca="false">IFERROR(IF(OR(BT805=1,BT805=2,BT805=3),N(INDEX(Parameter!$I$5:$I$7,BT805)),0),0)</f>
        <v>0</v>
      </c>
      <c r="CD805" s="59" t="n">
        <f aca="false">IF(AND(Parameter!$B$21="Ja",ISNUMBER(U805),N(V805)&gt;0),IFERROR(N(INDEX(Parameter!$L$5:$L$7,U805))*INDEX(Parameter!$E$5:$E$7,U805)*V805/SUMIFS($V$7:$V$1576,$U$7:$U$1576,U805),0),0)</f>
        <v>0</v>
      </c>
    </row>
    <row r="806" customFormat="false" ht="15" hidden="false" customHeight="false" outlineLevel="0" collapsed="false">
      <c r="A806" s="55" t="s">
        <v>1550</v>
      </c>
      <c r="B806" s="55" t="s">
        <v>457</v>
      </c>
      <c r="C806" s="55" t="s">
        <v>160</v>
      </c>
      <c r="D806" s="55" t="s">
        <v>178</v>
      </c>
      <c r="E806" s="55" t="s">
        <v>210</v>
      </c>
      <c r="F806" s="56" t="n">
        <v>0.1</v>
      </c>
      <c r="G806" s="57" t="n">
        <f aca="false">MAX(0,IF(AND(Parameter!$B$21="Ja",ISNUMBER(W806)),W806,IF(Parameter!$B$20="Jahresanfang 2025 + Export",BJ806+BI806,BI806)))</f>
        <v>0</v>
      </c>
      <c r="H806" s="57" t="n">
        <f aca="false">G806*F806</f>
        <v>0</v>
      </c>
      <c r="I806" s="57" t="n">
        <f aca="false">BL806*Parameter!$B$18</f>
        <v>78</v>
      </c>
      <c r="J806" s="58" t="n">
        <v>242</v>
      </c>
      <c r="K806" s="59" t="n">
        <v>0.322314049586777</v>
      </c>
      <c r="L806" s="57" t="n">
        <v>3</v>
      </c>
      <c r="M806" s="57" t="n">
        <v>80</v>
      </c>
      <c r="N806" s="60" t="n">
        <v>14</v>
      </c>
      <c r="O806" s="55" t="s">
        <v>391</v>
      </c>
      <c r="P806" s="57" t="n">
        <v>432</v>
      </c>
      <c r="Q806" s="60" t="n">
        <f aca="false">IF(BR806=1,0,IFERROR(VLOOKUP(BP806,'Gebinde-Kategorie'!$A$5:$M$45,13,0)+0,0))</f>
        <v>414</v>
      </c>
      <c r="R806" s="61"/>
      <c r="S806" s="62"/>
      <c r="T806" s="62"/>
      <c r="U806" s="55"/>
      <c r="V806" s="57"/>
      <c r="W806" s="57"/>
      <c r="X806" s="55" t="n">
        <f aca="false">IF(A806="","",IF(AND(Parameter!$B$21="Ja",ISNUMBER(U806)),U806,IF(IFERROR(VLOOKUP(D806,Parameter!$A$35:$C$64,2,0),"Nein")="2+3",IF(ISNUMBER(SEARCH("grosser Artikel",BM806)),2,IFERROR(VLOOKUP(BP806,Parameter!$F$35:$G$64,2,0),2)),IF(OR(IFERROR(VLOOKUP(D806,Parameter!$A$35:$C$64,2,0),"Nein")="Nein",IFERROR(VLOOKUP(D806,Parameter!$A$35:$C$64,2,0),"Nein")=""),"-",VLOOKUP(D806,Parameter!$A$35:$C$64,2,0)))))</f>
        <v>3</v>
      </c>
      <c r="Y806" s="62"/>
      <c r="Z806" s="63"/>
      <c r="AA806" s="57" t="n">
        <f aca="false">AP806</f>
        <v>432</v>
      </c>
      <c r="AB806" s="57" t="n">
        <f aca="false">MAX(AP806,G806)</f>
        <v>432</v>
      </c>
      <c r="AC806" s="64"/>
      <c r="AD806" s="57" t="n">
        <f aca="false">IF(LEFT(Cockpit!$C$5,1)="A",G806,IF(BW806=1,BX806,IF(LEFT(Cockpit!$C$5,1)="B",AH806,MAX(AH806,G806))))</f>
        <v>0</v>
      </c>
      <c r="AE806" s="57" t="n">
        <f aca="false">IF(BR806=1,0,ROUNDUP(AD806/BQ806,0))</f>
        <v>0</v>
      </c>
      <c r="AF806" s="59" t="n">
        <f aca="false">IF(CD806&gt;0,CD806*MAX(1,AD806/V806),IF(BR806=1,IF(AD806&lt;=0,0,BS806*MAX(1,IF(G806&gt;0,AD806/G806,1))),IF(Q806&gt;0,AE806/Q806,0))/MAX(0.1,N(Parameter!$M$21)))</f>
        <v>0</v>
      </c>
      <c r="AG806" s="57" t="n">
        <f aca="false">AD806*F806</f>
        <v>0</v>
      </c>
      <c r="AH806" s="57" t="n">
        <f aca="false">ROUNDUP(MAX(I806/IF(BV806&gt;0,BV806,MAX(0.1,N(Cockpit!$C$6))),BY806)/BQ806,0)*BQ806</f>
        <v>432</v>
      </c>
      <c r="AI806" s="58" t="n">
        <f aca="false">IF(AF806&gt;0,I806/AF806,-1)</f>
        <v>-1</v>
      </c>
      <c r="AJ806" s="58" t="str">
        <f aca="false">IF(AND(OR(BU806="L1",BU806="L23"),AF806&gt;0),SUMIFS($AF$7:$AF$1576,$BU$7:$BU$1576,BU806,$AI$7:$AI$1576,"&gt;"&amp;AI806)+SUMIFS($AF$7:$AF$1576,$BU$7:$BU$1576,BU806,$AI$7:$AI$1576,AI806,$BO$7:$BO$1576,"&lt;="&amp;BO806),"")</f>
        <v/>
      </c>
      <c r="AK806" s="65" t="n">
        <f aca="false">IF(AJ806="",0,MAX(0,MIN(1,(IF(BU806="L1",Parameter!$E$5,Parameter!$E$6+Parameter!$E$7)-(AJ806-AF806))/AF806)))</f>
        <v>0</v>
      </c>
      <c r="AL806" s="57" t="n">
        <f aca="false">IF(LEFT(Cockpit!$I$5,1)="A",G806,IF(BW806=1,BX806,IF(LEFT(Cockpit!$I$5,1)="B",AP806,MAX(AP806,G806))))</f>
        <v>432</v>
      </c>
      <c r="AM806" s="57" t="n">
        <f aca="false">IF(BR806=1,0,ROUNDUP(AL806/BQ806,0))</f>
        <v>1</v>
      </c>
      <c r="AN806" s="59" t="n">
        <f aca="false">IF(CD806&gt;0,CD806*MAX(1,AL806/V806),IF(BR806=1,IF(AL806&lt;=0,0,BS806*MAX(1,IF(G806&gt;0,AL806/G806,1))),IF(Q806&gt;0,AM806/Q806,0))/MAX(0.1,N(Parameter!$M$21)))</f>
        <v>0.00241545893719807</v>
      </c>
      <c r="AO806" s="57" t="n">
        <f aca="false">AL806*F806</f>
        <v>43.2</v>
      </c>
      <c r="AP806" s="57" t="n">
        <f aca="false">ROUNDUP(MAX(I806/IF(BV806&gt;0,BV806,MAX(0.1,N(Cockpit!$I$6))),BY806)/BQ806,0)*BQ806</f>
        <v>432</v>
      </c>
      <c r="AQ806" s="58" t="n">
        <f aca="false">IF(AN806&gt;0,I806/AN806,-1)</f>
        <v>32292</v>
      </c>
      <c r="AR806" s="58" t="n">
        <f aca="false">IF(AND(OR(BU806="L1",BU806="L23"),AN806&gt;0),SUMIFS($AN$7:$AN$1576,$BU$7:$BU$1576,BU806,$AQ$7:$AQ$1576,"&gt;"&amp;AQ806)+SUMIFS($AN$7:$AN$1576,$BU$7:$BU$1576,BU806,$AQ$7:$AQ$1576,AQ806,$BO$7:$BO$1576,"&lt;="&amp;BO806),"")</f>
        <v>2.65298739907436</v>
      </c>
      <c r="AS806" s="65" t="n">
        <f aca="false">IF(AR806="",0,MAX(0,MIN(1,(IF(BU806="L1",Parameter!$E$5,Parameter!$E$6+Parameter!$E$7)-(AR806-AN806))/AN806)))</f>
        <v>1</v>
      </c>
      <c r="AT806" s="57" t="n">
        <f aca="false">IF(LEFT(Cockpit!$O$5,1)="A",G806,IF(BW806=1,BX806,IF(LEFT(Cockpit!$O$5,1)="B",AX806,MAX(AX806,G806))))</f>
        <v>432</v>
      </c>
      <c r="AU806" s="57" t="n">
        <f aca="false">IF(BR806=1,0,ROUNDUP(AT806/BQ806,0))</f>
        <v>1</v>
      </c>
      <c r="AV806" s="59" t="n">
        <f aca="false">IF(CD806&gt;0,CD806*MAX(1,AT806/V806),IF(BR806=1,IF(AT806&lt;=0,0,BS806*MAX(1,IF(G806&gt;0,AT806/G806,1))),IF(Q806&gt;0,AU806/Q806,0))/MAX(0.1,N(Parameter!$M$21)))</f>
        <v>0.00241545893719807</v>
      </c>
      <c r="AW806" s="57" t="n">
        <f aca="false">AT806*F806</f>
        <v>43.2</v>
      </c>
      <c r="AX806" s="57" t="n">
        <f aca="false">ROUNDUP(MAX(I806/IF(BV806&gt;0,BV806,MAX(0.1,N(Cockpit!$O$6))),BY806)/BQ806,0)*BQ806</f>
        <v>432</v>
      </c>
      <c r="AY806" s="58" t="n">
        <f aca="false">IF(AV806&gt;0,I806/AV806,-1)</f>
        <v>32292</v>
      </c>
      <c r="AZ806" s="58" t="n">
        <f aca="false">IF(AND(OR(BU806="L1",BU806="L23"),AV806&gt;0),SUMIFS($AV$7:$AV$1576,$BU$7:$BU$1576,BU806,$AY$7:$AY$1576,"&gt;"&amp;AY806)+SUMIFS($AV$7:$AV$1576,$BU$7:$BU$1576,BU806,$AY$7:$AY$1576,AY806,$BO$7:$BO$1576,"&lt;="&amp;BO806),"")</f>
        <v>2.45951420560116</v>
      </c>
      <c r="BA806" s="65" t="n">
        <f aca="false">IF(AZ806="",0,MAX(0,MIN(1,(IF(BU806="L1",Parameter!$E$5,Parameter!$E$6+Parameter!$E$7)-(AZ806-AV806))/AV806)))</f>
        <v>1</v>
      </c>
      <c r="BB806" s="55" t="str">
        <f aca="false">IF(AF806&lt;=0,"",IF(BU806="Aussen","Aussenlager",IF(BU806="-","Nicht im Lift",IF(AK806&gt;=1,"Lift",IF(AK806&lt;=0,"Aussenlager","teilweise")))))</f>
        <v/>
      </c>
      <c r="BC806" s="55" t="str">
        <f aca="false">IF(AN806&lt;=0,"",IF(BU806="Aussen","Aussenlager",IF(BU806="-","Nicht im Lift",IF(AS806&gt;=1,"Lift",IF(AS806&lt;=0,"Aussenlager","teilweise")))))</f>
        <v>Lift</v>
      </c>
      <c r="BD806" s="55" t="str">
        <f aca="false">IF(AV806&lt;=0,"",IF(BU806="Aussen","Aussenlager",IF(BU806="-","Nicht im Lift",IF(BA806&gt;=1,"Lift",IF(BA806&lt;=0,"Aussenlager","teilweise")))))</f>
        <v>Lift</v>
      </c>
      <c r="BE806" s="55" t="str">
        <f aca="false">IF(A806="","",IF(BN806=1,"Neu; ","")&amp;IF(AND(BN806=0,BI806&lt;0),"negativer Bestand (Export "&amp;BI806&amp;"); ","")&amp;IF(I806&lt;=0,"Kein Verbrauch; ","")&amp;IF(CD806&gt;0,"Lift "&amp;U806&amp;" lt. Liftbericht (Fach "&amp;V806&amp;" Stk); ",IF(BR806=1,"Lose – Fläche geschätzt; ",""))&amp;IF(G806&gt;AP806,"Überbestand "&amp;ROUND(G806-AP806,0)&amp;" Stk / CHF "&amp;ROUND((G806-AP806)*F806,0)&amp;"; ","")&amp;IF(AND(BW806=1,BX806&lt;BY806),"MAX &lt; MB+LG; ","")&amp;IF(AND(CC806&gt;0,CB806*10&gt;CC806),"zu hoch für Tablar; ","")&amp;IF(AND(BN806=0,OR(BW806=1,Y806&lt;&gt;"",S806&lt;&gt;"",T806&lt;&gt;"",Z806&lt;&gt;"")),"manuell übersteuert; ","")&amp;IF(AND(BR806=0,Q806=0),"Gebinde unbekannt / Stellmass fehlt; ","")&amp;IF(AND(BR806=0,N(T806)&lt;=0,N(P806)&lt;=0),"Menge pro Gebinde fehlt (Ist = 1 Gebinde); ","")&amp;BM806)</f>
        <v>negativer Bestand (Export -55); </v>
      </c>
      <c r="BF806" s="55"/>
      <c r="BG806" s="55"/>
      <c r="BH806" s="62"/>
      <c r="BI806" s="57" t="n">
        <v>-55</v>
      </c>
      <c r="BJ806" s="57" t="n">
        <v>280</v>
      </c>
      <c r="BK806" s="56" t="n">
        <v>-5.5</v>
      </c>
      <c r="BL806" s="57" t="n">
        <v>78</v>
      </c>
      <c r="BM806" s="55"/>
      <c r="BN806" s="60" t="n">
        <v>0</v>
      </c>
      <c r="BO806" s="60" t="n">
        <v>806</v>
      </c>
      <c r="BP806" s="55" t="str">
        <f aca="false">IF(S806&lt;&gt;"",UPPER(TRIM(S806)),IF(O806="","LOSE",O806))</f>
        <v>S21</v>
      </c>
      <c r="BQ806" s="57" t="n">
        <f aca="false">IF(BP806="LOSE",1,IF(N(T806)&gt;0,T806,IF(N(P806)&gt;0,P806,MAX(1,G806))))</f>
        <v>432</v>
      </c>
      <c r="BR806" s="60" t="n">
        <f aca="false">IF(BP806="LOSE",1,0)</f>
        <v>0</v>
      </c>
      <c r="BS806" s="59" t="n">
        <f aca="false">IF(BR806=0,0,IF(N(R806)&gt;0,R806,IFERROR(VLOOKUP(D806,Parameter!$A$35:$C$64,3,0)+0,0)))</f>
        <v>0</v>
      </c>
      <c r="BT806" s="55" t="n">
        <f aca="false">IF(Y806&lt;&gt;"",Y806,X806)</f>
        <v>3</v>
      </c>
      <c r="BU806" s="55" t="str">
        <f aca="false">IF(BT806=1,"L1",IF(OR(BT806=2,BT806=3),"L23",IF(BT806="Aussen","Aussen","-")))</f>
        <v>L23</v>
      </c>
      <c r="BV806" s="66" t="n">
        <f aca="false">IF(N(Z806)&gt;0,Z806,0)</f>
        <v>0</v>
      </c>
      <c r="BW806" s="60" t="n">
        <f aca="false">IF(ISNUMBER(AC806),1,0)</f>
        <v>0</v>
      </c>
      <c r="BX806" s="57" t="n">
        <f aca="false">N(AC806)</f>
        <v>0</v>
      </c>
      <c r="BY806" s="57" t="n">
        <f aca="false">N(L806)+N(M806)</f>
        <v>83</v>
      </c>
      <c r="BZ806" s="57" t="n">
        <f aca="false">ROUNDUP(G806/BQ806,0)</f>
        <v>0</v>
      </c>
      <c r="CA806" s="57" t="n">
        <f aca="false">ROUNDUP(BX806/BQ806,0)</f>
        <v>0</v>
      </c>
      <c r="CB806" s="60" t="n">
        <f aca="false">IF(BR806=1,0,IFERROR(VLOOKUP(BP806,'Gebinde-Kategorie'!$A$5:$M$45,5,0)+0,0))</f>
        <v>8</v>
      </c>
      <c r="CC806" s="60" t="n">
        <f aca="false">IFERROR(IF(OR(BT806=1,BT806=2,BT806=3),N(INDEX(Parameter!$I$5:$I$7,BT806)),0),0)</f>
        <v>0</v>
      </c>
      <c r="CD806" s="59" t="n">
        <f aca="false">IF(AND(Parameter!$B$21="Ja",ISNUMBER(U806),N(V806)&gt;0),IFERROR(N(INDEX(Parameter!$L$5:$L$7,U806))*INDEX(Parameter!$E$5:$E$7,U806)*V806/SUMIFS($V$7:$V$1576,$U$7:$U$1576,U806),0),0)</f>
        <v>0</v>
      </c>
    </row>
    <row r="807" customFormat="false" ht="15" hidden="false" customHeight="false" outlineLevel="0" collapsed="false">
      <c r="A807" s="55" t="s">
        <v>1551</v>
      </c>
      <c r="B807" s="55" t="s">
        <v>1552</v>
      </c>
      <c r="C807" s="55" t="s">
        <v>160</v>
      </c>
      <c r="D807" s="55" t="s">
        <v>178</v>
      </c>
      <c r="E807" s="55" t="s">
        <v>210</v>
      </c>
      <c r="F807" s="56" t="n">
        <v>5.7</v>
      </c>
      <c r="G807" s="57" t="n">
        <f aca="false">MAX(0,IF(AND(Parameter!$B$21="Ja",ISNUMBER(W807)),W807,IF(Parameter!$B$20="Jahresanfang 2025 + Export",BJ807+BI807,BI807)))</f>
        <v>0</v>
      </c>
      <c r="H807" s="57" t="n">
        <f aca="false">G807*F807</f>
        <v>0</v>
      </c>
      <c r="I807" s="57" t="n">
        <f aca="false">BL807*Parameter!$B$18</f>
        <v>1</v>
      </c>
      <c r="J807" s="58" t="n">
        <v>4.5</v>
      </c>
      <c r="K807" s="59" t="n">
        <v>0.222222222222222</v>
      </c>
      <c r="L807" s="57" t="n">
        <v>0</v>
      </c>
      <c r="M807" s="57" t="n">
        <v>1</v>
      </c>
      <c r="N807" s="60" t="n">
        <v>14</v>
      </c>
      <c r="O807" s="55" t="s">
        <v>411</v>
      </c>
      <c r="P807" s="57" t="n">
        <v>7</v>
      </c>
      <c r="Q807" s="60" t="n">
        <f aca="false">IF(BR807=1,0,IFERROR(VLOOKUP(BP807,'Gebinde-Kategorie'!$A$5:$M$45,13,0)+0,0))</f>
        <v>132</v>
      </c>
      <c r="R807" s="61"/>
      <c r="S807" s="62"/>
      <c r="T807" s="62"/>
      <c r="U807" s="55"/>
      <c r="V807" s="57"/>
      <c r="W807" s="57"/>
      <c r="X807" s="55" t="n">
        <f aca="false">IF(A807="","",IF(AND(Parameter!$B$21="Ja",ISNUMBER(U807)),U807,IF(IFERROR(VLOOKUP(D807,Parameter!$A$35:$C$64,2,0),"Nein")="2+3",IF(ISNUMBER(SEARCH("grosser Artikel",BM807)),2,IFERROR(VLOOKUP(BP807,Parameter!$F$35:$G$64,2,0),2)),IF(OR(IFERROR(VLOOKUP(D807,Parameter!$A$35:$C$64,2,0),"Nein")="Nein",IFERROR(VLOOKUP(D807,Parameter!$A$35:$C$64,2,0),"Nein")=""),"-",VLOOKUP(D807,Parameter!$A$35:$C$64,2,0)))))</f>
        <v>3</v>
      </c>
      <c r="Y807" s="62"/>
      <c r="Z807" s="63"/>
      <c r="AA807" s="57" t="n">
        <f aca="false">AP807</f>
        <v>7</v>
      </c>
      <c r="AB807" s="57" t="n">
        <f aca="false">MAX(AP807,G807)</f>
        <v>7</v>
      </c>
      <c r="AC807" s="64"/>
      <c r="AD807" s="57" t="n">
        <f aca="false">IF(LEFT(Cockpit!$C$5,1)="A",G807,IF(BW807=1,BX807,IF(LEFT(Cockpit!$C$5,1)="B",AH807,MAX(AH807,G807))))</f>
        <v>0</v>
      </c>
      <c r="AE807" s="57" t="n">
        <f aca="false">IF(BR807=1,0,ROUNDUP(AD807/BQ807,0))</f>
        <v>0</v>
      </c>
      <c r="AF807" s="59" t="n">
        <f aca="false">IF(CD807&gt;0,CD807*MAX(1,AD807/V807),IF(BR807=1,IF(AD807&lt;=0,0,BS807*MAX(1,IF(G807&gt;0,AD807/G807,1))),IF(Q807&gt;0,AE807/Q807,0))/MAX(0.1,N(Parameter!$M$21)))</f>
        <v>0</v>
      </c>
      <c r="AG807" s="57" t="n">
        <f aca="false">AD807*F807</f>
        <v>0</v>
      </c>
      <c r="AH807" s="57" t="n">
        <f aca="false">ROUNDUP(MAX(I807/IF(BV807&gt;0,BV807,MAX(0.1,N(Cockpit!$C$6))),BY807)/BQ807,0)*BQ807</f>
        <v>7</v>
      </c>
      <c r="AI807" s="58" t="n">
        <f aca="false">IF(AF807&gt;0,I807/AF807,-1)</f>
        <v>-1</v>
      </c>
      <c r="AJ807" s="58" t="str">
        <f aca="false">IF(AND(OR(BU807="L1",BU807="L23"),AF807&gt;0),SUMIFS($AF$7:$AF$1576,$BU$7:$BU$1576,BU807,$AI$7:$AI$1576,"&gt;"&amp;AI807)+SUMIFS($AF$7:$AF$1576,$BU$7:$BU$1576,BU807,$AI$7:$AI$1576,AI807,$BO$7:$BO$1576,"&lt;="&amp;BO807),"")</f>
        <v/>
      </c>
      <c r="AK807" s="65" t="n">
        <f aca="false">IF(AJ807="",0,MAX(0,MIN(1,(IF(BU807="L1",Parameter!$E$5,Parameter!$E$6+Parameter!$E$7)-(AJ807-AF807))/AF807)))</f>
        <v>0</v>
      </c>
      <c r="AL807" s="57" t="n">
        <f aca="false">IF(LEFT(Cockpit!$I$5,1)="A",G807,IF(BW807=1,BX807,IF(LEFT(Cockpit!$I$5,1)="B",AP807,MAX(AP807,G807))))</f>
        <v>7</v>
      </c>
      <c r="AM807" s="57" t="n">
        <f aca="false">IF(BR807=1,0,ROUNDUP(AL807/BQ807,0))</f>
        <v>1</v>
      </c>
      <c r="AN807" s="59" t="n">
        <f aca="false">IF(CD807&gt;0,CD807*MAX(1,AL807/V807),IF(BR807=1,IF(AL807&lt;=0,0,BS807*MAX(1,IF(G807&gt;0,AL807/G807,1))),IF(Q807&gt;0,AM807/Q807,0))/MAX(0.1,N(Parameter!$M$21)))</f>
        <v>0.00757575757575758</v>
      </c>
      <c r="AO807" s="57" t="n">
        <f aca="false">AL807*F807</f>
        <v>39.9</v>
      </c>
      <c r="AP807" s="57" t="n">
        <f aca="false">ROUNDUP(MAX(I807/IF(BV807&gt;0,BV807,MAX(0.1,N(Cockpit!$I$6))),BY807)/BQ807,0)*BQ807</f>
        <v>7</v>
      </c>
      <c r="AQ807" s="58" t="n">
        <f aca="false">IF(AN807&gt;0,I807/AN807,-1)</f>
        <v>132</v>
      </c>
      <c r="AR807" s="58" t="n">
        <f aca="false">IF(AND(OR(BU807="L1",BU807="L23"),AN807&gt;0),SUMIFS($AN$7:$AN$1576,$BU$7:$BU$1576,BU807,$AQ$7:$AQ$1576,"&gt;"&amp;AQ807)+SUMIFS($AN$7:$AN$1576,$BU$7:$BU$1576,BU807,$AQ$7:$AQ$1576,AQ807,$BO$7:$BO$1576,"&lt;="&amp;BO807),"")</f>
        <v>60.1767692817804</v>
      </c>
      <c r="AS807" s="65" t="n">
        <f aca="false">IF(AR807="",0,MAX(0,MIN(1,(IF(BU807="L1",Parameter!$E$5,Parameter!$E$6+Parameter!$E$7)-(AR807-AN807))/AN807)))</f>
        <v>1</v>
      </c>
      <c r="AT807" s="57" t="n">
        <f aca="false">IF(LEFT(Cockpit!$O$5,1)="A",G807,IF(BW807=1,BX807,IF(LEFT(Cockpit!$O$5,1)="B",AX807,MAX(AX807,G807))))</f>
        <v>7</v>
      </c>
      <c r="AU807" s="57" t="n">
        <f aca="false">IF(BR807=1,0,ROUNDUP(AT807/BQ807,0))</f>
        <v>1</v>
      </c>
      <c r="AV807" s="59" t="n">
        <f aca="false">IF(CD807&gt;0,CD807*MAX(1,AT807/V807),IF(BR807=1,IF(AT807&lt;=0,0,BS807*MAX(1,IF(G807&gt;0,AT807/G807,1))),IF(Q807&gt;0,AU807/Q807,0))/MAX(0.1,N(Parameter!$M$21)))</f>
        <v>0.00757575757575758</v>
      </c>
      <c r="AW807" s="57" t="n">
        <f aca="false">AT807*F807</f>
        <v>39.9</v>
      </c>
      <c r="AX807" s="57" t="n">
        <f aca="false">ROUNDUP(MAX(I807/IF(BV807&gt;0,BV807,MAX(0.1,N(Cockpit!$O$6))),BY807)/BQ807,0)*BQ807</f>
        <v>7</v>
      </c>
      <c r="AY807" s="58" t="n">
        <f aca="false">IF(AV807&gt;0,I807/AV807,-1)</f>
        <v>132</v>
      </c>
      <c r="AZ807" s="58" t="n">
        <f aca="false">IF(AND(OR(BU807="L1",BU807="L23"),AV807&gt;0),SUMIFS($AV$7:$AV$1576,$BU$7:$BU$1576,BU807,$AY$7:$AY$1576,"&gt;"&amp;AY807)+SUMIFS($AV$7:$AV$1576,$BU$7:$BU$1576,BU807,$AY$7:$AY$1576,AY807,$BO$7:$BO$1576,"&lt;="&amp;BO807),"")</f>
        <v>54.8392363979976</v>
      </c>
      <c r="BA807" s="65" t="n">
        <f aca="false">IF(AZ807="",0,MAX(0,MIN(1,(IF(BU807="L1",Parameter!$E$5,Parameter!$E$6+Parameter!$E$7)-(AZ807-AV807))/AV807)))</f>
        <v>1</v>
      </c>
      <c r="BB807" s="55" t="str">
        <f aca="false">IF(AF807&lt;=0,"",IF(BU807="Aussen","Aussenlager",IF(BU807="-","Nicht im Lift",IF(AK807&gt;=1,"Lift",IF(AK807&lt;=0,"Aussenlager","teilweise")))))</f>
        <v/>
      </c>
      <c r="BC807" s="55" t="str">
        <f aca="false">IF(AN807&lt;=0,"",IF(BU807="Aussen","Aussenlager",IF(BU807="-","Nicht im Lift",IF(AS807&gt;=1,"Lift",IF(AS807&lt;=0,"Aussenlager","teilweise")))))</f>
        <v>Lift</v>
      </c>
      <c r="BD807" s="55" t="str">
        <f aca="false">IF(AV807&lt;=0,"",IF(BU807="Aussen","Aussenlager",IF(BU807="-","Nicht im Lift",IF(BA807&gt;=1,"Lift",IF(BA807&lt;=0,"Aussenlager","teilweise")))))</f>
        <v>Lift</v>
      </c>
      <c r="BE807" s="55" t="str">
        <f aca="false">IF(A807="","",IF(BN807=1,"Neu; ","")&amp;IF(AND(BN807=0,BI807&lt;0),"negativer Bestand (Export "&amp;BI807&amp;"); ","")&amp;IF(I807&lt;=0,"Kein Verbrauch; ","")&amp;IF(CD807&gt;0,"Lift "&amp;U807&amp;" lt. Liftbericht (Fach "&amp;V807&amp;" Stk); ",IF(BR807=1,"Lose – Fläche geschätzt; ",""))&amp;IF(G807&gt;AP807,"Überbestand "&amp;ROUND(G807-AP807,0)&amp;" Stk / CHF "&amp;ROUND((G807-AP807)*F807,0)&amp;"; ","")&amp;IF(AND(BW807=1,BX807&lt;BY807),"MAX &lt; MB+LG; ","")&amp;IF(AND(CC807&gt;0,CB807*10&gt;CC807),"zu hoch für Tablar; ","")&amp;IF(AND(BN807=0,OR(BW807=1,Y807&lt;&gt;"",S807&lt;&gt;"",T807&lt;&gt;"",Z807&lt;&gt;"")),"manuell übersteuert; ","")&amp;IF(AND(BR807=0,Q807=0),"Gebinde unbekannt / Stellmass fehlt; ","")&amp;IF(AND(BR807=0,N(T807)&lt;=0,N(P807)&lt;=0),"Menge pro Gebinde fehlt (Ist = 1 Gebinde); ","")&amp;BM807)</f>
        <v>negativer Bestand (Export -1); Verb.Lager</v>
      </c>
      <c r="BF807" s="55"/>
      <c r="BG807" s="55"/>
      <c r="BH807" s="62"/>
      <c r="BI807" s="57" t="n">
        <v>-1</v>
      </c>
      <c r="BJ807" s="57" t="n">
        <v>5</v>
      </c>
      <c r="BK807" s="56" t="n">
        <v>-5.7</v>
      </c>
      <c r="BL807" s="57" t="n">
        <v>1</v>
      </c>
      <c r="BM807" s="55" t="s">
        <v>1019</v>
      </c>
      <c r="BN807" s="60" t="n">
        <v>0</v>
      </c>
      <c r="BO807" s="60" t="n">
        <v>807</v>
      </c>
      <c r="BP807" s="55" t="str">
        <f aca="false">IF(S807&lt;&gt;"",UPPER(TRIM(S807)),IF(O807="","LOSE",O807))</f>
        <v>S32</v>
      </c>
      <c r="BQ807" s="57" t="n">
        <f aca="false">IF(BP807="LOSE",1,IF(N(T807)&gt;0,T807,IF(N(P807)&gt;0,P807,MAX(1,G807))))</f>
        <v>7</v>
      </c>
      <c r="BR807" s="60" t="n">
        <f aca="false">IF(BP807="LOSE",1,0)</f>
        <v>0</v>
      </c>
      <c r="BS807" s="59" t="n">
        <f aca="false">IF(BR807=0,0,IF(N(R807)&gt;0,R807,IFERROR(VLOOKUP(D807,Parameter!$A$35:$C$64,3,0)+0,0)))</f>
        <v>0</v>
      </c>
      <c r="BT807" s="55" t="n">
        <f aca="false">IF(Y807&lt;&gt;"",Y807,X807)</f>
        <v>3</v>
      </c>
      <c r="BU807" s="55" t="str">
        <f aca="false">IF(BT807=1,"L1",IF(OR(BT807=2,BT807=3),"L23",IF(BT807="Aussen","Aussen","-")))</f>
        <v>L23</v>
      </c>
      <c r="BV807" s="66" t="n">
        <f aca="false">IF(N(Z807)&gt;0,Z807,0)</f>
        <v>0</v>
      </c>
      <c r="BW807" s="60" t="n">
        <f aca="false">IF(ISNUMBER(AC807),1,0)</f>
        <v>0</v>
      </c>
      <c r="BX807" s="57" t="n">
        <f aca="false">N(AC807)</f>
        <v>0</v>
      </c>
      <c r="BY807" s="57" t="n">
        <f aca="false">N(L807)+N(M807)</f>
        <v>1</v>
      </c>
      <c r="BZ807" s="57" t="n">
        <f aca="false">ROUNDUP(G807/BQ807,0)</f>
        <v>0</v>
      </c>
      <c r="CA807" s="57" t="n">
        <f aca="false">ROUNDUP(BX807/BQ807,0)</f>
        <v>0</v>
      </c>
      <c r="CB807" s="60" t="n">
        <f aca="false">IF(BR807=1,0,IFERROR(VLOOKUP(BP807,'Gebinde-Kategorie'!$A$5:$M$45,5,0)+0,0))</f>
        <v>8</v>
      </c>
      <c r="CC807" s="60" t="n">
        <f aca="false">IFERROR(IF(OR(BT807=1,BT807=2,BT807=3),N(INDEX(Parameter!$I$5:$I$7,BT807)),0),0)</f>
        <v>0</v>
      </c>
      <c r="CD807" s="59" t="n">
        <f aca="false">IF(AND(Parameter!$B$21="Ja",ISNUMBER(U807),N(V807)&gt;0),IFERROR(N(INDEX(Parameter!$L$5:$L$7,U807))*INDEX(Parameter!$E$5:$E$7,U807)*V807/SUMIFS($V$7:$V$1576,$U$7:$U$1576,U807),0),0)</f>
        <v>0</v>
      </c>
    </row>
    <row r="808" customFormat="false" ht="15" hidden="false" customHeight="false" outlineLevel="0" collapsed="false">
      <c r="A808" s="55" t="s">
        <v>1553</v>
      </c>
      <c r="B808" s="55" t="s">
        <v>1554</v>
      </c>
      <c r="C808" s="55" t="s">
        <v>160</v>
      </c>
      <c r="D808" s="55" t="s">
        <v>178</v>
      </c>
      <c r="E808" s="55" t="s">
        <v>210</v>
      </c>
      <c r="F808" s="56" t="n">
        <v>0.24</v>
      </c>
      <c r="G808" s="57" t="n">
        <f aca="false">MAX(0,IF(AND(Parameter!$B$21="Ja",ISNUMBER(W808)),W808,IF(Parameter!$B$20="Jahresanfang 2025 + Export",BJ808+BI808,BI808)))</f>
        <v>0</v>
      </c>
      <c r="H808" s="57" t="n">
        <f aca="false">G808*F808</f>
        <v>0</v>
      </c>
      <c r="I808" s="57" t="n">
        <f aca="false">BL808*Parameter!$B$18</f>
        <v>4</v>
      </c>
      <c r="J808" s="58" t="n">
        <v>19.5</v>
      </c>
      <c r="K808" s="59" t="n">
        <v>0.205128205128205</v>
      </c>
      <c r="L808" s="57" t="n">
        <v>0</v>
      </c>
      <c r="M808" s="57" t="n">
        <v>1300</v>
      </c>
      <c r="N808" s="60" t="n">
        <v>14</v>
      </c>
      <c r="O808" s="55" t="s">
        <v>163</v>
      </c>
      <c r="P808" s="57"/>
      <c r="Q808" s="60" t="n">
        <f aca="false">IF(BR808=1,0,IFERROR(VLOOKUP(BP808,'Gebinde-Kategorie'!$A$5:$M$45,13,0)+0,0))</f>
        <v>0</v>
      </c>
      <c r="R808" s="61"/>
      <c r="S808" s="62"/>
      <c r="T808" s="62"/>
      <c r="U808" s="55"/>
      <c r="V808" s="57"/>
      <c r="W808" s="57"/>
      <c r="X808" s="55" t="n">
        <f aca="false">IF(A808="","",IF(AND(Parameter!$B$21="Ja",ISNUMBER(U808)),U808,IF(IFERROR(VLOOKUP(D808,Parameter!$A$35:$C$64,2,0),"Nein")="2+3",IF(ISNUMBER(SEARCH("grosser Artikel",BM808)),2,IFERROR(VLOOKUP(BP808,Parameter!$F$35:$G$64,2,0),2)),IF(OR(IFERROR(VLOOKUP(D808,Parameter!$A$35:$C$64,2,0),"Nein")="Nein",IFERROR(VLOOKUP(D808,Parameter!$A$35:$C$64,2,0),"Nein")=""),"-",VLOOKUP(D808,Parameter!$A$35:$C$64,2,0)))))</f>
        <v>2</v>
      </c>
      <c r="Y808" s="62"/>
      <c r="Z808" s="63"/>
      <c r="AA808" s="57" t="n">
        <f aca="false">AP808</f>
        <v>1300</v>
      </c>
      <c r="AB808" s="57" t="n">
        <f aca="false">MAX(AP808,G808)</f>
        <v>1300</v>
      </c>
      <c r="AC808" s="64"/>
      <c r="AD808" s="57" t="n">
        <f aca="false">IF(LEFT(Cockpit!$C$5,1)="A",G808,IF(BW808=1,BX808,IF(LEFT(Cockpit!$C$5,1)="B",AH808,MAX(AH808,G808))))</f>
        <v>0</v>
      </c>
      <c r="AE808" s="57" t="n">
        <f aca="false">IF(BR808=1,0,ROUNDUP(AD808/BQ808,0))</f>
        <v>0</v>
      </c>
      <c r="AF808" s="59" t="n">
        <f aca="false">IF(CD808&gt;0,CD808*MAX(1,AD808/V808),IF(BR808=1,IF(AD808&lt;=0,0,BS808*MAX(1,IF(G808&gt;0,AD808/G808,1))),IF(Q808&gt;0,AE808/Q808,0))/MAX(0.1,N(Parameter!$M$21)))</f>
        <v>0</v>
      </c>
      <c r="AG808" s="57" t="n">
        <f aca="false">AD808*F808</f>
        <v>0</v>
      </c>
      <c r="AH808" s="57" t="n">
        <f aca="false">ROUNDUP(MAX(I808/IF(BV808&gt;0,BV808,MAX(0.1,N(Cockpit!$C$6))),BY808)/BQ808,0)*BQ808</f>
        <v>1300</v>
      </c>
      <c r="AI808" s="58" t="n">
        <f aca="false">IF(AF808&gt;0,I808/AF808,-1)</f>
        <v>-1</v>
      </c>
      <c r="AJ808" s="58" t="str">
        <f aca="false">IF(AND(OR(BU808="L1",BU808="L23"),AF808&gt;0),SUMIFS($AF$7:$AF$1576,$BU$7:$BU$1576,BU808,$AI$7:$AI$1576,"&gt;"&amp;AI808)+SUMIFS($AF$7:$AF$1576,$BU$7:$BU$1576,BU808,$AI$7:$AI$1576,AI808,$BO$7:$BO$1576,"&lt;="&amp;BO808),"")</f>
        <v/>
      </c>
      <c r="AK808" s="65" t="n">
        <f aca="false">IF(AJ808="",0,MAX(0,MIN(1,(IF(BU808="L1",Parameter!$E$5,Parameter!$E$6+Parameter!$E$7)-(AJ808-AF808))/AF808)))</f>
        <v>0</v>
      </c>
      <c r="AL808" s="57" t="n">
        <f aca="false">IF(LEFT(Cockpit!$I$5,1)="A",G808,IF(BW808=1,BX808,IF(LEFT(Cockpit!$I$5,1)="B",AP808,MAX(AP808,G808))))</f>
        <v>1300</v>
      </c>
      <c r="AM808" s="57" t="n">
        <f aca="false">IF(BR808=1,0,ROUNDUP(AL808/BQ808,0))</f>
        <v>0</v>
      </c>
      <c r="AN808" s="59" t="n">
        <f aca="false">IF(CD808&gt;0,CD808*MAX(1,AL808/V808),IF(BR808=1,IF(AL808&lt;=0,0,BS808*MAX(1,IF(G808&gt;0,AL808/G808,1))),IF(Q808&gt;0,AM808/Q808,0))/MAX(0.1,N(Parameter!$M$21)))</f>
        <v>0.03</v>
      </c>
      <c r="AO808" s="57" t="n">
        <f aca="false">AL808*F808</f>
        <v>312</v>
      </c>
      <c r="AP808" s="57" t="n">
        <f aca="false">ROUNDUP(MAX(I808/IF(BV808&gt;0,BV808,MAX(0.1,N(Cockpit!$I$6))),BY808)/BQ808,0)*BQ808</f>
        <v>1300</v>
      </c>
      <c r="AQ808" s="58" t="n">
        <f aca="false">IF(AN808&gt;0,I808/AN808,-1)</f>
        <v>133.333333333333</v>
      </c>
      <c r="AR808" s="58" t="n">
        <f aca="false">IF(AND(OR(BU808="L1",BU808="L23"),AN808&gt;0),SUMIFS($AN$7:$AN$1576,$BU$7:$BU$1576,BU808,$AQ$7:$AQ$1576,"&gt;"&amp;AQ808)+SUMIFS($AN$7:$AN$1576,$BU$7:$BU$1576,BU808,$AQ$7:$AQ$1576,AQ808,$BO$7:$BO$1576,"&lt;="&amp;BO808),"")</f>
        <v>59.762223827235</v>
      </c>
      <c r="AS808" s="65" t="n">
        <f aca="false">IF(AR808="",0,MAX(0,MIN(1,(IF(BU808="L1",Parameter!$E$5,Parameter!$E$6+Parameter!$E$7)-(AR808-AN808))/AN808)))</f>
        <v>1</v>
      </c>
      <c r="AT808" s="57" t="n">
        <f aca="false">IF(LEFT(Cockpit!$O$5,1)="A",G808,IF(BW808=1,BX808,IF(LEFT(Cockpit!$O$5,1)="B",AX808,MAX(AX808,G808))))</f>
        <v>1300</v>
      </c>
      <c r="AU808" s="57" t="n">
        <f aca="false">IF(BR808=1,0,ROUNDUP(AT808/BQ808,0))</f>
        <v>0</v>
      </c>
      <c r="AV808" s="59" t="n">
        <f aca="false">IF(CD808&gt;0,CD808*MAX(1,AT808/V808),IF(BR808=1,IF(AT808&lt;=0,0,BS808*MAX(1,IF(G808&gt;0,AT808/G808,1))),IF(Q808&gt;0,AU808/Q808,0))/MAX(0.1,N(Parameter!$M$21)))</f>
        <v>0.03</v>
      </c>
      <c r="AW808" s="57" t="n">
        <f aca="false">AT808*F808</f>
        <v>312</v>
      </c>
      <c r="AX808" s="57" t="n">
        <f aca="false">ROUNDUP(MAX(I808/IF(BV808&gt;0,BV808,MAX(0.1,N(Cockpit!$O$6))),BY808)/BQ808,0)*BQ808</f>
        <v>1300</v>
      </c>
      <c r="AY808" s="58" t="n">
        <f aca="false">IF(AV808&gt;0,I808/AV808,-1)</f>
        <v>133.333333333333</v>
      </c>
      <c r="AZ808" s="58" t="n">
        <f aca="false">IF(AND(OR(BU808="L1",BU808="L23"),AV808&gt;0),SUMIFS($AV$7:$AV$1576,$BU$7:$BU$1576,BU808,$AY$7:$AY$1576,"&gt;"&amp;AY808)+SUMIFS($AV$7:$AV$1576,$BU$7:$BU$1576,BU808,$AY$7:$AY$1576,AY808,$BO$7:$BO$1576,"&lt;="&amp;BO808),"")</f>
        <v>54.4246909434521</v>
      </c>
      <c r="BA808" s="65" t="n">
        <f aca="false">IF(AZ808="",0,MAX(0,MIN(1,(IF(BU808="L1",Parameter!$E$5,Parameter!$E$6+Parameter!$E$7)-(AZ808-AV808))/AV808)))</f>
        <v>1</v>
      </c>
      <c r="BB808" s="55" t="str">
        <f aca="false">IF(AF808&lt;=0,"",IF(BU808="Aussen","Aussenlager",IF(BU808="-","Nicht im Lift",IF(AK808&gt;=1,"Lift",IF(AK808&lt;=0,"Aussenlager","teilweise")))))</f>
        <v/>
      </c>
      <c r="BC808" s="55" t="str">
        <f aca="false">IF(AN808&lt;=0,"",IF(BU808="Aussen","Aussenlager",IF(BU808="-","Nicht im Lift",IF(AS808&gt;=1,"Lift",IF(AS808&lt;=0,"Aussenlager","teilweise")))))</f>
        <v>Lift</v>
      </c>
      <c r="BD808" s="55" t="str">
        <f aca="false">IF(AV808&lt;=0,"",IF(BU808="Aussen","Aussenlager",IF(BU808="-","Nicht im Lift",IF(BA808&gt;=1,"Lift",IF(BA808&lt;=0,"Aussenlager","teilweise")))))</f>
        <v>Lift</v>
      </c>
      <c r="BE808" s="55" t="str">
        <f aca="false">IF(A808="","",IF(BN808=1,"Neu; ","")&amp;IF(AND(BN808=0,BI808&lt;0),"negativer Bestand (Export "&amp;BI808&amp;"); ","")&amp;IF(I808&lt;=0,"Kein Verbrauch; ","")&amp;IF(CD808&gt;0,"Lift "&amp;U808&amp;" lt. Liftbericht (Fach "&amp;V808&amp;" Stk); ",IF(BR808=1,"Lose – Fläche geschätzt; ",""))&amp;IF(G808&gt;AP808,"Überbestand "&amp;ROUND(G808-AP808,0)&amp;" Stk / CHF "&amp;ROUND((G808-AP808)*F808,0)&amp;"; ","")&amp;IF(AND(BW808=1,BX808&lt;BY808),"MAX &lt; MB+LG; ","")&amp;IF(AND(CC808&gt;0,CB808*10&gt;CC808),"zu hoch für Tablar; ","")&amp;IF(AND(BN808=0,OR(BW808=1,Y808&lt;&gt;"",S808&lt;&gt;"",T808&lt;&gt;"",Z808&lt;&gt;"")),"manuell übersteuert; ","")&amp;IF(AND(BR808=0,Q808=0),"Gebinde unbekannt / Stellmass fehlt; ","")&amp;IF(AND(BR808=0,N(T808)&lt;=0,N(P808)&lt;=0),"Menge pro Gebinde fehlt (Ist = 1 Gebinde); ","")&amp;BM808)</f>
        <v>negativer Bestand (Export -24); Lose – Fläche geschätzt; </v>
      </c>
      <c r="BF808" s="55"/>
      <c r="BG808" s="55"/>
      <c r="BH808" s="62"/>
      <c r="BI808" s="57" t="n">
        <v>-24</v>
      </c>
      <c r="BJ808" s="57" t="n">
        <v>24</v>
      </c>
      <c r="BK808" s="56" t="n">
        <v>-5.76</v>
      </c>
      <c r="BL808" s="57" t="n">
        <v>4</v>
      </c>
      <c r="BM808" s="55"/>
      <c r="BN808" s="60" t="n">
        <v>0</v>
      </c>
      <c r="BO808" s="60" t="n">
        <v>808</v>
      </c>
      <c r="BP808" s="55" t="str">
        <f aca="false">IF(S808&lt;&gt;"",UPPER(TRIM(S808)),IF(O808="","LOSE",O808))</f>
        <v>LOSE</v>
      </c>
      <c r="BQ808" s="57" t="n">
        <f aca="false">IF(BP808="LOSE",1,IF(N(T808)&gt;0,T808,IF(N(P808)&gt;0,P808,MAX(1,G808))))</f>
        <v>1</v>
      </c>
      <c r="BR808" s="60" t="n">
        <f aca="false">IF(BP808="LOSE",1,0)</f>
        <v>1</v>
      </c>
      <c r="BS808" s="59" t="n">
        <f aca="false">IF(BR808=0,0,IF(N(R808)&gt;0,R808,IFERROR(VLOOKUP(D808,Parameter!$A$35:$C$64,3,0)+0,0)))</f>
        <v>0.03</v>
      </c>
      <c r="BT808" s="55" t="n">
        <f aca="false">IF(Y808&lt;&gt;"",Y808,X808)</f>
        <v>2</v>
      </c>
      <c r="BU808" s="55" t="str">
        <f aca="false">IF(BT808=1,"L1",IF(OR(BT808=2,BT808=3),"L23",IF(BT808="Aussen","Aussen","-")))</f>
        <v>L23</v>
      </c>
      <c r="BV808" s="66" t="n">
        <f aca="false">IF(N(Z808)&gt;0,Z808,0)</f>
        <v>0</v>
      </c>
      <c r="BW808" s="60" t="n">
        <f aca="false">IF(ISNUMBER(AC808),1,0)</f>
        <v>0</v>
      </c>
      <c r="BX808" s="57" t="n">
        <f aca="false">N(AC808)</f>
        <v>0</v>
      </c>
      <c r="BY808" s="57" t="n">
        <f aca="false">N(L808)+N(M808)</f>
        <v>1300</v>
      </c>
      <c r="BZ808" s="57" t="n">
        <f aca="false">ROUNDUP(G808/BQ808,0)</f>
        <v>0</v>
      </c>
      <c r="CA808" s="57" t="n">
        <f aca="false">ROUNDUP(BX808/BQ808,0)</f>
        <v>0</v>
      </c>
      <c r="CB808" s="60" t="n">
        <f aca="false">IF(BR808=1,0,IFERROR(VLOOKUP(BP808,'Gebinde-Kategorie'!$A$5:$M$45,5,0)+0,0))</f>
        <v>0</v>
      </c>
      <c r="CC808" s="60" t="n">
        <f aca="false">IFERROR(IF(OR(BT808=1,BT808=2,BT808=3),N(INDEX(Parameter!$I$5:$I$7,BT808)),0),0)</f>
        <v>0</v>
      </c>
      <c r="CD808" s="59" t="n">
        <f aca="false">IF(AND(Parameter!$B$21="Ja",ISNUMBER(U808),N(V808)&gt;0),IFERROR(N(INDEX(Parameter!$L$5:$L$7,U808))*INDEX(Parameter!$E$5:$E$7,U808)*V808/SUMIFS($V$7:$V$1576,$U$7:$U$1576,U808),0),0)</f>
        <v>0</v>
      </c>
    </row>
    <row r="809" customFormat="false" ht="15" hidden="false" customHeight="false" outlineLevel="0" collapsed="false">
      <c r="A809" s="55" t="s">
        <v>1555</v>
      </c>
      <c r="B809" s="55" t="s">
        <v>395</v>
      </c>
      <c r="C809" s="55" t="s">
        <v>446</v>
      </c>
      <c r="D809" s="55" t="s">
        <v>178</v>
      </c>
      <c r="E809" s="55" t="s">
        <v>210</v>
      </c>
      <c r="F809" s="56" t="n">
        <v>0.03</v>
      </c>
      <c r="G809" s="57" t="n">
        <f aca="false">MAX(0,IF(AND(Parameter!$B$21="Ja",ISNUMBER(W809)),W809,IF(Parameter!$B$20="Jahresanfang 2025 + Export",BJ809+BI809,BI809)))</f>
        <v>0</v>
      </c>
      <c r="H809" s="57" t="n">
        <f aca="false">G809*F809</f>
        <v>0</v>
      </c>
      <c r="I809" s="57" t="n">
        <f aca="false">BL809*Parameter!$B$18</f>
        <v>196</v>
      </c>
      <c r="J809" s="58" t="n">
        <v>196</v>
      </c>
      <c r="K809" s="59" t="n">
        <v>1</v>
      </c>
      <c r="L809" s="57" t="n">
        <v>7</v>
      </c>
      <c r="M809" s="57" t="n">
        <v>195</v>
      </c>
      <c r="N809" s="60" t="n">
        <v>14</v>
      </c>
      <c r="O809" s="55" t="s">
        <v>163</v>
      </c>
      <c r="P809" s="57"/>
      <c r="Q809" s="60" t="n">
        <f aca="false">IF(BR809=1,0,IFERROR(VLOOKUP(BP809,'Gebinde-Kategorie'!$A$5:$M$45,13,0)+0,0))</f>
        <v>0</v>
      </c>
      <c r="R809" s="61"/>
      <c r="S809" s="62"/>
      <c r="T809" s="62"/>
      <c r="U809" s="55"/>
      <c r="V809" s="57"/>
      <c r="W809" s="57"/>
      <c r="X809" s="55" t="n">
        <f aca="false">IF(A809="","",IF(AND(Parameter!$B$21="Ja",ISNUMBER(U809)),U809,IF(IFERROR(VLOOKUP(D809,Parameter!$A$35:$C$64,2,0),"Nein")="2+3",IF(ISNUMBER(SEARCH("grosser Artikel",BM809)),2,IFERROR(VLOOKUP(BP809,Parameter!$F$35:$G$64,2,0),2)),IF(OR(IFERROR(VLOOKUP(D809,Parameter!$A$35:$C$64,2,0),"Nein")="Nein",IFERROR(VLOOKUP(D809,Parameter!$A$35:$C$64,2,0),"Nein")=""),"-",VLOOKUP(D809,Parameter!$A$35:$C$64,2,0)))))</f>
        <v>2</v>
      </c>
      <c r="Y809" s="62"/>
      <c r="Z809" s="63"/>
      <c r="AA809" s="57" t="n">
        <f aca="false">AP809</f>
        <v>202</v>
      </c>
      <c r="AB809" s="57" t="n">
        <f aca="false">MAX(AP809,G809)</f>
        <v>202</v>
      </c>
      <c r="AC809" s="64"/>
      <c r="AD809" s="57" t="n">
        <f aca="false">IF(LEFT(Cockpit!$C$5,1)="A",G809,IF(BW809=1,BX809,IF(LEFT(Cockpit!$C$5,1)="B",AH809,MAX(AH809,G809))))</f>
        <v>0</v>
      </c>
      <c r="AE809" s="57" t="n">
        <f aca="false">IF(BR809=1,0,ROUNDUP(AD809/BQ809,0))</f>
        <v>0</v>
      </c>
      <c r="AF809" s="59" t="n">
        <f aca="false">IF(CD809&gt;0,CD809*MAX(1,AD809/V809),IF(BR809=1,IF(AD809&lt;=0,0,BS809*MAX(1,IF(G809&gt;0,AD809/G809,1))),IF(Q809&gt;0,AE809/Q809,0))/MAX(0.1,N(Parameter!$M$21)))</f>
        <v>0</v>
      </c>
      <c r="AG809" s="57" t="n">
        <f aca="false">AD809*F809</f>
        <v>0</v>
      </c>
      <c r="AH809" s="57" t="n">
        <f aca="false">ROUNDUP(MAX(I809/IF(BV809&gt;0,BV809,MAX(0.1,N(Cockpit!$C$6))),BY809)/BQ809,0)*BQ809</f>
        <v>202</v>
      </c>
      <c r="AI809" s="58" t="n">
        <f aca="false">IF(AF809&gt;0,I809/AF809,-1)</f>
        <v>-1</v>
      </c>
      <c r="AJ809" s="58" t="str">
        <f aca="false">IF(AND(OR(BU809="L1",BU809="L23"),AF809&gt;0),SUMIFS($AF$7:$AF$1576,$BU$7:$BU$1576,BU809,$AI$7:$AI$1576,"&gt;"&amp;AI809)+SUMIFS($AF$7:$AF$1576,$BU$7:$BU$1576,BU809,$AI$7:$AI$1576,AI809,$BO$7:$BO$1576,"&lt;="&amp;BO809),"")</f>
        <v/>
      </c>
      <c r="AK809" s="65" t="n">
        <f aca="false">IF(AJ809="",0,MAX(0,MIN(1,(IF(BU809="L1",Parameter!$E$5,Parameter!$E$6+Parameter!$E$7)-(AJ809-AF809))/AF809)))</f>
        <v>0</v>
      </c>
      <c r="AL809" s="57" t="n">
        <f aca="false">IF(LEFT(Cockpit!$I$5,1)="A",G809,IF(BW809=1,BX809,IF(LEFT(Cockpit!$I$5,1)="B",AP809,MAX(AP809,G809))))</f>
        <v>202</v>
      </c>
      <c r="AM809" s="57" t="n">
        <f aca="false">IF(BR809=1,0,ROUNDUP(AL809/BQ809,0))</f>
        <v>0</v>
      </c>
      <c r="AN809" s="59" t="n">
        <f aca="false">IF(CD809&gt;0,CD809*MAX(1,AL809/V809),IF(BR809=1,IF(AL809&lt;=0,0,BS809*MAX(1,IF(G809&gt;0,AL809/G809,1))),IF(Q809&gt;0,AM809/Q809,0))/MAX(0.1,N(Parameter!$M$21)))</f>
        <v>0.03</v>
      </c>
      <c r="AO809" s="57" t="n">
        <f aca="false">AL809*F809</f>
        <v>6.06</v>
      </c>
      <c r="AP809" s="57" t="n">
        <f aca="false">ROUNDUP(MAX(I809/IF(BV809&gt;0,BV809,MAX(0.1,N(Cockpit!$I$6))),BY809)/BQ809,0)*BQ809</f>
        <v>202</v>
      </c>
      <c r="AQ809" s="58" t="n">
        <f aca="false">IF(AN809&gt;0,I809/AN809,-1)</f>
        <v>6533.33333333333</v>
      </c>
      <c r="AR809" s="58" t="n">
        <f aca="false">IF(AND(OR(BU809="L1",BU809="L23"),AN809&gt;0),SUMIFS($AN$7:$AN$1576,$BU$7:$BU$1576,BU809,$AQ$7:$AQ$1576,"&gt;"&amp;AQ809)+SUMIFS($AN$7:$AN$1576,$BU$7:$BU$1576,BU809,$AQ$7:$AQ$1576,AQ809,$BO$7:$BO$1576,"&lt;="&amp;BO809),"")</f>
        <v>9.96053781966825</v>
      </c>
      <c r="AS809" s="65" t="n">
        <f aca="false">IF(AR809="",0,MAX(0,MIN(1,(IF(BU809="L1",Parameter!$E$5,Parameter!$E$6+Parameter!$E$7)-(AR809-AN809))/AN809)))</f>
        <v>1</v>
      </c>
      <c r="AT809" s="57" t="n">
        <f aca="false">IF(LEFT(Cockpit!$O$5,1)="A",G809,IF(BW809=1,BX809,IF(LEFT(Cockpit!$O$5,1)="B",AX809,MAX(AX809,G809))))</f>
        <v>202</v>
      </c>
      <c r="AU809" s="57" t="n">
        <f aca="false">IF(BR809=1,0,ROUNDUP(AT809/BQ809,0))</f>
        <v>0</v>
      </c>
      <c r="AV809" s="59" t="n">
        <f aca="false">IF(CD809&gt;0,CD809*MAX(1,AT809/V809),IF(BR809=1,IF(AT809&lt;=0,0,BS809*MAX(1,IF(G809&gt;0,AT809/G809,1))),IF(Q809&gt;0,AU809/Q809,0))/MAX(0.1,N(Parameter!$M$21)))</f>
        <v>0.03</v>
      </c>
      <c r="AW809" s="57" t="n">
        <f aca="false">AT809*F809</f>
        <v>6.06</v>
      </c>
      <c r="AX809" s="57" t="n">
        <f aca="false">ROUNDUP(MAX(I809/IF(BV809&gt;0,BV809,MAX(0.1,N(Cockpit!$O$6))),BY809)/BQ809,0)*BQ809</f>
        <v>202</v>
      </c>
      <c r="AY809" s="58" t="n">
        <f aca="false">IF(AV809&gt;0,I809/AV809,-1)</f>
        <v>6533.33333333333</v>
      </c>
      <c r="AZ809" s="58" t="n">
        <f aca="false">IF(AND(OR(BU809="L1",BU809="L23"),AV809&gt;0),SUMIFS($AV$7:$AV$1576,$BU$7:$BU$1576,BU809,$AY$7:$AY$1576,"&gt;"&amp;AY809)+SUMIFS($AV$7:$AV$1576,$BU$7:$BU$1576,BU809,$AY$7:$AY$1576,AY809,$BO$7:$BO$1576,"&lt;="&amp;BO809),"")</f>
        <v>9.14293875206919</v>
      </c>
      <c r="BA809" s="65" t="n">
        <f aca="false">IF(AZ809="",0,MAX(0,MIN(1,(IF(BU809="L1",Parameter!$E$5,Parameter!$E$6+Parameter!$E$7)-(AZ809-AV809))/AV809)))</f>
        <v>1</v>
      </c>
      <c r="BB809" s="55" t="str">
        <f aca="false">IF(AF809&lt;=0,"",IF(BU809="Aussen","Aussenlager",IF(BU809="-","Nicht im Lift",IF(AK809&gt;=1,"Lift",IF(AK809&lt;=0,"Aussenlager","teilweise")))))</f>
        <v/>
      </c>
      <c r="BC809" s="55" t="str">
        <f aca="false">IF(AN809&lt;=0,"",IF(BU809="Aussen","Aussenlager",IF(BU809="-","Nicht im Lift",IF(AS809&gt;=1,"Lift",IF(AS809&lt;=0,"Aussenlager","teilweise")))))</f>
        <v>Lift</v>
      </c>
      <c r="BD809" s="55" t="str">
        <f aca="false">IF(AV809&lt;=0,"",IF(BU809="Aussen","Aussenlager",IF(BU809="-","Nicht im Lift",IF(BA809&gt;=1,"Lift",IF(BA809&lt;=0,"Aussenlager","teilweise")))))</f>
        <v>Lift</v>
      </c>
      <c r="BE809" s="55" t="str">
        <f aca="false">IF(A809="","",IF(BN809=1,"Neu; ","")&amp;IF(AND(BN809=0,BI809&lt;0),"negativer Bestand (Export "&amp;BI809&amp;"); ","")&amp;IF(I809&lt;=0,"Kein Verbrauch; ","")&amp;IF(CD809&gt;0,"Lift "&amp;U809&amp;" lt. Liftbericht (Fach "&amp;V809&amp;" Stk); ",IF(BR809=1,"Lose – Fläche geschätzt; ",""))&amp;IF(G809&gt;AP809,"Überbestand "&amp;ROUND(G809-AP809,0)&amp;" Stk / CHF "&amp;ROUND((G809-AP809)*F809,0)&amp;"; ","")&amp;IF(AND(BW809=1,BX809&lt;BY809),"MAX &lt; MB+LG; ","")&amp;IF(AND(CC809&gt;0,CB809*10&gt;CC809),"zu hoch für Tablar; ","")&amp;IF(AND(BN809=0,OR(BW809=1,Y809&lt;&gt;"",S809&lt;&gt;"",T809&lt;&gt;"",Z809&lt;&gt;"")),"manuell übersteuert; ","")&amp;IF(AND(BR809=0,Q809=0),"Gebinde unbekannt / Stellmass fehlt; ","")&amp;IF(AND(BR809=0,N(T809)&lt;=0,N(P809)&lt;=0),"Menge pro Gebinde fehlt (Ist = 1 Gebinde); ","")&amp;BM809)</f>
        <v>negativer Bestand (Export -196); Lose – Fläche geschätzt; </v>
      </c>
      <c r="BF809" s="55"/>
      <c r="BG809" s="55"/>
      <c r="BH809" s="62"/>
      <c r="BI809" s="57" t="n">
        <v>-196</v>
      </c>
      <c r="BJ809" s="57" t="n">
        <v>392</v>
      </c>
      <c r="BK809" s="56" t="n">
        <v>-5.88</v>
      </c>
      <c r="BL809" s="57" t="n">
        <v>196</v>
      </c>
      <c r="BM809" s="55"/>
      <c r="BN809" s="60" t="n">
        <v>0</v>
      </c>
      <c r="BO809" s="60" t="n">
        <v>809</v>
      </c>
      <c r="BP809" s="55" t="str">
        <f aca="false">IF(S809&lt;&gt;"",UPPER(TRIM(S809)),IF(O809="","LOSE",O809))</f>
        <v>LOSE</v>
      </c>
      <c r="BQ809" s="57" t="n">
        <f aca="false">IF(BP809="LOSE",1,IF(N(T809)&gt;0,T809,IF(N(P809)&gt;0,P809,MAX(1,G809))))</f>
        <v>1</v>
      </c>
      <c r="BR809" s="60" t="n">
        <f aca="false">IF(BP809="LOSE",1,0)</f>
        <v>1</v>
      </c>
      <c r="BS809" s="59" t="n">
        <f aca="false">IF(BR809=0,0,IF(N(R809)&gt;0,R809,IFERROR(VLOOKUP(D809,Parameter!$A$35:$C$64,3,0)+0,0)))</f>
        <v>0.03</v>
      </c>
      <c r="BT809" s="55" t="n">
        <f aca="false">IF(Y809&lt;&gt;"",Y809,X809)</f>
        <v>2</v>
      </c>
      <c r="BU809" s="55" t="str">
        <f aca="false">IF(BT809=1,"L1",IF(OR(BT809=2,BT809=3),"L23",IF(BT809="Aussen","Aussen","-")))</f>
        <v>L23</v>
      </c>
      <c r="BV809" s="66" t="n">
        <f aca="false">IF(N(Z809)&gt;0,Z809,0)</f>
        <v>0</v>
      </c>
      <c r="BW809" s="60" t="n">
        <f aca="false">IF(ISNUMBER(AC809),1,0)</f>
        <v>0</v>
      </c>
      <c r="BX809" s="57" t="n">
        <f aca="false">N(AC809)</f>
        <v>0</v>
      </c>
      <c r="BY809" s="57" t="n">
        <f aca="false">N(L809)+N(M809)</f>
        <v>202</v>
      </c>
      <c r="BZ809" s="57" t="n">
        <f aca="false">ROUNDUP(G809/BQ809,0)</f>
        <v>0</v>
      </c>
      <c r="CA809" s="57" t="n">
        <f aca="false">ROUNDUP(BX809/BQ809,0)</f>
        <v>0</v>
      </c>
      <c r="CB809" s="60" t="n">
        <f aca="false">IF(BR809=1,0,IFERROR(VLOOKUP(BP809,'Gebinde-Kategorie'!$A$5:$M$45,5,0)+0,0))</f>
        <v>0</v>
      </c>
      <c r="CC809" s="60" t="n">
        <f aca="false">IFERROR(IF(OR(BT809=1,BT809=2,BT809=3),N(INDEX(Parameter!$I$5:$I$7,BT809)),0),0)</f>
        <v>0</v>
      </c>
      <c r="CD809" s="59" t="n">
        <f aca="false">IF(AND(Parameter!$B$21="Ja",ISNUMBER(U809),N(V809)&gt;0),IFERROR(N(INDEX(Parameter!$L$5:$L$7,U809))*INDEX(Parameter!$E$5:$E$7,U809)*V809/SUMIFS($V$7:$V$1576,$U$7:$U$1576,U809),0),0)</f>
        <v>0</v>
      </c>
    </row>
    <row r="810" customFormat="false" ht="15" hidden="false" customHeight="false" outlineLevel="0" collapsed="false">
      <c r="A810" s="55" t="s">
        <v>1556</v>
      </c>
      <c r="B810" s="55" t="s">
        <v>1227</v>
      </c>
      <c r="C810" s="55" t="s">
        <v>160</v>
      </c>
      <c r="D810" s="55" t="s">
        <v>178</v>
      </c>
      <c r="E810" s="55" t="s">
        <v>210</v>
      </c>
      <c r="F810" s="56" t="n">
        <v>0.06</v>
      </c>
      <c r="G810" s="57" t="n">
        <f aca="false">MAX(0,IF(AND(Parameter!$B$21="Ja",ISNUMBER(W810)),W810,IF(Parameter!$B$20="Jahresanfang 2025 + Export",BJ810+BI810,BI810)))</f>
        <v>2097</v>
      </c>
      <c r="H810" s="57" t="n">
        <f aca="false">G810*F810</f>
        <v>125.82</v>
      </c>
      <c r="I810" s="57" t="n">
        <f aca="false">BL810*Parameter!$B$18</f>
        <v>3700</v>
      </c>
      <c r="J810" s="58" t="n">
        <v>600</v>
      </c>
      <c r="K810" s="59" t="n">
        <v>6.16666666666667</v>
      </c>
      <c r="L810" s="57" t="n">
        <v>1</v>
      </c>
      <c r="M810" s="57" t="n">
        <v>3700</v>
      </c>
      <c r="N810" s="60" t="n">
        <v>14</v>
      </c>
      <c r="O810" s="55" t="s">
        <v>293</v>
      </c>
      <c r="P810" s="57" t="n">
        <v>855</v>
      </c>
      <c r="Q810" s="60" t="n">
        <f aca="false">IF(BR810=1,0,IFERROR(VLOOKUP(BP810,'Gebinde-Kategorie'!$A$5:$M$45,13,0)+0,0))</f>
        <v>26</v>
      </c>
      <c r="R810" s="61"/>
      <c r="S810" s="62"/>
      <c r="T810" s="62"/>
      <c r="U810" s="55"/>
      <c r="V810" s="57"/>
      <c r="W810" s="57"/>
      <c r="X810" s="55" t="n">
        <f aca="false">IF(A810="","",IF(AND(Parameter!$B$21="Ja",ISNUMBER(U810)),U810,IF(IFERROR(VLOOKUP(D810,Parameter!$A$35:$C$64,2,0),"Nein")="2+3",IF(ISNUMBER(SEARCH("grosser Artikel",BM810)),2,IFERROR(VLOOKUP(BP810,Parameter!$F$35:$G$64,2,0),2)),IF(OR(IFERROR(VLOOKUP(D810,Parameter!$A$35:$C$64,2,0),"Nein")="Nein",IFERROR(VLOOKUP(D810,Parameter!$A$35:$C$64,2,0),"Nein")=""),"-",VLOOKUP(D810,Parameter!$A$35:$C$64,2,0)))))</f>
        <v>3</v>
      </c>
      <c r="Y810" s="62"/>
      <c r="Z810" s="63"/>
      <c r="AA810" s="57" t="n">
        <f aca="false">AP810</f>
        <v>4275</v>
      </c>
      <c r="AB810" s="57" t="n">
        <f aca="false">MAX(AP810,G810)</f>
        <v>4275</v>
      </c>
      <c r="AC810" s="64"/>
      <c r="AD810" s="57" t="n">
        <f aca="false">IF(LEFT(Cockpit!$C$5,1)="A",G810,IF(BW810=1,BX810,IF(LEFT(Cockpit!$C$5,1)="B",AH810,MAX(AH810,G810))))</f>
        <v>2097</v>
      </c>
      <c r="AE810" s="57" t="n">
        <f aca="false">IF(BR810=1,0,ROUNDUP(AD810/BQ810,0))</f>
        <v>3</v>
      </c>
      <c r="AF810" s="59" t="n">
        <f aca="false">IF(CD810&gt;0,CD810*MAX(1,AD810/V810),IF(BR810=1,IF(AD810&lt;=0,0,BS810*MAX(1,IF(G810&gt;0,AD810/G810,1))),IF(Q810&gt;0,AE810/Q810,0))/MAX(0.1,N(Parameter!$M$21)))</f>
        <v>0.115384615384615</v>
      </c>
      <c r="AG810" s="57" t="n">
        <f aca="false">AD810*F810</f>
        <v>125.82</v>
      </c>
      <c r="AH810" s="57" t="n">
        <f aca="false">ROUNDUP(MAX(I810/IF(BV810&gt;0,BV810,MAX(0.1,N(Cockpit!$C$6))),BY810)/BQ810,0)*BQ810</f>
        <v>4275</v>
      </c>
      <c r="AI810" s="58" t="n">
        <f aca="false">IF(AF810&gt;0,I810/AF810,-1)</f>
        <v>32066.6666666667</v>
      </c>
      <c r="AJ810" s="58" t="n">
        <f aca="false">IF(AND(OR(BU810="L1",BU810="L23"),AF810&gt;0),SUMIFS($AF$7:$AF$1576,$BU$7:$BU$1576,BU810,$AI$7:$AI$1576,"&gt;"&amp;AI810)+SUMIFS($AF$7:$AF$1576,$BU$7:$BU$1576,BU810,$AI$7:$AI$1576,AI810,$BO$7:$BO$1576,"&lt;="&amp;BO810),"")</f>
        <v>1.36489476706868</v>
      </c>
      <c r="AK810" s="65" t="n">
        <f aca="false">IF(AJ810="",0,MAX(0,MIN(1,(IF(BU810="L1",Parameter!$E$5,Parameter!$E$6+Parameter!$E$7)-(AJ810-AF810))/AF810)))</f>
        <v>1</v>
      </c>
      <c r="AL810" s="57" t="n">
        <f aca="false">IF(LEFT(Cockpit!$I$5,1)="A",G810,IF(BW810=1,BX810,IF(LEFT(Cockpit!$I$5,1)="B",AP810,MAX(AP810,G810))))</f>
        <v>4275</v>
      </c>
      <c r="AM810" s="57" t="n">
        <f aca="false">IF(BR810=1,0,ROUNDUP(AL810/BQ810,0))</f>
        <v>5</v>
      </c>
      <c r="AN810" s="59" t="n">
        <f aca="false">IF(CD810&gt;0,CD810*MAX(1,AL810/V810),IF(BR810=1,IF(AL810&lt;=0,0,BS810*MAX(1,IF(G810&gt;0,AL810/G810,1))),IF(Q810&gt;0,AM810/Q810,0))/MAX(0.1,N(Parameter!$M$21)))</f>
        <v>0.192307692307692</v>
      </c>
      <c r="AO810" s="57" t="n">
        <f aca="false">AL810*F810</f>
        <v>256.5</v>
      </c>
      <c r="AP810" s="57" t="n">
        <f aca="false">ROUNDUP(MAX(I810/IF(BV810&gt;0,BV810,MAX(0.1,N(Cockpit!$I$6))),BY810)/BQ810,0)*BQ810</f>
        <v>4275</v>
      </c>
      <c r="AQ810" s="58" t="n">
        <f aca="false">IF(AN810&gt;0,I810/AN810,-1)</f>
        <v>19240</v>
      </c>
      <c r="AR810" s="58" t="n">
        <f aca="false">IF(AND(OR(BU810="L1",BU810="L23"),AN810&gt;0),SUMIFS($AN$7:$AN$1576,$BU$7:$BU$1576,BU810,$AQ$7:$AQ$1576,"&gt;"&amp;AQ810)+SUMIFS($AN$7:$AN$1576,$BU$7:$BU$1576,BU810,$AQ$7:$AQ$1576,AQ810,$BO$7:$BO$1576,"&lt;="&amp;BO810),"")</f>
        <v>4.22633661024965</v>
      </c>
      <c r="AS810" s="65" t="n">
        <f aca="false">IF(AR810="",0,MAX(0,MIN(1,(IF(BU810="L1",Parameter!$E$5,Parameter!$E$6+Parameter!$E$7)-(AR810-AN810))/AN810)))</f>
        <v>1</v>
      </c>
      <c r="AT810" s="57" t="n">
        <f aca="false">IF(LEFT(Cockpit!$O$5,1)="A",G810,IF(BW810=1,BX810,IF(LEFT(Cockpit!$O$5,1)="B",AX810,MAX(AX810,G810))))</f>
        <v>4275</v>
      </c>
      <c r="AU810" s="57" t="n">
        <f aca="false">IF(BR810=1,0,ROUNDUP(AT810/BQ810,0))</f>
        <v>5</v>
      </c>
      <c r="AV810" s="59" t="n">
        <f aca="false">IF(CD810&gt;0,CD810*MAX(1,AT810/V810),IF(BR810=1,IF(AT810&lt;=0,0,BS810*MAX(1,IF(G810&gt;0,AT810/G810,1))),IF(Q810&gt;0,AU810/Q810,0))/MAX(0.1,N(Parameter!$M$21)))</f>
        <v>0.192307692307692</v>
      </c>
      <c r="AW810" s="57" t="n">
        <f aca="false">AT810*F810</f>
        <v>256.5</v>
      </c>
      <c r="AX810" s="57" t="n">
        <f aca="false">ROUNDUP(MAX(I810/IF(BV810&gt;0,BV810,MAX(0.1,N(Cockpit!$O$6))),BY810)/BQ810,0)*BQ810</f>
        <v>4275</v>
      </c>
      <c r="AY810" s="58" t="n">
        <f aca="false">IF(AV810&gt;0,I810/AV810,-1)</f>
        <v>19240</v>
      </c>
      <c r="AZ810" s="58" t="n">
        <f aca="false">IF(AND(OR(BU810="L1",BU810="L23"),AV810&gt;0),SUMIFS($AV$7:$AV$1576,$BU$7:$BU$1576,BU810,$AY$7:$AY$1576,"&gt;"&amp;AY810)+SUMIFS($AV$7:$AV$1576,$BU$7:$BU$1576,BU810,$AY$7:$AY$1576,AY810,$BO$7:$BO$1576,"&lt;="&amp;BO810),"")</f>
        <v>4.568993952907</v>
      </c>
      <c r="BA810" s="65" t="n">
        <f aca="false">IF(AZ810="",0,MAX(0,MIN(1,(IF(BU810="L1",Parameter!$E$5,Parameter!$E$6+Parameter!$E$7)-(AZ810-AV810))/AV810)))</f>
        <v>1</v>
      </c>
      <c r="BB810" s="55" t="str">
        <f aca="false">IF(AF810&lt;=0,"",IF(BU810="Aussen","Aussenlager",IF(BU810="-","Nicht im Lift",IF(AK810&gt;=1,"Lift",IF(AK810&lt;=0,"Aussenlager","teilweise")))))</f>
        <v>Lift</v>
      </c>
      <c r="BC810" s="55" t="str">
        <f aca="false">IF(AN810&lt;=0,"",IF(BU810="Aussen","Aussenlager",IF(BU810="-","Nicht im Lift",IF(AS810&gt;=1,"Lift",IF(AS810&lt;=0,"Aussenlager","teilweise")))))</f>
        <v>Lift</v>
      </c>
      <c r="BD810" s="55" t="str">
        <f aca="false">IF(AV810&lt;=0,"",IF(BU810="Aussen","Aussenlager",IF(BU810="-","Nicht im Lift",IF(BA810&gt;=1,"Lift",IF(BA810&lt;=0,"Aussenlager","teilweise")))))</f>
        <v>Lift</v>
      </c>
      <c r="BE810" s="55" t="str">
        <f aca="false">IF(A810="","",IF(BN810=1,"Neu; ","")&amp;IF(AND(BN810=0,BI810&lt;0),"negativer Bestand (Export "&amp;BI810&amp;"); ","")&amp;IF(I810&lt;=0,"Kein Verbrauch; ","")&amp;IF(CD810&gt;0,"Lift "&amp;U810&amp;" lt. Liftbericht (Fach "&amp;V810&amp;" Stk); ",IF(BR810=1,"Lose – Fläche geschätzt; ",""))&amp;IF(G810&gt;AP810,"Überbestand "&amp;ROUND(G810-AP810,0)&amp;" Stk / CHF "&amp;ROUND((G810-AP810)*F810,0)&amp;"; ","")&amp;IF(AND(BW810=1,BX810&lt;BY810),"MAX &lt; MB+LG; ","")&amp;IF(AND(CC810&gt;0,CB810*10&gt;CC810),"zu hoch für Tablar; ","")&amp;IF(AND(BN810=0,OR(BW810=1,Y810&lt;&gt;"",S810&lt;&gt;"",T810&lt;&gt;"",Z810&lt;&gt;"")),"manuell übersteuert; ","")&amp;IF(AND(BR810=0,Q810=0),"Gebinde unbekannt / Stellmass fehlt; ","")&amp;IF(AND(BR810=0,N(T810)&lt;=0,N(P810)&lt;=0),"Menge pro Gebinde fehlt (Ist = 1 Gebinde); ","")&amp;BM810)</f>
        <v/>
      </c>
      <c r="BF810" s="55"/>
      <c r="BG810" s="55"/>
      <c r="BH810" s="62"/>
      <c r="BI810" s="57" t="n">
        <v>2097</v>
      </c>
      <c r="BJ810" s="57" t="n">
        <v>600</v>
      </c>
      <c r="BK810" s="56" t="n">
        <v>-6.18000000000004</v>
      </c>
      <c r="BL810" s="57" t="n">
        <v>3700</v>
      </c>
      <c r="BM810" s="55"/>
      <c r="BN810" s="60" t="n">
        <v>0</v>
      </c>
      <c r="BO810" s="60" t="n">
        <v>810</v>
      </c>
      <c r="BP810" s="55" t="str">
        <f aca="false">IF(S810&lt;&gt;"",UPPER(TRIM(S810)),IF(O810="","LOSE",O810))</f>
        <v>S51</v>
      </c>
      <c r="BQ810" s="57" t="n">
        <f aca="false">IF(BP810="LOSE",1,IF(N(T810)&gt;0,T810,IF(N(P810)&gt;0,P810,MAX(1,G810))))</f>
        <v>855</v>
      </c>
      <c r="BR810" s="60" t="n">
        <f aca="false">IF(BP810="LOSE",1,0)</f>
        <v>0</v>
      </c>
      <c r="BS810" s="59" t="n">
        <f aca="false">IF(BR810=0,0,IF(N(R810)&gt;0,R810,IFERROR(VLOOKUP(D810,Parameter!$A$35:$C$64,3,0)+0,0)))</f>
        <v>0</v>
      </c>
      <c r="BT810" s="55" t="n">
        <f aca="false">IF(Y810&lt;&gt;"",Y810,X810)</f>
        <v>3</v>
      </c>
      <c r="BU810" s="55" t="str">
        <f aca="false">IF(BT810=1,"L1",IF(OR(BT810=2,BT810=3),"L23",IF(BT810="Aussen","Aussen","-")))</f>
        <v>L23</v>
      </c>
      <c r="BV810" s="66" t="n">
        <f aca="false">IF(N(Z810)&gt;0,Z810,0)</f>
        <v>0</v>
      </c>
      <c r="BW810" s="60" t="n">
        <f aca="false">IF(ISNUMBER(AC810),1,0)</f>
        <v>0</v>
      </c>
      <c r="BX810" s="57" t="n">
        <f aca="false">N(AC810)</f>
        <v>0</v>
      </c>
      <c r="BY810" s="57" t="n">
        <f aca="false">N(L810)+N(M810)</f>
        <v>3701</v>
      </c>
      <c r="BZ810" s="57" t="n">
        <f aca="false">ROUNDUP(G810/BQ810,0)</f>
        <v>3</v>
      </c>
      <c r="CA810" s="57" t="n">
        <f aca="false">ROUNDUP(BX810/BQ810,0)</f>
        <v>0</v>
      </c>
      <c r="CB810" s="60" t="n">
        <f aca="false">IF(BR810=1,0,IFERROR(VLOOKUP(BP810,'Gebinde-Kategorie'!$A$5:$M$45,5,0)+0,0))</f>
        <v>11</v>
      </c>
      <c r="CC810" s="60" t="n">
        <f aca="false">IFERROR(IF(OR(BT810=1,BT810=2,BT810=3),N(INDEX(Parameter!$I$5:$I$7,BT810)),0),0)</f>
        <v>0</v>
      </c>
      <c r="CD810" s="59" t="n">
        <f aca="false">IF(AND(Parameter!$B$21="Ja",ISNUMBER(U810),N(V810)&gt;0),IFERROR(N(INDEX(Parameter!$L$5:$L$7,U810))*INDEX(Parameter!$E$5:$E$7,U810)*V810/SUMIFS($V$7:$V$1576,$U$7:$U$1576,U810),0),0)</f>
        <v>0</v>
      </c>
    </row>
    <row r="811" customFormat="false" ht="15" hidden="false" customHeight="false" outlineLevel="0" collapsed="false">
      <c r="A811" s="55" t="s">
        <v>1557</v>
      </c>
      <c r="B811" s="55" t="s">
        <v>1558</v>
      </c>
      <c r="C811" s="55" t="s">
        <v>160</v>
      </c>
      <c r="D811" s="55" t="s">
        <v>178</v>
      </c>
      <c r="E811" s="55" t="s">
        <v>210</v>
      </c>
      <c r="F811" s="56" t="n">
        <v>3.36</v>
      </c>
      <c r="G811" s="57" t="n">
        <f aca="false">MAX(0,IF(AND(Parameter!$B$21="Ja",ISNUMBER(W811)),W811,IF(Parameter!$B$20="Jahresanfang 2025 + Export",BJ811+BI811,BI811)))</f>
        <v>0</v>
      </c>
      <c r="H811" s="57" t="n">
        <f aca="false">G811*F811</f>
        <v>0</v>
      </c>
      <c r="I811" s="57" t="n">
        <f aca="false">BL811*Parameter!$B$18</f>
        <v>0</v>
      </c>
      <c r="J811" s="58" t="n">
        <v>42.5</v>
      </c>
      <c r="K811" s="59" t="n">
        <v>0</v>
      </c>
      <c r="L811" s="57" t="n">
        <v>0</v>
      </c>
      <c r="M811" s="57" t="n">
        <v>1</v>
      </c>
      <c r="N811" s="60" t="n">
        <v>28</v>
      </c>
      <c r="O811" s="55" t="s">
        <v>411</v>
      </c>
      <c r="P811" s="57" t="n">
        <v>17</v>
      </c>
      <c r="Q811" s="60" t="n">
        <f aca="false">IF(BR811=1,0,IFERROR(VLOOKUP(BP811,'Gebinde-Kategorie'!$A$5:$M$45,13,0)+0,0))</f>
        <v>132</v>
      </c>
      <c r="R811" s="61"/>
      <c r="S811" s="62"/>
      <c r="T811" s="62"/>
      <c r="U811" s="55"/>
      <c r="V811" s="57"/>
      <c r="W811" s="57"/>
      <c r="X811" s="55" t="n">
        <f aca="false">IF(A811="","",IF(AND(Parameter!$B$21="Ja",ISNUMBER(U811)),U811,IF(IFERROR(VLOOKUP(D811,Parameter!$A$35:$C$64,2,0),"Nein")="2+3",IF(ISNUMBER(SEARCH("grosser Artikel",BM811)),2,IFERROR(VLOOKUP(BP811,Parameter!$F$35:$G$64,2,0),2)),IF(OR(IFERROR(VLOOKUP(D811,Parameter!$A$35:$C$64,2,0),"Nein")="Nein",IFERROR(VLOOKUP(D811,Parameter!$A$35:$C$64,2,0),"Nein")=""),"-",VLOOKUP(D811,Parameter!$A$35:$C$64,2,0)))))</f>
        <v>3</v>
      </c>
      <c r="Y811" s="62"/>
      <c r="Z811" s="63"/>
      <c r="AA811" s="57" t="n">
        <f aca="false">AP811</f>
        <v>17</v>
      </c>
      <c r="AB811" s="57" t="n">
        <f aca="false">MAX(AP811,G811)</f>
        <v>17</v>
      </c>
      <c r="AC811" s="64"/>
      <c r="AD811" s="57" t="n">
        <f aca="false">IF(LEFT(Cockpit!$C$5,1)="A",G811,IF(BW811=1,BX811,IF(LEFT(Cockpit!$C$5,1)="B",AH811,MAX(AH811,G811))))</f>
        <v>0</v>
      </c>
      <c r="AE811" s="57" t="n">
        <f aca="false">IF(BR811=1,0,ROUNDUP(AD811/BQ811,0))</f>
        <v>0</v>
      </c>
      <c r="AF811" s="59" t="n">
        <f aca="false">IF(CD811&gt;0,CD811*MAX(1,AD811/V811),IF(BR811=1,IF(AD811&lt;=0,0,BS811*MAX(1,IF(G811&gt;0,AD811/G811,1))),IF(Q811&gt;0,AE811/Q811,0))/MAX(0.1,N(Parameter!$M$21)))</f>
        <v>0</v>
      </c>
      <c r="AG811" s="57" t="n">
        <f aca="false">AD811*F811</f>
        <v>0</v>
      </c>
      <c r="AH811" s="57" t="n">
        <f aca="false">ROUNDUP(MAX(I811/IF(BV811&gt;0,BV811,MAX(0.1,N(Cockpit!$C$6))),BY811)/BQ811,0)*BQ811</f>
        <v>17</v>
      </c>
      <c r="AI811" s="58" t="n">
        <f aca="false">IF(AF811&gt;0,I811/AF811,-1)</f>
        <v>-1</v>
      </c>
      <c r="AJ811" s="58" t="str">
        <f aca="false">IF(AND(OR(BU811="L1",BU811="L23"),AF811&gt;0),SUMIFS($AF$7:$AF$1576,$BU$7:$BU$1576,BU811,$AI$7:$AI$1576,"&gt;"&amp;AI811)+SUMIFS($AF$7:$AF$1576,$BU$7:$BU$1576,BU811,$AI$7:$AI$1576,AI811,$BO$7:$BO$1576,"&lt;="&amp;BO811),"")</f>
        <v/>
      </c>
      <c r="AK811" s="65" t="n">
        <f aca="false">IF(AJ811="",0,MAX(0,MIN(1,(IF(BU811="L1",Parameter!$E$5,Parameter!$E$6+Parameter!$E$7)-(AJ811-AF811))/AF811)))</f>
        <v>0</v>
      </c>
      <c r="AL811" s="57" t="n">
        <f aca="false">IF(LEFT(Cockpit!$I$5,1)="A",G811,IF(BW811=1,BX811,IF(LEFT(Cockpit!$I$5,1)="B",AP811,MAX(AP811,G811))))</f>
        <v>17</v>
      </c>
      <c r="AM811" s="57" t="n">
        <f aca="false">IF(BR811=1,0,ROUNDUP(AL811/BQ811,0))</f>
        <v>1</v>
      </c>
      <c r="AN811" s="59" t="n">
        <f aca="false">IF(CD811&gt;0,CD811*MAX(1,AL811/V811),IF(BR811=1,IF(AL811&lt;=0,0,BS811*MAX(1,IF(G811&gt;0,AL811/G811,1))),IF(Q811&gt;0,AM811/Q811,0))/MAX(0.1,N(Parameter!$M$21)))</f>
        <v>0.00757575757575758</v>
      </c>
      <c r="AO811" s="57" t="n">
        <f aca="false">AL811*F811</f>
        <v>57.12</v>
      </c>
      <c r="AP811" s="57" t="n">
        <f aca="false">ROUNDUP(MAX(I811/IF(BV811&gt;0,BV811,MAX(0.1,N(Cockpit!$I$6))),BY811)/BQ811,0)*BQ811</f>
        <v>17</v>
      </c>
      <c r="AQ811" s="58" t="n">
        <f aca="false">IF(AN811&gt;0,I811/AN811,-1)</f>
        <v>0</v>
      </c>
      <c r="AR811" s="58" t="n">
        <f aca="false">IF(AND(OR(BU811="L1",BU811="L23"),AN811&gt;0),SUMIFS($AN$7:$AN$1576,$BU$7:$BU$1576,BU811,$AQ$7:$AQ$1576,"&gt;"&amp;AQ811)+SUMIFS($AN$7:$AN$1576,$BU$7:$BU$1576,BU811,$AQ$7:$AQ$1576,AQ811,$BO$7:$BO$1576,"&lt;="&amp;BO811),"")</f>
        <v>130.737048482966</v>
      </c>
      <c r="AS811" s="65" t="n">
        <f aca="false">IF(AR811="",0,MAX(0,MIN(1,(IF(BU811="L1",Parameter!$E$5,Parameter!$E$6+Parameter!$E$7)-(AR811-AN811))/AN811)))</f>
        <v>0</v>
      </c>
      <c r="AT811" s="57" t="n">
        <f aca="false">IF(LEFT(Cockpit!$O$5,1)="A",G811,IF(BW811=1,BX811,IF(LEFT(Cockpit!$O$5,1)="B",AX811,MAX(AX811,G811))))</f>
        <v>17</v>
      </c>
      <c r="AU811" s="57" t="n">
        <f aca="false">IF(BR811=1,0,ROUNDUP(AT811/BQ811,0))</f>
        <v>1</v>
      </c>
      <c r="AV811" s="59" t="n">
        <f aca="false">IF(CD811&gt;0,CD811*MAX(1,AT811/V811),IF(BR811=1,IF(AT811&lt;=0,0,BS811*MAX(1,IF(G811&gt;0,AT811/G811,1))),IF(Q811&gt;0,AU811/Q811,0))/MAX(0.1,N(Parameter!$M$21)))</f>
        <v>0.00757575757575758</v>
      </c>
      <c r="AW811" s="57" t="n">
        <f aca="false">AT811*F811</f>
        <v>57.12</v>
      </c>
      <c r="AX811" s="57" t="n">
        <f aca="false">ROUNDUP(MAX(I811/IF(BV811&gt;0,BV811,MAX(0.1,N(Cockpit!$O$6))),BY811)/BQ811,0)*BQ811</f>
        <v>17</v>
      </c>
      <c r="AY811" s="58" t="n">
        <f aca="false">IF(AV811&gt;0,I811/AV811,-1)</f>
        <v>0</v>
      </c>
      <c r="AZ811" s="58" t="n">
        <f aca="false">IF(AND(OR(BU811="L1",BU811="L23"),AV811&gt;0),SUMIFS($AV$7:$AV$1576,$BU$7:$BU$1576,BU811,$AY$7:$AY$1576,"&gt;"&amp;AY811)+SUMIFS($AV$7:$AV$1576,$BU$7:$BU$1576,BU811,$AY$7:$AY$1576,AY811,$BO$7:$BO$1576,"&lt;="&amp;BO811),"")</f>
        <v>120.796598932516</v>
      </c>
      <c r="BA811" s="65" t="n">
        <f aca="false">IF(AZ811="",0,MAX(0,MIN(1,(IF(BU811="L1",Parameter!$E$5,Parameter!$E$6+Parameter!$E$7)-(AZ811-AV811))/AV811)))</f>
        <v>0</v>
      </c>
      <c r="BB811" s="55" t="str">
        <f aca="false">IF(AF811&lt;=0,"",IF(BU811="Aussen","Aussenlager",IF(BU811="-","Nicht im Lift",IF(AK811&gt;=1,"Lift",IF(AK811&lt;=0,"Aussenlager","teilweise")))))</f>
        <v/>
      </c>
      <c r="BC811" s="55" t="str">
        <f aca="false">IF(AN811&lt;=0,"",IF(BU811="Aussen","Aussenlager",IF(BU811="-","Nicht im Lift",IF(AS811&gt;=1,"Lift",IF(AS811&lt;=0,"Aussenlager","teilweise")))))</f>
        <v>Aussenlager</v>
      </c>
      <c r="BD811" s="55" t="str">
        <f aca="false">IF(AV811&lt;=0,"",IF(BU811="Aussen","Aussenlager",IF(BU811="-","Nicht im Lift",IF(BA811&gt;=1,"Lift",IF(BA811&lt;=0,"Aussenlager","teilweise")))))</f>
        <v>Aussenlager</v>
      </c>
      <c r="BE811" s="55" t="str">
        <f aca="false">IF(A811="","",IF(BN811=1,"Neu; ","")&amp;IF(AND(BN811=0,BI811&lt;0),"negativer Bestand (Export "&amp;BI811&amp;"); ","")&amp;IF(I811&lt;=0,"Kein Verbrauch; ","")&amp;IF(CD811&gt;0,"Lift "&amp;U811&amp;" lt. Liftbericht (Fach "&amp;V811&amp;" Stk); ",IF(BR811=1,"Lose – Fläche geschätzt; ",""))&amp;IF(G811&gt;AP811,"Überbestand "&amp;ROUND(G811-AP811,0)&amp;" Stk / CHF "&amp;ROUND((G811-AP811)*F811,0)&amp;"; ","")&amp;IF(AND(BW811=1,BX811&lt;BY811),"MAX &lt; MB+LG; ","")&amp;IF(AND(CC811&gt;0,CB811*10&gt;CC811),"zu hoch für Tablar; ","")&amp;IF(AND(BN811=0,OR(BW811=1,Y811&lt;&gt;"",S811&lt;&gt;"",T811&lt;&gt;"",Z811&lt;&gt;"")),"manuell übersteuert; ","")&amp;IF(AND(BR811=0,Q811=0),"Gebinde unbekannt / Stellmass fehlt; ","")&amp;IF(AND(BR811=0,N(T811)&lt;=0,N(P811)&lt;=0),"Menge pro Gebinde fehlt (Ist = 1 Gebinde); ","")&amp;BM811)</f>
        <v>negativer Bestand (Export -2); Kein Verbrauch; </v>
      </c>
      <c r="BF811" s="55"/>
      <c r="BG811" s="55"/>
      <c r="BH811" s="62"/>
      <c r="BI811" s="57" t="n">
        <v>-2</v>
      </c>
      <c r="BJ811" s="57" t="n">
        <v>41</v>
      </c>
      <c r="BK811" s="56" t="n">
        <v>-6.72</v>
      </c>
      <c r="BL811" s="57" t="n">
        <v>0</v>
      </c>
      <c r="BM811" s="55"/>
      <c r="BN811" s="60" t="n">
        <v>0</v>
      </c>
      <c r="BO811" s="60" t="n">
        <v>811</v>
      </c>
      <c r="BP811" s="55" t="str">
        <f aca="false">IF(S811&lt;&gt;"",UPPER(TRIM(S811)),IF(O811="","LOSE",O811))</f>
        <v>S32</v>
      </c>
      <c r="BQ811" s="57" t="n">
        <f aca="false">IF(BP811="LOSE",1,IF(N(T811)&gt;0,T811,IF(N(P811)&gt;0,P811,MAX(1,G811))))</f>
        <v>17</v>
      </c>
      <c r="BR811" s="60" t="n">
        <f aca="false">IF(BP811="LOSE",1,0)</f>
        <v>0</v>
      </c>
      <c r="BS811" s="59" t="n">
        <f aca="false">IF(BR811=0,0,IF(N(R811)&gt;0,R811,IFERROR(VLOOKUP(D811,Parameter!$A$35:$C$64,3,0)+0,0)))</f>
        <v>0</v>
      </c>
      <c r="BT811" s="55" t="n">
        <f aca="false">IF(Y811&lt;&gt;"",Y811,X811)</f>
        <v>3</v>
      </c>
      <c r="BU811" s="55" t="str">
        <f aca="false">IF(BT811=1,"L1",IF(OR(BT811=2,BT811=3),"L23",IF(BT811="Aussen","Aussen","-")))</f>
        <v>L23</v>
      </c>
      <c r="BV811" s="66" t="n">
        <f aca="false">IF(N(Z811)&gt;0,Z811,0)</f>
        <v>0</v>
      </c>
      <c r="BW811" s="60" t="n">
        <f aca="false">IF(ISNUMBER(AC811),1,0)</f>
        <v>0</v>
      </c>
      <c r="BX811" s="57" t="n">
        <f aca="false">N(AC811)</f>
        <v>0</v>
      </c>
      <c r="BY811" s="57" t="n">
        <f aca="false">N(L811)+N(M811)</f>
        <v>1</v>
      </c>
      <c r="BZ811" s="57" t="n">
        <f aca="false">ROUNDUP(G811/BQ811,0)</f>
        <v>0</v>
      </c>
      <c r="CA811" s="57" t="n">
        <f aca="false">ROUNDUP(BX811/BQ811,0)</f>
        <v>0</v>
      </c>
      <c r="CB811" s="60" t="n">
        <f aca="false">IF(BR811=1,0,IFERROR(VLOOKUP(BP811,'Gebinde-Kategorie'!$A$5:$M$45,5,0)+0,0))</f>
        <v>8</v>
      </c>
      <c r="CC811" s="60" t="n">
        <f aca="false">IFERROR(IF(OR(BT811=1,BT811=2,BT811=3),N(INDEX(Parameter!$I$5:$I$7,BT811)),0),0)</f>
        <v>0</v>
      </c>
      <c r="CD811" s="59" t="n">
        <f aca="false">IF(AND(Parameter!$B$21="Ja",ISNUMBER(U811),N(V811)&gt;0),IFERROR(N(INDEX(Parameter!$L$5:$L$7,U811))*INDEX(Parameter!$E$5:$E$7,U811)*V811/SUMIFS($V$7:$V$1576,$U$7:$U$1576,U811),0),0)</f>
        <v>0</v>
      </c>
    </row>
    <row r="812" customFormat="false" ht="15" hidden="false" customHeight="false" outlineLevel="0" collapsed="false">
      <c r="A812" s="55" t="s">
        <v>1559</v>
      </c>
      <c r="B812" s="55" t="s">
        <v>1560</v>
      </c>
      <c r="C812" s="55" t="s">
        <v>160</v>
      </c>
      <c r="D812" s="55" t="s">
        <v>178</v>
      </c>
      <c r="E812" s="55" t="s">
        <v>210</v>
      </c>
      <c r="F812" s="56" t="n">
        <v>6.75</v>
      </c>
      <c r="G812" s="57" t="n">
        <f aca="false">MAX(0,IF(AND(Parameter!$B$21="Ja",ISNUMBER(W812)),W812,IF(Parameter!$B$20="Jahresanfang 2025 + Export",BJ812+BI812,BI812)))</f>
        <v>0</v>
      </c>
      <c r="H812" s="57" t="n">
        <f aca="false">G812*F812</f>
        <v>0</v>
      </c>
      <c r="I812" s="57" t="n">
        <f aca="false">BL812*Parameter!$B$18</f>
        <v>0</v>
      </c>
      <c r="J812" s="58" t="n">
        <v>5</v>
      </c>
      <c r="K812" s="59" t="n">
        <v>0</v>
      </c>
      <c r="L812" s="57" t="n">
        <v>0</v>
      </c>
      <c r="M812" s="57" t="n">
        <v>1</v>
      </c>
      <c r="N812" s="60" t="n">
        <v>42</v>
      </c>
      <c r="O812" s="55" t="s">
        <v>416</v>
      </c>
      <c r="P812" s="57" t="n">
        <v>5</v>
      </c>
      <c r="Q812" s="60" t="n">
        <f aca="false">IF(BR812=1,0,IFERROR(VLOOKUP(BP812,'Gebinde-Kategorie'!$A$5:$M$45,13,0)+0,0))</f>
        <v>198</v>
      </c>
      <c r="R812" s="61"/>
      <c r="S812" s="62"/>
      <c r="T812" s="62"/>
      <c r="U812" s="55"/>
      <c r="V812" s="57"/>
      <c r="W812" s="57"/>
      <c r="X812" s="55" t="n">
        <f aca="false">IF(A812="","",IF(AND(Parameter!$B$21="Ja",ISNUMBER(U812)),U812,IF(IFERROR(VLOOKUP(D812,Parameter!$A$35:$C$64,2,0),"Nein")="2+3",IF(ISNUMBER(SEARCH("grosser Artikel",BM812)),2,IFERROR(VLOOKUP(BP812,Parameter!$F$35:$G$64,2,0),2)),IF(OR(IFERROR(VLOOKUP(D812,Parameter!$A$35:$C$64,2,0),"Nein")="Nein",IFERROR(VLOOKUP(D812,Parameter!$A$35:$C$64,2,0),"Nein")=""),"-",VLOOKUP(D812,Parameter!$A$35:$C$64,2,0)))))</f>
        <v>3</v>
      </c>
      <c r="Y812" s="62"/>
      <c r="Z812" s="63"/>
      <c r="AA812" s="57" t="n">
        <f aca="false">AP812</f>
        <v>5</v>
      </c>
      <c r="AB812" s="57" t="n">
        <f aca="false">MAX(AP812,G812)</f>
        <v>5</v>
      </c>
      <c r="AC812" s="64"/>
      <c r="AD812" s="57" t="n">
        <f aca="false">IF(LEFT(Cockpit!$C$5,1)="A",G812,IF(BW812=1,BX812,IF(LEFT(Cockpit!$C$5,1)="B",AH812,MAX(AH812,G812))))</f>
        <v>0</v>
      </c>
      <c r="AE812" s="57" t="n">
        <f aca="false">IF(BR812=1,0,ROUNDUP(AD812/BQ812,0))</f>
        <v>0</v>
      </c>
      <c r="AF812" s="59" t="n">
        <f aca="false">IF(CD812&gt;0,CD812*MAX(1,AD812/V812),IF(BR812=1,IF(AD812&lt;=0,0,BS812*MAX(1,IF(G812&gt;0,AD812/G812,1))),IF(Q812&gt;0,AE812/Q812,0))/MAX(0.1,N(Parameter!$M$21)))</f>
        <v>0</v>
      </c>
      <c r="AG812" s="57" t="n">
        <f aca="false">AD812*F812</f>
        <v>0</v>
      </c>
      <c r="AH812" s="57" t="n">
        <f aca="false">ROUNDUP(MAX(I812/IF(BV812&gt;0,BV812,MAX(0.1,N(Cockpit!$C$6))),BY812)/BQ812,0)*BQ812</f>
        <v>5</v>
      </c>
      <c r="AI812" s="58" t="n">
        <f aca="false">IF(AF812&gt;0,I812/AF812,-1)</f>
        <v>-1</v>
      </c>
      <c r="AJ812" s="58" t="str">
        <f aca="false">IF(AND(OR(BU812="L1",BU812="L23"),AF812&gt;0),SUMIFS($AF$7:$AF$1576,$BU$7:$BU$1576,BU812,$AI$7:$AI$1576,"&gt;"&amp;AI812)+SUMIFS($AF$7:$AF$1576,$BU$7:$BU$1576,BU812,$AI$7:$AI$1576,AI812,$BO$7:$BO$1576,"&lt;="&amp;BO812),"")</f>
        <v/>
      </c>
      <c r="AK812" s="65" t="n">
        <f aca="false">IF(AJ812="",0,MAX(0,MIN(1,(IF(BU812="L1",Parameter!$E$5,Parameter!$E$6+Parameter!$E$7)-(AJ812-AF812))/AF812)))</f>
        <v>0</v>
      </c>
      <c r="AL812" s="57" t="n">
        <f aca="false">IF(LEFT(Cockpit!$I$5,1)="A",G812,IF(BW812=1,BX812,IF(LEFT(Cockpit!$I$5,1)="B",AP812,MAX(AP812,G812))))</f>
        <v>5</v>
      </c>
      <c r="AM812" s="57" t="n">
        <f aca="false">IF(BR812=1,0,ROUNDUP(AL812/BQ812,0))</f>
        <v>1</v>
      </c>
      <c r="AN812" s="59" t="n">
        <f aca="false">IF(CD812&gt;0,CD812*MAX(1,AL812/V812),IF(BR812=1,IF(AL812&lt;=0,0,BS812*MAX(1,IF(G812&gt;0,AL812/G812,1))),IF(Q812&gt;0,AM812/Q812,0))/MAX(0.1,N(Parameter!$M$21)))</f>
        <v>0.00505050505050505</v>
      </c>
      <c r="AO812" s="57" t="n">
        <f aca="false">AL812*F812</f>
        <v>33.75</v>
      </c>
      <c r="AP812" s="57" t="n">
        <f aca="false">ROUNDUP(MAX(I812/IF(BV812&gt;0,BV812,MAX(0.1,N(Cockpit!$I$6))),BY812)/BQ812,0)*BQ812</f>
        <v>5</v>
      </c>
      <c r="AQ812" s="58" t="n">
        <f aca="false">IF(AN812&gt;0,I812/AN812,-1)</f>
        <v>0</v>
      </c>
      <c r="AR812" s="58" t="n">
        <f aca="false">IF(AND(OR(BU812="L1",BU812="L23"),AN812&gt;0),SUMIFS($AN$7:$AN$1576,$BU$7:$BU$1576,BU812,$AQ$7:$AQ$1576,"&gt;"&amp;AQ812)+SUMIFS($AN$7:$AN$1576,$BU$7:$BU$1576,BU812,$AQ$7:$AQ$1576,AQ812,$BO$7:$BO$1576,"&lt;="&amp;BO812),"")</f>
        <v>130.742098988016</v>
      </c>
      <c r="AS812" s="65" t="n">
        <f aca="false">IF(AR812="",0,MAX(0,MIN(1,(IF(BU812="L1",Parameter!$E$5,Parameter!$E$6+Parameter!$E$7)-(AR812-AN812))/AN812)))</f>
        <v>0</v>
      </c>
      <c r="AT812" s="57" t="n">
        <f aca="false">IF(LEFT(Cockpit!$O$5,1)="A",G812,IF(BW812=1,BX812,IF(LEFT(Cockpit!$O$5,1)="B",AX812,MAX(AX812,G812))))</f>
        <v>5</v>
      </c>
      <c r="AU812" s="57" t="n">
        <f aca="false">IF(BR812=1,0,ROUNDUP(AT812/BQ812,0))</f>
        <v>1</v>
      </c>
      <c r="AV812" s="59" t="n">
        <f aca="false">IF(CD812&gt;0,CD812*MAX(1,AT812/V812),IF(BR812=1,IF(AT812&lt;=0,0,BS812*MAX(1,IF(G812&gt;0,AT812/G812,1))),IF(Q812&gt;0,AU812/Q812,0))/MAX(0.1,N(Parameter!$M$21)))</f>
        <v>0.00505050505050505</v>
      </c>
      <c r="AW812" s="57" t="n">
        <f aca="false">AT812*F812</f>
        <v>33.75</v>
      </c>
      <c r="AX812" s="57" t="n">
        <f aca="false">ROUNDUP(MAX(I812/IF(BV812&gt;0,BV812,MAX(0.1,N(Cockpit!$O$6))),BY812)/BQ812,0)*BQ812</f>
        <v>5</v>
      </c>
      <c r="AY812" s="58" t="n">
        <f aca="false">IF(AV812&gt;0,I812/AV812,-1)</f>
        <v>0</v>
      </c>
      <c r="AZ812" s="58" t="n">
        <f aca="false">IF(AND(OR(BU812="L1",BU812="L23"),AV812&gt;0),SUMIFS($AV$7:$AV$1576,$BU$7:$BU$1576,BU812,$AY$7:$AY$1576,"&gt;"&amp;AY812)+SUMIFS($AV$7:$AV$1576,$BU$7:$BU$1576,BU812,$AY$7:$AY$1576,AY812,$BO$7:$BO$1576,"&lt;="&amp;BO812),"")</f>
        <v>120.801649437566</v>
      </c>
      <c r="BA812" s="65" t="n">
        <f aca="false">IF(AZ812="",0,MAX(0,MIN(1,(IF(BU812="L1",Parameter!$E$5,Parameter!$E$6+Parameter!$E$7)-(AZ812-AV812))/AV812)))</f>
        <v>0</v>
      </c>
      <c r="BB812" s="55" t="str">
        <f aca="false">IF(AF812&lt;=0,"",IF(BU812="Aussen","Aussenlager",IF(BU812="-","Nicht im Lift",IF(AK812&gt;=1,"Lift",IF(AK812&lt;=0,"Aussenlager","teilweise")))))</f>
        <v/>
      </c>
      <c r="BC812" s="55" t="str">
        <f aca="false">IF(AN812&lt;=0,"",IF(BU812="Aussen","Aussenlager",IF(BU812="-","Nicht im Lift",IF(AS812&gt;=1,"Lift",IF(AS812&lt;=0,"Aussenlager","teilweise")))))</f>
        <v>Aussenlager</v>
      </c>
      <c r="BD812" s="55" t="str">
        <f aca="false">IF(AV812&lt;=0,"",IF(BU812="Aussen","Aussenlager",IF(BU812="-","Nicht im Lift",IF(BA812&gt;=1,"Lift",IF(BA812&lt;=0,"Aussenlager","teilweise")))))</f>
        <v>Aussenlager</v>
      </c>
      <c r="BE812" s="55" t="str">
        <f aca="false">IF(A812="","",IF(BN812=1,"Neu; ","")&amp;IF(AND(BN812=0,BI812&lt;0),"negativer Bestand (Export "&amp;BI812&amp;"); ","")&amp;IF(I812&lt;=0,"Kein Verbrauch; ","")&amp;IF(CD812&gt;0,"Lift "&amp;U812&amp;" lt. Liftbericht (Fach "&amp;V812&amp;" Stk); ",IF(BR812=1,"Lose – Fläche geschätzt; ",""))&amp;IF(G812&gt;AP812,"Überbestand "&amp;ROUND(G812-AP812,0)&amp;" Stk / CHF "&amp;ROUND((G812-AP812)*F812,0)&amp;"; ","")&amp;IF(AND(BW812=1,BX812&lt;BY812),"MAX &lt; MB+LG; ","")&amp;IF(AND(CC812&gt;0,CB812*10&gt;CC812),"zu hoch für Tablar; ","")&amp;IF(AND(BN812=0,OR(BW812=1,Y812&lt;&gt;"",S812&lt;&gt;"",T812&lt;&gt;"",Z812&lt;&gt;"")),"manuell übersteuert; ","")&amp;IF(AND(BR812=0,Q812=0),"Gebinde unbekannt / Stellmass fehlt; ","")&amp;IF(AND(BR812=0,N(T812)&lt;=0,N(P812)&lt;=0),"Menge pro Gebinde fehlt (Ist = 1 Gebinde); ","")&amp;BM812)</f>
        <v>negativer Bestand (Export -1); Kein Verbrauch; </v>
      </c>
      <c r="BF812" s="55"/>
      <c r="BG812" s="55"/>
      <c r="BH812" s="62"/>
      <c r="BI812" s="57" t="n">
        <v>-1</v>
      </c>
      <c r="BJ812" s="57" t="n">
        <v>5</v>
      </c>
      <c r="BK812" s="56" t="n">
        <v>-6.75</v>
      </c>
      <c r="BL812" s="57" t="n">
        <v>0</v>
      </c>
      <c r="BM812" s="55"/>
      <c r="BN812" s="60" t="n">
        <v>0</v>
      </c>
      <c r="BO812" s="60" t="n">
        <v>812</v>
      </c>
      <c r="BP812" s="55" t="str">
        <f aca="false">IF(S812&lt;&gt;"",UPPER(TRIM(S812)),IF(O812="","LOSE",O812))</f>
        <v>S22</v>
      </c>
      <c r="BQ812" s="57" t="n">
        <f aca="false">IF(BP812="LOSE",1,IF(N(T812)&gt;0,T812,IF(N(P812)&gt;0,P812,MAX(1,G812))))</f>
        <v>5</v>
      </c>
      <c r="BR812" s="60" t="n">
        <f aca="false">IF(BP812="LOSE",1,0)</f>
        <v>0</v>
      </c>
      <c r="BS812" s="59" t="n">
        <f aca="false">IF(BR812=0,0,IF(N(R812)&gt;0,R812,IFERROR(VLOOKUP(D812,Parameter!$A$35:$C$64,3,0)+0,0)))</f>
        <v>0</v>
      </c>
      <c r="BT812" s="55" t="n">
        <f aca="false">IF(Y812&lt;&gt;"",Y812,X812)</f>
        <v>3</v>
      </c>
      <c r="BU812" s="55" t="str">
        <f aca="false">IF(BT812=1,"L1",IF(OR(BT812=2,BT812=3),"L23",IF(BT812="Aussen","Aussen","-")))</f>
        <v>L23</v>
      </c>
      <c r="BV812" s="66" t="n">
        <f aca="false">IF(N(Z812)&gt;0,Z812,0)</f>
        <v>0</v>
      </c>
      <c r="BW812" s="60" t="n">
        <f aca="false">IF(ISNUMBER(AC812),1,0)</f>
        <v>0</v>
      </c>
      <c r="BX812" s="57" t="n">
        <f aca="false">N(AC812)</f>
        <v>0</v>
      </c>
      <c r="BY812" s="57" t="n">
        <f aca="false">N(L812)+N(M812)</f>
        <v>1</v>
      </c>
      <c r="BZ812" s="57" t="n">
        <f aca="false">ROUNDUP(G812/BQ812,0)</f>
        <v>0</v>
      </c>
      <c r="CA812" s="57" t="n">
        <f aca="false">ROUNDUP(BX812/BQ812,0)</f>
        <v>0</v>
      </c>
      <c r="CB812" s="60" t="n">
        <f aca="false">IF(BR812=1,0,IFERROR(VLOOKUP(BP812,'Gebinde-Kategorie'!$A$5:$M$45,5,0)+0,0))</f>
        <v>8</v>
      </c>
      <c r="CC812" s="60" t="n">
        <f aca="false">IFERROR(IF(OR(BT812=1,BT812=2,BT812=3),N(INDEX(Parameter!$I$5:$I$7,BT812)),0),0)</f>
        <v>0</v>
      </c>
      <c r="CD812" s="59" t="n">
        <f aca="false">IF(AND(Parameter!$B$21="Ja",ISNUMBER(U812),N(V812)&gt;0),IFERROR(N(INDEX(Parameter!$L$5:$L$7,U812))*INDEX(Parameter!$E$5:$E$7,U812)*V812/SUMIFS($V$7:$V$1576,$U$7:$U$1576,U812),0),0)</f>
        <v>0</v>
      </c>
    </row>
    <row r="813" customFormat="false" ht="15" hidden="false" customHeight="false" outlineLevel="0" collapsed="false">
      <c r="A813" s="55" t="s">
        <v>1561</v>
      </c>
      <c r="B813" s="55" t="s">
        <v>1011</v>
      </c>
      <c r="C813" s="55" t="s">
        <v>160</v>
      </c>
      <c r="D813" s="55" t="s">
        <v>178</v>
      </c>
      <c r="E813" s="55" t="s">
        <v>210</v>
      </c>
      <c r="F813" s="56" t="n">
        <v>0.14</v>
      </c>
      <c r="G813" s="57" t="n">
        <f aca="false">MAX(0,IF(AND(Parameter!$B$21="Ja",ISNUMBER(W813)),W813,IF(Parameter!$B$20="Jahresanfang 2025 + Export",BJ813+BI813,BI813)))</f>
        <v>0</v>
      </c>
      <c r="H813" s="57" t="n">
        <f aca="false">G813*F813</f>
        <v>0</v>
      </c>
      <c r="I813" s="57" t="n">
        <f aca="false">BL813*Parameter!$B$18</f>
        <v>38</v>
      </c>
      <c r="J813" s="58" t="n">
        <v>335</v>
      </c>
      <c r="K813" s="59" t="n">
        <v>0.113432835820896</v>
      </c>
      <c r="L813" s="57" t="n">
        <v>2</v>
      </c>
      <c r="M813" s="57" t="n">
        <v>40</v>
      </c>
      <c r="N813" s="60" t="n">
        <v>21</v>
      </c>
      <c r="O813" s="55" t="s">
        <v>465</v>
      </c>
      <c r="P813" s="57" t="n">
        <v>454</v>
      </c>
      <c r="Q813" s="60" t="n">
        <f aca="false">IF(BR813=1,0,IFERROR(VLOOKUP(BP813,'Gebinde-Kategorie'!$A$5:$M$45,13,0)+0,0))</f>
        <v>66</v>
      </c>
      <c r="R813" s="61"/>
      <c r="S813" s="62"/>
      <c r="T813" s="62"/>
      <c r="U813" s="55"/>
      <c r="V813" s="57"/>
      <c r="W813" s="57"/>
      <c r="X813" s="55" t="n">
        <f aca="false">IF(A813="","",IF(AND(Parameter!$B$21="Ja",ISNUMBER(U813)),U813,IF(IFERROR(VLOOKUP(D813,Parameter!$A$35:$C$64,2,0),"Nein")="2+3",IF(ISNUMBER(SEARCH("grosser Artikel",BM813)),2,IFERROR(VLOOKUP(BP813,Parameter!$F$35:$G$64,2,0),2)),IF(OR(IFERROR(VLOOKUP(D813,Parameter!$A$35:$C$64,2,0),"Nein")="Nein",IFERROR(VLOOKUP(D813,Parameter!$A$35:$C$64,2,0),"Nein")=""),"-",VLOOKUP(D813,Parameter!$A$35:$C$64,2,0)))))</f>
        <v>3</v>
      </c>
      <c r="Y813" s="62"/>
      <c r="Z813" s="63"/>
      <c r="AA813" s="57" t="n">
        <f aca="false">AP813</f>
        <v>454</v>
      </c>
      <c r="AB813" s="57" t="n">
        <f aca="false">MAX(AP813,G813)</f>
        <v>454</v>
      </c>
      <c r="AC813" s="64"/>
      <c r="AD813" s="57" t="n">
        <f aca="false">IF(LEFT(Cockpit!$C$5,1)="A",G813,IF(BW813=1,BX813,IF(LEFT(Cockpit!$C$5,1)="B",AH813,MAX(AH813,G813))))</f>
        <v>0</v>
      </c>
      <c r="AE813" s="57" t="n">
        <f aca="false">IF(BR813=1,0,ROUNDUP(AD813/BQ813,0))</f>
        <v>0</v>
      </c>
      <c r="AF813" s="59" t="n">
        <f aca="false">IF(CD813&gt;0,CD813*MAX(1,AD813/V813),IF(BR813=1,IF(AD813&lt;=0,0,BS813*MAX(1,IF(G813&gt;0,AD813/G813,1))),IF(Q813&gt;0,AE813/Q813,0))/MAX(0.1,N(Parameter!$M$21)))</f>
        <v>0</v>
      </c>
      <c r="AG813" s="57" t="n">
        <f aca="false">AD813*F813</f>
        <v>0</v>
      </c>
      <c r="AH813" s="57" t="n">
        <f aca="false">ROUNDUP(MAX(I813/IF(BV813&gt;0,BV813,MAX(0.1,N(Cockpit!$C$6))),BY813)/BQ813,0)*BQ813</f>
        <v>454</v>
      </c>
      <c r="AI813" s="58" t="n">
        <f aca="false">IF(AF813&gt;0,I813/AF813,-1)</f>
        <v>-1</v>
      </c>
      <c r="AJ813" s="58" t="str">
        <f aca="false">IF(AND(OR(BU813="L1",BU813="L23"),AF813&gt;0),SUMIFS($AF$7:$AF$1576,$BU$7:$BU$1576,BU813,$AI$7:$AI$1576,"&gt;"&amp;AI813)+SUMIFS($AF$7:$AF$1576,$BU$7:$BU$1576,BU813,$AI$7:$AI$1576,AI813,$BO$7:$BO$1576,"&lt;="&amp;BO813),"")</f>
        <v/>
      </c>
      <c r="AK813" s="65" t="n">
        <f aca="false">IF(AJ813="",0,MAX(0,MIN(1,(IF(BU813="L1",Parameter!$E$5,Parameter!$E$6+Parameter!$E$7)-(AJ813-AF813))/AF813)))</f>
        <v>0</v>
      </c>
      <c r="AL813" s="57" t="n">
        <f aca="false">IF(LEFT(Cockpit!$I$5,1)="A",G813,IF(BW813=1,BX813,IF(LEFT(Cockpit!$I$5,1)="B",AP813,MAX(AP813,G813))))</f>
        <v>454</v>
      </c>
      <c r="AM813" s="57" t="n">
        <f aca="false">IF(BR813=1,0,ROUNDUP(AL813/BQ813,0))</f>
        <v>1</v>
      </c>
      <c r="AN813" s="59" t="n">
        <f aca="false">IF(CD813&gt;0,CD813*MAX(1,AL813/V813),IF(BR813=1,IF(AL813&lt;=0,0,BS813*MAX(1,IF(G813&gt;0,AL813/G813,1))),IF(Q813&gt;0,AM813/Q813,0))/MAX(0.1,N(Parameter!$M$21)))</f>
        <v>0.0151515151515152</v>
      </c>
      <c r="AO813" s="57" t="n">
        <f aca="false">AL813*F813</f>
        <v>63.56</v>
      </c>
      <c r="AP813" s="57" t="n">
        <f aca="false">ROUNDUP(MAX(I813/IF(BV813&gt;0,BV813,MAX(0.1,N(Cockpit!$I$6))),BY813)/BQ813,0)*BQ813</f>
        <v>454</v>
      </c>
      <c r="AQ813" s="58" t="n">
        <f aca="false">IF(AN813&gt;0,I813/AN813,-1)</f>
        <v>2508</v>
      </c>
      <c r="AR813" s="58" t="n">
        <f aca="false">IF(AND(OR(BU813="L1",BU813="L23"),AN813&gt;0),SUMIFS($AN$7:$AN$1576,$BU$7:$BU$1576,BU813,$AQ$7:$AQ$1576,"&gt;"&amp;AQ813)+SUMIFS($AN$7:$AN$1576,$BU$7:$BU$1576,BU813,$AQ$7:$AQ$1576,AQ813,$BO$7:$BO$1576,"&lt;="&amp;BO813),"")</f>
        <v>15.4202029978229</v>
      </c>
      <c r="AS813" s="65" t="n">
        <f aca="false">IF(AR813="",0,MAX(0,MIN(1,(IF(BU813="L1",Parameter!$E$5,Parameter!$E$6+Parameter!$E$7)-(AR813-AN813))/AN813)))</f>
        <v>1</v>
      </c>
      <c r="AT813" s="57" t="n">
        <f aca="false">IF(LEFT(Cockpit!$O$5,1)="A",G813,IF(BW813=1,BX813,IF(LEFT(Cockpit!$O$5,1)="B",AX813,MAX(AX813,G813))))</f>
        <v>454</v>
      </c>
      <c r="AU813" s="57" t="n">
        <f aca="false">IF(BR813=1,0,ROUNDUP(AT813/BQ813,0))</f>
        <v>1</v>
      </c>
      <c r="AV813" s="59" t="n">
        <f aca="false">IF(CD813&gt;0,CD813*MAX(1,AT813/V813),IF(BR813=1,IF(AT813&lt;=0,0,BS813*MAX(1,IF(G813&gt;0,AT813/G813,1))),IF(Q813&gt;0,AU813/Q813,0))/MAX(0.1,N(Parameter!$M$21)))</f>
        <v>0.0151515151515152</v>
      </c>
      <c r="AW813" s="57" t="n">
        <f aca="false">AT813*F813</f>
        <v>63.56</v>
      </c>
      <c r="AX813" s="57" t="n">
        <f aca="false">ROUNDUP(MAX(I813/IF(BV813&gt;0,BV813,MAX(0.1,N(Cockpit!$O$6))),BY813)/BQ813,0)*BQ813</f>
        <v>454</v>
      </c>
      <c r="AY813" s="58" t="n">
        <f aca="false">IF(AV813&gt;0,I813/AV813,-1)</f>
        <v>2508</v>
      </c>
      <c r="AZ813" s="58" t="n">
        <f aca="false">IF(AND(OR(BU813="L1",BU813="L23"),AV813&gt;0),SUMIFS($AV$7:$AV$1576,$BU$7:$BU$1576,BU813,$AY$7:$AY$1576,"&gt;"&amp;AY813)+SUMIFS($AV$7:$AV$1576,$BU$7:$BU$1576,BU813,$AY$7:$AY$1576,AY813,$BO$7:$BO$1576,"&lt;="&amp;BO813),"")</f>
        <v>14.2243988020187</v>
      </c>
      <c r="BA813" s="65" t="n">
        <f aca="false">IF(AZ813="",0,MAX(0,MIN(1,(IF(BU813="L1",Parameter!$E$5,Parameter!$E$6+Parameter!$E$7)-(AZ813-AV813))/AV813)))</f>
        <v>1</v>
      </c>
      <c r="BB813" s="55" t="str">
        <f aca="false">IF(AF813&lt;=0,"",IF(BU813="Aussen","Aussenlager",IF(BU813="-","Nicht im Lift",IF(AK813&gt;=1,"Lift",IF(AK813&lt;=0,"Aussenlager","teilweise")))))</f>
        <v/>
      </c>
      <c r="BC813" s="55" t="str">
        <f aca="false">IF(AN813&lt;=0,"",IF(BU813="Aussen","Aussenlager",IF(BU813="-","Nicht im Lift",IF(AS813&gt;=1,"Lift",IF(AS813&lt;=0,"Aussenlager","teilweise")))))</f>
        <v>Lift</v>
      </c>
      <c r="BD813" s="55" t="str">
        <f aca="false">IF(AV813&lt;=0,"",IF(BU813="Aussen","Aussenlager",IF(BU813="-","Nicht im Lift",IF(BA813&gt;=1,"Lift",IF(BA813&lt;=0,"Aussenlager","teilweise")))))</f>
        <v>Lift</v>
      </c>
      <c r="BE813" s="55" t="str">
        <f aca="false">IF(A813="","",IF(BN813=1,"Neu; ","")&amp;IF(AND(BN813=0,BI813&lt;0),"negativer Bestand (Export "&amp;BI813&amp;"); ","")&amp;IF(I813&lt;=0,"Kein Verbrauch; ","")&amp;IF(CD813&gt;0,"Lift "&amp;U813&amp;" lt. Liftbericht (Fach "&amp;V813&amp;" Stk); ",IF(BR813=1,"Lose – Fläche geschätzt; ",""))&amp;IF(G813&gt;AP813,"Überbestand "&amp;ROUND(G813-AP813,0)&amp;" Stk / CHF "&amp;ROUND((G813-AP813)*F813,0)&amp;"; ","")&amp;IF(AND(BW813=1,BX813&lt;BY813),"MAX &lt; MB+LG; ","")&amp;IF(AND(CC813&gt;0,CB813*10&gt;CC813),"zu hoch für Tablar; ","")&amp;IF(AND(BN813=0,OR(BW813=1,Y813&lt;&gt;"",S813&lt;&gt;"",T813&lt;&gt;"",Z813&lt;&gt;"")),"manuell übersteuert; ","")&amp;IF(AND(BR813=0,Q813=0),"Gebinde unbekannt / Stellmass fehlt; ","")&amp;IF(AND(BR813=0,N(T813)&lt;=0,N(P813)&lt;=0),"Menge pro Gebinde fehlt (Ist = 1 Gebinde); ","")&amp;BM813)</f>
        <v>negativer Bestand (Export -51); Überbestand</v>
      </c>
      <c r="BF813" s="55"/>
      <c r="BG813" s="55"/>
      <c r="BH813" s="62"/>
      <c r="BI813" s="57" t="n">
        <v>-51</v>
      </c>
      <c r="BJ813" s="57" t="n">
        <v>354</v>
      </c>
      <c r="BK813" s="56" t="n">
        <v>-7.14</v>
      </c>
      <c r="BL813" s="57" t="n">
        <v>38</v>
      </c>
      <c r="BM813" s="55" t="s">
        <v>382</v>
      </c>
      <c r="BN813" s="60" t="n">
        <v>0</v>
      </c>
      <c r="BO813" s="60" t="n">
        <v>813</v>
      </c>
      <c r="BP813" s="55" t="str">
        <f aca="false">IF(S813&lt;&gt;"",UPPER(TRIM(S813)),IF(O813="","LOSE",O813))</f>
        <v>S33</v>
      </c>
      <c r="BQ813" s="57" t="n">
        <f aca="false">IF(BP813="LOSE",1,IF(N(T813)&gt;0,T813,IF(N(P813)&gt;0,P813,MAX(1,G813))))</f>
        <v>454</v>
      </c>
      <c r="BR813" s="60" t="n">
        <f aca="false">IF(BP813="LOSE",1,0)</f>
        <v>0</v>
      </c>
      <c r="BS813" s="59" t="n">
        <f aca="false">IF(BR813=0,0,IF(N(R813)&gt;0,R813,IFERROR(VLOOKUP(D813,Parameter!$A$35:$C$64,3,0)+0,0)))</f>
        <v>0</v>
      </c>
      <c r="BT813" s="55" t="n">
        <f aca="false">IF(Y813&lt;&gt;"",Y813,X813)</f>
        <v>3</v>
      </c>
      <c r="BU813" s="55" t="str">
        <f aca="false">IF(BT813=1,"L1",IF(OR(BT813=2,BT813=3),"L23",IF(BT813="Aussen","Aussen","-")))</f>
        <v>L23</v>
      </c>
      <c r="BV813" s="66" t="n">
        <f aca="false">IF(N(Z813)&gt;0,Z813,0)</f>
        <v>0</v>
      </c>
      <c r="BW813" s="60" t="n">
        <f aca="false">IF(ISNUMBER(AC813),1,0)</f>
        <v>0</v>
      </c>
      <c r="BX813" s="57" t="n">
        <f aca="false">N(AC813)</f>
        <v>0</v>
      </c>
      <c r="BY813" s="57" t="n">
        <f aca="false">N(L813)+N(M813)</f>
        <v>42</v>
      </c>
      <c r="BZ813" s="57" t="n">
        <f aca="false">ROUNDUP(G813/BQ813,0)</f>
        <v>0</v>
      </c>
      <c r="CA813" s="57" t="n">
        <f aca="false">ROUNDUP(BX813/BQ813,0)</f>
        <v>0</v>
      </c>
      <c r="CB813" s="60" t="n">
        <f aca="false">IF(BR813=1,0,IFERROR(VLOOKUP(BP813,'Gebinde-Kategorie'!$A$5:$M$45,5,0)+0,0))</f>
        <v>8</v>
      </c>
      <c r="CC813" s="60" t="n">
        <f aca="false">IFERROR(IF(OR(BT813=1,BT813=2,BT813=3),N(INDEX(Parameter!$I$5:$I$7,BT813)),0),0)</f>
        <v>0</v>
      </c>
      <c r="CD813" s="59" t="n">
        <f aca="false">IF(AND(Parameter!$B$21="Ja",ISNUMBER(U813),N(V813)&gt;0),IFERROR(N(INDEX(Parameter!$L$5:$L$7,U813))*INDEX(Parameter!$E$5:$E$7,U813)*V813/SUMIFS($V$7:$V$1576,$U$7:$U$1576,U813),0),0)</f>
        <v>0</v>
      </c>
    </row>
    <row r="814" customFormat="false" ht="15" hidden="false" customHeight="false" outlineLevel="0" collapsed="false">
      <c r="A814" s="55" t="s">
        <v>1562</v>
      </c>
      <c r="B814" s="55" t="s">
        <v>713</v>
      </c>
      <c r="C814" s="55" t="s">
        <v>160</v>
      </c>
      <c r="D814" s="55" t="s">
        <v>178</v>
      </c>
      <c r="E814" s="55" t="s">
        <v>210</v>
      </c>
      <c r="F814" s="56" t="n">
        <v>10.42</v>
      </c>
      <c r="G814" s="57" t="n">
        <f aca="false">MAX(0,IF(AND(Parameter!$B$21="Ja",ISNUMBER(W814)),W814,IF(Parameter!$B$20="Jahresanfang 2025 + Export",BJ814+BI814,BI814)))</f>
        <v>0</v>
      </c>
      <c r="H814" s="57" t="n">
        <f aca="false">G814*F814</f>
        <v>0</v>
      </c>
      <c r="I814" s="57" t="n">
        <f aca="false">BL814*Parameter!$B$18</f>
        <v>8</v>
      </c>
      <c r="J814" s="58" t="n">
        <v>8.5</v>
      </c>
      <c r="K814" s="59" t="n">
        <v>0.941176470588235</v>
      </c>
      <c r="L814" s="57" t="n">
        <v>0</v>
      </c>
      <c r="M814" s="57" t="n">
        <v>10</v>
      </c>
      <c r="N814" s="60" t="n">
        <v>14</v>
      </c>
      <c r="O814" s="55" t="s">
        <v>416</v>
      </c>
      <c r="P814" s="57" t="n">
        <v>15</v>
      </c>
      <c r="Q814" s="60" t="n">
        <f aca="false">IF(BR814=1,0,IFERROR(VLOOKUP(BP814,'Gebinde-Kategorie'!$A$5:$M$45,13,0)+0,0))</f>
        <v>198</v>
      </c>
      <c r="R814" s="61"/>
      <c r="S814" s="62"/>
      <c r="T814" s="62"/>
      <c r="U814" s="55"/>
      <c r="V814" s="57"/>
      <c r="W814" s="57"/>
      <c r="X814" s="55" t="n">
        <f aca="false">IF(A814="","",IF(AND(Parameter!$B$21="Ja",ISNUMBER(U814)),U814,IF(IFERROR(VLOOKUP(D814,Parameter!$A$35:$C$64,2,0),"Nein")="2+3",IF(ISNUMBER(SEARCH("grosser Artikel",BM814)),2,IFERROR(VLOOKUP(BP814,Parameter!$F$35:$G$64,2,0),2)),IF(OR(IFERROR(VLOOKUP(D814,Parameter!$A$35:$C$64,2,0),"Nein")="Nein",IFERROR(VLOOKUP(D814,Parameter!$A$35:$C$64,2,0),"Nein")=""),"-",VLOOKUP(D814,Parameter!$A$35:$C$64,2,0)))))</f>
        <v>3</v>
      </c>
      <c r="Y814" s="62"/>
      <c r="Z814" s="63"/>
      <c r="AA814" s="57" t="n">
        <f aca="false">AP814</f>
        <v>15</v>
      </c>
      <c r="AB814" s="57" t="n">
        <f aca="false">MAX(AP814,G814)</f>
        <v>15</v>
      </c>
      <c r="AC814" s="64"/>
      <c r="AD814" s="57" t="n">
        <f aca="false">IF(LEFT(Cockpit!$C$5,1)="A",G814,IF(BW814=1,BX814,IF(LEFT(Cockpit!$C$5,1)="B",AH814,MAX(AH814,G814))))</f>
        <v>0</v>
      </c>
      <c r="AE814" s="57" t="n">
        <f aca="false">IF(BR814=1,0,ROUNDUP(AD814/BQ814,0))</f>
        <v>0</v>
      </c>
      <c r="AF814" s="59" t="n">
        <f aca="false">IF(CD814&gt;0,CD814*MAX(1,AD814/V814),IF(BR814=1,IF(AD814&lt;=0,0,BS814*MAX(1,IF(G814&gt;0,AD814/G814,1))),IF(Q814&gt;0,AE814/Q814,0))/MAX(0.1,N(Parameter!$M$21)))</f>
        <v>0</v>
      </c>
      <c r="AG814" s="57" t="n">
        <f aca="false">AD814*F814</f>
        <v>0</v>
      </c>
      <c r="AH814" s="57" t="n">
        <f aca="false">ROUNDUP(MAX(I814/IF(BV814&gt;0,BV814,MAX(0.1,N(Cockpit!$C$6))),BY814)/BQ814,0)*BQ814</f>
        <v>15</v>
      </c>
      <c r="AI814" s="58" t="n">
        <f aca="false">IF(AF814&gt;0,I814/AF814,-1)</f>
        <v>-1</v>
      </c>
      <c r="AJ814" s="58" t="str">
        <f aca="false">IF(AND(OR(BU814="L1",BU814="L23"),AF814&gt;0),SUMIFS($AF$7:$AF$1576,$BU$7:$BU$1576,BU814,$AI$7:$AI$1576,"&gt;"&amp;AI814)+SUMIFS($AF$7:$AF$1576,$BU$7:$BU$1576,BU814,$AI$7:$AI$1576,AI814,$BO$7:$BO$1576,"&lt;="&amp;BO814),"")</f>
        <v/>
      </c>
      <c r="AK814" s="65" t="n">
        <f aca="false">IF(AJ814="",0,MAX(0,MIN(1,(IF(BU814="L1",Parameter!$E$5,Parameter!$E$6+Parameter!$E$7)-(AJ814-AF814))/AF814)))</f>
        <v>0</v>
      </c>
      <c r="AL814" s="57" t="n">
        <f aca="false">IF(LEFT(Cockpit!$I$5,1)="A",G814,IF(BW814=1,BX814,IF(LEFT(Cockpit!$I$5,1)="B",AP814,MAX(AP814,G814))))</f>
        <v>15</v>
      </c>
      <c r="AM814" s="57" t="n">
        <f aca="false">IF(BR814=1,0,ROUNDUP(AL814/BQ814,0))</f>
        <v>1</v>
      </c>
      <c r="AN814" s="59" t="n">
        <f aca="false">IF(CD814&gt;0,CD814*MAX(1,AL814/V814),IF(BR814=1,IF(AL814&lt;=0,0,BS814*MAX(1,IF(G814&gt;0,AL814/G814,1))),IF(Q814&gt;0,AM814/Q814,0))/MAX(0.1,N(Parameter!$M$21)))</f>
        <v>0.00505050505050505</v>
      </c>
      <c r="AO814" s="57" t="n">
        <f aca="false">AL814*F814</f>
        <v>156.3</v>
      </c>
      <c r="AP814" s="57" t="n">
        <f aca="false">ROUNDUP(MAX(I814/IF(BV814&gt;0,BV814,MAX(0.1,N(Cockpit!$I$6))),BY814)/BQ814,0)*BQ814</f>
        <v>15</v>
      </c>
      <c r="AQ814" s="58" t="n">
        <f aca="false">IF(AN814&gt;0,I814/AN814,-1)</f>
        <v>1584</v>
      </c>
      <c r="AR814" s="58" t="n">
        <f aca="false">IF(AND(OR(BU814="L1",BU814="L23"),AN814&gt;0),SUMIFS($AN$7:$AN$1576,$BU$7:$BU$1576,BU814,$AQ$7:$AQ$1576,"&gt;"&amp;AQ814)+SUMIFS($AN$7:$AN$1576,$BU$7:$BU$1576,BU814,$AQ$7:$AQ$1576,AQ814,$BO$7:$BO$1576,"&lt;="&amp;BO814),"")</f>
        <v>18.878558458787</v>
      </c>
      <c r="AS814" s="65" t="n">
        <f aca="false">IF(AR814="",0,MAX(0,MIN(1,(IF(BU814="L1",Parameter!$E$5,Parameter!$E$6+Parameter!$E$7)-(AR814-AN814))/AN814)))</f>
        <v>1</v>
      </c>
      <c r="AT814" s="57" t="n">
        <f aca="false">IF(LEFT(Cockpit!$O$5,1)="A",G814,IF(BW814=1,BX814,IF(LEFT(Cockpit!$O$5,1)="B",AX814,MAX(AX814,G814))))</f>
        <v>15</v>
      </c>
      <c r="AU814" s="57" t="n">
        <f aca="false">IF(BR814=1,0,ROUNDUP(AT814/BQ814,0))</f>
        <v>1</v>
      </c>
      <c r="AV814" s="59" t="n">
        <f aca="false">IF(CD814&gt;0,CD814*MAX(1,AT814/V814),IF(BR814=1,IF(AT814&lt;=0,0,BS814*MAX(1,IF(G814&gt;0,AT814/G814,1))),IF(Q814&gt;0,AU814/Q814,0))/MAX(0.1,N(Parameter!$M$21)))</f>
        <v>0.00505050505050505</v>
      </c>
      <c r="AW814" s="57" t="n">
        <f aca="false">AT814*F814</f>
        <v>156.3</v>
      </c>
      <c r="AX814" s="57" t="n">
        <f aca="false">ROUNDUP(MAX(I814/IF(BV814&gt;0,BV814,MAX(0.1,N(Cockpit!$O$6))),BY814)/BQ814,0)*BQ814</f>
        <v>15</v>
      </c>
      <c r="AY814" s="58" t="n">
        <f aca="false">IF(AV814&gt;0,I814/AV814,-1)</f>
        <v>1584</v>
      </c>
      <c r="AZ814" s="58" t="n">
        <f aca="false">IF(AND(OR(BU814="L1",BU814="L23"),AV814&gt;0),SUMIFS($AV$7:$AV$1576,$BU$7:$BU$1576,BU814,$AY$7:$AY$1576,"&gt;"&amp;AY814)+SUMIFS($AV$7:$AV$1576,$BU$7:$BU$1576,BU814,$AY$7:$AY$1576,AY814,$BO$7:$BO$1576,"&lt;="&amp;BO814),"")</f>
        <v>17.8558311860597</v>
      </c>
      <c r="BA814" s="65" t="n">
        <f aca="false">IF(AZ814="",0,MAX(0,MIN(1,(IF(BU814="L1",Parameter!$E$5,Parameter!$E$6+Parameter!$E$7)-(AZ814-AV814))/AV814)))</f>
        <v>1</v>
      </c>
      <c r="BB814" s="55" t="str">
        <f aca="false">IF(AF814&lt;=0,"",IF(BU814="Aussen","Aussenlager",IF(BU814="-","Nicht im Lift",IF(AK814&gt;=1,"Lift",IF(AK814&lt;=0,"Aussenlager","teilweise")))))</f>
        <v/>
      </c>
      <c r="BC814" s="55" t="str">
        <f aca="false">IF(AN814&lt;=0,"",IF(BU814="Aussen","Aussenlager",IF(BU814="-","Nicht im Lift",IF(AS814&gt;=1,"Lift",IF(AS814&lt;=0,"Aussenlager","teilweise")))))</f>
        <v>Lift</v>
      </c>
      <c r="BD814" s="55" t="str">
        <f aca="false">IF(AV814&lt;=0,"",IF(BU814="Aussen","Aussenlager",IF(BU814="-","Nicht im Lift",IF(BA814&gt;=1,"Lift",IF(BA814&lt;=0,"Aussenlager","teilweise")))))</f>
        <v>Lift</v>
      </c>
      <c r="BE814" s="55" t="str">
        <f aca="false">IF(A814="","",IF(BN814=1,"Neu; ","")&amp;IF(AND(BN814=0,BI814&lt;0),"negativer Bestand (Export "&amp;BI814&amp;"); ","")&amp;IF(I814&lt;=0,"Kein Verbrauch; ","")&amp;IF(CD814&gt;0,"Lift "&amp;U814&amp;" lt. Liftbericht (Fach "&amp;V814&amp;" Stk); ",IF(BR814=1,"Lose – Fläche geschätzt; ",""))&amp;IF(G814&gt;AP814,"Überbestand "&amp;ROUND(G814-AP814,0)&amp;" Stk / CHF "&amp;ROUND((G814-AP814)*F814,0)&amp;"; ","")&amp;IF(AND(BW814=1,BX814&lt;BY814),"MAX &lt; MB+LG; ","")&amp;IF(AND(CC814&gt;0,CB814*10&gt;CC814),"zu hoch für Tablar; ","")&amp;IF(AND(BN814=0,OR(BW814=1,Y814&lt;&gt;"",S814&lt;&gt;"",T814&lt;&gt;"",Z814&lt;&gt;"")),"manuell übersteuert; ","")&amp;IF(AND(BR814=0,Q814=0),"Gebinde unbekannt / Stellmass fehlt; ","")&amp;IF(AND(BR814=0,N(T814)&lt;=0,N(P814)&lt;=0),"Menge pro Gebinde fehlt (Ist = 1 Gebinde); ","")&amp;BM814)</f>
        <v/>
      </c>
      <c r="BF814" s="55"/>
      <c r="BG814" s="55"/>
      <c r="BH814" s="62"/>
      <c r="BI814" s="57" t="n">
        <v>0</v>
      </c>
      <c r="BJ814" s="57" t="n">
        <v>8</v>
      </c>
      <c r="BK814" s="56" t="n">
        <v>-7.36000000000002</v>
      </c>
      <c r="BL814" s="57" t="n">
        <v>8</v>
      </c>
      <c r="BM814" s="55"/>
      <c r="BN814" s="60" t="n">
        <v>0</v>
      </c>
      <c r="BO814" s="60" t="n">
        <v>814</v>
      </c>
      <c r="BP814" s="55" t="str">
        <f aca="false">IF(S814&lt;&gt;"",UPPER(TRIM(S814)),IF(O814="","LOSE",O814))</f>
        <v>S22</v>
      </c>
      <c r="BQ814" s="57" t="n">
        <f aca="false">IF(BP814="LOSE",1,IF(N(T814)&gt;0,T814,IF(N(P814)&gt;0,P814,MAX(1,G814))))</f>
        <v>15</v>
      </c>
      <c r="BR814" s="60" t="n">
        <f aca="false">IF(BP814="LOSE",1,0)</f>
        <v>0</v>
      </c>
      <c r="BS814" s="59" t="n">
        <f aca="false">IF(BR814=0,0,IF(N(R814)&gt;0,R814,IFERROR(VLOOKUP(D814,Parameter!$A$35:$C$64,3,0)+0,0)))</f>
        <v>0</v>
      </c>
      <c r="BT814" s="55" t="n">
        <f aca="false">IF(Y814&lt;&gt;"",Y814,X814)</f>
        <v>3</v>
      </c>
      <c r="BU814" s="55" t="str">
        <f aca="false">IF(BT814=1,"L1",IF(OR(BT814=2,BT814=3),"L23",IF(BT814="Aussen","Aussen","-")))</f>
        <v>L23</v>
      </c>
      <c r="BV814" s="66" t="n">
        <f aca="false">IF(N(Z814)&gt;0,Z814,0)</f>
        <v>0</v>
      </c>
      <c r="BW814" s="60" t="n">
        <f aca="false">IF(ISNUMBER(AC814),1,0)</f>
        <v>0</v>
      </c>
      <c r="BX814" s="57" t="n">
        <f aca="false">N(AC814)</f>
        <v>0</v>
      </c>
      <c r="BY814" s="57" t="n">
        <f aca="false">N(L814)+N(M814)</f>
        <v>10</v>
      </c>
      <c r="BZ814" s="57" t="n">
        <f aca="false">ROUNDUP(G814/BQ814,0)</f>
        <v>0</v>
      </c>
      <c r="CA814" s="57" t="n">
        <f aca="false">ROUNDUP(BX814/BQ814,0)</f>
        <v>0</v>
      </c>
      <c r="CB814" s="60" t="n">
        <f aca="false">IF(BR814=1,0,IFERROR(VLOOKUP(BP814,'Gebinde-Kategorie'!$A$5:$M$45,5,0)+0,0))</f>
        <v>8</v>
      </c>
      <c r="CC814" s="60" t="n">
        <f aca="false">IFERROR(IF(OR(BT814=1,BT814=2,BT814=3),N(INDEX(Parameter!$I$5:$I$7,BT814)),0),0)</f>
        <v>0</v>
      </c>
      <c r="CD814" s="59" t="n">
        <f aca="false">IF(AND(Parameter!$B$21="Ja",ISNUMBER(U814),N(V814)&gt;0),IFERROR(N(INDEX(Parameter!$L$5:$L$7,U814))*INDEX(Parameter!$E$5:$E$7,U814)*V814/SUMIFS($V$7:$V$1576,$U$7:$U$1576,U814),0),0)</f>
        <v>0</v>
      </c>
    </row>
    <row r="815" customFormat="false" ht="15" hidden="false" customHeight="false" outlineLevel="0" collapsed="false">
      <c r="A815" s="55" t="s">
        <v>1563</v>
      </c>
      <c r="B815" s="55" t="s">
        <v>1255</v>
      </c>
      <c r="C815" s="55" t="s">
        <v>160</v>
      </c>
      <c r="D815" s="55" t="s">
        <v>178</v>
      </c>
      <c r="E815" s="55" t="s">
        <v>210</v>
      </c>
      <c r="F815" s="56" t="n">
        <v>0.04</v>
      </c>
      <c r="G815" s="57" t="n">
        <f aca="false">MAX(0,IF(AND(Parameter!$B$21="Ja",ISNUMBER(W815)),W815,IF(Parameter!$B$20="Jahresanfang 2025 + Export",BJ815+BI815,BI815)))</f>
        <v>0</v>
      </c>
      <c r="H815" s="57" t="n">
        <f aca="false">G815*F815</f>
        <v>0</v>
      </c>
      <c r="I815" s="57" t="n">
        <f aca="false">BL815*Parameter!$B$18</f>
        <v>263</v>
      </c>
      <c r="J815" s="58" t="n">
        <v>852</v>
      </c>
      <c r="K815" s="59" t="n">
        <v>0.30868544600939</v>
      </c>
      <c r="L815" s="57" t="n">
        <v>15</v>
      </c>
      <c r="M815" s="57" t="n">
        <v>265</v>
      </c>
      <c r="N815" s="60" t="n">
        <v>21</v>
      </c>
      <c r="O815" s="55" t="s">
        <v>465</v>
      </c>
      <c r="P815" s="57" t="n">
        <v>1885</v>
      </c>
      <c r="Q815" s="60" t="n">
        <f aca="false">IF(BR815=1,0,IFERROR(VLOOKUP(BP815,'Gebinde-Kategorie'!$A$5:$M$45,13,0)+0,0))</f>
        <v>66</v>
      </c>
      <c r="R815" s="61"/>
      <c r="S815" s="62"/>
      <c r="T815" s="62"/>
      <c r="U815" s="55"/>
      <c r="V815" s="57"/>
      <c r="W815" s="57"/>
      <c r="X815" s="55" t="n">
        <f aca="false">IF(A815="","",IF(AND(Parameter!$B$21="Ja",ISNUMBER(U815)),U815,IF(IFERROR(VLOOKUP(D815,Parameter!$A$35:$C$64,2,0),"Nein")="2+3",IF(ISNUMBER(SEARCH("grosser Artikel",BM815)),2,IFERROR(VLOOKUP(BP815,Parameter!$F$35:$G$64,2,0),2)),IF(OR(IFERROR(VLOOKUP(D815,Parameter!$A$35:$C$64,2,0),"Nein")="Nein",IFERROR(VLOOKUP(D815,Parameter!$A$35:$C$64,2,0),"Nein")=""),"-",VLOOKUP(D815,Parameter!$A$35:$C$64,2,0)))))</f>
        <v>3</v>
      </c>
      <c r="Y815" s="62"/>
      <c r="Z815" s="63"/>
      <c r="AA815" s="57" t="n">
        <f aca="false">AP815</f>
        <v>1885</v>
      </c>
      <c r="AB815" s="57" t="n">
        <f aca="false">MAX(AP815,G815)</f>
        <v>1885</v>
      </c>
      <c r="AC815" s="64"/>
      <c r="AD815" s="57" t="n">
        <f aca="false">IF(LEFT(Cockpit!$C$5,1)="A",G815,IF(BW815=1,BX815,IF(LEFT(Cockpit!$C$5,1)="B",AH815,MAX(AH815,G815))))</f>
        <v>0</v>
      </c>
      <c r="AE815" s="57" t="n">
        <f aca="false">IF(BR815=1,0,ROUNDUP(AD815/BQ815,0))</f>
        <v>0</v>
      </c>
      <c r="AF815" s="59" t="n">
        <f aca="false">IF(CD815&gt;0,CD815*MAX(1,AD815/V815),IF(BR815=1,IF(AD815&lt;=0,0,BS815*MAX(1,IF(G815&gt;0,AD815/G815,1))),IF(Q815&gt;0,AE815/Q815,0))/MAX(0.1,N(Parameter!$M$21)))</f>
        <v>0</v>
      </c>
      <c r="AG815" s="57" t="n">
        <f aca="false">AD815*F815</f>
        <v>0</v>
      </c>
      <c r="AH815" s="57" t="n">
        <f aca="false">ROUNDUP(MAX(I815/IF(BV815&gt;0,BV815,MAX(0.1,N(Cockpit!$C$6))),BY815)/BQ815,0)*BQ815</f>
        <v>1885</v>
      </c>
      <c r="AI815" s="58" t="n">
        <f aca="false">IF(AF815&gt;0,I815/AF815,-1)</f>
        <v>-1</v>
      </c>
      <c r="AJ815" s="58" t="str">
        <f aca="false">IF(AND(OR(BU815="L1",BU815="L23"),AF815&gt;0),SUMIFS($AF$7:$AF$1576,$BU$7:$BU$1576,BU815,$AI$7:$AI$1576,"&gt;"&amp;AI815)+SUMIFS($AF$7:$AF$1576,$BU$7:$BU$1576,BU815,$AI$7:$AI$1576,AI815,$BO$7:$BO$1576,"&lt;="&amp;BO815),"")</f>
        <v/>
      </c>
      <c r="AK815" s="65" t="n">
        <f aca="false">IF(AJ815="",0,MAX(0,MIN(1,(IF(BU815="L1",Parameter!$E$5,Parameter!$E$6+Parameter!$E$7)-(AJ815-AF815))/AF815)))</f>
        <v>0</v>
      </c>
      <c r="AL815" s="57" t="n">
        <f aca="false">IF(LEFT(Cockpit!$I$5,1)="A",G815,IF(BW815=1,BX815,IF(LEFT(Cockpit!$I$5,1)="B",AP815,MAX(AP815,G815))))</f>
        <v>1885</v>
      </c>
      <c r="AM815" s="57" t="n">
        <f aca="false">IF(BR815=1,0,ROUNDUP(AL815/BQ815,0))</f>
        <v>1</v>
      </c>
      <c r="AN815" s="59" t="n">
        <f aca="false">IF(CD815&gt;0,CD815*MAX(1,AL815/V815),IF(BR815=1,IF(AL815&lt;=0,0,BS815*MAX(1,IF(G815&gt;0,AL815/G815,1))),IF(Q815&gt;0,AM815/Q815,0))/MAX(0.1,N(Parameter!$M$21)))</f>
        <v>0.0151515151515152</v>
      </c>
      <c r="AO815" s="57" t="n">
        <f aca="false">AL815*F815</f>
        <v>75.4</v>
      </c>
      <c r="AP815" s="57" t="n">
        <f aca="false">ROUNDUP(MAX(I815/IF(BV815&gt;0,BV815,MAX(0.1,N(Cockpit!$I$6))),BY815)/BQ815,0)*BQ815</f>
        <v>1885</v>
      </c>
      <c r="AQ815" s="58" t="n">
        <f aca="false">IF(AN815&gt;0,I815/AN815,-1)</f>
        <v>17358</v>
      </c>
      <c r="AR815" s="58" t="n">
        <f aca="false">IF(AND(OR(BU815="L1",BU815="L23"),AN815&gt;0),SUMIFS($AN$7:$AN$1576,$BU$7:$BU$1576,BU815,$AQ$7:$AQ$1576,"&gt;"&amp;AQ815)+SUMIFS($AN$7:$AN$1576,$BU$7:$BU$1576,BU815,$AQ$7:$AQ$1576,AQ815,$BO$7:$BO$1576,"&lt;="&amp;BO815),"")</f>
        <v>4.37122191817844</v>
      </c>
      <c r="AS815" s="65" t="n">
        <f aca="false">IF(AR815="",0,MAX(0,MIN(1,(IF(BU815="L1",Parameter!$E$5,Parameter!$E$6+Parameter!$E$7)-(AR815-AN815))/AN815)))</f>
        <v>1</v>
      </c>
      <c r="AT815" s="57" t="n">
        <f aca="false">IF(LEFT(Cockpit!$O$5,1)="A",G815,IF(BW815=1,BX815,IF(LEFT(Cockpit!$O$5,1)="B",AX815,MAX(AX815,G815))))</f>
        <v>1885</v>
      </c>
      <c r="AU815" s="57" t="n">
        <f aca="false">IF(BR815=1,0,ROUNDUP(AT815/BQ815,0))</f>
        <v>1</v>
      </c>
      <c r="AV815" s="59" t="n">
        <f aca="false">IF(CD815&gt;0,CD815*MAX(1,AT815/V815),IF(BR815=1,IF(AT815&lt;=0,0,BS815*MAX(1,IF(G815&gt;0,AT815/G815,1))),IF(Q815&gt;0,AU815/Q815,0))/MAX(0.1,N(Parameter!$M$21)))</f>
        <v>0.0151515151515152</v>
      </c>
      <c r="AW815" s="57" t="n">
        <f aca="false">AT815*F815</f>
        <v>75.4</v>
      </c>
      <c r="AX815" s="57" t="n">
        <f aca="false">ROUNDUP(MAX(I815/IF(BV815&gt;0,BV815,MAX(0.1,N(Cockpit!$O$6))),BY815)/BQ815,0)*BQ815</f>
        <v>1885</v>
      </c>
      <c r="AY815" s="58" t="n">
        <f aca="false">IF(AV815&gt;0,I815/AV815,-1)</f>
        <v>17358</v>
      </c>
      <c r="AZ815" s="58" t="n">
        <f aca="false">IF(AND(OR(BU815="L1",BU815="L23"),AV815&gt;0),SUMIFS($AV$7:$AV$1576,$BU$7:$BU$1576,BU815,$AY$7:$AY$1576,"&gt;"&amp;AY815)+SUMIFS($AV$7:$AV$1576,$BU$7:$BU$1576,BU815,$AY$7:$AY$1576,AY815,$BO$7:$BO$1576,"&lt;="&amp;BO815),"")</f>
        <v>4.75234079929732</v>
      </c>
      <c r="BA815" s="65" t="n">
        <f aca="false">IF(AZ815="",0,MAX(0,MIN(1,(IF(BU815="L1",Parameter!$E$5,Parameter!$E$6+Parameter!$E$7)-(AZ815-AV815))/AV815)))</f>
        <v>1</v>
      </c>
      <c r="BB815" s="55" t="str">
        <f aca="false">IF(AF815&lt;=0,"",IF(BU815="Aussen","Aussenlager",IF(BU815="-","Nicht im Lift",IF(AK815&gt;=1,"Lift",IF(AK815&lt;=0,"Aussenlager","teilweise")))))</f>
        <v/>
      </c>
      <c r="BC815" s="55" t="str">
        <f aca="false">IF(AN815&lt;=0,"",IF(BU815="Aussen","Aussenlager",IF(BU815="-","Nicht im Lift",IF(AS815&gt;=1,"Lift",IF(AS815&lt;=0,"Aussenlager","teilweise")))))</f>
        <v>Lift</v>
      </c>
      <c r="BD815" s="55" t="str">
        <f aca="false">IF(AV815&lt;=0,"",IF(BU815="Aussen","Aussenlager",IF(BU815="-","Nicht im Lift",IF(BA815&gt;=1,"Lift",IF(BA815&lt;=0,"Aussenlager","teilweise")))))</f>
        <v>Lift</v>
      </c>
      <c r="BE815" s="55" t="str">
        <f aca="false">IF(A815="","",IF(BN815=1,"Neu; ","")&amp;IF(AND(BN815=0,BI815&lt;0),"negativer Bestand (Export "&amp;BI815&amp;"); ","")&amp;IF(I815&lt;=0,"Kein Verbrauch; ","")&amp;IF(CD815&gt;0,"Lift "&amp;U815&amp;" lt. Liftbericht (Fach "&amp;V815&amp;" Stk); ",IF(BR815=1,"Lose – Fläche geschätzt; ",""))&amp;IF(G815&gt;AP815,"Überbestand "&amp;ROUND(G815-AP815,0)&amp;" Stk / CHF "&amp;ROUND((G815-AP815)*F815,0)&amp;"; ","")&amp;IF(AND(BW815=1,BX815&lt;BY815),"MAX &lt; MB+LG; ","")&amp;IF(AND(CC815&gt;0,CB815*10&gt;CC815),"zu hoch für Tablar; ","")&amp;IF(AND(BN815=0,OR(BW815=1,Y815&lt;&gt;"",S815&lt;&gt;"",T815&lt;&gt;"",Z815&lt;&gt;"")),"manuell übersteuert; ","")&amp;IF(AND(BR815=0,Q815=0),"Gebinde unbekannt / Stellmass fehlt; ","")&amp;IF(AND(BR815=0,N(T815)&lt;=0,N(P815)&lt;=0),"Menge pro Gebinde fehlt (Ist = 1 Gebinde); ","")&amp;BM815)</f>
        <v>negativer Bestand (Export -190); Überbestand</v>
      </c>
      <c r="BF815" s="55"/>
      <c r="BG815" s="55"/>
      <c r="BH815" s="62"/>
      <c r="BI815" s="57" t="n">
        <v>-190</v>
      </c>
      <c r="BJ815" s="57" t="n">
        <v>877</v>
      </c>
      <c r="BK815" s="56" t="n">
        <v>-7.6</v>
      </c>
      <c r="BL815" s="57" t="n">
        <v>263</v>
      </c>
      <c r="BM815" s="55" t="s">
        <v>382</v>
      </c>
      <c r="BN815" s="60" t="n">
        <v>0</v>
      </c>
      <c r="BO815" s="60" t="n">
        <v>815</v>
      </c>
      <c r="BP815" s="55" t="str">
        <f aca="false">IF(S815&lt;&gt;"",UPPER(TRIM(S815)),IF(O815="","LOSE",O815))</f>
        <v>S33</v>
      </c>
      <c r="BQ815" s="57" t="n">
        <f aca="false">IF(BP815="LOSE",1,IF(N(T815)&gt;0,T815,IF(N(P815)&gt;0,P815,MAX(1,G815))))</f>
        <v>1885</v>
      </c>
      <c r="BR815" s="60" t="n">
        <f aca="false">IF(BP815="LOSE",1,0)</f>
        <v>0</v>
      </c>
      <c r="BS815" s="59" t="n">
        <f aca="false">IF(BR815=0,0,IF(N(R815)&gt;0,R815,IFERROR(VLOOKUP(D815,Parameter!$A$35:$C$64,3,0)+0,0)))</f>
        <v>0</v>
      </c>
      <c r="BT815" s="55" t="n">
        <f aca="false">IF(Y815&lt;&gt;"",Y815,X815)</f>
        <v>3</v>
      </c>
      <c r="BU815" s="55" t="str">
        <f aca="false">IF(BT815=1,"L1",IF(OR(BT815=2,BT815=3),"L23",IF(BT815="Aussen","Aussen","-")))</f>
        <v>L23</v>
      </c>
      <c r="BV815" s="66" t="n">
        <f aca="false">IF(N(Z815)&gt;0,Z815,0)</f>
        <v>0</v>
      </c>
      <c r="BW815" s="60" t="n">
        <f aca="false">IF(ISNUMBER(AC815),1,0)</f>
        <v>0</v>
      </c>
      <c r="BX815" s="57" t="n">
        <f aca="false">N(AC815)</f>
        <v>0</v>
      </c>
      <c r="BY815" s="57" t="n">
        <f aca="false">N(L815)+N(M815)</f>
        <v>280</v>
      </c>
      <c r="BZ815" s="57" t="n">
        <f aca="false">ROUNDUP(G815/BQ815,0)</f>
        <v>0</v>
      </c>
      <c r="CA815" s="57" t="n">
        <f aca="false">ROUNDUP(BX815/BQ815,0)</f>
        <v>0</v>
      </c>
      <c r="CB815" s="60" t="n">
        <f aca="false">IF(BR815=1,0,IFERROR(VLOOKUP(BP815,'Gebinde-Kategorie'!$A$5:$M$45,5,0)+0,0))</f>
        <v>8</v>
      </c>
      <c r="CC815" s="60" t="n">
        <f aca="false">IFERROR(IF(OR(BT815=1,BT815=2,BT815=3),N(INDEX(Parameter!$I$5:$I$7,BT815)),0),0)</f>
        <v>0</v>
      </c>
      <c r="CD815" s="59" t="n">
        <f aca="false">IF(AND(Parameter!$B$21="Ja",ISNUMBER(U815),N(V815)&gt;0),IFERROR(N(INDEX(Parameter!$L$5:$L$7,U815))*INDEX(Parameter!$E$5:$E$7,U815)*V815/SUMIFS($V$7:$V$1576,$U$7:$U$1576,U815),0),0)</f>
        <v>0</v>
      </c>
    </row>
    <row r="816" customFormat="false" ht="15" hidden="false" customHeight="false" outlineLevel="0" collapsed="false">
      <c r="A816" s="55" t="s">
        <v>1564</v>
      </c>
      <c r="B816" s="55" t="s">
        <v>1565</v>
      </c>
      <c r="C816" s="55" t="s">
        <v>160</v>
      </c>
      <c r="D816" s="55" t="s">
        <v>178</v>
      </c>
      <c r="E816" s="55" t="s">
        <v>210</v>
      </c>
      <c r="F816" s="56" t="n">
        <v>8.05</v>
      </c>
      <c r="G816" s="57" t="n">
        <f aca="false">MAX(0,IF(AND(Parameter!$B$21="Ja",ISNUMBER(W816)),W816,IF(Parameter!$B$20="Jahresanfang 2025 + Export",BJ816+BI816,BI816)))</f>
        <v>0</v>
      </c>
      <c r="H816" s="57" t="n">
        <f aca="false">G816*F816</f>
        <v>0</v>
      </c>
      <c r="I816" s="57" t="n">
        <f aca="false">BL816*Parameter!$B$18</f>
        <v>0</v>
      </c>
      <c r="J816" s="58" t="n">
        <v>46</v>
      </c>
      <c r="K816" s="59" t="n">
        <v>0</v>
      </c>
      <c r="L816" s="57" t="n">
        <v>0</v>
      </c>
      <c r="M816" s="57" t="n">
        <v>1</v>
      </c>
      <c r="N816" s="60" t="n">
        <v>35</v>
      </c>
      <c r="O816" s="55" t="s">
        <v>225</v>
      </c>
      <c r="P816" s="57" t="n">
        <v>46</v>
      </c>
      <c r="Q816" s="60" t="n">
        <f aca="false">IF(BR816=1,0,IFERROR(VLOOKUP(BP816,'Gebinde-Kategorie'!$A$5:$M$45,13,0)+0,0))</f>
        <v>26</v>
      </c>
      <c r="R816" s="61"/>
      <c r="S816" s="62"/>
      <c r="T816" s="62"/>
      <c r="U816" s="55"/>
      <c r="V816" s="57"/>
      <c r="W816" s="57"/>
      <c r="X816" s="55" t="n">
        <f aca="false">IF(A816="","",IF(AND(Parameter!$B$21="Ja",ISNUMBER(U816)),U816,IF(IFERROR(VLOOKUP(D816,Parameter!$A$35:$C$64,2,0),"Nein")="2+3",IF(ISNUMBER(SEARCH("grosser Artikel",BM816)),2,IFERROR(VLOOKUP(BP816,Parameter!$F$35:$G$64,2,0),2)),IF(OR(IFERROR(VLOOKUP(D816,Parameter!$A$35:$C$64,2,0),"Nein")="Nein",IFERROR(VLOOKUP(D816,Parameter!$A$35:$C$64,2,0),"Nein")=""),"-",VLOOKUP(D816,Parameter!$A$35:$C$64,2,0)))))</f>
        <v>3</v>
      </c>
      <c r="Y816" s="62"/>
      <c r="Z816" s="63"/>
      <c r="AA816" s="57" t="n">
        <f aca="false">AP816</f>
        <v>46</v>
      </c>
      <c r="AB816" s="57" t="n">
        <f aca="false">MAX(AP816,G816)</f>
        <v>46</v>
      </c>
      <c r="AC816" s="64"/>
      <c r="AD816" s="57" t="n">
        <f aca="false">IF(LEFT(Cockpit!$C$5,1)="A",G816,IF(BW816=1,BX816,IF(LEFT(Cockpit!$C$5,1)="B",AH816,MAX(AH816,G816))))</f>
        <v>0</v>
      </c>
      <c r="AE816" s="57" t="n">
        <f aca="false">IF(BR816=1,0,ROUNDUP(AD816/BQ816,0))</f>
        <v>0</v>
      </c>
      <c r="AF816" s="59" t="n">
        <f aca="false">IF(CD816&gt;0,CD816*MAX(1,AD816/V816),IF(BR816=1,IF(AD816&lt;=0,0,BS816*MAX(1,IF(G816&gt;0,AD816/G816,1))),IF(Q816&gt;0,AE816/Q816,0))/MAX(0.1,N(Parameter!$M$21)))</f>
        <v>0</v>
      </c>
      <c r="AG816" s="57" t="n">
        <f aca="false">AD816*F816</f>
        <v>0</v>
      </c>
      <c r="AH816" s="57" t="n">
        <f aca="false">ROUNDUP(MAX(I816/IF(BV816&gt;0,BV816,MAX(0.1,N(Cockpit!$C$6))),BY816)/BQ816,0)*BQ816</f>
        <v>46</v>
      </c>
      <c r="AI816" s="58" t="n">
        <f aca="false">IF(AF816&gt;0,I816/AF816,-1)</f>
        <v>-1</v>
      </c>
      <c r="AJ816" s="58" t="str">
        <f aca="false">IF(AND(OR(BU816="L1",BU816="L23"),AF816&gt;0),SUMIFS($AF$7:$AF$1576,$BU$7:$BU$1576,BU816,$AI$7:$AI$1576,"&gt;"&amp;AI816)+SUMIFS($AF$7:$AF$1576,$BU$7:$BU$1576,BU816,$AI$7:$AI$1576,AI816,$BO$7:$BO$1576,"&lt;="&amp;BO816),"")</f>
        <v/>
      </c>
      <c r="AK816" s="65" t="n">
        <f aca="false">IF(AJ816="",0,MAX(0,MIN(1,(IF(BU816="L1",Parameter!$E$5,Parameter!$E$6+Parameter!$E$7)-(AJ816-AF816))/AF816)))</f>
        <v>0</v>
      </c>
      <c r="AL816" s="57" t="n">
        <f aca="false">IF(LEFT(Cockpit!$I$5,1)="A",G816,IF(BW816=1,BX816,IF(LEFT(Cockpit!$I$5,1)="B",AP816,MAX(AP816,G816))))</f>
        <v>46</v>
      </c>
      <c r="AM816" s="57" t="n">
        <f aca="false">IF(BR816=1,0,ROUNDUP(AL816/BQ816,0))</f>
        <v>1</v>
      </c>
      <c r="AN816" s="59" t="n">
        <f aca="false">IF(CD816&gt;0,CD816*MAX(1,AL816/V816),IF(BR816=1,IF(AL816&lt;=0,0,BS816*MAX(1,IF(G816&gt;0,AL816/G816,1))),IF(Q816&gt;0,AM816/Q816,0))/MAX(0.1,N(Parameter!$M$21)))</f>
        <v>0.0384615384615385</v>
      </c>
      <c r="AO816" s="57" t="n">
        <f aca="false">AL816*F816</f>
        <v>370.3</v>
      </c>
      <c r="AP816" s="57" t="n">
        <f aca="false">ROUNDUP(MAX(I816/IF(BV816&gt;0,BV816,MAX(0.1,N(Cockpit!$I$6))),BY816)/BQ816,0)*BQ816</f>
        <v>46</v>
      </c>
      <c r="AQ816" s="58" t="n">
        <f aca="false">IF(AN816&gt;0,I816/AN816,-1)</f>
        <v>0</v>
      </c>
      <c r="AR816" s="58" t="n">
        <f aca="false">IF(AND(OR(BU816="L1",BU816="L23"),AN816&gt;0),SUMIFS($AN$7:$AN$1576,$BU$7:$BU$1576,BU816,$AQ$7:$AQ$1576,"&gt;"&amp;AQ816)+SUMIFS($AN$7:$AN$1576,$BU$7:$BU$1576,BU816,$AQ$7:$AQ$1576,AQ816,$BO$7:$BO$1576,"&lt;="&amp;BO816),"")</f>
        <v>130.780560526478</v>
      </c>
      <c r="AS816" s="65" t="n">
        <f aca="false">IF(AR816="",0,MAX(0,MIN(1,(IF(BU816="L1",Parameter!$E$5,Parameter!$E$6+Parameter!$E$7)-(AR816-AN816))/AN816)))</f>
        <v>0</v>
      </c>
      <c r="AT816" s="57" t="n">
        <f aca="false">IF(LEFT(Cockpit!$O$5,1)="A",G816,IF(BW816=1,BX816,IF(LEFT(Cockpit!$O$5,1)="B",AX816,MAX(AX816,G816))))</f>
        <v>46</v>
      </c>
      <c r="AU816" s="57" t="n">
        <f aca="false">IF(BR816=1,0,ROUNDUP(AT816/BQ816,0))</f>
        <v>1</v>
      </c>
      <c r="AV816" s="59" t="n">
        <f aca="false">IF(CD816&gt;0,CD816*MAX(1,AT816/V816),IF(BR816=1,IF(AT816&lt;=0,0,BS816*MAX(1,IF(G816&gt;0,AT816/G816,1))),IF(Q816&gt;0,AU816/Q816,0))/MAX(0.1,N(Parameter!$M$21)))</f>
        <v>0.0384615384615385</v>
      </c>
      <c r="AW816" s="57" t="n">
        <f aca="false">AT816*F816</f>
        <v>370.3</v>
      </c>
      <c r="AX816" s="57" t="n">
        <f aca="false">ROUNDUP(MAX(I816/IF(BV816&gt;0,BV816,MAX(0.1,N(Cockpit!$O$6))),BY816)/BQ816,0)*BQ816</f>
        <v>46</v>
      </c>
      <c r="AY816" s="58" t="n">
        <f aca="false">IF(AV816&gt;0,I816/AV816,-1)</f>
        <v>0</v>
      </c>
      <c r="AZ816" s="58" t="n">
        <f aca="false">IF(AND(OR(BU816="L1",BU816="L23"),AV816&gt;0),SUMIFS($AV$7:$AV$1576,$BU$7:$BU$1576,BU816,$AY$7:$AY$1576,"&gt;"&amp;AY816)+SUMIFS($AV$7:$AV$1576,$BU$7:$BU$1576,BU816,$AY$7:$AY$1576,AY816,$BO$7:$BO$1576,"&lt;="&amp;BO816),"")</f>
        <v>120.840110976028</v>
      </c>
      <c r="BA816" s="65" t="n">
        <f aca="false">IF(AZ816="",0,MAX(0,MIN(1,(IF(BU816="L1",Parameter!$E$5,Parameter!$E$6+Parameter!$E$7)-(AZ816-AV816))/AV816)))</f>
        <v>0</v>
      </c>
      <c r="BB816" s="55" t="str">
        <f aca="false">IF(AF816&lt;=0,"",IF(BU816="Aussen","Aussenlager",IF(BU816="-","Nicht im Lift",IF(AK816&gt;=1,"Lift",IF(AK816&lt;=0,"Aussenlager","teilweise")))))</f>
        <v/>
      </c>
      <c r="BC816" s="55" t="str">
        <f aca="false">IF(AN816&lt;=0,"",IF(BU816="Aussen","Aussenlager",IF(BU816="-","Nicht im Lift",IF(AS816&gt;=1,"Lift",IF(AS816&lt;=0,"Aussenlager","teilweise")))))</f>
        <v>Aussenlager</v>
      </c>
      <c r="BD816" s="55" t="str">
        <f aca="false">IF(AV816&lt;=0,"",IF(BU816="Aussen","Aussenlager",IF(BU816="-","Nicht im Lift",IF(BA816&gt;=1,"Lift",IF(BA816&lt;=0,"Aussenlager","teilweise")))))</f>
        <v>Aussenlager</v>
      </c>
      <c r="BE816" s="55" t="str">
        <f aca="false">IF(A816="","",IF(BN816=1,"Neu; ","")&amp;IF(AND(BN816=0,BI816&lt;0),"negativer Bestand (Export "&amp;BI816&amp;"); ","")&amp;IF(I816&lt;=0,"Kein Verbrauch; ","")&amp;IF(CD816&gt;0,"Lift "&amp;U816&amp;" lt. Liftbericht (Fach "&amp;V816&amp;" Stk); ",IF(BR816=1,"Lose – Fläche geschätzt; ",""))&amp;IF(G816&gt;AP816,"Überbestand "&amp;ROUND(G816-AP816,0)&amp;" Stk / CHF "&amp;ROUND((G816-AP816)*F816,0)&amp;"; ","")&amp;IF(AND(BW816=1,BX816&lt;BY816),"MAX &lt; MB+LG; ","")&amp;IF(AND(CC816&gt;0,CB816*10&gt;CC816),"zu hoch für Tablar; ","")&amp;IF(AND(BN816=0,OR(BW816=1,Y816&lt;&gt;"",S816&lt;&gt;"",T816&lt;&gt;"",Z816&lt;&gt;"")),"manuell übersteuert; ","")&amp;IF(AND(BR816=0,Q816=0),"Gebinde unbekannt / Stellmass fehlt; ","")&amp;IF(AND(BR816=0,N(T816)&lt;=0,N(P816)&lt;=0),"Menge pro Gebinde fehlt (Ist = 1 Gebinde); ","")&amp;BM816)</f>
        <v>negativer Bestand (Export -1); Kein Verbrauch; </v>
      </c>
      <c r="BF816" s="55"/>
      <c r="BG816" s="55"/>
      <c r="BH816" s="62"/>
      <c r="BI816" s="57" t="n">
        <v>-1</v>
      </c>
      <c r="BJ816" s="57" t="n">
        <v>46</v>
      </c>
      <c r="BK816" s="56" t="n">
        <v>-8.05</v>
      </c>
      <c r="BL816" s="57" t="n">
        <v>0</v>
      </c>
      <c r="BM816" s="55"/>
      <c r="BN816" s="60" t="n">
        <v>0</v>
      </c>
      <c r="BO816" s="60" t="n">
        <v>816</v>
      </c>
      <c r="BP816" s="55" t="str">
        <f aca="false">IF(S816&lt;&gt;"",UPPER(TRIM(S816)),IF(O816="","LOSE",O816))</f>
        <v>S52</v>
      </c>
      <c r="BQ816" s="57" t="n">
        <f aca="false">IF(BP816="LOSE",1,IF(N(T816)&gt;0,T816,IF(N(P816)&gt;0,P816,MAX(1,G816))))</f>
        <v>46</v>
      </c>
      <c r="BR816" s="60" t="n">
        <f aca="false">IF(BP816="LOSE",1,0)</f>
        <v>0</v>
      </c>
      <c r="BS816" s="59" t="n">
        <f aca="false">IF(BR816=0,0,IF(N(R816)&gt;0,R816,IFERROR(VLOOKUP(D816,Parameter!$A$35:$C$64,3,0)+0,0)))</f>
        <v>0</v>
      </c>
      <c r="BT816" s="55" t="n">
        <f aca="false">IF(Y816&lt;&gt;"",Y816,X816)</f>
        <v>3</v>
      </c>
      <c r="BU816" s="55" t="str">
        <f aca="false">IF(BT816=1,"L1",IF(OR(BT816=2,BT816=3),"L23",IF(BT816="Aussen","Aussen","-")))</f>
        <v>L23</v>
      </c>
      <c r="BV816" s="66" t="n">
        <f aca="false">IF(N(Z816)&gt;0,Z816,0)</f>
        <v>0</v>
      </c>
      <c r="BW816" s="60" t="n">
        <f aca="false">IF(ISNUMBER(AC816),1,0)</f>
        <v>0</v>
      </c>
      <c r="BX816" s="57" t="n">
        <f aca="false">N(AC816)</f>
        <v>0</v>
      </c>
      <c r="BY816" s="57" t="n">
        <f aca="false">N(L816)+N(M816)</f>
        <v>1</v>
      </c>
      <c r="BZ816" s="57" t="n">
        <f aca="false">ROUNDUP(G816/BQ816,0)</f>
        <v>0</v>
      </c>
      <c r="CA816" s="57" t="n">
        <f aca="false">ROUNDUP(BX816/BQ816,0)</f>
        <v>0</v>
      </c>
      <c r="CB816" s="60" t="n">
        <f aca="false">IF(BR816=1,0,IFERROR(VLOOKUP(BP816,'Gebinde-Kategorie'!$A$5:$M$45,5,0)+0,0))</f>
        <v>21</v>
      </c>
      <c r="CC816" s="60" t="n">
        <f aca="false">IFERROR(IF(OR(BT816=1,BT816=2,BT816=3),N(INDEX(Parameter!$I$5:$I$7,BT816)),0),0)</f>
        <v>0</v>
      </c>
      <c r="CD816" s="59" t="n">
        <f aca="false">IF(AND(Parameter!$B$21="Ja",ISNUMBER(U816),N(V816)&gt;0),IFERROR(N(INDEX(Parameter!$L$5:$L$7,U816))*INDEX(Parameter!$E$5:$E$7,U816)*V816/SUMIFS($V$7:$V$1576,$U$7:$U$1576,U816),0),0)</f>
        <v>0</v>
      </c>
    </row>
    <row r="817" customFormat="false" ht="15" hidden="false" customHeight="false" outlineLevel="0" collapsed="false">
      <c r="A817" s="55" t="s">
        <v>1566</v>
      </c>
      <c r="B817" s="55" t="s">
        <v>1025</v>
      </c>
      <c r="C817" s="55" t="s">
        <v>160</v>
      </c>
      <c r="D817" s="55" t="s">
        <v>178</v>
      </c>
      <c r="E817" s="55" t="s">
        <v>210</v>
      </c>
      <c r="F817" s="56" t="n">
        <v>0.04</v>
      </c>
      <c r="G817" s="57" t="n">
        <f aca="false">MAX(0,IF(AND(Parameter!$B$21="Ja",ISNUMBER(W817)),W817,IF(Parameter!$B$20="Jahresanfang 2025 + Export",BJ817+BI817,BI817)))</f>
        <v>0</v>
      </c>
      <c r="H817" s="57" t="n">
        <f aca="false">G817*F817</f>
        <v>0</v>
      </c>
      <c r="I817" s="57" t="n">
        <f aca="false">BL817*Parameter!$B$18</f>
        <v>200</v>
      </c>
      <c r="J817" s="58" t="n">
        <v>421</v>
      </c>
      <c r="K817" s="59" t="n">
        <v>0.475059382422803</v>
      </c>
      <c r="L817" s="57" t="n">
        <v>7</v>
      </c>
      <c r="M817" s="57" t="n">
        <v>200</v>
      </c>
      <c r="N817" s="60" t="n">
        <v>14</v>
      </c>
      <c r="O817" s="55" t="s">
        <v>179</v>
      </c>
      <c r="P817" s="57" t="n">
        <v>2000</v>
      </c>
      <c r="Q817" s="60" t="n">
        <f aca="false">IF(BR817=1,0,IFERROR(VLOOKUP(BP817,'Gebinde-Kategorie'!$A$5:$M$45,13,0)+0,0))</f>
        <v>12</v>
      </c>
      <c r="R817" s="61"/>
      <c r="S817" s="62"/>
      <c r="T817" s="62"/>
      <c r="U817" s="55"/>
      <c r="V817" s="57"/>
      <c r="W817" s="57"/>
      <c r="X817" s="55" t="n">
        <f aca="false">IF(A817="","",IF(AND(Parameter!$B$21="Ja",ISNUMBER(U817)),U817,IF(IFERROR(VLOOKUP(D817,Parameter!$A$35:$C$64,2,0),"Nein")="2+3",IF(ISNUMBER(SEARCH("grosser Artikel",BM817)),2,IFERROR(VLOOKUP(BP817,Parameter!$F$35:$G$64,2,0),2)),IF(OR(IFERROR(VLOOKUP(D817,Parameter!$A$35:$C$64,2,0),"Nein")="Nein",IFERROR(VLOOKUP(D817,Parameter!$A$35:$C$64,2,0),"Nein")=""),"-",VLOOKUP(D817,Parameter!$A$35:$C$64,2,0)))))</f>
        <v>2</v>
      </c>
      <c r="Y817" s="62"/>
      <c r="Z817" s="63"/>
      <c r="AA817" s="57" t="n">
        <f aca="false">AP817</f>
        <v>2000</v>
      </c>
      <c r="AB817" s="57" t="n">
        <f aca="false">MAX(AP817,G817)</f>
        <v>2000</v>
      </c>
      <c r="AC817" s="64"/>
      <c r="AD817" s="57" t="n">
        <f aca="false">IF(LEFT(Cockpit!$C$5,1)="A",G817,IF(BW817=1,BX817,IF(LEFT(Cockpit!$C$5,1)="B",AH817,MAX(AH817,G817))))</f>
        <v>0</v>
      </c>
      <c r="AE817" s="57" t="n">
        <f aca="false">IF(BR817=1,0,ROUNDUP(AD817/BQ817,0))</f>
        <v>0</v>
      </c>
      <c r="AF817" s="59" t="n">
        <f aca="false">IF(CD817&gt;0,CD817*MAX(1,AD817/V817),IF(BR817=1,IF(AD817&lt;=0,0,BS817*MAX(1,IF(G817&gt;0,AD817/G817,1))),IF(Q817&gt;0,AE817/Q817,0))/MAX(0.1,N(Parameter!$M$21)))</f>
        <v>0</v>
      </c>
      <c r="AG817" s="57" t="n">
        <f aca="false">AD817*F817</f>
        <v>0</v>
      </c>
      <c r="AH817" s="57" t="n">
        <f aca="false">ROUNDUP(MAX(I817/IF(BV817&gt;0,BV817,MAX(0.1,N(Cockpit!$C$6))),BY817)/BQ817,0)*BQ817</f>
        <v>2000</v>
      </c>
      <c r="AI817" s="58" t="n">
        <f aca="false">IF(AF817&gt;0,I817/AF817,-1)</f>
        <v>-1</v>
      </c>
      <c r="AJ817" s="58" t="str">
        <f aca="false">IF(AND(OR(BU817="L1",BU817="L23"),AF817&gt;0),SUMIFS($AF$7:$AF$1576,$BU$7:$BU$1576,BU817,$AI$7:$AI$1576,"&gt;"&amp;AI817)+SUMIFS($AF$7:$AF$1576,$BU$7:$BU$1576,BU817,$AI$7:$AI$1576,AI817,$BO$7:$BO$1576,"&lt;="&amp;BO817),"")</f>
        <v/>
      </c>
      <c r="AK817" s="65" t="n">
        <f aca="false">IF(AJ817="",0,MAX(0,MIN(1,(IF(BU817="L1",Parameter!$E$5,Parameter!$E$6+Parameter!$E$7)-(AJ817-AF817))/AF817)))</f>
        <v>0</v>
      </c>
      <c r="AL817" s="57" t="n">
        <f aca="false">IF(LEFT(Cockpit!$I$5,1)="A",G817,IF(BW817=1,BX817,IF(LEFT(Cockpit!$I$5,1)="B",AP817,MAX(AP817,G817))))</f>
        <v>2000</v>
      </c>
      <c r="AM817" s="57" t="n">
        <f aca="false">IF(BR817=1,0,ROUNDUP(AL817/BQ817,0))</f>
        <v>1</v>
      </c>
      <c r="AN817" s="59" t="n">
        <f aca="false">IF(CD817&gt;0,CD817*MAX(1,AL817/V817),IF(BR817=1,IF(AL817&lt;=0,0,BS817*MAX(1,IF(G817&gt;0,AL817/G817,1))),IF(Q817&gt;0,AM817/Q817,0))/MAX(0.1,N(Parameter!$M$21)))</f>
        <v>0.0833333333333333</v>
      </c>
      <c r="AO817" s="57" t="n">
        <f aca="false">AL817*F817</f>
        <v>80</v>
      </c>
      <c r="AP817" s="57" t="n">
        <f aca="false">ROUNDUP(MAX(I817/IF(BV817&gt;0,BV817,MAX(0.1,N(Cockpit!$I$6))),BY817)/BQ817,0)*BQ817</f>
        <v>2000</v>
      </c>
      <c r="AQ817" s="58" t="n">
        <f aca="false">IF(AN817&gt;0,I817/AN817,-1)</f>
        <v>2400</v>
      </c>
      <c r="AR817" s="58" t="n">
        <f aca="false">IF(AND(OR(BU817="L1",BU817="L23"),AN817&gt;0),SUMIFS($AN$7:$AN$1576,$BU$7:$BU$1576,BU817,$AQ$7:$AQ$1576,"&gt;"&amp;AQ817)+SUMIFS($AN$7:$AN$1576,$BU$7:$BU$1576,BU817,$AQ$7:$AQ$1576,AQ817,$BO$7:$BO$1576,"&lt;="&amp;BO817),"")</f>
        <v>15.882021179641</v>
      </c>
      <c r="AS817" s="65" t="n">
        <f aca="false">IF(AR817="",0,MAX(0,MIN(1,(IF(BU817="L1",Parameter!$E$5,Parameter!$E$6+Parameter!$E$7)-(AR817-AN817))/AN817)))</f>
        <v>1</v>
      </c>
      <c r="AT817" s="57" t="n">
        <f aca="false">IF(LEFT(Cockpit!$O$5,1)="A",G817,IF(BW817=1,BX817,IF(LEFT(Cockpit!$O$5,1)="B",AX817,MAX(AX817,G817))))</f>
        <v>2000</v>
      </c>
      <c r="AU817" s="57" t="n">
        <f aca="false">IF(BR817=1,0,ROUNDUP(AT817/BQ817,0))</f>
        <v>1</v>
      </c>
      <c r="AV817" s="59" t="n">
        <f aca="false">IF(CD817&gt;0,CD817*MAX(1,AT817/V817),IF(BR817=1,IF(AT817&lt;=0,0,BS817*MAX(1,IF(G817&gt;0,AT817/G817,1))),IF(Q817&gt;0,AU817/Q817,0))/MAX(0.1,N(Parameter!$M$21)))</f>
        <v>0.0833333333333333</v>
      </c>
      <c r="AW817" s="57" t="n">
        <f aca="false">AT817*F817</f>
        <v>80</v>
      </c>
      <c r="AX817" s="57" t="n">
        <f aca="false">ROUNDUP(MAX(I817/IF(BV817&gt;0,BV817,MAX(0.1,N(Cockpit!$O$6))),BY817)/BQ817,0)*BQ817</f>
        <v>2000</v>
      </c>
      <c r="AY817" s="58" t="n">
        <f aca="false">IF(AV817&gt;0,I817/AV817,-1)</f>
        <v>2400</v>
      </c>
      <c r="AZ817" s="58" t="n">
        <f aca="false">IF(AND(OR(BU817="L1",BU817="L23"),AV817&gt;0),SUMIFS($AV$7:$AV$1576,$BU$7:$BU$1576,BU817,$AY$7:$AY$1576,"&gt;"&amp;AY817)+SUMIFS($AV$7:$AV$1576,$BU$7:$BU$1576,BU817,$AY$7:$AY$1576,AY817,$BO$7:$BO$1576,"&lt;="&amp;BO817),"")</f>
        <v>14.6862169838368</v>
      </c>
      <c r="BA817" s="65" t="n">
        <f aca="false">IF(AZ817="",0,MAX(0,MIN(1,(IF(BU817="L1",Parameter!$E$5,Parameter!$E$6+Parameter!$E$7)-(AZ817-AV817))/AV817)))</f>
        <v>1</v>
      </c>
      <c r="BB817" s="55" t="str">
        <f aca="false">IF(AF817&lt;=0,"",IF(BU817="Aussen","Aussenlager",IF(BU817="-","Nicht im Lift",IF(AK817&gt;=1,"Lift",IF(AK817&lt;=0,"Aussenlager","teilweise")))))</f>
        <v/>
      </c>
      <c r="BC817" s="55" t="str">
        <f aca="false">IF(AN817&lt;=0,"",IF(BU817="Aussen","Aussenlager",IF(BU817="-","Nicht im Lift",IF(AS817&gt;=1,"Lift",IF(AS817&lt;=0,"Aussenlager","teilweise")))))</f>
        <v>Lift</v>
      </c>
      <c r="BD817" s="55" t="str">
        <f aca="false">IF(AV817&lt;=0,"",IF(BU817="Aussen","Aussenlager",IF(BU817="-","Nicht im Lift",IF(BA817&gt;=1,"Lift",IF(BA817&lt;=0,"Aussenlager","teilweise")))))</f>
        <v>Lift</v>
      </c>
      <c r="BE817" s="55" t="str">
        <f aca="false">IF(A817="","",IF(BN817=1,"Neu; ","")&amp;IF(AND(BN817=0,BI817&lt;0),"negativer Bestand (Export "&amp;BI817&amp;"); ","")&amp;IF(I817&lt;=0,"Kein Verbrauch; ","")&amp;IF(CD817&gt;0,"Lift "&amp;U817&amp;" lt. Liftbericht (Fach "&amp;V817&amp;" Stk); ",IF(BR817=1,"Lose – Fläche geschätzt; ",""))&amp;IF(G817&gt;AP817,"Überbestand "&amp;ROUND(G817-AP817,0)&amp;" Stk / CHF "&amp;ROUND((G817-AP817)*F817,0)&amp;"; ","")&amp;IF(AND(BW817=1,BX817&lt;BY817),"MAX &lt; MB+LG; ","")&amp;IF(AND(CC817&gt;0,CB817*10&gt;CC817),"zu hoch für Tablar; ","")&amp;IF(AND(BN817=0,OR(BW817=1,Y817&lt;&gt;"",S817&lt;&gt;"",T817&lt;&gt;"",Z817&lt;&gt;"")),"manuell übersteuert; ","")&amp;IF(AND(BR817=0,Q817=0),"Gebinde unbekannt / Stellmass fehlt; ","")&amp;IF(AND(BR817=0,N(T817)&lt;=0,N(P817)&lt;=0),"Menge pro Gebinde fehlt (Ist = 1 Gebinde); ","")&amp;BM817)</f>
        <v>negativer Bestand (Export -340); Verb.Lager</v>
      </c>
      <c r="BF817" s="55"/>
      <c r="BG817" s="55"/>
      <c r="BH817" s="62"/>
      <c r="BI817" s="57" t="n">
        <v>-340</v>
      </c>
      <c r="BJ817" s="57" t="n">
        <v>540</v>
      </c>
      <c r="BK817" s="56" t="n">
        <v>-8.2</v>
      </c>
      <c r="BL817" s="57" t="n">
        <v>200</v>
      </c>
      <c r="BM817" s="55" t="s">
        <v>1019</v>
      </c>
      <c r="BN817" s="60" t="n">
        <v>0</v>
      </c>
      <c r="BO817" s="60" t="n">
        <v>817</v>
      </c>
      <c r="BP817" s="55" t="str">
        <f aca="false">IF(S817&lt;&gt;"",UPPER(TRIM(S817)),IF(O817="","LOSE",O817))</f>
        <v>S61</v>
      </c>
      <c r="BQ817" s="57" t="n">
        <f aca="false">IF(BP817="LOSE",1,IF(N(T817)&gt;0,T817,IF(N(P817)&gt;0,P817,MAX(1,G817))))</f>
        <v>2000</v>
      </c>
      <c r="BR817" s="60" t="n">
        <f aca="false">IF(BP817="LOSE",1,0)</f>
        <v>0</v>
      </c>
      <c r="BS817" s="59" t="n">
        <f aca="false">IF(BR817=0,0,IF(N(R817)&gt;0,R817,IFERROR(VLOOKUP(D817,Parameter!$A$35:$C$64,3,0)+0,0)))</f>
        <v>0</v>
      </c>
      <c r="BT817" s="55" t="n">
        <f aca="false">IF(Y817&lt;&gt;"",Y817,X817)</f>
        <v>2</v>
      </c>
      <c r="BU817" s="55" t="str">
        <f aca="false">IF(BT817=1,"L1",IF(OR(BT817=2,BT817=3),"L23",IF(BT817="Aussen","Aussen","-")))</f>
        <v>L23</v>
      </c>
      <c r="BV817" s="66" t="n">
        <f aca="false">IF(N(Z817)&gt;0,Z817,0)</f>
        <v>0</v>
      </c>
      <c r="BW817" s="60" t="n">
        <f aca="false">IF(ISNUMBER(AC817),1,0)</f>
        <v>0</v>
      </c>
      <c r="BX817" s="57" t="n">
        <f aca="false">N(AC817)</f>
        <v>0</v>
      </c>
      <c r="BY817" s="57" t="n">
        <f aca="false">N(L817)+N(M817)</f>
        <v>207</v>
      </c>
      <c r="BZ817" s="57" t="n">
        <f aca="false">ROUNDUP(G817/BQ817,0)</f>
        <v>0</v>
      </c>
      <c r="CA817" s="57" t="n">
        <f aca="false">ROUNDUP(BX817/BQ817,0)</f>
        <v>0</v>
      </c>
      <c r="CB817" s="60" t="n">
        <f aca="false">IF(BR817=1,0,IFERROR(VLOOKUP(BP817,'Gebinde-Kategorie'!$A$5:$M$45,5,0)+0,0))</f>
        <v>11</v>
      </c>
      <c r="CC817" s="60" t="n">
        <f aca="false">IFERROR(IF(OR(BT817=1,BT817=2,BT817=3),N(INDEX(Parameter!$I$5:$I$7,BT817)),0),0)</f>
        <v>0</v>
      </c>
      <c r="CD817" s="59" t="n">
        <f aca="false">IF(AND(Parameter!$B$21="Ja",ISNUMBER(U817),N(V817)&gt;0),IFERROR(N(INDEX(Parameter!$L$5:$L$7,U817))*INDEX(Parameter!$E$5:$E$7,U817)*V817/SUMIFS($V$7:$V$1576,$U$7:$U$1576,U817),0),0)</f>
        <v>0</v>
      </c>
    </row>
    <row r="818" customFormat="false" ht="15" hidden="false" customHeight="false" outlineLevel="0" collapsed="false">
      <c r="A818" s="55" t="s">
        <v>1567</v>
      </c>
      <c r="B818" s="55" t="s">
        <v>1125</v>
      </c>
      <c r="C818" s="55" t="s">
        <v>160</v>
      </c>
      <c r="D818" s="55" t="s">
        <v>178</v>
      </c>
      <c r="E818" s="55" t="s">
        <v>210</v>
      </c>
      <c r="F818" s="56" t="n">
        <v>5.22</v>
      </c>
      <c r="G818" s="57" t="n">
        <f aca="false">MAX(0,IF(AND(Parameter!$B$21="Ja",ISNUMBER(W818)),W818,IF(Parameter!$B$20="Jahresanfang 2025 + Export",BJ818+BI818,BI818)))</f>
        <v>0</v>
      </c>
      <c r="H818" s="57" t="n">
        <f aca="false">G818*F818</f>
        <v>0</v>
      </c>
      <c r="I818" s="57" t="n">
        <f aca="false">BL818*Parameter!$B$18</f>
        <v>3</v>
      </c>
      <c r="J818" s="58" t="n">
        <v>2.5</v>
      </c>
      <c r="K818" s="59" t="n">
        <v>1.2</v>
      </c>
      <c r="L818" s="57" t="n">
        <v>0</v>
      </c>
      <c r="M818" s="57" t="n">
        <v>5</v>
      </c>
      <c r="N818" s="60" t="n">
        <v>14</v>
      </c>
      <c r="O818" s="55" t="s">
        <v>411</v>
      </c>
      <c r="P818" s="57" t="n">
        <v>1</v>
      </c>
      <c r="Q818" s="60" t="n">
        <f aca="false">IF(BR818=1,0,IFERROR(VLOOKUP(BP818,'Gebinde-Kategorie'!$A$5:$M$45,13,0)+0,0))</f>
        <v>132</v>
      </c>
      <c r="R818" s="61"/>
      <c r="S818" s="62"/>
      <c r="T818" s="62"/>
      <c r="U818" s="55"/>
      <c r="V818" s="57"/>
      <c r="W818" s="57"/>
      <c r="X818" s="55" t="n">
        <f aca="false">IF(A818="","",IF(AND(Parameter!$B$21="Ja",ISNUMBER(U818)),U818,IF(IFERROR(VLOOKUP(D818,Parameter!$A$35:$C$64,2,0),"Nein")="2+3",IF(ISNUMBER(SEARCH("grosser Artikel",BM818)),2,IFERROR(VLOOKUP(BP818,Parameter!$F$35:$G$64,2,0),2)),IF(OR(IFERROR(VLOOKUP(D818,Parameter!$A$35:$C$64,2,0),"Nein")="Nein",IFERROR(VLOOKUP(D818,Parameter!$A$35:$C$64,2,0),"Nein")=""),"-",VLOOKUP(D818,Parameter!$A$35:$C$64,2,0)))))</f>
        <v>3</v>
      </c>
      <c r="Y818" s="62"/>
      <c r="Z818" s="63"/>
      <c r="AA818" s="57" t="n">
        <f aca="false">AP818</f>
        <v>5</v>
      </c>
      <c r="AB818" s="57" t="n">
        <f aca="false">MAX(AP818,G818)</f>
        <v>5</v>
      </c>
      <c r="AC818" s="64"/>
      <c r="AD818" s="57" t="n">
        <f aca="false">IF(LEFT(Cockpit!$C$5,1)="A",G818,IF(BW818=1,BX818,IF(LEFT(Cockpit!$C$5,1)="B",AH818,MAX(AH818,G818))))</f>
        <v>0</v>
      </c>
      <c r="AE818" s="57" t="n">
        <f aca="false">IF(BR818=1,0,ROUNDUP(AD818/BQ818,0))</f>
        <v>0</v>
      </c>
      <c r="AF818" s="59" t="n">
        <f aca="false">IF(CD818&gt;0,CD818*MAX(1,AD818/V818),IF(BR818=1,IF(AD818&lt;=0,0,BS818*MAX(1,IF(G818&gt;0,AD818/G818,1))),IF(Q818&gt;0,AE818/Q818,0))/MAX(0.1,N(Parameter!$M$21)))</f>
        <v>0</v>
      </c>
      <c r="AG818" s="57" t="n">
        <f aca="false">AD818*F818</f>
        <v>0</v>
      </c>
      <c r="AH818" s="57" t="n">
        <f aca="false">ROUNDUP(MAX(I818/IF(BV818&gt;0,BV818,MAX(0.1,N(Cockpit!$C$6))),BY818)/BQ818,0)*BQ818</f>
        <v>5</v>
      </c>
      <c r="AI818" s="58" t="n">
        <f aca="false">IF(AF818&gt;0,I818/AF818,-1)</f>
        <v>-1</v>
      </c>
      <c r="AJ818" s="58" t="str">
        <f aca="false">IF(AND(OR(BU818="L1",BU818="L23"),AF818&gt;0),SUMIFS($AF$7:$AF$1576,$BU$7:$BU$1576,BU818,$AI$7:$AI$1576,"&gt;"&amp;AI818)+SUMIFS($AF$7:$AF$1576,$BU$7:$BU$1576,BU818,$AI$7:$AI$1576,AI818,$BO$7:$BO$1576,"&lt;="&amp;BO818),"")</f>
        <v/>
      </c>
      <c r="AK818" s="65" t="n">
        <f aca="false">IF(AJ818="",0,MAX(0,MIN(1,(IF(BU818="L1",Parameter!$E$5,Parameter!$E$6+Parameter!$E$7)-(AJ818-AF818))/AF818)))</f>
        <v>0</v>
      </c>
      <c r="AL818" s="57" t="n">
        <f aca="false">IF(LEFT(Cockpit!$I$5,1)="A",G818,IF(BW818=1,BX818,IF(LEFT(Cockpit!$I$5,1)="B",AP818,MAX(AP818,G818))))</f>
        <v>5</v>
      </c>
      <c r="AM818" s="57" t="n">
        <f aca="false">IF(BR818=1,0,ROUNDUP(AL818/BQ818,0))</f>
        <v>5</v>
      </c>
      <c r="AN818" s="59" t="n">
        <f aca="false">IF(CD818&gt;0,CD818*MAX(1,AL818/V818),IF(BR818=1,IF(AL818&lt;=0,0,BS818*MAX(1,IF(G818&gt;0,AL818/G818,1))),IF(Q818&gt;0,AM818/Q818,0))/MAX(0.1,N(Parameter!$M$21)))</f>
        <v>0.0378787878787879</v>
      </c>
      <c r="AO818" s="57" t="n">
        <f aca="false">AL818*F818</f>
        <v>26.1</v>
      </c>
      <c r="AP818" s="57" t="n">
        <f aca="false">ROUNDUP(MAX(I818/IF(BV818&gt;0,BV818,MAX(0.1,N(Cockpit!$I$6))),BY818)/BQ818,0)*BQ818</f>
        <v>5</v>
      </c>
      <c r="AQ818" s="58" t="n">
        <f aca="false">IF(AN818&gt;0,I818/AN818,-1)</f>
        <v>79.2</v>
      </c>
      <c r="AR818" s="58" t="n">
        <f aca="false">IF(AND(OR(BU818="L1",BU818="L23"),AN818&gt;0),SUMIFS($AN$7:$AN$1576,$BU$7:$BU$1576,BU818,$AQ$7:$AQ$1576,"&gt;"&amp;AQ818)+SUMIFS($AN$7:$AN$1576,$BU$7:$BU$1576,BU818,$AQ$7:$AQ$1576,AQ818,$BO$7:$BO$1576,"&lt;="&amp;BO818),"")</f>
        <v>74.6187049849661</v>
      </c>
      <c r="AS818" s="65" t="n">
        <f aca="false">IF(AR818="",0,MAX(0,MIN(1,(IF(BU818="L1",Parameter!$E$5,Parameter!$E$6+Parameter!$E$7)-(AR818-AN818))/AN818)))</f>
        <v>1</v>
      </c>
      <c r="AT818" s="57" t="n">
        <f aca="false">IF(LEFT(Cockpit!$O$5,1)="A",G818,IF(BW818=1,BX818,IF(LEFT(Cockpit!$O$5,1)="B",AX818,MAX(AX818,G818))))</f>
        <v>5</v>
      </c>
      <c r="AU818" s="57" t="n">
        <f aca="false">IF(BR818=1,0,ROUNDUP(AT818/BQ818,0))</f>
        <v>5</v>
      </c>
      <c r="AV818" s="59" t="n">
        <f aca="false">IF(CD818&gt;0,CD818*MAX(1,AT818/V818),IF(BR818=1,IF(AT818&lt;=0,0,BS818*MAX(1,IF(G818&gt;0,AT818/G818,1))),IF(Q818&gt;0,AU818/Q818,0))/MAX(0.1,N(Parameter!$M$21)))</f>
        <v>0.0378787878787879</v>
      </c>
      <c r="AW818" s="57" t="n">
        <f aca="false">AT818*F818</f>
        <v>26.1</v>
      </c>
      <c r="AX818" s="57" t="n">
        <f aca="false">ROUNDUP(MAX(I818/IF(BV818&gt;0,BV818,MAX(0.1,N(Cockpit!$O$6))),BY818)/BQ818,0)*BQ818</f>
        <v>5</v>
      </c>
      <c r="AY818" s="58" t="n">
        <f aca="false">IF(AV818&gt;0,I818/AV818,-1)</f>
        <v>79.2</v>
      </c>
      <c r="AZ818" s="58" t="n">
        <f aca="false">IF(AND(OR(BU818="L1",BU818="L23"),AV818&gt;0),SUMIFS($AV$7:$AV$1576,$BU$7:$BU$1576,BU818,$AY$7:$AY$1576,"&gt;"&amp;AY818)+SUMIFS($AV$7:$AV$1576,$BU$7:$BU$1576,BU818,$AY$7:$AY$1576,AY818,$BO$7:$BO$1576,"&lt;="&amp;BO818),"")</f>
        <v>68.7915887678499</v>
      </c>
      <c r="BA818" s="65" t="n">
        <f aca="false">IF(AZ818="",0,MAX(0,MIN(1,(IF(BU818="L1",Parameter!$E$5,Parameter!$E$6+Parameter!$E$7)-(AZ818-AV818))/AV818)))</f>
        <v>1</v>
      </c>
      <c r="BB818" s="55" t="str">
        <f aca="false">IF(AF818&lt;=0,"",IF(BU818="Aussen","Aussenlager",IF(BU818="-","Nicht im Lift",IF(AK818&gt;=1,"Lift",IF(AK818&lt;=0,"Aussenlager","teilweise")))))</f>
        <v/>
      </c>
      <c r="BC818" s="55" t="str">
        <f aca="false">IF(AN818&lt;=0,"",IF(BU818="Aussen","Aussenlager",IF(BU818="-","Nicht im Lift",IF(AS818&gt;=1,"Lift",IF(AS818&lt;=0,"Aussenlager","teilweise")))))</f>
        <v>Lift</v>
      </c>
      <c r="BD818" s="55" t="str">
        <f aca="false">IF(AV818&lt;=0,"",IF(BU818="Aussen","Aussenlager",IF(BU818="-","Nicht im Lift",IF(BA818&gt;=1,"Lift",IF(BA818&lt;=0,"Aussenlager","teilweise")))))</f>
        <v>Lift</v>
      </c>
      <c r="BE818" s="55" t="str">
        <f aca="false">IF(A818="","",IF(BN818=1,"Neu; ","")&amp;IF(AND(BN818=0,BI818&lt;0),"negativer Bestand (Export "&amp;BI818&amp;"); ","")&amp;IF(I818&lt;=0,"Kein Verbrauch; ","")&amp;IF(CD818&gt;0,"Lift "&amp;U818&amp;" lt. Liftbericht (Fach "&amp;V818&amp;" Stk); ",IF(BR818=1,"Lose – Fläche geschätzt; ",""))&amp;IF(G818&gt;AP818,"Überbestand "&amp;ROUND(G818-AP818,0)&amp;" Stk / CHF "&amp;ROUND((G818-AP818)*F818,0)&amp;"; ","")&amp;IF(AND(BW818=1,BX818&lt;BY818),"MAX &lt; MB+LG; ","")&amp;IF(AND(CC818&gt;0,CB818*10&gt;CC818),"zu hoch für Tablar; ","")&amp;IF(AND(BN818=0,OR(BW818=1,Y818&lt;&gt;"",S818&lt;&gt;"",T818&lt;&gt;"",Z818&lt;&gt;"")),"manuell übersteuert; ","")&amp;IF(AND(BR818=0,Q818=0),"Gebinde unbekannt / Stellmass fehlt; ","")&amp;IF(AND(BR818=0,N(T818)&lt;=0,N(P818)&lt;=0),"Menge pro Gebinde fehlt (Ist = 1 Gebinde); ","")&amp;BM818)</f>
        <v/>
      </c>
      <c r="BF818" s="55"/>
      <c r="BG818" s="55"/>
      <c r="BH818" s="62"/>
      <c r="BI818" s="57" t="n">
        <v>0</v>
      </c>
      <c r="BJ818" s="57" t="n">
        <v>2</v>
      </c>
      <c r="BK818" s="56" t="n">
        <v>-8.38</v>
      </c>
      <c r="BL818" s="57" t="n">
        <v>3</v>
      </c>
      <c r="BM818" s="55"/>
      <c r="BN818" s="60" t="n">
        <v>0</v>
      </c>
      <c r="BO818" s="60" t="n">
        <v>818</v>
      </c>
      <c r="BP818" s="55" t="str">
        <f aca="false">IF(S818&lt;&gt;"",UPPER(TRIM(S818)),IF(O818="","LOSE",O818))</f>
        <v>S32</v>
      </c>
      <c r="BQ818" s="57" t="n">
        <f aca="false">IF(BP818="LOSE",1,IF(N(T818)&gt;0,T818,IF(N(P818)&gt;0,P818,MAX(1,G818))))</f>
        <v>1</v>
      </c>
      <c r="BR818" s="60" t="n">
        <f aca="false">IF(BP818="LOSE",1,0)</f>
        <v>0</v>
      </c>
      <c r="BS818" s="59" t="n">
        <f aca="false">IF(BR818=0,0,IF(N(R818)&gt;0,R818,IFERROR(VLOOKUP(D818,Parameter!$A$35:$C$64,3,0)+0,0)))</f>
        <v>0</v>
      </c>
      <c r="BT818" s="55" t="n">
        <f aca="false">IF(Y818&lt;&gt;"",Y818,X818)</f>
        <v>3</v>
      </c>
      <c r="BU818" s="55" t="str">
        <f aca="false">IF(BT818=1,"L1",IF(OR(BT818=2,BT818=3),"L23",IF(BT818="Aussen","Aussen","-")))</f>
        <v>L23</v>
      </c>
      <c r="BV818" s="66" t="n">
        <f aca="false">IF(N(Z818)&gt;0,Z818,0)</f>
        <v>0</v>
      </c>
      <c r="BW818" s="60" t="n">
        <f aca="false">IF(ISNUMBER(AC818),1,0)</f>
        <v>0</v>
      </c>
      <c r="BX818" s="57" t="n">
        <f aca="false">N(AC818)</f>
        <v>0</v>
      </c>
      <c r="BY818" s="57" t="n">
        <f aca="false">N(L818)+N(M818)</f>
        <v>5</v>
      </c>
      <c r="BZ818" s="57" t="n">
        <f aca="false">ROUNDUP(G818/BQ818,0)</f>
        <v>0</v>
      </c>
      <c r="CA818" s="57" t="n">
        <f aca="false">ROUNDUP(BX818/BQ818,0)</f>
        <v>0</v>
      </c>
      <c r="CB818" s="60" t="n">
        <f aca="false">IF(BR818=1,0,IFERROR(VLOOKUP(BP818,'Gebinde-Kategorie'!$A$5:$M$45,5,0)+0,0))</f>
        <v>8</v>
      </c>
      <c r="CC818" s="60" t="n">
        <f aca="false">IFERROR(IF(OR(BT818=1,BT818=2,BT818=3),N(INDEX(Parameter!$I$5:$I$7,BT818)),0),0)</f>
        <v>0</v>
      </c>
      <c r="CD818" s="59" t="n">
        <f aca="false">IF(AND(Parameter!$B$21="Ja",ISNUMBER(U818),N(V818)&gt;0),IFERROR(N(INDEX(Parameter!$L$5:$L$7,U818))*INDEX(Parameter!$E$5:$E$7,U818)*V818/SUMIFS($V$7:$V$1576,$U$7:$U$1576,U818),0),0)</f>
        <v>0</v>
      </c>
    </row>
    <row r="819" customFormat="false" ht="15" hidden="false" customHeight="false" outlineLevel="0" collapsed="false">
      <c r="A819" s="55" t="s">
        <v>1568</v>
      </c>
      <c r="B819" s="55" t="s">
        <v>457</v>
      </c>
      <c r="C819" s="55" t="s">
        <v>160</v>
      </c>
      <c r="D819" s="55" t="s">
        <v>178</v>
      </c>
      <c r="E819" s="55" t="s">
        <v>210</v>
      </c>
      <c r="F819" s="56" t="n">
        <v>0.19</v>
      </c>
      <c r="G819" s="57" t="n">
        <f aca="false">MAX(0,IF(AND(Parameter!$B$21="Ja",ISNUMBER(W819)),W819,IF(Parameter!$B$20="Jahresanfang 2025 + Export",BJ819+BI819,BI819)))</f>
        <v>0</v>
      </c>
      <c r="H819" s="57" t="n">
        <f aca="false">G819*F819</f>
        <v>0</v>
      </c>
      <c r="I819" s="57" t="n">
        <f aca="false">BL819*Parameter!$B$18</f>
        <v>310</v>
      </c>
      <c r="J819" s="58" t="n">
        <v>166</v>
      </c>
      <c r="K819" s="59" t="n">
        <v>1.86746987951807</v>
      </c>
      <c r="L819" s="57" t="n">
        <v>12</v>
      </c>
      <c r="M819" s="57" t="n">
        <v>310</v>
      </c>
      <c r="N819" s="60" t="n">
        <v>14</v>
      </c>
      <c r="O819" s="55" t="s">
        <v>416</v>
      </c>
      <c r="P819" s="57" t="n">
        <v>195</v>
      </c>
      <c r="Q819" s="60" t="n">
        <f aca="false">IF(BR819=1,0,IFERROR(VLOOKUP(BP819,'Gebinde-Kategorie'!$A$5:$M$45,13,0)+0,0))</f>
        <v>198</v>
      </c>
      <c r="R819" s="61"/>
      <c r="S819" s="62"/>
      <c r="T819" s="62"/>
      <c r="U819" s="55"/>
      <c r="V819" s="57"/>
      <c r="W819" s="57"/>
      <c r="X819" s="55" t="n">
        <f aca="false">IF(A819="","",IF(AND(Parameter!$B$21="Ja",ISNUMBER(U819)),U819,IF(IFERROR(VLOOKUP(D819,Parameter!$A$35:$C$64,2,0),"Nein")="2+3",IF(ISNUMBER(SEARCH("grosser Artikel",BM819)),2,IFERROR(VLOOKUP(BP819,Parameter!$F$35:$G$64,2,0),2)),IF(OR(IFERROR(VLOOKUP(D819,Parameter!$A$35:$C$64,2,0),"Nein")="Nein",IFERROR(VLOOKUP(D819,Parameter!$A$35:$C$64,2,0),"Nein")=""),"-",VLOOKUP(D819,Parameter!$A$35:$C$64,2,0)))))</f>
        <v>3</v>
      </c>
      <c r="Y819" s="62"/>
      <c r="Z819" s="63"/>
      <c r="AA819" s="57" t="n">
        <f aca="false">AP819</f>
        <v>390</v>
      </c>
      <c r="AB819" s="57" t="n">
        <f aca="false">MAX(AP819,G819)</f>
        <v>390</v>
      </c>
      <c r="AC819" s="64"/>
      <c r="AD819" s="57" t="n">
        <f aca="false">IF(LEFT(Cockpit!$C$5,1)="A",G819,IF(BW819=1,BX819,IF(LEFT(Cockpit!$C$5,1)="B",AH819,MAX(AH819,G819))))</f>
        <v>0</v>
      </c>
      <c r="AE819" s="57" t="n">
        <f aca="false">IF(BR819=1,0,ROUNDUP(AD819/BQ819,0))</f>
        <v>0</v>
      </c>
      <c r="AF819" s="59" t="n">
        <f aca="false">IF(CD819&gt;0,CD819*MAX(1,AD819/V819),IF(BR819=1,IF(AD819&lt;=0,0,BS819*MAX(1,IF(G819&gt;0,AD819/G819,1))),IF(Q819&gt;0,AE819/Q819,0))/MAX(0.1,N(Parameter!$M$21)))</f>
        <v>0</v>
      </c>
      <c r="AG819" s="57" t="n">
        <f aca="false">AD819*F819</f>
        <v>0</v>
      </c>
      <c r="AH819" s="57" t="n">
        <f aca="false">ROUNDUP(MAX(I819/IF(BV819&gt;0,BV819,MAX(0.1,N(Cockpit!$C$6))),BY819)/BQ819,0)*BQ819</f>
        <v>390</v>
      </c>
      <c r="AI819" s="58" t="n">
        <f aca="false">IF(AF819&gt;0,I819/AF819,-1)</f>
        <v>-1</v>
      </c>
      <c r="AJ819" s="58" t="str">
        <f aca="false">IF(AND(OR(BU819="L1",BU819="L23"),AF819&gt;0),SUMIFS($AF$7:$AF$1576,$BU$7:$BU$1576,BU819,$AI$7:$AI$1576,"&gt;"&amp;AI819)+SUMIFS($AF$7:$AF$1576,$BU$7:$BU$1576,BU819,$AI$7:$AI$1576,AI819,$BO$7:$BO$1576,"&lt;="&amp;BO819),"")</f>
        <v/>
      </c>
      <c r="AK819" s="65" t="n">
        <f aca="false">IF(AJ819="",0,MAX(0,MIN(1,(IF(BU819="L1",Parameter!$E$5,Parameter!$E$6+Parameter!$E$7)-(AJ819-AF819))/AF819)))</f>
        <v>0</v>
      </c>
      <c r="AL819" s="57" t="n">
        <f aca="false">IF(LEFT(Cockpit!$I$5,1)="A",G819,IF(BW819=1,BX819,IF(LEFT(Cockpit!$I$5,1)="B",AP819,MAX(AP819,G819))))</f>
        <v>390</v>
      </c>
      <c r="AM819" s="57" t="n">
        <f aca="false">IF(BR819=1,0,ROUNDUP(AL819/BQ819,0))</f>
        <v>2</v>
      </c>
      <c r="AN819" s="59" t="n">
        <f aca="false">IF(CD819&gt;0,CD819*MAX(1,AL819/V819),IF(BR819=1,IF(AL819&lt;=0,0,BS819*MAX(1,IF(G819&gt;0,AL819/G819,1))),IF(Q819&gt;0,AM819/Q819,0))/MAX(0.1,N(Parameter!$M$21)))</f>
        <v>0.0101010101010101</v>
      </c>
      <c r="AO819" s="57" t="n">
        <f aca="false">AL819*F819</f>
        <v>74.1</v>
      </c>
      <c r="AP819" s="57" t="n">
        <f aca="false">ROUNDUP(MAX(I819/IF(BV819&gt;0,BV819,MAX(0.1,N(Cockpit!$I$6))),BY819)/BQ819,0)*BQ819</f>
        <v>390</v>
      </c>
      <c r="AQ819" s="58" t="n">
        <f aca="false">IF(AN819&gt;0,I819/AN819,-1)</f>
        <v>30690</v>
      </c>
      <c r="AR819" s="58" t="n">
        <f aca="false">IF(AND(OR(BU819="L1",BU819="L23"),AN819&gt;0),SUMIFS($AN$7:$AN$1576,$BU$7:$BU$1576,BU819,$AQ$7:$AQ$1576,"&gt;"&amp;AQ819)+SUMIFS($AN$7:$AN$1576,$BU$7:$BU$1576,BU819,$AQ$7:$AQ$1576,AQ819,$BO$7:$BO$1576,"&lt;="&amp;BO819),"")</f>
        <v>2.77098273706969</v>
      </c>
      <c r="AS819" s="65" t="n">
        <f aca="false">IF(AR819="",0,MAX(0,MIN(1,(IF(BU819="L1",Parameter!$E$5,Parameter!$E$6+Parameter!$E$7)-(AR819-AN819))/AN819)))</f>
        <v>1</v>
      </c>
      <c r="AT819" s="57" t="n">
        <f aca="false">IF(LEFT(Cockpit!$O$5,1)="A",G819,IF(BW819=1,BX819,IF(LEFT(Cockpit!$O$5,1)="B",AX819,MAX(AX819,G819))))</f>
        <v>390</v>
      </c>
      <c r="AU819" s="57" t="n">
        <f aca="false">IF(BR819=1,0,ROUNDUP(AT819/BQ819,0))</f>
        <v>2</v>
      </c>
      <c r="AV819" s="59" t="n">
        <f aca="false">IF(CD819&gt;0,CD819*MAX(1,AT819/V819),IF(BR819=1,IF(AT819&lt;=0,0,BS819*MAX(1,IF(G819&gt;0,AT819/G819,1))),IF(Q819&gt;0,AU819/Q819,0))/MAX(0.1,N(Parameter!$M$21)))</f>
        <v>0.0101010101010101</v>
      </c>
      <c r="AW819" s="57" t="n">
        <f aca="false">AT819*F819</f>
        <v>74.1</v>
      </c>
      <c r="AX819" s="57" t="n">
        <f aca="false">ROUNDUP(MAX(I819/IF(BV819&gt;0,BV819,MAX(0.1,N(Cockpit!$O$6))),BY819)/BQ819,0)*BQ819</f>
        <v>390</v>
      </c>
      <c r="AY819" s="58" t="n">
        <f aca="false">IF(AV819&gt;0,I819/AV819,-1)</f>
        <v>30690</v>
      </c>
      <c r="AZ819" s="58" t="n">
        <f aca="false">IF(AND(OR(BU819="L1",BU819="L23"),AV819&gt;0),SUMIFS($AV$7:$AV$1576,$BU$7:$BU$1576,BU819,$AY$7:$AY$1576,"&gt;"&amp;AY819)+SUMIFS($AV$7:$AV$1576,$BU$7:$BU$1576,BU819,$AY$7:$AY$1576,AY819,$BO$7:$BO$1576,"&lt;="&amp;BO819),"")</f>
        <v>2.5775095435965</v>
      </c>
      <c r="BA819" s="65" t="n">
        <f aca="false">IF(AZ819="",0,MAX(0,MIN(1,(IF(BU819="L1",Parameter!$E$5,Parameter!$E$6+Parameter!$E$7)-(AZ819-AV819))/AV819)))</f>
        <v>1</v>
      </c>
      <c r="BB819" s="55" t="str">
        <f aca="false">IF(AF819&lt;=0,"",IF(BU819="Aussen","Aussenlager",IF(BU819="-","Nicht im Lift",IF(AK819&gt;=1,"Lift",IF(AK819&lt;=0,"Aussenlager","teilweise")))))</f>
        <v/>
      </c>
      <c r="BC819" s="55" t="str">
        <f aca="false">IF(AN819&lt;=0,"",IF(BU819="Aussen","Aussenlager",IF(BU819="-","Nicht im Lift",IF(AS819&gt;=1,"Lift",IF(AS819&lt;=0,"Aussenlager","teilweise")))))</f>
        <v>Lift</v>
      </c>
      <c r="BD819" s="55" t="str">
        <f aca="false">IF(AV819&lt;=0,"",IF(BU819="Aussen","Aussenlager",IF(BU819="-","Nicht im Lift",IF(BA819&gt;=1,"Lift",IF(BA819&lt;=0,"Aussenlager","teilweise")))))</f>
        <v>Lift</v>
      </c>
      <c r="BE819" s="55" t="str">
        <f aca="false">IF(A819="","",IF(BN819=1,"Neu; ","")&amp;IF(AND(BN819=0,BI819&lt;0),"negativer Bestand (Export "&amp;BI819&amp;"); ","")&amp;IF(I819&lt;=0,"Kein Verbrauch; ","")&amp;IF(CD819&gt;0,"Lift "&amp;U819&amp;" lt. Liftbericht (Fach "&amp;V819&amp;" Stk); ",IF(BR819=1,"Lose – Fläche geschätzt; ",""))&amp;IF(G819&gt;AP819,"Überbestand "&amp;ROUND(G819-AP819,0)&amp;" Stk / CHF "&amp;ROUND((G819-AP819)*F819,0)&amp;"; ","")&amp;IF(AND(BW819=1,BX819&lt;BY819),"MAX &lt; MB+LG; ","")&amp;IF(AND(CC819&gt;0,CB819*10&gt;CC819),"zu hoch für Tablar; ","")&amp;IF(AND(BN819=0,OR(BW819=1,Y819&lt;&gt;"",S819&lt;&gt;"",T819&lt;&gt;"",Z819&lt;&gt;"")),"manuell übersteuert; ","")&amp;IF(AND(BR819=0,Q819=0),"Gebinde unbekannt / Stellmass fehlt; ","")&amp;IF(AND(BR819=0,N(T819)&lt;=0,N(P819)&lt;=0),"Menge pro Gebinde fehlt (Ist = 1 Gebinde); ","")&amp;BM819)</f>
        <v>negativer Bestand (Export -47); </v>
      </c>
      <c r="BF819" s="55"/>
      <c r="BG819" s="55"/>
      <c r="BH819" s="62"/>
      <c r="BI819" s="57" t="n">
        <v>-47</v>
      </c>
      <c r="BJ819" s="57" t="n">
        <v>122</v>
      </c>
      <c r="BK819" s="56" t="n">
        <v>-8.93000000000001</v>
      </c>
      <c r="BL819" s="57" t="n">
        <v>310</v>
      </c>
      <c r="BM819" s="55"/>
      <c r="BN819" s="60" t="n">
        <v>0</v>
      </c>
      <c r="BO819" s="60" t="n">
        <v>819</v>
      </c>
      <c r="BP819" s="55" t="str">
        <f aca="false">IF(S819&lt;&gt;"",UPPER(TRIM(S819)),IF(O819="","LOSE",O819))</f>
        <v>S22</v>
      </c>
      <c r="BQ819" s="57" t="n">
        <f aca="false">IF(BP819="LOSE",1,IF(N(T819)&gt;0,T819,IF(N(P819)&gt;0,P819,MAX(1,G819))))</f>
        <v>195</v>
      </c>
      <c r="BR819" s="60" t="n">
        <f aca="false">IF(BP819="LOSE",1,0)</f>
        <v>0</v>
      </c>
      <c r="BS819" s="59" t="n">
        <f aca="false">IF(BR819=0,0,IF(N(R819)&gt;0,R819,IFERROR(VLOOKUP(D819,Parameter!$A$35:$C$64,3,0)+0,0)))</f>
        <v>0</v>
      </c>
      <c r="BT819" s="55" t="n">
        <f aca="false">IF(Y819&lt;&gt;"",Y819,X819)</f>
        <v>3</v>
      </c>
      <c r="BU819" s="55" t="str">
        <f aca="false">IF(BT819=1,"L1",IF(OR(BT819=2,BT819=3),"L23",IF(BT819="Aussen","Aussen","-")))</f>
        <v>L23</v>
      </c>
      <c r="BV819" s="66" t="n">
        <f aca="false">IF(N(Z819)&gt;0,Z819,0)</f>
        <v>0</v>
      </c>
      <c r="BW819" s="60" t="n">
        <f aca="false">IF(ISNUMBER(AC819),1,0)</f>
        <v>0</v>
      </c>
      <c r="BX819" s="57" t="n">
        <f aca="false">N(AC819)</f>
        <v>0</v>
      </c>
      <c r="BY819" s="57" t="n">
        <f aca="false">N(L819)+N(M819)</f>
        <v>322</v>
      </c>
      <c r="BZ819" s="57" t="n">
        <f aca="false">ROUNDUP(G819/BQ819,0)</f>
        <v>0</v>
      </c>
      <c r="CA819" s="57" t="n">
        <f aca="false">ROUNDUP(BX819/BQ819,0)</f>
        <v>0</v>
      </c>
      <c r="CB819" s="60" t="n">
        <f aca="false">IF(BR819=1,0,IFERROR(VLOOKUP(BP819,'Gebinde-Kategorie'!$A$5:$M$45,5,0)+0,0))</f>
        <v>8</v>
      </c>
      <c r="CC819" s="60" t="n">
        <f aca="false">IFERROR(IF(OR(BT819=1,BT819=2,BT819=3),N(INDEX(Parameter!$I$5:$I$7,BT819)),0),0)</f>
        <v>0</v>
      </c>
      <c r="CD819" s="59" t="n">
        <f aca="false">IF(AND(Parameter!$B$21="Ja",ISNUMBER(U819),N(V819)&gt;0),IFERROR(N(INDEX(Parameter!$L$5:$L$7,U819))*INDEX(Parameter!$E$5:$E$7,U819)*V819/SUMIFS($V$7:$V$1576,$U$7:$U$1576,U819),0),0)</f>
        <v>0</v>
      </c>
    </row>
    <row r="820" customFormat="false" ht="15" hidden="false" customHeight="false" outlineLevel="0" collapsed="false">
      <c r="A820" s="55" t="s">
        <v>1569</v>
      </c>
      <c r="B820" s="55" t="s">
        <v>1570</v>
      </c>
      <c r="C820" s="55" t="s">
        <v>160</v>
      </c>
      <c r="D820" s="55" t="s">
        <v>178</v>
      </c>
      <c r="E820" s="55" t="s">
        <v>210</v>
      </c>
      <c r="F820" s="56" t="n">
        <v>9.4</v>
      </c>
      <c r="G820" s="57" t="n">
        <f aca="false">MAX(0,IF(AND(Parameter!$B$21="Ja",ISNUMBER(W820)),W820,IF(Parameter!$B$20="Jahresanfang 2025 + Export",BJ820+BI820,BI820)))</f>
        <v>0</v>
      </c>
      <c r="H820" s="57" t="n">
        <f aca="false">G820*F820</f>
        <v>0</v>
      </c>
      <c r="I820" s="57" t="n">
        <f aca="false">BL820*Parameter!$B$18</f>
        <v>0</v>
      </c>
      <c r="J820" s="58" t="n">
        <v>10.5</v>
      </c>
      <c r="K820" s="59" t="n">
        <v>0</v>
      </c>
      <c r="L820" s="57" t="n">
        <v>0</v>
      </c>
      <c r="M820" s="57" t="n">
        <v>1</v>
      </c>
      <c r="N820" s="60" t="n">
        <v>14</v>
      </c>
      <c r="O820" s="55" t="s">
        <v>416</v>
      </c>
      <c r="P820" s="57" t="n">
        <v>15</v>
      </c>
      <c r="Q820" s="60" t="n">
        <f aca="false">IF(BR820=1,0,IFERROR(VLOOKUP(BP820,'Gebinde-Kategorie'!$A$5:$M$45,13,0)+0,0))</f>
        <v>198</v>
      </c>
      <c r="R820" s="61"/>
      <c r="S820" s="62"/>
      <c r="T820" s="62"/>
      <c r="U820" s="55"/>
      <c r="V820" s="57"/>
      <c r="W820" s="57"/>
      <c r="X820" s="55" t="n">
        <f aca="false">IF(A820="","",IF(AND(Parameter!$B$21="Ja",ISNUMBER(U820)),U820,IF(IFERROR(VLOOKUP(D820,Parameter!$A$35:$C$64,2,0),"Nein")="2+3",IF(ISNUMBER(SEARCH("grosser Artikel",BM820)),2,IFERROR(VLOOKUP(BP820,Parameter!$F$35:$G$64,2,0),2)),IF(OR(IFERROR(VLOOKUP(D820,Parameter!$A$35:$C$64,2,0),"Nein")="Nein",IFERROR(VLOOKUP(D820,Parameter!$A$35:$C$64,2,0),"Nein")=""),"-",VLOOKUP(D820,Parameter!$A$35:$C$64,2,0)))))</f>
        <v>3</v>
      </c>
      <c r="Y820" s="62"/>
      <c r="Z820" s="63"/>
      <c r="AA820" s="57" t="n">
        <f aca="false">AP820</f>
        <v>15</v>
      </c>
      <c r="AB820" s="57" t="n">
        <f aca="false">MAX(AP820,G820)</f>
        <v>15</v>
      </c>
      <c r="AC820" s="64"/>
      <c r="AD820" s="57" t="n">
        <f aca="false">IF(LEFT(Cockpit!$C$5,1)="A",G820,IF(BW820=1,BX820,IF(LEFT(Cockpit!$C$5,1)="B",AH820,MAX(AH820,G820))))</f>
        <v>0</v>
      </c>
      <c r="AE820" s="57" t="n">
        <f aca="false">IF(BR820=1,0,ROUNDUP(AD820/BQ820,0))</f>
        <v>0</v>
      </c>
      <c r="AF820" s="59" t="n">
        <f aca="false">IF(CD820&gt;0,CD820*MAX(1,AD820/V820),IF(BR820=1,IF(AD820&lt;=0,0,BS820*MAX(1,IF(G820&gt;0,AD820/G820,1))),IF(Q820&gt;0,AE820/Q820,0))/MAX(0.1,N(Parameter!$M$21)))</f>
        <v>0</v>
      </c>
      <c r="AG820" s="57" t="n">
        <f aca="false">AD820*F820</f>
        <v>0</v>
      </c>
      <c r="AH820" s="57" t="n">
        <f aca="false">ROUNDUP(MAX(I820/IF(BV820&gt;0,BV820,MAX(0.1,N(Cockpit!$C$6))),BY820)/BQ820,0)*BQ820</f>
        <v>15</v>
      </c>
      <c r="AI820" s="58" t="n">
        <f aca="false">IF(AF820&gt;0,I820/AF820,-1)</f>
        <v>-1</v>
      </c>
      <c r="AJ820" s="58" t="str">
        <f aca="false">IF(AND(OR(BU820="L1",BU820="L23"),AF820&gt;0),SUMIFS($AF$7:$AF$1576,$BU$7:$BU$1576,BU820,$AI$7:$AI$1576,"&gt;"&amp;AI820)+SUMIFS($AF$7:$AF$1576,$BU$7:$BU$1576,BU820,$AI$7:$AI$1576,AI820,$BO$7:$BO$1576,"&lt;="&amp;BO820),"")</f>
        <v/>
      </c>
      <c r="AK820" s="65" t="n">
        <f aca="false">IF(AJ820="",0,MAX(0,MIN(1,(IF(BU820="L1",Parameter!$E$5,Parameter!$E$6+Parameter!$E$7)-(AJ820-AF820))/AF820)))</f>
        <v>0</v>
      </c>
      <c r="AL820" s="57" t="n">
        <f aca="false">IF(LEFT(Cockpit!$I$5,1)="A",G820,IF(BW820=1,BX820,IF(LEFT(Cockpit!$I$5,1)="B",AP820,MAX(AP820,G820))))</f>
        <v>15</v>
      </c>
      <c r="AM820" s="57" t="n">
        <f aca="false">IF(BR820=1,0,ROUNDUP(AL820/BQ820,0))</f>
        <v>1</v>
      </c>
      <c r="AN820" s="59" t="n">
        <f aca="false">IF(CD820&gt;0,CD820*MAX(1,AL820/V820),IF(BR820=1,IF(AL820&lt;=0,0,BS820*MAX(1,IF(G820&gt;0,AL820/G820,1))),IF(Q820&gt;0,AM820/Q820,0))/MAX(0.1,N(Parameter!$M$21)))</f>
        <v>0.00505050505050505</v>
      </c>
      <c r="AO820" s="57" t="n">
        <f aca="false">AL820*F820</f>
        <v>141</v>
      </c>
      <c r="AP820" s="57" t="n">
        <f aca="false">ROUNDUP(MAX(I820/IF(BV820&gt;0,BV820,MAX(0.1,N(Cockpit!$I$6))),BY820)/BQ820,0)*BQ820</f>
        <v>15</v>
      </c>
      <c r="AQ820" s="58" t="n">
        <f aca="false">IF(AN820&gt;0,I820/AN820,-1)</f>
        <v>0</v>
      </c>
      <c r="AR820" s="58" t="n">
        <f aca="false">IF(AND(OR(BU820="L1",BU820="L23"),AN820&gt;0),SUMIFS($AN$7:$AN$1576,$BU$7:$BU$1576,BU820,$AQ$7:$AQ$1576,"&gt;"&amp;AQ820)+SUMIFS($AN$7:$AN$1576,$BU$7:$BU$1576,BU820,$AQ$7:$AQ$1576,AQ820,$BO$7:$BO$1576,"&lt;="&amp;BO820),"")</f>
        <v>130.785611031528</v>
      </c>
      <c r="AS820" s="65" t="n">
        <f aca="false">IF(AR820="",0,MAX(0,MIN(1,(IF(BU820="L1",Parameter!$E$5,Parameter!$E$6+Parameter!$E$7)-(AR820-AN820))/AN820)))</f>
        <v>0</v>
      </c>
      <c r="AT820" s="57" t="n">
        <f aca="false">IF(LEFT(Cockpit!$O$5,1)="A",G820,IF(BW820=1,BX820,IF(LEFT(Cockpit!$O$5,1)="B",AX820,MAX(AX820,G820))))</f>
        <v>15</v>
      </c>
      <c r="AU820" s="57" t="n">
        <f aca="false">IF(BR820=1,0,ROUNDUP(AT820/BQ820,0))</f>
        <v>1</v>
      </c>
      <c r="AV820" s="59" t="n">
        <f aca="false">IF(CD820&gt;0,CD820*MAX(1,AT820/V820),IF(BR820=1,IF(AT820&lt;=0,0,BS820*MAX(1,IF(G820&gt;0,AT820/G820,1))),IF(Q820&gt;0,AU820/Q820,0))/MAX(0.1,N(Parameter!$M$21)))</f>
        <v>0.00505050505050505</v>
      </c>
      <c r="AW820" s="57" t="n">
        <f aca="false">AT820*F820</f>
        <v>141</v>
      </c>
      <c r="AX820" s="57" t="n">
        <f aca="false">ROUNDUP(MAX(I820/IF(BV820&gt;0,BV820,MAX(0.1,N(Cockpit!$O$6))),BY820)/BQ820,0)*BQ820</f>
        <v>15</v>
      </c>
      <c r="AY820" s="58" t="n">
        <f aca="false">IF(AV820&gt;0,I820/AV820,-1)</f>
        <v>0</v>
      </c>
      <c r="AZ820" s="58" t="n">
        <f aca="false">IF(AND(OR(BU820="L1",BU820="L23"),AV820&gt;0),SUMIFS($AV$7:$AV$1576,$BU$7:$BU$1576,BU820,$AY$7:$AY$1576,"&gt;"&amp;AY820)+SUMIFS($AV$7:$AV$1576,$BU$7:$BU$1576,BU820,$AY$7:$AY$1576,AY820,$BO$7:$BO$1576,"&lt;="&amp;BO820),"")</f>
        <v>120.845161481079</v>
      </c>
      <c r="BA820" s="65" t="n">
        <f aca="false">IF(AZ820="",0,MAX(0,MIN(1,(IF(BU820="L1",Parameter!$E$5,Parameter!$E$6+Parameter!$E$7)-(AZ820-AV820))/AV820)))</f>
        <v>0</v>
      </c>
      <c r="BB820" s="55" t="str">
        <f aca="false">IF(AF820&lt;=0,"",IF(BU820="Aussen","Aussenlager",IF(BU820="-","Nicht im Lift",IF(AK820&gt;=1,"Lift",IF(AK820&lt;=0,"Aussenlager","teilweise")))))</f>
        <v/>
      </c>
      <c r="BC820" s="55" t="str">
        <f aca="false">IF(AN820&lt;=0,"",IF(BU820="Aussen","Aussenlager",IF(BU820="-","Nicht im Lift",IF(AS820&gt;=1,"Lift",IF(AS820&lt;=0,"Aussenlager","teilweise")))))</f>
        <v>Aussenlager</v>
      </c>
      <c r="BD820" s="55" t="str">
        <f aca="false">IF(AV820&lt;=0,"",IF(BU820="Aussen","Aussenlager",IF(BU820="-","Nicht im Lift",IF(BA820&gt;=1,"Lift",IF(BA820&lt;=0,"Aussenlager","teilweise")))))</f>
        <v>Aussenlager</v>
      </c>
      <c r="BE820" s="55" t="str">
        <f aca="false">IF(A820="","",IF(BN820=1,"Neu; ","")&amp;IF(AND(BN820=0,BI820&lt;0),"negativer Bestand (Export "&amp;BI820&amp;"); ","")&amp;IF(I820&lt;=0,"Kein Verbrauch; ","")&amp;IF(CD820&gt;0,"Lift "&amp;U820&amp;" lt. Liftbericht (Fach "&amp;V820&amp;" Stk); ",IF(BR820=1,"Lose – Fläche geschätzt; ",""))&amp;IF(G820&gt;AP820,"Überbestand "&amp;ROUND(G820-AP820,0)&amp;" Stk / CHF "&amp;ROUND((G820-AP820)*F820,0)&amp;"; ","")&amp;IF(AND(BW820=1,BX820&lt;BY820),"MAX &lt; MB+LG; ","")&amp;IF(AND(CC820&gt;0,CB820*10&gt;CC820),"zu hoch für Tablar; ","")&amp;IF(AND(BN820=0,OR(BW820=1,Y820&lt;&gt;"",S820&lt;&gt;"",T820&lt;&gt;"",Z820&lt;&gt;"")),"manuell übersteuert; ","")&amp;IF(AND(BR820=0,Q820=0),"Gebinde unbekannt / Stellmass fehlt; ","")&amp;IF(AND(BR820=0,N(T820)&lt;=0,N(P820)&lt;=0),"Menge pro Gebinde fehlt (Ist = 1 Gebinde); ","")&amp;BM820)</f>
        <v>negativer Bestand (Export -1); Kein Verbrauch; Neu</v>
      </c>
      <c r="BF820" s="55"/>
      <c r="BG820" s="55"/>
      <c r="BH820" s="62"/>
      <c r="BI820" s="57" t="n">
        <v>-1</v>
      </c>
      <c r="BJ820" s="57" t="n">
        <v>11</v>
      </c>
      <c r="BK820" s="56" t="n">
        <v>-9.4</v>
      </c>
      <c r="BL820" s="57" t="n">
        <v>0</v>
      </c>
      <c r="BM820" s="55" t="s">
        <v>615</v>
      </c>
      <c r="BN820" s="60" t="n">
        <v>0</v>
      </c>
      <c r="BO820" s="60" t="n">
        <v>820</v>
      </c>
      <c r="BP820" s="55" t="str">
        <f aca="false">IF(S820&lt;&gt;"",UPPER(TRIM(S820)),IF(O820="","LOSE",O820))</f>
        <v>S22</v>
      </c>
      <c r="BQ820" s="57" t="n">
        <f aca="false">IF(BP820="LOSE",1,IF(N(T820)&gt;0,T820,IF(N(P820)&gt;0,P820,MAX(1,G820))))</f>
        <v>15</v>
      </c>
      <c r="BR820" s="60" t="n">
        <f aca="false">IF(BP820="LOSE",1,0)</f>
        <v>0</v>
      </c>
      <c r="BS820" s="59" t="n">
        <f aca="false">IF(BR820=0,0,IF(N(R820)&gt;0,R820,IFERROR(VLOOKUP(D820,Parameter!$A$35:$C$64,3,0)+0,0)))</f>
        <v>0</v>
      </c>
      <c r="BT820" s="55" t="n">
        <f aca="false">IF(Y820&lt;&gt;"",Y820,X820)</f>
        <v>3</v>
      </c>
      <c r="BU820" s="55" t="str">
        <f aca="false">IF(BT820=1,"L1",IF(OR(BT820=2,BT820=3),"L23",IF(BT820="Aussen","Aussen","-")))</f>
        <v>L23</v>
      </c>
      <c r="BV820" s="66" t="n">
        <f aca="false">IF(N(Z820)&gt;0,Z820,0)</f>
        <v>0</v>
      </c>
      <c r="BW820" s="60" t="n">
        <f aca="false">IF(ISNUMBER(AC820),1,0)</f>
        <v>0</v>
      </c>
      <c r="BX820" s="57" t="n">
        <f aca="false">N(AC820)</f>
        <v>0</v>
      </c>
      <c r="BY820" s="57" t="n">
        <f aca="false">N(L820)+N(M820)</f>
        <v>1</v>
      </c>
      <c r="BZ820" s="57" t="n">
        <f aca="false">ROUNDUP(G820/BQ820,0)</f>
        <v>0</v>
      </c>
      <c r="CA820" s="57" t="n">
        <f aca="false">ROUNDUP(BX820/BQ820,0)</f>
        <v>0</v>
      </c>
      <c r="CB820" s="60" t="n">
        <f aca="false">IF(BR820=1,0,IFERROR(VLOOKUP(BP820,'Gebinde-Kategorie'!$A$5:$M$45,5,0)+0,0))</f>
        <v>8</v>
      </c>
      <c r="CC820" s="60" t="n">
        <f aca="false">IFERROR(IF(OR(BT820=1,BT820=2,BT820=3),N(INDEX(Parameter!$I$5:$I$7,BT820)),0),0)</f>
        <v>0</v>
      </c>
      <c r="CD820" s="59" t="n">
        <f aca="false">IF(AND(Parameter!$B$21="Ja",ISNUMBER(U820),N(V820)&gt;0),IFERROR(N(INDEX(Parameter!$L$5:$L$7,U820))*INDEX(Parameter!$E$5:$E$7,U820)*V820/SUMIFS($V$7:$V$1576,$U$7:$U$1576,U820),0),0)</f>
        <v>0</v>
      </c>
    </row>
    <row r="821" customFormat="false" ht="15" hidden="false" customHeight="false" outlineLevel="0" collapsed="false">
      <c r="A821" s="55" t="s">
        <v>1571</v>
      </c>
      <c r="B821" s="55" t="s">
        <v>397</v>
      </c>
      <c r="C821" s="55" t="s">
        <v>160</v>
      </c>
      <c r="D821" s="55" t="s">
        <v>178</v>
      </c>
      <c r="E821" s="55" t="s">
        <v>210</v>
      </c>
      <c r="F821" s="56" t="n">
        <v>0.02</v>
      </c>
      <c r="G821" s="57" t="n">
        <f aca="false">MAX(0,IF(AND(Parameter!$B$21="Ja",ISNUMBER(W821)),W821,IF(Parameter!$B$20="Jahresanfang 2025 + Export",BJ821+BI821,BI821)))</f>
        <v>0</v>
      </c>
      <c r="H821" s="57" t="n">
        <f aca="false">G821*F821</f>
        <v>0</v>
      </c>
      <c r="I821" s="57" t="n">
        <f aca="false">BL821*Parameter!$B$18</f>
        <v>684</v>
      </c>
      <c r="J821" s="58" t="n">
        <v>535.5</v>
      </c>
      <c r="K821" s="59" t="n">
        <v>1.27731092436975</v>
      </c>
      <c r="L821" s="57" t="n">
        <v>39</v>
      </c>
      <c r="M821" s="57" t="n">
        <v>1000</v>
      </c>
      <c r="N821" s="60" t="n">
        <v>21</v>
      </c>
      <c r="O821" s="55" t="s">
        <v>391</v>
      </c>
      <c r="P821" s="57" t="n">
        <v>218</v>
      </c>
      <c r="Q821" s="60" t="n">
        <f aca="false">IF(BR821=1,0,IFERROR(VLOOKUP(BP821,'Gebinde-Kategorie'!$A$5:$M$45,13,0)+0,0))</f>
        <v>414</v>
      </c>
      <c r="R821" s="61"/>
      <c r="S821" s="62"/>
      <c r="T821" s="62"/>
      <c r="U821" s="55"/>
      <c r="V821" s="57"/>
      <c r="W821" s="57"/>
      <c r="X821" s="55" t="n">
        <f aca="false">IF(A821="","",IF(AND(Parameter!$B$21="Ja",ISNUMBER(U821)),U821,IF(IFERROR(VLOOKUP(D821,Parameter!$A$35:$C$64,2,0),"Nein")="2+3",IF(ISNUMBER(SEARCH("grosser Artikel",BM821)),2,IFERROR(VLOOKUP(BP821,Parameter!$F$35:$G$64,2,0),2)),IF(OR(IFERROR(VLOOKUP(D821,Parameter!$A$35:$C$64,2,0),"Nein")="Nein",IFERROR(VLOOKUP(D821,Parameter!$A$35:$C$64,2,0),"Nein")=""),"-",VLOOKUP(D821,Parameter!$A$35:$C$64,2,0)))))</f>
        <v>3</v>
      </c>
      <c r="Y821" s="62"/>
      <c r="Z821" s="63"/>
      <c r="AA821" s="57" t="n">
        <f aca="false">AP821</f>
        <v>1090</v>
      </c>
      <c r="AB821" s="57" t="n">
        <f aca="false">MAX(AP821,G821)</f>
        <v>1090</v>
      </c>
      <c r="AC821" s="64"/>
      <c r="AD821" s="57" t="n">
        <f aca="false">IF(LEFT(Cockpit!$C$5,1)="A",G821,IF(BW821=1,BX821,IF(LEFT(Cockpit!$C$5,1)="B",AH821,MAX(AH821,G821))))</f>
        <v>0</v>
      </c>
      <c r="AE821" s="57" t="n">
        <f aca="false">IF(BR821=1,0,ROUNDUP(AD821/BQ821,0))</f>
        <v>0</v>
      </c>
      <c r="AF821" s="59" t="n">
        <f aca="false">IF(CD821&gt;0,CD821*MAX(1,AD821/V821),IF(BR821=1,IF(AD821&lt;=0,0,BS821*MAX(1,IF(G821&gt;0,AD821/G821,1))),IF(Q821&gt;0,AE821/Q821,0))/MAX(0.1,N(Parameter!$M$21)))</f>
        <v>0</v>
      </c>
      <c r="AG821" s="57" t="n">
        <f aca="false">AD821*F821</f>
        <v>0</v>
      </c>
      <c r="AH821" s="57" t="n">
        <f aca="false">ROUNDUP(MAX(I821/IF(BV821&gt;0,BV821,MAX(0.1,N(Cockpit!$C$6))),BY821)/BQ821,0)*BQ821</f>
        <v>1090</v>
      </c>
      <c r="AI821" s="58" t="n">
        <f aca="false">IF(AF821&gt;0,I821/AF821,-1)</f>
        <v>-1</v>
      </c>
      <c r="AJ821" s="58" t="str">
        <f aca="false">IF(AND(OR(BU821="L1",BU821="L23"),AF821&gt;0),SUMIFS($AF$7:$AF$1576,$BU$7:$BU$1576,BU821,$AI$7:$AI$1576,"&gt;"&amp;AI821)+SUMIFS($AF$7:$AF$1576,$BU$7:$BU$1576,BU821,$AI$7:$AI$1576,AI821,$BO$7:$BO$1576,"&lt;="&amp;BO821),"")</f>
        <v/>
      </c>
      <c r="AK821" s="65" t="n">
        <f aca="false">IF(AJ821="",0,MAX(0,MIN(1,(IF(BU821="L1",Parameter!$E$5,Parameter!$E$6+Parameter!$E$7)-(AJ821-AF821))/AF821)))</f>
        <v>0</v>
      </c>
      <c r="AL821" s="57" t="n">
        <f aca="false">IF(LEFT(Cockpit!$I$5,1)="A",G821,IF(BW821=1,BX821,IF(LEFT(Cockpit!$I$5,1)="B",AP821,MAX(AP821,G821))))</f>
        <v>1090</v>
      </c>
      <c r="AM821" s="57" t="n">
        <f aca="false">IF(BR821=1,0,ROUNDUP(AL821/BQ821,0))</f>
        <v>5</v>
      </c>
      <c r="AN821" s="59" t="n">
        <f aca="false">IF(CD821&gt;0,CD821*MAX(1,AL821/V821),IF(BR821=1,IF(AL821&lt;=0,0,BS821*MAX(1,IF(G821&gt;0,AL821/G821,1))),IF(Q821&gt;0,AM821/Q821,0))/MAX(0.1,N(Parameter!$M$21)))</f>
        <v>0.0120772946859903</v>
      </c>
      <c r="AO821" s="57" t="n">
        <f aca="false">AL821*F821</f>
        <v>21.8</v>
      </c>
      <c r="AP821" s="57" t="n">
        <f aca="false">ROUNDUP(MAX(I821/IF(BV821&gt;0,BV821,MAX(0.1,N(Cockpit!$I$6))),BY821)/BQ821,0)*BQ821</f>
        <v>1090</v>
      </c>
      <c r="AQ821" s="58" t="n">
        <f aca="false">IF(AN821&gt;0,I821/AN821,-1)</f>
        <v>56635.2</v>
      </c>
      <c r="AR821" s="58" t="n">
        <f aca="false">IF(AND(OR(BU821="L1",BU821="L23"),AN821&gt;0),SUMIFS($AN$7:$AN$1576,$BU$7:$BU$1576,BU821,$AQ$7:$AQ$1576,"&gt;"&amp;AQ821)+SUMIFS($AN$7:$AN$1576,$BU$7:$BU$1576,BU821,$AQ$7:$AQ$1576,AQ821,$BO$7:$BO$1576,"&lt;="&amp;BO821),"")</f>
        <v>0.972481672916456</v>
      </c>
      <c r="AS821" s="65" t="n">
        <f aca="false">IF(AR821="",0,MAX(0,MIN(1,(IF(BU821="L1",Parameter!$E$5,Parameter!$E$6+Parameter!$E$7)-(AR821-AN821))/AN821)))</f>
        <v>1</v>
      </c>
      <c r="AT821" s="57" t="n">
        <f aca="false">IF(LEFT(Cockpit!$O$5,1)="A",G821,IF(BW821=1,BX821,IF(LEFT(Cockpit!$O$5,1)="B",AX821,MAX(AX821,G821))))</f>
        <v>1090</v>
      </c>
      <c r="AU821" s="57" t="n">
        <f aca="false">IF(BR821=1,0,ROUNDUP(AT821/BQ821,0))</f>
        <v>5</v>
      </c>
      <c r="AV821" s="59" t="n">
        <f aca="false">IF(CD821&gt;0,CD821*MAX(1,AT821/V821),IF(BR821=1,IF(AT821&lt;=0,0,BS821*MAX(1,IF(G821&gt;0,AT821/G821,1))),IF(Q821&gt;0,AU821/Q821,0))/MAX(0.1,N(Parameter!$M$21)))</f>
        <v>0.0120772946859903</v>
      </c>
      <c r="AW821" s="57" t="n">
        <f aca="false">AT821*F821</f>
        <v>21.8</v>
      </c>
      <c r="AX821" s="57" t="n">
        <f aca="false">ROUNDUP(MAX(I821/IF(BV821&gt;0,BV821,MAX(0.1,N(Cockpit!$O$6))),BY821)/BQ821,0)*BQ821</f>
        <v>1090</v>
      </c>
      <c r="AY821" s="58" t="n">
        <f aca="false">IF(AV821&gt;0,I821/AV821,-1)</f>
        <v>56635.2</v>
      </c>
      <c r="AZ821" s="58" t="n">
        <f aca="false">IF(AND(OR(BU821="L1",BU821="L23"),AV821&gt;0),SUMIFS($AV$7:$AV$1576,$BU$7:$BU$1576,BU821,$AY$7:$AY$1576,"&gt;"&amp;AY821)+SUMIFS($AV$7:$AV$1576,$BU$7:$BU$1576,BU821,$AY$7:$AY$1576,AY821,$BO$7:$BO$1576,"&lt;="&amp;BO821),"")</f>
        <v>1.04532549576028</v>
      </c>
      <c r="BA821" s="65" t="n">
        <f aca="false">IF(AZ821="",0,MAX(0,MIN(1,(IF(BU821="L1",Parameter!$E$5,Parameter!$E$6+Parameter!$E$7)-(AZ821-AV821))/AV821)))</f>
        <v>1</v>
      </c>
      <c r="BB821" s="55" t="str">
        <f aca="false">IF(AF821&lt;=0,"",IF(BU821="Aussen","Aussenlager",IF(BU821="-","Nicht im Lift",IF(AK821&gt;=1,"Lift",IF(AK821&lt;=0,"Aussenlager","teilweise")))))</f>
        <v/>
      </c>
      <c r="BC821" s="55" t="str">
        <f aca="false">IF(AN821&lt;=0,"",IF(BU821="Aussen","Aussenlager",IF(BU821="-","Nicht im Lift",IF(AS821&gt;=1,"Lift",IF(AS821&lt;=0,"Aussenlager","teilweise")))))</f>
        <v>Lift</v>
      </c>
      <c r="BD821" s="55" t="str">
        <f aca="false">IF(AV821&lt;=0,"",IF(BU821="Aussen","Aussenlager",IF(BU821="-","Nicht im Lift",IF(BA821&gt;=1,"Lift",IF(BA821&lt;=0,"Aussenlager","teilweise")))))</f>
        <v>Lift</v>
      </c>
      <c r="BE821" s="55" t="str">
        <f aca="false">IF(A821="","",IF(BN821=1,"Neu; ","")&amp;IF(AND(BN821=0,BI821&lt;0),"negativer Bestand (Export "&amp;BI821&amp;"); ","")&amp;IF(I821&lt;=0,"Kein Verbrauch; ","")&amp;IF(CD821&gt;0,"Lift "&amp;U821&amp;" lt. Liftbericht (Fach "&amp;V821&amp;" Stk); ",IF(BR821=1,"Lose – Fläche geschätzt; ",""))&amp;IF(G821&gt;AP821,"Überbestand "&amp;ROUND(G821-AP821,0)&amp;" Stk / CHF "&amp;ROUND((G821-AP821)*F821,0)&amp;"; ","")&amp;IF(AND(BW821=1,BX821&lt;BY821),"MAX &lt; MB+LG; ","")&amp;IF(AND(CC821&gt;0,CB821*10&gt;CC821),"zu hoch für Tablar; ","")&amp;IF(AND(BN821=0,OR(BW821=1,Y821&lt;&gt;"",S821&lt;&gt;"",T821&lt;&gt;"",Z821&lt;&gt;"")),"manuell übersteuert; ","")&amp;IF(AND(BR821=0,Q821=0),"Gebinde unbekannt / Stellmass fehlt; ","")&amp;IF(AND(BR821=0,N(T821)&lt;=0,N(P821)&lt;=0),"Menge pro Gebinde fehlt (Ist = 1 Gebinde); ","")&amp;BM821)</f>
        <v>negativer Bestand (Export -272); </v>
      </c>
      <c r="BF821" s="55"/>
      <c r="BG821" s="55"/>
      <c r="BH821" s="62"/>
      <c r="BI821" s="57" t="n">
        <v>-272</v>
      </c>
      <c r="BJ821" s="57" t="n">
        <v>488</v>
      </c>
      <c r="BK821" s="56" t="n">
        <v>-9.70999999999995</v>
      </c>
      <c r="BL821" s="57" t="n">
        <v>684</v>
      </c>
      <c r="BM821" s="55"/>
      <c r="BN821" s="60" t="n">
        <v>0</v>
      </c>
      <c r="BO821" s="60" t="n">
        <v>821</v>
      </c>
      <c r="BP821" s="55" t="str">
        <f aca="false">IF(S821&lt;&gt;"",UPPER(TRIM(S821)),IF(O821="","LOSE",O821))</f>
        <v>S21</v>
      </c>
      <c r="BQ821" s="57" t="n">
        <f aca="false">IF(BP821="LOSE",1,IF(N(T821)&gt;0,T821,IF(N(P821)&gt;0,P821,MAX(1,G821))))</f>
        <v>218</v>
      </c>
      <c r="BR821" s="60" t="n">
        <f aca="false">IF(BP821="LOSE",1,0)</f>
        <v>0</v>
      </c>
      <c r="BS821" s="59" t="n">
        <f aca="false">IF(BR821=0,0,IF(N(R821)&gt;0,R821,IFERROR(VLOOKUP(D821,Parameter!$A$35:$C$64,3,0)+0,0)))</f>
        <v>0</v>
      </c>
      <c r="BT821" s="55" t="n">
        <f aca="false">IF(Y821&lt;&gt;"",Y821,X821)</f>
        <v>3</v>
      </c>
      <c r="BU821" s="55" t="str">
        <f aca="false">IF(BT821=1,"L1",IF(OR(BT821=2,BT821=3),"L23",IF(BT821="Aussen","Aussen","-")))</f>
        <v>L23</v>
      </c>
      <c r="BV821" s="66" t="n">
        <f aca="false">IF(N(Z821)&gt;0,Z821,0)</f>
        <v>0</v>
      </c>
      <c r="BW821" s="60" t="n">
        <f aca="false">IF(ISNUMBER(AC821),1,0)</f>
        <v>0</v>
      </c>
      <c r="BX821" s="57" t="n">
        <f aca="false">N(AC821)</f>
        <v>0</v>
      </c>
      <c r="BY821" s="57" t="n">
        <f aca="false">N(L821)+N(M821)</f>
        <v>1039</v>
      </c>
      <c r="BZ821" s="57" t="n">
        <f aca="false">ROUNDUP(G821/BQ821,0)</f>
        <v>0</v>
      </c>
      <c r="CA821" s="57" t="n">
        <f aca="false">ROUNDUP(BX821/BQ821,0)</f>
        <v>0</v>
      </c>
      <c r="CB821" s="60" t="n">
        <f aca="false">IF(BR821=1,0,IFERROR(VLOOKUP(BP821,'Gebinde-Kategorie'!$A$5:$M$45,5,0)+0,0))</f>
        <v>8</v>
      </c>
      <c r="CC821" s="60" t="n">
        <f aca="false">IFERROR(IF(OR(BT821=1,BT821=2,BT821=3),N(INDEX(Parameter!$I$5:$I$7,BT821)),0),0)</f>
        <v>0</v>
      </c>
      <c r="CD821" s="59" t="n">
        <f aca="false">IF(AND(Parameter!$B$21="Ja",ISNUMBER(U821),N(V821)&gt;0),IFERROR(N(INDEX(Parameter!$L$5:$L$7,U821))*INDEX(Parameter!$E$5:$E$7,U821)*V821/SUMIFS($V$7:$V$1576,$U$7:$U$1576,U821),0),0)</f>
        <v>0</v>
      </c>
    </row>
    <row r="822" customFormat="false" ht="15" hidden="false" customHeight="false" outlineLevel="0" collapsed="false">
      <c r="A822" s="55" t="s">
        <v>1572</v>
      </c>
      <c r="B822" s="55" t="s">
        <v>1573</v>
      </c>
      <c r="C822" s="55" t="s">
        <v>160</v>
      </c>
      <c r="D822" s="55" t="s">
        <v>178</v>
      </c>
      <c r="E822" s="55" t="s">
        <v>210</v>
      </c>
      <c r="F822" s="56" t="n">
        <v>0.82</v>
      </c>
      <c r="G822" s="57" t="n">
        <f aca="false">MAX(0,IF(AND(Parameter!$B$21="Ja",ISNUMBER(W822)),W822,IF(Parameter!$B$20="Jahresanfang 2025 + Export",BJ822+BI822,BI822)))</f>
        <v>0</v>
      </c>
      <c r="H822" s="57" t="n">
        <f aca="false">G822*F822</f>
        <v>0</v>
      </c>
      <c r="I822" s="57" t="n">
        <f aca="false">BL822*Parameter!$B$18</f>
        <v>0</v>
      </c>
      <c r="J822" s="58" t="n">
        <v>21</v>
      </c>
      <c r="K822" s="59" t="n">
        <v>0</v>
      </c>
      <c r="L822" s="57" t="n">
        <v>0</v>
      </c>
      <c r="M822" s="57" t="n">
        <v>1</v>
      </c>
      <c r="N822" s="60" t="n">
        <v>21</v>
      </c>
      <c r="O822" s="55" t="s">
        <v>465</v>
      </c>
      <c r="P822" s="57" t="n">
        <v>54</v>
      </c>
      <c r="Q822" s="60" t="n">
        <f aca="false">IF(BR822=1,0,IFERROR(VLOOKUP(BP822,'Gebinde-Kategorie'!$A$5:$M$45,13,0)+0,0))</f>
        <v>66</v>
      </c>
      <c r="R822" s="61"/>
      <c r="S822" s="62"/>
      <c r="T822" s="62"/>
      <c r="U822" s="55"/>
      <c r="V822" s="57"/>
      <c r="W822" s="57"/>
      <c r="X822" s="55" t="n">
        <f aca="false">IF(A822="","",IF(AND(Parameter!$B$21="Ja",ISNUMBER(U822)),U822,IF(IFERROR(VLOOKUP(D822,Parameter!$A$35:$C$64,2,0),"Nein")="2+3",IF(ISNUMBER(SEARCH("grosser Artikel",BM822)),2,IFERROR(VLOOKUP(BP822,Parameter!$F$35:$G$64,2,0),2)),IF(OR(IFERROR(VLOOKUP(D822,Parameter!$A$35:$C$64,2,0),"Nein")="Nein",IFERROR(VLOOKUP(D822,Parameter!$A$35:$C$64,2,0),"Nein")=""),"-",VLOOKUP(D822,Parameter!$A$35:$C$64,2,0)))))</f>
        <v>3</v>
      </c>
      <c r="Y822" s="62"/>
      <c r="Z822" s="63"/>
      <c r="AA822" s="57" t="n">
        <f aca="false">AP822</f>
        <v>54</v>
      </c>
      <c r="AB822" s="57" t="n">
        <f aca="false">MAX(AP822,G822)</f>
        <v>54</v>
      </c>
      <c r="AC822" s="64"/>
      <c r="AD822" s="57" t="n">
        <f aca="false">IF(LEFT(Cockpit!$C$5,1)="A",G822,IF(BW822=1,BX822,IF(LEFT(Cockpit!$C$5,1)="B",AH822,MAX(AH822,G822))))</f>
        <v>0</v>
      </c>
      <c r="AE822" s="57" t="n">
        <f aca="false">IF(BR822=1,0,ROUNDUP(AD822/BQ822,0))</f>
        <v>0</v>
      </c>
      <c r="AF822" s="59" t="n">
        <f aca="false">IF(CD822&gt;0,CD822*MAX(1,AD822/V822),IF(BR822=1,IF(AD822&lt;=0,0,BS822*MAX(1,IF(G822&gt;0,AD822/G822,1))),IF(Q822&gt;0,AE822/Q822,0))/MAX(0.1,N(Parameter!$M$21)))</f>
        <v>0</v>
      </c>
      <c r="AG822" s="57" t="n">
        <f aca="false">AD822*F822</f>
        <v>0</v>
      </c>
      <c r="AH822" s="57" t="n">
        <f aca="false">ROUNDUP(MAX(I822/IF(BV822&gt;0,BV822,MAX(0.1,N(Cockpit!$C$6))),BY822)/BQ822,0)*BQ822</f>
        <v>54</v>
      </c>
      <c r="AI822" s="58" t="n">
        <f aca="false">IF(AF822&gt;0,I822/AF822,-1)</f>
        <v>-1</v>
      </c>
      <c r="AJ822" s="58" t="str">
        <f aca="false">IF(AND(OR(BU822="L1",BU822="L23"),AF822&gt;0),SUMIFS($AF$7:$AF$1576,$BU$7:$BU$1576,BU822,$AI$7:$AI$1576,"&gt;"&amp;AI822)+SUMIFS($AF$7:$AF$1576,$BU$7:$BU$1576,BU822,$AI$7:$AI$1576,AI822,$BO$7:$BO$1576,"&lt;="&amp;BO822),"")</f>
        <v/>
      </c>
      <c r="AK822" s="65" t="n">
        <f aca="false">IF(AJ822="",0,MAX(0,MIN(1,(IF(BU822="L1",Parameter!$E$5,Parameter!$E$6+Parameter!$E$7)-(AJ822-AF822))/AF822)))</f>
        <v>0</v>
      </c>
      <c r="AL822" s="57" t="n">
        <f aca="false">IF(LEFT(Cockpit!$I$5,1)="A",G822,IF(BW822=1,BX822,IF(LEFT(Cockpit!$I$5,1)="B",AP822,MAX(AP822,G822))))</f>
        <v>54</v>
      </c>
      <c r="AM822" s="57" t="n">
        <f aca="false">IF(BR822=1,0,ROUNDUP(AL822/BQ822,0))</f>
        <v>1</v>
      </c>
      <c r="AN822" s="59" t="n">
        <f aca="false">IF(CD822&gt;0,CD822*MAX(1,AL822/V822),IF(BR822=1,IF(AL822&lt;=0,0,BS822*MAX(1,IF(G822&gt;0,AL822/G822,1))),IF(Q822&gt;0,AM822/Q822,0))/MAX(0.1,N(Parameter!$M$21)))</f>
        <v>0.0151515151515152</v>
      </c>
      <c r="AO822" s="57" t="n">
        <f aca="false">AL822*F822</f>
        <v>44.28</v>
      </c>
      <c r="AP822" s="57" t="n">
        <f aca="false">ROUNDUP(MAX(I822/IF(BV822&gt;0,BV822,MAX(0.1,N(Cockpit!$I$6))),BY822)/BQ822,0)*BQ822</f>
        <v>54</v>
      </c>
      <c r="AQ822" s="58" t="n">
        <f aca="false">IF(AN822&gt;0,I822/AN822,-1)</f>
        <v>0</v>
      </c>
      <c r="AR822" s="58" t="n">
        <f aca="false">IF(AND(OR(BU822="L1",BU822="L23"),AN822&gt;0),SUMIFS($AN$7:$AN$1576,$BU$7:$BU$1576,BU822,$AQ$7:$AQ$1576,"&gt;"&amp;AQ822)+SUMIFS($AN$7:$AN$1576,$BU$7:$BU$1576,BU822,$AQ$7:$AQ$1576,AQ822,$BO$7:$BO$1576,"&lt;="&amp;BO822),"")</f>
        <v>130.80076254668</v>
      </c>
      <c r="AS822" s="65" t="n">
        <f aca="false">IF(AR822="",0,MAX(0,MIN(1,(IF(BU822="L1",Parameter!$E$5,Parameter!$E$6+Parameter!$E$7)-(AR822-AN822))/AN822)))</f>
        <v>0</v>
      </c>
      <c r="AT822" s="57" t="n">
        <f aca="false">IF(LEFT(Cockpit!$O$5,1)="A",G822,IF(BW822=1,BX822,IF(LEFT(Cockpit!$O$5,1)="B",AX822,MAX(AX822,G822))))</f>
        <v>54</v>
      </c>
      <c r="AU822" s="57" t="n">
        <f aca="false">IF(BR822=1,0,ROUNDUP(AT822/BQ822,0))</f>
        <v>1</v>
      </c>
      <c r="AV822" s="59" t="n">
        <f aca="false">IF(CD822&gt;0,CD822*MAX(1,AT822/V822),IF(BR822=1,IF(AT822&lt;=0,0,BS822*MAX(1,IF(G822&gt;0,AT822/G822,1))),IF(Q822&gt;0,AU822/Q822,0))/MAX(0.1,N(Parameter!$M$21)))</f>
        <v>0.0151515151515152</v>
      </c>
      <c r="AW822" s="57" t="n">
        <f aca="false">AT822*F822</f>
        <v>44.28</v>
      </c>
      <c r="AX822" s="57" t="n">
        <f aca="false">ROUNDUP(MAX(I822/IF(BV822&gt;0,BV822,MAX(0.1,N(Cockpit!$O$6))),BY822)/BQ822,0)*BQ822</f>
        <v>54</v>
      </c>
      <c r="AY822" s="58" t="n">
        <f aca="false">IF(AV822&gt;0,I822/AV822,-1)</f>
        <v>0</v>
      </c>
      <c r="AZ822" s="58" t="n">
        <f aca="false">IF(AND(OR(BU822="L1",BU822="L23"),AV822&gt;0),SUMIFS($AV$7:$AV$1576,$BU$7:$BU$1576,BU822,$AY$7:$AY$1576,"&gt;"&amp;AY822)+SUMIFS($AV$7:$AV$1576,$BU$7:$BU$1576,BU822,$AY$7:$AY$1576,AY822,$BO$7:$BO$1576,"&lt;="&amp;BO822),"")</f>
        <v>120.86031299623</v>
      </c>
      <c r="BA822" s="65" t="n">
        <f aca="false">IF(AZ822="",0,MAX(0,MIN(1,(IF(BU822="L1",Parameter!$E$5,Parameter!$E$6+Parameter!$E$7)-(AZ822-AV822))/AV822)))</f>
        <v>0</v>
      </c>
      <c r="BB822" s="55" t="str">
        <f aca="false">IF(AF822&lt;=0,"",IF(BU822="Aussen","Aussenlager",IF(BU822="-","Nicht im Lift",IF(AK822&gt;=1,"Lift",IF(AK822&lt;=0,"Aussenlager","teilweise")))))</f>
        <v/>
      </c>
      <c r="BC822" s="55" t="str">
        <f aca="false">IF(AN822&lt;=0,"",IF(BU822="Aussen","Aussenlager",IF(BU822="-","Nicht im Lift",IF(AS822&gt;=1,"Lift",IF(AS822&lt;=0,"Aussenlager","teilweise")))))</f>
        <v>Aussenlager</v>
      </c>
      <c r="BD822" s="55" t="str">
        <f aca="false">IF(AV822&lt;=0,"",IF(BU822="Aussen","Aussenlager",IF(BU822="-","Nicht im Lift",IF(BA822&gt;=1,"Lift",IF(BA822&lt;=0,"Aussenlager","teilweise")))))</f>
        <v>Aussenlager</v>
      </c>
      <c r="BE822" s="55" t="str">
        <f aca="false">IF(A822="","",IF(BN822=1,"Neu; ","")&amp;IF(AND(BN822=0,BI822&lt;0),"negativer Bestand (Export "&amp;BI822&amp;"); ","")&amp;IF(I822&lt;=0,"Kein Verbrauch; ","")&amp;IF(CD822&gt;0,"Lift "&amp;U822&amp;" lt. Liftbericht (Fach "&amp;V822&amp;" Stk); ",IF(BR822=1,"Lose – Fläche geschätzt; ",""))&amp;IF(G822&gt;AP822,"Überbestand "&amp;ROUND(G822-AP822,0)&amp;" Stk / CHF "&amp;ROUND((G822-AP822)*F822,0)&amp;"; ","")&amp;IF(AND(BW822=1,BX822&lt;BY822),"MAX &lt; MB+LG; ","")&amp;IF(AND(CC822&gt;0,CB822*10&gt;CC822),"zu hoch für Tablar; ","")&amp;IF(AND(BN822=0,OR(BW822=1,Y822&lt;&gt;"",S822&lt;&gt;"",T822&lt;&gt;"",Z822&lt;&gt;"")),"manuell übersteuert; ","")&amp;IF(AND(BR822=0,Q822=0),"Gebinde unbekannt / Stellmass fehlt; ","")&amp;IF(AND(BR822=0,N(T822)&lt;=0,N(P822)&lt;=0),"Menge pro Gebinde fehlt (Ist = 1 Gebinde); ","")&amp;BM822)</f>
        <v>negativer Bestand (Export -12); Kein Verbrauch; Überbestand</v>
      </c>
      <c r="BF822" s="55"/>
      <c r="BG822" s="55"/>
      <c r="BH822" s="62"/>
      <c r="BI822" s="57" t="n">
        <v>-12</v>
      </c>
      <c r="BJ822" s="57" t="n">
        <v>12</v>
      </c>
      <c r="BK822" s="56" t="n">
        <v>-9.84</v>
      </c>
      <c r="BL822" s="57" t="n">
        <v>0</v>
      </c>
      <c r="BM822" s="55" t="s">
        <v>382</v>
      </c>
      <c r="BN822" s="60" t="n">
        <v>0</v>
      </c>
      <c r="BO822" s="60" t="n">
        <v>822</v>
      </c>
      <c r="BP822" s="55" t="str">
        <f aca="false">IF(S822&lt;&gt;"",UPPER(TRIM(S822)),IF(O822="","LOSE",O822))</f>
        <v>S33</v>
      </c>
      <c r="BQ822" s="57" t="n">
        <f aca="false">IF(BP822="LOSE",1,IF(N(T822)&gt;0,T822,IF(N(P822)&gt;0,P822,MAX(1,G822))))</f>
        <v>54</v>
      </c>
      <c r="BR822" s="60" t="n">
        <f aca="false">IF(BP822="LOSE",1,0)</f>
        <v>0</v>
      </c>
      <c r="BS822" s="59" t="n">
        <f aca="false">IF(BR822=0,0,IF(N(R822)&gt;0,R822,IFERROR(VLOOKUP(D822,Parameter!$A$35:$C$64,3,0)+0,0)))</f>
        <v>0</v>
      </c>
      <c r="BT822" s="55" t="n">
        <f aca="false">IF(Y822&lt;&gt;"",Y822,X822)</f>
        <v>3</v>
      </c>
      <c r="BU822" s="55" t="str">
        <f aca="false">IF(BT822=1,"L1",IF(OR(BT822=2,BT822=3),"L23",IF(BT822="Aussen","Aussen","-")))</f>
        <v>L23</v>
      </c>
      <c r="BV822" s="66" t="n">
        <f aca="false">IF(N(Z822)&gt;0,Z822,0)</f>
        <v>0</v>
      </c>
      <c r="BW822" s="60" t="n">
        <f aca="false">IF(ISNUMBER(AC822),1,0)</f>
        <v>0</v>
      </c>
      <c r="BX822" s="57" t="n">
        <f aca="false">N(AC822)</f>
        <v>0</v>
      </c>
      <c r="BY822" s="57" t="n">
        <f aca="false">N(L822)+N(M822)</f>
        <v>1</v>
      </c>
      <c r="BZ822" s="57" t="n">
        <f aca="false">ROUNDUP(G822/BQ822,0)</f>
        <v>0</v>
      </c>
      <c r="CA822" s="57" t="n">
        <f aca="false">ROUNDUP(BX822/BQ822,0)</f>
        <v>0</v>
      </c>
      <c r="CB822" s="60" t="n">
        <f aca="false">IF(BR822=1,0,IFERROR(VLOOKUP(BP822,'Gebinde-Kategorie'!$A$5:$M$45,5,0)+0,0))</f>
        <v>8</v>
      </c>
      <c r="CC822" s="60" t="n">
        <f aca="false">IFERROR(IF(OR(BT822=1,BT822=2,BT822=3),N(INDEX(Parameter!$I$5:$I$7,BT822)),0),0)</f>
        <v>0</v>
      </c>
      <c r="CD822" s="59" t="n">
        <f aca="false">IF(AND(Parameter!$B$21="Ja",ISNUMBER(U822),N(V822)&gt;0),IFERROR(N(INDEX(Parameter!$L$5:$L$7,U822))*INDEX(Parameter!$E$5:$E$7,U822)*V822/SUMIFS($V$7:$V$1576,$U$7:$U$1576,U822),0),0)</f>
        <v>0</v>
      </c>
    </row>
    <row r="823" customFormat="false" ht="15" hidden="false" customHeight="false" outlineLevel="0" collapsed="false">
      <c r="A823" s="55" t="s">
        <v>1574</v>
      </c>
      <c r="B823" s="55" t="s">
        <v>587</v>
      </c>
      <c r="C823" s="55" t="s">
        <v>160</v>
      </c>
      <c r="D823" s="55" t="s">
        <v>178</v>
      </c>
      <c r="E823" s="55" t="s">
        <v>210</v>
      </c>
      <c r="F823" s="56" t="n">
        <v>10.17</v>
      </c>
      <c r="G823" s="57" t="n">
        <f aca="false">MAX(0,IF(AND(Parameter!$B$21="Ja",ISNUMBER(W823)),W823,IF(Parameter!$B$20="Jahresanfang 2025 + Export",BJ823+BI823,BI823)))</f>
        <v>0</v>
      </c>
      <c r="H823" s="57" t="n">
        <f aca="false">G823*F823</f>
        <v>0</v>
      </c>
      <c r="I823" s="57" t="n">
        <f aca="false">BL823*Parameter!$B$18</f>
        <v>0</v>
      </c>
      <c r="J823" s="58" t="n">
        <v>36.5</v>
      </c>
      <c r="K823" s="59" t="n">
        <v>0</v>
      </c>
      <c r="L823" s="57" t="n">
        <v>0</v>
      </c>
      <c r="M823" s="57" t="n">
        <v>1</v>
      </c>
      <c r="N823" s="60" t="n">
        <v>21</v>
      </c>
      <c r="O823" s="55" t="s">
        <v>465</v>
      </c>
      <c r="P823" s="57" t="n">
        <v>75</v>
      </c>
      <c r="Q823" s="60" t="n">
        <f aca="false">IF(BR823=1,0,IFERROR(VLOOKUP(BP823,'Gebinde-Kategorie'!$A$5:$M$45,13,0)+0,0))</f>
        <v>66</v>
      </c>
      <c r="R823" s="61"/>
      <c r="S823" s="62"/>
      <c r="T823" s="62"/>
      <c r="U823" s="55"/>
      <c r="V823" s="57"/>
      <c r="W823" s="57"/>
      <c r="X823" s="55" t="n">
        <f aca="false">IF(A823="","",IF(AND(Parameter!$B$21="Ja",ISNUMBER(U823)),U823,IF(IFERROR(VLOOKUP(D823,Parameter!$A$35:$C$64,2,0),"Nein")="2+3",IF(ISNUMBER(SEARCH("grosser Artikel",BM823)),2,IFERROR(VLOOKUP(BP823,Parameter!$F$35:$G$64,2,0),2)),IF(OR(IFERROR(VLOOKUP(D823,Parameter!$A$35:$C$64,2,0),"Nein")="Nein",IFERROR(VLOOKUP(D823,Parameter!$A$35:$C$64,2,0),"Nein")=""),"-",VLOOKUP(D823,Parameter!$A$35:$C$64,2,0)))))</f>
        <v>3</v>
      </c>
      <c r="Y823" s="62"/>
      <c r="Z823" s="63"/>
      <c r="AA823" s="57" t="n">
        <f aca="false">AP823</f>
        <v>75</v>
      </c>
      <c r="AB823" s="57" t="n">
        <f aca="false">MAX(AP823,G823)</f>
        <v>75</v>
      </c>
      <c r="AC823" s="64"/>
      <c r="AD823" s="57" t="n">
        <f aca="false">IF(LEFT(Cockpit!$C$5,1)="A",G823,IF(BW823=1,BX823,IF(LEFT(Cockpit!$C$5,1)="B",AH823,MAX(AH823,G823))))</f>
        <v>0</v>
      </c>
      <c r="AE823" s="57" t="n">
        <f aca="false">IF(BR823=1,0,ROUNDUP(AD823/BQ823,0))</f>
        <v>0</v>
      </c>
      <c r="AF823" s="59" t="n">
        <f aca="false">IF(CD823&gt;0,CD823*MAX(1,AD823/V823),IF(BR823=1,IF(AD823&lt;=0,0,BS823*MAX(1,IF(G823&gt;0,AD823/G823,1))),IF(Q823&gt;0,AE823/Q823,0))/MAX(0.1,N(Parameter!$M$21)))</f>
        <v>0</v>
      </c>
      <c r="AG823" s="57" t="n">
        <f aca="false">AD823*F823</f>
        <v>0</v>
      </c>
      <c r="AH823" s="57" t="n">
        <f aca="false">ROUNDUP(MAX(I823/IF(BV823&gt;0,BV823,MAX(0.1,N(Cockpit!$C$6))),BY823)/BQ823,0)*BQ823</f>
        <v>75</v>
      </c>
      <c r="AI823" s="58" t="n">
        <f aca="false">IF(AF823&gt;0,I823/AF823,-1)</f>
        <v>-1</v>
      </c>
      <c r="AJ823" s="58" t="str">
        <f aca="false">IF(AND(OR(BU823="L1",BU823="L23"),AF823&gt;0),SUMIFS($AF$7:$AF$1576,$BU$7:$BU$1576,BU823,$AI$7:$AI$1576,"&gt;"&amp;AI823)+SUMIFS($AF$7:$AF$1576,$BU$7:$BU$1576,BU823,$AI$7:$AI$1576,AI823,$BO$7:$BO$1576,"&lt;="&amp;BO823),"")</f>
        <v/>
      </c>
      <c r="AK823" s="65" t="n">
        <f aca="false">IF(AJ823="",0,MAX(0,MIN(1,(IF(BU823="L1",Parameter!$E$5,Parameter!$E$6+Parameter!$E$7)-(AJ823-AF823))/AF823)))</f>
        <v>0</v>
      </c>
      <c r="AL823" s="57" t="n">
        <f aca="false">IF(LEFT(Cockpit!$I$5,1)="A",G823,IF(BW823=1,BX823,IF(LEFT(Cockpit!$I$5,1)="B",AP823,MAX(AP823,G823))))</f>
        <v>75</v>
      </c>
      <c r="AM823" s="57" t="n">
        <f aca="false">IF(BR823=1,0,ROUNDUP(AL823/BQ823,0))</f>
        <v>1</v>
      </c>
      <c r="AN823" s="59" t="n">
        <f aca="false">IF(CD823&gt;0,CD823*MAX(1,AL823/V823),IF(BR823=1,IF(AL823&lt;=0,0,BS823*MAX(1,IF(G823&gt;0,AL823/G823,1))),IF(Q823&gt;0,AM823/Q823,0))/MAX(0.1,N(Parameter!$M$21)))</f>
        <v>0.0151515151515152</v>
      </c>
      <c r="AO823" s="57" t="n">
        <f aca="false">AL823*F823</f>
        <v>762.75</v>
      </c>
      <c r="AP823" s="57" t="n">
        <f aca="false">ROUNDUP(MAX(I823/IF(BV823&gt;0,BV823,MAX(0.1,N(Cockpit!$I$6))),BY823)/BQ823,0)*BQ823</f>
        <v>75</v>
      </c>
      <c r="AQ823" s="58" t="n">
        <f aca="false">IF(AN823&gt;0,I823/AN823,-1)</f>
        <v>0</v>
      </c>
      <c r="AR823" s="58" t="n">
        <f aca="false">IF(AND(OR(BU823="L1",BU823="L23"),AN823&gt;0),SUMIFS($AN$7:$AN$1576,$BU$7:$BU$1576,BU823,$AQ$7:$AQ$1576,"&gt;"&amp;AQ823)+SUMIFS($AN$7:$AN$1576,$BU$7:$BU$1576,BU823,$AQ$7:$AQ$1576,AQ823,$BO$7:$BO$1576,"&lt;="&amp;BO823),"")</f>
        <v>130.815914061831</v>
      </c>
      <c r="AS823" s="65" t="n">
        <f aca="false">IF(AR823="",0,MAX(0,MIN(1,(IF(BU823="L1",Parameter!$E$5,Parameter!$E$6+Parameter!$E$7)-(AR823-AN823))/AN823)))</f>
        <v>0</v>
      </c>
      <c r="AT823" s="57" t="n">
        <f aca="false">IF(LEFT(Cockpit!$O$5,1)="A",G823,IF(BW823=1,BX823,IF(LEFT(Cockpit!$O$5,1)="B",AX823,MAX(AX823,G823))))</f>
        <v>75</v>
      </c>
      <c r="AU823" s="57" t="n">
        <f aca="false">IF(BR823=1,0,ROUNDUP(AT823/BQ823,0))</f>
        <v>1</v>
      </c>
      <c r="AV823" s="59" t="n">
        <f aca="false">IF(CD823&gt;0,CD823*MAX(1,AT823/V823),IF(BR823=1,IF(AT823&lt;=0,0,BS823*MAX(1,IF(G823&gt;0,AT823/G823,1))),IF(Q823&gt;0,AU823/Q823,0))/MAX(0.1,N(Parameter!$M$21)))</f>
        <v>0.0151515151515152</v>
      </c>
      <c r="AW823" s="57" t="n">
        <f aca="false">AT823*F823</f>
        <v>762.75</v>
      </c>
      <c r="AX823" s="57" t="n">
        <f aca="false">ROUNDUP(MAX(I823/IF(BV823&gt;0,BV823,MAX(0.1,N(Cockpit!$O$6))),BY823)/BQ823,0)*BQ823</f>
        <v>75</v>
      </c>
      <c r="AY823" s="58" t="n">
        <f aca="false">IF(AV823&gt;0,I823/AV823,-1)</f>
        <v>0</v>
      </c>
      <c r="AZ823" s="58" t="n">
        <f aca="false">IF(AND(OR(BU823="L1",BU823="L23"),AV823&gt;0),SUMIFS($AV$7:$AV$1576,$BU$7:$BU$1576,BU823,$AY$7:$AY$1576,"&gt;"&amp;AY823)+SUMIFS($AV$7:$AV$1576,$BU$7:$BU$1576,BU823,$AY$7:$AY$1576,AY823,$BO$7:$BO$1576,"&lt;="&amp;BO823),"")</f>
        <v>120.875464511382</v>
      </c>
      <c r="BA823" s="65" t="n">
        <f aca="false">IF(AZ823="",0,MAX(0,MIN(1,(IF(BU823="L1",Parameter!$E$5,Parameter!$E$6+Parameter!$E$7)-(AZ823-AV823))/AV823)))</f>
        <v>0</v>
      </c>
      <c r="BB823" s="55" t="str">
        <f aca="false">IF(AF823&lt;=0,"",IF(BU823="Aussen","Aussenlager",IF(BU823="-","Nicht im Lift",IF(AK823&gt;=1,"Lift",IF(AK823&lt;=0,"Aussenlager","teilweise")))))</f>
        <v/>
      </c>
      <c r="BC823" s="55" t="str">
        <f aca="false">IF(AN823&lt;=0,"",IF(BU823="Aussen","Aussenlager",IF(BU823="-","Nicht im Lift",IF(AS823&gt;=1,"Lift",IF(AS823&lt;=0,"Aussenlager","teilweise")))))</f>
        <v>Aussenlager</v>
      </c>
      <c r="BD823" s="55" t="str">
        <f aca="false">IF(AV823&lt;=0,"",IF(BU823="Aussen","Aussenlager",IF(BU823="-","Nicht im Lift",IF(BA823&gt;=1,"Lift",IF(BA823&lt;=0,"Aussenlager","teilweise")))))</f>
        <v>Aussenlager</v>
      </c>
      <c r="BE823" s="55" t="str">
        <f aca="false">IF(A823="","",IF(BN823=1,"Neu; ","")&amp;IF(AND(BN823=0,BI823&lt;0),"negativer Bestand (Export "&amp;BI823&amp;"); ","")&amp;IF(I823&lt;=0,"Kein Verbrauch; ","")&amp;IF(CD823&gt;0,"Lift "&amp;U823&amp;" lt. Liftbericht (Fach "&amp;V823&amp;" Stk); ",IF(BR823=1,"Lose – Fläche geschätzt; ",""))&amp;IF(G823&gt;AP823,"Überbestand "&amp;ROUND(G823-AP823,0)&amp;" Stk / CHF "&amp;ROUND((G823-AP823)*F823,0)&amp;"; ","")&amp;IF(AND(BW823=1,BX823&lt;BY823),"MAX &lt; MB+LG; ","")&amp;IF(AND(CC823&gt;0,CB823*10&gt;CC823),"zu hoch für Tablar; ","")&amp;IF(AND(BN823=0,OR(BW823=1,Y823&lt;&gt;"",S823&lt;&gt;"",T823&lt;&gt;"",Z823&lt;&gt;"")),"manuell übersteuert; ","")&amp;IF(AND(BR823=0,Q823=0),"Gebinde unbekannt / Stellmass fehlt; ","")&amp;IF(AND(BR823=0,N(T823)&lt;=0,N(P823)&lt;=0),"Menge pro Gebinde fehlt (Ist = 1 Gebinde); ","")&amp;BM823)</f>
        <v>negativer Bestand (Export -1); Kein Verbrauch; </v>
      </c>
      <c r="BF823" s="55"/>
      <c r="BG823" s="55"/>
      <c r="BH823" s="62"/>
      <c r="BI823" s="57" t="n">
        <v>-1</v>
      </c>
      <c r="BJ823" s="57" t="n">
        <v>37</v>
      </c>
      <c r="BK823" s="56" t="n">
        <v>-10.17</v>
      </c>
      <c r="BL823" s="57" t="n">
        <v>0</v>
      </c>
      <c r="BM823" s="55"/>
      <c r="BN823" s="60" t="n">
        <v>0</v>
      </c>
      <c r="BO823" s="60" t="n">
        <v>823</v>
      </c>
      <c r="BP823" s="55" t="str">
        <f aca="false">IF(S823&lt;&gt;"",UPPER(TRIM(S823)),IF(O823="","LOSE",O823))</f>
        <v>S33</v>
      </c>
      <c r="BQ823" s="57" t="n">
        <f aca="false">IF(BP823="LOSE",1,IF(N(T823)&gt;0,T823,IF(N(P823)&gt;0,P823,MAX(1,G823))))</f>
        <v>75</v>
      </c>
      <c r="BR823" s="60" t="n">
        <f aca="false">IF(BP823="LOSE",1,0)</f>
        <v>0</v>
      </c>
      <c r="BS823" s="59" t="n">
        <f aca="false">IF(BR823=0,0,IF(N(R823)&gt;0,R823,IFERROR(VLOOKUP(D823,Parameter!$A$35:$C$64,3,0)+0,0)))</f>
        <v>0</v>
      </c>
      <c r="BT823" s="55" t="n">
        <f aca="false">IF(Y823&lt;&gt;"",Y823,X823)</f>
        <v>3</v>
      </c>
      <c r="BU823" s="55" t="str">
        <f aca="false">IF(BT823=1,"L1",IF(OR(BT823=2,BT823=3),"L23",IF(BT823="Aussen","Aussen","-")))</f>
        <v>L23</v>
      </c>
      <c r="BV823" s="66" t="n">
        <f aca="false">IF(N(Z823)&gt;0,Z823,0)</f>
        <v>0</v>
      </c>
      <c r="BW823" s="60" t="n">
        <f aca="false">IF(ISNUMBER(AC823),1,0)</f>
        <v>0</v>
      </c>
      <c r="BX823" s="57" t="n">
        <f aca="false">N(AC823)</f>
        <v>0</v>
      </c>
      <c r="BY823" s="57" t="n">
        <f aca="false">N(L823)+N(M823)</f>
        <v>1</v>
      </c>
      <c r="BZ823" s="57" t="n">
        <f aca="false">ROUNDUP(G823/BQ823,0)</f>
        <v>0</v>
      </c>
      <c r="CA823" s="57" t="n">
        <f aca="false">ROUNDUP(BX823/BQ823,0)</f>
        <v>0</v>
      </c>
      <c r="CB823" s="60" t="n">
        <f aca="false">IF(BR823=1,0,IFERROR(VLOOKUP(BP823,'Gebinde-Kategorie'!$A$5:$M$45,5,0)+0,0))</f>
        <v>8</v>
      </c>
      <c r="CC823" s="60" t="n">
        <f aca="false">IFERROR(IF(OR(BT823=1,BT823=2,BT823=3),N(INDEX(Parameter!$I$5:$I$7,BT823)),0),0)</f>
        <v>0</v>
      </c>
      <c r="CD823" s="59" t="n">
        <f aca="false">IF(AND(Parameter!$B$21="Ja",ISNUMBER(U823),N(V823)&gt;0),IFERROR(N(INDEX(Parameter!$L$5:$L$7,U823))*INDEX(Parameter!$E$5:$E$7,U823)*V823/SUMIFS($V$7:$V$1576,$U$7:$U$1576,U823),0),0)</f>
        <v>0</v>
      </c>
    </row>
    <row r="824" customFormat="false" ht="15" hidden="false" customHeight="false" outlineLevel="0" collapsed="false">
      <c r="A824" s="55" t="s">
        <v>1575</v>
      </c>
      <c r="B824" s="55" t="s">
        <v>393</v>
      </c>
      <c r="C824" s="55" t="s">
        <v>160</v>
      </c>
      <c r="D824" s="55" t="s">
        <v>178</v>
      </c>
      <c r="E824" s="55" t="s">
        <v>210</v>
      </c>
      <c r="F824" s="56" t="n">
        <v>0.37</v>
      </c>
      <c r="G824" s="57" t="n">
        <f aca="false">MAX(0,IF(AND(Parameter!$B$21="Ja",ISNUMBER(W824)),W824,IF(Parameter!$B$20="Jahresanfang 2025 + Export",BJ824+BI824,BI824)))</f>
        <v>0</v>
      </c>
      <c r="H824" s="57" t="n">
        <f aca="false">G824*F824</f>
        <v>0</v>
      </c>
      <c r="I824" s="57" t="n">
        <f aca="false">BL824*Parameter!$B$18</f>
        <v>23</v>
      </c>
      <c r="J824" s="58" t="n">
        <v>423.5</v>
      </c>
      <c r="K824" s="59" t="n">
        <v>0.0543093270365998</v>
      </c>
      <c r="L824" s="57" t="n">
        <v>1</v>
      </c>
      <c r="M824" s="57" t="n">
        <v>25</v>
      </c>
      <c r="N824" s="60" t="n">
        <v>21</v>
      </c>
      <c r="O824" s="55" t="s">
        <v>218</v>
      </c>
      <c r="P824" s="57" t="n">
        <v>439</v>
      </c>
      <c r="Q824" s="60" t="n">
        <f aca="false">IF(BR824=1,0,IFERROR(VLOOKUP(BP824,'Gebinde-Kategorie'!$A$5:$M$45,13,0)+0,0))</f>
        <v>12</v>
      </c>
      <c r="R824" s="61"/>
      <c r="S824" s="62"/>
      <c r="T824" s="62"/>
      <c r="U824" s="55"/>
      <c r="V824" s="57"/>
      <c r="W824" s="57"/>
      <c r="X824" s="55" t="n">
        <f aca="false">IF(A824="","",IF(AND(Parameter!$B$21="Ja",ISNUMBER(U824)),U824,IF(IFERROR(VLOOKUP(D824,Parameter!$A$35:$C$64,2,0),"Nein")="2+3",IF(ISNUMBER(SEARCH("grosser Artikel",BM824)),2,IFERROR(VLOOKUP(BP824,Parameter!$F$35:$G$64,2,0),2)),IF(OR(IFERROR(VLOOKUP(D824,Parameter!$A$35:$C$64,2,0),"Nein")="Nein",IFERROR(VLOOKUP(D824,Parameter!$A$35:$C$64,2,0),"Nein")=""),"-",VLOOKUP(D824,Parameter!$A$35:$C$64,2,0)))))</f>
        <v>2</v>
      </c>
      <c r="Y824" s="62"/>
      <c r="Z824" s="63"/>
      <c r="AA824" s="57" t="n">
        <f aca="false">AP824</f>
        <v>439</v>
      </c>
      <c r="AB824" s="57" t="n">
        <f aca="false">MAX(AP824,G824)</f>
        <v>439</v>
      </c>
      <c r="AC824" s="64"/>
      <c r="AD824" s="57" t="n">
        <f aca="false">IF(LEFT(Cockpit!$C$5,1)="A",G824,IF(BW824=1,BX824,IF(LEFT(Cockpit!$C$5,1)="B",AH824,MAX(AH824,G824))))</f>
        <v>0</v>
      </c>
      <c r="AE824" s="57" t="n">
        <f aca="false">IF(BR824=1,0,ROUNDUP(AD824/BQ824,0))</f>
        <v>0</v>
      </c>
      <c r="AF824" s="59" t="n">
        <f aca="false">IF(CD824&gt;0,CD824*MAX(1,AD824/V824),IF(BR824=1,IF(AD824&lt;=0,0,BS824*MAX(1,IF(G824&gt;0,AD824/G824,1))),IF(Q824&gt;0,AE824/Q824,0))/MAX(0.1,N(Parameter!$M$21)))</f>
        <v>0</v>
      </c>
      <c r="AG824" s="57" t="n">
        <f aca="false">AD824*F824</f>
        <v>0</v>
      </c>
      <c r="AH824" s="57" t="n">
        <f aca="false">ROUNDUP(MAX(I824/IF(BV824&gt;0,BV824,MAX(0.1,N(Cockpit!$C$6))),BY824)/BQ824,0)*BQ824</f>
        <v>439</v>
      </c>
      <c r="AI824" s="58" t="n">
        <f aca="false">IF(AF824&gt;0,I824/AF824,-1)</f>
        <v>-1</v>
      </c>
      <c r="AJ824" s="58" t="str">
        <f aca="false">IF(AND(OR(BU824="L1",BU824="L23"),AF824&gt;0),SUMIFS($AF$7:$AF$1576,$BU$7:$BU$1576,BU824,$AI$7:$AI$1576,"&gt;"&amp;AI824)+SUMIFS($AF$7:$AF$1576,$BU$7:$BU$1576,BU824,$AI$7:$AI$1576,AI824,$BO$7:$BO$1576,"&lt;="&amp;BO824),"")</f>
        <v/>
      </c>
      <c r="AK824" s="65" t="n">
        <f aca="false">IF(AJ824="",0,MAX(0,MIN(1,(IF(BU824="L1",Parameter!$E$5,Parameter!$E$6+Parameter!$E$7)-(AJ824-AF824))/AF824)))</f>
        <v>0</v>
      </c>
      <c r="AL824" s="57" t="n">
        <f aca="false">IF(LEFT(Cockpit!$I$5,1)="A",G824,IF(BW824=1,BX824,IF(LEFT(Cockpit!$I$5,1)="B",AP824,MAX(AP824,G824))))</f>
        <v>439</v>
      </c>
      <c r="AM824" s="57" t="n">
        <f aca="false">IF(BR824=1,0,ROUNDUP(AL824/BQ824,0))</f>
        <v>1</v>
      </c>
      <c r="AN824" s="59" t="n">
        <f aca="false">IF(CD824&gt;0,CD824*MAX(1,AL824/V824),IF(BR824=1,IF(AL824&lt;=0,0,BS824*MAX(1,IF(G824&gt;0,AL824/G824,1))),IF(Q824&gt;0,AM824/Q824,0))/MAX(0.1,N(Parameter!$M$21)))</f>
        <v>0.0833333333333333</v>
      </c>
      <c r="AO824" s="57" t="n">
        <f aca="false">AL824*F824</f>
        <v>162.43</v>
      </c>
      <c r="AP824" s="57" t="n">
        <f aca="false">ROUNDUP(MAX(I824/IF(BV824&gt;0,BV824,MAX(0.1,N(Cockpit!$I$6))),BY824)/BQ824,0)*BQ824</f>
        <v>439</v>
      </c>
      <c r="AQ824" s="58" t="n">
        <f aca="false">IF(AN824&gt;0,I824/AN824,-1)</f>
        <v>276</v>
      </c>
      <c r="AR824" s="58" t="n">
        <f aca="false">IF(AND(OR(BU824="L1",BU824="L23"),AN824&gt;0),SUMIFS($AN$7:$AN$1576,$BU$7:$BU$1576,BU824,$AQ$7:$AQ$1576,"&gt;"&amp;AQ824)+SUMIFS($AN$7:$AN$1576,$BU$7:$BU$1576,BU824,$AQ$7:$AQ$1576,AQ824,$BO$7:$BO$1576,"&lt;="&amp;BO824),"")</f>
        <v>44.4914349542722</v>
      </c>
      <c r="AS824" s="65" t="n">
        <f aca="false">IF(AR824="",0,MAX(0,MIN(1,(IF(BU824="L1",Parameter!$E$5,Parameter!$E$6+Parameter!$E$7)-(AR824-AN824))/AN824)))</f>
        <v>1</v>
      </c>
      <c r="AT824" s="57" t="n">
        <f aca="false">IF(LEFT(Cockpit!$O$5,1)="A",G824,IF(BW824=1,BX824,IF(LEFT(Cockpit!$O$5,1)="B",AX824,MAX(AX824,G824))))</f>
        <v>439</v>
      </c>
      <c r="AU824" s="57" t="n">
        <f aca="false">IF(BR824=1,0,ROUNDUP(AT824/BQ824,0))</f>
        <v>1</v>
      </c>
      <c r="AV824" s="59" t="n">
        <f aca="false">IF(CD824&gt;0,CD824*MAX(1,AT824/V824),IF(BR824=1,IF(AT824&lt;=0,0,BS824*MAX(1,IF(G824&gt;0,AT824/G824,1))),IF(Q824&gt;0,AU824/Q824,0))/MAX(0.1,N(Parameter!$M$21)))</f>
        <v>0.0833333333333333</v>
      </c>
      <c r="AW824" s="57" t="n">
        <f aca="false">AT824*F824</f>
        <v>162.43</v>
      </c>
      <c r="AX824" s="57" t="n">
        <f aca="false">ROUNDUP(MAX(I824/IF(BV824&gt;0,BV824,MAX(0.1,N(Cockpit!$O$6))),BY824)/BQ824,0)*BQ824</f>
        <v>439</v>
      </c>
      <c r="AY824" s="58" t="n">
        <f aca="false">IF(AV824&gt;0,I824/AV824,-1)</f>
        <v>276</v>
      </c>
      <c r="AZ824" s="58" t="n">
        <f aca="false">IF(AND(OR(BU824="L1",BU824="L23"),AV824&gt;0),SUMIFS($AV$7:$AV$1576,$BU$7:$BU$1576,BU824,$AY$7:$AY$1576,"&gt;"&amp;AY824)+SUMIFS($AV$7:$AV$1576,$BU$7:$BU$1576,BU824,$AY$7:$AY$1576,AY824,$BO$7:$BO$1576,"&lt;="&amp;BO824),"")</f>
        <v>40.7695135423508</v>
      </c>
      <c r="BA824" s="65" t="n">
        <f aca="false">IF(AZ824="",0,MAX(0,MIN(1,(IF(BU824="L1",Parameter!$E$5,Parameter!$E$6+Parameter!$E$7)-(AZ824-AV824))/AV824)))</f>
        <v>1</v>
      </c>
      <c r="BB824" s="55" t="str">
        <f aca="false">IF(AF824&lt;=0,"",IF(BU824="Aussen","Aussenlager",IF(BU824="-","Nicht im Lift",IF(AK824&gt;=1,"Lift",IF(AK824&lt;=0,"Aussenlager","teilweise")))))</f>
        <v/>
      </c>
      <c r="BC824" s="55" t="str">
        <f aca="false">IF(AN824&lt;=0,"",IF(BU824="Aussen","Aussenlager",IF(BU824="-","Nicht im Lift",IF(AS824&gt;=1,"Lift",IF(AS824&lt;=0,"Aussenlager","teilweise")))))</f>
        <v>Lift</v>
      </c>
      <c r="BD824" s="55" t="str">
        <f aca="false">IF(AV824&lt;=0,"",IF(BU824="Aussen","Aussenlager",IF(BU824="-","Nicht im Lift",IF(BA824&gt;=1,"Lift",IF(BA824&lt;=0,"Aussenlager","teilweise")))))</f>
        <v>Lift</v>
      </c>
      <c r="BE824" s="55" t="str">
        <f aca="false">IF(A824="","",IF(BN824=1,"Neu; ","")&amp;IF(AND(BN824=0,BI824&lt;0),"negativer Bestand (Export "&amp;BI824&amp;"); ","")&amp;IF(I824&lt;=0,"Kein Verbrauch; ","")&amp;IF(CD824&gt;0,"Lift "&amp;U824&amp;" lt. Liftbericht (Fach "&amp;V824&amp;" Stk); ",IF(BR824=1,"Lose – Fläche geschätzt; ",""))&amp;IF(G824&gt;AP824,"Überbestand "&amp;ROUND(G824-AP824,0)&amp;" Stk / CHF "&amp;ROUND((G824-AP824)*F824,0)&amp;"; ","")&amp;IF(AND(BW824=1,BX824&lt;BY824),"MAX &lt; MB+LG; ","")&amp;IF(AND(CC824&gt;0,CB824*10&gt;CC824),"zu hoch für Tablar; ","")&amp;IF(AND(BN824=0,OR(BW824=1,Y824&lt;&gt;"",S824&lt;&gt;"",T824&lt;&gt;"",Z824&lt;&gt;"")),"manuell übersteuert; ","")&amp;IF(AND(BR824=0,Q824=0),"Gebinde unbekannt / Stellmass fehlt; ","")&amp;IF(AND(BR824=0,N(T824)&lt;=0,N(P824)&lt;=0),"Menge pro Gebinde fehlt (Ist = 1 Gebinde); ","")&amp;BM824)</f>
        <v>negativer Bestand (Export -28); Überbestand</v>
      </c>
      <c r="BF824" s="55"/>
      <c r="BG824" s="55"/>
      <c r="BH824" s="62"/>
      <c r="BI824" s="57" t="n">
        <v>-28</v>
      </c>
      <c r="BJ824" s="57" t="n">
        <v>425</v>
      </c>
      <c r="BK824" s="56" t="n">
        <v>-10.36</v>
      </c>
      <c r="BL824" s="57" t="n">
        <v>23</v>
      </c>
      <c r="BM824" s="55" t="s">
        <v>382</v>
      </c>
      <c r="BN824" s="60" t="n">
        <v>0</v>
      </c>
      <c r="BO824" s="60" t="n">
        <v>824</v>
      </c>
      <c r="BP824" s="55" t="str">
        <f aca="false">IF(S824&lt;&gt;"",UPPER(TRIM(S824)),IF(O824="","LOSE",O824))</f>
        <v>S63</v>
      </c>
      <c r="BQ824" s="57" t="n">
        <f aca="false">IF(BP824="LOSE",1,IF(N(T824)&gt;0,T824,IF(N(P824)&gt;0,P824,MAX(1,G824))))</f>
        <v>439</v>
      </c>
      <c r="BR824" s="60" t="n">
        <f aca="false">IF(BP824="LOSE",1,0)</f>
        <v>0</v>
      </c>
      <c r="BS824" s="59" t="n">
        <f aca="false">IF(BR824=0,0,IF(N(R824)&gt;0,R824,IFERROR(VLOOKUP(D824,Parameter!$A$35:$C$64,3,0)+0,0)))</f>
        <v>0</v>
      </c>
      <c r="BT824" s="55" t="n">
        <f aca="false">IF(Y824&lt;&gt;"",Y824,X824)</f>
        <v>2</v>
      </c>
      <c r="BU824" s="55" t="str">
        <f aca="false">IF(BT824=1,"L1",IF(OR(BT824=2,BT824=3),"L23",IF(BT824="Aussen","Aussen","-")))</f>
        <v>L23</v>
      </c>
      <c r="BV824" s="66" t="n">
        <f aca="false">IF(N(Z824)&gt;0,Z824,0)</f>
        <v>0</v>
      </c>
      <c r="BW824" s="60" t="n">
        <f aca="false">IF(ISNUMBER(AC824),1,0)</f>
        <v>0</v>
      </c>
      <c r="BX824" s="57" t="n">
        <f aca="false">N(AC824)</f>
        <v>0</v>
      </c>
      <c r="BY824" s="57" t="n">
        <f aca="false">N(L824)+N(M824)</f>
        <v>26</v>
      </c>
      <c r="BZ824" s="57" t="n">
        <f aca="false">ROUNDUP(G824/BQ824,0)</f>
        <v>0</v>
      </c>
      <c r="CA824" s="57" t="n">
        <f aca="false">ROUNDUP(BX824/BQ824,0)</f>
        <v>0</v>
      </c>
      <c r="CB824" s="60" t="n">
        <f aca="false">IF(BR824=1,0,IFERROR(VLOOKUP(BP824,'Gebinde-Kategorie'!$A$5:$M$45,5,0)+0,0))</f>
        <v>31</v>
      </c>
      <c r="CC824" s="60" t="n">
        <f aca="false">IFERROR(IF(OR(BT824=1,BT824=2,BT824=3),N(INDEX(Parameter!$I$5:$I$7,BT824)),0),0)</f>
        <v>0</v>
      </c>
      <c r="CD824" s="59" t="n">
        <f aca="false">IF(AND(Parameter!$B$21="Ja",ISNUMBER(U824),N(V824)&gt;0),IFERROR(N(INDEX(Parameter!$L$5:$L$7,U824))*INDEX(Parameter!$E$5:$E$7,U824)*V824/SUMIFS($V$7:$V$1576,$U$7:$U$1576,U824),0),0)</f>
        <v>0</v>
      </c>
    </row>
    <row r="825" customFormat="false" ht="15" hidden="false" customHeight="false" outlineLevel="0" collapsed="false">
      <c r="A825" s="55" t="s">
        <v>1576</v>
      </c>
      <c r="B825" s="55" t="s">
        <v>1577</v>
      </c>
      <c r="C825" s="55" t="s">
        <v>160</v>
      </c>
      <c r="D825" s="55" t="s">
        <v>178</v>
      </c>
      <c r="E825" s="55" t="s">
        <v>210</v>
      </c>
      <c r="F825" s="56" t="n">
        <v>1.23</v>
      </c>
      <c r="G825" s="57" t="n">
        <f aca="false">MAX(0,IF(AND(Parameter!$B$21="Ja",ISNUMBER(W825)),W825,IF(Parameter!$B$20="Jahresanfang 2025 + Export",BJ825+BI825,BI825)))</f>
        <v>0</v>
      </c>
      <c r="H825" s="57" t="n">
        <f aca="false">G825*F825</f>
        <v>0</v>
      </c>
      <c r="I825" s="57" t="n">
        <f aca="false">BL825*Parameter!$B$18</f>
        <v>55</v>
      </c>
      <c r="J825" s="58" t="n">
        <v>117.5</v>
      </c>
      <c r="K825" s="59" t="n">
        <v>0.468085106382979</v>
      </c>
      <c r="L825" s="57" t="n">
        <v>3</v>
      </c>
      <c r="M825" s="57" t="n">
        <v>50</v>
      </c>
      <c r="N825" s="60" t="n">
        <v>21</v>
      </c>
      <c r="O825" s="55" t="s">
        <v>411</v>
      </c>
      <c r="P825" s="57" t="n">
        <v>97</v>
      </c>
      <c r="Q825" s="60" t="n">
        <f aca="false">IF(BR825=1,0,IFERROR(VLOOKUP(BP825,'Gebinde-Kategorie'!$A$5:$M$45,13,0)+0,0))</f>
        <v>132</v>
      </c>
      <c r="R825" s="61"/>
      <c r="S825" s="62"/>
      <c r="T825" s="62"/>
      <c r="U825" s="55"/>
      <c r="V825" s="57"/>
      <c r="W825" s="57"/>
      <c r="X825" s="55" t="n">
        <f aca="false">IF(A825="","",IF(AND(Parameter!$B$21="Ja",ISNUMBER(U825)),U825,IF(IFERROR(VLOOKUP(D825,Parameter!$A$35:$C$64,2,0),"Nein")="2+3",IF(ISNUMBER(SEARCH("grosser Artikel",BM825)),2,IFERROR(VLOOKUP(BP825,Parameter!$F$35:$G$64,2,0),2)),IF(OR(IFERROR(VLOOKUP(D825,Parameter!$A$35:$C$64,2,0),"Nein")="Nein",IFERROR(VLOOKUP(D825,Parameter!$A$35:$C$64,2,0),"Nein")=""),"-",VLOOKUP(D825,Parameter!$A$35:$C$64,2,0)))))</f>
        <v>3</v>
      </c>
      <c r="Y825" s="62"/>
      <c r="Z825" s="63"/>
      <c r="AA825" s="57" t="n">
        <f aca="false">AP825</f>
        <v>97</v>
      </c>
      <c r="AB825" s="57" t="n">
        <f aca="false">MAX(AP825,G825)</f>
        <v>97</v>
      </c>
      <c r="AC825" s="64"/>
      <c r="AD825" s="57" t="n">
        <f aca="false">IF(LEFT(Cockpit!$C$5,1)="A",G825,IF(BW825=1,BX825,IF(LEFT(Cockpit!$C$5,1)="B",AH825,MAX(AH825,G825))))</f>
        <v>0</v>
      </c>
      <c r="AE825" s="57" t="n">
        <f aca="false">IF(BR825=1,0,ROUNDUP(AD825/BQ825,0))</f>
        <v>0</v>
      </c>
      <c r="AF825" s="59" t="n">
        <f aca="false">IF(CD825&gt;0,CD825*MAX(1,AD825/V825),IF(BR825=1,IF(AD825&lt;=0,0,BS825*MAX(1,IF(G825&gt;0,AD825/G825,1))),IF(Q825&gt;0,AE825/Q825,0))/MAX(0.1,N(Parameter!$M$21)))</f>
        <v>0</v>
      </c>
      <c r="AG825" s="57" t="n">
        <f aca="false">AD825*F825</f>
        <v>0</v>
      </c>
      <c r="AH825" s="57" t="n">
        <f aca="false">ROUNDUP(MAX(I825/IF(BV825&gt;0,BV825,MAX(0.1,N(Cockpit!$C$6))),BY825)/BQ825,0)*BQ825</f>
        <v>97</v>
      </c>
      <c r="AI825" s="58" t="n">
        <f aca="false">IF(AF825&gt;0,I825/AF825,-1)</f>
        <v>-1</v>
      </c>
      <c r="AJ825" s="58" t="str">
        <f aca="false">IF(AND(OR(BU825="L1",BU825="L23"),AF825&gt;0),SUMIFS($AF$7:$AF$1576,$BU$7:$BU$1576,BU825,$AI$7:$AI$1576,"&gt;"&amp;AI825)+SUMIFS($AF$7:$AF$1576,$BU$7:$BU$1576,BU825,$AI$7:$AI$1576,AI825,$BO$7:$BO$1576,"&lt;="&amp;BO825),"")</f>
        <v/>
      </c>
      <c r="AK825" s="65" t="n">
        <f aca="false">IF(AJ825="",0,MAX(0,MIN(1,(IF(BU825="L1",Parameter!$E$5,Parameter!$E$6+Parameter!$E$7)-(AJ825-AF825))/AF825)))</f>
        <v>0</v>
      </c>
      <c r="AL825" s="57" t="n">
        <f aca="false">IF(LEFT(Cockpit!$I$5,1)="A",G825,IF(BW825=1,BX825,IF(LEFT(Cockpit!$I$5,1)="B",AP825,MAX(AP825,G825))))</f>
        <v>97</v>
      </c>
      <c r="AM825" s="57" t="n">
        <f aca="false">IF(BR825=1,0,ROUNDUP(AL825/BQ825,0))</f>
        <v>1</v>
      </c>
      <c r="AN825" s="59" t="n">
        <f aca="false">IF(CD825&gt;0,CD825*MAX(1,AL825/V825),IF(BR825=1,IF(AL825&lt;=0,0,BS825*MAX(1,IF(G825&gt;0,AL825/G825,1))),IF(Q825&gt;0,AM825/Q825,0))/MAX(0.1,N(Parameter!$M$21)))</f>
        <v>0.00757575757575758</v>
      </c>
      <c r="AO825" s="57" t="n">
        <f aca="false">AL825*F825</f>
        <v>119.31</v>
      </c>
      <c r="AP825" s="57" t="n">
        <f aca="false">ROUNDUP(MAX(I825/IF(BV825&gt;0,BV825,MAX(0.1,N(Cockpit!$I$6))),BY825)/BQ825,0)*BQ825</f>
        <v>97</v>
      </c>
      <c r="AQ825" s="58" t="n">
        <f aca="false">IF(AN825&gt;0,I825/AN825,-1)</f>
        <v>7260</v>
      </c>
      <c r="AR825" s="58" t="n">
        <f aca="false">IF(AND(OR(BU825="L1",BU825="L23"),AN825&gt;0),SUMIFS($AN$7:$AN$1576,$BU$7:$BU$1576,BU825,$AQ$7:$AQ$1576,"&gt;"&amp;AQ825)+SUMIFS($AN$7:$AN$1576,$BU$7:$BU$1576,BU825,$AQ$7:$AQ$1576,AQ825,$BO$7:$BO$1576,"&lt;="&amp;BO825),"")</f>
        <v>8.07158778419648</v>
      </c>
      <c r="AS825" s="65" t="n">
        <f aca="false">IF(AR825="",0,MAX(0,MIN(1,(IF(BU825="L1",Parameter!$E$5,Parameter!$E$6+Parameter!$E$7)-(AR825-AN825))/AN825)))</f>
        <v>1</v>
      </c>
      <c r="AT825" s="57" t="n">
        <f aca="false">IF(LEFT(Cockpit!$O$5,1)="A",G825,IF(BW825=1,BX825,IF(LEFT(Cockpit!$O$5,1)="B",AX825,MAX(AX825,G825))))</f>
        <v>97</v>
      </c>
      <c r="AU825" s="57" t="n">
        <f aca="false">IF(BR825=1,0,ROUNDUP(AT825/BQ825,0))</f>
        <v>1</v>
      </c>
      <c r="AV825" s="59" t="n">
        <f aca="false">IF(CD825&gt;0,CD825*MAX(1,AT825/V825),IF(BR825=1,IF(AT825&lt;=0,0,BS825*MAX(1,IF(G825&gt;0,AT825/G825,1))),IF(Q825&gt;0,AU825/Q825,0))/MAX(0.1,N(Parameter!$M$21)))</f>
        <v>0.00757575757575758</v>
      </c>
      <c r="AW825" s="57" t="n">
        <f aca="false">AT825*F825</f>
        <v>119.31</v>
      </c>
      <c r="AX825" s="57" t="n">
        <f aca="false">ROUNDUP(MAX(I825/IF(BV825&gt;0,BV825,MAX(0.1,N(Cockpit!$O$6))),BY825)/BQ825,0)*BQ825</f>
        <v>97</v>
      </c>
      <c r="AY825" s="58" t="n">
        <f aca="false">IF(AV825&gt;0,I825/AV825,-1)</f>
        <v>7260</v>
      </c>
      <c r="AZ825" s="58" t="n">
        <f aca="false">IF(AND(OR(BU825="L1",BU825="L23"),AV825&gt;0),SUMIFS($AV$7:$AV$1576,$BU$7:$BU$1576,BU825,$AY$7:$AY$1576,"&gt;"&amp;AY825)+SUMIFS($AV$7:$AV$1576,$BU$7:$BU$1576,BU825,$AY$7:$AY$1576,AY825,$BO$7:$BO$1576,"&lt;="&amp;BO825),"")</f>
        <v>8.08732204993075</v>
      </c>
      <c r="BA825" s="65" t="n">
        <f aca="false">IF(AZ825="",0,MAX(0,MIN(1,(IF(BU825="L1",Parameter!$E$5,Parameter!$E$6+Parameter!$E$7)-(AZ825-AV825))/AV825)))</f>
        <v>1</v>
      </c>
      <c r="BB825" s="55" t="str">
        <f aca="false">IF(AF825&lt;=0,"",IF(BU825="Aussen","Aussenlager",IF(BU825="-","Nicht im Lift",IF(AK825&gt;=1,"Lift",IF(AK825&lt;=0,"Aussenlager","teilweise")))))</f>
        <v/>
      </c>
      <c r="BC825" s="55" t="str">
        <f aca="false">IF(AN825&lt;=0,"",IF(BU825="Aussen","Aussenlager",IF(BU825="-","Nicht im Lift",IF(AS825&gt;=1,"Lift",IF(AS825&lt;=0,"Aussenlager","teilweise")))))</f>
        <v>Lift</v>
      </c>
      <c r="BD825" s="55" t="str">
        <f aca="false">IF(AV825&lt;=0,"",IF(BU825="Aussen","Aussenlager",IF(BU825="-","Nicht im Lift",IF(BA825&gt;=1,"Lift",IF(BA825&lt;=0,"Aussenlager","teilweise")))))</f>
        <v>Lift</v>
      </c>
      <c r="BE825" s="55" t="str">
        <f aca="false">IF(A825="","",IF(BN825=1,"Neu; ","")&amp;IF(AND(BN825=0,BI825&lt;0),"negativer Bestand (Export "&amp;BI825&amp;"); ","")&amp;IF(I825&lt;=0,"Kein Verbrauch; ","")&amp;IF(CD825&gt;0,"Lift "&amp;U825&amp;" lt. Liftbericht (Fach "&amp;V825&amp;" Stk); ",IF(BR825=1,"Lose – Fläche geschätzt; ",""))&amp;IF(G825&gt;AP825,"Überbestand "&amp;ROUND(G825-AP825,0)&amp;" Stk / CHF "&amp;ROUND((G825-AP825)*F825,0)&amp;"; ","")&amp;IF(AND(BW825=1,BX825&lt;BY825),"MAX &lt; MB+LG; ","")&amp;IF(AND(CC825&gt;0,CB825*10&gt;CC825),"zu hoch für Tablar; ","")&amp;IF(AND(BN825=0,OR(BW825=1,Y825&lt;&gt;"",S825&lt;&gt;"",T825&lt;&gt;"",Z825&lt;&gt;"")),"manuell übersteuert; ","")&amp;IF(AND(BR825=0,Q825=0),"Gebinde unbekannt / Stellmass fehlt; ","")&amp;IF(AND(BR825=0,N(T825)&lt;=0,N(P825)&lt;=0),"Menge pro Gebinde fehlt (Ist = 1 Gebinde); ","")&amp;BM825)</f>
        <v>negativer Bestand (Export -5); Neu</v>
      </c>
      <c r="BF825" s="55"/>
      <c r="BG825" s="55"/>
      <c r="BH825" s="62"/>
      <c r="BI825" s="57" t="n">
        <v>-5</v>
      </c>
      <c r="BJ825" s="57" t="n">
        <v>85</v>
      </c>
      <c r="BK825" s="56" t="n">
        <v>-10.4000000000001</v>
      </c>
      <c r="BL825" s="57" t="n">
        <v>55</v>
      </c>
      <c r="BM825" s="55" t="s">
        <v>615</v>
      </c>
      <c r="BN825" s="60" t="n">
        <v>0</v>
      </c>
      <c r="BO825" s="60" t="n">
        <v>825</v>
      </c>
      <c r="BP825" s="55" t="str">
        <f aca="false">IF(S825&lt;&gt;"",UPPER(TRIM(S825)),IF(O825="","LOSE",O825))</f>
        <v>S32</v>
      </c>
      <c r="BQ825" s="57" t="n">
        <f aca="false">IF(BP825="LOSE",1,IF(N(T825)&gt;0,T825,IF(N(P825)&gt;0,P825,MAX(1,G825))))</f>
        <v>97</v>
      </c>
      <c r="BR825" s="60" t="n">
        <f aca="false">IF(BP825="LOSE",1,0)</f>
        <v>0</v>
      </c>
      <c r="BS825" s="59" t="n">
        <f aca="false">IF(BR825=0,0,IF(N(R825)&gt;0,R825,IFERROR(VLOOKUP(D825,Parameter!$A$35:$C$64,3,0)+0,0)))</f>
        <v>0</v>
      </c>
      <c r="BT825" s="55" t="n">
        <f aca="false">IF(Y825&lt;&gt;"",Y825,X825)</f>
        <v>3</v>
      </c>
      <c r="BU825" s="55" t="str">
        <f aca="false">IF(BT825=1,"L1",IF(OR(BT825=2,BT825=3),"L23",IF(BT825="Aussen","Aussen","-")))</f>
        <v>L23</v>
      </c>
      <c r="BV825" s="66" t="n">
        <f aca="false">IF(N(Z825)&gt;0,Z825,0)</f>
        <v>0</v>
      </c>
      <c r="BW825" s="60" t="n">
        <f aca="false">IF(ISNUMBER(AC825),1,0)</f>
        <v>0</v>
      </c>
      <c r="BX825" s="57" t="n">
        <f aca="false">N(AC825)</f>
        <v>0</v>
      </c>
      <c r="BY825" s="57" t="n">
        <f aca="false">N(L825)+N(M825)</f>
        <v>53</v>
      </c>
      <c r="BZ825" s="57" t="n">
        <f aca="false">ROUNDUP(G825/BQ825,0)</f>
        <v>0</v>
      </c>
      <c r="CA825" s="57" t="n">
        <f aca="false">ROUNDUP(BX825/BQ825,0)</f>
        <v>0</v>
      </c>
      <c r="CB825" s="60" t="n">
        <f aca="false">IF(BR825=1,0,IFERROR(VLOOKUP(BP825,'Gebinde-Kategorie'!$A$5:$M$45,5,0)+0,0))</f>
        <v>8</v>
      </c>
      <c r="CC825" s="60" t="n">
        <f aca="false">IFERROR(IF(OR(BT825=1,BT825=2,BT825=3),N(INDEX(Parameter!$I$5:$I$7,BT825)),0),0)</f>
        <v>0</v>
      </c>
      <c r="CD825" s="59" t="n">
        <f aca="false">IF(AND(Parameter!$B$21="Ja",ISNUMBER(U825),N(V825)&gt;0),IFERROR(N(INDEX(Parameter!$L$5:$L$7,U825))*INDEX(Parameter!$E$5:$E$7,U825)*V825/SUMIFS($V$7:$V$1576,$U$7:$U$1576,U825),0),0)</f>
        <v>0</v>
      </c>
    </row>
    <row r="826" customFormat="false" ht="15" hidden="false" customHeight="false" outlineLevel="0" collapsed="false">
      <c r="A826" s="55" t="s">
        <v>1578</v>
      </c>
      <c r="B826" s="55" t="s">
        <v>1579</v>
      </c>
      <c r="C826" s="55" t="s">
        <v>160</v>
      </c>
      <c r="D826" s="55" t="s">
        <v>178</v>
      </c>
      <c r="E826" s="55" t="s">
        <v>210</v>
      </c>
      <c r="F826" s="56" t="n">
        <v>10.43</v>
      </c>
      <c r="G826" s="57" t="n">
        <f aca="false">MAX(0,IF(AND(Parameter!$B$21="Ja",ISNUMBER(W826)),W826,IF(Parameter!$B$20="Jahresanfang 2025 + Export",BJ826+BI826,BI826)))</f>
        <v>0</v>
      </c>
      <c r="H826" s="57" t="n">
        <f aca="false">G826*F826</f>
        <v>0</v>
      </c>
      <c r="I826" s="57" t="n">
        <f aca="false">BL826*Parameter!$B$18</f>
        <v>1</v>
      </c>
      <c r="J826" s="58" t="n">
        <v>0.5</v>
      </c>
      <c r="K826" s="59" t="n">
        <v>2</v>
      </c>
      <c r="L826" s="57" t="n">
        <v>0</v>
      </c>
      <c r="M826" s="57" t="n">
        <v>1</v>
      </c>
      <c r="N826" s="60" t="n">
        <v>21</v>
      </c>
      <c r="O826" s="55" t="s">
        <v>391</v>
      </c>
      <c r="P826" s="57" t="n">
        <v>100</v>
      </c>
      <c r="Q826" s="60" t="n">
        <f aca="false">IF(BR826=1,0,IFERROR(VLOOKUP(BP826,'Gebinde-Kategorie'!$A$5:$M$45,13,0)+0,0))</f>
        <v>414</v>
      </c>
      <c r="R826" s="61"/>
      <c r="S826" s="62"/>
      <c r="T826" s="62"/>
      <c r="U826" s="55"/>
      <c r="V826" s="57"/>
      <c r="W826" s="57"/>
      <c r="X826" s="55" t="n">
        <f aca="false">IF(A826="","",IF(AND(Parameter!$B$21="Ja",ISNUMBER(U826)),U826,IF(IFERROR(VLOOKUP(D826,Parameter!$A$35:$C$64,2,0),"Nein")="2+3",IF(ISNUMBER(SEARCH("grosser Artikel",BM826)),2,IFERROR(VLOOKUP(BP826,Parameter!$F$35:$G$64,2,0),2)),IF(OR(IFERROR(VLOOKUP(D826,Parameter!$A$35:$C$64,2,0),"Nein")="Nein",IFERROR(VLOOKUP(D826,Parameter!$A$35:$C$64,2,0),"Nein")=""),"-",VLOOKUP(D826,Parameter!$A$35:$C$64,2,0)))))</f>
        <v>3</v>
      </c>
      <c r="Y826" s="62"/>
      <c r="Z826" s="63"/>
      <c r="AA826" s="57" t="n">
        <f aca="false">AP826</f>
        <v>100</v>
      </c>
      <c r="AB826" s="57" t="n">
        <f aca="false">MAX(AP826,G826)</f>
        <v>100</v>
      </c>
      <c r="AC826" s="64"/>
      <c r="AD826" s="57" t="n">
        <f aca="false">IF(LEFT(Cockpit!$C$5,1)="A",G826,IF(BW826=1,BX826,IF(LEFT(Cockpit!$C$5,1)="B",AH826,MAX(AH826,G826))))</f>
        <v>0</v>
      </c>
      <c r="AE826" s="57" t="n">
        <f aca="false">IF(BR826=1,0,ROUNDUP(AD826/BQ826,0))</f>
        <v>0</v>
      </c>
      <c r="AF826" s="59" t="n">
        <f aca="false">IF(CD826&gt;0,CD826*MAX(1,AD826/V826),IF(BR826=1,IF(AD826&lt;=0,0,BS826*MAX(1,IF(G826&gt;0,AD826/G826,1))),IF(Q826&gt;0,AE826/Q826,0))/MAX(0.1,N(Parameter!$M$21)))</f>
        <v>0</v>
      </c>
      <c r="AG826" s="57" t="n">
        <f aca="false">AD826*F826</f>
        <v>0</v>
      </c>
      <c r="AH826" s="57" t="n">
        <f aca="false">ROUNDUP(MAX(I826/IF(BV826&gt;0,BV826,MAX(0.1,N(Cockpit!$C$6))),BY826)/BQ826,0)*BQ826</f>
        <v>100</v>
      </c>
      <c r="AI826" s="58" t="n">
        <f aca="false">IF(AF826&gt;0,I826/AF826,-1)</f>
        <v>-1</v>
      </c>
      <c r="AJ826" s="58" t="str">
        <f aca="false">IF(AND(OR(BU826="L1",BU826="L23"),AF826&gt;0),SUMIFS($AF$7:$AF$1576,$BU$7:$BU$1576,BU826,$AI$7:$AI$1576,"&gt;"&amp;AI826)+SUMIFS($AF$7:$AF$1576,$BU$7:$BU$1576,BU826,$AI$7:$AI$1576,AI826,$BO$7:$BO$1576,"&lt;="&amp;BO826),"")</f>
        <v/>
      </c>
      <c r="AK826" s="65" t="n">
        <f aca="false">IF(AJ826="",0,MAX(0,MIN(1,(IF(BU826="L1",Parameter!$E$5,Parameter!$E$6+Parameter!$E$7)-(AJ826-AF826))/AF826)))</f>
        <v>0</v>
      </c>
      <c r="AL826" s="57" t="n">
        <f aca="false">IF(LEFT(Cockpit!$I$5,1)="A",G826,IF(BW826=1,BX826,IF(LEFT(Cockpit!$I$5,1)="B",AP826,MAX(AP826,G826))))</f>
        <v>100</v>
      </c>
      <c r="AM826" s="57" t="n">
        <f aca="false">IF(BR826=1,0,ROUNDUP(AL826/BQ826,0))</f>
        <v>1</v>
      </c>
      <c r="AN826" s="59" t="n">
        <f aca="false">IF(CD826&gt;0,CD826*MAX(1,AL826/V826),IF(BR826=1,IF(AL826&lt;=0,0,BS826*MAX(1,IF(G826&gt;0,AL826/G826,1))),IF(Q826&gt;0,AM826/Q826,0))/MAX(0.1,N(Parameter!$M$21)))</f>
        <v>0.00241545893719807</v>
      </c>
      <c r="AO826" s="57" t="n">
        <f aca="false">AL826*F826</f>
        <v>1043</v>
      </c>
      <c r="AP826" s="57" t="n">
        <f aca="false">ROUNDUP(MAX(I826/IF(BV826&gt;0,BV826,MAX(0.1,N(Cockpit!$I$6))),BY826)/BQ826,0)*BQ826</f>
        <v>100</v>
      </c>
      <c r="AQ826" s="58" t="n">
        <f aca="false">IF(AN826&gt;0,I826/AN826,-1)</f>
        <v>414</v>
      </c>
      <c r="AR826" s="58" t="n">
        <f aca="false">IF(AND(OR(BU826="L1",BU826="L23"),AN826&gt;0),SUMIFS($AN$7:$AN$1576,$BU$7:$BU$1576,BU826,$AQ$7:$AQ$1576,"&gt;"&amp;AQ826)+SUMIFS($AN$7:$AN$1576,$BU$7:$BU$1576,BU826,$AQ$7:$AQ$1576,AQ826,$BO$7:$BO$1576,"&lt;="&amp;BO826),"")</f>
        <v>36.4367138299859</v>
      </c>
      <c r="AS826" s="65" t="n">
        <f aca="false">IF(AR826="",0,MAX(0,MIN(1,(IF(BU826="L1",Parameter!$E$5,Parameter!$E$6+Parameter!$E$7)-(AR826-AN826))/AN826)))</f>
        <v>1</v>
      </c>
      <c r="AT826" s="57" t="n">
        <f aca="false">IF(LEFT(Cockpit!$O$5,1)="A",G826,IF(BW826=1,BX826,IF(LEFT(Cockpit!$O$5,1)="B",AX826,MAX(AX826,G826))))</f>
        <v>100</v>
      </c>
      <c r="AU826" s="57" t="n">
        <f aca="false">IF(BR826=1,0,ROUNDUP(AT826/BQ826,0))</f>
        <v>1</v>
      </c>
      <c r="AV826" s="59" t="n">
        <f aca="false">IF(CD826&gt;0,CD826*MAX(1,AT826/V826),IF(BR826=1,IF(AT826&lt;=0,0,BS826*MAX(1,IF(G826&gt;0,AT826/G826,1))),IF(Q826&gt;0,AU826/Q826,0))/MAX(0.1,N(Parameter!$M$21)))</f>
        <v>0.00241545893719807</v>
      </c>
      <c r="AW826" s="57" t="n">
        <f aca="false">AT826*F826</f>
        <v>1043</v>
      </c>
      <c r="AX826" s="57" t="n">
        <f aca="false">ROUNDUP(MAX(I826/IF(BV826&gt;0,BV826,MAX(0.1,N(Cockpit!$O$6))),BY826)/BQ826,0)*BQ826</f>
        <v>100</v>
      </c>
      <c r="AY826" s="58" t="n">
        <f aca="false">IF(AV826&gt;0,I826/AV826,-1)</f>
        <v>414</v>
      </c>
      <c r="AZ826" s="58" t="n">
        <f aca="false">IF(AND(OR(BU826="L1",BU826="L23"),AV826&gt;0),SUMIFS($AV$7:$AV$1576,$BU$7:$BU$1576,BU826,$AY$7:$AY$1576,"&gt;"&amp;AY826)+SUMIFS($AV$7:$AV$1576,$BU$7:$BU$1576,BU826,$AY$7:$AY$1576,AY826,$BO$7:$BO$1576,"&lt;="&amp;BO826),"")</f>
        <v>35.6014590847311</v>
      </c>
      <c r="BA826" s="65" t="n">
        <f aca="false">IF(AZ826="",0,MAX(0,MIN(1,(IF(BU826="L1",Parameter!$E$5,Parameter!$E$6+Parameter!$E$7)-(AZ826-AV826))/AV826)))</f>
        <v>1</v>
      </c>
      <c r="BB826" s="55" t="str">
        <f aca="false">IF(AF826&lt;=0,"",IF(BU826="Aussen","Aussenlager",IF(BU826="-","Nicht im Lift",IF(AK826&gt;=1,"Lift",IF(AK826&lt;=0,"Aussenlager","teilweise")))))</f>
        <v/>
      </c>
      <c r="BC826" s="55" t="str">
        <f aca="false">IF(AN826&lt;=0,"",IF(BU826="Aussen","Aussenlager",IF(BU826="-","Nicht im Lift",IF(AS826&gt;=1,"Lift",IF(AS826&lt;=0,"Aussenlager","teilweise")))))</f>
        <v>Lift</v>
      </c>
      <c r="BD826" s="55" t="str">
        <f aca="false">IF(AV826&lt;=0,"",IF(BU826="Aussen","Aussenlager",IF(BU826="-","Nicht im Lift",IF(BA826&gt;=1,"Lift",IF(BA826&lt;=0,"Aussenlager","teilweise")))))</f>
        <v>Lift</v>
      </c>
      <c r="BE826" s="55" t="str">
        <f aca="false">IF(A826="","",IF(BN826=1,"Neu; ","")&amp;IF(AND(BN826=0,BI826&lt;0),"negativer Bestand (Export "&amp;BI826&amp;"); ","")&amp;IF(I826&lt;=0,"Kein Verbrauch; ","")&amp;IF(CD826&gt;0,"Lift "&amp;U826&amp;" lt. Liftbericht (Fach "&amp;V826&amp;" Stk); ",IF(BR826=1,"Lose – Fläche geschätzt; ",""))&amp;IF(G826&gt;AP826,"Überbestand "&amp;ROUND(G826-AP826,0)&amp;" Stk / CHF "&amp;ROUND((G826-AP826)*F826,0)&amp;"; ","")&amp;IF(AND(BW826=1,BX826&lt;BY826),"MAX &lt; MB+LG; ","")&amp;IF(AND(CC826&gt;0,CB826*10&gt;CC826),"zu hoch für Tablar; ","")&amp;IF(AND(BN826=0,OR(BW826=1,Y826&lt;&gt;"",S826&lt;&gt;"",T826&lt;&gt;"",Z826&lt;&gt;"")),"manuell übersteuert; ","")&amp;IF(AND(BR826=0,Q826=0),"Gebinde unbekannt / Stellmass fehlt; ","")&amp;IF(AND(BR826=0,N(T826)&lt;=0,N(P826)&lt;=0),"Menge pro Gebinde fehlt (Ist = 1 Gebinde); ","")&amp;BM826)</f>
        <v>negativer Bestand (Export -1); </v>
      </c>
      <c r="BF826" s="55"/>
      <c r="BG826" s="55"/>
      <c r="BH826" s="62"/>
      <c r="BI826" s="57" t="n">
        <v>-1</v>
      </c>
      <c r="BJ826" s="57" t="n">
        <v>1</v>
      </c>
      <c r="BK826" s="56" t="n">
        <v>-10.43</v>
      </c>
      <c r="BL826" s="57" t="n">
        <v>1</v>
      </c>
      <c r="BM826" s="55"/>
      <c r="BN826" s="60" t="n">
        <v>0</v>
      </c>
      <c r="BO826" s="60" t="n">
        <v>826</v>
      </c>
      <c r="BP826" s="55" t="str">
        <f aca="false">IF(S826&lt;&gt;"",UPPER(TRIM(S826)),IF(O826="","LOSE",O826))</f>
        <v>S21</v>
      </c>
      <c r="BQ826" s="57" t="n">
        <f aca="false">IF(BP826="LOSE",1,IF(N(T826)&gt;0,T826,IF(N(P826)&gt;0,P826,MAX(1,G826))))</f>
        <v>100</v>
      </c>
      <c r="BR826" s="60" t="n">
        <f aca="false">IF(BP826="LOSE",1,0)</f>
        <v>0</v>
      </c>
      <c r="BS826" s="59" t="n">
        <f aca="false">IF(BR826=0,0,IF(N(R826)&gt;0,R826,IFERROR(VLOOKUP(D826,Parameter!$A$35:$C$64,3,0)+0,0)))</f>
        <v>0</v>
      </c>
      <c r="BT826" s="55" t="n">
        <f aca="false">IF(Y826&lt;&gt;"",Y826,X826)</f>
        <v>3</v>
      </c>
      <c r="BU826" s="55" t="str">
        <f aca="false">IF(BT826=1,"L1",IF(OR(BT826=2,BT826=3),"L23",IF(BT826="Aussen","Aussen","-")))</f>
        <v>L23</v>
      </c>
      <c r="BV826" s="66" t="n">
        <f aca="false">IF(N(Z826)&gt;0,Z826,0)</f>
        <v>0</v>
      </c>
      <c r="BW826" s="60" t="n">
        <f aca="false">IF(ISNUMBER(AC826),1,0)</f>
        <v>0</v>
      </c>
      <c r="BX826" s="57" t="n">
        <f aca="false">N(AC826)</f>
        <v>0</v>
      </c>
      <c r="BY826" s="57" t="n">
        <f aca="false">N(L826)+N(M826)</f>
        <v>1</v>
      </c>
      <c r="BZ826" s="57" t="n">
        <f aca="false">ROUNDUP(G826/BQ826,0)</f>
        <v>0</v>
      </c>
      <c r="CA826" s="57" t="n">
        <f aca="false">ROUNDUP(BX826/BQ826,0)</f>
        <v>0</v>
      </c>
      <c r="CB826" s="60" t="n">
        <f aca="false">IF(BR826=1,0,IFERROR(VLOOKUP(BP826,'Gebinde-Kategorie'!$A$5:$M$45,5,0)+0,0))</f>
        <v>8</v>
      </c>
      <c r="CC826" s="60" t="n">
        <f aca="false">IFERROR(IF(OR(BT826=1,BT826=2,BT826=3),N(INDEX(Parameter!$I$5:$I$7,BT826)),0),0)</f>
        <v>0</v>
      </c>
      <c r="CD826" s="59" t="n">
        <f aca="false">IF(AND(Parameter!$B$21="Ja",ISNUMBER(U826),N(V826)&gt;0),IFERROR(N(INDEX(Parameter!$L$5:$L$7,U826))*INDEX(Parameter!$E$5:$E$7,U826)*V826/SUMIFS($V$7:$V$1576,$U$7:$U$1576,U826),0),0)</f>
        <v>0</v>
      </c>
    </row>
    <row r="827" customFormat="false" ht="15" hidden="false" customHeight="false" outlineLevel="0" collapsed="false">
      <c r="A827" s="55" t="s">
        <v>1580</v>
      </c>
      <c r="B827" s="55" t="s">
        <v>1581</v>
      </c>
      <c r="C827" s="55" t="s">
        <v>160</v>
      </c>
      <c r="D827" s="55" t="s">
        <v>178</v>
      </c>
      <c r="E827" s="55" t="s">
        <v>210</v>
      </c>
      <c r="F827" s="56" t="n">
        <v>0.88</v>
      </c>
      <c r="G827" s="57" t="n">
        <f aca="false">MAX(0,IF(AND(Parameter!$B$21="Ja",ISNUMBER(W827)),W827,IF(Parameter!$B$20="Jahresanfang 2025 + Export",BJ827+BI827,BI827)))</f>
        <v>0</v>
      </c>
      <c r="H827" s="57" t="n">
        <f aca="false">G827*F827</f>
        <v>0</v>
      </c>
      <c r="I827" s="57" t="n">
        <f aca="false">BL827*Parameter!$B$18</f>
        <v>3</v>
      </c>
      <c r="J827" s="58" t="n">
        <v>79.5</v>
      </c>
      <c r="K827" s="59" t="n">
        <v>0.0377358490566038</v>
      </c>
      <c r="L827" s="57" t="n">
        <v>0</v>
      </c>
      <c r="M827" s="57" t="n">
        <v>5</v>
      </c>
      <c r="N827" s="60" t="n">
        <v>21</v>
      </c>
      <c r="O827" s="55" t="s">
        <v>416</v>
      </c>
      <c r="P827" s="57" t="n">
        <v>84</v>
      </c>
      <c r="Q827" s="60" t="n">
        <f aca="false">IF(BR827=1,0,IFERROR(VLOOKUP(BP827,'Gebinde-Kategorie'!$A$5:$M$45,13,0)+0,0))</f>
        <v>198</v>
      </c>
      <c r="R827" s="61"/>
      <c r="S827" s="62"/>
      <c r="T827" s="62"/>
      <c r="U827" s="55"/>
      <c r="V827" s="57"/>
      <c r="W827" s="57"/>
      <c r="X827" s="55" t="n">
        <f aca="false">IF(A827="","",IF(AND(Parameter!$B$21="Ja",ISNUMBER(U827)),U827,IF(IFERROR(VLOOKUP(D827,Parameter!$A$35:$C$64,2,0),"Nein")="2+3",IF(ISNUMBER(SEARCH("grosser Artikel",BM827)),2,IFERROR(VLOOKUP(BP827,Parameter!$F$35:$G$64,2,0),2)),IF(OR(IFERROR(VLOOKUP(D827,Parameter!$A$35:$C$64,2,0),"Nein")="Nein",IFERROR(VLOOKUP(D827,Parameter!$A$35:$C$64,2,0),"Nein")=""),"-",VLOOKUP(D827,Parameter!$A$35:$C$64,2,0)))))</f>
        <v>3</v>
      </c>
      <c r="Y827" s="62"/>
      <c r="Z827" s="63"/>
      <c r="AA827" s="57" t="n">
        <f aca="false">AP827</f>
        <v>84</v>
      </c>
      <c r="AB827" s="57" t="n">
        <f aca="false">MAX(AP827,G827)</f>
        <v>84</v>
      </c>
      <c r="AC827" s="64"/>
      <c r="AD827" s="57" t="n">
        <f aca="false">IF(LEFT(Cockpit!$C$5,1)="A",G827,IF(BW827=1,BX827,IF(LEFT(Cockpit!$C$5,1)="B",AH827,MAX(AH827,G827))))</f>
        <v>0</v>
      </c>
      <c r="AE827" s="57" t="n">
        <f aca="false">IF(BR827=1,0,ROUNDUP(AD827/BQ827,0))</f>
        <v>0</v>
      </c>
      <c r="AF827" s="59" t="n">
        <f aca="false">IF(CD827&gt;0,CD827*MAX(1,AD827/V827),IF(BR827=1,IF(AD827&lt;=0,0,BS827*MAX(1,IF(G827&gt;0,AD827/G827,1))),IF(Q827&gt;0,AE827/Q827,0))/MAX(0.1,N(Parameter!$M$21)))</f>
        <v>0</v>
      </c>
      <c r="AG827" s="57" t="n">
        <f aca="false">AD827*F827</f>
        <v>0</v>
      </c>
      <c r="AH827" s="57" t="n">
        <f aca="false">ROUNDUP(MAX(I827/IF(BV827&gt;0,BV827,MAX(0.1,N(Cockpit!$C$6))),BY827)/BQ827,0)*BQ827</f>
        <v>84</v>
      </c>
      <c r="AI827" s="58" t="n">
        <f aca="false">IF(AF827&gt;0,I827/AF827,-1)</f>
        <v>-1</v>
      </c>
      <c r="AJ827" s="58" t="str">
        <f aca="false">IF(AND(OR(BU827="L1",BU827="L23"),AF827&gt;0),SUMIFS($AF$7:$AF$1576,$BU$7:$BU$1576,BU827,$AI$7:$AI$1576,"&gt;"&amp;AI827)+SUMIFS($AF$7:$AF$1576,$BU$7:$BU$1576,BU827,$AI$7:$AI$1576,AI827,$BO$7:$BO$1576,"&lt;="&amp;BO827),"")</f>
        <v/>
      </c>
      <c r="AK827" s="65" t="n">
        <f aca="false">IF(AJ827="",0,MAX(0,MIN(1,(IF(BU827="L1",Parameter!$E$5,Parameter!$E$6+Parameter!$E$7)-(AJ827-AF827))/AF827)))</f>
        <v>0</v>
      </c>
      <c r="AL827" s="57" t="n">
        <f aca="false">IF(LEFT(Cockpit!$I$5,1)="A",G827,IF(BW827=1,BX827,IF(LEFT(Cockpit!$I$5,1)="B",AP827,MAX(AP827,G827))))</f>
        <v>84</v>
      </c>
      <c r="AM827" s="57" t="n">
        <f aca="false">IF(BR827=1,0,ROUNDUP(AL827/BQ827,0))</f>
        <v>1</v>
      </c>
      <c r="AN827" s="59" t="n">
        <f aca="false">IF(CD827&gt;0,CD827*MAX(1,AL827/V827),IF(BR827=1,IF(AL827&lt;=0,0,BS827*MAX(1,IF(G827&gt;0,AL827/G827,1))),IF(Q827&gt;0,AM827/Q827,0))/MAX(0.1,N(Parameter!$M$21)))</f>
        <v>0.00505050505050505</v>
      </c>
      <c r="AO827" s="57" t="n">
        <f aca="false">AL827*F827</f>
        <v>73.92</v>
      </c>
      <c r="AP827" s="57" t="n">
        <f aca="false">ROUNDUP(MAX(I827/IF(BV827&gt;0,BV827,MAX(0.1,N(Cockpit!$I$6))),BY827)/BQ827,0)*BQ827</f>
        <v>84</v>
      </c>
      <c r="AQ827" s="58" t="n">
        <f aca="false">IF(AN827&gt;0,I827/AN827,-1)</f>
        <v>594</v>
      </c>
      <c r="AR827" s="58" t="n">
        <f aca="false">IF(AND(OR(BU827="L1",BU827="L23"),AN827&gt;0),SUMIFS($AN$7:$AN$1576,$BU$7:$BU$1576,BU827,$AQ$7:$AQ$1576,"&gt;"&amp;AQ827)+SUMIFS($AN$7:$AN$1576,$BU$7:$BU$1576,BU827,$AQ$7:$AQ$1576,AQ827,$BO$7:$BO$1576,"&lt;="&amp;BO827),"")</f>
        <v>31.5393297165148</v>
      </c>
      <c r="AS827" s="65" t="n">
        <f aca="false">IF(AR827="",0,MAX(0,MIN(1,(IF(BU827="L1",Parameter!$E$5,Parameter!$E$6+Parameter!$E$7)-(AR827-AN827))/AN827)))</f>
        <v>1</v>
      </c>
      <c r="AT827" s="57" t="n">
        <f aca="false">IF(LEFT(Cockpit!$O$5,1)="A",G827,IF(BW827=1,BX827,IF(LEFT(Cockpit!$O$5,1)="B",AX827,MAX(AX827,G827))))</f>
        <v>84</v>
      </c>
      <c r="AU827" s="57" t="n">
        <f aca="false">IF(BR827=1,0,ROUNDUP(AT827/BQ827,0))</f>
        <v>1</v>
      </c>
      <c r="AV827" s="59" t="n">
        <f aca="false">IF(CD827&gt;0,CD827*MAX(1,AT827/V827),IF(BR827=1,IF(AT827&lt;=0,0,BS827*MAX(1,IF(G827&gt;0,AT827/G827,1))),IF(Q827&gt;0,AU827/Q827,0))/MAX(0.1,N(Parameter!$M$21)))</f>
        <v>0.00505050505050505</v>
      </c>
      <c r="AW827" s="57" t="n">
        <f aca="false">AT827*F827</f>
        <v>73.92</v>
      </c>
      <c r="AX827" s="57" t="n">
        <f aca="false">ROUNDUP(MAX(I827/IF(BV827&gt;0,BV827,MAX(0.1,N(Cockpit!$O$6))),BY827)/BQ827,0)*BQ827</f>
        <v>84</v>
      </c>
      <c r="AY827" s="58" t="n">
        <f aca="false">IF(AV827&gt;0,I827/AV827,-1)</f>
        <v>594</v>
      </c>
      <c r="AZ827" s="58" t="n">
        <f aca="false">IF(AND(OR(BU827="L1",BU827="L23"),AV827&gt;0),SUMIFS($AV$7:$AV$1576,$BU$7:$BU$1576,BU827,$AY$7:$AY$1576,"&gt;"&amp;AY827)+SUMIFS($AV$7:$AV$1576,$BU$7:$BU$1576,BU827,$AY$7:$AY$1576,AY827,$BO$7:$BO$1576,"&lt;="&amp;BO827),"")</f>
        <v>30.4493496965348</v>
      </c>
      <c r="BA827" s="65" t="n">
        <f aca="false">IF(AZ827="",0,MAX(0,MIN(1,(IF(BU827="L1",Parameter!$E$5,Parameter!$E$6+Parameter!$E$7)-(AZ827-AV827))/AV827)))</f>
        <v>1</v>
      </c>
      <c r="BB827" s="55" t="str">
        <f aca="false">IF(AF827&lt;=0,"",IF(BU827="Aussen","Aussenlager",IF(BU827="-","Nicht im Lift",IF(AK827&gt;=1,"Lift",IF(AK827&lt;=0,"Aussenlager","teilweise")))))</f>
        <v/>
      </c>
      <c r="BC827" s="55" t="str">
        <f aca="false">IF(AN827&lt;=0,"",IF(BU827="Aussen","Aussenlager",IF(BU827="-","Nicht im Lift",IF(AS827&gt;=1,"Lift",IF(AS827&lt;=0,"Aussenlager","teilweise")))))</f>
        <v>Lift</v>
      </c>
      <c r="BD827" s="55" t="str">
        <f aca="false">IF(AV827&lt;=0,"",IF(BU827="Aussen","Aussenlager",IF(BU827="-","Nicht im Lift",IF(BA827&gt;=1,"Lift",IF(BA827&lt;=0,"Aussenlager","teilweise")))))</f>
        <v>Lift</v>
      </c>
      <c r="BE827" s="55" t="str">
        <f aca="false">IF(A827="","",IF(BN827=1,"Neu; ","")&amp;IF(AND(BN827=0,BI827&lt;0),"negativer Bestand (Export "&amp;BI827&amp;"); ","")&amp;IF(I827&lt;=0,"Kein Verbrauch; ","")&amp;IF(CD827&gt;0,"Lift "&amp;U827&amp;" lt. Liftbericht (Fach "&amp;V827&amp;" Stk); ",IF(BR827=1,"Lose – Fläche geschätzt; ",""))&amp;IF(G827&gt;AP827,"Überbestand "&amp;ROUND(G827-AP827,0)&amp;" Stk / CHF "&amp;ROUND((G827-AP827)*F827,0)&amp;"; ","")&amp;IF(AND(BW827=1,BX827&lt;BY827),"MAX &lt; MB+LG; ","")&amp;IF(AND(CC827&gt;0,CB827*10&gt;CC827),"zu hoch für Tablar; ","")&amp;IF(AND(BN827=0,OR(BW827=1,Y827&lt;&gt;"",S827&lt;&gt;"",T827&lt;&gt;"",Z827&lt;&gt;"")),"manuell übersteuert; ","")&amp;IF(AND(BR827=0,Q827=0),"Gebinde unbekannt / Stellmass fehlt; ","")&amp;IF(AND(BR827=0,N(T827)&lt;=0,N(P827)&lt;=0),"Menge pro Gebinde fehlt (Ist = 1 Gebinde); ","")&amp;BM827)</f>
        <v>negativer Bestand (Export -12); Überbestand</v>
      </c>
      <c r="BF827" s="55"/>
      <c r="BG827" s="55"/>
      <c r="BH827" s="62"/>
      <c r="BI827" s="57" t="n">
        <v>-12</v>
      </c>
      <c r="BJ827" s="57" t="n">
        <v>81</v>
      </c>
      <c r="BK827" s="56" t="n">
        <v>-10.56</v>
      </c>
      <c r="BL827" s="57" t="n">
        <v>3</v>
      </c>
      <c r="BM827" s="55" t="s">
        <v>382</v>
      </c>
      <c r="BN827" s="60" t="n">
        <v>0</v>
      </c>
      <c r="BO827" s="60" t="n">
        <v>827</v>
      </c>
      <c r="BP827" s="55" t="str">
        <f aca="false">IF(S827&lt;&gt;"",UPPER(TRIM(S827)),IF(O827="","LOSE",O827))</f>
        <v>S22</v>
      </c>
      <c r="BQ827" s="57" t="n">
        <f aca="false">IF(BP827="LOSE",1,IF(N(T827)&gt;0,T827,IF(N(P827)&gt;0,P827,MAX(1,G827))))</f>
        <v>84</v>
      </c>
      <c r="BR827" s="60" t="n">
        <f aca="false">IF(BP827="LOSE",1,0)</f>
        <v>0</v>
      </c>
      <c r="BS827" s="59" t="n">
        <f aca="false">IF(BR827=0,0,IF(N(R827)&gt;0,R827,IFERROR(VLOOKUP(D827,Parameter!$A$35:$C$64,3,0)+0,0)))</f>
        <v>0</v>
      </c>
      <c r="BT827" s="55" t="n">
        <f aca="false">IF(Y827&lt;&gt;"",Y827,X827)</f>
        <v>3</v>
      </c>
      <c r="BU827" s="55" t="str">
        <f aca="false">IF(BT827=1,"L1",IF(OR(BT827=2,BT827=3),"L23",IF(BT827="Aussen","Aussen","-")))</f>
        <v>L23</v>
      </c>
      <c r="BV827" s="66" t="n">
        <f aca="false">IF(N(Z827)&gt;0,Z827,0)</f>
        <v>0</v>
      </c>
      <c r="BW827" s="60" t="n">
        <f aca="false">IF(ISNUMBER(AC827),1,0)</f>
        <v>0</v>
      </c>
      <c r="BX827" s="57" t="n">
        <f aca="false">N(AC827)</f>
        <v>0</v>
      </c>
      <c r="BY827" s="57" t="n">
        <f aca="false">N(L827)+N(M827)</f>
        <v>5</v>
      </c>
      <c r="BZ827" s="57" t="n">
        <f aca="false">ROUNDUP(G827/BQ827,0)</f>
        <v>0</v>
      </c>
      <c r="CA827" s="57" t="n">
        <f aca="false">ROUNDUP(BX827/BQ827,0)</f>
        <v>0</v>
      </c>
      <c r="CB827" s="60" t="n">
        <f aca="false">IF(BR827=1,0,IFERROR(VLOOKUP(BP827,'Gebinde-Kategorie'!$A$5:$M$45,5,0)+0,0))</f>
        <v>8</v>
      </c>
      <c r="CC827" s="60" t="n">
        <f aca="false">IFERROR(IF(OR(BT827=1,BT827=2,BT827=3),N(INDEX(Parameter!$I$5:$I$7,BT827)),0),0)</f>
        <v>0</v>
      </c>
      <c r="CD827" s="59" t="n">
        <f aca="false">IF(AND(Parameter!$B$21="Ja",ISNUMBER(U827),N(V827)&gt;0),IFERROR(N(INDEX(Parameter!$L$5:$L$7,U827))*INDEX(Parameter!$E$5:$E$7,U827)*V827/SUMIFS($V$7:$V$1576,$U$7:$U$1576,U827),0),0)</f>
        <v>0</v>
      </c>
    </row>
    <row r="828" customFormat="false" ht="15" hidden="false" customHeight="false" outlineLevel="0" collapsed="false">
      <c r="A828" s="55" t="s">
        <v>1582</v>
      </c>
      <c r="B828" s="55" t="s">
        <v>457</v>
      </c>
      <c r="C828" s="55" t="s">
        <v>160</v>
      </c>
      <c r="D828" s="55" t="s">
        <v>178</v>
      </c>
      <c r="E828" s="55" t="s">
        <v>210</v>
      </c>
      <c r="F828" s="56" t="n">
        <v>0.14</v>
      </c>
      <c r="G828" s="57" t="n">
        <f aca="false">MAX(0,IF(AND(Parameter!$B$21="Ja",ISNUMBER(W828)),W828,IF(Parameter!$B$20="Jahresanfang 2025 + Export",BJ828+BI828,BI828)))</f>
        <v>0</v>
      </c>
      <c r="H828" s="57" t="n">
        <f aca="false">G828*F828</f>
        <v>0</v>
      </c>
      <c r="I828" s="57" t="n">
        <f aca="false">BL828*Parameter!$B$18</f>
        <v>177</v>
      </c>
      <c r="J828" s="58" t="n">
        <v>224.5</v>
      </c>
      <c r="K828" s="59" t="n">
        <v>0.788418708240535</v>
      </c>
      <c r="L828" s="57" t="n">
        <v>6</v>
      </c>
      <c r="M828" s="57" t="n">
        <v>175</v>
      </c>
      <c r="N828" s="60" t="n">
        <v>14</v>
      </c>
      <c r="O828" s="55" t="s">
        <v>416</v>
      </c>
      <c r="P828" s="57" t="n">
        <v>360</v>
      </c>
      <c r="Q828" s="60" t="n">
        <f aca="false">IF(BR828=1,0,IFERROR(VLOOKUP(BP828,'Gebinde-Kategorie'!$A$5:$M$45,13,0)+0,0))</f>
        <v>198</v>
      </c>
      <c r="R828" s="61"/>
      <c r="S828" s="62"/>
      <c r="T828" s="62"/>
      <c r="U828" s="55"/>
      <c r="V828" s="57"/>
      <c r="W828" s="57"/>
      <c r="X828" s="55" t="n">
        <f aca="false">IF(A828="","",IF(AND(Parameter!$B$21="Ja",ISNUMBER(U828)),U828,IF(IFERROR(VLOOKUP(D828,Parameter!$A$35:$C$64,2,0),"Nein")="2+3",IF(ISNUMBER(SEARCH("grosser Artikel",BM828)),2,IFERROR(VLOOKUP(BP828,Parameter!$F$35:$G$64,2,0),2)),IF(OR(IFERROR(VLOOKUP(D828,Parameter!$A$35:$C$64,2,0),"Nein")="Nein",IFERROR(VLOOKUP(D828,Parameter!$A$35:$C$64,2,0),"Nein")=""),"-",VLOOKUP(D828,Parameter!$A$35:$C$64,2,0)))))</f>
        <v>3</v>
      </c>
      <c r="Y828" s="62"/>
      <c r="Z828" s="63"/>
      <c r="AA828" s="57" t="n">
        <f aca="false">AP828</f>
        <v>360</v>
      </c>
      <c r="AB828" s="57" t="n">
        <f aca="false">MAX(AP828,G828)</f>
        <v>360</v>
      </c>
      <c r="AC828" s="64"/>
      <c r="AD828" s="57" t="n">
        <f aca="false">IF(LEFT(Cockpit!$C$5,1)="A",G828,IF(BW828=1,BX828,IF(LEFT(Cockpit!$C$5,1)="B",AH828,MAX(AH828,G828))))</f>
        <v>0</v>
      </c>
      <c r="AE828" s="57" t="n">
        <f aca="false">IF(BR828=1,0,ROUNDUP(AD828/BQ828,0))</f>
        <v>0</v>
      </c>
      <c r="AF828" s="59" t="n">
        <f aca="false">IF(CD828&gt;0,CD828*MAX(1,AD828/V828),IF(BR828=1,IF(AD828&lt;=0,0,BS828*MAX(1,IF(G828&gt;0,AD828/G828,1))),IF(Q828&gt;0,AE828/Q828,0))/MAX(0.1,N(Parameter!$M$21)))</f>
        <v>0</v>
      </c>
      <c r="AG828" s="57" t="n">
        <f aca="false">AD828*F828</f>
        <v>0</v>
      </c>
      <c r="AH828" s="57" t="n">
        <f aca="false">ROUNDUP(MAX(I828/IF(BV828&gt;0,BV828,MAX(0.1,N(Cockpit!$C$6))),BY828)/BQ828,0)*BQ828</f>
        <v>360</v>
      </c>
      <c r="AI828" s="58" t="n">
        <f aca="false">IF(AF828&gt;0,I828/AF828,-1)</f>
        <v>-1</v>
      </c>
      <c r="AJ828" s="58" t="str">
        <f aca="false">IF(AND(OR(BU828="L1",BU828="L23"),AF828&gt;0),SUMIFS($AF$7:$AF$1576,$BU$7:$BU$1576,BU828,$AI$7:$AI$1576,"&gt;"&amp;AI828)+SUMIFS($AF$7:$AF$1576,$BU$7:$BU$1576,BU828,$AI$7:$AI$1576,AI828,$BO$7:$BO$1576,"&lt;="&amp;BO828),"")</f>
        <v/>
      </c>
      <c r="AK828" s="65" t="n">
        <f aca="false">IF(AJ828="",0,MAX(0,MIN(1,(IF(BU828="L1",Parameter!$E$5,Parameter!$E$6+Parameter!$E$7)-(AJ828-AF828))/AF828)))</f>
        <v>0</v>
      </c>
      <c r="AL828" s="57" t="n">
        <f aca="false">IF(LEFT(Cockpit!$I$5,1)="A",G828,IF(BW828=1,BX828,IF(LEFT(Cockpit!$I$5,1)="B",AP828,MAX(AP828,G828))))</f>
        <v>360</v>
      </c>
      <c r="AM828" s="57" t="n">
        <f aca="false">IF(BR828=1,0,ROUNDUP(AL828/BQ828,0))</f>
        <v>1</v>
      </c>
      <c r="AN828" s="59" t="n">
        <f aca="false">IF(CD828&gt;0,CD828*MAX(1,AL828/V828),IF(BR828=1,IF(AL828&lt;=0,0,BS828*MAX(1,IF(G828&gt;0,AL828/G828,1))),IF(Q828&gt;0,AM828/Q828,0))/MAX(0.1,N(Parameter!$M$21)))</f>
        <v>0.00505050505050505</v>
      </c>
      <c r="AO828" s="57" t="n">
        <f aca="false">AL828*F828</f>
        <v>50.4</v>
      </c>
      <c r="AP828" s="57" t="n">
        <f aca="false">ROUNDUP(MAX(I828/IF(BV828&gt;0,BV828,MAX(0.1,N(Cockpit!$I$6))),BY828)/BQ828,0)*BQ828</f>
        <v>360</v>
      </c>
      <c r="AQ828" s="58" t="n">
        <f aca="false">IF(AN828&gt;0,I828/AN828,-1)</f>
        <v>35046</v>
      </c>
      <c r="AR828" s="58" t="n">
        <f aca="false">IF(AND(OR(BU828="L1",BU828="L23"),AN828&gt;0),SUMIFS($AN$7:$AN$1576,$BU$7:$BU$1576,BU828,$AQ$7:$AQ$1576,"&gt;"&amp;AQ828)+SUMIFS($AN$7:$AN$1576,$BU$7:$BU$1576,BU828,$AQ$7:$AQ$1576,AQ828,$BO$7:$BO$1576,"&lt;="&amp;BO828),"")</f>
        <v>2.52819431775954</v>
      </c>
      <c r="AS828" s="65" t="n">
        <f aca="false">IF(AR828="",0,MAX(0,MIN(1,(IF(BU828="L1",Parameter!$E$5,Parameter!$E$6+Parameter!$E$7)-(AR828-AN828))/AN828)))</f>
        <v>1</v>
      </c>
      <c r="AT828" s="57" t="n">
        <f aca="false">IF(LEFT(Cockpit!$O$5,1)="A",G828,IF(BW828=1,BX828,IF(LEFT(Cockpit!$O$5,1)="B",AX828,MAX(AX828,G828))))</f>
        <v>360</v>
      </c>
      <c r="AU828" s="57" t="n">
        <f aca="false">IF(BR828=1,0,ROUNDUP(AT828/BQ828,0))</f>
        <v>1</v>
      </c>
      <c r="AV828" s="59" t="n">
        <f aca="false">IF(CD828&gt;0,CD828*MAX(1,AT828/V828),IF(BR828=1,IF(AT828&lt;=0,0,BS828*MAX(1,IF(G828&gt;0,AT828/G828,1))),IF(Q828&gt;0,AU828/Q828,0))/MAX(0.1,N(Parameter!$M$21)))</f>
        <v>0.00505050505050505</v>
      </c>
      <c r="AW828" s="57" t="n">
        <f aca="false">AT828*F828</f>
        <v>50.4</v>
      </c>
      <c r="AX828" s="57" t="n">
        <f aca="false">ROUNDUP(MAX(I828/IF(BV828&gt;0,BV828,MAX(0.1,N(Cockpit!$O$6))),BY828)/BQ828,0)*BQ828</f>
        <v>360</v>
      </c>
      <c r="AY828" s="58" t="n">
        <f aca="false">IF(AV828&gt;0,I828/AV828,-1)</f>
        <v>35046</v>
      </c>
      <c r="AZ828" s="58" t="n">
        <f aca="false">IF(AND(OR(BU828="L1",BU828="L23"),AV828&gt;0),SUMIFS($AV$7:$AV$1576,$BU$7:$BU$1576,BU828,$AY$7:$AY$1576,"&gt;"&amp;AY828)+SUMIFS($AV$7:$AV$1576,$BU$7:$BU$1576,BU828,$AY$7:$AY$1576,AY828,$BO$7:$BO$1576,"&lt;="&amp;BO828),"")</f>
        <v>2.33472112428634</v>
      </c>
      <c r="BA828" s="65" t="n">
        <f aca="false">IF(AZ828="",0,MAX(0,MIN(1,(IF(BU828="L1",Parameter!$E$5,Parameter!$E$6+Parameter!$E$7)-(AZ828-AV828))/AV828)))</f>
        <v>1</v>
      </c>
      <c r="BB828" s="55" t="str">
        <f aca="false">IF(AF828&lt;=0,"",IF(BU828="Aussen","Aussenlager",IF(BU828="-","Nicht im Lift",IF(AK828&gt;=1,"Lift",IF(AK828&lt;=0,"Aussenlager","teilweise")))))</f>
        <v/>
      </c>
      <c r="BC828" s="55" t="str">
        <f aca="false">IF(AN828&lt;=0,"",IF(BU828="Aussen","Aussenlager",IF(BU828="-","Nicht im Lift",IF(AS828&gt;=1,"Lift",IF(AS828&lt;=0,"Aussenlager","teilweise")))))</f>
        <v>Lift</v>
      </c>
      <c r="BD828" s="55" t="str">
        <f aca="false">IF(AV828&lt;=0,"",IF(BU828="Aussen","Aussenlager",IF(BU828="-","Nicht im Lift",IF(BA828&gt;=1,"Lift",IF(BA828&lt;=0,"Aussenlager","teilweise")))))</f>
        <v>Lift</v>
      </c>
      <c r="BE828" s="55" t="str">
        <f aca="false">IF(A828="","",IF(BN828=1,"Neu; ","")&amp;IF(AND(BN828=0,BI828&lt;0),"negativer Bestand (Export "&amp;BI828&amp;"); ","")&amp;IF(I828&lt;=0,"Kein Verbrauch; ","")&amp;IF(CD828&gt;0,"Lift "&amp;U828&amp;" lt. Liftbericht (Fach "&amp;V828&amp;" Stk); ",IF(BR828=1,"Lose – Fläche geschätzt; ",""))&amp;IF(G828&gt;AP828,"Überbestand "&amp;ROUND(G828-AP828,0)&amp;" Stk / CHF "&amp;ROUND((G828-AP828)*F828,0)&amp;"; ","")&amp;IF(AND(BW828=1,BX828&lt;BY828),"MAX &lt; MB+LG; ","")&amp;IF(AND(CC828&gt;0,CB828*10&gt;CC828),"zu hoch für Tablar; ","")&amp;IF(AND(BN828=0,OR(BW828=1,Y828&lt;&gt;"",S828&lt;&gt;"",T828&lt;&gt;"",Z828&lt;&gt;"")),"manuell übersteuert; ","")&amp;IF(AND(BR828=0,Q828=0),"Gebinde unbekannt / Stellmass fehlt; ","")&amp;IF(AND(BR828=0,N(T828)&lt;=0,N(P828)&lt;=0),"Menge pro Gebinde fehlt (Ist = 1 Gebinde); ","")&amp;BM828)</f>
        <v>negativer Bestand (Export -76); </v>
      </c>
      <c r="BF828" s="55"/>
      <c r="BG828" s="55"/>
      <c r="BH828" s="62"/>
      <c r="BI828" s="57" t="n">
        <v>-76</v>
      </c>
      <c r="BJ828" s="57" t="n">
        <v>194</v>
      </c>
      <c r="BK828" s="56" t="n">
        <v>-10.64</v>
      </c>
      <c r="BL828" s="57" t="n">
        <v>177</v>
      </c>
      <c r="BM828" s="55"/>
      <c r="BN828" s="60" t="n">
        <v>0</v>
      </c>
      <c r="BO828" s="60" t="n">
        <v>828</v>
      </c>
      <c r="BP828" s="55" t="str">
        <f aca="false">IF(S828&lt;&gt;"",UPPER(TRIM(S828)),IF(O828="","LOSE",O828))</f>
        <v>S22</v>
      </c>
      <c r="BQ828" s="57" t="n">
        <f aca="false">IF(BP828="LOSE",1,IF(N(T828)&gt;0,T828,IF(N(P828)&gt;0,P828,MAX(1,G828))))</f>
        <v>360</v>
      </c>
      <c r="BR828" s="60" t="n">
        <f aca="false">IF(BP828="LOSE",1,0)</f>
        <v>0</v>
      </c>
      <c r="BS828" s="59" t="n">
        <f aca="false">IF(BR828=0,0,IF(N(R828)&gt;0,R828,IFERROR(VLOOKUP(D828,Parameter!$A$35:$C$64,3,0)+0,0)))</f>
        <v>0</v>
      </c>
      <c r="BT828" s="55" t="n">
        <f aca="false">IF(Y828&lt;&gt;"",Y828,X828)</f>
        <v>3</v>
      </c>
      <c r="BU828" s="55" t="str">
        <f aca="false">IF(BT828=1,"L1",IF(OR(BT828=2,BT828=3),"L23",IF(BT828="Aussen","Aussen","-")))</f>
        <v>L23</v>
      </c>
      <c r="BV828" s="66" t="n">
        <f aca="false">IF(N(Z828)&gt;0,Z828,0)</f>
        <v>0</v>
      </c>
      <c r="BW828" s="60" t="n">
        <f aca="false">IF(ISNUMBER(AC828),1,0)</f>
        <v>0</v>
      </c>
      <c r="BX828" s="57" t="n">
        <f aca="false">N(AC828)</f>
        <v>0</v>
      </c>
      <c r="BY828" s="57" t="n">
        <f aca="false">N(L828)+N(M828)</f>
        <v>181</v>
      </c>
      <c r="BZ828" s="57" t="n">
        <f aca="false">ROUNDUP(G828/BQ828,0)</f>
        <v>0</v>
      </c>
      <c r="CA828" s="57" t="n">
        <f aca="false">ROUNDUP(BX828/BQ828,0)</f>
        <v>0</v>
      </c>
      <c r="CB828" s="60" t="n">
        <f aca="false">IF(BR828=1,0,IFERROR(VLOOKUP(BP828,'Gebinde-Kategorie'!$A$5:$M$45,5,0)+0,0))</f>
        <v>8</v>
      </c>
      <c r="CC828" s="60" t="n">
        <f aca="false">IFERROR(IF(OR(BT828=1,BT828=2,BT828=3),N(INDEX(Parameter!$I$5:$I$7,BT828)),0),0)</f>
        <v>0</v>
      </c>
      <c r="CD828" s="59" t="n">
        <f aca="false">IF(AND(Parameter!$B$21="Ja",ISNUMBER(U828),N(V828)&gt;0),IFERROR(N(INDEX(Parameter!$L$5:$L$7,U828))*INDEX(Parameter!$E$5:$E$7,U828)*V828/SUMIFS($V$7:$V$1576,$U$7:$U$1576,U828),0),0)</f>
        <v>0</v>
      </c>
    </row>
    <row r="829" customFormat="false" ht="15" hidden="false" customHeight="false" outlineLevel="0" collapsed="false">
      <c r="A829" s="55" t="s">
        <v>1583</v>
      </c>
      <c r="B829" s="55" t="s">
        <v>395</v>
      </c>
      <c r="C829" s="55" t="s">
        <v>160</v>
      </c>
      <c r="D829" s="55" t="s">
        <v>178</v>
      </c>
      <c r="E829" s="55" t="s">
        <v>210</v>
      </c>
      <c r="F829" s="56" t="n">
        <v>0.14</v>
      </c>
      <c r="G829" s="57" t="n">
        <f aca="false">MAX(0,IF(AND(Parameter!$B$21="Ja",ISNUMBER(W829)),W829,IF(Parameter!$B$20="Jahresanfang 2025 + Export",BJ829+BI829,BI829)))</f>
        <v>0</v>
      </c>
      <c r="H829" s="57" t="n">
        <f aca="false">G829*F829</f>
        <v>0</v>
      </c>
      <c r="I829" s="57" t="n">
        <f aca="false">BL829*Parameter!$B$18</f>
        <v>40</v>
      </c>
      <c r="J829" s="58" t="n">
        <v>296.5</v>
      </c>
      <c r="K829" s="59" t="n">
        <v>0.134907251264756</v>
      </c>
      <c r="L829" s="57" t="n">
        <v>1</v>
      </c>
      <c r="M829" s="57" t="n">
        <v>40</v>
      </c>
      <c r="N829" s="60" t="n">
        <v>14</v>
      </c>
      <c r="O829" s="55" t="s">
        <v>411</v>
      </c>
      <c r="P829" s="57" t="n">
        <v>411</v>
      </c>
      <c r="Q829" s="60" t="n">
        <f aca="false">IF(BR829=1,0,IFERROR(VLOOKUP(BP829,'Gebinde-Kategorie'!$A$5:$M$45,13,0)+0,0))</f>
        <v>132</v>
      </c>
      <c r="R829" s="61"/>
      <c r="S829" s="62"/>
      <c r="T829" s="62"/>
      <c r="U829" s="55"/>
      <c r="V829" s="57"/>
      <c r="W829" s="57"/>
      <c r="X829" s="55" t="n">
        <f aca="false">IF(A829="","",IF(AND(Parameter!$B$21="Ja",ISNUMBER(U829)),U829,IF(IFERROR(VLOOKUP(D829,Parameter!$A$35:$C$64,2,0),"Nein")="2+3",IF(ISNUMBER(SEARCH("grosser Artikel",BM829)),2,IFERROR(VLOOKUP(BP829,Parameter!$F$35:$G$64,2,0),2)),IF(OR(IFERROR(VLOOKUP(D829,Parameter!$A$35:$C$64,2,0),"Nein")="Nein",IFERROR(VLOOKUP(D829,Parameter!$A$35:$C$64,2,0),"Nein")=""),"-",VLOOKUP(D829,Parameter!$A$35:$C$64,2,0)))))</f>
        <v>3</v>
      </c>
      <c r="Y829" s="62"/>
      <c r="Z829" s="63"/>
      <c r="AA829" s="57" t="n">
        <f aca="false">AP829</f>
        <v>411</v>
      </c>
      <c r="AB829" s="57" t="n">
        <f aca="false">MAX(AP829,G829)</f>
        <v>411</v>
      </c>
      <c r="AC829" s="64"/>
      <c r="AD829" s="57" t="n">
        <f aca="false">IF(LEFT(Cockpit!$C$5,1)="A",G829,IF(BW829=1,BX829,IF(LEFT(Cockpit!$C$5,1)="B",AH829,MAX(AH829,G829))))</f>
        <v>0</v>
      </c>
      <c r="AE829" s="57" t="n">
        <f aca="false">IF(BR829=1,0,ROUNDUP(AD829/BQ829,0))</f>
        <v>0</v>
      </c>
      <c r="AF829" s="59" t="n">
        <f aca="false">IF(CD829&gt;0,CD829*MAX(1,AD829/V829),IF(BR829=1,IF(AD829&lt;=0,0,BS829*MAX(1,IF(G829&gt;0,AD829/G829,1))),IF(Q829&gt;0,AE829/Q829,0))/MAX(0.1,N(Parameter!$M$21)))</f>
        <v>0</v>
      </c>
      <c r="AG829" s="57" t="n">
        <f aca="false">AD829*F829</f>
        <v>0</v>
      </c>
      <c r="AH829" s="57" t="n">
        <f aca="false">ROUNDUP(MAX(I829/IF(BV829&gt;0,BV829,MAX(0.1,N(Cockpit!$C$6))),BY829)/BQ829,0)*BQ829</f>
        <v>411</v>
      </c>
      <c r="AI829" s="58" t="n">
        <f aca="false">IF(AF829&gt;0,I829/AF829,-1)</f>
        <v>-1</v>
      </c>
      <c r="AJ829" s="58" t="str">
        <f aca="false">IF(AND(OR(BU829="L1",BU829="L23"),AF829&gt;0),SUMIFS($AF$7:$AF$1576,$BU$7:$BU$1576,BU829,$AI$7:$AI$1576,"&gt;"&amp;AI829)+SUMIFS($AF$7:$AF$1576,$BU$7:$BU$1576,BU829,$AI$7:$AI$1576,AI829,$BO$7:$BO$1576,"&lt;="&amp;BO829),"")</f>
        <v/>
      </c>
      <c r="AK829" s="65" t="n">
        <f aca="false">IF(AJ829="",0,MAX(0,MIN(1,(IF(BU829="L1",Parameter!$E$5,Parameter!$E$6+Parameter!$E$7)-(AJ829-AF829))/AF829)))</f>
        <v>0</v>
      </c>
      <c r="AL829" s="57" t="n">
        <f aca="false">IF(LEFT(Cockpit!$I$5,1)="A",G829,IF(BW829=1,BX829,IF(LEFT(Cockpit!$I$5,1)="B",AP829,MAX(AP829,G829))))</f>
        <v>411</v>
      </c>
      <c r="AM829" s="57" t="n">
        <f aca="false">IF(BR829=1,0,ROUNDUP(AL829/BQ829,0))</f>
        <v>1</v>
      </c>
      <c r="AN829" s="59" t="n">
        <f aca="false">IF(CD829&gt;0,CD829*MAX(1,AL829/V829),IF(BR829=1,IF(AL829&lt;=0,0,BS829*MAX(1,IF(G829&gt;0,AL829/G829,1))),IF(Q829&gt;0,AM829/Q829,0))/MAX(0.1,N(Parameter!$M$21)))</f>
        <v>0.00757575757575758</v>
      </c>
      <c r="AO829" s="57" t="n">
        <f aca="false">AL829*F829</f>
        <v>57.54</v>
      </c>
      <c r="AP829" s="57" t="n">
        <f aca="false">ROUNDUP(MAX(I829/IF(BV829&gt;0,BV829,MAX(0.1,N(Cockpit!$I$6))),BY829)/BQ829,0)*BQ829</f>
        <v>411</v>
      </c>
      <c r="AQ829" s="58" t="n">
        <f aca="false">IF(AN829&gt;0,I829/AN829,-1)</f>
        <v>5280</v>
      </c>
      <c r="AR829" s="58" t="n">
        <f aca="false">IF(AND(OR(BU829="L1",BU829="L23"),AN829&gt;0),SUMIFS($AN$7:$AN$1576,$BU$7:$BU$1576,BU829,$AQ$7:$AQ$1576,"&gt;"&amp;AQ829)+SUMIFS($AN$7:$AN$1576,$BU$7:$BU$1576,BU829,$AQ$7:$AQ$1576,AQ829,$BO$7:$BO$1576,"&lt;="&amp;BO829),"")</f>
        <v>11.1325164453904</v>
      </c>
      <c r="AS829" s="65" t="n">
        <f aca="false">IF(AR829="",0,MAX(0,MIN(1,(IF(BU829="L1",Parameter!$E$5,Parameter!$E$6+Parameter!$E$7)-(AR829-AN829))/AN829)))</f>
        <v>1</v>
      </c>
      <c r="AT829" s="57" t="n">
        <f aca="false">IF(LEFT(Cockpit!$O$5,1)="A",G829,IF(BW829=1,BX829,IF(LEFT(Cockpit!$O$5,1)="B",AX829,MAX(AX829,G829))))</f>
        <v>411</v>
      </c>
      <c r="AU829" s="57" t="n">
        <f aca="false">IF(BR829=1,0,ROUNDUP(AT829/BQ829,0))</f>
        <v>1</v>
      </c>
      <c r="AV829" s="59" t="n">
        <f aca="false">IF(CD829&gt;0,CD829*MAX(1,AT829/V829),IF(BR829=1,IF(AT829&lt;=0,0,BS829*MAX(1,IF(G829&gt;0,AT829/G829,1))),IF(Q829&gt;0,AU829/Q829,0))/MAX(0.1,N(Parameter!$M$21)))</f>
        <v>0.00757575757575758</v>
      </c>
      <c r="AW829" s="57" t="n">
        <f aca="false">AT829*F829</f>
        <v>57.54</v>
      </c>
      <c r="AX829" s="57" t="n">
        <f aca="false">ROUNDUP(MAX(I829/IF(BV829&gt;0,BV829,MAX(0.1,N(Cockpit!$O$6))),BY829)/BQ829,0)*BQ829</f>
        <v>411</v>
      </c>
      <c r="AY829" s="58" t="n">
        <f aca="false">IF(AV829&gt;0,I829/AV829,-1)</f>
        <v>5280</v>
      </c>
      <c r="AZ829" s="58" t="n">
        <f aca="false">IF(AND(OR(BU829="L1",BU829="L23"),AV829&gt;0),SUMIFS($AV$7:$AV$1576,$BU$7:$BU$1576,BU829,$AY$7:$AY$1576,"&gt;"&amp;AY829)+SUMIFS($AV$7:$AV$1576,$BU$7:$BU$1576,BU829,$AY$7:$AY$1576,AY829,$BO$7:$BO$1576,"&lt;="&amp;BO829),"")</f>
        <v>10.3533789162528</v>
      </c>
      <c r="BA829" s="65" t="n">
        <f aca="false">IF(AZ829="",0,MAX(0,MIN(1,(IF(BU829="L1",Parameter!$E$5,Parameter!$E$6+Parameter!$E$7)-(AZ829-AV829))/AV829)))</f>
        <v>1</v>
      </c>
      <c r="BB829" s="55" t="str">
        <f aca="false">IF(AF829&lt;=0,"",IF(BU829="Aussen","Aussenlager",IF(BU829="-","Nicht im Lift",IF(AK829&gt;=1,"Lift",IF(AK829&lt;=0,"Aussenlager","teilweise")))))</f>
        <v/>
      </c>
      <c r="BC829" s="55" t="str">
        <f aca="false">IF(AN829&lt;=0,"",IF(BU829="Aussen","Aussenlager",IF(BU829="-","Nicht im Lift",IF(AS829&gt;=1,"Lift",IF(AS829&lt;=0,"Aussenlager","teilweise")))))</f>
        <v>Lift</v>
      </c>
      <c r="BD829" s="55" t="str">
        <f aca="false">IF(AV829&lt;=0,"",IF(BU829="Aussen","Aussenlager",IF(BU829="-","Nicht im Lift",IF(BA829&gt;=1,"Lift",IF(BA829&lt;=0,"Aussenlager","teilweise")))))</f>
        <v>Lift</v>
      </c>
      <c r="BE829" s="55" t="str">
        <f aca="false">IF(A829="","",IF(BN829=1,"Neu; ","")&amp;IF(AND(BN829=0,BI829&lt;0),"negativer Bestand (Export "&amp;BI829&amp;"); ","")&amp;IF(I829&lt;=0,"Kein Verbrauch; ","")&amp;IF(CD829&gt;0,"Lift "&amp;U829&amp;" lt. Liftbericht (Fach "&amp;V829&amp;" Stk); ",IF(BR829=1,"Lose – Fläche geschätzt; ",""))&amp;IF(G829&gt;AP829,"Überbestand "&amp;ROUND(G829-AP829,0)&amp;" Stk / CHF "&amp;ROUND((G829-AP829)*F829,0)&amp;"; ","")&amp;IF(AND(BW829=1,BX829&lt;BY829),"MAX &lt; MB+LG; ","")&amp;IF(AND(CC829&gt;0,CB829*10&gt;CC829),"zu hoch für Tablar; ","")&amp;IF(AND(BN829=0,OR(BW829=1,Y829&lt;&gt;"",S829&lt;&gt;"",T829&lt;&gt;"",Z829&lt;&gt;"")),"manuell übersteuert; ","")&amp;IF(AND(BR829=0,Q829=0),"Gebinde unbekannt / Stellmass fehlt; ","")&amp;IF(AND(BR829=0,N(T829)&lt;=0,N(P829)&lt;=0),"Menge pro Gebinde fehlt (Ist = 1 Gebinde); ","")&amp;BM829)</f>
        <v>negativer Bestand (Export -76); </v>
      </c>
      <c r="BF829" s="55"/>
      <c r="BG829" s="55"/>
      <c r="BH829" s="62"/>
      <c r="BI829" s="57" t="n">
        <v>-76</v>
      </c>
      <c r="BJ829" s="57" t="n">
        <v>326</v>
      </c>
      <c r="BK829" s="56" t="n">
        <v>-10.64</v>
      </c>
      <c r="BL829" s="57" t="n">
        <v>40</v>
      </c>
      <c r="BM829" s="55"/>
      <c r="BN829" s="60" t="n">
        <v>0</v>
      </c>
      <c r="BO829" s="60" t="n">
        <v>829</v>
      </c>
      <c r="BP829" s="55" t="str">
        <f aca="false">IF(S829&lt;&gt;"",UPPER(TRIM(S829)),IF(O829="","LOSE",O829))</f>
        <v>S32</v>
      </c>
      <c r="BQ829" s="57" t="n">
        <f aca="false">IF(BP829="LOSE",1,IF(N(T829)&gt;0,T829,IF(N(P829)&gt;0,P829,MAX(1,G829))))</f>
        <v>411</v>
      </c>
      <c r="BR829" s="60" t="n">
        <f aca="false">IF(BP829="LOSE",1,0)</f>
        <v>0</v>
      </c>
      <c r="BS829" s="59" t="n">
        <f aca="false">IF(BR829=0,0,IF(N(R829)&gt;0,R829,IFERROR(VLOOKUP(D829,Parameter!$A$35:$C$64,3,0)+0,0)))</f>
        <v>0</v>
      </c>
      <c r="BT829" s="55" t="n">
        <f aca="false">IF(Y829&lt;&gt;"",Y829,X829)</f>
        <v>3</v>
      </c>
      <c r="BU829" s="55" t="str">
        <f aca="false">IF(BT829=1,"L1",IF(OR(BT829=2,BT829=3),"L23",IF(BT829="Aussen","Aussen","-")))</f>
        <v>L23</v>
      </c>
      <c r="BV829" s="66" t="n">
        <f aca="false">IF(N(Z829)&gt;0,Z829,0)</f>
        <v>0</v>
      </c>
      <c r="BW829" s="60" t="n">
        <f aca="false">IF(ISNUMBER(AC829),1,0)</f>
        <v>0</v>
      </c>
      <c r="BX829" s="57" t="n">
        <f aca="false">N(AC829)</f>
        <v>0</v>
      </c>
      <c r="BY829" s="57" t="n">
        <f aca="false">N(L829)+N(M829)</f>
        <v>41</v>
      </c>
      <c r="BZ829" s="57" t="n">
        <f aca="false">ROUNDUP(G829/BQ829,0)</f>
        <v>0</v>
      </c>
      <c r="CA829" s="57" t="n">
        <f aca="false">ROUNDUP(BX829/BQ829,0)</f>
        <v>0</v>
      </c>
      <c r="CB829" s="60" t="n">
        <f aca="false">IF(BR829=1,0,IFERROR(VLOOKUP(BP829,'Gebinde-Kategorie'!$A$5:$M$45,5,0)+0,0))</f>
        <v>8</v>
      </c>
      <c r="CC829" s="60" t="n">
        <f aca="false">IFERROR(IF(OR(BT829=1,BT829=2,BT829=3),N(INDEX(Parameter!$I$5:$I$7,BT829)),0),0)</f>
        <v>0</v>
      </c>
      <c r="CD829" s="59" t="n">
        <f aca="false">IF(AND(Parameter!$B$21="Ja",ISNUMBER(U829),N(V829)&gt;0),IFERROR(N(INDEX(Parameter!$L$5:$L$7,U829))*INDEX(Parameter!$E$5:$E$7,U829)*V829/SUMIFS($V$7:$V$1576,$U$7:$U$1576,U829),0),0)</f>
        <v>0</v>
      </c>
    </row>
    <row r="830" customFormat="false" ht="15" hidden="false" customHeight="false" outlineLevel="0" collapsed="false">
      <c r="A830" s="55" t="s">
        <v>1584</v>
      </c>
      <c r="B830" s="55" t="s">
        <v>1585</v>
      </c>
      <c r="C830" s="55" t="s">
        <v>160</v>
      </c>
      <c r="D830" s="55" t="s">
        <v>178</v>
      </c>
      <c r="E830" s="55" t="s">
        <v>210</v>
      </c>
      <c r="F830" s="56" t="n">
        <v>0.28</v>
      </c>
      <c r="G830" s="57" t="n">
        <f aca="false">MAX(0,IF(AND(Parameter!$B$21="Ja",ISNUMBER(W830)),W830,IF(Parameter!$B$20="Jahresanfang 2025 + Export",BJ830+BI830,BI830)))</f>
        <v>0</v>
      </c>
      <c r="H830" s="57" t="n">
        <f aca="false">G830*F830</f>
        <v>0</v>
      </c>
      <c r="I830" s="57" t="n">
        <f aca="false">BL830*Parameter!$B$18</f>
        <v>128</v>
      </c>
      <c r="J830" s="58" t="n">
        <v>44.5</v>
      </c>
      <c r="K830" s="59" t="n">
        <v>2.87640449438202</v>
      </c>
      <c r="L830" s="57" t="n">
        <v>7</v>
      </c>
      <c r="M830" s="57" t="n">
        <v>200</v>
      </c>
      <c r="N830" s="60" t="n">
        <v>2</v>
      </c>
      <c r="O830" s="55" t="s">
        <v>411</v>
      </c>
      <c r="P830" s="57" t="n">
        <v>135</v>
      </c>
      <c r="Q830" s="60" t="n">
        <f aca="false">IF(BR830=1,0,IFERROR(VLOOKUP(BP830,'Gebinde-Kategorie'!$A$5:$M$45,13,0)+0,0))</f>
        <v>132</v>
      </c>
      <c r="R830" s="61"/>
      <c r="S830" s="62"/>
      <c r="T830" s="62"/>
      <c r="U830" s="55"/>
      <c r="V830" s="57"/>
      <c r="W830" s="57"/>
      <c r="X830" s="55" t="n">
        <f aca="false">IF(A830="","",IF(AND(Parameter!$B$21="Ja",ISNUMBER(U830)),U830,IF(IFERROR(VLOOKUP(D830,Parameter!$A$35:$C$64,2,0),"Nein")="2+3",IF(ISNUMBER(SEARCH("grosser Artikel",BM830)),2,IFERROR(VLOOKUP(BP830,Parameter!$F$35:$G$64,2,0),2)),IF(OR(IFERROR(VLOOKUP(D830,Parameter!$A$35:$C$64,2,0),"Nein")="Nein",IFERROR(VLOOKUP(D830,Parameter!$A$35:$C$64,2,0),"Nein")=""),"-",VLOOKUP(D830,Parameter!$A$35:$C$64,2,0)))))</f>
        <v>3</v>
      </c>
      <c r="Y830" s="62"/>
      <c r="Z830" s="63"/>
      <c r="AA830" s="57" t="n">
        <f aca="false">AP830</f>
        <v>270</v>
      </c>
      <c r="AB830" s="57" t="n">
        <f aca="false">MAX(AP830,G830)</f>
        <v>270</v>
      </c>
      <c r="AC830" s="64"/>
      <c r="AD830" s="57" t="n">
        <f aca="false">IF(LEFT(Cockpit!$C$5,1)="A",G830,IF(BW830=1,BX830,IF(LEFT(Cockpit!$C$5,1)="B",AH830,MAX(AH830,G830))))</f>
        <v>0</v>
      </c>
      <c r="AE830" s="57" t="n">
        <f aca="false">IF(BR830=1,0,ROUNDUP(AD830/BQ830,0))</f>
        <v>0</v>
      </c>
      <c r="AF830" s="59" t="n">
        <f aca="false">IF(CD830&gt;0,CD830*MAX(1,AD830/V830),IF(BR830=1,IF(AD830&lt;=0,0,BS830*MAX(1,IF(G830&gt;0,AD830/G830,1))),IF(Q830&gt;0,AE830/Q830,0))/MAX(0.1,N(Parameter!$M$21)))</f>
        <v>0</v>
      </c>
      <c r="AG830" s="57" t="n">
        <f aca="false">AD830*F830</f>
        <v>0</v>
      </c>
      <c r="AH830" s="57" t="n">
        <f aca="false">ROUNDUP(MAX(I830/IF(BV830&gt;0,BV830,MAX(0.1,N(Cockpit!$C$6))),BY830)/BQ830,0)*BQ830</f>
        <v>270</v>
      </c>
      <c r="AI830" s="58" t="n">
        <f aca="false">IF(AF830&gt;0,I830/AF830,-1)</f>
        <v>-1</v>
      </c>
      <c r="AJ830" s="58" t="str">
        <f aca="false">IF(AND(OR(BU830="L1",BU830="L23"),AF830&gt;0),SUMIFS($AF$7:$AF$1576,$BU$7:$BU$1576,BU830,$AI$7:$AI$1576,"&gt;"&amp;AI830)+SUMIFS($AF$7:$AF$1576,$BU$7:$BU$1576,BU830,$AI$7:$AI$1576,AI830,$BO$7:$BO$1576,"&lt;="&amp;BO830),"")</f>
        <v/>
      </c>
      <c r="AK830" s="65" t="n">
        <f aca="false">IF(AJ830="",0,MAX(0,MIN(1,(IF(BU830="L1",Parameter!$E$5,Parameter!$E$6+Parameter!$E$7)-(AJ830-AF830))/AF830)))</f>
        <v>0</v>
      </c>
      <c r="AL830" s="57" t="n">
        <f aca="false">IF(LEFT(Cockpit!$I$5,1)="A",G830,IF(BW830=1,BX830,IF(LEFT(Cockpit!$I$5,1)="B",AP830,MAX(AP830,G830))))</f>
        <v>270</v>
      </c>
      <c r="AM830" s="57" t="n">
        <f aca="false">IF(BR830=1,0,ROUNDUP(AL830/BQ830,0))</f>
        <v>2</v>
      </c>
      <c r="AN830" s="59" t="n">
        <f aca="false">IF(CD830&gt;0,CD830*MAX(1,AL830/V830),IF(BR830=1,IF(AL830&lt;=0,0,BS830*MAX(1,IF(G830&gt;0,AL830/G830,1))),IF(Q830&gt;0,AM830/Q830,0))/MAX(0.1,N(Parameter!$M$21)))</f>
        <v>0.0151515151515152</v>
      </c>
      <c r="AO830" s="57" t="n">
        <f aca="false">AL830*F830</f>
        <v>75.6</v>
      </c>
      <c r="AP830" s="57" t="n">
        <f aca="false">ROUNDUP(MAX(I830/IF(BV830&gt;0,BV830,MAX(0.1,N(Cockpit!$I$6))),BY830)/BQ830,0)*BQ830</f>
        <v>270</v>
      </c>
      <c r="AQ830" s="58" t="n">
        <f aca="false">IF(AN830&gt;0,I830/AN830,-1)</f>
        <v>8448</v>
      </c>
      <c r="AR830" s="58" t="n">
        <f aca="false">IF(AND(OR(BU830="L1",BU830="L23"),AN830&gt;0),SUMIFS($AN$7:$AN$1576,$BU$7:$BU$1576,BU830,$AQ$7:$AQ$1576,"&gt;"&amp;AQ830)+SUMIFS($AN$7:$AN$1576,$BU$7:$BU$1576,BU830,$AQ$7:$AQ$1576,AQ830,$BO$7:$BO$1576,"&lt;="&amp;BO830),"")</f>
        <v>7.95195500152022</v>
      </c>
      <c r="AS830" s="65" t="n">
        <f aca="false">IF(AR830="",0,MAX(0,MIN(1,(IF(BU830="L1",Parameter!$E$5,Parameter!$E$6+Parameter!$E$7)-(AR830-AN830))/AN830)))</f>
        <v>1</v>
      </c>
      <c r="AT830" s="57" t="n">
        <f aca="false">IF(LEFT(Cockpit!$O$5,1)="A",G830,IF(BW830=1,BX830,IF(LEFT(Cockpit!$O$5,1)="B",AX830,MAX(AX830,G830))))</f>
        <v>270</v>
      </c>
      <c r="AU830" s="57" t="n">
        <f aca="false">IF(BR830=1,0,ROUNDUP(AT830/BQ830,0))</f>
        <v>2</v>
      </c>
      <c r="AV830" s="59" t="n">
        <f aca="false">IF(CD830&gt;0,CD830*MAX(1,AT830/V830),IF(BR830=1,IF(AT830&lt;=0,0,BS830*MAX(1,IF(G830&gt;0,AT830/G830,1))),IF(Q830&gt;0,AU830/Q830,0))/MAX(0.1,N(Parameter!$M$21)))</f>
        <v>0.0151515151515152</v>
      </c>
      <c r="AW830" s="57" t="n">
        <f aca="false">AT830*F830</f>
        <v>75.6</v>
      </c>
      <c r="AX830" s="57" t="n">
        <f aca="false">ROUNDUP(MAX(I830/IF(BV830&gt;0,BV830,MAX(0.1,N(Cockpit!$O$6))),BY830)/BQ830,0)*BQ830</f>
        <v>270</v>
      </c>
      <c r="AY830" s="58" t="n">
        <f aca="false">IF(AV830&gt;0,I830/AV830,-1)</f>
        <v>8448</v>
      </c>
      <c r="AZ830" s="58" t="n">
        <f aca="false">IF(AND(OR(BU830="L1",BU830="L23"),AV830&gt;0),SUMIFS($AV$7:$AV$1576,$BU$7:$BU$1576,BU830,$AY$7:$AY$1576,"&gt;"&amp;AY830)+SUMIFS($AV$7:$AV$1576,$BU$7:$BU$1576,BU830,$AY$7:$AY$1576,AY830,$BO$7:$BO$1576,"&lt;="&amp;BO830),"")</f>
        <v>7.96768926725449</v>
      </c>
      <c r="BA830" s="65" t="n">
        <f aca="false">IF(AZ830="",0,MAX(0,MIN(1,(IF(BU830="L1",Parameter!$E$5,Parameter!$E$6+Parameter!$E$7)-(AZ830-AV830))/AV830)))</f>
        <v>1</v>
      </c>
      <c r="BB830" s="55" t="str">
        <f aca="false">IF(AF830&lt;=0,"",IF(BU830="Aussen","Aussenlager",IF(BU830="-","Nicht im Lift",IF(AK830&gt;=1,"Lift",IF(AK830&lt;=0,"Aussenlager","teilweise")))))</f>
        <v/>
      </c>
      <c r="BC830" s="55" t="str">
        <f aca="false">IF(AN830&lt;=0,"",IF(BU830="Aussen","Aussenlager",IF(BU830="-","Nicht im Lift",IF(AS830&gt;=1,"Lift",IF(AS830&lt;=0,"Aussenlager","teilweise")))))</f>
        <v>Lift</v>
      </c>
      <c r="BD830" s="55" t="str">
        <f aca="false">IF(AV830&lt;=0,"",IF(BU830="Aussen","Aussenlager",IF(BU830="-","Nicht im Lift",IF(BA830&gt;=1,"Lift",IF(BA830&lt;=0,"Aussenlager","teilweise")))))</f>
        <v>Lift</v>
      </c>
      <c r="BE830" s="55" t="str">
        <f aca="false">IF(A830="","",IF(BN830=1,"Neu; ","")&amp;IF(AND(BN830=0,BI830&lt;0),"negativer Bestand (Export "&amp;BI830&amp;"); ","")&amp;IF(I830&lt;=0,"Kein Verbrauch; ","")&amp;IF(CD830&gt;0,"Lift "&amp;U830&amp;" lt. Liftbericht (Fach "&amp;V830&amp;" Stk); ",IF(BR830=1,"Lose – Fläche geschätzt; ",""))&amp;IF(G830&gt;AP830,"Überbestand "&amp;ROUND(G830-AP830,0)&amp;" Stk / CHF "&amp;ROUND((G830-AP830)*F830,0)&amp;"; ","")&amp;IF(AND(BW830=1,BX830&lt;BY830),"MAX &lt; MB+LG; ","")&amp;IF(AND(CC830&gt;0,CB830*10&gt;CC830),"zu hoch für Tablar; ","")&amp;IF(AND(BN830=0,OR(BW830=1,Y830&lt;&gt;"",S830&lt;&gt;"",T830&lt;&gt;"",Z830&lt;&gt;"")),"manuell übersteuert; ","")&amp;IF(AND(BR830=0,Q830=0),"Gebinde unbekannt / Stellmass fehlt; ","")&amp;IF(AND(BR830=0,N(T830)&lt;=0,N(P830)&lt;=0),"Menge pro Gebinde fehlt (Ist = 1 Gebinde); ","")&amp;BM830)</f>
        <v>negativer Bestand (Export -39); </v>
      </c>
      <c r="BF830" s="55"/>
      <c r="BG830" s="55"/>
      <c r="BH830" s="62"/>
      <c r="BI830" s="57" t="n">
        <v>-39</v>
      </c>
      <c r="BJ830" s="57" t="n">
        <v>64</v>
      </c>
      <c r="BK830" s="56" t="n">
        <v>-10.92</v>
      </c>
      <c r="BL830" s="57" t="n">
        <v>128</v>
      </c>
      <c r="BM830" s="55"/>
      <c r="BN830" s="60" t="n">
        <v>0</v>
      </c>
      <c r="BO830" s="60" t="n">
        <v>830</v>
      </c>
      <c r="BP830" s="55" t="str">
        <f aca="false">IF(S830&lt;&gt;"",UPPER(TRIM(S830)),IF(O830="","LOSE",O830))</f>
        <v>S32</v>
      </c>
      <c r="BQ830" s="57" t="n">
        <f aca="false">IF(BP830="LOSE",1,IF(N(T830)&gt;0,T830,IF(N(P830)&gt;0,P830,MAX(1,G830))))</f>
        <v>135</v>
      </c>
      <c r="BR830" s="60" t="n">
        <f aca="false">IF(BP830="LOSE",1,0)</f>
        <v>0</v>
      </c>
      <c r="BS830" s="59" t="n">
        <f aca="false">IF(BR830=0,0,IF(N(R830)&gt;0,R830,IFERROR(VLOOKUP(D830,Parameter!$A$35:$C$64,3,0)+0,0)))</f>
        <v>0</v>
      </c>
      <c r="BT830" s="55" t="n">
        <f aca="false">IF(Y830&lt;&gt;"",Y830,X830)</f>
        <v>3</v>
      </c>
      <c r="BU830" s="55" t="str">
        <f aca="false">IF(BT830=1,"L1",IF(OR(BT830=2,BT830=3),"L23",IF(BT830="Aussen","Aussen","-")))</f>
        <v>L23</v>
      </c>
      <c r="BV830" s="66" t="n">
        <f aca="false">IF(N(Z830)&gt;0,Z830,0)</f>
        <v>0</v>
      </c>
      <c r="BW830" s="60" t="n">
        <f aca="false">IF(ISNUMBER(AC830),1,0)</f>
        <v>0</v>
      </c>
      <c r="BX830" s="57" t="n">
        <f aca="false">N(AC830)</f>
        <v>0</v>
      </c>
      <c r="BY830" s="57" t="n">
        <f aca="false">N(L830)+N(M830)</f>
        <v>207</v>
      </c>
      <c r="BZ830" s="57" t="n">
        <f aca="false">ROUNDUP(G830/BQ830,0)</f>
        <v>0</v>
      </c>
      <c r="CA830" s="57" t="n">
        <f aca="false">ROUNDUP(BX830/BQ830,0)</f>
        <v>0</v>
      </c>
      <c r="CB830" s="60" t="n">
        <f aca="false">IF(BR830=1,0,IFERROR(VLOOKUP(BP830,'Gebinde-Kategorie'!$A$5:$M$45,5,0)+0,0))</f>
        <v>8</v>
      </c>
      <c r="CC830" s="60" t="n">
        <f aca="false">IFERROR(IF(OR(BT830=1,BT830=2,BT830=3),N(INDEX(Parameter!$I$5:$I$7,BT830)),0),0)</f>
        <v>0</v>
      </c>
      <c r="CD830" s="59" t="n">
        <f aca="false">IF(AND(Parameter!$B$21="Ja",ISNUMBER(U830),N(V830)&gt;0),IFERROR(N(INDEX(Parameter!$L$5:$L$7,U830))*INDEX(Parameter!$E$5:$E$7,U830)*V830/SUMIFS($V$7:$V$1576,$U$7:$U$1576,U830),0),0)</f>
        <v>0</v>
      </c>
    </row>
    <row r="831" customFormat="false" ht="15" hidden="false" customHeight="false" outlineLevel="0" collapsed="false">
      <c r="A831" s="55" t="s">
        <v>1586</v>
      </c>
      <c r="B831" s="55" t="s">
        <v>364</v>
      </c>
      <c r="C831" s="55" t="s">
        <v>160</v>
      </c>
      <c r="D831" s="55" t="s">
        <v>178</v>
      </c>
      <c r="E831" s="55" t="s">
        <v>210</v>
      </c>
      <c r="F831" s="56" t="n">
        <v>1.1</v>
      </c>
      <c r="G831" s="57" t="n">
        <f aca="false">MAX(0,IF(AND(Parameter!$B$21="Ja",ISNUMBER(W831)),W831,IF(Parameter!$B$20="Jahresanfang 2025 + Export",BJ831+BI831,BI831)))</f>
        <v>0</v>
      </c>
      <c r="H831" s="57" t="n">
        <f aca="false">G831*F831</f>
        <v>0</v>
      </c>
      <c r="I831" s="57" t="n">
        <f aca="false">BL831*Parameter!$B$18</f>
        <v>0</v>
      </c>
      <c r="J831" s="58" t="n">
        <v>5</v>
      </c>
      <c r="K831" s="59" t="n">
        <v>0</v>
      </c>
      <c r="L831" s="57" t="n">
        <v>0</v>
      </c>
      <c r="M831" s="57" t="n">
        <v>1</v>
      </c>
      <c r="N831" s="60" t="n">
        <v>28</v>
      </c>
      <c r="O831" s="55" t="s">
        <v>163</v>
      </c>
      <c r="P831" s="57"/>
      <c r="Q831" s="60" t="n">
        <f aca="false">IF(BR831=1,0,IFERROR(VLOOKUP(BP831,'Gebinde-Kategorie'!$A$5:$M$45,13,0)+0,0))</f>
        <v>0</v>
      </c>
      <c r="R831" s="61"/>
      <c r="S831" s="62"/>
      <c r="T831" s="62"/>
      <c r="U831" s="55"/>
      <c r="V831" s="57"/>
      <c r="W831" s="57"/>
      <c r="X831" s="55" t="n">
        <f aca="false">IF(A831="","",IF(AND(Parameter!$B$21="Ja",ISNUMBER(U831)),U831,IF(IFERROR(VLOOKUP(D831,Parameter!$A$35:$C$64,2,0),"Nein")="2+3",IF(ISNUMBER(SEARCH("grosser Artikel",BM831)),2,IFERROR(VLOOKUP(BP831,Parameter!$F$35:$G$64,2,0),2)),IF(OR(IFERROR(VLOOKUP(D831,Parameter!$A$35:$C$64,2,0),"Nein")="Nein",IFERROR(VLOOKUP(D831,Parameter!$A$35:$C$64,2,0),"Nein")=""),"-",VLOOKUP(D831,Parameter!$A$35:$C$64,2,0)))))</f>
        <v>2</v>
      </c>
      <c r="Y831" s="62"/>
      <c r="Z831" s="63"/>
      <c r="AA831" s="57" t="n">
        <f aca="false">AP831</f>
        <v>1</v>
      </c>
      <c r="AB831" s="57" t="n">
        <f aca="false">MAX(AP831,G831)</f>
        <v>1</v>
      </c>
      <c r="AC831" s="64"/>
      <c r="AD831" s="57" t="n">
        <f aca="false">IF(LEFT(Cockpit!$C$5,1)="A",G831,IF(BW831=1,BX831,IF(LEFT(Cockpit!$C$5,1)="B",AH831,MAX(AH831,G831))))</f>
        <v>0</v>
      </c>
      <c r="AE831" s="57" t="n">
        <f aca="false">IF(BR831=1,0,ROUNDUP(AD831/BQ831,0))</f>
        <v>0</v>
      </c>
      <c r="AF831" s="59" t="n">
        <f aca="false">IF(CD831&gt;0,CD831*MAX(1,AD831/V831),IF(BR831=1,IF(AD831&lt;=0,0,BS831*MAX(1,IF(G831&gt;0,AD831/G831,1))),IF(Q831&gt;0,AE831/Q831,0))/MAX(0.1,N(Parameter!$M$21)))</f>
        <v>0</v>
      </c>
      <c r="AG831" s="57" t="n">
        <f aca="false">AD831*F831</f>
        <v>0</v>
      </c>
      <c r="AH831" s="57" t="n">
        <f aca="false">ROUNDUP(MAX(I831/IF(BV831&gt;0,BV831,MAX(0.1,N(Cockpit!$C$6))),BY831)/BQ831,0)*BQ831</f>
        <v>1</v>
      </c>
      <c r="AI831" s="58" t="n">
        <f aca="false">IF(AF831&gt;0,I831/AF831,-1)</f>
        <v>-1</v>
      </c>
      <c r="AJ831" s="58" t="str">
        <f aca="false">IF(AND(OR(BU831="L1",BU831="L23"),AF831&gt;0),SUMIFS($AF$7:$AF$1576,$BU$7:$BU$1576,BU831,$AI$7:$AI$1576,"&gt;"&amp;AI831)+SUMIFS($AF$7:$AF$1576,$BU$7:$BU$1576,BU831,$AI$7:$AI$1576,AI831,$BO$7:$BO$1576,"&lt;="&amp;BO831),"")</f>
        <v/>
      </c>
      <c r="AK831" s="65" t="n">
        <f aca="false">IF(AJ831="",0,MAX(0,MIN(1,(IF(BU831="L1",Parameter!$E$5,Parameter!$E$6+Parameter!$E$7)-(AJ831-AF831))/AF831)))</f>
        <v>0</v>
      </c>
      <c r="AL831" s="57" t="n">
        <f aca="false">IF(LEFT(Cockpit!$I$5,1)="A",G831,IF(BW831=1,BX831,IF(LEFT(Cockpit!$I$5,1)="B",AP831,MAX(AP831,G831))))</f>
        <v>1</v>
      </c>
      <c r="AM831" s="57" t="n">
        <f aca="false">IF(BR831=1,0,ROUNDUP(AL831/BQ831,0))</f>
        <v>0</v>
      </c>
      <c r="AN831" s="59" t="n">
        <f aca="false">IF(CD831&gt;0,CD831*MAX(1,AL831/V831),IF(BR831=1,IF(AL831&lt;=0,0,BS831*MAX(1,IF(G831&gt;0,AL831/G831,1))),IF(Q831&gt;0,AM831/Q831,0))/MAX(0.1,N(Parameter!$M$21)))</f>
        <v>0.03</v>
      </c>
      <c r="AO831" s="57" t="n">
        <f aca="false">AL831*F831</f>
        <v>1.1</v>
      </c>
      <c r="AP831" s="57" t="n">
        <f aca="false">ROUNDUP(MAX(I831/IF(BV831&gt;0,BV831,MAX(0.1,N(Cockpit!$I$6))),BY831)/BQ831,0)*BQ831</f>
        <v>1</v>
      </c>
      <c r="AQ831" s="58" t="n">
        <f aca="false">IF(AN831&gt;0,I831/AN831,-1)</f>
        <v>0</v>
      </c>
      <c r="AR831" s="58" t="n">
        <f aca="false">IF(AND(OR(BU831="L1",BU831="L23"),AN831&gt;0),SUMIFS($AN$7:$AN$1576,$BU$7:$BU$1576,BU831,$AQ$7:$AQ$1576,"&gt;"&amp;AQ831)+SUMIFS($AN$7:$AN$1576,$BU$7:$BU$1576,BU831,$AQ$7:$AQ$1576,AQ831,$BO$7:$BO$1576,"&lt;="&amp;BO831),"")</f>
        <v>130.845914061831</v>
      </c>
      <c r="AS831" s="65" t="n">
        <f aca="false">IF(AR831="",0,MAX(0,MIN(1,(IF(BU831="L1",Parameter!$E$5,Parameter!$E$6+Parameter!$E$7)-(AR831-AN831))/AN831)))</f>
        <v>0</v>
      </c>
      <c r="AT831" s="57" t="n">
        <f aca="false">IF(LEFT(Cockpit!$O$5,1)="A",G831,IF(BW831=1,BX831,IF(LEFT(Cockpit!$O$5,1)="B",AX831,MAX(AX831,G831))))</f>
        <v>1</v>
      </c>
      <c r="AU831" s="57" t="n">
        <f aca="false">IF(BR831=1,0,ROUNDUP(AT831/BQ831,0))</f>
        <v>0</v>
      </c>
      <c r="AV831" s="59" t="n">
        <f aca="false">IF(CD831&gt;0,CD831*MAX(1,AT831/V831),IF(BR831=1,IF(AT831&lt;=0,0,BS831*MAX(1,IF(G831&gt;0,AT831/G831,1))),IF(Q831&gt;0,AU831/Q831,0))/MAX(0.1,N(Parameter!$M$21)))</f>
        <v>0.03</v>
      </c>
      <c r="AW831" s="57" t="n">
        <f aca="false">AT831*F831</f>
        <v>1.1</v>
      </c>
      <c r="AX831" s="57" t="n">
        <f aca="false">ROUNDUP(MAX(I831/IF(BV831&gt;0,BV831,MAX(0.1,N(Cockpit!$O$6))),BY831)/BQ831,0)*BQ831</f>
        <v>1</v>
      </c>
      <c r="AY831" s="58" t="n">
        <f aca="false">IF(AV831&gt;0,I831/AV831,-1)</f>
        <v>0</v>
      </c>
      <c r="AZ831" s="58" t="n">
        <f aca="false">IF(AND(OR(BU831="L1",BU831="L23"),AV831&gt;0),SUMIFS($AV$7:$AV$1576,$BU$7:$BU$1576,BU831,$AY$7:$AY$1576,"&gt;"&amp;AY831)+SUMIFS($AV$7:$AV$1576,$BU$7:$BU$1576,BU831,$AY$7:$AY$1576,AY831,$BO$7:$BO$1576,"&lt;="&amp;BO831),"")</f>
        <v>120.905464511382</v>
      </c>
      <c r="BA831" s="65" t="n">
        <f aca="false">IF(AZ831="",0,MAX(0,MIN(1,(IF(BU831="L1",Parameter!$E$5,Parameter!$E$6+Parameter!$E$7)-(AZ831-AV831))/AV831)))</f>
        <v>0</v>
      </c>
      <c r="BB831" s="55" t="str">
        <f aca="false">IF(AF831&lt;=0,"",IF(BU831="Aussen","Aussenlager",IF(BU831="-","Nicht im Lift",IF(AK831&gt;=1,"Lift",IF(AK831&lt;=0,"Aussenlager","teilweise")))))</f>
        <v/>
      </c>
      <c r="BC831" s="55" t="str">
        <f aca="false">IF(AN831&lt;=0,"",IF(BU831="Aussen","Aussenlager",IF(BU831="-","Nicht im Lift",IF(AS831&gt;=1,"Lift",IF(AS831&lt;=0,"Aussenlager","teilweise")))))</f>
        <v>Aussenlager</v>
      </c>
      <c r="BD831" s="55" t="str">
        <f aca="false">IF(AV831&lt;=0,"",IF(BU831="Aussen","Aussenlager",IF(BU831="-","Nicht im Lift",IF(BA831&gt;=1,"Lift",IF(BA831&lt;=0,"Aussenlager","teilweise")))))</f>
        <v>Aussenlager</v>
      </c>
      <c r="BE831" s="55" t="str">
        <f aca="false">IF(A831="","",IF(BN831=1,"Neu; ","")&amp;IF(AND(BN831=0,BI831&lt;0),"negativer Bestand (Export "&amp;BI831&amp;"); ","")&amp;IF(I831&lt;=0,"Kein Verbrauch; ","")&amp;IF(CD831&gt;0,"Lift "&amp;U831&amp;" lt. Liftbericht (Fach "&amp;V831&amp;" Stk); ",IF(BR831=1,"Lose – Fläche geschätzt; ",""))&amp;IF(G831&gt;AP831,"Überbestand "&amp;ROUND(G831-AP831,0)&amp;" Stk / CHF "&amp;ROUND((G831-AP831)*F831,0)&amp;"; ","")&amp;IF(AND(BW831=1,BX831&lt;BY831),"MAX &lt; MB+LG; ","")&amp;IF(AND(CC831&gt;0,CB831*10&gt;CC831),"zu hoch für Tablar; ","")&amp;IF(AND(BN831=0,OR(BW831=1,Y831&lt;&gt;"",S831&lt;&gt;"",T831&lt;&gt;"",Z831&lt;&gt;"")),"manuell übersteuert; ","")&amp;IF(AND(BR831=0,Q831=0),"Gebinde unbekannt / Stellmass fehlt; ","")&amp;IF(AND(BR831=0,N(T831)&lt;=0,N(P831)&lt;=0),"Menge pro Gebinde fehlt (Ist = 1 Gebinde); ","")&amp;BM831)</f>
        <v>negativer Bestand (Export -10); Kein Verbrauch; Lose – Fläche geschätzt; </v>
      </c>
      <c r="BF831" s="55"/>
      <c r="BG831" s="55"/>
      <c r="BH831" s="62"/>
      <c r="BI831" s="57" t="n">
        <v>-10</v>
      </c>
      <c r="BJ831" s="57" t="n">
        <v>10</v>
      </c>
      <c r="BK831" s="56" t="n">
        <v>-11</v>
      </c>
      <c r="BL831" s="57" t="n">
        <v>0</v>
      </c>
      <c r="BM831" s="55"/>
      <c r="BN831" s="60" t="n">
        <v>0</v>
      </c>
      <c r="BO831" s="60" t="n">
        <v>831</v>
      </c>
      <c r="BP831" s="55" t="str">
        <f aca="false">IF(S831&lt;&gt;"",UPPER(TRIM(S831)),IF(O831="","LOSE",O831))</f>
        <v>LOSE</v>
      </c>
      <c r="BQ831" s="57" t="n">
        <f aca="false">IF(BP831="LOSE",1,IF(N(T831)&gt;0,T831,IF(N(P831)&gt;0,P831,MAX(1,G831))))</f>
        <v>1</v>
      </c>
      <c r="BR831" s="60" t="n">
        <f aca="false">IF(BP831="LOSE",1,0)</f>
        <v>1</v>
      </c>
      <c r="BS831" s="59" t="n">
        <f aca="false">IF(BR831=0,0,IF(N(R831)&gt;0,R831,IFERROR(VLOOKUP(D831,Parameter!$A$35:$C$64,3,0)+0,0)))</f>
        <v>0.03</v>
      </c>
      <c r="BT831" s="55" t="n">
        <f aca="false">IF(Y831&lt;&gt;"",Y831,X831)</f>
        <v>2</v>
      </c>
      <c r="BU831" s="55" t="str">
        <f aca="false">IF(BT831=1,"L1",IF(OR(BT831=2,BT831=3),"L23",IF(BT831="Aussen","Aussen","-")))</f>
        <v>L23</v>
      </c>
      <c r="BV831" s="66" t="n">
        <f aca="false">IF(N(Z831)&gt;0,Z831,0)</f>
        <v>0</v>
      </c>
      <c r="BW831" s="60" t="n">
        <f aca="false">IF(ISNUMBER(AC831),1,0)</f>
        <v>0</v>
      </c>
      <c r="BX831" s="57" t="n">
        <f aca="false">N(AC831)</f>
        <v>0</v>
      </c>
      <c r="BY831" s="57" t="n">
        <f aca="false">N(L831)+N(M831)</f>
        <v>1</v>
      </c>
      <c r="BZ831" s="57" t="n">
        <f aca="false">ROUNDUP(G831/BQ831,0)</f>
        <v>0</v>
      </c>
      <c r="CA831" s="57" t="n">
        <f aca="false">ROUNDUP(BX831/BQ831,0)</f>
        <v>0</v>
      </c>
      <c r="CB831" s="60" t="n">
        <f aca="false">IF(BR831=1,0,IFERROR(VLOOKUP(BP831,'Gebinde-Kategorie'!$A$5:$M$45,5,0)+0,0))</f>
        <v>0</v>
      </c>
      <c r="CC831" s="60" t="n">
        <f aca="false">IFERROR(IF(OR(BT831=1,BT831=2,BT831=3),N(INDEX(Parameter!$I$5:$I$7,BT831)),0),0)</f>
        <v>0</v>
      </c>
      <c r="CD831" s="59" t="n">
        <f aca="false">IF(AND(Parameter!$B$21="Ja",ISNUMBER(U831),N(V831)&gt;0),IFERROR(N(INDEX(Parameter!$L$5:$L$7,U831))*INDEX(Parameter!$E$5:$E$7,U831)*V831/SUMIFS($V$7:$V$1576,$U$7:$U$1576,U831),0),0)</f>
        <v>0</v>
      </c>
    </row>
    <row r="832" customFormat="false" ht="15" hidden="false" customHeight="false" outlineLevel="0" collapsed="false">
      <c r="A832" s="55" t="s">
        <v>1587</v>
      </c>
      <c r="B832" s="55" t="s">
        <v>1588</v>
      </c>
      <c r="C832" s="55" t="s">
        <v>160</v>
      </c>
      <c r="D832" s="55" t="s">
        <v>178</v>
      </c>
      <c r="E832" s="55" t="s">
        <v>210</v>
      </c>
      <c r="F832" s="56" t="n">
        <v>1.13</v>
      </c>
      <c r="G832" s="57" t="n">
        <f aca="false">MAX(0,IF(AND(Parameter!$B$21="Ja",ISNUMBER(W832)),W832,IF(Parameter!$B$20="Jahresanfang 2025 + Export",BJ832+BI832,BI832)))</f>
        <v>0</v>
      </c>
      <c r="H832" s="57" t="n">
        <f aca="false">G832*F832</f>
        <v>0</v>
      </c>
      <c r="I832" s="57" t="n">
        <f aca="false">BL832*Parameter!$B$18</f>
        <v>7</v>
      </c>
      <c r="J832" s="58" t="n">
        <v>17.5</v>
      </c>
      <c r="K832" s="59" t="n">
        <v>0.4</v>
      </c>
      <c r="L832" s="57" t="n">
        <v>0</v>
      </c>
      <c r="M832" s="57" t="n">
        <v>10</v>
      </c>
      <c r="N832" s="60" t="n">
        <v>14</v>
      </c>
      <c r="O832" s="55" t="s">
        <v>416</v>
      </c>
      <c r="P832" s="57" t="n">
        <v>20</v>
      </c>
      <c r="Q832" s="60" t="n">
        <f aca="false">IF(BR832=1,0,IFERROR(VLOOKUP(BP832,'Gebinde-Kategorie'!$A$5:$M$45,13,0)+0,0))</f>
        <v>198</v>
      </c>
      <c r="R832" s="61"/>
      <c r="S832" s="62"/>
      <c r="T832" s="62"/>
      <c r="U832" s="55"/>
      <c r="V832" s="57"/>
      <c r="W832" s="57"/>
      <c r="X832" s="55" t="n">
        <f aca="false">IF(A832="","",IF(AND(Parameter!$B$21="Ja",ISNUMBER(U832)),U832,IF(IFERROR(VLOOKUP(D832,Parameter!$A$35:$C$64,2,0),"Nein")="2+3",IF(ISNUMBER(SEARCH("grosser Artikel",BM832)),2,IFERROR(VLOOKUP(BP832,Parameter!$F$35:$G$64,2,0),2)),IF(OR(IFERROR(VLOOKUP(D832,Parameter!$A$35:$C$64,2,0),"Nein")="Nein",IFERROR(VLOOKUP(D832,Parameter!$A$35:$C$64,2,0),"Nein")=""),"-",VLOOKUP(D832,Parameter!$A$35:$C$64,2,0)))))</f>
        <v>3</v>
      </c>
      <c r="Y832" s="62"/>
      <c r="Z832" s="63"/>
      <c r="AA832" s="57" t="n">
        <f aca="false">AP832</f>
        <v>20</v>
      </c>
      <c r="AB832" s="57" t="n">
        <f aca="false">MAX(AP832,G832)</f>
        <v>20</v>
      </c>
      <c r="AC832" s="64"/>
      <c r="AD832" s="57" t="n">
        <f aca="false">IF(LEFT(Cockpit!$C$5,1)="A",G832,IF(BW832=1,BX832,IF(LEFT(Cockpit!$C$5,1)="B",AH832,MAX(AH832,G832))))</f>
        <v>0</v>
      </c>
      <c r="AE832" s="57" t="n">
        <f aca="false">IF(BR832=1,0,ROUNDUP(AD832/BQ832,0))</f>
        <v>0</v>
      </c>
      <c r="AF832" s="59" t="n">
        <f aca="false">IF(CD832&gt;0,CD832*MAX(1,AD832/V832),IF(BR832=1,IF(AD832&lt;=0,0,BS832*MAX(1,IF(G832&gt;0,AD832/G832,1))),IF(Q832&gt;0,AE832/Q832,0))/MAX(0.1,N(Parameter!$M$21)))</f>
        <v>0</v>
      </c>
      <c r="AG832" s="57" t="n">
        <f aca="false">AD832*F832</f>
        <v>0</v>
      </c>
      <c r="AH832" s="57" t="n">
        <f aca="false">ROUNDUP(MAX(I832/IF(BV832&gt;0,BV832,MAX(0.1,N(Cockpit!$C$6))),BY832)/BQ832,0)*BQ832</f>
        <v>20</v>
      </c>
      <c r="AI832" s="58" t="n">
        <f aca="false">IF(AF832&gt;0,I832/AF832,-1)</f>
        <v>-1</v>
      </c>
      <c r="AJ832" s="58" t="str">
        <f aca="false">IF(AND(OR(BU832="L1",BU832="L23"),AF832&gt;0),SUMIFS($AF$7:$AF$1576,$BU$7:$BU$1576,BU832,$AI$7:$AI$1576,"&gt;"&amp;AI832)+SUMIFS($AF$7:$AF$1576,$BU$7:$BU$1576,BU832,$AI$7:$AI$1576,AI832,$BO$7:$BO$1576,"&lt;="&amp;BO832),"")</f>
        <v/>
      </c>
      <c r="AK832" s="65" t="n">
        <f aca="false">IF(AJ832="",0,MAX(0,MIN(1,(IF(BU832="L1",Parameter!$E$5,Parameter!$E$6+Parameter!$E$7)-(AJ832-AF832))/AF832)))</f>
        <v>0</v>
      </c>
      <c r="AL832" s="57" t="n">
        <f aca="false">IF(LEFT(Cockpit!$I$5,1)="A",G832,IF(BW832=1,BX832,IF(LEFT(Cockpit!$I$5,1)="B",AP832,MAX(AP832,G832))))</f>
        <v>20</v>
      </c>
      <c r="AM832" s="57" t="n">
        <f aca="false">IF(BR832=1,0,ROUNDUP(AL832/BQ832,0))</f>
        <v>1</v>
      </c>
      <c r="AN832" s="59" t="n">
        <f aca="false">IF(CD832&gt;0,CD832*MAX(1,AL832/V832),IF(BR832=1,IF(AL832&lt;=0,0,BS832*MAX(1,IF(G832&gt;0,AL832/G832,1))),IF(Q832&gt;0,AM832/Q832,0))/MAX(0.1,N(Parameter!$M$21)))</f>
        <v>0.00505050505050505</v>
      </c>
      <c r="AO832" s="57" t="n">
        <f aca="false">AL832*F832</f>
        <v>22.6</v>
      </c>
      <c r="AP832" s="57" t="n">
        <f aca="false">ROUNDUP(MAX(I832/IF(BV832&gt;0,BV832,MAX(0.1,N(Cockpit!$I$6))),BY832)/BQ832,0)*BQ832</f>
        <v>20</v>
      </c>
      <c r="AQ832" s="58" t="n">
        <f aca="false">IF(AN832&gt;0,I832/AN832,-1)</f>
        <v>1386</v>
      </c>
      <c r="AR832" s="58" t="n">
        <f aca="false">IF(AND(OR(BU832="L1",BU832="L23"),AN832&gt;0),SUMIFS($AN$7:$AN$1576,$BU$7:$BU$1576,BU832,$AQ$7:$AQ$1576,"&gt;"&amp;AQ832)+SUMIFS($AN$7:$AN$1576,$BU$7:$BU$1576,BU832,$AQ$7:$AQ$1576,AQ832,$BO$7:$BO$1576,"&lt;="&amp;BO832),"")</f>
        <v>19.7445258247544</v>
      </c>
      <c r="AS832" s="65" t="n">
        <f aca="false">IF(AR832="",0,MAX(0,MIN(1,(IF(BU832="L1",Parameter!$E$5,Parameter!$E$6+Parameter!$E$7)-(AR832-AN832))/AN832)))</f>
        <v>1</v>
      </c>
      <c r="AT832" s="57" t="n">
        <f aca="false">IF(LEFT(Cockpit!$O$5,1)="A",G832,IF(BW832=1,BX832,IF(LEFT(Cockpit!$O$5,1)="B",AX832,MAX(AX832,G832))))</f>
        <v>20</v>
      </c>
      <c r="AU832" s="57" t="n">
        <f aca="false">IF(BR832=1,0,ROUNDUP(AT832/BQ832,0))</f>
        <v>1</v>
      </c>
      <c r="AV832" s="59" t="n">
        <f aca="false">IF(CD832&gt;0,CD832*MAX(1,AT832/V832),IF(BR832=1,IF(AT832&lt;=0,0,BS832*MAX(1,IF(G832&gt;0,AT832/G832,1))),IF(Q832&gt;0,AU832/Q832,0))/MAX(0.1,N(Parameter!$M$21)))</f>
        <v>0.00505050505050505</v>
      </c>
      <c r="AW832" s="57" t="n">
        <f aca="false">AT832*F832</f>
        <v>22.6</v>
      </c>
      <c r="AX832" s="57" t="n">
        <f aca="false">ROUNDUP(MAX(I832/IF(BV832&gt;0,BV832,MAX(0.1,N(Cockpit!$O$6))),BY832)/BQ832,0)*BQ832</f>
        <v>20</v>
      </c>
      <c r="AY832" s="58" t="n">
        <f aca="false">IF(AV832&gt;0,I832/AV832,-1)</f>
        <v>1386</v>
      </c>
      <c r="AZ832" s="58" t="n">
        <f aca="false">IF(AND(OR(BU832="L1",BU832="L23"),AV832&gt;0),SUMIFS($AV$7:$AV$1576,$BU$7:$BU$1576,BU832,$AY$7:$AY$1576,"&gt;"&amp;AY832)+SUMIFS($AV$7:$AV$1576,$BU$7:$BU$1576,BU832,$AY$7:$AY$1576,AY832,$BO$7:$BO$1576,"&lt;="&amp;BO832),"")</f>
        <v>18.5551318853604</v>
      </c>
      <c r="BA832" s="65" t="n">
        <f aca="false">IF(AZ832="",0,MAX(0,MIN(1,(IF(BU832="L1",Parameter!$E$5,Parameter!$E$6+Parameter!$E$7)-(AZ832-AV832))/AV832)))</f>
        <v>1</v>
      </c>
      <c r="BB832" s="55" t="str">
        <f aca="false">IF(AF832&lt;=0,"",IF(BU832="Aussen","Aussenlager",IF(BU832="-","Nicht im Lift",IF(AK832&gt;=1,"Lift",IF(AK832&lt;=0,"Aussenlager","teilweise")))))</f>
        <v/>
      </c>
      <c r="BC832" s="55" t="str">
        <f aca="false">IF(AN832&lt;=0,"",IF(BU832="Aussen","Aussenlager",IF(BU832="-","Nicht im Lift",IF(AS832&gt;=1,"Lift",IF(AS832&lt;=0,"Aussenlager","teilweise")))))</f>
        <v>Lift</v>
      </c>
      <c r="BD832" s="55" t="str">
        <f aca="false">IF(AV832&lt;=0,"",IF(BU832="Aussen","Aussenlager",IF(BU832="-","Nicht im Lift",IF(BA832&gt;=1,"Lift",IF(BA832&lt;=0,"Aussenlager","teilweise")))))</f>
        <v>Lift</v>
      </c>
      <c r="BE832" s="55" t="str">
        <f aca="false">IF(A832="","",IF(BN832=1,"Neu; ","")&amp;IF(AND(BN832=0,BI832&lt;0),"negativer Bestand (Export "&amp;BI832&amp;"); ","")&amp;IF(I832&lt;=0,"Kein Verbrauch; ","")&amp;IF(CD832&gt;0,"Lift "&amp;U832&amp;" lt. Liftbericht (Fach "&amp;V832&amp;" Stk); ",IF(BR832=1,"Lose – Fläche geschätzt; ",""))&amp;IF(G832&gt;AP832,"Überbestand "&amp;ROUND(G832-AP832,0)&amp;" Stk / CHF "&amp;ROUND((G832-AP832)*F832,0)&amp;"; ","")&amp;IF(AND(BW832=1,BX832&lt;BY832),"MAX &lt; MB+LG; ","")&amp;IF(AND(CC832&gt;0,CB832*10&gt;CC832),"zu hoch für Tablar; ","")&amp;IF(AND(BN832=0,OR(BW832=1,Y832&lt;&gt;"",S832&lt;&gt;"",T832&lt;&gt;"",Z832&lt;&gt;"")),"manuell übersteuert; ","")&amp;IF(AND(BR832=0,Q832=0),"Gebinde unbekannt / Stellmass fehlt; ","")&amp;IF(AND(BR832=0,N(T832)&lt;=0,N(P832)&lt;=0),"Menge pro Gebinde fehlt (Ist = 1 Gebinde); ","")&amp;BM832)</f>
        <v>negativer Bestand (Export -10); </v>
      </c>
      <c r="BF832" s="55"/>
      <c r="BG832" s="55"/>
      <c r="BH832" s="62"/>
      <c r="BI832" s="57" t="n">
        <v>-10</v>
      </c>
      <c r="BJ832" s="57" t="n">
        <v>20</v>
      </c>
      <c r="BK832" s="56" t="n">
        <v>-11.1</v>
      </c>
      <c r="BL832" s="57" t="n">
        <v>7</v>
      </c>
      <c r="BM832" s="55"/>
      <c r="BN832" s="60" t="n">
        <v>0</v>
      </c>
      <c r="BO832" s="60" t="n">
        <v>832</v>
      </c>
      <c r="BP832" s="55" t="str">
        <f aca="false">IF(S832&lt;&gt;"",UPPER(TRIM(S832)),IF(O832="","LOSE",O832))</f>
        <v>S22</v>
      </c>
      <c r="BQ832" s="57" t="n">
        <f aca="false">IF(BP832="LOSE",1,IF(N(T832)&gt;0,T832,IF(N(P832)&gt;0,P832,MAX(1,G832))))</f>
        <v>20</v>
      </c>
      <c r="BR832" s="60" t="n">
        <f aca="false">IF(BP832="LOSE",1,0)</f>
        <v>0</v>
      </c>
      <c r="BS832" s="59" t="n">
        <f aca="false">IF(BR832=0,0,IF(N(R832)&gt;0,R832,IFERROR(VLOOKUP(D832,Parameter!$A$35:$C$64,3,0)+0,0)))</f>
        <v>0</v>
      </c>
      <c r="BT832" s="55" t="n">
        <f aca="false">IF(Y832&lt;&gt;"",Y832,X832)</f>
        <v>3</v>
      </c>
      <c r="BU832" s="55" t="str">
        <f aca="false">IF(BT832=1,"L1",IF(OR(BT832=2,BT832=3),"L23",IF(BT832="Aussen","Aussen","-")))</f>
        <v>L23</v>
      </c>
      <c r="BV832" s="66" t="n">
        <f aca="false">IF(N(Z832)&gt;0,Z832,0)</f>
        <v>0</v>
      </c>
      <c r="BW832" s="60" t="n">
        <f aca="false">IF(ISNUMBER(AC832),1,0)</f>
        <v>0</v>
      </c>
      <c r="BX832" s="57" t="n">
        <f aca="false">N(AC832)</f>
        <v>0</v>
      </c>
      <c r="BY832" s="57" t="n">
        <f aca="false">N(L832)+N(M832)</f>
        <v>10</v>
      </c>
      <c r="BZ832" s="57" t="n">
        <f aca="false">ROUNDUP(G832/BQ832,0)</f>
        <v>0</v>
      </c>
      <c r="CA832" s="57" t="n">
        <f aca="false">ROUNDUP(BX832/BQ832,0)</f>
        <v>0</v>
      </c>
      <c r="CB832" s="60" t="n">
        <f aca="false">IF(BR832=1,0,IFERROR(VLOOKUP(BP832,'Gebinde-Kategorie'!$A$5:$M$45,5,0)+0,0))</f>
        <v>8</v>
      </c>
      <c r="CC832" s="60" t="n">
        <f aca="false">IFERROR(IF(OR(BT832=1,BT832=2,BT832=3),N(INDEX(Parameter!$I$5:$I$7,BT832)),0),0)</f>
        <v>0</v>
      </c>
      <c r="CD832" s="59" t="n">
        <f aca="false">IF(AND(Parameter!$B$21="Ja",ISNUMBER(U832),N(V832)&gt;0),IFERROR(N(INDEX(Parameter!$L$5:$L$7,U832))*INDEX(Parameter!$E$5:$E$7,U832)*V832/SUMIFS($V$7:$V$1576,$U$7:$U$1576,U832),0),0)</f>
        <v>0</v>
      </c>
    </row>
    <row r="833" customFormat="false" ht="15" hidden="false" customHeight="false" outlineLevel="0" collapsed="false">
      <c r="A833" s="55" t="s">
        <v>1589</v>
      </c>
      <c r="B833" s="55" t="s">
        <v>1125</v>
      </c>
      <c r="C833" s="55" t="s">
        <v>160</v>
      </c>
      <c r="D833" s="55" t="s">
        <v>178</v>
      </c>
      <c r="E833" s="55" t="s">
        <v>210</v>
      </c>
      <c r="F833" s="56" t="n">
        <v>3.91</v>
      </c>
      <c r="G833" s="57" t="n">
        <f aca="false">MAX(0,IF(AND(Parameter!$B$21="Ja",ISNUMBER(W833)),W833,IF(Parameter!$B$20="Jahresanfang 2025 + Export",BJ833+BI833,BI833)))</f>
        <v>0</v>
      </c>
      <c r="H833" s="57" t="n">
        <f aca="false">G833*F833</f>
        <v>0</v>
      </c>
      <c r="I833" s="57" t="n">
        <f aca="false">BL833*Parameter!$B$18</f>
        <v>5</v>
      </c>
      <c r="J833" s="58" t="n">
        <v>14</v>
      </c>
      <c r="K833" s="59" t="n">
        <v>0.357142857142857</v>
      </c>
      <c r="L833" s="57" t="n">
        <v>0</v>
      </c>
      <c r="M833" s="57" t="n">
        <v>5</v>
      </c>
      <c r="N833" s="60" t="n">
        <v>14</v>
      </c>
      <c r="O833" s="55" t="s">
        <v>163</v>
      </c>
      <c r="P833" s="57"/>
      <c r="Q833" s="60" t="n">
        <f aca="false">IF(BR833=1,0,IFERROR(VLOOKUP(BP833,'Gebinde-Kategorie'!$A$5:$M$45,13,0)+0,0))</f>
        <v>0</v>
      </c>
      <c r="R833" s="61"/>
      <c r="S833" s="62"/>
      <c r="T833" s="62"/>
      <c r="U833" s="55"/>
      <c r="V833" s="57"/>
      <c r="W833" s="57"/>
      <c r="X833" s="55" t="n">
        <f aca="false">IF(A833="","",IF(AND(Parameter!$B$21="Ja",ISNUMBER(U833)),U833,IF(IFERROR(VLOOKUP(D833,Parameter!$A$35:$C$64,2,0),"Nein")="2+3",IF(ISNUMBER(SEARCH("grosser Artikel",BM833)),2,IFERROR(VLOOKUP(BP833,Parameter!$F$35:$G$64,2,0),2)),IF(OR(IFERROR(VLOOKUP(D833,Parameter!$A$35:$C$64,2,0),"Nein")="Nein",IFERROR(VLOOKUP(D833,Parameter!$A$35:$C$64,2,0),"Nein")=""),"-",VLOOKUP(D833,Parameter!$A$35:$C$64,2,0)))))</f>
        <v>2</v>
      </c>
      <c r="Y833" s="62"/>
      <c r="Z833" s="63"/>
      <c r="AA833" s="57" t="n">
        <f aca="false">AP833</f>
        <v>5</v>
      </c>
      <c r="AB833" s="57" t="n">
        <f aca="false">MAX(AP833,G833)</f>
        <v>5</v>
      </c>
      <c r="AC833" s="64"/>
      <c r="AD833" s="57" t="n">
        <f aca="false">IF(LEFT(Cockpit!$C$5,1)="A",G833,IF(BW833=1,BX833,IF(LEFT(Cockpit!$C$5,1)="B",AH833,MAX(AH833,G833))))</f>
        <v>0</v>
      </c>
      <c r="AE833" s="57" t="n">
        <f aca="false">IF(BR833=1,0,ROUNDUP(AD833/BQ833,0))</f>
        <v>0</v>
      </c>
      <c r="AF833" s="59" t="n">
        <f aca="false">IF(CD833&gt;0,CD833*MAX(1,AD833/V833),IF(BR833=1,IF(AD833&lt;=0,0,BS833*MAX(1,IF(G833&gt;0,AD833/G833,1))),IF(Q833&gt;0,AE833/Q833,0))/MAX(0.1,N(Parameter!$M$21)))</f>
        <v>0</v>
      </c>
      <c r="AG833" s="57" t="n">
        <f aca="false">AD833*F833</f>
        <v>0</v>
      </c>
      <c r="AH833" s="57" t="n">
        <f aca="false">ROUNDUP(MAX(I833/IF(BV833&gt;0,BV833,MAX(0.1,N(Cockpit!$C$6))),BY833)/BQ833,0)*BQ833</f>
        <v>5</v>
      </c>
      <c r="AI833" s="58" t="n">
        <f aca="false">IF(AF833&gt;0,I833/AF833,-1)</f>
        <v>-1</v>
      </c>
      <c r="AJ833" s="58" t="str">
        <f aca="false">IF(AND(OR(BU833="L1",BU833="L23"),AF833&gt;0),SUMIFS($AF$7:$AF$1576,$BU$7:$BU$1576,BU833,$AI$7:$AI$1576,"&gt;"&amp;AI833)+SUMIFS($AF$7:$AF$1576,$BU$7:$BU$1576,BU833,$AI$7:$AI$1576,AI833,$BO$7:$BO$1576,"&lt;="&amp;BO833),"")</f>
        <v/>
      </c>
      <c r="AK833" s="65" t="n">
        <f aca="false">IF(AJ833="",0,MAX(0,MIN(1,(IF(BU833="L1",Parameter!$E$5,Parameter!$E$6+Parameter!$E$7)-(AJ833-AF833))/AF833)))</f>
        <v>0</v>
      </c>
      <c r="AL833" s="57" t="n">
        <f aca="false">IF(LEFT(Cockpit!$I$5,1)="A",G833,IF(BW833=1,BX833,IF(LEFT(Cockpit!$I$5,1)="B",AP833,MAX(AP833,G833))))</f>
        <v>5</v>
      </c>
      <c r="AM833" s="57" t="n">
        <f aca="false">IF(BR833=1,0,ROUNDUP(AL833/BQ833,0))</f>
        <v>0</v>
      </c>
      <c r="AN833" s="59" t="n">
        <f aca="false">IF(CD833&gt;0,CD833*MAX(1,AL833/V833),IF(BR833=1,IF(AL833&lt;=0,0,BS833*MAX(1,IF(G833&gt;0,AL833/G833,1))),IF(Q833&gt;0,AM833/Q833,0))/MAX(0.1,N(Parameter!$M$21)))</f>
        <v>0.03</v>
      </c>
      <c r="AO833" s="57" t="n">
        <f aca="false">AL833*F833</f>
        <v>19.55</v>
      </c>
      <c r="AP833" s="57" t="n">
        <f aca="false">ROUNDUP(MAX(I833/IF(BV833&gt;0,BV833,MAX(0.1,N(Cockpit!$I$6))),BY833)/BQ833,0)*BQ833</f>
        <v>5</v>
      </c>
      <c r="AQ833" s="58" t="n">
        <f aca="false">IF(AN833&gt;0,I833/AN833,-1)</f>
        <v>166.666666666667</v>
      </c>
      <c r="AR833" s="58" t="n">
        <f aca="false">IF(AND(OR(BU833="L1",BU833="L23"),AN833&gt;0),SUMIFS($AN$7:$AN$1576,$BU$7:$BU$1576,BU833,$AQ$7:$AQ$1576,"&gt;"&amp;AQ833)+SUMIFS($AN$7:$AN$1576,$BU$7:$BU$1576,BU833,$AQ$7:$AQ$1576,AQ833,$BO$7:$BO$1576,"&lt;="&amp;BO833),"")</f>
        <v>53.3833893284005</v>
      </c>
      <c r="AS833" s="65" t="n">
        <f aca="false">IF(AR833="",0,MAX(0,MIN(1,(IF(BU833="L1",Parameter!$E$5,Parameter!$E$6+Parameter!$E$7)-(AR833-AN833))/AN833)))</f>
        <v>1</v>
      </c>
      <c r="AT833" s="57" t="n">
        <f aca="false">IF(LEFT(Cockpit!$O$5,1)="A",G833,IF(BW833=1,BX833,IF(LEFT(Cockpit!$O$5,1)="B",AX833,MAX(AX833,G833))))</f>
        <v>5</v>
      </c>
      <c r="AU833" s="57" t="n">
        <f aca="false">IF(BR833=1,0,ROUNDUP(AT833/BQ833,0))</f>
        <v>0</v>
      </c>
      <c r="AV833" s="59" t="n">
        <f aca="false">IF(CD833&gt;0,CD833*MAX(1,AT833/V833),IF(BR833=1,IF(AT833&lt;=0,0,BS833*MAX(1,IF(G833&gt;0,AT833/G833,1))),IF(Q833&gt;0,AU833/Q833,0))/MAX(0.1,N(Parameter!$M$21)))</f>
        <v>0.03</v>
      </c>
      <c r="AW833" s="57" t="n">
        <f aca="false">AT833*F833</f>
        <v>19.55</v>
      </c>
      <c r="AX833" s="57" t="n">
        <f aca="false">ROUNDUP(MAX(I833/IF(BV833&gt;0,BV833,MAX(0.1,N(Cockpit!$O$6))),BY833)/BQ833,0)*BQ833</f>
        <v>5</v>
      </c>
      <c r="AY833" s="58" t="n">
        <f aca="false">IF(AV833&gt;0,I833/AV833,-1)</f>
        <v>166.666666666667</v>
      </c>
      <c r="AZ833" s="58" t="n">
        <f aca="false">IF(AND(OR(BU833="L1",BU833="L23"),AV833&gt;0),SUMIFS($AV$7:$AV$1576,$BU$7:$BU$1576,BU833,$AY$7:$AY$1576,"&gt;"&amp;AY833)+SUMIFS($AV$7:$AV$1576,$BU$7:$BU$1576,BU833,$AY$7:$AY$1576,AY833,$BO$7:$BO$1576,"&lt;="&amp;BO833),"")</f>
        <v>49.2153640203752</v>
      </c>
      <c r="BA833" s="65" t="n">
        <f aca="false">IF(AZ833="",0,MAX(0,MIN(1,(IF(BU833="L1",Parameter!$E$5,Parameter!$E$6+Parameter!$E$7)-(AZ833-AV833))/AV833)))</f>
        <v>1</v>
      </c>
      <c r="BB833" s="55" t="str">
        <f aca="false">IF(AF833&lt;=0,"",IF(BU833="Aussen","Aussenlager",IF(BU833="-","Nicht im Lift",IF(AK833&gt;=1,"Lift",IF(AK833&lt;=0,"Aussenlager","teilweise")))))</f>
        <v/>
      </c>
      <c r="BC833" s="55" t="str">
        <f aca="false">IF(AN833&lt;=0,"",IF(BU833="Aussen","Aussenlager",IF(BU833="-","Nicht im Lift",IF(AS833&gt;=1,"Lift",IF(AS833&lt;=0,"Aussenlager","teilweise")))))</f>
        <v>Lift</v>
      </c>
      <c r="BD833" s="55" t="str">
        <f aca="false">IF(AV833&lt;=0,"",IF(BU833="Aussen","Aussenlager",IF(BU833="-","Nicht im Lift",IF(BA833&gt;=1,"Lift",IF(BA833&lt;=0,"Aussenlager","teilweise")))))</f>
        <v>Lift</v>
      </c>
      <c r="BE833" s="55" t="str">
        <f aca="false">IF(A833="","",IF(BN833=1,"Neu; ","")&amp;IF(AND(BN833=0,BI833&lt;0),"negativer Bestand (Export "&amp;BI833&amp;"); ","")&amp;IF(I833&lt;=0,"Kein Verbrauch; ","")&amp;IF(CD833&gt;0,"Lift "&amp;U833&amp;" lt. Liftbericht (Fach "&amp;V833&amp;" Stk); ",IF(BR833=1,"Lose – Fläche geschätzt; ",""))&amp;IF(G833&gt;AP833,"Überbestand "&amp;ROUND(G833-AP833,0)&amp;" Stk / CHF "&amp;ROUND((G833-AP833)*F833,0)&amp;"; ","")&amp;IF(AND(BW833=1,BX833&lt;BY833),"MAX &lt; MB+LG; ","")&amp;IF(AND(CC833&gt;0,CB833*10&gt;CC833),"zu hoch für Tablar; ","")&amp;IF(AND(BN833=0,OR(BW833=1,Y833&lt;&gt;"",S833&lt;&gt;"",T833&lt;&gt;"",Z833&lt;&gt;"")),"manuell übersteuert; ","")&amp;IF(AND(BR833=0,Q833=0),"Gebinde unbekannt / Stellmass fehlt; ","")&amp;IF(AND(BR833=0,N(T833)&lt;=0,N(P833)&lt;=0),"Menge pro Gebinde fehlt (Ist = 1 Gebinde); ","")&amp;BM833)</f>
        <v>Lose – Fläche geschätzt; </v>
      </c>
      <c r="BF833" s="55"/>
      <c r="BG833" s="55"/>
      <c r="BH833" s="62"/>
      <c r="BI833" s="57" t="n">
        <v>0</v>
      </c>
      <c r="BJ833" s="57" t="n">
        <v>2</v>
      </c>
      <c r="BK833" s="56" t="n">
        <v>-11.26</v>
      </c>
      <c r="BL833" s="57" t="n">
        <v>5</v>
      </c>
      <c r="BM833" s="55"/>
      <c r="BN833" s="60" t="n">
        <v>0</v>
      </c>
      <c r="BO833" s="60" t="n">
        <v>833</v>
      </c>
      <c r="BP833" s="55" t="str">
        <f aca="false">IF(S833&lt;&gt;"",UPPER(TRIM(S833)),IF(O833="","LOSE",O833))</f>
        <v>LOSE</v>
      </c>
      <c r="BQ833" s="57" t="n">
        <f aca="false">IF(BP833="LOSE",1,IF(N(T833)&gt;0,T833,IF(N(P833)&gt;0,P833,MAX(1,G833))))</f>
        <v>1</v>
      </c>
      <c r="BR833" s="60" t="n">
        <f aca="false">IF(BP833="LOSE",1,0)</f>
        <v>1</v>
      </c>
      <c r="BS833" s="59" t="n">
        <f aca="false">IF(BR833=0,0,IF(N(R833)&gt;0,R833,IFERROR(VLOOKUP(D833,Parameter!$A$35:$C$64,3,0)+0,0)))</f>
        <v>0.03</v>
      </c>
      <c r="BT833" s="55" t="n">
        <f aca="false">IF(Y833&lt;&gt;"",Y833,X833)</f>
        <v>2</v>
      </c>
      <c r="BU833" s="55" t="str">
        <f aca="false">IF(BT833=1,"L1",IF(OR(BT833=2,BT833=3),"L23",IF(BT833="Aussen","Aussen","-")))</f>
        <v>L23</v>
      </c>
      <c r="BV833" s="66" t="n">
        <f aca="false">IF(N(Z833)&gt;0,Z833,0)</f>
        <v>0</v>
      </c>
      <c r="BW833" s="60" t="n">
        <f aca="false">IF(ISNUMBER(AC833),1,0)</f>
        <v>0</v>
      </c>
      <c r="BX833" s="57" t="n">
        <f aca="false">N(AC833)</f>
        <v>0</v>
      </c>
      <c r="BY833" s="57" t="n">
        <f aca="false">N(L833)+N(M833)</f>
        <v>5</v>
      </c>
      <c r="BZ833" s="57" t="n">
        <f aca="false">ROUNDUP(G833/BQ833,0)</f>
        <v>0</v>
      </c>
      <c r="CA833" s="57" t="n">
        <f aca="false">ROUNDUP(BX833/BQ833,0)</f>
        <v>0</v>
      </c>
      <c r="CB833" s="60" t="n">
        <f aca="false">IF(BR833=1,0,IFERROR(VLOOKUP(BP833,'Gebinde-Kategorie'!$A$5:$M$45,5,0)+0,0))</f>
        <v>0</v>
      </c>
      <c r="CC833" s="60" t="n">
        <f aca="false">IFERROR(IF(OR(BT833=1,BT833=2,BT833=3),N(INDEX(Parameter!$I$5:$I$7,BT833)),0),0)</f>
        <v>0</v>
      </c>
      <c r="CD833" s="59" t="n">
        <f aca="false">IF(AND(Parameter!$B$21="Ja",ISNUMBER(U833),N(V833)&gt;0),IFERROR(N(INDEX(Parameter!$L$5:$L$7,U833))*INDEX(Parameter!$E$5:$E$7,U833)*V833/SUMIFS($V$7:$V$1576,$U$7:$U$1576,U833),0),0)</f>
        <v>0</v>
      </c>
    </row>
    <row r="834" customFormat="false" ht="15" hidden="false" customHeight="false" outlineLevel="0" collapsed="false">
      <c r="A834" s="55" t="s">
        <v>1590</v>
      </c>
      <c r="B834" s="55" t="s">
        <v>713</v>
      </c>
      <c r="C834" s="55" t="s">
        <v>160</v>
      </c>
      <c r="D834" s="55" t="s">
        <v>178</v>
      </c>
      <c r="E834" s="55" t="s">
        <v>210</v>
      </c>
      <c r="F834" s="56" t="n">
        <v>11.59</v>
      </c>
      <c r="G834" s="57" t="n">
        <f aca="false">MAX(0,IF(AND(Parameter!$B$21="Ja",ISNUMBER(W834)),W834,IF(Parameter!$B$20="Jahresanfang 2025 + Export",BJ834+BI834,BI834)))</f>
        <v>0</v>
      </c>
      <c r="H834" s="57" t="n">
        <f aca="false">G834*F834</f>
        <v>0</v>
      </c>
      <c r="I834" s="57" t="n">
        <f aca="false">BL834*Parameter!$B$18</f>
        <v>0</v>
      </c>
      <c r="J834" s="58" t="n">
        <v>10.5</v>
      </c>
      <c r="K834" s="59" t="n">
        <v>0</v>
      </c>
      <c r="L834" s="57" t="n">
        <v>0</v>
      </c>
      <c r="M834" s="57" t="n">
        <v>1</v>
      </c>
      <c r="N834" s="60" t="n">
        <v>14</v>
      </c>
      <c r="O834" s="55" t="s">
        <v>391</v>
      </c>
      <c r="P834" s="57" t="n">
        <v>11</v>
      </c>
      <c r="Q834" s="60" t="n">
        <f aca="false">IF(BR834=1,0,IFERROR(VLOOKUP(BP834,'Gebinde-Kategorie'!$A$5:$M$45,13,0)+0,0))</f>
        <v>414</v>
      </c>
      <c r="R834" s="61"/>
      <c r="S834" s="62"/>
      <c r="T834" s="62"/>
      <c r="U834" s="55"/>
      <c r="V834" s="57"/>
      <c r="W834" s="57"/>
      <c r="X834" s="55" t="n">
        <f aca="false">IF(A834="","",IF(AND(Parameter!$B$21="Ja",ISNUMBER(U834)),U834,IF(IFERROR(VLOOKUP(D834,Parameter!$A$35:$C$64,2,0),"Nein")="2+3",IF(ISNUMBER(SEARCH("grosser Artikel",BM834)),2,IFERROR(VLOOKUP(BP834,Parameter!$F$35:$G$64,2,0),2)),IF(OR(IFERROR(VLOOKUP(D834,Parameter!$A$35:$C$64,2,0),"Nein")="Nein",IFERROR(VLOOKUP(D834,Parameter!$A$35:$C$64,2,0),"Nein")=""),"-",VLOOKUP(D834,Parameter!$A$35:$C$64,2,0)))))</f>
        <v>3</v>
      </c>
      <c r="Y834" s="62"/>
      <c r="Z834" s="63"/>
      <c r="AA834" s="57" t="n">
        <f aca="false">AP834</f>
        <v>11</v>
      </c>
      <c r="AB834" s="57" t="n">
        <f aca="false">MAX(AP834,G834)</f>
        <v>11</v>
      </c>
      <c r="AC834" s="64"/>
      <c r="AD834" s="57" t="n">
        <f aca="false">IF(LEFT(Cockpit!$C$5,1)="A",G834,IF(BW834=1,BX834,IF(LEFT(Cockpit!$C$5,1)="B",AH834,MAX(AH834,G834))))</f>
        <v>0</v>
      </c>
      <c r="AE834" s="57" t="n">
        <f aca="false">IF(BR834=1,0,ROUNDUP(AD834/BQ834,0))</f>
        <v>0</v>
      </c>
      <c r="AF834" s="59" t="n">
        <f aca="false">IF(CD834&gt;0,CD834*MAX(1,AD834/V834),IF(BR834=1,IF(AD834&lt;=0,0,BS834*MAX(1,IF(G834&gt;0,AD834/G834,1))),IF(Q834&gt;0,AE834/Q834,0))/MAX(0.1,N(Parameter!$M$21)))</f>
        <v>0</v>
      </c>
      <c r="AG834" s="57" t="n">
        <f aca="false">AD834*F834</f>
        <v>0</v>
      </c>
      <c r="AH834" s="57" t="n">
        <f aca="false">ROUNDUP(MAX(I834/IF(BV834&gt;0,BV834,MAX(0.1,N(Cockpit!$C$6))),BY834)/BQ834,0)*BQ834</f>
        <v>11</v>
      </c>
      <c r="AI834" s="58" t="n">
        <f aca="false">IF(AF834&gt;0,I834/AF834,-1)</f>
        <v>-1</v>
      </c>
      <c r="AJ834" s="58" t="str">
        <f aca="false">IF(AND(OR(BU834="L1",BU834="L23"),AF834&gt;0),SUMIFS($AF$7:$AF$1576,$BU$7:$BU$1576,BU834,$AI$7:$AI$1576,"&gt;"&amp;AI834)+SUMIFS($AF$7:$AF$1576,$BU$7:$BU$1576,BU834,$AI$7:$AI$1576,AI834,$BO$7:$BO$1576,"&lt;="&amp;BO834),"")</f>
        <v/>
      </c>
      <c r="AK834" s="65" t="n">
        <f aca="false">IF(AJ834="",0,MAX(0,MIN(1,(IF(BU834="L1",Parameter!$E$5,Parameter!$E$6+Parameter!$E$7)-(AJ834-AF834))/AF834)))</f>
        <v>0</v>
      </c>
      <c r="AL834" s="57" t="n">
        <f aca="false">IF(LEFT(Cockpit!$I$5,1)="A",G834,IF(BW834=1,BX834,IF(LEFT(Cockpit!$I$5,1)="B",AP834,MAX(AP834,G834))))</f>
        <v>11</v>
      </c>
      <c r="AM834" s="57" t="n">
        <f aca="false">IF(BR834=1,0,ROUNDUP(AL834/BQ834,0))</f>
        <v>1</v>
      </c>
      <c r="AN834" s="59" t="n">
        <f aca="false">IF(CD834&gt;0,CD834*MAX(1,AL834/V834),IF(BR834=1,IF(AL834&lt;=0,0,BS834*MAX(1,IF(G834&gt;0,AL834/G834,1))),IF(Q834&gt;0,AM834/Q834,0))/MAX(0.1,N(Parameter!$M$21)))</f>
        <v>0.00241545893719807</v>
      </c>
      <c r="AO834" s="57" t="n">
        <f aca="false">AL834*F834</f>
        <v>127.49</v>
      </c>
      <c r="AP834" s="57" t="n">
        <f aca="false">ROUNDUP(MAX(I834/IF(BV834&gt;0,BV834,MAX(0.1,N(Cockpit!$I$6))),BY834)/BQ834,0)*BQ834</f>
        <v>11</v>
      </c>
      <c r="AQ834" s="58" t="n">
        <f aca="false">IF(AN834&gt;0,I834/AN834,-1)</f>
        <v>0</v>
      </c>
      <c r="AR834" s="58" t="n">
        <f aca="false">IF(AND(OR(BU834="L1",BU834="L23"),AN834&gt;0),SUMIFS($AN$7:$AN$1576,$BU$7:$BU$1576,BU834,$AQ$7:$AQ$1576,"&gt;"&amp;AQ834)+SUMIFS($AN$7:$AN$1576,$BU$7:$BU$1576,BU834,$AQ$7:$AQ$1576,AQ834,$BO$7:$BO$1576,"&lt;="&amp;BO834),"")</f>
        <v>130.848329520768</v>
      </c>
      <c r="AS834" s="65" t="n">
        <f aca="false">IF(AR834="",0,MAX(0,MIN(1,(IF(BU834="L1",Parameter!$E$5,Parameter!$E$6+Parameter!$E$7)-(AR834-AN834))/AN834)))</f>
        <v>0</v>
      </c>
      <c r="AT834" s="57" t="n">
        <f aca="false">IF(LEFT(Cockpit!$O$5,1)="A",G834,IF(BW834=1,BX834,IF(LEFT(Cockpit!$O$5,1)="B",AX834,MAX(AX834,G834))))</f>
        <v>11</v>
      </c>
      <c r="AU834" s="57" t="n">
        <f aca="false">IF(BR834=1,0,ROUNDUP(AT834/BQ834,0))</f>
        <v>1</v>
      </c>
      <c r="AV834" s="59" t="n">
        <f aca="false">IF(CD834&gt;0,CD834*MAX(1,AT834/V834),IF(BR834=1,IF(AT834&lt;=0,0,BS834*MAX(1,IF(G834&gt;0,AT834/G834,1))),IF(Q834&gt;0,AU834/Q834,0))/MAX(0.1,N(Parameter!$M$21)))</f>
        <v>0.00241545893719807</v>
      </c>
      <c r="AW834" s="57" t="n">
        <f aca="false">AT834*F834</f>
        <v>127.49</v>
      </c>
      <c r="AX834" s="57" t="n">
        <f aca="false">ROUNDUP(MAX(I834/IF(BV834&gt;0,BV834,MAX(0.1,N(Cockpit!$O$6))),BY834)/BQ834,0)*BQ834</f>
        <v>11</v>
      </c>
      <c r="AY834" s="58" t="n">
        <f aca="false">IF(AV834&gt;0,I834/AV834,-1)</f>
        <v>0</v>
      </c>
      <c r="AZ834" s="58" t="n">
        <f aca="false">IF(AND(OR(BU834="L1",BU834="L23"),AV834&gt;0),SUMIFS($AV$7:$AV$1576,$BU$7:$BU$1576,BU834,$AY$7:$AY$1576,"&gt;"&amp;AY834)+SUMIFS($AV$7:$AV$1576,$BU$7:$BU$1576,BU834,$AY$7:$AY$1576,AY834,$BO$7:$BO$1576,"&lt;="&amp;BO834),"")</f>
        <v>120.907879970319</v>
      </c>
      <c r="BA834" s="65" t="n">
        <f aca="false">IF(AZ834="",0,MAX(0,MIN(1,(IF(BU834="L1",Parameter!$E$5,Parameter!$E$6+Parameter!$E$7)-(AZ834-AV834))/AV834)))</f>
        <v>0</v>
      </c>
      <c r="BB834" s="55" t="str">
        <f aca="false">IF(AF834&lt;=0,"",IF(BU834="Aussen","Aussenlager",IF(BU834="-","Nicht im Lift",IF(AK834&gt;=1,"Lift",IF(AK834&lt;=0,"Aussenlager","teilweise")))))</f>
        <v/>
      </c>
      <c r="BC834" s="55" t="str">
        <f aca="false">IF(AN834&lt;=0,"",IF(BU834="Aussen","Aussenlager",IF(BU834="-","Nicht im Lift",IF(AS834&gt;=1,"Lift",IF(AS834&lt;=0,"Aussenlager","teilweise")))))</f>
        <v>Aussenlager</v>
      </c>
      <c r="BD834" s="55" t="str">
        <f aca="false">IF(AV834&lt;=0,"",IF(BU834="Aussen","Aussenlager",IF(BU834="-","Nicht im Lift",IF(BA834&gt;=1,"Lift",IF(BA834&lt;=0,"Aussenlager","teilweise")))))</f>
        <v>Aussenlager</v>
      </c>
      <c r="BE834" s="55" t="str">
        <f aca="false">IF(A834="","",IF(BN834=1,"Neu; ","")&amp;IF(AND(BN834=0,BI834&lt;0),"negativer Bestand (Export "&amp;BI834&amp;"); ","")&amp;IF(I834&lt;=0,"Kein Verbrauch; ","")&amp;IF(CD834&gt;0,"Lift "&amp;U834&amp;" lt. Liftbericht (Fach "&amp;V834&amp;" Stk); ",IF(BR834=1,"Lose – Fläche geschätzt; ",""))&amp;IF(G834&gt;AP834,"Überbestand "&amp;ROUND(G834-AP834,0)&amp;" Stk / CHF "&amp;ROUND((G834-AP834)*F834,0)&amp;"; ","")&amp;IF(AND(BW834=1,BX834&lt;BY834),"MAX &lt; MB+LG; ","")&amp;IF(AND(CC834&gt;0,CB834*10&gt;CC834),"zu hoch für Tablar; ","")&amp;IF(AND(BN834=0,OR(BW834=1,Y834&lt;&gt;"",S834&lt;&gt;"",T834&lt;&gt;"",Z834&lt;&gt;"")),"manuell übersteuert; ","")&amp;IF(AND(BR834=0,Q834=0),"Gebinde unbekannt / Stellmass fehlt; ","")&amp;IF(AND(BR834=0,N(T834)&lt;=0,N(P834)&lt;=0),"Menge pro Gebinde fehlt (Ist = 1 Gebinde); ","")&amp;BM834)</f>
        <v>negativer Bestand (Export -1); Kein Verbrauch; Neu</v>
      </c>
      <c r="BF834" s="55"/>
      <c r="BG834" s="55"/>
      <c r="BH834" s="62"/>
      <c r="BI834" s="57" t="n">
        <v>-1</v>
      </c>
      <c r="BJ834" s="57" t="n">
        <v>11</v>
      </c>
      <c r="BK834" s="56" t="n">
        <v>-11.59</v>
      </c>
      <c r="BL834" s="57" t="n">
        <v>0</v>
      </c>
      <c r="BM834" s="55" t="s">
        <v>615</v>
      </c>
      <c r="BN834" s="60" t="n">
        <v>0</v>
      </c>
      <c r="BO834" s="60" t="n">
        <v>834</v>
      </c>
      <c r="BP834" s="55" t="str">
        <f aca="false">IF(S834&lt;&gt;"",UPPER(TRIM(S834)),IF(O834="","LOSE",O834))</f>
        <v>S21</v>
      </c>
      <c r="BQ834" s="57" t="n">
        <f aca="false">IF(BP834="LOSE",1,IF(N(T834)&gt;0,T834,IF(N(P834)&gt;0,P834,MAX(1,G834))))</f>
        <v>11</v>
      </c>
      <c r="BR834" s="60" t="n">
        <f aca="false">IF(BP834="LOSE",1,0)</f>
        <v>0</v>
      </c>
      <c r="BS834" s="59" t="n">
        <f aca="false">IF(BR834=0,0,IF(N(R834)&gt;0,R834,IFERROR(VLOOKUP(D834,Parameter!$A$35:$C$64,3,0)+0,0)))</f>
        <v>0</v>
      </c>
      <c r="BT834" s="55" t="n">
        <f aca="false">IF(Y834&lt;&gt;"",Y834,X834)</f>
        <v>3</v>
      </c>
      <c r="BU834" s="55" t="str">
        <f aca="false">IF(BT834=1,"L1",IF(OR(BT834=2,BT834=3),"L23",IF(BT834="Aussen","Aussen","-")))</f>
        <v>L23</v>
      </c>
      <c r="BV834" s="66" t="n">
        <f aca="false">IF(N(Z834)&gt;0,Z834,0)</f>
        <v>0</v>
      </c>
      <c r="BW834" s="60" t="n">
        <f aca="false">IF(ISNUMBER(AC834),1,0)</f>
        <v>0</v>
      </c>
      <c r="BX834" s="57" t="n">
        <f aca="false">N(AC834)</f>
        <v>0</v>
      </c>
      <c r="BY834" s="57" t="n">
        <f aca="false">N(L834)+N(M834)</f>
        <v>1</v>
      </c>
      <c r="BZ834" s="57" t="n">
        <f aca="false">ROUNDUP(G834/BQ834,0)</f>
        <v>0</v>
      </c>
      <c r="CA834" s="57" t="n">
        <f aca="false">ROUNDUP(BX834/BQ834,0)</f>
        <v>0</v>
      </c>
      <c r="CB834" s="60" t="n">
        <f aca="false">IF(BR834=1,0,IFERROR(VLOOKUP(BP834,'Gebinde-Kategorie'!$A$5:$M$45,5,0)+0,0))</f>
        <v>8</v>
      </c>
      <c r="CC834" s="60" t="n">
        <f aca="false">IFERROR(IF(OR(BT834=1,BT834=2,BT834=3),N(INDEX(Parameter!$I$5:$I$7,BT834)),0),0)</f>
        <v>0</v>
      </c>
      <c r="CD834" s="59" t="n">
        <f aca="false">IF(AND(Parameter!$B$21="Ja",ISNUMBER(U834),N(V834)&gt;0),IFERROR(N(INDEX(Parameter!$L$5:$L$7,U834))*INDEX(Parameter!$E$5:$E$7,U834)*V834/SUMIFS($V$7:$V$1576,$U$7:$U$1576,U834),0),0)</f>
        <v>0</v>
      </c>
    </row>
    <row r="835" customFormat="false" ht="15" hidden="false" customHeight="false" outlineLevel="0" collapsed="false">
      <c r="A835" s="55" t="s">
        <v>1591</v>
      </c>
      <c r="B835" s="55" t="s">
        <v>1592</v>
      </c>
      <c r="C835" s="55" t="s">
        <v>160</v>
      </c>
      <c r="D835" s="55" t="s">
        <v>178</v>
      </c>
      <c r="E835" s="55" t="s">
        <v>210</v>
      </c>
      <c r="F835" s="56" t="n">
        <v>0.91</v>
      </c>
      <c r="G835" s="57" t="n">
        <f aca="false">MAX(0,IF(AND(Parameter!$B$21="Ja",ISNUMBER(W835)),W835,IF(Parameter!$B$20="Jahresanfang 2025 + Export",BJ835+BI835,BI835)))</f>
        <v>0</v>
      </c>
      <c r="H835" s="57" t="n">
        <f aca="false">G835*F835</f>
        <v>0</v>
      </c>
      <c r="I835" s="57" t="n">
        <f aca="false">BL835*Parameter!$B$18</f>
        <v>10</v>
      </c>
      <c r="J835" s="58" t="n">
        <v>34</v>
      </c>
      <c r="K835" s="59" t="n">
        <v>0.294117647058824</v>
      </c>
      <c r="L835" s="57" t="n">
        <v>0</v>
      </c>
      <c r="M835" s="57" t="n">
        <v>10</v>
      </c>
      <c r="N835" s="60" t="n">
        <v>21</v>
      </c>
      <c r="O835" s="55" t="s">
        <v>465</v>
      </c>
      <c r="P835" s="57" t="n">
        <v>65</v>
      </c>
      <c r="Q835" s="60" t="n">
        <f aca="false">IF(BR835=1,0,IFERROR(VLOOKUP(BP835,'Gebinde-Kategorie'!$A$5:$M$45,13,0)+0,0))</f>
        <v>66</v>
      </c>
      <c r="R835" s="61"/>
      <c r="S835" s="62"/>
      <c r="T835" s="62"/>
      <c r="U835" s="55"/>
      <c r="V835" s="57"/>
      <c r="W835" s="57"/>
      <c r="X835" s="55" t="n">
        <f aca="false">IF(A835="","",IF(AND(Parameter!$B$21="Ja",ISNUMBER(U835)),U835,IF(IFERROR(VLOOKUP(D835,Parameter!$A$35:$C$64,2,0),"Nein")="2+3",IF(ISNUMBER(SEARCH("grosser Artikel",BM835)),2,IFERROR(VLOOKUP(BP835,Parameter!$F$35:$G$64,2,0),2)),IF(OR(IFERROR(VLOOKUP(D835,Parameter!$A$35:$C$64,2,0),"Nein")="Nein",IFERROR(VLOOKUP(D835,Parameter!$A$35:$C$64,2,0),"Nein")=""),"-",VLOOKUP(D835,Parameter!$A$35:$C$64,2,0)))))</f>
        <v>3</v>
      </c>
      <c r="Y835" s="62"/>
      <c r="Z835" s="63"/>
      <c r="AA835" s="57" t="n">
        <f aca="false">AP835</f>
        <v>65</v>
      </c>
      <c r="AB835" s="57" t="n">
        <f aca="false">MAX(AP835,G835)</f>
        <v>65</v>
      </c>
      <c r="AC835" s="64"/>
      <c r="AD835" s="57" t="n">
        <f aca="false">IF(LEFT(Cockpit!$C$5,1)="A",G835,IF(BW835=1,BX835,IF(LEFT(Cockpit!$C$5,1)="B",AH835,MAX(AH835,G835))))</f>
        <v>0</v>
      </c>
      <c r="AE835" s="57" t="n">
        <f aca="false">IF(BR835=1,0,ROUNDUP(AD835/BQ835,0))</f>
        <v>0</v>
      </c>
      <c r="AF835" s="59" t="n">
        <f aca="false">IF(CD835&gt;0,CD835*MAX(1,AD835/V835),IF(BR835=1,IF(AD835&lt;=0,0,BS835*MAX(1,IF(G835&gt;0,AD835/G835,1))),IF(Q835&gt;0,AE835/Q835,0))/MAX(0.1,N(Parameter!$M$21)))</f>
        <v>0</v>
      </c>
      <c r="AG835" s="57" t="n">
        <f aca="false">AD835*F835</f>
        <v>0</v>
      </c>
      <c r="AH835" s="57" t="n">
        <f aca="false">ROUNDUP(MAX(I835/IF(BV835&gt;0,BV835,MAX(0.1,N(Cockpit!$C$6))),BY835)/BQ835,0)*BQ835</f>
        <v>65</v>
      </c>
      <c r="AI835" s="58" t="n">
        <f aca="false">IF(AF835&gt;0,I835/AF835,-1)</f>
        <v>-1</v>
      </c>
      <c r="AJ835" s="58" t="str">
        <f aca="false">IF(AND(OR(BU835="L1",BU835="L23"),AF835&gt;0),SUMIFS($AF$7:$AF$1576,$BU$7:$BU$1576,BU835,$AI$7:$AI$1576,"&gt;"&amp;AI835)+SUMIFS($AF$7:$AF$1576,$BU$7:$BU$1576,BU835,$AI$7:$AI$1576,AI835,$BO$7:$BO$1576,"&lt;="&amp;BO835),"")</f>
        <v/>
      </c>
      <c r="AK835" s="65" t="n">
        <f aca="false">IF(AJ835="",0,MAX(0,MIN(1,(IF(BU835="L1",Parameter!$E$5,Parameter!$E$6+Parameter!$E$7)-(AJ835-AF835))/AF835)))</f>
        <v>0</v>
      </c>
      <c r="AL835" s="57" t="n">
        <f aca="false">IF(LEFT(Cockpit!$I$5,1)="A",G835,IF(BW835=1,BX835,IF(LEFT(Cockpit!$I$5,1)="B",AP835,MAX(AP835,G835))))</f>
        <v>65</v>
      </c>
      <c r="AM835" s="57" t="n">
        <f aca="false">IF(BR835=1,0,ROUNDUP(AL835/BQ835,0))</f>
        <v>1</v>
      </c>
      <c r="AN835" s="59" t="n">
        <f aca="false">IF(CD835&gt;0,CD835*MAX(1,AL835/V835),IF(BR835=1,IF(AL835&lt;=0,0,BS835*MAX(1,IF(G835&gt;0,AL835/G835,1))),IF(Q835&gt;0,AM835/Q835,0))/MAX(0.1,N(Parameter!$M$21)))</f>
        <v>0.0151515151515152</v>
      </c>
      <c r="AO835" s="57" t="n">
        <f aca="false">AL835*F835</f>
        <v>59.15</v>
      </c>
      <c r="AP835" s="57" t="n">
        <f aca="false">ROUNDUP(MAX(I835/IF(BV835&gt;0,BV835,MAX(0.1,N(Cockpit!$I$6))),BY835)/BQ835,0)*BQ835</f>
        <v>65</v>
      </c>
      <c r="AQ835" s="58" t="n">
        <f aca="false">IF(AN835&gt;0,I835/AN835,-1)</f>
        <v>660</v>
      </c>
      <c r="AR835" s="58" t="n">
        <f aca="false">IF(AND(OR(BU835="L1",BU835="L23"),AN835&gt;0),SUMIFS($AN$7:$AN$1576,$BU$7:$BU$1576,BU835,$AQ$7:$AQ$1576,"&gt;"&amp;AQ835)+SUMIFS($AN$7:$AN$1576,$BU$7:$BU$1576,BU835,$AQ$7:$AQ$1576,AQ835,$BO$7:$BO$1576,"&lt;="&amp;BO835),"")</f>
        <v>29.8000834072685</v>
      </c>
      <c r="AS835" s="65" t="n">
        <f aca="false">IF(AR835="",0,MAX(0,MIN(1,(IF(BU835="L1",Parameter!$E$5,Parameter!$E$6+Parameter!$E$7)-(AR835-AN835))/AN835)))</f>
        <v>1</v>
      </c>
      <c r="AT835" s="57" t="n">
        <f aca="false">IF(LEFT(Cockpit!$O$5,1)="A",G835,IF(BW835=1,BX835,IF(LEFT(Cockpit!$O$5,1)="B",AX835,MAX(AX835,G835))))</f>
        <v>65</v>
      </c>
      <c r="AU835" s="57" t="n">
        <f aca="false">IF(BR835=1,0,ROUNDUP(AT835/BQ835,0))</f>
        <v>1</v>
      </c>
      <c r="AV835" s="59" t="n">
        <f aca="false">IF(CD835&gt;0,CD835*MAX(1,AT835/V835),IF(BR835=1,IF(AT835&lt;=0,0,BS835*MAX(1,IF(G835&gt;0,AT835/G835,1))),IF(Q835&gt;0,AU835/Q835,0))/MAX(0.1,N(Parameter!$M$21)))</f>
        <v>0.0151515151515152</v>
      </c>
      <c r="AW835" s="57" t="n">
        <f aca="false">AT835*F835</f>
        <v>59.15</v>
      </c>
      <c r="AX835" s="57" t="n">
        <f aca="false">ROUNDUP(MAX(I835/IF(BV835&gt;0,BV835,MAX(0.1,N(Cockpit!$O$6))),BY835)/BQ835,0)*BQ835</f>
        <v>65</v>
      </c>
      <c r="AY835" s="58" t="n">
        <f aca="false">IF(AV835&gt;0,I835/AV835,-1)</f>
        <v>660</v>
      </c>
      <c r="AZ835" s="58" t="n">
        <f aca="false">IF(AND(OR(BU835="L1",BU835="L23"),AV835&gt;0),SUMIFS($AV$7:$AV$1576,$BU$7:$BU$1576,BU835,$AY$7:$AY$1576,"&gt;"&amp;AY835)+SUMIFS($AV$7:$AV$1576,$BU$7:$BU$1576,BU835,$AY$7:$AY$1576,AY835,$BO$7:$BO$1576,"&lt;="&amp;BO835),"")</f>
        <v>29.5113854385705</v>
      </c>
      <c r="BA835" s="65" t="n">
        <f aca="false">IF(AZ835="",0,MAX(0,MIN(1,(IF(BU835="L1",Parameter!$E$5,Parameter!$E$6+Parameter!$E$7)-(AZ835-AV835))/AV835)))</f>
        <v>1</v>
      </c>
      <c r="BB835" s="55" t="str">
        <f aca="false">IF(AF835&lt;=0,"",IF(BU835="Aussen","Aussenlager",IF(BU835="-","Nicht im Lift",IF(AK835&gt;=1,"Lift",IF(AK835&lt;=0,"Aussenlager","teilweise")))))</f>
        <v/>
      </c>
      <c r="BC835" s="55" t="str">
        <f aca="false">IF(AN835&lt;=0,"",IF(BU835="Aussen","Aussenlager",IF(BU835="-","Nicht im Lift",IF(AS835&gt;=1,"Lift",IF(AS835&lt;=0,"Aussenlager","teilweise")))))</f>
        <v>Lift</v>
      </c>
      <c r="BD835" s="55" t="str">
        <f aca="false">IF(AV835&lt;=0,"",IF(BU835="Aussen","Aussenlager",IF(BU835="-","Nicht im Lift",IF(BA835&gt;=1,"Lift",IF(BA835&lt;=0,"Aussenlager","teilweise")))))</f>
        <v>Lift</v>
      </c>
      <c r="BE835" s="55" t="str">
        <f aca="false">IF(A835="","",IF(BN835=1,"Neu; ","")&amp;IF(AND(BN835=0,BI835&lt;0),"negativer Bestand (Export "&amp;BI835&amp;"); ","")&amp;IF(I835&lt;=0,"Kein Verbrauch; ","")&amp;IF(CD835&gt;0,"Lift "&amp;U835&amp;" lt. Liftbericht (Fach "&amp;V835&amp;" Stk); ",IF(BR835=1,"Lose – Fläche geschätzt; ",""))&amp;IF(G835&gt;AP835,"Überbestand "&amp;ROUND(G835-AP835,0)&amp;" Stk / CHF "&amp;ROUND((G835-AP835)*F835,0)&amp;"; ","")&amp;IF(AND(BW835=1,BX835&lt;BY835),"MAX &lt; MB+LG; ","")&amp;IF(AND(CC835&gt;0,CB835*10&gt;CC835),"zu hoch für Tablar; ","")&amp;IF(AND(BN835=0,OR(BW835=1,Y835&lt;&gt;"",S835&lt;&gt;"",T835&lt;&gt;"",Z835&lt;&gt;"")),"manuell übersteuert; ","")&amp;IF(AND(BR835=0,Q835=0),"Gebinde unbekannt / Stellmass fehlt; ","")&amp;IF(AND(BR835=0,N(T835)&lt;=0,N(P835)&lt;=0),"Menge pro Gebinde fehlt (Ist = 1 Gebinde); ","")&amp;BM835)</f>
        <v>negativer Bestand (Export -13); Überbestand</v>
      </c>
      <c r="BF835" s="55"/>
      <c r="BG835" s="55"/>
      <c r="BH835" s="62"/>
      <c r="BI835" s="57" t="n">
        <v>-13</v>
      </c>
      <c r="BJ835" s="57" t="n">
        <v>39</v>
      </c>
      <c r="BK835" s="56" t="n">
        <v>-11.83</v>
      </c>
      <c r="BL835" s="57" t="n">
        <v>10</v>
      </c>
      <c r="BM835" s="55" t="s">
        <v>382</v>
      </c>
      <c r="BN835" s="60" t="n">
        <v>0</v>
      </c>
      <c r="BO835" s="60" t="n">
        <v>835</v>
      </c>
      <c r="BP835" s="55" t="str">
        <f aca="false">IF(S835&lt;&gt;"",UPPER(TRIM(S835)),IF(O835="","LOSE",O835))</f>
        <v>S33</v>
      </c>
      <c r="BQ835" s="57" t="n">
        <f aca="false">IF(BP835="LOSE",1,IF(N(T835)&gt;0,T835,IF(N(P835)&gt;0,P835,MAX(1,G835))))</f>
        <v>65</v>
      </c>
      <c r="BR835" s="60" t="n">
        <f aca="false">IF(BP835="LOSE",1,0)</f>
        <v>0</v>
      </c>
      <c r="BS835" s="59" t="n">
        <f aca="false">IF(BR835=0,0,IF(N(R835)&gt;0,R835,IFERROR(VLOOKUP(D835,Parameter!$A$35:$C$64,3,0)+0,0)))</f>
        <v>0</v>
      </c>
      <c r="BT835" s="55" t="n">
        <f aca="false">IF(Y835&lt;&gt;"",Y835,X835)</f>
        <v>3</v>
      </c>
      <c r="BU835" s="55" t="str">
        <f aca="false">IF(BT835=1,"L1",IF(OR(BT835=2,BT835=3),"L23",IF(BT835="Aussen","Aussen","-")))</f>
        <v>L23</v>
      </c>
      <c r="BV835" s="66" t="n">
        <f aca="false">IF(N(Z835)&gt;0,Z835,0)</f>
        <v>0</v>
      </c>
      <c r="BW835" s="60" t="n">
        <f aca="false">IF(ISNUMBER(AC835),1,0)</f>
        <v>0</v>
      </c>
      <c r="BX835" s="57" t="n">
        <f aca="false">N(AC835)</f>
        <v>0</v>
      </c>
      <c r="BY835" s="57" t="n">
        <f aca="false">N(L835)+N(M835)</f>
        <v>10</v>
      </c>
      <c r="BZ835" s="57" t="n">
        <f aca="false">ROUNDUP(G835/BQ835,0)</f>
        <v>0</v>
      </c>
      <c r="CA835" s="57" t="n">
        <f aca="false">ROUNDUP(BX835/BQ835,0)</f>
        <v>0</v>
      </c>
      <c r="CB835" s="60" t="n">
        <f aca="false">IF(BR835=1,0,IFERROR(VLOOKUP(BP835,'Gebinde-Kategorie'!$A$5:$M$45,5,0)+0,0))</f>
        <v>8</v>
      </c>
      <c r="CC835" s="60" t="n">
        <f aca="false">IFERROR(IF(OR(BT835=1,BT835=2,BT835=3),N(INDEX(Parameter!$I$5:$I$7,BT835)),0),0)</f>
        <v>0</v>
      </c>
      <c r="CD835" s="59" t="n">
        <f aca="false">IF(AND(Parameter!$B$21="Ja",ISNUMBER(U835),N(V835)&gt;0),IFERROR(N(INDEX(Parameter!$L$5:$L$7,U835))*INDEX(Parameter!$E$5:$E$7,U835)*V835/SUMIFS($V$7:$V$1576,$U$7:$U$1576,U835),0),0)</f>
        <v>0</v>
      </c>
    </row>
    <row r="836" customFormat="false" ht="15" hidden="false" customHeight="false" outlineLevel="0" collapsed="false">
      <c r="A836" s="55" t="s">
        <v>1593</v>
      </c>
      <c r="B836" s="55" t="s">
        <v>395</v>
      </c>
      <c r="C836" s="55" t="s">
        <v>160</v>
      </c>
      <c r="D836" s="55" t="s">
        <v>168</v>
      </c>
      <c r="E836" s="55" t="s">
        <v>210</v>
      </c>
      <c r="F836" s="56" t="n">
        <v>2.27</v>
      </c>
      <c r="G836" s="57" t="n">
        <f aca="false">MAX(0,IF(AND(Parameter!$B$21="Ja",ISNUMBER(W836)),W836,IF(Parameter!$B$20="Jahresanfang 2025 + Export",BJ836+BI836,BI836)))</f>
        <v>0</v>
      </c>
      <c r="H836" s="57" t="n">
        <f aca="false">G836*F836</f>
        <v>0</v>
      </c>
      <c r="I836" s="57" t="n">
        <f aca="false">BL836*Parameter!$B$18</f>
        <v>2274</v>
      </c>
      <c r="J836" s="58" t="n">
        <v>1423.5</v>
      </c>
      <c r="K836" s="59" t="n">
        <v>1.59747102212856</v>
      </c>
      <c r="L836" s="57" t="n">
        <v>140</v>
      </c>
      <c r="M836" s="57" t="n">
        <v>500</v>
      </c>
      <c r="N836" s="60" t="n">
        <v>21</v>
      </c>
      <c r="O836" s="55" t="s">
        <v>218</v>
      </c>
      <c r="P836" s="57" t="n">
        <v>200</v>
      </c>
      <c r="Q836" s="60" t="n">
        <f aca="false">IF(BR836=1,0,IFERROR(VLOOKUP(BP836,'Gebinde-Kategorie'!$A$5:$M$45,13,0)+0,0))</f>
        <v>12</v>
      </c>
      <c r="R836" s="61"/>
      <c r="S836" s="62"/>
      <c r="T836" s="62"/>
      <c r="U836" s="55"/>
      <c r="V836" s="57"/>
      <c r="W836" s="57"/>
      <c r="X836" s="55" t="n">
        <f aca="false">IF(A836="","",IF(AND(Parameter!$B$21="Ja",ISNUMBER(U836)),U836,IF(IFERROR(VLOOKUP(D836,Parameter!$A$35:$C$64,2,0),"Nein")="2+3",IF(ISNUMBER(SEARCH("grosser Artikel",BM836)),2,IFERROR(VLOOKUP(BP836,Parameter!$F$35:$G$64,2,0),2)),IF(OR(IFERROR(VLOOKUP(D836,Parameter!$A$35:$C$64,2,0),"Nein")="Nein",IFERROR(VLOOKUP(D836,Parameter!$A$35:$C$64,2,0),"Nein")=""),"-",VLOOKUP(D836,Parameter!$A$35:$C$64,2,0)))))</f>
        <v>2</v>
      </c>
      <c r="Y836" s="62"/>
      <c r="Z836" s="63"/>
      <c r="AA836" s="57" t="n">
        <f aca="false">AP836</f>
        <v>1200</v>
      </c>
      <c r="AB836" s="57" t="n">
        <f aca="false">MAX(AP836,G836)</f>
        <v>1200</v>
      </c>
      <c r="AC836" s="64"/>
      <c r="AD836" s="57" t="n">
        <f aca="false">IF(LEFT(Cockpit!$C$5,1)="A",G836,IF(BW836=1,BX836,IF(LEFT(Cockpit!$C$5,1)="B",AH836,MAX(AH836,G836))))</f>
        <v>0</v>
      </c>
      <c r="AE836" s="57" t="n">
        <f aca="false">IF(BR836=1,0,ROUNDUP(AD836/BQ836,0))</f>
        <v>0</v>
      </c>
      <c r="AF836" s="59" t="n">
        <f aca="false">IF(CD836&gt;0,CD836*MAX(1,AD836/V836),IF(BR836=1,IF(AD836&lt;=0,0,BS836*MAX(1,IF(G836&gt;0,AD836/G836,1))),IF(Q836&gt;0,AE836/Q836,0))/MAX(0.1,N(Parameter!$M$21)))</f>
        <v>0</v>
      </c>
      <c r="AG836" s="57" t="n">
        <f aca="false">AD836*F836</f>
        <v>0</v>
      </c>
      <c r="AH836" s="57" t="n">
        <f aca="false">ROUNDUP(MAX(I836/IF(BV836&gt;0,BV836,MAX(0.1,N(Cockpit!$C$6))),BY836)/BQ836,0)*BQ836</f>
        <v>1200</v>
      </c>
      <c r="AI836" s="58" t="n">
        <f aca="false">IF(AF836&gt;0,I836/AF836,-1)</f>
        <v>-1</v>
      </c>
      <c r="AJ836" s="58" t="str">
        <f aca="false">IF(AND(OR(BU836="L1",BU836="L23"),AF836&gt;0),SUMIFS($AF$7:$AF$1576,$BU$7:$BU$1576,BU836,$AI$7:$AI$1576,"&gt;"&amp;AI836)+SUMIFS($AF$7:$AF$1576,$BU$7:$BU$1576,BU836,$AI$7:$AI$1576,AI836,$BO$7:$BO$1576,"&lt;="&amp;BO836),"")</f>
        <v/>
      </c>
      <c r="AK836" s="65" t="n">
        <f aca="false">IF(AJ836="",0,MAX(0,MIN(1,(IF(BU836="L1",Parameter!$E$5,Parameter!$E$6+Parameter!$E$7)-(AJ836-AF836))/AF836)))</f>
        <v>0</v>
      </c>
      <c r="AL836" s="57" t="n">
        <f aca="false">IF(LEFT(Cockpit!$I$5,1)="A",G836,IF(BW836=1,BX836,IF(LEFT(Cockpit!$I$5,1)="B",AP836,MAX(AP836,G836))))</f>
        <v>1200</v>
      </c>
      <c r="AM836" s="57" t="n">
        <f aca="false">IF(BR836=1,0,ROUNDUP(AL836/BQ836,0))</f>
        <v>6</v>
      </c>
      <c r="AN836" s="59" t="n">
        <f aca="false">IF(CD836&gt;0,CD836*MAX(1,AL836/V836),IF(BR836=1,IF(AL836&lt;=0,0,BS836*MAX(1,IF(G836&gt;0,AL836/G836,1))),IF(Q836&gt;0,AM836/Q836,0))/MAX(0.1,N(Parameter!$M$21)))</f>
        <v>0.5</v>
      </c>
      <c r="AO836" s="57" t="n">
        <f aca="false">AL836*F836</f>
        <v>2724</v>
      </c>
      <c r="AP836" s="57" t="n">
        <f aca="false">ROUNDUP(MAX(I836/IF(BV836&gt;0,BV836,MAX(0.1,N(Cockpit!$I$6))),BY836)/BQ836,0)*BQ836</f>
        <v>1200</v>
      </c>
      <c r="AQ836" s="58" t="n">
        <f aca="false">IF(AN836&gt;0,I836/AN836,-1)</f>
        <v>4548</v>
      </c>
      <c r="AR836" s="58" t="n">
        <f aca="false">IF(AND(OR(BU836="L1",BU836="L23"),AN836&gt;0),SUMIFS($AN$7:$AN$1576,$BU$7:$BU$1576,BU836,$AQ$7:$AQ$1576,"&gt;"&amp;AQ836)+SUMIFS($AN$7:$AN$1576,$BU$7:$BU$1576,BU836,$AQ$7:$AQ$1576,AQ836,$BO$7:$BO$1576,"&lt;="&amp;BO836),"")</f>
        <v>12.6122046316003</v>
      </c>
      <c r="AS836" s="65" t="n">
        <f aca="false">IF(AR836="",0,MAX(0,MIN(1,(IF(BU836="L1",Parameter!$E$5,Parameter!$E$6+Parameter!$E$7)-(AR836-AN836))/AN836)))</f>
        <v>1</v>
      </c>
      <c r="AT836" s="57" t="n">
        <f aca="false">IF(LEFT(Cockpit!$O$5,1)="A",G836,IF(BW836=1,BX836,IF(LEFT(Cockpit!$O$5,1)="B",AX836,MAX(AX836,G836))))</f>
        <v>800</v>
      </c>
      <c r="AU836" s="57" t="n">
        <f aca="false">IF(BR836=1,0,ROUNDUP(AT836/BQ836,0))</f>
        <v>4</v>
      </c>
      <c r="AV836" s="59" t="n">
        <f aca="false">IF(CD836&gt;0,CD836*MAX(1,AT836/V836),IF(BR836=1,IF(AT836&lt;=0,0,BS836*MAX(1,IF(G836&gt;0,AT836/G836,1))),IF(Q836&gt;0,AU836/Q836,0))/MAX(0.1,N(Parameter!$M$21)))</f>
        <v>0.333333333333333</v>
      </c>
      <c r="AW836" s="57" t="n">
        <f aca="false">AT836*F836</f>
        <v>1816</v>
      </c>
      <c r="AX836" s="57" t="n">
        <f aca="false">ROUNDUP(MAX(I836/IF(BV836&gt;0,BV836,MAX(0.1,N(Cockpit!$O$6))),BY836)/BQ836,0)*BQ836</f>
        <v>800</v>
      </c>
      <c r="AY836" s="58" t="n">
        <f aca="false">IF(AV836&gt;0,I836/AV836,-1)</f>
        <v>6822</v>
      </c>
      <c r="AZ836" s="58" t="n">
        <f aca="false">IF(AND(OR(BU836="L1",BU836="L23"),AV836&gt;0),SUMIFS($AV$7:$AV$1576,$BU$7:$BU$1576,BU836,$AY$7:$AY$1576,"&gt;"&amp;AY836)+SUMIFS($AV$7:$AV$1576,$BU$7:$BU$1576,BU836,$AY$7:$AY$1576,AY836,$BO$7:$BO$1576,"&lt;="&amp;BO836),"")</f>
        <v>8.8722627613932</v>
      </c>
      <c r="BA836" s="65" t="n">
        <f aca="false">IF(AZ836="",0,MAX(0,MIN(1,(IF(BU836="L1",Parameter!$E$5,Parameter!$E$6+Parameter!$E$7)-(AZ836-AV836))/AV836)))</f>
        <v>1</v>
      </c>
      <c r="BB836" s="55" t="str">
        <f aca="false">IF(AF836&lt;=0,"",IF(BU836="Aussen","Aussenlager",IF(BU836="-","Nicht im Lift",IF(AK836&gt;=1,"Lift",IF(AK836&lt;=0,"Aussenlager","teilweise")))))</f>
        <v/>
      </c>
      <c r="BC836" s="55" t="str">
        <f aca="false">IF(AN836&lt;=0,"",IF(BU836="Aussen","Aussenlager",IF(BU836="-","Nicht im Lift",IF(AS836&gt;=1,"Lift",IF(AS836&lt;=0,"Aussenlager","teilweise")))))</f>
        <v>Lift</v>
      </c>
      <c r="BD836" s="55" t="str">
        <f aca="false">IF(AV836&lt;=0,"",IF(BU836="Aussen","Aussenlager",IF(BU836="-","Nicht im Lift",IF(BA836&gt;=1,"Lift",IF(BA836&lt;=0,"Aussenlager","teilweise")))))</f>
        <v>Lift</v>
      </c>
      <c r="BE836" s="55" t="str">
        <f aca="false">IF(A836="","",IF(BN836=1,"Neu; ","")&amp;IF(AND(BN836=0,BI836&lt;0),"negativer Bestand (Export "&amp;BI836&amp;"); ","")&amp;IF(I836&lt;=0,"Kein Verbrauch; ","")&amp;IF(CD836&gt;0,"Lift "&amp;U836&amp;" lt. Liftbericht (Fach "&amp;V836&amp;" Stk); ",IF(BR836=1,"Lose – Fläche geschätzt; ",""))&amp;IF(G836&gt;AP836,"Überbestand "&amp;ROUND(G836-AP836,0)&amp;" Stk / CHF "&amp;ROUND((G836-AP836)*F836,0)&amp;"; ","")&amp;IF(AND(BW836=1,BX836&lt;BY836),"MAX &lt; MB+LG; ","")&amp;IF(AND(CC836&gt;0,CB836*10&gt;CC836),"zu hoch für Tablar; ","")&amp;IF(AND(BN836=0,OR(BW836=1,Y836&lt;&gt;"",S836&lt;&gt;"",T836&lt;&gt;"",Z836&lt;&gt;"")),"manuell übersteuert; ","")&amp;IF(AND(BR836=0,Q836=0),"Gebinde unbekannt / Stellmass fehlt; ","")&amp;IF(AND(BR836=0,N(T836)&lt;=0,N(P836)&lt;=0),"Menge pro Gebinde fehlt (Ist = 1 Gebinde); ","")&amp;BM836)</f>
        <v>negativer Bestand (Export -63); grosse  Artikelmenge</v>
      </c>
      <c r="BF836" s="55"/>
      <c r="BG836" s="55"/>
      <c r="BH836" s="62"/>
      <c r="BI836" s="57" t="n">
        <v>-63</v>
      </c>
      <c r="BJ836" s="57" t="n">
        <v>1493</v>
      </c>
      <c r="BK836" s="56" t="n">
        <v>-11.8799999999993</v>
      </c>
      <c r="BL836" s="57" t="n">
        <v>2274</v>
      </c>
      <c r="BM836" s="55" t="s">
        <v>1594</v>
      </c>
      <c r="BN836" s="60" t="n">
        <v>0</v>
      </c>
      <c r="BO836" s="60" t="n">
        <v>836</v>
      </c>
      <c r="BP836" s="55" t="str">
        <f aca="false">IF(S836&lt;&gt;"",UPPER(TRIM(S836)),IF(O836="","LOSE",O836))</f>
        <v>S63</v>
      </c>
      <c r="BQ836" s="57" t="n">
        <f aca="false">IF(BP836="LOSE",1,IF(N(T836)&gt;0,T836,IF(N(P836)&gt;0,P836,MAX(1,G836))))</f>
        <v>200</v>
      </c>
      <c r="BR836" s="60" t="n">
        <f aca="false">IF(BP836="LOSE",1,0)</f>
        <v>0</v>
      </c>
      <c r="BS836" s="59" t="n">
        <f aca="false">IF(BR836=0,0,IF(N(R836)&gt;0,R836,IFERROR(VLOOKUP(D836,Parameter!$A$35:$C$64,3,0)+0,0)))</f>
        <v>0</v>
      </c>
      <c r="BT836" s="55" t="n">
        <f aca="false">IF(Y836&lt;&gt;"",Y836,X836)</f>
        <v>2</v>
      </c>
      <c r="BU836" s="55" t="str">
        <f aca="false">IF(BT836=1,"L1",IF(OR(BT836=2,BT836=3),"L23",IF(BT836="Aussen","Aussen","-")))</f>
        <v>L23</v>
      </c>
      <c r="BV836" s="66" t="n">
        <f aca="false">IF(N(Z836)&gt;0,Z836,0)</f>
        <v>0</v>
      </c>
      <c r="BW836" s="60" t="n">
        <f aca="false">IF(ISNUMBER(AC836),1,0)</f>
        <v>0</v>
      </c>
      <c r="BX836" s="57" t="n">
        <f aca="false">N(AC836)</f>
        <v>0</v>
      </c>
      <c r="BY836" s="57" t="n">
        <f aca="false">N(L836)+N(M836)</f>
        <v>640</v>
      </c>
      <c r="BZ836" s="57" t="n">
        <f aca="false">ROUNDUP(G836/BQ836,0)</f>
        <v>0</v>
      </c>
      <c r="CA836" s="57" t="n">
        <f aca="false">ROUNDUP(BX836/BQ836,0)</f>
        <v>0</v>
      </c>
      <c r="CB836" s="60" t="n">
        <f aca="false">IF(BR836=1,0,IFERROR(VLOOKUP(BP836,'Gebinde-Kategorie'!$A$5:$M$45,5,0)+0,0))</f>
        <v>31</v>
      </c>
      <c r="CC836" s="60" t="n">
        <f aca="false">IFERROR(IF(OR(BT836=1,BT836=2,BT836=3),N(INDEX(Parameter!$I$5:$I$7,BT836)),0),0)</f>
        <v>0</v>
      </c>
      <c r="CD836" s="59" t="n">
        <f aca="false">IF(AND(Parameter!$B$21="Ja",ISNUMBER(U836),N(V836)&gt;0),IFERROR(N(INDEX(Parameter!$L$5:$L$7,U836))*INDEX(Parameter!$E$5:$E$7,U836)*V836/SUMIFS($V$7:$V$1576,$U$7:$U$1576,U836),0),0)</f>
        <v>0</v>
      </c>
    </row>
    <row r="837" customFormat="false" ht="15" hidden="false" customHeight="false" outlineLevel="0" collapsed="false">
      <c r="A837" s="55" t="s">
        <v>1595</v>
      </c>
      <c r="B837" s="55" t="s">
        <v>521</v>
      </c>
      <c r="C837" s="55" t="s">
        <v>162</v>
      </c>
      <c r="D837" s="55" t="s">
        <v>178</v>
      </c>
      <c r="E837" s="55" t="s">
        <v>210</v>
      </c>
      <c r="F837" s="56" t="n">
        <v>12.09</v>
      </c>
      <c r="G837" s="57" t="n">
        <f aca="false">MAX(0,IF(AND(Parameter!$B$21="Ja",ISNUMBER(W837)),W837,IF(Parameter!$B$20="Jahresanfang 2025 + Export",BJ837+BI837,BI837)))</f>
        <v>0</v>
      </c>
      <c r="H837" s="57" t="n">
        <f aca="false">G837*F837</f>
        <v>0</v>
      </c>
      <c r="I837" s="57" t="n">
        <f aca="false">BL837*Parameter!$B$18</f>
        <v>0</v>
      </c>
      <c r="J837" s="58" t="n">
        <v>153.5</v>
      </c>
      <c r="K837" s="59" t="n">
        <v>0</v>
      </c>
      <c r="L837" s="57" t="n">
        <v>0</v>
      </c>
      <c r="M837" s="57" t="n">
        <v>1</v>
      </c>
      <c r="N837" s="60" t="n">
        <v>35</v>
      </c>
      <c r="O837" s="55" t="s">
        <v>284</v>
      </c>
      <c r="P837" s="57" t="n">
        <v>169</v>
      </c>
      <c r="Q837" s="60" t="n">
        <f aca="false">IF(BR837=1,0,IFERROR(VLOOKUP(BP837,'Gebinde-Kategorie'!$A$5:$M$45,13,0)+0,0))</f>
        <v>12</v>
      </c>
      <c r="R837" s="61"/>
      <c r="S837" s="62"/>
      <c r="T837" s="62"/>
      <c r="U837" s="55"/>
      <c r="V837" s="57"/>
      <c r="W837" s="57"/>
      <c r="X837" s="55" t="n">
        <f aca="false">IF(A837="","",IF(AND(Parameter!$B$21="Ja",ISNUMBER(U837)),U837,IF(IFERROR(VLOOKUP(D837,Parameter!$A$35:$C$64,2,0),"Nein")="2+3",IF(ISNUMBER(SEARCH("grosser Artikel",BM837)),2,IFERROR(VLOOKUP(BP837,Parameter!$F$35:$G$64,2,0),2)),IF(OR(IFERROR(VLOOKUP(D837,Parameter!$A$35:$C$64,2,0),"Nein")="Nein",IFERROR(VLOOKUP(D837,Parameter!$A$35:$C$64,2,0),"Nein")=""),"-",VLOOKUP(D837,Parameter!$A$35:$C$64,2,0)))))</f>
        <v>2</v>
      </c>
      <c r="Y837" s="62"/>
      <c r="Z837" s="63"/>
      <c r="AA837" s="57" t="n">
        <f aca="false">AP837</f>
        <v>169</v>
      </c>
      <c r="AB837" s="57" t="n">
        <f aca="false">MAX(AP837,G837)</f>
        <v>169</v>
      </c>
      <c r="AC837" s="64"/>
      <c r="AD837" s="57" t="n">
        <f aca="false">IF(LEFT(Cockpit!$C$5,1)="A",G837,IF(BW837=1,BX837,IF(LEFT(Cockpit!$C$5,1)="B",AH837,MAX(AH837,G837))))</f>
        <v>0</v>
      </c>
      <c r="AE837" s="57" t="n">
        <f aca="false">IF(BR837=1,0,ROUNDUP(AD837/BQ837,0))</f>
        <v>0</v>
      </c>
      <c r="AF837" s="59" t="n">
        <f aca="false">IF(CD837&gt;0,CD837*MAX(1,AD837/V837),IF(BR837=1,IF(AD837&lt;=0,0,BS837*MAX(1,IF(G837&gt;0,AD837/G837,1))),IF(Q837&gt;0,AE837/Q837,0))/MAX(0.1,N(Parameter!$M$21)))</f>
        <v>0</v>
      </c>
      <c r="AG837" s="57" t="n">
        <f aca="false">AD837*F837</f>
        <v>0</v>
      </c>
      <c r="AH837" s="57" t="n">
        <f aca="false">ROUNDUP(MAX(I837/IF(BV837&gt;0,BV837,MAX(0.1,N(Cockpit!$C$6))),BY837)/BQ837,0)*BQ837</f>
        <v>169</v>
      </c>
      <c r="AI837" s="58" t="n">
        <f aca="false">IF(AF837&gt;0,I837/AF837,-1)</f>
        <v>-1</v>
      </c>
      <c r="AJ837" s="58" t="str">
        <f aca="false">IF(AND(OR(BU837="L1",BU837="L23"),AF837&gt;0),SUMIFS($AF$7:$AF$1576,$BU$7:$BU$1576,BU837,$AI$7:$AI$1576,"&gt;"&amp;AI837)+SUMIFS($AF$7:$AF$1576,$BU$7:$BU$1576,BU837,$AI$7:$AI$1576,AI837,$BO$7:$BO$1576,"&lt;="&amp;BO837),"")</f>
        <v/>
      </c>
      <c r="AK837" s="65" t="n">
        <f aca="false">IF(AJ837="",0,MAX(0,MIN(1,(IF(BU837="L1",Parameter!$E$5,Parameter!$E$6+Parameter!$E$7)-(AJ837-AF837))/AF837)))</f>
        <v>0</v>
      </c>
      <c r="AL837" s="57" t="n">
        <f aca="false">IF(LEFT(Cockpit!$I$5,1)="A",G837,IF(BW837=1,BX837,IF(LEFT(Cockpit!$I$5,1)="B",AP837,MAX(AP837,G837))))</f>
        <v>169</v>
      </c>
      <c r="AM837" s="57" t="n">
        <f aca="false">IF(BR837=1,0,ROUNDUP(AL837/BQ837,0))</f>
        <v>1</v>
      </c>
      <c r="AN837" s="59" t="n">
        <f aca="false">IF(CD837&gt;0,CD837*MAX(1,AL837/V837),IF(BR837=1,IF(AL837&lt;=0,0,BS837*MAX(1,IF(G837&gt;0,AL837/G837,1))),IF(Q837&gt;0,AM837/Q837,0))/MAX(0.1,N(Parameter!$M$21)))</f>
        <v>0.0833333333333333</v>
      </c>
      <c r="AO837" s="57" t="n">
        <f aca="false">AL837*F837</f>
        <v>2043.21</v>
      </c>
      <c r="AP837" s="57" t="n">
        <f aca="false">ROUNDUP(MAX(I837/IF(BV837&gt;0,BV837,MAX(0.1,N(Cockpit!$I$6))),BY837)/BQ837,0)*BQ837</f>
        <v>169</v>
      </c>
      <c r="AQ837" s="58" t="n">
        <f aca="false">IF(AN837&gt;0,I837/AN837,-1)</f>
        <v>0</v>
      </c>
      <c r="AR837" s="58" t="n">
        <f aca="false">IF(AND(OR(BU837="L1",BU837="L23"),AN837&gt;0),SUMIFS($AN$7:$AN$1576,$BU$7:$BU$1576,BU837,$AQ$7:$AQ$1576,"&gt;"&amp;AQ837)+SUMIFS($AN$7:$AN$1576,$BU$7:$BU$1576,BU837,$AQ$7:$AQ$1576,AQ837,$BO$7:$BO$1576,"&lt;="&amp;BO837),"")</f>
        <v>130.931662854102</v>
      </c>
      <c r="AS837" s="65" t="n">
        <f aca="false">IF(AR837="",0,MAX(0,MIN(1,(IF(BU837="L1",Parameter!$E$5,Parameter!$E$6+Parameter!$E$7)-(AR837-AN837))/AN837)))</f>
        <v>0</v>
      </c>
      <c r="AT837" s="57" t="n">
        <f aca="false">IF(LEFT(Cockpit!$O$5,1)="A",G837,IF(BW837=1,BX837,IF(LEFT(Cockpit!$O$5,1)="B",AX837,MAX(AX837,G837))))</f>
        <v>169</v>
      </c>
      <c r="AU837" s="57" t="n">
        <f aca="false">IF(BR837=1,0,ROUNDUP(AT837/BQ837,0))</f>
        <v>1</v>
      </c>
      <c r="AV837" s="59" t="n">
        <f aca="false">IF(CD837&gt;0,CD837*MAX(1,AT837/V837),IF(BR837=1,IF(AT837&lt;=0,0,BS837*MAX(1,IF(G837&gt;0,AT837/G837,1))),IF(Q837&gt;0,AU837/Q837,0))/MAX(0.1,N(Parameter!$M$21)))</f>
        <v>0.0833333333333333</v>
      </c>
      <c r="AW837" s="57" t="n">
        <f aca="false">AT837*F837</f>
        <v>2043.21</v>
      </c>
      <c r="AX837" s="57" t="n">
        <f aca="false">ROUNDUP(MAX(I837/IF(BV837&gt;0,BV837,MAX(0.1,N(Cockpit!$O$6))),BY837)/BQ837,0)*BQ837</f>
        <v>169</v>
      </c>
      <c r="AY837" s="58" t="n">
        <f aca="false">IF(AV837&gt;0,I837/AV837,-1)</f>
        <v>0</v>
      </c>
      <c r="AZ837" s="58" t="n">
        <f aca="false">IF(AND(OR(BU837="L1",BU837="L23"),AV837&gt;0),SUMIFS($AV$7:$AV$1576,$BU$7:$BU$1576,BU837,$AY$7:$AY$1576,"&gt;"&amp;AY837)+SUMIFS($AV$7:$AV$1576,$BU$7:$BU$1576,BU837,$AY$7:$AY$1576,AY837,$BO$7:$BO$1576,"&lt;="&amp;BO837),"")</f>
        <v>120.991213303652</v>
      </c>
      <c r="BA837" s="65" t="n">
        <f aca="false">IF(AZ837="",0,MAX(0,MIN(1,(IF(BU837="L1",Parameter!$E$5,Parameter!$E$6+Parameter!$E$7)-(AZ837-AV837))/AV837)))</f>
        <v>0</v>
      </c>
      <c r="BB837" s="55" t="str">
        <f aca="false">IF(AF837&lt;=0,"",IF(BU837="Aussen","Aussenlager",IF(BU837="-","Nicht im Lift",IF(AK837&gt;=1,"Lift",IF(AK837&lt;=0,"Aussenlager","teilweise")))))</f>
        <v/>
      </c>
      <c r="BC837" s="55" t="str">
        <f aca="false">IF(AN837&lt;=0,"",IF(BU837="Aussen","Aussenlager",IF(BU837="-","Nicht im Lift",IF(AS837&gt;=1,"Lift",IF(AS837&lt;=0,"Aussenlager","teilweise")))))</f>
        <v>Aussenlager</v>
      </c>
      <c r="BD837" s="55" t="str">
        <f aca="false">IF(AV837&lt;=0,"",IF(BU837="Aussen","Aussenlager",IF(BU837="-","Nicht im Lift",IF(BA837&gt;=1,"Lift",IF(BA837&lt;=0,"Aussenlager","teilweise")))))</f>
        <v>Aussenlager</v>
      </c>
      <c r="BE837" s="55" t="str">
        <f aca="false">IF(A837="","",IF(BN837=1,"Neu; ","")&amp;IF(AND(BN837=0,BI837&lt;0),"negativer Bestand (Export "&amp;BI837&amp;"); ","")&amp;IF(I837&lt;=0,"Kein Verbrauch; ","")&amp;IF(CD837&gt;0,"Lift "&amp;U837&amp;" lt. Liftbericht (Fach "&amp;V837&amp;" Stk); ",IF(BR837=1,"Lose – Fläche geschätzt; ",""))&amp;IF(G837&gt;AP837,"Überbestand "&amp;ROUND(G837-AP837,0)&amp;" Stk / CHF "&amp;ROUND((G837-AP837)*F837,0)&amp;"; ","")&amp;IF(AND(BW837=1,BX837&lt;BY837),"MAX &lt; MB+LG; ","")&amp;IF(AND(CC837&gt;0,CB837*10&gt;CC837),"zu hoch für Tablar; ","")&amp;IF(AND(BN837=0,OR(BW837=1,Y837&lt;&gt;"",S837&lt;&gt;"",T837&lt;&gt;"",Z837&lt;&gt;"")),"manuell übersteuert; ","")&amp;IF(AND(BR837=0,Q837=0),"Gebinde unbekannt / Stellmass fehlt; ","")&amp;IF(AND(BR837=0,N(T837)&lt;=0,N(P837)&lt;=0),"Menge pro Gebinde fehlt (Ist = 1 Gebinde); ","")&amp;BM837)</f>
        <v>negativer Bestand (Export -1); Kein Verbrauch; </v>
      </c>
      <c r="BF837" s="55"/>
      <c r="BG837" s="55"/>
      <c r="BH837" s="62"/>
      <c r="BI837" s="57" t="n">
        <v>-1</v>
      </c>
      <c r="BJ837" s="57" t="n">
        <v>154</v>
      </c>
      <c r="BK837" s="56" t="n">
        <v>-12.09</v>
      </c>
      <c r="BL837" s="57" t="n">
        <v>0</v>
      </c>
      <c r="BM837" s="55"/>
      <c r="BN837" s="60" t="n">
        <v>0</v>
      </c>
      <c r="BO837" s="60" t="n">
        <v>837</v>
      </c>
      <c r="BP837" s="55" t="str">
        <f aca="false">IF(S837&lt;&gt;"",UPPER(TRIM(S837)),IF(O837="","LOSE",O837))</f>
        <v>S62</v>
      </c>
      <c r="BQ837" s="57" t="n">
        <f aca="false">IF(BP837="LOSE",1,IF(N(T837)&gt;0,T837,IF(N(P837)&gt;0,P837,MAX(1,G837))))</f>
        <v>169</v>
      </c>
      <c r="BR837" s="60" t="n">
        <f aca="false">IF(BP837="LOSE",1,0)</f>
        <v>0</v>
      </c>
      <c r="BS837" s="59" t="n">
        <f aca="false">IF(BR837=0,0,IF(N(R837)&gt;0,R837,IFERROR(VLOOKUP(D837,Parameter!$A$35:$C$64,3,0)+0,0)))</f>
        <v>0</v>
      </c>
      <c r="BT837" s="55" t="n">
        <f aca="false">IF(Y837&lt;&gt;"",Y837,X837)</f>
        <v>2</v>
      </c>
      <c r="BU837" s="55" t="str">
        <f aca="false">IF(BT837=1,"L1",IF(OR(BT837=2,BT837=3),"L23",IF(BT837="Aussen","Aussen","-")))</f>
        <v>L23</v>
      </c>
      <c r="BV837" s="66" t="n">
        <f aca="false">IF(N(Z837)&gt;0,Z837,0)</f>
        <v>0</v>
      </c>
      <c r="BW837" s="60" t="n">
        <f aca="false">IF(ISNUMBER(AC837),1,0)</f>
        <v>0</v>
      </c>
      <c r="BX837" s="57" t="n">
        <f aca="false">N(AC837)</f>
        <v>0</v>
      </c>
      <c r="BY837" s="57" t="n">
        <f aca="false">N(L837)+N(M837)</f>
        <v>1</v>
      </c>
      <c r="BZ837" s="57" t="n">
        <f aca="false">ROUNDUP(G837/BQ837,0)</f>
        <v>0</v>
      </c>
      <c r="CA837" s="57" t="n">
        <f aca="false">ROUNDUP(BX837/BQ837,0)</f>
        <v>0</v>
      </c>
      <c r="CB837" s="60" t="n">
        <f aca="false">IF(BR837=1,0,IFERROR(VLOOKUP(BP837,'Gebinde-Kategorie'!$A$5:$M$45,5,0)+0,0))</f>
        <v>21</v>
      </c>
      <c r="CC837" s="60" t="n">
        <f aca="false">IFERROR(IF(OR(BT837=1,BT837=2,BT837=3),N(INDEX(Parameter!$I$5:$I$7,BT837)),0),0)</f>
        <v>0</v>
      </c>
      <c r="CD837" s="59" t="n">
        <f aca="false">IF(AND(Parameter!$B$21="Ja",ISNUMBER(U837),N(V837)&gt;0),IFERROR(N(INDEX(Parameter!$L$5:$L$7,U837))*INDEX(Parameter!$E$5:$E$7,U837)*V837/SUMIFS($V$7:$V$1576,$U$7:$U$1576,U837),0),0)</f>
        <v>0</v>
      </c>
    </row>
    <row r="838" customFormat="false" ht="15" hidden="false" customHeight="false" outlineLevel="0" collapsed="false">
      <c r="A838" s="55" t="s">
        <v>1596</v>
      </c>
      <c r="B838" s="55" t="s">
        <v>478</v>
      </c>
      <c r="C838" s="55" t="s">
        <v>160</v>
      </c>
      <c r="D838" s="55" t="s">
        <v>178</v>
      </c>
      <c r="E838" s="55" t="s">
        <v>210</v>
      </c>
      <c r="F838" s="56" t="n">
        <v>1.53</v>
      </c>
      <c r="G838" s="57" t="n">
        <f aca="false">MAX(0,IF(AND(Parameter!$B$21="Ja",ISNUMBER(W838)),W838,IF(Parameter!$B$20="Jahresanfang 2025 + Export",BJ838+BI838,BI838)))</f>
        <v>0</v>
      </c>
      <c r="H838" s="57" t="n">
        <f aca="false">G838*F838</f>
        <v>0</v>
      </c>
      <c r="I838" s="57" t="n">
        <f aca="false">BL838*Parameter!$B$18</f>
        <v>264</v>
      </c>
      <c r="J838" s="58" t="n">
        <v>191.5</v>
      </c>
      <c r="K838" s="59" t="n">
        <v>1.37859007832898</v>
      </c>
      <c r="L838" s="57" t="n">
        <v>10</v>
      </c>
      <c r="M838" s="57" t="n">
        <v>200</v>
      </c>
      <c r="N838" s="60" t="n">
        <v>14</v>
      </c>
      <c r="O838" s="55" t="s">
        <v>411</v>
      </c>
      <c r="P838" s="57" t="n">
        <v>513</v>
      </c>
      <c r="Q838" s="60" t="n">
        <f aca="false">IF(BR838=1,0,IFERROR(VLOOKUP(BP838,'Gebinde-Kategorie'!$A$5:$M$45,13,0)+0,0))</f>
        <v>132</v>
      </c>
      <c r="R838" s="61"/>
      <c r="S838" s="62"/>
      <c r="T838" s="62"/>
      <c r="U838" s="55"/>
      <c r="V838" s="57"/>
      <c r="W838" s="57"/>
      <c r="X838" s="55" t="n">
        <f aca="false">IF(A838="","",IF(AND(Parameter!$B$21="Ja",ISNUMBER(U838)),U838,IF(IFERROR(VLOOKUP(D838,Parameter!$A$35:$C$64,2,0),"Nein")="2+3",IF(ISNUMBER(SEARCH("grosser Artikel",BM838)),2,IFERROR(VLOOKUP(BP838,Parameter!$F$35:$G$64,2,0),2)),IF(OR(IFERROR(VLOOKUP(D838,Parameter!$A$35:$C$64,2,0),"Nein")="Nein",IFERROR(VLOOKUP(D838,Parameter!$A$35:$C$64,2,0),"Nein")=""),"-",VLOOKUP(D838,Parameter!$A$35:$C$64,2,0)))))</f>
        <v>3</v>
      </c>
      <c r="Y838" s="62"/>
      <c r="Z838" s="63"/>
      <c r="AA838" s="57" t="n">
        <f aca="false">AP838</f>
        <v>513</v>
      </c>
      <c r="AB838" s="57" t="n">
        <f aca="false">MAX(AP838,G838)</f>
        <v>513</v>
      </c>
      <c r="AC838" s="64"/>
      <c r="AD838" s="57" t="n">
        <f aca="false">IF(LEFT(Cockpit!$C$5,1)="A",G838,IF(BW838=1,BX838,IF(LEFT(Cockpit!$C$5,1)="B",AH838,MAX(AH838,G838))))</f>
        <v>0</v>
      </c>
      <c r="AE838" s="57" t="n">
        <f aca="false">IF(BR838=1,0,ROUNDUP(AD838/BQ838,0))</f>
        <v>0</v>
      </c>
      <c r="AF838" s="59" t="n">
        <f aca="false">IF(CD838&gt;0,CD838*MAX(1,AD838/V838),IF(BR838=1,IF(AD838&lt;=0,0,BS838*MAX(1,IF(G838&gt;0,AD838/G838,1))),IF(Q838&gt;0,AE838/Q838,0))/MAX(0.1,N(Parameter!$M$21)))</f>
        <v>0</v>
      </c>
      <c r="AG838" s="57" t="n">
        <f aca="false">AD838*F838</f>
        <v>0</v>
      </c>
      <c r="AH838" s="57" t="n">
        <f aca="false">ROUNDUP(MAX(I838/IF(BV838&gt;0,BV838,MAX(0.1,N(Cockpit!$C$6))),BY838)/BQ838,0)*BQ838</f>
        <v>513</v>
      </c>
      <c r="AI838" s="58" t="n">
        <f aca="false">IF(AF838&gt;0,I838/AF838,-1)</f>
        <v>-1</v>
      </c>
      <c r="AJ838" s="58" t="str">
        <f aca="false">IF(AND(OR(BU838="L1",BU838="L23"),AF838&gt;0),SUMIFS($AF$7:$AF$1576,$BU$7:$BU$1576,BU838,$AI$7:$AI$1576,"&gt;"&amp;AI838)+SUMIFS($AF$7:$AF$1576,$BU$7:$BU$1576,BU838,$AI$7:$AI$1576,AI838,$BO$7:$BO$1576,"&lt;="&amp;BO838),"")</f>
        <v/>
      </c>
      <c r="AK838" s="65" t="n">
        <f aca="false">IF(AJ838="",0,MAX(0,MIN(1,(IF(BU838="L1",Parameter!$E$5,Parameter!$E$6+Parameter!$E$7)-(AJ838-AF838))/AF838)))</f>
        <v>0</v>
      </c>
      <c r="AL838" s="57" t="n">
        <f aca="false">IF(LEFT(Cockpit!$I$5,1)="A",G838,IF(BW838=1,BX838,IF(LEFT(Cockpit!$I$5,1)="B",AP838,MAX(AP838,G838))))</f>
        <v>513</v>
      </c>
      <c r="AM838" s="57" t="n">
        <f aca="false">IF(BR838=1,0,ROUNDUP(AL838/BQ838,0))</f>
        <v>1</v>
      </c>
      <c r="AN838" s="59" t="n">
        <f aca="false">IF(CD838&gt;0,CD838*MAX(1,AL838/V838),IF(BR838=1,IF(AL838&lt;=0,0,BS838*MAX(1,IF(G838&gt;0,AL838/G838,1))),IF(Q838&gt;0,AM838/Q838,0))/MAX(0.1,N(Parameter!$M$21)))</f>
        <v>0.00757575757575758</v>
      </c>
      <c r="AO838" s="57" t="n">
        <f aca="false">AL838*F838</f>
        <v>784.89</v>
      </c>
      <c r="AP838" s="57" t="n">
        <f aca="false">ROUNDUP(MAX(I838/IF(BV838&gt;0,BV838,MAX(0.1,N(Cockpit!$I$6))),BY838)/BQ838,0)*BQ838</f>
        <v>513</v>
      </c>
      <c r="AQ838" s="58" t="n">
        <f aca="false">IF(AN838&gt;0,I838/AN838,-1)</f>
        <v>34848</v>
      </c>
      <c r="AR838" s="58" t="n">
        <f aca="false">IF(AND(OR(BU838="L1",BU838="L23"),AN838&gt;0),SUMIFS($AN$7:$AN$1576,$BU$7:$BU$1576,BU838,$AQ$7:$AQ$1576,"&gt;"&amp;AQ838)+SUMIFS($AN$7:$AN$1576,$BU$7:$BU$1576,BU838,$AQ$7:$AQ$1576,AQ838,$BO$7:$BO$1576,"&lt;="&amp;BO838),"")</f>
        <v>2.55092159048681</v>
      </c>
      <c r="AS838" s="65" t="n">
        <f aca="false">IF(AR838="",0,MAX(0,MIN(1,(IF(BU838="L1",Parameter!$E$5,Parameter!$E$6+Parameter!$E$7)-(AR838-AN838))/AN838)))</f>
        <v>1</v>
      </c>
      <c r="AT838" s="57" t="n">
        <f aca="false">IF(LEFT(Cockpit!$O$5,1)="A",G838,IF(BW838=1,BX838,IF(LEFT(Cockpit!$O$5,1)="B",AX838,MAX(AX838,G838))))</f>
        <v>513</v>
      </c>
      <c r="AU838" s="57" t="n">
        <f aca="false">IF(BR838=1,0,ROUNDUP(AT838/BQ838,0))</f>
        <v>1</v>
      </c>
      <c r="AV838" s="59" t="n">
        <f aca="false">IF(CD838&gt;0,CD838*MAX(1,AT838/V838),IF(BR838=1,IF(AT838&lt;=0,0,BS838*MAX(1,IF(G838&gt;0,AT838/G838,1))),IF(Q838&gt;0,AU838/Q838,0))/MAX(0.1,N(Parameter!$M$21)))</f>
        <v>0.00757575757575758</v>
      </c>
      <c r="AW838" s="57" t="n">
        <f aca="false">AT838*F838</f>
        <v>784.89</v>
      </c>
      <c r="AX838" s="57" t="n">
        <f aca="false">ROUNDUP(MAX(I838/IF(BV838&gt;0,BV838,MAX(0.1,N(Cockpit!$O$6))),BY838)/BQ838,0)*BQ838</f>
        <v>513</v>
      </c>
      <c r="AY838" s="58" t="n">
        <f aca="false">IF(AV838&gt;0,I838/AV838,-1)</f>
        <v>34848</v>
      </c>
      <c r="AZ838" s="58" t="n">
        <f aca="false">IF(AND(OR(BU838="L1",BU838="L23"),AV838&gt;0),SUMIFS($AV$7:$AV$1576,$BU$7:$BU$1576,BU838,$AY$7:$AY$1576,"&gt;"&amp;AY838)+SUMIFS($AV$7:$AV$1576,$BU$7:$BU$1576,BU838,$AY$7:$AY$1576,AY838,$BO$7:$BO$1576,"&lt;="&amp;BO838),"")</f>
        <v>2.35744839701361</v>
      </c>
      <c r="BA838" s="65" t="n">
        <f aca="false">IF(AZ838="",0,MAX(0,MIN(1,(IF(BU838="L1",Parameter!$E$5,Parameter!$E$6+Parameter!$E$7)-(AZ838-AV838))/AV838)))</f>
        <v>1</v>
      </c>
      <c r="BB838" s="55" t="str">
        <f aca="false">IF(AF838&lt;=0,"",IF(BU838="Aussen","Aussenlager",IF(BU838="-","Nicht im Lift",IF(AK838&gt;=1,"Lift",IF(AK838&lt;=0,"Aussenlager","teilweise")))))</f>
        <v/>
      </c>
      <c r="BC838" s="55" t="str">
        <f aca="false">IF(AN838&lt;=0,"",IF(BU838="Aussen","Aussenlager",IF(BU838="-","Nicht im Lift",IF(AS838&gt;=1,"Lift",IF(AS838&lt;=0,"Aussenlager","teilweise")))))</f>
        <v>Lift</v>
      </c>
      <c r="BD838" s="55" t="str">
        <f aca="false">IF(AV838&lt;=0,"",IF(BU838="Aussen","Aussenlager",IF(BU838="-","Nicht im Lift",IF(BA838&gt;=1,"Lift",IF(BA838&lt;=0,"Aussenlager","teilweise")))))</f>
        <v>Lift</v>
      </c>
      <c r="BE838" s="55" t="str">
        <f aca="false">IF(A838="","",IF(BN838=1,"Neu; ","")&amp;IF(AND(BN838=0,BI838&lt;0),"negativer Bestand (Export "&amp;BI838&amp;"); ","")&amp;IF(I838&lt;=0,"Kein Verbrauch; ","")&amp;IF(CD838&gt;0,"Lift "&amp;U838&amp;" lt. Liftbericht (Fach "&amp;V838&amp;" Stk); ",IF(BR838=1,"Lose – Fläche geschätzt; ",""))&amp;IF(G838&gt;AP838,"Überbestand "&amp;ROUND(G838-AP838,0)&amp;" Stk / CHF "&amp;ROUND((G838-AP838)*F838,0)&amp;"; ","")&amp;IF(AND(BW838=1,BX838&lt;BY838),"MAX &lt; MB+LG; ","")&amp;IF(AND(CC838&gt;0,CB838*10&gt;CC838),"zu hoch für Tablar; ","")&amp;IF(AND(BN838=0,OR(BW838=1,Y838&lt;&gt;"",S838&lt;&gt;"",T838&lt;&gt;"",Z838&lt;&gt;"")),"manuell übersteuert; ","")&amp;IF(AND(BR838=0,Q838=0),"Gebinde unbekannt / Stellmass fehlt; ","")&amp;IF(AND(BR838=0,N(T838)&lt;=0,N(P838)&lt;=0),"Menge pro Gebinde fehlt (Ist = 1 Gebinde); ","")&amp;BM838)</f>
        <v>negativer Bestand (Export -8); </v>
      </c>
      <c r="BF838" s="55"/>
      <c r="BG838" s="55"/>
      <c r="BH838" s="62"/>
      <c r="BI838" s="57" t="n">
        <v>-8</v>
      </c>
      <c r="BJ838" s="57" t="n">
        <v>222</v>
      </c>
      <c r="BK838" s="56" t="n">
        <v>-12.1599999999998</v>
      </c>
      <c r="BL838" s="57" t="n">
        <v>264</v>
      </c>
      <c r="BM838" s="55"/>
      <c r="BN838" s="60" t="n">
        <v>0</v>
      </c>
      <c r="BO838" s="60" t="n">
        <v>838</v>
      </c>
      <c r="BP838" s="55" t="str">
        <f aca="false">IF(S838&lt;&gt;"",UPPER(TRIM(S838)),IF(O838="","LOSE",O838))</f>
        <v>S32</v>
      </c>
      <c r="BQ838" s="57" t="n">
        <f aca="false">IF(BP838="LOSE",1,IF(N(T838)&gt;0,T838,IF(N(P838)&gt;0,P838,MAX(1,G838))))</f>
        <v>513</v>
      </c>
      <c r="BR838" s="60" t="n">
        <f aca="false">IF(BP838="LOSE",1,0)</f>
        <v>0</v>
      </c>
      <c r="BS838" s="59" t="n">
        <f aca="false">IF(BR838=0,0,IF(N(R838)&gt;0,R838,IFERROR(VLOOKUP(D838,Parameter!$A$35:$C$64,3,0)+0,0)))</f>
        <v>0</v>
      </c>
      <c r="BT838" s="55" t="n">
        <f aca="false">IF(Y838&lt;&gt;"",Y838,X838)</f>
        <v>3</v>
      </c>
      <c r="BU838" s="55" t="str">
        <f aca="false">IF(BT838=1,"L1",IF(OR(BT838=2,BT838=3),"L23",IF(BT838="Aussen","Aussen","-")))</f>
        <v>L23</v>
      </c>
      <c r="BV838" s="66" t="n">
        <f aca="false">IF(N(Z838)&gt;0,Z838,0)</f>
        <v>0</v>
      </c>
      <c r="BW838" s="60" t="n">
        <f aca="false">IF(ISNUMBER(AC838),1,0)</f>
        <v>0</v>
      </c>
      <c r="BX838" s="57" t="n">
        <f aca="false">N(AC838)</f>
        <v>0</v>
      </c>
      <c r="BY838" s="57" t="n">
        <f aca="false">N(L838)+N(M838)</f>
        <v>210</v>
      </c>
      <c r="BZ838" s="57" t="n">
        <f aca="false">ROUNDUP(G838/BQ838,0)</f>
        <v>0</v>
      </c>
      <c r="CA838" s="57" t="n">
        <f aca="false">ROUNDUP(BX838/BQ838,0)</f>
        <v>0</v>
      </c>
      <c r="CB838" s="60" t="n">
        <f aca="false">IF(BR838=1,0,IFERROR(VLOOKUP(BP838,'Gebinde-Kategorie'!$A$5:$M$45,5,0)+0,0))</f>
        <v>8</v>
      </c>
      <c r="CC838" s="60" t="n">
        <f aca="false">IFERROR(IF(OR(BT838=1,BT838=2,BT838=3),N(INDEX(Parameter!$I$5:$I$7,BT838)),0),0)</f>
        <v>0</v>
      </c>
      <c r="CD838" s="59" t="n">
        <f aca="false">IF(AND(Parameter!$B$21="Ja",ISNUMBER(U838),N(V838)&gt;0),IFERROR(N(INDEX(Parameter!$L$5:$L$7,U838))*INDEX(Parameter!$E$5:$E$7,U838)*V838/SUMIFS($V$7:$V$1576,$U$7:$U$1576,U838),0),0)</f>
        <v>0</v>
      </c>
    </row>
    <row r="839" customFormat="false" ht="15" hidden="false" customHeight="false" outlineLevel="0" collapsed="false">
      <c r="A839" s="55" t="s">
        <v>1597</v>
      </c>
      <c r="B839" s="55" t="s">
        <v>987</v>
      </c>
      <c r="C839" s="55" t="s">
        <v>160</v>
      </c>
      <c r="D839" s="55" t="s">
        <v>178</v>
      </c>
      <c r="E839" s="55" t="s">
        <v>210</v>
      </c>
      <c r="F839" s="56" t="n">
        <v>15.42</v>
      </c>
      <c r="G839" s="57" t="n">
        <f aca="false">MAX(0,IF(AND(Parameter!$B$21="Ja",ISNUMBER(W839)),W839,IF(Parameter!$B$20="Jahresanfang 2025 + Export",BJ839+BI839,BI839)))</f>
        <v>0</v>
      </c>
      <c r="H839" s="57" t="n">
        <f aca="false">G839*F839</f>
        <v>0</v>
      </c>
      <c r="I839" s="57" t="n">
        <f aca="false">BL839*Parameter!$B$18</f>
        <v>30</v>
      </c>
      <c r="J839" s="58" t="n">
        <v>30.5</v>
      </c>
      <c r="K839" s="59" t="n">
        <v>0.983606557377049</v>
      </c>
      <c r="L839" s="57" t="n">
        <v>2</v>
      </c>
      <c r="M839" s="57" t="n">
        <v>30</v>
      </c>
      <c r="N839" s="60" t="n">
        <v>35</v>
      </c>
      <c r="O839" s="55" t="s">
        <v>284</v>
      </c>
      <c r="P839" s="57" t="n">
        <v>11</v>
      </c>
      <c r="Q839" s="60" t="n">
        <f aca="false">IF(BR839=1,0,IFERROR(VLOOKUP(BP839,'Gebinde-Kategorie'!$A$5:$M$45,13,0)+0,0))</f>
        <v>12</v>
      </c>
      <c r="R839" s="61"/>
      <c r="S839" s="62"/>
      <c r="T839" s="62"/>
      <c r="U839" s="55"/>
      <c r="V839" s="57"/>
      <c r="W839" s="57"/>
      <c r="X839" s="55" t="n">
        <f aca="false">IF(A839="","",IF(AND(Parameter!$B$21="Ja",ISNUMBER(U839)),U839,IF(IFERROR(VLOOKUP(D839,Parameter!$A$35:$C$64,2,0),"Nein")="2+3",IF(ISNUMBER(SEARCH("grosser Artikel",BM839)),2,IFERROR(VLOOKUP(BP839,Parameter!$F$35:$G$64,2,0),2)),IF(OR(IFERROR(VLOOKUP(D839,Parameter!$A$35:$C$64,2,0),"Nein")="Nein",IFERROR(VLOOKUP(D839,Parameter!$A$35:$C$64,2,0),"Nein")=""),"-",VLOOKUP(D839,Parameter!$A$35:$C$64,2,0)))))</f>
        <v>2</v>
      </c>
      <c r="Y839" s="62"/>
      <c r="Z839" s="63"/>
      <c r="AA839" s="57" t="n">
        <f aca="false">AP839</f>
        <v>33</v>
      </c>
      <c r="AB839" s="57" t="n">
        <f aca="false">MAX(AP839,G839)</f>
        <v>33</v>
      </c>
      <c r="AC839" s="64"/>
      <c r="AD839" s="57" t="n">
        <f aca="false">IF(LEFT(Cockpit!$C$5,1)="A",G839,IF(BW839=1,BX839,IF(LEFT(Cockpit!$C$5,1)="B",AH839,MAX(AH839,G839))))</f>
        <v>0</v>
      </c>
      <c r="AE839" s="57" t="n">
        <f aca="false">IF(BR839=1,0,ROUNDUP(AD839/BQ839,0))</f>
        <v>0</v>
      </c>
      <c r="AF839" s="59" t="n">
        <f aca="false">IF(CD839&gt;0,CD839*MAX(1,AD839/V839),IF(BR839=1,IF(AD839&lt;=0,0,BS839*MAX(1,IF(G839&gt;0,AD839/G839,1))),IF(Q839&gt;0,AE839/Q839,0))/MAX(0.1,N(Parameter!$M$21)))</f>
        <v>0</v>
      </c>
      <c r="AG839" s="57" t="n">
        <f aca="false">AD839*F839</f>
        <v>0</v>
      </c>
      <c r="AH839" s="57" t="n">
        <f aca="false">ROUNDUP(MAX(I839/IF(BV839&gt;0,BV839,MAX(0.1,N(Cockpit!$C$6))),BY839)/BQ839,0)*BQ839</f>
        <v>33</v>
      </c>
      <c r="AI839" s="58" t="n">
        <f aca="false">IF(AF839&gt;0,I839/AF839,-1)</f>
        <v>-1</v>
      </c>
      <c r="AJ839" s="58" t="str">
        <f aca="false">IF(AND(OR(BU839="L1",BU839="L23"),AF839&gt;0),SUMIFS($AF$7:$AF$1576,$BU$7:$BU$1576,BU839,$AI$7:$AI$1576,"&gt;"&amp;AI839)+SUMIFS($AF$7:$AF$1576,$BU$7:$BU$1576,BU839,$AI$7:$AI$1576,AI839,$BO$7:$BO$1576,"&lt;="&amp;BO839),"")</f>
        <v/>
      </c>
      <c r="AK839" s="65" t="n">
        <f aca="false">IF(AJ839="",0,MAX(0,MIN(1,(IF(BU839="L1",Parameter!$E$5,Parameter!$E$6+Parameter!$E$7)-(AJ839-AF839))/AF839)))</f>
        <v>0</v>
      </c>
      <c r="AL839" s="57" t="n">
        <f aca="false">IF(LEFT(Cockpit!$I$5,1)="A",G839,IF(BW839=1,BX839,IF(LEFT(Cockpit!$I$5,1)="B",AP839,MAX(AP839,G839))))</f>
        <v>33</v>
      </c>
      <c r="AM839" s="57" t="n">
        <f aca="false">IF(BR839=1,0,ROUNDUP(AL839/BQ839,0))</f>
        <v>3</v>
      </c>
      <c r="AN839" s="59" t="n">
        <f aca="false">IF(CD839&gt;0,CD839*MAX(1,AL839/V839),IF(BR839=1,IF(AL839&lt;=0,0,BS839*MAX(1,IF(G839&gt;0,AL839/G839,1))),IF(Q839&gt;0,AM839/Q839,0))/MAX(0.1,N(Parameter!$M$21)))</f>
        <v>0.25</v>
      </c>
      <c r="AO839" s="57" t="n">
        <f aca="false">AL839*F839</f>
        <v>508.86</v>
      </c>
      <c r="AP839" s="57" t="n">
        <f aca="false">ROUNDUP(MAX(I839/IF(BV839&gt;0,BV839,MAX(0.1,N(Cockpit!$I$6))),BY839)/BQ839,0)*BQ839</f>
        <v>33</v>
      </c>
      <c r="AQ839" s="58" t="n">
        <f aca="false">IF(AN839&gt;0,I839/AN839,-1)</f>
        <v>120</v>
      </c>
      <c r="AR839" s="58" t="n">
        <f aca="false">IF(AND(OR(BU839="L1",BU839="L23"),AN839&gt;0),SUMIFS($AN$7:$AN$1576,$BU$7:$BU$1576,BU839,$AQ$7:$AQ$1576,"&gt;"&amp;AQ839)+SUMIFS($AN$7:$AN$1576,$BU$7:$BU$1576,BU839,$AQ$7:$AQ$1576,AQ839,$BO$7:$BO$1576,"&lt;="&amp;BO839),"")</f>
        <v>64.5270023820135</v>
      </c>
      <c r="AS839" s="65" t="n">
        <f aca="false">IF(AR839="",0,MAX(0,MIN(1,(IF(BU839="L1",Parameter!$E$5,Parameter!$E$6+Parameter!$E$7)-(AR839-AN839))/AN839)))</f>
        <v>1</v>
      </c>
      <c r="AT839" s="57" t="n">
        <f aca="false">IF(LEFT(Cockpit!$O$5,1)="A",G839,IF(BW839=1,BX839,IF(LEFT(Cockpit!$O$5,1)="B",AX839,MAX(AX839,G839))))</f>
        <v>33</v>
      </c>
      <c r="AU839" s="57" t="n">
        <f aca="false">IF(BR839=1,0,ROUNDUP(AT839/BQ839,0))</f>
        <v>3</v>
      </c>
      <c r="AV839" s="59" t="n">
        <f aca="false">IF(CD839&gt;0,CD839*MAX(1,AT839/V839),IF(BR839=1,IF(AT839&lt;=0,0,BS839*MAX(1,IF(G839&gt;0,AT839/G839,1))),IF(Q839&gt;0,AU839/Q839,0))/MAX(0.1,N(Parameter!$M$21)))</f>
        <v>0.25</v>
      </c>
      <c r="AW839" s="57" t="n">
        <f aca="false">AT839*F839</f>
        <v>508.86</v>
      </c>
      <c r="AX839" s="57" t="n">
        <f aca="false">ROUNDUP(MAX(I839/IF(BV839&gt;0,BV839,MAX(0.1,N(Cockpit!$O$6))),BY839)/BQ839,0)*BQ839</f>
        <v>33</v>
      </c>
      <c r="AY839" s="58" t="n">
        <f aca="false">IF(AV839&gt;0,I839/AV839,-1)</f>
        <v>120</v>
      </c>
      <c r="AZ839" s="58" t="n">
        <f aca="false">IF(AND(OR(BU839="L1",BU839="L23"),AV839&gt;0),SUMIFS($AV$7:$AV$1576,$BU$7:$BU$1576,BU839,$AY$7:$AY$1576,"&gt;"&amp;AY839)+SUMIFS($AV$7:$AV$1576,$BU$7:$BU$1576,BU839,$AY$7:$AY$1576,AY839,$BO$7:$BO$1576,"&lt;="&amp;BO839),"")</f>
        <v>59.8561361648973</v>
      </c>
      <c r="BA839" s="65" t="n">
        <f aca="false">IF(AZ839="",0,MAX(0,MIN(1,(IF(BU839="L1",Parameter!$E$5,Parameter!$E$6+Parameter!$E$7)-(AZ839-AV839))/AV839)))</f>
        <v>1</v>
      </c>
      <c r="BB839" s="55" t="str">
        <f aca="false">IF(AF839&lt;=0,"",IF(BU839="Aussen","Aussenlager",IF(BU839="-","Nicht im Lift",IF(AK839&gt;=1,"Lift",IF(AK839&lt;=0,"Aussenlager","teilweise")))))</f>
        <v/>
      </c>
      <c r="BC839" s="55" t="str">
        <f aca="false">IF(AN839&lt;=0,"",IF(BU839="Aussen","Aussenlager",IF(BU839="-","Nicht im Lift",IF(AS839&gt;=1,"Lift",IF(AS839&lt;=0,"Aussenlager","teilweise")))))</f>
        <v>Lift</v>
      </c>
      <c r="BD839" s="55" t="str">
        <f aca="false">IF(AV839&lt;=0,"",IF(BU839="Aussen","Aussenlager",IF(BU839="-","Nicht im Lift",IF(BA839&gt;=1,"Lift",IF(BA839&lt;=0,"Aussenlager","teilweise")))))</f>
        <v>Lift</v>
      </c>
      <c r="BE839" s="55" t="str">
        <f aca="false">IF(A839="","",IF(BN839=1,"Neu; ","")&amp;IF(AND(BN839=0,BI839&lt;0),"negativer Bestand (Export "&amp;BI839&amp;"); ","")&amp;IF(I839&lt;=0,"Kein Verbrauch; ","")&amp;IF(CD839&gt;0,"Lift "&amp;U839&amp;" lt. Liftbericht (Fach "&amp;V839&amp;" Stk); ",IF(BR839=1,"Lose – Fläche geschätzt; ",""))&amp;IF(G839&gt;AP839,"Überbestand "&amp;ROUND(G839-AP839,0)&amp;" Stk / CHF "&amp;ROUND((G839-AP839)*F839,0)&amp;"; ","")&amp;IF(AND(BW839=1,BX839&lt;BY839),"MAX &lt; MB+LG; ","")&amp;IF(AND(CC839&gt;0,CB839*10&gt;CC839),"zu hoch für Tablar; ","")&amp;IF(AND(BN839=0,OR(BW839=1,Y839&lt;&gt;"",S839&lt;&gt;"",T839&lt;&gt;"",Z839&lt;&gt;"")),"manuell übersteuert; ","")&amp;IF(AND(BR839=0,Q839=0),"Gebinde unbekannt / Stellmass fehlt; ","")&amp;IF(AND(BR839=0,N(T839)&lt;=0,N(P839)&lt;=0),"Menge pro Gebinde fehlt (Ist = 1 Gebinde); ","")&amp;BM839)</f>
        <v>negativer Bestand (Export -2); </v>
      </c>
      <c r="BF839" s="55"/>
      <c r="BG839" s="55"/>
      <c r="BH839" s="62"/>
      <c r="BI839" s="57" t="n">
        <v>-2</v>
      </c>
      <c r="BJ839" s="57" t="n">
        <v>46</v>
      </c>
      <c r="BK839" s="56" t="n">
        <v>-12.8999999999999</v>
      </c>
      <c r="BL839" s="57" t="n">
        <v>30</v>
      </c>
      <c r="BM839" s="55"/>
      <c r="BN839" s="60" t="n">
        <v>0</v>
      </c>
      <c r="BO839" s="60" t="n">
        <v>839</v>
      </c>
      <c r="BP839" s="55" t="str">
        <f aca="false">IF(S839&lt;&gt;"",UPPER(TRIM(S839)),IF(O839="","LOSE",O839))</f>
        <v>S62</v>
      </c>
      <c r="BQ839" s="57" t="n">
        <f aca="false">IF(BP839="LOSE",1,IF(N(T839)&gt;0,T839,IF(N(P839)&gt;0,P839,MAX(1,G839))))</f>
        <v>11</v>
      </c>
      <c r="BR839" s="60" t="n">
        <f aca="false">IF(BP839="LOSE",1,0)</f>
        <v>0</v>
      </c>
      <c r="BS839" s="59" t="n">
        <f aca="false">IF(BR839=0,0,IF(N(R839)&gt;0,R839,IFERROR(VLOOKUP(D839,Parameter!$A$35:$C$64,3,0)+0,0)))</f>
        <v>0</v>
      </c>
      <c r="BT839" s="55" t="n">
        <f aca="false">IF(Y839&lt;&gt;"",Y839,X839)</f>
        <v>2</v>
      </c>
      <c r="BU839" s="55" t="str">
        <f aca="false">IF(BT839=1,"L1",IF(OR(BT839=2,BT839=3),"L23",IF(BT839="Aussen","Aussen","-")))</f>
        <v>L23</v>
      </c>
      <c r="BV839" s="66" t="n">
        <f aca="false">IF(N(Z839)&gt;0,Z839,0)</f>
        <v>0</v>
      </c>
      <c r="BW839" s="60" t="n">
        <f aca="false">IF(ISNUMBER(AC839),1,0)</f>
        <v>0</v>
      </c>
      <c r="BX839" s="57" t="n">
        <f aca="false">N(AC839)</f>
        <v>0</v>
      </c>
      <c r="BY839" s="57" t="n">
        <f aca="false">N(L839)+N(M839)</f>
        <v>32</v>
      </c>
      <c r="BZ839" s="57" t="n">
        <f aca="false">ROUNDUP(G839/BQ839,0)</f>
        <v>0</v>
      </c>
      <c r="CA839" s="57" t="n">
        <f aca="false">ROUNDUP(BX839/BQ839,0)</f>
        <v>0</v>
      </c>
      <c r="CB839" s="60" t="n">
        <f aca="false">IF(BR839=1,0,IFERROR(VLOOKUP(BP839,'Gebinde-Kategorie'!$A$5:$M$45,5,0)+0,0))</f>
        <v>21</v>
      </c>
      <c r="CC839" s="60" t="n">
        <f aca="false">IFERROR(IF(OR(BT839=1,BT839=2,BT839=3),N(INDEX(Parameter!$I$5:$I$7,BT839)),0),0)</f>
        <v>0</v>
      </c>
      <c r="CD839" s="59" t="n">
        <f aca="false">IF(AND(Parameter!$B$21="Ja",ISNUMBER(U839),N(V839)&gt;0),IFERROR(N(INDEX(Parameter!$L$5:$L$7,U839))*INDEX(Parameter!$E$5:$E$7,U839)*V839/SUMIFS($V$7:$V$1576,$U$7:$U$1576,U839),0),0)</f>
        <v>0</v>
      </c>
    </row>
    <row r="840" customFormat="false" ht="15" hidden="false" customHeight="false" outlineLevel="0" collapsed="false">
      <c r="A840" s="55" t="s">
        <v>1598</v>
      </c>
      <c r="B840" s="55" t="s">
        <v>1255</v>
      </c>
      <c r="C840" s="55" t="s">
        <v>160</v>
      </c>
      <c r="D840" s="55" t="s">
        <v>178</v>
      </c>
      <c r="E840" s="55" t="s">
        <v>210</v>
      </c>
      <c r="F840" s="56" t="n">
        <v>0.06</v>
      </c>
      <c r="G840" s="57" t="n">
        <f aca="false">MAX(0,IF(AND(Parameter!$B$21="Ja",ISNUMBER(W840)),W840,IF(Parameter!$B$20="Jahresanfang 2025 + Export",BJ840+BI840,BI840)))</f>
        <v>0</v>
      </c>
      <c r="H840" s="57" t="n">
        <f aca="false">G840*F840</f>
        <v>0</v>
      </c>
      <c r="I840" s="57" t="n">
        <f aca="false">BL840*Parameter!$B$18</f>
        <v>94</v>
      </c>
      <c r="J840" s="58" t="n">
        <v>590</v>
      </c>
      <c r="K840" s="59" t="n">
        <v>0.159322033898305</v>
      </c>
      <c r="L840" s="57" t="n">
        <v>5</v>
      </c>
      <c r="M840" s="57" t="n">
        <v>95</v>
      </c>
      <c r="N840" s="60" t="n">
        <v>21</v>
      </c>
      <c r="O840" s="55" t="s">
        <v>465</v>
      </c>
      <c r="P840" s="57" t="n">
        <v>1050</v>
      </c>
      <c r="Q840" s="60" t="n">
        <f aca="false">IF(BR840=1,0,IFERROR(VLOOKUP(BP840,'Gebinde-Kategorie'!$A$5:$M$45,13,0)+0,0))</f>
        <v>66</v>
      </c>
      <c r="R840" s="61"/>
      <c r="S840" s="62"/>
      <c r="T840" s="62"/>
      <c r="U840" s="55"/>
      <c r="V840" s="57"/>
      <c r="W840" s="57"/>
      <c r="X840" s="55" t="n">
        <f aca="false">IF(A840="","",IF(AND(Parameter!$B$21="Ja",ISNUMBER(U840)),U840,IF(IFERROR(VLOOKUP(D840,Parameter!$A$35:$C$64,2,0),"Nein")="2+3",IF(ISNUMBER(SEARCH("grosser Artikel",BM840)),2,IFERROR(VLOOKUP(BP840,Parameter!$F$35:$G$64,2,0),2)),IF(OR(IFERROR(VLOOKUP(D840,Parameter!$A$35:$C$64,2,0),"Nein")="Nein",IFERROR(VLOOKUP(D840,Parameter!$A$35:$C$64,2,0),"Nein")=""),"-",VLOOKUP(D840,Parameter!$A$35:$C$64,2,0)))))</f>
        <v>3</v>
      </c>
      <c r="Y840" s="62"/>
      <c r="Z840" s="63"/>
      <c r="AA840" s="57" t="n">
        <f aca="false">AP840</f>
        <v>1050</v>
      </c>
      <c r="AB840" s="57" t="n">
        <f aca="false">MAX(AP840,G840)</f>
        <v>1050</v>
      </c>
      <c r="AC840" s="64"/>
      <c r="AD840" s="57" t="n">
        <f aca="false">IF(LEFT(Cockpit!$C$5,1)="A",G840,IF(BW840=1,BX840,IF(LEFT(Cockpit!$C$5,1)="B",AH840,MAX(AH840,G840))))</f>
        <v>0</v>
      </c>
      <c r="AE840" s="57" t="n">
        <f aca="false">IF(BR840=1,0,ROUNDUP(AD840/BQ840,0))</f>
        <v>0</v>
      </c>
      <c r="AF840" s="59" t="n">
        <f aca="false">IF(CD840&gt;0,CD840*MAX(1,AD840/V840),IF(BR840=1,IF(AD840&lt;=0,0,BS840*MAX(1,IF(G840&gt;0,AD840/G840,1))),IF(Q840&gt;0,AE840/Q840,0))/MAX(0.1,N(Parameter!$M$21)))</f>
        <v>0</v>
      </c>
      <c r="AG840" s="57" t="n">
        <f aca="false">AD840*F840</f>
        <v>0</v>
      </c>
      <c r="AH840" s="57" t="n">
        <f aca="false">ROUNDUP(MAX(I840/IF(BV840&gt;0,BV840,MAX(0.1,N(Cockpit!$C$6))),BY840)/BQ840,0)*BQ840</f>
        <v>1050</v>
      </c>
      <c r="AI840" s="58" t="n">
        <f aca="false">IF(AF840&gt;0,I840/AF840,-1)</f>
        <v>-1</v>
      </c>
      <c r="AJ840" s="58" t="str">
        <f aca="false">IF(AND(OR(BU840="L1",BU840="L23"),AF840&gt;0),SUMIFS($AF$7:$AF$1576,$BU$7:$BU$1576,BU840,$AI$7:$AI$1576,"&gt;"&amp;AI840)+SUMIFS($AF$7:$AF$1576,$BU$7:$BU$1576,BU840,$AI$7:$AI$1576,AI840,$BO$7:$BO$1576,"&lt;="&amp;BO840),"")</f>
        <v/>
      </c>
      <c r="AK840" s="65" t="n">
        <f aca="false">IF(AJ840="",0,MAX(0,MIN(1,(IF(BU840="L1",Parameter!$E$5,Parameter!$E$6+Parameter!$E$7)-(AJ840-AF840))/AF840)))</f>
        <v>0</v>
      </c>
      <c r="AL840" s="57" t="n">
        <f aca="false">IF(LEFT(Cockpit!$I$5,1)="A",G840,IF(BW840=1,BX840,IF(LEFT(Cockpit!$I$5,1)="B",AP840,MAX(AP840,G840))))</f>
        <v>1050</v>
      </c>
      <c r="AM840" s="57" t="n">
        <f aca="false">IF(BR840=1,0,ROUNDUP(AL840/BQ840,0))</f>
        <v>1</v>
      </c>
      <c r="AN840" s="59" t="n">
        <f aca="false">IF(CD840&gt;0,CD840*MAX(1,AL840/V840),IF(BR840=1,IF(AL840&lt;=0,0,BS840*MAX(1,IF(G840&gt;0,AL840/G840,1))),IF(Q840&gt;0,AM840/Q840,0))/MAX(0.1,N(Parameter!$M$21)))</f>
        <v>0.0151515151515152</v>
      </c>
      <c r="AO840" s="57" t="n">
        <f aca="false">AL840*F840</f>
        <v>63</v>
      </c>
      <c r="AP840" s="57" t="n">
        <f aca="false">ROUNDUP(MAX(I840/IF(BV840&gt;0,BV840,MAX(0.1,N(Cockpit!$I$6))),BY840)/BQ840,0)*BQ840</f>
        <v>1050</v>
      </c>
      <c r="AQ840" s="58" t="n">
        <f aca="false">IF(AN840&gt;0,I840/AN840,-1)</f>
        <v>6204</v>
      </c>
      <c r="AR840" s="58" t="n">
        <f aca="false">IF(AND(OR(BU840="L1",BU840="L23"),AN840&gt;0),SUMIFS($AN$7:$AN$1576,$BU$7:$BU$1576,BU840,$AQ$7:$AQ$1576,"&gt;"&amp;AQ840)+SUMIFS($AN$7:$AN$1576,$BU$7:$BU$1576,BU840,$AQ$7:$AQ$1576,AQ840,$BO$7:$BO$1576,"&lt;="&amp;BO840),"")</f>
        <v>10.5732313705618</v>
      </c>
      <c r="AS840" s="65" t="n">
        <f aca="false">IF(AR840="",0,MAX(0,MIN(1,(IF(BU840="L1",Parameter!$E$5,Parameter!$E$6+Parameter!$E$7)-(AR840-AN840))/AN840)))</f>
        <v>1</v>
      </c>
      <c r="AT840" s="57" t="n">
        <f aca="false">IF(LEFT(Cockpit!$O$5,1)="A",G840,IF(BW840=1,BX840,IF(LEFT(Cockpit!$O$5,1)="B",AX840,MAX(AX840,G840))))</f>
        <v>1050</v>
      </c>
      <c r="AU840" s="57" t="n">
        <f aca="false">IF(BR840=1,0,ROUNDUP(AT840/BQ840,0))</f>
        <v>1</v>
      </c>
      <c r="AV840" s="59" t="n">
        <f aca="false">IF(CD840&gt;0,CD840*MAX(1,AT840/V840),IF(BR840=1,IF(AT840&lt;=0,0,BS840*MAX(1,IF(G840&gt;0,AT840/G840,1))),IF(Q840&gt;0,AU840/Q840,0))/MAX(0.1,N(Parameter!$M$21)))</f>
        <v>0.0151515151515152</v>
      </c>
      <c r="AW840" s="57" t="n">
        <f aca="false">AT840*F840</f>
        <v>63</v>
      </c>
      <c r="AX840" s="57" t="n">
        <f aca="false">ROUNDUP(MAX(I840/IF(BV840&gt;0,BV840,MAX(0.1,N(Cockpit!$O$6))),BY840)/BQ840,0)*BQ840</f>
        <v>1050</v>
      </c>
      <c r="AY840" s="58" t="n">
        <f aca="false">IF(AV840&gt;0,I840/AV840,-1)</f>
        <v>6204</v>
      </c>
      <c r="AZ840" s="58" t="n">
        <f aca="false">IF(AND(OR(BU840="L1",BU840="L23"),AV840&gt;0),SUMIFS($AV$7:$AV$1576,$BU$7:$BU$1576,BU840,$AY$7:$AY$1576,"&gt;"&amp;AY840)+SUMIFS($AV$7:$AV$1576,$BU$7:$BU$1576,BU840,$AY$7:$AY$1576,AY840,$BO$7:$BO$1576,"&lt;="&amp;BO840),"")</f>
        <v>9.75563230296274</v>
      </c>
      <c r="BA840" s="65" t="n">
        <f aca="false">IF(AZ840="",0,MAX(0,MIN(1,(IF(BU840="L1",Parameter!$E$5,Parameter!$E$6+Parameter!$E$7)-(AZ840-AV840))/AV840)))</f>
        <v>1</v>
      </c>
      <c r="BB840" s="55" t="str">
        <f aca="false">IF(AF840&lt;=0,"",IF(BU840="Aussen","Aussenlager",IF(BU840="-","Nicht im Lift",IF(AK840&gt;=1,"Lift",IF(AK840&lt;=0,"Aussenlager","teilweise")))))</f>
        <v/>
      </c>
      <c r="BC840" s="55" t="str">
        <f aca="false">IF(AN840&lt;=0,"",IF(BU840="Aussen","Aussenlager",IF(BU840="-","Nicht im Lift",IF(AS840&gt;=1,"Lift",IF(AS840&lt;=0,"Aussenlager","teilweise")))))</f>
        <v>Lift</v>
      </c>
      <c r="BD840" s="55" t="str">
        <f aca="false">IF(AV840&lt;=0,"",IF(BU840="Aussen","Aussenlager",IF(BU840="-","Nicht im Lift",IF(BA840&gt;=1,"Lift",IF(BA840&lt;=0,"Aussenlager","teilweise")))))</f>
        <v>Lift</v>
      </c>
      <c r="BE840" s="55" t="str">
        <f aca="false">IF(A840="","",IF(BN840=1,"Neu; ","")&amp;IF(AND(BN840=0,BI840&lt;0),"negativer Bestand (Export "&amp;BI840&amp;"); ","")&amp;IF(I840&lt;=0,"Kein Verbrauch; ","")&amp;IF(CD840&gt;0,"Lift "&amp;U840&amp;" lt. Liftbericht (Fach "&amp;V840&amp;" Stk); ",IF(BR840=1,"Lose – Fläche geschätzt; ",""))&amp;IF(G840&gt;AP840,"Überbestand "&amp;ROUND(G840-AP840,0)&amp;" Stk / CHF "&amp;ROUND((G840-AP840)*F840,0)&amp;"; ","")&amp;IF(AND(BW840=1,BX840&lt;BY840),"MAX &lt; MB+LG; ","")&amp;IF(AND(CC840&gt;0,CB840*10&gt;CC840),"zu hoch für Tablar; ","")&amp;IF(AND(BN840=0,OR(BW840=1,Y840&lt;&gt;"",S840&lt;&gt;"",T840&lt;&gt;"",Z840&lt;&gt;"")),"manuell übersteuert; ","")&amp;IF(AND(BR840=0,Q840=0),"Gebinde unbekannt / Stellmass fehlt; ","")&amp;IF(AND(BR840=0,N(T840)&lt;=0,N(P840)&lt;=0),"Menge pro Gebinde fehlt (Ist = 1 Gebinde); ","")&amp;BM840)</f>
        <v>negativer Bestand (Export -219); Neu</v>
      </c>
      <c r="BF840" s="55"/>
      <c r="BG840" s="55"/>
      <c r="BH840" s="62"/>
      <c r="BI840" s="57" t="n">
        <v>-219</v>
      </c>
      <c r="BJ840" s="57" t="n">
        <v>652</v>
      </c>
      <c r="BK840" s="56" t="n">
        <v>-13.14</v>
      </c>
      <c r="BL840" s="57" t="n">
        <v>94</v>
      </c>
      <c r="BM840" s="55" t="s">
        <v>615</v>
      </c>
      <c r="BN840" s="60" t="n">
        <v>0</v>
      </c>
      <c r="BO840" s="60" t="n">
        <v>840</v>
      </c>
      <c r="BP840" s="55" t="str">
        <f aca="false">IF(S840&lt;&gt;"",UPPER(TRIM(S840)),IF(O840="","LOSE",O840))</f>
        <v>S33</v>
      </c>
      <c r="BQ840" s="57" t="n">
        <f aca="false">IF(BP840="LOSE",1,IF(N(T840)&gt;0,T840,IF(N(P840)&gt;0,P840,MAX(1,G840))))</f>
        <v>1050</v>
      </c>
      <c r="BR840" s="60" t="n">
        <f aca="false">IF(BP840="LOSE",1,0)</f>
        <v>0</v>
      </c>
      <c r="BS840" s="59" t="n">
        <f aca="false">IF(BR840=0,0,IF(N(R840)&gt;0,R840,IFERROR(VLOOKUP(D840,Parameter!$A$35:$C$64,3,0)+0,0)))</f>
        <v>0</v>
      </c>
      <c r="BT840" s="55" t="n">
        <f aca="false">IF(Y840&lt;&gt;"",Y840,X840)</f>
        <v>3</v>
      </c>
      <c r="BU840" s="55" t="str">
        <f aca="false">IF(BT840=1,"L1",IF(OR(BT840=2,BT840=3),"L23",IF(BT840="Aussen","Aussen","-")))</f>
        <v>L23</v>
      </c>
      <c r="BV840" s="66" t="n">
        <f aca="false">IF(N(Z840)&gt;0,Z840,0)</f>
        <v>0</v>
      </c>
      <c r="BW840" s="60" t="n">
        <f aca="false">IF(ISNUMBER(AC840),1,0)</f>
        <v>0</v>
      </c>
      <c r="BX840" s="57" t="n">
        <f aca="false">N(AC840)</f>
        <v>0</v>
      </c>
      <c r="BY840" s="57" t="n">
        <f aca="false">N(L840)+N(M840)</f>
        <v>100</v>
      </c>
      <c r="BZ840" s="57" t="n">
        <f aca="false">ROUNDUP(G840/BQ840,0)</f>
        <v>0</v>
      </c>
      <c r="CA840" s="57" t="n">
        <f aca="false">ROUNDUP(BX840/BQ840,0)</f>
        <v>0</v>
      </c>
      <c r="CB840" s="60" t="n">
        <f aca="false">IF(BR840=1,0,IFERROR(VLOOKUP(BP840,'Gebinde-Kategorie'!$A$5:$M$45,5,0)+0,0))</f>
        <v>8</v>
      </c>
      <c r="CC840" s="60" t="n">
        <f aca="false">IFERROR(IF(OR(BT840=1,BT840=2,BT840=3),N(INDEX(Parameter!$I$5:$I$7,BT840)),0),0)</f>
        <v>0</v>
      </c>
      <c r="CD840" s="59" t="n">
        <f aca="false">IF(AND(Parameter!$B$21="Ja",ISNUMBER(U840),N(V840)&gt;0),IFERROR(N(INDEX(Parameter!$L$5:$L$7,U840))*INDEX(Parameter!$E$5:$E$7,U840)*V840/SUMIFS($V$7:$V$1576,$U$7:$U$1576,U840),0),0)</f>
        <v>0</v>
      </c>
    </row>
    <row r="841" customFormat="false" ht="15" hidden="false" customHeight="false" outlineLevel="0" collapsed="false">
      <c r="A841" s="55" t="s">
        <v>1599</v>
      </c>
      <c r="B841" s="55" t="s">
        <v>1482</v>
      </c>
      <c r="C841" s="55" t="s">
        <v>160</v>
      </c>
      <c r="D841" s="55" t="s">
        <v>178</v>
      </c>
      <c r="E841" s="55" t="s">
        <v>210</v>
      </c>
      <c r="F841" s="56" t="n">
        <v>0.02</v>
      </c>
      <c r="G841" s="57" t="n">
        <f aca="false">MAX(0,IF(AND(Parameter!$B$21="Ja",ISNUMBER(W841)),W841,IF(Parameter!$B$20="Jahresanfang 2025 + Export",BJ841+BI841,BI841)))</f>
        <v>0</v>
      </c>
      <c r="H841" s="57" t="n">
        <f aca="false">G841*F841</f>
        <v>0</v>
      </c>
      <c r="I841" s="57" t="n">
        <f aca="false">BL841*Parameter!$B$18</f>
        <v>301</v>
      </c>
      <c r="J841" s="58" t="n">
        <v>837</v>
      </c>
      <c r="K841" s="59" t="n">
        <v>0.359617682198327</v>
      </c>
      <c r="L841" s="57" t="n">
        <v>17</v>
      </c>
      <c r="M841" s="57" t="n">
        <v>300</v>
      </c>
      <c r="N841" s="60" t="n">
        <v>21</v>
      </c>
      <c r="O841" s="55" t="s">
        <v>391</v>
      </c>
      <c r="P841" s="57" t="n">
        <v>1000</v>
      </c>
      <c r="Q841" s="60" t="n">
        <f aca="false">IF(BR841=1,0,IFERROR(VLOOKUP(BP841,'Gebinde-Kategorie'!$A$5:$M$45,13,0)+0,0))</f>
        <v>414</v>
      </c>
      <c r="R841" s="61"/>
      <c r="S841" s="62"/>
      <c r="T841" s="62"/>
      <c r="U841" s="55"/>
      <c r="V841" s="57"/>
      <c r="W841" s="57"/>
      <c r="X841" s="55" t="n">
        <f aca="false">IF(A841="","",IF(AND(Parameter!$B$21="Ja",ISNUMBER(U841)),U841,IF(IFERROR(VLOOKUP(D841,Parameter!$A$35:$C$64,2,0),"Nein")="2+3",IF(ISNUMBER(SEARCH("grosser Artikel",BM841)),2,IFERROR(VLOOKUP(BP841,Parameter!$F$35:$G$64,2,0),2)),IF(OR(IFERROR(VLOOKUP(D841,Parameter!$A$35:$C$64,2,0),"Nein")="Nein",IFERROR(VLOOKUP(D841,Parameter!$A$35:$C$64,2,0),"Nein")=""),"-",VLOOKUP(D841,Parameter!$A$35:$C$64,2,0)))))</f>
        <v>3</v>
      </c>
      <c r="Y841" s="62"/>
      <c r="Z841" s="63"/>
      <c r="AA841" s="57" t="n">
        <f aca="false">AP841</f>
        <v>1000</v>
      </c>
      <c r="AB841" s="57" t="n">
        <f aca="false">MAX(AP841,G841)</f>
        <v>1000</v>
      </c>
      <c r="AC841" s="64"/>
      <c r="AD841" s="57" t="n">
        <f aca="false">IF(LEFT(Cockpit!$C$5,1)="A",G841,IF(BW841=1,BX841,IF(LEFT(Cockpit!$C$5,1)="B",AH841,MAX(AH841,G841))))</f>
        <v>0</v>
      </c>
      <c r="AE841" s="57" t="n">
        <f aca="false">IF(BR841=1,0,ROUNDUP(AD841/BQ841,0))</f>
        <v>0</v>
      </c>
      <c r="AF841" s="59" t="n">
        <f aca="false">IF(CD841&gt;0,CD841*MAX(1,AD841/V841),IF(BR841=1,IF(AD841&lt;=0,0,BS841*MAX(1,IF(G841&gt;0,AD841/G841,1))),IF(Q841&gt;0,AE841/Q841,0))/MAX(0.1,N(Parameter!$M$21)))</f>
        <v>0</v>
      </c>
      <c r="AG841" s="57" t="n">
        <f aca="false">AD841*F841</f>
        <v>0</v>
      </c>
      <c r="AH841" s="57" t="n">
        <f aca="false">ROUNDUP(MAX(I841/IF(BV841&gt;0,BV841,MAX(0.1,N(Cockpit!$C$6))),BY841)/BQ841,0)*BQ841</f>
        <v>1000</v>
      </c>
      <c r="AI841" s="58" t="n">
        <f aca="false">IF(AF841&gt;0,I841/AF841,-1)</f>
        <v>-1</v>
      </c>
      <c r="AJ841" s="58" t="str">
        <f aca="false">IF(AND(OR(BU841="L1",BU841="L23"),AF841&gt;0),SUMIFS($AF$7:$AF$1576,$BU$7:$BU$1576,BU841,$AI$7:$AI$1576,"&gt;"&amp;AI841)+SUMIFS($AF$7:$AF$1576,$BU$7:$BU$1576,BU841,$AI$7:$AI$1576,AI841,$BO$7:$BO$1576,"&lt;="&amp;BO841),"")</f>
        <v/>
      </c>
      <c r="AK841" s="65" t="n">
        <f aca="false">IF(AJ841="",0,MAX(0,MIN(1,(IF(BU841="L1",Parameter!$E$5,Parameter!$E$6+Parameter!$E$7)-(AJ841-AF841))/AF841)))</f>
        <v>0</v>
      </c>
      <c r="AL841" s="57" t="n">
        <f aca="false">IF(LEFT(Cockpit!$I$5,1)="A",G841,IF(BW841=1,BX841,IF(LEFT(Cockpit!$I$5,1)="B",AP841,MAX(AP841,G841))))</f>
        <v>1000</v>
      </c>
      <c r="AM841" s="57" t="n">
        <f aca="false">IF(BR841=1,0,ROUNDUP(AL841/BQ841,0))</f>
        <v>1</v>
      </c>
      <c r="AN841" s="59" t="n">
        <f aca="false">IF(CD841&gt;0,CD841*MAX(1,AL841/V841),IF(BR841=1,IF(AL841&lt;=0,0,BS841*MAX(1,IF(G841&gt;0,AL841/G841,1))),IF(Q841&gt;0,AM841/Q841,0))/MAX(0.1,N(Parameter!$M$21)))</f>
        <v>0.00241545893719807</v>
      </c>
      <c r="AO841" s="57" t="n">
        <f aca="false">AL841*F841</f>
        <v>20</v>
      </c>
      <c r="AP841" s="57" t="n">
        <f aca="false">ROUNDUP(MAX(I841/IF(BV841&gt;0,BV841,MAX(0.1,N(Cockpit!$I$6))),BY841)/BQ841,0)*BQ841</f>
        <v>1000</v>
      </c>
      <c r="AQ841" s="58" t="n">
        <f aca="false">IF(AN841&gt;0,I841/AN841,-1)</f>
        <v>124614</v>
      </c>
      <c r="AR841" s="58" t="n">
        <f aca="false">IF(AND(OR(BU841="L1",BU841="L23"),AN841&gt;0),SUMIFS($AN$7:$AN$1576,$BU$7:$BU$1576,BU841,$AQ$7:$AQ$1576,"&gt;"&amp;AQ841)+SUMIFS($AN$7:$AN$1576,$BU$7:$BU$1576,BU841,$AQ$7:$AQ$1576,AQ841,$BO$7:$BO$1576,"&lt;="&amp;BO841),"")</f>
        <v>0.193616769703726</v>
      </c>
      <c r="AS841" s="65" t="n">
        <f aca="false">IF(AR841="",0,MAX(0,MIN(1,(IF(BU841="L1",Parameter!$E$5,Parameter!$E$6+Parameter!$E$7)-(AR841-AN841))/AN841)))</f>
        <v>1</v>
      </c>
      <c r="AT841" s="57" t="n">
        <f aca="false">IF(LEFT(Cockpit!$O$5,1)="A",G841,IF(BW841=1,BX841,IF(LEFT(Cockpit!$O$5,1)="B",AX841,MAX(AX841,G841))))</f>
        <v>1000</v>
      </c>
      <c r="AU841" s="57" t="n">
        <f aca="false">IF(BR841=1,0,ROUNDUP(AT841/BQ841,0))</f>
        <v>1</v>
      </c>
      <c r="AV841" s="59" t="n">
        <f aca="false">IF(CD841&gt;0,CD841*MAX(1,AT841/V841),IF(BR841=1,IF(AT841&lt;=0,0,BS841*MAX(1,IF(G841&gt;0,AT841/G841,1))),IF(Q841&gt;0,AU841/Q841,0))/MAX(0.1,N(Parameter!$M$21)))</f>
        <v>0.00241545893719807</v>
      </c>
      <c r="AW841" s="57" t="n">
        <f aca="false">AT841*F841</f>
        <v>20</v>
      </c>
      <c r="AX841" s="57" t="n">
        <f aca="false">ROUNDUP(MAX(I841/IF(BV841&gt;0,BV841,MAX(0.1,N(Cockpit!$O$6))),BY841)/BQ841,0)*BQ841</f>
        <v>1000</v>
      </c>
      <c r="AY841" s="58" t="n">
        <f aca="false">IF(AV841&gt;0,I841/AV841,-1)</f>
        <v>124614</v>
      </c>
      <c r="AZ841" s="58" t="n">
        <f aca="false">IF(AND(OR(BU841="L1",BU841="L23"),AV841&gt;0),SUMIFS($AV$7:$AV$1576,$BU$7:$BU$1576,BU841,$AY$7:$AY$1576,"&gt;"&amp;AY841)+SUMIFS($AV$7:$AV$1576,$BU$7:$BU$1576,BU841,$AY$7:$AY$1576,AY841,$BO$7:$BO$1576,"&lt;="&amp;BO841),"")</f>
        <v>0.193616769703726</v>
      </c>
      <c r="BA841" s="65" t="n">
        <f aca="false">IF(AZ841="",0,MAX(0,MIN(1,(IF(BU841="L1",Parameter!$E$5,Parameter!$E$6+Parameter!$E$7)-(AZ841-AV841))/AV841)))</f>
        <v>1</v>
      </c>
      <c r="BB841" s="55" t="str">
        <f aca="false">IF(AF841&lt;=0,"",IF(BU841="Aussen","Aussenlager",IF(BU841="-","Nicht im Lift",IF(AK841&gt;=1,"Lift",IF(AK841&lt;=0,"Aussenlager","teilweise")))))</f>
        <v/>
      </c>
      <c r="BC841" s="55" t="str">
        <f aca="false">IF(AN841&lt;=0,"",IF(BU841="Aussen","Aussenlager",IF(BU841="-","Nicht im Lift",IF(AS841&gt;=1,"Lift",IF(AS841&lt;=0,"Aussenlager","teilweise")))))</f>
        <v>Lift</v>
      </c>
      <c r="BD841" s="55" t="str">
        <f aca="false">IF(AV841&lt;=0,"",IF(BU841="Aussen","Aussenlager",IF(BU841="-","Nicht im Lift",IF(BA841&gt;=1,"Lift",IF(BA841&lt;=0,"Aussenlager","teilweise")))))</f>
        <v>Lift</v>
      </c>
      <c r="BE841" s="55" t="str">
        <f aca="false">IF(A841="","",IF(BN841=1,"Neu; ","")&amp;IF(AND(BN841=0,BI841&lt;0),"negativer Bestand (Export "&amp;BI841&amp;"); ","")&amp;IF(I841&lt;=0,"Kein Verbrauch; ","")&amp;IF(CD841&gt;0,"Lift "&amp;U841&amp;" lt. Liftbericht (Fach "&amp;V841&amp;" Stk); ",IF(BR841=1,"Lose – Fläche geschätzt; ",""))&amp;IF(G841&gt;AP841,"Überbestand "&amp;ROUND(G841-AP841,0)&amp;" Stk / CHF "&amp;ROUND((G841-AP841)*F841,0)&amp;"; ","")&amp;IF(AND(BW841=1,BX841&lt;BY841),"MAX &lt; MB+LG; ","")&amp;IF(AND(CC841&gt;0,CB841*10&gt;CC841),"zu hoch für Tablar; ","")&amp;IF(AND(BN841=0,OR(BW841=1,Y841&lt;&gt;"",S841&lt;&gt;"",T841&lt;&gt;"",Z841&lt;&gt;"")),"manuell übersteuert; ","")&amp;IF(AND(BR841=0,Q841=0),"Gebinde unbekannt / Stellmass fehlt; ","")&amp;IF(AND(BR841=0,N(T841)&lt;=0,N(P841)&lt;=0),"Menge pro Gebinde fehlt (Ist = 1 Gebinde); ","")&amp;BM841)</f>
        <v>negativer Bestand (Export -1393); </v>
      </c>
      <c r="BF841" s="55"/>
      <c r="BG841" s="55"/>
      <c r="BH841" s="62"/>
      <c r="BI841" s="57" t="n">
        <v>-1393</v>
      </c>
      <c r="BJ841" s="57" t="n">
        <v>1454</v>
      </c>
      <c r="BK841" s="56" t="n">
        <v>-13.32</v>
      </c>
      <c r="BL841" s="57" t="n">
        <v>301</v>
      </c>
      <c r="BM841" s="55"/>
      <c r="BN841" s="60" t="n">
        <v>0</v>
      </c>
      <c r="BO841" s="60" t="n">
        <v>841</v>
      </c>
      <c r="BP841" s="55" t="str">
        <f aca="false">IF(S841&lt;&gt;"",UPPER(TRIM(S841)),IF(O841="","LOSE",O841))</f>
        <v>S21</v>
      </c>
      <c r="BQ841" s="57" t="n">
        <f aca="false">IF(BP841="LOSE",1,IF(N(T841)&gt;0,T841,IF(N(P841)&gt;0,P841,MAX(1,G841))))</f>
        <v>1000</v>
      </c>
      <c r="BR841" s="60" t="n">
        <f aca="false">IF(BP841="LOSE",1,0)</f>
        <v>0</v>
      </c>
      <c r="BS841" s="59" t="n">
        <f aca="false">IF(BR841=0,0,IF(N(R841)&gt;0,R841,IFERROR(VLOOKUP(D841,Parameter!$A$35:$C$64,3,0)+0,0)))</f>
        <v>0</v>
      </c>
      <c r="BT841" s="55" t="n">
        <f aca="false">IF(Y841&lt;&gt;"",Y841,X841)</f>
        <v>3</v>
      </c>
      <c r="BU841" s="55" t="str">
        <f aca="false">IF(BT841=1,"L1",IF(OR(BT841=2,BT841=3),"L23",IF(BT841="Aussen","Aussen","-")))</f>
        <v>L23</v>
      </c>
      <c r="BV841" s="66" t="n">
        <f aca="false">IF(N(Z841)&gt;0,Z841,0)</f>
        <v>0</v>
      </c>
      <c r="BW841" s="60" t="n">
        <f aca="false">IF(ISNUMBER(AC841),1,0)</f>
        <v>0</v>
      </c>
      <c r="BX841" s="57" t="n">
        <f aca="false">N(AC841)</f>
        <v>0</v>
      </c>
      <c r="BY841" s="57" t="n">
        <f aca="false">N(L841)+N(M841)</f>
        <v>317</v>
      </c>
      <c r="BZ841" s="57" t="n">
        <f aca="false">ROUNDUP(G841/BQ841,0)</f>
        <v>0</v>
      </c>
      <c r="CA841" s="57" t="n">
        <f aca="false">ROUNDUP(BX841/BQ841,0)</f>
        <v>0</v>
      </c>
      <c r="CB841" s="60" t="n">
        <f aca="false">IF(BR841=1,0,IFERROR(VLOOKUP(BP841,'Gebinde-Kategorie'!$A$5:$M$45,5,0)+0,0))</f>
        <v>8</v>
      </c>
      <c r="CC841" s="60" t="n">
        <f aca="false">IFERROR(IF(OR(BT841=1,BT841=2,BT841=3),N(INDEX(Parameter!$I$5:$I$7,BT841)),0),0)</f>
        <v>0</v>
      </c>
      <c r="CD841" s="59" t="n">
        <f aca="false">IF(AND(Parameter!$B$21="Ja",ISNUMBER(U841),N(V841)&gt;0),IFERROR(N(INDEX(Parameter!$L$5:$L$7,U841))*INDEX(Parameter!$E$5:$E$7,U841)*V841/SUMIFS($V$7:$V$1576,$U$7:$U$1576,U841),0),0)</f>
        <v>0</v>
      </c>
    </row>
    <row r="842" customFormat="false" ht="15" hidden="false" customHeight="false" outlineLevel="0" collapsed="false">
      <c r="A842" s="55" t="s">
        <v>1600</v>
      </c>
      <c r="B842" s="55" t="s">
        <v>397</v>
      </c>
      <c r="C842" s="55" t="s">
        <v>160</v>
      </c>
      <c r="D842" s="55" t="s">
        <v>178</v>
      </c>
      <c r="E842" s="55" t="s">
        <v>210</v>
      </c>
      <c r="F842" s="56" t="n">
        <v>0.02</v>
      </c>
      <c r="G842" s="57" t="n">
        <f aca="false">MAX(0,IF(AND(Parameter!$B$21="Ja",ISNUMBER(W842)),W842,IF(Parameter!$B$20="Jahresanfang 2025 + Export",BJ842+BI842,BI842)))</f>
        <v>0</v>
      </c>
      <c r="H842" s="57" t="n">
        <f aca="false">G842*F842</f>
        <v>0</v>
      </c>
      <c r="I842" s="57" t="n">
        <f aca="false">BL842*Parameter!$B$18</f>
        <v>7159</v>
      </c>
      <c r="J842" s="58" t="n">
        <v>2330.5</v>
      </c>
      <c r="K842" s="59" t="n">
        <v>3.07187298862905</v>
      </c>
      <c r="L842" s="57" t="n">
        <v>417</v>
      </c>
      <c r="M842" s="57" t="n">
        <v>2000</v>
      </c>
      <c r="N842" s="60" t="n">
        <v>21</v>
      </c>
      <c r="O842" s="55" t="s">
        <v>319</v>
      </c>
      <c r="P842" s="57" t="n">
        <v>3706</v>
      </c>
      <c r="Q842" s="60" t="n">
        <f aca="false">IF(BR842=1,0,IFERROR(VLOOKUP(BP842,'Gebinde-Kategorie'!$A$5:$M$45,13,0)+0,0))</f>
        <v>52</v>
      </c>
      <c r="R842" s="61"/>
      <c r="S842" s="62"/>
      <c r="T842" s="62"/>
      <c r="U842" s="55"/>
      <c r="V842" s="57"/>
      <c r="W842" s="57"/>
      <c r="X842" s="55" t="n">
        <f aca="false">IF(A842="","",IF(AND(Parameter!$B$21="Ja",ISNUMBER(U842)),U842,IF(IFERROR(VLOOKUP(D842,Parameter!$A$35:$C$64,2,0),"Nein")="2+3",IF(ISNUMBER(SEARCH("grosser Artikel",BM842)),2,IFERROR(VLOOKUP(BP842,Parameter!$F$35:$G$64,2,0),2)),IF(OR(IFERROR(VLOOKUP(D842,Parameter!$A$35:$C$64,2,0),"Nein")="Nein",IFERROR(VLOOKUP(D842,Parameter!$A$35:$C$64,2,0),"Nein")=""),"-",VLOOKUP(D842,Parameter!$A$35:$C$64,2,0)))))</f>
        <v>3</v>
      </c>
      <c r="Y842" s="62"/>
      <c r="Z842" s="63"/>
      <c r="AA842" s="57" t="n">
        <f aca="false">AP842</f>
        <v>3706</v>
      </c>
      <c r="AB842" s="57" t="n">
        <f aca="false">MAX(AP842,G842)</f>
        <v>3706</v>
      </c>
      <c r="AC842" s="64"/>
      <c r="AD842" s="57" t="n">
        <f aca="false">IF(LEFT(Cockpit!$C$5,1)="A",G842,IF(BW842=1,BX842,IF(LEFT(Cockpit!$C$5,1)="B",AH842,MAX(AH842,G842))))</f>
        <v>0</v>
      </c>
      <c r="AE842" s="57" t="n">
        <f aca="false">IF(BR842=1,0,ROUNDUP(AD842/BQ842,0))</f>
        <v>0</v>
      </c>
      <c r="AF842" s="59" t="n">
        <f aca="false">IF(CD842&gt;0,CD842*MAX(1,AD842/V842),IF(BR842=1,IF(AD842&lt;=0,0,BS842*MAX(1,IF(G842&gt;0,AD842/G842,1))),IF(Q842&gt;0,AE842/Q842,0))/MAX(0.1,N(Parameter!$M$21)))</f>
        <v>0</v>
      </c>
      <c r="AG842" s="57" t="n">
        <f aca="false">AD842*F842</f>
        <v>0</v>
      </c>
      <c r="AH842" s="57" t="n">
        <f aca="false">ROUNDUP(MAX(I842/IF(BV842&gt;0,BV842,MAX(0.1,N(Cockpit!$C$6))),BY842)/BQ842,0)*BQ842</f>
        <v>3706</v>
      </c>
      <c r="AI842" s="58" t="n">
        <f aca="false">IF(AF842&gt;0,I842/AF842,-1)</f>
        <v>-1</v>
      </c>
      <c r="AJ842" s="58" t="str">
        <f aca="false">IF(AND(OR(BU842="L1",BU842="L23"),AF842&gt;0),SUMIFS($AF$7:$AF$1576,$BU$7:$BU$1576,BU842,$AI$7:$AI$1576,"&gt;"&amp;AI842)+SUMIFS($AF$7:$AF$1576,$BU$7:$BU$1576,BU842,$AI$7:$AI$1576,AI842,$BO$7:$BO$1576,"&lt;="&amp;BO842),"")</f>
        <v/>
      </c>
      <c r="AK842" s="65" t="n">
        <f aca="false">IF(AJ842="",0,MAX(0,MIN(1,(IF(BU842="L1",Parameter!$E$5,Parameter!$E$6+Parameter!$E$7)-(AJ842-AF842))/AF842)))</f>
        <v>0</v>
      </c>
      <c r="AL842" s="57" t="n">
        <f aca="false">IF(LEFT(Cockpit!$I$5,1)="A",G842,IF(BW842=1,BX842,IF(LEFT(Cockpit!$I$5,1)="B",AP842,MAX(AP842,G842))))</f>
        <v>3706</v>
      </c>
      <c r="AM842" s="57" t="n">
        <f aca="false">IF(BR842=1,0,ROUNDUP(AL842/BQ842,0))</f>
        <v>1</v>
      </c>
      <c r="AN842" s="59" t="n">
        <f aca="false">IF(CD842&gt;0,CD842*MAX(1,AL842/V842),IF(BR842=1,IF(AL842&lt;=0,0,BS842*MAX(1,IF(G842&gt;0,AL842/G842,1))),IF(Q842&gt;0,AM842/Q842,0))/MAX(0.1,N(Parameter!$M$21)))</f>
        <v>0.0192307692307692</v>
      </c>
      <c r="AO842" s="57" t="n">
        <f aca="false">AL842*F842</f>
        <v>74.12</v>
      </c>
      <c r="AP842" s="57" t="n">
        <f aca="false">ROUNDUP(MAX(I842/IF(BV842&gt;0,BV842,MAX(0.1,N(Cockpit!$I$6))),BY842)/BQ842,0)*BQ842</f>
        <v>3706</v>
      </c>
      <c r="AQ842" s="58" t="n">
        <f aca="false">IF(AN842&gt;0,I842/AN842,-1)</f>
        <v>372268</v>
      </c>
      <c r="AR842" s="58" t="n">
        <f aca="false">IF(AND(OR(BU842="L1",BU842="L23"),AN842&gt;0),SUMIFS($AN$7:$AN$1576,$BU$7:$BU$1576,BU842,$AQ$7:$AQ$1576,"&gt;"&amp;AQ842)+SUMIFS($AN$7:$AN$1576,$BU$7:$BU$1576,BU842,$AQ$7:$AQ$1576,AQ842,$BO$7:$BO$1576,"&lt;="&amp;BO842),"")</f>
        <v>0.0343822843822844</v>
      </c>
      <c r="AS842" s="65" t="n">
        <f aca="false">IF(AR842="",0,MAX(0,MIN(1,(IF(BU842="L1",Parameter!$E$5,Parameter!$E$6+Parameter!$E$7)-(AR842-AN842))/AN842)))</f>
        <v>1</v>
      </c>
      <c r="AT842" s="57" t="n">
        <f aca="false">IF(LEFT(Cockpit!$O$5,1)="A",G842,IF(BW842=1,BX842,IF(LEFT(Cockpit!$O$5,1)="B",AX842,MAX(AX842,G842))))</f>
        <v>3706</v>
      </c>
      <c r="AU842" s="57" t="n">
        <f aca="false">IF(BR842=1,0,ROUNDUP(AT842/BQ842,0))</f>
        <v>1</v>
      </c>
      <c r="AV842" s="59" t="n">
        <f aca="false">IF(CD842&gt;0,CD842*MAX(1,AT842/V842),IF(BR842=1,IF(AT842&lt;=0,0,BS842*MAX(1,IF(G842&gt;0,AT842/G842,1))),IF(Q842&gt;0,AU842/Q842,0))/MAX(0.1,N(Parameter!$M$21)))</f>
        <v>0.0192307692307692</v>
      </c>
      <c r="AW842" s="57" t="n">
        <f aca="false">AT842*F842</f>
        <v>74.12</v>
      </c>
      <c r="AX842" s="57" t="n">
        <f aca="false">ROUNDUP(MAX(I842/IF(BV842&gt;0,BV842,MAX(0.1,N(Cockpit!$O$6))),BY842)/BQ842,0)*BQ842</f>
        <v>3706</v>
      </c>
      <c r="AY842" s="58" t="n">
        <f aca="false">IF(AV842&gt;0,I842/AV842,-1)</f>
        <v>372268</v>
      </c>
      <c r="AZ842" s="58" t="n">
        <f aca="false">IF(AND(OR(BU842="L1",BU842="L23"),AV842&gt;0),SUMIFS($AV$7:$AV$1576,$BU$7:$BU$1576,BU842,$AY$7:$AY$1576,"&gt;"&amp;AY842)+SUMIFS($AV$7:$AV$1576,$BU$7:$BU$1576,BU842,$AY$7:$AY$1576,AY842,$BO$7:$BO$1576,"&lt;="&amp;BO842),"")</f>
        <v>0.0343822843822844</v>
      </c>
      <c r="BA842" s="65" t="n">
        <f aca="false">IF(AZ842="",0,MAX(0,MIN(1,(IF(BU842="L1",Parameter!$E$5,Parameter!$E$6+Parameter!$E$7)-(AZ842-AV842))/AV842)))</f>
        <v>1</v>
      </c>
      <c r="BB842" s="55" t="str">
        <f aca="false">IF(AF842&lt;=0,"",IF(BU842="Aussen","Aussenlager",IF(BU842="-","Nicht im Lift",IF(AK842&gt;=1,"Lift",IF(AK842&lt;=0,"Aussenlager","teilweise")))))</f>
        <v/>
      </c>
      <c r="BC842" s="55" t="str">
        <f aca="false">IF(AN842&lt;=0,"",IF(BU842="Aussen","Aussenlager",IF(BU842="-","Nicht im Lift",IF(AS842&gt;=1,"Lift",IF(AS842&lt;=0,"Aussenlager","teilweise")))))</f>
        <v>Lift</v>
      </c>
      <c r="BD842" s="55" t="str">
        <f aca="false">IF(AV842&lt;=0,"",IF(BU842="Aussen","Aussenlager",IF(BU842="-","Nicht im Lift",IF(BA842&gt;=1,"Lift",IF(BA842&lt;=0,"Aussenlager","teilweise")))))</f>
        <v>Lift</v>
      </c>
      <c r="BE842" s="55" t="str">
        <f aca="false">IF(A842="","",IF(BN842=1,"Neu; ","")&amp;IF(AND(BN842=0,BI842&lt;0),"negativer Bestand (Export "&amp;BI842&amp;"); ","")&amp;IF(I842&lt;=0,"Kein Verbrauch; ","")&amp;IF(CD842&gt;0,"Lift "&amp;U842&amp;" lt. Liftbericht (Fach "&amp;V842&amp;" Stk); ",IF(BR842=1,"Lose – Fläche geschätzt; ",""))&amp;IF(G842&gt;AP842,"Überbestand "&amp;ROUND(G842-AP842,0)&amp;" Stk / CHF "&amp;ROUND((G842-AP842)*F842,0)&amp;"; ","")&amp;IF(AND(BW842=1,BX842&lt;BY842),"MAX &lt; MB+LG; ","")&amp;IF(AND(CC842&gt;0,CB842*10&gt;CC842),"zu hoch für Tablar; ","")&amp;IF(AND(BN842=0,OR(BW842=1,Y842&lt;&gt;"",S842&lt;&gt;"",T842&lt;&gt;"",Z842&lt;&gt;"")),"manuell übersteuert; ","")&amp;IF(AND(BR842=0,Q842=0),"Gebinde unbekannt / Stellmass fehlt; ","")&amp;IF(AND(BR842=0,N(T842)&lt;=0,N(P842)&lt;=0),"Menge pro Gebinde fehlt (Ist = 1 Gebinde); ","")&amp;BM842)</f>
        <v>negativer Bestand (Export -703); </v>
      </c>
      <c r="BF842" s="55"/>
      <c r="BG842" s="55"/>
      <c r="BH842" s="62"/>
      <c r="BI842" s="57" t="n">
        <v>-703</v>
      </c>
      <c r="BJ842" s="57" t="n">
        <v>2200</v>
      </c>
      <c r="BK842" s="56" t="n">
        <v>-14.0599999999999</v>
      </c>
      <c r="BL842" s="57" t="n">
        <v>7159</v>
      </c>
      <c r="BM842" s="55"/>
      <c r="BN842" s="60" t="n">
        <v>0</v>
      </c>
      <c r="BO842" s="60" t="n">
        <v>842</v>
      </c>
      <c r="BP842" s="55" t="str">
        <f aca="false">IF(S842&lt;&gt;"",UPPER(TRIM(S842)),IF(O842="","LOSE",O842))</f>
        <v>S41</v>
      </c>
      <c r="BQ842" s="57" t="n">
        <f aca="false">IF(BP842="LOSE",1,IF(N(T842)&gt;0,T842,IF(N(P842)&gt;0,P842,MAX(1,G842))))</f>
        <v>3706</v>
      </c>
      <c r="BR842" s="60" t="n">
        <f aca="false">IF(BP842="LOSE",1,0)</f>
        <v>0</v>
      </c>
      <c r="BS842" s="59" t="n">
        <f aca="false">IF(BR842=0,0,IF(N(R842)&gt;0,R842,IFERROR(VLOOKUP(D842,Parameter!$A$35:$C$64,3,0)+0,0)))</f>
        <v>0</v>
      </c>
      <c r="BT842" s="55" t="n">
        <f aca="false">IF(Y842&lt;&gt;"",Y842,X842)</f>
        <v>3</v>
      </c>
      <c r="BU842" s="55" t="str">
        <f aca="false">IF(BT842=1,"L1",IF(OR(BT842=2,BT842=3),"L23",IF(BT842="Aussen","Aussen","-")))</f>
        <v>L23</v>
      </c>
      <c r="BV842" s="66" t="n">
        <f aca="false">IF(N(Z842)&gt;0,Z842,0)</f>
        <v>0</v>
      </c>
      <c r="BW842" s="60" t="n">
        <f aca="false">IF(ISNUMBER(AC842),1,0)</f>
        <v>0</v>
      </c>
      <c r="BX842" s="57" t="n">
        <f aca="false">N(AC842)</f>
        <v>0</v>
      </c>
      <c r="BY842" s="57" t="n">
        <f aca="false">N(L842)+N(M842)</f>
        <v>2417</v>
      </c>
      <c r="BZ842" s="57" t="n">
        <f aca="false">ROUNDUP(G842/BQ842,0)</f>
        <v>0</v>
      </c>
      <c r="CA842" s="57" t="n">
        <f aca="false">ROUNDUP(BX842/BQ842,0)</f>
        <v>0</v>
      </c>
      <c r="CB842" s="60" t="n">
        <f aca="false">IF(BR842=1,0,IFERROR(VLOOKUP(BP842,'Gebinde-Kategorie'!$A$5:$M$45,5,0)+0,0))</f>
        <v>11</v>
      </c>
      <c r="CC842" s="60" t="n">
        <f aca="false">IFERROR(IF(OR(BT842=1,BT842=2,BT842=3),N(INDEX(Parameter!$I$5:$I$7,BT842)),0),0)</f>
        <v>0</v>
      </c>
      <c r="CD842" s="59" t="n">
        <f aca="false">IF(AND(Parameter!$B$21="Ja",ISNUMBER(U842),N(V842)&gt;0),IFERROR(N(INDEX(Parameter!$L$5:$L$7,U842))*INDEX(Parameter!$E$5:$E$7,U842)*V842/SUMIFS($V$7:$V$1576,$U$7:$U$1576,U842),0),0)</f>
        <v>0</v>
      </c>
    </row>
    <row r="843" customFormat="false" ht="15" hidden="false" customHeight="false" outlineLevel="0" collapsed="false">
      <c r="A843" s="55" t="s">
        <v>1601</v>
      </c>
      <c r="B843" s="55" t="s">
        <v>457</v>
      </c>
      <c r="C843" s="55" t="s">
        <v>160</v>
      </c>
      <c r="D843" s="55" t="s">
        <v>178</v>
      </c>
      <c r="E843" s="55" t="s">
        <v>210</v>
      </c>
      <c r="F843" s="56" t="n">
        <v>0.11</v>
      </c>
      <c r="G843" s="57" t="n">
        <f aca="false">MAX(0,IF(AND(Parameter!$B$21="Ja",ISNUMBER(W843)),W843,IF(Parameter!$B$20="Jahresanfang 2025 + Export",BJ843+BI843,BI843)))</f>
        <v>0</v>
      </c>
      <c r="H843" s="57" t="n">
        <f aca="false">G843*F843</f>
        <v>0</v>
      </c>
      <c r="I843" s="57" t="n">
        <f aca="false">BL843*Parameter!$B$18</f>
        <v>93</v>
      </c>
      <c r="J843" s="58" t="n">
        <v>108</v>
      </c>
      <c r="K843" s="59" t="n">
        <v>0.861111111111111</v>
      </c>
      <c r="L843" s="57" t="n">
        <v>4</v>
      </c>
      <c r="M843" s="57" t="n">
        <v>95</v>
      </c>
      <c r="N843" s="60" t="n">
        <v>14</v>
      </c>
      <c r="O843" s="55" t="s">
        <v>416</v>
      </c>
      <c r="P843" s="57" t="n">
        <v>131</v>
      </c>
      <c r="Q843" s="60" t="n">
        <f aca="false">IF(BR843=1,0,IFERROR(VLOOKUP(BP843,'Gebinde-Kategorie'!$A$5:$M$45,13,0)+0,0))</f>
        <v>198</v>
      </c>
      <c r="R843" s="61"/>
      <c r="S843" s="62"/>
      <c r="T843" s="62"/>
      <c r="U843" s="55"/>
      <c r="V843" s="57"/>
      <c r="W843" s="57"/>
      <c r="X843" s="55" t="n">
        <f aca="false">IF(A843="","",IF(AND(Parameter!$B$21="Ja",ISNUMBER(U843)),U843,IF(IFERROR(VLOOKUP(D843,Parameter!$A$35:$C$64,2,0),"Nein")="2+3",IF(ISNUMBER(SEARCH("grosser Artikel",BM843)),2,IFERROR(VLOOKUP(BP843,Parameter!$F$35:$G$64,2,0),2)),IF(OR(IFERROR(VLOOKUP(D843,Parameter!$A$35:$C$64,2,0),"Nein")="Nein",IFERROR(VLOOKUP(D843,Parameter!$A$35:$C$64,2,0),"Nein")=""),"-",VLOOKUP(D843,Parameter!$A$35:$C$64,2,0)))))</f>
        <v>3</v>
      </c>
      <c r="Y843" s="62"/>
      <c r="Z843" s="63"/>
      <c r="AA843" s="57" t="n">
        <f aca="false">AP843</f>
        <v>131</v>
      </c>
      <c r="AB843" s="57" t="n">
        <f aca="false">MAX(AP843,G843)</f>
        <v>131</v>
      </c>
      <c r="AC843" s="64"/>
      <c r="AD843" s="57" t="n">
        <f aca="false">IF(LEFT(Cockpit!$C$5,1)="A",G843,IF(BW843=1,BX843,IF(LEFT(Cockpit!$C$5,1)="B",AH843,MAX(AH843,G843))))</f>
        <v>0</v>
      </c>
      <c r="AE843" s="57" t="n">
        <f aca="false">IF(BR843=1,0,ROUNDUP(AD843/BQ843,0))</f>
        <v>0</v>
      </c>
      <c r="AF843" s="59" t="n">
        <f aca="false">IF(CD843&gt;0,CD843*MAX(1,AD843/V843),IF(BR843=1,IF(AD843&lt;=0,0,BS843*MAX(1,IF(G843&gt;0,AD843/G843,1))),IF(Q843&gt;0,AE843/Q843,0))/MAX(0.1,N(Parameter!$M$21)))</f>
        <v>0</v>
      </c>
      <c r="AG843" s="57" t="n">
        <f aca="false">AD843*F843</f>
        <v>0</v>
      </c>
      <c r="AH843" s="57" t="n">
        <f aca="false">ROUNDUP(MAX(I843/IF(BV843&gt;0,BV843,MAX(0.1,N(Cockpit!$C$6))),BY843)/BQ843,0)*BQ843</f>
        <v>131</v>
      </c>
      <c r="AI843" s="58" t="n">
        <f aca="false">IF(AF843&gt;0,I843/AF843,-1)</f>
        <v>-1</v>
      </c>
      <c r="AJ843" s="58" t="str">
        <f aca="false">IF(AND(OR(BU843="L1",BU843="L23"),AF843&gt;0),SUMIFS($AF$7:$AF$1576,$BU$7:$BU$1576,BU843,$AI$7:$AI$1576,"&gt;"&amp;AI843)+SUMIFS($AF$7:$AF$1576,$BU$7:$BU$1576,BU843,$AI$7:$AI$1576,AI843,$BO$7:$BO$1576,"&lt;="&amp;BO843),"")</f>
        <v/>
      </c>
      <c r="AK843" s="65" t="n">
        <f aca="false">IF(AJ843="",0,MAX(0,MIN(1,(IF(BU843="L1",Parameter!$E$5,Parameter!$E$6+Parameter!$E$7)-(AJ843-AF843))/AF843)))</f>
        <v>0</v>
      </c>
      <c r="AL843" s="57" t="n">
        <f aca="false">IF(LEFT(Cockpit!$I$5,1)="A",G843,IF(BW843=1,BX843,IF(LEFT(Cockpit!$I$5,1)="B",AP843,MAX(AP843,G843))))</f>
        <v>131</v>
      </c>
      <c r="AM843" s="57" t="n">
        <f aca="false">IF(BR843=1,0,ROUNDUP(AL843/BQ843,0))</f>
        <v>1</v>
      </c>
      <c r="AN843" s="59" t="n">
        <f aca="false">IF(CD843&gt;0,CD843*MAX(1,AL843/V843),IF(BR843=1,IF(AL843&lt;=0,0,BS843*MAX(1,IF(G843&gt;0,AL843/G843,1))),IF(Q843&gt;0,AM843/Q843,0))/MAX(0.1,N(Parameter!$M$21)))</f>
        <v>0.00505050505050505</v>
      </c>
      <c r="AO843" s="57" t="n">
        <f aca="false">AL843*F843</f>
        <v>14.41</v>
      </c>
      <c r="AP843" s="57" t="n">
        <f aca="false">ROUNDUP(MAX(I843/IF(BV843&gt;0,BV843,MAX(0.1,N(Cockpit!$I$6))),BY843)/BQ843,0)*BQ843</f>
        <v>131</v>
      </c>
      <c r="AQ843" s="58" t="n">
        <f aca="false">IF(AN843&gt;0,I843/AN843,-1)</f>
        <v>18414</v>
      </c>
      <c r="AR843" s="58" t="n">
        <f aca="false">IF(AND(OR(BU843="L1",BU843="L23"),AN843&gt;0),SUMIFS($AN$7:$AN$1576,$BU$7:$BU$1576,BU843,$AQ$7:$AQ$1576,"&gt;"&amp;AQ843)+SUMIFS($AN$7:$AN$1576,$BU$7:$BU$1576,BU843,$AQ$7:$AQ$1576,AQ843,$BO$7:$BO$1576,"&lt;="&amp;BO843),"")</f>
        <v>4.23896287287592</v>
      </c>
      <c r="AS843" s="65" t="n">
        <f aca="false">IF(AR843="",0,MAX(0,MIN(1,(IF(BU843="L1",Parameter!$E$5,Parameter!$E$6+Parameter!$E$7)-(AR843-AN843))/AN843)))</f>
        <v>1</v>
      </c>
      <c r="AT843" s="57" t="n">
        <f aca="false">IF(LEFT(Cockpit!$O$5,1)="A",G843,IF(BW843=1,BX843,IF(LEFT(Cockpit!$O$5,1)="B",AX843,MAX(AX843,G843))))</f>
        <v>131</v>
      </c>
      <c r="AU843" s="57" t="n">
        <f aca="false">IF(BR843=1,0,ROUNDUP(AT843/BQ843,0))</f>
        <v>1</v>
      </c>
      <c r="AV843" s="59" t="n">
        <f aca="false">IF(CD843&gt;0,CD843*MAX(1,AT843/V843),IF(BR843=1,IF(AT843&lt;=0,0,BS843*MAX(1,IF(G843&gt;0,AT843/G843,1))),IF(Q843&gt;0,AU843/Q843,0))/MAX(0.1,N(Parameter!$M$21)))</f>
        <v>0.00505050505050505</v>
      </c>
      <c r="AW843" s="57" t="n">
        <f aca="false">AT843*F843</f>
        <v>14.41</v>
      </c>
      <c r="AX843" s="57" t="n">
        <f aca="false">ROUNDUP(MAX(I843/IF(BV843&gt;0,BV843,MAX(0.1,N(Cockpit!$O$6))),BY843)/BQ843,0)*BQ843</f>
        <v>131</v>
      </c>
      <c r="AY843" s="58" t="n">
        <f aca="false">IF(AV843&gt;0,I843/AV843,-1)</f>
        <v>18414</v>
      </c>
      <c r="AZ843" s="58" t="n">
        <f aca="false">IF(AND(OR(BU843="L1",BU843="L23"),AV843&gt;0),SUMIFS($AV$7:$AV$1576,$BU$7:$BU$1576,BU843,$AY$7:$AY$1576,"&gt;"&amp;AY843)+SUMIFS($AV$7:$AV$1576,$BU$7:$BU$1576,BU843,$AY$7:$AY$1576,AY843,$BO$7:$BO$1576,"&lt;="&amp;BO843),"")</f>
        <v>4.58162021553326</v>
      </c>
      <c r="BA843" s="65" t="n">
        <f aca="false">IF(AZ843="",0,MAX(0,MIN(1,(IF(BU843="L1",Parameter!$E$5,Parameter!$E$6+Parameter!$E$7)-(AZ843-AV843))/AV843)))</f>
        <v>1</v>
      </c>
      <c r="BB843" s="55" t="str">
        <f aca="false">IF(AF843&lt;=0,"",IF(BU843="Aussen","Aussenlager",IF(BU843="-","Nicht im Lift",IF(AK843&gt;=1,"Lift",IF(AK843&lt;=0,"Aussenlager","teilweise")))))</f>
        <v/>
      </c>
      <c r="BC843" s="55" t="str">
        <f aca="false">IF(AN843&lt;=0,"",IF(BU843="Aussen","Aussenlager",IF(BU843="-","Nicht im Lift",IF(AS843&gt;=1,"Lift",IF(AS843&lt;=0,"Aussenlager","teilweise")))))</f>
        <v>Lift</v>
      </c>
      <c r="BD843" s="55" t="str">
        <f aca="false">IF(AV843&lt;=0,"",IF(BU843="Aussen","Aussenlager",IF(BU843="-","Nicht im Lift",IF(BA843&gt;=1,"Lift",IF(BA843&lt;=0,"Aussenlager","teilweise")))))</f>
        <v>Lift</v>
      </c>
      <c r="BE843" s="55" t="str">
        <f aca="false">IF(A843="","",IF(BN843=1,"Neu; ","")&amp;IF(AND(BN843=0,BI843&lt;0),"negativer Bestand (Export "&amp;BI843&amp;"); ","")&amp;IF(I843&lt;=0,"Kein Verbrauch; ","")&amp;IF(CD843&gt;0,"Lift "&amp;U843&amp;" lt. Liftbericht (Fach "&amp;V843&amp;" Stk); ",IF(BR843=1,"Lose – Fläche geschätzt; ",""))&amp;IF(G843&gt;AP843,"Überbestand "&amp;ROUND(G843-AP843,0)&amp;" Stk / CHF "&amp;ROUND((G843-AP843)*F843,0)&amp;"; ","")&amp;IF(AND(BW843=1,BX843&lt;BY843),"MAX &lt; MB+LG; ","")&amp;IF(AND(CC843&gt;0,CB843*10&gt;CC843),"zu hoch für Tablar; ","")&amp;IF(AND(BN843=0,OR(BW843=1,Y843&lt;&gt;"",S843&lt;&gt;"",T843&lt;&gt;"",Z843&lt;&gt;"")),"manuell übersteuert; ","")&amp;IF(AND(BR843=0,Q843=0),"Gebinde unbekannt / Stellmass fehlt; ","")&amp;IF(AND(BR843=0,N(T843)&lt;=0,N(P843)&lt;=0),"Menge pro Gebinde fehlt (Ist = 1 Gebinde); ","")&amp;BM843)</f>
        <v>negativer Bestand (Export -134); Neu</v>
      </c>
      <c r="BF843" s="55"/>
      <c r="BG843" s="55"/>
      <c r="BH843" s="62"/>
      <c r="BI843" s="57" t="n">
        <v>-134</v>
      </c>
      <c r="BJ843" s="57" t="n">
        <v>155</v>
      </c>
      <c r="BK843" s="56" t="n">
        <v>-14.74</v>
      </c>
      <c r="BL843" s="57" t="n">
        <v>93</v>
      </c>
      <c r="BM843" s="55" t="s">
        <v>615</v>
      </c>
      <c r="BN843" s="60" t="n">
        <v>0</v>
      </c>
      <c r="BO843" s="60" t="n">
        <v>843</v>
      </c>
      <c r="BP843" s="55" t="str">
        <f aca="false">IF(S843&lt;&gt;"",UPPER(TRIM(S843)),IF(O843="","LOSE",O843))</f>
        <v>S22</v>
      </c>
      <c r="BQ843" s="57" t="n">
        <f aca="false">IF(BP843="LOSE",1,IF(N(T843)&gt;0,T843,IF(N(P843)&gt;0,P843,MAX(1,G843))))</f>
        <v>131</v>
      </c>
      <c r="BR843" s="60" t="n">
        <f aca="false">IF(BP843="LOSE",1,0)</f>
        <v>0</v>
      </c>
      <c r="BS843" s="59" t="n">
        <f aca="false">IF(BR843=0,0,IF(N(R843)&gt;0,R843,IFERROR(VLOOKUP(D843,Parameter!$A$35:$C$64,3,0)+0,0)))</f>
        <v>0</v>
      </c>
      <c r="BT843" s="55" t="n">
        <f aca="false">IF(Y843&lt;&gt;"",Y843,X843)</f>
        <v>3</v>
      </c>
      <c r="BU843" s="55" t="str">
        <f aca="false">IF(BT843=1,"L1",IF(OR(BT843=2,BT843=3),"L23",IF(BT843="Aussen","Aussen","-")))</f>
        <v>L23</v>
      </c>
      <c r="BV843" s="66" t="n">
        <f aca="false">IF(N(Z843)&gt;0,Z843,0)</f>
        <v>0</v>
      </c>
      <c r="BW843" s="60" t="n">
        <f aca="false">IF(ISNUMBER(AC843),1,0)</f>
        <v>0</v>
      </c>
      <c r="BX843" s="57" t="n">
        <f aca="false">N(AC843)</f>
        <v>0</v>
      </c>
      <c r="BY843" s="57" t="n">
        <f aca="false">N(L843)+N(M843)</f>
        <v>99</v>
      </c>
      <c r="BZ843" s="57" t="n">
        <f aca="false">ROUNDUP(G843/BQ843,0)</f>
        <v>0</v>
      </c>
      <c r="CA843" s="57" t="n">
        <f aca="false">ROUNDUP(BX843/BQ843,0)</f>
        <v>0</v>
      </c>
      <c r="CB843" s="60" t="n">
        <f aca="false">IF(BR843=1,0,IFERROR(VLOOKUP(BP843,'Gebinde-Kategorie'!$A$5:$M$45,5,0)+0,0))</f>
        <v>8</v>
      </c>
      <c r="CC843" s="60" t="n">
        <f aca="false">IFERROR(IF(OR(BT843=1,BT843=2,BT843=3),N(INDEX(Parameter!$I$5:$I$7,BT843)),0),0)</f>
        <v>0</v>
      </c>
      <c r="CD843" s="59" t="n">
        <f aca="false">IF(AND(Parameter!$B$21="Ja",ISNUMBER(U843),N(V843)&gt;0),IFERROR(N(INDEX(Parameter!$L$5:$L$7,U843))*INDEX(Parameter!$E$5:$E$7,U843)*V843/SUMIFS($V$7:$V$1576,$U$7:$U$1576,U843),0),0)</f>
        <v>0</v>
      </c>
    </row>
    <row r="844" customFormat="false" ht="15" hidden="false" customHeight="false" outlineLevel="0" collapsed="false">
      <c r="A844" s="55" t="s">
        <v>1602</v>
      </c>
      <c r="B844" s="55" t="s">
        <v>1268</v>
      </c>
      <c r="C844" s="55" t="s">
        <v>160</v>
      </c>
      <c r="D844" s="55" t="s">
        <v>178</v>
      </c>
      <c r="E844" s="55" t="s">
        <v>210</v>
      </c>
      <c r="F844" s="56" t="n">
        <v>2.97</v>
      </c>
      <c r="G844" s="57" t="n">
        <f aca="false">MAX(0,IF(AND(Parameter!$B$21="Ja",ISNUMBER(W844)),W844,IF(Parameter!$B$20="Jahresanfang 2025 + Export",BJ844+BI844,BI844)))</f>
        <v>0</v>
      </c>
      <c r="H844" s="57" t="n">
        <f aca="false">G844*F844</f>
        <v>0</v>
      </c>
      <c r="I844" s="57" t="n">
        <f aca="false">BL844*Parameter!$B$18</f>
        <v>0</v>
      </c>
      <c r="J844" s="58" t="n">
        <v>12</v>
      </c>
      <c r="K844" s="59" t="n">
        <v>0</v>
      </c>
      <c r="L844" s="57" t="n">
        <v>0</v>
      </c>
      <c r="M844" s="57" t="n">
        <v>1</v>
      </c>
      <c r="N844" s="60" t="n">
        <v>14</v>
      </c>
      <c r="O844" s="55" t="s">
        <v>391</v>
      </c>
      <c r="P844" s="57" t="n">
        <v>7</v>
      </c>
      <c r="Q844" s="60" t="n">
        <f aca="false">IF(BR844=1,0,IFERROR(VLOOKUP(BP844,'Gebinde-Kategorie'!$A$5:$M$45,13,0)+0,0))</f>
        <v>414</v>
      </c>
      <c r="R844" s="61"/>
      <c r="S844" s="62"/>
      <c r="T844" s="62"/>
      <c r="U844" s="55"/>
      <c r="V844" s="57"/>
      <c r="W844" s="57"/>
      <c r="X844" s="55" t="n">
        <f aca="false">IF(A844="","",IF(AND(Parameter!$B$21="Ja",ISNUMBER(U844)),U844,IF(IFERROR(VLOOKUP(D844,Parameter!$A$35:$C$64,2,0),"Nein")="2+3",IF(ISNUMBER(SEARCH("grosser Artikel",BM844)),2,IFERROR(VLOOKUP(BP844,Parameter!$F$35:$G$64,2,0),2)),IF(OR(IFERROR(VLOOKUP(D844,Parameter!$A$35:$C$64,2,0),"Nein")="Nein",IFERROR(VLOOKUP(D844,Parameter!$A$35:$C$64,2,0),"Nein")=""),"-",VLOOKUP(D844,Parameter!$A$35:$C$64,2,0)))))</f>
        <v>3</v>
      </c>
      <c r="Y844" s="62"/>
      <c r="Z844" s="63"/>
      <c r="AA844" s="57" t="n">
        <f aca="false">AP844</f>
        <v>7</v>
      </c>
      <c r="AB844" s="57" t="n">
        <f aca="false">MAX(AP844,G844)</f>
        <v>7</v>
      </c>
      <c r="AC844" s="64"/>
      <c r="AD844" s="57" t="n">
        <f aca="false">IF(LEFT(Cockpit!$C$5,1)="A",G844,IF(BW844=1,BX844,IF(LEFT(Cockpit!$C$5,1)="B",AH844,MAX(AH844,G844))))</f>
        <v>0</v>
      </c>
      <c r="AE844" s="57" t="n">
        <f aca="false">IF(BR844=1,0,ROUNDUP(AD844/BQ844,0))</f>
        <v>0</v>
      </c>
      <c r="AF844" s="59" t="n">
        <f aca="false">IF(CD844&gt;0,CD844*MAX(1,AD844/V844),IF(BR844=1,IF(AD844&lt;=0,0,BS844*MAX(1,IF(G844&gt;0,AD844/G844,1))),IF(Q844&gt;0,AE844/Q844,0))/MAX(0.1,N(Parameter!$M$21)))</f>
        <v>0</v>
      </c>
      <c r="AG844" s="57" t="n">
        <f aca="false">AD844*F844</f>
        <v>0</v>
      </c>
      <c r="AH844" s="57" t="n">
        <f aca="false">ROUNDUP(MAX(I844/IF(BV844&gt;0,BV844,MAX(0.1,N(Cockpit!$C$6))),BY844)/BQ844,0)*BQ844</f>
        <v>7</v>
      </c>
      <c r="AI844" s="58" t="n">
        <f aca="false">IF(AF844&gt;0,I844/AF844,-1)</f>
        <v>-1</v>
      </c>
      <c r="AJ844" s="58" t="str">
        <f aca="false">IF(AND(OR(BU844="L1",BU844="L23"),AF844&gt;0),SUMIFS($AF$7:$AF$1576,$BU$7:$BU$1576,BU844,$AI$7:$AI$1576,"&gt;"&amp;AI844)+SUMIFS($AF$7:$AF$1576,$BU$7:$BU$1576,BU844,$AI$7:$AI$1576,AI844,$BO$7:$BO$1576,"&lt;="&amp;BO844),"")</f>
        <v/>
      </c>
      <c r="AK844" s="65" t="n">
        <f aca="false">IF(AJ844="",0,MAX(0,MIN(1,(IF(BU844="L1",Parameter!$E$5,Parameter!$E$6+Parameter!$E$7)-(AJ844-AF844))/AF844)))</f>
        <v>0</v>
      </c>
      <c r="AL844" s="57" t="n">
        <f aca="false">IF(LEFT(Cockpit!$I$5,1)="A",G844,IF(BW844=1,BX844,IF(LEFT(Cockpit!$I$5,1)="B",AP844,MAX(AP844,G844))))</f>
        <v>7</v>
      </c>
      <c r="AM844" s="57" t="n">
        <f aca="false">IF(BR844=1,0,ROUNDUP(AL844/BQ844,0))</f>
        <v>1</v>
      </c>
      <c r="AN844" s="59" t="n">
        <f aca="false">IF(CD844&gt;0,CD844*MAX(1,AL844/V844),IF(BR844=1,IF(AL844&lt;=0,0,BS844*MAX(1,IF(G844&gt;0,AL844/G844,1))),IF(Q844&gt;0,AM844/Q844,0))/MAX(0.1,N(Parameter!$M$21)))</f>
        <v>0.00241545893719807</v>
      </c>
      <c r="AO844" s="57" t="n">
        <f aca="false">AL844*F844</f>
        <v>20.79</v>
      </c>
      <c r="AP844" s="57" t="n">
        <f aca="false">ROUNDUP(MAX(I844/IF(BV844&gt;0,BV844,MAX(0.1,N(Cockpit!$I$6))),BY844)/BQ844,0)*BQ844</f>
        <v>7</v>
      </c>
      <c r="AQ844" s="58" t="n">
        <f aca="false">IF(AN844&gt;0,I844/AN844,-1)</f>
        <v>0</v>
      </c>
      <c r="AR844" s="58" t="n">
        <f aca="false">IF(AND(OR(BU844="L1",BU844="L23"),AN844&gt;0),SUMIFS($AN$7:$AN$1576,$BU$7:$BU$1576,BU844,$AQ$7:$AQ$1576,"&gt;"&amp;AQ844)+SUMIFS($AN$7:$AN$1576,$BU$7:$BU$1576,BU844,$AQ$7:$AQ$1576,AQ844,$BO$7:$BO$1576,"&lt;="&amp;BO844),"")</f>
        <v>130.934078313039</v>
      </c>
      <c r="AS844" s="65" t="n">
        <f aca="false">IF(AR844="",0,MAX(0,MIN(1,(IF(BU844="L1",Parameter!$E$5,Parameter!$E$6+Parameter!$E$7)-(AR844-AN844))/AN844)))</f>
        <v>0</v>
      </c>
      <c r="AT844" s="57" t="n">
        <f aca="false">IF(LEFT(Cockpit!$O$5,1)="A",G844,IF(BW844=1,BX844,IF(LEFT(Cockpit!$O$5,1)="B",AX844,MAX(AX844,G844))))</f>
        <v>7</v>
      </c>
      <c r="AU844" s="57" t="n">
        <f aca="false">IF(BR844=1,0,ROUNDUP(AT844/BQ844,0))</f>
        <v>1</v>
      </c>
      <c r="AV844" s="59" t="n">
        <f aca="false">IF(CD844&gt;0,CD844*MAX(1,AT844/V844),IF(BR844=1,IF(AT844&lt;=0,0,BS844*MAX(1,IF(G844&gt;0,AT844/G844,1))),IF(Q844&gt;0,AU844/Q844,0))/MAX(0.1,N(Parameter!$M$21)))</f>
        <v>0.00241545893719807</v>
      </c>
      <c r="AW844" s="57" t="n">
        <f aca="false">AT844*F844</f>
        <v>20.79</v>
      </c>
      <c r="AX844" s="57" t="n">
        <f aca="false">ROUNDUP(MAX(I844/IF(BV844&gt;0,BV844,MAX(0.1,N(Cockpit!$O$6))),BY844)/BQ844,0)*BQ844</f>
        <v>7</v>
      </c>
      <c r="AY844" s="58" t="n">
        <f aca="false">IF(AV844&gt;0,I844/AV844,-1)</f>
        <v>0</v>
      </c>
      <c r="AZ844" s="58" t="n">
        <f aca="false">IF(AND(OR(BU844="L1",BU844="L23"),AV844&gt;0),SUMIFS($AV$7:$AV$1576,$BU$7:$BU$1576,BU844,$AY$7:$AY$1576,"&gt;"&amp;AY844)+SUMIFS($AV$7:$AV$1576,$BU$7:$BU$1576,BU844,$AY$7:$AY$1576,AY844,$BO$7:$BO$1576,"&lt;="&amp;BO844),"")</f>
        <v>120.993628762589</v>
      </c>
      <c r="BA844" s="65" t="n">
        <f aca="false">IF(AZ844="",0,MAX(0,MIN(1,(IF(BU844="L1",Parameter!$E$5,Parameter!$E$6+Parameter!$E$7)-(AZ844-AV844))/AV844)))</f>
        <v>0</v>
      </c>
      <c r="BB844" s="55" t="str">
        <f aca="false">IF(AF844&lt;=0,"",IF(BU844="Aussen","Aussenlager",IF(BU844="-","Nicht im Lift",IF(AK844&gt;=1,"Lift",IF(AK844&lt;=0,"Aussenlager","teilweise")))))</f>
        <v/>
      </c>
      <c r="BC844" s="55" t="str">
        <f aca="false">IF(AN844&lt;=0,"",IF(BU844="Aussen","Aussenlager",IF(BU844="-","Nicht im Lift",IF(AS844&gt;=1,"Lift",IF(AS844&lt;=0,"Aussenlager","teilweise")))))</f>
        <v>Aussenlager</v>
      </c>
      <c r="BD844" s="55" t="str">
        <f aca="false">IF(AV844&lt;=0,"",IF(BU844="Aussen","Aussenlager",IF(BU844="-","Nicht im Lift",IF(BA844&gt;=1,"Lift",IF(BA844&lt;=0,"Aussenlager","teilweise")))))</f>
        <v>Aussenlager</v>
      </c>
      <c r="BE844" s="55" t="str">
        <f aca="false">IF(A844="","",IF(BN844=1,"Neu; ","")&amp;IF(AND(BN844=0,BI844&lt;0),"negativer Bestand (Export "&amp;BI844&amp;"); ","")&amp;IF(I844&lt;=0,"Kein Verbrauch; ","")&amp;IF(CD844&gt;0,"Lift "&amp;U844&amp;" lt. Liftbericht (Fach "&amp;V844&amp;" Stk); ",IF(BR844=1,"Lose – Fläche geschätzt; ",""))&amp;IF(G844&gt;AP844,"Überbestand "&amp;ROUND(G844-AP844,0)&amp;" Stk / CHF "&amp;ROUND((G844-AP844)*F844,0)&amp;"; ","")&amp;IF(AND(BW844=1,BX844&lt;BY844),"MAX &lt; MB+LG; ","")&amp;IF(AND(CC844&gt;0,CB844*10&gt;CC844),"zu hoch für Tablar; ","")&amp;IF(AND(BN844=0,OR(BW844=1,Y844&lt;&gt;"",S844&lt;&gt;"",T844&lt;&gt;"",Z844&lt;&gt;"")),"manuell übersteuert; ","")&amp;IF(AND(BR844=0,Q844=0),"Gebinde unbekannt / Stellmass fehlt; ","")&amp;IF(AND(BR844=0,N(T844)&lt;=0,N(P844)&lt;=0),"Menge pro Gebinde fehlt (Ist = 1 Gebinde); ","")&amp;BM844)</f>
        <v>negativer Bestand (Export -5); Kein Verbrauch; </v>
      </c>
      <c r="BF844" s="55"/>
      <c r="BG844" s="55"/>
      <c r="BH844" s="62"/>
      <c r="BI844" s="57" t="n">
        <v>-5</v>
      </c>
      <c r="BJ844" s="57" t="n">
        <v>12</v>
      </c>
      <c r="BK844" s="56" t="n">
        <v>-14.85</v>
      </c>
      <c r="BL844" s="57" t="n">
        <v>0</v>
      </c>
      <c r="BM844" s="55"/>
      <c r="BN844" s="60" t="n">
        <v>0</v>
      </c>
      <c r="BO844" s="60" t="n">
        <v>844</v>
      </c>
      <c r="BP844" s="55" t="str">
        <f aca="false">IF(S844&lt;&gt;"",UPPER(TRIM(S844)),IF(O844="","LOSE",O844))</f>
        <v>S21</v>
      </c>
      <c r="BQ844" s="57" t="n">
        <f aca="false">IF(BP844="LOSE",1,IF(N(T844)&gt;0,T844,IF(N(P844)&gt;0,P844,MAX(1,G844))))</f>
        <v>7</v>
      </c>
      <c r="BR844" s="60" t="n">
        <f aca="false">IF(BP844="LOSE",1,0)</f>
        <v>0</v>
      </c>
      <c r="BS844" s="59" t="n">
        <f aca="false">IF(BR844=0,0,IF(N(R844)&gt;0,R844,IFERROR(VLOOKUP(D844,Parameter!$A$35:$C$64,3,0)+0,0)))</f>
        <v>0</v>
      </c>
      <c r="BT844" s="55" t="n">
        <f aca="false">IF(Y844&lt;&gt;"",Y844,X844)</f>
        <v>3</v>
      </c>
      <c r="BU844" s="55" t="str">
        <f aca="false">IF(BT844=1,"L1",IF(OR(BT844=2,BT844=3),"L23",IF(BT844="Aussen","Aussen","-")))</f>
        <v>L23</v>
      </c>
      <c r="BV844" s="66" t="n">
        <f aca="false">IF(N(Z844)&gt;0,Z844,0)</f>
        <v>0</v>
      </c>
      <c r="BW844" s="60" t="n">
        <f aca="false">IF(ISNUMBER(AC844),1,0)</f>
        <v>0</v>
      </c>
      <c r="BX844" s="57" t="n">
        <f aca="false">N(AC844)</f>
        <v>0</v>
      </c>
      <c r="BY844" s="57" t="n">
        <f aca="false">N(L844)+N(M844)</f>
        <v>1</v>
      </c>
      <c r="BZ844" s="57" t="n">
        <f aca="false">ROUNDUP(G844/BQ844,0)</f>
        <v>0</v>
      </c>
      <c r="CA844" s="57" t="n">
        <f aca="false">ROUNDUP(BX844/BQ844,0)</f>
        <v>0</v>
      </c>
      <c r="CB844" s="60" t="n">
        <f aca="false">IF(BR844=1,0,IFERROR(VLOOKUP(BP844,'Gebinde-Kategorie'!$A$5:$M$45,5,0)+0,0))</f>
        <v>8</v>
      </c>
      <c r="CC844" s="60" t="n">
        <f aca="false">IFERROR(IF(OR(BT844=1,BT844=2,BT844=3),N(INDEX(Parameter!$I$5:$I$7,BT844)),0),0)</f>
        <v>0</v>
      </c>
      <c r="CD844" s="59" t="n">
        <f aca="false">IF(AND(Parameter!$B$21="Ja",ISNUMBER(U844),N(V844)&gt;0),IFERROR(N(INDEX(Parameter!$L$5:$L$7,U844))*INDEX(Parameter!$E$5:$E$7,U844)*V844/SUMIFS($V$7:$V$1576,$U$7:$U$1576,U844),0),0)</f>
        <v>0</v>
      </c>
    </row>
    <row r="845" customFormat="false" ht="15" hidden="false" customHeight="false" outlineLevel="0" collapsed="false">
      <c r="A845" s="55" t="s">
        <v>1603</v>
      </c>
      <c r="B845" s="55" t="s">
        <v>395</v>
      </c>
      <c r="C845" s="55" t="s">
        <v>160</v>
      </c>
      <c r="D845" s="55" t="s">
        <v>178</v>
      </c>
      <c r="E845" s="55" t="s">
        <v>210</v>
      </c>
      <c r="F845" s="56" t="n">
        <v>0.11</v>
      </c>
      <c r="G845" s="57" t="n">
        <f aca="false">MAX(0,IF(AND(Parameter!$B$21="Ja",ISNUMBER(W845)),W845,IF(Parameter!$B$20="Jahresanfang 2025 + Export",BJ845+BI845,BI845)))</f>
        <v>0</v>
      </c>
      <c r="H845" s="57" t="n">
        <f aca="false">G845*F845</f>
        <v>0</v>
      </c>
      <c r="I845" s="57" t="n">
        <f aca="false">BL845*Parameter!$B$18</f>
        <v>8</v>
      </c>
      <c r="J845" s="58" t="n">
        <v>732</v>
      </c>
      <c r="K845" s="59" t="n">
        <v>0.0109289617486339</v>
      </c>
      <c r="L845" s="57" t="n">
        <v>0</v>
      </c>
      <c r="M845" s="57" t="n">
        <v>10</v>
      </c>
      <c r="N845" s="60" t="n">
        <v>21</v>
      </c>
      <c r="O845" s="55" t="s">
        <v>319</v>
      </c>
      <c r="P845" s="57" t="n">
        <v>823</v>
      </c>
      <c r="Q845" s="60" t="n">
        <f aca="false">IF(BR845=1,0,IFERROR(VLOOKUP(BP845,'Gebinde-Kategorie'!$A$5:$M$45,13,0)+0,0))</f>
        <v>52</v>
      </c>
      <c r="R845" s="61"/>
      <c r="S845" s="62"/>
      <c r="T845" s="62"/>
      <c r="U845" s="55"/>
      <c r="V845" s="57"/>
      <c r="W845" s="57"/>
      <c r="X845" s="55" t="n">
        <f aca="false">IF(A845="","",IF(AND(Parameter!$B$21="Ja",ISNUMBER(U845)),U845,IF(IFERROR(VLOOKUP(D845,Parameter!$A$35:$C$64,2,0),"Nein")="2+3",IF(ISNUMBER(SEARCH("grosser Artikel",BM845)),2,IFERROR(VLOOKUP(BP845,Parameter!$F$35:$G$64,2,0),2)),IF(OR(IFERROR(VLOOKUP(D845,Parameter!$A$35:$C$64,2,0),"Nein")="Nein",IFERROR(VLOOKUP(D845,Parameter!$A$35:$C$64,2,0),"Nein")=""),"-",VLOOKUP(D845,Parameter!$A$35:$C$64,2,0)))))</f>
        <v>3</v>
      </c>
      <c r="Y845" s="62"/>
      <c r="Z845" s="63"/>
      <c r="AA845" s="57" t="n">
        <f aca="false">AP845</f>
        <v>823</v>
      </c>
      <c r="AB845" s="57" t="n">
        <f aca="false">MAX(AP845,G845)</f>
        <v>823</v>
      </c>
      <c r="AC845" s="64"/>
      <c r="AD845" s="57" t="n">
        <f aca="false">IF(LEFT(Cockpit!$C$5,1)="A",G845,IF(BW845=1,BX845,IF(LEFT(Cockpit!$C$5,1)="B",AH845,MAX(AH845,G845))))</f>
        <v>0</v>
      </c>
      <c r="AE845" s="57" t="n">
        <f aca="false">IF(BR845=1,0,ROUNDUP(AD845/BQ845,0))</f>
        <v>0</v>
      </c>
      <c r="AF845" s="59" t="n">
        <f aca="false">IF(CD845&gt;0,CD845*MAX(1,AD845/V845),IF(BR845=1,IF(AD845&lt;=0,0,BS845*MAX(1,IF(G845&gt;0,AD845/G845,1))),IF(Q845&gt;0,AE845/Q845,0))/MAX(0.1,N(Parameter!$M$21)))</f>
        <v>0</v>
      </c>
      <c r="AG845" s="57" t="n">
        <f aca="false">AD845*F845</f>
        <v>0</v>
      </c>
      <c r="AH845" s="57" t="n">
        <f aca="false">ROUNDUP(MAX(I845/IF(BV845&gt;0,BV845,MAX(0.1,N(Cockpit!$C$6))),BY845)/BQ845,0)*BQ845</f>
        <v>823</v>
      </c>
      <c r="AI845" s="58" t="n">
        <f aca="false">IF(AF845&gt;0,I845/AF845,-1)</f>
        <v>-1</v>
      </c>
      <c r="AJ845" s="58" t="str">
        <f aca="false">IF(AND(OR(BU845="L1",BU845="L23"),AF845&gt;0),SUMIFS($AF$7:$AF$1576,$BU$7:$BU$1576,BU845,$AI$7:$AI$1576,"&gt;"&amp;AI845)+SUMIFS($AF$7:$AF$1576,$BU$7:$BU$1576,BU845,$AI$7:$AI$1576,AI845,$BO$7:$BO$1576,"&lt;="&amp;BO845),"")</f>
        <v/>
      </c>
      <c r="AK845" s="65" t="n">
        <f aca="false">IF(AJ845="",0,MAX(0,MIN(1,(IF(BU845="L1",Parameter!$E$5,Parameter!$E$6+Parameter!$E$7)-(AJ845-AF845))/AF845)))</f>
        <v>0</v>
      </c>
      <c r="AL845" s="57" t="n">
        <f aca="false">IF(LEFT(Cockpit!$I$5,1)="A",G845,IF(BW845=1,BX845,IF(LEFT(Cockpit!$I$5,1)="B",AP845,MAX(AP845,G845))))</f>
        <v>823</v>
      </c>
      <c r="AM845" s="57" t="n">
        <f aca="false">IF(BR845=1,0,ROUNDUP(AL845/BQ845,0))</f>
        <v>1</v>
      </c>
      <c r="AN845" s="59" t="n">
        <f aca="false">IF(CD845&gt;0,CD845*MAX(1,AL845/V845),IF(BR845=1,IF(AL845&lt;=0,0,BS845*MAX(1,IF(G845&gt;0,AL845/G845,1))),IF(Q845&gt;0,AM845/Q845,0))/MAX(0.1,N(Parameter!$M$21)))</f>
        <v>0.0192307692307692</v>
      </c>
      <c r="AO845" s="57" t="n">
        <f aca="false">AL845*F845</f>
        <v>90.53</v>
      </c>
      <c r="AP845" s="57" t="n">
        <f aca="false">ROUNDUP(MAX(I845/IF(BV845&gt;0,BV845,MAX(0.1,N(Cockpit!$I$6))),BY845)/BQ845,0)*BQ845</f>
        <v>823</v>
      </c>
      <c r="AQ845" s="58" t="n">
        <f aca="false">IF(AN845&gt;0,I845/AN845,-1)</f>
        <v>416</v>
      </c>
      <c r="AR845" s="58" t="n">
        <f aca="false">IF(AND(OR(BU845="L1",BU845="L23"),AN845&gt;0),SUMIFS($AN$7:$AN$1576,$BU$7:$BU$1576,BU845,$AQ$7:$AQ$1576,"&gt;"&amp;AQ845)+SUMIFS($AN$7:$AN$1576,$BU$7:$BU$1576,BU845,$AQ$7:$AQ$1576,AQ845,$BO$7:$BO$1576,"&lt;="&amp;BO845),"")</f>
        <v>36.2219237891089</v>
      </c>
      <c r="AS845" s="65" t="n">
        <f aca="false">IF(AR845="",0,MAX(0,MIN(1,(IF(BU845="L1",Parameter!$E$5,Parameter!$E$6+Parameter!$E$7)-(AR845-AN845))/AN845)))</f>
        <v>1</v>
      </c>
      <c r="AT845" s="57" t="n">
        <f aca="false">IF(LEFT(Cockpit!$O$5,1)="A",G845,IF(BW845=1,BX845,IF(LEFT(Cockpit!$O$5,1)="B",AX845,MAX(AX845,G845))))</f>
        <v>823</v>
      </c>
      <c r="AU845" s="57" t="n">
        <f aca="false">IF(BR845=1,0,ROUNDUP(AT845/BQ845,0))</f>
        <v>1</v>
      </c>
      <c r="AV845" s="59" t="n">
        <f aca="false">IF(CD845&gt;0,CD845*MAX(1,AT845/V845),IF(BR845=1,IF(AT845&lt;=0,0,BS845*MAX(1,IF(G845&gt;0,AT845/G845,1))),IF(Q845&gt;0,AU845/Q845,0))/MAX(0.1,N(Parameter!$M$21)))</f>
        <v>0.0192307692307692</v>
      </c>
      <c r="AW845" s="57" t="n">
        <f aca="false">AT845*F845</f>
        <v>90.53</v>
      </c>
      <c r="AX845" s="57" t="n">
        <f aca="false">ROUNDUP(MAX(I845/IF(BV845&gt;0,BV845,MAX(0.1,N(Cockpit!$O$6))),BY845)/BQ845,0)*BQ845</f>
        <v>823</v>
      </c>
      <c r="AY845" s="58" t="n">
        <f aca="false">IF(AV845&gt;0,I845/AV845,-1)</f>
        <v>416</v>
      </c>
      <c r="AZ845" s="58" t="n">
        <f aca="false">IF(AND(OR(BU845="L1",BU845="L23"),AV845&gt;0),SUMIFS($AV$7:$AV$1576,$BU$7:$BU$1576,BU845,$AY$7:$AY$1576,"&gt;"&amp;AY845)+SUMIFS($AV$7:$AV$1576,$BU$7:$BU$1576,BU845,$AY$7:$AY$1576,AY845,$BO$7:$BO$1576,"&lt;="&amp;BO845),"")</f>
        <v>35.5533357105208</v>
      </c>
      <c r="BA845" s="65" t="n">
        <f aca="false">IF(AZ845="",0,MAX(0,MIN(1,(IF(BU845="L1",Parameter!$E$5,Parameter!$E$6+Parameter!$E$7)-(AZ845-AV845))/AV845)))</f>
        <v>1</v>
      </c>
      <c r="BB845" s="55" t="str">
        <f aca="false">IF(AF845&lt;=0,"",IF(BU845="Aussen","Aussenlager",IF(BU845="-","Nicht im Lift",IF(AK845&gt;=1,"Lift",IF(AK845&lt;=0,"Aussenlager","teilweise")))))</f>
        <v/>
      </c>
      <c r="BC845" s="55" t="str">
        <f aca="false">IF(AN845&lt;=0,"",IF(BU845="Aussen","Aussenlager",IF(BU845="-","Nicht im Lift",IF(AS845&gt;=1,"Lift",IF(AS845&lt;=0,"Aussenlager","teilweise")))))</f>
        <v>Lift</v>
      </c>
      <c r="BD845" s="55" t="str">
        <f aca="false">IF(AV845&lt;=0,"",IF(BU845="Aussen","Aussenlager",IF(BU845="-","Nicht im Lift",IF(BA845&gt;=1,"Lift",IF(BA845&lt;=0,"Aussenlager","teilweise")))))</f>
        <v>Lift</v>
      </c>
      <c r="BE845" s="55" t="str">
        <f aca="false">IF(A845="","",IF(BN845=1,"Neu; ","")&amp;IF(AND(BN845=0,BI845&lt;0),"negativer Bestand (Export "&amp;BI845&amp;"); ","")&amp;IF(I845&lt;=0,"Kein Verbrauch; ","")&amp;IF(CD845&gt;0,"Lift "&amp;U845&amp;" lt. Liftbericht (Fach "&amp;V845&amp;" Stk); ",IF(BR845=1,"Lose – Fläche geschätzt; ",""))&amp;IF(G845&gt;AP845,"Überbestand "&amp;ROUND(G845-AP845,0)&amp;" Stk / CHF "&amp;ROUND((G845-AP845)*F845,0)&amp;"; ","")&amp;IF(AND(BW845=1,BX845&lt;BY845),"MAX &lt; MB+LG; ","")&amp;IF(AND(CC845&gt;0,CB845*10&gt;CC845),"zu hoch für Tablar; ","")&amp;IF(AND(BN845=0,OR(BW845=1,Y845&lt;&gt;"",S845&lt;&gt;"",T845&lt;&gt;"",Z845&lt;&gt;"")),"manuell übersteuert; ","")&amp;IF(AND(BR845=0,Q845=0),"Gebinde unbekannt / Stellmass fehlt; ","")&amp;IF(AND(BR845=0,N(T845)&lt;=0,N(P845)&lt;=0),"Menge pro Gebinde fehlt (Ist = 1 Gebinde); ","")&amp;BM845)</f>
        <v>negativer Bestand (Export -137); Überbestand</v>
      </c>
      <c r="BF845" s="55"/>
      <c r="BG845" s="55"/>
      <c r="BH845" s="62"/>
      <c r="BI845" s="57" t="n">
        <v>-137</v>
      </c>
      <c r="BJ845" s="57" t="n">
        <v>780</v>
      </c>
      <c r="BK845" s="56" t="n">
        <v>-15.07</v>
      </c>
      <c r="BL845" s="57" t="n">
        <v>8</v>
      </c>
      <c r="BM845" s="55" t="s">
        <v>382</v>
      </c>
      <c r="BN845" s="60" t="n">
        <v>0</v>
      </c>
      <c r="BO845" s="60" t="n">
        <v>845</v>
      </c>
      <c r="BP845" s="55" t="str">
        <f aca="false">IF(S845&lt;&gt;"",UPPER(TRIM(S845)),IF(O845="","LOSE",O845))</f>
        <v>S41</v>
      </c>
      <c r="BQ845" s="57" t="n">
        <f aca="false">IF(BP845="LOSE",1,IF(N(T845)&gt;0,T845,IF(N(P845)&gt;0,P845,MAX(1,G845))))</f>
        <v>823</v>
      </c>
      <c r="BR845" s="60" t="n">
        <f aca="false">IF(BP845="LOSE",1,0)</f>
        <v>0</v>
      </c>
      <c r="BS845" s="59" t="n">
        <f aca="false">IF(BR845=0,0,IF(N(R845)&gt;0,R845,IFERROR(VLOOKUP(D845,Parameter!$A$35:$C$64,3,0)+0,0)))</f>
        <v>0</v>
      </c>
      <c r="BT845" s="55" t="n">
        <f aca="false">IF(Y845&lt;&gt;"",Y845,X845)</f>
        <v>3</v>
      </c>
      <c r="BU845" s="55" t="str">
        <f aca="false">IF(BT845=1,"L1",IF(OR(BT845=2,BT845=3),"L23",IF(BT845="Aussen","Aussen","-")))</f>
        <v>L23</v>
      </c>
      <c r="BV845" s="66" t="n">
        <f aca="false">IF(N(Z845)&gt;0,Z845,0)</f>
        <v>0</v>
      </c>
      <c r="BW845" s="60" t="n">
        <f aca="false">IF(ISNUMBER(AC845),1,0)</f>
        <v>0</v>
      </c>
      <c r="BX845" s="57" t="n">
        <f aca="false">N(AC845)</f>
        <v>0</v>
      </c>
      <c r="BY845" s="57" t="n">
        <f aca="false">N(L845)+N(M845)</f>
        <v>10</v>
      </c>
      <c r="BZ845" s="57" t="n">
        <f aca="false">ROUNDUP(G845/BQ845,0)</f>
        <v>0</v>
      </c>
      <c r="CA845" s="57" t="n">
        <f aca="false">ROUNDUP(BX845/BQ845,0)</f>
        <v>0</v>
      </c>
      <c r="CB845" s="60" t="n">
        <f aca="false">IF(BR845=1,0,IFERROR(VLOOKUP(BP845,'Gebinde-Kategorie'!$A$5:$M$45,5,0)+0,0))</f>
        <v>11</v>
      </c>
      <c r="CC845" s="60" t="n">
        <f aca="false">IFERROR(IF(OR(BT845=1,BT845=2,BT845=3),N(INDEX(Parameter!$I$5:$I$7,BT845)),0),0)</f>
        <v>0</v>
      </c>
      <c r="CD845" s="59" t="n">
        <f aca="false">IF(AND(Parameter!$B$21="Ja",ISNUMBER(U845),N(V845)&gt;0),IFERROR(N(INDEX(Parameter!$L$5:$L$7,U845))*INDEX(Parameter!$E$5:$E$7,U845)*V845/SUMIFS($V$7:$V$1576,$U$7:$U$1576,U845),0),0)</f>
        <v>0</v>
      </c>
    </row>
    <row r="846" customFormat="false" ht="15" hidden="false" customHeight="false" outlineLevel="0" collapsed="false">
      <c r="A846" s="55" t="s">
        <v>1604</v>
      </c>
      <c r="B846" s="55" t="s">
        <v>1605</v>
      </c>
      <c r="C846" s="55" t="s">
        <v>160</v>
      </c>
      <c r="D846" s="55" t="s">
        <v>178</v>
      </c>
      <c r="E846" s="55" t="s">
        <v>210</v>
      </c>
      <c r="F846" s="56" t="n">
        <v>3.14</v>
      </c>
      <c r="G846" s="57" t="n">
        <f aca="false">MAX(0,IF(AND(Parameter!$B$21="Ja",ISNUMBER(W846)),W846,IF(Parameter!$B$20="Jahresanfang 2025 + Export",BJ846+BI846,BI846)))</f>
        <v>0</v>
      </c>
      <c r="H846" s="57" t="n">
        <f aca="false">G846*F846</f>
        <v>0</v>
      </c>
      <c r="I846" s="57" t="n">
        <f aca="false">BL846*Parameter!$B$18</f>
        <v>60</v>
      </c>
      <c r="J846" s="58" t="n">
        <v>91</v>
      </c>
      <c r="K846" s="59" t="n">
        <v>0.659340659340659</v>
      </c>
      <c r="L846" s="57" t="n">
        <v>4</v>
      </c>
      <c r="M846" s="57" t="n">
        <v>60</v>
      </c>
      <c r="N846" s="60" t="n">
        <v>28</v>
      </c>
      <c r="O846" s="55" t="s">
        <v>411</v>
      </c>
      <c r="P846" s="57" t="n">
        <v>25</v>
      </c>
      <c r="Q846" s="60" t="n">
        <f aca="false">IF(BR846=1,0,IFERROR(VLOOKUP(BP846,'Gebinde-Kategorie'!$A$5:$M$45,13,0)+0,0))</f>
        <v>132</v>
      </c>
      <c r="R846" s="61"/>
      <c r="S846" s="62"/>
      <c r="T846" s="62"/>
      <c r="U846" s="55"/>
      <c r="V846" s="57"/>
      <c r="W846" s="57"/>
      <c r="X846" s="55" t="n">
        <f aca="false">IF(A846="","",IF(AND(Parameter!$B$21="Ja",ISNUMBER(U846)),U846,IF(IFERROR(VLOOKUP(D846,Parameter!$A$35:$C$64,2,0),"Nein")="2+3",IF(ISNUMBER(SEARCH("grosser Artikel",BM846)),2,IFERROR(VLOOKUP(BP846,Parameter!$F$35:$G$64,2,0),2)),IF(OR(IFERROR(VLOOKUP(D846,Parameter!$A$35:$C$64,2,0),"Nein")="Nein",IFERROR(VLOOKUP(D846,Parameter!$A$35:$C$64,2,0),"Nein")=""),"-",VLOOKUP(D846,Parameter!$A$35:$C$64,2,0)))))</f>
        <v>3</v>
      </c>
      <c r="Y846" s="62"/>
      <c r="Z846" s="63"/>
      <c r="AA846" s="57" t="n">
        <f aca="false">AP846</f>
        <v>75</v>
      </c>
      <c r="AB846" s="57" t="n">
        <f aca="false">MAX(AP846,G846)</f>
        <v>75</v>
      </c>
      <c r="AC846" s="64"/>
      <c r="AD846" s="57" t="n">
        <f aca="false">IF(LEFT(Cockpit!$C$5,1)="A",G846,IF(BW846=1,BX846,IF(LEFT(Cockpit!$C$5,1)="B",AH846,MAX(AH846,G846))))</f>
        <v>0</v>
      </c>
      <c r="AE846" s="57" t="n">
        <f aca="false">IF(BR846=1,0,ROUNDUP(AD846/BQ846,0))</f>
        <v>0</v>
      </c>
      <c r="AF846" s="59" t="n">
        <f aca="false">IF(CD846&gt;0,CD846*MAX(1,AD846/V846),IF(BR846=1,IF(AD846&lt;=0,0,BS846*MAX(1,IF(G846&gt;0,AD846/G846,1))),IF(Q846&gt;0,AE846/Q846,0))/MAX(0.1,N(Parameter!$M$21)))</f>
        <v>0</v>
      </c>
      <c r="AG846" s="57" t="n">
        <f aca="false">AD846*F846</f>
        <v>0</v>
      </c>
      <c r="AH846" s="57" t="n">
        <f aca="false">ROUNDUP(MAX(I846/IF(BV846&gt;0,BV846,MAX(0.1,N(Cockpit!$C$6))),BY846)/BQ846,0)*BQ846</f>
        <v>75</v>
      </c>
      <c r="AI846" s="58" t="n">
        <f aca="false">IF(AF846&gt;0,I846/AF846,-1)</f>
        <v>-1</v>
      </c>
      <c r="AJ846" s="58" t="str">
        <f aca="false">IF(AND(OR(BU846="L1",BU846="L23"),AF846&gt;0),SUMIFS($AF$7:$AF$1576,$BU$7:$BU$1576,BU846,$AI$7:$AI$1576,"&gt;"&amp;AI846)+SUMIFS($AF$7:$AF$1576,$BU$7:$BU$1576,BU846,$AI$7:$AI$1576,AI846,$BO$7:$BO$1576,"&lt;="&amp;BO846),"")</f>
        <v/>
      </c>
      <c r="AK846" s="65" t="n">
        <f aca="false">IF(AJ846="",0,MAX(0,MIN(1,(IF(BU846="L1",Parameter!$E$5,Parameter!$E$6+Parameter!$E$7)-(AJ846-AF846))/AF846)))</f>
        <v>0</v>
      </c>
      <c r="AL846" s="57" t="n">
        <f aca="false">IF(LEFT(Cockpit!$I$5,1)="A",G846,IF(BW846=1,BX846,IF(LEFT(Cockpit!$I$5,1)="B",AP846,MAX(AP846,G846))))</f>
        <v>75</v>
      </c>
      <c r="AM846" s="57" t="n">
        <f aca="false">IF(BR846=1,0,ROUNDUP(AL846/BQ846,0))</f>
        <v>3</v>
      </c>
      <c r="AN846" s="59" t="n">
        <f aca="false">IF(CD846&gt;0,CD846*MAX(1,AL846/V846),IF(BR846=1,IF(AL846&lt;=0,0,BS846*MAX(1,IF(G846&gt;0,AL846/G846,1))),IF(Q846&gt;0,AM846/Q846,0))/MAX(0.1,N(Parameter!$M$21)))</f>
        <v>0.0227272727272727</v>
      </c>
      <c r="AO846" s="57" t="n">
        <f aca="false">AL846*F846</f>
        <v>235.5</v>
      </c>
      <c r="AP846" s="57" t="n">
        <f aca="false">ROUNDUP(MAX(I846/IF(BV846&gt;0,BV846,MAX(0.1,N(Cockpit!$I$6))),BY846)/BQ846,0)*BQ846</f>
        <v>75</v>
      </c>
      <c r="AQ846" s="58" t="n">
        <f aca="false">IF(AN846&gt;0,I846/AN846,-1)</f>
        <v>2640</v>
      </c>
      <c r="AR846" s="58" t="n">
        <f aca="false">IF(AND(OR(BU846="L1",BU846="L23"),AN846&gt;0),SUMIFS($AN$7:$AN$1576,$BU$7:$BU$1576,BU846,$AQ$7:$AQ$1576,"&gt;"&amp;AQ846)+SUMIFS($AN$7:$AN$1576,$BU$7:$BU$1576,BU846,$AQ$7:$AQ$1576,AQ846,$BO$7:$BO$1576,"&lt;="&amp;BO846),"")</f>
        <v>14.9397834174033</v>
      </c>
      <c r="AS846" s="65" t="n">
        <f aca="false">IF(AR846="",0,MAX(0,MIN(1,(IF(BU846="L1",Parameter!$E$5,Parameter!$E$6+Parameter!$E$7)-(AR846-AN846))/AN846)))</f>
        <v>1</v>
      </c>
      <c r="AT846" s="57" t="n">
        <f aca="false">IF(LEFT(Cockpit!$O$5,1)="A",G846,IF(BW846=1,BX846,IF(LEFT(Cockpit!$O$5,1)="B",AX846,MAX(AX846,G846))))</f>
        <v>75</v>
      </c>
      <c r="AU846" s="57" t="n">
        <f aca="false">IF(BR846=1,0,ROUNDUP(AT846/BQ846,0))</f>
        <v>3</v>
      </c>
      <c r="AV846" s="59" t="n">
        <f aca="false">IF(CD846&gt;0,CD846*MAX(1,AT846/V846),IF(BR846=1,IF(AT846&lt;=0,0,BS846*MAX(1,IF(G846&gt;0,AT846/G846,1))),IF(Q846&gt;0,AU846/Q846,0))/MAX(0.1,N(Parameter!$M$21)))</f>
        <v>0.0227272727272727</v>
      </c>
      <c r="AW846" s="57" t="n">
        <f aca="false">AT846*F846</f>
        <v>235.5</v>
      </c>
      <c r="AX846" s="57" t="n">
        <f aca="false">ROUNDUP(MAX(I846/IF(BV846&gt;0,BV846,MAX(0.1,N(Cockpit!$O$6))),BY846)/BQ846,0)*BQ846</f>
        <v>75</v>
      </c>
      <c r="AY846" s="58" t="n">
        <f aca="false">IF(AV846&gt;0,I846/AV846,-1)</f>
        <v>2640</v>
      </c>
      <c r="AZ846" s="58" t="n">
        <f aca="false">IF(AND(OR(BU846="L1",BU846="L23"),AV846&gt;0),SUMIFS($AV$7:$AV$1576,$BU$7:$BU$1576,BU846,$AY$7:$AY$1576,"&gt;"&amp;AY846)+SUMIFS($AV$7:$AV$1576,$BU$7:$BU$1576,BU846,$AY$7:$AY$1576,AY846,$BO$7:$BO$1576,"&lt;="&amp;BO846),"")</f>
        <v>13.7439792215991</v>
      </c>
      <c r="BA846" s="65" t="n">
        <f aca="false">IF(AZ846="",0,MAX(0,MIN(1,(IF(BU846="L1",Parameter!$E$5,Parameter!$E$6+Parameter!$E$7)-(AZ846-AV846))/AV846)))</f>
        <v>1</v>
      </c>
      <c r="BB846" s="55" t="str">
        <f aca="false">IF(AF846&lt;=0,"",IF(BU846="Aussen","Aussenlager",IF(BU846="-","Nicht im Lift",IF(AK846&gt;=1,"Lift",IF(AK846&lt;=0,"Aussenlager","teilweise")))))</f>
        <v/>
      </c>
      <c r="BC846" s="55" t="str">
        <f aca="false">IF(AN846&lt;=0,"",IF(BU846="Aussen","Aussenlager",IF(BU846="-","Nicht im Lift",IF(AS846&gt;=1,"Lift",IF(AS846&lt;=0,"Aussenlager","teilweise")))))</f>
        <v>Lift</v>
      </c>
      <c r="BD846" s="55" t="str">
        <f aca="false">IF(AV846&lt;=0,"",IF(BU846="Aussen","Aussenlager",IF(BU846="-","Nicht im Lift",IF(BA846&gt;=1,"Lift",IF(BA846&lt;=0,"Aussenlager","teilweise")))))</f>
        <v>Lift</v>
      </c>
      <c r="BE846" s="55" t="str">
        <f aca="false">IF(A846="","",IF(BN846=1,"Neu; ","")&amp;IF(AND(BN846=0,BI846&lt;0),"negativer Bestand (Export "&amp;BI846&amp;"); ","")&amp;IF(I846&lt;=0,"Kein Verbrauch; ","")&amp;IF(CD846&gt;0,"Lift "&amp;U846&amp;" lt. Liftbericht (Fach "&amp;V846&amp;" Stk); ",IF(BR846=1,"Lose – Fläche geschätzt; ",""))&amp;IF(G846&gt;AP846,"Überbestand "&amp;ROUND(G846-AP846,0)&amp;" Stk / CHF "&amp;ROUND((G846-AP846)*F846,0)&amp;"; ","")&amp;IF(AND(BW846=1,BX846&lt;BY846),"MAX &lt; MB+LG; ","")&amp;IF(AND(CC846&gt;0,CB846*10&gt;CC846),"zu hoch für Tablar; ","")&amp;IF(AND(BN846=0,OR(BW846=1,Y846&lt;&gt;"",S846&lt;&gt;"",T846&lt;&gt;"",Z846&lt;&gt;"")),"manuell übersteuert; ","")&amp;IF(AND(BR846=0,Q846=0),"Gebinde unbekannt / Stellmass fehlt; ","")&amp;IF(AND(BR846=0,N(T846)&lt;=0,N(P846)&lt;=0),"Menge pro Gebinde fehlt (Ist = 1 Gebinde); ","")&amp;BM846)</f>
        <v>negativer Bestand (Export -29); </v>
      </c>
      <c r="BF846" s="55"/>
      <c r="BG846" s="55"/>
      <c r="BH846" s="62"/>
      <c r="BI846" s="57" t="n">
        <v>-29</v>
      </c>
      <c r="BJ846" s="57" t="n">
        <v>72</v>
      </c>
      <c r="BK846" s="56" t="n">
        <v>-15.4599999999997</v>
      </c>
      <c r="BL846" s="57" t="n">
        <v>60</v>
      </c>
      <c r="BM846" s="55"/>
      <c r="BN846" s="60" t="n">
        <v>0</v>
      </c>
      <c r="BO846" s="60" t="n">
        <v>846</v>
      </c>
      <c r="BP846" s="55" t="str">
        <f aca="false">IF(S846&lt;&gt;"",UPPER(TRIM(S846)),IF(O846="","LOSE",O846))</f>
        <v>S32</v>
      </c>
      <c r="BQ846" s="57" t="n">
        <f aca="false">IF(BP846="LOSE",1,IF(N(T846)&gt;0,T846,IF(N(P846)&gt;0,P846,MAX(1,G846))))</f>
        <v>25</v>
      </c>
      <c r="BR846" s="60" t="n">
        <f aca="false">IF(BP846="LOSE",1,0)</f>
        <v>0</v>
      </c>
      <c r="BS846" s="59" t="n">
        <f aca="false">IF(BR846=0,0,IF(N(R846)&gt;0,R846,IFERROR(VLOOKUP(D846,Parameter!$A$35:$C$64,3,0)+0,0)))</f>
        <v>0</v>
      </c>
      <c r="BT846" s="55" t="n">
        <f aca="false">IF(Y846&lt;&gt;"",Y846,X846)</f>
        <v>3</v>
      </c>
      <c r="BU846" s="55" t="str">
        <f aca="false">IF(BT846=1,"L1",IF(OR(BT846=2,BT846=3),"L23",IF(BT846="Aussen","Aussen","-")))</f>
        <v>L23</v>
      </c>
      <c r="BV846" s="66" t="n">
        <f aca="false">IF(N(Z846)&gt;0,Z846,0)</f>
        <v>0</v>
      </c>
      <c r="BW846" s="60" t="n">
        <f aca="false">IF(ISNUMBER(AC846),1,0)</f>
        <v>0</v>
      </c>
      <c r="BX846" s="57" t="n">
        <f aca="false">N(AC846)</f>
        <v>0</v>
      </c>
      <c r="BY846" s="57" t="n">
        <f aca="false">N(L846)+N(M846)</f>
        <v>64</v>
      </c>
      <c r="BZ846" s="57" t="n">
        <f aca="false">ROUNDUP(G846/BQ846,0)</f>
        <v>0</v>
      </c>
      <c r="CA846" s="57" t="n">
        <f aca="false">ROUNDUP(BX846/BQ846,0)</f>
        <v>0</v>
      </c>
      <c r="CB846" s="60" t="n">
        <f aca="false">IF(BR846=1,0,IFERROR(VLOOKUP(BP846,'Gebinde-Kategorie'!$A$5:$M$45,5,0)+0,0))</f>
        <v>8</v>
      </c>
      <c r="CC846" s="60" t="n">
        <f aca="false">IFERROR(IF(OR(BT846=1,BT846=2,BT846=3),N(INDEX(Parameter!$I$5:$I$7,BT846)),0),0)</f>
        <v>0</v>
      </c>
      <c r="CD846" s="59" t="n">
        <f aca="false">IF(AND(Parameter!$B$21="Ja",ISNUMBER(U846),N(V846)&gt;0),IFERROR(N(INDEX(Parameter!$L$5:$L$7,U846))*INDEX(Parameter!$E$5:$E$7,U846)*V846/SUMIFS($V$7:$V$1576,$U$7:$U$1576,U846),0),0)</f>
        <v>0</v>
      </c>
    </row>
    <row r="847" customFormat="false" ht="15" hidden="false" customHeight="false" outlineLevel="0" collapsed="false">
      <c r="A847" s="55" t="s">
        <v>1606</v>
      </c>
      <c r="B847" s="55" t="s">
        <v>1279</v>
      </c>
      <c r="C847" s="55" t="s">
        <v>160</v>
      </c>
      <c r="D847" s="55" t="s">
        <v>178</v>
      </c>
      <c r="E847" s="55" t="s">
        <v>210</v>
      </c>
      <c r="F847" s="56" t="n">
        <v>0.85</v>
      </c>
      <c r="G847" s="57" t="n">
        <f aca="false">MAX(0,IF(AND(Parameter!$B$21="Ja",ISNUMBER(W847)),W847,IF(Parameter!$B$20="Jahresanfang 2025 + Export",BJ847+BI847,BI847)))</f>
        <v>0</v>
      </c>
      <c r="H847" s="57" t="n">
        <f aca="false">G847*F847</f>
        <v>0</v>
      </c>
      <c r="I847" s="57" t="n">
        <f aca="false">BL847*Parameter!$B$18</f>
        <v>29</v>
      </c>
      <c r="J847" s="58" t="n">
        <v>30.5</v>
      </c>
      <c r="K847" s="59" t="n">
        <v>0.950819672131148</v>
      </c>
      <c r="L847" s="57" t="n">
        <v>1</v>
      </c>
      <c r="M847" s="57" t="n">
        <v>30</v>
      </c>
      <c r="N847" s="60" t="n">
        <v>21</v>
      </c>
      <c r="O847" s="55" t="s">
        <v>218</v>
      </c>
      <c r="P847" s="57" t="n">
        <v>65</v>
      </c>
      <c r="Q847" s="60" t="n">
        <f aca="false">IF(BR847=1,0,IFERROR(VLOOKUP(BP847,'Gebinde-Kategorie'!$A$5:$M$45,13,0)+0,0))</f>
        <v>12</v>
      </c>
      <c r="R847" s="61"/>
      <c r="S847" s="62"/>
      <c r="T847" s="62"/>
      <c r="U847" s="55"/>
      <c r="V847" s="57"/>
      <c r="W847" s="57"/>
      <c r="X847" s="55" t="n">
        <f aca="false">IF(A847="","",IF(AND(Parameter!$B$21="Ja",ISNUMBER(U847)),U847,IF(IFERROR(VLOOKUP(D847,Parameter!$A$35:$C$64,2,0),"Nein")="2+3",IF(ISNUMBER(SEARCH("grosser Artikel",BM847)),2,IFERROR(VLOOKUP(BP847,Parameter!$F$35:$G$64,2,0),2)),IF(OR(IFERROR(VLOOKUP(D847,Parameter!$A$35:$C$64,2,0),"Nein")="Nein",IFERROR(VLOOKUP(D847,Parameter!$A$35:$C$64,2,0),"Nein")=""),"-",VLOOKUP(D847,Parameter!$A$35:$C$64,2,0)))))</f>
        <v>2</v>
      </c>
      <c r="Y847" s="62"/>
      <c r="Z847" s="63"/>
      <c r="AA847" s="57" t="n">
        <f aca="false">AP847</f>
        <v>65</v>
      </c>
      <c r="AB847" s="57" t="n">
        <f aca="false">MAX(AP847,G847)</f>
        <v>65</v>
      </c>
      <c r="AC847" s="64"/>
      <c r="AD847" s="57" t="n">
        <f aca="false">IF(LEFT(Cockpit!$C$5,1)="A",G847,IF(BW847=1,BX847,IF(LEFT(Cockpit!$C$5,1)="B",AH847,MAX(AH847,G847))))</f>
        <v>0</v>
      </c>
      <c r="AE847" s="57" t="n">
        <f aca="false">IF(BR847=1,0,ROUNDUP(AD847/BQ847,0))</f>
        <v>0</v>
      </c>
      <c r="AF847" s="59" t="n">
        <f aca="false">IF(CD847&gt;0,CD847*MAX(1,AD847/V847),IF(BR847=1,IF(AD847&lt;=0,0,BS847*MAX(1,IF(G847&gt;0,AD847/G847,1))),IF(Q847&gt;0,AE847/Q847,0))/MAX(0.1,N(Parameter!$M$21)))</f>
        <v>0</v>
      </c>
      <c r="AG847" s="57" t="n">
        <f aca="false">AD847*F847</f>
        <v>0</v>
      </c>
      <c r="AH847" s="57" t="n">
        <f aca="false">ROUNDUP(MAX(I847/IF(BV847&gt;0,BV847,MAX(0.1,N(Cockpit!$C$6))),BY847)/BQ847,0)*BQ847</f>
        <v>65</v>
      </c>
      <c r="AI847" s="58" t="n">
        <f aca="false">IF(AF847&gt;0,I847/AF847,-1)</f>
        <v>-1</v>
      </c>
      <c r="AJ847" s="58" t="str">
        <f aca="false">IF(AND(OR(BU847="L1",BU847="L23"),AF847&gt;0),SUMIFS($AF$7:$AF$1576,$BU$7:$BU$1576,BU847,$AI$7:$AI$1576,"&gt;"&amp;AI847)+SUMIFS($AF$7:$AF$1576,$BU$7:$BU$1576,BU847,$AI$7:$AI$1576,AI847,$BO$7:$BO$1576,"&lt;="&amp;BO847),"")</f>
        <v/>
      </c>
      <c r="AK847" s="65" t="n">
        <f aca="false">IF(AJ847="",0,MAX(0,MIN(1,(IF(BU847="L1",Parameter!$E$5,Parameter!$E$6+Parameter!$E$7)-(AJ847-AF847))/AF847)))</f>
        <v>0</v>
      </c>
      <c r="AL847" s="57" t="n">
        <f aca="false">IF(LEFT(Cockpit!$I$5,1)="A",G847,IF(BW847=1,BX847,IF(LEFT(Cockpit!$I$5,1)="B",AP847,MAX(AP847,G847))))</f>
        <v>65</v>
      </c>
      <c r="AM847" s="57" t="n">
        <f aca="false">IF(BR847=1,0,ROUNDUP(AL847/BQ847,0))</f>
        <v>1</v>
      </c>
      <c r="AN847" s="59" t="n">
        <f aca="false">IF(CD847&gt;0,CD847*MAX(1,AL847/V847),IF(BR847=1,IF(AL847&lt;=0,0,BS847*MAX(1,IF(G847&gt;0,AL847/G847,1))),IF(Q847&gt;0,AM847/Q847,0))/MAX(0.1,N(Parameter!$M$21)))</f>
        <v>0.0833333333333333</v>
      </c>
      <c r="AO847" s="57" t="n">
        <f aca="false">AL847*F847</f>
        <v>55.25</v>
      </c>
      <c r="AP847" s="57" t="n">
        <f aca="false">ROUNDUP(MAX(I847/IF(BV847&gt;0,BV847,MAX(0.1,N(Cockpit!$I$6))),BY847)/BQ847,0)*BQ847</f>
        <v>65</v>
      </c>
      <c r="AQ847" s="58" t="n">
        <f aca="false">IF(AN847&gt;0,I847/AN847,-1)</f>
        <v>348</v>
      </c>
      <c r="AR847" s="58" t="n">
        <f aca="false">IF(AND(OR(BU847="L1",BU847="L23"),AN847&gt;0),SUMIFS($AN$7:$AN$1576,$BU$7:$BU$1576,BU847,$AQ$7:$AQ$1576,"&gt;"&amp;AQ847)+SUMIFS($AN$7:$AN$1576,$BU$7:$BU$1576,BU847,$AQ$7:$AQ$1576,AQ847,$BO$7:$BO$1576,"&lt;="&amp;BO847),"")</f>
        <v>38.7154675883048</v>
      </c>
      <c r="AS847" s="65" t="n">
        <f aca="false">IF(AR847="",0,MAX(0,MIN(1,(IF(BU847="L1",Parameter!$E$5,Parameter!$E$6+Parameter!$E$7)-(AR847-AN847))/AN847)))</f>
        <v>1</v>
      </c>
      <c r="AT847" s="57" t="n">
        <f aca="false">IF(LEFT(Cockpit!$O$5,1)="A",G847,IF(BW847=1,BX847,IF(LEFT(Cockpit!$O$5,1)="B",AX847,MAX(AX847,G847))))</f>
        <v>65</v>
      </c>
      <c r="AU847" s="57" t="n">
        <f aca="false">IF(BR847=1,0,ROUNDUP(AT847/BQ847,0))</f>
        <v>1</v>
      </c>
      <c r="AV847" s="59" t="n">
        <f aca="false">IF(CD847&gt;0,CD847*MAX(1,AT847/V847),IF(BR847=1,IF(AT847&lt;=0,0,BS847*MAX(1,IF(G847&gt;0,AT847/G847,1))),IF(Q847&gt;0,AU847/Q847,0))/MAX(0.1,N(Parameter!$M$21)))</f>
        <v>0.0833333333333333</v>
      </c>
      <c r="AW847" s="57" t="n">
        <f aca="false">AT847*F847</f>
        <v>55.25</v>
      </c>
      <c r="AX847" s="57" t="n">
        <f aca="false">ROUNDUP(MAX(I847/IF(BV847&gt;0,BV847,MAX(0.1,N(Cockpit!$O$6))),BY847)/BQ847,0)*BQ847</f>
        <v>65</v>
      </c>
      <c r="AY847" s="58" t="n">
        <f aca="false">IF(AV847&gt;0,I847/AV847,-1)</f>
        <v>348</v>
      </c>
      <c r="AZ847" s="58" t="n">
        <f aca="false">IF(AND(OR(BU847="L1",BU847="L23"),AV847&gt;0),SUMIFS($AV$7:$AV$1576,$BU$7:$BU$1576,BU847,$AY$7:$AY$1576,"&gt;"&amp;AY847)+SUMIFS($AV$7:$AV$1576,$BU$7:$BU$1576,BU847,$AY$7:$AY$1576,AY847,$BO$7:$BO$1576,"&lt;="&amp;BO847),"")</f>
        <v>37.9635461763834</v>
      </c>
      <c r="BA847" s="65" t="n">
        <f aca="false">IF(AZ847="",0,MAX(0,MIN(1,(IF(BU847="L1",Parameter!$E$5,Parameter!$E$6+Parameter!$E$7)-(AZ847-AV847))/AV847)))</f>
        <v>1</v>
      </c>
      <c r="BB847" s="55" t="str">
        <f aca="false">IF(AF847&lt;=0,"",IF(BU847="Aussen","Aussenlager",IF(BU847="-","Nicht im Lift",IF(AK847&gt;=1,"Lift",IF(AK847&lt;=0,"Aussenlager","teilweise")))))</f>
        <v/>
      </c>
      <c r="BC847" s="55" t="str">
        <f aca="false">IF(AN847&lt;=0,"",IF(BU847="Aussen","Aussenlager",IF(BU847="-","Nicht im Lift",IF(AS847&gt;=1,"Lift",IF(AS847&lt;=0,"Aussenlager","teilweise")))))</f>
        <v>Lift</v>
      </c>
      <c r="BD847" s="55" t="str">
        <f aca="false">IF(AV847&lt;=0,"",IF(BU847="Aussen","Aussenlager",IF(BU847="-","Nicht im Lift",IF(BA847&gt;=1,"Lift",IF(BA847&lt;=0,"Aussenlager","teilweise")))))</f>
        <v>Lift</v>
      </c>
      <c r="BE847" s="55" t="str">
        <f aca="false">IF(A847="","",IF(BN847=1,"Neu; ","")&amp;IF(AND(BN847=0,BI847&lt;0),"negativer Bestand (Export "&amp;BI847&amp;"); ","")&amp;IF(I847&lt;=0,"Kein Verbrauch; ","")&amp;IF(CD847&gt;0,"Lift "&amp;U847&amp;" lt. Liftbericht (Fach "&amp;V847&amp;" Stk); ",IF(BR847=1,"Lose – Fläche geschätzt; ",""))&amp;IF(G847&gt;AP847,"Überbestand "&amp;ROUND(G847-AP847,0)&amp;" Stk / CHF "&amp;ROUND((G847-AP847)*F847,0)&amp;"; ","")&amp;IF(AND(BW847=1,BX847&lt;BY847),"MAX &lt; MB+LG; ","")&amp;IF(AND(CC847&gt;0,CB847*10&gt;CC847),"zu hoch für Tablar; ","")&amp;IF(AND(BN847=0,OR(BW847=1,Y847&lt;&gt;"",S847&lt;&gt;"",T847&lt;&gt;"",Z847&lt;&gt;"")),"manuell übersteuert; ","")&amp;IF(AND(BR847=0,Q847=0),"Gebinde unbekannt / Stellmass fehlt; ","")&amp;IF(AND(BR847=0,N(T847)&lt;=0,N(P847)&lt;=0),"Menge pro Gebinde fehlt (Ist = 1 Gebinde); ","")&amp;BM847)</f>
        <v>negativer Bestand (Export -22); </v>
      </c>
      <c r="BF847" s="55"/>
      <c r="BG847" s="55"/>
      <c r="BH847" s="62"/>
      <c r="BI847" s="57" t="n">
        <v>-22</v>
      </c>
      <c r="BJ847" s="57" t="n">
        <v>31</v>
      </c>
      <c r="BK847" s="56" t="n">
        <v>-15.91</v>
      </c>
      <c r="BL847" s="57" t="n">
        <v>29</v>
      </c>
      <c r="BM847" s="55"/>
      <c r="BN847" s="60" t="n">
        <v>0</v>
      </c>
      <c r="BO847" s="60" t="n">
        <v>847</v>
      </c>
      <c r="BP847" s="55" t="str">
        <f aca="false">IF(S847&lt;&gt;"",UPPER(TRIM(S847)),IF(O847="","LOSE",O847))</f>
        <v>S63</v>
      </c>
      <c r="BQ847" s="57" t="n">
        <f aca="false">IF(BP847="LOSE",1,IF(N(T847)&gt;0,T847,IF(N(P847)&gt;0,P847,MAX(1,G847))))</f>
        <v>65</v>
      </c>
      <c r="BR847" s="60" t="n">
        <f aca="false">IF(BP847="LOSE",1,0)</f>
        <v>0</v>
      </c>
      <c r="BS847" s="59" t="n">
        <f aca="false">IF(BR847=0,0,IF(N(R847)&gt;0,R847,IFERROR(VLOOKUP(D847,Parameter!$A$35:$C$64,3,0)+0,0)))</f>
        <v>0</v>
      </c>
      <c r="BT847" s="55" t="n">
        <f aca="false">IF(Y847&lt;&gt;"",Y847,X847)</f>
        <v>2</v>
      </c>
      <c r="BU847" s="55" t="str">
        <f aca="false">IF(BT847=1,"L1",IF(OR(BT847=2,BT847=3),"L23",IF(BT847="Aussen","Aussen","-")))</f>
        <v>L23</v>
      </c>
      <c r="BV847" s="66" t="n">
        <f aca="false">IF(N(Z847)&gt;0,Z847,0)</f>
        <v>0</v>
      </c>
      <c r="BW847" s="60" t="n">
        <f aca="false">IF(ISNUMBER(AC847),1,0)</f>
        <v>0</v>
      </c>
      <c r="BX847" s="57" t="n">
        <f aca="false">N(AC847)</f>
        <v>0</v>
      </c>
      <c r="BY847" s="57" t="n">
        <f aca="false">N(L847)+N(M847)</f>
        <v>31</v>
      </c>
      <c r="BZ847" s="57" t="n">
        <f aca="false">ROUNDUP(G847/BQ847,0)</f>
        <v>0</v>
      </c>
      <c r="CA847" s="57" t="n">
        <f aca="false">ROUNDUP(BX847/BQ847,0)</f>
        <v>0</v>
      </c>
      <c r="CB847" s="60" t="n">
        <f aca="false">IF(BR847=1,0,IFERROR(VLOOKUP(BP847,'Gebinde-Kategorie'!$A$5:$M$45,5,0)+0,0))</f>
        <v>31</v>
      </c>
      <c r="CC847" s="60" t="n">
        <f aca="false">IFERROR(IF(OR(BT847=1,BT847=2,BT847=3),N(INDEX(Parameter!$I$5:$I$7,BT847)),0),0)</f>
        <v>0</v>
      </c>
      <c r="CD847" s="59" t="n">
        <f aca="false">IF(AND(Parameter!$B$21="Ja",ISNUMBER(U847),N(V847)&gt;0),IFERROR(N(INDEX(Parameter!$L$5:$L$7,U847))*INDEX(Parameter!$E$5:$E$7,U847)*V847/SUMIFS($V$7:$V$1576,$U$7:$U$1576,U847),0),0)</f>
        <v>0</v>
      </c>
    </row>
    <row r="848" customFormat="false" ht="15" hidden="false" customHeight="false" outlineLevel="0" collapsed="false">
      <c r="A848" s="55" t="s">
        <v>1607</v>
      </c>
      <c r="B848" s="55" t="s">
        <v>395</v>
      </c>
      <c r="C848" s="55" t="s">
        <v>160</v>
      </c>
      <c r="D848" s="55" t="s">
        <v>178</v>
      </c>
      <c r="E848" s="55" t="s">
        <v>210</v>
      </c>
      <c r="F848" s="56" t="n">
        <v>0.37</v>
      </c>
      <c r="G848" s="57" t="n">
        <f aca="false">MAX(0,IF(AND(Parameter!$B$21="Ja",ISNUMBER(W848)),W848,IF(Parameter!$B$20="Jahresanfang 2025 + Export",BJ848+BI848,BI848)))</f>
        <v>0</v>
      </c>
      <c r="H848" s="57" t="n">
        <f aca="false">G848*F848</f>
        <v>0</v>
      </c>
      <c r="I848" s="57" t="n">
        <f aca="false">BL848*Parameter!$B$18</f>
        <v>48</v>
      </c>
      <c r="J848" s="58" t="n">
        <v>758.5</v>
      </c>
      <c r="K848" s="59" t="n">
        <v>0.0632827949901121</v>
      </c>
      <c r="L848" s="57" t="n">
        <v>1</v>
      </c>
      <c r="M848" s="57" t="n">
        <v>50</v>
      </c>
      <c r="N848" s="60" t="n">
        <v>14</v>
      </c>
      <c r="O848" s="55" t="s">
        <v>218</v>
      </c>
      <c r="P848" s="57" t="n">
        <v>601</v>
      </c>
      <c r="Q848" s="60" t="n">
        <f aca="false">IF(BR848=1,0,IFERROR(VLOOKUP(BP848,'Gebinde-Kategorie'!$A$5:$M$45,13,0)+0,0))</f>
        <v>12</v>
      </c>
      <c r="R848" s="61"/>
      <c r="S848" s="62"/>
      <c r="T848" s="62"/>
      <c r="U848" s="55"/>
      <c r="V848" s="57"/>
      <c r="W848" s="57"/>
      <c r="X848" s="55" t="n">
        <f aca="false">IF(A848="","",IF(AND(Parameter!$B$21="Ja",ISNUMBER(U848)),U848,IF(IFERROR(VLOOKUP(D848,Parameter!$A$35:$C$64,2,0),"Nein")="2+3",IF(ISNUMBER(SEARCH("grosser Artikel",BM848)),2,IFERROR(VLOOKUP(BP848,Parameter!$F$35:$G$64,2,0),2)),IF(OR(IFERROR(VLOOKUP(D848,Parameter!$A$35:$C$64,2,0),"Nein")="Nein",IFERROR(VLOOKUP(D848,Parameter!$A$35:$C$64,2,0),"Nein")=""),"-",VLOOKUP(D848,Parameter!$A$35:$C$64,2,0)))))</f>
        <v>2</v>
      </c>
      <c r="Y848" s="62"/>
      <c r="Z848" s="63"/>
      <c r="AA848" s="57" t="n">
        <f aca="false">AP848</f>
        <v>601</v>
      </c>
      <c r="AB848" s="57" t="n">
        <f aca="false">MAX(AP848,G848)</f>
        <v>601</v>
      </c>
      <c r="AC848" s="64"/>
      <c r="AD848" s="57" t="n">
        <f aca="false">IF(LEFT(Cockpit!$C$5,1)="A",G848,IF(BW848=1,BX848,IF(LEFT(Cockpit!$C$5,1)="B",AH848,MAX(AH848,G848))))</f>
        <v>0</v>
      </c>
      <c r="AE848" s="57" t="n">
        <f aca="false">IF(BR848=1,0,ROUNDUP(AD848/BQ848,0))</f>
        <v>0</v>
      </c>
      <c r="AF848" s="59" t="n">
        <f aca="false">IF(CD848&gt;0,CD848*MAX(1,AD848/V848),IF(BR848=1,IF(AD848&lt;=0,0,BS848*MAX(1,IF(G848&gt;0,AD848/G848,1))),IF(Q848&gt;0,AE848/Q848,0))/MAX(0.1,N(Parameter!$M$21)))</f>
        <v>0</v>
      </c>
      <c r="AG848" s="57" t="n">
        <f aca="false">AD848*F848</f>
        <v>0</v>
      </c>
      <c r="AH848" s="57" t="n">
        <f aca="false">ROUNDUP(MAX(I848/IF(BV848&gt;0,BV848,MAX(0.1,N(Cockpit!$C$6))),BY848)/BQ848,0)*BQ848</f>
        <v>601</v>
      </c>
      <c r="AI848" s="58" t="n">
        <f aca="false">IF(AF848&gt;0,I848/AF848,-1)</f>
        <v>-1</v>
      </c>
      <c r="AJ848" s="58" t="str">
        <f aca="false">IF(AND(OR(BU848="L1",BU848="L23"),AF848&gt;0),SUMIFS($AF$7:$AF$1576,$BU$7:$BU$1576,BU848,$AI$7:$AI$1576,"&gt;"&amp;AI848)+SUMIFS($AF$7:$AF$1576,$BU$7:$BU$1576,BU848,$AI$7:$AI$1576,AI848,$BO$7:$BO$1576,"&lt;="&amp;BO848),"")</f>
        <v/>
      </c>
      <c r="AK848" s="65" t="n">
        <f aca="false">IF(AJ848="",0,MAX(0,MIN(1,(IF(BU848="L1",Parameter!$E$5,Parameter!$E$6+Parameter!$E$7)-(AJ848-AF848))/AF848)))</f>
        <v>0</v>
      </c>
      <c r="AL848" s="57" t="n">
        <f aca="false">IF(LEFT(Cockpit!$I$5,1)="A",G848,IF(BW848=1,BX848,IF(LEFT(Cockpit!$I$5,1)="B",AP848,MAX(AP848,G848))))</f>
        <v>601</v>
      </c>
      <c r="AM848" s="57" t="n">
        <f aca="false">IF(BR848=1,0,ROUNDUP(AL848/BQ848,0))</f>
        <v>1</v>
      </c>
      <c r="AN848" s="59" t="n">
        <f aca="false">IF(CD848&gt;0,CD848*MAX(1,AL848/V848),IF(BR848=1,IF(AL848&lt;=0,0,BS848*MAX(1,IF(G848&gt;0,AL848/G848,1))),IF(Q848&gt;0,AM848/Q848,0))/MAX(0.1,N(Parameter!$M$21)))</f>
        <v>0.0833333333333333</v>
      </c>
      <c r="AO848" s="57" t="n">
        <f aca="false">AL848*F848</f>
        <v>222.37</v>
      </c>
      <c r="AP848" s="57" t="n">
        <f aca="false">ROUNDUP(MAX(I848/IF(BV848&gt;0,BV848,MAX(0.1,N(Cockpit!$I$6))),BY848)/BQ848,0)*BQ848</f>
        <v>601</v>
      </c>
      <c r="AQ848" s="58" t="n">
        <f aca="false">IF(AN848&gt;0,I848/AN848,-1)</f>
        <v>576</v>
      </c>
      <c r="AR848" s="58" t="n">
        <f aca="false">IF(AND(OR(BU848="L1",BU848="L23"),AN848&gt;0),SUMIFS($AN$7:$AN$1576,$BU$7:$BU$1576,BU848,$AQ$7:$AQ$1576,"&gt;"&amp;AQ848)+SUMIFS($AN$7:$AN$1576,$BU$7:$BU$1576,BU848,$AQ$7:$AQ$1576,AQ848,$BO$7:$BO$1576,"&lt;="&amp;BO848),"")</f>
        <v>31.6378145649996</v>
      </c>
      <c r="AS848" s="65" t="n">
        <f aca="false">IF(AR848="",0,MAX(0,MIN(1,(IF(BU848="L1",Parameter!$E$5,Parameter!$E$6+Parameter!$E$7)-(AR848-AN848))/AN848)))</f>
        <v>1</v>
      </c>
      <c r="AT848" s="57" t="n">
        <f aca="false">IF(LEFT(Cockpit!$O$5,1)="A",G848,IF(BW848=1,BX848,IF(LEFT(Cockpit!$O$5,1)="B",AX848,MAX(AX848,G848))))</f>
        <v>601</v>
      </c>
      <c r="AU848" s="57" t="n">
        <f aca="false">IF(BR848=1,0,ROUNDUP(AT848/BQ848,0))</f>
        <v>1</v>
      </c>
      <c r="AV848" s="59" t="n">
        <f aca="false">IF(CD848&gt;0,CD848*MAX(1,AT848/V848),IF(BR848=1,IF(AT848&lt;=0,0,BS848*MAX(1,IF(G848&gt;0,AT848/G848,1))),IF(Q848&gt;0,AU848/Q848,0))/MAX(0.1,N(Parameter!$M$21)))</f>
        <v>0.0833333333333333</v>
      </c>
      <c r="AW848" s="57" t="n">
        <f aca="false">AT848*F848</f>
        <v>222.37</v>
      </c>
      <c r="AX848" s="57" t="n">
        <f aca="false">ROUNDUP(MAX(I848/IF(BV848&gt;0,BV848,MAX(0.1,N(Cockpit!$O$6))),BY848)/BQ848,0)*BQ848</f>
        <v>601</v>
      </c>
      <c r="AY848" s="58" t="n">
        <f aca="false">IF(AV848&gt;0,I848/AV848,-1)</f>
        <v>576</v>
      </c>
      <c r="AZ848" s="58" t="n">
        <f aca="false">IF(AND(OR(BU848="L1",BU848="L23"),AV848&gt;0),SUMIFS($AV$7:$AV$1576,$BU$7:$BU$1576,BU848,$AY$7:$AY$1576,"&gt;"&amp;AY848)+SUMIFS($AV$7:$AV$1576,$BU$7:$BU$1576,BU848,$AY$7:$AY$1576,AY848,$BO$7:$BO$1576,"&lt;="&amp;BO848),"")</f>
        <v>30.5478345450196</v>
      </c>
      <c r="BA848" s="65" t="n">
        <f aca="false">IF(AZ848="",0,MAX(0,MIN(1,(IF(BU848="L1",Parameter!$E$5,Parameter!$E$6+Parameter!$E$7)-(AZ848-AV848))/AV848)))</f>
        <v>1</v>
      </c>
      <c r="BB848" s="55" t="str">
        <f aca="false">IF(AF848&lt;=0,"",IF(BU848="Aussen","Aussenlager",IF(BU848="-","Nicht im Lift",IF(AK848&gt;=1,"Lift",IF(AK848&lt;=0,"Aussenlager","teilweise")))))</f>
        <v/>
      </c>
      <c r="BC848" s="55" t="str">
        <f aca="false">IF(AN848&lt;=0,"",IF(BU848="Aussen","Aussenlager",IF(BU848="-","Nicht im Lift",IF(AS848&gt;=1,"Lift",IF(AS848&lt;=0,"Aussenlager","teilweise")))))</f>
        <v>Lift</v>
      </c>
      <c r="BD848" s="55" t="str">
        <f aca="false">IF(AV848&lt;=0,"",IF(BU848="Aussen","Aussenlager",IF(BU848="-","Nicht im Lift",IF(BA848&gt;=1,"Lift",IF(BA848&lt;=0,"Aussenlager","teilweise")))))</f>
        <v>Lift</v>
      </c>
      <c r="BE848" s="55" t="str">
        <f aca="false">IF(A848="","",IF(BN848=1,"Neu; ","")&amp;IF(AND(BN848=0,BI848&lt;0),"negativer Bestand (Export "&amp;BI848&amp;"); ","")&amp;IF(I848&lt;=0,"Kein Verbrauch; ","")&amp;IF(CD848&gt;0,"Lift "&amp;U848&amp;" lt. Liftbericht (Fach "&amp;V848&amp;" Stk); ",IF(BR848=1,"Lose – Fläche geschätzt; ",""))&amp;IF(G848&gt;AP848,"Überbestand "&amp;ROUND(G848-AP848,0)&amp;" Stk / CHF "&amp;ROUND((G848-AP848)*F848,0)&amp;"; ","")&amp;IF(AND(BW848=1,BX848&lt;BY848),"MAX &lt; MB+LG; ","")&amp;IF(AND(CC848&gt;0,CB848*10&gt;CC848),"zu hoch für Tablar; ","")&amp;IF(AND(BN848=0,OR(BW848=1,Y848&lt;&gt;"",S848&lt;&gt;"",T848&lt;&gt;"",Z848&lt;&gt;"")),"manuell übersteuert; ","")&amp;IF(AND(BR848=0,Q848=0),"Gebinde unbekannt / Stellmass fehlt; ","")&amp;IF(AND(BR848=0,N(T848)&lt;=0,N(P848)&lt;=0),"Menge pro Gebinde fehlt (Ist = 1 Gebinde); ","")&amp;BM848)</f>
        <v>negativer Bestand (Export -43); Überbestand</v>
      </c>
      <c r="BF848" s="55"/>
      <c r="BG848" s="55"/>
      <c r="BH848" s="62"/>
      <c r="BI848" s="57" t="n">
        <v>-43</v>
      </c>
      <c r="BJ848" s="57" t="n">
        <v>780</v>
      </c>
      <c r="BK848" s="56" t="n">
        <v>-15.91</v>
      </c>
      <c r="BL848" s="57" t="n">
        <v>48</v>
      </c>
      <c r="BM848" s="55" t="s">
        <v>382</v>
      </c>
      <c r="BN848" s="60" t="n">
        <v>0</v>
      </c>
      <c r="BO848" s="60" t="n">
        <v>848</v>
      </c>
      <c r="BP848" s="55" t="str">
        <f aca="false">IF(S848&lt;&gt;"",UPPER(TRIM(S848)),IF(O848="","LOSE",O848))</f>
        <v>S63</v>
      </c>
      <c r="BQ848" s="57" t="n">
        <f aca="false">IF(BP848="LOSE",1,IF(N(T848)&gt;0,T848,IF(N(P848)&gt;0,P848,MAX(1,G848))))</f>
        <v>601</v>
      </c>
      <c r="BR848" s="60" t="n">
        <f aca="false">IF(BP848="LOSE",1,0)</f>
        <v>0</v>
      </c>
      <c r="BS848" s="59" t="n">
        <f aca="false">IF(BR848=0,0,IF(N(R848)&gt;0,R848,IFERROR(VLOOKUP(D848,Parameter!$A$35:$C$64,3,0)+0,0)))</f>
        <v>0</v>
      </c>
      <c r="BT848" s="55" t="n">
        <f aca="false">IF(Y848&lt;&gt;"",Y848,X848)</f>
        <v>2</v>
      </c>
      <c r="BU848" s="55" t="str">
        <f aca="false">IF(BT848=1,"L1",IF(OR(BT848=2,BT848=3),"L23",IF(BT848="Aussen","Aussen","-")))</f>
        <v>L23</v>
      </c>
      <c r="BV848" s="66" t="n">
        <f aca="false">IF(N(Z848)&gt;0,Z848,0)</f>
        <v>0</v>
      </c>
      <c r="BW848" s="60" t="n">
        <f aca="false">IF(ISNUMBER(AC848),1,0)</f>
        <v>0</v>
      </c>
      <c r="BX848" s="57" t="n">
        <f aca="false">N(AC848)</f>
        <v>0</v>
      </c>
      <c r="BY848" s="57" t="n">
        <f aca="false">N(L848)+N(M848)</f>
        <v>51</v>
      </c>
      <c r="BZ848" s="57" t="n">
        <f aca="false">ROUNDUP(G848/BQ848,0)</f>
        <v>0</v>
      </c>
      <c r="CA848" s="57" t="n">
        <f aca="false">ROUNDUP(BX848/BQ848,0)</f>
        <v>0</v>
      </c>
      <c r="CB848" s="60" t="n">
        <f aca="false">IF(BR848=1,0,IFERROR(VLOOKUP(BP848,'Gebinde-Kategorie'!$A$5:$M$45,5,0)+0,0))</f>
        <v>31</v>
      </c>
      <c r="CC848" s="60" t="n">
        <f aca="false">IFERROR(IF(OR(BT848=1,BT848=2,BT848=3),N(INDEX(Parameter!$I$5:$I$7,BT848)),0),0)</f>
        <v>0</v>
      </c>
      <c r="CD848" s="59" t="n">
        <f aca="false">IF(AND(Parameter!$B$21="Ja",ISNUMBER(U848),N(V848)&gt;0),IFERROR(N(INDEX(Parameter!$L$5:$L$7,U848))*INDEX(Parameter!$E$5:$E$7,U848)*V848/SUMIFS($V$7:$V$1576,$U$7:$U$1576,U848),0),0)</f>
        <v>0</v>
      </c>
    </row>
    <row r="849" customFormat="false" ht="15" hidden="false" customHeight="false" outlineLevel="0" collapsed="false">
      <c r="A849" s="55" t="s">
        <v>1608</v>
      </c>
      <c r="B849" s="55" t="s">
        <v>364</v>
      </c>
      <c r="C849" s="55" t="s">
        <v>160</v>
      </c>
      <c r="D849" s="55" t="s">
        <v>178</v>
      </c>
      <c r="E849" s="55" t="s">
        <v>210</v>
      </c>
      <c r="F849" s="56" t="n">
        <v>2.55</v>
      </c>
      <c r="G849" s="57" t="n">
        <f aca="false">MAX(0,IF(AND(Parameter!$B$21="Ja",ISNUMBER(W849)),W849,IF(Parameter!$B$20="Jahresanfang 2025 + Export",BJ849+BI849,BI849)))</f>
        <v>0</v>
      </c>
      <c r="H849" s="57" t="n">
        <f aca="false">G849*F849</f>
        <v>0</v>
      </c>
      <c r="I849" s="57" t="n">
        <f aca="false">BL849*Parameter!$B$18</f>
        <v>54</v>
      </c>
      <c r="J849" s="58" t="n">
        <v>58.5</v>
      </c>
      <c r="K849" s="59" t="n">
        <v>0.923076923076923</v>
      </c>
      <c r="L849" s="57" t="n">
        <v>2</v>
      </c>
      <c r="M849" s="57" t="n">
        <v>55</v>
      </c>
      <c r="N849" s="60" t="n">
        <v>14</v>
      </c>
      <c r="O849" s="55" t="s">
        <v>411</v>
      </c>
      <c r="P849" s="57" t="n">
        <v>46</v>
      </c>
      <c r="Q849" s="60" t="n">
        <f aca="false">IF(BR849=1,0,IFERROR(VLOOKUP(BP849,'Gebinde-Kategorie'!$A$5:$M$45,13,0)+0,0))</f>
        <v>132</v>
      </c>
      <c r="R849" s="61"/>
      <c r="S849" s="62"/>
      <c r="T849" s="62"/>
      <c r="U849" s="55"/>
      <c r="V849" s="57"/>
      <c r="W849" s="57"/>
      <c r="X849" s="55" t="n">
        <f aca="false">IF(A849="","",IF(AND(Parameter!$B$21="Ja",ISNUMBER(U849)),U849,IF(IFERROR(VLOOKUP(D849,Parameter!$A$35:$C$64,2,0),"Nein")="2+3",IF(ISNUMBER(SEARCH("grosser Artikel",BM849)),2,IFERROR(VLOOKUP(BP849,Parameter!$F$35:$G$64,2,0),2)),IF(OR(IFERROR(VLOOKUP(D849,Parameter!$A$35:$C$64,2,0),"Nein")="Nein",IFERROR(VLOOKUP(D849,Parameter!$A$35:$C$64,2,0),"Nein")=""),"-",VLOOKUP(D849,Parameter!$A$35:$C$64,2,0)))))</f>
        <v>3</v>
      </c>
      <c r="Y849" s="62"/>
      <c r="Z849" s="63"/>
      <c r="AA849" s="57" t="n">
        <f aca="false">AP849</f>
        <v>92</v>
      </c>
      <c r="AB849" s="57" t="n">
        <f aca="false">MAX(AP849,G849)</f>
        <v>92</v>
      </c>
      <c r="AC849" s="64"/>
      <c r="AD849" s="57" t="n">
        <f aca="false">IF(LEFT(Cockpit!$C$5,1)="A",G849,IF(BW849=1,BX849,IF(LEFT(Cockpit!$C$5,1)="B",AH849,MAX(AH849,G849))))</f>
        <v>0</v>
      </c>
      <c r="AE849" s="57" t="n">
        <f aca="false">IF(BR849=1,0,ROUNDUP(AD849/BQ849,0))</f>
        <v>0</v>
      </c>
      <c r="AF849" s="59" t="n">
        <f aca="false">IF(CD849&gt;0,CD849*MAX(1,AD849/V849),IF(BR849=1,IF(AD849&lt;=0,0,BS849*MAX(1,IF(G849&gt;0,AD849/G849,1))),IF(Q849&gt;0,AE849/Q849,0))/MAX(0.1,N(Parameter!$M$21)))</f>
        <v>0</v>
      </c>
      <c r="AG849" s="57" t="n">
        <f aca="false">AD849*F849</f>
        <v>0</v>
      </c>
      <c r="AH849" s="57" t="n">
        <f aca="false">ROUNDUP(MAX(I849/IF(BV849&gt;0,BV849,MAX(0.1,N(Cockpit!$C$6))),BY849)/BQ849,0)*BQ849</f>
        <v>92</v>
      </c>
      <c r="AI849" s="58" t="n">
        <f aca="false">IF(AF849&gt;0,I849/AF849,-1)</f>
        <v>-1</v>
      </c>
      <c r="AJ849" s="58" t="str">
        <f aca="false">IF(AND(OR(BU849="L1",BU849="L23"),AF849&gt;0),SUMIFS($AF$7:$AF$1576,$BU$7:$BU$1576,BU849,$AI$7:$AI$1576,"&gt;"&amp;AI849)+SUMIFS($AF$7:$AF$1576,$BU$7:$BU$1576,BU849,$AI$7:$AI$1576,AI849,$BO$7:$BO$1576,"&lt;="&amp;BO849),"")</f>
        <v/>
      </c>
      <c r="AK849" s="65" t="n">
        <f aca="false">IF(AJ849="",0,MAX(0,MIN(1,(IF(BU849="L1",Parameter!$E$5,Parameter!$E$6+Parameter!$E$7)-(AJ849-AF849))/AF849)))</f>
        <v>0</v>
      </c>
      <c r="AL849" s="57" t="n">
        <f aca="false">IF(LEFT(Cockpit!$I$5,1)="A",G849,IF(BW849=1,BX849,IF(LEFT(Cockpit!$I$5,1)="B",AP849,MAX(AP849,G849))))</f>
        <v>92</v>
      </c>
      <c r="AM849" s="57" t="n">
        <f aca="false">IF(BR849=1,0,ROUNDUP(AL849/BQ849,0))</f>
        <v>2</v>
      </c>
      <c r="AN849" s="59" t="n">
        <f aca="false">IF(CD849&gt;0,CD849*MAX(1,AL849/V849),IF(BR849=1,IF(AL849&lt;=0,0,BS849*MAX(1,IF(G849&gt;0,AL849/G849,1))),IF(Q849&gt;0,AM849/Q849,0))/MAX(0.1,N(Parameter!$M$21)))</f>
        <v>0.0151515151515152</v>
      </c>
      <c r="AO849" s="57" t="n">
        <f aca="false">AL849*F849</f>
        <v>234.6</v>
      </c>
      <c r="AP849" s="57" t="n">
        <f aca="false">ROUNDUP(MAX(I849/IF(BV849&gt;0,BV849,MAX(0.1,N(Cockpit!$I$6))),BY849)/BQ849,0)*BQ849</f>
        <v>92</v>
      </c>
      <c r="AQ849" s="58" t="n">
        <f aca="false">IF(AN849&gt;0,I849/AN849,-1)</f>
        <v>3564</v>
      </c>
      <c r="AR849" s="58" t="n">
        <f aca="false">IF(AND(OR(BU849="L1",BU849="L23"),AN849&gt;0),SUMIFS($AN$7:$AN$1576,$BU$7:$BU$1576,BU849,$AQ$7:$AQ$1576,"&gt;"&amp;AQ849)+SUMIFS($AN$7:$AN$1576,$BU$7:$BU$1576,BU849,$AQ$7:$AQ$1576,AQ849,$BO$7:$BO$1576,"&lt;="&amp;BO849),"")</f>
        <v>13.6012168271342</v>
      </c>
      <c r="AS849" s="65" t="n">
        <f aca="false">IF(AR849="",0,MAX(0,MIN(1,(IF(BU849="L1",Parameter!$E$5,Parameter!$E$6+Parameter!$E$7)-(AR849-AN849))/AN849)))</f>
        <v>1</v>
      </c>
      <c r="AT849" s="57" t="n">
        <f aca="false">IF(LEFT(Cockpit!$O$5,1)="A",G849,IF(BW849=1,BX849,IF(LEFT(Cockpit!$O$5,1)="B",AX849,MAX(AX849,G849))))</f>
        <v>92</v>
      </c>
      <c r="AU849" s="57" t="n">
        <f aca="false">IF(BR849=1,0,ROUNDUP(AT849/BQ849,0))</f>
        <v>2</v>
      </c>
      <c r="AV849" s="59" t="n">
        <f aca="false">IF(CD849&gt;0,CD849*MAX(1,AT849/V849),IF(BR849=1,IF(AT849&lt;=0,0,BS849*MAX(1,IF(G849&gt;0,AT849/G849,1))),IF(Q849&gt;0,AU849/Q849,0))/MAX(0.1,N(Parameter!$M$21)))</f>
        <v>0.0151515151515152</v>
      </c>
      <c r="AW849" s="57" t="n">
        <f aca="false">AT849*F849</f>
        <v>234.6</v>
      </c>
      <c r="AX849" s="57" t="n">
        <f aca="false">ROUNDUP(MAX(I849/IF(BV849&gt;0,BV849,MAX(0.1,N(Cockpit!$O$6))),BY849)/BQ849,0)*BQ849</f>
        <v>92</v>
      </c>
      <c r="AY849" s="58" t="n">
        <f aca="false">IF(AV849&gt;0,I849/AV849,-1)</f>
        <v>3564</v>
      </c>
      <c r="AZ849" s="58" t="n">
        <f aca="false">IF(AND(OR(BU849="L1",BU849="L23"),AV849&gt;0),SUMIFS($AV$7:$AV$1576,$BU$7:$BU$1576,BU849,$AY$7:$AY$1576,"&gt;"&amp;AY849)+SUMIFS($AV$7:$AV$1576,$BU$7:$BU$1576,BU849,$AY$7:$AY$1576,AY849,$BO$7:$BO$1576,"&lt;="&amp;BO849),"")</f>
        <v>12.3220792979967</v>
      </c>
      <c r="BA849" s="65" t="n">
        <f aca="false">IF(AZ849="",0,MAX(0,MIN(1,(IF(BU849="L1",Parameter!$E$5,Parameter!$E$6+Parameter!$E$7)-(AZ849-AV849))/AV849)))</f>
        <v>1</v>
      </c>
      <c r="BB849" s="55" t="str">
        <f aca="false">IF(AF849&lt;=0,"",IF(BU849="Aussen","Aussenlager",IF(BU849="-","Nicht im Lift",IF(AK849&gt;=1,"Lift",IF(AK849&lt;=0,"Aussenlager","teilweise")))))</f>
        <v/>
      </c>
      <c r="BC849" s="55" t="str">
        <f aca="false">IF(AN849&lt;=0,"",IF(BU849="Aussen","Aussenlager",IF(BU849="-","Nicht im Lift",IF(AS849&gt;=1,"Lift",IF(AS849&lt;=0,"Aussenlager","teilweise")))))</f>
        <v>Lift</v>
      </c>
      <c r="BD849" s="55" t="str">
        <f aca="false">IF(AV849&lt;=0,"",IF(BU849="Aussen","Aussenlager",IF(BU849="-","Nicht im Lift",IF(BA849&gt;=1,"Lift",IF(BA849&lt;=0,"Aussenlager","teilweise")))))</f>
        <v>Lift</v>
      </c>
      <c r="BE849" s="55" t="str">
        <f aca="false">IF(A849="","",IF(BN849=1,"Neu; ","")&amp;IF(AND(BN849=0,BI849&lt;0),"negativer Bestand (Export "&amp;BI849&amp;"); ","")&amp;IF(I849&lt;=0,"Kein Verbrauch; ","")&amp;IF(CD849&gt;0,"Lift "&amp;U849&amp;" lt. Liftbericht (Fach "&amp;V849&amp;" Stk); ",IF(BR849=1,"Lose – Fläche geschätzt; ",""))&amp;IF(G849&gt;AP849,"Überbestand "&amp;ROUND(G849-AP849,0)&amp;" Stk / CHF "&amp;ROUND((G849-AP849)*F849,0)&amp;"; ","")&amp;IF(AND(BW849=1,BX849&lt;BY849),"MAX &lt; MB+LG; ","")&amp;IF(AND(CC849&gt;0,CB849*10&gt;CC849),"zu hoch für Tablar; ","")&amp;IF(AND(BN849=0,OR(BW849=1,Y849&lt;&gt;"",S849&lt;&gt;"",T849&lt;&gt;"",Z849&lt;&gt;"")),"manuell übersteuert; ","")&amp;IF(AND(BR849=0,Q849=0),"Gebinde unbekannt / Stellmass fehlt; ","")&amp;IF(AND(BR849=0,N(T849)&lt;=0,N(P849)&lt;=0),"Menge pro Gebinde fehlt (Ist = 1 Gebinde); ","")&amp;BM849)</f>
        <v/>
      </c>
      <c r="BF849" s="55"/>
      <c r="BG849" s="55"/>
      <c r="BH849" s="62"/>
      <c r="BI849" s="57" t="n">
        <v>0</v>
      </c>
      <c r="BJ849" s="57" t="n">
        <v>29</v>
      </c>
      <c r="BK849" s="56" t="n">
        <v>-15.9500000000002</v>
      </c>
      <c r="BL849" s="57" t="n">
        <v>54</v>
      </c>
      <c r="BM849" s="55"/>
      <c r="BN849" s="60" t="n">
        <v>0</v>
      </c>
      <c r="BO849" s="60" t="n">
        <v>849</v>
      </c>
      <c r="BP849" s="55" t="str">
        <f aca="false">IF(S849&lt;&gt;"",UPPER(TRIM(S849)),IF(O849="","LOSE",O849))</f>
        <v>S32</v>
      </c>
      <c r="BQ849" s="57" t="n">
        <f aca="false">IF(BP849="LOSE",1,IF(N(T849)&gt;0,T849,IF(N(P849)&gt;0,P849,MAX(1,G849))))</f>
        <v>46</v>
      </c>
      <c r="BR849" s="60" t="n">
        <f aca="false">IF(BP849="LOSE",1,0)</f>
        <v>0</v>
      </c>
      <c r="BS849" s="59" t="n">
        <f aca="false">IF(BR849=0,0,IF(N(R849)&gt;0,R849,IFERROR(VLOOKUP(D849,Parameter!$A$35:$C$64,3,0)+0,0)))</f>
        <v>0</v>
      </c>
      <c r="BT849" s="55" t="n">
        <f aca="false">IF(Y849&lt;&gt;"",Y849,X849)</f>
        <v>3</v>
      </c>
      <c r="BU849" s="55" t="str">
        <f aca="false">IF(BT849=1,"L1",IF(OR(BT849=2,BT849=3),"L23",IF(BT849="Aussen","Aussen","-")))</f>
        <v>L23</v>
      </c>
      <c r="BV849" s="66" t="n">
        <f aca="false">IF(N(Z849)&gt;0,Z849,0)</f>
        <v>0</v>
      </c>
      <c r="BW849" s="60" t="n">
        <f aca="false">IF(ISNUMBER(AC849),1,0)</f>
        <v>0</v>
      </c>
      <c r="BX849" s="57" t="n">
        <f aca="false">N(AC849)</f>
        <v>0</v>
      </c>
      <c r="BY849" s="57" t="n">
        <f aca="false">N(L849)+N(M849)</f>
        <v>57</v>
      </c>
      <c r="BZ849" s="57" t="n">
        <f aca="false">ROUNDUP(G849/BQ849,0)</f>
        <v>0</v>
      </c>
      <c r="CA849" s="57" t="n">
        <f aca="false">ROUNDUP(BX849/BQ849,0)</f>
        <v>0</v>
      </c>
      <c r="CB849" s="60" t="n">
        <f aca="false">IF(BR849=1,0,IFERROR(VLOOKUP(BP849,'Gebinde-Kategorie'!$A$5:$M$45,5,0)+0,0))</f>
        <v>8</v>
      </c>
      <c r="CC849" s="60" t="n">
        <f aca="false">IFERROR(IF(OR(BT849=1,BT849=2,BT849=3),N(INDEX(Parameter!$I$5:$I$7,BT849)),0),0)</f>
        <v>0</v>
      </c>
      <c r="CD849" s="59" t="n">
        <f aca="false">IF(AND(Parameter!$B$21="Ja",ISNUMBER(U849),N(V849)&gt;0),IFERROR(N(INDEX(Parameter!$L$5:$L$7,U849))*INDEX(Parameter!$E$5:$E$7,U849)*V849/SUMIFS($V$7:$V$1576,$U$7:$U$1576,U849),0),0)</f>
        <v>0</v>
      </c>
    </row>
    <row r="850" customFormat="false" ht="15" hidden="false" customHeight="false" outlineLevel="0" collapsed="false">
      <c r="A850" s="55" t="s">
        <v>1609</v>
      </c>
      <c r="B850" s="55" t="s">
        <v>395</v>
      </c>
      <c r="C850" s="55" t="s">
        <v>160</v>
      </c>
      <c r="D850" s="55" t="s">
        <v>178</v>
      </c>
      <c r="E850" s="55" t="s">
        <v>210</v>
      </c>
      <c r="F850" s="56" t="n">
        <v>0.64</v>
      </c>
      <c r="G850" s="57" t="n">
        <f aca="false">MAX(0,IF(AND(Parameter!$B$21="Ja",ISNUMBER(W850)),W850,IF(Parameter!$B$20="Jahresanfang 2025 + Export",BJ850+BI850,BI850)))</f>
        <v>0</v>
      </c>
      <c r="H850" s="57" t="n">
        <f aca="false">G850*F850</f>
        <v>0</v>
      </c>
      <c r="I850" s="57" t="n">
        <f aca="false">BL850*Parameter!$B$18</f>
        <v>254</v>
      </c>
      <c r="J850" s="58" t="n">
        <v>86.5</v>
      </c>
      <c r="K850" s="59" t="n">
        <v>2.9364161849711</v>
      </c>
      <c r="L850" s="57" t="n">
        <v>14</v>
      </c>
      <c r="M850" s="57" t="n">
        <v>255</v>
      </c>
      <c r="N850" s="60" t="n">
        <v>21</v>
      </c>
      <c r="O850" s="55" t="s">
        <v>293</v>
      </c>
      <c r="P850" s="57" t="n">
        <v>126</v>
      </c>
      <c r="Q850" s="60" t="n">
        <f aca="false">IF(BR850=1,0,IFERROR(VLOOKUP(BP850,'Gebinde-Kategorie'!$A$5:$M$45,13,0)+0,0))</f>
        <v>26</v>
      </c>
      <c r="R850" s="61"/>
      <c r="S850" s="62"/>
      <c r="T850" s="62"/>
      <c r="U850" s="55"/>
      <c r="V850" s="57"/>
      <c r="W850" s="57"/>
      <c r="X850" s="55" t="n">
        <f aca="false">IF(A850="","",IF(AND(Parameter!$B$21="Ja",ISNUMBER(U850)),U850,IF(IFERROR(VLOOKUP(D850,Parameter!$A$35:$C$64,2,0),"Nein")="2+3",IF(ISNUMBER(SEARCH("grosser Artikel",BM850)),2,IFERROR(VLOOKUP(BP850,Parameter!$F$35:$G$64,2,0),2)),IF(OR(IFERROR(VLOOKUP(D850,Parameter!$A$35:$C$64,2,0),"Nein")="Nein",IFERROR(VLOOKUP(D850,Parameter!$A$35:$C$64,2,0),"Nein")=""),"-",VLOOKUP(D850,Parameter!$A$35:$C$64,2,0)))))</f>
        <v>3</v>
      </c>
      <c r="Y850" s="62"/>
      <c r="Z850" s="63"/>
      <c r="AA850" s="57" t="n">
        <f aca="false">AP850</f>
        <v>378</v>
      </c>
      <c r="AB850" s="57" t="n">
        <f aca="false">MAX(AP850,G850)</f>
        <v>378</v>
      </c>
      <c r="AC850" s="64"/>
      <c r="AD850" s="57" t="n">
        <f aca="false">IF(LEFT(Cockpit!$C$5,1)="A",G850,IF(BW850=1,BX850,IF(LEFT(Cockpit!$C$5,1)="B",AH850,MAX(AH850,G850))))</f>
        <v>0</v>
      </c>
      <c r="AE850" s="57" t="n">
        <f aca="false">IF(BR850=1,0,ROUNDUP(AD850/BQ850,0))</f>
        <v>0</v>
      </c>
      <c r="AF850" s="59" t="n">
        <f aca="false">IF(CD850&gt;0,CD850*MAX(1,AD850/V850),IF(BR850=1,IF(AD850&lt;=0,0,BS850*MAX(1,IF(G850&gt;0,AD850/G850,1))),IF(Q850&gt;0,AE850/Q850,0))/MAX(0.1,N(Parameter!$M$21)))</f>
        <v>0</v>
      </c>
      <c r="AG850" s="57" t="n">
        <f aca="false">AD850*F850</f>
        <v>0</v>
      </c>
      <c r="AH850" s="57" t="n">
        <f aca="false">ROUNDUP(MAX(I850/IF(BV850&gt;0,BV850,MAX(0.1,N(Cockpit!$C$6))),BY850)/BQ850,0)*BQ850</f>
        <v>378</v>
      </c>
      <c r="AI850" s="58" t="n">
        <f aca="false">IF(AF850&gt;0,I850/AF850,-1)</f>
        <v>-1</v>
      </c>
      <c r="AJ850" s="58" t="str">
        <f aca="false">IF(AND(OR(BU850="L1",BU850="L23"),AF850&gt;0),SUMIFS($AF$7:$AF$1576,$BU$7:$BU$1576,BU850,$AI$7:$AI$1576,"&gt;"&amp;AI850)+SUMIFS($AF$7:$AF$1576,$BU$7:$BU$1576,BU850,$AI$7:$AI$1576,AI850,$BO$7:$BO$1576,"&lt;="&amp;BO850),"")</f>
        <v/>
      </c>
      <c r="AK850" s="65" t="n">
        <f aca="false">IF(AJ850="",0,MAX(0,MIN(1,(IF(BU850="L1",Parameter!$E$5,Parameter!$E$6+Parameter!$E$7)-(AJ850-AF850))/AF850)))</f>
        <v>0</v>
      </c>
      <c r="AL850" s="57" t="n">
        <f aca="false">IF(LEFT(Cockpit!$I$5,1)="A",G850,IF(BW850=1,BX850,IF(LEFT(Cockpit!$I$5,1)="B",AP850,MAX(AP850,G850))))</f>
        <v>378</v>
      </c>
      <c r="AM850" s="57" t="n">
        <f aca="false">IF(BR850=1,0,ROUNDUP(AL850/BQ850,0))</f>
        <v>3</v>
      </c>
      <c r="AN850" s="59" t="n">
        <f aca="false">IF(CD850&gt;0,CD850*MAX(1,AL850/V850),IF(BR850=1,IF(AL850&lt;=0,0,BS850*MAX(1,IF(G850&gt;0,AL850/G850,1))),IF(Q850&gt;0,AM850/Q850,0))/MAX(0.1,N(Parameter!$M$21)))</f>
        <v>0.115384615384615</v>
      </c>
      <c r="AO850" s="57" t="n">
        <f aca="false">AL850*F850</f>
        <v>241.92</v>
      </c>
      <c r="AP850" s="57" t="n">
        <f aca="false">ROUNDUP(MAX(I850/IF(BV850&gt;0,BV850,MAX(0.1,N(Cockpit!$I$6))),BY850)/BQ850,0)*BQ850</f>
        <v>378</v>
      </c>
      <c r="AQ850" s="58" t="n">
        <f aca="false">IF(AN850&gt;0,I850/AN850,-1)</f>
        <v>2201.33333333333</v>
      </c>
      <c r="AR850" s="58" t="n">
        <f aca="false">IF(AND(OR(BU850="L1",BU850="L23"),AN850&gt;0),SUMIFS($AN$7:$AN$1576,$BU$7:$BU$1576,BU850,$AQ$7:$AQ$1576,"&gt;"&amp;AQ850)+SUMIFS($AN$7:$AN$1576,$BU$7:$BU$1576,BU850,$AQ$7:$AQ$1576,AQ850,$BO$7:$BO$1576,"&lt;="&amp;BO850),"")</f>
        <v>16.5679186155385</v>
      </c>
      <c r="AS850" s="65" t="n">
        <f aca="false">IF(AR850="",0,MAX(0,MIN(1,(IF(BU850="L1",Parameter!$E$5,Parameter!$E$6+Parameter!$E$7)-(AR850-AN850))/AN850)))</f>
        <v>1</v>
      </c>
      <c r="AT850" s="57" t="n">
        <f aca="false">IF(LEFT(Cockpit!$O$5,1)="A",G850,IF(BW850=1,BX850,IF(LEFT(Cockpit!$O$5,1)="B",AX850,MAX(AX850,G850))))</f>
        <v>378</v>
      </c>
      <c r="AU850" s="57" t="n">
        <f aca="false">IF(BR850=1,0,ROUNDUP(AT850/BQ850,0))</f>
        <v>3</v>
      </c>
      <c r="AV850" s="59" t="n">
        <f aca="false">IF(CD850&gt;0,CD850*MAX(1,AT850/V850),IF(BR850=1,IF(AT850&lt;=0,0,BS850*MAX(1,IF(G850&gt;0,AT850/G850,1))),IF(Q850&gt;0,AU850/Q850,0))/MAX(0.1,N(Parameter!$M$21)))</f>
        <v>0.115384615384615</v>
      </c>
      <c r="AW850" s="57" t="n">
        <f aca="false">AT850*F850</f>
        <v>241.92</v>
      </c>
      <c r="AX850" s="57" t="n">
        <f aca="false">ROUNDUP(MAX(I850/IF(BV850&gt;0,BV850,MAX(0.1,N(Cockpit!$O$6))),BY850)/BQ850,0)*BQ850</f>
        <v>378</v>
      </c>
      <c r="AY850" s="58" t="n">
        <f aca="false">IF(AV850&gt;0,I850/AV850,-1)</f>
        <v>2201.33333333333</v>
      </c>
      <c r="AZ850" s="58" t="n">
        <f aca="false">IF(AND(OR(BU850="L1",BU850="L23"),AV850&gt;0),SUMIFS($AV$7:$AV$1576,$BU$7:$BU$1576,BU850,$AY$7:$AY$1576,"&gt;"&amp;AY850)+SUMIFS($AV$7:$AV$1576,$BU$7:$BU$1576,BU850,$AY$7:$AY$1576,AY850,$BO$7:$BO$1576,"&lt;="&amp;BO850),"")</f>
        <v>15.3721144197343</v>
      </c>
      <c r="BA850" s="65" t="n">
        <f aca="false">IF(AZ850="",0,MAX(0,MIN(1,(IF(BU850="L1",Parameter!$E$5,Parameter!$E$6+Parameter!$E$7)-(AZ850-AV850))/AV850)))</f>
        <v>1</v>
      </c>
      <c r="BB850" s="55" t="str">
        <f aca="false">IF(AF850&lt;=0,"",IF(BU850="Aussen","Aussenlager",IF(BU850="-","Nicht im Lift",IF(AK850&gt;=1,"Lift",IF(AK850&lt;=0,"Aussenlager","teilweise")))))</f>
        <v/>
      </c>
      <c r="BC850" s="55" t="str">
        <f aca="false">IF(AN850&lt;=0,"",IF(BU850="Aussen","Aussenlager",IF(BU850="-","Nicht im Lift",IF(AS850&gt;=1,"Lift",IF(AS850&lt;=0,"Aussenlager","teilweise")))))</f>
        <v>Lift</v>
      </c>
      <c r="BD850" s="55" t="str">
        <f aca="false">IF(AV850&lt;=0,"",IF(BU850="Aussen","Aussenlager",IF(BU850="-","Nicht im Lift",IF(BA850&gt;=1,"Lift",IF(BA850&lt;=0,"Aussenlager","teilweise")))))</f>
        <v>Lift</v>
      </c>
      <c r="BE850" s="55" t="str">
        <f aca="false">IF(A850="","",IF(BN850=1,"Neu; ","")&amp;IF(AND(BN850=0,BI850&lt;0),"negativer Bestand (Export "&amp;BI850&amp;"); ","")&amp;IF(I850&lt;=0,"Kein Verbrauch; ","")&amp;IF(CD850&gt;0,"Lift "&amp;U850&amp;" lt. Liftbericht (Fach "&amp;V850&amp;" Stk); ",IF(BR850=1,"Lose – Fläche geschätzt; ",""))&amp;IF(G850&gt;AP850,"Überbestand "&amp;ROUND(G850-AP850,0)&amp;" Stk / CHF "&amp;ROUND((G850-AP850)*F850,0)&amp;"; ","")&amp;IF(AND(BW850=1,BX850&lt;BY850),"MAX &lt; MB+LG; ","")&amp;IF(AND(CC850&gt;0,CB850*10&gt;CC850),"zu hoch für Tablar; ","")&amp;IF(AND(BN850=0,OR(BW850=1,Y850&lt;&gt;"",S850&lt;&gt;"",T850&lt;&gt;"",Z850&lt;&gt;"")),"manuell übersteuert; ","")&amp;IF(AND(BR850=0,Q850=0),"Gebinde unbekannt / Stellmass fehlt; ","")&amp;IF(AND(BR850=0,N(T850)&lt;=0,N(P850)&lt;=0),"Menge pro Gebinde fehlt (Ist = 1 Gebinde); ","")&amp;BM850)</f>
        <v>negativer Bestand (Export -37); </v>
      </c>
      <c r="BF850" s="55"/>
      <c r="BG850" s="55"/>
      <c r="BH850" s="62"/>
      <c r="BI850" s="57" t="n">
        <v>-37</v>
      </c>
      <c r="BJ850" s="57" t="n">
        <v>120</v>
      </c>
      <c r="BK850" s="56" t="n">
        <v>-16.48</v>
      </c>
      <c r="BL850" s="57" t="n">
        <v>254</v>
      </c>
      <c r="BM850" s="55"/>
      <c r="BN850" s="60" t="n">
        <v>0</v>
      </c>
      <c r="BO850" s="60" t="n">
        <v>850</v>
      </c>
      <c r="BP850" s="55" t="str">
        <f aca="false">IF(S850&lt;&gt;"",UPPER(TRIM(S850)),IF(O850="","LOSE",O850))</f>
        <v>S51</v>
      </c>
      <c r="BQ850" s="57" t="n">
        <f aca="false">IF(BP850="LOSE",1,IF(N(T850)&gt;0,T850,IF(N(P850)&gt;0,P850,MAX(1,G850))))</f>
        <v>126</v>
      </c>
      <c r="BR850" s="60" t="n">
        <f aca="false">IF(BP850="LOSE",1,0)</f>
        <v>0</v>
      </c>
      <c r="BS850" s="59" t="n">
        <f aca="false">IF(BR850=0,0,IF(N(R850)&gt;0,R850,IFERROR(VLOOKUP(D850,Parameter!$A$35:$C$64,3,0)+0,0)))</f>
        <v>0</v>
      </c>
      <c r="BT850" s="55" t="n">
        <f aca="false">IF(Y850&lt;&gt;"",Y850,X850)</f>
        <v>3</v>
      </c>
      <c r="BU850" s="55" t="str">
        <f aca="false">IF(BT850=1,"L1",IF(OR(BT850=2,BT850=3),"L23",IF(BT850="Aussen","Aussen","-")))</f>
        <v>L23</v>
      </c>
      <c r="BV850" s="66" t="n">
        <f aca="false">IF(N(Z850)&gt;0,Z850,0)</f>
        <v>0</v>
      </c>
      <c r="BW850" s="60" t="n">
        <f aca="false">IF(ISNUMBER(AC850),1,0)</f>
        <v>0</v>
      </c>
      <c r="BX850" s="57" t="n">
        <f aca="false">N(AC850)</f>
        <v>0</v>
      </c>
      <c r="BY850" s="57" t="n">
        <f aca="false">N(L850)+N(M850)</f>
        <v>269</v>
      </c>
      <c r="BZ850" s="57" t="n">
        <f aca="false">ROUNDUP(G850/BQ850,0)</f>
        <v>0</v>
      </c>
      <c r="CA850" s="57" t="n">
        <f aca="false">ROUNDUP(BX850/BQ850,0)</f>
        <v>0</v>
      </c>
      <c r="CB850" s="60" t="n">
        <f aca="false">IF(BR850=1,0,IFERROR(VLOOKUP(BP850,'Gebinde-Kategorie'!$A$5:$M$45,5,0)+0,0))</f>
        <v>11</v>
      </c>
      <c r="CC850" s="60" t="n">
        <f aca="false">IFERROR(IF(OR(BT850=1,BT850=2,BT850=3),N(INDEX(Parameter!$I$5:$I$7,BT850)),0),0)</f>
        <v>0</v>
      </c>
      <c r="CD850" s="59" t="n">
        <f aca="false">IF(AND(Parameter!$B$21="Ja",ISNUMBER(U850),N(V850)&gt;0),IFERROR(N(INDEX(Parameter!$L$5:$L$7,U850))*INDEX(Parameter!$E$5:$E$7,U850)*V850/SUMIFS($V$7:$V$1576,$U$7:$U$1576,U850),0),0)</f>
        <v>0</v>
      </c>
    </row>
    <row r="851" customFormat="false" ht="15" hidden="false" customHeight="false" outlineLevel="0" collapsed="false">
      <c r="A851" s="55" t="s">
        <v>1610</v>
      </c>
      <c r="B851" s="55" t="s">
        <v>1611</v>
      </c>
      <c r="C851" s="55" t="s">
        <v>160</v>
      </c>
      <c r="D851" s="55" t="s">
        <v>178</v>
      </c>
      <c r="E851" s="55" t="s">
        <v>210</v>
      </c>
      <c r="F851" s="56" t="n">
        <v>0.03</v>
      </c>
      <c r="G851" s="57" t="n">
        <f aca="false">MAX(0,IF(AND(Parameter!$B$21="Ja",ISNUMBER(W851)),W851,IF(Parameter!$B$20="Jahresanfang 2025 + Export",BJ851+BI851,BI851)))</f>
        <v>0</v>
      </c>
      <c r="H851" s="57" t="n">
        <f aca="false">G851*F851</f>
        <v>0</v>
      </c>
      <c r="I851" s="57" t="n">
        <f aca="false">BL851*Parameter!$B$18</f>
        <v>150</v>
      </c>
      <c r="J851" s="58" t="n">
        <v>800</v>
      </c>
      <c r="K851" s="59" t="n">
        <v>0.1875</v>
      </c>
      <c r="L851" s="57" t="n">
        <v>5</v>
      </c>
      <c r="M851" s="57" t="n">
        <v>150</v>
      </c>
      <c r="N851" s="60" t="n">
        <v>14</v>
      </c>
      <c r="O851" s="55" t="s">
        <v>391</v>
      </c>
      <c r="P851" s="57" t="n">
        <v>500</v>
      </c>
      <c r="Q851" s="60" t="n">
        <f aca="false">IF(BR851=1,0,IFERROR(VLOOKUP(BP851,'Gebinde-Kategorie'!$A$5:$M$45,13,0)+0,0))</f>
        <v>414</v>
      </c>
      <c r="R851" s="61"/>
      <c r="S851" s="62"/>
      <c r="T851" s="62"/>
      <c r="U851" s="55"/>
      <c r="V851" s="57"/>
      <c r="W851" s="57"/>
      <c r="X851" s="55" t="n">
        <f aca="false">IF(A851="","",IF(AND(Parameter!$B$21="Ja",ISNUMBER(U851)),U851,IF(IFERROR(VLOOKUP(D851,Parameter!$A$35:$C$64,2,0),"Nein")="2+3",IF(ISNUMBER(SEARCH("grosser Artikel",BM851)),2,IFERROR(VLOOKUP(BP851,Parameter!$F$35:$G$64,2,0),2)),IF(OR(IFERROR(VLOOKUP(D851,Parameter!$A$35:$C$64,2,0),"Nein")="Nein",IFERROR(VLOOKUP(D851,Parameter!$A$35:$C$64,2,0),"Nein")=""),"-",VLOOKUP(D851,Parameter!$A$35:$C$64,2,0)))))</f>
        <v>3</v>
      </c>
      <c r="Y851" s="62"/>
      <c r="Z851" s="63"/>
      <c r="AA851" s="57" t="n">
        <f aca="false">AP851</f>
        <v>500</v>
      </c>
      <c r="AB851" s="57" t="n">
        <f aca="false">MAX(AP851,G851)</f>
        <v>500</v>
      </c>
      <c r="AC851" s="64"/>
      <c r="AD851" s="57" t="n">
        <f aca="false">IF(LEFT(Cockpit!$C$5,1)="A",G851,IF(BW851=1,BX851,IF(LEFT(Cockpit!$C$5,1)="B",AH851,MAX(AH851,G851))))</f>
        <v>0</v>
      </c>
      <c r="AE851" s="57" t="n">
        <f aca="false">IF(BR851=1,0,ROUNDUP(AD851/BQ851,0))</f>
        <v>0</v>
      </c>
      <c r="AF851" s="59" t="n">
        <f aca="false">IF(CD851&gt;0,CD851*MAX(1,AD851/V851),IF(BR851=1,IF(AD851&lt;=0,0,BS851*MAX(1,IF(G851&gt;0,AD851/G851,1))),IF(Q851&gt;0,AE851/Q851,0))/MAX(0.1,N(Parameter!$M$21)))</f>
        <v>0</v>
      </c>
      <c r="AG851" s="57" t="n">
        <f aca="false">AD851*F851</f>
        <v>0</v>
      </c>
      <c r="AH851" s="57" t="n">
        <f aca="false">ROUNDUP(MAX(I851/IF(BV851&gt;0,BV851,MAX(0.1,N(Cockpit!$C$6))),BY851)/BQ851,0)*BQ851</f>
        <v>500</v>
      </c>
      <c r="AI851" s="58" t="n">
        <f aca="false">IF(AF851&gt;0,I851/AF851,-1)</f>
        <v>-1</v>
      </c>
      <c r="AJ851" s="58" t="str">
        <f aca="false">IF(AND(OR(BU851="L1",BU851="L23"),AF851&gt;0),SUMIFS($AF$7:$AF$1576,$BU$7:$BU$1576,BU851,$AI$7:$AI$1576,"&gt;"&amp;AI851)+SUMIFS($AF$7:$AF$1576,$BU$7:$BU$1576,BU851,$AI$7:$AI$1576,AI851,$BO$7:$BO$1576,"&lt;="&amp;BO851),"")</f>
        <v/>
      </c>
      <c r="AK851" s="65" t="n">
        <f aca="false">IF(AJ851="",0,MAX(0,MIN(1,(IF(BU851="L1",Parameter!$E$5,Parameter!$E$6+Parameter!$E$7)-(AJ851-AF851))/AF851)))</f>
        <v>0</v>
      </c>
      <c r="AL851" s="57" t="n">
        <f aca="false">IF(LEFT(Cockpit!$I$5,1)="A",G851,IF(BW851=1,BX851,IF(LEFT(Cockpit!$I$5,1)="B",AP851,MAX(AP851,G851))))</f>
        <v>500</v>
      </c>
      <c r="AM851" s="57" t="n">
        <f aca="false">IF(BR851=1,0,ROUNDUP(AL851/BQ851,0))</f>
        <v>1</v>
      </c>
      <c r="AN851" s="59" t="n">
        <f aca="false">IF(CD851&gt;0,CD851*MAX(1,AL851/V851),IF(BR851=1,IF(AL851&lt;=0,0,BS851*MAX(1,IF(G851&gt;0,AL851/G851,1))),IF(Q851&gt;0,AM851/Q851,0))/MAX(0.1,N(Parameter!$M$21)))</f>
        <v>0.00241545893719807</v>
      </c>
      <c r="AO851" s="57" t="n">
        <f aca="false">AL851*F851</f>
        <v>15</v>
      </c>
      <c r="AP851" s="57" t="n">
        <f aca="false">ROUNDUP(MAX(I851/IF(BV851&gt;0,BV851,MAX(0.1,N(Cockpit!$I$6))),BY851)/BQ851,0)*BQ851</f>
        <v>500</v>
      </c>
      <c r="AQ851" s="58" t="n">
        <f aca="false">IF(AN851&gt;0,I851/AN851,-1)</f>
        <v>62100</v>
      </c>
      <c r="AR851" s="58" t="n">
        <f aca="false">IF(AND(OR(BU851="L1",BU851="L23"),AN851&gt;0),SUMIFS($AN$7:$AN$1576,$BU$7:$BU$1576,BU851,$AQ$7:$AQ$1576,"&gt;"&amp;AQ851)+SUMIFS($AN$7:$AN$1576,$BU$7:$BU$1576,BU851,$AQ$7:$AQ$1576,AQ851,$BO$7:$BO$1576,"&lt;="&amp;BO851),"")</f>
        <v>0.88106584237019</v>
      </c>
      <c r="AS851" s="65" t="n">
        <f aca="false">IF(AR851="",0,MAX(0,MIN(1,(IF(BU851="L1",Parameter!$E$5,Parameter!$E$6+Parameter!$E$7)-(AR851-AN851))/AN851)))</f>
        <v>1</v>
      </c>
      <c r="AT851" s="57" t="n">
        <f aca="false">IF(LEFT(Cockpit!$O$5,1)="A",G851,IF(BW851=1,BX851,IF(LEFT(Cockpit!$O$5,1)="B",AX851,MAX(AX851,G851))))</f>
        <v>500</v>
      </c>
      <c r="AU851" s="57" t="n">
        <f aca="false">IF(BR851=1,0,ROUNDUP(AT851/BQ851,0))</f>
        <v>1</v>
      </c>
      <c r="AV851" s="59" t="n">
        <f aca="false">IF(CD851&gt;0,CD851*MAX(1,AT851/V851),IF(BR851=1,IF(AT851&lt;=0,0,BS851*MAX(1,IF(G851&gt;0,AT851/G851,1))),IF(Q851&gt;0,AU851/Q851,0))/MAX(0.1,N(Parameter!$M$21)))</f>
        <v>0.00241545893719807</v>
      </c>
      <c r="AW851" s="57" t="n">
        <f aca="false">AT851*F851</f>
        <v>15</v>
      </c>
      <c r="AX851" s="57" t="n">
        <f aca="false">ROUNDUP(MAX(I851/IF(BV851&gt;0,BV851,MAX(0.1,N(Cockpit!$O$6))),BY851)/BQ851,0)*BQ851</f>
        <v>500</v>
      </c>
      <c r="AY851" s="58" t="n">
        <f aca="false">IF(AV851&gt;0,I851/AV851,-1)</f>
        <v>62100</v>
      </c>
      <c r="AZ851" s="58" t="n">
        <f aca="false">IF(AND(OR(BU851="L1",BU851="L23"),AV851&gt;0),SUMIFS($AV$7:$AV$1576,$BU$7:$BU$1576,BU851,$AY$7:$AY$1576,"&gt;"&amp;AY851)+SUMIFS($AV$7:$AV$1576,$BU$7:$BU$1576,BU851,$AY$7:$AY$1576,AY851,$BO$7:$BO$1576,"&lt;="&amp;BO851),"")</f>
        <v>0.934678895983244</v>
      </c>
      <c r="BA851" s="65" t="n">
        <f aca="false">IF(AZ851="",0,MAX(0,MIN(1,(IF(BU851="L1",Parameter!$E$5,Parameter!$E$6+Parameter!$E$7)-(AZ851-AV851))/AV851)))</f>
        <v>1</v>
      </c>
      <c r="BB851" s="55" t="str">
        <f aca="false">IF(AF851&lt;=0,"",IF(BU851="Aussen","Aussenlager",IF(BU851="-","Nicht im Lift",IF(AK851&gt;=1,"Lift",IF(AK851&lt;=0,"Aussenlager","teilweise")))))</f>
        <v/>
      </c>
      <c r="BC851" s="55" t="str">
        <f aca="false">IF(AN851&lt;=0,"",IF(BU851="Aussen","Aussenlager",IF(BU851="-","Nicht im Lift",IF(AS851&gt;=1,"Lift",IF(AS851&lt;=0,"Aussenlager","teilweise")))))</f>
        <v>Lift</v>
      </c>
      <c r="BD851" s="55" t="str">
        <f aca="false">IF(AV851&lt;=0,"",IF(BU851="Aussen","Aussenlager",IF(BU851="-","Nicht im Lift",IF(BA851&gt;=1,"Lift",IF(BA851&lt;=0,"Aussenlager","teilweise")))))</f>
        <v>Lift</v>
      </c>
      <c r="BE851" s="55" t="str">
        <f aca="false">IF(A851="","",IF(BN851=1,"Neu; ","")&amp;IF(AND(BN851=0,BI851&lt;0),"negativer Bestand (Export "&amp;BI851&amp;"); ","")&amp;IF(I851&lt;=0,"Kein Verbrauch; ","")&amp;IF(CD851&gt;0,"Lift "&amp;U851&amp;" lt. Liftbericht (Fach "&amp;V851&amp;" Stk); ",IF(BR851=1,"Lose – Fläche geschätzt; ",""))&amp;IF(G851&gt;AP851,"Überbestand "&amp;ROUND(G851-AP851,0)&amp;" Stk / CHF "&amp;ROUND((G851-AP851)*F851,0)&amp;"; ","")&amp;IF(AND(BW851=1,BX851&lt;BY851),"MAX &lt; MB+LG; ","")&amp;IF(AND(CC851&gt;0,CB851*10&gt;CC851),"zu hoch für Tablar; ","")&amp;IF(AND(BN851=0,OR(BW851=1,Y851&lt;&gt;"",S851&lt;&gt;"",T851&lt;&gt;"",Z851&lt;&gt;"")),"manuell übersteuert; ","")&amp;IF(AND(BR851=0,Q851=0),"Gebinde unbekannt / Stellmass fehlt; ","")&amp;IF(AND(BR851=0,N(T851)&lt;=0,N(P851)&lt;=0),"Menge pro Gebinde fehlt (Ist = 1 Gebinde); ","")&amp;BM851)</f>
        <v>negativer Bestand (Export -550); </v>
      </c>
      <c r="BF851" s="55"/>
      <c r="BG851" s="55"/>
      <c r="BH851" s="62"/>
      <c r="BI851" s="57" t="n">
        <v>-550</v>
      </c>
      <c r="BJ851" s="57" t="n">
        <v>900</v>
      </c>
      <c r="BK851" s="56" t="n">
        <v>-16.5</v>
      </c>
      <c r="BL851" s="57" t="n">
        <v>150</v>
      </c>
      <c r="BM851" s="55"/>
      <c r="BN851" s="60" t="n">
        <v>0</v>
      </c>
      <c r="BO851" s="60" t="n">
        <v>851</v>
      </c>
      <c r="BP851" s="55" t="str">
        <f aca="false">IF(S851&lt;&gt;"",UPPER(TRIM(S851)),IF(O851="","LOSE",O851))</f>
        <v>S21</v>
      </c>
      <c r="BQ851" s="57" t="n">
        <f aca="false">IF(BP851="LOSE",1,IF(N(T851)&gt;0,T851,IF(N(P851)&gt;0,P851,MAX(1,G851))))</f>
        <v>500</v>
      </c>
      <c r="BR851" s="60" t="n">
        <f aca="false">IF(BP851="LOSE",1,0)</f>
        <v>0</v>
      </c>
      <c r="BS851" s="59" t="n">
        <f aca="false">IF(BR851=0,0,IF(N(R851)&gt;0,R851,IFERROR(VLOOKUP(D851,Parameter!$A$35:$C$64,3,0)+0,0)))</f>
        <v>0</v>
      </c>
      <c r="BT851" s="55" t="n">
        <f aca="false">IF(Y851&lt;&gt;"",Y851,X851)</f>
        <v>3</v>
      </c>
      <c r="BU851" s="55" t="str">
        <f aca="false">IF(BT851=1,"L1",IF(OR(BT851=2,BT851=3),"L23",IF(BT851="Aussen","Aussen","-")))</f>
        <v>L23</v>
      </c>
      <c r="BV851" s="66" t="n">
        <f aca="false">IF(N(Z851)&gt;0,Z851,0)</f>
        <v>0</v>
      </c>
      <c r="BW851" s="60" t="n">
        <f aca="false">IF(ISNUMBER(AC851),1,0)</f>
        <v>0</v>
      </c>
      <c r="BX851" s="57" t="n">
        <f aca="false">N(AC851)</f>
        <v>0</v>
      </c>
      <c r="BY851" s="57" t="n">
        <f aca="false">N(L851)+N(M851)</f>
        <v>155</v>
      </c>
      <c r="BZ851" s="57" t="n">
        <f aca="false">ROUNDUP(G851/BQ851,0)</f>
        <v>0</v>
      </c>
      <c r="CA851" s="57" t="n">
        <f aca="false">ROUNDUP(BX851/BQ851,0)</f>
        <v>0</v>
      </c>
      <c r="CB851" s="60" t="n">
        <f aca="false">IF(BR851=1,0,IFERROR(VLOOKUP(BP851,'Gebinde-Kategorie'!$A$5:$M$45,5,0)+0,0))</f>
        <v>8</v>
      </c>
      <c r="CC851" s="60" t="n">
        <f aca="false">IFERROR(IF(OR(BT851=1,BT851=2,BT851=3),N(INDEX(Parameter!$I$5:$I$7,BT851)),0),0)</f>
        <v>0</v>
      </c>
      <c r="CD851" s="59" t="n">
        <f aca="false">IF(AND(Parameter!$B$21="Ja",ISNUMBER(U851),N(V851)&gt;0),IFERROR(N(INDEX(Parameter!$L$5:$L$7,U851))*INDEX(Parameter!$E$5:$E$7,U851)*V851/SUMIFS($V$7:$V$1576,$U$7:$U$1576,U851),0),0)</f>
        <v>0</v>
      </c>
    </row>
    <row r="852" customFormat="false" ht="15" hidden="false" customHeight="false" outlineLevel="0" collapsed="false">
      <c r="A852" s="55" t="s">
        <v>1612</v>
      </c>
      <c r="B852" s="55" t="s">
        <v>1613</v>
      </c>
      <c r="C852" s="55" t="s">
        <v>160</v>
      </c>
      <c r="D852" s="55" t="s">
        <v>178</v>
      </c>
      <c r="E852" s="55" t="s">
        <v>210</v>
      </c>
      <c r="F852" s="56" t="n">
        <v>8.46</v>
      </c>
      <c r="G852" s="57" t="n">
        <f aca="false">MAX(0,IF(AND(Parameter!$B$21="Ja",ISNUMBER(W852)),W852,IF(Parameter!$B$20="Jahresanfang 2025 + Export",BJ852+BI852,BI852)))</f>
        <v>0</v>
      </c>
      <c r="H852" s="57" t="n">
        <f aca="false">G852*F852</f>
        <v>0</v>
      </c>
      <c r="I852" s="57" t="n">
        <f aca="false">BL852*Parameter!$B$18</f>
        <v>4</v>
      </c>
      <c r="J852" s="58" t="n">
        <v>25.5</v>
      </c>
      <c r="K852" s="59" t="n">
        <v>0.156862745098039</v>
      </c>
      <c r="L852" s="57" t="n">
        <v>0</v>
      </c>
      <c r="M852" s="57" t="n">
        <v>5</v>
      </c>
      <c r="N852" s="60" t="n">
        <v>14</v>
      </c>
      <c r="O852" s="55" t="s">
        <v>319</v>
      </c>
      <c r="P852" s="57" t="n">
        <v>28</v>
      </c>
      <c r="Q852" s="60" t="n">
        <f aca="false">IF(BR852=1,0,IFERROR(VLOOKUP(BP852,'Gebinde-Kategorie'!$A$5:$M$45,13,0)+0,0))</f>
        <v>52</v>
      </c>
      <c r="R852" s="61"/>
      <c r="S852" s="62"/>
      <c r="T852" s="62"/>
      <c r="U852" s="55"/>
      <c r="V852" s="57"/>
      <c r="W852" s="57"/>
      <c r="X852" s="55" t="n">
        <f aca="false">IF(A852="","",IF(AND(Parameter!$B$21="Ja",ISNUMBER(U852)),U852,IF(IFERROR(VLOOKUP(D852,Parameter!$A$35:$C$64,2,0),"Nein")="2+3",IF(ISNUMBER(SEARCH("grosser Artikel",BM852)),2,IFERROR(VLOOKUP(BP852,Parameter!$F$35:$G$64,2,0),2)),IF(OR(IFERROR(VLOOKUP(D852,Parameter!$A$35:$C$64,2,0),"Nein")="Nein",IFERROR(VLOOKUP(D852,Parameter!$A$35:$C$64,2,0),"Nein")=""),"-",VLOOKUP(D852,Parameter!$A$35:$C$64,2,0)))))</f>
        <v>3</v>
      </c>
      <c r="Y852" s="62"/>
      <c r="Z852" s="63"/>
      <c r="AA852" s="57" t="n">
        <f aca="false">AP852</f>
        <v>28</v>
      </c>
      <c r="AB852" s="57" t="n">
        <f aca="false">MAX(AP852,G852)</f>
        <v>28</v>
      </c>
      <c r="AC852" s="64"/>
      <c r="AD852" s="57" t="n">
        <f aca="false">IF(LEFT(Cockpit!$C$5,1)="A",G852,IF(BW852=1,BX852,IF(LEFT(Cockpit!$C$5,1)="B",AH852,MAX(AH852,G852))))</f>
        <v>0</v>
      </c>
      <c r="AE852" s="57" t="n">
        <f aca="false">IF(BR852=1,0,ROUNDUP(AD852/BQ852,0))</f>
        <v>0</v>
      </c>
      <c r="AF852" s="59" t="n">
        <f aca="false">IF(CD852&gt;0,CD852*MAX(1,AD852/V852),IF(BR852=1,IF(AD852&lt;=0,0,BS852*MAX(1,IF(G852&gt;0,AD852/G852,1))),IF(Q852&gt;0,AE852/Q852,0))/MAX(0.1,N(Parameter!$M$21)))</f>
        <v>0</v>
      </c>
      <c r="AG852" s="57" t="n">
        <f aca="false">AD852*F852</f>
        <v>0</v>
      </c>
      <c r="AH852" s="57" t="n">
        <f aca="false">ROUNDUP(MAX(I852/IF(BV852&gt;0,BV852,MAX(0.1,N(Cockpit!$C$6))),BY852)/BQ852,0)*BQ852</f>
        <v>28</v>
      </c>
      <c r="AI852" s="58" t="n">
        <f aca="false">IF(AF852&gt;0,I852/AF852,-1)</f>
        <v>-1</v>
      </c>
      <c r="AJ852" s="58" t="str">
        <f aca="false">IF(AND(OR(BU852="L1",BU852="L23"),AF852&gt;0),SUMIFS($AF$7:$AF$1576,$BU$7:$BU$1576,BU852,$AI$7:$AI$1576,"&gt;"&amp;AI852)+SUMIFS($AF$7:$AF$1576,$BU$7:$BU$1576,BU852,$AI$7:$AI$1576,AI852,$BO$7:$BO$1576,"&lt;="&amp;BO852),"")</f>
        <v/>
      </c>
      <c r="AK852" s="65" t="n">
        <f aca="false">IF(AJ852="",0,MAX(0,MIN(1,(IF(BU852="L1",Parameter!$E$5,Parameter!$E$6+Parameter!$E$7)-(AJ852-AF852))/AF852)))</f>
        <v>0</v>
      </c>
      <c r="AL852" s="57" t="n">
        <f aca="false">IF(LEFT(Cockpit!$I$5,1)="A",G852,IF(BW852=1,BX852,IF(LEFT(Cockpit!$I$5,1)="B",AP852,MAX(AP852,G852))))</f>
        <v>28</v>
      </c>
      <c r="AM852" s="57" t="n">
        <f aca="false">IF(BR852=1,0,ROUNDUP(AL852/BQ852,0))</f>
        <v>1</v>
      </c>
      <c r="AN852" s="59" t="n">
        <f aca="false">IF(CD852&gt;0,CD852*MAX(1,AL852/V852),IF(BR852=1,IF(AL852&lt;=0,0,BS852*MAX(1,IF(G852&gt;0,AL852/G852,1))),IF(Q852&gt;0,AM852/Q852,0))/MAX(0.1,N(Parameter!$M$21)))</f>
        <v>0.0192307692307692</v>
      </c>
      <c r="AO852" s="57" t="n">
        <f aca="false">AL852*F852</f>
        <v>236.88</v>
      </c>
      <c r="AP852" s="57" t="n">
        <f aca="false">ROUNDUP(MAX(I852/IF(BV852&gt;0,BV852,MAX(0.1,N(Cockpit!$I$6))),BY852)/BQ852,0)*BQ852</f>
        <v>28</v>
      </c>
      <c r="AQ852" s="58" t="n">
        <f aca="false">IF(AN852&gt;0,I852/AN852,-1)</f>
        <v>208</v>
      </c>
      <c r="AR852" s="58" t="n">
        <f aca="false">IF(AND(OR(BU852="L1",BU852="L23"),AN852&gt;0),SUMIFS($AN$7:$AN$1576,$BU$7:$BU$1576,BU852,$AQ$7:$AQ$1576,"&gt;"&amp;AQ852)+SUMIFS($AN$7:$AN$1576,$BU$7:$BU$1576,BU852,$AQ$7:$AQ$1576,AQ852,$BO$7:$BO$1576,"&lt;="&amp;BO852),"")</f>
        <v>49.1173557001929</v>
      </c>
      <c r="AS852" s="65" t="n">
        <f aca="false">IF(AR852="",0,MAX(0,MIN(1,(IF(BU852="L1",Parameter!$E$5,Parameter!$E$6+Parameter!$E$7)-(AR852-AN852))/AN852)))</f>
        <v>1</v>
      </c>
      <c r="AT852" s="57" t="n">
        <f aca="false">IF(LEFT(Cockpit!$O$5,1)="A",G852,IF(BW852=1,BX852,IF(LEFT(Cockpit!$O$5,1)="B",AX852,MAX(AX852,G852))))</f>
        <v>28</v>
      </c>
      <c r="AU852" s="57" t="n">
        <f aca="false">IF(BR852=1,0,ROUNDUP(AT852/BQ852,0))</f>
        <v>1</v>
      </c>
      <c r="AV852" s="59" t="n">
        <f aca="false">IF(CD852&gt;0,CD852*MAX(1,AT852/V852),IF(BR852=1,IF(AT852&lt;=0,0,BS852*MAX(1,IF(G852&gt;0,AT852/G852,1))),IF(Q852&gt;0,AU852/Q852,0))/MAX(0.1,N(Parameter!$M$21)))</f>
        <v>0.0192307692307692</v>
      </c>
      <c r="AW852" s="57" t="n">
        <f aca="false">AT852*F852</f>
        <v>236.88</v>
      </c>
      <c r="AX852" s="57" t="n">
        <f aca="false">ROUNDUP(MAX(I852/IF(BV852&gt;0,BV852,MAX(0.1,N(Cockpit!$O$6))),BY852)/BQ852,0)*BQ852</f>
        <v>28</v>
      </c>
      <c r="AY852" s="58" t="n">
        <f aca="false">IF(AV852&gt;0,I852/AV852,-1)</f>
        <v>208</v>
      </c>
      <c r="AZ852" s="58" t="n">
        <f aca="false">IF(AND(OR(BU852="L1",BU852="L23"),AV852&gt;0),SUMIFS($AV$7:$AV$1576,$BU$7:$BU$1576,BU852,$AY$7:$AY$1576,"&gt;"&amp;AY852)+SUMIFS($AV$7:$AV$1576,$BU$7:$BU$1576,BU852,$AY$7:$AY$1576,AY852,$BO$7:$BO$1576,"&lt;="&amp;BO852),"")</f>
        <v>45.5636161064533</v>
      </c>
      <c r="BA852" s="65" t="n">
        <f aca="false">IF(AZ852="",0,MAX(0,MIN(1,(IF(BU852="L1",Parameter!$E$5,Parameter!$E$6+Parameter!$E$7)-(AZ852-AV852))/AV852)))</f>
        <v>1</v>
      </c>
      <c r="BB852" s="55" t="str">
        <f aca="false">IF(AF852&lt;=0,"",IF(BU852="Aussen","Aussenlager",IF(BU852="-","Nicht im Lift",IF(AK852&gt;=1,"Lift",IF(AK852&lt;=0,"Aussenlager","teilweise")))))</f>
        <v/>
      </c>
      <c r="BC852" s="55" t="str">
        <f aca="false">IF(AN852&lt;=0,"",IF(BU852="Aussen","Aussenlager",IF(BU852="-","Nicht im Lift",IF(AS852&gt;=1,"Lift",IF(AS852&lt;=0,"Aussenlager","teilweise")))))</f>
        <v>Lift</v>
      </c>
      <c r="BD852" s="55" t="str">
        <f aca="false">IF(AV852&lt;=0,"",IF(BU852="Aussen","Aussenlager",IF(BU852="-","Nicht im Lift",IF(BA852&gt;=1,"Lift",IF(BA852&lt;=0,"Aussenlager","teilweise")))))</f>
        <v>Lift</v>
      </c>
      <c r="BE852" s="55" t="str">
        <f aca="false">IF(A852="","",IF(BN852=1,"Neu; ","")&amp;IF(AND(BN852=0,BI852&lt;0),"negativer Bestand (Export "&amp;BI852&amp;"); ","")&amp;IF(I852&lt;=0,"Kein Verbrauch; ","")&amp;IF(CD852&gt;0,"Lift "&amp;U852&amp;" lt. Liftbericht (Fach "&amp;V852&amp;" Stk); ",IF(BR852=1,"Lose – Fläche geschätzt; ",""))&amp;IF(G852&gt;AP852,"Überbestand "&amp;ROUND(G852-AP852,0)&amp;" Stk / CHF "&amp;ROUND((G852-AP852)*F852,0)&amp;"; ","")&amp;IF(AND(BW852=1,BX852&lt;BY852),"MAX &lt; MB+LG; ","")&amp;IF(AND(CC852&gt;0,CB852*10&gt;CC852),"zu hoch für Tablar; ","")&amp;IF(AND(BN852=0,OR(BW852=1,Y852&lt;&gt;"",S852&lt;&gt;"",T852&lt;&gt;"",Z852&lt;&gt;"")),"manuell übersteuert; ","")&amp;IF(AND(BR852=0,Q852=0),"Gebinde unbekannt / Stellmass fehlt; ","")&amp;IF(AND(BR852=0,N(T852)&lt;=0,N(P852)&lt;=0),"Menge pro Gebinde fehlt (Ist = 1 Gebinde); ","")&amp;BM852)</f>
        <v>negativer Bestand (Export -2); </v>
      </c>
      <c r="BF852" s="55"/>
      <c r="BG852" s="55"/>
      <c r="BH852" s="62"/>
      <c r="BI852" s="57" t="n">
        <v>-2</v>
      </c>
      <c r="BJ852" s="57" t="n">
        <v>27</v>
      </c>
      <c r="BK852" s="56" t="n">
        <v>-16.92</v>
      </c>
      <c r="BL852" s="57" t="n">
        <v>4</v>
      </c>
      <c r="BM852" s="55"/>
      <c r="BN852" s="60" t="n">
        <v>0</v>
      </c>
      <c r="BO852" s="60" t="n">
        <v>852</v>
      </c>
      <c r="BP852" s="55" t="str">
        <f aca="false">IF(S852&lt;&gt;"",UPPER(TRIM(S852)),IF(O852="","LOSE",O852))</f>
        <v>S41</v>
      </c>
      <c r="BQ852" s="57" t="n">
        <f aca="false">IF(BP852="LOSE",1,IF(N(T852)&gt;0,T852,IF(N(P852)&gt;0,P852,MAX(1,G852))))</f>
        <v>28</v>
      </c>
      <c r="BR852" s="60" t="n">
        <f aca="false">IF(BP852="LOSE",1,0)</f>
        <v>0</v>
      </c>
      <c r="BS852" s="59" t="n">
        <f aca="false">IF(BR852=0,0,IF(N(R852)&gt;0,R852,IFERROR(VLOOKUP(D852,Parameter!$A$35:$C$64,3,0)+0,0)))</f>
        <v>0</v>
      </c>
      <c r="BT852" s="55" t="n">
        <f aca="false">IF(Y852&lt;&gt;"",Y852,X852)</f>
        <v>3</v>
      </c>
      <c r="BU852" s="55" t="str">
        <f aca="false">IF(BT852=1,"L1",IF(OR(BT852=2,BT852=3),"L23",IF(BT852="Aussen","Aussen","-")))</f>
        <v>L23</v>
      </c>
      <c r="BV852" s="66" t="n">
        <f aca="false">IF(N(Z852)&gt;0,Z852,0)</f>
        <v>0</v>
      </c>
      <c r="BW852" s="60" t="n">
        <f aca="false">IF(ISNUMBER(AC852),1,0)</f>
        <v>0</v>
      </c>
      <c r="BX852" s="57" t="n">
        <f aca="false">N(AC852)</f>
        <v>0</v>
      </c>
      <c r="BY852" s="57" t="n">
        <f aca="false">N(L852)+N(M852)</f>
        <v>5</v>
      </c>
      <c r="BZ852" s="57" t="n">
        <f aca="false">ROUNDUP(G852/BQ852,0)</f>
        <v>0</v>
      </c>
      <c r="CA852" s="57" t="n">
        <f aca="false">ROUNDUP(BX852/BQ852,0)</f>
        <v>0</v>
      </c>
      <c r="CB852" s="60" t="n">
        <f aca="false">IF(BR852=1,0,IFERROR(VLOOKUP(BP852,'Gebinde-Kategorie'!$A$5:$M$45,5,0)+0,0))</f>
        <v>11</v>
      </c>
      <c r="CC852" s="60" t="n">
        <f aca="false">IFERROR(IF(OR(BT852=1,BT852=2,BT852=3),N(INDEX(Parameter!$I$5:$I$7,BT852)),0),0)</f>
        <v>0</v>
      </c>
      <c r="CD852" s="59" t="n">
        <f aca="false">IF(AND(Parameter!$B$21="Ja",ISNUMBER(U852),N(V852)&gt;0),IFERROR(N(INDEX(Parameter!$L$5:$L$7,U852))*INDEX(Parameter!$E$5:$E$7,U852)*V852/SUMIFS($V$7:$V$1576,$U$7:$U$1576,U852),0),0)</f>
        <v>0</v>
      </c>
    </row>
    <row r="853" customFormat="false" ht="15" hidden="false" customHeight="false" outlineLevel="0" collapsed="false">
      <c r="A853" s="55" t="s">
        <v>1614</v>
      </c>
      <c r="B853" s="55" t="s">
        <v>1255</v>
      </c>
      <c r="C853" s="55" t="s">
        <v>160</v>
      </c>
      <c r="D853" s="55" t="s">
        <v>178</v>
      </c>
      <c r="E853" s="55" t="s">
        <v>210</v>
      </c>
      <c r="F853" s="56" t="n">
        <v>0.07</v>
      </c>
      <c r="G853" s="57" t="n">
        <f aca="false">MAX(0,IF(AND(Parameter!$B$21="Ja",ISNUMBER(W853)),W853,IF(Parameter!$B$20="Jahresanfang 2025 + Export",BJ853+BI853,BI853)))</f>
        <v>0</v>
      </c>
      <c r="H853" s="57" t="n">
        <f aca="false">G853*F853</f>
        <v>0</v>
      </c>
      <c r="I853" s="57" t="n">
        <f aca="false">BL853*Parameter!$B$18</f>
        <v>124</v>
      </c>
      <c r="J853" s="58" t="n">
        <v>461</v>
      </c>
      <c r="K853" s="59" t="n">
        <v>0.268980477223427</v>
      </c>
      <c r="L853" s="57" t="n">
        <v>7</v>
      </c>
      <c r="M853" s="57" t="n">
        <v>125</v>
      </c>
      <c r="N853" s="60" t="n">
        <v>21</v>
      </c>
      <c r="O853" s="55" t="s">
        <v>416</v>
      </c>
      <c r="P853" s="57" t="n">
        <v>300</v>
      </c>
      <c r="Q853" s="60" t="n">
        <f aca="false">IF(BR853=1,0,IFERROR(VLOOKUP(BP853,'Gebinde-Kategorie'!$A$5:$M$45,13,0)+0,0))</f>
        <v>198</v>
      </c>
      <c r="R853" s="61"/>
      <c r="S853" s="62"/>
      <c r="T853" s="62"/>
      <c r="U853" s="55"/>
      <c r="V853" s="57"/>
      <c r="W853" s="57"/>
      <c r="X853" s="55" t="n">
        <f aca="false">IF(A853="","",IF(AND(Parameter!$B$21="Ja",ISNUMBER(U853)),U853,IF(IFERROR(VLOOKUP(D853,Parameter!$A$35:$C$64,2,0),"Nein")="2+3",IF(ISNUMBER(SEARCH("grosser Artikel",BM853)),2,IFERROR(VLOOKUP(BP853,Parameter!$F$35:$G$64,2,0),2)),IF(OR(IFERROR(VLOOKUP(D853,Parameter!$A$35:$C$64,2,0),"Nein")="Nein",IFERROR(VLOOKUP(D853,Parameter!$A$35:$C$64,2,0),"Nein")=""),"-",VLOOKUP(D853,Parameter!$A$35:$C$64,2,0)))))</f>
        <v>3</v>
      </c>
      <c r="Y853" s="62"/>
      <c r="Z853" s="63"/>
      <c r="AA853" s="57" t="n">
        <f aca="false">AP853</f>
        <v>300</v>
      </c>
      <c r="AB853" s="57" t="n">
        <f aca="false">MAX(AP853,G853)</f>
        <v>300</v>
      </c>
      <c r="AC853" s="64"/>
      <c r="AD853" s="57" t="n">
        <f aca="false">IF(LEFT(Cockpit!$C$5,1)="A",G853,IF(BW853=1,BX853,IF(LEFT(Cockpit!$C$5,1)="B",AH853,MAX(AH853,G853))))</f>
        <v>0</v>
      </c>
      <c r="AE853" s="57" t="n">
        <f aca="false">IF(BR853=1,0,ROUNDUP(AD853/BQ853,0))</f>
        <v>0</v>
      </c>
      <c r="AF853" s="59" t="n">
        <f aca="false">IF(CD853&gt;0,CD853*MAX(1,AD853/V853),IF(BR853=1,IF(AD853&lt;=0,0,BS853*MAX(1,IF(G853&gt;0,AD853/G853,1))),IF(Q853&gt;0,AE853/Q853,0))/MAX(0.1,N(Parameter!$M$21)))</f>
        <v>0</v>
      </c>
      <c r="AG853" s="57" t="n">
        <f aca="false">AD853*F853</f>
        <v>0</v>
      </c>
      <c r="AH853" s="57" t="n">
        <f aca="false">ROUNDUP(MAX(I853/IF(BV853&gt;0,BV853,MAX(0.1,N(Cockpit!$C$6))),BY853)/BQ853,0)*BQ853</f>
        <v>300</v>
      </c>
      <c r="AI853" s="58" t="n">
        <f aca="false">IF(AF853&gt;0,I853/AF853,-1)</f>
        <v>-1</v>
      </c>
      <c r="AJ853" s="58" t="str">
        <f aca="false">IF(AND(OR(BU853="L1",BU853="L23"),AF853&gt;0),SUMIFS($AF$7:$AF$1576,$BU$7:$BU$1576,BU853,$AI$7:$AI$1576,"&gt;"&amp;AI853)+SUMIFS($AF$7:$AF$1576,$BU$7:$BU$1576,BU853,$AI$7:$AI$1576,AI853,$BO$7:$BO$1576,"&lt;="&amp;BO853),"")</f>
        <v/>
      </c>
      <c r="AK853" s="65" t="n">
        <f aca="false">IF(AJ853="",0,MAX(0,MIN(1,(IF(BU853="L1",Parameter!$E$5,Parameter!$E$6+Parameter!$E$7)-(AJ853-AF853))/AF853)))</f>
        <v>0</v>
      </c>
      <c r="AL853" s="57" t="n">
        <f aca="false">IF(LEFT(Cockpit!$I$5,1)="A",G853,IF(BW853=1,BX853,IF(LEFT(Cockpit!$I$5,1)="B",AP853,MAX(AP853,G853))))</f>
        <v>300</v>
      </c>
      <c r="AM853" s="57" t="n">
        <f aca="false">IF(BR853=1,0,ROUNDUP(AL853/BQ853,0))</f>
        <v>1</v>
      </c>
      <c r="AN853" s="59" t="n">
        <f aca="false">IF(CD853&gt;0,CD853*MAX(1,AL853/V853),IF(BR853=1,IF(AL853&lt;=0,0,BS853*MAX(1,IF(G853&gt;0,AL853/G853,1))),IF(Q853&gt;0,AM853/Q853,0))/MAX(0.1,N(Parameter!$M$21)))</f>
        <v>0.00505050505050505</v>
      </c>
      <c r="AO853" s="57" t="n">
        <f aca="false">AL853*F853</f>
        <v>21</v>
      </c>
      <c r="AP853" s="57" t="n">
        <f aca="false">ROUNDUP(MAX(I853/IF(BV853&gt;0,BV853,MAX(0.1,N(Cockpit!$I$6))),BY853)/BQ853,0)*BQ853</f>
        <v>300</v>
      </c>
      <c r="AQ853" s="58" t="n">
        <f aca="false">IF(AN853&gt;0,I853/AN853,-1)</f>
        <v>24552</v>
      </c>
      <c r="AR853" s="58" t="n">
        <f aca="false">IF(AND(OR(BU853="L1",BU853="L23"),AN853&gt;0),SUMIFS($AN$7:$AN$1576,$BU$7:$BU$1576,BU853,$AQ$7:$AQ$1576,"&gt;"&amp;AQ853)+SUMIFS($AN$7:$AN$1576,$BU$7:$BU$1576,BU853,$AQ$7:$AQ$1576,AQ853,$BO$7:$BO$1576,"&lt;="&amp;BO853),"")</f>
        <v>3.32207898381811</v>
      </c>
      <c r="AS853" s="65" t="n">
        <f aca="false">IF(AR853="",0,MAX(0,MIN(1,(IF(BU853="L1",Parameter!$E$5,Parameter!$E$6+Parameter!$E$7)-(AR853-AN853))/AN853)))</f>
        <v>1</v>
      </c>
      <c r="AT853" s="57" t="n">
        <f aca="false">IF(LEFT(Cockpit!$O$5,1)="A",G853,IF(BW853=1,BX853,IF(LEFT(Cockpit!$O$5,1)="B",AX853,MAX(AX853,G853))))</f>
        <v>300</v>
      </c>
      <c r="AU853" s="57" t="n">
        <f aca="false">IF(BR853=1,0,ROUNDUP(AT853/BQ853,0))</f>
        <v>1</v>
      </c>
      <c r="AV853" s="59" t="n">
        <f aca="false">IF(CD853&gt;0,CD853*MAX(1,AT853/V853),IF(BR853=1,IF(AT853&lt;=0,0,BS853*MAX(1,IF(G853&gt;0,AT853/G853,1))),IF(Q853&gt;0,AU853/Q853,0))/MAX(0.1,N(Parameter!$M$21)))</f>
        <v>0.00505050505050505</v>
      </c>
      <c r="AW853" s="57" t="n">
        <f aca="false">AT853*F853</f>
        <v>21</v>
      </c>
      <c r="AX853" s="57" t="n">
        <f aca="false">ROUNDUP(MAX(I853/IF(BV853&gt;0,BV853,MAX(0.1,N(Cockpit!$O$6))),BY853)/BQ853,0)*BQ853</f>
        <v>300</v>
      </c>
      <c r="AY853" s="58" t="n">
        <f aca="false">IF(AV853&gt;0,I853/AV853,-1)</f>
        <v>24552</v>
      </c>
      <c r="AZ853" s="58" t="n">
        <f aca="false">IF(AND(OR(BU853="L1",BU853="L23"),AV853&gt;0),SUMIFS($AV$7:$AV$1576,$BU$7:$BU$1576,BU853,$AY$7:$AY$1576,"&gt;"&amp;AY853)+SUMIFS($AV$7:$AV$1576,$BU$7:$BU$1576,BU853,$AY$7:$AY$1576,AY853,$BO$7:$BO$1576,"&lt;="&amp;BO853),"")</f>
        <v>3.67988784162697</v>
      </c>
      <c r="BA853" s="65" t="n">
        <f aca="false">IF(AZ853="",0,MAX(0,MIN(1,(IF(BU853="L1",Parameter!$E$5,Parameter!$E$6+Parameter!$E$7)-(AZ853-AV853))/AV853)))</f>
        <v>1</v>
      </c>
      <c r="BB853" s="55" t="str">
        <f aca="false">IF(AF853&lt;=0,"",IF(BU853="Aussen","Aussenlager",IF(BU853="-","Nicht im Lift",IF(AK853&gt;=1,"Lift",IF(AK853&lt;=0,"Aussenlager","teilweise")))))</f>
        <v/>
      </c>
      <c r="BC853" s="55" t="str">
        <f aca="false">IF(AN853&lt;=0,"",IF(BU853="Aussen","Aussenlager",IF(BU853="-","Nicht im Lift",IF(AS853&gt;=1,"Lift",IF(AS853&lt;=0,"Aussenlager","teilweise")))))</f>
        <v>Lift</v>
      </c>
      <c r="BD853" s="55" t="str">
        <f aca="false">IF(AV853&lt;=0,"",IF(BU853="Aussen","Aussenlager",IF(BU853="-","Nicht im Lift",IF(BA853&gt;=1,"Lift",IF(BA853&lt;=0,"Aussenlager","teilweise")))))</f>
        <v>Lift</v>
      </c>
      <c r="BE853" s="55" t="str">
        <f aca="false">IF(A853="","",IF(BN853=1,"Neu; ","")&amp;IF(AND(BN853=0,BI853&lt;0),"negativer Bestand (Export "&amp;BI853&amp;"); ","")&amp;IF(I853&lt;=0,"Kein Verbrauch; ","")&amp;IF(CD853&gt;0,"Lift "&amp;U853&amp;" lt. Liftbericht (Fach "&amp;V853&amp;" Stk); ",IF(BR853=1,"Lose – Fläche geschätzt; ",""))&amp;IF(G853&gt;AP853,"Überbestand "&amp;ROUND(G853-AP853,0)&amp;" Stk / CHF "&amp;ROUND((G853-AP853)*F853,0)&amp;"; ","")&amp;IF(AND(BW853=1,BX853&lt;BY853),"MAX &lt; MB+LG; ","")&amp;IF(AND(CC853&gt;0,CB853*10&gt;CC853),"zu hoch für Tablar; ","")&amp;IF(AND(BN853=0,OR(BW853=1,Y853&lt;&gt;"",S853&lt;&gt;"",T853&lt;&gt;"",Z853&lt;&gt;"")),"manuell übersteuert; ","")&amp;IF(AND(BR853=0,Q853=0),"Gebinde unbekannt / Stellmass fehlt; ","")&amp;IF(AND(BR853=0,N(T853)&lt;=0,N(P853)&lt;=0),"Menge pro Gebinde fehlt (Ist = 1 Gebinde); ","")&amp;BM853)</f>
        <v>negativer Bestand (Export -252); </v>
      </c>
      <c r="BF853" s="55"/>
      <c r="BG853" s="55"/>
      <c r="BH853" s="62"/>
      <c r="BI853" s="57" t="n">
        <v>-252</v>
      </c>
      <c r="BJ853" s="57" t="n">
        <v>539</v>
      </c>
      <c r="BK853" s="56" t="n">
        <v>-17.64</v>
      </c>
      <c r="BL853" s="57" t="n">
        <v>124</v>
      </c>
      <c r="BM853" s="55"/>
      <c r="BN853" s="60" t="n">
        <v>0</v>
      </c>
      <c r="BO853" s="60" t="n">
        <v>853</v>
      </c>
      <c r="BP853" s="55" t="str">
        <f aca="false">IF(S853&lt;&gt;"",UPPER(TRIM(S853)),IF(O853="","LOSE",O853))</f>
        <v>S22</v>
      </c>
      <c r="BQ853" s="57" t="n">
        <f aca="false">IF(BP853="LOSE",1,IF(N(T853)&gt;0,T853,IF(N(P853)&gt;0,P853,MAX(1,G853))))</f>
        <v>300</v>
      </c>
      <c r="BR853" s="60" t="n">
        <f aca="false">IF(BP853="LOSE",1,0)</f>
        <v>0</v>
      </c>
      <c r="BS853" s="59" t="n">
        <f aca="false">IF(BR853=0,0,IF(N(R853)&gt;0,R853,IFERROR(VLOOKUP(D853,Parameter!$A$35:$C$64,3,0)+0,0)))</f>
        <v>0</v>
      </c>
      <c r="BT853" s="55" t="n">
        <f aca="false">IF(Y853&lt;&gt;"",Y853,X853)</f>
        <v>3</v>
      </c>
      <c r="BU853" s="55" t="str">
        <f aca="false">IF(BT853=1,"L1",IF(OR(BT853=2,BT853=3),"L23",IF(BT853="Aussen","Aussen","-")))</f>
        <v>L23</v>
      </c>
      <c r="BV853" s="66" t="n">
        <f aca="false">IF(N(Z853)&gt;0,Z853,0)</f>
        <v>0</v>
      </c>
      <c r="BW853" s="60" t="n">
        <f aca="false">IF(ISNUMBER(AC853),1,0)</f>
        <v>0</v>
      </c>
      <c r="BX853" s="57" t="n">
        <f aca="false">N(AC853)</f>
        <v>0</v>
      </c>
      <c r="BY853" s="57" t="n">
        <f aca="false">N(L853)+N(M853)</f>
        <v>132</v>
      </c>
      <c r="BZ853" s="57" t="n">
        <f aca="false">ROUNDUP(G853/BQ853,0)</f>
        <v>0</v>
      </c>
      <c r="CA853" s="57" t="n">
        <f aca="false">ROUNDUP(BX853/BQ853,0)</f>
        <v>0</v>
      </c>
      <c r="CB853" s="60" t="n">
        <f aca="false">IF(BR853=1,0,IFERROR(VLOOKUP(BP853,'Gebinde-Kategorie'!$A$5:$M$45,5,0)+0,0))</f>
        <v>8</v>
      </c>
      <c r="CC853" s="60" t="n">
        <f aca="false">IFERROR(IF(OR(BT853=1,BT853=2,BT853=3),N(INDEX(Parameter!$I$5:$I$7,BT853)),0),0)</f>
        <v>0</v>
      </c>
      <c r="CD853" s="59" t="n">
        <f aca="false">IF(AND(Parameter!$B$21="Ja",ISNUMBER(U853),N(V853)&gt;0),IFERROR(N(INDEX(Parameter!$L$5:$L$7,U853))*INDEX(Parameter!$E$5:$E$7,U853)*V853/SUMIFS($V$7:$V$1576,$U$7:$U$1576,U853),0),0)</f>
        <v>0</v>
      </c>
    </row>
    <row r="854" customFormat="false" ht="15" hidden="false" customHeight="false" outlineLevel="0" collapsed="false">
      <c r="A854" s="55" t="s">
        <v>1615</v>
      </c>
      <c r="B854" s="55" t="s">
        <v>393</v>
      </c>
      <c r="C854" s="55" t="s">
        <v>160</v>
      </c>
      <c r="D854" s="55" t="s">
        <v>178</v>
      </c>
      <c r="E854" s="55" t="s">
        <v>210</v>
      </c>
      <c r="F854" s="56" t="n">
        <v>0.34</v>
      </c>
      <c r="G854" s="57" t="n">
        <f aca="false">MAX(0,IF(AND(Parameter!$B$21="Ja",ISNUMBER(W854)),W854,IF(Parameter!$B$20="Jahresanfang 2025 + Export",BJ854+BI854,BI854)))</f>
        <v>0</v>
      </c>
      <c r="H854" s="57" t="n">
        <f aca="false">G854*F854</f>
        <v>0</v>
      </c>
      <c r="I854" s="57" t="n">
        <f aca="false">BL854*Parameter!$B$18</f>
        <v>400</v>
      </c>
      <c r="J854" s="58" t="n">
        <v>178</v>
      </c>
      <c r="K854" s="59" t="n">
        <v>2.24719101123596</v>
      </c>
      <c r="L854" s="57" t="n">
        <v>23</v>
      </c>
      <c r="M854" s="57" t="n">
        <v>400</v>
      </c>
      <c r="N854" s="60" t="n">
        <v>21</v>
      </c>
      <c r="O854" s="55" t="s">
        <v>218</v>
      </c>
      <c r="P854" s="57" t="n">
        <v>555</v>
      </c>
      <c r="Q854" s="60" t="n">
        <f aca="false">IF(BR854=1,0,IFERROR(VLOOKUP(BP854,'Gebinde-Kategorie'!$A$5:$M$45,13,0)+0,0))</f>
        <v>12</v>
      </c>
      <c r="R854" s="61"/>
      <c r="S854" s="62"/>
      <c r="T854" s="62"/>
      <c r="U854" s="55"/>
      <c r="V854" s="57"/>
      <c r="W854" s="57"/>
      <c r="X854" s="55" t="n">
        <f aca="false">IF(A854="","",IF(AND(Parameter!$B$21="Ja",ISNUMBER(U854)),U854,IF(IFERROR(VLOOKUP(D854,Parameter!$A$35:$C$64,2,0),"Nein")="2+3",IF(ISNUMBER(SEARCH("grosser Artikel",BM854)),2,IFERROR(VLOOKUP(BP854,Parameter!$F$35:$G$64,2,0),2)),IF(OR(IFERROR(VLOOKUP(D854,Parameter!$A$35:$C$64,2,0),"Nein")="Nein",IFERROR(VLOOKUP(D854,Parameter!$A$35:$C$64,2,0),"Nein")=""),"-",VLOOKUP(D854,Parameter!$A$35:$C$64,2,0)))))</f>
        <v>2</v>
      </c>
      <c r="Y854" s="62"/>
      <c r="Z854" s="63"/>
      <c r="AA854" s="57" t="n">
        <f aca="false">AP854</f>
        <v>555</v>
      </c>
      <c r="AB854" s="57" t="n">
        <f aca="false">MAX(AP854,G854)</f>
        <v>555</v>
      </c>
      <c r="AC854" s="64"/>
      <c r="AD854" s="57" t="n">
        <f aca="false">IF(LEFT(Cockpit!$C$5,1)="A",G854,IF(BW854=1,BX854,IF(LEFT(Cockpit!$C$5,1)="B",AH854,MAX(AH854,G854))))</f>
        <v>0</v>
      </c>
      <c r="AE854" s="57" t="n">
        <f aca="false">IF(BR854=1,0,ROUNDUP(AD854/BQ854,0))</f>
        <v>0</v>
      </c>
      <c r="AF854" s="59" t="n">
        <f aca="false">IF(CD854&gt;0,CD854*MAX(1,AD854/V854),IF(BR854=1,IF(AD854&lt;=0,0,BS854*MAX(1,IF(G854&gt;0,AD854/G854,1))),IF(Q854&gt;0,AE854/Q854,0))/MAX(0.1,N(Parameter!$M$21)))</f>
        <v>0</v>
      </c>
      <c r="AG854" s="57" t="n">
        <f aca="false">AD854*F854</f>
        <v>0</v>
      </c>
      <c r="AH854" s="57" t="n">
        <f aca="false">ROUNDUP(MAX(I854/IF(BV854&gt;0,BV854,MAX(0.1,N(Cockpit!$C$6))),BY854)/BQ854,0)*BQ854</f>
        <v>555</v>
      </c>
      <c r="AI854" s="58" t="n">
        <f aca="false">IF(AF854&gt;0,I854/AF854,-1)</f>
        <v>-1</v>
      </c>
      <c r="AJ854" s="58" t="str">
        <f aca="false">IF(AND(OR(BU854="L1",BU854="L23"),AF854&gt;0),SUMIFS($AF$7:$AF$1576,$BU$7:$BU$1576,BU854,$AI$7:$AI$1576,"&gt;"&amp;AI854)+SUMIFS($AF$7:$AF$1576,$BU$7:$BU$1576,BU854,$AI$7:$AI$1576,AI854,$BO$7:$BO$1576,"&lt;="&amp;BO854),"")</f>
        <v/>
      </c>
      <c r="AK854" s="65" t="n">
        <f aca="false">IF(AJ854="",0,MAX(0,MIN(1,(IF(BU854="L1",Parameter!$E$5,Parameter!$E$6+Parameter!$E$7)-(AJ854-AF854))/AF854)))</f>
        <v>0</v>
      </c>
      <c r="AL854" s="57" t="n">
        <f aca="false">IF(LEFT(Cockpit!$I$5,1)="A",G854,IF(BW854=1,BX854,IF(LEFT(Cockpit!$I$5,1)="B",AP854,MAX(AP854,G854))))</f>
        <v>555</v>
      </c>
      <c r="AM854" s="57" t="n">
        <f aca="false">IF(BR854=1,0,ROUNDUP(AL854/BQ854,0))</f>
        <v>1</v>
      </c>
      <c r="AN854" s="59" t="n">
        <f aca="false">IF(CD854&gt;0,CD854*MAX(1,AL854/V854),IF(BR854=1,IF(AL854&lt;=0,0,BS854*MAX(1,IF(G854&gt;0,AL854/G854,1))),IF(Q854&gt;0,AM854/Q854,0))/MAX(0.1,N(Parameter!$M$21)))</f>
        <v>0.0833333333333333</v>
      </c>
      <c r="AO854" s="57" t="n">
        <f aca="false">AL854*F854</f>
        <v>188.7</v>
      </c>
      <c r="AP854" s="57" t="n">
        <f aca="false">ROUNDUP(MAX(I854/IF(BV854&gt;0,BV854,MAX(0.1,N(Cockpit!$I$6))),BY854)/BQ854,0)*BQ854</f>
        <v>555</v>
      </c>
      <c r="AQ854" s="58" t="n">
        <f aca="false">IF(AN854&gt;0,I854/AN854,-1)</f>
        <v>4800</v>
      </c>
      <c r="AR854" s="58" t="n">
        <f aca="false">IF(AND(OR(BU854="L1",BU854="L23"),AN854&gt;0),SUMIFS($AN$7:$AN$1576,$BU$7:$BU$1576,BU854,$AQ$7:$AQ$1576,"&gt;"&amp;AQ854)+SUMIFS($AN$7:$AN$1576,$BU$7:$BU$1576,BU854,$AQ$7:$AQ$1576,AQ854,$BO$7:$BO$1576,"&lt;="&amp;BO854),"")</f>
        <v>11.5987169115908</v>
      </c>
      <c r="AS854" s="65" t="n">
        <f aca="false">IF(AR854="",0,MAX(0,MIN(1,(IF(BU854="L1",Parameter!$E$5,Parameter!$E$6+Parameter!$E$7)-(AR854-AN854))/AN854)))</f>
        <v>1</v>
      </c>
      <c r="AT854" s="57" t="n">
        <f aca="false">IF(LEFT(Cockpit!$O$5,1)="A",G854,IF(BW854=1,BX854,IF(LEFT(Cockpit!$O$5,1)="B",AX854,MAX(AX854,G854))))</f>
        <v>555</v>
      </c>
      <c r="AU854" s="57" t="n">
        <f aca="false">IF(BR854=1,0,ROUNDUP(AT854/BQ854,0))</f>
        <v>1</v>
      </c>
      <c r="AV854" s="59" t="n">
        <f aca="false">IF(CD854&gt;0,CD854*MAX(1,AT854/V854),IF(BR854=1,IF(AT854&lt;=0,0,BS854*MAX(1,IF(G854&gt;0,AT854/G854,1))),IF(Q854&gt;0,AU854/Q854,0))/MAX(0.1,N(Parameter!$M$21)))</f>
        <v>0.0833333333333333</v>
      </c>
      <c r="AW854" s="57" t="n">
        <f aca="false">AT854*F854</f>
        <v>188.7</v>
      </c>
      <c r="AX854" s="57" t="n">
        <f aca="false">ROUNDUP(MAX(I854/IF(BV854&gt;0,BV854,MAX(0.1,N(Cockpit!$O$6))),BY854)/BQ854,0)*BQ854</f>
        <v>555</v>
      </c>
      <c r="AY854" s="58" t="n">
        <f aca="false">IF(AV854&gt;0,I854/AV854,-1)</f>
        <v>4800</v>
      </c>
      <c r="AZ854" s="58" t="n">
        <f aca="false">IF(AND(OR(BU854="L1",BU854="L23"),AV854&gt;0),SUMIFS($AV$7:$AV$1576,$BU$7:$BU$1576,BU854,$AY$7:$AY$1576,"&gt;"&amp;AY854)+SUMIFS($AV$7:$AV$1576,$BU$7:$BU$1576,BU854,$AY$7:$AY$1576,AY854,$BO$7:$BO$1576,"&lt;="&amp;BO854),"")</f>
        <v>10.8195793824533</v>
      </c>
      <c r="BA854" s="65" t="n">
        <f aca="false">IF(AZ854="",0,MAX(0,MIN(1,(IF(BU854="L1",Parameter!$E$5,Parameter!$E$6+Parameter!$E$7)-(AZ854-AV854))/AV854)))</f>
        <v>1</v>
      </c>
      <c r="BB854" s="55" t="str">
        <f aca="false">IF(AF854&lt;=0,"",IF(BU854="Aussen","Aussenlager",IF(BU854="-","Nicht im Lift",IF(AK854&gt;=1,"Lift",IF(AK854&lt;=0,"Aussenlager","teilweise")))))</f>
        <v/>
      </c>
      <c r="BC854" s="55" t="str">
        <f aca="false">IF(AN854&lt;=0,"",IF(BU854="Aussen","Aussenlager",IF(BU854="-","Nicht im Lift",IF(AS854&gt;=1,"Lift",IF(AS854&lt;=0,"Aussenlager","teilweise")))))</f>
        <v>Lift</v>
      </c>
      <c r="BD854" s="55" t="str">
        <f aca="false">IF(AV854&lt;=0,"",IF(BU854="Aussen","Aussenlager",IF(BU854="-","Nicht im Lift",IF(BA854&gt;=1,"Lift",IF(BA854&lt;=0,"Aussenlager","teilweise")))))</f>
        <v>Lift</v>
      </c>
      <c r="BE854" s="55" t="str">
        <f aca="false">IF(A854="","",IF(BN854=1,"Neu; ","")&amp;IF(AND(BN854=0,BI854&lt;0),"negativer Bestand (Export "&amp;BI854&amp;"); ","")&amp;IF(I854&lt;=0,"Kein Verbrauch; ","")&amp;IF(CD854&gt;0,"Lift "&amp;U854&amp;" lt. Liftbericht (Fach "&amp;V854&amp;" Stk); ",IF(BR854=1,"Lose – Fläche geschätzt; ",""))&amp;IF(G854&gt;AP854,"Überbestand "&amp;ROUND(G854-AP854,0)&amp;" Stk / CHF "&amp;ROUND((G854-AP854)*F854,0)&amp;"; ","")&amp;IF(AND(BW854=1,BX854&lt;BY854),"MAX &lt; MB+LG; ","")&amp;IF(AND(CC854&gt;0,CB854*10&gt;CC854),"zu hoch für Tablar; ","")&amp;IF(AND(BN854=0,OR(BW854=1,Y854&lt;&gt;"",S854&lt;&gt;"",T854&lt;&gt;"",Z854&lt;&gt;"")),"manuell übersteuert; ","")&amp;IF(AND(BR854=0,Q854=0),"Gebinde unbekannt / Stellmass fehlt; ","")&amp;IF(AND(BR854=0,N(T854)&lt;=0,N(P854)&lt;=0),"Menge pro Gebinde fehlt (Ist = 1 Gebinde); ","")&amp;BM854)</f>
        <v>negativer Bestand (Export -56); </v>
      </c>
      <c r="BF854" s="55"/>
      <c r="BG854" s="55"/>
      <c r="BH854" s="62"/>
      <c r="BI854" s="57" t="n">
        <v>-56</v>
      </c>
      <c r="BJ854" s="57" t="n">
        <v>106</v>
      </c>
      <c r="BK854" s="56" t="n">
        <v>-17.98</v>
      </c>
      <c r="BL854" s="57" t="n">
        <v>400</v>
      </c>
      <c r="BM854" s="55"/>
      <c r="BN854" s="60" t="n">
        <v>0</v>
      </c>
      <c r="BO854" s="60" t="n">
        <v>854</v>
      </c>
      <c r="BP854" s="55" t="str">
        <f aca="false">IF(S854&lt;&gt;"",UPPER(TRIM(S854)),IF(O854="","LOSE",O854))</f>
        <v>S63</v>
      </c>
      <c r="BQ854" s="57" t="n">
        <f aca="false">IF(BP854="LOSE",1,IF(N(T854)&gt;0,T854,IF(N(P854)&gt;0,P854,MAX(1,G854))))</f>
        <v>555</v>
      </c>
      <c r="BR854" s="60" t="n">
        <f aca="false">IF(BP854="LOSE",1,0)</f>
        <v>0</v>
      </c>
      <c r="BS854" s="59" t="n">
        <f aca="false">IF(BR854=0,0,IF(N(R854)&gt;0,R854,IFERROR(VLOOKUP(D854,Parameter!$A$35:$C$64,3,0)+0,0)))</f>
        <v>0</v>
      </c>
      <c r="BT854" s="55" t="n">
        <f aca="false">IF(Y854&lt;&gt;"",Y854,X854)</f>
        <v>2</v>
      </c>
      <c r="BU854" s="55" t="str">
        <f aca="false">IF(BT854=1,"L1",IF(OR(BT854=2,BT854=3),"L23",IF(BT854="Aussen","Aussen","-")))</f>
        <v>L23</v>
      </c>
      <c r="BV854" s="66" t="n">
        <f aca="false">IF(N(Z854)&gt;0,Z854,0)</f>
        <v>0</v>
      </c>
      <c r="BW854" s="60" t="n">
        <f aca="false">IF(ISNUMBER(AC854),1,0)</f>
        <v>0</v>
      </c>
      <c r="BX854" s="57" t="n">
        <f aca="false">N(AC854)</f>
        <v>0</v>
      </c>
      <c r="BY854" s="57" t="n">
        <f aca="false">N(L854)+N(M854)</f>
        <v>423</v>
      </c>
      <c r="BZ854" s="57" t="n">
        <f aca="false">ROUNDUP(G854/BQ854,0)</f>
        <v>0</v>
      </c>
      <c r="CA854" s="57" t="n">
        <f aca="false">ROUNDUP(BX854/BQ854,0)</f>
        <v>0</v>
      </c>
      <c r="CB854" s="60" t="n">
        <f aca="false">IF(BR854=1,0,IFERROR(VLOOKUP(BP854,'Gebinde-Kategorie'!$A$5:$M$45,5,0)+0,0))</f>
        <v>31</v>
      </c>
      <c r="CC854" s="60" t="n">
        <f aca="false">IFERROR(IF(OR(BT854=1,BT854=2,BT854=3),N(INDEX(Parameter!$I$5:$I$7,BT854)),0),0)</f>
        <v>0</v>
      </c>
      <c r="CD854" s="59" t="n">
        <f aca="false">IF(AND(Parameter!$B$21="Ja",ISNUMBER(U854),N(V854)&gt;0),IFERROR(N(INDEX(Parameter!$L$5:$L$7,U854))*INDEX(Parameter!$E$5:$E$7,U854)*V854/SUMIFS($V$7:$V$1576,$U$7:$U$1576,U854),0),0)</f>
        <v>0</v>
      </c>
    </row>
    <row r="855" customFormat="false" ht="15" hidden="false" customHeight="false" outlineLevel="0" collapsed="false">
      <c r="A855" s="55" t="s">
        <v>1616</v>
      </c>
      <c r="B855" s="55" t="s">
        <v>1617</v>
      </c>
      <c r="C855" s="55" t="s">
        <v>160</v>
      </c>
      <c r="D855" s="55" t="s">
        <v>178</v>
      </c>
      <c r="E855" s="55" t="s">
        <v>210</v>
      </c>
      <c r="F855" s="56" t="n">
        <v>0.77</v>
      </c>
      <c r="G855" s="57" t="n">
        <f aca="false">MAX(0,IF(AND(Parameter!$B$21="Ja",ISNUMBER(W855)),W855,IF(Parameter!$B$20="Jahresanfang 2025 + Export",BJ855+BI855,BI855)))</f>
        <v>0</v>
      </c>
      <c r="H855" s="57" t="n">
        <f aca="false">G855*F855</f>
        <v>0</v>
      </c>
      <c r="I855" s="57" t="n">
        <f aca="false">BL855*Parameter!$B$18</f>
        <v>2</v>
      </c>
      <c r="J855" s="58" t="n">
        <v>16</v>
      </c>
      <c r="K855" s="59" t="n">
        <v>0.125</v>
      </c>
      <c r="L855" s="57" t="n">
        <v>0</v>
      </c>
      <c r="M855" s="57" t="n">
        <v>1</v>
      </c>
      <c r="N855" s="60" t="n">
        <v>14</v>
      </c>
      <c r="O855" s="55" t="s">
        <v>163</v>
      </c>
      <c r="P855" s="57"/>
      <c r="Q855" s="60" t="n">
        <f aca="false">IF(BR855=1,0,IFERROR(VLOOKUP(BP855,'Gebinde-Kategorie'!$A$5:$M$45,13,0)+0,0))</f>
        <v>0</v>
      </c>
      <c r="R855" s="61"/>
      <c r="S855" s="62"/>
      <c r="T855" s="62"/>
      <c r="U855" s="55"/>
      <c r="V855" s="57"/>
      <c r="W855" s="57"/>
      <c r="X855" s="55" t="n">
        <f aca="false">IF(A855="","",IF(AND(Parameter!$B$21="Ja",ISNUMBER(U855)),U855,IF(IFERROR(VLOOKUP(D855,Parameter!$A$35:$C$64,2,0),"Nein")="2+3",IF(ISNUMBER(SEARCH("grosser Artikel",BM855)),2,IFERROR(VLOOKUP(BP855,Parameter!$F$35:$G$64,2,0),2)),IF(OR(IFERROR(VLOOKUP(D855,Parameter!$A$35:$C$64,2,0),"Nein")="Nein",IFERROR(VLOOKUP(D855,Parameter!$A$35:$C$64,2,0),"Nein")=""),"-",VLOOKUP(D855,Parameter!$A$35:$C$64,2,0)))))</f>
        <v>2</v>
      </c>
      <c r="Y855" s="62"/>
      <c r="Z855" s="63"/>
      <c r="AA855" s="57" t="n">
        <f aca="false">AP855</f>
        <v>1</v>
      </c>
      <c r="AB855" s="57" t="n">
        <f aca="false">MAX(AP855,G855)</f>
        <v>1</v>
      </c>
      <c r="AC855" s="64"/>
      <c r="AD855" s="57" t="n">
        <f aca="false">IF(LEFT(Cockpit!$C$5,1)="A",G855,IF(BW855=1,BX855,IF(LEFT(Cockpit!$C$5,1)="B",AH855,MAX(AH855,G855))))</f>
        <v>0</v>
      </c>
      <c r="AE855" s="57" t="n">
        <f aca="false">IF(BR855=1,0,ROUNDUP(AD855/BQ855,0))</f>
        <v>0</v>
      </c>
      <c r="AF855" s="59" t="n">
        <f aca="false">IF(CD855&gt;0,CD855*MAX(1,AD855/V855),IF(BR855=1,IF(AD855&lt;=0,0,BS855*MAX(1,IF(G855&gt;0,AD855/G855,1))),IF(Q855&gt;0,AE855/Q855,0))/MAX(0.1,N(Parameter!$M$21)))</f>
        <v>0</v>
      </c>
      <c r="AG855" s="57" t="n">
        <f aca="false">AD855*F855</f>
        <v>0</v>
      </c>
      <c r="AH855" s="57" t="n">
        <f aca="false">ROUNDUP(MAX(I855/IF(BV855&gt;0,BV855,MAX(0.1,N(Cockpit!$C$6))),BY855)/BQ855,0)*BQ855</f>
        <v>1</v>
      </c>
      <c r="AI855" s="58" t="n">
        <f aca="false">IF(AF855&gt;0,I855/AF855,-1)</f>
        <v>-1</v>
      </c>
      <c r="AJ855" s="58" t="str">
        <f aca="false">IF(AND(OR(BU855="L1",BU855="L23"),AF855&gt;0),SUMIFS($AF$7:$AF$1576,$BU$7:$BU$1576,BU855,$AI$7:$AI$1576,"&gt;"&amp;AI855)+SUMIFS($AF$7:$AF$1576,$BU$7:$BU$1576,BU855,$AI$7:$AI$1576,AI855,$BO$7:$BO$1576,"&lt;="&amp;BO855),"")</f>
        <v/>
      </c>
      <c r="AK855" s="65" t="n">
        <f aca="false">IF(AJ855="",0,MAX(0,MIN(1,(IF(BU855="L1",Parameter!$E$5,Parameter!$E$6+Parameter!$E$7)-(AJ855-AF855))/AF855)))</f>
        <v>0</v>
      </c>
      <c r="AL855" s="57" t="n">
        <f aca="false">IF(LEFT(Cockpit!$I$5,1)="A",G855,IF(BW855=1,BX855,IF(LEFT(Cockpit!$I$5,1)="B",AP855,MAX(AP855,G855))))</f>
        <v>1</v>
      </c>
      <c r="AM855" s="57" t="n">
        <f aca="false">IF(BR855=1,0,ROUNDUP(AL855/BQ855,0))</f>
        <v>0</v>
      </c>
      <c r="AN855" s="59" t="n">
        <f aca="false">IF(CD855&gt;0,CD855*MAX(1,AL855/V855),IF(BR855=1,IF(AL855&lt;=0,0,BS855*MAX(1,IF(G855&gt;0,AL855/G855,1))),IF(Q855&gt;0,AM855/Q855,0))/MAX(0.1,N(Parameter!$M$21)))</f>
        <v>0.03</v>
      </c>
      <c r="AO855" s="57" t="n">
        <f aca="false">AL855*F855</f>
        <v>0.77</v>
      </c>
      <c r="AP855" s="57" t="n">
        <f aca="false">ROUNDUP(MAX(I855/IF(BV855&gt;0,BV855,MAX(0.1,N(Cockpit!$I$6))),BY855)/BQ855,0)*BQ855</f>
        <v>1</v>
      </c>
      <c r="AQ855" s="58" t="n">
        <f aca="false">IF(AN855&gt;0,I855/AN855,-1)</f>
        <v>66.6666666666667</v>
      </c>
      <c r="AR855" s="58" t="n">
        <f aca="false">IF(AND(OR(BU855="L1",BU855="L23"),AN855&gt;0),SUMIFS($AN$7:$AN$1576,$BU$7:$BU$1576,BU855,$AQ$7:$AQ$1576,"&gt;"&amp;AQ855)+SUMIFS($AN$7:$AN$1576,$BU$7:$BU$1576,BU855,$AQ$7:$AQ$1576,AQ855,$BO$7:$BO$1576,"&lt;="&amp;BO855),"")</f>
        <v>76.1522947285559</v>
      </c>
      <c r="AS855" s="65" t="n">
        <f aca="false">IF(AR855="",0,MAX(0,MIN(1,(IF(BU855="L1",Parameter!$E$5,Parameter!$E$6+Parameter!$E$7)-(AR855-AN855))/AN855)))</f>
        <v>1</v>
      </c>
      <c r="AT855" s="57" t="n">
        <f aca="false">IF(LEFT(Cockpit!$O$5,1)="A",G855,IF(BW855=1,BX855,IF(LEFT(Cockpit!$O$5,1)="B",AX855,MAX(AX855,G855))))</f>
        <v>1</v>
      </c>
      <c r="AU855" s="57" t="n">
        <f aca="false">IF(BR855=1,0,ROUNDUP(AT855/BQ855,0))</f>
        <v>0</v>
      </c>
      <c r="AV855" s="59" t="n">
        <f aca="false">IF(CD855&gt;0,CD855*MAX(1,AT855/V855),IF(BR855=1,IF(AT855&lt;=0,0,BS855*MAX(1,IF(G855&gt;0,AT855/G855,1))),IF(Q855&gt;0,AU855/Q855,0))/MAX(0.1,N(Parameter!$M$21)))</f>
        <v>0.03</v>
      </c>
      <c r="AW855" s="57" t="n">
        <f aca="false">AT855*F855</f>
        <v>0.77</v>
      </c>
      <c r="AX855" s="57" t="n">
        <f aca="false">ROUNDUP(MAX(I855/IF(BV855&gt;0,BV855,MAX(0.1,N(Cockpit!$O$6))),BY855)/BQ855,0)*BQ855</f>
        <v>1</v>
      </c>
      <c r="AY855" s="58" t="n">
        <f aca="false">IF(AV855&gt;0,I855/AV855,-1)</f>
        <v>66.6666666666667</v>
      </c>
      <c r="AZ855" s="58" t="n">
        <f aca="false">IF(AND(OR(BU855="L1",BU855="L23"),AV855&gt;0),SUMIFS($AV$7:$AV$1576,$BU$7:$BU$1576,BU855,$AY$7:$AY$1576,"&gt;"&amp;AY855)+SUMIFS($AV$7:$AV$1576,$BU$7:$BU$1576,BU855,$AY$7:$AY$1576,AY855,$BO$7:$BO$1576,"&lt;="&amp;BO855),"")</f>
        <v>74.863511844773</v>
      </c>
      <c r="BA855" s="65" t="n">
        <f aca="false">IF(AZ855="",0,MAX(0,MIN(1,(IF(BU855="L1",Parameter!$E$5,Parameter!$E$6+Parameter!$E$7)-(AZ855-AV855))/AV855)))</f>
        <v>1</v>
      </c>
      <c r="BB855" s="55" t="str">
        <f aca="false">IF(AF855&lt;=0,"",IF(BU855="Aussen","Aussenlager",IF(BU855="-","Nicht im Lift",IF(AK855&gt;=1,"Lift",IF(AK855&lt;=0,"Aussenlager","teilweise")))))</f>
        <v/>
      </c>
      <c r="BC855" s="55" t="str">
        <f aca="false">IF(AN855&lt;=0,"",IF(BU855="Aussen","Aussenlager",IF(BU855="-","Nicht im Lift",IF(AS855&gt;=1,"Lift",IF(AS855&lt;=0,"Aussenlager","teilweise")))))</f>
        <v>Lift</v>
      </c>
      <c r="BD855" s="55" t="str">
        <f aca="false">IF(AV855&lt;=0,"",IF(BU855="Aussen","Aussenlager",IF(BU855="-","Nicht im Lift",IF(BA855&gt;=1,"Lift",IF(BA855&lt;=0,"Aussenlager","teilweise")))))</f>
        <v>Lift</v>
      </c>
      <c r="BE855" s="55" t="str">
        <f aca="false">IF(A855="","",IF(BN855=1,"Neu; ","")&amp;IF(AND(BN855=0,BI855&lt;0),"negativer Bestand (Export "&amp;BI855&amp;"); ","")&amp;IF(I855&lt;=0,"Kein Verbrauch; ","")&amp;IF(CD855&gt;0,"Lift "&amp;U855&amp;" lt. Liftbericht (Fach "&amp;V855&amp;" Stk); ",IF(BR855=1,"Lose – Fläche geschätzt; ",""))&amp;IF(G855&gt;AP855,"Überbestand "&amp;ROUND(G855-AP855,0)&amp;" Stk / CHF "&amp;ROUND((G855-AP855)*F855,0)&amp;"; ","")&amp;IF(AND(BW855=1,BX855&lt;BY855),"MAX &lt; MB+LG; ","")&amp;IF(AND(CC855&gt;0,CB855*10&gt;CC855),"zu hoch für Tablar; ","")&amp;IF(AND(BN855=0,OR(BW855=1,Y855&lt;&gt;"",S855&lt;&gt;"",T855&lt;&gt;"",Z855&lt;&gt;"")),"manuell übersteuert; ","")&amp;IF(AND(BR855=0,Q855=0),"Gebinde unbekannt / Stellmass fehlt; ","")&amp;IF(AND(BR855=0,N(T855)&lt;=0,N(P855)&lt;=0),"Menge pro Gebinde fehlt (Ist = 1 Gebinde); ","")&amp;BM855)</f>
        <v>negativer Bestand (Export -24); Lose – Fläche geschätzt; Überbestand; nicht im KTL vorhanden</v>
      </c>
      <c r="BF855" s="55"/>
      <c r="BG855" s="55"/>
      <c r="BH855" s="62"/>
      <c r="BI855" s="57" t="n">
        <v>-24</v>
      </c>
      <c r="BJ855" s="57" t="n">
        <v>29</v>
      </c>
      <c r="BK855" s="56" t="n">
        <v>-18.48</v>
      </c>
      <c r="BL855" s="57" t="n">
        <v>2</v>
      </c>
      <c r="BM855" s="55" t="s">
        <v>1618</v>
      </c>
      <c r="BN855" s="60" t="n">
        <v>0</v>
      </c>
      <c r="BO855" s="60" t="n">
        <v>855</v>
      </c>
      <c r="BP855" s="55" t="str">
        <f aca="false">IF(S855&lt;&gt;"",UPPER(TRIM(S855)),IF(O855="","LOSE",O855))</f>
        <v>LOSE</v>
      </c>
      <c r="BQ855" s="57" t="n">
        <f aca="false">IF(BP855="LOSE",1,IF(N(T855)&gt;0,T855,IF(N(P855)&gt;0,P855,MAX(1,G855))))</f>
        <v>1</v>
      </c>
      <c r="BR855" s="60" t="n">
        <f aca="false">IF(BP855="LOSE",1,0)</f>
        <v>1</v>
      </c>
      <c r="BS855" s="59" t="n">
        <f aca="false">IF(BR855=0,0,IF(N(R855)&gt;0,R855,IFERROR(VLOOKUP(D855,Parameter!$A$35:$C$64,3,0)+0,0)))</f>
        <v>0.03</v>
      </c>
      <c r="BT855" s="55" t="n">
        <f aca="false">IF(Y855&lt;&gt;"",Y855,X855)</f>
        <v>2</v>
      </c>
      <c r="BU855" s="55" t="str">
        <f aca="false">IF(BT855=1,"L1",IF(OR(BT855=2,BT855=3),"L23",IF(BT855="Aussen","Aussen","-")))</f>
        <v>L23</v>
      </c>
      <c r="BV855" s="66" t="n">
        <f aca="false">IF(N(Z855)&gt;0,Z855,0)</f>
        <v>0</v>
      </c>
      <c r="BW855" s="60" t="n">
        <f aca="false">IF(ISNUMBER(AC855),1,0)</f>
        <v>0</v>
      </c>
      <c r="BX855" s="57" t="n">
        <f aca="false">N(AC855)</f>
        <v>0</v>
      </c>
      <c r="BY855" s="57" t="n">
        <f aca="false">N(L855)+N(M855)</f>
        <v>1</v>
      </c>
      <c r="BZ855" s="57" t="n">
        <f aca="false">ROUNDUP(G855/BQ855,0)</f>
        <v>0</v>
      </c>
      <c r="CA855" s="57" t="n">
        <f aca="false">ROUNDUP(BX855/BQ855,0)</f>
        <v>0</v>
      </c>
      <c r="CB855" s="60" t="n">
        <f aca="false">IF(BR855=1,0,IFERROR(VLOOKUP(BP855,'Gebinde-Kategorie'!$A$5:$M$45,5,0)+0,0))</f>
        <v>0</v>
      </c>
      <c r="CC855" s="60" t="n">
        <f aca="false">IFERROR(IF(OR(BT855=1,BT855=2,BT855=3),N(INDEX(Parameter!$I$5:$I$7,BT855)),0),0)</f>
        <v>0</v>
      </c>
      <c r="CD855" s="59" t="n">
        <f aca="false">IF(AND(Parameter!$B$21="Ja",ISNUMBER(U855),N(V855)&gt;0),IFERROR(N(INDEX(Parameter!$L$5:$L$7,U855))*INDEX(Parameter!$E$5:$E$7,U855)*V855/SUMIFS($V$7:$V$1576,$U$7:$U$1576,U855),0),0)</f>
        <v>0</v>
      </c>
    </row>
    <row r="856" customFormat="false" ht="15" hidden="false" customHeight="false" outlineLevel="0" collapsed="false">
      <c r="A856" s="55" t="s">
        <v>1619</v>
      </c>
      <c r="B856" s="55" t="s">
        <v>1279</v>
      </c>
      <c r="C856" s="55" t="s">
        <v>160</v>
      </c>
      <c r="D856" s="55" t="s">
        <v>178</v>
      </c>
      <c r="E856" s="55" t="s">
        <v>210</v>
      </c>
      <c r="F856" s="56" t="n">
        <v>0.72</v>
      </c>
      <c r="G856" s="57" t="n">
        <f aca="false">MAX(0,IF(AND(Parameter!$B$21="Ja",ISNUMBER(W856)),W856,IF(Parameter!$B$20="Jahresanfang 2025 + Export",BJ856+BI856,BI856)))</f>
        <v>0</v>
      </c>
      <c r="H856" s="57" t="n">
        <f aca="false">G856*F856</f>
        <v>0</v>
      </c>
      <c r="I856" s="57" t="n">
        <f aca="false">BL856*Parameter!$B$18</f>
        <v>60</v>
      </c>
      <c r="J856" s="58" t="n">
        <v>519.5</v>
      </c>
      <c r="K856" s="59" t="n">
        <v>0.115495668912416</v>
      </c>
      <c r="L856" s="57" t="n">
        <v>2</v>
      </c>
      <c r="M856" s="57" t="n">
        <v>60</v>
      </c>
      <c r="N856" s="60" t="n">
        <v>14</v>
      </c>
      <c r="O856" s="55" t="s">
        <v>225</v>
      </c>
      <c r="P856" s="57" t="n">
        <v>831</v>
      </c>
      <c r="Q856" s="60" t="n">
        <f aca="false">IF(BR856=1,0,IFERROR(VLOOKUP(BP856,'Gebinde-Kategorie'!$A$5:$M$45,13,0)+0,0))</f>
        <v>26</v>
      </c>
      <c r="R856" s="61"/>
      <c r="S856" s="62"/>
      <c r="T856" s="62"/>
      <c r="U856" s="55"/>
      <c r="V856" s="57"/>
      <c r="W856" s="57"/>
      <c r="X856" s="55" t="n">
        <f aca="false">IF(A856="","",IF(AND(Parameter!$B$21="Ja",ISNUMBER(U856)),U856,IF(IFERROR(VLOOKUP(D856,Parameter!$A$35:$C$64,2,0),"Nein")="2+3",IF(ISNUMBER(SEARCH("grosser Artikel",BM856)),2,IFERROR(VLOOKUP(BP856,Parameter!$F$35:$G$64,2,0),2)),IF(OR(IFERROR(VLOOKUP(D856,Parameter!$A$35:$C$64,2,0),"Nein")="Nein",IFERROR(VLOOKUP(D856,Parameter!$A$35:$C$64,2,0),"Nein")=""),"-",VLOOKUP(D856,Parameter!$A$35:$C$64,2,0)))))</f>
        <v>3</v>
      </c>
      <c r="Y856" s="62"/>
      <c r="Z856" s="63"/>
      <c r="AA856" s="57" t="n">
        <f aca="false">AP856</f>
        <v>831</v>
      </c>
      <c r="AB856" s="57" t="n">
        <f aca="false">MAX(AP856,G856)</f>
        <v>831</v>
      </c>
      <c r="AC856" s="64"/>
      <c r="AD856" s="57" t="n">
        <f aca="false">IF(LEFT(Cockpit!$C$5,1)="A",G856,IF(BW856=1,BX856,IF(LEFT(Cockpit!$C$5,1)="B",AH856,MAX(AH856,G856))))</f>
        <v>0</v>
      </c>
      <c r="AE856" s="57" t="n">
        <f aca="false">IF(BR856=1,0,ROUNDUP(AD856/BQ856,0))</f>
        <v>0</v>
      </c>
      <c r="AF856" s="59" t="n">
        <f aca="false">IF(CD856&gt;0,CD856*MAX(1,AD856/V856),IF(BR856=1,IF(AD856&lt;=0,0,BS856*MAX(1,IF(G856&gt;0,AD856/G856,1))),IF(Q856&gt;0,AE856/Q856,0))/MAX(0.1,N(Parameter!$M$21)))</f>
        <v>0</v>
      </c>
      <c r="AG856" s="57" t="n">
        <f aca="false">AD856*F856</f>
        <v>0</v>
      </c>
      <c r="AH856" s="57" t="n">
        <f aca="false">ROUNDUP(MAX(I856/IF(BV856&gt;0,BV856,MAX(0.1,N(Cockpit!$C$6))),BY856)/BQ856,0)*BQ856</f>
        <v>831</v>
      </c>
      <c r="AI856" s="58" t="n">
        <f aca="false">IF(AF856&gt;0,I856/AF856,-1)</f>
        <v>-1</v>
      </c>
      <c r="AJ856" s="58" t="str">
        <f aca="false">IF(AND(OR(BU856="L1",BU856="L23"),AF856&gt;0),SUMIFS($AF$7:$AF$1576,$BU$7:$BU$1576,BU856,$AI$7:$AI$1576,"&gt;"&amp;AI856)+SUMIFS($AF$7:$AF$1576,$BU$7:$BU$1576,BU856,$AI$7:$AI$1576,AI856,$BO$7:$BO$1576,"&lt;="&amp;BO856),"")</f>
        <v/>
      </c>
      <c r="AK856" s="65" t="n">
        <f aca="false">IF(AJ856="",0,MAX(0,MIN(1,(IF(BU856="L1",Parameter!$E$5,Parameter!$E$6+Parameter!$E$7)-(AJ856-AF856))/AF856)))</f>
        <v>0</v>
      </c>
      <c r="AL856" s="57" t="n">
        <f aca="false">IF(LEFT(Cockpit!$I$5,1)="A",G856,IF(BW856=1,BX856,IF(LEFT(Cockpit!$I$5,1)="B",AP856,MAX(AP856,G856))))</f>
        <v>831</v>
      </c>
      <c r="AM856" s="57" t="n">
        <f aca="false">IF(BR856=1,0,ROUNDUP(AL856/BQ856,0))</f>
        <v>1</v>
      </c>
      <c r="AN856" s="59" t="n">
        <f aca="false">IF(CD856&gt;0,CD856*MAX(1,AL856/V856),IF(BR856=1,IF(AL856&lt;=0,0,BS856*MAX(1,IF(G856&gt;0,AL856/G856,1))),IF(Q856&gt;0,AM856/Q856,0))/MAX(0.1,N(Parameter!$M$21)))</f>
        <v>0.0384615384615385</v>
      </c>
      <c r="AO856" s="57" t="n">
        <f aca="false">AL856*F856</f>
        <v>598.32</v>
      </c>
      <c r="AP856" s="57" t="n">
        <f aca="false">ROUNDUP(MAX(I856/IF(BV856&gt;0,BV856,MAX(0.1,N(Cockpit!$I$6))),BY856)/BQ856,0)*BQ856</f>
        <v>831</v>
      </c>
      <c r="AQ856" s="58" t="n">
        <f aca="false">IF(AN856&gt;0,I856/AN856,-1)</f>
        <v>1560</v>
      </c>
      <c r="AR856" s="58" t="n">
        <f aca="false">IF(AND(OR(BU856="L1",BU856="L23"),AN856&gt;0),SUMIFS($AN$7:$AN$1576,$BU$7:$BU$1576,BU856,$AQ$7:$AQ$1576,"&gt;"&amp;AQ856)+SUMIFS($AN$7:$AN$1576,$BU$7:$BU$1576,BU856,$AQ$7:$AQ$1576,AQ856,$BO$7:$BO$1576,"&lt;="&amp;BO856),"")</f>
        <v>18.9245957548243</v>
      </c>
      <c r="AS856" s="65" t="n">
        <f aca="false">IF(AR856="",0,MAX(0,MIN(1,(IF(BU856="L1",Parameter!$E$5,Parameter!$E$6+Parameter!$E$7)-(AR856-AN856))/AN856)))</f>
        <v>1</v>
      </c>
      <c r="AT856" s="57" t="n">
        <f aca="false">IF(LEFT(Cockpit!$O$5,1)="A",G856,IF(BW856=1,BX856,IF(LEFT(Cockpit!$O$5,1)="B",AX856,MAX(AX856,G856))))</f>
        <v>831</v>
      </c>
      <c r="AU856" s="57" t="n">
        <f aca="false">IF(BR856=1,0,ROUNDUP(AT856/BQ856,0))</f>
        <v>1</v>
      </c>
      <c r="AV856" s="59" t="n">
        <f aca="false">IF(CD856&gt;0,CD856*MAX(1,AT856/V856),IF(BR856=1,IF(AT856&lt;=0,0,BS856*MAX(1,IF(G856&gt;0,AT856/G856,1))),IF(Q856&gt;0,AU856/Q856,0))/MAX(0.1,N(Parameter!$M$21)))</f>
        <v>0.0384615384615385</v>
      </c>
      <c r="AW856" s="57" t="n">
        <f aca="false">AT856*F856</f>
        <v>598.32</v>
      </c>
      <c r="AX856" s="57" t="n">
        <f aca="false">ROUNDUP(MAX(I856/IF(BV856&gt;0,BV856,MAX(0.1,N(Cockpit!$O$6))),BY856)/BQ856,0)*BQ856</f>
        <v>831</v>
      </c>
      <c r="AY856" s="58" t="n">
        <f aca="false">IF(AV856&gt;0,I856/AV856,-1)</f>
        <v>1560</v>
      </c>
      <c r="AZ856" s="58" t="n">
        <f aca="false">IF(AND(OR(BU856="L1",BU856="L23"),AV856&gt;0),SUMIFS($AV$7:$AV$1576,$BU$7:$BU$1576,BU856,$AY$7:$AY$1576,"&gt;"&amp;AY856)+SUMIFS($AV$7:$AV$1576,$BU$7:$BU$1576,BU856,$AY$7:$AY$1576,AY856,$BO$7:$BO$1576,"&lt;="&amp;BO856),"")</f>
        <v>17.901868482097</v>
      </c>
      <c r="BA856" s="65" t="n">
        <f aca="false">IF(AZ856="",0,MAX(0,MIN(1,(IF(BU856="L1",Parameter!$E$5,Parameter!$E$6+Parameter!$E$7)-(AZ856-AV856))/AV856)))</f>
        <v>1</v>
      </c>
      <c r="BB856" s="55" t="str">
        <f aca="false">IF(AF856&lt;=0,"",IF(BU856="Aussen","Aussenlager",IF(BU856="-","Nicht im Lift",IF(AK856&gt;=1,"Lift",IF(AK856&lt;=0,"Aussenlager","teilweise")))))</f>
        <v/>
      </c>
      <c r="BC856" s="55" t="str">
        <f aca="false">IF(AN856&lt;=0,"",IF(BU856="Aussen","Aussenlager",IF(BU856="-","Nicht im Lift",IF(AS856&gt;=1,"Lift",IF(AS856&lt;=0,"Aussenlager","teilweise")))))</f>
        <v>Lift</v>
      </c>
      <c r="BD856" s="55" t="str">
        <f aca="false">IF(AV856&lt;=0,"",IF(BU856="Aussen","Aussenlager",IF(BU856="-","Nicht im Lift",IF(BA856&gt;=1,"Lift",IF(BA856&lt;=0,"Aussenlager","teilweise")))))</f>
        <v>Lift</v>
      </c>
      <c r="BE856" s="55" t="str">
        <f aca="false">IF(A856="","",IF(BN856=1,"Neu; ","")&amp;IF(AND(BN856=0,BI856&lt;0),"negativer Bestand (Export "&amp;BI856&amp;"); ","")&amp;IF(I856&lt;=0,"Kein Verbrauch; ","")&amp;IF(CD856&gt;0,"Lift "&amp;U856&amp;" lt. Liftbericht (Fach "&amp;V856&amp;" Stk); ",IF(BR856=1,"Lose – Fläche geschätzt; ",""))&amp;IF(G856&gt;AP856,"Überbestand "&amp;ROUND(G856-AP856,0)&amp;" Stk / CHF "&amp;ROUND((G856-AP856)*F856,0)&amp;"; ","")&amp;IF(AND(BW856=1,BX856&lt;BY856),"MAX &lt; MB+LG; ","")&amp;IF(AND(CC856&gt;0,CB856*10&gt;CC856),"zu hoch für Tablar; ","")&amp;IF(AND(BN856=0,OR(BW856=1,Y856&lt;&gt;"",S856&lt;&gt;"",T856&lt;&gt;"",Z856&lt;&gt;"")),"manuell übersteuert; ","")&amp;IF(AND(BR856=0,Q856=0),"Gebinde unbekannt / Stellmass fehlt; ","")&amp;IF(AND(BR856=0,N(T856)&lt;=0,N(P856)&lt;=0),"Menge pro Gebinde fehlt (Ist = 1 Gebinde); ","")&amp;BM856)</f>
        <v>negativer Bestand (Export -26); Überbestand</v>
      </c>
      <c r="BF856" s="55"/>
      <c r="BG856" s="55"/>
      <c r="BH856" s="62"/>
      <c r="BI856" s="57" t="n">
        <v>-26</v>
      </c>
      <c r="BJ856" s="57" t="n">
        <v>490</v>
      </c>
      <c r="BK856" s="56" t="n">
        <v>-18.7199999999999</v>
      </c>
      <c r="BL856" s="57" t="n">
        <v>60</v>
      </c>
      <c r="BM856" s="55" t="s">
        <v>382</v>
      </c>
      <c r="BN856" s="60" t="n">
        <v>0</v>
      </c>
      <c r="BO856" s="60" t="n">
        <v>856</v>
      </c>
      <c r="BP856" s="55" t="str">
        <f aca="false">IF(S856&lt;&gt;"",UPPER(TRIM(S856)),IF(O856="","LOSE",O856))</f>
        <v>S52</v>
      </c>
      <c r="BQ856" s="57" t="n">
        <f aca="false">IF(BP856="LOSE",1,IF(N(T856)&gt;0,T856,IF(N(P856)&gt;0,P856,MAX(1,G856))))</f>
        <v>831</v>
      </c>
      <c r="BR856" s="60" t="n">
        <f aca="false">IF(BP856="LOSE",1,0)</f>
        <v>0</v>
      </c>
      <c r="BS856" s="59" t="n">
        <f aca="false">IF(BR856=0,0,IF(N(R856)&gt;0,R856,IFERROR(VLOOKUP(D856,Parameter!$A$35:$C$64,3,0)+0,0)))</f>
        <v>0</v>
      </c>
      <c r="BT856" s="55" t="n">
        <f aca="false">IF(Y856&lt;&gt;"",Y856,X856)</f>
        <v>3</v>
      </c>
      <c r="BU856" s="55" t="str">
        <f aca="false">IF(BT856=1,"L1",IF(OR(BT856=2,BT856=3),"L23",IF(BT856="Aussen","Aussen","-")))</f>
        <v>L23</v>
      </c>
      <c r="BV856" s="66" t="n">
        <f aca="false">IF(N(Z856)&gt;0,Z856,0)</f>
        <v>0</v>
      </c>
      <c r="BW856" s="60" t="n">
        <f aca="false">IF(ISNUMBER(AC856),1,0)</f>
        <v>0</v>
      </c>
      <c r="BX856" s="57" t="n">
        <f aca="false">N(AC856)</f>
        <v>0</v>
      </c>
      <c r="BY856" s="57" t="n">
        <f aca="false">N(L856)+N(M856)</f>
        <v>62</v>
      </c>
      <c r="BZ856" s="57" t="n">
        <f aca="false">ROUNDUP(G856/BQ856,0)</f>
        <v>0</v>
      </c>
      <c r="CA856" s="57" t="n">
        <f aca="false">ROUNDUP(BX856/BQ856,0)</f>
        <v>0</v>
      </c>
      <c r="CB856" s="60" t="n">
        <f aca="false">IF(BR856=1,0,IFERROR(VLOOKUP(BP856,'Gebinde-Kategorie'!$A$5:$M$45,5,0)+0,0))</f>
        <v>21</v>
      </c>
      <c r="CC856" s="60" t="n">
        <f aca="false">IFERROR(IF(OR(BT856=1,BT856=2,BT856=3),N(INDEX(Parameter!$I$5:$I$7,BT856)),0),0)</f>
        <v>0</v>
      </c>
      <c r="CD856" s="59" t="n">
        <f aca="false">IF(AND(Parameter!$B$21="Ja",ISNUMBER(U856),N(V856)&gt;0),IFERROR(N(INDEX(Parameter!$L$5:$L$7,U856))*INDEX(Parameter!$E$5:$E$7,U856)*V856/SUMIFS($V$7:$V$1576,$U$7:$U$1576,U856),0),0)</f>
        <v>0</v>
      </c>
    </row>
    <row r="857" customFormat="false" ht="15" hidden="false" customHeight="false" outlineLevel="0" collapsed="false">
      <c r="A857" s="55" t="s">
        <v>1620</v>
      </c>
      <c r="B857" s="55" t="s">
        <v>1621</v>
      </c>
      <c r="C857" s="55" t="s">
        <v>160</v>
      </c>
      <c r="D857" s="55" t="s">
        <v>168</v>
      </c>
      <c r="E857" s="55" t="s">
        <v>210</v>
      </c>
      <c r="F857" s="56" t="n">
        <v>13.44</v>
      </c>
      <c r="G857" s="57" t="n">
        <f aca="false">MAX(0,IF(AND(Parameter!$B$21="Ja",ISNUMBER(W857)),W857,IF(Parameter!$B$20="Jahresanfang 2025 + Export",BJ857+BI857,BI857)))</f>
        <v>0</v>
      </c>
      <c r="H857" s="57" t="n">
        <f aca="false">G857*F857</f>
        <v>0</v>
      </c>
      <c r="I857" s="57" t="n">
        <f aca="false">BL857*Parameter!$B$18</f>
        <v>146</v>
      </c>
      <c r="J857" s="58" t="n">
        <v>47</v>
      </c>
      <c r="K857" s="59" t="n">
        <v>3.1063829787234</v>
      </c>
      <c r="L857" s="57" t="n">
        <v>5</v>
      </c>
      <c r="M857" s="57" t="n">
        <v>25</v>
      </c>
      <c r="N857" s="60" t="n">
        <v>14</v>
      </c>
      <c r="O857" s="55" t="s">
        <v>169</v>
      </c>
      <c r="P857" s="57" t="n">
        <v>80</v>
      </c>
      <c r="Q857" s="60" t="n">
        <f aca="false">IF(BR857=1,0,IFERROR(VLOOKUP(BP857,'Gebinde-Kategorie'!$A$5:$M$45,13,0)+0,0))</f>
        <v>6</v>
      </c>
      <c r="R857" s="61"/>
      <c r="S857" s="62"/>
      <c r="T857" s="62"/>
      <c r="U857" s="55"/>
      <c r="V857" s="57"/>
      <c r="W857" s="57"/>
      <c r="X857" s="55" t="n">
        <f aca="false">IF(A857="","",IF(AND(Parameter!$B$21="Ja",ISNUMBER(U857)),U857,IF(IFERROR(VLOOKUP(D857,Parameter!$A$35:$C$64,2,0),"Nein")="2+3",IF(ISNUMBER(SEARCH("grosser Artikel",BM857)),2,IFERROR(VLOOKUP(BP857,Parameter!$F$35:$G$64,2,0),2)),IF(OR(IFERROR(VLOOKUP(D857,Parameter!$A$35:$C$64,2,0),"Nein")="Nein",IFERROR(VLOOKUP(D857,Parameter!$A$35:$C$64,2,0),"Nein")=""),"-",VLOOKUP(D857,Parameter!$A$35:$C$64,2,0)))))</f>
        <v>2</v>
      </c>
      <c r="Y857" s="62"/>
      <c r="Z857" s="63"/>
      <c r="AA857" s="57" t="n">
        <f aca="false">AP857</f>
        <v>80</v>
      </c>
      <c r="AB857" s="57" t="n">
        <f aca="false">MAX(AP857,G857)</f>
        <v>80</v>
      </c>
      <c r="AC857" s="64"/>
      <c r="AD857" s="57" t="n">
        <f aca="false">IF(LEFT(Cockpit!$C$5,1)="A",G857,IF(BW857=1,BX857,IF(LEFT(Cockpit!$C$5,1)="B",AH857,MAX(AH857,G857))))</f>
        <v>0</v>
      </c>
      <c r="AE857" s="57" t="n">
        <f aca="false">IF(BR857=1,0,ROUNDUP(AD857/BQ857,0))</f>
        <v>0</v>
      </c>
      <c r="AF857" s="59" t="n">
        <f aca="false">IF(CD857&gt;0,CD857*MAX(1,AD857/V857),IF(BR857=1,IF(AD857&lt;=0,0,BS857*MAX(1,IF(G857&gt;0,AD857/G857,1))),IF(Q857&gt;0,AE857/Q857,0))/MAX(0.1,N(Parameter!$M$21)))</f>
        <v>0</v>
      </c>
      <c r="AG857" s="57" t="n">
        <f aca="false">AD857*F857</f>
        <v>0</v>
      </c>
      <c r="AH857" s="57" t="n">
        <f aca="false">ROUNDUP(MAX(I857/IF(BV857&gt;0,BV857,MAX(0.1,N(Cockpit!$C$6))),BY857)/BQ857,0)*BQ857</f>
        <v>80</v>
      </c>
      <c r="AI857" s="58" t="n">
        <f aca="false">IF(AF857&gt;0,I857/AF857,-1)</f>
        <v>-1</v>
      </c>
      <c r="AJ857" s="58" t="str">
        <f aca="false">IF(AND(OR(BU857="L1",BU857="L23"),AF857&gt;0),SUMIFS($AF$7:$AF$1576,$BU$7:$BU$1576,BU857,$AI$7:$AI$1576,"&gt;"&amp;AI857)+SUMIFS($AF$7:$AF$1576,$BU$7:$BU$1576,BU857,$AI$7:$AI$1576,AI857,$BO$7:$BO$1576,"&lt;="&amp;BO857),"")</f>
        <v/>
      </c>
      <c r="AK857" s="65" t="n">
        <f aca="false">IF(AJ857="",0,MAX(0,MIN(1,(IF(BU857="L1",Parameter!$E$5,Parameter!$E$6+Parameter!$E$7)-(AJ857-AF857))/AF857)))</f>
        <v>0</v>
      </c>
      <c r="AL857" s="57" t="n">
        <f aca="false">IF(LEFT(Cockpit!$I$5,1)="A",G857,IF(BW857=1,BX857,IF(LEFT(Cockpit!$I$5,1)="B",AP857,MAX(AP857,G857))))</f>
        <v>80</v>
      </c>
      <c r="AM857" s="57" t="n">
        <f aca="false">IF(BR857=1,0,ROUNDUP(AL857/BQ857,0))</f>
        <v>1</v>
      </c>
      <c r="AN857" s="59" t="n">
        <f aca="false">IF(CD857&gt;0,CD857*MAX(1,AL857/V857),IF(BR857=1,IF(AL857&lt;=0,0,BS857*MAX(1,IF(G857&gt;0,AL857/G857,1))),IF(Q857&gt;0,AM857/Q857,0))/MAX(0.1,N(Parameter!$M$21)))</f>
        <v>0.166666666666667</v>
      </c>
      <c r="AO857" s="57" t="n">
        <f aca="false">AL857*F857</f>
        <v>1075.2</v>
      </c>
      <c r="AP857" s="57" t="n">
        <f aca="false">ROUNDUP(MAX(I857/IF(BV857&gt;0,BV857,MAX(0.1,N(Cockpit!$I$6))),BY857)/BQ857,0)*BQ857</f>
        <v>80</v>
      </c>
      <c r="AQ857" s="58" t="n">
        <f aca="false">IF(AN857&gt;0,I857/AN857,-1)</f>
        <v>876</v>
      </c>
      <c r="AR857" s="58" t="n">
        <f aca="false">IF(AND(OR(BU857="L1",BU857="L23"),AN857&gt;0),SUMIFS($AN$7:$AN$1576,$BU$7:$BU$1576,BU857,$AQ$7:$AQ$1576,"&gt;"&amp;AQ857)+SUMIFS($AN$7:$AN$1576,$BU$7:$BU$1576,BU857,$AQ$7:$AQ$1576,AQ857,$BO$7:$BO$1576,"&lt;="&amp;BO857),"")</f>
        <v>24.868778721616</v>
      </c>
      <c r="AS857" s="65" t="n">
        <f aca="false">IF(AR857="",0,MAX(0,MIN(1,(IF(BU857="L1",Parameter!$E$5,Parameter!$E$6+Parameter!$E$7)-(AR857-AN857))/AN857)))</f>
        <v>1</v>
      </c>
      <c r="AT857" s="57" t="n">
        <f aca="false">IF(LEFT(Cockpit!$O$5,1)="A",G857,IF(BW857=1,BX857,IF(LEFT(Cockpit!$O$5,1)="B",AX857,MAX(AX857,G857))))</f>
        <v>80</v>
      </c>
      <c r="AU857" s="57" t="n">
        <f aca="false">IF(BR857=1,0,ROUNDUP(AT857/BQ857,0))</f>
        <v>1</v>
      </c>
      <c r="AV857" s="59" t="n">
        <f aca="false">IF(CD857&gt;0,CD857*MAX(1,AT857/V857),IF(BR857=1,IF(AT857&lt;=0,0,BS857*MAX(1,IF(G857&gt;0,AT857/G857,1))),IF(Q857&gt;0,AU857/Q857,0))/MAX(0.1,N(Parameter!$M$21)))</f>
        <v>0.166666666666667</v>
      </c>
      <c r="AW857" s="57" t="n">
        <f aca="false">AT857*F857</f>
        <v>1075.2</v>
      </c>
      <c r="AX857" s="57" t="n">
        <f aca="false">ROUNDUP(MAX(I857/IF(BV857&gt;0,BV857,MAX(0.1,N(Cockpit!$O$6))),BY857)/BQ857,0)*BQ857</f>
        <v>80</v>
      </c>
      <c r="AY857" s="58" t="n">
        <f aca="false">IF(AV857&gt;0,I857/AV857,-1)</f>
        <v>876</v>
      </c>
      <c r="AZ857" s="58" t="n">
        <f aca="false">IF(AND(OR(BU857="L1",BU857="L23"),AV857&gt;0),SUMIFS($AV$7:$AV$1576,$BU$7:$BU$1576,BU857,$AY$7:$AY$1576,"&gt;"&amp;AY857)+SUMIFS($AV$7:$AV$1576,$BU$7:$BU$1576,BU857,$AY$7:$AY$1576,AY857,$BO$7:$BO$1576,"&lt;="&amp;BO857),"")</f>
        <v>25.102461705299</v>
      </c>
      <c r="BA857" s="65" t="n">
        <f aca="false">IF(AZ857="",0,MAX(0,MIN(1,(IF(BU857="L1",Parameter!$E$5,Parameter!$E$6+Parameter!$E$7)-(AZ857-AV857))/AV857)))</f>
        <v>1</v>
      </c>
      <c r="BB857" s="55" t="str">
        <f aca="false">IF(AF857&lt;=0,"",IF(BU857="Aussen","Aussenlager",IF(BU857="-","Nicht im Lift",IF(AK857&gt;=1,"Lift",IF(AK857&lt;=0,"Aussenlager","teilweise")))))</f>
        <v/>
      </c>
      <c r="BC857" s="55" t="str">
        <f aca="false">IF(AN857&lt;=0,"",IF(BU857="Aussen","Aussenlager",IF(BU857="-","Nicht im Lift",IF(AS857&gt;=1,"Lift",IF(AS857&lt;=0,"Aussenlager","teilweise")))))</f>
        <v>Lift</v>
      </c>
      <c r="BD857" s="55" t="str">
        <f aca="false">IF(AV857&lt;=0,"",IF(BU857="Aussen","Aussenlager",IF(BU857="-","Nicht im Lift",IF(BA857&gt;=1,"Lift",IF(BA857&lt;=0,"Aussenlager","teilweise")))))</f>
        <v>Lift</v>
      </c>
      <c r="BE857" s="55" t="str">
        <f aca="false">IF(A857="","",IF(BN857=1,"Neu; ","")&amp;IF(AND(BN857=0,BI857&lt;0),"negativer Bestand (Export "&amp;BI857&amp;"); ","")&amp;IF(I857&lt;=0,"Kein Verbrauch; ","")&amp;IF(CD857&gt;0,"Lift "&amp;U857&amp;" lt. Liftbericht (Fach "&amp;V857&amp;" Stk); ",IF(BR857=1,"Lose – Fläche geschätzt; ",""))&amp;IF(G857&gt;AP857,"Überbestand "&amp;ROUND(G857-AP857,0)&amp;" Stk / CHF "&amp;ROUND((G857-AP857)*F857,0)&amp;"; ","")&amp;IF(AND(BW857=1,BX857&lt;BY857),"MAX &lt; MB+LG; ","")&amp;IF(AND(CC857&gt;0,CB857*10&gt;CC857),"zu hoch für Tablar; ","")&amp;IF(AND(BN857=0,OR(BW857=1,Y857&lt;&gt;"",S857&lt;&gt;"",T857&lt;&gt;"",Z857&lt;&gt;"")),"manuell übersteuert; ","")&amp;IF(AND(BR857=0,Q857=0),"Gebinde unbekannt / Stellmass fehlt; ","")&amp;IF(AND(BR857=0,N(T857)&lt;=0,N(P857)&lt;=0),"Menge pro Gebinde fehlt (Ist = 1 Gebinde); ","")&amp;BM857)</f>
        <v>negativer Bestand (Export -2); </v>
      </c>
      <c r="BF857" s="55"/>
      <c r="BG857" s="55"/>
      <c r="BH857" s="62"/>
      <c r="BI857" s="57" t="n">
        <v>-2</v>
      </c>
      <c r="BJ857" s="57" t="n">
        <v>44</v>
      </c>
      <c r="BK857" s="56" t="n">
        <v>-18.96</v>
      </c>
      <c r="BL857" s="57" t="n">
        <v>146</v>
      </c>
      <c r="BM857" s="55"/>
      <c r="BN857" s="60" t="n">
        <v>0</v>
      </c>
      <c r="BO857" s="60" t="n">
        <v>857</v>
      </c>
      <c r="BP857" s="55" t="str">
        <f aca="false">IF(S857&lt;&gt;"",UPPER(TRIM(S857)),IF(O857="","LOSE",O857))</f>
        <v>S71</v>
      </c>
      <c r="BQ857" s="57" t="n">
        <f aca="false">IF(BP857="LOSE",1,IF(N(T857)&gt;0,T857,IF(N(P857)&gt;0,P857,MAX(1,G857))))</f>
        <v>80</v>
      </c>
      <c r="BR857" s="60" t="n">
        <f aca="false">IF(BP857="LOSE",1,0)</f>
        <v>0</v>
      </c>
      <c r="BS857" s="59" t="n">
        <f aca="false">IF(BR857=0,0,IF(N(R857)&gt;0,R857,IFERROR(VLOOKUP(D857,Parameter!$A$35:$C$64,3,0)+0,0)))</f>
        <v>0</v>
      </c>
      <c r="BT857" s="55" t="n">
        <f aca="false">IF(Y857&lt;&gt;"",Y857,X857)</f>
        <v>2</v>
      </c>
      <c r="BU857" s="55" t="str">
        <f aca="false">IF(BT857=1,"L1",IF(OR(BT857=2,BT857=3),"L23",IF(BT857="Aussen","Aussen","-")))</f>
        <v>L23</v>
      </c>
      <c r="BV857" s="66" t="n">
        <f aca="false">IF(N(Z857)&gt;0,Z857,0)</f>
        <v>0</v>
      </c>
      <c r="BW857" s="60" t="n">
        <f aca="false">IF(ISNUMBER(AC857),1,0)</f>
        <v>0</v>
      </c>
      <c r="BX857" s="57" t="n">
        <f aca="false">N(AC857)</f>
        <v>0</v>
      </c>
      <c r="BY857" s="57" t="n">
        <f aca="false">N(L857)+N(M857)</f>
        <v>30</v>
      </c>
      <c r="BZ857" s="57" t="n">
        <f aca="false">ROUNDUP(G857/BQ857,0)</f>
        <v>0</v>
      </c>
      <c r="CA857" s="57" t="n">
        <f aca="false">ROUNDUP(BX857/BQ857,0)</f>
        <v>0</v>
      </c>
      <c r="CB857" s="60" t="n">
        <f aca="false">IF(BR857=1,0,IFERROR(VLOOKUP(BP857,'Gebinde-Kategorie'!$A$5:$M$45,5,0)+0,0))</f>
        <v>20</v>
      </c>
      <c r="CC857" s="60" t="n">
        <f aca="false">IFERROR(IF(OR(BT857=1,BT857=2,BT857=3),N(INDEX(Parameter!$I$5:$I$7,BT857)),0),0)</f>
        <v>0</v>
      </c>
      <c r="CD857" s="59" t="n">
        <f aca="false">IF(AND(Parameter!$B$21="Ja",ISNUMBER(U857),N(V857)&gt;0),IFERROR(N(INDEX(Parameter!$L$5:$L$7,U857))*INDEX(Parameter!$E$5:$E$7,U857)*V857/SUMIFS($V$7:$V$1576,$U$7:$U$1576,U857),0),0)</f>
        <v>0</v>
      </c>
    </row>
    <row r="858" customFormat="false" ht="15" hidden="false" customHeight="false" outlineLevel="0" collapsed="false">
      <c r="A858" s="55" t="s">
        <v>1622</v>
      </c>
      <c r="B858" s="55" t="s">
        <v>1623</v>
      </c>
      <c r="C858" s="55" t="s">
        <v>160</v>
      </c>
      <c r="D858" s="55" t="s">
        <v>178</v>
      </c>
      <c r="E858" s="55" t="s">
        <v>210</v>
      </c>
      <c r="F858" s="56" t="n">
        <v>19.39</v>
      </c>
      <c r="G858" s="57" t="n">
        <f aca="false">MAX(0,IF(AND(Parameter!$B$21="Ja",ISNUMBER(W858)),W858,IF(Parameter!$B$20="Jahresanfang 2025 + Export",BJ858+BI858,BI858)))</f>
        <v>0</v>
      </c>
      <c r="H858" s="57" t="n">
        <f aca="false">G858*F858</f>
        <v>0</v>
      </c>
      <c r="I858" s="57" t="n">
        <f aca="false">BL858*Parameter!$B$18</f>
        <v>2</v>
      </c>
      <c r="J858" s="58" t="n">
        <v>17</v>
      </c>
      <c r="K858" s="59" t="n">
        <v>0.117647058823529</v>
      </c>
      <c r="L858" s="57" t="n">
        <v>0</v>
      </c>
      <c r="M858" s="57" t="n">
        <v>1</v>
      </c>
      <c r="N858" s="60" t="n">
        <v>21</v>
      </c>
      <c r="O858" s="55" t="s">
        <v>411</v>
      </c>
      <c r="P858" s="57" t="n">
        <v>23</v>
      </c>
      <c r="Q858" s="60" t="n">
        <f aca="false">IF(BR858=1,0,IFERROR(VLOOKUP(BP858,'Gebinde-Kategorie'!$A$5:$M$45,13,0)+0,0))</f>
        <v>132</v>
      </c>
      <c r="R858" s="61"/>
      <c r="S858" s="62"/>
      <c r="T858" s="62"/>
      <c r="U858" s="55"/>
      <c r="V858" s="57"/>
      <c r="W858" s="57"/>
      <c r="X858" s="55" t="n">
        <f aca="false">IF(A858="","",IF(AND(Parameter!$B$21="Ja",ISNUMBER(U858)),U858,IF(IFERROR(VLOOKUP(D858,Parameter!$A$35:$C$64,2,0),"Nein")="2+3",IF(ISNUMBER(SEARCH("grosser Artikel",BM858)),2,IFERROR(VLOOKUP(BP858,Parameter!$F$35:$G$64,2,0),2)),IF(OR(IFERROR(VLOOKUP(D858,Parameter!$A$35:$C$64,2,0),"Nein")="Nein",IFERROR(VLOOKUP(D858,Parameter!$A$35:$C$64,2,0),"Nein")=""),"-",VLOOKUP(D858,Parameter!$A$35:$C$64,2,0)))))</f>
        <v>3</v>
      </c>
      <c r="Y858" s="62"/>
      <c r="Z858" s="63"/>
      <c r="AA858" s="57" t="n">
        <f aca="false">AP858</f>
        <v>23</v>
      </c>
      <c r="AB858" s="57" t="n">
        <f aca="false">MAX(AP858,G858)</f>
        <v>23</v>
      </c>
      <c r="AC858" s="64"/>
      <c r="AD858" s="57" t="n">
        <f aca="false">IF(LEFT(Cockpit!$C$5,1)="A",G858,IF(BW858=1,BX858,IF(LEFT(Cockpit!$C$5,1)="B",AH858,MAX(AH858,G858))))</f>
        <v>0</v>
      </c>
      <c r="AE858" s="57" t="n">
        <f aca="false">IF(BR858=1,0,ROUNDUP(AD858/BQ858,0))</f>
        <v>0</v>
      </c>
      <c r="AF858" s="59" t="n">
        <f aca="false">IF(CD858&gt;0,CD858*MAX(1,AD858/V858),IF(BR858=1,IF(AD858&lt;=0,0,BS858*MAX(1,IF(G858&gt;0,AD858/G858,1))),IF(Q858&gt;0,AE858/Q858,0))/MAX(0.1,N(Parameter!$M$21)))</f>
        <v>0</v>
      </c>
      <c r="AG858" s="57" t="n">
        <f aca="false">AD858*F858</f>
        <v>0</v>
      </c>
      <c r="AH858" s="57" t="n">
        <f aca="false">ROUNDUP(MAX(I858/IF(BV858&gt;0,BV858,MAX(0.1,N(Cockpit!$C$6))),BY858)/BQ858,0)*BQ858</f>
        <v>23</v>
      </c>
      <c r="AI858" s="58" t="n">
        <f aca="false">IF(AF858&gt;0,I858/AF858,-1)</f>
        <v>-1</v>
      </c>
      <c r="AJ858" s="58" t="str">
        <f aca="false">IF(AND(OR(BU858="L1",BU858="L23"),AF858&gt;0),SUMIFS($AF$7:$AF$1576,$BU$7:$BU$1576,BU858,$AI$7:$AI$1576,"&gt;"&amp;AI858)+SUMIFS($AF$7:$AF$1576,$BU$7:$BU$1576,BU858,$AI$7:$AI$1576,AI858,$BO$7:$BO$1576,"&lt;="&amp;BO858),"")</f>
        <v/>
      </c>
      <c r="AK858" s="65" t="n">
        <f aca="false">IF(AJ858="",0,MAX(0,MIN(1,(IF(BU858="L1",Parameter!$E$5,Parameter!$E$6+Parameter!$E$7)-(AJ858-AF858))/AF858)))</f>
        <v>0</v>
      </c>
      <c r="AL858" s="57" t="n">
        <f aca="false">IF(LEFT(Cockpit!$I$5,1)="A",G858,IF(BW858=1,BX858,IF(LEFT(Cockpit!$I$5,1)="B",AP858,MAX(AP858,G858))))</f>
        <v>23</v>
      </c>
      <c r="AM858" s="57" t="n">
        <f aca="false">IF(BR858=1,0,ROUNDUP(AL858/BQ858,0))</f>
        <v>1</v>
      </c>
      <c r="AN858" s="59" t="n">
        <f aca="false">IF(CD858&gt;0,CD858*MAX(1,AL858/V858),IF(BR858=1,IF(AL858&lt;=0,0,BS858*MAX(1,IF(G858&gt;0,AL858/G858,1))),IF(Q858&gt;0,AM858/Q858,0))/MAX(0.1,N(Parameter!$M$21)))</f>
        <v>0.00757575757575758</v>
      </c>
      <c r="AO858" s="57" t="n">
        <f aca="false">AL858*F858</f>
        <v>445.97</v>
      </c>
      <c r="AP858" s="57" t="n">
        <f aca="false">ROUNDUP(MAX(I858/IF(BV858&gt;0,BV858,MAX(0.1,N(Cockpit!$I$6))),BY858)/BQ858,0)*BQ858</f>
        <v>23</v>
      </c>
      <c r="AQ858" s="58" t="n">
        <f aca="false">IF(AN858&gt;0,I858/AN858,-1)</f>
        <v>264</v>
      </c>
      <c r="AR858" s="58" t="n">
        <f aca="false">IF(AND(OR(BU858="L1",BU858="L23"),AN858&gt;0),SUMIFS($AN$7:$AN$1576,$BU$7:$BU$1576,BU858,$AQ$7:$AQ$1576,"&gt;"&amp;AQ858)+SUMIFS($AN$7:$AN$1576,$BU$7:$BU$1576,BU858,$AQ$7:$AQ$1576,AQ858,$BO$7:$BO$1576,"&lt;="&amp;BO858),"")</f>
        <v>45.3503626931999</v>
      </c>
      <c r="AS858" s="65" t="n">
        <f aca="false">IF(AR858="",0,MAX(0,MIN(1,(IF(BU858="L1",Parameter!$E$5,Parameter!$E$6+Parameter!$E$7)-(AR858-AN858))/AN858)))</f>
        <v>1</v>
      </c>
      <c r="AT858" s="57" t="n">
        <f aca="false">IF(LEFT(Cockpit!$O$5,1)="A",G858,IF(BW858=1,BX858,IF(LEFT(Cockpit!$O$5,1)="B",AX858,MAX(AX858,G858))))</f>
        <v>23</v>
      </c>
      <c r="AU858" s="57" t="n">
        <f aca="false">IF(BR858=1,0,ROUNDUP(AT858/BQ858,0))</f>
        <v>1</v>
      </c>
      <c r="AV858" s="59" t="n">
        <f aca="false">IF(CD858&gt;0,CD858*MAX(1,AT858/V858),IF(BR858=1,IF(AT858&lt;=0,0,BS858*MAX(1,IF(G858&gt;0,AT858/G858,1))),IF(Q858&gt;0,AU858/Q858,0))/MAX(0.1,N(Parameter!$M$21)))</f>
        <v>0.00757575757575758</v>
      </c>
      <c r="AW858" s="57" t="n">
        <f aca="false">AT858*F858</f>
        <v>445.97</v>
      </c>
      <c r="AX858" s="57" t="n">
        <f aca="false">ROUNDUP(MAX(I858/IF(BV858&gt;0,BV858,MAX(0.1,N(Cockpit!$O$6))),BY858)/BQ858,0)*BQ858</f>
        <v>23</v>
      </c>
      <c r="AY858" s="58" t="n">
        <f aca="false">IF(AV858&gt;0,I858/AV858,-1)</f>
        <v>264</v>
      </c>
      <c r="AZ858" s="58" t="n">
        <f aca="false">IF(AND(OR(BU858="L1",BU858="L23"),AV858&gt;0),SUMIFS($AV$7:$AV$1576,$BU$7:$BU$1576,BU858,$AY$7:$AY$1576,"&gt;"&amp;AY858)+SUMIFS($AV$7:$AV$1576,$BU$7:$BU$1576,BU858,$AY$7:$AY$1576,AY858,$BO$7:$BO$1576,"&lt;="&amp;BO858),"")</f>
        <v>41.6284412812785</v>
      </c>
      <c r="BA858" s="65" t="n">
        <f aca="false">IF(AZ858="",0,MAX(0,MIN(1,(IF(BU858="L1",Parameter!$E$5,Parameter!$E$6+Parameter!$E$7)-(AZ858-AV858))/AV858)))</f>
        <v>1</v>
      </c>
      <c r="BB858" s="55" t="str">
        <f aca="false">IF(AF858&lt;=0,"",IF(BU858="Aussen","Aussenlager",IF(BU858="-","Nicht im Lift",IF(AK858&gt;=1,"Lift",IF(AK858&lt;=0,"Aussenlager","teilweise")))))</f>
        <v/>
      </c>
      <c r="BC858" s="55" t="str">
        <f aca="false">IF(AN858&lt;=0,"",IF(BU858="Aussen","Aussenlager",IF(BU858="-","Nicht im Lift",IF(AS858&gt;=1,"Lift",IF(AS858&lt;=0,"Aussenlager","teilweise")))))</f>
        <v>Lift</v>
      </c>
      <c r="BD858" s="55" t="str">
        <f aca="false">IF(AV858&lt;=0,"",IF(BU858="Aussen","Aussenlager",IF(BU858="-","Nicht im Lift",IF(BA858&gt;=1,"Lift",IF(BA858&lt;=0,"Aussenlager","teilweise")))))</f>
        <v>Lift</v>
      </c>
      <c r="BE858" s="55" t="str">
        <f aca="false">IF(A858="","",IF(BN858=1,"Neu; ","")&amp;IF(AND(BN858=0,BI858&lt;0),"negativer Bestand (Export "&amp;BI858&amp;"); ","")&amp;IF(I858&lt;=0,"Kein Verbrauch; ","")&amp;IF(CD858&gt;0,"Lift "&amp;U858&amp;" lt. Liftbericht (Fach "&amp;V858&amp;" Stk); ",IF(BR858=1,"Lose – Fläche geschätzt; ",""))&amp;IF(G858&gt;AP858,"Überbestand "&amp;ROUND(G858-AP858,0)&amp;" Stk / CHF "&amp;ROUND((G858-AP858)*F858,0)&amp;"; ","")&amp;IF(AND(BW858=1,BX858&lt;BY858),"MAX &lt; MB+LG; ","")&amp;IF(AND(CC858&gt;0,CB858*10&gt;CC858),"zu hoch für Tablar; ","")&amp;IF(AND(BN858=0,OR(BW858=1,Y858&lt;&gt;"",S858&lt;&gt;"",T858&lt;&gt;"",Z858&lt;&gt;"")),"manuell übersteuert; ","")&amp;IF(AND(BR858=0,Q858=0),"Gebinde unbekannt / Stellmass fehlt; ","")&amp;IF(AND(BR858=0,N(T858)&lt;=0,N(P858)&lt;=0),"Menge pro Gebinde fehlt (Ist = 1 Gebinde); ","")&amp;BM858)</f>
        <v>negativer Bestand (Export -1); </v>
      </c>
      <c r="BF858" s="55"/>
      <c r="BG858" s="55"/>
      <c r="BH858" s="62"/>
      <c r="BI858" s="57" t="n">
        <v>-1</v>
      </c>
      <c r="BJ858" s="57" t="n">
        <v>18</v>
      </c>
      <c r="BK858" s="56" t="n">
        <v>-19.39</v>
      </c>
      <c r="BL858" s="57" t="n">
        <v>2</v>
      </c>
      <c r="BM858" s="55"/>
      <c r="BN858" s="60" t="n">
        <v>0</v>
      </c>
      <c r="BO858" s="60" t="n">
        <v>858</v>
      </c>
      <c r="BP858" s="55" t="str">
        <f aca="false">IF(S858&lt;&gt;"",UPPER(TRIM(S858)),IF(O858="","LOSE",O858))</f>
        <v>S32</v>
      </c>
      <c r="BQ858" s="57" t="n">
        <f aca="false">IF(BP858="LOSE",1,IF(N(T858)&gt;0,T858,IF(N(P858)&gt;0,P858,MAX(1,G858))))</f>
        <v>23</v>
      </c>
      <c r="BR858" s="60" t="n">
        <f aca="false">IF(BP858="LOSE",1,0)</f>
        <v>0</v>
      </c>
      <c r="BS858" s="59" t="n">
        <f aca="false">IF(BR858=0,0,IF(N(R858)&gt;0,R858,IFERROR(VLOOKUP(D858,Parameter!$A$35:$C$64,3,0)+0,0)))</f>
        <v>0</v>
      </c>
      <c r="BT858" s="55" t="n">
        <f aca="false">IF(Y858&lt;&gt;"",Y858,X858)</f>
        <v>3</v>
      </c>
      <c r="BU858" s="55" t="str">
        <f aca="false">IF(BT858=1,"L1",IF(OR(BT858=2,BT858=3),"L23",IF(BT858="Aussen","Aussen","-")))</f>
        <v>L23</v>
      </c>
      <c r="BV858" s="66" t="n">
        <f aca="false">IF(N(Z858)&gt;0,Z858,0)</f>
        <v>0</v>
      </c>
      <c r="BW858" s="60" t="n">
        <f aca="false">IF(ISNUMBER(AC858),1,0)</f>
        <v>0</v>
      </c>
      <c r="BX858" s="57" t="n">
        <f aca="false">N(AC858)</f>
        <v>0</v>
      </c>
      <c r="BY858" s="57" t="n">
        <f aca="false">N(L858)+N(M858)</f>
        <v>1</v>
      </c>
      <c r="BZ858" s="57" t="n">
        <f aca="false">ROUNDUP(G858/BQ858,0)</f>
        <v>0</v>
      </c>
      <c r="CA858" s="57" t="n">
        <f aca="false">ROUNDUP(BX858/BQ858,0)</f>
        <v>0</v>
      </c>
      <c r="CB858" s="60" t="n">
        <f aca="false">IF(BR858=1,0,IFERROR(VLOOKUP(BP858,'Gebinde-Kategorie'!$A$5:$M$45,5,0)+0,0))</f>
        <v>8</v>
      </c>
      <c r="CC858" s="60" t="n">
        <f aca="false">IFERROR(IF(OR(BT858=1,BT858=2,BT858=3),N(INDEX(Parameter!$I$5:$I$7,BT858)),0),0)</f>
        <v>0</v>
      </c>
      <c r="CD858" s="59" t="n">
        <f aca="false">IF(AND(Parameter!$B$21="Ja",ISNUMBER(U858),N(V858)&gt;0),IFERROR(N(INDEX(Parameter!$L$5:$L$7,U858))*INDEX(Parameter!$E$5:$E$7,U858)*V858/SUMIFS($V$7:$V$1576,$U$7:$U$1576,U858),0),0)</f>
        <v>0</v>
      </c>
    </row>
    <row r="859" customFormat="false" ht="15" hidden="false" customHeight="false" outlineLevel="0" collapsed="false">
      <c r="A859" s="55" t="s">
        <v>1624</v>
      </c>
      <c r="B859" s="55" t="s">
        <v>1625</v>
      </c>
      <c r="C859" s="55" t="s">
        <v>160</v>
      </c>
      <c r="D859" s="55" t="s">
        <v>178</v>
      </c>
      <c r="E859" s="55" t="s">
        <v>210</v>
      </c>
      <c r="F859" s="56" t="n">
        <v>0.2</v>
      </c>
      <c r="G859" s="57" t="n">
        <f aca="false">MAX(0,IF(AND(Parameter!$B$21="Ja",ISNUMBER(W859)),W859,IF(Parameter!$B$20="Jahresanfang 2025 + Export",BJ859+BI859,BI859)))</f>
        <v>0</v>
      </c>
      <c r="H859" s="57" t="n">
        <f aca="false">G859*F859</f>
        <v>0</v>
      </c>
      <c r="I859" s="57" t="n">
        <f aca="false">BL859*Parameter!$B$18</f>
        <v>163</v>
      </c>
      <c r="J859" s="58" t="n">
        <v>291.5</v>
      </c>
      <c r="K859" s="59" t="n">
        <v>0.55917667238422</v>
      </c>
      <c r="L859" s="57" t="n">
        <v>9</v>
      </c>
      <c r="M859" s="57" t="n">
        <v>250</v>
      </c>
      <c r="N859" s="60" t="n">
        <v>21</v>
      </c>
      <c r="O859" s="55" t="s">
        <v>465</v>
      </c>
      <c r="P859" s="57" t="n">
        <v>125</v>
      </c>
      <c r="Q859" s="60" t="n">
        <f aca="false">IF(BR859=1,0,IFERROR(VLOOKUP(BP859,'Gebinde-Kategorie'!$A$5:$M$45,13,0)+0,0))</f>
        <v>66</v>
      </c>
      <c r="R859" s="61"/>
      <c r="S859" s="62"/>
      <c r="T859" s="62"/>
      <c r="U859" s="55"/>
      <c r="V859" s="57"/>
      <c r="W859" s="57"/>
      <c r="X859" s="55" t="n">
        <f aca="false">IF(A859="","",IF(AND(Parameter!$B$21="Ja",ISNUMBER(U859)),U859,IF(IFERROR(VLOOKUP(D859,Parameter!$A$35:$C$64,2,0),"Nein")="2+3",IF(ISNUMBER(SEARCH("grosser Artikel",BM859)),2,IFERROR(VLOOKUP(BP859,Parameter!$F$35:$G$64,2,0),2)),IF(OR(IFERROR(VLOOKUP(D859,Parameter!$A$35:$C$64,2,0),"Nein")="Nein",IFERROR(VLOOKUP(D859,Parameter!$A$35:$C$64,2,0),"Nein")=""),"-",VLOOKUP(D859,Parameter!$A$35:$C$64,2,0)))))</f>
        <v>3</v>
      </c>
      <c r="Y859" s="62"/>
      <c r="Z859" s="63"/>
      <c r="AA859" s="57" t="n">
        <f aca="false">AP859</f>
        <v>375</v>
      </c>
      <c r="AB859" s="57" t="n">
        <f aca="false">MAX(AP859,G859)</f>
        <v>375</v>
      </c>
      <c r="AC859" s="64"/>
      <c r="AD859" s="57" t="n">
        <f aca="false">IF(LEFT(Cockpit!$C$5,1)="A",G859,IF(BW859=1,BX859,IF(LEFT(Cockpit!$C$5,1)="B",AH859,MAX(AH859,G859))))</f>
        <v>0</v>
      </c>
      <c r="AE859" s="57" t="n">
        <f aca="false">IF(BR859=1,0,ROUNDUP(AD859/BQ859,0))</f>
        <v>0</v>
      </c>
      <c r="AF859" s="59" t="n">
        <f aca="false">IF(CD859&gt;0,CD859*MAX(1,AD859/V859),IF(BR859=1,IF(AD859&lt;=0,0,BS859*MAX(1,IF(G859&gt;0,AD859/G859,1))),IF(Q859&gt;0,AE859/Q859,0))/MAX(0.1,N(Parameter!$M$21)))</f>
        <v>0</v>
      </c>
      <c r="AG859" s="57" t="n">
        <f aca="false">AD859*F859</f>
        <v>0</v>
      </c>
      <c r="AH859" s="57" t="n">
        <f aca="false">ROUNDUP(MAX(I859/IF(BV859&gt;0,BV859,MAX(0.1,N(Cockpit!$C$6))),BY859)/BQ859,0)*BQ859</f>
        <v>375</v>
      </c>
      <c r="AI859" s="58" t="n">
        <f aca="false">IF(AF859&gt;0,I859/AF859,-1)</f>
        <v>-1</v>
      </c>
      <c r="AJ859" s="58" t="str">
        <f aca="false">IF(AND(OR(BU859="L1",BU859="L23"),AF859&gt;0),SUMIFS($AF$7:$AF$1576,$BU$7:$BU$1576,BU859,$AI$7:$AI$1576,"&gt;"&amp;AI859)+SUMIFS($AF$7:$AF$1576,$BU$7:$BU$1576,BU859,$AI$7:$AI$1576,AI859,$BO$7:$BO$1576,"&lt;="&amp;BO859),"")</f>
        <v/>
      </c>
      <c r="AK859" s="65" t="n">
        <f aca="false">IF(AJ859="",0,MAX(0,MIN(1,(IF(BU859="L1",Parameter!$E$5,Parameter!$E$6+Parameter!$E$7)-(AJ859-AF859))/AF859)))</f>
        <v>0</v>
      </c>
      <c r="AL859" s="57" t="n">
        <f aca="false">IF(LEFT(Cockpit!$I$5,1)="A",G859,IF(BW859=1,BX859,IF(LEFT(Cockpit!$I$5,1)="B",AP859,MAX(AP859,G859))))</f>
        <v>375</v>
      </c>
      <c r="AM859" s="57" t="n">
        <f aca="false">IF(BR859=1,0,ROUNDUP(AL859/BQ859,0))</f>
        <v>3</v>
      </c>
      <c r="AN859" s="59" t="n">
        <f aca="false">IF(CD859&gt;0,CD859*MAX(1,AL859/V859),IF(BR859=1,IF(AL859&lt;=0,0,BS859*MAX(1,IF(G859&gt;0,AL859/G859,1))),IF(Q859&gt;0,AM859/Q859,0))/MAX(0.1,N(Parameter!$M$21)))</f>
        <v>0.0454545454545455</v>
      </c>
      <c r="AO859" s="57" t="n">
        <f aca="false">AL859*F859</f>
        <v>75</v>
      </c>
      <c r="AP859" s="57" t="n">
        <f aca="false">ROUNDUP(MAX(I859/IF(BV859&gt;0,BV859,MAX(0.1,N(Cockpit!$I$6))),BY859)/BQ859,0)*BQ859</f>
        <v>375</v>
      </c>
      <c r="AQ859" s="58" t="n">
        <f aca="false">IF(AN859&gt;0,I859/AN859,-1)</f>
        <v>3586</v>
      </c>
      <c r="AR859" s="58" t="n">
        <f aca="false">IF(AND(OR(BU859="L1",BU859="L23"),AN859&gt;0),SUMIFS($AN$7:$AN$1576,$BU$7:$BU$1576,BU859,$AQ$7:$AQ$1576,"&gt;"&amp;AQ859)+SUMIFS($AN$7:$AN$1576,$BU$7:$BU$1576,BU859,$AQ$7:$AQ$1576,AQ859,$BO$7:$BO$1576,"&lt;="&amp;BO859),"")</f>
        <v>13.5860653119827</v>
      </c>
      <c r="AS859" s="65" t="n">
        <f aca="false">IF(AR859="",0,MAX(0,MIN(1,(IF(BU859="L1",Parameter!$E$5,Parameter!$E$6+Parameter!$E$7)-(AR859-AN859))/AN859)))</f>
        <v>1</v>
      </c>
      <c r="AT859" s="57" t="n">
        <f aca="false">IF(LEFT(Cockpit!$O$5,1)="A",G859,IF(BW859=1,BX859,IF(LEFT(Cockpit!$O$5,1)="B",AX859,MAX(AX859,G859))))</f>
        <v>375</v>
      </c>
      <c r="AU859" s="57" t="n">
        <f aca="false">IF(BR859=1,0,ROUNDUP(AT859/BQ859,0))</f>
        <v>3</v>
      </c>
      <c r="AV859" s="59" t="n">
        <f aca="false">IF(CD859&gt;0,CD859*MAX(1,AT859/V859),IF(BR859=1,IF(AT859&lt;=0,0,BS859*MAX(1,IF(G859&gt;0,AT859/G859,1))),IF(Q859&gt;0,AU859/Q859,0))/MAX(0.1,N(Parameter!$M$21)))</f>
        <v>0.0454545454545455</v>
      </c>
      <c r="AW859" s="57" t="n">
        <f aca="false">AT859*F859</f>
        <v>75</v>
      </c>
      <c r="AX859" s="57" t="n">
        <f aca="false">ROUNDUP(MAX(I859/IF(BV859&gt;0,BV859,MAX(0.1,N(Cockpit!$O$6))),BY859)/BQ859,0)*BQ859</f>
        <v>375</v>
      </c>
      <c r="AY859" s="58" t="n">
        <f aca="false">IF(AV859&gt;0,I859/AV859,-1)</f>
        <v>3586</v>
      </c>
      <c r="AZ859" s="58" t="n">
        <f aca="false">IF(AND(OR(BU859="L1",BU859="L23"),AV859&gt;0),SUMIFS($AV$7:$AV$1576,$BU$7:$BU$1576,BU859,$AY$7:$AY$1576,"&gt;"&amp;AY859)+SUMIFS($AV$7:$AV$1576,$BU$7:$BU$1576,BU859,$AY$7:$AY$1576,AY859,$BO$7:$BO$1576,"&lt;="&amp;BO859),"")</f>
        <v>12.3069277828452</v>
      </c>
      <c r="BA859" s="65" t="n">
        <f aca="false">IF(AZ859="",0,MAX(0,MIN(1,(IF(BU859="L1",Parameter!$E$5,Parameter!$E$6+Parameter!$E$7)-(AZ859-AV859))/AV859)))</f>
        <v>1</v>
      </c>
      <c r="BB859" s="55" t="str">
        <f aca="false">IF(AF859&lt;=0,"",IF(BU859="Aussen","Aussenlager",IF(BU859="-","Nicht im Lift",IF(AK859&gt;=1,"Lift",IF(AK859&lt;=0,"Aussenlager","teilweise")))))</f>
        <v/>
      </c>
      <c r="BC859" s="55" t="str">
        <f aca="false">IF(AN859&lt;=0,"",IF(BU859="Aussen","Aussenlager",IF(BU859="-","Nicht im Lift",IF(AS859&gt;=1,"Lift",IF(AS859&lt;=0,"Aussenlager","teilweise")))))</f>
        <v>Lift</v>
      </c>
      <c r="BD859" s="55" t="str">
        <f aca="false">IF(AV859&lt;=0,"",IF(BU859="Aussen","Aussenlager",IF(BU859="-","Nicht im Lift",IF(BA859&gt;=1,"Lift",IF(BA859&lt;=0,"Aussenlager","teilweise")))))</f>
        <v>Lift</v>
      </c>
      <c r="BE859" s="55" t="str">
        <f aca="false">IF(A859="","",IF(BN859=1,"Neu; ","")&amp;IF(AND(BN859=0,BI859&lt;0),"negativer Bestand (Export "&amp;BI859&amp;"); ","")&amp;IF(I859&lt;=0,"Kein Verbrauch; ","")&amp;IF(CD859&gt;0,"Lift "&amp;U859&amp;" lt. Liftbericht (Fach "&amp;V859&amp;" Stk); ",IF(BR859=1,"Lose – Fläche geschätzt; ",""))&amp;IF(G859&gt;AP859,"Überbestand "&amp;ROUND(G859-AP859,0)&amp;" Stk / CHF "&amp;ROUND((G859-AP859)*F859,0)&amp;"; ","")&amp;IF(AND(BW859=1,BX859&lt;BY859),"MAX &lt; MB+LG; ","")&amp;IF(AND(CC859&gt;0,CB859*10&gt;CC859),"zu hoch für Tablar; ","")&amp;IF(AND(BN859=0,OR(BW859=1,Y859&lt;&gt;"",S859&lt;&gt;"",T859&lt;&gt;"",Z859&lt;&gt;"")),"manuell übersteuert; ","")&amp;IF(AND(BR859=0,Q859=0),"Gebinde unbekannt / Stellmass fehlt; ","")&amp;IF(AND(BR859=0,N(T859)&lt;=0,N(P859)&lt;=0),"Menge pro Gebinde fehlt (Ist = 1 Gebinde); ","")&amp;BM859)</f>
        <v>negativer Bestand (Export -223); </v>
      </c>
      <c r="BF859" s="55"/>
      <c r="BG859" s="55"/>
      <c r="BH859" s="62"/>
      <c r="BI859" s="57" t="n">
        <v>-223</v>
      </c>
      <c r="BJ859" s="57" t="n">
        <v>332</v>
      </c>
      <c r="BK859" s="56" t="n">
        <v>-19.88</v>
      </c>
      <c r="BL859" s="57" t="n">
        <v>163</v>
      </c>
      <c r="BM859" s="55"/>
      <c r="BN859" s="60" t="n">
        <v>0</v>
      </c>
      <c r="BO859" s="60" t="n">
        <v>859</v>
      </c>
      <c r="BP859" s="55" t="str">
        <f aca="false">IF(S859&lt;&gt;"",UPPER(TRIM(S859)),IF(O859="","LOSE",O859))</f>
        <v>S33</v>
      </c>
      <c r="BQ859" s="57" t="n">
        <f aca="false">IF(BP859="LOSE",1,IF(N(T859)&gt;0,T859,IF(N(P859)&gt;0,P859,MAX(1,G859))))</f>
        <v>125</v>
      </c>
      <c r="BR859" s="60" t="n">
        <f aca="false">IF(BP859="LOSE",1,0)</f>
        <v>0</v>
      </c>
      <c r="BS859" s="59" t="n">
        <f aca="false">IF(BR859=0,0,IF(N(R859)&gt;0,R859,IFERROR(VLOOKUP(D859,Parameter!$A$35:$C$64,3,0)+0,0)))</f>
        <v>0</v>
      </c>
      <c r="BT859" s="55" t="n">
        <f aca="false">IF(Y859&lt;&gt;"",Y859,X859)</f>
        <v>3</v>
      </c>
      <c r="BU859" s="55" t="str">
        <f aca="false">IF(BT859=1,"L1",IF(OR(BT859=2,BT859=3),"L23",IF(BT859="Aussen","Aussen","-")))</f>
        <v>L23</v>
      </c>
      <c r="BV859" s="66" t="n">
        <f aca="false">IF(N(Z859)&gt;0,Z859,0)</f>
        <v>0</v>
      </c>
      <c r="BW859" s="60" t="n">
        <f aca="false">IF(ISNUMBER(AC859),1,0)</f>
        <v>0</v>
      </c>
      <c r="BX859" s="57" t="n">
        <f aca="false">N(AC859)</f>
        <v>0</v>
      </c>
      <c r="BY859" s="57" t="n">
        <f aca="false">N(L859)+N(M859)</f>
        <v>259</v>
      </c>
      <c r="BZ859" s="57" t="n">
        <f aca="false">ROUNDUP(G859/BQ859,0)</f>
        <v>0</v>
      </c>
      <c r="CA859" s="57" t="n">
        <f aca="false">ROUNDUP(BX859/BQ859,0)</f>
        <v>0</v>
      </c>
      <c r="CB859" s="60" t="n">
        <f aca="false">IF(BR859=1,0,IFERROR(VLOOKUP(BP859,'Gebinde-Kategorie'!$A$5:$M$45,5,0)+0,0))</f>
        <v>8</v>
      </c>
      <c r="CC859" s="60" t="n">
        <f aca="false">IFERROR(IF(OR(BT859=1,BT859=2,BT859=3),N(INDEX(Parameter!$I$5:$I$7,BT859)),0),0)</f>
        <v>0</v>
      </c>
      <c r="CD859" s="59" t="n">
        <f aca="false">IF(AND(Parameter!$B$21="Ja",ISNUMBER(U859),N(V859)&gt;0),IFERROR(N(INDEX(Parameter!$L$5:$L$7,U859))*INDEX(Parameter!$E$5:$E$7,U859)*V859/SUMIFS($V$7:$V$1576,$U$7:$U$1576,U859),0),0)</f>
        <v>0</v>
      </c>
    </row>
    <row r="860" customFormat="false" ht="15" hidden="false" customHeight="false" outlineLevel="0" collapsed="false">
      <c r="A860" s="55" t="s">
        <v>1626</v>
      </c>
      <c r="B860" s="55" t="s">
        <v>1627</v>
      </c>
      <c r="C860" s="55" t="s">
        <v>446</v>
      </c>
      <c r="D860" s="55" t="s">
        <v>178</v>
      </c>
      <c r="E860" s="55" t="s">
        <v>210</v>
      </c>
      <c r="F860" s="56" t="n">
        <v>1.25</v>
      </c>
      <c r="G860" s="57" t="n">
        <f aca="false">MAX(0,IF(AND(Parameter!$B$21="Ja",ISNUMBER(W860)),W860,IF(Parameter!$B$20="Jahresanfang 2025 + Export",BJ860+BI860,BI860)))</f>
        <v>0</v>
      </c>
      <c r="H860" s="57" t="n">
        <f aca="false">G860*F860</f>
        <v>0</v>
      </c>
      <c r="I860" s="57" t="n">
        <f aca="false">BL860*Parameter!$B$18</f>
        <v>16</v>
      </c>
      <c r="J860" s="58" t="n">
        <v>16</v>
      </c>
      <c r="K860" s="59" t="n">
        <v>1</v>
      </c>
      <c r="L860" s="57" t="n">
        <v>0</v>
      </c>
      <c r="M860" s="57" t="n">
        <v>15</v>
      </c>
      <c r="N860" s="60" t="n">
        <v>21</v>
      </c>
      <c r="O860" s="55" t="s">
        <v>163</v>
      </c>
      <c r="P860" s="57"/>
      <c r="Q860" s="60" t="n">
        <f aca="false">IF(BR860=1,0,IFERROR(VLOOKUP(BP860,'Gebinde-Kategorie'!$A$5:$M$45,13,0)+0,0))</f>
        <v>0</v>
      </c>
      <c r="R860" s="61"/>
      <c r="S860" s="62"/>
      <c r="T860" s="62"/>
      <c r="U860" s="55"/>
      <c r="V860" s="57"/>
      <c r="W860" s="57"/>
      <c r="X860" s="55" t="n">
        <f aca="false">IF(A860="","",IF(AND(Parameter!$B$21="Ja",ISNUMBER(U860)),U860,IF(IFERROR(VLOOKUP(D860,Parameter!$A$35:$C$64,2,0),"Nein")="2+3",IF(ISNUMBER(SEARCH("grosser Artikel",BM860)),2,IFERROR(VLOOKUP(BP860,Parameter!$F$35:$G$64,2,0),2)),IF(OR(IFERROR(VLOOKUP(D860,Parameter!$A$35:$C$64,2,0),"Nein")="Nein",IFERROR(VLOOKUP(D860,Parameter!$A$35:$C$64,2,0),"Nein")=""),"-",VLOOKUP(D860,Parameter!$A$35:$C$64,2,0)))))</f>
        <v>2</v>
      </c>
      <c r="Y860" s="62"/>
      <c r="Z860" s="63"/>
      <c r="AA860" s="57" t="n">
        <f aca="false">AP860</f>
        <v>15</v>
      </c>
      <c r="AB860" s="57" t="n">
        <f aca="false">MAX(AP860,G860)</f>
        <v>15</v>
      </c>
      <c r="AC860" s="64"/>
      <c r="AD860" s="57" t="n">
        <f aca="false">IF(LEFT(Cockpit!$C$5,1)="A",G860,IF(BW860=1,BX860,IF(LEFT(Cockpit!$C$5,1)="B",AH860,MAX(AH860,G860))))</f>
        <v>0</v>
      </c>
      <c r="AE860" s="57" t="n">
        <f aca="false">IF(BR860=1,0,ROUNDUP(AD860/BQ860,0))</f>
        <v>0</v>
      </c>
      <c r="AF860" s="59" t="n">
        <f aca="false">IF(CD860&gt;0,CD860*MAX(1,AD860/V860),IF(BR860=1,IF(AD860&lt;=0,0,BS860*MAX(1,IF(G860&gt;0,AD860/G860,1))),IF(Q860&gt;0,AE860/Q860,0))/MAX(0.1,N(Parameter!$M$21)))</f>
        <v>0</v>
      </c>
      <c r="AG860" s="57" t="n">
        <f aca="false">AD860*F860</f>
        <v>0</v>
      </c>
      <c r="AH860" s="57" t="n">
        <f aca="false">ROUNDUP(MAX(I860/IF(BV860&gt;0,BV860,MAX(0.1,N(Cockpit!$C$6))),BY860)/BQ860,0)*BQ860</f>
        <v>15</v>
      </c>
      <c r="AI860" s="58" t="n">
        <f aca="false">IF(AF860&gt;0,I860/AF860,-1)</f>
        <v>-1</v>
      </c>
      <c r="AJ860" s="58" t="str">
        <f aca="false">IF(AND(OR(BU860="L1",BU860="L23"),AF860&gt;0),SUMIFS($AF$7:$AF$1576,$BU$7:$BU$1576,BU860,$AI$7:$AI$1576,"&gt;"&amp;AI860)+SUMIFS($AF$7:$AF$1576,$BU$7:$BU$1576,BU860,$AI$7:$AI$1576,AI860,$BO$7:$BO$1576,"&lt;="&amp;BO860),"")</f>
        <v/>
      </c>
      <c r="AK860" s="65" t="n">
        <f aca="false">IF(AJ860="",0,MAX(0,MIN(1,(IF(BU860="L1",Parameter!$E$5,Parameter!$E$6+Parameter!$E$7)-(AJ860-AF860))/AF860)))</f>
        <v>0</v>
      </c>
      <c r="AL860" s="57" t="n">
        <f aca="false">IF(LEFT(Cockpit!$I$5,1)="A",G860,IF(BW860=1,BX860,IF(LEFT(Cockpit!$I$5,1)="B",AP860,MAX(AP860,G860))))</f>
        <v>15</v>
      </c>
      <c r="AM860" s="57" t="n">
        <f aca="false">IF(BR860=1,0,ROUNDUP(AL860/BQ860,0))</f>
        <v>0</v>
      </c>
      <c r="AN860" s="59" t="n">
        <f aca="false">IF(CD860&gt;0,CD860*MAX(1,AL860/V860),IF(BR860=1,IF(AL860&lt;=0,0,BS860*MAX(1,IF(G860&gt;0,AL860/G860,1))),IF(Q860&gt;0,AM860/Q860,0))/MAX(0.1,N(Parameter!$M$21)))</f>
        <v>0.03</v>
      </c>
      <c r="AO860" s="57" t="n">
        <f aca="false">AL860*F860</f>
        <v>18.75</v>
      </c>
      <c r="AP860" s="57" t="n">
        <f aca="false">ROUNDUP(MAX(I860/IF(BV860&gt;0,BV860,MAX(0.1,N(Cockpit!$I$6))),BY860)/BQ860,0)*BQ860</f>
        <v>15</v>
      </c>
      <c r="AQ860" s="58" t="n">
        <f aca="false">IF(AN860&gt;0,I860/AN860,-1)</f>
        <v>533.333333333333</v>
      </c>
      <c r="AR860" s="58" t="n">
        <f aca="false">IF(AND(OR(BU860="L1",BU860="L23"),AN860&gt;0),SUMIFS($AN$7:$AN$1576,$BU$7:$BU$1576,BU860,$AQ$7:$AQ$1576,"&gt;"&amp;AQ860)+SUMIFS($AN$7:$AN$1576,$BU$7:$BU$1576,BU860,$AQ$7:$AQ$1576,AQ860,$BO$7:$BO$1576,"&lt;="&amp;BO860),"")</f>
        <v>32.8665325137176</v>
      </c>
      <c r="AS860" s="65" t="n">
        <f aca="false">IF(AR860="",0,MAX(0,MIN(1,(IF(BU860="L1",Parameter!$E$5,Parameter!$E$6+Parameter!$E$7)-(AR860-AN860))/AN860)))</f>
        <v>1</v>
      </c>
      <c r="AT860" s="57" t="n">
        <f aca="false">IF(LEFT(Cockpit!$O$5,1)="A",G860,IF(BW860=1,BX860,IF(LEFT(Cockpit!$O$5,1)="B",AX860,MAX(AX860,G860))))</f>
        <v>15</v>
      </c>
      <c r="AU860" s="57" t="n">
        <f aca="false">IF(BR860=1,0,ROUNDUP(AT860/BQ860,0))</f>
        <v>0</v>
      </c>
      <c r="AV860" s="59" t="n">
        <f aca="false">IF(CD860&gt;0,CD860*MAX(1,AT860/V860),IF(BR860=1,IF(AT860&lt;=0,0,BS860*MAX(1,IF(G860&gt;0,AT860/G860,1))),IF(Q860&gt;0,AU860/Q860,0))/MAX(0.1,N(Parameter!$M$21)))</f>
        <v>0.03</v>
      </c>
      <c r="AW860" s="57" t="n">
        <f aca="false">AT860*F860</f>
        <v>18.75</v>
      </c>
      <c r="AX860" s="57" t="n">
        <f aca="false">ROUNDUP(MAX(I860/IF(BV860&gt;0,BV860,MAX(0.1,N(Cockpit!$O$6))),BY860)/BQ860,0)*BQ860</f>
        <v>15</v>
      </c>
      <c r="AY860" s="58" t="n">
        <f aca="false">IF(AV860&gt;0,I860/AV860,-1)</f>
        <v>533.333333333333</v>
      </c>
      <c r="AZ860" s="58" t="n">
        <f aca="false">IF(AND(OR(BU860="L1",BU860="L23"),AV860&gt;0),SUMIFS($AV$7:$AV$1576,$BU$7:$BU$1576,BU860,$AY$7:$AY$1576,"&gt;"&amp;AY860)+SUMIFS($AV$7:$AV$1576,$BU$7:$BU$1576,BU860,$AY$7:$AY$1576,AY860,$BO$7:$BO$1576,"&lt;="&amp;BO860),"")</f>
        <v>30.9432191604042</v>
      </c>
      <c r="BA860" s="65" t="n">
        <f aca="false">IF(AZ860="",0,MAX(0,MIN(1,(IF(BU860="L1",Parameter!$E$5,Parameter!$E$6+Parameter!$E$7)-(AZ860-AV860))/AV860)))</f>
        <v>1</v>
      </c>
      <c r="BB860" s="55" t="str">
        <f aca="false">IF(AF860&lt;=0,"",IF(BU860="Aussen","Aussenlager",IF(BU860="-","Nicht im Lift",IF(AK860&gt;=1,"Lift",IF(AK860&lt;=0,"Aussenlager","teilweise")))))</f>
        <v/>
      </c>
      <c r="BC860" s="55" t="str">
        <f aca="false">IF(AN860&lt;=0,"",IF(BU860="Aussen","Aussenlager",IF(BU860="-","Nicht im Lift",IF(AS860&gt;=1,"Lift",IF(AS860&lt;=0,"Aussenlager","teilweise")))))</f>
        <v>Lift</v>
      </c>
      <c r="BD860" s="55" t="str">
        <f aca="false">IF(AV860&lt;=0,"",IF(BU860="Aussen","Aussenlager",IF(BU860="-","Nicht im Lift",IF(BA860&gt;=1,"Lift",IF(BA860&lt;=0,"Aussenlager","teilweise")))))</f>
        <v>Lift</v>
      </c>
      <c r="BE860" s="55" t="str">
        <f aca="false">IF(A860="","",IF(BN860=1,"Neu; ","")&amp;IF(AND(BN860=0,BI860&lt;0),"negativer Bestand (Export "&amp;BI860&amp;"); ","")&amp;IF(I860&lt;=0,"Kein Verbrauch; ","")&amp;IF(CD860&gt;0,"Lift "&amp;U860&amp;" lt. Liftbericht (Fach "&amp;V860&amp;" Stk); ",IF(BR860=1,"Lose – Fläche geschätzt; ",""))&amp;IF(G860&gt;AP860,"Überbestand "&amp;ROUND(G860-AP860,0)&amp;" Stk / CHF "&amp;ROUND((G860-AP860)*F860,0)&amp;"; ","")&amp;IF(AND(BW860=1,BX860&lt;BY860),"MAX &lt; MB+LG; ","")&amp;IF(AND(CC860&gt;0,CB860*10&gt;CC860),"zu hoch für Tablar; ","")&amp;IF(AND(BN860=0,OR(BW860=1,Y860&lt;&gt;"",S860&lt;&gt;"",T860&lt;&gt;"",Z860&lt;&gt;"")),"manuell übersteuert; ","")&amp;IF(AND(BR860=0,Q860=0),"Gebinde unbekannt / Stellmass fehlt; ","")&amp;IF(AND(BR860=0,N(T860)&lt;=0,N(P860)&lt;=0),"Menge pro Gebinde fehlt (Ist = 1 Gebinde); ","")&amp;BM860)</f>
        <v>negativer Bestand (Export -16); Lose – Fläche geschätzt; </v>
      </c>
      <c r="BF860" s="55"/>
      <c r="BG860" s="55"/>
      <c r="BH860" s="62"/>
      <c r="BI860" s="57" t="n">
        <v>-16</v>
      </c>
      <c r="BJ860" s="57" t="n">
        <v>32</v>
      </c>
      <c r="BK860" s="56" t="n">
        <v>-20</v>
      </c>
      <c r="BL860" s="57" t="n">
        <v>16</v>
      </c>
      <c r="BM860" s="55"/>
      <c r="BN860" s="60" t="n">
        <v>0</v>
      </c>
      <c r="BO860" s="60" t="n">
        <v>860</v>
      </c>
      <c r="BP860" s="55" t="str">
        <f aca="false">IF(S860&lt;&gt;"",UPPER(TRIM(S860)),IF(O860="","LOSE",O860))</f>
        <v>LOSE</v>
      </c>
      <c r="BQ860" s="57" t="n">
        <f aca="false">IF(BP860="LOSE",1,IF(N(T860)&gt;0,T860,IF(N(P860)&gt;0,P860,MAX(1,G860))))</f>
        <v>1</v>
      </c>
      <c r="BR860" s="60" t="n">
        <f aca="false">IF(BP860="LOSE",1,0)</f>
        <v>1</v>
      </c>
      <c r="BS860" s="59" t="n">
        <f aca="false">IF(BR860=0,0,IF(N(R860)&gt;0,R860,IFERROR(VLOOKUP(D860,Parameter!$A$35:$C$64,3,0)+0,0)))</f>
        <v>0.03</v>
      </c>
      <c r="BT860" s="55" t="n">
        <f aca="false">IF(Y860&lt;&gt;"",Y860,X860)</f>
        <v>2</v>
      </c>
      <c r="BU860" s="55" t="str">
        <f aca="false">IF(BT860=1,"L1",IF(OR(BT860=2,BT860=3),"L23",IF(BT860="Aussen","Aussen","-")))</f>
        <v>L23</v>
      </c>
      <c r="BV860" s="66" t="n">
        <f aca="false">IF(N(Z860)&gt;0,Z860,0)</f>
        <v>0</v>
      </c>
      <c r="BW860" s="60" t="n">
        <f aca="false">IF(ISNUMBER(AC860),1,0)</f>
        <v>0</v>
      </c>
      <c r="BX860" s="57" t="n">
        <f aca="false">N(AC860)</f>
        <v>0</v>
      </c>
      <c r="BY860" s="57" t="n">
        <f aca="false">N(L860)+N(M860)</f>
        <v>15</v>
      </c>
      <c r="BZ860" s="57" t="n">
        <f aca="false">ROUNDUP(G860/BQ860,0)</f>
        <v>0</v>
      </c>
      <c r="CA860" s="57" t="n">
        <f aca="false">ROUNDUP(BX860/BQ860,0)</f>
        <v>0</v>
      </c>
      <c r="CB860" s="60" t="n">
        <f aca="false">IF(BR860=1,0,IFERROR(VLOOKUP(BP860,'Gebinde-Kategorie'!$A$5:$M$45,5,0)+0,0))</f>
        <v>0</v>
      </c>
      <c r="CC860" s="60" t="n">
        <f aca="false">IFERROR(IF(OR(BT860=1,BT860=2,BT860=3),N(INDEX(Parameter!$I$5:$I$7,BT860)),0),0)</f>
        <v>0</v>
      </c>
      <c r="CD860" s="59" t="n">
        <f aca="false">IF(AND(Parameter!$B$21="Ja",ISNUMBER(U860),N(V860)&gt;0),IFERROR(N(INDEX(Parameter!$L$5:$L$7,U860))*INDEX(Parameter!$E$5:$E$7,U860)*V860/SUMIFS($V$7:$V$1576,$U$7:$U$1576,U860),0),0)</f>
        <v>0</v>
      </c>
    </row>
    <row r="861" customFormat="false" ht="15" hidden="false" customHeight="false" outlineLevel="0" collapsed="false">
      <c r="A861" s="55" t="s">
        <v>1628</v>
      </c>
      <c r="B861" s="55" t="s">
        <v>1081</v>
      </c>
      <c r="C861" s="55" t="s">
        <v>160</v>
      </c>
      <c r="D861" s="55" t="s">
        <v>178</v>
      </c>
      <c r="E861" s="55" t="s">
        <v>210</v>
      </c>
      <c r="F861" s="56" t="n">
        <v>4.13</v>
      </c>
      <c r="G861" s="57" t="n">
        <f aca="false">MAX(0,IF(AND(Parameter!$B$21="Ja",ISNUMBER(W861)),W861,IF(Parameter!$B$20="Jahresanfang 2025 + Export",BJ861+BI861,BI861)))</f>
        <v>0</v>
      </c>
      <c r="H861" s="57" t="n">
        <f aca="false">G861*F861</f>
        <v>0</v>
      </c>
      <c r="I861" s="57" t="n">
        <f aca="false">BL861*Parameter!$B$18</f>
        <v>10</v>
      </c>
      <c r="J861" s="58" t="n">
        <v>10.5</v>
      </c>
      <c r="K861" s="59" t="n">
        <v>0.952380952380952</v>
      </c>
      <c r="L861" s="57" t="n">
        <v>0</v>
      </c>
      <c r="M861" s="57" t="n">
        <v>10</v>
      </c>
      <c r="N861" s="60" t="n">
        <v>14</v>
      </c>
      <c r="O861" s="55" t="s">
        <v>411</v>
      </c>
      <c r="P861" s="57" t="n">
        <v>20</v>
      </c>
      <c r="Q861" s="60" t="n">
        <f aca="false">IF(BR861=1,0,IFERROR(VLOOKUP(BP861,'Gebinde-Kategorie'!$A$5:$M$45,13,0)+0,0))</f>
        <v>132</v>
      </c>
      <c r="R861" s="61"/>
      <c r="S861" s="62"/>
      <c r="T861" s="62"/>
      <c r="U861" s="55"/>
      <c r="V861" s="57"/>
      <c r="W861" s="57"/>
      <c r="X861" s="55" t="n">
        <f aca="false">IF(A861="","",IF(AND(Parameter!$B$21="Ja",ISNUMBER(U861)),U861,IF(IFERROR(VLOOKUP(D861,Parameter!$A$35:$C$64,2,0),"Nein")="2+3",IF(ISNUMBER(SEARCH("grosser Artikel",BM861)),2,IFERROR(VLOOKUP(BP861,Parameter!$F$35:$G$64,2,0),2)),IF(OR(IFERROR(VLOOKUP(D861,Parameter!$A$35:$C$64,2,0),"Nein")="Nein",IFERROR(VLOOKUP(D861,Parameter!$A$35:$C$64,2,0),"Nein")=""),"-",VLOOKUP(D861,Parameter!$A$35:$C$64,2,0)))))</f>
        <v>3</v>
      </c>
      <c r="Y861" s="62"/>
      <c r="Z861" s="63"/>
      <c r="AA861" s="57" t="n">
        <f aca="false">AP861</f>
        <v>20</v>
      </c>
      <c r="AB861" s="57" t="n">
        <f aca="false">MAX(AP861,G861)</f>
        <v>20</v>
      </c>
      <c r="AC861" s="64"/>
      <c r="AD861" s="57" t="n">
        <f aca="false">IF(LEFT(Cockpit!$C$5,1)="A",G861,IF(BW861=1,BX861,IF(LEFT(Cockpit!$C$5,1)="B",AH861,MAX(AH861,G861))))</f>
        <v>0</v>
      </c>
      <c r="AE861" s="57" t="n">
        <f aca="false">IF(BR861=1,0,ROUNDUP(AD861/BQ861,0))</f>
        <v>0</v>
      </c>
      <c r="AF861" s="59" t="n">
        <f aca="false">IF(CD861&gt;0,CD861*MAX(1,AD861/V861),IF(BR861=1,IF(AD861&lt;=0,0,BS861*MAX(1,IF(G861&gt;0,AD861/G861,1))),IF(Q861&gt;0,AE861/Q861,0))/MAX(0.1,N(Parameter!$M$21)))</f>
        <v>0</v>
      </c>
      <c r="AG861" s="57" t="n">
        <f aca="false">AD861*F861</f>
        <v>0</v>
      </c>
      <c r="AH861" s="57" t="n">
        <f aca="false">ROUNDUP(MAX(I861/IF(BV861&gt;0,BV861,MAX(0.1,N(Cockpit!$C$6))),BY861)/BQ861,0)*BQ861</f>
        <v>20</v>
      </c>
      <c r="AI861" s="58" t="n">
        <f aca="false">IF(AF861&gt;0,I861/AF861,-1)</f>
        <v>-1</v>
      </c>
      <c r="AJ861" s="58" t="str">
        <f aca="false">IF(AND(OR(BU861="L1",BU861="L23"),AF861&gt;0),SUMIFS($AF$7:$AF$1576,$BU$7:$BU$1576,BU861,$AI$7:$AI$1576,"&gt;"&amp;AI861)+SUMIFS($AF$7:$AF$1576,$BU$7:$BU$1576,BU861,$AI$7:$AI$1576,AI861,$BO$7:$BO$1576,"&lt;="&amp;BO861),"")</f>
        <v/>
      </c>
      <c r="AK861" s="65" t="n">
        <f aca="false">IF(AJ861="",0,MAX(0,MIN(1,(IF(BU861="L1",Parameter!$E$5,Parameter!$E$6+Parameter!$E$7)-(AJ861-AF861))/AF861)))</f>
        <v>0</v>
      </c>
      <c r="AL861" s="57" t="n">
        <f aca="false">IF(LEFT(Cockpit!$I$5,1)="A",G861,IF(BW861=1,BX861,IF(LEFT(Cockpit!$I$5,1)="B",AP861,MAX(AP861,G861))))</f>
        <v>20</v>
      </c>
      <c r="AM861" s="57" t="n">
        <f aca="false">IF(BR861=1,0,ROUNDUP(AL861/BQ861,0))</f>
        <v>1</v>
      </c>
      <c r="AN861" s="59" t="n">
        <f aca="false">IF(CD861&gt;0,CD861*MAX(1,AL861/V861),IF(BR861=1,IF(AL861&lt;=0,0,BS861*MAX(1,IF(G861&gt;0,AL861/G861,1))),IF(Q861&gt;0,AM861/Q861,0))/MAX(0.1,N(Parameter!$M$21)))</f>
        <v>0.00757575757575758</v>
      </c>
      <c r="AO861" s="57" t="n">
        <f aca="false">AL861*F861</f>
        <v>82.6</v>
      </c>
      <c r="AP861" s="57" t="n">
        <f aca="false">ROUNDUP(MAX(I861/IF(BV861&gt;0,BV861,MAX(0.1,N(Cockpit!$I$6))),BY861)/BQ861,0)*BQ861</f>
        <v>20</v>
      </c>
      <c r="AQ861" s="58" t="n">
        <f aca="false">IF(AN861&gt;0,I861/AN861,-1)</f>
        <v>1320</v>
      </c>
      <c r="AR861" s="58" t="n">
        <f aca="false">IF(AND(OR(BU861="L1",BU861="L23"),AN861&gt;0),SUMIFS($AN$7:$AN$1576,$BU$7:$BU$1576,BU861,$AQ$7:$AQ$1576,"&gt;"&amp;AQ861)+SUMIFS($AN$7:$AN$1576,$BU$7:$BU$1576,BU861,$AQ$7:$AQ$1576,AQ861,$BO$7:$BO$1576,"&lt;="&amp;BO861),"")</f>
        <v>20.2386983189269</v>
      </c>
      <c r="AS861" s="65" t="n">
        <f aca="false">IF(AR861="",0,MAX(0,MIN(1,(IF(BU861="L1",Parameter!$E$5,Parameter!$E$6+Parameter!$E$7)-(AR861-AN861))/AN861)))</f>
        <v>1</v>
      </c>
      <c r="AT861" s="57" t="n">
        <f aca="false">IF(LEFT(Cockpit!$O$5,1)="A",G861,IF(BW861=1,BX861,IF(LEFT(Cockpit!$O$5,1)="B",AX861,MAX(AX861,G861))))</f>
        <v>20</v>
      </c>
      <c r="AU861" s="57" t="n">
        <f aca="false">IF(BR861=1,0,ROUNDUP(AT861/BQ861,0))</f>
        <v>1</v>
      </c>
      <c r="AV861" s="59" t="n">
        <f aca="false">IF(CD861&gt;0,CD861*MAX(1,AT861/V861),IF(BR861=1,IF(AT861&lt;=0,0,BS861*MAX(1,IF(G861&gt;0,AT861/G861,1))),IF(Q861&gt;0,AU861/Q861,0))/MAX(0.1,N(Parameter!$M$21)))</f>
        <v>0.00757575757575758</v>
      </c>
      <c r="AW861" s="57" t="n">
        <f aca="false">AT861*F861</f>
        <v>82.6</v>
      </c>
      <c r="AX861" s="57" t="n">
        <f aca="false">ROUNDUP(MAX(I861/IF(BV861&gt;0,BV861,MAX(0.1,N(Cockpit!$O$6))),BY861)/BQ861,0)*BQ861</f>
        <v>20</v>
      </c>
      <c r="AY861" s="58" t="n">
        <f aca="false">IF(AV861&gt;0,I861/AV861,-1)</f>
        <v>1320</v>
      </c>
      <c r="AZ861" s="58" t="n">
        <f aca="false">IF(AND(OR(BU861="L1",BU861="L23"),AV861&gt;0),SUMIFS($AV$7:$AV$1576,$BU$7:$BU$1576,BU861,$AY$7:$AY$1576,"&gt;"&amp;AY861)+SUMIFS($AV$7:$AV$1576,$BU$7:$BU$1576,BU861,$AY$7:$AY$1576,AY861,$BO$7:$BO$1576,"&lt;="&amp;BO861),"")</f>
        <v>19.2993043795329</v>
      </c>
      <c r="BA861" s="65" t="n">
        <f aca="false">IF(AZ861="",0,MAX(0,MIN(1,(IF(BU861="L1",Parameter!$E$5,Parameter!$E$6+Parameter!$E$7)-(AZ861-AV861))/AV861)))</f>
        <v>1</v>
      </c>
      <c r="BB861" s="55" t="str">
        <f aca="false">IF(AF861&lt;=0,"",IF(BU861="Aussen","Aussenlager",IF(BU861="-","Nicht im Lift",IF(AK861&gt;=1,"Lift",IF(AK861&lt;=0,"Aussenlager","teilweise")))))</f>
        <v/>
      </c>
      <c r="BC861" s="55" t="str">
        <f aca="false">IF(AN861&lt;=0,"",IF(BU861="Aussen","Aussenlager",IF(BU861="-","Nicht im Lift",IF(AS861&gt;=1,"Lift",IF(AS861&lt;=0,"Aussenlager","teilweise")))))</f>
        <v>Lift</v>
      </c>
      <c r="BD861" s="55" t="str">
        <f aca="false">IF(AV861&lt;=0,"",IF(BU861="Aussen","Aussenlager",IF(BU861="-","Nicht im Lift",IF(BA861&gt;=1,"Lift",IF(BA861&lt;=0,"Aussenlager","teilweise")))))</f>
        <v>Lift</v>
      </c>
      <c r="BE861" s="55" t="str">
        <f aca="false">IF(A861="","",IF(BN861=1,"Neu; ","")&amp;IF(AND(BN861=0,BI861&lt;0),"negativer Bestand (Export "&amp;BI861&amp;"); ","")&amp;IF(I861&lt;=0,"Kein Verbrauch; ","")&amp;IF(CD861&gt;0,"Lift "&amp;U861&amp;" lt. Liftbericht (Fach "&amp;V861&amp;" Stk); ",IF(BR861=1,"Lose – Fläche geschätzt; ",""))&amp;IF(G861&gt;AP861,"Überbestand "&amp;ROUND(G861-AP861,0)&amp;" Stk / CHF "&amp;ROUND((G861-AP861)*F861,0)&amp;"; ","")&amp;IF(AND(BW861=1,BX861&lt;BY861),"MAX &lt; MB+LG; ","")&amp;IF(AND(CC861&gt;0,CB861*10&gt;CC861),"zu hoch für Tablar; ","")&amp;IF(AND(BN861=0,OR(BW861=1,Y861&lt;&gt;"",S861&lt;&gt;"",T861&lt;&gt;"",Z861&lt;&gt;"")),"manuell übersteuert; ","")&amp;IF(AND(BR861=0,Q861=0),"Gebinde unbekannt / Stellmass fehlt; ","")&amp;IF(AND(BR861=0,N(T861)&lt;=0,N(P861)&lt;=0),"Menge pro Gebinde fehlt (Ist = 1 Gebinde); ","")&amp;BM861)</f>
        <v>negativer Bestand (Export -5); </v>
      </c>
      <c r="BF861" s="55"/>
      <c r="BG861" s="55"/>
      <c r="BH861" s="62"/>
      <c r="BI861" s="57" t="n">
        <v>-5</v>
      </c>
      <c r="BJ861" s="57" t="n">
        <v>11</v>
      </c>
      <c r="BK861" s="56" t="n">
        <v>-20.43</v>
      </c>
      <c r="BL861" s="57" t="n">
        <v>10</v>
      </c>
      <c r="BM861" s="55"/>
      <c r="BN861" s="60" t="n">
        <v>0</v>
      </c>
      <c r="BO861" s="60" t="n">
        <v>861</v>
      </c>
      <c r="BP861" s="55" t="str">
        <f aca="false">IF(S861&lt;&gt;"",UPPER(TRIM(S861)),IF(O861="","LOSE",O861))</f>
        <v>S32</v>
      </c>
      <c r="BQ861" s="57" t="n">
        <f aca="false">IF(BP861="LOSE",1,IF(N(T861)&gt;0,T861,IF(N(P861)&gt;0,P861,MAX(1,G861))))</f>
        <v>20</v>
      </c>
      <c r="BR861" s="60" t="n">
        <f aca="false">IF(BP861="LOSE",1,0)</f>
        <v>0</v>
      </c>
      <c r="BS861" s="59" t="n">
        <f aca="false">IF(BR861=0,0,IF(N(R861)&gt;0,R861,IFERROR(VLOOKUP(D861,Parameter!$A$35:$C$64,3,0)+0,0)))</f>
        <v>0</v>
      </c>
      <c r="BT861" s="55" t="n">
        <f aca="false">IF(Y861&lt;&gt;"",Y861,X861)</f>
        <v>3</v>
      </c>
      <c r="BU861" s="55" t="str">
        <f aca="false">IF(BT861=1,"L1",IF(OR(BT861=2,BT861=3),"L23",IF(BT861="Aussen","Aussen","-")))</f>
        <v>L23</v>
      </c>
      <c r="BV861" s="66" t="n">
        <f aca="false">IF(N(Z861)&gt;0,Z861,0)</f>
        <v>0</v>
      </c>
      <c r="BW861" s="60" t="n">
        <f aca="false">IF(ISNUMBER(AC861),1,0)</f>
        <v>0</v>
      </c>
      <c r="BX861" s="57" t="n">
        <f aca="false">N(AC861)</f>
        <v>0</v>
      </c>
      <c r="BY861" s="57" t="n">
        <f aca="false">N(L861)+N(M861)</f>
        <v>10</v>
      </c>
      <c r="BZ861" s="57" t="n">
        <f aca="false">ROUNDUP(G861/BQ861,0)</f>
        <v>0</v>
      </c>
      <c r="CA861" s="57" t="n">
        <f aca="false">ROUNDUP(BX861/BQ861,0)</f>
        <v>0</v>
      </c>
      <c r="CB861" s="60" t="n">
        <f aca="false">IF(BR861=1,0,IFERROR(VLOOKUP(BP861,'Gebinde-Kategorie'!$A$5:$M$45,5,0)+0,0))</f>
        <v>8</v>
      </c>
      <c r="CC861" s="60" t="n">
        <f aca="false">IFERROR(IF(OR(BT861=1,BT861=2,BT861=3),N(INDEX(Parameter!$I$5:$I$7,BT861)),0),0)</f>
        <v>0</v>
      </c>
      <c r="CD861" s="59" t="n">
        <f aca="false">IF(AND(Parameter!$B$21="Ja",ISNUMBER(U861),N(V861)&gt;0),IFERROR(N(INDEX(Parameter!$L$5:$L$7,U861))*INDEX(Parameter!$E$5:$E$7,U861)*V861/SUMIFS($V$7:$V$1576,$U$7:$U$1576,U861),0),0)</f>
        <v>0</v>
      </c>
    </row>
    <row r="862" customFormat="false" ht="15" hidden="false" customHeight="false" outlineLevel="0" collapsed="false">
      <c r="A862" s="55" t="s">
        <v>1629</v>
      </c>
      <c r="B862" s="55" t="s">
        <v>1630</v>
      </c>
      <c r="C862" s="55" t="s">
        <v>160</v>
      </c>
      <c r="D862" s="55" t="s">
        <v>178</v>
      </c>
      <c r="E862" s="55" t="s">
        <v>210</v>
      </c>
      <c r="F862" s="56" t="n">
        <v>20.5</v>
      </c>
      <c r="G862" s="57" t="n">
        <f aca="false">MAX(0,IF(AND(Parameter!$B$21="Ja",ISNUMBER(W862)),W862,IF(Parameter!$B$20="Jahresanfang 2025 + Export",BJ862+BI862,BI862)))</f>
        <v>0</v>
      </c>
      <c r="H862" s="57" t="n">
        <f aca="false">G862*F862</f>
        <v>0</v>
      </c>
      <c r="I862" s="57" t="n">
        <f aca="false">BL862*Parameter!$B$18</f>
        <v>1</v>
      </c>
      <c r="J862" s="58" t="n">
        <v>12.5</v>
      </c>
      <c r="K862" s="59" t="n">
        <v>0.08</v>
      </c>
      <c r="L862" s="57" t="n">
        <v>0</v>
      </c>
      <c r="M862" s="57" t="n">
        <v>1</v>
      </c>
      <c r="N862" s="60" t="n">
        <v>42</v>
      </c>
      <c r="O862" s="55" t="s">
        <v>465</v>
      </c>
      <c r="P862" s="57" t="n">
        <v>22</v>
      </c>
      <c r="Q862" s="60" t="n">
        <f aca="false">IF(BR862=1,0,IFERROR(VLOOKUP(BP862,'Gebinde-Kategorie'!$A$5:$M$45,13,0)+0,0))</f>
        <v>66</v>
      </c>
      <c r="R862" s="61"/>
      <c r="S862" s="62"/>
      <c r="T862" s="62"/>
      <c r="U862" s="55"/>
      <c r="V862" s="57"/>
      <c r="W862" s="57"/>
      <c r="X862" s="55" t="n">
        <f aca="false">IF(A862="","",IF(AND(Parameter!$B$21="Ja",ISNUMBER(U862)),U862,IF(IFERROR(VLOOKUP(D862,Parameter!$A$35:$C$64,2,0),"Nein")="2+3",IF(ISNUMBER(SEARCH("grosser Artikel",BM862)),2,IFERROR(VLOOKUP(BP862,Parameter!$F$35:$G$64,2,0),2)),IF(OR(IFERROR(VLOOKUP(D862,Parameter!$A$35:$C$64,2,0),"Nein")="Nein",IFERROR(VLOOKUP(D862,Parameter!$A$35:$C$64,2,0),"Nein")=""),"-",VLOOKUP(D862,Parameter!$A$35:$C$64,2,0)))))</f>
        <v>3</v>
      </c>
      <c r="Y862" s="62"/>
      <c r="Z862" s="63"/>
      <c r="AA862" s="57" t="n">
        <f aca="false">AP862</f>
        <v>22</v>
      </c>
      <c r="AB862" s="57" t="n">
        <f aca="false">MAX(AP862,G862)</f>
        <v>22</v>
      </c>
      <c r="AC862" s="64"/>
      <c r="AD862" s="57" t="n">
        <f aca="false">IF(LEFT(Cockpit!$C$5,1)="A",G862,IF(BW862=1,BX862,IF(LEFT(Cockpit!$C$5,1)="B",AH862,MAX(AH862,G862))))</f>
        <v>0</v>
      </c>
      <c r="AE862" s="57" t="n">
        <f aca="false">IF(BR862=1,0,ROUNDUP(AD862/BQ862,0))</f>
        <v>0</v>
      </c>
      <c r="AF862" s="59" t="n">
        <f aca="false">IF(CD862&gt;0,CD862*MAX(1,AD862/V862),IF(BR862=1,IF(AD862&lt;=0,0,BS862*MAX(1,IF(G862&gt;0,AD862/G862,1))),IF(Q862&gt;0,AE862/Q862,0))/MAX(0.1,N(Parameter!$M$21)))</f>
        <v>0</v>
      </c>
      <c r="AG862" s="57" t="n">
        <f aca="false">AD862*F862</f>
        <v>0</v>
      </c>
      <c r="AH862" s="57" t="n">
        <f aca="false">ROUNDUP(MAX(I862/IF(BV862&gt;0,BV862,MAX(0.1,N(Cockpit!$C$6))),BY862)/BQ862,0)*BQ862</f>
        <v>22</v>
      </c>
      <c r="AI862" s="58" t="n">
        <f aca="false">IF(AF862&gt;0,I862/AF862,-1)</f>
        <v>-1</v>
      </c>
      <c r="AJ862" s="58" t="str">
        <f aca="false">IF(AND(OR(BU862="L1",BU862="L23"),AF862&gt;0),SUMIFS($AF$7:$AF$1576,$BU$7:$BU$1576,BU862,$AI$7:$AI$1576,"&gt;"&amp;AI862)+SUMIFS($AF$7:$AF$1576,$BU$7:$BU$1576,BU862,$AI$7:$AI$1576,AI862,$BO$7:$BO$1576,"&lt;="&amp;BO862),"")</f>
        <v/>
      </c>
      <c r="AK862" s="65" t="n">
        <f aca="false">IF(AJ862="",0,MAX(0,MIN(1,(IF(BU862="L1",Parameter!$E$5,Parameter!$E$6+Parameter!$E$7)-(AJ862-AF862))/AF862)))</f>
        <v>0</v>
      </c>
      <c r="AL862" s="57" t="n">
        <f aca="false">IF(LEFT(Cockpit!$I$5,1)="A",G862,IF(BW862=1,BX862,IF(LEFT(Cockpit!$I$5,1)="B",AP862,MAX(AP862,G862))))</f>
        <v>22</v>
      </c>
      <c r="AM862" s="57" t="n">
        <f aca="false">IF(BR862=1,0,ROUNDUP(AL862/BQ862,0))</f>
        <v>1</v>
      </c>
      <c r="AN862" s="59" t="n">
        <f aca="false">IF(CD862&gt;0,CD862*MAX(1,AL862/V862),IF(BR862=1,IF(AL862&lt;=0,0,BS862*MAX(1,IF(G862&gt;0,AL862/G862,1))),IF(Q862&gt;0,AM862/Q862,0))/MAX(0.1,N(Parameter!$M$21)))</f>
        <v>0.0151515151515152</v>
      </c>
      <c r="AO862" s="57" t="n">
        <f aca="false">AL862*F862</f>
        <v>451</v>
      </c>
      <c r="AP862" s="57" t="n">
        <f aca="false">ROUNDUP(MAX(I862/IF(BV862&gt;0,BV862,MAX(0.1,N(Cockpit!$I$6))),BY862)/BQ862,0)*BQ862</f>
        <v>22</v>
      </c>
      <c r="AQ862" s="58" t="n">
        <f aca="false">IF(AN862&gt;0,I862/AN862,-1)</f>
        <v>66</v>
      </c>
      <c r="AR862" s="58" t="n">
        <f aca="false">IF(AND(OR(BU862="L1",BU862="L23"),AN862&gt;0),SUMIFS($AN$7:$AN$1576,$BU$7:$BU$1576,BU862,$AQ$7:$AQ$1576,"&gt;"&amp;AQ862)+SUMIFS($AN$7:$AN$1576,$BU$7:$BU$1576,BU862,$AQ$7:$AQ$1576,AQ862,$BO$7:$BO$1576,"&lt;="&amp;BO862),"")</f>
        <v>76.272900789162</v>
      </c>
      <c r="AS862" s="65" t="n">
        <f aca="false">IF(AR862="",0,MAX(0,MIN(1,(IF(BU862="L1",Parameter!$E$5,Parameter!$E$6+Parameter!$E$7)-(AR862-AN862))/AN862)))</f>
        <v>1</v>
      </c>
      <c r="AT862" s="57" t="n">
        <f aca="false">IF(LEFT(Cockpit!$O$5,1)="A",G862,IF(BW862=1,BX862,IF(LEFT(Cockpit!$O$5,1)="B",AX862,MAX(AX862,G862))))</f>
        <v>22</v>
      </c>
      <c r="AU862" s="57" t="n">
        <f aca="false">IF(BR862=1,0,ROUNDUP(AT862/BQ862,0))</f>
        <v>1</v>
      </c>
      <c r="AV862" s="59" t="n">
        <f aca="false">IF(CD862&gt;0,CD862*MAX(1,AT862/V862),IF(BR862=1,IF(AT862&lt;=0,0,BS862*MAX(1,IF(G862&gt;0,AT862/G862,1))),IF(Q862&gt;0,AU862/Q862,0))/MAX(0.1,N(Parameter!$M$21)))</f>
        <v>0.0151515151515152</v>
      </c>
      <c r="AW862" s="57" t="n">
        <f aca="false">AT862*F862</f>
        <v>451</v>
      </c>
      <c r="AX862" s="57" t="n">
        <f aca="false">ROUNDUP(MAX(I862/IF(BV862&gt;0,BV862,MAX(0.1,N(Cockpit!$O$6))),BY862)/BQ862,0)*BQ862</f>
        <v>22</v>
      </c>
      <c r="AY862" s="58" t="n">
        <f aca="false">IF(AV862&gt;0,I862/AV862,-1)</f>
        <v>66</v>
      </c>
      <c r="AZ862" s="58" t="n">
        <f aca="false">IF(AND(OR(BU862="L1",BU862="L23"),AV862&gt;0),SUMIFS($AV$7:$AV$1576,$BU$7:$BU$1576,BU862,$AY$7:$AY$1576,"&gt;"&amp;AY862)+SUMIFS($AV$7:$AV$1576,$BU$7:$BU$1576,BU862,$AY$7:$AY$1576,AY862,$BO$7:$BO$1576,"&lt;="&amp;BO862),"")</f>
        <v>74.9841179053791</v>
      </c>
      <c r="BA862" s="65" t="n">
        <f aca="false">IF(AZ862="",0,MAX(0,MIN(1,(IF(BU862="L1",Parameter!$E$5,Parameter!$E$6+Parameter!$E$7)-(AZ862-AV862))/AV862)))</f>
        <v>1</v>
      </c>
      <c r="BB862" s="55" t="str">
        <f aca="false">IF(AF862&lt;=0,"",IF(BU862="Aussen","Aussenlager",IF(BU862="-","Nicht im Lift",IF(AK862&gt;=1,"Lift",IF(AK862&lt;=0,"Aussenlager","teilweise")))))</f>
        <v/>
      </c>
      <c r="BC862" s="55" t="str">
        <f aca="false">IF(AN862&lt;=0,"",IF(BU862="Aussen","Aussenlager",IF(BU862="-","Nicht im Lift",IF(AS862&gt;=1,"Lift",IF(AS862&lt;=0,"Aussenlager","teilweise")))))</f>
        <v>Lift</v>
      </c>
      <c r="BD862" s="55" t="str">
        <f aca="false">IF(AV862&lt;=0,"",IF(BU862="Aussen","Aussenlager",IF(BU862="-","Nicht im Lift",IF(BA862&gt;=1,"Lift",IF(BA862&lt;=0,"Aussenlager","teilweise")))))</f>
        <v>Lift</v>
      </c>
      <c r="BE862" s="55" t="str">
        <f aca="false">IF(A862="","",IF(BN862=1,"Neu; ","")&amp;IF(AND(BN862=0,BI862&lt;0),"negativer Bestand (Export "&amp;BI862&amp;"); ","")&amp;IF(I862&lt;=0,"Kein Verbrauch; ","")&amp;IF(CD862&gt;0,"Lift "&amp;U862&amp;" lt. Liftbericht (Fach "&amp;V862&amp;" Stk); ",IF(BR862=1,"Lose – Fläche geschätzt; ",""))&amp;IF(G862&gt;AP862,"Überbestand "&amp;ROUND(G862-AP862,0)&amp;" Stk / CHF "&amp;ROUND((G862-AP862)*F862,0)&amp;"; ","")&amp;IF(AND(BW862=1,BX862&lt;BY862),"MAX &lt; MB+LG; ","")&amp;IF(AND(CC862&gt;0,CB862*10&gt;CC862),"zu hoch für Tablar; ","")&amp;IF(AND(BN862=0,OR(BW862=1,Y862&lt;&gt;"",S862&lt;&gt;"",T862&lt;&gt;"",Z862&lt;&gt;"")),"manuell übersteuert; ","")&amp;IF(AND(BR862=0,Q862=0),"Gebinde unbekannt / Stellmass fehlt; ","")&amp;IF(AND(BR862=0,N(T862)&lt;=0,N(P862)&lt;=0),"Menge pro Gebinde fehlt (Ist = 1 Gebinde); ","")&amp;BM862)</f>
        <v>negativer Bestand (Export -1); </v>
      </c>
      <c r="BF862" s="55"/>
      <c r="BG862" s="55"/>
      <c r="BH862" s="62"/>
      <c r="BI862" s="57" t="n">
        <v>-1</v>
      </c>
      <c r="BJ862" s="57" t="n">
        <v>13</v>
      </c>
      <c r="BK862" s="56" t="n">
        <v>-20.5</v>
      </c>
      <c r="BL862" s="57" t="n">
        <v>1</v>
      </c>
      <c r="BM862" s="55"/>
      <c r="BN862" s="60" t="n">
        <v>0</v>
      </c>
      <c r="BO862" s="60" t="n">
        <v>862</v>
      </c>
      <c r="BP862" s="55" t="str">
        <f aca="false">IF(S862&lt;&gt;"",UPPER(TRIM(S862)),IF(O862="","LOSE",O862))</f>
        <v>S33</v>
      </c>
      <c r="BQ862" s="57" t="n">
        <f aca="false">IF(BP862="LOSE",1,IF(N(T862)&gt;0,T862,IF(N(P862)&gt;0,P862,MAX(1,G862))))</f>
        <v>22</v>
      </c>
      <c r="BR862" s="60" t="n">
        <f aca="false">IF(BP862="LOSE",1,0)</f>
        <v>0</v>
      </c>
      <c r="BS862" s="59" t="n">
        <f aca="false">IF(BR862=0,0,IF(N(R862)&gt;0,R862,IFERROR(VLOOKUP(D862,Parameter!$A$35:$C$64,3,0)+0,0)))</f>
        <v>0</v>
      </c>
      <c r="BT862" s="55" t="n">
        <f aca="false">IF(Y862&lt;&gt;"",Y862,X862)</f>
        <v>3</v>
      </c>
      <c r="BU862" s="55" t="str">
        <f aca="false">IF(BT862=1,"L1",IF(OR(BT862=2,BT862=3),"L23",IF(BT862="Aussen","Aussen","-")))</f>
        <v>L23</v>
      </c>
      <c r="BV862" s="66" t="n">
        <f aca="false">IF(N(Z862)&gt;0,Z862,0)</f>
        <v>0</v>
      </c>
      <c r="BW862" s="60" t="n">
        <f aca="false">IF(ISNUMBER(AC862),1,0)</f>
        <v>0</v>
      </c>
      <c r="BX862" s="57" t="n">
        <f aca="false">N(AC862)</f>
        <v>0</v>
      </c>
      <c r="BY862" s="57" t="n">
        <f aca="false">N(L862)+N(M862)</f>
        <v>1</v>
      </c>
      <c r="BZ862" s="57" t="n">
        <f aca="false">ROUNDUP(G862/BQ862,0)</f>
        <v>0</v>
      </c>
      <c r="CA862" s="57" t="n">
        <f aca="false">ROUNDUP(BX862/BQ862,0)</f>
        <v>0</v>
      </c>
      <c r="CB862" s="60" t="n">
        <f aca="false">IF(BR862=1,0,IFERROR(VLOOKUP(BP862,'Gebinde-Kategorie'!$A$5:$M$45,5,0)+0,0))</f>
        <v>8</v>
      </c>
      <c r="CC862" s="60" t="n">
        <f aca="false">IFERROR(IF(OR(BT862=1,BT862=2,BT862=3),N(INDEX(Parameter!$I$5:$I$7,BT862)),0),0)</f>
        <v>0</v>
      </c>
      <c r="CD862" s="59" t="n">
        <f aca="false">IF(AND(Parameter!$B$21="Ja",ISNUMBER(U862),N(V862)&gt;0),IFERROR(N(INDEX(Parameter!$L$5:$L$7,U862))*INDEX(Parameter!$E$5:$E$7,U862)*V862/SUMIFS($V$7:$V$1576,$U$7:$U$1576,U862),0),0)</f>
        <v>0</v>
      </c>
    </row>
    <row r="863" customFormat="false" ht="15" hidden="false" customHeight="false" outlineLevel="0" collapsed="false">
      <c r="A863" s="55" t="s">
        <v>1631</v>
      </c>
      <c r="B863" s="55" t="s">
        <v>397</v>
      </c>
      <c r="C863" s="55" t="s">
        <v>160</v>
      </c>
      <c r="D863" s="55" t="s">
        <v>178</v>
      </c>
      <c r="E863" s="55" t="s">
        <v>210</v>
      </c>
      <c r="F863" s="56" t="n">
        <v>0.24</v>
      </c>
      <c r="G863" s="57" t="n">
        <f aca="false">MAX(0,IF(AND(Parameter!$B$21="Ja",ISNUMBER(W863)),W863,IF(Parameter!$B$20="Jahresanfang 2025 + Export",BJ863+BI863,BI863)))</f>
        <v>0</v>
      </c>
      <c r="H863" s="57" t="n">
        <f aca="false">G863*F863</f>
        <v>0</v>
      </c>
      <c r="I863" s="57" t="n">
        <f aca="false">BL863*Parameter!$B$18</f>
        <v>7214</v>
      </c>
      <c r="J863" s="58" t="n">
        <v>2296</v>
      </c>
      <c r="K863" s="59" t="n">
        <v>3.14198606271777</v>
      </c>
      <c r="L863" s="57" t="n">
        <v>281</v>
      </c>
      <c r="M863" s="57" t="n">
        <v>2000</v>
      </c>
      <c r="N863" s="60" t="n">
        <v>14</v>
      </c>
      <c r="O863" s="55" t="s">
        <v>293</v>
      </c>
      <c r="P863" s="57" t="n">
        <v>1444</v>
      </c>
      <c r="Q863" s="60" t="n">
        <f aca="false">IF(BR863=1,0,IFERROR(VLOOKUP(BP863,'Gebinde-Kategorie'!$A$5:$M$45,13,0)+0,0))</f>
        <v>26</v>
      </c>
      <c r="R863" s="61"/>
      <c r="S863" s="62"/>
      <c r="T863" s="62"/>
      <c r="U863" s="55"/>
      <c r="V863" s="57"/>
      <c r="W863" s="57"/>
      <c r="X863" s="55" t="n">
        <f aca="false">IF(A863="","",IF(AND(Parameter!$B$21="Ja",ISNUMBER(U863)),U863,IF(IFERROR(VLOOKUP(D863,Parameter!$A$35:$C$64,2,0),"Nein")="2+3",IF(ISNUMBER(SEARCH("grosser Artikel",BM863)),2,IFERROR(VLOOKUP(BP863,Parameter!$F$35:$G$64,2,0),2)),IF(OR(IFERROR(VLOOKUP(D863,Parameter!$A$35:$C$64,2,0),"Nein")="Nein",IFERROR(VLOOKUP(D863,Parameter!$A$35:$C$64,2,0),"Nein")=""),"-",VLOOKUP(D863,Parameter!$A$35:$C$64,2,0)))))</f>
        <v>3</v>
      </c>
      <c r="Y863" s="62"/>
      <c r="Z863" s="63"/>
      <c r="AA863" s="57" t="n">
        <f aca="false">AP863</f>
        <v>4332</v>
      </c>
      <c r="AB863" s="57" t="n">
        <f aca="false">MAX(AP863,G863)</f>
        <v>4332</v>
      </c>
      <c r="AC863" s="64"/>
      <c r="AD863" s="57" t="n">
        <f aca="false">IF(LEFT(Cockpit!$C$5,1)="A",G863,IF(BW863=1,BX863,IF(LEFT(Cockpit!$C$5,1)="B",AH863,MAX(AH863,G863))))</f>
        <v>0</v>
      </c>
      <c r="AE863" s="57" t="n">
        <f aca="false">IF(BR863=1,0,ROUNDUP(AD863/BQ863,0))</f>
        <v>0</v>
      </c>
      <c r="AF863" s="59" t="n">
        <f aca="false">IF(CD863&gt;0,CD863*MAX(1,AD863/V863),IF(BR863=1,IF(AD863&lt;=0,0,BS863*MAX(1,IF(G863&gt;0,AD863/G863,1))),IF(Q863&gt;0,AE863/Q863,0))/MAX(0.1,N(Parameter!$M$21)))</f>
        <v>0</v>
      </c>
      <c r="AG863" s="57" t="n">
        <f aca="false">AD863*F863</f>
        <v>0</v>
      </c>
      <c r="AH863" s="57" t="n">
        <f aca="false">ROUNDUP(MAX(I863/IF(BV863&gt;0,BV863,MAX(0.1,N(Cockpit!$C$6))),BY863)/BQ863,0)*BQ863</f>
        <v>4332</v>
      </c>
      <c r="AI863" s="58" t="n">
        <f aca="false">IF(AF863&gt;0,I863/AF863,-1)</f>
        <v>-1</v>
      </c>
      <c r="AJ863" s="58" t="str">
        <f aca="false">IF(AND(OR(BU863="L1",BU863="L23"),AF863&gt;0),SUMIFS($AF$7:$AF$1576,$BU$7:$BU$1576,BU863,$AI$7:$AI$1576,"&gt;"&amp;AI863)+SUMIFS($AF$7:$AF$1576,$BU$7:$BU$1576,BU863,$AI$7:$AI$1576,AI863,$BO$7:$BO$1576,"&lt;="&amp;BO863),"")</f>
        <v/>
      </c>
      <c r="AK863" s="65" t="n">
        <f aca="false">IF(AJ863="",0,MAX(0,MIN(1,(IF(BU863="L1",Parameter!$E$5,Parameter!$E$6+Parameter!$E$7)-(AJ863-AF863))/AF863)))</f>
        <v>0</v>
      </c>
      <c r="AL863" s="57" t="n">
        <f aca="false">IF(LEFT(Cockpit!$I$5,1)="A",G863,IF(BW863=1,BX863,IF(LEFT(Cockpit!$I$5,1)="B",AP863,MAX(AP863,G863))))</f>
        <v>4332</v>
      </c>
      <c r="AM863" s="57" t="n">
        <f aca="false">IF(BR863=1,0,ROUNDUP(AL863/BQ863,0))</f>
        <v>3</v>
      </c>
      <c r="AN863" s="59" t="n">
        <f aca="false">IF(CD863&gt;0,CD863*MAX(1,AL863/V863),IF(BR863=1,IF(AL863&lt;=0,0,BS863*MAX(1,IF(G863&gt;0,AL863/G863,1))),IF(Q863&gt;0,AM863/Q863,0))/MAX(0.1,N(Parameter!$M$21)))</f>
        <v>0.115384615384615</v>
      </c>
      <c r="AO863" s="57" t="n">
        <f aca="false">AL863*F863</f>
        <v>1039.68</v>
      </c>
      <c r="AP863" s="57" t="n">
        <f aca="false">ROUNDUP(MAX(I863/IF(BV863&gt;0,BV863,MAX(0.1,N(Cockpit!$I$6))),BY863)/BQ863,0)*BQ863</f>
        <v>4332</v>
      </c>
      <c r="AQ863" s="58" t="n">
        <f aca="false">IF(AN863&gt;0,I863/AN863,-1)</f>
        <v>62521.3333333333</v>
      </c>
      <c r="AR863" s="58" t="n">
        <f aca="false">IF(AND(OR(BU863="L1",BU863="L23"),AN863&gt;0),SUMIFS($AN$7:$AN$1576,$BU$7:$BU$1576,BU863,$AQ$7:$AQ$1576,"&gt;"&amp;AQ863)+SUMIFS($AN$7:$AN$1576,$BU$7:$BU$1576,BU863,$AQ$7:$AQ$1576,AQ863,$BO$7:$BO$1576,"&lt;="&amp;BO863),"")</f>
        <v>0.878650383432992</v>
      </c>
      <c r="AS863" s="65" t="n">
        <f aca="false">IF(AR863="",0,MAX(0,MIN(1,(IF(BU863="L1",Parameter!$E$5,Parameter!$E$6+Parameter!$E$7)-(AR863-AN863))/AN863)))</f>
        <v>1</v>
      </c>
      <c r="AT863" s="57" t="n">
        <f aca="false">IF(LEFT(Cockpit!$O$5,1)="A",G863,IF(BW863=1,BX863,IF(LEFT(Cockpit!$O$5,1)="B",AX863,MAX(AX863,G863))))</f>
        <v>2888</v>
      </c>
      <c r="AU863" s="57" t="n">
        <f aca="false">IF(BR863=1,0,ROUNDUP(AT863/BQ863,0))</f>
        <v>2</v>
      </c>
      <c r="AV863" s="59" t="n">
        <f aca="false">IF(CD863&gt;0,CD863*MAX(1,AT863/V863),IF(BR863=1,IF(AT863&lt;=0,0,BS863*MAX(1,IF(G863&gt;0,AT863/G863,1))),IF(Q863&gt;0,AU863/Q863,0))/MAX(0.1,N(Parameter!$M$21)))</f>
        <v>0.0769230769230769</v>
      </c>
      <c r="AW863" s="57" t="n">
        <f aca="false">AT863*F863</f>
        <v>693.12</v>
      </c>
      <c r="AX863" s="57" t="n">
        <f aca="false">ROUNDUP(MAX(I863/IF(BV863&gt;0,BV863,MAX(0.1,N(Cockpit!$O$6))),BY863)/BQ863,0)*BQ863</f>
        <v>2888</v>
      </c>
      <c r="AY863" s="58" t="n">
        <f aca="false">IF(AV863&gt;0,I863/AV863,-1)</f>
        <v>93782</v>
      </c>
      <c r="AZ863" s="58" t="n">
        <f aca="false">IF(AND(OR(BU863="L1",BU863="L23"),AV863&gt;0),SUMIFS($AV$7:$AV$1576,$BU$7:$BU$1576,BU863,$AY$7:$AY$1576,"&gt;"&amp;AY863)+SUMIFS($AV$7:$AV$1576,$BU$7:$BU$1576,BU863,$AY$7:$AY$1576,AY863,$BO$7:$BO$1576,"&lt;="&amp;BO863),"")</f>
        <v>0.546802472889429</v>
      </c>
      <c r="BA863" s="65" t="n">
        <f aca="false">IF(AZ863="",0,MAX(0,MIN(1,(IF(BU863="L1",Parameter!$E$5,Parameter!$E$6+Parameter!$E$7)-(AZ863-AV863))/AV863)))</f>
        <v>1</v>
      </c>
      <c r="BB863" s="55" t="str">
        <f aca="false">IF(AF863&lt;=0,"",IF(BU863="Aussen","Aussenlager",IF(BU863="-","Nicht im Lift",IF(AK863&gt;=1,"Lift",IF(AK863&lt;=0,"Aussenlager","teilweise")))))</f>
        <v/>
      </c>
      <c r="BC863" s="55" t="str">
        <f aca="false">IF(AN863&lt;=0,"",IF(BU863="Aussen","Aussenlager",IF(BU863="-","Nicht im Lift",IF(AS863&gt;=1,"Lift",IF(AS863&lt;=0,"Aussenlager","teilweise")))))</f>
        <v>Lift</v>
      </c>
      <c r="BD863" s="55" t="str">
        <f aca="false">IF(AV863&lt;=0,"",IF(BU863="Aussen","Aussenlager",IF(BU863="-","Nicht im Lift",IF(BA863&gt;=1,"Lift",IF(BA863&lt;=0,"Aussenlager","teilweise")))))</f>
        <v>Lift</v>
      </c>
      <c r="BE863" s="55" t="str">
        <f aca="false">IF(A863="","",IF(BN863=1,"Neu; ","")&amp;IF(AND(BN863=0,BI863&lt;0),"negativer Bestand (Export "&amp;BI863&amp;"); ","")&amp;IF(I863&lt;=0,"Kein Verbrauch; ","")&amp;IF(CD863&gt;0,"Lift "&amp;U863&amp;" lt. Liftbericht (Fach "&amp;V863&amp;" Stk); ",IF(BR863=1,"Lose – Fläche geschätzt; ",""))&amp;IF(G863&gt;AP863,"Überbestand "&amp;ROUND(G863-AP863,0)&amp;" Stk / CHF "&amp;ROUND((G863-AP863)*F863,0)&amp;"; ","")&amp;IF(AND(BW863=1,BX863&lt;BY863),"MAX &lt; MB+LG; ","")&amp;IF(AND(CC863&gt;0,CB863*10&gt;CC863),"zu hoch für Tablar; ","")&amp;IF(AND(BN863=0,OR(BW863=1,Y863&lt;&gt;"",S863&lt;&gt;"",T863&lt;&gt;"",Z863&lt;&gt;"")),"manuell übersteuert; ","")&amp;IF(AND(BR863=0,Q863=0),"Gebinde unbekannt / Stellmass fehlt; ","")&amp;IF(AND(BR863=0,N(T863)&lt;=0,N(P863)&lt;=0),"Menge pro Gebinde fehlt (Ist = 1 Gebinde); ","")&amp;BM863)</f>
        <v>negativer Bestand (Export -164); </v>
      </c>
      <c r="BF863" s="55"/>
      <c r="BG863" s="55"/>
      <c r="BH863" s="62"/>
      <c r="BI863" s="57" t="n">
        <v>-164</v>
      </c>
      <c r="BJ863" s="57" t="n">
        <v>1962</v>
      </c>
      <c r="BK863" s="56" t="n">
        <v>-20.9600000000002</v>
      </c>
      <c r="BL863" s="57" t="n">
        <v>7214</v>
      </c>
      <c r="BM863" s="55"/>
      <c r="BN863" s="60" t="n">
        <v>0</v>
      </c>
      <c r="BO863" s="60" t="n">
        <v>863</v>
      </c>
      <c r="BP863" s="55" t="str">
        <f aca="false">IF(S863&lt;&gt;"",UPPER(TRIM(S863)),IF(O863="","LOSE",O863))</f>
        <v>S51</v>
      </c>
      <c r="BQ863" s="57" t="n">
        <f aca="false">IF(BP863="LOSE",1,IF(N(T863)&gt;0,T863,IF(N(P863)&gt;0,P863,MAX(1,G863))))</f>
        <v>1444</v>
      </c>
      <c r="BR863" s="60" t="n">
        <f aca="false">IF(BP863="LOSE",1,0)</f>
        <v>0</v>
      </c>
      <c r="BS863" s="59" t="n">
        <f aca="false">IF(BR863=0,0,IF(N(R863)&gt;0,R863,IFERROR(VLOOKUP(D863,Parameter!$A$35:$C$64,3,0)+0,0)))</f>
        <v>0</v>
      </c>
      <c r="BT863" s="55" t="n">
        <f aca="false">IF(Y863&lt;&gt;"",Y863,X863)</f>
        <v>3</v>
      </c>
      <c r="BU863" s="55" t="str">
        <f aca="false">IF(BT863=1,"L1",IF(OR(BT863=2,BT863=3),"L23",IF(BT863="Aussen","Aussen","-")))</f>
        <v>L23</v>
      </c>
      <c r="BV863" s="66" t="n">
        <f aca="false">IF(N(Z863)&gt;0,Z863,0)</f>
        <v>0</v>
      </c>
      <c r="BW863" s="60" t="n">
        <f aca="false">IF(ISNUMBER(AC863),1,0)</f>
        <v>0</v>
      </c>
      <c r="BX863" s="57" t="n">
        <f aca="false">N(AC863)</f>
        <v>0</v>
      </c>
      <c r="BY863" s="57" t="n">
        <f aca="false">N(L863)+N(M863)</f>
        <v>2281</v>
      </c>
      <c r="BZ863" s="57" t="n">
        <f aca="false">ROUNDUP(G863/BQ863,0)</f>
        <v>0</v>
      </c>
      <c r="CA863" s="57" t="n">
        <f aca="false">ROUNDUP(BX863/BQ863,0)</f>
        <v>0</v>
      </c>
      <c r="CB863" s="60" t="n">
        <f aca="false">IF(BR863=1,0,IFERROR(VLOOKUP(BP863,'Gebinde-Kategorie'!$A$5:$M$45,5,0)+0,0))</f>
        <v>11</v>
      </c>
      <c r="CC863" s="60" t="n">
        <f aca="false">IFERROR(IF(OR(BT863=1,BT863=2,BT863=3),N(INDEX(Parameter!$I$5:$I$7,BT863)),0),0)</f>
        <v>0</v>
      </c>
      <c r="CD863" s="59" t="n">
        <f aca="false">IF(AND(Parameter!$B$21="Ja",ISNUMBER(U863),N(V863)&gt;0),IFERROR(N(INDEX(Parameter!$L$5:$L$7,U863))*INDEX(Parameter!$E$5:$E$7,U863)*V863/SUMIFS($V$7:$V$1576,$U$7:$U$1576,U863),0),0)</f>
        <v>0</v>
      </c>
    </row>
    <row r="864" customFormat="false" ht="15" hidden="false" customHeight="false" outlineLevel="0" collapsed="false">
      <c r="A864" s="55" t="s">
        <v>1632</v>
      </c>
      <c r="B864" s="55" t="s">
        <v>1154</v>
      </c>
      <c r="C864" s="55" t="s">
        <v>160</v>
      </c>
      <c r="D864" s="55" t="s">
        <v>178</v>
      </c>
      <c r="E864" s="55" t="s">
        <v>210</v>
      </c>
      <c r="F864" s="56" t="n">
        <v>9.37</v>
      </c>
      <c r="G864" s="57" t="n">
        <f aca="false">MAX(0,IF(AND(Parameter!$B$21="Ja",ISNUMBER(W864)),W864,IF(Parameter!$B$20="Jahresanfang 2025 + Export",BJ864+BI864,BI864)))</f>
        <v>0</v>
      </c>
      <c r="H864" s="57" t="n">
        <f aca="false">G864*F864</f>
        <v>0</v>
      </c>
      <c r="I864" s="57" t="n">
        <f aca="false">BL864*Parameter!$B$18</f>
        <v>8</v>
      </c>
      <c r="J864" s="58" t="n">
        <v>3.5</v>
      </c>
      <c r="K864" s="59" t="n">
        <v>2.28571428571429</v>
      </c>
      <c r="L864" s="57" t="n">
        <v>0</v>
      </c>
      <c r="M864" s="57" t="n">
        <v>10</v>
      </c>
      <c r="N864" s="60" t="n">
        <v>18</v>
      </c>
      <c r="O864" s="55" t="s">
        <v>411</v>
      </c>
      <c r="P864" s="57" t="n">
        <v>16</v>
      </c>
      <c r="Q864" s="60" t="n">
        <f aca="false">IF(BR864=1,0,IFERROR(VLOOKUP(BP864,'Gebinde-Kategorie'!$A$5:$M$45,13,0)+0,0))</f>
        <v>132</v>
      </c>
      <c r="R864" s="61"/>
      <c r="S864" s="62"/>
      <c r="T864" s="62"/>
      <c r="U864" s="55"/>
      <c r="V864" s="57"/>
      <c r="W864" s="57"/>
      <c r="X864" s="55" t="n">
        <f aca="false">IF(A864="","",IF(AND(Parameter!$B$21="Ja",ISNUMBER(U864)),U864,IF(IFERROR(VLOOKUP(D864,Parameter!$A$35:$C$64,2,0),"Nein")="2+3",IF(ISNUMBER(SEARCH("grosser Artikel",BM864)),2,IFERROR(VLOOKUP(BP864,Parameter!$F$35:$G$64,2,0),2)),IF(OR(IFERROR(VLOOKUP(D864,Parameter!$A$35:$C$64,2,0),"Nein")="Nein",IFERROR(VLOOKUP(D864,Parameter!$A$35:$C$64,2,0),"Nein")=""),"-",VLOOKUP(D864,Parameter!$A$35:$C$64,2,0)))))</f>
        <v>3</v>
      </c>
      <c r="Y864" s="62"/>
      <c r="Z864" s="63"/>
      <c r="AA864" s="57" t="n">
        <f aca="false">AP864</f>
        <v>16</v>
      </c>
      <c r="AB864" s="57" t="n">
        <f aca="false">MAX(AP864,G864)</f>
        <v>16</v>
      </c>
      <c r="AC864" s="64"/>
      <c r="AD864" s="57" t="n">
        <f aca="false">IF(LEFT(Cockpit!$C$5,1)="A",G864,IF(BW864=1,BX864,IF(LEFT(Cockpit!$C$5,1)="B",AH864,MAX(AH864,G864))))</f>
        <v>0</v>
      </c>
      <c r="AE864" s="57" t="n">
        <f aca="false">IF(BR864=1,0,ROUNDUP(AD864/BQ864,0))</f>
        <v>0</v>
      </c>
      <c r="AF864" s="59" t="n">
        <f aca="false">IF(CD864&gt;0,CD864*MAX(1,AD864/V864),IF(BR864=1,IF(AD864&lt;=0,0,BS864*MAX(1,IF(G864&gt;0,AD864/G864,1))),IF(Q864&gt;0,AE864/Q864,0))/MAX(0.1,N(Parameter!$M$21)))</f>
        <v>0</v>
      </c>
      <c r="AG864" s="57" t="n">
        <f aca="false">AD864*F864</f>
        <v>0</v>
      </c>
      <c r="AH864" s="57" t="n">
        <f aca="false">ROUNDUP(MAX(I864/IF(BV864&gt;0,BV864,MAX(0.1,N(Cockpit!$C$6))),BY864)/BQ864,0)*BQ864</f>
        <v>16</v>
      </c>
      <c r="AI864" s="58" t="n">
        <f aca="false">IF(AF864&gt;0,I864/AF864,-1)</f>
        <v>-1</v>
      </c>
      <c r="AJ864" s="58" t="str">
        <f aca="false">IF(AND(OR(BU864="L1",BU864="L23"),AF864&gt;0),SUMIFS($AF$7:$AF$1576,$BU$7:$BU$1576,BU864,$AI$7:$AI$1576,"&gt;"&amp;AI864)+SUMIFS($AF$7:$AF$1576,$BU$7:$BU$1576,BU864,$AI$7:$AI$1576,AI864,$BO$7:$BO$1576,"&lt;="&amp;BO864),"")</f>
        <v/>
      </c>
      <c r="AK864" s="65" t="n">
        <f aca="false">IF(AJ864="",0,MAX(0,MIN(1,(IF(BU864="L1",Parameter!$E$5,Parameter!$E$6+Parameter!$E$7)-(AJ864-AF864))/AF864)))</f>
        <v>0</v>
      </c>
      <c r="AL864" s="57" t="n">
        <f aca="false">IF(LEFT(Cockpit!$I$5,1)="A",G864,IF(BW864=1,BX864,IF(LEFT(Cockpit!$I$5,1)="B",AP864,MAX(AP864,G864))))</f>
        <v>16</v>
      </c>
      <c r="AM864" s="57" t="n">
        <f aca="false">IF(BR864=1,0,ROUNDUP(AL864/BQ864,0))</f>
        <v>1</v>
      </c>
      <c r="AN864" s="59" t="n">
        <f aca="false">IF(CD864&gt;0,CD864*MAX(1,AL864/V864),IF(BR864=1,IF(AL864&lt;=0,0,BS864*MAX(1,IF(G864&gt;0,AL864/G864,1))),IF(Q864&gt;0,AM864/Q864,0))/MAX(0.1,N(Parameter!$M$21)))</f>
        <v>0.00757575757575758</v>
      </c>
      <c r="AO864" s="57" t="n">
        <f aca="false">AL864*F864</f>
        <v>149.92</v>
      </c>
      <c r="AP864" s="57" t="n">
        <f aca="false">ROUNDUP(MAX(I864/IF(BV864&gt;0,BV864,MAX(0.1,N(Cockpit!$I$6))),BY864)/BQ864,0)*BQ864</f>
        <v>16</v>
      </c>
      <c r="AQ864" s="58" t="n">
        <f aca="false">IF(AN864&gt;0,I864/AN864,-1)</f>
        <v>1056</v>
      </c>
      <c r="AR864" s="58" t="n">
        <f aca="false">IF(AND(OR(BU864="L1",BU864="L23"),AN864&gt;0),SUMIFS($AN$7:$AN$1576,$BU$7:$BU$1576,BU864,$AQ$7:$AQ$1576,"&gt;"&amp;AQ864)+SUMIFS($AN$7:$AN$1576,$BU$7:$BU$1576,BU864,$AQ$7:$AQ$1576,AQ864,$BO$7:$BO$1576,"&lt;="&amp;BO864),"")</f>
        <v>22.4422927920866</v>
      </c>
      <c r="AS864" s="65" t="n">
        <f aca="false">IF(AR864="",0,MAX(0,MIN(1,(IF(BU864="L1",Parameter!$E$5,Parameter!$E$6+Parameter!$E$7)-(AR864-AN864))/AN864)))</f>
        <v>1</v>
      </c>
      <c r="AT864" s="57" t="n">
        <f aca="false">IF(LEFT(Cockpit!$O$5,1)="A",G864,IF(BW864=1,BX864,IF(LEFT(Cockpit!$O$5,1)="B",AX864,MAX(AX864,G864))))</f>
        <v>16</v>
      </c>
      <c r="AU864" s="57" t="n">
        <f aca="false">IF(BR864=1,0,ROUNDUP(AT864/BQ864,0))</f>
        <v>1</v>
      </c>
      <c r="AV864" s="59" t="n">
        <f aca="false">IF(CD864&gt;0,CD864*MAX(1,AT864/V864),IF(BR864=1,IF(AT864&lt;=0,0,BS864*MAX(1,IF(G864&gt;0,AT864/G864,1))),IF(Q864&gt;0,AU864/Q864,0))/MAX(0.1,N(Parameter!$M$21)))</f>
        <v>0.00757575757575758</v>
      </c>
      <c r="AW864" s="57" t="n">
        <f aca="false">AT864*F864</f>
        <v>149.92</v>
      </c>
      <c r="AX864" s="57" t="n">
        <f aca="false">ROUNDUP(MAX(I864/IF(BV864&gt;0,BV864,MAX(0.1,N(Cockpit!$O$6))),BY864)/BQ864,0)*BQ864</f>
        <v>16</v>
      </c>
      <c r="AY864" s="58" t="n">
        <f aca="false">IF(AV864&gt;0,I864/AV864,-1)</f>
        <v>1056</v>
      </c>
      <c r="AZ864" s="58" t="n">
        <f aca="false">IF(AND(OR(BU864="L1",BU864="L23"),AV864&gt;0),SUMIFS($AV$7:$AV$1576,$BU$7:$BU$1576,BU864,$AY$7:$AY$1576,"&gt;"&amp;AY864)+SUMIFS($AV$7:$AV$1576,$BU$7:$BU$1576,BU864,$AY$7:$AY$1576,AY864,$BO$7:$BO$1576,"&lt;="&amp;BO864),"")</f>
        <v>21.7528988526926</v>
      </c>
      <c r="BA864" s="65" t="n">
        <f aca="false">IF(AZ864="",0,MAX(0,MIN(1,(IF(BU864="L1",Parameter!$E$5,Parameter!$E$6+Parameter!$E$7)-(AZ864-AV864))/AV864)))</f>
        <v>1</v>
      </c>
      <c r="BB864" s="55" t="str">
        <f aca="false">IF(AF864&lt;=0,"",IF(BU864="Aussen","Aussenlager",IF(BU864="-","Nicht im Lift",IF(AK864&gt;=1,"Lift",IF(AK864&lt;=0,"Aussenlager","teilweise")))))</f>
        <v/>
      </c>
      <c r="BC864" s="55" t="str">
        <f aca="false">IF(AN864&lt;=0,"",IF(BU864="Aussen","Aussenlager",IF(BU864="-","Nicht im Lift",IF(AS864&gt;=1,"Lift",IF(AS864&lt;=0,"Aussenlager","teilweise")))))</f>
        <v>Lift</v>
      </c>
      <c r="BD864" s="55" t="str">
        <f aca="false">IF(AV864&lt;=0,"",IF(BU864="Aussen","Aussenlager",IF(BU864="-","Nicht im Lift",IF(BA864&gt;=1,"Lift",IF(BA864&lt;=0,"Aussenlager","teilweise")))))</f>
        <v>Lift</v>
      </c>
      <c r="BE864" s="55" t="str">
        <f aca="false">IF(A864="","",IF(BN864=1,"Neu; ","")&amp;IF(AND(BN864=0,BI864&lt;0),"negativer Bestand (Export "&amp;BI864&amp;"); ","")&amp;IF(I864&lt;=0,"Kein Verbrauch; ","")&amp;IF(CD864&gt;0,"Lift "&amp;U864&amp;" lt. Liftbericht (Fach "&amp;V864&amp;" Stk); ",IF(BR864=1,"Lose – Fläche geschätzt; ",""))&amp;IF(G864&gt;AP864,"Überbestand "&amp;ROUND(G864-AP864,0)&amp;" Stk / CHF "&amp;ROUND((G864-AP864)*F864,0)&amp;"; ","")&amp;IF(AND(BW864=1,BX864&lt;BY864),"MAX &lt; MB+LG; ","")&amp;IF(AND(CC864&gt;0,CB864*10&gt;CC864),"zu hoch für Tablar; ","")&amp;IF(AND(BN864=0,OR(BW864=1,Y864&lt;&gt;"",S864&lt;&gt;"",T864&lt;&gt;"",Z864&lt;&gt;"")),"manuell übersteuert; ","")&amp;IF(AND(BR864=0,Q864=0),"Gebinde unbekannt / Stellmass fehlt; ","")&amp;IF(AND(BR864=0,N(T864)&lt;=0,N(P864)&lt;=0),"Menge pro Gebinde fehlt (Ist = 1 Gebinde); ","")&amp;BM864)</f>
        <v>negativer Bestand (Export -2); </v>
      </c>
      <c r="BF864" s="55"/>
      <c r="BG864" s="55"/>
      <c r="BH864" s="62"/>
      <c r="BI864" s="57" t="n">
        <v>-2</v>
      </c>
      <c r="BJ864" s="57" t="n">
        <v>5</v>
      </c>
      <c r="BK864" s="56" t="n">
        <v>-21.04</v>
      </c>
      <c r="BL864" s="57" t="n">
        <v>8</v>
      </c>
      <c r="BM864" s="55"/>
      <c r="BN864" s="60" t="n">
        <v>0</v>
      </c>
      <c r="BO864" s="60" t="n">
        <v>864</v>
      </c>
      <c r="BP864" s="55" t="str">
        <f aca="false">IF(S864&lt;&gt;"",UPPER(TRIM(S864)),IF(O864="","LOSE",O864))</f>
        <v>S32</v>
      </c>
      <c r="BQ864" s="57" t="n">
        <f aca="false">IF(BP864="LOSE",1,IF(N(T864)&gt;0,T864,IF(N(P864)&gt;0,P864,MAX(1,G864))))</f>
        <v>16</v>
      </c>
      <c r="BR864" s="60" t="n">
        <f aca="false">IF(BP864="LOSE",1,0)</f>
        <v>0</v>
      </c>
      <c r="BS864" s="59" t="n">
        <f aca="false">IF(BR864=0,0,IF(N(R864)&gt;0,R864,IFERROR(VLOOKUP(D864,Parameter!$A$35:$C$64,3,0)+0,0)))</f>
        <v>0</v>
      </c>
      <c r="BT864" s="55" t="n">
        <f aca="false">IF(Y864&lt;&gt;"",Y864,X864)</f>
        <v>3</v>
      </c>
      <c r="BU864" s="55" t="str">
        <f aca="false">IF(BT864=1,"L1",IF(OR(BT864=2,BT864=3),"L23",IF(BT864="Aussen","Aussen","-")))</f>
        <v>L23</v>
      </c>
      <c r="BV864" s="66" t="n">
        <f aca="false">IF(N(Z864)&gt;0,Z864,0)</f>
        <v>0</v>
      </c>
      <c r="BW864" s="60" t="n">
        <f aca="false">IF(ISNUMBER(AC864),1,0)</f>
        <v>0</v>
      </c>
      <c r="BX864" s="57" t="n">
        <f aca="false">N(AC864)</f>
        <v>0</v>
      </c>
      <c r="BY864" s="57" t="n">
        <f aca="false">N(L864)+N(M864)</f>
        <v>10</v>
      </c>
      <c r="BZ864" s="57" t="n">
        <f aca="false">ROUNDUP(G864/BQ864,0)</f>
        <v>0</v>
      </c>
      <c r="CA864" s="57" t="n">
        <f aca="false">ROUNDUP(BX864/BQ864,0)</f>
        <v>0</v>
      </c>
      <c r="CB864" s="60" t="n">
        <f aca="false">IF(BR864=1,0,IFERROR(VLOOKUP(BP864,'Gebinde-Kategorie'!$A$5:$M$45,5,0)+0,0))</f>
        <v>8</v>
      </c>
      <c r="CC864" s="60" t="n">
        <f aca="false">IFERROR(IF(OR(BT864=1,BT864=2,BT864=3),N(INDEX(Parameter!$I$5:$I$7,BT864)),0),0)</f>
        <v>0</v>
      </c>
      <c r="CD864" s="59" t="n">
        <f aca="false">IF(AND(Parameter!$B$21="Ja",ISNUMBER(U864),N(V864)&gt;0),IFERROR(N(INDEX(Parameter!$L$5:$L$7,U864))*INDEX(Parameter!$E$5:$E$7,U864)*V864/SUMIFS($V$7:$V$1576,$U$7:$U$1576,U864),0),0)</f>
        <v>0</v>
      </c>
    </row>
    <row r="865" customFormat="false" ht="15" hidden="false" customHeight="false" outlineLevel="0" collapsed="false">
      <c r="A865" s="55" t="s">
        <v>1633</v>
      </c>
      <c r="B865" s="55" t="s">
        <v>395</v>
      </c>
      <c r="C865" s="55" t="s">
        <v>160</v>
      </c>
      <c r="D865" s="55" t="s">
        <v>178</v>
      </c>
      <c r="E865" s="55" t="s">
        <v>210</v>
      </c>
      <c r="F865" s="56" t="n">
        <v>0.88</v>
      </c>
      <c r="G865" s="57" t="n">
        <f aca="false">MAX(0,IF(AND(Parameter!$B$21="Ja",ISNUMBER(W865)),W865,IF(Parameter!$B$20="Jahresanfang 2025 + Export",BJ865+BI865,BI865)))</f>
        <v>0</v>
      </c>
      <c r="H865" s="57" t="n">
        <f aca="false">G865*F865</f>
        <v>0</v>
      </c>
      <c r="I865" s="57" t="n">
        <f aca="false">BL865*Parameter!$B$18</f>
        <v>24</v>
      </c>
      <c r="J865" s="58" t="n">
        <v>91</v>
      </c>
      <c r="K865" s="59" t="n">
        <v>0.263736263736264</v>
      </c>
      <c r="L865" s="57" t="n">
        <v>0</v>
      </c>
      <c r="M865" s="57" t="n">
        <v>25</v>
      </c>
      <c r="N865" s="60" t="n">
        <v>14</v>
      </c>
      <c r="O865" s="55" t="s">
        <v>293</v>
      </c>
      <c r="P865" s="57" t="n">
        <v>177</v>
      </c>
      <c r="Q865" s="60" t="n">
        <f aca="false">IF(BR865=1,0,IFERROR(VLOOKUP(BP865,'Gebinde-Kategorie'!$A$5:$M$45,13,0)+0,0))</f>
        <v>26</v>
      </c>
      <c r="R865" s="61"/>
      <c r="S865" s="62"/>
      <c r="T865" s="62"/>
      <c r="U865" s="55"/>
      <c r="V865" s="57"/>
      <c r="W865" s="57"/>
      <c r="X865" s="55" t="n">
        <f aca="false">IF(A865="","",IF(AND(Parameter!$B$21="Ja",ISNUMBER(U865)),U865,IF(IFERROR(VLOOKUP(D865,Parameter!$A$35:$C$64,2,0),"Nein")="2+3",IF(ISNUMBER(SEARCH("grosser Artikel",BM865)),2,IFERROR(VLOOKUP(BP865,Parameter!$F$35:$G$64,2,0),2)),IF(OR(IFERROR(VLOOKUP(D865,Parameter!$A$35:$C$64,2,0),"Nein")="Nein",IFERROR(VLOOKUP(D865,Parameter!$A$35:$C$64,2,0),"Nein")=""),"-",VLOOKUP(D865,Parameter!$A$35:$C$64,2,0)))))</f>
        <v>3</v>
      </c>
      <c r="Y865" s="62"/>
      <c r="Z865" s="63"/>
      <c r="AA865" s="57" t="n">
        <f aca="false">AP865</f>
        <v>177</v>
      </c>
      <c r="AB865" s="57" t="n">
        <f aca="false">MAX(AP865,G865)</f>
        <v>177</v>
      </c>
      <c r="AC865" s="64"/>
      <c r="AD865" s="57" t="n">
        <f aca="false">IF(LEFT(Cockpit!$C$5,1)="A",G865,IF(BW865=1,BX865,IF(LEFT(Cockpit!$C$5,1)="B",AH865,MAX(AH865,G865))))</f>
        <v>0</v>
      </c>
      <c r="AE865" s="57" t="n">
        <f aca="false">IF(BR865=1,0,ROUNDUP(AD865/BQ865,0))</f>
        <v>0</v>
      </c>
      <c r="AF865" s="59" t="n">
        <f aca="false">IF(CD865&gt;0,CD865*MAX(1,AD865/V865),IF(BR865=1,IF(AD865&lt;=0,0,BS865*MAX(1,IF(G865&gt;0,AD865/G865,1))),IF(Q865&gt;0,AE865/Q865,0))/MAX(0.1,N(Parameter!$M$21)))</f>
        <v>0</v>
      </c>
      <c r="AG865" s="57" t="n">
        <f aca="false">AD865*F865</f>
        <v>0</v>
      </c>
      <c r="AH865" s="57" t="n">
        <f aca="false">ROUNDUP(MAX(I865/IF(BV865&gt;0,BV865,MAX(0.1,N(Cockpit!$C$6))),BY865)/BQ865,0)*BQ865</f>
        <v>177</v>
      </c>
      <c r="AI865" s="58" t="n">
        <f aca="false">IF(AF865&gt;0,I865/AF865,-1)</f>
        <v>-1</v>
      </c>
      <c r="AJ865" s="58" t="str">
        <f aca="false">IF(AND(OR(BU865="L1",BU865="L23"),AF865&gt;0),SUMIFS($AF$7:$AF$1576,$BU$7:$BU$1576,BU865,$AI$7:$AI$1576,"&gt;"&amp;AI865)+SUMIFS($AF$7:$AF$1576,$BU$7:$BU$1576,BU865,$AI$7:$AI$1576,AI865,$BO$7:$BO$1576,"&lt;="&amp;BO865),"")</f>
        <v/>
      </c>
      <c r="AK865" s="65" t="n">
        <f aca="false">IF(AJ865="",0,MAX(0,MIN(1,(IF(BU865="L1",Parameter!$E$5,Parameter!$E$6+Parameter!$E$7)-(AJ865-AF865))/AF865)))</f>
        <v>0</v>
      </c>
      <c r="AL865" s="57" t="n">
        <f aca="false">IF(LEFT(Cockpit!$I$5,1)="A",G865,IF(BW865=1,BX865,IF(LEFT(Cockpit!$I$5,1)="B",AP865,MAX(AP865,G865))))</f>
        <v>177</v>
      </c>
      <c r="AM865" s="57" t="n">
        <f aca="false">IF(BR865=1,0,ROUNDUP(AL865/BQ865,0))</f>
        <v>1</v>
      </c>
      <c r="AN865" s="59" t="n">
        <f aca="false">IF(CD865&gt;0,CD865*MAX(1,AL865/V865),IF(BR865=1,IF(AL865&lt;=0,0,BS865*MAX(1,IF(G865&gt;0,AL865/G865,1))),IF(Q865&gt;0,AM865/Q865,0))/MAX(0.1,N(Parameter!$M$21)))</f>
        <v>0.0384615384615385</v>
      </c>
      <c r="AO865" s="57" t="n">
        <f aca="false">AL865*F865</f>
        <v>155.76</v>
      </c>
      <c r="AP865" s="57" t="n">
        <f aca="false">ROUNDUP(MAX(I865/IF(BV865&gt;0,BV865,MAX(0.1,N(Cockpit!$I$6))),BY865)/BQ865,0)*BQ865</f>
        <v>177</v>
      </c>
      <c r="AQ865" s="58" t="n">
        <f aca="false">IF(AN865&gt;0,I865/AN865,-1)</f>
        <v>624</v>
      </c>
      <c r="AR865" s="58" t="n">
        <f aca="false">IF(AND(OR(BU865="L1",BU865="L23"),AN865&gt;0),SUMIFS($AN$7:$AN$1576,$BU$7:$BU$1576,BU865,$AQ$7:$AQ$1576,"&gt;"&amp;AQ865)+SUMIFS($AN$7:$AN$1576,$BU$7:$BU$1576,BU865,$AQ$7:$AQ$1576,AQ865,$BO$7:$BO$1576,"&lt;="&amp;BO865),"")</f>
        <v>30.8032302604153</v>
      </c>
      <c r="AS865" s="65" t="n">
        <f aca="false">IF(AR865="",0,MAX(0,MIN(1,(IF(BU865="L1",Parameter!$E$5,Parameter!$E$6+Parameter!$E$7)-(AR865-AN865))/AN865)))</f>
        <v>1</v>
      </c>
      <c r="AT865" s="57" t="n">
        <f aca="false">IF(LEFT(Cockpit!$O$5,1)="A",G865,IF(BW865=1,BX865,IF(LEFT(Cockpit!$O$5,1)="B",AX865,MAX(AX865,G865))))</f>
        <v>177</v>
      </c>
      <c r="AU865" s="57" t="n">
        <f aca="false">IF(BR865=1,0,ROUNDUP(AT865/BQ865,0))</f>
        <v>1</v>
      </c>
      <c r="AV865" s="59" t="n">
        <f aca="false">IF(CD865&gt;0,CD865*MAX(1,AT865/V865),IF(BR865=1,IF(AT865&lt;=0,0,BS865*MAX(1,IF(G865&gt;0,AT865/G865,1))),IF(Q865&gt;0,AU865/Q865,0))/MAX(0.1,N(Parameter!$M$21)))</f>
        <v>0.0384615384615385</v>
      </c>
      <c r="AW865" s="57" t="n">
        <f aca="false">AT865*F865</f>
        <v>155.76</v>
      </c>
      <c r="AX865" s="57" t="n">
        <f aca="false">ROUNDUP(MAX(I865/IF(BV865&gt;0,BV865,MAX(0.1,N(Cockpit!$O$6))),BY865)/BQ865,0)*BQ865</f>
        <v>177</v>
      </c>
      <c r="AY865" s="58" t="n">
        <f aca="false">IF(AV865&gt;0,I865/AV865,-1)</f>
        <v>624</v>
      </c>
      <c r="AZ865" s="58" t="n">
        <f aca="false">IF(AND(OR(BU865="L1",BU865="L23"),AV865&gt;0),SUMIFS($AV$7:$AV$1576,$BU$7:$BU$1576,BU865,$AY$7:$AY$1576,"&gt;"&amp;AY865)+SUMIFS($AV$7:$AV$1576,$BU$7:$BU$1576,BU865,$AY$7:$AY$1576,AY865,$BO$7:$BO$1576,"&lt;="&amp;BO865),"")</f>
        <v>30.0145322917174</v>
      </c>
      <c r="BA865" s="65" t="n">
        <f aca="false">IF(AZ865="",0,MAX(0,MIN(1,(IF(BU865="L1",Parameter!$E$5,Parameter!$E$6+Parameter!$E$7)-(AZ865-AV865))/AV865)))</f>
        <v>1</v>
      </c>
      <c r="BB865" s="55" t="str">
        <f aca="false">IF(AF865&lt;=0,"",IF(BU865="Aussen","Aussenlager",IF(BU865="-","Nicht im Lift",IF(AK865&gt;=1,"Lift",IF(AK865&lt;=0,"Aussenlager","teilweise")))))</f>
        <v/>
      </c>
      <c r="BC865" s="55" t="str">
        <f aca="false">IF(AN865&lt;=0,"",IF(BU865="Aussen","Aussenlager",IF(BU865="-","Nicht im Lift",IF(AS865&gt;=1,"Lift",IF(AS865&lt;=0,"Aussenlager","teilweise")))))</f>
        <v>Lift</v>
      </c>
      <c r="BD865" s="55" t="str">
        <f aca="false">IF(AV865&lt;=0,"",IF(BU865="Aussen","Aussenlager",IF(BU865="-","Nicht im Lift",IF(BA865&gt;=1,"Lift",IF(BA865&lt;=0,"Aussenlager","teilweise")))))</f>
        <v>Lift</v>
      </c>
      <c r="BE865" s="55" t="str">
        <f aca="false">IF(A865="","",IF(BN865=1,"Neu; ","")&amp;IF(AND(BN865=0,BI865&lt;0),"negativer Bestand (Export "&amp;BI865&amp;"); ","")&amp;IF(I865&lt;=0,"Kein Verbrauch; ","")&amp;IF(CD865&gt;0,"Lift "&amp;U865&amp;" lt. Liftbericht (Fach "&amp;V865&amp;" Stk); ",IF(BR865=1,"Lose – Fläche geschätzt; ",""))&amp;IF(G865&gt;AP865,"Überbestand "&amp;ROUND(G865-AP865,0)&amp;" Stk / CHF "&amp;ROUND((G865-AP865)*F865,0)&amp;"; ","")&amp;IF(AND(BW865=1,BX865&lt;BY865),"MAX &lt; MB+LG; ","")&amp;IF(AND(CC865&gt;0,CB865*10&gt;CC865),"zu hoch für Tablar; ","")&amp;IF(AND(BN865=0,OR(BW865=1,Y865&lt;&gt;"",S865&lt;&gt;"",T865&lt;&gt;"",Z865&lt;&gt;"")),"manuell übersteuert; ","")&amp;IF(AND(BR865=0,Q865=0),"Gebinde unbekannt / Stellmass fehlt; ","")&amp;IF(AND(BR865=0,N(T865)&lt;=0,N(P865)&lt;=0),"Menge pro Gebinde fehlt (Ist = 1 Gebinde); ","")&amp;BM865)</f>
        <v>negativer Bestand (Export -24); Neu</v>
      </c>
      <c r="BF865" s="55"/>
      <c r="BG865" s="55"/>
      <c r="BH865" s="62"/>
      <c r="BI865" s="57" t="n">
        <v>-24</v>
      </c>
      <c r="BJ865" s="57" t="n">
        <v>103</v>
      </c>
      <c r="BK865" s="56" t="n">
        <v>-21.12</v>
      </c>
      <c r="BL865" s="57" t="n">
        <v>24</v>
      </c>
      <c r="BM865" s="55" t="s">
        <v>615</v>
      </c>
      <c r="BN865" s="60" t="n">
        <v>0</v>
      </c>
      <c r="BO865" s="60" t="n">
        <v>865</v>
      </c>
      <c r="BP865" s="55" t="str">
        <f aca="false">IF(S865&lt;&gt;"",UPPER(TRIM(S865)),IF(O865="","LOSE",O865))</f>
        <v>S51</v>
      </c>
      <c r="BQ865" s="57" t="n">
        <f aca="false">IF(BP865="LOSE",1,IF(N(T865)&gt;0,T865,IF(N(P865)&gt;0,P865,MAX(1,G865))))</f>
        <v>177</v>
      </c>
      <c r="BR865" s="60" t="n">
        <f aca="false">IF(BP865="LOSE",1,0)</f>
        <v>0</v>
      </c>
      <c r="BS865" s="59" t="n">
        <f aca="false">IF(BR865=0,0,IF(N(R865)&gt;0,R865,IFERROR(VLOOKUP(D865,Parameter!$A$35:$C$64,3,0)+0,0)))</f>
        <v>0</v>
      </c>
      <c r="BT865" s="55" t="n">
        <f aca="false">IF(Y865&lt;&gt;"",Y865,X865)</f>
        <v>3</v>
      </c>
      <c r="BU865" s="55" t="str">
        <f aca="false">IF(BT865=1,"L1",IF(OR(BT865=2,BT865=3),"L23",IF(BT865="Aussen","Aussen","-")))</f>
        <v>L23</v>
      </c>
      <c r="BV865" s="66" t="n">
        <f aca="false">IF(N(Z865)&gt;0,Z865,0)</f>
        <v>0</v>
      </c>
      <c r="BW865" s="60" t="n">
        <f aca="false">IF(ISNUMBER(AC865),1,0)</f>
        <v>0</v>
      </c>
      <c r="BX865" s="57" t="n">
        <f aca="false">N(AC865)</f>
        <v>0</v>
      </c>
      <c r="BY865" s="57" t="n">
        <f aca="false">N(L865)+N(M865)</f>
        <v>25</v>
      </c>
      <c r="BZ865" s="57" t="n">
        <f aca="false">ROUNDUP(G865/BQ865,0)</f>
        <v>0</v>
      </c>
      <c r="CA865" s="57" t="n">
        <f aca="false">ROUNDUP(BX865/BQ865,0)</f>
        <v>0</v>
      </c>
      <c r="CB865" s="60" t="n">
        <f aca="false">IF(BR865=1,0,IFERROR(VLOOKUP(BP865,'Gebinde-Kategorie'!$A$5:$M$45,5,0)+0,0))</f>
        <v>11</v>
      </c>
      <c r="CC865" s="60" t="n">
        <f aca="false">IFERROR(IF(OR(BT865=1,BT865=2,BT865=3),N(INDEX(Parameter!$I$5:$I$7,BT865)),0),0)</f>
        <v>0</v>
      </c>
      <c r="CD865" s="59" t="n">
        <f aca="false">IF(AND(Parameter!$B$21="Ja",ISNUMBER(U865),N(V865)&gt;0),IFERROR(N(INDEX(Parameter!$L$5:$L$7,U865))*INDEX(Parameter!$E$5:$E$7,U865)*V865/SUMIFS($V$7:$V$1576,$U$7:$U$1576,U865),0),0)</f>
        <v>0</v>
      </c>
    </row>
    <row r="866" customFormat="false" ht="15" hidden="false" customHeight="false" outlineLevel="0" collapsed="false">
      <c r="A866" s="55" t="s">
        <v>1634</v>
      </c>
      <c r="B866" s="55" t="s">
        <v>395</v>
      </c>
      <c r="C866" s="55" t="s">
        <v>446</v>
      </c>
      <c r="D866" s="55" t="s">
        <v>178</v>
      </c>
      <c r="E866" s="55" t="s">
        <v>210</v>
      </c>
      <c r="F866" s="56" t="n">
        <v>0.11</v>
      </c>
      <c r="G866" s="57" t="n">
        <f aca="false">MAX(0,IF(AND(Parameter!$B$21="Ja",ISNUMBER(W866)),W866,IF(Parameter!$B$20="Jahresanfang 2025 + Export",BJ866+BI866,BI866)))</f>
        <v>0</v>
      </c>
      <c r="H866" s="57" t="n">
        <f aca="false">G866*F866</f>
        <v>0</v>
      </c>
      <c r="I866" s="57" t="n">
        <f aca="false">BL866*Parameter!$B$18</f>
        <v>196</v>
      </c>
      <c r="J866" s="58" t="n">
        <v>196</v>
      </c>
      <c r="K866" s="59" t="n">
        <v>1</v>
      </c>
      <c r="L866" s="57" t="n">
        <v>7</v>
      </c>
      <c r="M866" s="57" t="n">
        <v>195</v>
      </c>
      <c r="N866" s="60" t="n">
        <v>14</v>
      </c>
      <c r="O866" s="55" t="s">
        <v>163</v>
      </c>
      <c r="P866" s="57"/>
      <c r="Q866" s="60" t="n">
        <f aca="false">IF(BR866=1,0,IFERROR(VLOOKUP(BP866,'Gebinde-Kategorie'!$A$5:$M$45,13,0)+0,0))</f>
        <v>0</v>
      </c>
      <c r="R866" s="61"/>
      <c r="S866" s="62"/>
      <c r="T866" s="62"/>
      <c r="U866" s="55"/>
      <c r="V866" s="57"/>
      <c r="W866" s="57"/>
      <c r="X866" s="55" t="n">
        <f aca="false">IF(A866="","",IF(AND(Parameter!$B$21="Ja",ISNUMBER(U866)),U866,IF(IFERROR(VLOOKUP(D866,Parameter!$A$35:$C$64,2,0),"Nein")="2+3",IF(ISNUMBER(SEARCH("grosser Artikel",BM866)),2,IFERROR(VLOOKUP(BP866,Parameter!$F$35:$G$64,2,0),2)),IF(OR(IFERROR(VLOOKUP(D866,Parameter!$A$35:$C$64,2,0),"Nein")="Nein",IFERROR(VLOOKUP(D866,Parameter!$A$35:$C$64,2,0),"Nein")=""),"-",VLOOKUP(D866,Parameter!$A$35:$C$64,2,0)))))</f>
        <v>2</v>
      </c>
      <c r="Y866" s="62"/>
      <c r="Z866" s="63"/>
      <c r="AA866" s="57" t="n">
        <f aca="false">AP866</f>
        <v>202</v>
      </c>
      <c r="AB866" s="57" t="n">
        <f aca="false">MAX(AP866,G866)</f>
        <v>202</v>
      </c>
      <c r="AC866" s="64"/>
      <c r="AD866" s="57" t="n">
        <f aca="false">IF(LEFT(Cockpit!$C$5,1)="A",G866,IF(BW866=1,BX866,IF(LEFT(Cockpit!$C$5,1)="B",AH866,MAX(AH866,G866))))</f>
        <v>0</v>
      </c>
      <c r="AE866" s="57" t="n">
        <f aca="false">IF(BR866=1,0,ROUNDUP(AD866/BQ866,0))</f>
        <v>0</v>
      </c>
      <c r="AF866" s="59" t="n">
        <f aca="false">IF(CD866&gt;0,CD866*MAX(1,AD866/V866),IF(BR866=1,IF(AD866&lt;=0,0,BS866*MAX(1,IF(G866&gt;0,AD866/G866,1))),IF(Q866&gt;0,AE866/Q866,0))/MAX(0.1,N(Parameter!$M$21)))</f>
        <v>0</v>
      </c>
      <c r="AG866" s="57" t="n">
        <f aca="false">AD866*F866</f>
        <v>0</v>
      </c>
      <c r="AH866" s="57" t="n">
        <f aca="false">ROUNDUP(MAX(I866/IF(BV866&gt;0,BV866,MAX(0.1,N(Cockpit!$C$6))),BY866)/BQ866,0)*BQ866</f>
        <v>202</v>
      </c>
      <c r="AI866" s="58" t="n">
        <f aca="false">IF(AF866&gt;0,I866/AF866,-1)</f>
        <v>-1</v>
      </c>
      <c r="AJ866" s="58" t="str">
        <f aca="false">IF(AND(OR(BU866="L1",BU866="L23"),AF866&gt;0),SUMIFS($AF$7:$AF$1576,$BU$7:$BU$1576,BU866,$AI$7:$AI$1576,"&gt;"&amp;AI866)+SUMIFS($AF$7:$AF$1576,$BU$7:$BU$1576,BU866,$AI$7:$AI$1576,AI866,$BO$7:$BO$1576,"&lt;="&amp;BO866),"")</f>
        <v/>
      </c>
      <c r="AK866" s="65" t="n">
        <f aca="false">IF(AJ866="",0,MAX(0,MIN(1,(IF(BU866="L1",Parameter!$E$5,Parameter!$E$6+Parameter!$E$7)-(AJ866-AF866))/AF866)))</f>
        <v>0</v>
      </c>
      <c r="AL866" s="57" t="n">
        <f aca="false">IF(LEFT(Cockpit!$I$5,1)="A",G866,IF(BW866=1,BX866,IF(LEFT(Cockpit!$I$5,1)="B",AP866,MAX(AP866,G866))))</f>
        <v>202</v>
      </c>
      <c r="AM866" s="57" t="n">
        <f aca="false">IF(BR866=1,0,ROUNDUP(AL866/BQ866,0))</f>
        <v>0</v>
      </c>
      <c r="AN866" s="59" t="n">
        <f aca="false">IF(CD866&gt;0,CD866*MAX(1,AL866/V866),IF(BR866=1,IF(AL866&lt;=0,0,BS866*MAX(1,IF(G866&gt;0,AL866/G866,1))),IF(Q866&gt;0,AM866/Q866,0))/MAX(0.1,N(Parameter!$M$21)))</f>
        <v>0.03</v>
      </c>
      <c r="AO866" s="57" t="n">
        <f aca="false">AL866*F866</f>
        <v>22.22</v>
      </c>
      <c r="AP866" s="57" t="n">
        <f aca="false">ROUNDUP(MAX(I866/IF(BV866&gt;0,BV866,MAX(0.1,N(Cockpit!$I$6))),BY866)/BQ866,0)*BQ866</f>
        <v>202</v>
      </c>
      <c r="AQ866" s="58" t="n">
        <f aca="false">IF(AN866&gt;0,I866/AN866,-1)</f>
        <v>6533.33333333333</v>
      </c>
      <c r="AR866" s="58" t="n">
        <f aca="false">IF(AND(OR(BU866="L1",BU866="L23"),AN866&gt;0),SUMIFS($AN$7:$AN$1576,$BU$7:$BU$1576,BU866,$AQ$7:$AQ$1576,"&gt;"&amp;AQ866)+SUMIFS($AN$7:$AN$1576,$BU$7:$BU$1576,BU866,$AQ$7:$AQ$1576,AQ866,$BO$7:$BO$1576,"&lt;="&amp;BO866),"")</f>
        <v>9.99053781966826</v>
      </c>
      <c r="AS866" s="65" t="n">
        <f aca="false">IF(AR866="",0,MAX(0,MIN(1,(IF(BU866="L1",Parameter!$E$5,Parameter!$E$6+Parameter!$E$7)-(AR866-AN866))/AN866)))</f>
        <v>1</v>
      </c>
      <c r="AT866" s="57" t="n">
        <f aca="false">IF(LEFT(Cockpit!$O$5,1)="A",G866,IF(BW866=1,BX866,IF(LEFT(Cockpit!$O$5,1)="B",AX866,MAX(AX866,G866))))</f>
        <v>202</v>
      </c>
      <c r="AU866" s="57" t="n">
        <f aca="false">IF(BR866=1,0,ROUNDUP(AT866/BQ866,0))</f>
        <v>0</v>
      </c>
      <c r="AV866" s="59" t="n">
        <f aca="false">IF(CD866&gt;0,CD866*MAX(1,AT866/V866),IF(BR866=1,IF(AT866&lt;=0,0,BS866*MAX(1,IF(G866&gt;0,AT866/G866,1))),IF(Q866&gt;0,AU866/Q866,0))/MAX(0.1,N(Parameter!$M$21)))</f>
        <v>0.03</v>
      </c>
      <c r="AW866" s="57" t="n">
        <f aca="false">AT866*F866</f>
        <v>22.22</v>
      </c>
      <c r="AX866" s="57" t="n">
        <f aca="false">ROUNDUP(MAX(I866/IF(BV866&gt;0,BV866,MAX(0.1,N(Cockpit!$O$6))),BY866)/BQ866,0)*BQ866</f>
        <v>202</v>
      </c>
      <c r="AY866" s="58" t="n">
        <f aca="false">IF(AV866&gt;0,I866/AV866,-1)</f>
        <v>6533.33333333333</v>
      </c>
      <c r="AZ866" s="58" t="n">
        <f aca="false">IF(AND(OR(BU866="L1",BU866="L23"),AV866&gt;0),SUMIFS($AV$7:$AV$1576,$BU$7:$BU$1576,BU866,$AY$7:$AY$1576,"&gt;"&amp;AY866)+SUMIFS($AV$7:$AV$1576,$BU$7:$BU$1576,BU866,$AY$7:$AY$1576,AY866,$BO$7:$BO$1576,"&lt;="&amp;BO866),"")</f>
        <v>9.17293875206919</v>
      </c>
      <c r="BA866" s="65" t="n">
        <f aca="false">IF(AZ866="",0,MAX(0,MIN(1,(IF(BU866="L1",Parameter!$E$5,Parameter!$E$6+Parameter!$E$7)-(AZ866-AV866))/AV866)))</f>
        <v>1</v>
      </c>
      <c r="BB866" s="55" t="str">
        <f aca="false">IF(AF866&lt;=0,"",IF(BU866="Aussen","Aussenlager",IF(BU866="-","Nicht im Lift",IF(AK866&gt;=1,"Lift",IF(AK866&lt;=0,"Aussenlager","teilweise")))))</f>
        <v/>
      </c>
      <c r="BC866" s="55" t="str">
        <f aca="false">IF(AN866&lt;=0,"",IF(BU866="Aussen","Aussenlager",IF(BU866="-","Nicht im Lift",IF(AS866&gt;=1,"Lift",IF(AS866&lt;=0,"Aussenlager","teilweise")))))</f>
        <v>Lift</v>
      </c>
      <c r="BD866" s="55" t="str">
        <f aca="false">IF(AV866&lt;=0,"",IF(BU866="Aussen","Aussenlager",IF(BU866="-","Nicht im Lift",IF(BA866&gt;=1,"Lift",IF(BA866&lt;=0,"Aussenlager","teilweise")))))</f>
        <v>Lift</v>
      </c>
      <c r="BE866" s="55" t="str">
        <f aca="false">IF(A866="","",IF(BN866=1,"Neu; ","")&amp;IF(AND(BN866=0,BI866&lt;0),"negativer Bestand (Export "&amp;BI866&amp;"); ","")&amp;IF(I866&lt;=0,"Kein Verbrauch; ","")&amp;IF(CD866&gt;0,"Lift "&amp;U866&amp;" lt. Liftbericht (Fach "&amp;V866&amp;" Stk); ",IF(BR866=1,"Lose – Fläche geschätzt; ",""))&amp;IF(G866&gt;AP866,"Überbestand "&amp;ROUND(G866-AP866,0)&amp;" Stk / CHF "&amp;ROUND((G866-AP866)*F866,0)&amp;"; ","")&amp;IF(AND(BW866=1,BX866&lt;BY866),"MAX &lt; MB+LG; ","")&amp;IF(AND(CC866&gt;0,CB866*10&gt;CC866),"zu hoch für Tablar; ","")&amp;IF(AND(BN866=0,OR(BW866=1,Y866&lt;&gt;"",S866&lt;&gt;"",T866&lt;&gt;"",Z866&lt;&gt;"")),"manuell übersteuert; ","")&amp;IF(AND(BR866=0,Q866=0),"Gebinde unbekannt / Stellmass fehlt; ","")&amp;IF(AND(BR866=0,N(T866)&lt;=0,N(P866)&lt;=0),"Menge pro Gebinde fehlt (Ist = 1 Gebinde); ","")&amp;BM866)</f>
        <v>negativer Bestand (Export -196); Lose – Fläche geschätzt; </v>
      </c>
      <c r="BF866" s="55"/>
      <c r="BG866" s="55"/>
      <c r="BH866" s="62"/>
      <c r="BI866" s="57" t="n">
        <v>-196</v>
      </c>
      <c r="BJ866" s="57" t="n">
        <v>392</v>
      </c>
      <c r="BK866" s="56" t="n">
        <v>-21.56</v>
      </c>
      <c r="BL866" s="57" t="n">
        <v>196</v>
      </c>
      <c r="BM866" s="55"/>
      <c r="BN866" s="60" t="n">
        <v>0</v>
      </c>
      <c r="BO866" s="60" t="n">
        <v>866</v>
      </c>
      <c r="BP866" s="55" t="str">
        <f aca="false">IF(S866&lt;&gt;"",UPPER(TRIM(S866)),IF(O866="","LOSE",O866))</f>
        <v>LOSE</v>
      </c>
      <c r="BQ866" s="57" t="n">
        <f aca="false">IF(BP866="LOSE",1,IF(N(T866)&gt;0,T866,IF(N(P866)&gt;0,P866,MAX(1,G866))))</f>
        <v>1</v>
      </c>
      <c r="BR866" s="60" t="n">
        <f aca="false">IF(BP866="LOSE",1,0)</f>
        <v>1</v>
      </c>
      <c r="BS866" s="59" t="n">
        <f aca="false">IF(BR866=0,0,IF(N(R866)&gt;0,R866,IFERROR(VLOOKUP(D866,Parameter!$A$35:$C$64,3,0)+0,0)))</f>
        <v>0.03</v>
      </c>
      <c r="BT866" s="55" t="n">
        <f aca="false">IF(Y866&lt;&gt;"",Y866,X866)</f>
        <v>2</v>
      </c>
      <c r="BU866" s="55" t="str">
        <f aca="false">IF(BT866=1,"L1",IF(OR(BT866=2,BT866=3),"L23",IF(BT866="Aussen","Aussen","-")))</f>
        <v>L23</v>
      </c>
      <c r="BV866" s="66" t="n">
        <f aca="false">IF(N(Z866)&gt;0,Z866,0)</f>
        <v>0</v>
      </c>
      <c r="BW866" s="60" t="n">
        <f aca="false">IF(ISNUMBER(AC866),1,0)</f>
        <v>0</v>
      </c>
      <c r="BX866" s="57" t="n">
        <f aca="false">N(AC866)</f>
        <v>0</v>
      </c>
      <c r="BY866" s="57" t="n">
        <f aca="false">N(L866)+N(M866)</f>
        <v>202</v>
      </c>
      <c r="BZ866" s="57" t="n">
        <f aca="false">ROUNDUP(G866/BQ866,0)</f>
        <v>0</v>
      </c>
      <c r="CA866" s="57" t="n">
        <f aca="false">ROUNDUP(BX866/BQ866,0)</f>
        <v>0</v>
      </c>
      <c r="CB866" s="60" t="n">
        <f aca="false">IF(BR866=1,0,IFERROR(VLOOKUP(BP866,'Gebinde-Kategorie'!$A$5:$M$45,5,0)+0,0))</f>
        <v>0</v>
      </c>
      <c r="CC866" s="60" t="n">
        <f aca="false">IFERROR(IF(OR(BT866=1,BT866=2,BT866=3),N(INDEX(Parameter!$I$5:$I$7,BT866)),0),0)</f>
        <v>0</v>
      </c>
      <c r="CD866" s="59" t="n">
        <f aca="false">IF(AND(Parameter!$B$21="Ja",ISNUMBER(U866),N(V866)&gt;0),IFERROR(N(INDEX(Parameter!$L$5:$L$7,U866))*INDEX(Parameter!$E$5:$E$7,U866)*V866/SUMIFS($V$7:$V$1576,$U$7:$U$1576,U866),0),0)</f>
        <v>0</v>
      </c>
    </row>
    <row r="867" customFormat="false" ht="15" hidden="false" customHeight="false" outlineLevel="0" collapsed="false">
      <c r="A867" s="55" t="s">
        <v>1635</v>
      </c>
      <c r="B867" s="55" t="s">
        <v>1088</v>
      </c>
      <c r="C867" s="55" t="s">
        <v>160</v>
      </c>
      <c r="D867" s="55" t="s">
        <v>178</v>
      </c>
      <c r="E867" s="55" t="s">
        <v>210</v>
      </c>
      <c r="F867" s="56" t="n">
        <v>10.9</v>
      </c>
      <c r="G867" s="57" t="n">
        <f aca="false">MAX(0,IF(AND(Parameter!$B$21="Ja",ISNUMBER(W867)),W867,IF(Parameter!$B$20="Jahresanfang 2025 + Export",BJ867+BI867,BI867)))</f>
        <v>0</v>
      </c>
      <c r="H867" s="57" t="n">
        <f aca="false">G867*F867</f>
        <v>0</v>
      </c>
      <c r="I867" s="57" t="n">
        <f aca="false">BL867*Parameter!$B$18</f>
        <v>1</v>
      </c>
      <c r="J867" s="58" t="n">
        <v>55</v>
      </c>
      <c r="K867" s="59" t="n">
        <v>0.0181818181818182</v>
      </c>
      <c r="L867" s="57" t="n">
        <v>0</v>
      </c>
      <c r="M867" s="57" t="n">
        <v>1</v>
      </c>
      <c r="N867" s="60" t="n">
        <v>70</v>
      </c>
      <c r="O867" s="55" t="s">
        <v>293</v>
      </c>
      <c r="P867" s="57" t="n">
        <v>54</v>
      </c>
      <c r="Q867" s="60" t="n">
        <f aca="false">IF(BR867=1,0,IFERROR(VLOOKUP(BP867,'Gebinde-Kategorie'!$A$5:$M$45,13,0)+0,0))</f>
        <v>26</v>
      </c>
      <c r="R867" s="61"/>
      <c r="S867" s="62"/>
      <c r="T867" s="62"/>
      <c r="U867" s="55"/>
      <c r="V867" s="57"/>
      <c r="W867" s="57"/>
      <c r="X867" s="55" t="n">
        <f aca="false">IF(A867="","",IF(AND(Parameter!$B$21="Ja",ISNUMBER(U867)),U867,IF(IFERROR(VLOOKUP(D867,Parameter!$A$35:$C$64,2,0),"Nein")="2+3",IF(ISNUMBER(SEARCH("grosser Artikel",BM867)),2,IFERROR(VLOOKUP(BP867,Parameter!$F$35:$G$64,2,0),2)),IF(OR(IFERROR(VLOOKUP(D867,Parameter!$A$35:$C$64,2,0),"Nein")="Nein",IFERROR(VLOOKUP(D867,Parameter!$A$35:$C$64,2,0),"Nein")=""),"-",VLOOKUP(D867,Parameter!$A$35:$C$64,2,0)))))</f>
        <v>3</v>
      </c>
      <c r="Y867" s="62"/>
      <c r="Z867" s="63"/>
      <c r="AA867" s="57" t="n">
        <f aca="false">AP867</f>
        <v>54</v>
      </c>
      <c r="AB867" s="57" t="n">
        <f aca="false">MAX(AP867,G867)</f>
        <v>54</v>
      </c>
      <c r="AC867" s="64"/>
      <c r="AD867" s="57" t="n">
        <f aca="false">IF(LEFT(Cockpit!$C$5,1)="A",G867,IF(BW867=1,BX867,IF(LEFT(Cockpit!$C$5,1)="B",AH867,MAX(AH867,G867))))</f>
        <v>0</v>
      </c>
      <c r="AE867" s="57" t="n">
        <f aca="false">IF(BR867=1,0,ROUNDUP(AD867/BQ867,0))</f>
        <v>0</v>
      </c>
      <c r="AF867" s="59" t="n">
        <f aca="false">IF(CD867&gt;0,CD867*MAX(1,AD867/V867),IF(BR867=1,IF(AD867&lt;=0,0,BS867*MAX(1,IF(G867&gt;0,AD867/G867,1))),IF(Q867&gt;0,AE867/Q867,0))/MAX(0.1,N(Parameter!$M$21)))</f>
        <v>0</v>
      </c>
      <c r="AG867" s="57" t="n">
        <f aca="false">AD867*F867</f>
        <v>0</v>
      </c>
      <c r="AH867" s="57" t="n">
        <f aca="false">ROUNDUP(MAX(I867/IF(BV867&gt;0,BV867,MAX(0.1,N(Cockpit!$C$6))),BY867)/BQ867,0)*BQ867</f>
        <v>54</v>
      </c>
      <c r="AI867" s="58" t="n">
        <f aca="false">IF(AF867&gt;0,I867/AF867,-1)</f>
        <v>-1</v>
      </c>
      <c r="AJ867" s="58" t="str">
        <f aca="false">IF(AND(OR(BU867="L1",BU867="L23"),AF867&gt;0),SUMIFS($AF$7:$AF$1576,$BU$7:$BU$1576,BU867,$AI$7:$AI$1576,"&gt;"&amp;AI867)+SUMIFS($AF$7:$AF$1576,$BU$7:$BU$1576,BU867,$AI$7:$AI$1576,AI867,$BO$7:$BO$1576,"&lt;="&amp;BO867),"")</f>
        <v/>
      </c>
      <c r="AK867" s="65" t="n">
        <f aca="false">IF(AJ867="",0,MAX(0,MIN(1,(IF(BU867="L1",Parameter!$E$5,Parameter!$E$6+Parameter!$E$7)-(AJ867-AF867))/AF867)))</f>
        <v>0</v>
      </c>
      <c r="AL867" s="57" t="n">
        <f aca="false">IF(LEFT(Cockpit!$I$5,1)="A",G867,IF(BW867=1,BX867,IF(LEFT(Cockpit!$I$5,1)="B",AP867,MAX(AP867,G867))))</f>
        <v>54</v>
      </c>
      <c r="AM867" s="57" t="n">
        <f aca="false">IF(BR867=1,0,ROUNDUP(AL867/BQ867,0))</f>
        <v>1</v>
      </c>
      <c r="AN867" s="59" t="n">
        <f aca="false">IF(CD867&gt;0,CD867*MAX(1,AL867/V867),IF(BR867=1,IF(AL867&lt;=0,0,BS867*MAX(1,IF(G867&gt;0,AL867/G867,1))),IF(Q867&gt;0,AM867/Q867,0))/MAX(0.1,N(Parameter!$M$21)))</f>
        <v>0.0384615384615385</v>
      </c>
      <c r="AO867" s="57" t="n">
        <f aca="false">AL867*F867</f>
        <v>588.6</v>
      </c>
      <c r="AP867" s="57" t="n">
        <f aca="false">ROUNDUP(MAX(I867/IF(BV867&gt;0,BV867,MAX(0.1,N(Cockpit!$I$6))),BY867)/BQ867,0)*BQ867</f>
        <v>54</v>
      </c>
      <c r="AQ867" s="58" t="n">
        <f aca="false">IF(AN867&gt;0,I867/AN867,-1)</f>
        <v>26</v>
      </c>
      <c r="AR867" s="58" t="n">
        <f aca="false">IF(AND(OR(BU867="L1",BU867="L23"),AN867&gt;0),SUMIFS($AN$7:$AN$1576,$BU$7:$BU$1576,BU867,$AQ$7:$AQ$1576,"&gt;"&amp;AQ867)+SUMIFS($AN$7:$AN$1576,$BU$7:$BU$1576,BU867,$AQ$7:$AQ$1576,AQ867,$BO$7:$BO$1576,"&lt;="&amp;BO867),"")</f>
        <v>97.2385884348496</v>
      </c>
      <c r="AS867" s="65" t="n">
        <f aca="false">IF(AR867="",0,MAX(0,MIN(1,(IF(BU867="L1",Parameter!$E$5,Parameter!$E$6+Parameter!$E$7)-(AR867-AN867))/AN867)))</f>
        <v>1</v>
      </c>
      <c r="AT867" s="57" t="n">
        <f aca="false">IF(LEFT(Cockpit!$O$5,1)="A",G867,IF(BW867=1,BX867,IF(LEFT(Cockpit!$O$5,1)="B",AX867,MAX(AX867,G867))))</f>
        <v>54</v>
      </c>
      <c r="AU867" s="57" t="n">
        <f aca="false">IF(BR867=1,0,ROUNDUP(AT867/BQ867,0))</f>
        <v>1</v>
      </c>
      <c r="AV867" s="59" t="n">
        <f aca="false">IF(CD867&gt;0,CD867*MAX(1,AT867/V867),IF(BR867=1,IF(AT867&lt;=0,0,BS867*MAX(1,IF(G867&gt;0,AT867/G867,1))),IF(Q867&gt;0,AU867/Q867,0))/MAX(0.1,N(Parameter!$M$21)))</f>
        <v>0.0384615384615385</v>
      </c>
      <c r="AW867" s="57" t="n">
        <f aca="false">AT867*F867</f>
        <v>588.6</v>
      </c>
      <c r="AX867" s="57" t="n">
        <f aca="false">ROUNDUP(MAX(I867/IF(BV867&gt;0,BV867,MAX(0.1,N(Cockpit!$O$6))),BY867)/BQ867,0)*BQ867</f>
        <v>54</v>
      </c>
      <c r="AY867" s="58" t="n">
        <f aca="false">IF(AV867&gt;0,I867/AV867,-1)</f>
        <v>26</v>
      </c>
      <c r="AZ867" s="58" t="n">
        <f aca="false">IF(AND(OR(BU867="L1",BU867="L23"),AV867&gt;0),SUMIFS($AV$7:$AV$1576,$BU$7:$BU$1576,BU867,$AY$7:$AY$1576,"&gt;"&amp;AY867)+SUMIFS($AV$7:$AV$1576,$BU$7:$BU$1576,BU867,$AY$7:$AY$1576,AY867,$BO$7:$BO$1576,"&lt;="&amp;BO867),"")</f>
        <v>88.0481388844</v>
      </c>
      <c r="BA867" s="65" t="n">
        <f aca="false">IF(AZ867="",0,MAX(0,MIN(1,(IF(BU867="L1",Parameter!$E$5,Parameter!$E$6+Parameter!$E$7)-(AZ867-AV867))/AV867)))</f>
        <v>1</v>
      </c>
      <c r="BB867" s="55" t="str">
        <f aca="false">IF(AF867&lt;=0,"",IF(BU867="Aussen","Aussenlager",IF(BU867="-","Nicht im Lift",IF(AK867&gt;=1,"Lift",IF(AK867&lt;=0,"Aussenlager","teilweise")))))</f>
        <v/>
      </c>
      <c r="BC867" s="55" t="str">
        <f aca="false">IF(AN867&lt;=0,"",IF(BU867="Aussen","Aussenlager",IF(BU867="-","Nicht im Lift",IF(AS867&gt;=1,"Lift",IF(AS867&lt;=0,"Aussenlager","teilweise")))))</f>
        <v>Lift</v>
      </c>
      <c r="BD867" s="55" t="str">
        <f aca="false">IF(AV867&lt;=0,"",IF(BU867="Aussen","Aussenlager",IF(BU867="-","Nicht im Lift",IF(BA867&gt;=1,"Lift",IF(BA867&lt;=0,"Aussenlager","teilweise")))))</f>
        <v>Lift</v>
      </c>
      <c r="BE867" s="55" t="str">
        <f aca="false">IF(A867="","",IF(BN867=1,"Neu; ","")&amp;IF(AND(BN867=0,BI867&lt;0),"negativer Bestand (Export "&amp;BI867&amp;"); ","")&amp;IF(I867&lt;=0,"Kein Verbrauch; ","")&amp;IF(CD867&gt;0,"Lift "&amp;U867&amp;" lt. Liftbericht (Fach "&amp;V867&amp;" Stk); ",IF(BR867=1,"Lose – Fläche geschätzt; ",""))&amp;IF(G867&gt;AP867,"Überbestand "&amp;ROUND(G867-AP867,0)&amp;" Stk / CHF "&amp;ROUND((G867-AP867)*F867,0)&amp;"; ","")&amp;IF(AND(BW867=1,BX867&lt;BY867),"MAX &lt; MB+LG; ","")&amp;IF(AND(CC867&gt;0,CB867*10&gt;CC867),"zu hoch für Tablar; ","")&amp;IF(AND(BN867=0,OR(BW867=1,Y867&lt;&gt;"",S867&lt;&gt;"",T867&lt;&gt;"",Z867&lt;&gt;"")),"manuell übersteuert; ","")&amp;IF(AND(BR867=0,Q867=0),"Gebinde unbekannt / Stellmass fehlt; ","")&amp;IF(AND(BR867=0,N(T867)&lt;=0,N(P867)&lt;=0),"Menge pro Gebinde fehlt (Ist = 1 Gebinde); ","")&amp;BM867)</f>
        <v>negativer Bestand (Export -2); i.o</v>
      </c>
      <c r="BF867" s="55"/>
      <c r="BG867" s="55"/>
      <c r="BH867" s="62"/>
      <c r="BI867" s="57" t="n">
        <v>-2</v>
      </c>
      <c r="BJ867" s="57" t="n">
        <v>56</v>
      </c>
      <c r="BK867" s="56" t="n">
        <v>-21.8</v>
      </c>
      <c r="BL867" s="57" t="n">
        <v>1</v>
      </c>
      <c r="BM867" s="55" t="s">
        <v>525</v>
      </c>
      <c r="BN867" s="60" t="n">
        <v>0</v>
      </c>
      <c r="BO867" s="60" t="n">
        <v>867</v>
      </c>
      <c r="BP867" s="55" t="str">
        <f aca="false">IF(S867&lt;&gt;"",UPPER(TRIM(S867)),IF(O867="","LOSE",O867))</f>
        <v>S51</v>
      </c>
      <c r="BQ867" s="57" t="n">
        <f aca="false">IF(BP867="LOSE",1,IF(N(T867)&gt;0,T867,IF(N(P867)&gt;0,P867,MAX(1,G867))))</f>
        <v>54</v>
      </c>
      <c r="BR867" s="60" t="n">
        <f aca="false">IF(BP867="LOSE",1,0)</f>
        <v>0</v>
      </c>
      <c r="BS867" s="59" t="n">
        <f aca="false">IF(BR867=0,0,IF(N(R867)&gt;0,R867,IFERROR(VLOOKUP(D867,Parameter!$A$35:$C$64,3,0)+0,0)))</f>
        <v>0</v>
      </c>
      <c r="BT867" s="55" t="n">
        <f aca="false">IF(Y867&lt;&gt;"",Y867,X867)</f>
        <v>3</v>
      </c>
      <c r="BU867" s="55" t="str">
        <f aca="false">IF(BT867=1,"L1",IF(OR(BT867=2,BT867=3),"L23",IF(BT867="Aussen","Aussen","-")))</f>
        <v>L23</v>
      </c>
      <c r="BV867" s="66" t="n">
        <f aca="false">IF(N(Z867)&gt;0,Z867,0)</f>
        <v>0</v>
      </c>
      <c r="BW867" s="60" t="n">
        <f aca="false">IF(ISNUMBER(AC867),1,0)</f>
        <v>0</v>
      </c>
      <c r="BX867" s="57" t="n">
        <f aca="false">N(AC867)</f>
        <v>0</v>
      </c>
      <c r="BY867" s="57" t="n">
        <f aca="false">N(L867)+N(M867)</f>
        <v>1</v>
      </c>
      <c r="BZ867" s="57" t="n">
        <f aca="false">ROUNDUP(G867/BQ867,0)</f>
        <v>0</v>
      </c>
      <c r="CA867" s="57" t="n">
        <f aca="false">ROUNDUP(BX867/BQ867,0)</f>
        <v>0</v>
      </c>
      <c r="CB867" s="60" t="n">
        <f aca="false">IF(BR867=1,0,IFERROR(VLOOKUP(BP867,'Gebinde-Kategorie'!$A$5:$M$45,5,0)+0,0))</f>
        <v>11</v>
      </c>
      <c r="CC867" s="60" t="n">
        <f aca="false">IFERROR(IF(OR(BT867=1,BT867=2,BT867=3),N(INDEX(Parameter!$I$5:$I$7,BT867)),0),0)</f>
        <v>0</v>
      </c>
      <c r="CD867" s="59" t="n">
        <f aca="false">IF(AND(Parameter!$B$21="Ja",ISNUMBER(U867),N(V867)&gt;0),IFERROR(N(INDEX(Parameter!$L$5:$L$7,U867))*INDEX(Parameter!$E$5:$E$7,U867)*V867/SUMIFS($V$7:$V$1576,$U$7:$U$1576,U867),0),0)</f>
        <v>0</v>
      </c>
    </row>
    <row r="868" customFormat="false" ht="15" hidden="false" customHeight="false" outlineLevel="0" collapsed="false">
      <c r="A868" s="55" t="s">
        <v>1636</v>
      </c>
      <c r="B868" s="55" t="s">
        <v>1637</v>
      </c>
      <c r="C868" s="55" t="s">
        <v>160</v>
      </c>
      <c r="D868" s="55" t="s">
        <v>178</v>
      </c>
      <c r="E868" s="55" t="s">
        <v>210</v>
      </c>
      <c r="F868" s="56" t="n">
        <v>39.04</v>
      </c>
      <c r="G868" s="57" t="n">
        <f aca="false">MAX(0,IF(AND(Parameter!$B$21="Ja",ISNUMBER(W868)),W868,IF(Parameter!$B$20="Jahresanfang 2025 + Export",BJ868+BI868,BI868)))</f>
        <v>0</v>
      </c>
      <c r="H868" s="57" t="n">
        <f aca="false">G868*F868</f>
        <v>0</v>
      </c>
      <c r="I868" s="57" t="n">
        <f aca="false">BL868*Parameter!$B$18</f>
        <v>6</v>
      </c>
      <c r="J868" s="58" t="n">
        <v>5</v>
      </c>
      <c r="K868" s="59" t="n">
        <v>1.2</v>
      </c>
      <c r="L868" s="57" t="n">
        <v>0</v>
      </c>
      <c r="M868" s="57" t="n">
        <v>5</v>
      </c>
      <c r="N868" s="60" t="n">
        <v>21</v>
      </c>
      <c r="O868" s="55" t="s">
        <v>465</v>
      </c>
      <c r="P868" s="57" t="n">
        <v>10</v>
      </c>
      <c r="Q868" s="60" t="n">
        <f aca="false">IF(BR868=1,0,IFERROR(VLOOKUP(BP868,'Gebinde-Kategorie'!$A$5:$M$45,13,0)+0,0))</f>
        <v>66</v>
      </c>
      <c r="R868" s="61"/>
      <c r="S868" s="62"/>
      <c r="T868" s="62"/>
      <c r="U868" s="55"/>
      <c r="V868" s="57"/>
      <c r="W868" s="57"/>
      <c r="X868" s="55" t="n">
        <f aca="false">IF(A868="","",IF(AND(Parameter!$B$21="Ja",ISNUMBER(U868)),U868,IF(IFERROR(VLOOKUP(D868,Parameter!$A$35:$C$64,2,0),"Nein")="2+3",IF(ISNUMBER(SEARCH("grosser Artikel",BM868)),2,IFERROR(VLOOKUP(BP868,Parameter!$F$35:$G$64,2,0),2)),IF(OR(IFERROR(VLOOKUP(D868,Parameter!$A$35:$C$64,2,0),"Nein")="Nein",IFERROR(VLOOKUP(D868,Parameter!$A$35:$C$64,2,0),"Nein")=""),"-",VLOOKUP(D868,Parameter!$A$35:$C$64,2,0)))))</f>
        <v>3</v>
      </c>
      <c r="Y868" s="62"/>
      <c r="Z868" s="63"/>
      <c r="AA868" s="57" t="n">
        <f aca="false">AP868</f>
        <v>10</v>
      </c>
      <c r="AB868" s="57" t="n">
        <f aca="false">MAX(AP868,G868)</f>
        <v>10</v>
      </c>
      <c r="AC868" s="64"/>
      <c r="AD868" s="57" t="n">
        <f aca="false">IF(LEFT(Cockpit!$C$5,1)="A",G868,IF(BW868=1,BX868,IF(LEFT(Cockpit!$C$5,1)="B",AH868,MAX(AH868,G868))))</f>
        <v>0</v>
      </c>
      <c r="AE868" s="57" t="n">
        <f aca="false">IF(BR868=1,0,ROUNDUP(AD868/BQ868,0))</f>
        <v>0</v>
      </c>
      <c r="AF868" s="59" t="n">
        <f aca="false">IF(CD868&gt;0,CD868*MAX(1,AD868/V868),IF(BR868=1,IF(AD868&lt;=0,0,BS868*MAX(1,IF(G868&gt;0,AD868/G868,1))),IF(Q868&gt;0,AE868/Q868,0))/MAX(0.1,N(Parameter!$M$21)))</f>
        <v>0</v>
      </c>
      <c r="AG868" s="57" t="n">
        <f aca="false">AD868*F868</f>
        <v>0</v>
      </c>
      <c r="AH868" s="57" t="n">
        <f aca="false">ROUNDUP(MAX(I868/IF(BV868&gt;0,BV868,MAX(0.1,N(Cockpit!$C$6))),BY868)/BQ868,0)*BQ868</f>
        <v>10</v>
      </c>
      <c r="AI868" s="58" t="n">
        <f aca="false">IF(AF868&gt;0,I868/AF868,-1)</f>
        <v>-1</v>
      </c>
      <c r="AJ868" s="58" t="str">
        <f aca="false">IF(AND(OR(BU868="L1",BU868="L23"),AF868&gt;0),SUMIFS($AF$7:$AF$1576,$BU$7:$BU$1576,BU868,$AI$7:$AI$1576,"&gt;"&amp;AI868)+SUMIFS($AF$7:$AF$1576,$BU$7:$BU$1576,BU868,$AI$7:$AI$1576,AI868,$BO$7:$BO$1576,"&lt;="&amp;BO868),"")</f>
        <v/>
      </c>
      <c r="AK868" s="65" t="n">
        <f aca="false">IF(AJ868="",0,MAX(0,MIN(1,(IF(BU868="L1",Parameter!$E$5,Parameter!$E$6+Parameter!$E$7)-(AJ868-AF868))/AF868)))</f>
        <v>0</v>
      </c>
      <c r="AL868" s="57" t="n">
        <f aca="false">IF(LEFT(Cockpit!$I$5,1)="A",G868,IF(BW868=1,BX868,IF(LEFT(Cockpit!$I$5,1)="B",AP868,MAX(AP868,G868))))</f>
        <v>10</v>
      </c>
      <c r="AM868" s="57" t="n">
        <f aca="false">IF(BR868=1,0,ROUNDUP(AL868/BQ868,0))</f>
        <v>1</v>
      </c>
      <c r="AN868" s="59" t="n">
        <f aca="false">IF(CD868&gt;0,CD868*MAX(1,AL868/V868),IF(BR868=1,IF(AL868&lt;=0,0,BS868*MAX(1,IF(G868&gt;0,AL868/G868,1))),IF(Q868&gt;0,AM868/Q868,0))/MAX(0.1,N(Parameter!$M$21)))</f>
        <v>0.0151515151515152</v>
      </c>
      <c r="AO868" s="57" t="n">
        <f aca="false">AL868*F868</f>
        <v>390.4</v>
      </c>
      <c r="AP868" s="57" t="n">
        <f aca="false">ROUNDUP(MAX(I868/IF(BV868&gt;0,BV868,MAX(0.1,N(Cockpit!$I$6))),BY868)/BQ868,0)*BQ868</f>
        <v>10</v>
      </c>
      <c r="AQ868" s="58" t="n">
        <f aca="false">IF(AN868&gt;0,I868/AN868,-1)</f>
        <v>396</v>
      </c>
      <c r="AR868" s="58" t="n">
        <f aca="false">IF(AND(OR(BU868="L1",BU868="L23"),AN868&gt;0),SUMIFS($AN$7:$AN$1576,$BU$7:$BU$1576,BU868,$AQ$7:$AQ$1576,"&gt;"&amp;AQ868)+SUMIFS($AN$7:$AN$1576,$BU$7:$BU$1576,BU868,$AQ$7:$AQ$1576,AQ868,$BO$7:$BO$1576,"&lt;="&amp;BO868),"")</f>
        <v>36.8066874795247</v>
      </c>
      <c r="AS868" s="65" t="n">
        <f aca="false">IF(AR868="",0,MAX(0,MIN(1,(IF(BU868="L1",Parameter!$E$5,Parameter!$E$6+Parameter!$E$7)-(AR868-AN868))/AN868)))</f>
        <v>1</v>
      </c>
      <c r="AT868" s="57" t="n">
        <f aca="false">IF(LEFT(Cockpit!$O$5,1)="A",G868,IF(BW868=1,BX868,IF(LEFT(Cockpit!$O$5,1)="B",AX868,MAX(AX868,G868))))</f>
        <v>10</v>
      </c>
      <c r="AU868" s="57" t="n">
        <f aca="false">IF(BR868=1,0,ROUNDUP(AT868/BQ868,0))</f>
        <v>1</v>
      </c>
      <c r="AV868" s="59" t="n">
        <f aca="false">IF(CD868&gt;0,CD868*MAX(1,AT868/V868),IF(BR868=1,IF(AT868&lt;=0,0,BS868*MAX(1,IF(G868&gt;0,AT868/G868,1))),IF(Q868&gt;0,AU868/Q868,0))/MAX(0.1,N(Parameter!$M$21)))</f>
        <v>0.0151515151515152</v>
      </c>
      <c r="AW868" s="57" t="n">
        <f aca="false">AT868*F868</f>
        <v>390.4</v>
      </c>
      <c r="AX868" s="57" t="n">
        <f aca="false">ROUNDUP(MAX(I868/IF(BV868&gt;0,BV868,MAX(0.1,N(Cockpit!$O$6))),BY868)/BQ868,0)*BQ868</f>
        <v>10</v>
      </c>
      <c r="AY868" s="58" t="n">
        <f aca="false">IF(AV868&gt;0,I868/AV868,-1)</f>
        <v>396</v>
      </c>
      <c r="AZ868" s="58" t="n">
        <f aca="false">IF(AND(OR(BU868="L1",BU868="L23"),AV868&gt;0),SUMIFS($AV$7:$AV$1576,$BU$7:$BU$1576,BU868,$AY$7:$AY$1576,"&gt;"&amp;AY868)+SUMIFS($AV$7:$AV$1576,$BU$7:$BU$1576,BU868,$AY$7:$AY$1576,AY868,$BO$7:$BO$1576,"&lt;="&amp;BO868),"")</f>
        <v>35.97143273427</v>
      </c>
      <c r="BA868" s="65" t="n">
        <f aca="false">IF(AZ868="",0,MAX(0,MIN(1,(IF(BU868="L1",Parameter!$E$5,Parameter!$E$6+Parameter!$E$7)-(AZ868-AV868))/AV868)))</f>
        <v>1</v>
      </c>
      <c r="BB868" s="55" t="str">
        <f aca="false">IF(AF868&lt;=0,"",IF(BU868="Aussen","Aussenlager",IF(BU868="-","Nicht im Lift",IF(AK868&gt;=1,"Lift",IF(AK868&lt;=0,"Aussenlager","teilweise")))))</f>
        <v/>
      </c>
      <c r="BC868" s="55" t="str">
        <f aca="false">IF(AN868&lt;=0,"",IF(BU868="Aussen","Aussenlager",IF(BU868="-","Nicht im Lift",IF(AS868&gt;=1,"Lift",IF(AS868&lt;=0,"Aussenlager","teilweise")))))</f>
        <v>Lift</v>
      </c>
      <c r="BD868" s="55" t="str">
        <f aca="false">IF(AV868&lt;=0,"",IF(BU868="Aussen","Aussenlager",IF(BU868="-","Nicht im Lift",IF(BA868&gt;=1,"Lift",IF(BA868&lt;=0,"Aussenlager","teilweise")))))</f>
        <v>Lift</v>
      </c>
      <c r="BE868" s="55" t="str">
        <f aca="false">IF(A868="","",IF(BN868=1,"Neu; ","")&amp;IF(AND(BN868=0,BI868&lt;0),"negativer Bestand (Export "&amp;BI868&amp;"); ","")&amp;IF(I868&lt;=0,"Kein Verbrauch; ","")&amp;IF(CD868&gt;0,"Lift "&amp;U868&amp;" lt. Liftbericht (Fach "&amp;V868&amp;" Stk); ",IF(BR868=1,"Lose – Fläche geschätzt; ",""))&amp;IF(G868&gt;AP868,"Überbestand "&amp;ROUND(G868-AP868,0)&amp;" Stk / CHF "&amp;ROUND((G868-AP868)*F868,0)&amp;"; ","")&amp;IF(AND(BW868=1,BX868&lt;BY868),"MAX &lt; MB+LG; ","")&amp;IF(AND(CC868&gt;0,CB868*10&gt;CC868),"zu hoch für Tablar; ","")&amp;IF(AND(BN868=0,OR(BW868=1,Y868&lt;&gt;"",S868&lt;&gt;"",T868&lt;&gt;"",Z868&lt;&gt;"")),"manuell übersteuert; ","")&amp;IF(AND(BR868=0,Q868=0),"Gebinde unbekannt / Stellmass fehlt; ","")&amp;IF(AND(BR868=0,N(T868)&lt;=0,N(P868)&lt;=0),"Menge pro Gebinde fehlt (Ist = 1 Gebinde); ","")&amp;BM868)</f>
        <v>negativer Bestand (Export -1); </v>
      </c>
      <c r="BF868" s="55"/>
      <c r="BG868" s="55"/>
      <c r="BH868" s="62"/>
      <c r="BI868" s="57" t="n">
        <v>-1</v>
      </c>
      <c r="BJ868" s="57" t="n">
        <v>3</v>
      </c>
      <c r="BK868" s="56" t="n">
        <v>-21.88</v>
      </c>
      <c r="BL868" s="57" t="n">
        <v>6</v>
      </c>
      <c r="BM868" s="55"/>
      <c r="BN868" s="60" t="n">
        <v>0</v>
      </c>
      <c r="BO868" s="60" t="n">
        <v>868</v>
      </c>
      <c r="BP868" s="55" t="str">
        <f aca="false">IF(S868&lt;&gt;"",UPPER(TRIM(S868)),IF(O868="","LOSE",O868))</f>
        <v>S33</v>
      </c>
      <c r="BQ868" s="57" t="n">
        <f aca="false">IF(BP868="LOSE",1,IF(N(T868)&gt;0,T868,IF(N(P868)&gt;0,P868,MAX(1,G868))))</f>
        <v>10</v>
      </c>
      <c r="BR868" s="60" t="n">
        <f aca="false">IF(BP868="LOSE",1,0)</f>
        <v>0</v>
      </c>
      <c r="BS868" s="59" t="n">
        <f aca="false">IF(BR868=0,0,IF(N(R868)&gt;0,R868,IFERROR(VLOOKUP(D868,Parameter!$A$35:$C$64,3,0)+0,0)))</f>
        <v>0</v>
      </c>
      <c r="BT868" s="55" t="n">
        <f aca="false">IF(Y868&lt;&gt;"",Y868,X868)</f>
        <v>3</v>
      </c>
      <c r="BU868" s="55" t="str">
        <f aca="false">IF(BT868=1,"L1",IF(OR(BT868=2,BT868=3),"L23",IF(BT868="Aussen","Aussen","-")))</f>
        <v>L23</v>
      </c>
      <c r="BV868" s="66" t="n">
        <f aca="false">IF(N(Z868)&gt;0,Z868,0)</f>
        <v>0</v>
      </c>
      <c r="BW868" s="60" t="n">
        <f aca="false">IF(ISNUMBER(AC868),1,0)</f>
        <v>0</v>
      </c>
      <c r="BX868" s="57" t="n">
        <f aca="false">N(AC868)</f>
        <v>0</v>
      </c>
      <c r="BY868" s="57" t="n">
        <f aca="false">N(L868)+N(M868)</f>
        <v>5</v>
      </c>
      <c r="BZ868" s="57" t="n">
        <f aca="false">ROUNDUP(G868/BQ868,0)</f>
        <v>0</v>
      </c>
      <c r="CA868" s="57" t="n">
        <f aca="false">ROUNDUP(BX868/BQ868,0)</f>
        <v>0</v>
      </c>
      <c r="CB868" s="60" t="n">
        <f aca="false">IF(BR868=1,0,IFERROR(VLOOKUP(BP868,'Gebinde-Kategorie'!$A$5:$M$45,5,0)+0,0))</f>
        <v>8</v>
      </c>
      <c r="CC868" s="60" t="n">
        <f aca="false">IFERROR(IF(OR(BT868=1,BT868=2,BT868=3),N(INDEX(Parameter!$I$5:$I$7,BT868)),0),0)</f>
        <v>0</v>
      </c>
      <c r="CD868" s="59" t="n">
        <f aca="false">IF(AND(Parameter!$B$21="Ja",ISNUMBER(U868),N(V868)&gt;0),IFERROR(N(INDEX(Parameter!$L$5:$L$7,U868))*INDEX(Parameter!$E$5:$E$7,U868)*V868/SUMIFS($V$7:$V$1576,$U$7:$U$1576,U868),0),0)</f>
        <v>0</v>
      </c>
    </row>
    <row r="869" customFormat="false" ht="15" hidden="false" customHeight="false" outlineLevel="0" collapsed="false">
      <c r="A869" s="55" t="s">
        <v>1638</v>
      </c>
      <c r="B869" s="55" t="s">
        <v>578</v>
      </c>
      <c r="C869" s="55" t="s">
        <v>160</v>
      </c>
      <c r="D869" s="55" t="s">
        <v>178</v>
      </c>
      <c r="E869" s="55" t="s">
        <v>210</v>
      </c>
      <c r="F869" s="56" t="n">
        <v>2.2</v>
      </c>
      <c r="G869" s="57" t="n">
        <f aca="false">MAX(0,IF(AND(Parameter!$B$21="Ja",ISNUMBER(W869)),W869,IF(Parameter!$B$20="Jahresanfang 2025 + Export",BJ869+BI869,BI869)))</f>
        <v>0</v>
      </c>
      <c r="H869" s="57" t="n">
        <f aca="false">G869*F869</f>
        <v>0</v>
      </c>
      <c r="I869" s="57" t="n">
        <f aca="false">BL869*Parameter!$B$18</f>
        <v>1</v>
      </c>
      <c r="J869" s="58" t="n">
        <v>21.5</v>
      </c>
      <c r="K869" s="59" t="n">
        <v>0.0465116279069767</v>
      </c>
      <c r="L869" s="57" t="n">
        <v>0</v>
      </c>
      <c r="M869" s="57" t="n">
        <v>1</v>
      </c>
      <c r="N869" s="60" t="n">
        <v>14</v>
      </c>
      <c r="O869" s="55" t="s">
        <v>391</v>
      </c>
      <c r="P869" s="57" t="n">
        <v>22</v>
      </c>
      <c r="Q869" s="60" t="n">
        <f aca="false">IF(BR869=1,0,IFERROR(VLOOKUP(BP869,'Gebinde-Kategorie'!$A$5:$M$45,13,0)+0,0))</f>
        <v>414</v>
      </c>
      <c r="R869" s="61"/>
      <c r="S869" s="62"/>
      <c r="T869" s="62"/>
      <c r="U869" s="55"/>
      <c r="V869" s="57"/>
      <c r="W869" s="57"/>
      <c r="X869" s="55" t="n">
        <f aca="false">IF(A869="","",IF(AND(Parameter!$B$21="Ja",ISNUMBER(U869)),U869,IF(IFERROR(VLOOKUP(D869,Parameter!$A$35:$C$64,2,0),"Nein")="2+3",IF(ISNUMBER(SEARCH("grosser Artikel",BM869)),2,IFERROR(VLOOKUP(BP869,Parameter!$F$35:$G$64,2,0),2)),IF(OR(IFERROR(VLOOKUP(D869,Parameter!$A$35:$C$64,2,0),"Nein")="Nein",IFERROR(VLOOKUP(D869,Parameter!$A$35:$C$64,2,0),"Nein")=""),"-",VLOOKUP(D869,Parameter!$A$35:$C$64,2,0)))))</f>
        <v>3</v>
      </c>
      <c r="Y869" s="62"/>
      <c r="Z869" s="63"/>
      <c r="AA869" s="57" t="n">
        <f aca="false">AP869</f>
        <v>22</v>
      </c>
      <c r="AB869" s="57" t="n">
        <f aca="false">MAX(AP869,G869)</f>
        <v>22</v>
      </c>
      <c r="AC869" s="64"/>
      <c r="AD869" s="57" t="n">
        <f aca="false">IF(LEFT(Cockpit!$C$5,1)="A",G869,IF(BW869=1,BX869,IF(LEFT(Cockpit!$C$5,1)="B",AH869,MAX(AH869,G869))))</f>
        <v>0</v>
      </c>
      <c r="AE869" s="57" t="n">
        <f aca="false">IF(BR869=1,0,ROUNDUP(AD869/BQ869,0))</f>
        <v>0</v>
      </c>
      <c r="AF869" s="59" t="n">
        <f aca="false">IF(CD869&gt;0,CD869*MAX(1,AD869/V869),IF(BR869=1,IF(AD869&lt;=0,0,BS869*MAX(1,IF(G869&gt;0,AD869/G869,1))),IF(Q869&gt;0,AE869/Q869,0))/MAX(0.1,N(Parameter!$M$21)))</f>
        <v>0</v>
      </c>
      <c r="AG869" s="57" t="n">
        <f aca="false">AD869*F869</f>
        <v>0</v>
      </c>
      <c r="AH869" s="57" t="n">
        <f aca="false">ROUNDUP(MAX(I869/IF(BV869&gt;0,BV869,MAX(0.1,N(Cockpit!$C$6))),BY869)/BQ869,0)*BQ869</f>
        <v>22</v>
      </c>
      <c r="AI869" s="58" t="n">
        <f aca="false">IF(AF869&gt;0,I869/AF869,-1)</f>
        <v>-1</v>
      </c>
      <c r="AJ869" s="58" t="str">
        <f aca="false">IF(AND(OR(BU869="L1",BU869="L23"),AF869&gt;0),SUMIFS($AF$7:$AF$1576,$BU$7:$BU$1576,BU869,$AI$7:$AI$1576,"&gt;"&amp;AI869)+SUMIFS($AF$7:$AF$1576,$BU$7:$BU$1576,BU869,$AI$7:$AI$1576,AI869,$BO$7:$BO$1576,"&lt;="&amp;BO869),"")</f>
        <v/>
      </c>
      <c r="AK869" s="65" t="n">
        <f aca="false">IF(AJ869="",0,MAX(0,MIN(1,(IF(BU869="L1",Parameter!$E$5,Parameter!$E$6+Parameter!$E$7)-(AJ869-AF869))/AF869)))</f>
        <v>0</v>
      </c>
      <c r="AL869" s="57" t="n">
        <f aca="false">IF(LEFT(Cockpit!$I$5,1)="A",G869,IF(BW869=1,BX869,IF(LEFT(Cockpit!$I$5,1)="B",AP869,MAX(AP869,G869))))</f>
        <v>22</v>
      </c>
      <c r="AM869" s="57" t="n">
        <f aca="false">IF(BR869=1,0,ROUNDUP(AL869/BQ869,0))</f>
        <v>1</v>
      </c>
      <c r="AN869" s="59" t="n">
        <f aca="false">IF(CD869&gt;0,CD869*MAX(1,AL869/V869),IF(BR869=1,IF(AL869&lt;=0,0,BS869*MAX(1,IF(G869&gt;0,AL869/G869,1))),IF(Q869&gt;0,AM869/Q869,0))/MAX(0.1,N(Parameter!$M$21)))</f>
        <v>0.00241545893719807</v>
      </c>
      <c r="AO869" s="57" t="n">
        <f aca="false">AL869*F869</f>
        <v>48.4</v>
      </c>
      <c r="AP869" s="57" t="n">
        <f aca="false">ROUNDUP(MAX(I869/IF(BV869&gt;0,BV869,MAX(0.1,N(Cockpit!$I$6))),BY869)/BQ869,0)*BQ869</f>
        <v>22</v>
      </c>
      <c r="AQ869" s="58" t="n">
        <f aca="false">IF(AN869&gt;0,I869/AN869,-1)</f>
        <v>414</v>
      </c>
      <c r="AR869" s="58" t="n">
        <f aca="false">IF(AND(OR(BU869="L1",BU869="L23"),AN869&gt;0),SUMIFS($AN$7:$AN$1576,$BU$7:$BU$1576,BU869,$AQ$7:$AQ$1576,"&gt;"&amp;AQ869)+SUMIFS($AN$7:$AN$1576,$BU$7:$BU$1576,BU869,$AQ$7:$AQ$1576,AQ869,$BO$7:$BO$1576,"&lt;="&amp;BO869),"")</f>
        <v>36.4391292889231</v>
      </c>
      <c r="AS869" s="65" t="n">
        <f aca="false">IF(AR869="",0,MAX(0,MIN(1,(IF(BU869="L1",Parameter!$E$5,Parameter!$E$6+Parameter!$E$7)-(AR869-AN869))/AN869)))</f>
        <v>1</v>
      </c>
      <c r="AT869" s="57" t="n">
        <f aca="false">IF(LEFT(Cockpit!$O$5,1)="A",G869,IF(BW869=1,BX869,IF(LEFT(Cockpit!$O$5,1)="B",AX869,MAX(AX869,G869))))</f>
        <v>22</v>
      </c>
      <c r="AU869" s="57" t="n">
        <f aca="false">IF(BR869=1,0,ROUNDUP(AT869/BQ869,0))</f>
        <v>1</v>
      </c>
      <c r="AV869" s="59" t="n">
        <f aca="false">IF(CD869&gt;0,CD869*MAX(1,AT869/V869),IF(BR869=1,IF(AT869&lt;=0,0,BS869*MAX(1,IF(G869&gt;0,AT869/G869,1))),IF(Q869&gt;0,AU869/Q869,0))/MAX(0.1,N(Parameter!$M$21)))</f>
        <v>0.00241545893719807</v>
      </c>
      <c r="AW869" s="57" t="n">
        <f aca="false">AT869*F869</f>
        <v>48.4</v>
      </c>
      <c r="AX869" s="57" t="n">
        <f aca="false">ROUNDUP(MAX(I869/IF(BV869&gt;0,BV869,MAX(0.1,N(Cockpit!$O$6))),BY869)/BQ869,0)*BQ869</f>
        <v>22</v>
      </c>
      <c r="AY869" s="58" t="n">
        <f aca="false">IF(AV869&gt;0,I869/AV869,-1)</f>
        <v>414</v>
      </c>
      <c r="AZ869" s="58" t="n">
        <f aca="false">IF(AND(OR(BU869="L1",BU869="L23"),AV869&gt;0),SUMIFS($AV$7:$AV$1576,$BU$7:$BU$1576,BU869,$AY$7:$AY$1576,"&gt;"&amp;AY869)+SUMIFS($AV$7:$AV$1576,$BU$7:$BU$1576,BU869,$AY$7:$AY$1576,AY869,$BO$7:$BO$1576,"&lt;="&amp;BO869),"")</f>
        <v>35.6038745436683</v>
      </c>
      <c r="BA869" s="65" t="n">
        <f aca="false">IF(AZ869="",0,MAX(0,MIN(1,(IF(BU869="L1",Parameter!$E$5,Parameter!$E$6+Parameter!$E$7)-(AZ869-AV869))/AV869)))</f>
        <v>1</v>
      </c>
      <c r="BB869" s="55" t="str">
        <f aca="false">IF(AF869&lt;=0,"",IF(BU869="Aussen","Aussenlager",IF(BU869="-","Nicht im Lift",IF(AK869&gt;=1,"Lift",IF(AK869&lt;=0,"Aussenlager","teilweise")))))</f>
        <v/>
      </c>
      <c r="BC869" s="55" t="str">
        <f aca="false">IF(AN869&lt;=0,"",IF(BU869="Aussen","Aussenlager",IF(BU869="-","Nicht im Lift",IF(AS869&gt;=1,"Lift",IF(AS869&lt;=0,"Aussenlager","teilweise")))))</f>
        <v>Lift</v>
      </c>
      <c r="BD869" s="55" t="str">
        <f aca="false">IF(AV869&lt;=0,"",IF(BU869="Aussen","Aussenlager",IF(BU869="-","Nicht im Lift",IF(BA869&gt;=1,"Lift",IF(BA869&lt;=0,"Aussenlager","teilweise")))))</f>
        <v>Lift</v>
      </c>
      <c r="BE869" s="55" t="str">
        <f aca="false">IF(A869="","",IF(BN869=1,"Neu; ","")&amp;IF(AND(BN869=0,BI869&lt;0),"negativer Bestand (Export "&amp;BI869&amp;"); ","")&amp;IF(I869&lt;=0,"Kein Verbrauch; ","")&amp;IF(CD869&gt;0,"Lift "&amp;U869&amp;" lt. Liftbericht (Fach "&amp;V869&amp;" Stk); ",IF(BR869=1,"Lose – Fläche geschätzt; ",""))&amp;IF(G869&gt;AP869,"Überbestand "&amp;ROUND(G869-AP869,0)&amp;" Stk / CHF "&amp;ROUND((G869-AP869)*F869,0)&amp;"; ","")&amp;IF(AND(BW869=1,BX869&lt;BY869),"MAX &lt; MB+LG; ","")&amp;IF(AND(CC869&gt;0,CB869*10&gt;CC869),"zu hoch für Tablar; ","")&amp;IF(AND(BN869=0,OR(BW869=1,Y869&lt;&gt;"",S869&lt;&gt;"",T869&lt;&gt;"",Z869&lt;&gt;"")),"manuell übersteuert; ","")&amp;IF(AND(BR869=0,Q869=0),"Gebinde unbekannt / Stellmass fehlt; ","")&amp;IF(AND(BR869=0,N(T869)&lt;=0,N(P869)&lt;=0),"Menge pro Gebinde fehlt (Ist = 1 Gebinde); ","")&amp;BM869)</f>
        <v>negativer Bestand (Export -10); </v>
      </c>
      <c r="BF869" s="55"/>
      <c r="BG869" s="55"/>
      <c r="BH869" s="62"/>
      <c r="BI869" s="57" t="n">
        <v>-10</v>
      </c>
      <c r="BJ869" s="57" t="n">
        <v>22</v>
      </c>
      <c r="BK869" s="56" t="n">
        <v>-22</v>
      </c>
      <c r="BL869" s="57" t="n">
        <v>1</v>
      </c>
      <c r="BM869" s="55"/>
      <c r="BN869" s="60" t="n">
        <v>0</v>
      </c>
      <c r="BO869" s="60" t="n">
        <v>869</v>
      </c>
      <c r="BP869" s="55" t="str">
        <f aca="false">IF(S869&lt;&gt;"",UPPER(TRIM(S869)),IF(O869="","LOSE",O869))</f>
        <v>S21</v>
      </c>
      <c r="BQ869" s="57" t="n">
        <f aca="false">IF(BP869="LOSE",1,IF(N(T869)&gt;0,T869,IF(N(P869)&gt;0,P869,MAX(1,G869))))</f>
        <v>22</v>
      </c>
      <c r="BR869" s="60" t="n">
        <f aca="false">IF(BP869="LOSE",1,0)</f>
        <v>0</v>
      </c>
      <c r="BS869" s="59" t="n">
        <f aca="false">IF(BR869=0,0,IF(N(R869)&gt;0,R869,IFERROR(VLOOKUP(D869,Parameter!$A$35:$C$64,3,0)+0,0)))</f>
        <v>0</v>
      </c>
      <c r="BT869" s="55" t="n">
        <f aca="false">IF(Y869&lt;&gt;"",Y869,X869)</f>
        <v>3</v>
      </c>
      <c r="BU869" s="55" t="str">
        <f aca="false">IF(BT869=1,"L1",IF(OR(BT869=2,BT869=3),"L23",IF(BT869="Aussen","Aussen","-")))</f>
        <v>L23</v>
      </c>
      <c r="BV869" s="66" t="n">
        <f aca="false">IF(N(Z869)&gt;0,Z869,0)</f>
        <v>0</v>
      </c>
      <c r="BW869" s="60" t="n">
        <f aca="false">IF(ISNUMBER(AC869),1,0)</f>
        <v>0</v>
      </c>
      <c r="BX869" s="57" t="n">
        <f aca="false">N(AC869)</f>
        <v>0</v>
      </c>
      <c r="BY869" s="57" t="n">
        <f aca="false">N(L869)+N(M869)</f>
        <v>1</v>
      </c>
      <c r="BZ869" s="57" t="n">
        <f aca="false">ROUNDUP(G869/BQ869,0)</f>
        <v>0</v>
      </c>
      <c r="CA869" s="57" t="n">
        <f aca="false">ROUNDUP(BX869/BQ869,0)</f>
        <v>0</v>
      </c>
      <c r="CB869" s="60" t="n">
        <f aca="false">IF(BR869=1,0,IFERROR(VLOOKUP(BP869,'Gebinde-Kategorie'!$A$5:$M$45,5,0)+0,0))</f>
        <v>8</v>
      </c>
      <c r="CC869" s="60" t="n">
        <f aca="false">IFERROR(IF(OR(BT869=1,BT869=2,BT869=3),N(INDEX(Parameter!$I$5:$I$7,BT869)),0),0)</f>
        <v>0</v>
      </c>
      <c r="CD869" s="59" t="n">
        <f aca="false">IF(AND(Parameter!$B$21="Ja",ISNUMBER(U869),N(V869)&gt;0),IFERROR(N(INDEX(Parameter!$L$5:$L$7,U869))*INDEX(Parameter!$E$5:$E$7,U869)*V869/SUMIFS($V$7:$V$1576,$U$7:$U$1576,U869),0),0)</f>
        <v>0</v>
      </c>
    </row>
    <row r="870" customFormat="false" ht="15" hidden="false" customHeight="false" outlineLevel="0" collapsed="false">
      <c r="A870" s="55" t="s">
        <v>1639</v>
      </c>
      <c r="B870" s="55" t="s">
        <v>1023</v>
      </c>
      <c r="C870" s="55" t="s">
        <v>160</v>
      </c>
      <c r="D870" s="55" t="s">
        <v>178</v>
      </c>
      <c r="E870" s="55" t="s">
        <v>210</v>
      </c>
      <c r="F870" s="56" t="n">
        <v>7.13</v>
      </c>
      <c r="G870" s="57" t="n">
        <f aca="false">MAX(0,IF(AND(Parameter!$B$21="Ja",ISNUMBER(W870)),W870,IF(Parameter!$B$20="Jahresanfang 2025 + Export",BJ870+BI870,BI870)))</f>
        <v>0</v>
      </c>
      <c r="H870" s="57" t="n">
        <f aca="false">G870*F870</f>
        <v>0</v>
      </c>
      <c r="I870" s="57" t="n">
        <f aca="false">BL870*Parameter!$B$18</f>
        <v>3</v>
      </c>
      <c r="J870" s="58" t="n">
        <v>3</v>
      </c>
      <c r="K870" s="59" t="n">
        <v>1</v>
      </c>
      <c r="L870" s="57" t="n">
        <v>0</v>
      </c>
      <c r="M870" s="57" t="n">
        <v>5</v>
      </c>
      <c r="N870" s="60" t="n">
        <v>28</v>
      </c>
      <c r="O870" s="55" t="s">
        <v>163</v>
      </c>
      <c r="P870" s="57"/>
      <c r="Q870" s="60" t="n">
        <f aca="false">IF(BR870=1,0,IFERROR(VLOOKUP(BP870,'Gebinde-Kategorie'!$A$5:$M$45,13,0)+0,0))</f>
        <v>0</v>
      </c>
      <c r="R870" s="61"/>
      <c r="S870" s="62"/>
      <c r="T870" s="62"/>
      <c r="U870" s="55"/>
      <c r="V870" s="57"/>
      <c r="W870" s="57"/>
      <c r="X870" s="55" t="n">
        <f aca="false">IF(A870="","",IF(AND(Parameter!$B$21="Ja",ISNUMBER(U870)),U870,IF(IFERROR(VLOOKUP(D870,Parameter!$A$35:$C$64,2,0),"Nein")="2+3",IF(ISNUMBER(SEARCH("grosser Artikel",BM870)),2,IFERROR(VLOOKUP(BP870,Parameter!$F$35:$G$64,2,0),2)),IF(OR(IFERROR(VLOOKUP(D870,Parameter!$A$35:$C$64,2,0),"Nein")="Nein",IFERROR(VLOOKUP(D870,Parameter!$A$35:$C$64,2,0),"Nein")=""),"-",VLOOKUP(D870,Parameter!$A$35:$C$64,2,0)))))</f>
        <v>2</v>
      </c>
      <c r="Y870" s="62"/>
      <c r="Z870" s="63"/>
      <c r="AA870" s="57" t="n">
        <f aca="false">AP870</f>
        <v>5</v>
      </c>
      <c r="AB870" s="57" t="n">
        <f aca="false">MAX(AP870,G870)</f>
        <v>5</v>
      </c>
      <c r="AC870" s="64"/>
      <c r="AD870" s="57" t="n">
        <f aca="false">IF(LEFT(Cockpit!$C$5,1)="A",G870,IF(BW870=1,BX870,IF(LEFT(Cockpit!$C$5,1)="B",AH870,MAX(AH870,G870))))</f>
        <v>0</v>
      </c>
      <c r="AE870" s="57" t="n">
        <f aca="false">IF(BR870=1,0,ROUNDUP(AD870/BQ870,0))</f>
        <v>0</v>
      </c>
      <c r="AF870" s="59" t="n">
        <f aca="false">IF(CD870&gt;0,CD870*MAX(1,AD870/V870),IF(BR870=1,IF(AD870&lt;=0,0,BS870*MAX(1,IF(G870&gt;0,AD870/G870,1))),IF(Q870&gt;0,AE870/Q870,0))/MAX(0.1,N(Parameter!$M$21)))</f>
        <v>0</v>
      </c>
      <c r="AG870" s="57" t="n">
        <f aca="false">AD870*F870</f>
        <v>0</v>
      </c>
      <c r="AH870" s="57" t="n">
        <f aca="false">ROUNDUP(MAX(I870/IF(BV870&gt;0,BV870,MAX(0.1,N(Cockpit!$C$6))),BY870)/BQ870,0)*BQ870</f>
        <v>5</v>
      </c>
      <c r="AI870" s="58" t="n">
        <f aca="false">IF(AF870&gt;0,I870/AF870,-1)</f>
        <v>-1</v>
      </c>
      <c r="AJ870" s="58" t="str">
        <f aca="false">IF(AND(OR(BU870="L1",BU870="L23"),AF870&gt;0),SUMIFS($AF$7:$AF$1576,$BU$7:$BU$1576,BU870,$AI$7:$AI$1576,"&gt;"&amp;AI870)+SUMIFS($AF$7:$AF$1576,$BU$7:$BU$1576,BU870,$AI$7:$AI$1576,AI870,$BO$7:$BO$1576,"&lt;="&amp;BO870),"")</f>
        <v/>
      </c>
      <c r="AK870" s="65" t="n">
        <f aca="false">IF(AJ870="",0,MAX(0,MIN(1,(IF(BU870="L1",Parameter!$E$5,Parameter!$E$6+Parameter!$E$7)-(AJ870-AF870))/AF870)))</f>
        <v>0</v>
      </c>
      <c r="AL870" s="57" t="n">
        <f aca="false">IF(LEFT(Cockpit!$I$5,1)="A",G870,IF(BW870=1,BX870,IF(LEFT(Cockpit!$I$5,1)="B",AP870,MAX(AP870,G870))))</f>
        <v>5</v>
      </c>
      <c r="AM870" s="57" t="n">
        <f aca="false">IF(BR870=1,0,ROUNDUP(AL870/BQ870,0))</f>
        <v>0</v>
      </c>
      <c r="AN870" s="59" t="n">
        <f aca="false">IF(CD870&gt;0,CD870*MAX(1,AL870/V870),IF(BR870=1,IF(AL870&lt;=0,0,BS870*MAX(1,IF(G870&gt;0,AL870/G870,1))),IF(Q870&gt;0,AM870/Q870,0))/MAX(0.1,N(Parameter!$M$21)))</f>
        <v>0.03</v>
      </c>
      <c r="AO870" s="57" t="n">
        <f aca="false">AL870*F870</f>
        <v>35.65</v>
      </c>
      <c r="AP870" s="57" t="n">
        <f aca="false">ROUNDUP(MAX(I870/IF(BV870&gt;0,BV870,MAX(0.1,N(Cockpit!$I$6))),BY870)/BQ870,0)*BQ870</f>
        <v>5</v>
      </c>
      <c r="AQ870" s="58" t="n">
        <f aca="false">IF(AN870&gt;0,I870/AN870,-1)</f>
        <v>100</v>
      </c>
      <c r="AR870" s="58" t="n">
        <f aca="false">IF(AND(OR(BU870="L1",BU870="L23"),AN870&gt;0),SUMIFS($AN$7:$AN$1576,$BU$7:$BU$1576,BU870,$AQ$7:$AQ$1576,"&gt;"&amp;AQ870)+SUMIFS($AN$7:$AN$1576,$BU$7:$BU$1576,BU870,$AQ$7:$AQ$1576,AQ870,$BO$7:$BO$1576,"&lt;="&amp;BO870),"")</f>
        <v>69.3967780230392</v>
      </c>
      <c r="AS870" s="65" t="n">
        <f aca="false">IF(AR870="",0,MAX(0,MIN(1,(IF(BU870="L1",Parameter!$E$5,Parameter!$E$6+Parameter!$E$7)-(AR870-AN870))/AN870)))</f>
        <v>1</v>
      </c>
      <c r="AT870" s="57" t="n">
        <f aca="false">IF(LEFT(Cockpit!$O$5,1)="A",G870,IF(BW870=1,BX870,IF(LEFT(Cockpit!$O$5,1)="B",AX870,MAX(AX870,G870))))</f>
        <v>5</v>
      </c>
      <c r="AU870" s="57" t="n">
        <f aca="false">IF(BR870=1,0,ROUNDUP(AT870/BQ870,0))</f>
        <v>0</v>
      </c>
      <c r="AV870" s="59" t="n">
        <f aca="false">IF(CD870&gt;0,CD870*MAX(1,AT870/V870),IF(BR870=1,IF(AT870&lt;=0,0,BS870*MAX(1,IF(G870&gt;0,AT870/G870,1))),IF(Q870&gt;0,AU870/Q870,0))/MAX(0.1,N(Parameter!$M$21)))</f>
        <v>0.03</v>
      </c>
      <c r="AW870" s="57" t="n">
        <f aca="false">AT870*F870</f>
        <v>35.65</v>
      </c>
      <c r="AX870" s="57" t="n">
        <f aca="false">ROUNDUP(MAX(I870/IF(BV870&gt;0,BV870,MAX(0.1,N(Cockpit!$O$6))),BY870)/BQ870,0)*BQ870</f>
        <v>5</v>
      </c>
      <c r="AY870" s="58" t="n">
        <f aca="false">IF(AV870&gt;0,I870/AV870,-1)</f>
        <v>100</v>
      </c>
      <c r="AZ870" s="58" t="n">
        <f aca="false">IF(AND(OR(BU870="L1",BU870="L23"),AV870&gt;0),SUMIFS($AV$7:$AV$1576,$BU$7:$BU$1576,BU870,$AY$7:$AY$1576,"&gt;"&amp;AY870)+SUMIFS($AV$7:$AV$1576,$BU$7:$BU$1576,BU870,$AY$7:$AY$1576,AY870,$BO$7:$BO$1576,"&lt;="&amp;BO870),"")</f>
        <v>63.957161805923</v>
      </c>
      <c r="BA870" s="65" t="n">
        <f aca="false">IF(AZ870="",0,MAX(0,MIN(1,(IF(BU870="L1",Parameter!$E$5,Parameter!$E$6+Parameter!$E$7)-(AZ870-AV870))/AV870)))</f>
        <v>1</v>
      </c>
      <c r="BB870" s="55" t="str">
        <f aca="false">IF(AF870&lt;=0,"",IF(BU870="Aussen","Aussenlager",IF(BU870="-","Nicht im Lift",IF(AK870&gt;=1,"Lift",IF(AK870&lt;=0,"Aussenlager","teilweise")))))</f>
        <v/>
      </c>
      <c r="BC870" s="55" t="str">
        <f aca="false">IF(AN870&lt;=0,"",IF(BU870="Aussen","Aussenlager",IF(BU870="-","Nicht im Lift",IF(AS870&gt;=1,"Lift",IF(AS870&lt;=0,"Aussenlager","teilweise")))))</f>
        <v>Lift</v>
      </c>
      <c r="BD870" s="55" t="str">
        <f aca="false">IF(AV870&lt;=0,"",IF(BU870="Aussen","Aussenlager",IF(BU870="-","Nicht im Lift",IF(BA870&gt;=1,"Lift",IF(BA870&lt;=0,"Aussenlager","teilweise")))))</f>
        <v>Lift</v>
      </c>
      <c r="BE870" s="55" t="str">
        <f aca="false">IF(A870="","",IF(BN870=1,"Neu; ","")&amp;IF(AND(BN870=0,BI870&lt;0),"negativer Bestand (Export "&amp;BI870&amp;"); ","")&amp;IF(I870&lt;=0,"Kein Verbrauch; ","")&amp;IF(CD870&gt;0,"Lift "&amp;U870&amp;" lt. Liftbericht (Fach "&amp;V870&amp;" Stk); ",IF(BR870=1,"Lose – Fläche geschätzt; ",""))&amp;IF(G870&gt;AP870,"Überbestand "&amp;ROUND(G870-AP870,0)&amp;" Stk / CHF "&amp;ROUND((G870-AP870)*F870,0)&amp;"; ","")&amp;IF(AND(BW870=1,BX870&lt;BY870),"MAX &lt; MB+LG; ","")&amp;IF(AND(CC870&gt;0,CB870*10&gt;CC870),"zu hoch für Tablar; ","")&amp;IF(AND(BN870=0,OR(BW870=1,Y870&lt;&gt;"",S870&lt;&gt;"",T870&lt;&gt;"",Z870&lt;&gt;"")),"manuell übersteuert; ","")&amp;IF(AND(BR870=0,Q870=0),"Gebinde unbekannt / Stellmass fehlt; ","")&amp;IF(AND(BR870=0,N(T870)&lt;=0,N(P870)&lt;=0),"Menge pro Gebinde fehlt (Ist = 1 Gebinde); ","")&amp;BM870)</f>
        <v>negativer Bestand (Export -2); Lose – Fläche geschätzt; </v>
      </c>
      <c r="BF870" s="55"/>
      <c r="BG870" s="55"/>
      <c r="BH870" s="62"/>
      <c r="BI870" s="57" t="n">
        <v>-2</v>
      </c>
      <c r="BJ870" s="57" t="n">
        <v>3</v>
      </c>
      <c r="BK870" s="56" t="n">
        <v>-22.45</v>
      </c>
      <c r="BL870" s="57" t="n">
        <v>3</v>
      </c>
      <c r="BM870" s="55"/>
      <c r="BN870" s="60" t="n">
        <v>0</v>
      </c>
      <c r="BO870" s="60" t="n">
        <v>870</v>
      </c>
      <c r="BP870" s="55" t="str">
        <f aca="false">IF(S870&lt;&gt;"",UPPER(TRIM(S870)),IF(O870="","LOSE",O870))</f>
        <v>LOSE</v>
      </c>
      <c r="BQ870" s="57" t="n">
        <f aca="false">IF(BP870="LOSE",1,IF(N(T870)&gt;0,T870,IF(N(P870)&gt;0,P870,MAX(1,G870))))</f>
        <v>1</v>
      </c>
      <c r="BR870" s="60" t="n">
        <f aca="false">IF(BP870="LOSE",1,0)</f>
        <v>1</v>
      </c>
      <c r="BS870" s="59" t="n">
        <f aca="false">IF(BR870=0,0,IF(N(R870)&gt;0,R870,IFERROR(VLOOKUP(D870,Parameter!$A$35:$C$64,3,0)+0,0)))</f>
        <v>0.03</v>
      </c>
      <c r="BT870" s="55" t="n">
        <f aca="false">IF(Y870&lt;&gt;"",Y870,X870)</f>
        <v>2</v>
      </c>
      <c r="BU870" s="55" t="str">
        <f aca="false">IF(BT870=1,"L1",IF(OR(BT870=2,BT870=3),"L23",IF(BT870="Aussen","Aussen","-")))</f>
        <v>L23</v>
      </c>
      <c r="BV870" s="66" t="n">
        <f aca="false">IF(N(Z870)&gt;0,Z870,0)</f>
        <v>0</v>
      </c>
      <c r="BW870" s="60" t="n">
        <f aca="false">IF(ISNUMBER(AC870),1,0)</f>
        <v>0</v>
      </c>
      <c r="BX870" s="57" t="n">
        <f aca="false">N(AC870)</f>
        <v>0</v>
      </c>
      <c r="BY870" s="57" t="n">
        <f aca="false">N(L870)+N(M870)</f>
        <v>5</v>
      </c>
      <c r="BZ870" s="57" t="n">
        <f aca="false">ROUNDUP(G870/BQ870,0)</f>
        <v>0</v>
      </c>
      <c r="CA870" s="57" t="n">
        <f aca="false">ROUNDUP(BX870/BQ870,0)</f>
        <v>0</v>
      </c>
      <c r="CB870" s="60" t="n">
        <f aca="false">IF(BR870=1,0,IFERROR(VLOOKUP(BP870,'Gebinde-Kategorie'!$A$5:$M$45,5,0)+0,0))</f>
        <v>0</v>
      </c>
      <c r="CC870" s="60" t="n">
        <f aca="false">IFERROR(IF(OR(BT870=1,BT870=2,BT870=3),N(INDEX(Parameter!$I$5:$I$7,BT870)),0),0)</f>
        <v>0</v>
      </c>
      <c r="CD870" s="59" t="n">
        <f aca="false">IF(AND(Parameter!$B$21="Ja",ISNUMBER(U870),N(V870)&gt;0),IFERROR(N(INDEX(Parameter!$L$5:$L$7,U870))*INDEX(Parameter!$E$5:$E$7,U870)*V870/SUMIFS($V$7:$V$1576,$U$7:$U$1576,U870),0),0)</f>
        <v>0</v>
      </c>
    </row>
    <row r="871" customFormat="false" ht="15" hidden="false" customHeight="false" outlineLevel="0" collapsed="false">
      <c r="A871" s="55" t="s">
        <v>1640</v>
      </c>
      <c r="B871" s="55" t="s">
        <v>1641</v>
      </c>
      <c r="C871" s="55" t="s">
        <v>160</v>
      </c>
      <c r="D871" s="55" t="s">
        <v>178</v>
      </c>
      <c r="E871" s="55" t="s">
        <v>210</v>
      </c>
      <c r="F871" s="56" t="n">
        <v>5.66</v>
      </c>
      <c r="G871" s="57" t="n">
        <f aca="false">MAX(0,IF(AND(Parameter!$B$21="Ja",ISNUMBER(W871)),W871,IF(Parameter!$B$20="Jahresanfang 2025 + Export",BJ871+BI871,BI871)))</f>
        <v>0</v>
      </c>
      <c r="H871" s="57" t="n">
        <f aca="false">G871*F871</f>
        <v>0</v>
      </c>
      <c r="I871" s="57" t="n">
        <f aca="false">BL871*Parameter!$B$18</f>
        <v>2</v>
      </c>
      <c r="J871" s="58" t="n">
        <v>3</v>
      </c>
      <c r="K871" s="59" t="n">
        <v>0.666666666666667</v>
      </c>
      <c r="L871" s="57" t="n">
        <v>0</v>
      </c>
      <c r="M871" s="57" t="n">
        <v>1</v>
      </c>
      <c r="N871" s="60" t="n">
        <v>28</v>
      </c>
      <c r="O871" s="55" t="s">
        <v>416</v>
      </c>
      <c r="P871" s="57" t="n">
        <v>5</v>
      </c>
      <c r="Q871" s="60" t="n">
        <f aca="false">IF(BR871=1,0,IFERROR(VLOOKUP(BP871,'Gebinde-Kategorie'!$A$5:$M$45,13,0)+0,0))</f>
        <v>198</v>
      </c>
      <c r="R871" s="61"/>
      <c r="S871" s="62"/>
      <c r="T871" s="62"/>
      <c r="U871" s="55"/>
      <c r="V871" s="57"/>
      <c r="W871" s="57"/>
      <c r="X871" s="55" t="n">
        <f aca="false">IF(A871="","",IF(AND(Parameter!$B$21="Ja",ISNUMBER(U871)),U871,IF(IFERROR(VLOOKUP(D871,Parameter!$A$35:$C$64,2,0),"Nein")="2+3",IF(ISNUMBER(SEARCH("grosser Artikel",BM871)),2,IFERROR(VLOOKUP(BP871,Parameter!$F$35:$G$64,2,0),2)),IF(OR(IFERROR(VLOOKUP(D871,Parameter!$A$35:$C$64,2,0),"Nein")="Nein",IFERROR(VLOOKUP(D871,Parameter!$A$35:$C$64,2,0),"Nein")=""),"-",VLOOKUP(D871,Parameter!$A$35:$C$64,2,0)))))</f>
        <v>3</v>
      </c>
      <c r="Y871" s="62"/>
      <c r="Z871" s="63"/>
      <c r="AA871" s="57" t="n">
        <f aca="false">AP871</f>
        <v>5</v>
      </c>
      <c r="AB871" s="57" t="n">
        <f aca="false">MAX(AP871,G871)</f>
        <v>5</v>
      </c>
      <c r="AC871" s="64"/>
      <c r="AD871" s="57" t="n">
        <f aca="false">IF(LEFT(Cockpit!$C$5,1)="A",G871,IF(BW871=1,BX871,IF(LEFT(Cockpit!$C$5,1)="B",AH871,MAX(AH871,G871))))</f>
        <v>0</v>
      </c>
      <c r="AE871" s="57" t="n">
        <f aca="false">IF(BR871=1,0,ROUNDUP(AD871/BQ871,0))</f>
        <v>0</v>
      </c>
      <c r="AF871" s="59" t="n">
        <f aca="false">IF(CD871&gt;0,CD871*MAX(1,AD871/V871),IF(BR871=1,IF(AD871&lt;=0,0,BS871*MAX(1,IF(G871&gt;0,AD871/G871,1))),IF(Q871&gt;0,AE871/Q871,0))/MAX(0.1,N(Parameter!$M$21)))</f>
        <v>0</v>
      </c>
      <c r="AG871" s="57" t="n">
        <f aca="false">AD871*F871</f>
        <v>0</v>
      </c>
      <c r="AH871" s="57" t="n">
        <f aca="false">ROUNDUP(MAX(I871/IF(BV871&gt;0,BV871,MAX(0.1,N(Cockpit!$C$6))),BY871)/BQ871,0)*BQ871</f>
        <v>5</v>
      </c>
      <c r="AI871" s="58" t="n">
        <f aca="false">IF(AF871&gt;0,I871/AF871,-1)</f>
        <v>-1</v>
      </c>
      <c r="AJ871" s="58" t="str">
        <f aca="false">IF(AND(OR(BU871="L1",BU871="L23"),AF871&gt;0),SUMIFS($AF$7:$AF$1576,$BU$7:$BU$1576,BU871,$AI$7:$AI$1576,"&gt;"&amp;AI871)+SUMIFS($AF$7:$AF$1576,$BU$7:$BU$1576,BU871,$AI$7:$AI$1576,AI871,$BO$7:$BO$1576,"&lt;="&amp;BO871),"")</f>
        <v/>
      </c>
      <c r="AK871" s="65" t="n">
        <f aca="false">IF(AJ871="",0,MAX(0,MIN(1,(IF(BU871="L1",Parameter!$E$5,Parameter!$E$6+Parameter!$E$7)-(AJ871-AF871))/AF871)))</f>
        <v>0</v>
      </c>
      <c r="AL871" s="57" t="n">
        <f aca="false">IF(LEFT(Cockpit!$I$5,1)="A",G871,IF(BW871=1,BX871,IF(LEFT(Cockpit!$I$5,1)="B",AP871,MAX(AP871,G871))))</f>
        <v>5</v>
      </c>
      <c r="AM871" s="57" t="n">
        <f aca="false">IF(BR871=1,0,ROUNDUP(AL871/BQ871,0))</f>
        <v>1</v>
      </c>
      <c r="AN871" s="59" t="n">
        <f aca="false">IF(CD871&gt;0,CD871*MAX(1,AL871/V871),IF(BR871=1,IF(AL871&lt;=0,0,BS871*MAX(1,IF(G871&gt;0,AL871/G871,1))),IF(Q871&gt;0,AM871/Q871,0))/MAX(0.1,N(Parameter!$M$21)))</f>
        <v>0.00505050505050505</v>
      </c>
      <c r="AO871" s="57" t="n">
        <f aca="false">AL871*F871</f>
        <v>28.3</v>
      </c>
      <c r="AP871" s="57" t="n">
        <f aca="false">ROUNDUP(MAX(I871/IF(BV871&gt;0,BV871,MAX(0.1,N(Cockpit!$I$6))),BY871)/BQ871,0)*BQ871</f>
        <v>5</v>
      </c>
      <c r="AQ871" s="58" t="n">
        <f aca="false">IF(AN871&gt;0,I871/AN871,-1)</f>
        <v>396</v>
      </c>
      <c r="AR871" s="58" t="n">
        <f aca="false">IF(AND(OR(BU871="L1",BU871="L23"),AN871&gt;0),SUMIFS($AN$7:$AN$1576,$BU$7:$BU$1576,BU871,$AQ$7:$AQ$1576,"&gt;"&amp;AQ871)+SUMIFS($AN$7:$AN$1576,$BU$7:$BU$1576,BU871,$AQ$7:$AQ$1576,AQ871,$BO$7:$BO$1576,"&lt;="&amp;BO871),"")</f>
        <v>36.8117379845752</v>
      </c>
      <c r="AS871" s="65" t="n">
        <f aca="false">IF(AR871="",0,MAX(0,MIN(1,(IF(BU871="L1",Parameter!$E$5,Parameter!$E$6+Parameter!$E$7)-(AR871-AN871))/AN871)))</f>
        <v>1</v>
      </c>
      <c r="AT871" s="57" t="n">
        <f aca="false">IF(LEFT(Cockpit!$O$5,1)="A",G871,IF(BW871=1,BX871,IF(LEFT(Cockpit!$O$5,1)="B",AX871,MAX(AX871,G871))))</f>
        <v>5</v>
      </c>
      <c r="AU871" s="57" t="n">
        <f aca="false">IF(BR871=1,0,ROUNDUP(AT871/BQ871,0))</f>
        <v>1</v>
      </c>
      <c r="AV871" s="59" t="n">
        <f aca="false">IF(CD871&gt;0,CD871*MAX(1,AT871/V871),IF(BR871=1,IF(AT871&lt;=0,0,BS871*MAX(1,IF(G871&gt;0,AT871/G871,1))),IF(Q871&gt;0,AU871/Q871,0))/MAX(0.1,N(Parameter!$M$21)))</f>
        <v>0.00505050505050505</v>
      </c>
      <c r="AW871" s="57" t="n">
        <f aca="false">AT871*F871</f>
        <v>28.3</v>
      </c>
      <c r="AX871" s="57" t="n">
        <f aca="false">ROUNDUP(MAX(I871/IF(BV871&gt;0,BV871,MAX(0.1,N(Cockpit!$O$6))),BY871)/BQ871,0)*BQ871</f>
        <v>5</v>
      </c>
      <c r="AY871" s="58" t="n">
        <f aca="false">IF(AV871&gt;0,I871/AV871,-1)</f>
        <v>396</v>
      </c>
      <c r="AZ871" s="58" t="n">
        <f aca="false">IF(AND(OR(BU871="L1",BU871="L23"),AV871&gt;0),SUMIFS($AV$7:$AV$1576,$BU$7:$BU$1576,BU871,$AY$7:$AY$1576,"&gt;"&amp;AY871)+SUMIFS($AV$7:$AV$1576,$BU$7:$BU$1576,BU871,$AY$7:$AY$1576,AY871,$BO$7:$BO$1576,"&lt;="&amp;BO871),"")</f>
        <v>35.9764832393205</v>
      </c>
      <c r="BA871" s="65" t="n">
        <f aca="false">IF(AZ871="",0,MAX(0,MIN(1,(IF(BU871="L1",Parameter!$E$5,Parameter!$E$6+Parameter!$E$7)-(AZ871-AV871))/AV871)))</f>
        <v>1</v>
      </c>
      <c r="BB871" s="55" t="str">
        <f aca="false">IF(AF871&lt;=0,"",IF(BU871="Aussen","Aussenlager",IF(BU871="-","Nicht im Lift",IF(AK871&gt;=1,"Lift",IF(AK871&lt;=0,"Aussenlager","teilweise")))))</f>
        <v/>
      </c>
      <c r="BC871" s="55" t="str">
        <f aca="false">IF(AN871&lt;=0,"",IF(BU871="Aussen","Aussenlager",IF(BU871="-","Nicht im Lift",IF(AS871&gt;=1,"Lift",IF(AS871&lt;=0,"Aussenlager","teilweise")))))</f>
        <v>Lift</v>
      </c>
      <c r="BD871" s="55" t="str">
        <f aca="false">IF(AV871&lt;=0,"",IF(BU871="Aussen","Aussenlager",IF(BU871="-","Nicht im Lift",IF(BA871&gt;=1,"Lift",IF(BA871&lt;=0,"Aussenlager","teilweise")))))</f>
        <v>Lift</v>
      </c>
      <c r="BE871" s="55" t="str">
        <f aca="false">IF(A871="","",IF(BN871=1,"Neu; ","")&amp;IF(AND(BN871=0,BI871&lt;0),"negativer Bestand (Export "&amp;BI871&amp;"); ","")&amp;IF(I871&lt;=0,"Kein Verbrauch; ","")&amp;IF(CD871&gt;0,"Lift "&amp;U871&amp;" lt. Liftbericht (Fach "&amp;V871&amp;" Stk); ",IF(BR871=1,"Lose – Fläche geschätzt; ",""))&amp;IF(G871&gt;AP871,"Überbestand "&amp;ROUND(G871-AP871,0)&amp;" Stk / CHF "&amp;ROUND((G871-AP871)*F871,0)&amp;"; ","")&amp;IF(AND(BW871=1,BX871&lt;BY871),"MAX &lt; MB+LG; ","")&amp;IF(AND(CC871&gt;0,CB871*10&gt;CC871),"zu hoch für Tablar; ","")&amp;IF(AND(BN871=0,OR(BW871=1,Y871&lt;&gt;"",S871&lt;&gt;"",T871&lt;&gt;"",Z871&lt;&gt;"")),"manuell übersteuert; ","")&amp;IF(AND(BR871=0,Q871=0),"Gebinde unbekannt / Stellmass fehlt; ","")&amp;IF(AND(BR871=0,N(T871)&lt;=0,N(P871)&lt;=0),"Menge pro Gebinde fehlt (Ist = 1 Gebinde); ","")&amp;BM871)</f>
        <v>negativer Bestand (Export -4); </v>
      </c>
      <c r="BF871" s="55"/>
      <c r="BG871" s="55"/>
      <c r="BH871" s="62"/>
      <c r="BI871" s="57" t="n">
        <v>-4</v>
      </c>
      <c r="BJ871" s="57" t="n">
        <v>4</v>
      </c>
      <c r="BK871" s="56" t="n">
        <v>-23.48</v>
      </c>
      <c r="BL871" s="57" t="n">
        <v>2</v>
      </c>
      <c r="BM871" s="55"/>
      <c r="BN871" s="60" t="n">
        <v>0</v>
      </c>
      <c r="BO871" s="60" t="n">
        <v>871</v>
      </c>
      <c r="BP871" s="55" t="str">
        <f aca="false">IF(S871&lt;&gt;"",UPPER(TRIM(S871)),IF(O871="","LOSE",O871))</f>
        <v>S22</v>
      </c>
      <c r="BQ871" s="57" t="n">
        <f aca="false">IF(BP871="LOSE",1,IF(N(T871)&gt;0,T871,IF(N(P871)&gt;0,P871,MAX(1,G871))))</f>
        <v>5</v>
      </c>
      <c r="BR871" s="60" t="n">
        <f aca="false">IF(BP871="LOSE",1,0)</f>
        <v>0</v>
      </c>
      <c r="BS871" s="59" t="n">
        <f aca="false">IF(BR871=0,0,IF(N(R871)&gt;0,R871,IFERROR(VLOOKUP(D871,Parameter!$A$35:$C$64,3,0)+0,0)))</f>
        <v>0</v>
      </c>
      <c r="BT871" s="55" t="n">
        <f aca="false">IF(Y871&lt;&gt;"",Y871,X871)</f>
        <v>3</v>
      </c>
      <c r="BU871" s="55" t="str">
        <f aca="false">IF(BT871=1,"L1",IF(OR(BT871=2,BT871=3),"L23",IF(BT871="Aussen","Aussen","-")))</f>
        <v>L23</v>
      </c>
      <c r="BV871" s="66" t="n">
        <f aca="false">IF(N(Z871)&gt;0,Z871,0)</f>
        <v>0</v>
      </c>
      <c r="BW871" s="60" t="n">
        <f aca="false">IF(ISNUMBER(AC871),1,0)</f>
        <v>0</v>
      </c>
      <c r="BX871" s="57" t="n">
        <f aca="false">N(AC871)</f>
        <v>0</v>
      </c>
      <c r="BY871" s="57" t="n">
        <f aca="false">N(L871)+N(M871)</f>
        <v>1</v>
      </c>
      <c r="BZ871" s="57" t="n">
        <f aca="false">ROUNDUP(G871/BQ871,0)</f>
        <v>0</v>
      </c>
      <c r="CA871" s="57" t="n">
        <f aca="false">ROUNDUP(BX871/BQ871,0)</f>
        <v>0</v>
      </c>
      <c r="CB871" s="60" t="n">
        <f aca="false">IF(BR871=1,0,IFERROR(VLOOKUP(BP871,'Gebinde-Kategorie'!$A$5:$M$45,5,0)+0,0))</f>
        <v>8</v>
      </c>
      <c r="CC871" s="60" t="n">
        <f aca="false">IFERROR(IF(OR(BT871=1,BT871=2,BT871=3),N(INDEX(Parameter!$I$5:$I$7,BT871)),0),0)</f>
        <v>0</v>
      </c>
      <c r="CD871" s="59" t="n">
        <f aca="false">IF(AND(Parameter!$B$21="Ja",ISNUMBER(U871),N(V871)&gt;0),IFERROR(N(INDEX(Parameter!$L$5:$L$7,U871))*INDEX(Parameter!$E$5:$E$7,U871)*V871/SUMIFS($V$7:$V$1576,$U$7:$U$1576,U871),0),0)</f>
        <v>0</v>
      </c>
    </row>
    <row r="872" customFormat="false" ht="15" hidden="false" customHeight="false" outlineLevel="0" collapsed="false">
      <c r="A872" s="55" t="s">
        <v>1642</v>
      </c>
      <c r="B872" s="55" t="s">
        <v>677</v>
      </c>
      <c r="C872" s="55" t="s">
        <v>160</v>
      </c>
      <c r="D872" s="55" t="s">
        <v>178</v>
      </c>
      <c r="E872" s="55" t="s">
        <v>210</v>
      </c>
      <c r="F872" s="56" t="n">
        <v>36.4</v>
      </c>
      <c r="G872" s="57" t="n">
        <f aca="false">MAX(0,IF(AND(Parameter!$B$21="Ja",ISNUMBER(W872)),W872,IF(Parameter!$B$20="Jahresanfang 2025 + Export",BJ872+BI872,BI872)))</f>
        <v>14</v>
      </c>
      <c r="H872" s="57" t="n">
        <f aca="false">G872*F872</f>
        <v>509.6</v>
      </c>
      <c r="I872" s="57" t="n">
        <f aca="false">BL872*Parameter!$B$18</f>
        <v>72</v>
      </c>
      <c r="J872" s="58" t="n">
        <v>20.5</v>
      </c>
      <c r="K872" s="59" t="n">
        <v>3.51219512195122</v>
      </c>
      <c r="L872" s="57" t="n">
        <v>10</v>
      </c>
      <c r="M872" s="57" t="n">
        <v>70</v>
      </c>
      <c r="N872" s="60" t="n">
        <v>50</v>
      </c>
      <c r="O872" s="55" t="s">
        <v>284</v>
      </c>
      <c r="P872" s="57" t="n">
        <v>45</v>
      </c>
      <c r="Q872" s="60" t="n">
        <f aca="false">IF(BR872=1,0,IFERROR(VLOOKUP(BP872,'Gebinde-Kategorie'!$A$5:$M$45,13,0)+0,0))</f>
        <v>12</v>
      </c>
      <c r="R872" s="61"/>
      <c r="S872" s="62"/>
      <c r="T872" s="62"/>
      <c r="U872" s="55"/>
      <c r="V872" s="57"/>
      <c r="W872" s="57"/>
      <c r="X872" s="55" t="n">
        <f aca="false">IF(A872="","",IF(AND(Parameter!$B$21="Ja",ISNUMBER(U872)),U872,IF(IFERROR(VLOOKUP(D872,Parameter!$A$35:$C$64,2,0),"Nein")="2+3",IF(ISNUMBER(SEARCH("grosser Artikel",BM872)),2,IFERROR(VLOOKUP(BP872,Parameter!$F$35:$G$64,2,0),2)),IF(OR(IFERROR(VLOOKUP(D872,Parameter!$A$35:$C$64,2,0),"Nein")="Nein",IFERROR(VLOOKUP(D872,Parameter!$A$35:$C$64,2,0),"Nein")=""),"-",VLOOKUP(D872,Parameter!$A$35:$C$64,2,0)))))</f>
        <v>2</v>
      </c>
      <c r="Y872" s="62"/>
      <c r="Z872" s="63"/>
      <c r="AA872" s="57" t="n">
        <f aca="false">AP872</f>
        <v>90</v>
      </c>
      <c r="AB872" s="57" t="n">
        <f aca="false">MAX(AP872,G872)</f>
        <v>90</v>
      </c>
      <c r="AC872" s="64"/>
      <c r="AD872" s="57" t="n">
        <f aca="false">IF(LEFT(Cockpit!$C$5,1)="A",G872,IF(BW872=1,BX872,IF(LEFT(Cockpit!$C$5,1)="B",AH872,MAX(AH872,G872))))</f>
        <v>14</v>
      </c>
      <c r="AE872" s="57" t="n">
        <f aca="false">IF(BR872=1,0,ROUNDUP(AD872/BQ872,0))</f>
        <v>1</v>
      </c>
      <c r="AF872" s="59" t="n">
        <f aca="false">IF(CD872&gt;0,CD872*MAX(1,AD872/V872),IF(BR872=1,IF(AD872&lt;=0,0,BS872*MAX(1,IF(G872&gt;0,AD872/G872,1))),IF(Q872&gt;0,AE872/Q872,0))/MAX(0.1,N(Parameter!$M$21)))</f>
        <v>0.0833333333333333</v>
      </c>
      <c r="AG872" s="57" t="n">
        <f aca="false">AD872*F872</f>
        <v>509.6</v>
      </c>
      <c r="AH872" s="57" t="n">
        <f aca="false">ROUNDUP(MAX(I872/IF(BV872&gt;0,BV872,MAX(0.1,N(Cockpit!$C$6))),BY872)/BQ872,0)*BQ872</f>
        <v>90</v>
      </c>
      <c r="AI872" s="58" t="n">
        <f aca="false">IF(AF872&gt;0,I872/AF872,-1)</f>
        <v>864</v>
      </c>
      <c r="AJ872" s="58" t="n">
        <f aca="false">IF(AND(OR(BU872="L1",BU872="L23"),AF872&gt;0),SUMIFS($AF$7:$AF$1576,$BU$7:$BU$1576,BU872,$AI$7:$AI$1576,"&gt;"&amp;AI872)+SUMIFS($AF$7:$AF$1576,$BU$7:$BU$1576,BU872,$AI$7:$AI$1576,AI872,$BO$7:$BO$1576,"&lt;="&amp;BO872),"")</f>
        <v>10.2792402283707</v>
      </c>
      <c r="AK872" s="65" t="n">
        <f aca="false">IF(AJ872="",0,MAX(0,MIN(1,(IF(BU872="L1",Parameter!$E$5,Parameter!$E$6+Parameter!$E$7)-(AJ872-AF872))/AF872)))</f>
        <v>1</v>
      </c>
      <c r="AL872" s="57" t="n">
        <f aca="false">IF(LEFT(Cockpit!$I$5,1)="A",G872,IF(BW872=1,BX872,IF(LEFT(Cockpit!$I$5,1)="B",AP872,MAX(AP872,G872))))</f>
        <v>90</v>
      </c>
      <c r="AM872" s="57" t="n">
        <f aca="false">IF(BR872=1,0,ROUNDUP(AL872/BQ872,0))</f>
        <v>2</v>
      </c>
      <c r="AN872" s="59" t="n">
        <f aca="false">IF(CD872&gt;0,CD872*MAX(1,AL872/V872),IF(BR872=1,IF(AL872&lt;=0,0,BS872*MAX(1,IF(G872&gt;0,AL872/G872,1))),IF(Q872&gt;0,AM872/Q872,0))/MAX(0.1,N(Parameter!$M$21)))</f>
        <v>0.166666666666667</v>
      </c>
      <c r="AO872" s="57" t="n">
        <f aca="false">AL872*F872</f>
        <v>3276</v>
      </c>
      <c r="AP872" s="57" t="n">
        <f aca="false">ROUNDUP(MAX(I872/IF(BV872&gt;0,BV872,MAX(0.1,N(Cockpit!$I$6))),BY872)/BQ872,0)*BQ872</f>
        <v>90</v>
      </c>
      <c r="AQ872" s="58" t="n">
        <f aca="false">IF(AN872&gt;0,I872/AN872,-1)</f>
        <v>432</v>
      </c>
      <c r="AR872" s="58" t="n">
        <f aca="false">IF(AND(OR(BU872="L1",BU872="L23"),AN872&gt;0),SUMIFS($AN$7:$AN$1576,$BU$7:$BU$1576,BU872,$AQ$7:$AQ$1576,"&gt;"&amp;AQ872)+SUMIFS($AN$7:$AN$1576,$BU$7:$BU$1576,BU872,$AQ$7:$AQ$1576,AQ872,$BO$7:$BO$1576,"&lt;="&amp;BO872),"")</f>
        <v>36.1450007121858</v>
      </c>
      <c r="AS872" s="65" t="n">
        <f aca="false">IF(AR872="",0,MAX(0,MIN(1,(IF(BU872="L1",Parameter!$E$5,Parameter!$E$6+Parameter!$E$7)-(AR872-AN872))/AN872)))</f>
        <v>1</v>
      </c>
      <c r="AT872" s="57" t="n">
        <f aca="false">IF(LEFT(Cockpit!$O$5,1)="A",G872,IF(BW872=1,BX872,IF(LEFT(Cockpit!$O$5,1)="B",AX872,MAX(AX872,G872))))</f>
        <v>90</v>
      </c>
      <c r="AU872" s="57" t="n">
        <f aca="false">IF(BR872=1,0,ROUNDUP(AT872/BQ872,0))</f>
        <v>2</v>
      </c>
      <c r="AV872" s="59" t="n">
        <f aca="false">IF(CD872&gt;0,CD872*MAX(1,AT872/V872),IF(BR872=1,IF(AT872&lt;=0,0,BS872*MAX(1,IF(G872&gt;0,AT872/G872,1))),IF(Q872&gt;0,AU872/Q872,0))/MAX(0.1,N(Parameter!$M$21)))</f>
        <v>0.166666666666667</v>
      </c>
      <c r="AW872" s="57" t="n">
        <f aca="false">AT872*F872</f>
        <v>3276</v>
      </c>
      <c r="AX872" s="57" t="n">
        <f aca="false">ROUNDUP(MAX(I872/IF(BV872&gt;0,BV872,MAX(0.1,N(Cockpit!$O$6))),BY872)/BQ872,0)*BQ872</f>
        <v>90</v>
      </c>
      <c r="AY872" s="58" t="n">
        <f aca="false">IF(AV872&gt;0,I872/AV872,-1)</f>
        <v>432</v>
      </c>
      <c r="AZ872" s="58" t="n">
        <f aca="false">IF(AND(OR(BU872="L1",BU872="L23"),AV872&gt;0),SUMIFS($AV$7:$AV$1576,$BU$7:$BU$1576,BU872,$AY$7:$AY$1576,"&gt;"&amp;AY872)+SUMIFS($AV$7:$AV$1576,$BU$7:$BU$1576,BU872,$AY$7:$AY$1576,AY872,$BO$7:$BO$1576,"&lt;="&amp;BO872),"")</f>
        <v>35.4764126335977</v>
      </c>
      <c r="BA872" s="65" t="n">
        <f aca="false">IF(AZ872="",0,MAX(0,MIN(1,(IF(BU872="L1",Parameter!$E$5,Parameter!$E$6+Parameter!$E$7)-(AZ872-AV872))/AV872)))</f>
        <v>1</v>
      </c>
      <c r="BB872" s="55" t="str">
        <f aca="false">IF(AF872&lt;=0,"",IF(BU872="Aussen","Aussenlager",IF(BU872="-","Nicht im Lift",IF(AK872&gt;=1,"Lift",IF(AK872&lt;=0,"Aussenlager","teilweise")))))</f>
        <v>Lift</v>
      </c>
      <c r="BC872" s="55" t="str">
        <f aca="false">IF(AN872&lt;=0,"",IF(BU872="Aussen","Aussenlager",IF(BU872="-","Nicht im Lift",IF(AS872&gt;=1,"Lift",IF(AS872&lt;=0,"Aussenlager","teilweise")))))</f>
        <v>Lift</v>
      </c>
      <c r="BD872" s="55" t="str">
        <f aca="false">IF(AV872&lt;=0,"",IF(BU872="Aussen","Aussenlager",IF(BU872="-","Nicht im Lift",IF(BA872&gt;=1,"Lift",IF(BA872&lt;=0,"Aussenlager","teilweise")))))</f>
        <v>Lift</v>
      </c>
      <c r="BE872" s="55" t="str">
        <f aca="false">IF(A872="","",IF(BN872=1,"Neu; ","")&amp;IF(AND(BN872=0,BI872&lt;0),"negativer Bestand (Export "&amp;BI872&amp;"); ","")&amp;IF(I872&lt;=0,"Kein Verbrauch; ","")&amp;IF(CD872&gt;0,"Lift "&amp;U872&amp;" lt. Liftbericht (Fach "&amp;V872&amp;" Stk); ",IF(BR872=1,"Lose – Fläche geschätzt; ",""))&amp;IF(G872&gt;AP872,"Überbestand "&amp;ROUND(G872-AP872,0)&amp;" Stk / CHF "&amp;ROUND((G872-AP872)*F872,0)&amp;"; ","")&amp;IF(AND(BW872=1,BX872&lt;BY872),"MAX &lt; MB+LG; ","")&amp;IF(AND(CC872&gt;0,CB872*10&gt;CC872),"zu hoch für Tablar; ","")&amp;IF(AND(BN872=0,OR(BW872=1,Y872&lt;&gt;"",S872&lt;&gt;"",T872&lt;&gt;"",Z872&lt;&gt;"")),"manuell übersteuert; ","")&amp;IF(AND(BR872=0,Q872=0),"Gebinde unbekannt / Stellmass fehlt; ","")&amp;IF(AND(BR872=0,N(T872)&lt;=0,N(P872)&lt;=0),"Menge pro Gebinde fehlt (Ist = 1 Gebinde); ","")&amp;BM872)</f>
        <v/>
      </c>
      <c r="BF872" s="55"/>
      <c r="BG872" s="55"/>
      <c r="BH872" s="62"/>
      <c r="BI872" s="57" t="n">
        <v>14</v>
      </c>
      <c r="BJ872" s="57" t="n">
        <v>26</v>
      </c>
      <c r="BK872" s="56" t="n">
        <v>-23.9200000000017</v>
      </c>
      <c r="BL872" s="57" t="n">
        <v>72</v>
      </c>
      <c r="BM872" s="55"/>
      <c r="BN872" s="60" t="n">
        <v>0</v>
      </c>
      <c r="BO872" s="60" t="n">
        <v>872</v>
      </c>
      <c r="BP872" s="55" t="str">
        <f aca="false">IF(S872&lt;&gt;"",UPPER(TRIM(S872)),IF(O872="","LOSE",O872))</f>
        <v>S62</v>
      </c>
      <c r="BQ872" s="57" t="n">
        <f aca="false">IF(BP872="LOSE",1,IF(N(T872)&gt;0,T872,IF(N(P872)&gt;0,P872,MAX(1,G872))))</f>
        <v>45</v>
      </c>
      <c r="BR872" s="60" t="n">
        <f aca="false">IF(BP872="LOSE",1,0)</f>
        <v>0</v>
      </c>
      <c r="BS872" s="59" t="n">
        <f aca="false">IF(BR872=0,0,IF(N(R872)&gt;0,R872,IFERROR(VLOOKUP(D872,Parameter!$A$35:$C$64,3,0)+0,0)))</f>
        <v>0</v>
      </c>
      <c r="BT872" s="55" t="n">
        <f aca="false">IF(Y872&lt;&gt;"",Y872,X872)</f>
        <v>2</v>
      </c>
      <c r="BU872" s="55" t="str">
        <f aca="false">IF(BT872=1,"L1",IF(OR(BT872=2,BT872=3),"L23",IF(BT872="Aussen","Aussen","-")))</f>
        <v>L23</v>
      </c>
      <c r="BV872" s="66" t="n">
        <f aca="false">IF(N(Z872)&gt;0,Z872,0)</f>
        <v>0</v>
      </c>
      <c r="BW872" s="60" t="n">
        <f aca="false">IF(ISNUMBER(AC872),1,0)</f>
        <v>0</v>
      </c>
      <c r="BX872" s="57" t="n">
        <f aca="false">N(AC872)</f>
        <v>0</v>
      </c>
      <c r="BY872" s="57" t="n">
        <f aca="false">N(L872)+N(M872)</f>
        <v>80</v>
      </c>
      <c r="BZ872" s="57" t="n">
        <f aca="false">ROUNDUP(G872/BQ872,0)</f>
        <v>1</v>
      </c>
      <c r="CA872" s="57" t="n">
        <f aca="false">ROUNDUP(BX872/BQ872,0)</f>
        <v>0</v>
      </c>
      <c r="CB872" s="60" t="n">
        <f aca="false">IF(BR872=1,0,IFERROR(VLOOKUP(BP872,'Gebinde-Kategorie'!$A$5:$M$45,5,0)+0,0))</f>
        <v>21</v>
      </c>
      <c r="CC872" s="60" t="n">
        <f aca="false">IFERROR(IF(OR(BT872=1,BT872=2,BT872=3),N(INDEX(Parameter!$I$5:$I$7,BT872)),0),0)</f>
        <v>0</v>
      </c>
      <c r="CD872" s="59" t="n">
        <f aca="false">IF(AND(Parameter!$B$21="Ja",ISNUMBER(U872),N(V872)&gt;0),IFERROR(N(INDEX(Parameter!$L$5:$L$7,U872))*INDEX(Parameter!$E$5:$E$7,U872)*V872/SUMIFS($V$7:$V$1576,$U$7:$U$1576,U872),0),0)</f>
        <v>0</v>
      </c>
    </row>
    <row r="873" customFormat="false" ht="15" hidden="false" customHeight="false" outlineLevel="0" collapsed="false">
      <c r="A873" s="55" t="s">
        <v>1643</v>
      </c>
      <c r="B873" s="55" t="s">
        <v>1565</v>
      </c>
      <c r="C873" s="55" t="s">
        <v>160</v>
      </c>
      <c r="D873" s="55" t="s">
        <v>178</v>
      </c>
      <c r="E873" s="55" t="s">
        <v>210</v>
      </c>
      <c r="F873" s="56" t="n">
        <v>4.8</v>
      </c>
      <c r="G873" s="57" t="n">
        <f aca="false">MAX(0,IF(AND(Parameter!$B$21="Ja",ISNUMBER(W873)),W873,IF(Parameter!$B$20="Jahresanfang 2025 + Export",BJ873+BI873,BI873)))</f>
        <v>0</v>
      </c>
      <c r="H873" s="57" t="n">
        <f aca="false">G873*F873</f>
        <v>0</v>
      </c>
      <c r="I873" s="57" t="n">
        <f aca="false">BL873*Parameter!$B$18</f>
        <v>1</v>
      </c>
      <c r="J873" s="58" t="n">
        <v>30</v>
      </c>
      <c r="K873" s="59" t="n">
        <v>0.0333333333333333</v>
      </c>
      <c r="L873" s="57" t="n">
        <v>0</v>
      </c>
      <c r="M873" s="57" t="n">
        <v>1</v>
      </c>
      <c r="N873" s="60" t="n">
        <v>28</v>
      </c>
      <c r="O873" s="55" t="s">
        <v>163</v>
      </c>
      <c r="P873" s="57"/>
      <c r="Q873" s="60" t="n">
        <f aca="false">IF(BR873=1,0,IFERROR(VLOOKUP(BP873,'Gebinde-Kategorie'!$A$5:$M$45,13,0)+0,0))</f>
        <v>0</v>
      </c>
      <c r="R873" s="61"/>
      <c r="S873" s="62"/>
      <c r="T873" s="62"/>
      <c r="U873" s="55"/>
      <c r="V873" s="57"/>
      <c r="W873" s="57"/>
      <c r="X873" s="55" t="n">
        <f aca="false">IF(A873="","",IF(AND(Parameter!$B$21="Ja",ISNUMBER(U873)),U873,IF(IFERROR(VLOOKUP(D873,Parameter!$A$35:$C$64,2,0),"Nein")="2+3",IF(ISNUMBER(SEARCH("grosser Artikel",BM873)),2,IFERROR(VLOOKUP(BP873,Parameter!$F$35:$G$64,2,0),2)),IF(OR(IFERROR(VLOOKUP(D873,Parameter!$A$35:$C$64,2,0),"Nein")="Nein",IFERROR(VLOOKUP(D873,Parameter!$A$35:$C$64,2,0),"Nein")=""),"-",VLOOKUP(D873,Parameter!$A$35:$C$64,2,0)))))</f>
        <v>2</v>
      </c>
      <c r="Y873" s="62"/>
      <c r="Z873" s="63"/>
      <c r="AA873" s="57" t="n">
        <f aca="false">AP873</f>
        <v>1</v>
      </c>
      <c r="AB873" s="57" t="n">
        <f aca="false">MAX(AP873,G873)</f>
        <v>1</v>
      </c>
      <c r="AC873" s="64"/>
      <c r="AD873" s="57" t="n">
        <f aca="false">IF(LEFT(Cockpit!$C$5,1)="A",G873,IF(BW873=1,BX873,IF(LEFT(Cockpit!$C$5,1)="B",AH873,MAX(AH873,G873))))</f>
        <v>0</v>
      </c>
      <c r="AE873" s="57" t="n">
        <f aca="false">IF(BR873=1,0,ROUNDUP(AD873/BQ873,0))</f>
        <v>0</v>
      </c>
      <c r="AF873" s="59" t="n">
        <f aca="false">IF(CD873&gt;0,CD873*MAX(1,AD873/V873),IF(BR873=1,IF(AD873&lt;=0,0,BS873*MAX(1,IF(G873&gt;0,AD873/G873,1))),IF(Q873&gt;0,AE873/Q873,0))/MAX(0.1,N(Parameter!$M$21)))</f>
        <v>0</v>
      </c>
      <c r="AG873" s="57" t="n">
        <f aca="false">AD873*F873</f>
        <v>0</v>
      </c>
      <c r="AH873" s="57" t="n">
        <f aca="false">ROUNDUP(MAX(I873/IF(BV873&gt;0,BV873,MAX(0.1,N(Cockpit!$C$6))),BY873)/BQ873,0)*BQ873</f>
        <v>1</v>
      </c>
      <c r="AI873" s="58" t="n">
        <f aca="false">IF(AF873&gt;0,I873/AF873,-1)</f>
        <v>-1</v>
      </c>
      <c r="AJ873" s="58" t="str">
        <f aca="false">IF(AND(OR(BU873="L1",BU873="L23"),AF873&gt;0),SUMIFS($AF$7:$AF$1576,$BU$7:$BU$1576,BU873,$AI$7:$AI$1576,"&gt;"&amp;AI873)+SUMIFS($AF$7:$AF$1576,$BU$7:$BU$1576,BU873,$AI$7:$AI$1576,AI873,$BO$7:$BO$1576,"&lt;="&amp;BO873),"")</f>
        <v/>
      </c>
      <c r="AK873" s="65" t="n">
        <f aca="false">IF(AJ873="",0,MAX(0,MIN(1,(IF(BU873="L1",Parameter!$E$5,Parameter!$E$6+Parameter!$E$7)-(AJ873-AF873))/AF873)))</f>
        <v>0</v>
      </c>
      <c r="AL873" s="57" t="n">
        <f aca="false">IF(LEFT(Cockpit!$I$5,1)="A",G873,IF(BW873=1,BX873,IF(LEFT(Cockpit!$I$5,1)="B",AP873,MAX(AP873,G873))))</f>
        <v>1</v>
      </c>
      <c r="AM873" s="57" t="n">
        <f aca="false">IF(BR873=1,0,ROUNDUP(AL873/BQ873,0))</f>
        <v>0</v>
      </c>
      <c r="AN873" s="59" t="n">
        <f aca="false">IF(CD873&gt;0,CD873*MAX(1,AL873/V873),IF(BR873=1,IF(AL873&lt;=0,0,BS873*MAX(1,IF(G873&gt;0,AL873/G873,1))),IF(Q873&gt;0,AM873/Q873,0))/MAX(0.1,N(Parameter!$M$21)))</f>
        <v>0.03</v>
      </c>
      <c r="AO873" s="57" t="n">
        <f aca="false">AL873*F873</f>
        <v>4.8</v>
      </c>
      <c r="AP873" s="57" t="n">
        <f aca="false">ROUNDUP(MAX(I873/IF(BV873&gt;0,BV873,MAX(0.1,N(Cockpit!$I$6))),BY873)/BQ873,0)*BQ873</f>
        <v>1</v>
      </c>
      <c r="AQ873" s="58" t="n">
        <f aca="false">IF(AN873&gt;0,I873/AN873,-1)</f>
        <v>33.3333333333333</v>
      </c>
      <c r="AR873" s="58" t="n">
        <f aca="false">IF(AND(OR(BU873="L1",BU873="L23"),AN873&gt;0),SUMIFS($AN$7:$AN$1576,$BU$7:$BU$1576,BU873,$AQ$7:$AQ$1576,"&gt;"&amp;AQ873)+SUMIFS($AN$7:$AN$1576,$BU$7:$BU$1576,BU873,$AQ$7:$AQ$1576,AQ873,$BO$7:$BO$1576,"&lt;="&amp;BO873),"")</f>
        <v>94.3074345886957</v>
      </c>
      <c r="AS873" s="65" t="n">
        <f aca="false">IF(AR873="",0,MAX(0,MIN(1,(IF(BU873="L1",Parameter!$E$5,Parameter!$E$6+Parameter!$E$7)-(AR873-AN873))/AN873)))</f>
        <v>1</v>
      </c>
      <c r="AT873" s="57" t="n">
        <f aca="false">IF(LEFT(Cockpit!$O$5,1)="A",G873,IF(BW873=1,BX873,IF(LEFT(Cockpit!$O$5,1)="B",AX873,MAX(AX873,G873))))</f>
        <v>1</v>
      </c>
      <c r="AU873" s="57" t="n">
        <f aca="false">IF(BR873=1,0,ROUNDUP(AT873/BQ873,0))</f>
        <v>0</v>
      </c>
      <c r="AV873" s="59" t="n">
        <f aca="false">IF(CD873&gt;0,CD873*MAX(1,AT873/V873),IF(BR873=1,IF(AT873&lt;=0,0,BS873*MAX(1,IF(G873&gt;0,AT873/G873,1))),IF(Q873&gt;0,AU873/Q873,0))/MAX(0.1,N(Parameter!$M$21)))</f>
        <v>0.03</v>
      </c>
      <c r="AW873" s="57" t="n">
        <f aca="false">AT873*F873</f>
        <v>4.8</v>
      </c>
      <c r="AX873" s="57" t="n">
        <f aca="false">ROUNDUP(MAX(I873/IF(BV873&gt;0,BV873,MAX(0.1,N(Cockpit!$O$6))),BY873)/BQ873,0)*BQ873</f>
        <v>1</v>
      </c>
      <c r="AY873" s="58" t="n">
        <f aca="false">IF(AV873&gt;0,I873/AV873,-1)</f>
        <v>33.3333333333333</v>
      </c>
      <c r="AZ873" s="58" t="n">
        <f aca="false">IF(AND(OR(BU873="L1",BU873="L23"),AV873&gt;0),SUMIFS($AV$7:$AV$1576,$BU$7:$BU$1576,BU873,$AY$7:$AY$1576,"&gt;"&amp;AY873)+SUMIFS($AV$7:$AV$1576,$BU$7:$BU$1576,BU873,$AY$7:$AY$1576,AY873,$BO$7:$BO$1576,"&lt;="&amp;BO873),"")</f>
        <v>86.0919850382462</v>
      </c>
      <c r="BA873" s="65" t="n">
        <f aca="false">IF(AZ873="",0,MAX(0,MIN(1,(IF(BU873="L1",Parameter!$E$5,Parameter!$E$6+Parameter!$E$7)-(AZ873-AV873))/AV873)))</f>
        <v>1</v>
      </c>
      <c r="BB873" s="55" t="str">
        <f aca="false">IF(AF873&lt;=0,"",IF(BU873="Aussen","Aussenlager",IF(BU873="-","Nicht im Lift",IF(AK873&gt;=1,"Lift",IF(AK873&lt;=0,"Aussenlager","teilweise")))))</f>
        <v/>
      </c>
      <c r="BC873" s="55" t="str">
        <f aca="false">IF(AN873&lt;=0,"",IF(BU873="Aussen","Aussenlager",IF(BU873="-","Nicht im Lift",IF(AS873&gt;=1,"Lift",IF(AS873&lt;=0,"Aussenlager","teilweise")))))</f>
        <v>Lift</v>
      </c>
      <c r="BD873" s="55" t="str">
        <f aca="false">IF(AV873&lt;=0,"",IF(BU873="Aussen","Aussenlager",IF(BU873="-","Nicht im Lift",IF(BA873&gt;=1,"Lift",IF(BA873&lt;=0,"Aussenlager","teilweise")))))</f>
        <v>Lift</v>
      </c>
      <c r="BE873" s="55" t="str">
        <f aca="false">IF(A873="","",IF(BN873=1,"Neu; ","")&amp;IF(AND(BN873=0,BI873&lt;0),"negativer Bestand (Export "&amp;BI873&amp;"); ","")&amp;IF(I873&lt;=0,"Kein Verbrauch; ","")&amp;IF(CD873&gt;0,"Lift "&amp;U873&amp;" lt. Liftbericht (Fach "&amp;V873&amp;" Stk); ",IF(BR873=1,"Lose – Fläche geschätzt; ",""))&amp;IF(G873&gt;AP873,"Überbestand "&amp;ROUND(G873-AP873,0)&amp;" Stk / CHF "&amp;ROUND((G873-AP873)*F873,0)&amp;"; ","")&amp;IF(AND(BW873=1,BX873&lt;BY873),"MAX &lt; MB+LG; ","")&amp;IF(AND(CC873&gt;0,CB873*10&gt;CC873),"zu hoch für Tablar; ","")&amp;IF(AND(BN873=0,OR(BW873=1,Y873&lt;&gt;"",S873&lt;&gt;"",T873&lt;&gt;"",Z873&lt;&gt;"")),"manuell übersteuert; ","")&amp;IF(AND(BR873=0,Q873=0),"Gebinde unbekannt / Stellmass fehlt; ","")&amp;IF(AND(BR873=0,N(T873)&lt;=0,N(P873)&lt;=0),"Menge pro Gebinde fehlt (Ist = 1 Gebinde); ","")&amp;BM873)</f>
        <v>negativer Bestand (Export -5); Lose – Fläche geschätzt; </v>
      </c>
      <c r="BF873" s="55"/>
      <c r="BG873" s="55"/>
      <c r="BH873" s="62"/>
      <c r="BI873" s="57" t="n">
        <v>-5</v>
      </c>
      <c r="BJ873" s="57" t="n">
        <v>32</v>
      </c>
      <c r="BK873" s="56" t="n">
        <v>-24</v>
      </c>
      <c r="BL873" s="57" t="n">
        <v>1</v>
      </c>
      <c r="BM873" s="55"/>
      <c r="BN873" s="60" t="n">
        <v>0</v>
      </c>
      <c r="BO873" s="60" t="n">
        <v>873</v>
      </c>
      <c r="BP873" s="55" t="str">
        <f aca="false">IF(S873&lt;&gt;"",UPPER(TRIM(S873)),IF(O873="","LOSE",O873))</f>
        <v>LOSE</v>
      </c>
      <c r="BQ873" s="57" t="n">
        <f aca="false">IF(BP873="LOSE",1,IF(N(T873)&gt;0,T873,IF(N(P873)&gt;0,P873,MAX(1,G873))))</f>
        <v>1</v>
      </c>
      <c r="BR873" s="60" t="n">
        <f aca="false">IF(BP873="LOSE",1,0)</f>
        <v>1</v>
      </c>
      <c r="BS873" s="59" t="n">
        <f aca="false">IF(BR873=0,0,IF(N(R873)&gt;0,R873,IFERROR(VLOOKUP(D873,Parameter!$A$35:$C$64,3,0)+0,0)))</f>
        <v>0.03</v>
      </c>
      <c r="BT873" s="55" t="n">
        <f aca="false">IF(Y873&lt;&gt;"",Y873,X873)</f>
        <v>2</v>
      </c>
      <c r="BU873" s="55" t="str">
        <f aca="false">IF(BT873=1,"L1",IF(OR(BT873=2,BT873=3),"L23",IF(BT873="Aussen","Aussen","-")))</f>
        <v>L23</v>
      </c>
      <c r="BV873" s="66" t="n">
        <f aca="false">IF(N(Z873)&gt;0,Z873,0)</f>
        <v>0</v>
      </c>
      <c r="BW873" s="60" t="n">
        <f aca="false">IF(ISNUMBER(AC873),1,0)</f>
        <v>0</v>
      </c>
      <c r="BX873" s="57" t="n">
        <f aca="false">N(AC873)</f>
        <v>0</v>
      </c>
      <c r="BY873" s="57" t="n">
        <f aca="false">N(L873)+N(M873)</f>
        <v>1</v>
      </c>
      <c r="BZ873" s="57" t="n">
        <f aca="false">ROUNDUP(G873/BQ873,0)</f>
        <v>0</v>
      </c>
      <c r="CA873" s="57" t="n">
        <f aca="false">ROUNDUP(BX873/BQ873,0)</f>
        <v>0</v>
      </c>
      <c r="CB873" s="60" t="n">
        <f aca="false">IF(BR873=1,0,IFERROR(VLOOKUP(BP873,'Gebinde-Kategorie'!$A$5:$M$45,5,0)+0,0))</f>
        <v>0</v>
      </c>
      <c r="CC873" s="60" t="n">
        <f aca="false">IFERROR(IF(OR(BT873=1,BT873=2,BT873=3),N(INDEX(Parameter!$I$5:$I$7,BT873)),0),0)</f>
        <v>0</v>
      </c>
      <c r="CD873" s="59" t="n">
        <f aca="false">IF(AND(Parameter!$B$21="Ja",ISNUMBER(U873),N(V873)&gt;0),IFERROR(N(INDEX(Parameter!$L$5:$L$7,U873))*INDEX(Parameter!$E$5:$E$7,U873)*V873/SUMIFS($V$7:$V$1576,$U$7:$U$1576,U873),0),0)</f>
        <v>0</v>
      </c>
    </row>
    <row r="874" customFormat="false" ht="15" hidden="false" customHeight="false" outlineLevel="0" collapsed="false">
      <c r="A874" s="55" t="s">
        <v>1644</v>
      </c>
      <c r="B874" s="55" t="s">
        <v>850</v>
      </c>
      <c r="C874" s="55" t="s">
        <v>160</v>
      </c>
      <c r="D874" s="55" t="s">
        <v>178</v>
      </c>
      <c r="E874" s="55" t="s">
        <v>210</v>
      </c>
      <c r="F874" s="56" t="n">
        <v>24.36</v>
      </c>
      <c r="G874" s="57" t="n">
        <f aca="false">MAX(0,IF(AND(Parameter!$B$21="Ja",ISNUMBER(W874)),W874,IF(Parameter!$B$20="Jahresanfang 2025 + Export",BJ874+BI874,BI874)))</f>
        <v>0</v>
      </c>
      <c r="H874" s="57" t="n">
        <f aca="false">G874*F874</f>
        <v>0</v>
      </c>
      <c r="I874" s="57" t="n">
        <f aca="false">BL874*Parameter!$B$18</f>
        <v>1</v>
      </c>
      <c r="J874" s="58" t="n">
        <v>2.5</v>
      </c>
      <c r="K874" s="59" t="n">
        <v>0.4</v>
      </c>
      <c r="L874" s="57" t="n">
        <v>0</v>
      </c>
      <c r="M874" s="57" t="n">
        <v>1</v>
      </c>
      <c r="N874" s="60" t="n">
        <v>28</v>
      </c>
      <c r="O874" s="55" t="s">
        <v>391</v>
      </c>
      <c r="P874" s="57" t="n">
        <v>5</v>
      </c>
      <c r="Q874" s="60" t="n">
        <f aca="false">IF(BR874=1,0,IFERROR(VLOOKUP(BP874,'Gebinde-Kategorie'!$A$5:$M$45,13,0)+0,0))</f>
        <v>414</v>
      </c>
      <c r="R874" s="61"/>
      <c r="S874" s="62"/>
      <c r="T874" s="62"/>
      <c r="U874" s="55"/>
      <c r="V874" s="57"/>
      <c r="W874" s="57"/>
      <c r="X874" s="55" t="n">
        <f aca="false">IF(A874="","",IF(AND(Parameter!$B$21="Ja",ISNUMBER(U874)),U874,IF(IFERROR(VLOOKUP(D874,Parameter!$A$35:$C$64,2,0),"Nein")="2+3",IF(ISNUMBER(SEARCH("grosser Artikel",BM874)),2,IFERROR(VLOOKUP(BP874,Parameter!$F$35:$G$64,2,0),2)),IF(OR(IFERROR(VLOOKUP(D874,Parameter!$A$35:$C$64,2,0),"Nein")="Nein",IFERROR(VLOOKUP(D874,Parameter!$A$35:$C$64,2,0),"Nein")=""),"-",VLOOKUP(D874,Parameter!$A$35:$C$64,2,0)))))</f>
        <v>3</v>
      </c>
      <c r="Y874" s="62"/>
      <c r="Z874" s="63"/>
      <c r="AA874" s="57" t="n">
        <f aca="false">AP874</f>
        <v>5</v>
      </c>
      <c r="AB874" s="57" t="n">
        <f aca="false">MAX(AP874,G874)</f>
        <v>5</v>
      </c>
      <c r="AC874" s="64"/>
      <c r="AD874" s="57" t="n">
        <f aca="false">IF(LEFT(Cockpit!$C$5,1)="A",G874,IF(BW874=1,BX874,IF(LEFT(Cockpit!$C$5,1)="B",AH874,MAX(AH874,G874))))</f>
        <v>0</v>
      </c>
      <c r="AE874" s="57" t="n">
        <f aca="false">IF(BR874=1,0,ROUNDUP(AD874/BQ874,0))</f>
        <v>0</v>
      </c>
      <c r="AF874" s="59" t="n">
        <f aca="false">IF(CD874&gt;0,CD874*MAX(1,AD874/V874),IF(BR874=1,IF(AD874&lt;=0,0,BS874*MAX(1,IF(G874&gt;0,AD874/G874,1))),IF(Q874&gt;0,AE874/Q874,0))/MAX(0.1,N(Parameter!$M$21)))</f>
        <v>0</v>
      </c>
      <c r="AG874" s="57" t="n">
        <f aca="false">AD874*F874</f>
        <v>0</v>
      </c>
      <c r="AH874" s="57" t="n">
        <f aca="false">ROUNDUP(MAX(I874/IF(BV874&gt;0,BV874,MAX(0.1,N(Cockpit!$C$6))),BY874)/BQ874,0)*BQ874</f>
        <v>5</v>
      </c>
      <c r="AI874" s="58" t="n">
        <f aca="false">IF(AF874&gt;0,I874/AF874,-1)</f>
        <v>-1</v>
      </c>
      <c r="AJ874" s="58" t="str">
        <f aca="false">IF(AND(OR(BU874="L1",BU874="L23"),AF874&gt;0),SUMIFS($AF$7:$AF$1576,$BU$7:$BU$1576,BU874,$AI$7:$AI$1576,"&gt;"&amp;AI874)+SUMIFS($AF$7:$AF$1576,$BU$7:$BU$1576,BU874,$AI$7:$AI$1576,AI874,$BO$7:$BO$1576,"&lt;="&amp;BO874),"")</f>
        <v/>
      </c>
      <c r="AK874" s="65" t="n">
        <f aca="false">IF(AJ874="",0,MAX(0,MIN(1,(IF(BU874="L1",Parameter!$E$5,Parameter!$E$6+Parameter!$E$7)-(AJ874-AF874))/AF874)))</f>
        <v>0</v>
      </c>
      <c r="AL874" s="57" t="n">
        <f aca="false">IF(LEFT(Cockpit!$I$5,1)="A",G874,IF(BW874=1,BX874,IF(LEFT(Cockpit!$I$5,1)="B",AP874,MAX(AP874,G874))))</f>
        <v>5</v>
      </c>
      <c r="AM874" s="57" t="n">
        <f aca="false">IF(BR874=1,0,ROUNDUP(AL874/BQ874,0))</f>
        <v>1</v>
      </c>
      <c r="AN874" s="59" t="n">
        <f aca="false">IF(CD874&gt;0,CD874*MAX(1,AL874/V874),IF(BR874=1,IF(AL874&lt;=0,0,BS874*MAX(1,IF(G874&gt;0,AL874/G874,1))),IF(Q874&gt;0,AM874/Q874,0))/MAX(0.1,N(Parameter!$M$21)))</f>
        <v>0.00241545893719807</v>
      </c>
      <c r="AO874" s="57" t="n">
        <f aca="false">AL874*F874</f>
        <v>121.8</v>
      </c>
      <c r="AP874" s="57" t="n">
        <f aca="false">ROUNDUP(MAX(I874/IF(BV874&gt;0,BV874,MAX(0.1,N(Cockpit!$I$6))),BY874)/BQ874,0)*BQ874</f>
        <v>5</v>
      </c>
      <c r="AQ874" s="58" t="n">
        <f aca="false">IF(AN874&gt;0,I874/AN874,-1)</f>
        <v>414</v>
      </c>
      <c r="AR874" s="58" t="n">
        <f aca="false">IF(AND(OR(BU874="L1",BU874="L23"),AN874&gt;0),SUMIFS($AN$7:$AN$1576,$BU$7:$BU$1576,BU874,$AQ$7:$AQ$1576,"&gt;"&amp;AQ874)+SUMIFS($AN$7:$AN$1576,$BU$7:$BU$1576,BU874,$AQ$7:$AQ$1576,AQ874,$BO$7:$BO$1576,"&lt;="&amp;BO874),"")</f>
        <v>36.4415447478603</v>
      </c>
      <c r="AS874" s="65" t="n">
        <f aca="false">IF(AR874="",0,MAX(0,MIN(1,(IF(BU874="L1",Parameter!$E$5,Parameter!$E$6+Parameter!$E$7)-(AR874-AN874))/AN874)))</f>
        <v>1</v>
      </c>
      <c r="AT874" s="57" t="n">
        <f aca="false">IF(LEFT(Cockpit!$O$5,1)="A",G874,IF(BW874=1,BX874,IF(LEFT(Cockpit!$O$5,1)="B",AX874,MAX(AX874,G874))))</f>
        <v>5</v>
      </c>
      <c r="AU874" s="57" t="n">
        <f aca="false">IF(BR874=1,0,ROUNDUP(AT874/BQ874,0))</f>
        <v>1</v>
      </c>
      <c r="AV874" s="59" t="n">
        <f aca="false">IF(CD874&gt;0,CD874*MAX(1,AT874/V874),IF(BR874=1,IF(AT874&lt;=0,0,BS874*MAX(1,IF(G874&gt;0,AT874/G874,1))),IF(Q874&gt;0,AU874/Q874,0))/MAX(0.1,N(Parameter!$M$21)))</f>
        <v>0.00241545893719807</v>
      </c>
      <c r="AW874" s="57" t="n">
        <f aca="false">AT874*F874</f>
        <v>121.8</v>
      </c>
      <c r="AX874" s="57" t="n">
        <f aca="false">ROUNDUP(MAX(I874/IF(BV874&gt;0,BV874,MAX(0.1,N(Cockpit!$O$6))),BY874)/BQ874,0)*BQ874</f>
        <v>5</v>
      </c>
      <c r="AY874" s="58" t="n">
        <f aca="false">IF(AV874&gt;0,I874/AV874,-1)</f>
        <v>414</v>
      </c>
      <c r="AZ874" s="58" t="n">
        <f aca="false">IF(AND(OR(BU874="L1",BU874="L23"),AV874&gt;0),SUMIFS($AV$7:$AV$1576,$BU$7:$BU$1576,BU874,$AY$7:$AY$1576,"&gt;"&amp;AY874)+SUMIFS($AV$7:$AV$1576,$BU$7:$BU$1576,BU874,$AY$7:$AY$1576,AY874,$BO$7:$BO$1576,"&lt;="&amp;BO874),"")</f>
        <v>35.6062900026055</v>
      </c>
      <c r="BA874" s="65" t="n">
        <f aca="false">IF(AZ874="",0,MAX(0,MIN(1,(IF(BU874="L1",Parameter!$E$5,Parameter!$E$6+Parameter!$E$7)-(AZ874-AV874))/AV874)))</f>
        <v>1</v>
      </c>
      <c r="BB874" s="55" t="str">
        <f aca="false">IF(AF874&lt;=0,"",IF(BU874="Aussen","Aussenlager",IF(BU874="-","Nicht im Lift",IF(AK874&gt;=1,"Lift",IF(AK874&lt;=0,"Aussenlager","teilweise")))))</f>
        <v/>
      </c>
      <c r="BC874" s="55" t="str">
        <f aca="false">IF(AN874&lt;=0,"",IF(BU874="Aussen","Aussenlager",IF(BU874="-","Nicht im Lift",IF(AS874&gt;=1,"Lift",IF(AS874&lt;=0,"Aussenlager","teilweise")))))</f>
        <v>Lift</v>
      </c>
      <c r="BD874" s="55" t="str">
        <f aca="false">IF(AV874&lt;=0,"",IF(BU874="Aussen","Aussenlager",IF(BU874="-","Nicht im Lift",IF(BA874&gt;=1,"Lift",IF(BA874&lt;=0,"Aussenlager","teilweise")))))</f>
        <v>Lift</v>
      </c>
      <c r="BE874" s="55" t="str">
        <f aca="false">IF(A874="","",IF(BN874=1,"Neu; ","")&amp;IF(AND(BN874=0,BI874&lt;0),"negativer Bestand (Export "&amp;BI874&amp;"); ","")&amp;IF(I874&lt;=0,"Kein Verbrauch; ","")&amp;IF(CD874&gt;0,"Lift "&amp;U874&amp;" lt. Liftbericht (Fach "&amp;V874&amp;" Stk); ",IF(BR874=1,"Lose – Fläche geschätzt; ",""))&amp;IF(G874&gt;AP874,"Überbestand "&amp;ROUND(G874-AP874,0)&amp;" Stk / CHF "&amp;ROUND((G874-AP874)*F874,0)&amp;"; ","")&amp;IF(AND(BW874=1,BX874&lt;BY874),"MAX &lt; MB+LG; ","")&amp;IF(AND(CC874&gt;0,CB874*10&gt;CC874),"zu hoch für Tablar; ","")&amp;IF(AND(BN874=0,OR(BW874=1,Y874&lt;&gt;"",S874&lt;&gt;"",T874&lt;&gt;"",Z874&lt;&gt;"")),"manuell übersteuert; ","")&amp;IF(AND(BR874=0,Q874=0),"Gebinde unbekannt / Stellmass fehlt; ","")&amp;IF(AND(BR874=0,N(T874)&lt;=0,N(P874)&lt;=0),"Menge pro Gebinde fehlt (Ist = 1 Gebinde); ","")&amp;BM874)</f>
        <v>negativer Bestand (Export -1); </v>
      </c>
      <c r="BF874" s="55"/>
      <c r="BG874" s="55"/>
      <c r="BH874" s="62"/>
      <c r="BI874" s="57" t="n">
        <v>-1</v>
      </c>
      <c r="BJ874" s="57" t="n">
        <v>3</v>
      </c>
      <c r="BK874" s="56" t="n">
        <v>-24.36</v>
      </c>
      <c r="BL874" s="57" t="n">
        <v>1</v>
      </c>
      <c r="BM874" s="55"/>
      <c r="BN874" s="60" t="n">
        <v>0</v>
      </c>
      <c r="BO874" s="60" t="n">
        <v>874</v>
      </c>
      <c r="BP874" s="55" t="str">
        <f aca="false">IF(S874&lt;&gt;"",UPPER(TRIM(S874)),IF(O874="","LOSE",O874))</f>
        <v>S21</v>
      </c>
      <c r="BQ874" s="57" t="n">
        <f aca="false">IF(BP874="LOSE",1,IF(N(T874)&gt;0,T874,IF(N(P874)&gt;0,P874,MAX(1,G874))))</f>
        <v>5</v>
      </c>
      <c r="BR874" s="60" t="n">
        <f aca="false">IF(BP874="LOSE",1,0)</f>
        <v>0</v>
      </c>
      <c r="BS874" s="59" t="n">
        <f aca="false">IF(BR874=0,0,IF(N(R874)&gt;0,R874,IFERROR(VLOOKUP(D874,Parameter!$A$35:$C$64,3,0)+0,0)))</f>
        <v>0</v>
      </c>
      <c r="BT874" s="55" t="n">
        <f aca="false">IF(Y874&lt;&gt;"",Y874,X874)</f>
        <v>3</v>
      </c>
      <c r="BU874" s="55" t="str">
        <f aca="false">IF(BT874=1,"L1",IF(OR(BT874=2,BT874=3),"L23",IF(BT874="Aussen","Aussen","-")))</f>
        <v>L23</v>
      </c>
      <c r="BV874" s="66" t="n">
        <f aca="false">IF(N(Z874)&gt;0,Z874,0)</f>
        <v>0</v>
      </c>
      <c r="BW874" s="60" t="n">
        <f aca="false">IF(ISNUMBER(AC874),1,0)</f>
        <v>0</v>
      </c>
      <c r="BX874" s="57" t="n">
        <f aca="false">N(AC874)</f>
        <v>0</v>
      </c>
      <c r="BY874" s="57" t="n">
        <f aca="false">N(L874)+N(M874)</f>
        <v>1</v>
      </c>
      <c r="BZ874" s="57" t="n">
        <f aca="false">ROUNDUP(G874/BQ874,0)</f>
        <v>0</v>
      </c>
      <c r="CA874" s="57" t="n">
        <f aca="false">ROUNDUP(BX874/BQ874,0)</f>
        <v>0</v>
      </c>
      <c r="CB874" s="60" t="n">
        <f aca="false">IF(BR874=1,0,IFERROR(VLOOKUP(BP874,'Gebinde-Kategorie'!$A$5:$M$45,5,0)+0,0))</f>
        <v>8</v>
      </c>
      <c r="CC874" s="60" t="n">
        <f aca="false">IFERROR(IF(OR(BT874=1,BT874=2,BT874=3),N(INDEX(Parameter!$I$5:$I$7,BT874)),0),0)</f>
        <v>0</v>
      </c>
      <c r="CD874" s="59" t="n">
        <f aca="false">IF(AND(Parameter!$B$21="Ja",ISNUMBER(U874),N(V874)&gt;0),IFERROR(N(INDEX(Parameter!$L$5:$L$7,U874))*INDEX(Parameter!$E$5:$E$7,U874)*V874/SUMIFS($V$7:$V$1576,$U$7:$U$1576,U874),0),0)</f>
        <v>0</v>
      </c>
    </row>
    <row r="875" customFormat="false" ht="15" hidden="false" customHeight="false" outlineLevel="0" collapsed="false">
      <c r="A875" s="55" t="s">
        <v>1645</v>
      </c>
      <c r="B875" s="55" t="s">
        <v>1646</v>
      </c>
      <c r="C875" s="55" t="s">
        <v>160</v>
      </c>
      <c r="D875" s="55" t="s">
        <v>178</v>
      </c>
      <c r="E875" s="55" t="s">
        <v>210</v>
      </c>
      <c r="F875" s="56" t="n">
        <v>24.52</v>
      </c>
      <c r="G875" s="57" t="n">
        <f aca="false">MAX(0,IF(AND(Parameter!$B$21="Ja",ISNUMBER(W875)),W875,IF(Parameter!$B$20="Jahresanfang 2025 + Export",BJ875+BI875,BI875)))</f>
        <v>0</v>
      </c>
      <c r="H875" s="57" t="n">
        <f aca="false">G875*F875</f>
        <v>0</v>
      </c>
      <c r="I875" s="57" t="n">
        <f aca="false">BL875*Parameter!$B$18</f>
        <v>0</v>
      </c>
      <c r="J875" s="58" t="n">
        <v>15</v>
      </c>
      <c r="K875" s="59" t="n">
        <v>0</v>
      </c>
      <c r="L875" s="57" t="n">
        <v>0</v>
      </c>
      <c r="M875" s="57" t="n">
        <v>1</v>
      </c>
      <c r="N875" s="60" t="n">
        <v>35</v>
      </c>
      <c r="O875" s="55" t="s">
        <v>411</v>
      </c>
      <c r="P875" s="57" t="n">
        <v>15</v>
      </c>
      <c r="Q875" s="60" t="n">
        <f aca="false">IF(BR875=1,0,IFERROR(VLOOKUP(BP875,'Gebinde-Kategorie'!$A$5:$M$45,13,0)+0,0))</f>
        <v>132</v>
      </c>
      <c r="R875" s="61"/>
      <c r="S875" s="62"/>
      <c r="T875" s="62"/>
      <c r="U875" s="55"/>
      <c r="V875" s="57"/>
      <c r="W875" s="57"/>
      <c r="X875" s="55" t="n">
        <f aca="false">IF(A875="","",IF(AND(Parameter!$B$21="Ja",ISNUMBER(U875)),U875,IF(IFERROR(VLOOKUP(D875,Parameter!$A$35:$C$64,2,0),"Nein")="2+3",IF(ISNUMBER(SEARCH("grosser Artikel",BM875)),2,IFERROR(VLOOKUP(BP875,Parameter!$F$35:$G$64,2,0),2)),IF(OR(IFERROR(VLOOKUP(D875,Parameter!$A$35:$C$64,2,0),"Nein")="Nein",IFERROR(VLOOKUP(D875,Parameter!$A$35:$C$64,2,0),"Nein")=""),"-",VLOOKUP(D875,Parameter!$A$35:$C$64,2,0)))))</f>
        <v>3</v>
      </c>
      <c r="Y875" s="62"/>
      <c r="Z875" s="63"/>
      <c r="AA875" s="57" t="n">
        <f aca="false">AP875</f>
        <v>15</v>
      </c>
      <c r="AB875" s="57" t="n">
        <f aca="false">MAX(AP875,G875)</f>
        <v>15</v>
      </c>
      <c r="AC875" s="64"/>
      <c r="AD875" s="57" t="n">
        <f aca="false">IF(LEFT(Cockpit!$C$5,1)="A",G875,IF(BW875=1,BX875,IF(LEFT(Cockpit!$C$5,1)="B",AH875,MAX(AH875,G875))))</f>
        <v>0</v>
      </c>
      <c r="AE875" s="57" t="n">
        <f aca="false">IF(BR875=1,0,ROUNDUP(AD875/BQ875,0))</f>
        <v>0</v>
      </c>
      <c r="AF875" s="59" t="n">
        <f aca="false">IF(CD875&gt;0,CD875*MAX(1,AD875/V875),IF(BR875=1,IF(AD875&lt;=0,0,BS875*MAX(1,IF(G875&gt;0,AD875/G875,1))),IF(Q875&gt;0,AE875/Q875,0))/MAX(0.1,N(Parameter!$M$21)))</f>
        <v>0</v>
      </c>
      <c r="AG875" s="57" t="n">
        <f aca="false">AD875*F875</f>
        <v>0</v>
      </c>
      <c r="AH875" s="57" t="n">
        <f aca="false">ROUNDUP(MAX(I875/IF(BV875&gt;0,BV875,MAX(0.1,N(Cockpit!$C$6))),BY875)/BQ875,0)*BQ875</f>
        <v>15</v>
      </c>
      <c r="AI875" s="58" t="n">
        <f aca="false">IF(AF875&gt;0,I875/AF875,-1)</f>
        <v>-1</v>
      </c>
      <c r="AJ875" s="58" t="str">
        <f aca="false">IF(AND(OR(BU875="L1",BU875="L23"),AF875&gt;0),SUMIFS($AF$7:$AF$1576,$BU$7:$BU$1576,BU875,$AI$7:$AI$1576,"&gt;"&amp;AI875)+SUMIFS($AF$7:$AF$1576,$BU$7:$BU$1576,BU875,$AI$7:$AI$1576,AI875,$BO$7:$BO$1576,"&lt;="&amp;BO875),"")</f>
        <v/>
      </c>
      <c r="AK875" s="65" t="n">
        <f aca="false">IF(AJ875="",0,MAX(0,MIN(1,(IF(BU875="L1",Parameter!$E$5,Parameter!$E$6+Parameter!$E$7)-(AJ875-AF875))/AF875)))</f>
        <v>0</v>
      </c>
      <c r="AL875" s="57" t="n">
        <f aca="false">IF(LEFT(Cockpit!$I$5,1)="A",G875,IF(BW875=1,BX875,IF(LEFT(Cockpit!$I$5,1)="B",AP875,MAX(AP875,G875))))</f>
        <v>15</v>
      </c>
      <c r="AM875" s="57" t="n">
        <f aca="false">IF(BR875=1,0,ROUNDUP(AL875/BQ875,0))</f>
        <v>1</v>
      </c>
      <c r="AN875" s="59" t="n">
        <f aca="false">IF(CD875&gt;0,CD875*MAX(1,AL875/V875),IF(BR875=1,IF(AL875&lt;=0,0,BS875*MAX(1,IF(G875&gt;0,AL875/G875,1))),IF(Q875&gt;0,AM875/Q875,0))/MAX(0.1,N(Parameter!$M$21)))</f>
        <v>0.00757575757575758</v>
      </c>
      <c r="AO875" s="57" t="n">
        <f aca="false">AL875*F875</f>
        <v>367.8</v>
      </c>
      <c r="AP875" s="57" t="n">
        <f aca="false">ROUNDUP(MAX(I875/IF(BV875&gt;0,BV875,MAX(0.1,N(Cockpit!$I$6))),BY875)/BQ875,0)*BQ875</f>
        <v>15</v>
      </c>
      <c r="AQ875" s="58" t="n">
        <f aca="false">IF(AN875&gt;0,I875/AN875,-1)</f>
        <v>0</v>
      </c>
      <c r="AR875" s="58" t="n">
        <f aca="false">IF(AND(OR(BU875="L1",BU875="L23"),AN875&gt;0),SUMIFS($AN$7:$AN$1576,$BU$7:$BU$1576,BU875,$AQ$7:$AQ$1576,"&gt;"&amp;AQ875)+SUMIFS($AN$7:$AN$1576,$BU$7:$BU$1576,BU875,$AQ$7:$AQ$1576,AQ875,$BO$7:$BO$1576,"&lt;="&amp;BO875),"")</f>
        <v>130.941654070615</v>
      </c>
      <c r="AS875" s="65" t="n">
        <f aca="false">IF(AR875="",0,MAX(0,MIN(1,(IF(BU875="L1",Parameter!$E$5,Parameter!$E$6+Parameter!$E$7)-(AR875-AN875))/AN875)))</f>
        <v>0</v>
      </c>
      <c r="AT875" s="57" t="n">
        <f aca="false">IF(LEFT(Cockpit!$O$5,1)="A",G875,IF(BW875=1,BX875,IF(LEFT(Cockpit!$O$5,1)="B",AX875,MAX(AX875,G875))))</f>
        <v>15</v>
      </c>
      <c r="AU875" s="57" t="n">
        <f aca="false">IF(BR875=1,0,ROUNDUP(AT875/BQ875,0))</f>
        <v>1</v>
      </c>
      <c r="AV875" s="59" t="n">
        <f aca="false">IF(CD875&gt;0,CD875*MAX(1,AT875/V875),IF(BR875=1,IF(AT875&lt;=0,0,BS875*MAX(1,IF(G875&gt;0,AT875/G875,1))),IF(Q875&gt;0,AU875/Q875,0))/MAX(0.1,N(Parameter!$M$21)))</f>
        <v>0.00757575757575758</v>
      </c>
      <c r="AW875" s="57" t="n">
        <f aca="false">AT875*F875</f>
        <v>367.8</v>
      </c>
      <c r="AX875" s="57" t="n">
        <f aca="false">ROUNDUP(MAX(I875/IF(BV875&gt;0,BV875,MAX(0.1,N(Cockpit!$O$6))),BY875)/BQ875,0)*BQ875</f>
        <v>15</v>
      </c>
      <c r="AY875" s="58" t="n">
        <f aca="false">IF(AV875&gt;0,I875/AV875,-1)</f>
        <v>0</v>
      </c>
      <c r="AZ875" s="58" t="n">
        <f aca="false">IF(AND(OR(BU875="L1",BU875="L23"),AV875&gt;0),SUMIFS($AV$7:$AV$1576,$BU$7:$BU$1576,BU875,$AY$7:$AY$1576,"&gt;"&amp;AY875)+SUMIFS($AV$7:$AV$1576,$BU$7:$BU$1576,BU875,$AY$7:$AY$1576,AY875,$BO$7:$BO$1576,"&lt;="&amp;BO875),"")</f>
        <v>121.001204520165</v>
      </c>
      <c r="BA875" s="65" t="n">
        <f aca="false">IF(AZ875="",0,MAX(0,MIN(1,(IF(BU875="L1",Parameter!$E$5,Parameter!$E$6+Parameter!$E$7)-(AZ875-AV875))/AV875)))</f>
        <v>0</v>
      </c>
      <c r="BB875" s="55" t="str">
        <f aca="false">IF(AF875&lt;=0,"",IF(BU875="Aussen","Aussenlager",IF(BU875="-","Nicht im Lift",IF(AK875&gt;=1,"Lift",IF(AK875&lt;=0,"Aussenlager","teilweise")))))</f>
        <v/>
      </c>
      <c r="BC875" s="55" t="str">
        <f aca="false">IF(AN875&lt;=0,"",IF(BU875="Aussen","Aussenlager",IF(BU875="-","Nicht im Lift",IF(AS875&gt;=1,"Lift",IF(AS875&lt;=0,"Aussenlager","teilweise")))))</f>
        <v>Aussenlager</v>
      </c>
      <c r="BD875" s="55" t="str">
        <f aca="false">IF(AV875&lt;=0,"",IF(BU875="Aussen","Aussenlager",IF(BU875="-","Nicht im Lift",IF(BA875&gt;=1,"Lift",IF(BA875&lt;=0,"Aussenlager","teilweise")))))</f>
        <v>Aussenlager</v>
      </c>
      <c r="BE875" s="55" t="str">
        <f aca="false">IF(A875="","",IF(BN875=1,"Neu; ","")&amp;IF(AND(BN875=0,BI875&lt;0),"negativer Bestand (Export "&amp;BI875&amp;"); ","")&amp;IF(I875&lt;=0,"Kein Verbrauch; ","")&amp;IF(CD875&gt;0,"Lift "&amp;U875&amp;" lt. Liftbericht (Fach "&amp;V875&amp;" Stk); ",IF(BR875=1,"Lose – Fläche geschätzt; ",""))&amp;IF(G875&gt;AP875,"Überbestand "&amp;ROUND(G875-AP875,0)&amp;" Stk / CHF "&amp;ROUND((G875-AP875)*F875,0)&amp;"; ","")&amp;IF(AND(BW875=1,BX875&lt;BY875),"MAX &lt; MB+LG; ","")&amp;IF(AND(CC875&gt;0,CB875*10&gt;CC875),"zu hoch für Tablar; ","")&amp;IF(AND(BN875=0,OR(BW875=1,Y875&lt;&gt;"",S875&lt;&gt;"",T875&lt;&gt;"",Z875&lt;&gt;"")),"manuell übersteuert; ","")&amp;IF(AND(BR875=0,Q875=0),"Gebinde unbekannt / Stellmass fehlt; ","")&amp;IF(AND(BR875=0,N(T875)&lt;=0,N(P875)&lt;=0),"Menge pro Gebinde fehlt (Ist = 1 Gebinde); ","")&amp;BM875)</f>
        <v>negativer Bestand (Export -1); Kein Verbrauch; </v>
      </c>
      <c r="BF875" s="55"/>
      <c r="BG875" s="55"/>
      <c r="BH875" s="62"/>
      <c r="BI875" s="57" t="n">
        <v>-1</v>
      </c>
      <c r="BJ875" s="57" t="n">
        <v>15</v>
      </c>
      <c r="BK875" s="56" t="n">
        <v>-24.52</v>
      </c>
      <c r="BL875" s="57" t="n">
        <v>0</v>
      </c>
      <c r="BM875" s="55"/>
      <c r="BN875" s="60" t="n">
        <v>0</v>
      </c>
      <c r="BO875" s="60" t="n">
        <v>875</v>
      </c>
      <c r="BP875" s="55" t="str">
        <f aca="false">IF(S875&lt;&gt;"",UPPER(TRIM(S875)),IF(O875="","LOSE",O875))</f>
        <v>S32</v>
      </c>
      <c r="BQ875" s="57" t="n">
        <f aca="false">IF(BP875="LOSE",1,IF(N(T875)&gt;0,T875,IF(N(P875)&gt;0,P875,MAX(1,G875))))</f>
        <v>15</v>
      </c>
      <c r="BR875" s="60" t="n">
        <f aca="false">IF(BP875="LOSE",1,0)</f>
        <v>0</v>
      </c>
      <c r="BS875" s="59" t="n">
        <f aca="false">IF(BR875=0,0,IF(N(R875)&gt;0,R875,IFERROR(VLOOKUP(D875,Parameter!$A$35:$C$64,3,0)+0,0)))</f>
        <v>0</v>
      </c>
      <c r="BT875" s="55" t="n">
        <f aca="false">IF(Y875&lt;&gt;"",Y875,X875)</f>
        <v>3</v>
      </c>
      <c r="BU875" s="55" t="str">
        <f aca="false">IF(BT875=1,"L1",IF(OR(BT875=2,BT875=3),"L23",IF(BT875="Aussen","Aussen","-")))</f>
        <v>L23</v>
      </c>
      <c r="BV875" s="66" t="n">
        <f aca="false">IF(N(Z875)&gt;0,Z875,0)</f>
        <v>0</v>
      </c>
      <c r="BW875" s="60" t="n">
        <f aca="false">IF(ISNUMBER(AC875),1,0)</f>
        <v>0</v>
      </c>
      <c r="BX875" s="57" t="n">
        <f aca="false">N(AC875)</f>
        <v>0</v>
      </c>
      <c r="BY875" s="57" t="n">
        <f aca="false">N(L875)+N(M875)</f>
        <v>1</v>
      </c>
      <c r="BZ875" s="57" t="n">
        <f aca="false">ROUNDUP(G875/BQ875,0)</f>
        <v>0</v>
      </c>
      <c r="CA875" s="57" t="n">
        <f aca="false">ROUNDUP(BX875/BQ875,0)</f>
        <v>0</v>
      </c>
      <c r="CB875" s="60" t="n">
        <f aca="false">IF(BR875=1,0,IFERROR(VLOOKUP(BP875,'Gebinde-Kategorie'!$A$5:$M$45,5,0)+0,0))</f>
        <v>8</v>
      </c>
      <c r="CC875" s="60" t="n">
        <f aca="false">IFERROR(IF(OR(BT875=1,BT875=2,BT875=3),N(INDEX(Parameter!$I$5:$I$7,BT875)),0),0)</f>
        <v>0</v>
      </c>
      <c r="CD875" s="59" t="n">
        <f aca="false">IF(AND(Parameter!$B$21="Ja",ISNUMBER(U875),N(V875)&gt;0),IFERROR(N(INDEX(Parameter!$L$5:$L$7,U875))*INDEX(Parameter!$E$5:$E$7,U875)*V875/SUMIFS($V$7:$V$1576,$U$7:$U$1576,U875),0),0)</f>
        <v>0</v>
      </c>
    </row>
    <row r="876" customFormat="false" ht="15" hidden="false" customHeight="false" outlineLevel="0" collapsed="false">
      <c r="A876" s="55" t="s">
        <v>1647</v>
      </c>
      <c r="B876" s="55" t="s">
        <v>1154</v>
      </c>
      <c r="C876" s="55" t="s">
        <v>160</v>
      </c>
      <c r="D876" s="55" t="s">
        <v>178</v>
      </c>
      <c r="E876" s="55" t="s">
        <v>210</v>
      </c>
      <c r="F876" s="56" t="n">
        <v>9.35</v>
      </c>
      <c r="G876" s="57" t="n">
        <f aca="false">MAX(0,IF(AND(Parameter!$B$21="Ja",ISNUMBER(W876)),W876,IF(Parameter!$B$20="Jahresanfang 2025 + Export",BJ876+BI876,BI876)))</f>
        <v>0</v>
      </c>
      <c r="H876" s="57" t="n">
        <f aca="false">G876*F876</f>
        <v>0</v>
      </c>
      <c r="I876" s="57" t="n">
        <f aca="false">BL876*Parameter!$B$18</f>
        <v>6</v>
      </c>
      <c r="J876" s="58" t="n">
        <v>4.5</v>
      </c>
      <c r="K876" s="59" t="n">
        <v>1.33333333333333</v>
      </c>
      <c r="L876" s="57" t="n">
        <v>0</v>
      </c>
      <c r="M876" s="57" t="n">
        <v>5</v>
      </c>
      <c r="N876" s="60" t="n">
        <v>18</v>
      </c>
      <c r="O876" s="55" t="s">
        <v>411</v>
      </c>
      <c r="P876" s="57" t="n">
        <v>8</v>
      </c>
      <c r="Q876" s="60" t="n">
        <f aca="false">IF(BR876=1,0,IFERROR(VLOOKUP(BP876,'Gebinde-Kategorie'!$A$5:$M$45,13,0)+0,0))</f>
        <v>132</v>
      </c>
      <c r="R876" s="61"/>
      <c r="S876" s="62"/>
      <c r="T876" s="62"/>
      <c r="U876" s="55"/>
      <c r="V876" s="57"/>
      <c r="W876" s="57"/>
      <c r="X876" s="55" t="n">
        <f aca="false">IF(A876="","",IF(AND(Parameter!$B$21="Ja",ISNUMBER(U876)),U876,IF(IFERROR(VLOOKUP(D876,Parameter!$A$35:$C$64,2,0),"Nein")="2+3",IF(ISNUMBER(SEARCH("grosser Artikel",BM876)),2,IFERROR(VLOOKUP(BP876,Parameter!$F$35:$G$64,2,0),2)),IF(OR(IFERROR(VLOOKUP(D876,Parameter!$A$35:$C$64,2,0),"Nein")="Nein",IFERROR(VLOOKUP(D876,Parameter!$A$35:$C$64,2,0),"Nein")=""),"-",VLOOKUP(D876,Parameter!$A$35:$C$64,2,0)))))</f>
        <v>3</v>
      </c>
      <c r="Y876" s="62"/>
      <c r="Z876" s="63"/>
      <c r="AA876" s="57" t="n">
        <f aca="false">AP876</f>
        <v>8</v>
      </c>
      <c r="AB876" s="57" t="n">
        <f aca="false">MAX(AP876,G876)</f>
        <v>8</v>
      </c>
      <c r="AC876" s="64"/>
      <c r="AD876" s="57" t="n">
        <f aca="false">IF(LEFT(Cockpit!$C$5,1)="A",G876,IF(BW876=1,BX876,IF(LEFT(Cockpit!$C$5,1)="B",AH876,MAX(AH876,G876))))</f>
        <v>0</v>
      </c>
      <c r="AE876" s="57" t="n">
        <f aca="false">IF(BR876=1,0,ROUNDUP(AD876/BQ876,0))</f>
        <v>0</v>
      </c>
      <c r="AF876" s="59" t="n">
        <f aca="false">IF(CD876&gt;0,CD876*MAX(1,AD876/V876),IF(BR876=1,IF(AD876&lt;=0,0,BS876*MAX(1,IF(G876&gt;0,AD876/G876,1))),IF(Q876&gt;0,AE876/Q876,0))/MAX(0.1,N(Parameter!$M$21)))</f>
        <v>0</v>
      </c>
      <c r="AG876" s="57" t="n">
        <f aca="false">AD876*F876</f>
        <v>0</v>
      </c>
      <c r="AH876" s="57" t="n">
        <f aca="false">ROUNDUP(MAX(I876/IF(BV876&gt;0,BV876,MAX(0.1,N(Cockpit!$C$6))),BY876)/BQ876,0)*BQ876</f>
        <v>8</v>
      </c>
      <c r="AI876" s="58" t="n">
        <f aca="false">IF(AF876&gt;0,I876/AF876,-1)</f>
        <v>-1</v>
      </c>
      <c r="AJ876" s="58" t="str">
        <f aca="false">IF(AND(OR(BU876="L1",BU876="L23"),AF876&gt;0),SUMIFS($AF$7:$AF$1576,$BU$7:$BU$1576,BU876,$AI$7:$AI$1576,"&gt;"&amp;AI876)+SUMIFS($AF$7:$AF$1576,$BU$7:$BU$1576,BU876,$AI$7:$AI$1576,AI876,$BO$7:$BO$1576,"&lt;="&amp;BO876),"")</f>
        <v/>
      </c>
      <c r="AK876" s="65" t="n">
        <f aca="false">IF(AJ876="",0,MAX(0,MIN(1,(IF(BU876="L1",Parameter!$E$5,Parameter!$E$6+Parameter!$E$7)-(AJ876-AF876))/AF876)))</f>
        <v>0</v>
      </c>
      <c r="AL876" s="57" t="n">
        <f aca="false">IF(LEFT(Cockpit!$I$5,1)="A",G876,IF(BW876=1,BX876,IF(LEFT(Cockpit!$I$5,1)="B",AP876,MAX(AP876,G876))))</f>
        <v>8</v>
      </c>
      <c r="AM876" s="57" t="n">
        <f aca="false">IF(BR876=1,0,ROUNDUP(AL876/BQ876,0))</f>
        <v>1</v>
      </c>
      <c r="AN876" s="59" t="n">
        <f aca="false">IF(CD876&gt;0,CD876*MAX(1,AL876/V876),IF(BR876=1,IF(AL876&lt;=0,0,BS876*MAX(1,IF(G876&gt;0,AL876/G876,1))),IF(Q876&gt;0,AM876/Q876,0))/MAX(0.1,N(Parameter!$M$21)))</f>
        <v>0.00757575757575758</v>
      </c>
      <c r="AO876" s="57" t="n">
        <f aca="false">AL876*F876</f>
        <v>74.8</v>
      </c>
      <c r="AP876" s="57" t="n">
        <f aca="false">ROUNDUP(MAX(I876/IF(BV876&gt;0,BV876,MAX(0.1,N(Cockpit!$I$6))),BY876)/BQ876,0)*BQ876</f>
        <v>8</v>
      </c>
      <c r="AQ876" s="58" t="n">
        <f aca="false">IF(AN876&gt;0,I876/AN876,-1)</f>
        <v>792</v>
      </c>
      <c r="AR876" s="58" t="n">
        <f aca="false">IF(AND(OR(BU876="L1",BU876="L23"),AN876&gt;0),SUMIFS($AN$7:$AN$1576,$BU$7:$BU$1576,BU876,$AQ$7:$AQ$1576,"&gt;"&amp;AQ876)+SUMIFS($AN$7:$AN$1576,$BU$7:$BU$1576,BU876,$AQ$7:$AQ$1576,AQ876,$BO$7:$BO$1576,"&lt;="&amp;BO876),"")</f>
        <v>26.2200523272374</v>
      </c>
      <c r="AS876" s="65" t="n">
        <f aca="false">IF(AR876="",0,MAX(0,MIN(1,(IF(BU876="L1",Parameter!$E$5,Parameter!$E$6+Parameter!$E$7)-(AR876-AN876))/AN876)))</f>
        <v>1</v>
      </c>
      <c r="AT876" s="57" t="n">
        <f aca="false">IF(LEFT(Cockpit!$O$5,1)="A",G876,IF(BW876=1,BX876,IF(LEFT(Cockpit!$O$5,1)="B",AX876,MAX(AX876,G876))))</f>
        <v>8</v>
      </c>
      <c r="AU876" s="57" t="n">
        <f aca="false">IF(BR876=1,0,ROUNDUP(AT876/BQ876,0))</f>
        <v>1</v>
      </c>
      <c r="AV876" s="59" t="n">
        <f aca="false">IF(CD876&gt;0,CD876*MAX(1,AT876/V876),IF(BR876=1,IF(AT876&lt;=0,0,BS876*MAX(1,IF(G876&gt;0,AT876/G876,1))),IF(Q876&gt;0,AU876/Q876,0))/MAX(0.1,N(Parameter!$M$21)))</f>
        <v>0.00757575757575758</v>
      </c>
      <c r="AW876" s="57" t="n">
        <f aca="false">AT876*F876</f>
        <v>74.8</v>
      </c>
      <c r="AX876" s="57" t="n">
        <f aca="false">ROUNDUP(MAX(I876/IF(BV876&gt;0,BV876,MAX(0.1,N(Cockpit!$O$6))),BY876)/BQ876,0)*BQ876</f>
        <v>8</v>
      </c>
      <c r="AY876" s="58" t="n">
        <f aca="false">IF(AV876&gt;0,I876/AV876,-1)</f>
        <v>792</v>
      </c>
      <c r="AZ876" s="58" t="n">
        <f aca="false">IF(AND(OR(BU876="L1",BU876="L23"),AV876&gt;0),SUMIFS($AV$7:$AV$1576,$BU$7:$BU$1576,BU876,$AY$7:$AY$1576,"&gt;"&amp;AY876)+SUMIFS($AV$7:$AV$1576,$BU$7:$BU$1576,BU876,$AY$7:$AY$1576,AY876,$BO$7:$BO$1576,"&lt;="&amp;BO876),"")</f>
        <v>26.120401977587</v>
      </c>
      <c r="BA876" s="65" t="n">
        <f aca="false">IF(AZ876="",0,MAX(0,MIN(1,(IF(BU876="L1",Parameter!$E$5,Parameter!$E$6+Parameter!$E$7)-(AZ876-AV876))/AV876)))</f>
        <v>1</v>
      </c>
      <c r="BB876" s="55" t="str">
        <f aca="false">IF(AF876&lt;=0,"",IF(BU876="Aussen","Aussenlager",IF(BU876="-","Nicht im Lift",IF(AK876&gt;=1,"Lift",IF(AK876&lt;=0,"Aussenlager","teilweise")))))</f>
        <v/>
      </c>
      <c r="BC876" s="55" t="str">
        <f aca="false">IF(AN876&lt;=0,"",IF(BU876="Aussen","Aussenlager",IF(BU876="-","Nicht im Lift",IF(AS876&gt;=1,"Lift",IF(AS876&lt;=0,"Aussenlager","teilweise")))))</f>
        <v>Lift</v>
      </c>
      <c r="BD876" s="55" t="str">
        <f aca="false">IF(AV876&lt;=0,"",IF(BU876="Aussen","Aussenlager",IF(BU876="-","Nicht im Lift",IF(BA876&gt;=1,"Lift",IF(BA876&lt;=0,"Aussenlager","teilweise")))))</f>
        <v>Lift</v>
      </c>
      <c r="BE876" s="55" t="str">
        <f aca="false">IF(A876="","",IF(BN876=1,"Neu; ","")&amp;IF(AND(BN876=0,BI876&lt;0),"negativer Bestand (Export "&amp;BI876&amp;"); ","")&amp;IF(I876&lt;=0,"Kein Verbrauch; ","")&amp;IF(CD876&gt;0,"Lift "&amp;U876&amp;" lt. Liftbericht (Fach "&amp;V876&amp;" Stk); ",IF(BR876=1,"Lose – Fläche geschätzt; ",""))&amp;IF(G876&gt;AP876,"Überbestand "&amp;ROUND(G876-AP876,0)&amp;" Stk / CHF "&amp;ROUND((G876-AP876)*F876,0)&amp;"; ","")&amp;IF(AND(BW876=1,BX876&lt;BY876),"MAX &lt; MB+LG; ","")&amp;IF(AND(CC876&gt;0,CB876*10&gt;CC876),"zu hoch für Tablar; ","")&amp;IF(AND(BN876=0,OR(BW876=1,Y876&lt;&gt;"",S876&lt;&gt;"",T876&lt;&gt;"",Z876&lt;&gt;"")),"manuell übersteuert; ","")&amp;IF(AND(BR876=0,Q876=0),"Gebinde unbekannt / Stellmass fehlt; ","")&amp;IF(AND(BR876=0,N(T876)&lt;=0,N(P876)&lt;=0),"Menge pro Gebinde fehlt (Ist = 1 Gebinde); ","")&amp;BM876)</f>
        <v>negativer Bestand (Export -3); </v>
      </c>
      <c r="BF876" s="55"/>
      <c r="BG876" s="55"/>
      <c r="BH876" s="62"/>
      <c r="BI876" s="57" t="n">
        <v>-3</v>
      </c>
      <c r="BJ876" s="57" t="n">
        <v>6</v>
      </c>
      <c r="BK876" s="56" t="n">
        <v>-24.63</v>
      </c>
      <c r="BL876" s="57" t="n">
        <v>6</v>
      </c>
      <c r="BM876" s="55"/>
      <c r="BN876" s="60" t="n">
        <v>0</v>
      </c>
      <c r="BO876" s="60" t="n">
        <v>876</v>
      </c>
      <c r="BP876" s="55" t="str">
        <f aca="false">IF(S876&lt;&gt;"",UPPER(TRIM(S876)),IF(O876="","LOSE",O876))</f>
        <v>S32</v>
      </c>
      <c r="BQ876" s="57" t="n">
        <f aca="false">IF(BP876="LOSE",1,IF(N(T876)&gt;0,T876,IF(N(P876)&gt;0,P876,MAX(1,G876))))</f>
        <v>8</v>
      </c>
      <c r="BR876" s="60" t="n">
        <f aca="false">IF(BP876="LOSE",1,0)</f>
        <v>0</v>
      </c>
      <c r="BS876" s="59" t="n">
        <f aca="false">IF(BR876=0,0,IF(N(R876)&gt;0,R876,IFERROR(VLOOKUP(D876,Parameter!$A$35:$C$64,3,0)+0,0)))</f>
        <v>0</v>
      </c>
      <c r="BT876" s="55" t="n">
        <f aca="false">IF(Y876&lt;&gt;"",Y876,X876)</f>
        <v>3</v>
      </c>
      <c r="BU876" s="55" t="str">
        <f aca="false">IF(BT876=1,"L1",IF(OR(BT876=2,BT876=3),"L23",IF(BT876="Aussen","Aussen","-")))</f>
        <v>L23</v>
      </c>
      <c r="BV876" s="66" t="n">
        <f aca="false">IF(N(Z876)&gt;0,Z876,0)</f>
        <v>0</v>
      </c>
      <c r="BW876" s="60" t="n">
        <f aca="false">IF(ISNUMBER(AC876),1,0)</f>
        <v>0</v>
      </c>
      <c r="BX876" s="57" t="n">
        <f aca="false">N(AC876)</f>
        <v>0</v>
      </c>
      <c r="BY876" s="57" t="n">
        <f aca="false">N(L876)+N(M876)</f>
        <v>5</v>
      </c>
      <c r="BZ876" s="57" t="n">
        <f aca="false">ROUNDUP(G876/BQ876,0)</f>
        <v>0</v>
      </c>
      <c r="CA876" s="57" t="n">
        <f aca="false">ROUNDUP(BX876/BQ876,0)</f>
        <v>0</v>
      </c>
      <c r="CB876" s="60" t="n">
        <f aca="false">IF(BR876=1,0,IFERROR(VLOOKUP(BP876,'Gebinde-Kategorie'!$A$5:$M$45,5,0)+0,0))</f>
        <v>8</v>
      </c>
      <c r="CC876" s="60" t="n">
        <f aca="false">IFERROR(IF(OR(BT876=1,BT876=2,BT876=3),N(INDEX(Parameter!$I$5:$I$7,BT876)),0),0)</f>
        <v>0</v>
      </c>
      <c r="CD876" s="59" t="n">
        <f aca="false">IF(AND(Parameter!$B$21="Ja",ISNUMBER(U876),N(V876)&gt;0),IFERROR(N(INDEX(Parameter!$L$5:$L$7,U876))*INDEX(Parameter!$E$5:$E$7,U876)*V876/SUMIFS($V$7:$V$1576,$U$7:$U$1576,U876),0),0)</f>
        <v>0</v>
      </c>
    </row>
    <row r="877" customFormat="false" ht="15" hidden="false" customHeight="false" outlineLevel="0" collapsed="false">
      <c r="A877" s="55" t="s">
        <v>1648</v>
      </c>
      <c r="B877" s="55" t="s">
        <v>1011</v>
      </c>
      <c r="C877" s="55" t="s">
        <v>160</v>
      </c>
      <c r="D877" s="55" t="s">
        <v>178</v>
      </c>
      <c r="E877" s="55" t="s">
        <v>210</v>
      </c>
      <c r="F877" s="56" t="n">
        <v>0.56</v>
      </c>
      <c r="G877" s="57" t="n">
        <f aca="false">MAX(0,IF(AND(Parameter!$B$21="Ja",ISNUMBER(W877)),W877,IF(Parameter!$B$20="Jahresanfang 2025 + Export",BJ877+BI877,BI877)))</f>
        <v>0</v>
      </c>
      <c r="H877" s="57" t="n">
        <f aca="false">G877*F877</f>
        <v>0</v>
      </c>
      <c r="I877" s="57" t="n">
        <f aca="false">BL877*Parameter!$B$18</f>
        <v>28</v>
      </c>
      <c r="J877" s="58" t="n">
        <v>466</v>
      </c>
      <c r="K877" s="59" t="n">
        <v>0.0600858369098712</v>
      </c>
      <c r="L877" s="57" t="n">
        <v>1</v>
      </c>
      <c r="M877" s="57" t="n">
        <v>30</v>
      </c>
      <c r="N877" s="60" t="n">
        <v>21</v>
      </c>
      <c r="O877" s="55" t="s">
        <v>293</v>
      </c>
      <c r="P877" s="57" t="n">
        <v>471</v>
      </c>
      <c r="Q877" s="60" t="n">
        <f aca="false">IF(BR877=1,0,IFERROR(VLOOKUP(BP877,'Gebinde-Kategorie'!$A$5:$M$45,13,0)+0,0))</f>
        <v>26</v>
      </c>
      <c r="R877" s="61"/>
      <c r="S877" s="62"/>
      <c r="T877" s="62"/>
      <c r="U877" s="55"/>
      <c r="V877" s="57"/>
      <c r="W877" s="57"/>
      <c r="X877" s="55" t="n">
        <f aca="false">IF(A877="","",IF(AND(Parameter!$B$21="Ja",ISNUMBER(U877)),U877,IF(IFERROR(VLOOKUP(D877,Parameter!$A$35:$C$64,2,0),"Nein")="2+3",IF(ISNUMBER(SEARCH("grosser Artikel",BM877)),2,IFERROR(VLOOKUP(BP877,Parameter!$F$35:$G$64,2,0),2)),IF(OR(IFERROR(VLOOKUP(D877,Parameter!$A$35:$C$64,2,0),"Nein")="Nein",IFERROR(VLOOKUP(D877,Parameter!$A$35:$C$64,2,0),"Nein")=""),"-",VLOOKUP(D877,Parameter!$A$35:$C$64,2,0)))))</f>
        <v>3</v>
      </c>
      <c r="Y877" s="62"/>
      <c r="Z877" s="63"/>
      <c r="AA877" s="57" t="n">
        <f aca="false">AP877</f>
        <v>471</v>
      </c>
      <c r="AB877" s="57" t="n">
        <f aca="false">MAX(AP877,G877)</f>
        <v>471</v>
      </c>
      <c r="AC877" s="64"/>
      <c r="AD877" s="57" t="n">
        <f aca="false">IF(LEFT(Cockpit!$C$5,1)="A",G877,IF(BW877=1,BX877,IF(LEFT(Cockpit!$C$5,1)="B",AH877,MAX(AH877,G877))))</f>
        <v>0</v>
      </c>
      <c r="AE877" s="57" t="n">
        <f aca="false">IF(BR877=1,0,ROUNDUP(AD877/BQ877,0))</f>
        <v>0</v>
      </c>
      <c r="AF877" s="59" t="n">
        <f aca="false">IF(CD877&gt;0,CD877*MAX(1,AD877/V877),IF(BR877=1,IF(AD877&lt;=0,0,BS877*MAX(1,IF(G877&gt;0,AD877/G877,1))),IF(Q877&gt;0,AE877/Q877,0))/MAX(0.1,N(Parameter!$M$21)))</f>
        <v>0</v>
      </c>
      <c r="AG877" s="57" t="n">
        <f aca="false">AD877*F877</f>
        <v>0</v>
      </c>
      <c r="AH877" s="57" t="n">
        <f aca="false">ROUNDUP(MAX(I877/IF(BV877&gt;0,BV877,MAX(0.1,N(Cockpit!$C$6))),BY877)/BQ877,0)*BQ877</f>
        <v>471</v>
      </c>
      <c r="AI877" s="58" t="n">
        <f aca="false">IF(AF877&gt;0,I877/AF877,-1)</f>
        <v>-1</v>
      </c>
      <c r="AJ877" s="58" t="str">
        <f aca="false">IF(AND(OR(BU877="L1",BU877="L23"),AF877&gt;0),SUMIFS($AF$7:$AF$1576,$BU$7:$BU$1576,BU877,$AI$7:$AI$1576,"&gt;"&amp;AI877)+SUMIFS($AF$7:$AF$1576,$BU$7:$BU$1576,BU877,$AI$7:$AI$1576,AI877,$BO$7:$BO$1576,"&lt;="&amp;BO877),"")</f>
        <v/>
      </c>
      <c r="AK877" s="65" t="n">
        <f aca="false">IF(AJ877="",0,MAX(0,MIN(1,(IF(BU877="L1",Parameter!$E$5,Parameter!$E$6+Parameter!$E$7)-(AJ877-AF877))/AF877)))</f>
        <v>0</v>
      </c>
      <c r="AL877" s="57" t="n">
        <f aca="false">IF(LEFT(Cockpit!$I$5,1)="A",G877,IF(BW877=1,BX877,IF(LEFT(Cockpit!$I$5,1)="B",AP877,MAX(AP877,G877))))</f>
        <v>471</v>
      </c>
      <c r="AM877" s="57" t="n">
        <f aca="false">IF(BR877=1,0,ROUNDUP(AL877/BQ877,0))</f>
        <v>1</v>
      </c>
      <c r="AN877" s="59" t="n">
        <f aca="false">IF(CD877&gt;0,CD877*MAX(1,AL877/V877),IF(BR877=1,IF(AL877&lt;=0,0,BS877*MAX(1,IF(G877&gt;0,AL877/G877,1))),IF(Q877&gt;0,AM877/Q877,0))/MAX(0.1,N(Parameter!$M$21)))</f>
        <v>0.0384615384615385</v>
      </c>
      <c r="AO877" s="57" t="n">
        <f aca="false">AL877*F877</f>
        <v>263.76</v>
      </c>
      <c r="AP877" s="57" t="n">
        <f aca="false">ROUNDUP(MAX(I877/IF(BV877&gt;0,BV877,MAX(0.1,N(Cockpit!$I$6))),BY877)/BQ877,0)*BQ877</f>
        <v>471</v>
      </c>
      <c r="AQ877" s="58" t="n">
        <f aca="false">IF(AN877&gt;0,I877/AN877,-1)</f>
        <v>728</v>
      </c>
      <c r="AR877" s="58" t="n">
        <f aca="false">IF(AND(OR(BU877="L1",BU877="L23"),AN877&gt;0),SUMIFS($AN$7:$AN$1576,$BU$7:$BU$1576,BU877,$AQ$7:$AQ$1576,"&gt;"&amp;AQ877)+SUMIFS($AN$7:$AN$1576,$BU$7:$BU$1576,BU877,$AQ$7:$AQ$1576,AQ877,$BO$7:$BO$1576,"&lt;="&amp;BO877),"")</f>
        <v>27.4655845727696</v>
      </c>
      <c r="AS877" s="65" t="n">
        <f aca="false">IF(AR877="",0,MAX(0,MIN(1,(IF(BU877="L1",Parameter!$E$5,Parameter!$E$6+Parameter!$E$7)-(AR877-AN877))/AN877)))</f>
        <v>1</v>
      </c>
      <c r="AT877" s="57" t="n">
        <f aca="false">IF(LEFT(Cockpit!$O$5,1)="A",G877,IF(BW877=1,BX877,IF(LEFT(Cockpit!$O$5,1)="B",AX877,MAX(AX877,G877))))</f>
        <v>471</v>
      </c>
      <c r="AU877" s="57" t="n">
        <f aca="false">IF(BR877=1,0,ROUNDUP(AT877/BQ877,0))</f>
        <v>1</v>
      </c>
      <c r="AV877" s="59" t="n">
        <f aca="false">IF(CD877&gt;0,CD877*MAX(1,AT877/V877),IF(BR877=1,IF(AT877&lt;=0,0,BS877*MAX(1,IF(G877&gt;0,AT877/G877,1))),IF(Q877&gt;0,AU877/Q877,0))/MAX(0.1,N(Parameter!$M$21)))</f>
        <v>0.0384615384615385</v>
      </c>
      <c r="AW877" s="57" t="n">
        <f aca="false">AT877*F877</f>
        <v>263.76</v>
      </c>
      <c r="AX877" s="57" t="n">
        <f aca="false">ROUNDUP(MAX(I877/IF(BV877&gt;0,BV877,MAX(0.1,N(Cockpit!$O$6))),BY877)/BQ877,0)*BQ877</f>
        <v>471</v>
      </c>
      <c r="AY877" s="58" t="n">
        <f aca="false">IF(AV877&gt;0,I877/AV877,-1)</f>
        <v>728</v>
      </c>
      <c r="AZ877" s="58" t="n">
        <f aca="false">IF(AND(OR(BU877="L1",BU877="L23"),AV877&gt;0),SUMIFS($AV$7:$AV$1576,$BU$7:$BU$1576,BU877,$AY$7:$AY$1576,"&gt;"&amp;AY877)+SUMIFS($AV$7:$AV$1576,$BU$7:$BU$1576,BU877,$AY$7:$AY$1576,AY877,$BO$7:$BO$1576,"&lt;="&amp;BO877),"")</f>
        <v>27.8659342231193</v>
      </c>
      <c r="BA877" s="65" t="n">
        <f aca="false">IF(AZ877="",0,MAX(0,MIN(1,(IF(BU877="L1",Parameter!$E$5,Parameter!$E$6+Parameter!$E$7)-(AZ877-AV877))/AV877)))</f>
        <v>1</v>
      </c>
      <c r="BB877" s="55" t="str">
        <f aca="false">IF(AF877&lt;=0,"",IF(BU877="Aussen","Aussenlager",IF(BU877="-","Nicht im Lift",IF(AK877&gt;=1,"Lift",IF(AK877&lt;=0,"Aussenlager","teilweise")))))</f>
        <v/>
      </c>
      <c r="BC877" s="55" t="str">
        <f aca="false">IF(AN877&lt;=0,"",IF(BU877="Aussen","Aussenlager",IF(BU877="-","Nicht im Lift",IF(AS877&gt;=1,"Lift",IF(AS877&lt;=0,"Aussenlager","teilweise")))))</f>
        <v>Lift</v>
      </c>
      <c r="BD877" s="55" t="str">
        <f aca="false">IF(AV877&lt;=0,"",IF(BU877="Aussen","Aussenlager",IF(BU877="-","Nicht im Lift",IF(BA877&gt;=1,"Lift",IF(BA877&lt;=0,"Aussenlager","teilweise")))))</f>
        <v>Lift</v>
      </c>
      <c r="BE877" s="55" t="str">
        <f aca="false">IF(A877="","",IF(BN877=1,"Neu; ","")&amp;IF(AND(BN877=0,BI877&lt;0),"negativer Bestand (Export "&amp;BI877&amp;"); ","")&amp;IF(I877&lt;=0,"Kein Verbrauch; ","")&amp;IF(CD877&gt;0,"Lift "&amp;U877&amp;" lt. Liftbericht (Fach "&amp;V877&amp;" Stk); ",IF(BR877=1,"Lose – Fläche geschätzt; ",""))&amp;IF(G877&gt;AP877,"Überbestand "&amp;ROUND(G877-AP877,0)&amp;" Stk / CHF "&amp;ROUND((G877-AP877)*F877,0)&amp;"; ","")&amp;IF(AND(BW877=1,BX877&lt;BY877),"MAX &lt; MB+LG; ","")&amp;IF(AND(CC877&gt;0,CB877*10&gt;CC877),"zu hoch für Tablar; ","")&amp;IF(AND(BN877=0,OR(BW877=1,Y877&lt;&gt;"",S877&lt;&gt;"",T877&lt;&gt;"",Z877&lt;&gt;"")),"manuell übersteuert; ","")&amp;IF(AND(BR877=0,Q877=0),"Gebinde unbekannt / Stellmass fehlt; ","")&amp;IF(AND(BR877=0,N(T877)&lt;=0,N(P877)&lt;=0),"Menge pro Gebinde fehlt (Ist = 1 Gebinde); ","")&amp;BM877)</f>
        <v>negativer Bestand (Export -44); Überbestand</v>
      </c>
      <c r="BF877" s="55"/>
      <c r="BG877" s="55"/>
      <c r="BH877" s="62"/>
      <c r="BI877" s="57" t="n">
        <v>-44</v>
      </c>
      <c r="BJ877" s="57" t="n">
        <v>481</v>
      </c>
      <c r="BK877" s="56" t="n">
        <v>-24.64</v>
      </c>
      <c r="BL877" s="57" t="n">
        <v>28</v>
      </c>
      <c r="BM877" s="55" t="s">
        <v>382</v>
      </c>
      <c r="BN877" s="60" t="n">
        <v>0</v>
      </c>
      <c r="BO877" s="60" t="n">
        <v>877</v>
      </c>
      <c r="BP877" s="55" t="str">
        <f aca="false">IF(S877&lt;&gt;"",UPPER(TRIM(S877)),IF(O877="","LOSE",O877))</f>
        <v>S51</v>
      </c>
      <c r="BQ877" s="57" t="n">
        <f aca="false">IF(BP877="LOSE",1,IF(N(T877)&gt;0,T877,IF(N(P877)&gt;0,P877,MAX(1,G877))))</f>
        <v>471</v>
      </c>
      <c r="BR877" s="60" t="n">
        <f aca="false">IF(BP877="LOSE",1,0)</f>
        <v>0</v>
      </c>
      <c r="BS877" s="59" t="n">
        <f aca="false">IF(BR877=0,0,IF(N(R877)&gt;0,R877,IFERROR(VLOOKUP(D877,Parameter!$A$35:$C$64,3,0)+0,0)))</f>
        <v>0</v>
      </c>
      <c r="BT877" s="55" t="n">
        <f aca="false">IF(Y877&lt;&gt;"",Y877,X877)</f>
        <v>3</v>
      </c>
      <c r="BU877" s="55" t="str">
        <f aca="false">IF(BT877=1,"L1",IF(OR(BT877=2,BT877=3),"L23",IF(BT877="Aussen","Aussen","-")))</f>
        <v>L23</v>
      </c>
      <c r="BV877" s="66" t="n">
        <f aca="false">IF(N(Z877)&gt;0,Z877,0)</f>
        <v>0</v>
      </c>
      <c r="BW877" s="60" t="n">
        <f aca="false">IF(ISNUMBER(AC877),1,0)</f>
        <v>0</v>
      </c>
      <c r="BX877" s="57" t="n">
        <f aca="false">N(AC877)</f>
        <v>0</v>
      </c>
      <c r="BY877" s="57" t="n">
        <f aca="false">N(L877)+N(M877)</f>
        <v>31</v>
      </c>
      <c r="BZ877" s="57" t="n">
        <f aca="false">ROUNDUP(G877/BQ877,0)</f>
        <v>0</v>
      </c>
      <c r="CA877" s="57" t="n">
        <f aca="false">ROUNDUP(BX877/BQ877,0)</f>
        <v>0</v>
      </c>
      <c r="CB877" s="60" t="n">
        <f aca="false">IF(BR877=1,0,IFERROR(VLOOKUP(BP877,'Gebinde-Kategorie'!$A$5:$M$45,5,0)+0,0))</f>
        <v>11</v>
      </c>
      <c r="CC877" s="60" t="n">
        <f aca="false">IFERROR(IF(OR(BT877=1,BT877=2,BT877=3),N(INDEX(Parameter!$I$5:$I$7,BT877)),0),0)</f>
        <v>0</v>
      </c>
      <c r="CD877" s="59" t="n">
        <f aca="false">IF(AND(Parameter!$B$21="Ja",ISNUMBER(U877),N(V877)&gt;0),IFERROR(N(INDEX(Parameter!$L$5:$L$7,U877))*INDEX(Parameter!$E$5:$E$7,U877)*V877/SUMIFS($V$7:$V$1576,$U$7:$U$1576,U877),0),0)</f>
        <v>0</v>
      </c>
    </row>
    <row r="878" customFormat="false" ht="15" hidden="false" customHeight="false" outlineLevel="0" collapsed="false">
      <c r="A878" s="55" t="s">
        <v>1649</v>
      </c>
      <c r="B878" s="55" t="s">
        <v>1200</v>
      </c>
      <c r="C878" s="55" t="s">
        <v>160</v>
      </c>
      <c r="D878" s="55" t="s">
        <v>178</v>
      </c>
      <c r="E878" s="55" t="s">
        <v>210</v>
      </c>
      <c r="F878" s="56" t="n">
        <v>0.85</v>
      </c>
      <c r="G878" s="57" t="n">
        <f aca="false">MAX(0,IF(AND(Parameter!$B$21="Ja",ISNUMBER(W878)),W878,IF(Parameter!$B$20="Jahresanfang 2025 + Export",BJ878+BI878,BI878)))</f>
        <v>0</v>
      </c>
      <c r="H878" s="57" t="n">
        <f aca="false">G878*F878</f>
        <v>0</v>
      </c>
      <c r="I878" s="57" t="n">
        <f aca="false">BL878*Parameter!$B$18</f>
        <v>0</v>
      </c>
      <c r="J878" s="58" t="n">
        <v>32.5</v>
      </c>
      <c r="K878" s="59" t="n">
        <v>0</v>
      </c>
      <c r="L878" s="57" t="n">
        <v>0</v>
      </c>
      <c r="M878" s="57" t="n">
        <v>1</v>
      </c>
      <c r="N878" s="60" t="n">
        <v>42</v>
      </c>
      <c r="O878" s="55" t="s">
        <v>319</v>
      </c>
      <c r="P878" s="57" t="n">
        <v>50</v>
      </c>
      <c r="Q878" s="60" t="n">
        <f aca="false">IF(BR878=1,0,IFERROR(VLOOKUP(BP878,'Gebinde-Kategorie'!$A$5:$M$45,13,0)+0,0))</f>
        <v>52</v>
      </c>
      <c r="R878" s="61"/>
      <c r="S878" s="62"/>
      <c r="T878" s="62"/>
      <c r="U878" s="55"/>
      <c r="V878" s="57"/>
      <c r="W878" s="57"/>
      <c r="X878" s="55" t="n">
        <f aca="false">IF(A878="","",IF(AND(Parameter!$B$21="Ja",ISNUMBER(U878)),U878,IF(IFERROR(VLOOKUP(D878,Parameter!$A$35:$C$64,2,0),"Nein")="2+3",IF(ISNUMBER(SEARCH("grosser Artikel",BM878)),2,IFERROR(VLOOKUP(BP878,Parameter!$F$35:$G$64,2,0),2)),IF(OR(IFERROR(VLOOKUP(D878,Parameter!$A$35:$C$64,2,0),"Nein")="Nein",IFERROR(VLOOKUP(D878,Parameter!$A$35:$C$64,2,0),"Nein")=""),"-",VLOOKUP(D878,Parameter!$A$35:$C$64,2,0)))))</f>
        <v>3</v>
      </c>
      <c r="Y878" s="62"/>
      <c r="Z878" s="63"/>
      <c r="AA878" s="57" t="n">
        <f aca="false">AP878</f>
        <v>50</v>
      </c>
      <c r="AB878" s="57" t="n">
        <f aca="false">MAX(AP878,G878)</f>
        <v>50</v>
      </c>
      <c r="AC878" s="64"/>
      <c r="AD878" s="57" t="n">
        <f aca="false">IF(LEFT(Cockpit!$C$5,1)="A",G878,IF(BW878=1,BX878,IF(LEFT(Cockpit!$C$5,1)="B",AH878,MAX(AH878,G878))))</f>
        <v>0</v>
      </c>
      <c r="AE878" s="57" t="n">
        <f aca="false">IF(BR878=1,0,ROUNDUP(AD878/BQ878,0))</f>
        <v>0</v>
      </c>
      <c r="AF878" s="59" t="n">
        <f aca="false">IF(CD878&gt;0,CD878*MAX(1,AD878/V878),IF(BR878=1,IF(AD878&lt;=0,0,BS878*MAX(1,IF(G878&gt;0,AD878/G878,1))),IF(Q878&gt;0,AE878/Q878,0))/MAX(0.1,N(Parameter!$M$21)))</f>
        <v>0</v>
      </c>
      <c r="AG878" s="57" t="n">
        <f aca="false">AD878*F878</f>
        <v>0</v>
      </c>
      <c r="AH878" s="57" t="n">
        <f aca="false">ROUNDUP(MAX(I878/IF(BV878&gt;0,BV878,MAX(0.1,N(Cockpit!$C$6))),BY878)/BQ878,0)*BQ878</f>
        <v>50</v>
      </c>
      <c r="AI878" s="58" t="n">
        <f aca="false">IF(AF878&gt;0,I878/AF878,-1)</f>
        <v>-1</v>
      </c>
      <c r="AJ878" s="58" t="str">
        <f aca="false">IF(AND(OR(BU878="L1",BU878="L23"),AF878&gt;0),SUMIFS($AF$7:$AF$1576,$BU$7:$BU$1576,BU878,$AI$7:$AI$1576,"&gt;"&amp;AI878)+SUMIFS($AF$7:$AF$1576,$BU$7:$BU$1576,BU878,$AI$7:$AI$1576,AI878,$BO$7:$BO$1576,"&lt;="&amp;BO878),"")</f>
        <v/>
      </c>
      <c r="AK878" s="65" t="n">
        <f aca="false">IF(AJ878="",0,MAX(0,MIN(1,(IF(BU878="L1",Parameter!$E$5,Parameter!$E$6+Parameter!$E$7)-(AJ878-AF878))/AF878)))</f>
        <v>0</v>
      </c>
      <c r="AL878" s="57" t="n">
        <f aca="false">IF(LEFT(Cockpit!$I$5,1)="A",G878,IF(BW878=1,BX878,IF(LEFT(Cockpit!$I$5,1)="B",AP878,MAX(AP878,G878))))</f>
        <v>50</v>
      </c>
      <c r="AM878" s="57" t="n">
        <f aca="false">IF(BR878=1,0,ROUNDUP(AL878/BQ878,0))</f>
        <v>1</v>
      </c>
      <c r="AN878" s="59" t="n">
        <f aca="false">IF(CD878&gt;0,CD878*MAX(1,AL878/V878),IF(BR878=1,IF(AL878&lt;=0,0,BS878*MAX(1,IF(G878&gt;0,AL878/G878,1))),IF(Q878&gt;0,AM878/Q878,0))/MAX(0.1,N(Parameter!$M$21)))</f>
        <v>0.0192307692307692</v>
      </c>
      <c r="AO878" s="57" t="n">
        <f aca="false">AL878*F878</f>
        <v>42.5</v>
      </c>
      <c r="AP878" s="57" t="n">
        <f aca="false">ROUNDUP(MAX(I878/IF(BV878&gt;0,BV878,MAX(0.1,N(Cockpit!$I$6))),BY878)/BQ878,0)*BQ878</f>
        <v>50</v>
      </c>
      <c r="AQ878" s="58" t="n">
        <f aca="false">IF(AN878&gt;0,I878/AN878,-1)</f>
        <v>0</v>
      </c>
      <c r="AR878" s="58" t="n">
        <f aca="false">IF(AND(OR(BU878="L1",BU878="L23"),AN878&gt;0),SUMIFS($AN$7:$AN$1576,$BU$7:$BU$1576,BU878,$AQ$7:$AQ$1576,"&gt;"&amp;AQ878)+SUMIFS($AN$7:$AN$1576,$BU$7:$BU$1576,BU878,$AQ$7:$AQ$1576,AQ878,$BO$7:$BO$1576,"&lt;="&amp;BO878),"")</f>
        <v>130.960884839845</v>
      </c>
      <c r="AS878" s="65" t="n">
        <f aca="false">IF(AR878="",0,MAX(0,MIN(1,(IF(BU878="L1",Parameter!$E$5,Parameter!$E$6+Parameter!$E$7)-(AR878-AN878))/AN878)))</f>
        <v>0</v>
      </c>
      <c r="AT878" s="57" t="n">
        <f aca="false">IF(LEFT(Cockpit!$O$5,1)="A",G878,IF(BW878=1,BX878,IF(LEFT(Cockpit!$O$5,1)="B",AX878,MAX(AX878,G878))))</f>
        <v>50</v>
      </c>
      <c r="AU878" s="57" t="n">
        <f aca="false">IF(BR878=1,0,ROUNDUP(AT878/BQ878,0))</f>
        <v>1</v>
      </c>
      <c r="AV878" s="59" t="n">
        <f aca="false">IF(CD878&gt;0,CD878*MAX(1,AT878/V878),IF(BR878=1,IF(AT878&lt;=0,0,BS878*MAX(1,IF(G878&gt;0,AT878/G878,1))),IF(Q878&gt;0,AU878/Q878,0))/MAX(0.1,N(Parameter!$M$21)))</f>
        <v>0.0192307692307692</v>
      </c>
      <c r="AW878" s="57" t="n">
        <f aca="false">AT878*F878</f>
        <v>42.5</v>
      </c>
      <c r="AX878" s="57" t="n">
        <f aca="false">ROUNDUP(MAX(I878/IF(BV878&gt;0,BV878,MAX(0.1,N(Cockpit!$O$6))),BY878)/BQ878,0)*BQ878</f>
        <v>50</v>
      </c>
      <c r="AY878" s="58" t="n">
        <f aca="false">IF(AV878&gt;0,I878/AV878,-1)</f>
        <v>0</v>
      </c>
      <c r="AZ878" s="58" t="n">
        <f aca="false">IF(AND(OR(BU878="L1",BU878="L23"),AV878&gt;0),SUMIFS($AV$7:$AV$1576,$BU$7:$BU$1576,BU878,$AY$7:$AY$1576,"&gt;"&amp;AY878)+SUMIFS($AV$7:$AV$1576,$BU$7:$BU$1576,BU878,$AY$7:$AY$1576,AY878,$BO$7:$BO$1576,"&lt;="&amp;BO878),"")</f>
        <v>121.020435289396</v>
      </c>
      <c r="BA878" s="65" t="n">
        <f aca="false">IF(AZ878="",0,MAX(0,MIN(1,(IF(BU878="L1",Parameter!$E$5,Parameter!$E$6+Parameter!$E$7)-(AZ878-AV878))/AV878)))</f>
        <v>0</v>
      </c>
      <c r="BB878" s="55" t="str">
        <f aca="false">IF(AF878&lt;=0,"",IF(BU878="Aussen","Aussenlager",IF(BU878="-","Nicht im Lift",IF(AK878&gt;=1,"Lift",IF(AK878&lt;=0,"Aussenlager","teilweise")))))</f>
        <v/>
      </c>
      <c r="BC878" s="55" t="str">
        <f aca="false">IF(AN878&lt;=0,"",IF(BU878="Aussen","Aussenlager",IF(BU878="-","Nicht im Lift",IF(AS878&gt;=1,"Lift",IF(AS878&lt;=0,"Aussenlager","teilweise")))))</f>
        <v>Aussenlager</v>
      </c>
      <c r="BD878" s="55" t="str">
        <f aca="false">IF(AV878&lt;=0,"",IF(BU878="Aussen","Aussenlager",IF(BU878="-","Nicht im Lift",IF(BA878&gt;=1,"Lift",IF(BA878&lt;=0,"Aussenlager","teilweise")))))</f>
        <v>Aussenlager</v>
      </c>
      <c r="BE878" s="55" t="str">
        <f aca="false">IF(A878="","",IF(BN878=1,"Neu; ","")&amp;IF(AND(BN878=0,BI878&lt;0),"negativer Bestand (Export "&amp;BI878&amp;"); ","")&amp;IF(I878&lt;=0,"Kein Verbrauch; ","")&amp;IF(CD878&gt;0,"Lift "&amp;U878&amp;" lt. Liftbericht (Fach "&amp;V878&amp;" Stk); ",IF(BR878=1,"Lose – Fläche geschätzt; ",""))&amp;IF(G878&gt;AP878,"Überbestand "&amp;ROUND(G878-AP878,0)&amp;" Stk / CHF "&amp;ROUND((G878-AP878)*F878,0)&amp;"; ","")&amp;IF(AND(BW878=1,BX878&lt;BY878),"MAX &lt; MB+LG; ","")&amp;IF(AND(CC878&gt;0,CB878*10&gt;CC878),"zu hoch für Tablar; ","")&amp;IF(AND(BN878=0,OR(BW878=1,Y878&lt;&gt;"",S878&lt;&gt;"",T878&lt;&gt;"",Z878&lt;&gt;"")),"manuell übersteuert; ","")&amp;IF(AND(BR878=0,Q878=0),"Gebinde unbekannt / Stellmass fehlt; ","")&amp;IF(AND(BR878=0,N(T878)&lt;=0,N(P878)&lt;=0),"Menge pro Gebinde fehlt (Ist = 1 Gebinde); ","")&amp;BM878)</f>
        <v>negativer Bestand (Export -35); Kein Verbrauch; Überbestand</v>
      </c>
      <c r="BF878" s="55"/>
      <c r="BG878" s="55"/>
      <c r="BH878" s="62"/>
      <c r="BI878" s="57" t="n">
        <v>-35</v>
      </c>
      <c r="BJ878" s="57" t="n">
        <v>50</v>
      </c>
      <c r="BK878" s="56" t="n">
        <v>-24.75</v>
      </c>
      <c r="BL878" s="57" t="n">
        <v>0</v>
      </c>
      <c r="BM878" s="55" t="s">
        <v>382</v>
      </c>
      <c r="BN878" s="60" t="n">
        <v>0</v>
      </c>
      <c r="BO878" s="60" t="n">
        <v>878</v>
      </c>
      <c r="BP878" s="55" t="str">
        <f aca="false">IF(S878&lt;&gt;"",UPPER(TRIM(S878)),IF(O878="","LOSE",O878))</f>
        <v>S41</v>
      </c>
      <c r="BQ878" s="57" t="n">
        <f aca="false">IF(BP878="LOSE",1,IF(N(T878)&gt;0,T878,IF(N(P878)&gt;0,P878,MAX(1,G878))))</f>
        <v>50</v>
      </c>
      <c r="BR878" s="60" t="n">
        <f aca="false">IF(BP878="LOSE",1,0)</f>
        <v>0</v>
      </c>
      <c r="BS878" s="59" t="n">
        <f aca="false">IF(BR878=0,0,IF(N(R878)&gt;0,R878,IFERROR(VLOOKUP(D878,Parameter!$A$35:$C$64,3,0)+0,0)))</f>
        <v>0</v>
      </c>
      <c r="BT878" s="55" t="n">
        <f aca="false">IF(Y878&lt;&gt;"",Y878,X878)</f>
        <v>3</v>
      </c>
      <c r="BU878" s="55" t="str">
        <f aca="false">IF(BT878=1,"L1",IF(OR(BT878=2,BT878=3),"L23",IF(BT878="Aussen","Aussen","-")))</f>
        <v>L23</v>
      </c>
      <c r="BV878" s="66" t="n">
        <f aca="false">IF(N(Z878)&gt;0,Z878,0)</f>
        <v>0</v>
      </c>
      <c r="BW878" s="60" t="n">
        <f aca="false">IF(ISNUMBER(AC878),1,0)</f>
        <v>0</v>
      </c>
      <c r="BX878" s="57" t="n">
        <f aca="false">N(AC878)</f>
        <v>0</v>
      </c>
      <c r="BY878" s="57" t="n">
        <f aca="false">N(L878)+N(M878)</f>
        <v>1</v>
      </c>
      <c r="BZ878" s="57" t="n">
        <f aca="false">ROUNDUP(G878/BQ878,0)</f>
        <v>0</v>
      </c>
      <c r="CA878" s="57" t="n">
        <f aca="false">ROUNDUP(BX878/BQ878,0)</f>
        <v>0</v>
      </c>
      <c r="CB878" s="60" t="n">
        <f aca="false">IF(BR878=1,0,IFERROR(VLOOKUP(BP878,'Gebinde-Kategorie'!$A$5:$M$45,5,0)+0,0))</f>
        <v>11</v>
      </c>
      <c r="CC878" s="60" t="n">
        <f aca="false">IFERROR(IF(OR(BT878=1,BT878=2,BT878=3),N(INDEX(Parameter!$I$5:$I$7,BT878)),0),0)</f>
        <v>0</v>
      </c>
      <c r="CD878" s="59" t="n">
        <f aca="false">IF(AND(Parameter!$B$21="Ja",ISNUMBER(U878),N(V878)&gt;0),IFERROR(N(INDEX(Parameter!$L$5:$L$7,U878))*INDEX(Parameter!$E$5:$E$7,U878)*V878/SUMIFS($V$7:$V$1576,$U$7:$U$1576,U878),0),0)</f>
        <v>0</v>
      </c>
    </row>
    <row r="879" customFormat="false" ht="15" hidden="false" customHeight="false" outlineLevel="0" collapsed="false">
      <c r="A879" s="55" t="s">
        <v>1650</v>
      </c>
      <c r="B879" s="55" t="s">
        <v>395</v>
      </c>
      <c r="C879" s="55" t="s">
        <v>160</v>
      </c>
      <c r="D879" s="55" t="s">
        <v>178</v>
      </c>
      <c r="E879" s="55" t="s">
        <v>210</v>
      </c>
      <c r="F879" s="56" t="n">
        <v>0.04</v>
      </c>
      <c r="G879" s="57" t="n">
        <f aca="false">MAX(0,IF(AND(Parameter!$B$21="Ja",ISNUMBER(W879)),W879,IF(Parameter!$B$20="Jahresanfang 2025 + Export",BJ879+BI879,BI879)))</f>
        <v>0</v>
      </c>
      <c r="H879" s="57" t="n">
        <f aca="false">G879*F879</f>
        <v>0</v>
      </c>
      <c r="I879" s="57" t="n">
        <f aca="false">BL879*Parameter!$B$18</f>
        <v>356</v>
      </c>
      <c r="J879" s="58" t="n">
        <v>638.5</v>
      </c>
      <c r="K879" s="59" t="n">
        <v>0.557556773688332</v>
      </c>
      <c r="L879" s="57" t="n">
        <v>20</v>
      </c>
      <c r="M879" s="57" t="n">
        <v>355</v>
      </c>
      <c r="N879" s="60" t="n">
        <v>21</v>
      </c>
      <c r="O879" s="55" t="s">
        <v>411</v>
      </c>
      <c r="P879" s="57" t="n">
        <v>1419</v>
      </c>
      <c r="Q879" s="60" t="n">
        <f aca="false">IF(BR879=1,0,IFERROR(VLOOKUP(BP879,'Gebinde-Kategorie'!$A$5:$M$45,13,0)+0,0))</f>
        <v>132</v>
      </c>
      <c r="R879" s="61"/>
      <c r="S879" s="62"/>
      <c r="T879" s="62"/>
      <c r="U879" s="55"/>
      <c r="V879" s="57"/>
      <c r="W879" s="57"/>
      <c r="X879" s="55" t="n">
        <f aca="false">IF(A879="","",IF(AND(Parameter!$B$21="Ja",ISNUMBER(U879)),U879,IF(IFERROR(VLOOKUP(D879,Parameter!$A$35:$C$64,2,0),"Nein")="2+3",IF(ISNUMBER(SEARCH("grosser Artikel",BM879)),2,IFERROR(VLOOKUP(BP879,Parameter!$F$35:$G$64,2,0),2)),IF(OR(IFERROR(VLOOKUP(D879,Parameter!$A$35:$C$64,2,0),"Nein")="Nein",IFERROR(VLOOKUP(D879,Parameter!$A$35:$C$64,2,0),"Nein")=""),"-",VLOOKUP(D879,Parameter!$A$35:$C$64,2,0)))))</f>
        <v>3</v>
      </c>
      <c r="Y879" s="62"/>
      <c r="Z879" s="63"/>
      <c r="AA879" s="57" t="n">
        <f aca="false">AP879</f>
        <v>1419</v>
      </c>
      <c r="AB879" s="57" t="n">
        <f aca="false">MAX(AP879,G879)</f>
        <v>1419</v>
      </c>
      <c r="AC879" s="64"/>
      <c r="AD879" s="57" t="n">
        <f aca="false">IF(LEFT(Cockpit!$C$5,1)="A",G879,IF(BW879=1,BX879,IF(LEFT(Cockpit!$C$5,1)="B",AH879,MAX(AH879,G879))))</f>
        <v>0</v>
      </c>
      <c r="AE879" s="57" t="n">
        <f aca="false">IF(BR879=1,0,ROUNDUP(AD879/BQ879,0))</f>
        <v>0</v>
      </c>
      <c r="AF879" s="59" t="n">
        <f aca="false">IF(CD879&gt;0,CD879*MAX(1,AD879/V879),IF(BR879=1,IF(AD879&lt;=0,0,BS879*MAX(1,IF(G879&gt;0,AD879/G879,1))),IF(Q879&gt;0,AE879/Q879,0))/MAX(0.1,N(Parameter!$M$21)))</f>
        <v>0</v>
      </c>
      <c r="AG879" s="57" t="n">
        <f aca="false">AD879*F879</f>
        <v>0</v>
      </c>
      <c r="AH879" s="57" t="n">
        <f aca="false">ROUNDUP(MAX(I879/IF(BV879&gt;0,BV879,MAX(0.1,N(Cockpit!$C$6))),BY879)/BQ879,0)*BQ879</f>
        <v>1419</v>
      </c>
      <c r="AI879" s="58" t="n">
        <f aca="false">IF(AF879&gt;0,I879/AF879,-1)</f>
        <v>-1</v>
      </c>
      <c r="AJ879" s="58" t="str">
        <f aca="false">IF(AND(OR(BU879="L1",BU879="L23"),AF879&gt;0),SUMIFS($AF$7:$AF$1576,$BU$7:$BU$1576,BU879,$AI$7:$AI$1576,"&gt;"&amp;AI879)+SUMIFS($AF$7:$AF$1576,$BU$7:$BU$1576,BU879,$AI$7:$AI$1576,AI879,$BO$7:$BO$1576,"&lt;="&amp;BO879),"")</f>
        <v/>
      </c>
      <c r="AK879" s="65" t="n">
        <f aca="false">IF(AJ879="",0,MAX(0,MIN(1,(IF(BU879="L1",Parameter!$E$5,Parameter!$E$6+Parameter!$E$7)-(AJ879-AF879))/AF879)))</f>
        <v>0</v>
      </c>
      <c r="AL879" s="57" t="n">
        <f aca="false">IF(LEFT(Cockpit!$I$5,1)="A",G879,IF(BW879=1,BX879,IF(LEFT(Cockpit!$I$5,1)="B",AP879,MAX(AP879,G879))))</f>
        <v>1419</v>
      </c>
      <c r="AM879" s="57" t="n">
        <f aca="false">IF(BR879=1,0,ROUNDUP(AL879/BQ879,0))</f>
        <v>1</v>
      </c>
      <c r="AN879" s="59" t="n">
        <f aca="false">IF(CD879&gt;0,CD879*MAX(1,AL879/V879),IF(BR879=1,IF(AL879&lt;=0,0,BS879*MAX(1,IF(G879&gt;0,AL879/G879,1))),IF(Q879&gt;0,AM879/Q879,0))/MAX(0.1,N(Parameter!$M$21)))</f>
        <v>0.00757575757575758</v>
      </c>
      <c r="AO879" s="57" t="n">
        <f aca="false">AL879*F879</f>
        <v>56.76</v>
      </c>
      <c r="AP879" s="57" t="n">
        <f aca="false">ROUNDUP(MAX(I879/IF(BV879&gt;0,BV879,MAX(0.1,N(Cockpit!$I$6))),BY879)/BQ879,0)*BQ879</f>
        <v>1419</v>
      </c>
      <c r="AQ879" s="58" t="n">
        <f aca="false">IF(AN879&gt;0,I879/AN879,-1)</f>
        <v>46992</v>
      </c>
      <c r="AR879" s="58" t="n">
        <f aca="false">IF(AND(OR(BU879="L1",BU879="L23"),AN879&gt;0),SUMIFS($AN$7:$AN$1576,$BU$7:$BU$1576,BU879,$AQ$7:$AQ$1576,"&gt;"&amp;AQ879)+SUMIFS($AN$7:$AN$1576,$BU$7:$BU$1576,BU879,$AQ$7:$AQ$1576,AQ879,$BO$7:$BO$1576,"&lt;="&amp;BO879),"")</f>
        <v>1.36436877132529</v>
      </c>
      <c r="AS879" s="65" t="n">
        <f aca="false">IF(AR879="",0,MAX(0,MIN(1,(IF(BU879="L1",Parameter!$E$5,Parameter!$E$6+Parameter!$E$7)-(AR879-AN879))/AN879)))</f>
        <v>1</v>
      </c>
      <c r="AT879" s="57" t="n">
        <f aca="false">IF(LEFT(Cockpit!$O$5,1)="A",G879,IF(BW879=1,BX879,IF(LEFT(Cockpit!$O$5,1)="B",AX879,MAX(AX879,G879))))</f>
        <v>1419</v>
      </c>
      <c r="AU879" s="57" t="n">
        <f aca="false">IF(BR879=1,0,ROUNDUP(AT879/BQ879,0))</f>
        <v>1</v>
      </c>
      <c r="AV879" s="59" t="n">
        <f aca="false">IF(CD879&gt;0,CD879*MAX(1,AT879/V879),IF(BR879=1,IF(AT879&lt;=0,0,BS879*MAX(1,IF(G879&gt;0,AT879/G879,1))),IF(Q879&gt;0,AU879/Q879,0))/MAX(0.1,N(Parameter!$M$21)))</f>
        <v>0.00757575757575758</v>
      </c>
      <c r="AW879" s="57" t="n">
        <f aca="false">AT879*F879</f>
        <v>56.76</v>
      </c>
      <c r="AX879" s="57" t="n">
        <f aca="false">ROUNDUP(MAX(I879/IF(BV879&gt;0,BV879,MAX(0.1,N(Cockpit!$O$6))),BY879)/BQ879,0)*BQ879</f>
        <v>1419</v>
      </c>
      <c r="AY879" s="58" t="n">
        <f aca="false">IF(AV879&gt;0,I879/AV879,-1)</f>
        <v>46992</v>
      </c>
      <c r="AZ879" s="58" t="n">
        <f aca="false">IF(AND(OR(BU879="L1",BU879="L23"),AV879&gt;0),SUMIFS($AV$7:$AV$1576,$BU$7:$BU$1576,BU879,$AY$7:$AY$1576,"&gt;"&amp;AY879)+SUMIFS($AV$7:$AV$1576,$BU$7:$BU$1576,BU879,$AY$7:$AY$1576,AY879,$BO$7:$BO$1576,"&lt;="&amp;BO879),"")</f>
        <v>1.69362285057937</v>
      </c>
      <c r="BA879" s="65" t="n">
        <f aca="false">IF(AZ879="",0,MAX(0,MIN(1,(IF(BU879="L1",Parameter!$E$5,Parameter!$E$6+Parameter!$E$7)-(AZ879-AV879))/AV879)))</f>
        <v>1</v>
      </c>
      <c r="BB879" s="55" t="str">
        <f aca="false">IF(AF879&lt;=0,"",IF(BU879="Aussen","Aussenlager",IF(BU879="-","Nicht im Lift",IF(AK879&gt;=1,"Lift",IF(AK879&lt;=0,"Aussenlager","teilweise")))))</f>
        <v/>
      </c>
      <c r="BC879" s="55" t="str">
        <f aca="false">IF(AN879&lt;=0,"",IF(BU879="Aussen","Aussenlager",IF(BU879="-","Nicht im Lift",IF(AS879&gt;=1,"Lift",IF(AS879&lt;=0,"Aussenlager","teilweise")))))</f>
        <v>Lift</v>
      </c>
      <c r="BD879" s="55" t="str">
        <f aca="false">IF(AV879&lt;=0,"",IF(BU879="Aussen","Aussenlager",IF(BU879="-","Nicht im Lift",IF(BA879&gt;=1,"Lift",IF(BA879&lt;=0,"Aussenlager","teilweise")))))</f>
        <v>Lift</v>
      </c>
      <c r="BE879" s="55" t="str">
        <f aca="false">IF(A879="","",IF(BN879=1,"Neu; ","")&amp;IF(AND(BN879=0,BI879&lt;0),"negativer Bestand (Export "&amp;BI879&amp;"); ","")&amp;IF(I879&lt;=0,"Kein Verbrauch; ","")&amp;IF(CD879&gt;0,"Lift "&amp;U879&amp;" lt. Liftbericht (Fach "&amp;V879&amp;" Stk); ",IF(BR879=1,"Lose – Fläche geschätzt; ",""))&amp;IF(G879&gt;AP879,"Überbestand "&amp;ROUND(G879-AP879,0)&amp;" Stk / CHF "&amp;ROUND((G879-AP879)*F879,0)&amp;"; ","")&amp;IF(AND(BW879=1,BX879&lt;BY879),"MAX &lt; MB+LG; ","")&amp;IF(AND(CC879&gt;0,CB879*10&gt;CC879),"zu hoch für Tablar; ","")&amp;IF(AND(BN879=0,OR(BW879=1,Y879&lt;&gt;"",S879&lt;&gt;"",T879&lt;&gt;"",Z879&lt;&gt;"")),"manuell übersteuert; ","")&amp;IF(AND(BR879=0,Q879=0),"Gebinde unbekannt / Stellmass fehlt; ","")&amp;IF(AND(BR879=0,N(T879)&lt;=0,N(P879)&lt;=0),"Menge pro Gebinde fehlt (Ist = 1 Gebinde); ","")&amp;BM879)</f>
        <v>negativer Bestand (Export -657); </v>
      </c>
      <c r="BF879" s="55"/>
      <c r="BG879" s="55"/>
      <c r="BH879" s="62"/>
      <c r="BI879" s="57" t="n">
        <v>-657</v>
      </c>
      <c r="BJ879" s="57" t="n">
        <v>1076</v>
      </c>
      <c r="BK879" s="56" t="n">
        <v>-26.28</v>
      </c>
      <c r="BL879" s="57" t="n">
        <v>356</v>
      </c>
      <c r="BM879" s="55"/>
      <c r="BN879" s="60" t="n">
        <v>0</v>
      </c>
      <c r="BO879" s="60" t="n">
        <v>879</v>
      </c>
      <c r="BP879" s="55" t="str">
        <f aca="false">IF(S879&lt;&gt;"",UPPER(TRIM(S879)),IF(O879="","LOSE",O879))</f>
        <v>S32</v>
      </c>
      <c r="BQ879" s="57" t="n">
        <f aca="false">IF(BP879="LOSE",1,IF(N(T879)&gt;0,T879,IF(N(P879)&gt;0,P879,MAX(1,G879))))</f>
        <v>1419</v>
      </c>
      <c r="BR879" s="60" t="n">
        <f aca="false">IF(BP879="LOSE",1,0)</f>
        <v>0</v>
      </c>
      <c r="BS879" s="59" t="n">
        <f aca="false">IF(BR879=0,0,IF(N(R879)&gt;0,R879,IFERROR(VLOOKUP(D879,Parameter!$A$35:$C$64,3,0)+0,0)))</f>
        <v>0</v>
      </c>
      <c r="BT879" s="55" t="n">
        <f aca="false">IF(Y879&lt;&gt;"",Y879,X879)</f>
        <v>3</v>
      </c>
      <c r="BU879" s="55" t="str">
        <f aca="false">IF(BT879=1,"L1",IF(OR(BT879=2,BT879=3),"L23",IF(BT879="Aussen","Aussen","-")))</f>
        <v>L23</v>
      </c>
      <c r="BV879" s="66" t="n">
        <f aca="false">IF(N(Z879)&gt;0,Z879,0)</f>
        <v>0</v>
      </c>
      <c r="BW879" s="60" t="n">
        <f aca="false">IF(ISNUMBER(AC879),1,0)</f>
        <v>0</v>
      </c>
      <c r="BX879" s="57" t="n">
        <f aca="false">N(AC879)</f>
        <v>0</v>
      </c>
      <c r="BY879" s="57" t="n">
        <f aca="false">N(L879)+N(M879)</f>
        <v>375</v>
      </c>
      <c r="BZ879" s="57" t="n">
        <f aca="false">ROUNDUP(G879/BQ879,0)</f>
        <v>0</v>
      </c>
      <c r="CA879" s="57" t="n">
        <f aca="false">ROUNDUP(BX879/BQ879,0)</f>
        <v>0</v>
      </c>
      <c r="CB879" s="60" t="n">
        <f aca="false">IF(BR879=1,0,IFERROR(VLOOKUP(BP879,'Gebinde-Kategorie'!$A$5:$M$45,5,0)+0,0))</f>
        <v>8</v>
      </c>
      <c r="CC879" s="60" t="n">
        <f aca="false">IFERROR(IF(OR(BT879=1,BT879=2,BT879=3),N(INDEX(Parameter!$I$5:$I$7,BT879)),0),0)</f>
        <v>0</v>
      </c>
      <c r="CD879" s="59" t="n">
        <f aca="false">IF(AND(Parameter!$B$21="Ja",ISNUMBER(U879),N(V879)&gt;0),IFERROR(N(INDEX(Parameter!$L$5:$L$7,U879))*INDEX(Parameter!$E$5:$E$7,U879)*V879/SUMIFS($V$7:$V$1576,$U$7:$U$1576,U879),0),0)</f>
        <v>0</v>
      </c>
    </row>
    <row r="880" customFormat="false" ht="15" hidden="false" customHeight="false" outlineLevel="0" collapsed="false">
      <c r="A880" s="55" t="s">
        <v>1651</v>
      </c>
      <c r="B880" s="55" t="s">
        <v>1652</v>
      </c>
      <c r="C880" s="55" t="s">
        <v>160</v>
      </c>
      <c r="D880" s="55" t="s">
        <v>178</v>
      </c>
      <c r="E880" s="55" t="s">
        <v>210</v>
      </c>
      <c r="F880" s="56" t="n">
        <v>3.68</v>
      </c>
      <c r="G880" s="57" t="n">
        <f aca="false">MAX(0,IF(AND(Parameter!$B$21="Ja",ISNUMBER(W880)),W880,IF(Parameter!$B$20="Jahresanfang 2025 + Export",BJ880+BI880,BI880)))</f>
        <v>0</v>
      </c>
      <c r="H880" s="57" t="n">
        <f aca="false">G880*F880</f>
        <v>0</v>
      </c>
      <c r="I880" s="57" t="n">
        <f aca="false">BL880*Parameter!$B$18</f>
        <v>74</v>
      </c>
      <c r="J880" s="58" t="n">
        <v>50</v>
      </c>
      <c r="K880" s="59" t="n">
        <v>1.48</v>
      </c>
      <c r="L880" s="57" t="n">
        <v>4</v>
      </c>
      <c r="M880" s="57" t="n">
        <v>50</v>
      </c>
      <c r="N880" s="60" t="n">
        <v>30</v>
      </c>
      <c r="O880" s="55" t="s">
        <v>293</v>
      </c>
      <c r="P880" s="57" t="n">
        <v>30</v>
      </c>
      <c r="Q880" s="60" t="n">
        <f aca="false">IF(BR880=1,0,IFERROR(VLOOKUP(BP880,'Gebinde-Kategorie'!$A$5:$M$45,13,0)+0,0))</f>
        <v>26</v>
      </c>
      <c r="R880" s="61"/>
      <c r="S880" s="62"/>
      <c r="T880" s="62"/>
      <c r="U880" s="55"/>
      <c r="V880" s="57"/>
      <c r="W880" s="57"/>
      <c r="X880" s="55" t="n">
        <f aca="false">IF(A880="","",IF(AND(Parameter!$B$21="Ja",ISNUMBER(U880)),U880,IF(IFERROR(VLOOKUP(D880,Parameter!$A$35:$C$64,2,0),"Nein")="2+3",IF(ISNUMBER(SEARCH("grosser Artikel",BM880)),2,IFERROR(VLOOKUP(BP880,Parameter!$F$35:$G$64,2,0),2)),IF(OR(IFERROR(VLOOKUP(D880,Parameter!$A$35:$C$64,2,0),"Nein")="Nein",IFERROR(VLOOKUP(D880,Parameter!$A$35:$C$64,2,0),"Nein")=""),"-",VLOOKUP(D880,Parameter!$A$35:$C$64,2,0)))))</f>
        <v>3</v>
      </c>
      <c r="Y880" s="62"/>
      <c r="Z880" s="63"/>
      <c r="AA880" s="57" t="n">
        <f aca="false">AP880</f>
        <v>60</v>
      </c>
      <c r="AB880" s="57" t="n">
        <f aca="false">MAX(AP880,G880)</f>
        <v>60</v>
      </c>
      <c r="AC880" s="64"/>
      <c r="AD880" s="57" t="n">
        <f aca="false">IF(LEFT(Cockpit!$C$5,1)="A",G880,IF(BW880=1,BX880,IF(LEFT(Cockpit!$C$5,1)="B",AH880,MAX(AH880,G880))))</f>
        <v>0</v>
      </c>
      <c r="AE880" s="57" t="n">
        <f aca="false">IF(BR880=1,0,ROUNDUP(AD880/BQ880,0))</f>
        <v>0</v>
      </c>
      <c r="AF880" s="59" t="n">
        <f aca="false">IF(CD880&gt;0,CD880*MAX(1,AD880/V880),IF(BR880=1,IF(AD880&lt;=0,0,BS880*MAX(1,IF(G880&gt;0,AD880/G880,1))),IF(Q880&gt;0,AE880/Q880,0))/MAX(0.1,N(Parameter!$M$21)))</f>
        <v>0</v>
      </c>
      <c r="AG880" s="57" t="n">
        <f aca="false">AD880*F880</f>
        <v>0</v>
      </c>
      <c r="AH880" s="57" t="n">
        <f aca="false">ROUNDUP(MAX(I880/IF(BV880&gt;0,BV880,MAX(0.1,N(Cockpit!$C$6))),BY880)/BQ880,0)*BQ880</f>
        <v>60</v>
      </c>
      <c r="AI880" s="58" t="n">
        <f aca="false">IF(AF880&gt;0,I880/AF880,-1)</f>
        <v>-1</v>
      </c>
      <c r="AJ880" s="58" t="str">
        <f aca="false">IF(AND(OR(BU880="L1",BU880="L23"),AF880&gt;0),SUMIFS($AF$7:$AF$1576,$BU$7:$BU$1576,BU880,$AI$7:$AI$1576,"&gt;"&amp;AI880)+SUMIFS($AF$7:$AF$1576,$BU$7:$BU$1576,BU880,$AI$7:$AI$1576,AI880,$BO$7:$BO$1576,"&lt;="&amp;BO880),"")</f>
        <v/>
      </c>
      <c r="AK880" s="65" t="n">
        <f aca="false">IF(AJ880="",0,MAX(0,MIN(1,(IF(BU880="L1",Parameter!$E$5,Parameter!$E$6+Parameter!$E$7)-(AJ880-AF880))/AF880)))</f>
        <v>0</v>
      </c>
      <c r="AL880" s="57" t="n">
        <f aca="false">IF(LEFT(Cockpit!$I$5,1)="A",G880,IF(BW880=1,BX880,IF(LEFT(Cockpit!$I$5,1)="B",AP880,MAX(AP880,G880))))</f>
        <v>60</v>
      </c>
      <c r="AM880" s="57" t="n">
        <f aca="false">IF(BR880=1,0,ROUNDUP(AL880/BQ880,0))</f>
        <v>2</v>
      </c>
      <c r="AN880" s="59" t="n">
        <f aca="false">IF(CD880&gt;0,CD880*MAX(1,AL880/V880),IF(BR880=1,IF(AL880&lt;=0,0,BS880*MAX(1,IF(G880&gt;0,AL880/G880,1))),IF(Q880&gt;0,AM880/Q880,0))/MAX(0.1,N(Parameter!$M$21)))</f>
        <v>0.0769230769230769</v>
      </c>
      <c r="AO880" s="57" t="n">
        <f aca="false">AL880*F880</f>
        <v>220.8</v>
      </c>
      <c r="AP880" s="57" t="n">
        <f aca="false">ROUNDUP(MAX(I880/IF(BV880&gt;0,BV880,MAX(0.1,N(Cockpit!$I$6))),BY880)/BQ880,0)*BQ880</f>
        <v>60</v>
      </c>
      <c r="AQ880" s="58" t="n">
        <f aca="false">IF(AN880&gt;0,I880/AN880,-1)</f>
        <v>962</v>
      </c>
      <c r="AR880" s="58" t="n">
        <f aca="false">IF(AND(OR(BU880="L1",BU880="L23"),AN880&gt;0),SUMIFS($AN$7:$AN$1576,$BU$7:$BU$1576,BU880,$AQ$7:$AQ$1576,"&gt;"&amp;AQ880)+SUMIFS($AN$7:$AN$1576,$BU$7:$BU$1576,BU880,$AQ$7:$AQ$1576,AQ880,$BO$7:$BO$1576,"&lt;="&amp;BO880),"")</f>
        <v>23.2865642694015</v>
      </c>
      <c r="AS880" s="65" t="n">
        <f aca="false">IF(AR880="",0,MAX(0,MIN(1,(IF(BU880="L1",Parameter!$E$5,Parameter!$E$6+Parameter!$E$7)-(AR880-AN880))/AN880)))</f>
        <v>1</v>
      </c>
      <c r="AT880" s="57" t="n">
        <f aca="false">IF(LEFT(Cockpit!$O$5,1)="A",G880,IF(BW880=1,BX880,IF(LEFT(Cockpit!$O$5,1)="B",AX880,MAX(AX880,G880))))</f>
        <v>60</v>
      </c>
      <c r="AU880" s="57" t="n">
        <f aca="false">IF(BR880=1,0,ROUNDUP(AT880/BQ880,0))</f>
        <v>2</v>
      </c>
      <c r="AV880" s="59" t="n">
        <f aca="false">IF(CD880&gt;0,CD880*MAX(1,AT880/V880),IF(BR880=1,IF(AT880&lt;=0,0,BS880*MAX(1,IF(G880&gt;0,AT880/G880,1))),IF(Q880&gt;0,AU880/Q880,0))/MAX(0.1,N(Parameter!$M$21)))</f>
        <v>0.0769230769230769</v>
      </c>
      <c r="AW880" s="57" t="n">
        <f aca="false">AT880*F880</f>
        <v>220.8</v>
      </c>
      <c r="AX880" s="57" t="n">
        <f aca="false">ROUNDUP(MAX(I880/IF(BV880&gt;0,BV880,MAX(0.1,N(Cockpit!$O$6))),BY880)/BQ880,0)*BQ880</f>
        <v>60</v>
      </c>
      <c r="AY880" s="58" t="n">
        <f aca="false">IF(AV880&gt;0,I880/AV880,-1)</f>
        <v>962</v>
      </c>
      <c r="AZ880" s="58" t="n">
        <f aca="false">IF(AND(OR(BU880="L1",BU880="L23"),AV880&gt;0),SUMIFS($AV$7:$AV$1576,$BU$7:$BU$1576,BU880,$AY$7:$AY$1576,"&gt;"&amp;AY880)+SUMIFS($AV$7:$AV$1576,$BU$7:$BU$1576,BU880,$AY$7:$AY$1576,AY880,$BO$7:$BO$1576,"&lt;="&amp;BO880),"")</f>
        <v>22.3535805864178</v>
      </c>
      <c r="BA880" s="65" t="n">
        <f aca="false">IF(AZ880="",0,MAX(0,MIN(1,(IF(BU880="L1",Parameter!$E$5,Parameter!$E$6+Parameter!$E$7)-(AZ880-AV880))/AV880)))</f>
        <v>1</v>
      </c>
      <c r="BB880" s="55" t="str">
        <f aca="false">IF(AF880&lt;=0,"",IF(BU880="Aussen","Aussenlager",IF(BU880="-","Nicht im Lift",IF(AK880&gt;=1,"Lift",IF(AK880&lt;=0,"Aussenlager","teilweise")))))</f>
        <v/>
      </c>
      <c r="BC880" s="55" t="str">
        <f aca="false">IF(AN880&lt;=0,"",IF(BU880="Aussen","Aussenlager",IF(BU880="-","Nicht im Lift",IF(AS880&gt;=1,"Lift",IF(AS880&lt;=0,"Aussenlager","teilweise")))))</f>
        <v>Lift</v>
      </c>
      <c r="BD880" s="55" t="str">
        <f aca="false">IF(AV880&lt;=0,"",IF(BU880="Aussen","Aussenlager",IF(BU880="-","Nicht im Lift",IF(BA880&gt;=1,"Lift",IF(BA880&lt;=0,"Aussenlager","teilweise")))))</f>
        <v>Lift</v>
      </c>
      <c r="BE880" s="55" t="str">
        <f aca="false">IF(A880="","",IF(BN880=1,"Neu; ","")&amp;IF(AND(BN880=0,BI880&lt;0),"negativer Bestand (Export "&amp;BI880&amp;"); ","")&amp;IF(I880&lt;=0,"Kein Verbrauch; ","")&amp;IF(CD880&gt;0,"Lift "&amp;U880&amp;" lt. Liftbericht (Fach "&amp;V880&amp;" Stk); ",IF(BR880=1,"Lose – Fläche geschätzt; ",""))&amp;IF(G880&gt;AP880,"Überbestand "&amp;ROUND(G880-AP880,0)&amp;" Stk / CHF "&amp;ROUND((G880-AP880)*F880,0)&amp;"; ","")&amp;IF(AND(BW880=1,BX880&lt;BY880),"MAX &lt; MB+LG; ","")&amp;IF(AND(CC880&gt;0,CB880*10&gt;CC880),"zu hoch für Tablar; ","")&amp;IF(AND(BN880=0,OR(BW880=1,Y880&lt;&gt;"",S880&lt;&gt;"",T880&lt;&gt;"",Z880&lt;&gt;"")),"manuell übersteuert; ","")&amp;IF(AND(BR880=0,Q880=0),"Gebinde unbekannt / Stellmass fehlt; ","")&amp;IF(AND(BR880=0,N(T880)&lt;=0,N(P880)&lt;=0),"Menge pro Gebinde fehlt (Ist = 1 Gebinde); ","")&amp;BM880)</f>
        <v>negativer Bestand (Export -8); </v>
      </c>
      <c r="BF880" s="55"/>
      <c r="BG880" s="55"/>
      <c r="BH880" s="62"/>
      <c r="BI880" s="57" t="n">
        <v>-8</v>
      </c>
      <c r="BJ880" s="57" t="n">
        <v>37</v>
      </c>
      <c r="BK880" s="56" t="n">
        <v>-26.85</v>
      </c>
      <c r="BL880" s="57" t="n">
        <v>74</v>
      </c>
      <c r="BM880" s="55"/>
      <c r="BN880" s="60" t="n">
        <v>0</v>
      </c>
      <c r="BO880" s="60" t="n">
        <v>880</v>
      </c>
      <c r="BP880" s="55" t="str">
        <f aca="false">IF(S880&lt;&gt;"",UPPER(TRIM(S880)),IF(O880="","LOSE",O880))</f>
        <v>S51</v>
      </c>
      <c r="BQ880" s="57" t="n">
        <f aca="false">IF(BP880="LOSE",1,IF(N(T880)&gt;0,T880,IF(N(P880)&gt;0,P880,MAX(1,G880))))</f>
        <v>30</v>
      </c>
      <c r="BR880" s="60" t="n">
        <f aca="false">IF(BP880="LOSE",1,0)</f>
        <v>0</v>
      </c>
      <c r="BS880" s="59" t="n">
        <f aca="false">IF(BR880=0,0,IF(N(R880)&gt;0,R880,IFERROR(VLOOKUP(D880,Parameter!$A$35:$C$64,3,0)+0,0)))</f>
        <v>0</v>
      </c>
      <c r="BT880" s="55" t="n">
        <f aca="false">IF(Y880&lt;&gt;"",Y880,X880)</f>
        <v>3</v>
      </c>
      <c r="BU880" s="55" t="str">
        <f aca="false">IF(BT880=1,"L1",IF(OR(BT880=2,BT880=3),"L23",IF(BT880="Aussen","Aussen","-")))</f>
        <v>L23</v>
      </c>
      <c r="BV880" s="66" t="n">
        <f aca="false">IF(N(Z880)&gt;0,Z880,0)</f>
        <v>0</v>
      </c>
      <c r="BW880" s="60" t="n">
        <f aca="false">IF(ISNUMBER(AC880),1,0)</f>
        <v>0</v>
      </c>
      <c r="BX880" s="57" t="n">
        <f aca="false">N(AC880)</f>
        <v>0</v>
      </c>
      <c r="BY880" s="57" t="n">
        <f aca="false">N(L880)+N(M880)</f>
        <v>54</v>
      </c>
      <c r="BZ880" s="57" t="n">
        <f aca="false">ROUNDUP(G880/BQ880,0)</f>
        <v>0</v>
      </c>
      <c r="CA880" s="57" t="n">
        <f aca="false">ROUNDUP(BX880/BQ880,0)</f>
        <v>0</v>
      </c>
      <c r="CB880" s="60" t="n">
        <f aca="false">IF(BR880=1,0,IFERROR(VLOOKUP(BP880,'Gebinde-Kategorie'!$A$5:$M$45,5,0)+0,0))</f>
        <v>11</v>
      </c>
      <c r="CC880" s="60" t="n">
        <f aca="false">IFERROR(IF(OR(BT880=1,BT880=2,BT880=3),N(INDEX(Parameter!$I$5:$I$7,BT880)),0),0)</f>
        <v>0</v>
      </c>
      <c r="CD880" s="59" t="n">
        <f aca="false">IF(AND(Parameter!$B$21="Ja",ISNUMBER(U880),N(V880)&gt;0),IFERROR(N(INDEX(Parameter!$L$5:$L$7,U880))*INDEX(Parameter!$E$5:$E$7,U880)*V880/SUMIFS($V$7:$V$1576,$U$7:$U$1576,U880),0),0)</f>
        <v>0</v>
      </c>
    </row>
    <row r="881" customFormat="false" ht="15" hidden="false" customHeight="false" outlineLevel="0" collapsed="false">
      <c r="A881" s="55" t="s">
        <v>1653</v>
      </c>
      <c r="B881" s="55" t="s">
        <v>1654</v>
      </c>
      <c r="C881" s="55" t="s">
        <v>160</v>
      </c>
      <c r="D881" s="55" t="s">
        <v>178</v>
      </c>
      <c r="E881" s="55" t="s">
        <v>210</v>
      </c>
      <c r="F881" s="56" t="n">
        <v>0.18</v>
      </c>
      <c r="G881" s="57" t="n">
        <f aca="false">MAX(0,IF(AND(Parameter!$B$21="Ja",ISNUMBER(W881)),W881,IF(Parameter!$B$20="Jahresanfang 2025 + Export",BJ881+BI881,BI881)))</f>
        <v>0</v>
      </c>
      <c r="H881" s="57" t="n">
        <f aca="false">G881*F881</f>
        <v>0</v>
      </c>
      <c r="I881" s="57" t="n">
        <f aca="false">BL881*Parameter!$B$18</f>
        <v>300</v>
      </c>
      <c r="J881" s="58" t="n">
        <v>675</v>
      </c>
      <c r="K881" s="59" t="n">
        <v>0.444444444444444</v>
      </c>
      <c r="L881" s="57" t="n">
        <v>17</v>
      </c>
      <c r="M881" s="57" t="n">
        <v>1000</v>
      </c>
      <c r="N881" s="60" t="n">
        <v>21</v>
      </c>
      <c r="O881" s="55" t="s">
        <v>179</v>
      </c>
      <c r="P881" s="57" t="n">
        <v>850</v>
      </c>
      <c r="Q881" s="60" t="n">
        <f aca="false">IF(BR881=1,0,IFERROR(VLOOKUP(BP881,'Gebinde-Kategorie'!$A$5:$M$45,13,0)+0,0))</f>
        <v>12</v>
      </c>
      <c r="R881" s="61"/>
      <c r="S881" s="62"/>
      <c r="T881" s="62"/>
      <c r="U881" s="55"/>
      <c r="V881" s="57"/>
      <c r="W881" s="57"/>
      <c r="X881" s="55" t="n">
        <f aca="false">IF(A881="","",IF(AND(Parameter!$B$21="Ja",ISNUMBER(U881)),U881,IF(IFERROR(VLOOKUP(D881,Parameter!$A$35:$C$64,2,0),"Nein")="2+3",IF(ISNUMBER(SEARCH("grosser Artikel",BM881)),2,IFERROR(VLOOKUP(BP881,Parameter!$F$35:$G$64,2,0),2)),IF(OR(IFERROR(VLOOKUP(D881,Parameter!$A$35:$C$64,2,0),"Nein")="Nein",IFERROR(VLOOKUP(D881,Parameter!$A$35:$C$64,2,0),"Nein")=""),"-",VLOOKUP(D881,Parameter!$A$35:$C$64,2,0)))))</f>
        <v>2</v>
      </c>
      <c r="Y881" s="62"/>
      <c r="Z881" s="63"/>
      <c r="AA881" s="57" t="n">
        <f aca="false">AP881</f>
        <v>1700</v>
      </c>
      <c r="AB881" s="57" t="n">
        <f aca="false">MAX(AP881,G881)</f>
        <v>1700</v>
      </c>
      <c r="AC881" s="64"/>
      <c r="AD881" s="57" t="n">
        <f aca="false">IF(LEFT(Cockpit!$C$5,1)="A",G881,IF(BW881=1,BX881,IF(LEFT(Cockpit!$C$5,1)="B",AH881,MAX(AH881,G881))))</f>
        <v>0</v>
      </c>
      <c r="AE881" s="57" t="n">
        <f aca="false">IF(BR881=1,0,ROUNDUP(AD881/BQ881,0))</f>
        <v>0</v>
      </c>
      <c r="AF881" s="59" t="n">
        <f aca="false">IF(CD881&gt;0,CD881*MAX(1,AD881/V881),IF(BR881=1,IF(AD881&lt;=0,0,BS881*MAX(1,IF(G881&gt;0,AD881/G881,1))),IF(Q881&gt;0,AE881/Q881,0))/MAX(0.1,N(Parameter!$M$21)))</f>
        <v>0</v>
      </c>
      <c r="AG881" s="57" t="n">
        <f aca="false">AD881*F881</f>
        <v>0</v>
      </c>
      <c r="AH881" s="57" t="n">
        <f aca="false">ROUNDUP(MAX(I881/IF(BV881&gt;0,BV881,MAX(0.1,N(Cockpit!$C$6))),BY881)/BQ881,0)*BQ881</f>
        <v>1700</v>
      </c>
      <c r="AI881" s="58" t="n">
        <f aca="false">IF(AF881&gt;0,I881/AF881,-1)</f>
        <v>-1</v>
      </c>
      <c r="AJ881" s="58" t="str">
        <f aca="false">IF(AND(OR(BU881="L1",BU881="L23"),AF881&gt;0),SUMIFS($AF$7:$AF$1576,$BU$7:$BU$1576,BU881,$AI$7:$AI$1576,"&gt;"&amp;AI881)+SUMIFS($AF$7:$AF$1576,$BU$7:$BU$1576,BU881,$AI$7:$AI$1576,AI881,$BO$7:$BO$1576,"&lt;="&amp;BO881),"")</f>
        <v/>
      </c>
      <c r="AK881" s="65" t="n">
        <f aca="false">IF(AJ881="",0,MAX(0,MIN(1,(IF(BU881="L1",Parameter!$E$5,Parameter!$E$6+Parameter!$E$7)-(AJ881-AF881))/AF881)))</f>
        <v>0</v>
      </c>
      <c r="AL881" s="57" t="n">
        <f aca="false">IF(LEFT(Cockpit!$I$5,1)="A",G881,IF(BW881=1,BX881,IF(LEFT(Cockpit!$I$5,1)="B",AP881,MAX(AP881,G881))))</f>
        <v>1700</v>
      </c>
      <c r="AM881" s="57" t="n">
        <f aca="false">IF(BR881=1,0,ROUNDUP(AL881/BQ881,0))</f>
        <v>2</v>
      </c>
      <c r="AN881" s="59" t="n">
        <f aca="false">IF(CD881&gt;0,CD881*MAX(1,AL881/V881),IF(BR881=1,IF(AL881&lt;=0,0,BS881*MAX(1,IF(G881&gt;0,AL881/G881,1))),IF(Q881&gt;0,AM881/Q881,0))/MAX(0.1,N(Parameter!$M$21)))</f>
        <v>0.166666666666667</v>
      </c>
      <c r="AO881" s="57" t="n">
        <f aca="false">AL881*F881</f>
        <v>306</v>
      </c>
      <c r="AP881" s="57" t="n">
        <f aca="false">ROUNDUP(MAX(I881/IF(BV881&gt;0,BV881,MAX(0.1,N(Cockpit!$I$6))),BY881)/BQ881,0)*BQ881</f>
        <v>1700</v>
      </c>
      <c r="AQ881" s="58" t="n">
        <f aca="false">IF(AN881&gt;0,I881/AN881,-1)</f>
        <v>1800</v>
      </c>
      <c r="AR881" s="58" t="n">
        <f aca="false">IF(AND(OR(BU881="L1",BU881="L23"),AN881&gt;0),SUMIFS($AN$7:$AN$1576,$BU$7:$BU$1576,BU881,$AQ$7:$AQ$1576,"&gt;"&amp;AQ881)+SUMIFS($AN$7:$AN$1576,$BU$7:$BU$1576,BU881,$AQ$7:$AQ$1576,AQ881,$BO$7:$BO$1576,"&lt;="&amp;BO881),"")</f>
        <v>18.0531302637936</v>
      </c>
      <c r="AS881" s="65" t="n">
        <f aca="false">IF(AR881="",0,MAX(0,MIN(1,(IF(BU881="L1",Parameter!$E$5,Parameter!$E$6+Parameter!$E$7)-(AR881-AN881))/AN881)))</f>
        <v>1</v>
      </c>
      <c r="AT881" s="57" t="n">
        <f aca="false">IF(LEFT(Cockpit!$O$5,1)="A",G881,IF(BW881=1,BX881,IF(LEFT(Cockpit!$O$5,1)="B",AX881,MAX(AX881,G881))))</f>
        <v>1700</v>
      </c>
      <c r="AU881" s="57" t="n">
        <f aca="false">IF(BR881=1,0,ROUNDUP(AT881/BQ881,0))</f>
        <v>2</v>
      </c>
      <c r="AV881" s="59" t="n">
        <f aca="false">IF(CD881&gt;0,CD881*MAX(1,AT881/V881),IF(BR881=1,IF(AT881&lt;=0,0,BS881*MAX(1,IF(G881&gt;0,AT881/G881,1))),IF(Q881&gt;0,AU881/Q881,0))/MAX(0.1,N(Parameter!$M$21)))</f>
        <v>0.166666666666667</v>
      </c>
      <c r="AW881" s="57" t="n">
        <f aca="false">AT881*F881</f>
        <v>306</v>
      </c>
      <c r="AX881" s="57" t="n">
        <f aca="false">ROUNDUP(MAX(I881/IF(BV881&gt;0,BV881,MAX(0.1,N(Cockpit!$O$6))),BY881)/BQ881,0)*BQ881</f>
        <v>1700</v>
      </c>
      <c r="AY881" s="58" t="n">
        <f aca="false">IF(AV881&gt;0,I881/AV881,-1)</f>
        <v>1800</v>
      </c>
      <c r="AZ881" s="58" t="n">
        <f aca="false">IF(AND(OR(BU881="L1",BU881="L23"),AV881&gt;0),SUMIFS($AV$7:$AV$1576,$BU$7:$BU$1576,BU881,$AY$7:$AY$1576,"&gt;"&amp;AY881)+SUMIFS($AV$7:$AV$1576,$BU$7:$BU$1576,BU881,$AY$7:$AY$1576,AY881,$BO$7:$BO$1576,"&lt;="&amp;BO881),"")</f>
        <v>17.0304029910663</v>
      </c>
      <c r="BA881" s="65" t="n">
        <f aca="false">IF(AZ881="",0,MAX(0,MIN(1,(IF(BU881="L1",Parameter!$E$5,Parameter!$E$6+Parameter!$E$7)-(AZ881-AV881))/AV881)))</f>
        <v>1</v>
      </c>
      <c r="BB881" s="55" t="str">
        <f aca="false">IF(AF881&lt;=0,"",IF(BU881="Aussen","Aussenlager",IF(BU881="-","Nicht im Lift",IF(AK881&gt;=1,"Lift",IF(AK881&lt;=0,"Aussenlager","teilweise")))))</f>
        <v/>
      </c>
      <c r="BC881" s="55" t="str">
        <f aca="false">IF(AN881&lt;=0,"",IF(BU881="Aussen","Aussenlager",IF(BU881="-","Nicht im Lift",IF(AS881&gt;=1,"Lift",IF(AS881&lt;=0,"Aussenlager","teilweise")))))</f>
        <v>Lift</v>
      </c>
      <c r="BD881" s="55" t="str">
        <f aca="false">IF(AV881&lt;=0,"",IF(BU881="Aussen","Aussenlager",IF(BU881="-","Nicht im Lift",IF(BA881&gt;=1,"Lift",IF(BA881&lt;=0,"Aussenlager","teilweise")))))</f>
        <v>Lift</v>
      </c>
      <c r="BE881" s="55" t="str">
        <f aca="false">IF(A881="","",IF(BN881=1,"Neu; ","")&amp;IF(AND(BN881=0,BI881&lt;0),"negativer Bestand (Export "&amp;BI881&amp;"); ","")&amp;IF(I881&lt;=0,"Kein Verbrauch; ","")&amp;IF(CD881&gt;0,"Lift "&amp;U881&amp;" lt. Liftbericht (Fach "&amp;V881&amp;" Stk); ",IF(BR881=1,"Lose – Fläche geschätzt; ",""))&amp;IF(G881&gt;AP881,"Überbestand "&amp;ROUND(G881-AP881,0)&amp;" Stk / CHF "&amp;ROUND((G881-AP881)*F881,0)&amp;"; ","")&amp;IF(AND(BW881=1,BX881&lt;BY881),"MAX &lt; MB+LG; ","")&amp;IF(AND(CC881&gt;0,CB881*10&gt;CC881),"zu hoch für Tablar; ","")&amp;IF(AND(BN881=0,OR(BW881=1,Y881&lt;&gt;"",S881&lt;&gt;"",T881&lt;&gt;"",Z881&lt;&gt;"")),"manuell übersteuert; ","")&amp;IF(AND(BR881=0,Q881=0),"Gebinde unbekannt / Stellmass fehlt; ","")&amp;IF(AND(BR881=0,N(T881)&lt;=0,N(P881)&lt;=0),"Menge pro Gebinde fehlt (Ist = 1 Gebinde); ","")&amp;BM881)</f>
        <v>negativer Bestand (Export -151); </v>
      </c>
      <c r="BF881" s="55"/>
      <c r="BG881" s="55"/>
      <c r="BH881" s="62"/>
      <c r="BI881" s="57" t="n">
        <v>-151</v>
      </c>
      <c r="BJ881" s="57" t="n">
        <v>1100</v>
      </c>
      <c r="BK881" s="56" t="n">
        <v>-27.18</v>
      </c>
      <c r="BL881" s="57" t="n">
        <v>300</v>
      </c>
      <c r="BM881" s="55"/>
      <c r="BN881" s="60" t="n">
        <v>0</v>
      </c>
      <c r="BO881" s="60" t="n">
        <v>881</v>
      </c>
      <c r="BP881" s="55" t="str">
        <f aca="false">IF(S881&lt;&gt;"",UPPER(TRIM(S881)),IF(O881="","LOSE",O881))</f>
        <v>S61</v>
      </c>
      <c r="BQ881" s="57" t="n">
        <f aca="false">IF(BP881="LOSE",1,IF(N(T881)&gt;0,T881,IF(N(P881)&gt;0,P881,MAX(1,G881))))</f>
        <v>850</v>
      </c>
      <c r="BR881" s="60" t="n">
        <f aca="false">IF(BP881="LOSE",1,0)</f>
        <v>0</v>
      </c>
      <c r="BS881" s="59" t="n">
        <f aca="false">IF(BR881=0,0,IF(N(R881)&gt;0,R881,IFERROR(VLOOKUP(D881,Parameter!$A$35:$C$64,3,0)+0,0)))</f>
        <v>0</v>
      </c>
      <c r="BT881" s="55" t="n">
        <f aca="false">IF(Y881&lt;&gt;"",Y881,X881)</f>
        <v>2</v>
      </c>
      <c r="BU881" s="55" t="str">
        <f aca="false">IF(BT881=1,"L1",IF(OR(BT881=2,BT881=3),"L23",IF(BT881="Aussen","Aussen","-")))</f>
        <v>L23</v>
      </c>
      <c r="BV881" s="66" t="n">
        <f aca="false">IF(N(Z881)&gt;0,Z881,0)</f>
        <v>0</v>
      </c>
      <c r="BW881" s="60" t="n">
        <f aca="false">IF(ISNUMBER(AC881),1,0)</f>
        <v>0</v>
      </c>
      <c r="BX881" s="57" t="n">
        <f aca="false">N(AC881)</f>
        <v>0</v>
      </c>
      <c r="BY881" s="57" t="n">
        <f aca="false">N(L881)+N(M881)</f>
        <v>1017</v>
      </c>
      <c r="BZ881" s="57" t="n">
        <f aca="false">ROUNDUP(G881/BQ881,0)</f>
        <v>0</v>
      </c>
      <c r="CA881" s="57" t="n">
        <f aca="false">ROUNDUP(BX881/BQ881,0)</f>
        <v>0</v>
      </c>
      <c r="CB881" s="60" t="n">
        <f aca="false">IF(BR881=1,0,IFERROR(VLOOKUP(BP881,'Gebinde-Kategorie'!$A$5:$M$45,5,0)+0,0))</f>
        <v>11</v>
      </c>
      <c r="CC881" s="60" t="n">
        <f aca="false">IFERROR(IF(OR(BT881=1,BT881=2,BT881=3),N(INDEX(Parameter!$I$5:$I$7,BT881)),0),0)</f>
        <v>0</v>
      </c>
      <c r="CD881" s="59" t="n">
        <f aca="false">IF(AND(Parameter!$B$21="Ja",ISNUMBER(U881),N(V881)&gt;0),IFERROR(N(INDEX(Parameter!$L$5:$L$7,U881))*INDEX(Parameter!$E$5:$E$7,U881)*V881/SUMIFS($V$7:$V$1576,$U$7:$U$1576,U881),0),0)</f>
        <v>0</v>
      </c>
    </row>
    <row r="882" customFormat="false" ht="15" hidden="false" customHeight="false" outlineLevel="0" collapsed="false">
      <c r="A882" s="55" t="s">
        <v>1655</v>
      </c>
      <c r="B882" s="55" t="s">
        <v>478</v>
      </c>
      <c r="C882" s="55" t="s">
        <v>160</v>
      </c>
      <c r="D882" s="55" t="s">
        <v>178</v>
      </c>
      <c r="E882" s="55" t="s">
        <v>210</v>
      </c>
      <c r="F882" s="56" t="n">
        <v>1.78</v>
      </c>
      <c r="G882" s="57" t="n">
        <f aca="false">MAX(0,IF(AND(Parameter!$B$21="Ja",ISNUMBER(W882)),W882,IF(Parameter!$B$20="Jahresanfang 2025 + Export",BJ882+BI882,BI882)))</f>
        <v>0</v>
      </c>
      <c r="H882" s="57" t="n">
        <f aca="false">G882*F882</f>
        <v>0</v>
      </c>
      <c r="I882" s="57" t="n">
        <f aca="false">BL882*Parameter!$B$18</f>
        <v>187</v>
      </c>
      <c r="J882" s="58" t="n">
        <v>180</v>
      </c>
      <c r="K882" s="59" t="n">
        <v>1.03888888888889</v>
      </c>
      <c r="L882" s="57" t="n">
        <v>7</v>
      </c>
      <c r="M882" s="57" t="n">
        <v>185</v>
      </c>
      <c r="N882" s="60" t="n">
        <v>14</v>
      </c>
      <c r="O882" s="55" t="s">
        <v>416</v>
      </c>
      <c r="P882" s="57" t="n">
        <v>547</v>
      </c>
      <c r="Q882" s="60" t="n">
        <f aca="false">IF(BR882=1,0,IFERROR(VLOOKUP(BP882,'Gebinde-Kategorie'!$A$5:$M$45,13,0)+0,0))</f>
        <v>198</v>
      </c>
      <c r="R882" s="61"/>
      <c r="S882" s="62"/>
      <c r="T882" s="62"/>
      <c r="U882" s="55"/>
      <c r="V882" s="57"/>
      <c r="W882" s="57"/>
      <c r="X882" s="55" t="n">
        <f aca="false">IF(A882="","",IF(AND(Parameter!$B$21="Ja",ISNUMBER(U882)),U882,IF(IFERROR(VLOOKUP(D882,Parameter!$A$35:$C$64,2,0),"Nein")="2+3",IF(ISNUMBER(SEARCH("grosser Artikel",BM882)),2,IFERROR(VLOOKUP(BP882,Parameter!$F$35:$G$64,2,0),2)),IF(OR(IFERROR(VLOOKUP(D882,Parameter!$A$35:$C$64,2,0),"Nein")="Nein",IFERROR(VLOOKUP(D882,Parameter!$A$35:$C$64,2,0),"Nein")=""),"-",VLOOKUP(D882,Parameter!$A$35:$C$64,2,0)))))</f>
        <v>3</v>
      </c>
      <c r="Y882" s="62"/>
      <c r="Z882" s="63"/>
      <c r="AA882" s="57" t="n">
        <f aca="false">AP882</f>
        <v>547</v>
      </c>
      <c r="AB882" s="57" t="n">
        <f aca="false">MAX(AP882,G882)</f>
        <v>547</v>
      </c>
      <c r="AC882" s="64"/>
      <c r="AD882" s="57" t="n">
        <f aca="false">IF(LEFT(Cockpit!$C$5,1)="A",G882,IF(BW882=1,BX882,IF(LEFT(Cockpit!$C$5,1)="B",AH882,MAX(AH882,G882))))</f>
        <v>0</v>
      </c>
      <c r="AE882" s="57" t="n">
        <f aca="false">IF(BR882=1,0,ROUNDUP(AD882/BQ882,0))</f>
        <v>0</v>
      </c>
      <c r="AF882" s="59" t="n">
        <f aca="false">IF(CD882&gt;0,CD882*MAX(1,AD882/V882),IF(BR882=1,IF(AD882&lt;=0,0,BS882*MAX(1,IF(G882&gt;0,AD882/G882,1))),IF(Q882&gt;0,AE882/Q882,0))/MAX(0.1,N(Parameter!$M$21)))</f>
        <v>0</v>
      </c>
      <c r="AG882" s="57" t="n">
        <f aca="false">AD882*F882</f>
        <v>0</v>
      </c>
      <c r="AH882" s="57" t="n">
        <f aca="false">ROUNDUP(MAX(I882/IF(BV882&gt;0,BV882,MAX(0.1,N(Cockpit!$C$6))),BY882)/BQ882,0)*BQ882</f>
        <v>547</v>
      </c>
      <c r="AI882" s="58" t="n">
        <f aca="false">IF(AF882&gt;0,I882/AF882,-1)</f>
        <v>-1</v>
      </c>
      <c r="AJ882" s="58" t="str">
        <f aca="false">IF(AND(OR(BU882="L1",BU882="L23"),AF882&gt;0),SUMIFS($AF$7:$AF$1576,$BU$7:$BU$1576,BU882,$AI$7:$AI$1576,"&gt;"&amp;AI882)+SUMIFS($AF$7:$AF$1576,$BU$7:$BU$1576,BU882,$AI$7:$AI$1576,AI882,$BO$7:$BO$1576,"&lt;="&amp;BO882),"")</f>
        <v/>
      </c>
      <c r="AK882" s="65" t="n">
        <f aca="false">IF(AJ882="",0,MAX(0,MIN(1,(IF(BU882="L1",Parameter!$E$5,Parameter!$E$6+Parameter!$E$7)-(AJ882-AF882))/AF882)))</f>
        <v>0</v>
      </c>
      <c r="AL882" s="57" t="n">
        <f aca="false">IF(LEFT(Cockpit!$I$5,1)="A",G882,IF(BW882=1,BX882,IF(LEFT(Cockpit!$I$5,1)="B",AP882,MAX(AP882,G882))))</f>
        <v>547</v>
      </c>
      <c r="AM882" s="57" t="n">
        <f aca="false">IF(BR882=1,0,ROUNDUP(AL882/BQ882,0))</f>
        <v>1</v>
      </c>
      <c r="AN882" s="59" t="n">
        <f aca="false">IF(CD882&gt;0,CD882*MAX(1,AL882/V882),IF(BR882=1,IF(AL882&lt;=0,0,BS882*MAX(1,IF(G882&gt;0,AL882/G882,1))),IF(Q882&gt;0,AM882/Q882,0))/MAX(0.1,N(Parameter!$M$21)))</f>
        <v>0.00505050505050505</v>
      </c>
      <c r="AO882" s="57" t="n">
        <f aca="false">AL882*F882</f>
        <v>973.66</v>
      </c>
      <c r="AP882" s="57" t="n">
        <f aca="false">ROUNDUP(MAX(I882/IF(BV882&gt;0,BV882,MAX(0.1,N(Cockpit!$I$6))),BY882)/BQ882,0)*BQ882</f>
        <v>547</v>
      </c>
      <c r="AQ882" s="58" t="n">
        <f aca="false">IF(AN882&gt;0,I882/AN882,-1)</f>
        <v>37026</v>
      </c>
      <c r="AR882" s="58" t="n">
        <f aca="false">IF(AND(OR(BU882="L1",BU882="L23"),AN882&gt;0),SUMIFS($AN$7:$AN$1576,$BU$7:$BU$1576,BU882,$AQ$7:$AQ$1576,"&gt;"&amp;AQ882)+SUMIFS($AN$7:$AN$1576,$BU$7:$BU$1576,BU882,$AQ$7:$AQ$1576,AQ882,$BO$7:$BO$1576,"&lt;="&amp;BO882),"")</f>
        <v>1.90329144285666</v>
      </c>
      <c r="AS882" s="65" t="n">
        <f aca="false">IF(AR882="",0,MAX(0,MIN(1,(IF(BU882="L1",Parameter!$E$5,Parameter!$E$6+Parameter!$E$7)-(AR882-AN882))/AN882)))</f>
        <v>1</v>
      </c>
      <c r="AT882" s="57" t="n">
        <f aca="false">IF(LEFT(Cockpit!$O$5,1)="A",G882,IF(BW882=1,BX882,IF(LEFT(Cockpit!$O$5,1)="B",AX882,MAX(AX882,G882))))</f>
        <v>547</v>
      </c>
      <c r="AU882" s="57" t="n">
        <f aca="false">IF(BR882=1,0,ROUNDUP(AT882/BQ882,0))</f>
        <v>1</v>
      </c>
      <c r="AV882" s="59" t="n">
        <f aca="false">IF(CD882&gt;0,CD882*MAX(1,AT882/V882),IF(BR882=1,IF(AT882&lt;=0,0,BS882*MAX(1,IF(G882&gt;0,AT882/G882,1))),IF(Q882&gt;0,AU882/Q882,0))/MAX(0.1,N(Parameter!$M$21)))</f>
        <v>0.00505050505050505</v>
      </c>
      <c r="AW882" s="57" t="n">
        <f aca="false">AT882*F882</f>
        <v>973.66</v>
      </c>
      <c r="AX882" s="57" t="n">
        <f aca="false">ROUNDUP(MAX(I882/IF(BV882&gt;0,BV882,MAX(0.1,N(Cockpit!$O$6))),BY882)/BQ882,0)*BQ882</f>
        <v>547</v>
      </c>
      <c r="AY882" s="58" t="n">
        <f aca="false">IF(AV882&gt;0,I882/AV882,-1)</f>
        <v>37026</v>
      </c>
      <c r="AZ882" s="58" t="n">
        <f aca="false">IF(AND(OR(BU882="L1",BU882="L23"),AV882&gt;0),SUMIFS($AV$7:$AV$1576,$BU$7:$BU$1576,BU882,$AY$7:$AY$1576,"&gt;"&amp;AY882)+SUMIFS($AV$7:$AV$1576,$BU$7:$BU$1576,BU882,$AY$7:$AY$1576,AY882,$BO$7:$BO$1576,"&lt;="&amp;BO882),"")</f>
        <v>2.20981824938347</v>
      </c>
      <c r="BA882" s="65" t="n">
        <f aca="false">IF(AZ882="",0,MAX(0,MIN(1,(IF(BU882="L1",Parameter!$E$5,Parameter!$E$6+Parameter!$E$7)-(AZ882-AV882))/AV882)))</f>
        <v>1</v>
      </c>
      <c r="BB882" s="55" t="str">
        <f aca="false">IF(AF882&lt;=0,"",IF(BU882="Aussen","Aussenlager",IF(BU882="-","Nicht im Lift",IF(AK882&gt;=1,"Lift",IF(AK882&lt;=0,"Aussenlager","teilweise")))))</f>
        <v/>
      </c>
      <c r="BC882" s="55" t="str">
        <f aca="false">IF(AN882&lt;=0,"",IF(BU882="Aussen","Aussenlager",IF(BU882="-","Nicht im Lift",IF(AS882&gt;=1,"Lift",IF(AS882&lt;=0,"Aussenlager","teilweise")))))</f>
        <v>Lift</v>
      </c>
      <c r="BD882" s="55" t="str">
        <f aca="false">IF(AV882&lt;=0,"",IF(BU882="Aussen","Aussenlager",IF(BU882="-","Nicht im Lift",IF(BA882&gt;=1,"Lift",IF(BA882&lt;=0,"Aussenlager","teilweise")))))</f>
        <v>Lift</v>
      </c>
      <c r="BE882" s="55" t="str">
        <f aca="false">IF(A882="","",IF(BN882=1,"Neu; ","")&amp;IF(AND(BN882=0,BI882&lt;0),"negativer Bestand (Export "&amp;BI882&amp;"); ","")&amp;IF(I882&lt;=0,"Kein Verbrauch; ","")&amp;IF(CD882&gt;0,"Lift "&amp;U882&amp;" lt. Liftbericht (Fach "&amp;V882&amp;" Stk); ",IF(BR882=1,"Lose – Fläche geschätzt; ",""))&amp;IF(G882&gt;AP882,"Überbestand "&amp;ROUND(G882-AP882,0)&amp;" Stk / CHF "&amp;ROUND((G882-AP882)*F882,0)&amp;"; ","")&amp;IF(AND(BW882=1,BX882&lt;BY882),"MAX &lt; MB+LG; ","")&amp;IF(AND(CC882&gt;0,CB882*10&gt;CC882),"zu hoch für Tablar; ","")&amp;IF(AND(BN882=0,OR(BW882=1,Y882&lt;&gt;"",S882&lt;&gt;"",T882&lt;&gt;"",Z882&lt;&gt;"")),"manuell übersteuert; ","")&amp;IF(AND(BR882=0,Q882=0),"Gebinde unbekannt / Stellmass fehlt; ","")&amp;IF(AND(BR882=0,N(T882)&lt;=0,N(P882)&lt;=0),"Menge pro Gebinde fehlt (Ist = 1 Gebinde); ","")&amp;BM882)</f>
        <v>negativer Bestand (Export -14); </v>
      </c>
      <c r="BF882" s="55"/>
      <c r="BG882" s="55"/>
      <c r="BH882" s="62"/>
      <c r="BI882" s="57" t="n">
        <v>-14</v>
      </c>
      <c r="BJ882" s="57" t="n">
        <v>118</v>
      </c>
      <c r="BK882" s="56" t="n">
        <v>-27.1800000000001</v>
      </c>
      <c r="BL882" s="57" t="n">
        <v>187</v>
      </c>
      <c r="BM882" s="55"/>
      <c r="BN882" s="60" t="n">
        <v>0</v>
      </c>
      <c r="BO882" s="60" t="n">
        <v>882</v>
      </c>
      <c r="BP882" s="55" t="str">
        <f aca="false">IF(S882&lt;&gt;"",UPPER(TRIM(S882)),IF(O882="","LOSE",O882))</f>
        <v>S22</v>
      </c>
      <c r="BQ882" s="57" t="n">
        <f aca="false">IF(BP882="LOSE",1,IF(N(T882)&gt;0,T882,IF(N(P882)&gt;0,P882,MAX(1,G882))))</f>
        <v>547</v>
      </c>
      <c r="BR882" s="60" t="n">
        <f aca="false">IF(BP882="LOSE",1,0)</f>
        <v>0</v>
      </c>
      <c r="BS882" s="59" t="n">
        <f aca="false">IF(BR882=0,0,IF(N(R882)&gt;0,R882,IFERROR(VLOOKUP(D882,Parameter!$A$35:$C$64,3,0)+0,0)))</f>
        <v>0</v>
      </c>
      <c r="BT882" s="55" t="n">
        <f aca="false">IF(Y882&lt;&gt;"",Y882,X882)</f>
        <v>3</v>
      </c>
      <c r="BU882" s="55" t="str">
        <f aca="false">IF(BT882=1,"L1",IF(OR(BT882=2,BT882=3),"L23",IF(BT882="Aussen","Aussen","-")))</f>
        <v>L23</v>
      </c>
      <c r="BV882" s="66" t="n">
        <f aca="false">IF(N(Z882)&gt;0,Z882,0)</f>
        <v>0</v>
      </c>
      <c r="BW882" s="60" t="n">
        <f aca="false">IF(ISNUMBER(AC882),1,0)</f>
        <v>0</v>
      </c>
      <c r="BX882" s="57" t="n">
        <f aca="false">N(AC882)</f>
        <v>0</v>
      </c>
      <c r="BY882" s="57" t="n">
        <f aca="false">N(L882)+N(M882)</f>
        <v>192</v>
      </c>
      <c r="BZ882" s="57" t="n">
        <f aca="false">ROUNDUP(G882/BQ882,0)</f>
        <v>0</v>
      </c>
      <c r="CA882" s="57" t="n">
        <f aca="false">ROUNDUP(BX882/BQ882,0)</f>
        <v>0</v>
      </c>
      <c r="CB882" s="60" t="n">
        <f aca="false">IF(BR882=1,0,IFERROR(VLOOKUP(BP882,'Gebinde-Kategorie'!$A$5:$M$45,5,0)+0,0))</f>
        <v>8</v>
      </c>
      <c r="CC882" s="60" t="n">
        <f aca="false">IFERROR(IF(OR(BT882=1,BT882=2,BT882=3),N(INDEX(Parameter!$I$5:$I$7,BT882)),0),0)</f>
        <v>0</v>
      </c>
      <c r="CD882" s="59" t="n">
        <f aca="false">IF(AND(Parameter!$B$21="Ja",ISNUMBER(U882),N(V882)&gt;0),IFERROR(N(INDEX(Parameter!$L$5:$L$7,U882))*INDEX(Parameter!$E$5:$E$7,U882)*V882/SUMIFS($V$7:$V$1576,$U$7:$U$1576,U882),0),0)</f>
        <v>0</v>
      </c>
    </row>
    <row r="883" customFormat="false" ht="15" hidden="false" customHeight="false" outlineLevel="0" collapsed="false">
      <c r="A883" s="55" t="s">
        <v>1656</v>
      </c>
      <c r="B883" s="55" t="s">
        <v>1657</v>
      </c>
      <c r="C883" s="55" t="s">
        <v>160</v>
      </c>
      <c r="D883" s="55" t="s">
        <v>178</v>
      </c>
      <c r="E883" s="55" t="s">
        <v>210</v>
      </c>
      <c r="F883" s="56" t="n">
        <v>27.73</v>
      </c>
      <c r="G883" s="57" t="n">
        <f aca="false">MAX(0,IF(AND(Parameter!$B$21="Ja",ISNUMBER(W883)),W883,IF(Parameter!$B$20="Jahresanfang 2025 + Export",BJ883+BI883,BI883)))</f>
        <v>0</v>
      </c>
      <c r="H883" s="57" t="n">
        <f aca="false">G883*F883</f>
        <v>0</v>
      </c>
      <c r="I883" s="57" t="n">
        <f aca="false">BL883*Parameter!$B$18</f>
        <v>1</v>
      </c>
      <c r="J883" s="58" t="n">
        <v>27.5</v>
      </c>
      <c r="K883" s="59" t="n">
        <v>0.0363636363636364</v>
      </c>
      <c r="L883" s="57" t="n">
        <v>0</v>
      </c>
      <c r="M883" s="57" t="n">
        <v>1</v>
      </c>
      <c r="N883" s="60" t="n">
        <v>21</v>
      </c>
      <c r="O883" s="55" t="s">
        <v>411</v>
      </c>
      <c r="P883" s="57" t="n">
        <v>36</v>
      </c>
      <c r="Q883" s="60" t="n">
        <f aca="false">IF(BR883=1,0,IFERROR(VLOOKUP(BP883,'Gebinde-Kategorie'!$A$5:$M$45,13,0)+0,0))</f>
        <v>132</v>
      </c>
      <c r="R883" s="61"/>
      <c r="S883" s="62"/>
      <c r="T883" s="62"/>
      <c r="U883" s="55"/>
      <c r="V883" s="57"/>
      <c r="W883" s="57"/>
      <c r="X883" s="55" t="n">
        <f aca="false">IF(A883="","",IF(AND(Parameter!$B$21="Ja",ISNUMBER(U883)),U883,IF(IFERROR(VLOOKUP(D883,Parameter!$A$35:$C$64,2,0),"Nein")="2+3",IF(ISNUMBER(SEARCH("grosser Artikel",BM883)),2,IFERROR(VLOOKUP(BP883,Parameter!$F$35:$G$64,2,0),2)),IF(OR(IFERROR(VLOOKUP(D883,Parameter!$A$35:$C$64,2,0),"Nein")="Nein",IFERROR(VLOOKUP(D883,Parameter!$A$35:$C$64,2,0),"Nein")=""),"-",VLOOKUP(D883,Parameter!$A$35:$C$64,2,0)))))</f>
        <v>3</v>
      </c>
      <c r="Y883" s="62"/>
      <c r="Z883" s="63"/>
      <c r="AA883" s="57" t="n">
        <f aca="false">AP883</f>
        <v>36</v>
      </c>
      <c r="AB883" s="57" t="n">
        <f aca="false">MAX(AP883,G883)</f>
        <v>36</v>
      </c>
      <c r="AC883" s="64"/>
      <c r="AD883" s="57" t="n">
        <f aca="false">IF(LEFT(Cockpit!$C$5,1)="A",G883,IF(BW883=1,BX883,IF(LEFT(Cockpit!$C$5,1)="B",AH883,MAX(AH883,G883))))</f>
        <v>0</v>
      </c>
      <c r="AE883" s="57" t="n">
        <f aca="false">IF(BR883=1,0,ROUNDUP(AD883/BQ883,0))</f>
        <v>0</v>
      </c>
      <c r="AF883" s="59" t="n">
        <f aca="false">IF(CD883&gt;0,CD883*MAX(1,AD883/V883),IF(BR883=1,IF(AD883&lt;=0,0,BS883*MAX(1,IF(G883&gt;0,AD883/G883,1))),IF(Q883&gt;0,AE883/Q883,0))/MAX(0.1,N(Parameter!$M$21)))</f>
        <v>0</v>
      </c>
      <c r="AG883" s="57" t="n">
        <f aca="false">AD883*F883</f>
        <v>0</v>
      </c>
      <c r="AH883" s="57" t="n">
        <f aca="false">ROUNDUP(MAX(I883/IF(BV883&gt;0,BV883,MAX(0.1,N(Cockpit!$C$6))),BY883)/BQ883,0)*BQ883</f>
        <v>36</v>
      </c>
      <c r="AI883" s="58" t="n">
        <f aca="false">IF(AF883&gt;0,I883/AF883,-1)</f>
        <v>-1</v>
      </c>
      <c r="AJ883" s="58" t="str">
        <f aca="false">IF(AND(OR(BU883="L1",BU883="L23"),AF883&gt;0),SUMIFS($AF$7:$AF$1576,$BU$7:$BU$1576,BU883,$AI$7:$AI$1576,"&gt;"&amp;AI883)+SUMIFS($AF$7:$AF$1576,$BU$7:$BU$1576,BU883,$AI$7:$AI$1576,AI883,$BO$7:$BO$1576,"&lt;="&amp;BO883),"")</f>
        <v/>
      </c>
      <c r="AK883" s="65" t="n">
        <f aca="false">IF(AJ883="",0,MAX(0,MIN(1,(IF(BU883="L1",Parameter!$E$5,Parameter!$E$6+Parameter!$E$7)-(AJ883-AF883))/AF883)))</f>
        <v>0</v>
      </c>
      <c r="AL883" s="57" t="n">
        <f aca="false">IF(LEFT(Cockpit!$I$5,1)="A",G883,IF(BW883=1,BX883,IF(LEFT(Cockpit!$I$5,1)="B",AP883,MAX(AP883,G883))))</f>
        <v>36</v>
      </c>
      <c r="AM883" s="57" t="n">
        <f aca="false">IF(BR883=1,0,ROUNDUP(AL883/BQ883,0))</f>
        <v>1</v>
      </c>
      <c r="AN883" s="59" t="n">
        <f aca="false">IF(CD883&gt;0,CD883*MAX(1,AL883/V883),IF(BR883=1,IF(AL883&lt;=0,0,BS883*MAX(1,IF(G883&gt;0,AL883/G883,1))),IF(Q883&gt;0,AM883/Q883,0))/MAX(0.1,N(Parameter!$M$21)))</f>
        <v>0.00757575757575758</v>
      </c>
      <c r="AO883" s="57" t="n">
        <f aca="false">AL883*F883</f>
        <v>998.28</v>
      </c>
      <c r="AP883" s="57" t="n">
        <f aca="false">ROUNDUP(MAX(I883/IF(BV883&gt;0,BV883,MAX(0.1,N(Cockpit!$I$6))),BY883)/BQ883,0)*BQ883</f>
        <v>36</v>
      </c>
      <c r="AQ883" s="58" t="n">
        <f aca="false">IF(AN883&gt;0,I883/AN883,-1)</f>
        <v>132</v>
      </c>
      <c r="AR883" s="58" t="n">
        <f aca="false">IF(AND(OR(BU883="L1",BU883="L23"),AN883&gt;0),SUMIFS($AN$7:$AN$1576,$BU$7:$BU$1576,BU883,$AQ$7:$AQ$1576,"&gt;"&amp;AQ883)+SUMIFS($AN$7:$AN$1576,$BU$7:$BU$1576,BU883,$AQ$7:$AQ$1576,AQ883,$BO$7:$BO$1576,"&lt;="&amp;BO883),"")</f>
        <v>60.1843450393562</v>
      </c>
      <c r="AS883" s="65" t="n">
        <f aca="false">IF(AR883="",0,MAX(0,MIN(1,(IF(BU883="L1",Parameter!$E$5,Parameter!$E$6+Parameter!$E$7)-(AR883-AN883))/AN883)))</f>
        <v>1</v>
      </c>
      <c r="AT883" s="57" t="n">
        <f aca="false">IF(LEFT(Cockpit!$O$5,1)="A",G883,IF(BW883=1,BX883,IF(LEFT(Cockpit!$O$5,1)="B",AX883,MAX(AX883,G883))))</f>
        <v>36</v>
      </c>
      <c r="AU883" s="57" t="n">
        <f aca="false">IF(BR883=1,0,ROUNDUP(AT883/BQ883,0))</f>
        <v>1</v>
      </c>
      <c r="AV883" s="59" t="n">
        <f aca="false">IF(CD883&gt;0,CD883*MAX(1,AT883/V883),IF(BR883=1,IF(AT883&lt;=0,0,BS883*MAX(1,IF(G883&gt;0,AT883/G883,1))),IF(Q883&gt;0,AU883/Q883,0))/MAX(0.1,N(Parameter!$M$21)))</f>
        <v>0.00757575757575758</v>
      </c>
      <c r="AW883" s="57" t="n">
        <f aca="false">AT883*F883</f>
        <v>998.28</v>
      </c>
      <c r="AX883" s="57" t="n">
        <f aca="false">ROUNDUP(MAX(I883/IF(BV883&gt;0,BV883,MAX(0.1,N(Cockpit!$O$6))),BY883)/BQ883,0)*BQ883</f>
        <v>36</v>
      </c>
      <c r="AY883" s="58" t="n">
        <f aca="false">IF(AV883&gt;0,I883/AV883,-1)</f>
        <v>132</v>
      </c>
      <c r="AZ883" s="58" t="n">
        <f aca="false">IF(AND(OR(BU883="L1",BU883="L23"),AV883&gt;0),SUMIFS($AV$7:$AV$1576,$BU$7:$BU$1576,BU883,$AY$7:$AY$1576,"&gt;"&amp;AY883)+SUMIFS($AV$7:$AV$1576,$BU$7:$BU$1576,BU883,$AY$7:$AY$1576,AY883,$BO$7:$BO$1576,"&lt;="&amp;BO883),"")</f>
        <v>54.8468121555733</v>
      </c>
      <c r="BA883" s="65" t="n">
        <f aca="false">IF(AZ883="",0,MAX(0,MIN(1,(IF(BU883="L1",Parameter!$E$5,Parameter!$E$6+Parameter!$E$7)-(AZ883-AV883))/AV883)))</f>
        <v>1</v>
      </c>
      <c r="BB883" s="55" t="str">
        <f aca="false">IF(AF883&lt;=0,"",IF(BU883="Aussen","Aussenlager",IF(BU883="-","Nicht im Lift",IF(AK883&gt;=1,"Lift",IF(AK883&lt;=0,"Aussenlager","teilweise")))))</f>
        <v/>
      </c>
      <c r="BC883" s="55" t="str">
        <f aca="false">IF(AN883&lt;=0,"",IF(BU883="Aussen","Aussenlager",IF(BU883="-","Nicht im Lift",IF(AS883&gt;=1,"Lift",IF(AS883&lt;=0,"Aussenlager","teilweise")))))</f>
        <v>Lift</v>
      </c>
      <c r="BD883" s="55" t="str">
        <f aca="false">IF(AV883&lt;=0,"",IF(BU883="Aussen","Aussenlager",IF(BU883="-","Nicht im Lift",IF(BA883&gt;=1,"Lift",IF(BA883&lt;=0,"Aussenlager","teilweise")))))</f>
        <v>Lift</v>
      </c>
      <c r="BE883" s="55" t="str">
        <f aca="false">IF(A883="","",IF(BN883=1,"Neu; ","")&amp;IF(AND(BN883=0,BI883&lt;0),"negativer Bestand (Export "&amp;BI883&amp;"); ","")&amp;IF(I883&lt;=0,"Kein Verbrauch; ","")&amp;IF(CD883&gt;0,"Lift "&amp;U883&amp;" lt. Liftbericht (Fach "&amp;V883&amp;" Stk); ",IF(BR883=1,"Lose – Fläche geschätzt; ",""))&amp;IF(G883&gt;AP883,"Überbestand "&amp;ROUND(G883-AP883,0)&amp;" Stk / CHF "&amp;ROUND((G883-AP883)*F883,0)&amp;"; ","")&amp;IF(AND(BW883=1,BX883&lt;BY883),"MAX &lt; MB+LG; ","")&amp;IF(AND(CC883&gt;0,CB883*10&gt;CC883),"zu hoch für Tablar; ","")&amp;IF(AND(BN883=0,OR(BW883=1,Y883&lt;&gt;"",S883&lt;&gt;"",T883&lt;&gt;"",Z883&lt;&gt;"")),"manuell übersteuert; ","")&amp;IF(AND(BR883=0,Q883=0),"Gebinde unbekannt / Stellmass fehlt; ","")&amp;IF(AND(BR883=0,N(T883)&lt;=0,N(P883)&lt;=0),"Menge pro Gebinde fehlt (Ist = 1 Gebinde); ","")&amp;BM883)</f>
        <v>negativer Bestand (Export -1); Neu</v>
      </c>
      <c r="BF883" s="55"/>
      <c r="BG883" s="55"/>
      <c r="BH883" s="62"/>
      <c r="BI883" s="57" t="n">
        <v>-1</v>
      </c>
      <c r="BJ883" s="57" t="n">
        <v>28</v>
      </c>
      <c r="BK883" s="56" t="n">
        <v>-27.73</v>
      </c>
      <c r="BL883" s="57" t="n">
        <v>1</v>
      </c>
      <c r="BM883" s="55" t="s">
        <v>615</v>
      </c>
      <c r="BN883" s="60" t="n">
        <v>0</v>
      </c>
      <c r="BO883" s="60" t="n">
        <v>883</v>
      </c>
      <c r="BP883" s="55" t="str">
        <f aca="false">IF(S883&lt;&gt;"",UPPER(TRIM(S883)),IF(O883="","LOSE",O883))</f>
        <v>S32</v>
      </c>
      <c r="BQ883" s="57" t="n">
        <f aca="false">IF(BP883="LOSE",1,IF(N(T883)&gt;0,T883,IF(N(P883)&gt;0,P883,MAX(1,G883))))</f>
        <v>36</v>
      </c>
      <c r="BR883" s="60" t="n">
        <f aca="false">IF(BP883="LOSE",1,0)</f>
        <v>0</v>
      </c>
      <c r="BS883" s="59" t="n">
        <f aca="false">IF(BR883=0,0,IF(N(R883)&gt;0,R883,IFERROR(VLOOKUP(D883,Parameter!$A$35:$C$64,3,0)+0,0)))</f>
        <v>0</v>
      </c>
      <c r="BT883" s="55" t="n">
        <f aca="false">IF(Y883&lt;&gt;"",Y883,X883)</f>
        <v>3</v>
      </c>
      <c r="BU883" s="55" t="str">
        <f aca="false">IF(BT883=1,"L1",IF(OR(BT883=2,BT883=3),"L23",IF(BT883="Aussen","Aussen","-")))</f>
        <v>L23</v>
      </c>
      <c r="BV883" s="66" t="n">
        <f aca="false">IF(N(Z883)&gt;0,Z883,0)</f>
        <v>0</v>
      </c>
      <c r="BW883" s="60" t="n">
        <f aca="false">IF(ISNUMBER(AC883),1,0)</f>
        <v>0</v>
      </c>
      <c r="BX883" s="57" t="n">
        <f aca="false">N(AC883)</f>
        <v>0</v>
      </c>
      <c r="BY883" s="57" t="n">
        <f aca="false">N(L883)+N(M883)</f>
        <v>1</v>
      </c>
      <c r="BZ883" s="57" t="n">
        <f aca="false">ROUNDUP(G883/BQ883,0)</f>
        <v>0</v>
      </c>
      <c r="CA883" s="57" t="n">
        <f aca="false">ROUNDUP(BX883/BQ883,0)</f>
        <v>0</v>
      </c>
      <c r="CB883" s="60" t="n">
        <f aca="false">IF(BR883=1,0,IFERROR(VLOOKUP(BP883,'Gebinde-Kategorie'!$A$5:$M$45,5,0)+0,0))</f>
        <v>8</v>
      </c>
      <c r="CC883" s="60" t="n">
        <f aca="false">IFERROR(IF(OR(BT883=1,BT883=2,BT883=3),N(INDEX(Parameter!$I$5:$I$7,BT883)),0),0)</f>
        <v>0</v>
      </c>
      <c r="CD883" s="59" t="n">
        <f aca="false">IF(AND(Parameter!$B$21="Ja",ISNUMBER(U883),N(V883)&gt;0),IFERROR(N(INDEX(Parameter!$L$5:$L$7,U883))*INDEX(Parameter!$E$5:$E$7,U883)*V883/SUMIFS($V$7:$V$1576,$U$7:$U$1576,U883),0),0)</f>
        <v>0</v>
      </c>
    </row>
    <row r="884" customFormat="false" ht="15" hidden="false" customHeight="false" outlineLevel="0" collapsed="false">
      <c r="A884" s="55" t="s">
        <v>1658</v>
      </c>
      <c r="B884" s="55" t="s">
        <v>881</v>
      </c>
      <c r="C884" s="55" t="s">
        <v>160</v>
      </c>
      <c r="D884" s="55" t="s">
        <v>178</v>
      </c>
      <c r="E884" s="55" t="s">
        <v>210</v>
      </c>
      <c r="F884" s="56" t="n">
        <v>3.77</v>
      </c>
      <c r="G884" s="57" t="n">
        <f aca="false">MAX(0,IF(AND(Parameter!$B$21="Ja",ISNUMBER(W884)),W884,IF(Parameter!$B$20="Jahresanfang 2025 + Export",BJ884+BI884,BI884)))</f>
        <v>0</v>
      </c>
      <c r="H884" s="57" t="n">
        <f aca="false">G884*F884</f>
        <v>0</v>
      </c>
      <c r="I884" s="57" t="n">
        <f aca="false">BL884*Parameter!$B$18</f>
        <v>23</v>
      </c>
      <c r="J884" s="58" t="n">
        <v>10.5</v>
      </c>
      <c r="K884" s="59" t="n">
        <v>2.19047619047619</v>
      </c>
      <c r="L884" s="57" t="n">
        <v>0</v>
      </c>
      <c r="M884" s="57" t="n">
        <v>25</v>
      </c>
      <c r="N884" s="60" t="n">
        <v>14</v>
      </c>
      <c r="O884" s="55" t="s">
        <v>411</v>
      </c>
      <c r="P884" s="57" t="n">
        <v>37</v>
      </c>
      <c r="Q884" s="60" t="n">
        <f aca="false">IF(BR884=1,0,IFERROR(VLOOKUP(BP884,'Gebinde-Kategorie'!$A$5:$M$45,13,0)+0,0))</f>
        <v>132</v>
      </c>
      <c r="R884" s="61"/>
      <c r="S884" s="62"/>
      <c r="T884" s="62"/>
      <c r="U884" s="55"/>
      <c r="V884" s="57"/>
      <c r="W884" s="57"/>
      <c r="X884" s="55" t="n">
        <f aca="false">IF(A884="","",IF(AND(Parameter!$B$21="Ja",ISNUMBER(U884)),U884,IF(IFERROR(VLOOKUP(D884,Parameter!$A$35:$C$64,2,0),"Nein")="2+3",IF(ISNUMBER(SEARCH("grosser Artikel",BM884)),2,IFERROR(VLOOKUP(BP884,Parameter!$F$35:$G$64,2,0),2)),IF(OR(IFERROR(VLOOKUP(D884,Parameter!$A$35:$C$64,2,0),"Nein")="Nein",IFERROR(VLOOKUP(D884,Parameter!$A$35:$C$64,2,0),"Nein")=""),"-",VLOOKUP(D884,Parameter!$A$35:$C$64,2,0)))))</f>
        <v>3</v>
      </c>
      <c r="Y884" s="62"/>
      <c r="Z884" s="63"/>
      <c r="AA884" s="57" t="n">
        <f aca="false">AP884</f>
        <v>37</v>
      </c>
      <c r="AB884" s="57" t="n">
        <f aca="false">MAX(AP884,G884)</f>
        <v>37</v>
      </c>
      <c r="AC884" s="64"/>
      <c r="AD884" s="57" t="n">
        <f aca="false">IF(LEFT(Cockpit!$C$5,1)="A",G884,IF(BW884=1,BX884,IF(LEFT(Cockpit!$C$5,1)="B",AH884,MAX(AH884,G884))))</f>
        <v>0</v>
      </c>
      <c r="AE884" s="57" t="n">
        <f aca="false">IF(BR884=1,0,ROUNDUP(AD884/BQ884,0))</f>
        <v>0</v>
      </c>
      <c r="AF884" s="59" t="n">
        <f aca="false">IF(CD884&gt;0,CD884*MAX(1,AD884/V884),IF(BR884=1,IF(AD884&lt;=0,0,BS884*MAX(1,IF(G884&gt;0,AD884/G884,1))),IF(Q884&gt;0,AE884/Q884,0))/MAX(0.1,N(Parameter!$M$21)))</f>
        <v>0</v>
      </c>
      <c r="AG884" s="57" t="n">
        <f aca="false">AD884*F884</f>
        <v>0</v>
      </c>
      <c r="AH884" s="57" t="n">
        <f aca="false">ROUNDUP(MAX(I884/IF(BV884&gt;0,BV884,MAX(0.1,N(Cockpit!$C$6))),BY884)/BQ884,0)*BQ884</f>
        <v>37</v>
      </c>
      <c r="AI884" s="58" t="n">
        <f aca="false">IF(AF884&gt;0,I884/AF884,-1)</f>
        <v>-1</v>
      </c>
      <c r="AJ884" s="58" t="str">
        <f aca="false">IF(AND(OR(BU884="L1",BU884="L23"),AF884&gt;0),SUMIFS($AF$7:$AF$1576,$BU$7:$BU$1576,BU884,$AI$7:$AI$1576,"&gt;"&amp;AI884)+SUMIFS($AF$7:$AF$1576,$BU$7:$BU$1576,BU884,$AI$7:$AI$1576,AI884,$BO$7:$BO$1576,"&lt;="&amp;BO884),"")</f>
        <v/>
      </c>
      <c r="AK884" s="65" t="n">
        <f aca="false">IF(AJ884="",0,MAX(0,MIN(1,(IF(BU884="L1",Parameter!$E$5,Parameter!$E$6+Parameter!$E$7)-(AJ884-AF884))/AF884)))</f>
        <v>0</v>
      </c>
      <c r="AL884" s="57" t="n">
        <f aca="false">IF(LEFT(Cockpit!$I$5,1)="A",G884,IF(BW884=1,BX884,IF(LEFT(Cockpit!$I$5,1)="B",AP884,MAX(AP884,G884))))</f>
        <v>37</v>
      </c>
      <c r="AM884" s="57" t="n">
        <f aca="false">IF(BR884=1,0,ROUNDUP(AL884/BQ884,0))</f>
        <v>1</v>
      </c>
      <c r="AN884" s="59" t="n">
        <f aca="false">IF(CD884&gt;0,CD884*MAX(1,AL884/V884),IF(BR884=1,IF(AL884&lt;=0,0,BS884*MAX(1,IF(G884&gt;0,AL884/G884,1))),IF(Q884&gt;0,AM884/Q884,0))/MAX(0.1,N(Parameter!$M$21)))</f>
        <v>0.00757575757575758</v>
      </c>
      <c r="AO884" s="57" t="n">
        <f aca="false">AL884*F884</f>
        <v>139.49</v>
      </c>
      <c r="AP884" s="57" t="n">
        <f aca="false">ROUNDUP(MAX(I884/IF(BV884&gt;0,BV884,MAX(0.1,N(Cockpit!$I$6))),BY884)/BQ884,0)*BQ884</f>
        <v>37</v>
      </c>
      <c r="AQ884" s="58" t="n">
        <f aca="false">IF(AN884&gt;0,I884/AN884,-1)</f>
        <v>3036</v>
      </c>
      <c r="AR884" s="58" t="n">
        <f aca="false">IF(AND(OR(BU884="L1",BU884="L23"),AN884&gt;0),SUMIFS($AN$7:$AN$1576,$BU$7:$BU$1576,BU884,$AQ$7:$AQ$1576,"&gt;"&amp;AQ884)+SUMIFS($AN$7:$AN$1576,$BU$7:$BU$1576,BU884,$AQ$7:$AQ$1576,AQ884,$BO$7:$BO$1576,"&lt;="&amp;BO884),"")</f>
        <v>14.3341373365765</v>
      </c>
      <c r="AS884" s="65" t="n">
        <f aca="false">IF(AR884="",0,MAX(0,MIN(1,(IF(BU884="L1",Parameter!$E$5,Parameter!$E$6+Parameter!$E$7)-(AR884-AN884))/AN884)))</f>
        <v>1</v>
      </c>
      <c r="AT884" s="57" t="n">
        <f aca="false">IF(LEFT(Cockpit!$O$5,1)="A",G884,IF(BW884=1,BX884,IF(LEFT(Cockpit!$O$5,1)="B",AX884,MAX(AX884,G884))))</f>
        <v>37</v>
      </c>
      <c r="AU884" s="57" t="n">
        <f aca="false">IF(BR884=1,0,ROUNDUP(AT884/BQ884,0))</f>
        <v>1</v>
      </c>
      <c r="AV884" s="59" t="n">
        <f aca="false">IF(CD884&gt;0,CD884*MAX(1,AT884/V884),IF(BR884=1,IF(AT884&lt;=0,0,BS884*MAX(1,IF(G884&gt;0,AT884/G884,1))),IF(Q884&gt;0,AU884/Q884,0))/MAX(0.1,N(Parameter!$M$21)))</f>
        <v>0.00757575757575758</v>
      </c>
      <c r="AW884" s="57" t="n">
        <f aca="false">AT884*F884</f>
        <v>139.49</v>
      </c>
      <c r="AX884" s="57" t="n">
        <f aca="false">ROUNDUP(MAX(I884/IF(BV884&gt;0,BV884,MAX(0.1,N(Cockpit!$O$6))),BY884)/BQ884,0)*BQ884</f>
        <v>37</v>
      </c>
      <c r="AY884" s="58" t="n">
        <f aca="false">IF(AV884&gt;0,I884/AV884,-1)</f>
        <v>3036</v>
      </c>
      <c r="AZ884" s="58" t="n">
        <f aca="false">IF(AND(OR(BU884="L1",BU884="L23"),AV884&gt;0),SUMIFS($AV$7:$AV$1576,$BU$7:$BU$1576,BU884,$AY$7:$AY$1576,"&gt;"&amp;AY884)+SUMIFS($AV$7:$AV$1576,$BU$7:$BU$1576,BU884,$AY$7:$AY$1576,AY884,$BO$7:$BO$1576,"&lt;="&amp;BO884),"")</f>
        <v>13.131922884362</v>
      </c>
      <c r="BA884" s="65" t="n">
        <f aca="false">IF(AZ884="",0,MAX(0,MIN(1,(IF(BU884="L1",Parameter!$E$5,Parameter!$E$6+Parameter!$E$7)-(AZ884-AV884))/AV884)))</f>
        <v>1</v>
      </c>
      <c r="BB884" s="55" t="str">
        <f aca="false">IF(AF884&lt;=0,"",IF(BU884="Aussen","Aussenlager",IF(BU884="-","Nicht im Lift",IF(AK884&gt;=1,"Lift",IF(AK884&lt;=0,"Aussenlager","teilweise")))))</f>
        <v/>
      </c>
      <c r="BC884" s="55" t="str">
        <f aca="false">IF(AN884&lt;=0,"",IF(BU884="Aussen","Aussenlager",IF(BU884="-","Nicht im Lift",IF(AS884&gt;=1,"Lift",IF(AS884&lt;=0,"Aussenlager","teilweise")))))</f>
        <v>Lift</v>
      </c>
      <c r="BD884" s="55" t="str">
        <f aca="false">IF(AV884&lt;=0,"",IF(BU884="Aussen","Aussenlager",IF(BU884="-","Nicht im Lift",IF(BA884&gt;=1,"Lift",IF(BA884&lt;=0,"Aussenlager","teilweise")))))</f>
        <v>Lift</v>
      </c>
      <c r="BE884" s="55" t="str">
        <f aca="false">IF(A884="","",IF(BN884=1,"Neu; ","")&amp;IF(AND(BN884=0,BI884&lt;0),"negativer Bestand (Export "&amp;BI884&amp;"); ","")&amp;IF(I884&lt;=0,"Kein Verbrauch; ","")&amp;IF(CD884&gt;0,"Lift "&amp;U884&amp;" lt. Liftbericht (Fach "&amp;V884&amp;" Stk); ",IF(BR884=1,"Lose – Fläche geschätzt; ",""))&amp;IF(G884&gt;AP884,"Überbestand "&amp;ROUND(G884-AP884,0)&amp;" Stk / CHF "&amp;ROUND((G884-AP884)*F884,0)&amp;"; ","")&amp;IF(AND(BW884=1,BX884&lt;BY884),"MAX &lt; MB+LG; ","")&amp;IF(AND(CC884&gt;0,CB884*10&gt;CC884),"zu hoch für Tablar; ","")&amp;IF(AND(BN884=0,OR(BW884=1,Y884&lt;&gt;"",S884&lt;&gt;"",T884&lt;&gt;"",Z884&lt;&gt;"")),"manuell übersteuert; ","")&amp;IF(AND(BR884=0,Q884=0),"Gebinde unbekannt / Stellmass fehlt; ","")&amp;IF(AND(BR884=0,N(T884)&lt;=0,N(P884)&lt;=0),"Menge pro Gebinde fehlt (Ist = 1 Gebinde); ","")&amp;BM884)</f>
        <v>negativer Bestand (Export -8); </v>
      </c>
      <c r="BF884" s="55"/>
      <c r="BG884" s="55"/>
      <c r="BH884" s="62"/>
      <c r="BI884" s="57" t="n">
        <v>-8</v>
      </c>
      <c r="BJ884" s="57" t="n">
        <v>12</v>
      </c>
      <c r="BK884" s="56" t="n">
        <v>-28.12</v>
      </c>
      <c r="BL884" s="57" t="n">
        <v>23</v>
      </c>
      <c r="BM884" s="55"/>
      <c r="BN884" s="60" t="n">
        <v>0</v>
      </c>
      <c r="BO884" s="60" t="n">
        <v>884</v>
      </c>
      <c r="BP884" s="55" t="str">
        <f aca="false">IF(S884&lt;&gt;"",UPPER(TRIM(S884)),IF(O884="","LOSE",O884))</f>
        <v>S32</v>
      </c>
      <c r="BQ884" s="57" t="n">
        <f aca="false">IF(BP884="LOSE",1,IF(N(T884)&gt;0,T884,IF(N(P884)&gt;0,P884,MAX(1,G884))))</f>
        <v>37</v>
      </c>
      <c r="BR884" s="60" t="n">
        <f aca="false">IF(BP884="LOSE",1,0)</f>
        <v>0</v>
      </c>
      <c r="BS884" s="59" t="n">
        <f aca="false">IF(BR884=0,0,IF(N(R884)&gt;0,R884,IFERROR(VLOOKUP(D884,Parameter!$A$35:$C$64,3,0)+0,0)))</f>
        <v>0</v>
      </c>
      <c r="BT884" s="55" t="n">
        <f aca="false">IF(Y884&lt;&gt;"",Y884,X884)</f>
        <v>3</v>
      </c>
      <c r="BU884" s="55" t="str">
        <f aca="false">IF(BT884=1,"L1",IF(OR(BT884=2,BT884=3),"L23",IF(BT884="Aussen","Aussen","-")))</f>
        <v>L23</v>
      </c>
      <c r="BV884" s="66" t="n">
        <f aca="false">IF(N(Z884)&gt;0,Z884,0)</f>
        <v>0</v>
      </c>
      <c r="BW884" s="60" t="n">
        <f aca="false">IF(ISNUMBER(AC884),1,0)</f>
        <v>0</v>
      </c>
      <c r="BX884" s="57" t="n">
        <f aca="false">N(AC884)</f>
        <v>0</v>
      </c>
      <c r="BY884" s="57" t="n">
        <f aca="false">N(L884)+N(M884)</f>
        <v>25</v>
      </c>
      <c r="BZ884" s="57" t="n">
        <f aca="false">ROUNDUP(G884/BQ884,0)</f>
        <v>0</v>
      </c>
      <c r="CA884" s="57" t="n">
        <f aca="false">ROUNDUP(BX884/BQ884,0)</f>
        <v>0</v>
      </c>
      <c r="CB884" s="60" t="n">
        <f aca="false">IF(BR884=1,0,IFERROR(VLOOKUP(BP884,'Gebinde-Kategorie'!$A$5:$M$45,5,0)+0,0))</f>
        <v>8</v>
      </c>
      <c r="CC884" s="60" t="n">
        <f aca="false">IFERROR(IF(OR(BT884=1,BT884=2,BT884=3),N(INDEX(Parameter!$I$5:$I$7,BT884)),0),0)</f>
        <v>0</v>
      </c>
      <c r="CD884" s="59" t="n">
        <f aca="false">IF(AND(Parameter!$B$21="Ja",ISNUMBER(U884),N(V884)&gt;0),IFERROR(N(INDEX(Parameter!$L$5:$L$7,U884))*INDEX(Parameter!$E$5:$E$7,U884)*V884/SUMIFS($V$7:$V$1576,$U$7:$U$1576,U884),0),0)</f>
        <v>0</v>
      </c>
    </row>
    <row r="885" customFormat="false" ht="15" hidden="false" customHeight="false" outlineLevel="0" collapsed="false">
      <c r="A885" s="55" t="s">
        <v>1659</v>
      </c>
      <c r="B885" s="55" t="s">
        <v>1277</v>
      </c>
      <c r="C885" s="55" t="s">
        <v>160</v>
      </c>
      <c r="D885" s="55" t="s">
        <v>178</v>
      </c>
      <c r="E885" s="55" t="s">
        <v>210</v>
      </c>
      <c r="F885" s="56" t="n">
        <v>7.34</v>
      </c>
      <c r="G885" s="57" t="n">
        <f aca="false">MAX(0,IF(AND(Parameter!$B$21="Ja",ISNUMBER(W885)),W885,IF(Parameter!$B$20="Jahresanfang 2025 + Export",BJ885+BI885,BI885)))</f>
        <v>0</v>
      </c>
      <c r="H885" s="57" t="n">
        <f aca="false">G885*F885</f>
        <v>0</v>
      </c>
      <c r="I885" s="57" t="n">
        <f aca="false">BL885*Parameter!$B$18</f>
        <v>6</v>
      </c>
      <c r="J885" s="58" t="n">
        <v>6.5</v>
      </c>
      <c r="K885" s="59" t="n">
        <v>0.923076923076923</v>
      </c>
      <c r="L885" s="57" t="n">
        <v>0</v>
      </c>
      <c r="M885" s="57" t="n">
        <v>5</v>
      </c>
      <c r="N885" s="60" t="n">
        <v>14</v>
      </c>
      <c r="O885" s="55" t="s">
        <v>465</v>
      </c>
      <c r="P885" s="57" t="n">
        <v>5</v>
      </c>
      <c r="Q885" s="60" t="n">
        <f aca="false">IF(BR885=1,0,IFERROR(VLOOKUP(BP885,'Gebinde-Kategorie'!$A$5:$M$45,13,0)+0,0))</f>
        <v>66</v>
      </c>
      <c r="R885" s="61"/>
      <c r="S885" s="62"/>
      <c r="T885" s="62"/>
      <c r="U885" s="55"/>
      <c r="V885" s="57"/>
      <c r="W885" s="57"/>
      <c r="X885" s="55" t="n">
        <f aca="false">IF(A885="","",IF(AND(Parameter!$B$21="Ja",ISNUMBER(U885)),U885,IF(IFERROR(VLOOKUP(D885,Parameter!$A$35:$C$64,2,0),"Nein")="2+3",IF(ISNUMBER(SEARCH("grosser Artikel",BM885)),2,IFERROR(VLOOKUP(BP885,Parameter!$F$35:$G$64,2,0),2)),IF(OR(IFERROR(VLOOKUP(D885,Parameter!$A$35:$C$64,2,0),"Nein")="Nein",IFERROR(VLOOKUP(D885,Parameter!$A$35:$C$64,2,0),"Nein")=""),"-",VLOOKUP(D885,Parameter!$A$35:$C$64,2,0)))))</f>
        <v>3</v>
      </c>
      <c r="Y885" s="62"/>
      <c r="Z885" s="63"/>
      <c r="AA885" s="57" t="n">
        <f aca="false">AP885</f>
        <v>5</v>
      </c>
      <c r="AB885" s="57" t="n">
        <f aca="false">MAX(AP885,G885)</f>
        <v>5</v>
      </c>
      <c r="AC885" s="64"/>
      <c r="AD885" s="57" t="n">
        <f aca="false">IF(LEFT(Cockpit!$C$5,1)="A",G885,IF(BW885=1,BX885,IF(LEFT(Cockpit!$C$5,1)="B",AH885,MAX(AH885,G885))))</f>
        <v>0</v>
      </c>
      <c r="AE885" s="57" t="n">
        <f aca="false">IF(BR885=1,0,ROUNDUP(AD885/BQ885,0))</f>
        <v>0</v>
      </c>
      <c r="AF885" s="59" t="n">
        <f aca="false">IF(CD885&gt;0,CD885*MAX(1,AD885/V885),IF(BR885=1,IF(AD885&lt;=0,0,BS885*MAX(1,IF(G885&gt;0,AD885/G885,1))),IF(Q885&gt;0,AE885/Q885,0))/MAX(0.1,N(Parameter!$M$21)))</f>
        <v>0</v>
      </c>
      <c r="AG885" s="57" t="n">
        <f aca="false">AD885*F885</f>
        <v>0</v>
      </c>
      <c r="AH885" s="57" t="n">
        <f aca="false">ROUNDUP(MAX(I885/IF(BV885&gt;0,BV885,MAX(0.1,N(Cockpit!$C$6))),BY885)/BQ885,0)*BQ885</f>
        <v>5</v>
      </c>
      <c r="AI885" s="58" t="n">
        <f aca="false">IF(AF885&gt;0,I885/AF885,-1)</f>
        <v>-1</v>
      </c>
      <c r="AJ885" s="58" t="str">
        <f aca="false">IF(AND(OR(BU885="L1",BU885="L23"),AF885&gt;0),SUMIFS($AF$7:$AF$1576,$BU$7:$BU$1576,BU885,$AI$7:$AI$1576,"&gt;"&amp;AI885)+SUMIFS($AF$7:$AF$1576,$BU$7:$BU$1576,BU885,$AI$7:$AI$1576,AI885,$BO$7:$BO$1576,"&lt;="&amp;BO885),"")</f>
        <v/>
      </c>
      <c r="AK885" s="65" t="n">
        <f aca="false">IF(AJ885="",0,MAX(0,MIN(1,(IF(BU885="L1",Parameter!$E$5,Parameter!$E$6+Parameter!$E$7)-(AJ885-AF885))/AF885)))</f>
        <v>0</v>
      </c>
      <c r="AL885" s="57" t="n">
        <f aca="false">IF(LEFT(Cockpit!$I$5,1)="A",G885,IF(BW885=1,BX885,IF(LEFT(Cockpit!$I$5,1)="B",AP885,MAX(AP885,G885))))</f>
        <v>5</v>
      </c>
      <c r="AM885" s="57" t="n">
        <f aca="false">IF(BR885=1,0,ROUNDUP(AL885/BQ885,0))</f>
        <v>1</v>
      </c>
      <c r="AN885" s="59" t="n">
        <f aca="false">IF(CD885&gt;0,CD885*MAX(1,AL885/V885),IF(BR885=1,IF(AL885&lt;=0,0,BS885*MAX(1,IF(G885&gt;0,AL885/G885,1))),IF(Q885&gt;0,AM885/Q885,0))/MAX(0.1,N(Parameter!$M$21)))</f>
        <v>0.0151515151515152</v>
      </c>
      <c r="AO885" s="57" t="n">
        <f aca="false">AL885*F885</f>
        <v>36.7</v>
      </c>
      <c r="AP885" s="57" t="n">
        <f aca="false">ROUNDUP(MAX(I885/IF(BV885&gt;0,BV885,MAX(0.1,N(Cockpit!$I$6))),BY885)/BQ885,0)*BQ885</f>
        <v>5</v>
      </c>
      <c r="AQ885" s="58" t="n">
        <f aca="false">IF(AN885&gt;0,I885/AN885,-1)</f>
        <v>396</v>
      </c>
      <c r="AR885" s="58" t="n">
        <f aca="false">IF(AND(OR(BU885="L1",BU885="L23"),AN885&gt;0),SUMIFS($AN$7:$AN$1576,$BU$7:$BU$1576,BU885,$AQ$7:$AQ$1576,"&gt;"&amp;AQ885)+SUMIFS($AN$7:$AN$1576,$BU$7:$BU$1576,BU885,$AQ$7:$AQ$1576,AQ885,$BO$7:$BO$1576,"&lt;="&amp;BO885),"")</f>
        <v>36.8268894997267</v>
      </c>
      <c r="AS885" s="65" t="n">
        <f aca="false">IF(AR885="",0,MAX(0,MIN(1,(IF(BU885="L1",Parameter!$E$5,Parameter!$E$6+Parameter!$E$7)-(AR885-AN885))/AN885)))</f>
        <v>1</v>
      </c>
      <c r="AT885" s="57" t="n">
        <f aca="false">IF(LEFT(Cockpit!$O$5,1)="A",G885,IF(BW885=1,BX885,IF(LEFT(Cockpit!$O$5,1)="B",AX885,MAX(AX885,G885))))</f>
        <v>5</v>
      </c>
      <c r="AU885" s="57" t="n">
        <f aca="false">IF(BR885=1,0,ROUNDUP(AT885/BQ885,0))</f>
        <v>1</v>
      </c>
      <c r="AV885" s="59" t="n">
        <f aca="false">IF(CD885&gt;0,CD885*MAX(1,AT885/V885),IF(BR885=1,IF(AT885&lt;=0,0,BS885*MAX(1,IF(G885&gt;0,AT885/G885,1))),IF(Q885&gt;0,AU885/Q885,0))/MAX(0.1,N(Parameter!$M$21)))</f>
        <v>0.0151515151515152</v>
      </c>
      <c r="AW885" s="57" t="n">
        <f aca="false">AT885*F885</f>
        <v>36.7</v>
      </c>
      <c r="AX885" s="57" t="n">
        <f aca="false">ROUNDUP(MAX(I885/IF(BV885&gt;0,BV885,MAX(0.1,N(Cockpit!$O$6))),BY885)/BQ885,0)*BQ885</f>
        <v>5</v>
      </c>
      <c r="AY885" s="58" t="n">
        <f aca="false">IF(AV885&gt;0,I885/AV885,-1)</f>
        <v>396</v>
      </c>
      <c r="AZ885" s="58" t="n">
        <f aca="false">IF(AND(OR(BU885="L1",BU885="L23"),AV885&gt;0),SUMIFS($AV$7:$AV$1576,$BU$7:$BU$1576,BU885,$AY$7:$AY$1576,"&gt;"&amp;AY885)+SUMIFS($AV$7:$AV$1576,$BU$7:$BU$1576,BU885,$AY$7:$AY$1576,AY885,$BO$7:$BO$1576,"&lt;="&amp;BO885),"")</f>
        <v>35.991634754472</v>
      </c>
      <c r="BA885" s="65" t="n">
        <f aca="false">IF(AZ885="",0,MAX(0,MIN(1,(IF(BU885="L1",Parameter!$E$5,Parameter!$E$6+Parameter!$E$7)-(AZ885-AV885))/AV885)))</f>
        <v>1</v>
      </c>
      <c r="BB885" s="55" t="str">
        <f aca="false">IF(AF885&lt;=0,"",IF(BU885="Aussen","Aussenlager",IF(BU885="-","Nicht im Lift",IF(AK885&gt;=1,"Lift",IF(AK885&lt;=0,"Aussenlager","teilweise")))))</f>
        <v/>
      </c>
      <c r="BC885" s="55" t="str">
        <f aca="false">IF(AN885&lt;=0,"",IF(BU885="Aussen","Aussenlager",IF(BU885="-","Nicht im Lift",IF(AS885&gt;=1,"Lift",IF(AS885&lt;=0,"Aussenlager","teilweise")))))</f>
        <v>Lift</v>
      </c>
      <c r="BD885" s="55" t="str">
        <f aca="false">IF(AV885&lt;=0,"",IF(BU885="Aussen","Aussenlager",IF(BU885="-","Nicht im Lift",IF(BA885&gt;=1,"Lift",IF(BA885&lt;=0,"Aussenlager","teilweise")))))</f>
        <v>Lift</v>
      </c>
      <c r="BE885" s="55" t="str">
        <f aca="false">IF(A885="","",IF(BN885=1,"Neu; ","")&amp;IF(AND(BN885=0,BI885&lt;0),"negativer Bestand (Export "&amp;BI885&amp;"); ","")&amp;IF(I885&lt;=0,"Kein Verbrauch; ","")&amp;IF(CD885&gt;0,"Lift "&amp;U885&amp;" lt. Liftbericht (Fach "&amp;V885&amp;" Stk); ",IF(BR885=1,"Lose – Fläche geschätzt; ",""))&amp;IF(G885&gt;AP885,"Überbestand "&amp;ROUND(G885-AP885,0)&amp;" Stk / CHF "&amp;ROUND((G885-AP885)*F885,0)&amp;"; ","")&amp;IF(AND(BW885=1,BX885&lt;BY885),"MAX &lt; MB+LG; ","")&amp;IF(AND(CC885&gt;0,CB885*10&gt;CC885),"zu hoch für Tablar; ","")&amp;IF(AND(BN885=0,OR(BW885=1,Y885&lt;&gt;"",S885&lt;&gt;"",T885&lt;&gt;"",Z885&lt;&gt;"")),"manuell übersteuert; ","")&amp;IF(AND(BR885=0,Q885=0),"Gebinde unbekannt / Stellmass fehlt; ","")&amp;IF(AND(BR885=0,N(T885)&lt;=0,N(P885)&lt;=0),"Menge pro Gebinde fehlt (Ist = 1 Gebinde); ","")&amp;BM885)</f>
        <v>negativer Bestand (Export -4); </v>
      </c>
      <c r="BF885" s="55"/>
      <c r="BG885" s="55"/>
      <c r="BH885" s="62"/>
      <c r="BI885" s="57" t="n">
        <v>-4</v>
      </c>
      <c r="BJ885" s="57" t="n">
        <v>7</v>
      </c>
      <c r="BK885" s="56" t="n">
        <v>-28.17</v>
      </c>
      <c r="BL885" s="57" t="n">
        <v>6</v>
      </c>
      <c r="BM885" s="55"/>
      <c r="BN885" s="60" t="n">
        <v>0</v>
      </c>
      <c r="BO885" s="60" t="n">
        <v>885</v>
      </c>
      <c r="BP885" s="55" t="str">
        <f aca="false">IF(S885&lt;&gt;"",UPPER(TRIM(S885)),IF(O885="","LOSE",O885))</f>
        <v>S33</v>
      </c>
      <c r="BQ885" s="57" t="n">
        <f aca="false">IF(BP885="LOSE",1,IF(N(T885)&gt;0,T885,IF(N(P885)&gt;0,P885,MAX(1,G885))))</f>
        <v>5</v>
      </c>
      <c r="BR885" s="60" t="n">
        <f aca="false">IF(BP885="LOSE",1,0)</f>
        <v>0</v>
      </c>
      <c r="BS885" s="59" t="n">
        <f aca="false">IF(BR885=0,0,IF(N(R885)&gt;0,R885,IFERROR(VLOOKUP(D885,Parameter!$A$35:$C$64,3,0)+0,0)))</f>
        <v>0</v>
      </c>
      <c r="BT885" s="55" t="n">
        <f aca="false">IF(Y885&lt;&gt;"",Y885,X885)</f>
        <v>3</v>
      </c>
      <c r="BU885" s="55" t="str">
        <f aca="false">IF(BT885=1,"L1",IF(OR(BT885=2,BT885=3),"L23",IF(BT885="Aussen","Aussen","-")))</f>
        <v>L23</v>
      </c>
      <c r="BV885" s="66" t="n">
        <f aca="false">IF(N(Z885)&gt;0,Z885,0)</f>
        <v>0</v>
      </c>
      <c r="BW885" s="60" t="n">
        <f aca="false">IF(ISNUMBER(AC885),1,0)</f>
        <v>0</v>
      </c>
      <c r="BX885" s="57" t="n">
        <f aca="false">N(AC885)</f>
        <v>0</v>
      </c>
      <c r="BY885" s="57" t="n">
        <f aca="false">N(L885)+N(M885)</f>
        <v>5</v>
      </c>
      <c r="BZ885" s="57" t="n">
        <f aca="false">ROUNDUP(G885/BQ885,0)</f>
        <v>0</v>
      </c>
      <c r="CA885" s="57" t="n">
        <f aca="false">ROUNDUP(BX885/BQ885,0)</f>
        <v>0</v>
      </c>
      <c r="CB885" s="60" t="n">
        <f aca="false">IF(BR885=1,0,IFERROR(VLOOKUP(BP885,'Gebinde-Kategorie'!$A$5:$M$45,5,0)+0,0))</f>
        <v>8</v>
      </c>
      <c r="CC885" s="60" t="n">
        <f aca="false">IFERROR(IF(OR(BT885=1,BT885=2,BT885=3),N(INDEX(Parameter!$I$5:$I$7,BT885)),0),0)</f>
        <v>0</v>
      </c>
      <c r="CD885" s="59" t="n">
        <f aca="false">IF(AND(Parameter!$B$21="Ja",ISNUMBER(U885),N(V885)&gt;0),IFERROR(N(INDEX(Parameter!$L$5:$L$7,U885))*INDEX(Parameter!$E$5:$E$7,U885)*V885/SUMIFS($V$7:$V$1576,$U$7:$U$1576,U885),0),0)</f>
        <v>0</v>
      </c>
    </row>
    <row r="886" customFormat="false" ht="15" hidden="false" customHeight="false" outlineLevel="0" collapsed="false">
      <c r="A886" s="55" t="s">
        <v>1660</v>
      </c>
      <c r="B886" s="55" t="s">
        <v>881</v>
      </c>
      <c r="C886" s="55" t="s">
        <v>160</v>
      </c>
      <c r="D886" s="55" t="s">
        <v>178</v>
      </c>
      <c r="E886" s="55" t="s">
        <v>210</v>
      </c>
      <c r="F886" s="56" t="n">
        <v>11.11</v>
      </c>
      <c r="G886" s="57" t="n">
        <f aca="false">MAX(0,IF(AND(Parameter!$B$21="Ja",ISNUMBER(W886)),W886,IF(Parameter!$B$20="Jahresanfang 2025 + Export",BJ886+BI886,BI886)))</f>
        <v>0</v>
      </c>
      <c r="H886" s="57" t="n">
        <f aca="false">G886*F886</f>
        <v>0</v>
      </c>
      <c r="I886" s="57" t="n">
        <f aca="false">BL886*Parameter!$B$18</f>
        <v>18</v>
      </c>
      <c r="J886" s="58" t="n">
        <v>11</v>
      </c>
      <c r="K886" s="59" t="n">
        <v>1.63636363636364</v>
      </c>
      <c r="L886" s="57" t="n">
        <v>0</v>
      </c>
      <c r="M886" s="57" t="n">
        <v>20</v>
      </c>
      <c r="N886" s="60" t="n">
        <v>14</v>
      </c>
      <c r="O886" s="55" t="s">
        <v>416</v>
      </c>
      <c r="P886" s="57" t="n">
        <v>8</v>
      </c>
      <c r="Q886" s="60" t="n">
        <f aca="false">IF(BR886=1,0,IFERROR(VLOOKUP(BP886,'Gebinde-Kategorie'!$A$5:$M$45,13,0)+0,0))</f>
        <v>198</v>
      </c>
      <c r="R886" s="61"/>
      <c r="S886" s="62"/>
      <c r="T886" s="62"/>
      <c r="U886" s="55"/>
      <c r="V886" s="57"/>
      <c r="W886" s="57"/>
      <c r="X886" s="55" t="n">
        <f aca="false">IF(A886="","",IF(AND(Parameter!$B$21="Ja",ISNUMBER(U886)),U886,IF(IFERROR(VLOOKUP(D886,Parameter!$A$35:$C$64,2,0),"Nein")="2+3",IF(ISNUMBER(SEARCH("grosser Artikel",BM886)),2,IFERROR(VLOOKUP(BP886,Parameter!$F$35:$G$64,2,0),2)),IF(OR(IFERROR(VLOOKUP(D886,Parameter!$A$35:$C$64,2,0),"Nein")="Nein",IFERROR(VLOOKUP(D886,Parameter!$A$35:$C$64,2,0),"Nein")=""),"-",VLOOKUP(D886,Parameter!$A$35:$C$64,2,0)))))</f>
        <v>3</v>
      </c>
      <c r="Y886" s="62"/>
      <c r="Z886" s="63"/>
      <c r="AA886" s="57" t="n">
        <f aca="false">AP886</f>
        <v>24</v>
      </c>
      <c r="AB886" s="57" t="n">
        <f aca="false">MAX(AP886,G886)</f>
        <v>24</v>
      </c>
      <c r="AC886" s="64"/>
      <c r="AD886" s="57" t="n">
        <f aca="false">IF(LEFT(Cockpit!$C$5,1)="A",G886,IF(BW886=1,BX886,IF(LEFT(Cockpit!$C$5,1)="B",AH886,MAX(AH886,G886))))</f>
        <v>0</v>
      </c>
      <c r="AE886" s="57" t="n">
        <f aca="false">IF(BR886=1,0,ROUNDUP(AD886/BQ886,0))</f>
        <v>0</v>
      </c>
      <c r="AF886" s="59" t="n">
        <f aca="false">IF(CD886&gt;0,CD886*MAX(1,AD886/V886),IF(BR886=1,IF(AD886&lt;=0,0,BS886*MAX(1,IF(G886&gt;0,AD886/G886,1))),IF(Q886&gt;0,AE886/Q886,0))/MAX(0.1,N(Parameter!$M$21)))</f>
        <v>0</v>
      </c>
      <c r="AG886" s="57" t="n">
        <f aca="false">AD886*F886</f>
        <v>0</v>
      </c>
      <c r="AH886" s="57" t="n">
        <f aca="false">ROUNDUP(MAX(I886/IF(BV886&gt;0,BV886,MAX(0.1,N(Cockpit!$C$6))),BY886)/BQ886,0)*BQ886</f>
        <v>24</v>
      </c>
      <c r="AI886" s="58" t="n">
        <f aca="false">IF(AF886&gt;0,I886/AF886,-1)</f>
        <v>-1</v>
      </c>
      <c r="AJ886" s="58" t="str">
        <f aca="false">IF(AND(OR(BU886="L1",BU886="L23"),AF886&gt;0),SUMIFS($AF$7:$AF$1576,$BU$7:$BU$1576,BU886,$AI$7:$AI$1576,"&gt;"&amp;AI886)+SUMIFS($AF$7:$AF$1576,$BU$7:$BU$1576,BU886,$AI$7:$AI$1576,AI886,$BO$7:$BO$1576,"&lt;="&amp;BO886),"")</f>
        <v/>
      </c>
      <c r="AK886" s="65" t="n">
        <f aca="false">IF(AJ886="",0,MAX(0,MIN(1,(IF(BU886="L1",Parameter!$E$5,Parameter!$E$6+Parameter!$E$7)-(AJ886-AF886))/AF886)))</f>
        <v>0</v>
      </c>
      <c r="AL886" s="57" t="n">
        <f aca="false">IF(LEFT(Cockpit!$I$5,1)="A",G886,IF(BW886=1,BX886,IF(LEFT(Cockpit!$I$5,1)="B",AP886,MAX(AP886,G886))))</f>
        <v>24</v>
      </c>
      <c r="AM886" s="57" t="n">
        <f aca="false">IF(BR886=1,0,ROUNDUP(AL886/BQ886,0))</f>
        <v>3</v>
      </c>
      <c r="AN886" s="59" t="n">
        <f aca="false">IF(CD886&gt;0,CD886*MAX(1,AL886/V886),IF(BR886=1,IF(AL886&lt;=0,0,BS886*MAX(1,IF(G886&gt;0,AL886/G886,1))),IF(Q886&gt;0,AM886/Q886,0))/MAX(0.1,N(Parameter!$M$21)))</f>
        <v>0.0151515151515152</v>
      </c>
      <c r="AO886" s="57" t="n">
        <f aca="false">AL886*F886</f>
        <v>266.64</v>
      </c>
      <c r="AP886" s="57" t="n">
        <f aca="false">ROUNDUP(MAX(I886/IF(BV886&gt;0,BV886,MAX(0.1,N(Cockpit!$I$6))),BY886)/BQ886,0)*BQ886</f>
        <v>24</v>
      </c>
      <c r="AQ886" s="58" t="n">
        <f aca="false">IF(AN886&gt;0,I886/AN886,-1)</f>
        <v>1188</v>
      </c>
      <c r="AR886" s="58" t="n">
        <f aca="false">IF(AND(OR(BU886="L1",BU886="L23"),AN886&gt;0),SUMIFS($AN$7:$AN$1576,$BU$7:$BU$1576,BU886,$AQ$7:$AQ$1576,"&gt;"&amp;AQ886)+SUMIFS($AN$7:$AN$1576,$BU$7:$BU$1576,BU886,$AQ$7:$AQ$1576,AQ886,$BO$7:$BO$1576,"&lt;="&amp;BO886),"")</f>
        <v>21.1001793499731</v>
      </c>
      <c r="AS886" s="65" t="n">
        <f aca="false">IF(AR886="",0,MAX(0,MIN(1,(IF(BU886="L1",Parameter!$E$5,Parameter!$E$6+Parameter!$E$7)-(AR886-AN886))/AN886)))</f>
        <v>1</v>
      </c>
      <c r="AT886" s="57" t="n">
        <f aca="false">IF(LEFT(Cockpit!$O$5,1)="A",G886,IF(BW886=1,BX886,IF(LEFT(Cockpit!$O$5,1)="B",AX886,MAX(AX886,G886))))</f>
        <v>24</v>
      </c>
      <c r="AU886" s="57" t="n">
        <f aca="false">IF(BR886=1,0,ROUNDUP(AT886/BQ886,0))</f>
        <v>3</v>
      </c>
      <c r="AV886" s="59" t="n">
        <f aca="false">IF(CD886&gt;0,CD886*MAX(1,AT886/V886),IF(BR886=1,IF(AT886&lt;=0,0,BS886*MAX(1,IF(G886&gt;0,AT886/G886,1))),IF(Q886&gt;0,AU886/Q886,0))/MAX(0.1,N(Parameter!$M$21)))</f>
        <v>0.0151515151515152</v>
      </c>
      <c r="AW886" s="57" t="n">
        <f aca="false">AT886*F886</f>
        <v>266.64</v>
      </c>
      <c r="AX886" s="57" t="n">
        <f aca="false">ROUNDUP(MAX(I886/IF(BV886&gt;0,BV886,MAX(0.1,N(Cockpit!$O$6))),BY886)/BQ886,0)*BQ886</f>
        <v>24</v>
      </c>
      <c r="AY886" s="58" t="n">
        <f aca="false">IF(AV886&gt;0,I886/AV886,-1)</f>
        <v>1188</v>
      </c>
      <c r="AZ886" s="58" t="n">
        <f aca="false">IF(AND(OR(BU886="L1",BU886="L23"),AV886&gt;0),SUMIFS($AV$7:$AV$1576,$BU$7:$BU$1576,BU886,$AY$7:$AY$1576,"&gt;"&amp;AY886)+SUMIFS($AV$7:$AV$1576,$BU$7:$BU$1576,BU886,$AY$7:$AY$1576,AY886,$BO$7:$BO$1576,"&lt;="&amp;BO886),"")</f>
        <v>20.4107854105792</v>
      </c>
      <c r="BA886" s="65" t="n">
        <f aca="false">IF(AZ886="",0,MAX(0,MIN(1,(IF(BU886="L1",Parameter!$E$5,Parameter!$E$6+Parameter!$E$7)-(AZ886-AV886))/AV886)))</f>
        <v>1</v>
      </c>
      <c r="BB886" s="55" t="str">
        <f aca="false">IF(AF886&lt;=0,"",IF(BU886="Aussen","Aussenlager",IF(BU886="-","Nicht im Lift",IF(AK886&gt;=1,"Lift",IF(AK886&lt;=0,"Aussenlager","teilweise")))))</f>
        <v/>
      </c>
      <c r="BC886" s="55" t="str">
        <f aca="false">IF(AN886&lt;=0,"",IF(BU886="Aussen","Aussenlager",IF(BU886="-","Nicht im Lift",IF(AS886&gt;=1,"Lift",IF(AS886&lt;=0,"Aussenlager","teilweise")))))</f>
        <v>Lift</v>
      </c>
      <c r="BD886" s="55" t="str">
        <f aca="false">IF(AV886&lt;=0,"",IF(BU886="Aussen","Aussenlager",IF(BU886="-","Nicht im Lift",IF(BA886&gt;=1,"Lift",IF(BA886&lt;=0,"Aussenlager","teilweise")))))</f>
        <v>Lift</v>
      </c>
      <c r="BE886" s="55" t="str">
        <f aca="false">IF(A886="","",IF(BN886=1,"Neu; ","")&amp;IF(AND(BN886=0,BI886&lt;0),"negativer Bestand (Export "&amp;BI886&amp;"); ","")&amp;IF(I886&lt;=0,"Kein Verbrauch; ","")&amp;IF(CD886&gt;0,"Lift "&amp;U886&amp;" lt. Liftbericht (Fach "&amp;V886&amp;" Stk); ",IF(BR886=1,"Lose – Fläche geschätzt; ",""))&amp;IF(G886&gt;AP886,"Überbestand "&amp;ROUND(G886-AP886,0)&amp;" Stk / CHF "&amp;ROUND((G886-AP886)*F886,0)&amp;"; ","")&amp;IF(AND(BW886=1,BX886&lt;BY886),"MAX &lt; MB+LG; ","")&amp;IF(AND(CC886&gt;0,CB886*10&gt;CC886),"zu hoch für Tablar; ","")&amp;IF(AND(BN886=0,OR(BW886=1,Y886&lt;&gt;"",S886&lt;&gt;"",T886&lt;&gt;"",Z886&lt;&gt;"")),"manuell übersteuert; ","")&amp;IF(AND(BR886=0,Q886=0),"Gebinde unbekannt / Stellmass fehlt; ","")&amp;IF(AND(BR886=0,N(T886)&lt;=0,N(P886)&lt;=0),"Menge pro Gebinde fehlt (Ist = 1 Gebinde); ","")&amp;BM886)</f>
        <v>negativer Bestand (Export -3); </v>
      </c>
      <c r="BF886" s="55"/>
      <c r="BG886" s="55"/>
      <c r="BH886" s="62"/>
      <c r="BI886" s="57" t="n">
        <v>-3</v>
      </c>
      <c r="BJ886" s="57" t="n">
        <v>10</v>
      </c>
      <c r="BK886" s="56" t="n">
        <v>-28.33</v>
      </c>
      <c r="BL886" s="57" t="n">
        <v>18</v>
      </c>
      <c r="BM886" s="55"/>
      <c r="BN886" s="60" t="n">
        <v>0</v>
      </c>
      <c r="BO886" s="60" t="n">
        <v>886</v>
      </c>
      <c r="BP886" s="55" t="str">
        <f aca="false">IF(S886&lt;&gt;"",UPPER(TRIM(S886)),IF(O886="","LOSE",O886))</f>
        <v>S22</v>
      </c>
      <c r="BQ886" s="57" t="n">
        <f aca="false">IF(BP886="LOSE",1,IF(N(T886)&gt;0,T886,IF(N(P886)&gt;0,P886,MAX(1,G886))))</f>
        <v>8</v>
      </c>
      <c r="BR886" s="60" t="n">
        <f aca="false">IF(BP886="LOSE",1,0)</f>
        <v>0</v>
      </c>
      <c r="BS886" s="59" t="n">
        <f aca="false">IF(BR886=0,0,IF(N(R886)&gt;0,R886,IFERROR(VLOOKUP(D886,Parameter!$A$35:$C$64,3,0)+0,0)))</f>
        <v>0</v>
      </c>
      <c r="BT886" s="55" t="n">
        <f aca="false">IF(Y886&lt;&gt;"",Y886,X886)</f>
        <v>3</v>
      </c>
      <c r="BU886" s="55" t="str">
        <f aca="false">IF(BT886=1,"L1",IF(OR(BT886=2,BT886=3),"L23",IF(BT886="Aussen","Aussen","-")))</f>
        <v>L23</v>
      </c>
      <c r="BV886" s="66" t="n">
        <f aca="false">IF(N(Z886)&gt;0,Z886,0)</f>
        <v>0</v>
      </c>
      <c r="BW886" s="60" t="n">
        <f aca="false">IF(ISNUMBER(AC886),1,0)</f>
        <v>0</v>
      </c>
      <c r="BX886" s="57" t="n">
        <f aca="false">N(AC886)</f>
        <v>0</v>
      </c>
      <c r="BY886" s="57" t="n">
        <f aca="false">N(L886)+N(M886)</f>
        <v>20</v>
      </c>
      <c r="BZ886" s="57" t="n">
        <f aca="false">ROUNDUP(G886/BQ886,0)</f>
        <v>0</v>
      </c>
      <c r="CA886" s="57" t="n">
        <f aca="false">ROUNDUP(BX886/BQ886,0)</f>
        <v>0</v>
      </c>
      <c r="CB886" s="60" t="n">
        <f aca="false">IF(BR886=1,0,IFERROR(VLOOKUP(BP886,'Gebinde-Kategorie'!$A$5:$M$45,5,0)+0,0))</f>
        <v>8</v>
      </c>
      <c r="CC886" s="60" t="n">
        <f aca="false">IFERROR(IF(OR(BT886=1,BT886=2,BT886=3),N(INDEX(Parameter!$I$5:$I$7,BT886)),0),0)</f>
        <v>0</v>
      </c>
      <c r="CD886" s="59" t="n">
        <f aca="false">IF(AND(Parameter!$B$21="Ja",ISNUMBER(U886),N(V886)&gt;0),IFERROR(N(INDEX(Parameter!$L$5:$L$7,U886))*INDEX(Parameter!$E$5:$E$7,U886)*V886/SUMIFS($V$7:$V$1576,$U$7:$U$1576,U886),0),0)</f>
        <v>0</v>
      </c>
    </row>
    <row r="887" customFormat="false" ht="15" hidden="false" customHeight="false" outlineLevel="0" collapsed="false">
      <c r="A887" s="55" t="s">
        <v>1661</v>
      </c>
      <c r="B887" s="55" t="s">
        <v>1662</v>
      </c>
      <c r="C887" s="55" t="s">
        <v>160</v>
      </c>
      <c r="D887" s="55" t="s">
        <v>178</v>
      </c>
      <c r="E887" s="55" t="s">
        <v>210</v>
      </c>
      <c r="F887" s="56" t="n">
        <v>5.69</v>
      </c>
      <c r="G887" s="57" t="n">
        <f aca="false">MAX(0,IF(AND(Parameter!$B$21="Ja",ISNUMBER(W887)),W887,IF(Parameter!$B$20="Jahresanfang 2025 + Export",BJ887+BI887,BI887)))</f>
        <v>0</v>
      </c>
      <c r="H887" s="57" t="n">
        <f aca="false">G887*F887</f>
        <v>0</v>
      </c>
      <c r="I887" s="57" t="n">
        <f aca="false">BL887*Parameter!$B$18</f>
        <v>3</v>
      </c>
      <c r="J887" s="58" t="n">
        <v>12.5</v>
      </c>
      <c r="K887" s="59" t="n">
        <v>0.24</v>
      </c>
      <c r="L887" s="57" t="n">
        <v>0</v>
      </c>
      <c r="M887" s="57" t="n">
        <v>5</v>
      </c>
      <c r="N887" s="60" t="n">
        <v>28</v>
      </c>
      <c r="O887" s="55" t="s">
        <v>391</v>
      </c>
      <c r="P887" s="57" t="n">
        <v>50</v>
      </c>
      <c r="Q887" s="60" t="n">
        <f aca="false">IF(BR887=1,0,IFERROR(VLOOKUP(BP887,'Gebinde-Kategorie'!$A$5:$M$45,13,0)+0,0))</f>
        <v>414</v>
      </c>
      <c r="R887" s="61"/>
      <c r="S887" s="62"/>
      <c r="T887" s="62"/>
      <c r="U887" s="55"/>
      <c r="V887" s="57"/>
      <c r="W887" s="57"/>
      <c r="X887" s="55" t="n">
        <f aca="false">IF(A887="","",IF(AND(Parameter!$B$21="Ja",ISNUMBER(U887)),U887,IF(IFERROR(VLOOKUP(D887,Parameter!$A$35:$C$64,2,0),"Nein")="2+3",IF(ISNUMBER(SEARCH("grosser Artikel",BM887)),2,IFERROR(VLOOKUP(BP887,Parameter!$F$35:$G$64,2,0),2)),IF(OR(IFERROR(VLOOKUP(D887,Parameter!$A$35:$C$64,2,0),"Nein")="Nein",IFERROR(VLOOKUP(D887,Parameter!$A$35:$C$64,2,0),"Nein")=""),"-",VLOOKUP(D887,Parameter!$A$35:$C$64,2,0)))))</f>
        <v>3</v>
      </c>
      <c r="Y887" s="62"/>
      <c r="Z887" s="63"/>
      <c r="AA887" s="57" t="n">
        <f aca="false">AP887</f>
        <v>50</v>
      </c>
      <c r="AB887" s="57" t="n">
        <f aca="false">MAX(AP887,G887)</f>
        <v>50</v>
      </c>
      <c r="AC887" s="64"/>
      <c r="AD887" s="57" t="n">
        <f aca="false">IF(LEFT(Cockpit!$C$5,1)="A",G887,IF(BW887=1,BX887,IF(LEFT(Cockpit!$C$5,1)="B",AH887,MAX(AH887,G887))))</f>
        <v>0</v>
      </c>
      <c r="AE887" s="57" t="n">
        <f aca="false">IF(BR887=1,0,ROUNDUP(AD887/BQ887,0))</f>
        <v>0</v>
      </c>
      <c r="AF887" s="59" t="n">
        <f aca="false">IF(CD887&gt;0,CD887*MAX(1,AD887/V887),IF(BR887=1,IF(AD887&lt;=0,0,BS887*MAX(1,IF(G887&gt;0,AD887/G887,1))),IF(Q887&gt;0,AE887/Q887,0))/MAX(0.1,N(Parameter!$M$21)))</f>
        <v>0</v>
      </c>
      <c r="AG887" s="57" t="n">
        <f aca="false">AD887*F887</f>
        <v>0</v>
      </c>
      <c r="AH887" s="57" t="n">
        <f aca="false">ROUNDUP(MAX(I887/IF(BV887&gt;0,BV887,MAX(0.1,N(Cockpit!$C$6))),BY887)/BQ887,0)*BQ887</f>
        <v>50</v>
      </c>
      <c r="AI887" s="58" t="n">
        <f aca="false">IF(AF887&gt;0,I887/AF887,-1)</f>
        <v>-1</v>
      </c>
      <c r="AJ887" s="58" t="str">
        <f aca="false">IF(AND(OR(BU887="L1",BU887="L23"),AF887&gt;0),SUMIFS($AF$7:$AF$1576,$BU$7:$BU$1576,BU887,$AI$7:$AI$1576,"&gt;"&amp;AI887)+SUMIFS($AF$7:$AF$1576,$BU$7:$BU$1576,BU887,$AI$7:$AI$1576,AI887,$BO$7:$BO$1576,"&lt;="&amp;BO887),"")</f>
        <v/>
      </c>
      <c r="AK887" s="65" t="n">
        <f aca="false">IF(AJ887="",0,MAX(0,MIN(1,(IF(BU887="L1",Parameter!$E$5,Parameter!$E$6+Parameter!$E$7)-(AJ887-AF887))/AF887)))</f>
        <v>0</v>
      </c>
      <c r="AL887" s="57" t="n">
        <f aca="false">IF(LEFT(Cockpit!$I$5,1)="A",G887,IF(BW887=1,BX887,IF(LEFT(Cockpit!$I$5,1)="B",AP887,MAX(AP887,G887))))</f>
        <v>50</v>
      </c>
      <c r="AM887" s="57" t="n">
        <f aca="false">IF(BR887=1,0,ROUNDUP(AL887/BQ887,0))</f>
        <v>1</v>
      </c>
      <c r="AN887" s="59" t="n">
        <f aca="false">IF(CD887&gt;0,CD887*MAX(1,AL887/V887),IF(BR887=1,IF(AL887&lt;=0,0,BS887*MAX(1,IF(G887&gt;0,AL887/G887,1))),IF(Q887&gt;0,AM887/Q887,0))/MAX(0.1,N(Parameter!$M$21)))</f>
        <v>0.00241545893719807</v>
      </c>
      <c r="AO887" s="57" t="n">
        <f aca="false">AL887*F887</f>
        <v>284.5</v>
      </c>
      <c r="AP887" s="57" t="n">
        <f aca="false">ROUNDUP(MAX(I887/IF(BV887&gt;0,BV887,MAX(0.1,N(Cockpit!$I$6))),BY887)/BQ887,0)*BQ887</f>
        <v>50</v>
      </c>
      <c r="AQ887" s="58" t="n">
        <f aca="false">IF(AN887&gt;0,I887/AN887,-1)</f>
        <v>1242</v>
      </c>
      <c r="AR887" s="58" t="n">
        <f aca="false">IF(AND(OR(BU887="L1",BU887="L23"),AN887&gt;0),SUMIFS($AN$7:$AN$1576,$BU$7:$BU$1576,BU887,$AQ$7:$AQ$1576,"&gt;"&amp;AQ887)+SUMIFS($AN$7:$AN$1576,$BU$7:$BU$1576,BU887,$AQ$7:$AQ$1576,AQ887,$BO$7:$BO$1576,"&lt;="&amp;BO887),"")</f>
        <v>20.7291091158594</v>
      </c>
      <c r="AS887" s="65" t="n">
        <f aca="false">IF(AR887="",0,MAX(0,MIN(1,(IF(BU887="L1",Parameter!$E$5,Parameter!$E$6+Parameter!$E$7)-(AR887-AN887))/AN887)))</f>
        <v>1</v>
      </c>
      <c r="AT887" s="57" t="n">
        <f aca="false">IF(LEFT(Cockpit!$O$5,1)="A",G887,IF(BW887=1,BX887,IF(LEFT(Cockpit!$O$5,1)="B",AX887,MAX(AX887,G887))))</f>
        <v>50</v>
      </c>
      <c r="AU887" s="57" t="n">
        <f aca="false">IF(BR887=1,0,ROUNDUP(AT887/BQ887,0))</f>
        <v>1</v>
      </c>
      <c r="AV887" s="59" t="n">
        <f aca="false">IF(CD887&gt;0,CD887*MAX(1,AT887/V887),IF(BR887=1,IF(AT887&lt;=0,0,BS887*MAX(1,IF(G887&gt;0,AT887/G887,1))),IF(Q887&gt;0,AU887/Q887,0))/MAX(0.1,N(Parameter!$M$21)))</f>
        <v>0.00241545893719807</v>
      </c>
      <c r="AW887" s="57" t="n">
        <f aca="false">AT887*F887</f>
        <v>284.5</v>
      </c>
      <c r="AX887" s="57" t="n">
        <f aca="false">ROUNDUP(MAX(I887/IF(BV887&gt;0,BV887,MAX(0.1,N(Cockpit!$O$6))),BY887)/BQ887,0)*BQ887</f>
        <v>50</v>
      </c>
      <c r="AY887" s="58" t="n">
        <f aca="false">IF(AV887&gt;0,I887/AV887,-1)</f>
        <v>1242</v>
      </c>
      <c r="AZ887" s="58" t="n">
        <f aca="false">IF(AND(OR(BU887="L1",BU887="L23"),AV887&gt;0),SUMIFS($AV$7:$AV$1576,$BU$7:$BU$1576,BU887,$AY$7:$AY$1576,"&gt;"&amp;AY887)+SUMIFS($AV$7:$AV$1576,$BU$7:$BU$1576,BU887,$AY$7:$AY$1576,AY887,$BO$7:$BO$1576,"&lt;="&amp;BO887),"")</f>
        <v>19.7897151764655</v>
      </c>
      <c r="BA887" s="65" t="n">
        <f aca="false">IF(AZ887="",0,MAX(0,MIN(1,(IF(BU887="L1",Parameter!$E$5,Parameter!$E$6+Parameter!$E$7)-(AZ887-AV887))/AV887)))</f>
        <v>1</v>
      </c>
      <c r="BB887" s="55" t="str">
        <f aca="false">IF(AF887&lt;=0,"",IF(BU887="Aussen","Aussenlager",IF(BU887="-","Nicht im Lift",IF(AK887&gt;=1,"Lift",IF(AK887&lt;=0,"Aussenlager","teilweise")))))</f>
        <v/>
      </c>
      <c r="BC887" s="55" t="str">
        <f aca="false">IF(AN887&lt;=0,"",IF(BU887="Aussen","Aussenlager",IF(BU887="-","Nicht im Lift",IF(AS887&gt;=1,"Lift",IF(AS887&lt;=0,"Aussenlager","teilweise")))))</f>
        <v>Lift</v>
      </c>
      <c r="BD887" s="55" t="str">
        <f aca="false">IF(AV887&lt;=0,"",IF(BU887="Aussen","Aussenlager",IF(BU887="-","Nicht im Lift",IF(BA887&gt;=1,"Lift",IF(BA887&lt;=0,"Aussenlager","teilweise")))))</f>
        <v>Lift</v>
      </c>
      <c r="BE887" s="55" t="str">
        <f aca="false">IF(A887="","",IF(BN887=1,"Neu; ","")&amp;IF(AND(BN887=0,BI887&lt;0),"negativer Bestand (Export "&amp;BI887&amp;"); ","")&amp;IF(I887&lt;=0,"Kein Verbrauch; ","")&amp;IF(CD887&gt;0,"Lift "&amp;U887&amp;" lt. Liftbericht (Fach "&amp;V887&amp;" Stk); ",IF(BR887=1,"Lose – Fläche geschätzt; ",""))&amp;IF(G887&gt;AP887,"Überbestand "&amp;ROUND(G887-AP887,0)&amp;" Stk / CHF "&amp;ROUND((G887-AP887)*F887,0)&amp;"; ","")&amp;IF(AND(BW887=1,BX887&lt;BY887),"MAX &lt; MB+LG; ","")&amp;IF(AND(CC887&gt;0,CB887*10&gt;CC887),"zu hoch für Tablar; ","")&amp;IF(AND(BN887=0,OR(BW887=1,Y887&lt;&gt;"",S887&lt;&gt;"",T887&lt;&gt;"",Z887&lt;&gt;"")),"manuell übersteuert; ","")&amp;IF(AND(BR887=0,Q887=0),"Gebinde unbekannt / Stellmass fehlt; ","")&amp;IF(AND(BR887=0,N(T887)&lt;=0,N(P887)&lt;=0),"Menge pro Gebinde fehlt (Ist = 1 Gebinde); ","")&amp;BM887)</f>
        <v>negativer Bestand (Export -5); </v>
      </c>
      <c r="BF887" s="55"/>
      <c r="BG887" s="55"/>
      <c r="BH887" s="62"/>
      <c r="BI887" s="57" t="n">
        <v>-5</v>
      </c>
      <c r="BJ887" s="57" t="n">
        <v>15</v>
      </c>
      <c r="BK887" s="56" t="n">
        <v>-28.45</v>
      </c>
      <c r="BL887" s="57" t="n">
        <v>3</v>
      </c>
      <c r="BM887" s="55"/>
      <c r="BN887" s="60" t="n">
        <v>0</v>
      </c>
      <c r="BO887" s="60" t="n">
        <v>887</v>
      </c>
      <c r="BP887" s="55" t="str">
        <f aca="false">IF(S887&lt;&gt;"",UPPER(TRIM(S887)),IF(O887="","LOSE",O887))</f>
        <v>S21</v>
      </c>
      <c r="BQ887" s="57" t="n">
        <f aca="false">IF(BP887="LOSE",1,IF(N(T887)&gt;0,T887,IF(N(P887)&gt;0,P887,MAX(1,G887))))</f>
        <v>50</v>
      </c>
      <c r="BR887" s="60" t="n">
        <f aca="false">IF(BP887="LOSE",1,0)</f>
        <v>0</v>
      </c>
      <c r="BS887" s="59" t="n">
        <f aca="false">IF(BR887=0,0,IF(N(R887)&gt;0,R887,IFERROR(VLOOKUP(D887,Parameter!$A$35:$C$64,3,0)+0,0)))</f>
        <v>0</v>
      </c>
      <c r="BT887" s="55" t="n">
        <f aca="false">IF(Y887&lt;&gt;"",Y887,X887)</f>
        <v>3</v>
      </c>
      <c r="BU887" s="55" t="str">
        <f aca="false">IF(BT887=1,"L1",IF(OR(BT887=2,BT887=3),"L23",IF(BT887="Aussen","Aussen","-")))</f>
        <v>L23</v>
      </c>
      <c r="BV887" s="66" t="n">
        <f aca="false">IF(N(Z887)&gt;0,Z887,0)</f>
        <v>0</v>
      </c>
      <c r="BW887" s="60" t="n">
        <f aca="false">IF(ISNUMBER(AC887),1,0)</f>
        <v>0</v>
      </c>
      <c r="BX887" s="57" t="n">
        <f aca="false">N(AC887)</f>
        <v>0</v>
      </c>
      <c r="BY887" s="57" t="n">
        <f aca="false">N(L887)+N(M887)</f>
        <v>5</v>
      </c>
      <c r="BZ887" s="57" t="n">
        <f aca="false">ROUNDUP(G887/BQ887,0)</f>
        <v>0</v>
      </c>
      <c r="CA887" s="57" t="n">
        <f aca="false">ROUNDUP(BX887/BQ887,0)</f>
        <v>0</v>
      </c>
      <c r="CB887" s="60" t="n">
        <f aca="false">IF(BR887=1,0,IFERROR(VLOOKUP(BP887,'Gebinde-Kategorie'!$A$5:$M$45,5,0)+0,0))</f>
        <v>8</v>
      </c>
      <c r="CC887" s="60" t="n">
        <f aca="false">IFERROR(IF(OR(BT887=1,BT887=2,BT887=3),N(INDEX(Parameter!$I$5:$I$7,BT887)),0),0)</f>
        <v>0</v>
      </c>
      <c r="CD887" s="59" t="n">
        <f aca="false">IF(AND(Parameter!$B$21="Ja",ISNUMBER(U887),N(V887)&gt;0),IFERROR(N(INDEX(Parameter!$L$5:$L$7,U887))*INDEX(Parameter!$E$5:$E$7,U887)*V887/SUMIFS($V$7:$V$1576,$U$7:$U$1576,U887),0),0)</f>
        <v>0</v>
      </c>
    </row>
    <row r="888" customFormat="false" ht="15" hidden="false" customHeight="false" outlineLevel="0" collapsed="false">
      <c r="A888" s="55" t="s">
        <v>1663</v>
      </c>
      <c r="B888" s="55" t="s">
        <v>1664</v>
      </c>
      <c r="C888" s="55" t="s">
        <v>160</v>
      </c>
      <c r="D888" s="55" t="s">
        <v>178</v>
      </c>
      <c r="E888" s="55" t="s">
        <v>210</v>
      </c>
      <c r="F888" s="56" t="n">
        <v>14.44</v>
      </c>
      <c r="G888" s="57" t="n">
        <f aca="false">MAX(0,IF(AND(Parameter!$B$21="Ja",ISNUMBER(W888)),W888,IF(Parameter!$B$20="Jahresanfang 2025 + Export",BJ888+BI888,BI888)))</f>
        <v>0</v>
      </c>
      <c r="H888" s="57" t="n">
        <f aca="false">G888*F888</f>
        <v>0</v>
      </c>
      <c r="I888" s="57" t="n">
        <f aca="false">BL888*Parameter!$B$18</f>
        <v>0</v>
      </c>
      <c r="J888" s="58" t="n">
        <v>2</v>
      </c>
      <c r="K888" s="59" t="n">
        <v>0</v>
      </c>
      <c r="L888" s="57" t="n">
        <v>0</v>
      </c>
      <c r="M888" s="57" t="n">
        <v>1</v>
      </c>
      <c r="N888" s="60" t="n">
        <v>14</v>
      </c>
      <c r="O888" s="55" t="s">
        <v>163</v>
      </c>
      <c r="P888" s="57"/>
      <c r="Q888" s="60" t="n">
        <f aca="false">IF(BR888=1,0,IFERROR(VLOOKUP(BP888,'Gebinde-Kategorie'!$A$5:$M$45,13,0)+0,0))</f>
        <v>0</v>
      </c>
      <c r="R888" s="61"/>
      <c r="S888" s="62"/>
      <c r="T888" s="62"/>
      <c r="U888" s="55"/>
      <c r="V888" s="57"/>
      <c r="W888" s="57"/>
      <c r="X888" s="55" t="n">
        <f aca="false">IF(A888="","",IF(AND(Parameter!$B$21="Ja",ISNUMBER(U888)),U888,IF(IFERROR(VLOOKUP(D888,Parameter!$A$35:$C$64,2,0),"Nein")="2+3",IF(ISNUMBER(SEARCH("grosser Artikel",BM888)),2,IFERROR(VLOOKUP(BP888,Parameter!$F$35:$G$64,2,0),2)),IF(OR(IFERROR(VLOOKUP(D888,Parameter!$A$35:$C$64,2,0),"Nein")="Nein",IFERROR(VLOOKUP(D888,Parameter!$A$35:$C$64,2,0),"Nein")=""),"-",VLOOKUP(D888,Parameter!$A$35:$C$64,2,0)))))</f>
        <v>2</v>
      </c>
      <c r="Y888" s="62"/>
      <c r="Z888" s="63"/>
      <c r="AA888" s="57" t="n">
        <f aca="false">AP888</f>
        <v>1</v>
      </c>
      <c r="AB888" s="57" t="n">
        <f aca="false">MAX(AP888,G888)</f>
        <v>1</v>
      </c>
      <c r="AC888" s="64"/>
      <c r="AD888" s="57" t="n">
        <f aca="false">IF(LEFT(Cockpit!$C$5,1)="A",G888,IF(BW888=1,BX888,IF(LEFT(Cockpit!$C$5,1)="B",AH888,MAX(AH888,G888))))</f>
        <v>0</v>
      </c>
      <c r="AE888" s="57" t="n">
        <f aca="false">IF(BR888=1,0,ROUNDUP(AD888/BQ888,0))</f>
        <v>0</v>
      </c>
      <c r="AF888" s="59" t="n">
        <f aca="false">IF(CD888&gt;0,CD888*MAX(1,AD888/V888),IF(BR888=1,IF(AD888&lt;=0,0,BS888*MAX(1,IF(G888&gt;0,AD888/G888,1))),IF(Q888&gt;0,AE888/Q888,0))/MAX(0.1,N(Parameter!$M$21)))</f>
        <v>0</v>
      </c>
      <c r="AG888" s="57" t="n">
        <f aca="false">AD888*F888</f>
        <v>0</v>
      </c>
      <c r="AH888" s="57" t="n">
        <f aca="false">ROUNDUP(MAX(I888/IF(BV888&gt;0,BV888,MAX(0.1,N(Cockpit!$C$6))),BY888)/BQ888,0)*BQ888</f>
        <v>1</v>
      </c>
      <c r="AI888" s="58" t="n">
        <f aca="false">IF(AF888&gt;0,I888/AF888,-1)</f>
        <v>-1</v>
      </c>
      <c r="AJ888" s="58" t="str">
        <f aca="false">IF(AND(OR(BU888="L1",BU888="L23"),AF888&gt;0),SUMIFS($AF$7:$AF$1576,$BU$7:$BU$1576,BU888,$AI$7:$AI$1576,"&gt;"&amp;AI888)+SUMIFS($AF$7:$AF$1576,$BU$7:$BU$1576,BU888,$AI$7:$AI$1576,AI888,$BO$7:$BO$1576,"&lt;="&amp;BO888),"")</f>
        <v/>
      </c>
      <c r="AK888" s="65" t="n">
        <f aca="false">IF(AJ888="",0,MAX(0,MIN(1,(IF(BU888="L1",Parameter!$E$5,Parameter!$E$6+Parameter!$E$7)-(AJ888-AF888))/AF888)))</f>
        <v>0</v>
      </c>
      <c r="AL888" s="57" t="n">
        <f aca="false">IF(LEFT(Cockpit!$I$5,1)="A",G888,IF(BW888=1,BX888,IF(LEFT(Cockpit!$I$5,1)="B",AP888,MAX(AP888,G888))))</f>
        <v>1</v>
      </c>
      <c r="AM888" s="57" t="n">
        <f aca="false">IF(BR888=1,0,ROUNDUP(AL888/BQ888,0))</f>
        <v>0</v>
      </c>
      <c r="AN888" s="59" t="n">
        <f aca="false">IF(CD888&gt;0,CD888*MAX(1,AL888/V888),IF(BR888=1,IF(AL888&lt;=0,0,BS888*MAX(1,IF(G888&gt;0,AL888/G888,1))),IF(Q888&gt;0,AM888/Q888,0))/MAX(0.1,N(Parameter!$M$21)))</f>
        <v>0.03</v>
      </c>
      <c r="AO888" s="57" t="n">
        <f aca="false">AL888*F888</f>
        <v>14.44</v>
      </c>
      <c r="AP888" s="57" t="n">
        <f aca="false">ROUNDUP(MAX(I888/IF(BV888&gt;0,BV888,MAX(0.1,N(Cockpit!$I$6))),BY888)/BQ888,0)*BQ888</f>
        <v>1</v>
      </c>
      <c r="AQ888" s="58" t="n">
        <f aca="false">IF(AN888&gt;0,I888/AN888,-1)</f>
        <v>0</v>
      </c>
      <c r="AR888" s="58" t="n">
        <f aca="false">IF(AND(OR(BU888="L1",BU888="L23"),AN888&gt;0),SUMIFS($AN$7:$AN$1576,$BU$7:$BU$1576,BU888,$AQ$7:$AQ$1576,"&gt;"&amp;AQ888)+SUMIFS($AN$7:$AN$1576,$BU$7:$BU$1576,BU888,$AQ$7:$AQ$1576,AQ888,$BO$7:$BO$1576,"&lt;="&amp;BO888),"")</f>
        <v>130.990884839845</v>
      </c>
      <c r="AS888" s="65" t="n">
        <f aca="false">IF(AR888="",0,MAX(0,MIN(1,(IF(BU888="L1",Parameter!$E$5,Parameter!$E$6+Parameter!$E$7)-(AR888-AN888))/AN888)))</f>
        <v>0</v>
      </c>
      <c r="AT888" s="57" t="n">
        <f aca="false">IF(LEFT(Cockpit!$O$5,1)="A",G888,IF(BW888=1,BX888,IF(LEFT(Cockpit!$O$5,1)="B",AX888,MAX(AX888,G888))))</f>
        <v>1</v>
      </c>
      <c r="AU888" s="57" t="n">
        <f aca="false">IF(BR888=1,0,ROUNDUP(AT888/BQ888,0))</f>
        <v>0</v>
      </c>
      <c r="AV888" s="59" t="n">
        <f aca="false">IF(CD888&gt;0,CD888*MAX(1,AT888/V888),IF(BR888=1,IF(AT888&lt;=0,0,BS888*MAX(1,IF(G888&gt;0,AT888/G888,1))),IF(Q888&gt;0,AU888/Q888,0))/MAX(0.1,N(Parameter!$M$21)))</f>
        <v>0.03</v>
      </c>
      <c r="AW888" s="57" t="n">
        <f aca="false">AT888*F888</f>
        <v>14.44</v>
      </c>
      <c r="AX888" s="57" t="n">
        <f aca="false">ROUNDUP(MAX(I888/IF(BV888&gt;0,BV888,MAX(0.1,N(Cockpit!$O$6))),BY888)/BQ888,0)*BQ888</f>
        <v>1</v>
      </c>
      <c r="AY888" s="58" t="n">
        <f aca="false">IF(AV888&gt;0,I888/AV888,-1)</f>
        <v>0</v>
      </c>
      <c r="AZ888" s="58" t="n">
        <f aca="false">IF(AND(OR(BU888="L1",BU888="L23"),AV888&gt;0),SUMIFS($AV$7:$AV$1576,$BU$7:$BU$1576,BU888,$AY$7:$AY$1576,"&gt;"&amp;AY888)+SUMIFS($AV$7:$AV$1576,$BU$7:$BU$1576,BU888,$AY$7:$AY$1576,AY888,$BO$7:$BO$1576,"&lt;="&amp;BO888),"")</f>
        <v>121.050435289396</v>
      </c>
      <c r="BA888" s="65" t="n">
        <f aca="false">IF(AZ888="",0,MAX(0,MIN(1,(IF(BU888="L1",Parameter!$E$5,Parameter!$E$6+Parameter!$E$7)-(AZ888-AV888))/AV888)))</f>
        <v>0</v>
      </c>
      <c r="BB888" s="55" t="str">
        <f aca="false">IF(AF888&lt;=0,"",IF(BU888="Aussen","Aussenlager",IF(BU888="-","Nicht im Lift",IF(AK888&gt;=1,"Lift",IF(AK888&lt;=0,"Aussenlager","teilweise")))))</f>
        <v/>
      </c>
      <c r="BC888" s="55" t="str">
        <f aca="false">IF(AN888&lt;=0,"",IF(BU888="Aussen","Aussenlager",IF(BU888="-","Nicht im Lift",IF(AS888&gt;=1,"Lift",IF(AS888&lt;=0,"Aussenlager","teilweise")))))</f>
        <v>Aussenlager</v>
      </c>
      <c r="BD888" s="55" t="str">
        <f aca="false">IF(AV888&lt;=0,"",IF(BU888="Aussen","Aussenlager",IF(BU888="-","Nicht im Lift",IF(BA888&gt;=1,"Lift",IF(BA888&lt;=0,"Aussenlager","teilweise")))))</f>
        <v>Aussenlager</v>
      </c>
      <c r="BE888" s="55" t="str">
        <f aca="false">IF(A888="","",IF(BN888=1,"Neu; ","")&amp;IF(AND(BN888=0,BI888&lt;0),"negativer Bestand (Export "&amp;BI888&amp;"); ","")&amp;IF(I888&lt;=0,"Kein Verbrauch; ","")&amp;IF(CD888&gt;0,"Lift "&amp;U888&amp;" lt. Liftbericht (Fach "&amp;V888&amp;" Stk); ",IF(BR888=1,"Lose – Fläche geschätzt; ",""))&amp;IF(G888&gt;AP888,"Überbestand "&amp;ROUND(G888-AP888,0)&amp;" Stk / CHF "&amp;ROUND((G888-AP888)*F888,0)&amp;"; ","")&amp;IF(AND(BW888=1,BX888&lt;BY888),"MAX &lt; MB+LG; ","")&amp;IF(AND(CC888&gt;0,CB888*10&gt;CC888),"zu hoch für Tablar; ","")&amp;IF(AND(BN888=0,OR(BW888=1,Y888&lt;&gt;"",S888&lt;&gt;"",T888&lt;&gt;"",Z888&lt;&gt;"")),"manuell übersteuert; ","")&amp;IF(AND(BR888=0,Q888=0),"Gebinde unbekannt / Stellmass fehlt; ","")&amp;IF(AND(BR888=0,N(T888)&lt;=0,N(P888)&lt;=0),"Menge pro Gebinde fehlt (Ist = 1 Gebinde); ","")&amp;BM888)</f>
        <v>negativer Bestand (Export -2); Kein Verbrauch; Lose – Fläche geschätzt; </v>
      </c>
      <c r="BF888" s="55"/>
      <c r="BG888" s="55"/>
      <c r="BH888" s="62"/>
      <c r="BI888" s="57" t="n">
        <v>-2</v>
      </c>
      <c r="BJ888" s="57" t="n">
        <v>2</v>
      </c>
      <c r="BK888" s="56" t="n">
        <v>-28.88</v>
      </c>
      <c r="BL888" s="57" t="n">
        <v>0</v>
      </c>
      <c r="BM888" s="55"/>
      <c r="BN888" s="60" t="n">
        <v>0</v>
      </c>
      <c r="BO888" s="60" t="n">
        <v>888</v>
      </c>
      <c r="BP888" s="55" t="str">
        <f aca="false">IF(S888&lt;&gt;"",UPPER(TRIM(S888)),IF(O888="","LOSE",O888))</f>
        <v>LOSE</v>
      </c>
      <c r="BQ888" s="57" t="n">
        <f aca="false">IF(BP888="LOSE",1,IF(N(T888)&gt;0,T888,IF(N(P888)&gt;0,P888,MAX(1,G888))))</f>
        <v>1</v>
      </c>
      <c r="BR888" s="60" t="n">
        <f aca="false">IF(BP888="LOSE",1,0)</f>
        <v>1</v>
      </c>
      <c r="BS888" s="59" t="n">
        <f aca="false">IF(BR888=0,0,IF(N(R888)&gt;0,R888,IFERROR(VLOOKUP(D888,Parameter!$A$35:$C$64,3,0)+0,0)))</f>
        <v>0.03</v>
      </c>
      <c r="BT888" s="55" t="n">
        <f aca="false">IF(Y888&lt;&gt;"",Y888,X888)</f>
        <v>2</v>
      </c>
      <c r="BU888" s="55" t="str">
        <f aca="false">IF(BT888=1,"L1",IF(OR(BT888=2,BT888=3),"L23",IF(BT888="Aussen","Aussen","-")))</f>
        <v>L23</v>
      </c>
      <c r="BV888" s="66" t="n">
        <f aca="false">IF(N(Z888)&gt;0,Z888,0)</f>
        <v>0</v>
      </c>
      <c r="BW888" s="60" t="n">
        <f aca="false">IF(ISNUMBER(AC888),1,0)</f>
        <v>0</v>
      </c>
      <c r="BX888" s="57" t="n">
        <f aca="false">N(AC888)</f>
        <v>0</v>
      </c>
      <c r="BY888" s="57" t="n">
        <f aca="false">N(L888)+N(M888)</f>
        <v>1</v>
      </c>
      <c r="BZ888" s="57" t="n">
        <f aca="false">ROUNDUP(G888/BQ888,0)</f>
        <v>0</v>
      </c>
      <c r="CA888" s="57" t="n">
        <f aca="false">ROUNDUP(BX888/BQ888,0)</f>
        <v>0</v>
      </c>
      <c r="CB888" s="60" t="n">
        <f aca="false">IF(BR888=1,0,IFERROR(VLOOKUP(BP888,'Gebinde-Kategorie'!$A$5:$M$45,5,0)+0,0))</f>
        <v>0</v>
      </c>
      <c r="CC888" s="60" t="n">
        <f aca="false">IFERROR(IF(OR(BT888=1,BT888=2,BT888=3),N(INDEX(Parameter!$I$5:$I$7,BT888)),0),0)</f>
        <v>0</v>
      </c>
      <c r="CD888" s="59" t="n">
        <f aca="false">IF(AND(Parameter!$B$21="Ja",ISNUMBER(U888),N(V888)&gt;0),IFERROR(N(INDEX(Parameter!$L$5:$L$7,U888))*INDEX(Parameter!$E$5:$E$7,U888)*V888/SUMIFS($V$7:$V$1576,$U$7:$U$1576,U888),0),0)</f>
        <v>0</v>
      </c>
    </row>
    <row r="889" customFormat="false" ht="15" hidden="false" customHeight="false" outlineLevel="0" collapsed="false">
      <c r="A889" s="55" t="s">
        <v>1665</v>
      </c>
      <c r="B889" s="55" t="s">
        <v>1666</v>
      </c>
      <c r="C889" s="55" t="s">
        <v>160</v>
      </c>
      <c r="D889" s="55" t="s">
        <v>178</v>
      </c>
      <c r="E889" s="55" t="s">
        <v>210</v>
      </c>
      <c r="F889" s="56" t="n">
        <v>14.5</v>
      </c>
      <c r="G889" s="57" t="n">
        <f aca="false">MAX(0,IF(AND(Parameter!$B$21="Ja",ISNUMBER(W889)),W889,IF(Parameter!$B$20="Jahresanfang 2025 + Export",BJ889+BI889,BI889)))</f>
        <v>0</v>
      </c>
      <c r="H889" s="57" t="n">
        <f aca="false">G889*F889</f>
        <v>0</v>
      </c>
      <c r="I889" s="57" t="n">
        <f aca="false">BL889*Parameter!$B$18</f>
        <v>0</v>
      </c>
      <c r="J889" s="58" t="n">
        <v>54</v>
      </c>
      <c r="K889" s="59" t="n">
        <v>0</v>
      </c>
      <c r="L889" s="57" t="n">
        <v>0</v>
      </c>
      <c r="M889" s="57" t="n">
        <v>1</v>
      </c>
      <c r="N889" s="60" t="n">
        <v>28</v>
      </c>
      <c r="O889" s="55" t="s">
        <v>416</v>
      </c>
      <c r="P889" s="57" t="n">
        <v>22</v>
      </c>
      <c r="Q889" s="60" t="n">
        <f aca="false">IF(BR889=1,0,IFERROR(VLOOKUP(BP889,'Gebinde-Kategorie'!$A$5:$M$45,13,0)+0,0))</f>
        <v>198</v>
      </c>
      <c r="R889" s="61"/>
      <c r="S889" s="62"/>
      <c r="T889" s="62"/>
      <c r="U889" s="55"/>
      <c r="V889" s="57"/>
      <c r="W889" s="57"/>
      <c r="X889" s="55" t="n">
        <f aca="false">IF(A889="","",IF(AND(Parameter!$B$21="Ja",ISNUMBER(U889)),U889,IF(IFERROR(VLOOKUP(D889,Parameter!$A$35:$C$64,2,0),"Nein")="2+3",IF(ISNUMBER(SEARCH("grosser Artikel",BM889)),2,IFERROR(VLOOKUP(BP889,Parameter!$F$35:$G$64,2,0),2)),IF(OR(IFERROR(VLOOKUP(D889,Parameter!$A$35:$C$64,2,0),"Nein")="Nein",IFERROR(VLOOKUP(D889,Parameter!$A$35:$C$64,2,0),"Nein")=""),"-",VLOOKUP(D889,Parameter!$A$35:$C$64,2,0)))))</f>
        <v>3</v>
      </c>
      <c r="Y889" s="62"/>
      <c r="Z889" s="63"/>
      <c r="AA889" s="57" t="n">
        <f aca="false">AP889</f>
        <v>22</v>
      </c>
      <c r="AB889" s="57" t="n">
        <f aca="false">MAX(AP889,G889)</f>
        <v>22</v>
      </c>
      <c r="AC889" s="64"/>
      <c r="AD889" s="57" t="n">
        <f aca="false">IF(LEFT(Cockpit!$C$5,1)="A",G889,IF(BW889=1,BX889,IF(LEFT(Cockpit!$C$5,1)="B",AH889,MAX(AH889,G889))))</f>
        <v>0</v>
      </c>
      <c r="AE889" s="57" t="n">
        <f aca="false">IF(BR889=1,0,ROUNDUP(AD889/BQ889,0))</f>
        <v>0</v>
      </c>
      <c r="AF889" s="59" t="n">
        <f aca="false">IF(CD889&gt;0,CD889*MAX(1,AD889/V889),IF(BR889=1,IF(AD889&lt;=0,0,BS889*MAX(1,IF(G889&gt;0,AD889/G889,1))),IF(Q889&gt;0,AE889/Q889,0))/MAX(0.1,N(Parameter!$M$21)))</f>
        <v>0</v>
      </c>
      <c r="AG889" s="57" t="n">
        <f aca="false">AD889*F889</f>
        <v>0</v>
      </c>
      <c r="AH889" s="57" t="n">
        <f aca="false">ROUNDUP(MAX(I889/IF(BV889&gt;0,BV889,MAX(0.1,N(Cockpit!$C$6))),BY889)/BQ889,0)*BQ889</f>
        <v>22</v>
      </c>
      <c r="AI889" s="58" t="n">
        <f aca="false">IF(AF889&gt;0,I889/AF889,-1)</f>
        <v>-1</v>
      </c>
      <c r="AJ889" s="58" t="str">
        <f aca="false">IF(AND(OR(BU889="L1",BU889="L23"),AF889&gt;0),SUMIFS($AF$7:$AF$1576,$BU$7:$BU$1576,BU889,$AI$7:$AI$1576,"&gt;"&amp;AI889)+SUMIFS($AF$7:$AF$1576,$BU$7:$BU$1576,BU889,$AI$7:$AI$1576,AI889,$BO$7:$BO$1576,"&lt;="&amp;BO889),"")</f>
        <v/>
      </c>
      <c r="AK889" s="65" t="n">
        <f aca="false">IF(AJ889="",0,MAX(0,MIN(1,(IF(BU889="L1",Parameter!$E$5,Parameter!$E$6+Parameter!$E$7)-(AJ889-AF889))/AF889)))</f>
        <v>0</v>
      </c>
      <c r="AL889" s="57" t="n">
        <f aca="false">IF(LEFT(Cockpit!$I$5,1)="A",G889,IF(BW889=1,BX889,IF(LEFT(Cockpit!$I$5,1)="B",AP889,MAX(AP889,G889))))</f>
        <v>22</v>
      </c>
      <c r="AM889" s="57" t="n">
        <f aca="false">IF(BR889=1,0,ROUNDUP(AL889/BQ889,0))</f>
        <v>1</v>
      </c>
      <c r="AN889" s="59" t="n">
        <f aca="false">IF(CD889&gt;0,CD889*MAX(1,AL889/V889),IF(BR889=1,IF(AL889&lt;=0,0,BS889*MAX(1,IF(G889&gt;0,AL889/G889,1))),IF(Q889&gt;0,AM889/Q889,0))/MAX(0.1,N(Parameter!$M$21)))</f>
        <v>0.00505050505050505</v>
      </c>
      <c r="AO889" s="57" t="n">
        <f aca="false">AL889*F889</f>
        <v>319</v>
      </c>
      <c r="AP889" s="57" t="n">
        <f aca="false">ROUNDUP(MAX(I889/IF(BV889&gt;0,BV889,MAX(0.1,N(Cockpit!$I$6))),BY889)/BQ889,0)*BQ889</f>
        <v>22</v>
      </c>
      <c r="AQ889" s="58" t="n">
        <f aca="false">IF(AN889&gt;0,I889/AN889,-1)</f>
        <v>0</v>
      </c>
      <c r="AR889" s="58" t="n">
        <f aca="false">IF(AND(OR(BU889="L1",BU889="L23"),AN889&gt;0),SUMIFS($AN$7:$AN$1576,$BU$7:$BU$1576,BU889,$AQ$7:$AQ$1576,"&gt;"&amp;AQ889)+SUMIFS($AN$7:$AN$1576,$BU$7:$BU$1576,BU889,$AQ$7:$AQ$1576,AQ889,$BO$7:$BO$1576,"&lt;="&amp;BO889),"")</f>
        <v>130.995935344896</v>
      </c>
      <c r="AS889" s="65" t="n">
        <f aca="false">IF(AR889="",0,MAX(0,MIN(1,(IF(BU889="L1",Parameter!$E$5,Parameter!$E$6+Parameter!$E$7)-(AR889-AN889))/AN889)))</f>
        <v>0</v>
      </c>
      <c r="AT889" s="57" t="n">
        <f aca="false">IF(LEFT(Cockpit!$O$5,1)="A",G889,IF(BW889=1,BX889,IF(LEFT(Cockpit!$O$5,1)="B",AX889,MAX(AX889,G889))))</f>
        <v>22</v>
      </c>
      <c r="AU889" s="57" t="n">
        <f aca="false">IF(BR889=1,0,ROUNDUP(AT889/BQ889,0))</f>
        <v>1</v>
      </c>
      <c r="AV889" s="59" t="n">
        <f aca="false">IF(CD889&gt;0,CD889*MAX(1,AT889/V889),IF(BR889=1,IF(AT889&lt;=0,0,BS889*MAX(1,IF(G889&gt;0,AT889/G889,1))),IF(Q889&gt;0,AU889/Q889,0))/MAX(0.1,N(Parameter!$M$21)))</f>
        <v>0.00505050505050505</v>
      </c>
      <c r="AW889" s="57" t="n">
        <f aca="false">AT889*F889</f>
        <v>319</v>
      </c>
      <c r="AX889" s="57" t="n">
        <f aca="false">ROUNDUP(MAX(I889/IF(BV889&gt;0,BV889,MAX(0.1,N(Cockpit!$O$6))),BY889)/BQ889,0)*BQ889</f>
        <v>22</v>
      </c>
      <c r="AY889" s="58" t="n">
        <f aca="false">IF(AV889&gt;0,I889/AV889,-1)</f>
        <v>0</v>
      </c>
      <c r="AZ889" s="58" t="n">
        <f aca="false">IF(AND(OR(BU889="L1",BU889="L23"),AV889&gt;0),SUMIFS($AV$7:$AV$1576,$BU$7:$BU$1576,BU889,$AY$7:$AY$1576,"&gt;"&amp;AY889)+SUMIFS($AV$7:$AV$1576,$BU$7:$BU$1576,BU889,$AY$7:$AY$1576,AY889,$BO$7:$BO$1576,"&lt;="&amp;BO889),"")</f>
        <v>121.055485794446</v>
      </c>
      <c r="BA889" s="65" t="n">
        <f aca="false">IF(AZ889="",0,MAX(0,MIN(1,(IF(BU889="L1",Parameter!$E$5,Parameter!$E$6+Parameter!$E$7)-(AZ889-AV889))/AV889)))</f>
        <v>0</v>
      </c>
      <c r="BB889" s="55" t="str">
        <f aca="false">IF(AF889&lt;=0,"",IF(BU889="Aussen","Aussenlager",IF(BU889="-","Nicht im Lift",IF(AK889&gt;=1,"Lift",IF(AK889&lt;=0,"Aussenlager","teilweise")))))</f>
        <v/>
      </c>
      <c r="BC889" s="55" t="str">
        <f aca="false">IF(AN889&lt;=0,"",IF(BU889="Aussen","Aussenlager",IF(BU889="-","Nicht im Lift",IF(AS889&gt;=1,"Lift",IF(AS889&lt;=0,"Aussenlager","teilweise")))))</f>
        <v>Aussenlager</v>
      </c>
      <c r="BD889" s="55" t="str">
        <f aca="false">IF(AV889&lt;=0,"",IF(BU889="Aussen","Aussenlager",IF(BU889="-","Nicht im Lift",IF(BA889&gt;=1,"Lift",IF(BA889&lt;=0,"Aussenlager","teilweise")))))</f>
        <v>Aussenlager</v>
      </c>
      <c r="BE889" s="55" t="str">
        <f aca="false">IF(A889="","",IF(BN889=1,"Neu; ","")&amp;IF(AND(BN889=0,BI889&lt;0),"negativer Bestand (Export "&amp;BI889&amp;"); ","")&amp;IF(I889&lt;=0,"Kein Verbrauch; ","")&amp;IF(CD889&gt;0,"Lift "&amp;U889&amp;" lt. Liftbericht (Fach "&amp;V889&amp;" Stk); ",IF(BR889=1,"Lose – Fläche geschätzt; ",""))&amp;IF(G889&gt;AP889,"Überbestand "&amp;ROUND(G889-AP889,0)&amp;" Stk / CHF "&amp;ROUND((G889-AP889)*F889,0)&amp;"; ","")&amp;IF(AND(BW889=1,BX889&lt;BY889),"MAX &lt; MB+LG; ","")&amp;IF(AND(CC889&gt;0,CB889*10&gt;CC889),"zu hoch für Tablar; ","")&amp;IF(AND(BN889=0,OR(BW889=1,Y889&lt;&gt;"",S889&lt;&gt;"",T889&lt;&gt;"",Z889&lt;&gt;"")),"manuell übersteuert; ","")&amp;IF(AND(BR889=0,Q889=0),"Gebinde unbekannt / Stellmass fehlt; ","")&amp;IF(AND(BR889=0,N(T889)&lt;=0,N(P889)&lt;=0),"Menge pro Gebinde fehlt (Ist = 1 Gebinde); ","")&amp;BM889)</f>
        <v>negativer Bestand (Export -2); Kein Verbrauch; </v>
      </c>
      <c r="BF889" s="55"/>
      <c r="BG889" s="55"/>
      <c r="BH889" s="62"/>
      <c r="BI889" s="57" t="n">
        <v>-2</v>
      </c>
      <c r="BJ889" s="57" t="n">
        <v>55</v>
      </c>
      <c r="BK889" s="56" t="n">
        <v>-29</v>
      </c>
      <c r="BL889" s="57" t="n">
        <v>0</v>
      </c>
      <c r="BM889" s="55"/>
      <c r="BN889" s="60" t="n">
        <v>0</v>
      </c>
      <c r="BO889" s="60" t="n">
        <v>889</v>
      </c>
      <c r="BP889" s="55" t="str">
        <f aca="false">IF(S889&lt;&gt;"",UPPER(TRIM(S889)),IF(O889="","LOSE",O889))</f>
        <v>S22</v>
      </c>
      <c r="BQ889" s="57" t="n">
        <f aca="false">IF(BP889="LOSE",1,IF(N(T889)&gt;0,T889,IF(N(P889)&gt;0,P889,MAX(1,G889))))</f>
        <v>22</v>
      </c>
      <c r="BR889" s="60" t="n">
        <f aca="false">IF(BP889="LOSE",1,0)</f>
        <v>0</v>
      </c>
      <c r="BS889" s="59" t="n">
        <f aca="false">IF(BR889=0,0,IF(N(R889)&gt;0,R889,IFERROR(VLOOKUP(D889,Parameter!$A$35:$C$64,3,0)+0,0)))</f>
        <v>0</v>
      </c>
      <c r="BT889" s="55" t="n">
        <f aca="false">IF(Y889&lt;&gt;"",Y889,X889)</f>
        <v>3</v>
      </c>
      <c r="BU889" s="55" t="str">
        <f aca="false">IF(BT889=1,"L1",IF(OR(BT889=2,BT889=3),"L23",IF(BT889="Aussen","Aussen","-")))</f>
        <v>L23</v>
      </c>
      <c r="BV889" s="66" t="n">
        <f aca="false">IF(N(Z889)&gt;0,Z889,0)</f>
        <v>0</v>
      </c>
      <c r="BW889" s="60" t="n">
        <f aca="false">IF(ISNUMBER(AC889),1,0)</f>
        <v>0</v>
      </c>
      <c r="BX889" s="57" t="n">
        <f aca="false">N(AC889)</f>
        <v>0</v>
      </c>
      <c r="BY889" s="57" t="n">
        <f aca="false">N(L889)+N(M889)</f>
        <v>1</v>
      </c>
      <c r="BZ889" s="57" t="n">
        <f aca="false">ROUNDUP(G889/BQ889,0)</f>
        <v>0</v>
      </c>
      <c r="CA889" s="57" t="n">
        <f aca="false">ROUNDUP(BX889/BQ889,0)</f>
        <v>0</v>
      </c>
      <c r="CB889" s="60" t="n">
        <f aca="false">IF(BR889=1,0,IFERROR(VLOOKUP(BP889,'Gebinde-Kategorie'!$A$5:$M$45,5,0)+0,0))</f>
        <v>8</v>
      </c>
      <c r="CC889" s="60" t="n">
        <f aca="false">IFERROR(IF(OR(BT889=1,BT889=2,BT889=3),N(INDEX(Parameter!$I$5:$I$7,BT889)),0),0)</f>
        <v>0</v>
      </c>
      <c r="CD889" s="59" t="n">
        <f aca="false">IF(AND(Parameter!$B$21="Ja",ISNUMBER(U889),N(V889)&gt;0),IFERROR(N(INDEX(Parameter!$L$5:$L$7,U889))*INDEX(Parameter!$E$5:$E$7,U889)*V889/SUMIFS($V$7:$V$1576,$U$7:$U$1576,U889),0),0)</f>
        <v>0</v>
      </c>
    </row>
    <row r="890" customFormat="false" ht="15" hidden="false" customHeight="false" outlineLevel="0" collapsed="false">
      <c r="A890" s="55" t="s">
        <v>1667</v>
      </c>
      <c r="B890" s="55" t="s">
        <v>1668</v>
      </c>
      <c r="C890" s="55" t="s">
        <v>160</v>
      </c>
      <c r="D890" s="55" t="s">
        <v>178</v>
      </c>
      <c r="E890" s="55" t="s">
        <v>210</v>
      </c>
      <c r="F890" s="56" t="n">
        <v>14.71</v>
      </c>
      <c r="G890" s="57" t="n">
        <f aca="false">MAX(0,IF(AND(Parameter!$B$21="Ja",ISNUMBER(W890)),W890,IF(Parameter!$B$20="Jahresanfang 2025 + Export",BJ890+BI890,BI890)))</f>
        <v>0</v>
      </c>
      <c r="H890" s="57" t="n">
        <f aca="false">G890*F890</f>
        <v>0</v>
      </c>
      <c r="I890" s="57" t="n">
        <f aca="false">BL890*Parameter!$B$18</f>
        <v>0</v>
      </c>
      <c r="J890" s="58" t="n">
        <v>5</v>
      </c>
      <c r="K890" s="59" t="n">
        <v>0</v>
      </c>
      <c r="L890" s="57" t="n">
        <v>0</v>
      </c>
      <c r="M890" s="57" t="n">
        <v>1</v>
      </c>
      <c r="N890" s="60" t="n">
        <v>14</v>
      </c>
      <c r="O890" s="55" t="s">
        <v>391</v>
      </c>
      <c r="P890" s="57" t="n">
        <v>5</v>
      </c>
      <c r="Q890" s="60" t="n">
        <f aca="false">IF(BR890=1,0,IFERROR(VLOOKUP(BP890,'Gebinde-Kategorie'!$A$5:$M$45,13,0)+0,0))</f>
        <v>414</v>
      </c>
      <c r="R890" s="61"/>
      <c r="S890" s="62"/>
      <c r="T890" s="62"/>
      <c r="U890" s="55"/>
      <c r="V890" s="57"/>
      <c r="W890" s="57"/>
      <c r="X890" s="55" t="n">
        <f aca="false">IF(A890="","",IF(AND(Parameter!$B$21="Ja",ISNUMBER(U890)),U890,IF(IFERROR(VLOOKUP(D890,Parameter!$A$35:$C$64,2,0),"Nein")="2+3",IF(ISNUMBER(SEARCH("grosser Artikel",BM890)),2,IFERROR(VLOOKUP(BP890,Parameter!$F$35:$G$64,2,0),2)),IF(OR(IFERROR(VLOOKUP(D890,Parameter!$A$35:$C$64,2,0),"Nein")="Nein",IFERROR(VLOOKUP(D890,Parameter!$A$35:$C$64,2,0),"Nein")=""),"-",VLOOKUP(D890,Parameter!$A$35:$C$64,2,0)))))</f>
        <v>3</v>
      </c>
      <c r="Y890" s="62"/>
      <c r="Z890" s="63"/>
      <c r="AA890" s="57" t="n">
        <f aca="false">AP890</f>
        <v>5</v>
      </c>
      <c r="AB890" s="57" t="n">
        <f aca="false">MAX(AP890,G890)</f>
        <v>5</v>
      </c>
      <c r="AC890" s="64"/>
      <c r="AD890" s="57" t="n">
        <f aca="false">IF(LEFT(Cockpit!$C$5,1)="A",G890,IF(BW890=1,BX890,IF(LEFT(Cockpit!$C$5,1)="B",AH890,MAX(AH890,G890))))</f>
        <v>0</v>
      </c>
      <c r="AE890" s="57" t="n">
        <f aca="false">IF(BR890=1,0,ROUNDUP(AD890/BQ890,0))</f>
        <v>0</v>
      </c>
      <c r="AF890" s="59" t="n">
        <f aca="false">IF(CD890&gt;0,CD890*MAX(1,AD890/V890),IF(BR890=1,IF(AD890&lt;=0,0,BS890*MAX(1,IF(G890&gt;0,AD890/G890,1))),IF(Q890&gt;0,AE890/Q890,0))/MAX(0.1,N(Parameter!$M$21)))</f>
        <v>0</v>
      </c>
      <c r="AG890" s="57" t="n">
        <f aca="false">AD890*F890</f>
        <v>0</v>
      </c>
      <c r="AH890" s="57" t="n">
        <f aca="false">ROUNDUP(MAX(I890/IF(BV890&gt;0,BV890,MAX(0.1,N(Cockpit!$C$6))),BY890)/BQ890,0)*BQ890</f>
        <v>5</v>
      </c>
      <c r="AI890" s="58" t="n">
        <f aca="false">IF(AF890&gt;0,I890/AF890,-1)</f>
        <v>-1</v>
      </c>
      <c r="AJ890" s="58" t="str">
        <f aca="false">IF(AND(OR(BU890="L1",BU890="L23"),AF890&gt;0),SUMIFS($AF$7:$AF$1576,$BU$7:$BU$1576,BU890,$AI$7:$AI$1576,"&gt;"&amp;AI890)+SUMIFS($AF$7:$AF$1576,$BU$7:$BU$1576,BU890,$AI$7:$AI$1576,AI890,$BO$7:$BO$1576,"&lt;="&amp;BO890),"")</f>
        <v/>
      </c>
      <c r="AK890" s="65" t="n">
        <f aca="false">IF(AJ890="",0,MAX(0,MIN(1,(IF(BU890="L1",Parameter!$E$5,Parameter!$E$6+Parameter!$E$7)-(AJ890-AF890))/AF890)))</f>
        <v>0</v>
      </c>
      <c r="AL890" s="57" t="n">
        <f aca="false">IF(LEFT(Cockpit!$I$5,1)="A",G890,IF(BW890=1,BX890,IF(LEFT(Cockpit!$I$5,1)="B",AP890,MAX(AP890,G890))))</f>
        <v>5</v>
      </c>
      <c r="AM890" s="57" t="n">
        <f aca="false">IF(BR890=1,0,ROUNDUP(AL890/BQ890,0))</f>
        <v>1</v>
      </c>
      <c r="AN890" s="59" t="n">
        <f aca="false">IF(CD890&gt;0,CD890*MAX(1,AL890/V890),IF(BR890=1,IF(AL890&lt;=0,0,BS890*MAX(1,IF(G890&gt;0,AL890/G890,1))),IF(Q890&gt;0,AM890/Q890,0))/MAX(0.1,N(Parameter!$M$21)))</f>
        <v>0.00241545893719807</v>
      </c>
      <c r="AO890" s="57" t="n">
        <f aca="false">AL890*F890</f>
        <v>73.55</v>
      </c>
      <c r="AP890" s="57" t="n">
        <f aca="false">ROUNDUP(MAX(I890/IF(BV890&gt;0,BV890,MAX(0.1,N(Cockpit!$I$6))),BY890)/BQ890,0)*BQ890</f>
        <v>5</v>
      </c>
      <c r="AQ890" s="58" t="n">
        <f aca="false">IF(AN890&gt;0,I890/AN890,-1)</f>
        <v>0</v>
      </c>
      <c r="AR890" s="58" t="n">
        <f aca="false">IF(AND(OR(BU890="L1",BU890="L23"),AN890&gt;0),SUMIFS($AN$7:$AN$1576,$BU$7:$BU$1576,BU890,$AQ$7:$AQ$1576,"&gt;"&amp;AQ890)+SUMIFS($AN$7:$AN$1576,$BU$7:$BU$1576,BU890,$AQ$7:$AQ$1576,AQ890,$BO$7:$BO$1576,"&lt;="&amp;BO890),"")</f>
        <v>130.998350803833</v>
      </c>
      <c r="AS890" s="65" t="n">
        <f aca="false">IF(AR890="",0,MAX(0,MIN(1,(IF(BU890="L1",Parameter!$E$5,Parameter!$E$6+Parameter!$E$7)-(AR890-AN890))/AN890)))</f>
        <v>0</v>
      </c>
      <c r="AT890" s="57" t="n">
        <f aca="false">IF(LEFT(Cockpit!$O$5,1)="A",G890,IF(BW890=1,BX890,IF(LEFT(Cockpit!$O$5,1)="B",AX890,MAX(AX890,G890))))</f>
        <v>5</v>
      </c>
      <c r="AU890" s="57" t="n">
        <f aca="false">IF(BR890=1,0,ROUNDUP(AT890/BQ890,0))</f>
        <v>1</v>
      </c>
      <c r="AV890" s="59" t="n">
        <f aca="false">IF(CD890&gt;0,CD890*MAX(1,AT890/V890),IF(BR890=1,IF(AT890&lt;=0,0,BS890*MAX(1,IF(G890&gt;0,AT890/G890,1))),IF(Q890&gt;0,AU890/Q890,0))/MAX(0.1,N(Parameter!$M$21)))</f>
        <v>0.00241545893719807</v>
      </c>
      <c r="AW890" s="57" t="n">
        <f aca="false">AT890*F890</f>
        <v>73.55</v>
      </c>
      <c r="AX890" s="57" t="n">
        <f aca="false">ROUNDUP(MAX(I890/IF(BV890&gt;0,BV890,MAX(0.1,N(Cockpit!$O$6))),BY890)/BQ890,0)*BQ890</f>
        <v>5</v>
      </c>
      <c r="AY890" s="58" t="n">
        <f aca="false">IF(AV890&gt;0,I890/AV890,-1)</f>
        <v>0</v>
      </c>
      <c r="AZ890" s="58" t="n">
        <f aca="false">IF(AND(OR(BU890="L1",BU890="L23"),AV890&gt;0),SUMIFS($AV$7:$AV$1576,$BU$7:$BU$1576,BU890,$AY$7:$AY$1576,"&gt;"&amp;AY890)+SUMIFS($AV$7:$AV$1576,$BU$7:$BU$1576,BU890,$AY$7:$AY$1576,AY890,$BO$7:$BO$1576,"&lt;="&amp;BO890),"")</f>
        <v>121.057901253383</v>
      </c>
      <c r="BA890" s="65" t="n">
        <f aca="false">IF(AZ890="",0,MAX(0,MIN(1,(IF(BU890="L1",Parameter!$E$5,Parameter!$E$6+Parameter!$E$7)-(AZ890-AV890))/AV890)))</f>
        <v>0</v>
      </c>
      <c r="BB890" s="55" t="str">
        <f aca="false">IF(AF890&lt;=0,"",IF(BU890="Aussen","Aussenlager",IF(BU890="-","Nicht im Lift",IF(AK890&gt;=1,"Lift",IF(AK890&lt;=0,"Aussenlager","teilweise")))))</f>
        <v/>
      </c>
      <c r="BC890" s="55" t="str">
        <f aca="false">IF(AN890&lt;=0,"",IF(BU890="Aussen","Aussenlager",IF(BU890="-","Nicht im Lift",IF(AS890&gt;=1,"Lift",IF(AS890&lt;=0,"Aussenlager","teilweise")))))</f>
        <v>Aussenlager</v>
      </c>
      <c r="BD890" s="55" t="str">
        <f aca="false">IF(AV890&lt;=0,"",IF(BU890="Aussen","Aussenlager",IF(BU890="-","Nicht im Lift",IF(BA890&gt;=1,"Lift",IF(BA890&lt;=0,"Aussenlager","teilweise")))))</f>
        <v>Aussenlager</v>
      </c>
      <c r="BE890" s="55" t="str">
        <f aca="false">IF(A890="","",IF(BN890=1,"Neu; ","")&amp;IF(AND(BN890=0,BI890&lt;0),"negativer Bestand (Export "&amp;BI890&amp;"); ","")&amp;IF(I890&lt;=0,"Kein Verbrauch; ","")&amp;IF(CD890&gt;0,"Lift "&amp;U890&amp;" lt. Liftbericht (Fach "&amp;V890&amp;" Stk); ",IF(BR890=1,"Lose – Fläche geschätzt; ",""))&amp;IF(G890&gt;AP890,"Überbestand "&amp;ROUND(G890-AP890,0)&amp;" Stk / CHF "&amp;ROUND((G890-AP890)*F890,0)&amp;"; ","")&amp;IF(AND(BW890=1,BX890&lt;BY890),"MAX &lt; MB+LG; ","")&amp;IF(AND(CC890&gt;0,CB890*10&gt;CC890),"zu hoch für Tablar; ","")&amp;IF(AND(BN890=0,OR(BW890=1,Y890&lt;&gt;"",S890&lt;&gt;"",T890&lt;&gt;"",Z890&lt;&gt;"")),"manuell übersteuert; ","")&amp;IF(AND(BR890=0,Q890=0),"Gebinde unbekannt / Stellmass fehlt; ","")&amp;IF(AND(BR890=0,N(T890)&lt;=0,N(P890)&lt;=0),"Menge pro Gebinde fehlt (Ist = 1 Gebinde); ","")&amp;BM890)</f>
        <v>negativer Bestand (Export -2); Kein Verbrauch; </v>
      </c>
      <c r="BF890" s="55"/>
      <c r="BG890" s="55"/>
      <c r="BH890" s="62"/>
      <c r="BI890" s="57" t="n">
        <v>-2</v>
      </c>
      <c r="BJ890" s="57" t="n">
        <v>6</v>
      </c>
      <c r="BK890" s="56" t="n">
        <v>-29.42</v>
      </c>
      <c r="BL890" s="57" t="n">
        <v>0</v>
      </c>
      <c r="BM890" s="55"/>
      <c r="BN890" s="60" t="n">
        <v>0</v>
      </c>
      <c r="BO890" s="60" t="n">
        <v>890</v>
      </c>
      <c r="BP890" s="55" t="str">
        <f aca="false">IF(S890&lt;&gt;"",UPPER(TRIM(S890)),IF(O890="","LOSE",O890))</f>
        <v>S21</v>
      </c>
      <c r="BQ890" s="57" t="n">
        <f aca="false">IF(BP890="LOSE",1,IF(N(T890)&gt;0,T890,IF(N(P890)&gt;0,P890,MAX(1,G890))))</f>
        <v>5</v>
      </c>
      <c r="BR890" s="60" t="n">
        <f aca="false">IF(BP890="LOSE",1,0)</f>
        <v>0</v>
      </c>
      <c r="BS890" s="59" t="n">
        <f aca="false">IF(BR890=0,0,IF(N(R890)&gt;0,R890,IFERROR(VLOOKUP(D890,Parameter!$A$35:$C$64,3,0)+0,0)))</f>
        <v>0</v>
      </c>
      <c r="BT890" s="55" t="n">
        <f aca="false">IF(Y890&lt;&gt;"",Y890,X890)</f>
        <v>3</v>
      </c>
      <c r="BU890" s="55" t="str">
        <f aca="false">IF(BT890=1,"L1",IF(OR(BT890=2,BT890=3),"L23",IF(BT890="Aussen","Aussen","-")))</f>
        <v>L23</v>
      </c>
      <c r="BV890" s="66" t="n">
        <f aca="false">IF(N(Z890)&gt;0,Z890,0)</f>
        <v>0</v>
      </c>
      <c r="BW890" s="60" t="n">
        <f aca="false">IF(ISNUMBER(AC890),1,0)</f>
        <v>0</v>
      </c>
      <c r="BX890" s="57" t="n">
        <f aca="false">N(AC890)</f>
        <v>0</v>
      </c>
      <c r="BY890" s="57" t="n">
        <f aca="false">N(L890)+N(M890)</f>
        <v>1</v>
      </c>
      <c r="BZ890" s="57" t="n">
        <f aca="false">ROUNDUP(G890/BQ890,0)</f>
        <v>0</v>
      </c>
      <c r="CA890" s="57" t="n">
        <f aca="false">ROUNDUP(BX890/BQ890,0)</f>
        <v>0</v>
      </c>
      <c r="CB890" s="60" t="n">
        <f aca="false">IF(BR890=1,0,IFERROR(VLOOKUP(BP890,'Gebinde-Kategorie'!$A$5:$M$45,5,0)+0,0))</f>
        <v>8</v>
      </c>
      <c r="CC890" s="60" t="n">
        <f aca="false">IFERROR(IF(OR(BT890=1,BT890=2,BT890=3),N(INDEX(Parameter!$I$5:$I$7,BT890)),0),0)</f>
        <v>0</v>
      </c>
      <c r="CD890" s="59" t="n">
        <f aca="false">IF(AND(Parameter!$B$21="Ja",ISNUMBER(U890),N(V890)&gt;0),IFERROR(N(INDEX(Parameter!$L$5:$L$7,U890))*INDEX(Parameter!$E$5:$E$7,U890)*V890/SUMIFS($V$7:$V$1576,$U$7:$U$1576,U890),0),0)</f>
        <v>0</v>
      </c>
    </row>
    <row r="891" customFormat="false" ht="15" hidden="false" customHeight="false" outlineLevel="0" collapsed="false">
      <c r="A891" s="55" t="s">
        <v>1669</v>
      </c>
      <c r="B891" s="55" t="s">
        <v>936</v>
      </c>
      <c r="C891" s="55" t="s">
        <v>160</v>
      </c>
      <c r="D891" s="55" t="s">
        <v>178</v>
      </c>
      <c r="E891" s="55" t="s">
        <v>210</v>
      </c>
      <c r="F891" s="56" t="n">
        <v>2.79</v>
      </c>
      <c r="G891" s="57" t="n">
        <f aca="false">MAX(0,IF(AND(Parameter!$B$21="Ja",ISNUMBER(W891)),W891,IF(Parameter!$B$20="Jahresanfang 2025 + Export",BJ891+BI891,BI891)))</f>
        <v>0</v>
      </c>
      <c r="H891" s="57" t="n">
        <f aca="false">G891*F891</f>
        <v>0</v>
      </c>
      <c r="I891" s="57" t="n">
        <f aca="false">BL891*Parameter!$B$18</f>
        <v>0</v>
      </c>
      <c r="J891" s="58" t="n">
        <v>60.5</v>
      </c>
      <c r="K891" s="59" t="n">
        <v>0</v>
      </c>
      <c r="L891" s="57" t="n">
        <v>0</v>
      </c>
      <c r="M891" s="57" t="n">
        <v>1</v>
      </c>
      <c r="N891" s="60" t="n">
        <v>14</v>
      </c>
      <c r="O891" s="55" t="s">
        <v>163</v>
      </c>
      <c r="P891" s="57"/>
      <c r="Q891" s="60" t="n">
        <f aca="false">IF(BR891=1,0,IFERROR(VLOOKUP(BP891,'Gebinde-Kategorie'!$A$5:$M$45,13,0)+0,0))</f>
        <v>0</v>
      </c>
      <c r="R891" s="61"/>
      <c r="S891" s="62"/>
      <c r="T891" s="62"/>
      <c r="U891" s="55"/>
      <c r="V891" s="57"/>
      <c r="W891" s="57"/>
      <c r="X891" s="55" t="n">
        <f aca="false">IF(A891="","",IF(AND(Parameter!$B$21="Ja",ISNUMBER(U891)),U891,IF(IFERROR(VLOOKUP(D891,Parameter!$A$35:$C$64,2,0),"Nein")="2+3",IF(ISNUMBER(SEARCH("grosser Artikel",BM891)),2,IFERROR(VLOOKUP(BP891,Parameter!$F$35:$G$64,2,0),2)),IF(OR(IFERROR(VLOOKUP(D891,Parameter!$A$35:$C$64,2,0),"Nein")="Nein",IFERROR(VLOOKUP(D891,Parameter!$A$35:$C$64,2,0),"Nein")=""),"-",VLOOKUP(D891,Parameter!$A$35:$C$64,2,0)))))</f>
        <v>2</v>
      </c>
      <c r="Y891" s="62"/>
      <c r="Z891" s="63"/>
      <c r="AA891" s="57" t="n">
        <f aca="false">AP891</f>
        <v>1</v>
      </c>
      <c r="AB891" s="57" t="n">
        <f aca="false">MAX(AP891,G891)</f>
        <v>1</v>
      </c>
      <c r="AC891" s="64"/>
      <c r="AD891" s="57" t="n">
        <f aca="false">IF(LEFT(Cockpit!$C$5,1)="A",G891,IF(BW891=1,BX891,IF(LEFT(Cockpit!$C$5,1)="B",AH891,MAX(AH891,G891))))</f>
        <v>0</v>
      </c>
      <c r="AE891" s="57" t="n">
        <f aca="false">IF(BR891=1,0,ROUNDUP(AD891/BQ891,0))</f>
        <v>0</v>
      </c>
      <c r="AF891" s="59" t="n">
        <f aca="false">IF(CD891&gt;0,CD891*MAX(1,AD891/V891),IF(BR891=1,IF(AD891&lt;=0,0,BS891*MAX(1,IF(G891&gt;0,AD891/G891,1))),IF(Q891&gt;0,AE891/Q891,0))/MAX(0.1,N(Parameter!$M$21)))</f>
        <v>0</v>
      </c>
      <c r="AG891" s="57" t="n">
        <f aca="false">AD891*F891</f>
        <v>0</v>
      </c>
      <c r="AH891" s="57" t="n">
        <f aca="false">ROUNDUP(MAX(I891/IF(BV891&gt;0,BV891,MAX(0.1,N(Cockpit!$C$6))),BY891)/BQ891,0)*BQ891</f>
        <v>1</v>
      </c>
      <c r="AI891" s="58" t="n">
        <f aca="false">IF(AF891&gt;0,I891/AF891,-1)</f>
        <v>-1</v>
      </c>
      <c r="AJ891" s="58" t="str">
        <f aca="false">IF(AND(OR(BU891="L1",BU891="L23"),AF891&gt;0),SUMIFS($AF$7:$AF$1576,$BU$7:$BU$1576,BU891,$AI$7:$AI$1576,"&gt;"&amp;AI891)+SUMIFS($AF$7:$AF$1576,$BU$7:$BU$1576,BU891,$AI$7:$AI$1576,AI891,$BO$7:$BO$1576,"&lt;="&amp;BO891),"")</f>
        <v/>
      </c>
      <c r="AK891" s="65" t="n">
        <f aca="false">IF(AJ891="",0,MAX(0,MIN(1,(IF(BU891="L1",Parameter!$E$5,Parameter!$E$6+Parameter!$E$7)-(AJ891-AF891))/AF891)))</f>
        <v>0</v>
      </c>
      <c r="AL891" s="57" t="n">
        <f aca="false">IF(LEFT(Cockpit!$I$5,1)="A",G891,IF(BW891=1,BX891,IF(LEFT(Cockpit!$I$5,1)="B",AP891,MAX(AP891,G891))))</f>
        <v>1</v>
      </c>
      <c r="AM891" s="57" t="n">
        <f aca="false">IF(BR891=1,0,ROUNDUP(AL891/BQ891,0))</f>
        <v>0</v>
      </c>
      <c r="AN891" s="59" t="n">
        <f aca="false">IF(CD891&gt;0,CD891*MAX(1,AL891/V891),IF(BR891=1,IF(AL891&lt;=0,0,BS891*MAX(1,IF(G891&gt;0,AL891/G891,1))),IF(Q891&gt;0,AM891/Q891,0))/MAX(0.1,N(Parameter!$M$21)))</f>
        <v>0.03</v>
      </c>
      <c r="AO891" s="57" t="n">
        <f aca="false">AL891*F891</f>
        <v>2.79</v>
      </c>
      <c r="AP891" s="57" t="n">
        <f aca="false">ROUNDUP(MAX(I891/IF(BV891&gt;0,BV891,MAX(0.1,N(Cockpit!$I$6))),BY891)/BQ891,0)*BQ891</f>
        <v>1</v>
      </c>
      <c r="AQ891" s="58" t="n">
        <f aca="false">IF(AN891&gt;0,I891/AN891,-1)</f>
        <v>0</v>
      </c>
      <c r="AR891" s="58" t="n">
        <f aca="false">IF(AND(OR(BU891="L1",BU891="L23"),AN891&gt;0),SUMIFS($AN$7:$AN$1576,$BU$7:$BU$1576,BU891,$AQ$7:$AQ$1576,"&gt;"&amp;AQ891)+SUMIFS($AN$7:$AN$1576,$BU$7:$BU$1576,BU891,$AQ$7:$AQ$1576,AQ891,$BO$7:$BO$1576,"&lt;="&amp;BO891),"")</f>
        <v>131.028350803833</v>
      </c>
      <c r="AS891" s="65" t="n">
        <f aca="false">IF(AR891="",0,MAX(0,MIN(1,(IF(BU891="L1",Parameter!$E$5,Parameter!$E$6+Parameter!$E$7)-(AR891-AN891))/AN891)))</f>
        <v>0</v>
      </c>
      <c r="AT891" s="57" t="n">
        <f aca="false">IF(LEFT(Cockpit!$O$5,1)="A",G891,IF(BW891=1,BX891,IF(LEFT(Cockpit!$O$5,1)="B",AX891,MAX(AX891,G891))))</f>
        <v>1</v>
      </c>
      <c r="AU891" s="57" t="n">
        <f aca="false">IF(BR891=1,0,ROUNDUP(AT891/BQ891,0))</f>
        <v>0</v>
      </c>
      <c r="AV891" s="59" t="n">
        <f aca="false">IF(CD891&gt;0,CD891*MAX(1,AT891/V891),IF(BR891=1,IF(AT891&lt;=0,0,BS891*MAX(1,IF(G891&gt;0,AT891/G891,1))),IF(Q891&gt;0,AU891/Q891,0))/MAX(0.1,N(Parameter!$M$21)))</f>
        <v>0.03</v>
      </c>
      <c r="AW891" s="57" t="n">
        <f aca="false">AT891*F891</f>
        <v>2.79</v>
      </c>
      <c r="AX891" s="57" t="n">
        <f aca="false">ROUNDUP(MAX(I891/IF(BV891&gt;0,BV891,MAX(0.1,N(Cockpit!$O$6))),BY891)/BQ891,0)*BQ891</f>
        <v>1</v>
      </c>
      <c r="AY891" s="58" t="n">
        <f aca="false">IF(AV891&gt;0,I891/AV891,-1)</f>
        <v>0</v>
      </c>
      <c r="AZ891" s="58" t="n">
        <f aca="false">IF(AND(OR(BU891="L1",BU891="L23"),AV891&gt;0),SUMIFS($AV$7:$AV$1576,$BU$7:$BU$1576,BU891,$AY$7:$AY$1576,"&gt;"&amp;AY891)+SUMIFS($AV$7:$AV$1576,$BU$7:$BU$1576,BU891,$AY$7:$AY$1576,AY891,$BO$7:$BO$1576,"&lt;="&amp;BO891),"")</f>
        <v>121.087901253383</v>
      </c>
      <c r="BA891" s="65" t="n">
        <f aca="false">IF(AZ891="",0,MAX(0,MIN(1,(IF(BU891="L1",Parameter!$E$5,Parameter!$E$6+Parameter!$E$7)-(AZ891-AV891))/AV891)))</f>
        <v>0</v>
      </c>
      <c r="BB891" s="55" t="str">
        <f aca="false">IF(AF891&lt;=0,"",IF(BU891="Aussen","Aussenlager",IF(BU891="-","Nicht im Lift",IF(AK891&gt;=1,"Lift",IF(AK891&lt;=0,"Aussenlager","teilweise")))))</f>
        <v/>
      </c>
      <c r="BC891" s="55" t="str">
        <f aca="false">IF(AN891&lt;=0,"",IF(BU891="Aussen","Aussenlager",IF(BU891="-","Nicht im Lift",IF(AS891&gt;=1,"Lift",IF(AS891&lt;=0,"Aussenlager","teilweise")))))</f>
        <v>Aussenlager</v>
      </c>
      <c r="BD891" s="55" t="str">
        <f aca="false">IF(AV891&lt;=0,"",IF(BU891="Aussen","Aussenlager",IF(BU891="-","Nicht im Lift",IF(BA891&gt;=1,"Lift",IF(BA891&lt;=0,"Aussenlager","teilweise")))))</f>
        <v>Aussenlager</v>
      </c>
      <c r="BE891" s="55" t="str">
        <f aca="false">IF(A891="","",IF(BN891=1,"Neu; ","")&amp;IF(AND(BN891=0,BI891&lt;0),"negativer Bestand (Export "&amp;BI891&amp;"); ","")&amp;IF(I891&lt;=0,"Kein Verbrauch; ","")&amp;IF(CD891&gt;0,"Lift "&amp;U891&amp;" lt. Liftbericht (Fach "&amp;V891&amp;" Stk); ",IF(BR891=1,"Lose – Fläche geschätzt; ",""))&amp;IF(G891&gt;AP891,"Überbestand "&amp;ROUND(G891-AP891,0)&amp;" Stk / CHF "&amp;ROUND((G891-AP891)*F891,0)&amp;"; ","")&amp;IF(AND(BW891=1,BX891&lt;BY891),"MAX &lt; MB+LG; ","")&amp;IF(AND(CC891&gt;0,CB891*10&gt;CC891),"zu hoch für Tablar; ","")&amp;IF(AND(BN891=0,OR(BW891=1,Y891&lt;&gt;"",S891&lt;&gt;"",T891&lt;&gt;"",Z891&lt;&gt;"")),"manuell übersteuert; ","")&amp;IF(AND(BR891=0,Q891=0),"Gebinde unbekannt / Stellmass fehlt; ","")&amp;IF(AND(BR891=0,N(T891)&lt;=0,N(P891)&lt;=0),"Menge pro Gebinde fehlt (Ist = 1 Gebinde); ","")&amp;BM891)</f>
        <v>negativer Bestand (Export -21); Kein Verbrauch; Lose – Fläche geschätzt; Überbestand; nicht im KTL vorhanden</v>
      </c>
      <c r="BF891" s="55"/>
      <c r="BG891" s="55"/>
      <c r="BH891" s="62"/>
      <c r="BI891" s="57" t="n">
        <v>-21</v>
      </c>
      <c r="BJ891" s="57" t="n">
        <v>71</v>
      </c>
      <c r="BK891" s="56" t="n">
        <v>-29.48</v>
      </c>
      <c r="BL891" s="57" t="n">
        <v>0</v>
      </c>
      <c r="BM891" s="55" t="s">
        <v>1618</v>
      </c>
      <c r="BN891" s="60" t="n">
        <v>0</v>
      </c>
      <c r="BO891" s="60" t="n">
        <v>891</v>
      </c>
      <c r="BP891" s="55" t="str">
        <f aca="false">IF(S891&lt;&gt;"",UPPER(TRIM(S891)),IF(O891="","LOSE",O891))</f>
        <v>LOSE</v>
      </c>
      <c r="BQ891" s="57" t="n">
        <f aca="false">IF(BP891="LOSE",1,IF(N(T891)&gt;0,T891,IF(N(P891)&gt;0,P891,MAX(1,G891))))</f>
        <v>1</v>
      </c>
      <c r="BR891" s="60" t="n">
        <f aca="false">IF(BP891="LOSE",1,0)</f>
        <v>1</v>
      </c>
      <c r="BS891" s="59" t="n">
        <f aca="false">IF(BR891=0,0,IF(N(R891)&gt;0,R891,IFERROR(VLOOKUP(D891,Parameter!$A$35:$C$64,3,0)+0,0)))</f>
        <v>0.03</v>
      </c>
      <c r="BT891" s="55" t="n">
        <f aca="false">IF(Y891&lt;&gt;"",Y891,X891)</f>
        <v>2</v>
      </c>
      <c r="BU891" s="55" t="str">
        <f aca="false">IF(BT891=1,"L1",IF(OR(BT891=2,BT891=3),"L23",IF(BT891="Aussen","Aussen","-")))</f>
        <v>L23</v>
      </c>
      <c r="BV891" s="66" t="n">
        <f aca="false">IF(N(Z891)&gt;0,Z891,0)</f>
        <v>0</v>
      </c>
      <c r="BW891" s="60" t="n">
        <f aca="false">IF(ISNUMBER(AC891),1,0)</f>
        <v>0</v>
      </c>
      <c r="BX891" s="57" t="n">
        <f aca="false">N(AC891)</f>
        <v>0</v>
      </c>
      <c r="BY891" s="57" t="n">
        <f aca="false">N(L891)+N(M891)</f>
        <v>1</v>
      </c>
      <c r="BZ891" s="57" t="n">
        <f aca="false">ROUNDUP(G891/BQ891,0)</f>
        <v>0</v>
      </c>
      <c r="CA891" s="57" t="n">
        <f aca="false">ROUNDUP(BX891/BQ891,0)</f>
        <v>0</v>
      </c>
      <c r="CB891" s="60" t="n">
        <f aca="false">IF(BR891=1,0,IFERROR(VLOOKUP(BP891,'Gebinde-Kategorie'!$A$5:$M$45,5,0)+0,0))</f>
        <v>0</v>
      </c>
      <c r="CC891" s="60" t="n">
        <f aca="false">IFERROR(IF(OR(BT891=1,BT891=2,BT891=3),N(INDEX(Parameter!$I$5:$I$7,BT891)),0),0)</f>
        <v>0</v>
      </c>
      <c r="CD891" s="59" t="n">
        <f aca="false">IF(AND(Parameter!$B$21="Ja",ISNUMBER(U891),N(V891)&gt;0),IFERROR(N(INDEX(Parameter!$L$5:$L$7,U891))*INDEX(Parameter!$E$5:$E$7,U891)*V891/SUMIFS($V$7:$V$1576,$U$7:$U$1576,U891),0),0)</f>
        <v>0</v>
      </c>
    </row>
    <row r="892" customFormat="false" ht="15" hidden="false" customHeight="false" outlineLevel="0" collapsed="false">
      <c r="A892" s="55" t="s">
        <v>1670</v>
      </c>
      <c r="B892" s="55" t="s">
        <v>1671</v>
      </c>
      <c r="C892" s="55" t="s">
        <v>160</v>
      </c>
      <c r="D892" s="55" t="s">
        <v>178</v>
      </c>
      <c r="E892" s="55" t="s">
        <v>210</v>
      </c>
      <c r="F892" s="56" t="n">
        <v>30.21</v>
      </c>
      <c r="G892" s="57" t="n">
        <f aca="false">MAX(0,IF(AND(Parameter!$B$21="Ja",ISNUMBER(W892)),W892,IF(Parameter!$B$20="Jahresanfang 2025 + Export",BJ892+BI892,BI892)))</f>
        <v>0</v>
      </c>
      <c r="H892" s="57" t="n">
        <f aca="false">G892*F892</f>
        <v>0</v>
      </c>
      <c r="I892" s="57" t="n">
        <f aca="false">BL892*Parameter!$B$18</f>
        <v>0</v>
      </c>
      <c r="J892" s="58" t="n">
        <v>0.5</v>
      </c>
      <c r="K892" s="59" t="n">
        <v>0</v>
      </c>
      <c r="L892" s="57" t="n">
        <v>0</v>
      </c>
      <c r="M892" s="57" t="n">
        <v>1</v>
      </c>
      <c r="N892" s="60" t="n">
        <v>28</v>
      </c>
      <c r="O892" s="55" t="s">
        <v>163</v>
      </c>
      <c r="P892" s="57"/>
      <c r="Q892" s="60" t="n">
        <f aca="false">IF(BR892=1,0,IFERROR(VLOOKUP(BP892,'Gebinde-Kategorie'!$A$5:$M$45,13,0)+0,0))</f>
        <v>0</v>
      </c>
      <c r="R892" s="61"/>
      <c r="S892" s="62"/>
      <c r="T892" s="62"/>
      <c r="U892" s="55"/>
      <c r="V892" s="57"/>
      <c r="W892" s="57"/>
      <c r="X892" s="55" t="n">
        <f aca="false">IF(A892="","",IF(AND(Parameter!$B$21="Ja",ISNUMBER(U892)),U892,IF(IFERROR(VLOOKUP(D892,Parameter!$A$35:$C$64,2,0),"Nein")="2+3",IF(ISNUMBER(SEARCH("grosser Artikel",BM892)),2,IFERROR(VLOOKUP(BP892,Parameter!$F$35:$G$64,2,0),2)),IF(OR(IFERROR(VLOOKUP(D892,Parameter!$A$35:$C$64,2,0),"Nein")="Nein",IFERROR(VLOOKUP(D892,Parameter!$A$35:$C$64,2,0),"Nein")=""),"-",VLOOKUP(D892,Parameter!$A$35:$C$64,2,0)))))</f>
        <v>2</v>
      </c>
      <c r="Y892" s="62"/>
      <c r="Z892" s="63"/>
      <c r="AA892" s="57" t="n">
        <f aca="false">AP892</f>
        <v>1</v>
      </c>
      <c r="AB892" s="57" t="n">
        <f aca="false">MAX(AP892,G892)</f>
        <v>1</v>
      </c>
      <c r="AC892" s="64"/>
      <c r="AD892" s="57" t="n">
        <f aca="false">IF(LEFT(Cockpit!$C$5,1)="A",G892,IF(BW892=1,BX892,IF(LEFT(Cockpit!$C$5,1)="B",AH892,MAX(AH892,G892))))</f>
        <v>0</v>
      </c>
      <c r="AE892" s="57" t="n">
        <f aca="false">IF(BR892=1,0,ROUNDUP(AD892/BQ892,0))</f>
        <v>0</v>
      </c>
      <c r="AF892" s="59" t="n">
        <f aca="false">IF(CD892&gt;0,CD892*MAX(1,AD892/V892),IF(BR892=1,IF(AD892&lt;=0,0,BS892*MAX(1,IF(G892&gt;0,AD892/G892,1))),IF(Q892&gt;0,AE892/Q892,0))/MAX(0.1,N(Parameter!$M$21)))</f>
        <v>0</v>
      </c>
      <c r="AG892" s="57" t="n">
        <f aca="false">AD892*F892</f>
        <v>0</v>
      </c>
      <c r="AH892" s="57" t="n">
        <f aca="false">ROUNDUP(MAX(I892/IF(BV892&gt;0,BV892,MAX(0.1,N(Cockpit!$C$6))),BY892)/BQ892,0)*BQ892</f>
        <v>1</v>
      </c>
      <c r="AI892" s="58" t="n">
        <f aca="false">IF(AF892&gt;0,I892/AF892,-1)</f>
        <v>-1</v>
      </c>
      <c r="AJ892" s="58" t="str">
        <f aca="false">IF(AND(OR(BU892="L1",BU892="L23"),AF892&gt;0),SUMIFS($AF$7:$AF$1576,$BU$7:$BU$1576,BU892,$AI$7:$AI$1576,"&gt;"&amp;AI892)+SUMIFS($AF$7:$AF$1576,$BU$7:$BU$1576,BU892,$AI$7:$AI$1576,AI892,$BO$7:$BO$1576,"&lt;="&amp;BO892),"")</f>
        <v/>
      </c>
      <c r="AK892" s="65" t="n">
        <f aca="false">IF(AJ892="",0,MAX(0,MIN(1,(IF(BU892="L1",Parameter!$E$5,Parameter!$E$6+Parameter!$E$7)-(AJ892-AF892))/AF892)))</f>
        <v>0</v>
      </c>
      <c r="AL892" s="57" t="n">
        <f aca="false">IF(LEFT(Cockpit!$I$5,1)="A",G892,IF(BW892=1,BX892,IF(LEFT(Cockpit!$I$5,1)="B",AP892,MAX(AP892,G892))))</f>
        <v>1</v>
      </c>
      <c r="AM892" s="57" t="n">
        <f aca="false">IF(BR892=1,0,ROUNDUP(AL892/BQ892,0))</f>
        <v>0</v>
      </c>
      <c r="AN892" s="59" t="n">
        <f aca="false">IF(CD892&gt;0,CD892*MAX(1,AL892/V892),IF(BR892=1,IF(AL892&lt;=0,0,BS892*MAX(1,IF(G892&gt;0,AL892/G892,1))),IF(Q892&gt;0,AM892/Q892,0))/MAX(0.1,N(Parameter!$M$21)))</f>
        <v>0.03</v>
      </c>
      <c r="AO892" s="57" t="n">
        <f aca="false">AL892*F892</f>
        <v>30.21</v>
      </c>
      <c r="AP892" s="57" t="n">
        <f aca="false">ROUNDUP(MAX(I892/IF(BV892&gt;0,BV892,MAX(0.1,N(Cockpit!$I$6))),BY892)/BQ892,0)*BQ892</f>
        <v>1</v>
      </c>
      <c r="AQ892" s="58" t="n">
        <f aca="false">IF(AN892&gt;0,I892/AN892,-1)</f>
        <v>0</v>
      </c>
      <c r="AR892" s="58" t="n">
        <f aca="false">IF(AND(OR(BU892="L1",BU892="L23"),AN892&gt;0),SUMIFS($AN$7:$AN$1576,$BU$7:$BU$1576,BU892,$AQ$7:$AQ$1576,"&gt;"&amp;AQ892)+SUMIFS($AN$7:$AN$1576,$BU$7:$BU$1576,BU892,$AQ$7:$AQ$1576,AQ892,$BO$7:$BO$1576,"&lt;="&amp;BO892),"")</f>
        <v>131.058350803833</v>
      </c>
      <c r="AS892" s="65" t="n">
        <f aca="false">IF(AR892="",0,MAX(0,MIN(1,(IF(BU892="L1",Parameter!$E$5,Parameter!$E$6+Parameter!$E$7)-(AR892-AN892))/AN892)))</f>
        <v>0</v>
      </c>
      <c r="AT892" s="57" t="n">
        <f aca="false">IF(LEFT(Cockpit!$O$5,1)="A",G892,IF(BW892=1,BX892,IF(LEFT(Cockpit!$O$5,1)="B",AX892,MAX(AX892,G892))))</f>
        <v>1</v>
      </c>
      <c r="AU892" s="57" t="n">
        <f aca="false">IF(BR892=1,0,ROUNDUP(AT892/BQ892,0))</f>
        <v>0</v>
      </c>
      <c r="AV892" s="59" t="n">
        <f aca="false">IF(CD892&gt;0,CD892*MAX(1,AT892/V892),IF(BR892=1,IF(AT892&lt;=0,0,BS892*MAX(1,IF(G892&gt;0,AT892/G892,1))),IF(Q892&gt;0,AU892/Q892,0))/MAX(0.1,N(Parameter!$M$21)))</f>
        <v>0.03</v>
      </c>
      <c r="AW892" s="57" t="n">
        <f aca="false">AT892*F892</f>
        <v>30.21</v>
      </c>
      <c r="AX892" s="57" t="n">
        <f aca="false">ROUNDUP(MAX(I892/IF(BV892&gt;0,BV892,MAX(0.1,N(Cockpit!$O$6))),BY892)/BQ892,0)*BQ892</f>
        <v>1</v>
      </c>
      <c r="AY892" s="58" t="n">
        <f aca="false">IF(AV892&gt;0,I892/AV892,-1)</f>
        <v>0</v>
      </c>
      <c r="AZ892" s="58" t="n">
        <f aca="false">IF(AND(OR(BU892="L1",BU892="L23"),AV892&gt;0),SUMIFS($AV$7:$AV$1576,$BU$7:$BU$1576,BU892,$AY$7:$AY$1576,"&gt;"&amp;AY892)+SUMIFS($AV$7:$AV$1576,$BU$7:$BU$1576,BU892,$AY$7:$AY$1576,AY892,$BO$7:$BO$1576,"&lt;="&amp;BO892),"")</f>
        <v>121.117901253384</v>
      </c>
      <c r="BA892" s="65" t="n">
        <f aca="false">IF(AZ892="",0,MAX(0,MIN(1,(IF(BU892="L1",Parameter!$E$5,Parameter!$E$6+Parameter!$E$7)-(AZ892-AV892))/AV892)))</f>
        <v>0</v>
      </c>
      <c r="BB892" s="55" t="str">
        <f aca="false">IF(AF892&lt;=0,"",IF(BU892="Aussen","Aussenlager",IF(BU892="-","Nicht im Lift",IF(AK892&gt;=1,"Lift",IF(AK892&lt;=0,"Aussenlager","teilweise")))))</f>
        <v/>
      </c>
      <c r="BC892" s="55" t="str">
        <f aca="false">IF(AN892&lt;=0,"",IF(BU892="Aussen","Aussenlager",IF(BU892="-","Nicht im Lift",IF(AS892&gt;=1,"Lift",IF(AS892&lt;=0,"Aussenlager","teilweise")))))</f>
        <v>Aussenlager</v>
      </c>
      <c r="BD892" s="55" t="str">
        <f aca="false">IF(AV892&lt;=0,"",IF(BU892="Aussen","Aussenlager",IF(BU892="-","Nicht im Lift",IF(BA892&gt;=1,"Lift",IF(BA892&lt;=0,"Aussenlager","teilweise")))))</f>
        <v>Aussenlager</v>
      </c>
      <c r="BE892" s="55" t="str">
        <f aca="false">IF(A892="","",IF(BN892=1,"Neu; ","")&amp;IF(AND(BN892=0,BI892&lt;0),"negativer Bestand (Export "&amp;BI892&amp;"); ","")&amp;IF(I892&lt;=0,"Kein Verbrauch; ","")&amp;IF(CD892&gt;0,"Lift "&amp;U892&amp;" lt. Liftbericht (Fach "&amp;V892&amp;" Stk); ",IF(BR892=1,"Lose – Fläche geschätzt; ",""))&amp;IF(G892&gt;AP892,"Überbestand "&amp;ROUND(G892-AP892,0)&amp;" Stk / CHF "&amp;ROUND((G892-AP892)*F892,0)&amp;"; ","")&amp;IF(AND(BW892=1,BX892&lt;BY892),"MAX &lt; MB+LG; ","")&amp;IF(AND(CC892&gt;0,CB892*10&gt;CC892),"zu hoch für Tablar; ","")&amp;IF(AND(BN892=0,OR(BW892=1,Y892&lt;&gt;"",S892&lt;&gt;"",T892&lt;&gt;"",Z892&lt;&gt;"")),"manuell übersteuert; ","")&amp;IF(AND(BR892=0,Q892=0),"Gebinde unbekannt / Stellmass fehlt; ","")&amp;IF(AND(BR892=0,N(T892)&lt;=0,N(P892)&lt;=0),"Menge pro Gebinde fehlt (Ist = 1 Gebinde); ","")&amp;BM892)</f>
        <v>negativer Bestand (Export -1); Kein Verbrauch; Lose – Fläche geschätzt; </v>
      </c>
      <c r="BF892" s="55"/>
      <c r="BG892" s="55"/>
      <c r="BH892" s="62"/>
      <c r="BI892" s="57" t="n">
        <v>-1</v>
      </c>
      <c r="BJ892" s="57" t="n">
        <v>1</v>
      </c>
      <c r="BK892" s="56" t="n">
        <v>-30.21</v>
      </c>
      <c r="BL892" s="57" t="n">
        <v>0</v>
      </c>
      <c r="BM892" s="55"/>
      <c r="BN892" s="60" t="n">
        <v>0</v>
      </c>
      <c r="BO892" s="60" t="n">
        <v>892</v>
      </c>
      <c r="BP892" s="55" t="str">
        <f aca="false">IF(S892&lt;&gt;"",UPPER(TRIM(S892)),IF(O892="","LOSE",O892))</f>
        <v>LOSE</v>
      </c>
      <c r="BQ892" s="57" t="n">
        <f aca="false">IF(BP892="LOSE",1,IF(N(T892)&gt;0,T892,IF(N(P892)&gt;0,P892,MAX(1,G892))))</f>
        <v>1</v>
      </c>
      <c r="BR892" s="60" t="n">
        <f aca="false">IF(BP892="LOSE",1,0)</f>
        <v>1</v>
      </c>
      <c r="BS892" s="59" t="n">
        <f aca="false">IF(BR892=0,0,IF(N(R892)&gt;0,R892,IFERROR(VLOOKUP(D892,Parameter!$A$35:$C$64,3,0)+0,0)))</f>
        <v>0.03</v>
      </c>
      <c r="BT892" s="55" t="n">
        <f aca="false">IF(Y892&lt;&gt;"",Y892,X892)</f>
        <v>2</v>
      </c>
      <c r="BU892" s="55" t="str">
        <f aca="false">IF(BT892=1,"L1",IF(OR(BT892=2,BT892=3),"L23",IF(BT892="Aussen","Aussen","-")))</f>
        <v>L23</v>
      </c>
      <c r="BV892" s="66" t="n">
        <f aca="false">IF(N(Z892)&gt;0,Z892,0)</f>
        <v>0</v>
      </c>
      <c r="BW892" s="60" t="n">
        <f aca="false">IF(ISNUMBER(AC892),1,0)</f>
        <v>0</v>
      </c>
      <c r="BX892" s="57" t="n">
        <f aca="false">N(AC892)</f>
        <v>0</v>
      </c>
      <c r="BY892" s="57" t="n">
        <f aca="false">N(L892)+N(M892)</f>
        <v>1</v>
      </c>
      <c r="BZ892" s="57" t="n">
        <f aca="false">ROUNDUP(G892/BQ892,0)</f>
        <v>0</v>
      </c>
      <c r="CA892" s="57" t="n">
        <f aca="false">ROUNDUP(BX892/BQ892,0)</f>
        <v>0</v>
      </c>
      <c r="CB892" s="60" t="n">
        <f aca="false">IF(BR892=1,0,IFERROR(VLOOKUP(BP892,'Gebinde-Kategorie'!$A$5:$M$45,5,0)+0,0))</f>
        <v>0</v>
      </c>
      <c r="CC892" s="60" t="n">
        <f aca="false">IFERROR(IF(OR(BT892=1,BT892=2,BT892=3),N(INDEX(Parameter!$I$5:$I$7,BT892)),0),0)</f>
        <v>0</v>
      </c>
      <c r="CD892" s="59" t="n">
        <f aca="false">IF(AND(Parameter!$B$21="Ja",ISNUMBER(U892),N(V892)&gt;0),IFERROR(N(INDEX(Parameter!$L$5:$L$7,U892))*INDEX(Parameter!$E$5:$E$7,U892)*V892/SUMIFS($V$7:$V$1576,$U$7:$U$1576,U892),0),0)</f>
        <v>0</v>
      </c>
    </row>
    <row r="893" customFormat="false" ht="15" hidden="false" customHeight="false" outlineLevel="0" collapsed="false">
      <c r="A893" s="55" t="s">
        <v>1672</v>
      </c>
      <c r="B893" s="55" t="s">
        <v>578</v>
      </c>
      <c r="C893" s="55" t="s">
        <v>160</v>
      </c>
      <c r="D893" s="55" t="s">
        <v>178</v>
      </c>
      <c r="E893" s="55" t="s">
        <v>210</v>
      </c>
      <c r="F893" s="56" t="n">
        <v>2.2</v>
      </c>
      <c r="G893" s="57" t="n">
        <f aca="false">MAX(0,IF(AND(Parameter!$B$21="Ja",ISNUMBER(W893)),W893,IF(Parameter!$B$20="Jahresanfang 2025 + Export",BJ893+BI893,BI893)))</f>
        <v>0</v>
      </c>
      <c r="H893" s="57" t="n">
        <f aca="false">G893*F893</f>
        <v>0</v>
      </c>
      <c r="I893" s="57" t="n">
        <f aca="false">BL893*Parameter!$B$18</f>
        <v>11</v>
      </c>
      <c r="J893" s="58" t="n">
        <v>41</v>
      </c>
      <c r="K893" s="59" t="n">
        <v>0.268292682926829</v>
      </c>
      <c r="L893" s="57" t="n">
        <v>0</v>
      </c>
      <c r="M893" s="57" t="n">
        <v>10</v>
      </c>
      <c r="N893" s="60" t="n">
        <v>21</v>
      </c>
      <c r="O893" s="55" t="s">
        <v>416</v>
      </c>
      <c r="P893" s="57" t="n">
        <v>21</v>
      </c>
      <c r="Q893" s="60" t="n">
        <f aca="false">IF(BR893=1,0,IFERROR(VLOOKUP(BP893,'Gebinde-Kategorie'!$A$5:$M$45,13,0)+0,0))</f>
        <v>198</v>
      </c>
      <c r="R893" s="61"/>
      <c r="S893" s="62"/>
      <c r="T893" s="62"/>
      <c r="U893" s="55"/>
      <c r="V893" s="57"/>
      <c r="W893" s="57"/>
      <c r="X893" s="55" t="n">
        <f aca="false">IF(A893="","",IF(AND(Parameter!$B$21="Ja",ISNUMBER(U893)),U893,IF(IFERROR(VLOOKUP(D893,Parameter!$A$35:$C$64,2,0),"Nein")="2+3",IF(ISNUMBER(SEARCH("grosser Artikel",BM893)),2,IFERROR(VLOOKUP(BP893,Parameter!$F$35:$G$64,2,0),2)),IF(OR(IFERROR(VLOOKUP(D893,Parameter!$A$35:$C$64,2,0),"Nein")="Nein",IFERROR(VLOOKUP(D893,Parameter!$A$35:$C$64,2,0),"Nein")=""),"-",VLOOKUP(D893,Parameter!$A$35:$C$64,2,0)))))</f>
        <v>3</v>
      </c>
      <c r="Y893" s="62"/>
      <c r="Z893" s="63"/>
      <c r="AA893" s="57" t="n">
        <f aca="false">AP893</f>
        <v>21</v>
      </c>
      <c r="AB893" s="57" t="n">
        <f aca="false">MAX(AP893,G893)</f>
        <v>21</v>
      </c>
      <c r="AC893" s="64"/>
      <c r="AD893" s="57" t="n">
        <f aca="false">IF(LEFT(Cockpit!$C$5,1)="A",G893,IF(BW893=1,BX893,IF(LEFT(Cockpit!$C$5,1)="B",AH893,MAX(AH893,G893))))</f>
        <v>0</v>
      </c>
      <c r="AE893" s="57" t="n">
        <f aca="false">IF(BR893=1,0,ROUNDUP(AD893/BQ893,0))</f>
        <v>0</v>
      </c>
      <c r="AF893" s="59" t="n">
        <f aca="false">IF(CD893&gt;0,CD893*MAX(1,AD893/V893),IF(BR893=1,IF(AD893&lt;=0,0,BS893*MAX(1,IF(G893&gt;0,AD893/G893,1))),IF(Q893&gt;0,AE893/Q893,0))/MAX(0.1,N(Parameter!$M$21)))</f>
        <v>0</v>
      </c>
      <c r="AG893" s="57" t="n">
        <f aca="false">AD893*F893</f>
        <v>0</v>
      </c>
      <c r="AH893" s="57" t="n">
        <f aca="false">ROUNDUP(MAX(I893/IF(BV893&gt;0,BV893,MAX(0.1,N(Cockpit!$C$6))),BY893)/BQ893,0)*BQ893</f>
        <v>21</v>
      </c>
      <c r="AI893" s="58" t="n">
        <f aca="false">IF(AF893&gt;0,I893/AF893,-1)</f>
        <v>-1</v>
      </c>
      <c r="AJ893" s="58" t="str">
        <f aca="false">IF(AND(OR(BU893="L1",BU893="L23"),AF893&gt;0),SUMIFS($AF$7:$AF$1576,$BU$7:$BU$1576,BU893,$AI$7:$AI$1576,"&gt;"&amp;AI893)+SUMIFS($AF$7:$AF$1576,$BU$7:$BU$1576,BU893,$AI$7:$AI$1576,AI893,$BO$7:$BO$1576,"&lt;="&amp;BO893),"")</f>
        <v/>
      </c>
      <c r="AK893" s="65" t="n">
        <f aca="false">IF(AJ893="",0,MAX(0,MIN(1,(IF(BU893="L1",Parameter!$E$5,Parameter!$E$6+Parameter!$E$7)-(AJ893-AF893))/AF893)))</f>
        <v>0</v>
      </c>
      <c r="AL893" s="57" t="n">
        <f aca="false">IF(LEFT(Cockpit!$I$5,1)="A",G893,IF(BW893=1,BX893,IF(LEFT(Cockpit!$I$5,1)="B",AP893,MAX(AP893,G893))))</f>
        <v>21</v>
      </c>
      <c r="AM893" s="57" t="n">
        <f aca="false">IF(BR893=1,0,ROUNDUP(AL893/BQ893,0))</f>
        <v>1</v>
      </c>
      <c r="AN893" s="59" t="n">
        <f aca="false">IF(CD893&gt;0,CD893*MAX(1,AL893/V893),IF(BR893=1,IF(AL893&lt;=0,0,BS893*MAX(1,IF(G893&gt;0,AL893/G893,1))),IF(Q893&gt;0,AM893/Q893,0))/MAX(0.1,N(Parameter!$M$21)))</f>
        <v>0.00505050505050505</v>
      </c>
      <c r="AO893" s="57" t="n">
        <f aca="false">AL893*F893</f>
        <v>46.2</v>
      </c>
      <c r="AP893" s="57" t="n">
        <f aca="false">ROUNDUP(MAX(I893/IF(BV893&gt;0,BV893,MAX(0.1,N(Cockpit!$I$6))),BY893)/BQ893,0)*BQ893</f>
        <v>21</v>
      </c>
      <c r="AQ893" s="58" t="n">
        <f aca="false">IF(AN893&gt;0,I893/AN893,-1)</f>
        <v>2178</v>
      </c>
      <c r="AR893" s="58" t="n">
        <f aca="false">IF(AND(OR(BU893="L1",BU893="L23"),AN893&gt;0),SUMIFS($AN$7:$AN$1576,$BU$7:$BU$1576,BU893,$AQ$7:$AQ$1576,"&gt;"&amp;AQ893)+SUMIFS($AN$7:$AN$1576,$BU$7:$BU$1576,BU893,$AQ$7:$AQ$1576,AQ893,$BO$7:$BO$1576,"&lt;="&amp;BO893),"")</f>
        <v>16.8614306590505</v>
      </c>
      <c r="AS893" s="65" t="n">
        <f aca="false">IF(AR893="",0,MAX(0,MIN(1,(IF(BU893="L1",Parameter!$E$5,Parameter!$E$6+Parameter!$E$7)-(AR893-AN893))/AN893)))</f>
        <v>1</v>
      </c>
      <c r="AT893" s="57" t="n">
        <f aca="false">IF(LEFT(Cockpit!$O$5,1)="A",G893,IF(BW893=1,BX893,IF(LEFT(Cockpit!$O$5,1)="B",AX893,MAX(AX893,G893))))</f>
        <v>21</v>
      </c>
      <c r="AU893" s="57" t="n">
        <f aca="false">IF(BR893=1,0,ROUNDUP(AT893/BQ893,0))</f>
        <v>1</v>
      </c>
      <c r="AV893" s="59" t="n">
        <f aca="false">IF(CD893&gt;0,CD893*MAX(1,AT893/V893),IF(BR893=1,IF(AT893&lt;=0,0,BS893*MAX(1,IF(G893&gt;0,AT893/G893,1))),IF(Q893&gt;0,AU893/Q893,0))/MAX(0.1,N(Parameter!$M$21)))</f>
        <v>0.00505050505050505</v>
      </c>
      <c r="AW893" s="57" t="n">
        <f aca="false">AT893*F893</f>
        <v>46.2</v>
      </c>
      <c r="AX893" s="57" t="n">
        <f aca="false">ROUNDUP(MAX(I893/IF(BV893&gt;0,BV893,MAX(0.1,N(Cockpit!$O$6))),BY893)/BQ893,0)*BQ893</f>
        <v>21</v>
      </c>
      <c r="AY893" s="58" t="n">
        <f aca="false">IF(AV893&gt;0,I893/AV893,-1)</f>
        <v>2178</v>
      </c>
      <c r="AZ893" s="58" t="n">
        <f aca="false">IF(AND(OR(BU893="L1",BU893="L23"),AV893&gt;0),SUMIFS($AV$7:$AV$1576,$BU$7:$BU$1576,BU893,$AY$7:$AY$1576,"&gt;"&amp;AY893)+SUMIFS($AV$7:$AV$1576,$BU$7:$BU$1576,BU893,$AY$7:$AY$1576,AY893,$BO$7:$BO$1576,"&lt;="&amp;BO893),"")</f>
        <v>15.5502418478617</v>
      </c>
      <c r="BA893" s="65" t="n">
        <f aca="false">IF(AZ893="",0,MAX(0,MIN(1,(IF(BU893="L1",Parameter!$E$5,Parameter!$E$6+Parameter!$E$7)-(AZ893-AV893))/AV893)))</f>
        <v>1</v>
      </c>
      <c r="BB893" s="55" t="str">
        <f aca="false">IF(AF893&lt;=0,"",IF(BU893="Aussen","Aussenlager",IF(BU893="-","Nicht im Lift",IF(AK893&gt;=1,"Lift",IF(AK893&lt;=0,"Aussenlager","teilweise")))))</f>
        <v/>
      </c>
      <c r="BC893" s="55" t="str">
        <f aca="false">IF(AN893&lt;=0,"",IF(BU893="Aussen","Aussenlager",IF(BU893="-","Nicht im Lift",IF(AS893&gt;=1,"Lift",IF(AS893&lt;=0,"Aussenlager","teilweise")))))</f>
        <v>Lift</v>
      </c>
      <c r="BD893" s="55" t="str">
        <f aca="false">IF(AV893&lt;=0,"",IF(BU893="Aussen","Aussenlager",IF(BU893="-","Nicht im Lift",IF(BA893&gt;=1,"Lift",IF(BA893&lt;=0,"Aussenlager","teilweise")))))</f>
        <v>Lift</v>
      </c>
      <c r="BE893" s="55" t="str">
        <f aca="false">IF(A893="","",IF(BN893=1,"Neu; ","")&amp;IF(AND(BN893=0,BI893&lt;0),"negativer Bestand (Export "&amp;BI893&amp;"); ","")&amp;IF(I893&lt;=0,"Kein Verbrauch; ","")&amp;IF(CD893&gt;0,"Lift "&amp;U893&amp;" lt. Liftbericht (Fach "&amp;V893&amp;" Stk); ",IF(BR893=1,"Lose – Fläche geschätzt; ",""))&amp;IF(G893&gt;AP893,"Überbestand "&amp;ROUND(G893-AP893,0)&amp;" Stk / CHF "&amp;ROUND((G893-AP893)*F893,0)&amp;"; ","")&amp;IF(AND(BW893=1,BX893&lt;BY893),"MAX &lt; MB+LG; ","")&amp;IF(AND(CC893&gt;0,CB893*10&gt;CC893),"zu hoch für Tablar; ","")&amp;IF(AND(BN893=0,OR(BW893=1,Y893&lt;&gt;"",S893&lt;&gt;"",T893&lt;&gt;"",Z893&lt;&gt;"")),"manuell übersteuert; ","")&amp;IF(AND(BR893=0,Q893=0),"Gebinde unbekannt / Stellmass fehlt; ","")&amp;IF(AND(BR893=0,N(T893)&lt;=0,N(P893)&lt;=0),"Menge pro Gebinde fehlt (Ist = 1 Gebinde); ","")&amp;BM893)</f>
        <v>negativer Bestand (Export -14); </v>
      </c>
      <c r="BF893" s="55"/>
      <c r="BG893" s="55"/>
      <c r="BH893" s="62"/>
      <c r="BI893" s="57" t="n">
        <v>-14</v>
      </c>
      <c r="BJ893" s="57" t="n">
        <v>48</v>
      </c>
      <c r="BK893" s="56" t="n">
        <v>-30.8</v>
      </c>
      <c r="BL893" s="57" t="n">
        <v>11</v>
      </c>
      <c r="BM893" s="55"/>
      <c r="BN893" s="60" t="n">
        <v>0</v>
      </c>
      <c r="BO893" s="60" t="n">
        <v>893</v>
      </c>
      <c r="BP893" s="55" t="str">
        <f aca="false">IF(S893&lt;&gt;"",UPPER(TRIM(S893)),IF(O893="","LOSE",O893))</f>
        <v>S22</v>
      </c>
      <c r="BQ893" s="57" t="n">
        <f aca="false">IF(BP893="LOSE",1,IF(N(T893)&gt;0,T893,IF(N(P893)&gt;0,P893,MAX(1,G893))))</f>
        <v>21</v>
      </c>
      <c r="BR893" s="60" t="n">
        <f aca="false">IF(BP893="LOSE",1,0)</f>
        <v>0</v>
      </c>
      <c r="BS893" s="59" t="n">
        <f aca="false">IF(BR893=0,0,IF(N(R893)&gt;0,R893,IFERROR(VLOOKUP(D893,Parameter!$A$35:$C$64,3,0)+0,0)))</f>
        <v>0</v>
      </c>
      <c r="BT893" s="55" t="n">
        <f aca="false">IF(Y893&lt;&gt;"",Y893,X893)</f>
        <v>3</v>
      </c>
      <c r="BU893" s="55" t="str">
        <f aca="false">IF(BT893=1,"L1",IF(OR(BT893=2,BT893=3),"L23",IF(BT893="Aussen","Aussen","-")))</f>
        <v>L23</v>
      </c>
      <c r="BV893" s="66" t="n">
        <f aca="false">IF(N(Z893)&gt;0,Z893,0)</f>
        <v>0</v>
      </c>
      <c r="BW893" s="60" t="n">
        <f aca="false">IF(ISNUMBER(AC893),1,0)</f>
        <v>0</v>
      </c>
      <c r="BX893" s="57" t="n">
        <f aca="false">N(AC893)</f>
        <v>0</v>
      </c>
      <c r="BY893" s="57" t="n">
        <f aca="false">N(L893)+N(M893)</f>
        <v>10</v>
      </c>
      <c r="BZ893" s="57" t="n">
        <f aca="false">ROUNDUP(G893/BQ893,0)</f>
        <v>0</v>
      </c>
      <c r="CA893" s="57" t="n">
        <f aca="false">ROUNDUP(BX893/BQ893,0)</f>
        <v>0</v>
      </c>
      <c r="CB893" s="60" t="n">
        <f aca="false">IF(BR893=1,0,IFERROR(VLOOKUP(BP893,'Gebinde-Kategorie'!$A$5:$M$45,5,0)+0,0))</f>
        <v>8</v>
      </c>
      <c r="CC893" s="60" t="n">
        <f aca="false">IFERROR(IF(OR(BT893=1,BT893=2,BT893=3),N(INDEX(Parameter!$I$5:$I$7,BT893)),0),0)</f>
        <v>0</v>
      </c>
      <c r="CD893" s="59" t="n">
        <f aca="false">IF(AND(Parameter!$B$21="Ja",ISNUMBER(U893),N(V893)&gt;0),IFERROR(N(INDEX(Parameter!$L$5:$L$7,U893))*INDEX(Parameter!$E$5:$E$7,U893)*V893/SUMIFS($V$7:$V$1576,$U$7:$U$1576,U893),0),0)</f>
        <v>0</v>
      </c>
    </row>
    <row r="894" customFormat="false" ht="15" hidden="false" customHeight="false" outlineLevel="0" collapsed="false">
      <c r="A894" s="55" t="s">
        <v>1673</v>
      </c>
      <c r="B894" s="55" t="s">
        <v>1674</v>
      </c>
      <c r="C894" s="55" t="s">
        <v>160</v>
      </c>
      <c r="D894" s="55" t="s">
        <v>178</v>
      </c>
      <c r="E894" s="55" t="s">
        <v>210</v>
      </c>
      <c r="F894" s="56" t="n">
        <v>0.24</v>
      </c>
      <c r="G894" s="57" t="n">
        <f aca="false">MAX(0,IF(AND(Parameter!$B$21="Ja",ISNUMBER(W894)),W894,IF(Parameter!$B$20="Jahresanfang 2025 + Export",BJ894+BI894,BI894)))</f>
        <v>0</v>
      </c>
      <c r="H894" s="57" t="n">
        <f aca="false">G894*F894</f>
        <v>0</v>
      </c>
      <c r="I894" s="57" t="n">
        <f aca="false">BL894*Parameter!$B$18</f>
        <v>0</v>
      </c>
      <c r="J894" s="58" t="n">
        <v>900</v>
      </c>
      <c r="K894" s="59" t="n">
        <v>0</v>
      </c>
      <c r="L894" s="57" t="n">
        <v>1</v>
      </c>
      <c r="M894" s="57" t="n">
        <v>1</v>
      </c>
      <c r="N894" s="60" t="n">
        <v>21</v>
      </c>
      <c r="O894" s="55" t="s">
        <v>293</v>
      </c>
      <c r="P894" s="57" t="n">
        <v>400</v>
      </c>
      <c r="Q894" s="60" t="n">
        <f aca="false">IF(BR894=1,0,IFERROR(VLOOKUP(BP894,'Gebinde-Kategorie'!$A$5:$M$45,13,0)+0,0))</f>
        <v>26</v>
      </c>
      <c r="R894" s="61"/>
      <c r="S894" s="62"/>
      <c r="T894" s="62"/>
      <c r="U894" s="55"/>
      <c r="V894" s="57"/>
      <c r="W894" s="57"/>
      <c r="X894" s="55" t="n">
        <f aca="false">IF(A894="","",IF(AND(Parameter!$B$21="Ja",ISNUMBER(U894)),U894,IF(IFERROR(VLOOKUP(D894,Parameter!$A$35:$C$64,2,0),"Nein")="2+3",IF(ISNUMBER(SEARCH("grosser Artikel",BM894)),2,IFERROR(VLOOKUP(BP894,Parameter!$F$35:$G$64,2,0),2)),IF(OR(IFERROR(VLOOKUP(D894,Parameter!$A$35:$C$64,2,0),"Nein")="Nein",IFERROR(VLOOKUP(D894,Parameter!$A$35:$C$64,2,0),"Nein")=""),"-",VLOOKUP(D894,Parameter!$A$35:$C$64,2,0)))))</f>
        <v>3</v>
      </c>
      <c r="Y894" s="62"/>
      <c r="Z894" s="63"/>
      <c r="AA894" s="57" t="n">
        <f aca="false">AP894</f>
        <v>400</v>
      </c>
      <c r="AB894" s="57" t="n">
        <f aca="false">MAX(AP894,G894)</f>
        <v>400</v>
      </c>
      <c r="AC894" s="64"/>
      <c r="AD894" s="57" t="n">
        <f aca="false">IF(LEFT(Cockpit!$C$5,1)="A",G894,IF(BW894=1,BX894,IF(LEFT(Cockpit!$C$5,1)="B",AH894,MAX(AH894,G894))))</f>
        <v>0</v>
      </c>
      <c r="AE894" s="57" t="n">
        <f aca="false">IF(BR894=1,0,ROUNDUP(AD894/BQ894,0))</f>
        <v>0</v>
      </c>
      <c r="AF894" s="59" t="n">
        <f aca="false">IF(CD894&gt;0,CD894*MAX(1,AD894/V894),IF(BR894=1,IF(AD894&lt;=0,0,BS894*MAX(1,IF(G894&gt;0,AD894/G894,1))),IF(Q894&gt;0,AE894/Q894,0))/MAX(0.1,N(Parameter!$M$21)))</f>
        <v>0</v>
      </c>
      <c r="AG894" s="57" t="n">
        <f aca="false">AD894*F894</f>
        <v>0</v>
      </c>
      <c r="AH894" s="57" t="n">
        <f aca="false">ROUNDUP(MAX(I894/IF(BV894&gt;0,BV894,MAX(0.1,N(Cockpit!$C$6))),BY894)/BQ894,0)*BQ894</f>
        <v>400</v>
      </c>
      <c r="AI894" s="58" t="n">
        <f aca="false">IF(AF894&gt;0,I894/AF894,-1)</f>
        <v>-1</v>
      </c>
      <c r="AJ894" s="58" t="str">
        <f aca="false">IF(AND(OR(BU894="L1",BU894="L23"),AF894&gt;0),SUMIFS($AF$7:$AF$1576,$BU$7:$BU$1576,BU894,$AI$7:$AI$1576,"&gt;"&amp;AI894)+SUMIFS($AF$7:$AF$1576,$BU$7:$BU$1576,BU894,$AI$7:$AI$1576,AI894,$BO$7:$BO$1576,"&lt;="&amp;BO894),"")</f>
        <v/>
      </c>
      <c r="AK894" s="65" t="n">
        <f aca="false">IF(AJ894="",0,MAX(0,MIN(1,(IF(BU894="L1",Parameter!$E$5,Parameter!$E$6+Parameter!$E$7)-(AJ894-AF894))/AF894)))</f>
        <v>0</v>
      </c>
      <c r="AL894" s="57" t="n">
        <f aca="false">IF(LEFT(Cockpit!$I$5,1)="A",G894,IF(BW894=1,BX894,IF(LEFT(Cockpit!$I$5,1)="B",AP894,MAX(AP894,G894))))</f>
        <v>400</v>
      </c>
      <c r="AM894" s="57" t="n">
        <f aca="false">IF(BR894=1,0,ROUNDUP(AL894/BQ894,0))</f>
        <v>1</v>
      </c>
      <c r="AN894" s="59" t="n">
        <f aca="false">IF(CD894&gt;0,CD894*MAX(1,AL894/V894),IF(BR894=1,IF(AL894&lt;=0,0,BS894*MAX(1,IF(G894&gt;0,AL894/G894,1))),IF(Q894&gt;0,AM894/Q894,0))/MAX(0.1,N(Parameter!$M$21)))</f>
        <v>0.0384615384615385</v>
      </c>
      <c r="AO894" s="57" t="n">
        <f aca="false">AL894*F894</f>
        <v>96</v>
      </c>
      <c r="AP894" s="57" t="n">
        <f aca="false">ROUNDUP(MAX(I894/IF(BV894&gt;0,BV894,MAX(0.1,N(Cockpit!$I$6))),BY894)/BQ894,0)*BQ894</f>
        <v>400</v>
      </c>
      <c r="AQ894" s="58" t="n">
        <f aca="false">IF(AN894&gt;0,I894/AN894,-1)</f>
        <v>0</v>
      </c>
      <c r="AR894" s="58" t="n">
        <f aca="false">IF(AND(OR(BU894="L1",BU894="L23"),AN894&gt;0),SUMIFS($AN$7:$AN$1576,$BU$7:$BU$1576,BU894,$AQ$7:$AQ$1576,"&gt;"&amp;AQ894)+SUMIFS($AN$7:$AN$1576,$BU$7:$BU$1576,BU894,$AQ$7:$AQ$1576,AQ894,$BO$7:$BO$1576,"&lt;="&amp;BO894),"")</f>
        <v>131.096812342295</v>
      </c>
      <c r="AS894" s="65" t="n">
        <f aca="false">IF(AR894="",0,MAX(0,MIN(1,(IF(BU894="L1",Parameter!$E$5,Parameter!$E$6+Parameter!$E$7)-(AR894-AN894))/AN894)))</f>
        <v>0</v>
      </c>
      <c r="AT894" s="57" t="n">
        <f aca="false">IF(LEFT(Cockpit!$O$5,1)="A",G894,IF(BW894=1,BX894,IF(LEFT(Cockpit!$O$5,1)="B",AX894,MAX(AX894,G894))))</f>
        <v>400</v>
      </c>
      <c r="AU894" s="57" t="n">
        <f aca="false">IF(BR894=1,0,ROUNDUP(AT894/BQ894,0))</f>
        <v>1</v>
      </c>
      <c r="AV894" s="59" t="n">
        <f aca="false">IF(CD894&gt;0,CD894*MAX(1,AT894/V894),IF(BR894=1,IF(AT894&lt;=0,0,BS894*MAX(1,IF(G894&gt;0,AT894/G894,1))),IF(Q894&gt;0,AU894/Q894,0))/MAX(0.1,N(Parameter!$M$21)))</f>
        <v>0.0384615384615385</v>
      </c>
      <c r="AW894" s="57" t="n">
        <f aca="false">AT894*F894</f>
        <v>96</v>
      </c>
      <c r="AX894" s="57" t="n">
        <f aca="false">ROUNDUP(MAX(I894/IF(BV894&gt;0,BV894,MAX(0.1,N(Cockpit!$O$6))),BY894)/BQ894,0)*BQ894</f>
        <v>400</v>
      </c>
      <c r="AY894" s="58" t="n">
        <f aca="false">IF(AV894&gt;0,I894/AV894,-1)</f>
        <v>0</v>
      </c>
      <c r="AZ894" s="58" t="n">
        <f aca="false">IF(AND(OR(BU894="L1",BU894="L23"),AV894&gt;0),SUMIFS($AV$7:$AV$1576,$BU$7:$BU$1576,BU894,$AY$7:$AY$1576,"&gt;"&amp;AY894)+SUMIFS($AV$7:$AV$1576,$BU$7:$BU$1576,BU894,$AY$7:$AY$1576,AY894,$BO$7:$BO$1576,"&lt;="&amp;BO894),"")</f>
        <v>121.156362791845</v>
      </c>
      <c r="BA894" s="65" t="n">
        <f aca="false">IF(AZ894="",0,MAX(0,MIN(1,(IF(BU894="L1",Parameter!$E$5,Parameter!$E$6+Parameter!$E$7)-(AZ894-AV894))/AV894)))</f>
        <v>0</v>
      </c>
      <c r="BB894" s="55" t="str">
        <f aca="false">IF(AF894&lt;=0,"",IF(BU894="Aussen","Aussenlager",IF(BU894="-","Nicht im Lift",IF(AK894&gt;=1,"Lift",IF(AK894&lt;=0,"Aussenlager","teilweise")))))</f>
        <v/>
      </c>
      <c r="BC894" s="55" t="str">
        <f aca="false">IF(AN894&lt;=0,"",IF(BU894="Aussen","Aussenlager",IF(BU894="-","Nicht im Lift",IF(AS894&gt;=1,"Lift",IF(AS894&lt;=0,"Aussenlager","teilweise")))))</f>
        <v>Aussenlager</v>
      </c>
      <c r="BD894" s="55" t="str">
        <f aca="false">IF(AV894&lt;=0,"",IF(BU894="Aussen","Aussenlager",IF(BU894="-","Nicht im Lift",IF(BA894&gt;=1,"Lift",IF(BA894&lt;=0,"Aussenlager","teilweise")))))</f>
        <v>Aussenlager</v>
      </c>
      <c r="BE894" s="55" t="str">
        <f aca="false">IF(A894="","",IF(BN894=1,"Neu; ","")&amp;IF(AND(BN894=0,BI894&lt;0),"negativer Bestand (Export "&amp;BI894&amp;"); ","")&amp;IF(I894&lt;=0,"Kein Verbrauch; ","")&amp;IF(CD894&gt;0,"Lift "&amp;U894&amp;" lt. Liftbericht (Fach "&amp;V894&amp;" Stk); ",IF(BR894=1,"Lose – Fläche geschätzt; ",""))&amp;IF(G894&gt;AP894,"Überbestand "&amp;ROUND(G894-AP894,0)&amp;" Stk / CHF "&amp;ROUND((G894-AP894)*F894,0)&amp;"; ","")&amp;IF(AND(BW894=1,BX894&lt;BY894),"MAX &lt; MB+LG; ","")&amp;IF(AND(CC894&gt;0,CB894*10&gt;CC894),"zu hoch für Tablar; ","")&amp;IF(AND(BN894=0,OR(BW894=1,Y894&lt;&gt;"",S894&lt;&gt;"",T894&lt;&gt;"",Z894&lt;&gt;"")),"manuell übersteuert; ","")&amp;IF(AND(BR894=0,Q894=0),"Gebinde unbekannt / Stellmass fehlt; ","")&amp;IF(AND(BR894=0,N(T894)&lt;=0,N(P894)&lt;=0),"Menge pro Gebinde fehlt (Ist = 1 Gebinde); ","")&amp;BM894)</f>
        <v>negativer Bestand (Export -129); Kein Verbrauch; Handlager</v>
      </c>
      <c r="BF894" s="55"/>
      <c r="BG894" s="55"/>
      <c r="BH894" s="62"/>
      <c r="BI894" s="57" t="n">
        <v>-129</v>
      </c>
      <c r="BJ894" s="57" t="n">
        <v>900</v>
      </c>
      <c r="BK894" s="56" t="n">
        <v>-30.96</v>
      </c>
      <c r="BL894" s="57" t="n">
        <v>0</v>
      </c>
      <c r="BM894" s="55" t="s">
        <v>884</v>
      </c>
      <c r="BN894" s="60" t="n">
        <v>0</v>
      </c>
      <c r="BO894" s="60" t="n">
        <v>894</v>
      </c>
      <c r="BP894" s="55" t="str">
        <f aca="false">IF(S894&lt;&gt;"",UPPER(TRIM(S894)),IF(O894="","LOSE",O894))</f>
        <v>S51</v>
      </c>
      <c r="BQ894" s="57" t="n">
        <f aca="false">IF(BP894="LOSE",1,IF(N(T894)&gt;0,T894,IF(N(P894)&gt;0,P894,MAX(1,G894))))</f>
        <v>400</v>
      </c>
      <c r="BR894" s="60" t="n">
        <f aca="false">IF(BP894="LOSE",1,0)</f>
        <v>0</v>
      </c>
      <c r="BS894" s="59" t="n">
        <f aca="false">IF(BR894=0,0,IF(N(R894)&gt;0,R894,IFERROR(VLOOKUP(D894,Parameter!$A$35:$C$64,3,0)+0,0)))</f>
        <v>0</v>
      </c>
      <c r="BT894" s="55" t="n">
        <f aca="false">IF(Y894&lt;&gt;"",Y894,X894)</f>
        <v>3</v>
      </c>
      <c r="BU894" s="55" t="str">
        <f aca="false">IF(BT894=1,"L1",IF(OR(BT894=2,BT894=3),"L23",IF(BT894="Aussen","Aussen","-")))</f>
        <v>L23</v>
      </c>
      <c r="BV894" s="66" t="n">
        <f aca="false">IF(N(Z894)&gt;0,Z894,0)</f>
        <v>0</v>
      </c>
      <c r="BW894" s="60" t="n">
        <f aca="false">IF(ISNUMBER(AC894),1,0)</f>
        <v>0</v>
      </c>
      <c r="BX894" s="57" t="n">
        <f aca="false">N(AC894)</f>
        <v>0</v>
      </c>
      <c r="BY894" s="57" t="n">
        <f aca="false">N(L894)+N(M894)</f>
        <v>2</v>
      </c>
      <c r="BZ894" s="57" t="n">
        <f aca="false">ROUNDUP(G894/BQ894,0)</f>
        <v>0</v>
      </c>
      <c r="CA894" s="57" t="n">
        <f aca="false">ROUNDUP(BX894/BQ894,0)</f>
        <v>0</v>
      </c>
      <c r="CB894" s="60" t="n">
        <f aca="false">IF(BR894=1,0,IFERROR(VLOOKUP(BP894,'Gebinde-Kategorie'!$A$5:$M$45,5,0)+0,0))</f>
        <v>11</v>
      </c>
      <c r="CC894" s="60" t="n">
        <f aca="false">IFERROR(IF(OR(BT894=1,BT894=2,BT894=3),N(INDEX(Parameter!$I$5:$I$7,BT894)),0),0)</f>
        <v>0</v>
      </c>
      <c r="CD894" s="59" t="n">
        <f aca="false">IF(AND(Parameter!$B$21="Ja",ISNUMBER(U894),N(V894)&gt;0),IFERROR(N(INDEX(Parameter!$L$5:$L$7,U894))*INDEX(Parameter!$E$5:$E$7,U894)*V894/SUMIFS($V$7:$V$1576,$U$7:$U$1576,U894),0),0)</f>
        <v>0</v>
      </c>
    </row>
    <row r="895" customFormat="false" ht="15" hidden="false" customHeight="false" outlineLevel="0" collapsed="false">
      <c r="A895" s="55" t="s">
        <v>1675</v>
      </c>
      <c r="B895" s="55" t="s">
        <v>457</v>
      </c>
      <c r="C895" s="55" t="s">
        <v>160</v>
      </c>
      <c r="D895" s="55" t="s">
        <v>178</v>
      </c>
      <c r="E895" s="55" t="s">
        <v>210</v>
      </c>
      <c r="F895" s="56" t="n">
        <v>0.11</v>
      </c>
      <c r="G895" s="57" t="n">
        <f aca="false">MAX(0,IF(AND(Parameter!$B$21="Ja",ISNUMBER(W895)),W895,IF(Parameter!$B$20="Jahresanfang 2025 + Export",BJ895+BI895,BI895)))</f>
        <v>0</v>
      </c>
      <c r="H895" s="57" t="n">
        <f aca="false">G895*F895</f>
        <v>0</v>
      </c>
      <c r="I895" s="57" t="n">
        <f aca="false">BL895*Parameter!$B$18</f>
        <v>524</v>
      </c>
      <c r="J895" s="58" t="n">
        <v>485.5</v>
      </c>
      <c r="K895" s="59" t="n">
        <v>1.07929969104017</v>
      </c>
      <c r="L895" s="57" t="n">
        <v>20</v>
      </c>
      <c r="M895" s="57" t="n">
        <v>525</v>
      </c>
      <c r="N895" s="60" t="n">
        <v>14</v>
      </c>
      <c r="O895" s="55" t="s">
        <v>411</v>
      </c>
      <c r="P895" s="57" t="n">
        <v>831</v>
      </c>
      <c r="Q895" s="60" t="n">
        <f aca="false">IF(BR895=1,0,IFERROR(VLOOKUP(BP895,'Gebinde-Kategorie'!$A$5:$M$45,13,0)+0,0))</f>
        <v>132</v>
      </c>
      <c r="R895" s="61"/>
      <c r="S895" s="62"/>
      <c r="T895" s="62"/>
      <c r="U895" s="55"/>
      <c r="V895" s="57"/>
      <c r="W895" s="57"/>
      <c r="X895" s="55" t="n">
        <f aca="false">IF(A895="","",IF(AND(Parameter!$B$21="Ja",ISNUMBER(U895)),U895,IF(IFERROR(VLOOKUP(D895,Parameter!$A$35:$C$64,2,0),"Nein")="2+3",IF(ISNUMBER(SEARCH("grosser Artikel",BM895)),2,IFERROR(VLOOKUP(BP895,Parameter!$F$35:$G$64,2,0),2)),IF(OR(IFERROR(VLOOKUP(D895,Parameter!$A$35:$C$64,2,0),"Nein")="Nein",IFERROR(VLOOKUP(D895,Parameter!$A$35:$C$64,2,0),"Nein")=""),"-",VLOOKUP(D895,Parameter!$A$35:$C$64,2,0)))))</f>
        <v>3</v>
      </c>
      <c r="Y895" s="62"/>
      <c r="Z895" s="63"/>
      <c r="AA895" s="57" t="n">
        <f aca="false">AP895</f>
        <v>831</v>
      </c>
      <c r="AB895" s="57" t="n">
        <f aca="false">MAX(AP895,G895)</f>
        <v>831</v>
      </c>
      <c r="AC895" s="64"/>
      <c r="AD895" s="57" t="n">
        <f aca="false">IF(LEFT(Cockpit!$C$5,1)="A",G895,IF(BW895=1,BX895,IF(LEFT(Cockpit!$C$5,1)="B",AH895,MAX(AH895,G895))))</f>
        <v>0</v>
      </c>
      <c r="AE895" s="57" t="n">
        <f aca="false">IF(BR895=1,0,ROUNDUP(AD895/BQ895,0))</f>
        <v>0</v>
      </c>
      <c r="AF895" s="59" t="n">
        <f aca="false">IF(CD895&gt;0,CD895*MAX(1,AD895/V895),IF(BR895=1,IF(AD895&lt;=0,0,BS895*MAX(1,IF(G895&gt;0,AD895/G895,1))),IF(Q895&gt;0,AE895/Q895,0))/MAX(0.1,N(Parameter!$M$21)))</f>
        <v>0</v>
      </c>
      <c r="AG895" s="57" t="n">
        <f aca="false">AD895*F895</f>
        <v>0</v>
      </c>
      <c r="AH895" s="57" t="n">
        <f aca="false">ROUNDUP(MAX(I895/IF(BV895&gt;0,BV895,MAX(0.1,N(Cockpit!$C$6))),BY895)/BQ895,0)*BQ895</f>
        <v>831</v>
      </c>
      <c r="AI895" s="58" t="n">
        <f aca="false">IF(AF895&gt;0,I895/AF895,-1)</f>
        <v>-1</v>
      </c>
      <c r="AJ895" s="58" t="str">
        <f aca="false">IF(AND(OR(BU895="L1",BU895="L23"),AF895&gt;0),SUMIFS($AF$7:$AF$1576,$BU$7:$BU$1576,BU895,$AI$7:$AI$1576,"&gt;"&amp;AI895)+SUMIFS($AF$7:$AF$1576,$BU$7:$BU$1576,BU895,$AI$7:$AI$1576,AI895,$BO$7:$BO$1576,"&lt;="&amp;BO895),"")</f>
        <v/>
      </c>
      <c r="AK895" s="65" t="n">
        <f aca="false">IF(AJ895="",0,MAX(0,MIN(1,(IF(BU895="L1",Parameter!$E$5,Parameter!$E$6+Parameter!$E$7)-(AJ895-AF895))/AF895)))</f>
        <v>0</v>
      </c>
      <c r="AL895" s="57" t="n">
        <f aca="false">IF(LEFT(Cockpit!$I$5,1)="A",G895,IF(BW895=1,BX895,IF(LEFT(Cockpit!$I$5,1)="B",AP895,MAX(AP895,G895))))</f>
        <v>831</v>
      </c>
      <c r="AM895" s="57" t="n">
        <f aca="false">IF(BR895=1,0,ROUNDUP(AL895/BQ895,0))</f>
        <v>1</v>
      </c>
      <c r="AN895" s="59" t="n">
        <f aca="false">IF(CD895&gt;0,CD895*MAX(1,AL895/V895),IF(BR895=1,IF(AL895&lt;=0,0,BS895*MAX(1,IF(G895&gt;0,AL895/G895,1))),IF(Q895&gt;0,AM895/Q895,0))/MAX(0.1,N(Parameter!$M$21)))</f>
        <v>0.00757575757575758</v>
      </c>
      <c r="AO895" s="57" t="n">
        <f aca="false">AL895*F895</f>
        <v>91.41</v>
      </c>
      <c r="AP895" s="57" t="n">
        <f aca="false">ROUNDUP(MAX(I895/IF(BV895&gt;0,BV895,MAX(0.1,N(Cockpit!$I$6))),BY895)/BQ895,0)*BQ895</f>
        <v>831</v>
      </c>
      <c r="AQ895" s="58" t="n">
        <f aca="false">IF(AN895&gt;0,I895/AN895,-1)</f>
        <v>69168</v>
      </c>
      <c r="AR895" s="58" t="n">
        <f aca="false">IF(AND(OR(BU895="L1",BU895="L23"),AN895&gt;0),SUMIFS($AN$7:$AN$1576,$BU$7:$BU$1576,BU895,$AQ$7:$AQ$1576,"&gt;"&amp;AQ895)+SUMIFS($AN$7:$AN$1576,$BU$7:$BU$1576,BU895,$AQ$7:$AQ$1576,AQ895,$BO$7:$BO$1576,"&lt;="&amp;BO895),"")</f>
        <v>0.753603932299584</v>
      </c>
      <c r="AS895" s="65" t="n">
        <f aca="false">IF(AR895="",0,MAX(0,MIN(1,(IF(BU895="L1",Parameter!$E$5,Parameter!$E$6+Parameter!$E$7)-(AR895-AN895))/AN895)))</f>
        <v>1</v>
      </c>
      <c r="AT895" s="57" t="n">
        <f aca="false">IF(LEFT(Cockpit!$O$5,1)="A",G895,IF(BW895=1,BX895,IF(LEFT(Cockpit!$O$5,1)="B",AX895,MAX(AX895,G895))))</f>
        <v>831</v>
      </c>
      <c r="AU895" s="57" t="n">
        <f aca="false">IF(BR895=1,0,ROUNDUP(AT895/BQ895,0))</f>
        <v>1</v>
      </c>
      <c r="AV895" s="59" t="n">
        <f aca="false">IF(CD895&gt;0,CD895*MAX(1,AT895/V895),IF(BR895=1,IF(AT895&lt;=0,0,BS895*MAX(1,IF(G895&gt;0,AT895/G895,1))),IF(Q895&gt;0,AU895/Q895,0))/MAX(0.1,N(Parameter!$M$21)))</f>
        <v>0.00757575757575758</v>
      </c>
      <c r="AW895" s="57" t="n">
        <f aca="false">AT895*F895</f>
        <v>91.41</v>
      </c>
      <c r="AX895" s="57" t="n">
        <f aca="false">ROUNDUP(MAX(I895/IF(BV895&gt;0,BV895,MAX(0.1,N(Cockpit!$O$6))),BY895)/BQ895,0)*BQ895</f>
        <v>831</v>
      </c>
      <c r="AY895" s="58" t="n">
        <f aca="false">IF(AV895&gt;0,I895/AV895,-1)</f>
        <v>69168</v>
      </c>
      <c r="AZ895" s="58" t="n">
        <f aca="false">IF(AND(OR(BU895="L1",BU895="L23"),AV895&gt;0),SUMIFS($AV$7:$AV$1576,$BU$7:$BU$1576,BU895,$AY$7:$AY$1576,"&gt;"&amp;AY895)+SUMIFS($AV$7:$AV$1576,$BU$7:$BU$1576,BU895,$AY$7:$AY$1576,AY895,$BO$7:$BO$1576,"&lt;="&amp;BO895),"")</f>
        <v>0.922601601297253</v>
      </c>
      <c r="BA895" s="65" t="n">
        <f aca="false">IF(AZ895="",0,MAX(0,MIN(1,(IF(BU895="L1",Parameter!$E$5,Parameter!$E$6+Parameter!$E$7)-(AZ895-AV895))/AV895)))</f>
        <v>1</v>
      </c>
      <c r="BB895" s="55" t="str">
        <f aca="false">IF(AF895&lt;=0,"",IF(BU895="Aussen","Aussenlager",IF(BU895="-","Nicht im Lift",IF(AK895&gt;=1,"Lift",IF(AK895&lt;=0,"Aussenlager","teilweise")))))</f>
        <v/>
      </c>
      <c r="BC895" s="55" t="str">
        <f aca="false">IF(AN895&lt;=0,"",IF(BU895="Aussen","Aussenlager",IF(BU895="-","Nicht im Lift",IF(AS895&gt;=1,"Lift",IF(AS895&lt;=0,"Aussenlager","teilweise")))))</f>
        <v>Lift</v>
      </c>
      <c r="BD895" s="55" t="str">
        <f aca="false">IF(AV895&lt;=0,"",IF(BU895="Aussen","Aussenlager",IF(BU895="-","Nicht im Lift",IF(BA895&gt;=1,"Lift",IF(BA895&lt;=0,"Aussenlager","teilweise")))))</f>
        <v>Lift</v>
      </c>
      <c r="BE895" s="55" t="str">
        <f aca="false">IF(A895="","",IF(BN895=1,"Neu; ","")&amp;IF(AND(BN895=0,BI895&lt;0),"negativer Bestand (Export "&amp;BI895&amp;"); ","")&amp;IF(I895&lt;=0,"Kein Verbrauch; ","")&amp;IF(CD895&gt;0,"Lift "&amp;U895&amp;" lt. Liftbericht (Fach "&amp;V895&amp;" Stk); ",IF(BR895=1,"Lose – Fläche geschätzt; ",""))&amp;IF(G895&gt;AP895,"Überbestand "&amp;ROUND(G895-AP895,0)&amp;" Stk / CHF "&amp;ROUND((G895-AP895)*F895,0)&amp;"; ","")&amp;IF(AND(BW895=1,BX895&lt;BY895),"MAX &lt; MB+LG; ","")&amp;IF(AND(CC895&gt;0,CB895*10&gt;CC895),"zu hoch für Tablar; ","")&amp;IF(AND(BN895=0,OR(BW895=1,Y895&lt;&gt;"",S895&lt;&gt;"",T895&lt;&gt;"",Z895&lt;&gt;"")),"manuell übersteuert; ","")&amp;IF(AND(BR895=0,Q895=0),"Gebinde unbekannt / Stellmass fehlt; ","")&amp;IF(AND(BR895=0,N(T895)&lt;=0,N(P895)&lt;=0),"Menge pro Gebinde fehlt (Ist = 1 Gebinde); ","")&amp;BM895)</f>
        <v>negativer Bestand (Export -282); </v>
      </c>
      <c r="BF895" s="55"/>
      <c r="BG895" s="55"/>
      <c r="BH895" s="62"/>
      <c r="BI895" s="57" t="n">
        <v>-282</v>
      </c>
      <c r="BJ895" s="57" t="n">
        <v>485</v>
      </c>
      <c r="BK895" s="56" t="n">
        <v>-31.0200000000001</v>
      </c>
      <c r="BL895" s="57" t="n">
        <v>524</v>
      </c>
      <c r="BM895" s="55"/>
      <c r="BN895" s="60" t="n">
        <v>0</v>
      </c>
      <c r="BO895" s="60" t="n">
        <v>895</v>
      </c>
      <c r="BP895" s="55" t="str">
        <f aca="false">IF(S895&lt;&gt;"",UPPER(TRIM(S895)),IF(O895="","LOSE",O895))</f>
        <v>S32</v>
      </c>
      <c r="BQ895" s="57" t="n">
        <f aca="false">IF(BP895="LOSE",1,IF(N(T895)&gt;0,T895,IF(N(P895)&gt;0,P895,MAX(1,G895))))</f>
        <v>831</v>
      </c>
      <c r="BR895" s="60" t="n">
        <f aca="false">IF(BP895="LOSE",1,0)</f>
        <v>0</v>
      </c>
      <c r="BS895" s="59" t="n">
        <f aca="false">IF(BR895=0,0,IF(N(R895)&gt;0,R895,IFERROR(VLOOKUP(D895,Parameter!$A$35:$C$64,3,0)+0,0)))</f>
        <v>0</v>
      </c>
      <c r="BT895" s="55" t="n">
        <f aca="false">IF(Y895&lt;&gt;"",Y895,X895)</f>
        <v>3</v>
      </c>
      <c r="BU895" s="55" t="str">
        <f aca="false">IF(BT895=1,"L1",IF(OR(BT895=2,BT895=3),"L23",IF(BT895="Aussen","Aussen","-")))</f>
        <v>L23</v>
      </c>
      <c r="BV895" s="66" t="n">
        <f aca="false">IF(N(Z895)&gt;0,Z895,0)</f>
        <v>0</v>
      </c>
      <c r="BW895" s="60" t="n">
        <f aca="false">IF(ISNUMBER(AC895),1,0)</f>
        <v>0</v>
      </c>
      <c r="BX895" s="57" t="n">
        <f aca="false">N(AC895)</f>
        <v>0</v>
      </c>
      <c r="BY895" s="57" t="n">
        <f aca="false">N(L895)+N(M895)</f>
        <v>545</v>
      </c>
      <c r="BZ895" s="57" t="n">
        <f aca="false">ROUNDUP(G895/BQ895,0)</f>
        <v>0</v>
      </c>
      <c r="CA895" s="57" t="n">
        <f aca="false">ROUNDUP(BX895/BQ895,0)</f>
        <v>0</v>
      </c>
      <c r="CB895" s="60" t="n">
        <f aca="false">IF(BR895=1,0,IFERROR(VLOOKUP(BP895,'Gebinde-Kategorie'!$A$5:$M$45,5,0)+0,0))</f>
        <v>8</v>
      </c>
      <c r="CC895" s="60" t="n">
        <f aca="false">IFERROR(IF(OR(BT895=1,BT895=2,BT895=3),N(INDEX(Parameter!$I$5:$I$7,BT895)),0),0)</f>
        <v>0</v>
      </c>
      <c r="CD895" s="59" t="n">
        <f aca="false">IF(AND(Parameter!$B$21="Ja",ISNUMBER(U895),N(V895)&gt;0),IFERROR(N(INDEX(Parameter!$L$5:$L$7,U895))*INDEX(Parameter!$E$5:$E$7,U895)*V895/SUMIFS($V$7:$V$1576,$U$7:$U$1576,U895),0),0)</f>
        <v>0</v>
      </c>
    </row>
    <row r="896" customFormat="false" ht="15" hidden="false" customHeight="false" outlineLevel="0" collapsed="false">
      <c r="A896" s="55" t="s">
        <v>1676</v>
      </c>
      <c r="B896" s="55" t="s">
        <v>713</v>
      </c>
      <c r="C896" s="55" t="s">
        <v>160</v>
      </c>
      <c r="D896" s="55" t="s">
        <v>178</v>
      </c>
      <c r="E896" s="55" t="s">
        <v>210</v>
      </c>
      <c r="F896" s="56" t="n">
        <v>13.68</v>
      </c>
      <c r="G896" s="57" t="n">
        <f aca="false">MAX(0,IF(AND(Parameter!$B$21="Ja",ISNUMBER(W896)),W896,IF(Parameter!$B$20="Jahresanfang 2025 + Export",BJ896+BI896,BI896)))</f>
        <v>0</v>
      </c>
      <c r="H896" s="57" t="n">
        <f aca="false">G896*F896</f>
        <v>0</v>
      </c>
      <c r="I896" s="57" t="n">
        <f aca="false">BL896*Parameter!$B$18</f>
        <v>9</v>
      </c>
      <c r="J896" s="58" t="n">
        <v>7</v>
      </c>
      <c r="K896" s="59" t="n">
        <v>1.28571428571429</v>
      </c>
      <c r="L896" s="57" t="n">
        <v>0</v>
      </c>
      <c r="M896" s="57" t="n">
        <v>10</v>
      </c>
      <c r="N896" s="60" t="n">
        <v>19</v>
      </c>
      <c r="O896" s="55" t="s">
        <v>411</v>
      </c>
      <c r="P896" s="57" t="n">
        <v>18</v>
      </c>
      <c r="Q896" s="60" t="n">
        <f aca="false">IF(BR896=1,0,IFERROR(VLOOKUP(BP896,'Gebinde-Kategorie'!$A$5:$M$45,13,0)+0,0))</f>
        <v>132</v>
      </c>
      <c r="R896" s="61"/>
      <c r="S896" s="62"/>
      <c r="T896" s="62"/>
      <c r="U896" s="55"/>
      <c r="V896" s="57"/>
      <c r="W896" s="57"/>
      <c r="X896" s="55" t="n">
        <f aca="false">IF(A896="","",IF(AND(Parameter!$B$21="Ja",ISNUMBER(U896)),U896,IF(IFERROR(VLOOKUP(D896,Parameter!$A$35:$C$64,2,0),"Nein")="2+3",IF(ISNUMBER(SEARCH("grosser Artikel",BM896)),2,IFERROR(VLOOKUP(BP896,Parameter!$F$35:$G$64,2,0),2)),IF(OR(IFERROR(VLOOKUP(D896,Parameter!$A$35:$C$64,2,0),"Nein")="Nein",IFERROR(VLOOKUP(D896,Parameter!$A$35:$C$64,2,0),"Nein")=""),"-",VLOOKUP(D896,Parameter!$A$35:$C$64,2,0)))))</f>
        <v>3</v>
      </c>
      <c r="Y896" s="62"/>
      <c r="Z896" s="63"/>
      <c r="AA896" s="57" t="n">
        <f aca="false">AP896</f>
        <v>18</v>
      </c>
      <c r="AB896" s="57" t="n">
        <f aca="false">MAX(AP896,G896)</f>
        <v>18</v>
      </c>
      <c r="AC896" s="64"/>
      <c r="AD896" s="57" t="n">
        <f aca="false">IF(LEFT(Cockpit!$C$5,1)="A",G896,IF(BW896=1,BX896,IF(LEFT(Cockpit!$C$5,1)="B",AH896,MAX(AH896,G896))))</f>
        <v>0</v>
      </c>
      <c r="AE896" s="57" t="n">
        <f aca="false">IF(BR896=1,0,ROUNDUP(AD896/BQ896,0))</f>
        <v>0</v>
      </c>
      <c r="AF896" s="59" t="n">
        <f aca="false">IF(CD896&gt;0,CD896*MAX(1,AD896/V896),IF(BR896=1,IF(AD896&lt;=0,0,BS896*MAX(1,IF(G896&gt;0,AD896/G896,1))),IF(Q896&gt;0,AE896/Q896,0))/MAX(0.1,N(Parameter!$M$21)))</f>
        <v>0</v>
      </c>
      <c r="AG896" s="57" t="n">
        <f aca="false">AD896*F896</f>
        <v>0</v>
      </c>
      <c r="AH896" s="57" t="n">
        <f aca="false">ROUNDUP(MAX(I896/IF(BV896&gt;0,BV896,MAX(0.1,N(Cockpit!$C$6))),BY896)/BQ896,0)*BQ896</f>
        <v>18</v>
      </c>
      <c r="AI896" s="58" t="n">
        <f aca="false">IF(AF896&gt;0,I896/AF896,-1)</f>
        <v>-1</v>
      </c>
      <c r="AJ896" s="58" t="str">
        <f aca="false">IF(AND(OR(BU896="L1",BU896="L23"),AF896&gt;0),SUMIFS($AF$7:$AF$1576,$BU$7:$BU$1576,BU896,$AI$7:$AI$1576,"&gt;"&amp;AI896)+SUMIFS($AF$7:$AF$1576,$BU$7:$BU$1576,BU896,$AI$7:$AI$1576,AI896,$BO$7:$BO$1576,"&lt;="&amp;BO896),"")</f>
        <v/>
      </c>
      <c r="AK896" s="65" t="n">
        <f aca="false">IF(AJ896="",0,MAX(0,MIN(1,(IF(BU896="L1",Parameter!$E$5,Parameter!$E$6+Parameter!$E$7)-(AJ896-AF896))/AF896)))</f>
        <v>0</v>
      </c>
      <c r="AL896" s="57" t="n">
        <f aca="false">IF(LEFT(Cockpit!$I$5,1)="A",G896,IF(BW896=1,BX896,IF(LEFT(Cockpit!$I$5,1)="B",AP896,MAX(AP896,G896))))</f>
        <v>18</v>
      </c>
      <c r="AM896" s="57" t="n">
        <f aca="false">IF(BR896=1,0,ROUNDUP(AL896/BQ896,0))</f>
        <v>1</v>
      </c>
      <c r="AN896" s="59" t="n">
        <f aca="false">IF(CD896&gt;0,CD896*MAX(1,AL896/V896),IF(BR896=1,IF(AL896&lt;=0,0,BS896*MAX(1,IF(G896&gt;0,AL896/G896,1))),IF(Q896&gt;0,AM896/Q896,0))/MAX(0.1,N(Parameter!$M$21)))</f>
        <v>0.00757575757575758</v>
      </c>
      <c r="AO896" s="57" t="n">
        <f aca="false">AL896*F896</f>
        <v>246.24</v>
      </c>
      <c r="AP896" s="57" t="n">
        <f aca="false">ROUNDUP(MAX(I896/IF(BV896&gt;0,BV896,MAX(0.1,N(Cockpit!$I$6))),BY896)/BQ896,0)*BQ896</f>
        <v>18</v>
      </c>
      <c r="AQ896" s="58" t="n">
        <f aca="false">IF(AN896&gt;0,I896/AN896,-1)</f>
        <v>1188</v>
      </c>
      <c r="AR896" s="58" t="n">
        <f aca="false">IF(AND(OR(BU896="L1",BU896="L23"),AN896&gt;0),SUMIFS($AN$7:$AN$1576,$BU$7:$BU$1576,BU896,$AQ$7:$AQ$1576,"&gt;"&amp;AQ896)+SUMIFS($AN$7:$AN$1576,$BU$7:$BU$1576,BU896,$AQ$7:$AQ$1576,AQ896,$BO$7:$BO$1576,"&lt;="&amp;BO896),"")</f>
        <v>21.1077551075489</v>
      </c>
      <c r="AS896" s="65" t="n">
        <f aca="false">IF(AR896="",0,MAX(0,MIN(1,(IF(BU896="L1",Parameter!$E$5,Parameter!$E$6+Parameter!$E$7)-(AR896-AN896))/AN896)))</f>
        <v>1</v>
      </c>
      <c r="AT896" s="57" t="n">
        <f aca="false">IF(LEFT(Cockpit!$O$5,1)="A",G896,IF(BW896=1,BX896,IF(LEFT(Cockpit!$O$5,1)="B",AX896,MAX(AX896,G896))))</f>
        <v>18</v>
      </c>
      <c r="AU896" s="57" t="n">
        <f aca="false">IF(BR896=1,0,ROUNDUP(AT896/BQ896,0))</f>
        <v>1</v>
      </c>
      <c r="AV896" s="59" t="n">
        <f aca="false">IF(CD896&gt;0,CD896*MAX(1,AT896/V896),IF(BR896=1,IF(AT896&lt;=0,0,BS896*MAX(1,IF(G896&gt;0,AT896/G896,1))),IF(Q896&gt;0,AU896/Q896,0))/MAX(0.1,N(Parameter!$M$21)))</f>
        <v>0.00757575757575758</v>
      </c>
      <c r="AW896" s="57" t="n">
        <f aca="false">AT896*F896</f>
        <v>246.24</v>
      </c>
      <c r="AX896" s="57" t="n">
        <f aca="false">ROUNDUP(MAX(I896/IF(BV896&gt;0,BV896,MAX(0.1,N(Cockpit!$O$6))),BY896)/BQ896,0)*BQ896</f>
        <v>18</v>
      </c>
      <c r="AY896" s="58" t="n">
        <f aca="false">IF(AV896&gt;0,I896/AV896,-1)</f>
        <v>1188</v>
      </c>
      <c r="AZ896" s="58" t="n">
        <f aca="false">IF(AND(OR(BU896="L1",BU896="L23"),AV896&gt;0),SUMIFS($AV$7:$AV$1576,$BU$7:$BU$1576,BU896,$AY$7:$AY$1576,"&gt;"&amp;AY896)+SUMIFS($AV$7:$AV$1576,$BU$7:$BU$1576,BU896,$AY$7:$AY$1576,AY896,$BO$7:$BO$1576,"&lt;="&amp;BO896),"")</f>
        <v>20.4183611681549</v>
      </c>
      <c r="BA896" s="65" t="n">
        <f aca="false">IF(AZ896="",0,MAX(0,MIN(1,(IF(BU896="L1",Parameter!$E$5,Parameter!$E$6+Parameter!$E$7)-(AZ896-AV896))/AV896)))</f>
        <v>1</v>
      </c>
      <c r="BB896" s="55" t="str">
        <f aca="false">IF(AF896&lt;=0,"",IF(BU896="Aussen","Aussenlager",IF(BU896="-","Nicht im Lift",IF(AK896&gt;=1,"Lift",IF(AK896&lt;=0,"Aussenlager","teilweise")))))</f>
        <v/>
      </c>
      <c r="BC896" s="55" t="str">
        <f aca="false">IF(AN896&lt;=0,"",IF(BU896="Aussen","Aussenlager",IF(BU896="-","Nicht im Lift",IF(AS896&gt;=1,"Lift",IF(AS896&lt;=0,"Aussenlager","teilweise")))))</f>
        <v>Lift</v>
      </c>
      <c r="BD896" s="55" t="str">
        <f aca="false">IF(AV896&lt;=0,"",IF(BU896="Aussen","Aussenlager",IF(BU896="-","Nicht im Lift",IF(BA896&gt;=1,"Lift",IF(BA896&lt;=0,"Aussenlager","teilweise")))))</f>
        <v>Lift</v>
      </c>
      <c r="BE896" s="55" t="str">
        <f aca="false">IF(A896="","",IF(BN896=1,"Neu; ","")&amp;IF(AND(BN896=0,BI896&lt;0),"negativer Bestand (Export "&amp;BI896&amp;"); ","")&amp;IF(I896&lt;=0,"Kein Verbrauch; ","")&amp;IF(CD896&gt;0,"Lift "&amp;U896&amp;" lt. Liftbericht (Fach "&amp;V896&amp;" Stk); ",IF(BR896=1,"Lose – Fläche geschätzt; ",""))&amp;IF(G896&gt;AP896,"Überbestand "&amp;ROUND(G896-AP896,0)&amp;" Stk / CHF "&amp;ROUND((G896-AP896)*F896,0)&amp;"; ","")&amp;IF(AND(BW896=1,BX896&lt;BY896),"MAX &lt; MB+LG; ","")&amp;IF(AND(CC896&gt;0,CB896*10&gt;CC896),"zu hoch für Tablar; ","")&amp;IF(AND(BN896=0,OR(BW896=1,Y896&lt;&gt;"",S896&lt;&gt;"",T896&lt;&gt;"",Z896&lt;&gt;"")),"manuell übersteuert; ","")&amp;IF(AND(BR896=0,Q896=0),"Gebinde unbekannt / Stellmass fehlt; ","")&amp;IF(AND(BR896=0,N(T896)&lt;=0,N(P896)&lt;=0),"Menge pro Gebinde fehlt (Ist = 1 Gebinde); ","")&amp;BM896)</f>
        <v>negativer Bestand (Export -1); </v>
      </c>
      <c r="BF896" s="55"/>
      <c r="BG896" s="55"/>
      <c r="BH896" s="62"/>
      <c r="BI896" s="57" t="n">
        <v>-1</v>
      </c>
      <c r="BJ896" s="57" t="n">
        <v>7</v>
      </c>
      <c r="BK896" s="56" t="n">
        <v>-31.74</v>
      </c>
      <c r="BL896" s="57" t="n">
        <v>9</v>
      </c>
      <c r="BM896" s="55"/>
      <c r="BN896" s="60" t="n">
        <v>0</v>
      </c>
      <c r="BO896" s="60" t="n">
        <v>896</v>
      </c>
      <c r="BP896" s="55" t="str">
        <f aca="false">IF(S896&lt;&gt;"",UPPER(TRIM(S896)),IF(O896="","LOSE",O896))</f>
        <v>S32</v>
      </c>
      <c r="BQ896" s="57" t="n">
        <f aca="false">IF(BP896="LOSE",1,IF(N(T896)&gt;0,T896,IF(N(P896)&gt;0,P896,MAX(1,G896))))</f>
        <v>18</v>
      </c>
      <c r="BR896" s="60" t="n">
        <f aca="false">IF(BP896="LOSE",1,0)</f>
        <v>0</v>
      </c>
      <c r="BS896" s="59" t="n">
        <f aca="false">IF(BR896=0,0,IF(N(R896)&gt;0,R896,IFERROR(VLOOKUP(D896,Parameter!$A$35:$C$64,3,0)+0,0)))</f>
        <v>0</v>
      </c>
      <c r="BT896" s="55" t="n">
        <f aca="false">IF(Y896&lt;&gt;"",Y896,X896)</f>
        <v>3</v>
      </c>
      <c r="BU896" s="55" t="str">
        <f aca="false">IF(BT896=1,"L1",IF(OR(BT896=2,BT896=3),"L23",IF(BT896="Aussen","Aussen","-")))</f>
        <v>L23</v>
      </c>
      <c r="BV896" s="66" t="n">
        <f aca="false">IF(N(Z896)&gt;0,Z896,0)</f>
        <v>0</v>
      </c>
      <c r="BW896" s="60" t="n">
        <f aca="false">IF(ISNUMBER(AC896),1,0)</f>
        <v>0</v>
      </c>
      <c r="BX896" s="57" t="n">
        <f aca="false">N(AC896)</f>
        <v>0</v>
      </c>
      <c r="BY896" s="57" t="n">
        <f aca="false">N(L896)+N(M896)</f>
        <v>10</v>
      </c>
      <c r="BZ896" s="57" t="n">
        <f aca="false">ROUNDUP(G896/BQ896,0)</f>
        <v>0</v>
      </c>
      <c r="CA896" s="57" t="n">
        <f aca="false">ROUNDUP(BX896/BQ896,0)</f>
        <v>0</v>
      </c>
      <c r="CB896" s="60" t="n">
        <f aca="false">IF(BR896=1,0,IFERROR(VLOOKUP(BP896,'Gebinde-Kategorie'!$A$5:$M$45,5,0)+0,0))</f>
        <v>8</v>
      </c>
      <c r="CC896" s="60" t="n">
        <f aca="false">IFERROR(IF(OR(BT896=1,BT896=2,BT896=3),N(INDEX(Parameter!$I$5:$I$7,BT896)),0),0)</f>
        <v>0</v>
      </c>
      <c r="CD896" s="59" t="n">
        <f aca="false">IF(AND(Parameter!$B$21="Ja",ISNUMBER(U896),N(V896)&gt;0),IFERROR(N(INDEX(Parameter!$L$5:$L$7,U896))*INDEX(Parameter!$E$5:$E$7,U896)*V896/SUMIFS($V$7:$V$1576,$U$7:$U$1576,U896),0),0)</f>
        <v>0</v>
      </c>
    </row>
    <row r="897" customFormat="false" ht="15" hidden="false" customHeight="false" outlineLevel="0" collapsed="false">
      <c r="A897" s="55" t="s">
        <v>1677</v>
      </c>
      <c r="B897" s="55" t="s">
        <v>1662</v>
      </c>
      <c r="C897" s="55" t="s">
        <v>160</v>
      </c>
      <c r="D897" s="55" t="s">
        <v>178</v>
      </c>
      <c r="E897" s="55" t="s">
        <v>210</v>
      </c>
      <c r="F897" s="56" t="n">
        <v>0.71</v>
      </c>
      <c r="G897" s="57" t="n">
        <f aca="false">MAX(0,IF(AND(Parameter!$B$21="Ja",ISNUMBER(W897)),W897,IF(Parameter!$B$20="Jahresanfang 2025 + Export",BJ897+BI897,BI897)))</f>
        <v>0</v>
      </c>
      <c r="H897" s="57" t="n">
        <f aca="false">G897*F897</f>
        <v>0</v>
      </c>
      <c r="I897" s="57" t="n">
        <f aca="false">BL897*Parameter!$B$18</f>
        <v>9</v>
      </c>
      <c r="J897" s="58" t="n">
        <v>156.5</v>
      </c>
      <c r="K897" s="59" t="n">
        <v>0.0575079872204473</v>
      </c>
      <c r="L897" s="57" t="n">
        <v>0</v>
      </c>
      <c r="M897" s="57" t="n">
        <v>10</v>
      </c>
      <c r="N897" s="60" t="n">
        <v>14</v>
      </c>
      <c r="O897" s="55" t="s">
        <v>391</v>
      </c>
      <c r="P897" s="57" t="n">
        <v>150</v>
      </c>
      <c r="Q897" s="60" t="n">
        <f aca="false">IF(BR897=1,0,IFERROR(VLOOKUP(BP897,'Gebinde-Kategorie'!$A$5:$M$45,13,0)+0,0))</f>
        <v>414</v>
      </c>
      <c r="R897" s="61"/>
      <c r="S897" s="62"/>
      <c r="T897" s="62"/>
      <c r="U897" s="55"/>
      <c r="V897" s="57"/>
      <c r="W897" s="57"/>
      <c r="X897" s="55" t="n">
        <f aca="false">IF(A897="","",IF(AND(Parameter!$B$21="Ja",ISNUMBER(U897)),U897,IF(IFERROR(VLOOKUP(D897,Parameter!$A$35:$C$64,2,0),"Nein")="2+3",IF(ISNUMBER(SEARCH("grosser Artikel",BM897)),2,IFERROR(VLOOKUP(BP897,Parameter!$F$35:$G$64,2,0),2)),IF(OR(IFERROR(VLOOKUP(D897,Parameter!$A$35:$C$64,2,0),"Nein")="Nein",IFERROR(VLOOKUP(D897,Parameter!$A$35:$C$64,2,0),"Nein")=""),"-",VLOOKUP(D897,Parameter!$A$35:$C$64,2,0)))))</f>
        <v>3</v>
      </c>
      <c r="Y897" s="62"/>
      <c r="Z897" s="63"/>
      <c r="AA897" s="57" t="n">
        <f aca="false">AP897</f>
        <v>150</v>
      </c>
      <c r="AB897" s="57" t="n">
        <f aca="false">MAX(AP897,G897)</f>
        <v>150</v>
      </c>
      <c r="AC897" s="64"/>
      <c r="AD897" s="57" t="n">
        <f aca="false">IF(LEFT(Cockpit!$C$5,1)="A",G897,IF(BW897=1,BX897,IF(LEFT(Cockpit!$C$5,1)="B",AH897,MAX(AH897,G897))))</f>
        <v>0</v>
      </c>
      <c r="AE897" s="57" t="n">
        <f aca="false">IF(BR897=1,0,ROUNDUP(AD897/BQ897,0))</f>
        <v>0</v>
      </c>
      <c r="AF897" s="59" t="n">
        <f aca="false">IF(CD897&gt;0,CD897*MAX(1,AD897/V897),IF(BR897=1,IF(AD897&lt;=0,0,BS897*MAX(1,IF(G897&gt;0,AD897/G897,1))),IF(Q897&gt;0,AE897/Q897,0))/MAX(0.1,N(Parameter!$M$21)))</f>
        <v>0</v>
      </c>
      <c r="AG897" s="57" t="n">
        <f aca="false">AD897*F897</f>
        <v>0</v>
      </c>
      <c r="AH897" s="57" t="n">
        <f aca="false">ROUNDUP(MAX(I897/IF(BV897&gt;0,BV897,MAX(0.1,N(Cockpit!$C$6))),BY897)/BQ897,0)*BQ897</f>
        <v>150</v>
      </c>
      <c r="AI897" s="58" t="n">
        <f aca="false">IF(AF897&gt;0,I897/AF897,-1)</f>
        <v>-1</v>
      </c>
      <c r="AJ897" s="58" t="str">
        <f aca="false">IF(AND(OR(BU897="L1",BU897="L23"),AF897&gt;0),SUMIFS($AF$7:$AF$1576,$BU$7:$BU$1576,BU897,$AI$7:$AI$1576,"&gt;"&amp;AI897)+SUMIFS($AF$7:$AF$1576,$BU$7:$BU$1576,BU897,$AI$7:$AI$1576,AI897,$BO$7:$BO$1576,"&lt;="&amp;BO897),"")</f>
        <v/>
      </c>
      <c r="AK897" s="65" t="n">
        <f aca="false">IF(AJ897="",0,MAX(0,MIN(1,(IF(BU897="L1",Parameter!$E$5,Parameter!$E$6+Parameter!$E$7)-(AJ897-AF897))/AF897)))</f>
        <v>0</v>
      </c>
      <c r="AL897" s="57" t="n">
        <f aca="false">IF(LEFT(Cockpit!$I$5,1)="A",G897,IF(BW897=1,BX897,IF(LEFT(Cockpit!$I$5,1)="B",AP897,MAX(AP897,G897))))</f>
        <v>150</v>
      </c>
      <c r="AM897" s="57" t="n">
        <f aca="false">IF(BR897=1,0,ROUNDUP(AL897/BQ897,0))</f>
        <v>1</v>
      </c>
      <c r="AN897" s="59" t="n">
        <f aca="false">IF(CD897&gt;0,CD897*MAX(1,AL897/V897),IF(BR897=1,IF(AL897&lt;=0,0,BS897*MAX(1,IF(G897&gt;0,AL897/G897,1))),IF(Q897&gt;0,AM897/Q897,0))/MAX(0.1,N(Parameter!$M$21)))</f>
        <v>0.00241545893719807</v>
      </c>
      <c r="AO897" s="57" t="n">
        <f aca="false">AL897*F897</f>
        <v>106.5</v>
      </c>
      <c r="AP897" s="57" t="n">
        <f aca="false">ROUNDUP(MAX(I897/IF(BV897&gt;0,BV897,MAX(0.1,N(Cockpit!$I$6))),BY897)/BQ897,0)*BQ897</f>
        <v>150</v>
      </c>
      <c r="AQ897" s="58" t="n">
        <f aca="false">IF(AN897&gt;0,I897/AN897,-1)</f>
        <v>3726</v>
      </c>
      <c r="AR897" s="58" t="n">
        <f aca="false">IF(AND(OR(BU897="L1",BU897="L23"),AN897&gt;0),SUMIFS($AN$7:$AN$1576,$BU$7:$BU$1576,BU897,$AQ$7:$AQ$1576,"&gt;"&amp;AQ897)+SUMIFS($AN$7:$AN$1576,$BU$7:$BU$1576,BU897,$AQ$7:$AQ$1576,AQ897,$BO$7:$BO$1576,"&lt;="&amp;BO897),"")</f>
        <v>13.3343170602345</v>
      </c>
      <c r="AS897" s="65" t="n">
        <f aca="false">IF(AR897="",0,MAX(0,MIN(1,(IF(BU897="L1",Parameter!$E$5,Parameter!$E$6+Parameter!$E$7)-(AR897-AN897))/AN897)))</f>
        <v>1</v>
      </c>
      <c r="AT897" s="57" t="n">
        <f aca="false">IF(LEFT(Cockpit!$O$5,1)="A",G897,IF(BW897=1,BX897,IF(LEFT(Cockpit!$O$5,1)="B",AX897,MAX(AX897,G897))))</f>
        <v>150</v>
      </c>
      <c r="AU897" s="57" t="n">
        <f aca="false">IF(BR897=1,0,ROUNDUP(AT897/BQ897,0))</f>
        <v>1</v>
      </c>
      <c r="AV897" s="59" t="n">
        <f aca="false">IF(CD897&gt;0,CD897*MAX(1,AT897/V897),IF(BR897=1,IF(AT897&lt;=0,0,BS897*MAX(1,IF(G897&gt;0,AT897/G897,1))),IF(Q897&gt;0,AU897/Q897,0))/MAX(0.1,N(Parameter!$M$21)))</f>
        <v>0.00241545893719807</v>
      </c>
      <c r="AW897" s="57" t="n">
        <f aca="false">AT897*F897</f>
        <v>106.5</v>
      </c>
      <c r="AX897" s="57" t="n">
        <f aca="false">ROUNDUP(MAX(I897/IF(BV897&gt;0,BV897,MAX(0.1,N(Cockpit!$O$6))),BY897)/BQ897,0)*BQ897</f>
        <v>150</v>
      </c>
      <c r="AY897" s="58" t="n">
        <f aca="false">IF(AV897&gt;0,I897/AV897,-1)</f>
        <v>3726</v>
      </c>
      <c r="AZ897" s="58" t="n">
        <f aca="false">IF(AND(OR(BU897="L1",BU897="L23"),AV897&gt;0),SUMIFS($AV$7:$AV$1576,$BU$7:$BU$1576,BU897,$AY$7:$AY$1576,"&gt;"&amp;AY897)+SUMIFS($AV$7:$AV$1576,$BU$7:$BU$1576,BU897,$AY$7:$AY$1576,AY897,$BO$7:$BO$1576,"&lt;="&amp;BO897),"")</f>
        <v>12.0551795310969</v>
      </c>
      <c r="BA897" s="65" t="n">
        <f aca="false">IF(AZ897="",0,MAX(0,MIN(1,(IF(BU897="L1",Parameter!$E$5,Parameter!$E$6+Parameter!$E$7)-(AZ897-AV897))/AV897)))</f>
        <v>1</v>
      </c>
      <c r="BB897" s="55" t="str">
        <f aca="false">IF(AF897&lt;=0,"",IF(BU897="Aussen","Aussenlager",IF(BU897="-","Nicht im Lift",IF(AK897&gt;=1,"Lift",IF(AK897&lt;=0,"Aussenlager","teilweise")))))</f>
        <v/>
      </c>
      <c r="BC897" s="55" t="str">
        <f aca="false">IF(AN897&lt;=0,"",IF(BU897="Aussen","Aussenlager",IF(BU897="-","Nicht im Lift",IF(AS897&gt;=1,"Lift",IF(AS897&lt;=0,"Aussenlager","teilweise")))))</f>
        <v>Lift</v>
      </c>
      <c r="BD897" s="55" t="str">
        <f aca="false">IF(AV897&lt;=0,"",IF(BU897="Aussen","Aussenlager",IF(BU897="-","Nicht im Lift",IF(BA897&gt;=1,"Lift",IF(BA897&lt;=0,"Aussenlager","teilweise")))))</f>
        <v>Lift</v>
      </c>
      <c r="BE897" s="55" t="str">
        <f aca="false">IF(A897="","",IF(BN897=1,"Neu; ","")&amp;IF(AND(BN897=0,BI897&lt;0),"negativer Bestand (Export "&amp;BI897&amp;"); ","")&amp;IF(I897&lt;=0,"Kein Verbrauch; ","")&amp;IF(CD897&gt;0,"Lift "&amp;U897&amp;" lt. Liftbericht (Fach "&amp;V897&amp;" Stk); ",IF(BR897=1,"Lose – Fläche geschätzt; ",""))&amp;IF(G897&gt;AP897,"Überbestand "&amp;ROUND(G897-AP897,0)&amp;" Stk / CHF "&amp;ROUND((G897-AP897)*F897,0)&amp;"; ","")&amp;IF(AND(BW897=1,BX897&lt;BY897),"MAX &lt; MB+LG; ","")&amp;IF(AND(CC897&gt;0,CB897*10&gt;CC897),"zu hoch für Tablar; ","")&amp;IF(AND(BN897=0,OR(BW897=1,Y897&lt;&gt;"",S897&lt;&gt;"",T897&lt;&gt;"",Z897&lt;&gt;"")),"manuell übersteuert; ","")&amp;IF(AND(BR897=0,Q897=0),"Gebinde unbekannt / Stellmass fehlt; ","")&amp;IF(AND(BR897=0,N(T897)&lt;=0,N(P897)&lt;=0),"Menge pro Gebinde fehlt (Ist = 1 Gebinde); ","")&amp;BM897)</f>
        <v>negativer Bestand (Export -45); </v>
      </c>
      <c r="BF897" s="55"/>
      <c r="BG897" s="55"/>
      <c r="BH897" s="62"/>
      <c r="BI897" s="57" t="n">
        <v>-45</v>
      </c>
      <c r="BJ897" s="57" t="n">
        <v>161</v>
      </c>
      <c r="BK897" s="56" t="n">
        <v>-31.95</v>
      </c>
      <c r="BL897" s="57" t="n">
        <v>9</v>
      </c>
      <c r="BM897" s="55"/>
      <c r="BN897" s="60" t="n">
        <v>0</v>
      </c>
      <c r="BO897" s="60" t="n">
        <v>897</v>
      </c>
      <c r="BP897" s="55" t="str">
        <f aca="false">IF(S897&lt;&gt;"",UPPER(TRIM(S897)),IF(O897="","LOSE",O897))</f>
        <v>S21</v>
      </c>
      <c r="BQ897" s="57" t="n">
        <f aca="false">IF(BP897="LOSE",1,IF(N(T897)&gt;0,T897,IF(N(P897)&gt;0,P897,MAX(1,G897))))</f>
        <v>150</v>
      </c>
      <c r="BR897" s="60" t="n">
        <f aca="false">IF(BP897="LOSE",1,0)</f>
        <v>0</v>
      </c>
      <c r="BS897" s="59" t="n">
        <f aca="false">IF(BR897=0,0,IF(N(R897)&gt;0,R897,IFERROR(VLOOKUP(D897,Parameter!$A$35:$C$64,3,0)+0,0)))</f>
        <v>0</v>
      </c>
      <c r="BT897" s="55" t="n">
        <f aca="false">IF(Y897&lt;&gt;"",Y897,X897)</f>
        <v>3</v>
      </c>
      <c r="BU897" s="55" t="str">
        <f aca="false">IF(BT897=1,"L1",IF(OR(BT897=2,BT897=3),"L23",IF(BT897="Aussen","Aussen","-")))</f>
        <v>L23</v>
      </c>
      <c r="BV897" s="66" t="n">
        <f aca="false">IF(N(Z897)&gt;0,Z897,0)</f>
        <v>0</v>
      </c>
      <c r="BW897" s="60" t="n">
        <f aca="false">IF(ISNUMBER(AC897),1,0)</f>
        <v>0</v>
      </c>
      <c r="BX897" s="57" t="n">
        <f aca="false">N(AC897)</f>
        <v>0</v>
      </c>
      <c r="BY897" s="57" t="n">
        <f aca="false">N(L897)+N(M897)</f>
        <v>10</v>
      </c>
      <c r="BZ897" s="57" t="n">
        <f aca="false">ROUNDUP(G897/BQ897,0)</f>
        <v>0</v>
      </c>
      <c r="CA897" s="57" t="n">
        <f aca="false">ROUNDUP(BX897/BQ897,0)</f>
        <v>0</v>
      </c>
      <c r="CB897" s="60" t="n">
        <f aca="false">IF(BR897=1,0,IFERROR(VLOOKUP(BP897,'Gebinde-Kategorie'!$A$5:$M$45,5,0)+0,0))</f>
        <v>8</v>
      </c>
      <c r="CC897" s="60" t="n">
        <f aca="false">IFERROR(IF(OR(BT897=1,BT897=2,BT897=3),N(INDEX(Parameter!$I$5:$I$7,BT897)),0),0)</f>
        <v>0</v>
      </c>
      <c r="CD897" s="59" t="n">
        <f aca="false">IF(AND(Parameter!$B$21="Ja",ISNUMBER(U897),N(V897)&gt;0),IFERROR(N(INDEX(Parameter!$L$5:$L$7,U897))*INDEX(Parameter!$E$5:$E$7,U897)*V897/SUMIFS($V$7:$V$1576,$U$7:$U$1576,U897),0),0)</f>
        <v>0</v>
      </c>
    </row>
    <row r="898" customFormat="false" ht="15" hidden="false" customHeight="false" outlineLevel="0" collapsed="false">
      <c r="A898" s="55" t="s">
        <v>1678</v>
      </c>
      <c r="B898" s="55" t="s">
        <v>1081</v>
      </c>
      <c r="C898" s="55" t="s">
        <v>160</v>
      </c>
      <c r="D898" s="55" t="s">
        <v>178</v>
      </c>
      <c r="E898" s="55" t="s">
        <v>210</v>
      </c>
      <c r="F898" s="56" t="n">
        <v>6.47</v>
      </c>
      <c r="G898" s="57" t="n">
        <f aca="false">MAX(0,IF(AND(Parameter!$B$21="Ja",ISNUMBER(W898)),W898,IF(Parameter!$B$20="Jahresanfang 2025 + Export",BJ898+BI898,BI898)))</f>
        <v>0</v>
      </c>
      <c r="H898" s="57" t="n">
        <f aca="false">G898*F898</f>
        <v>0</v>
      </c>
      <c r="I898" s="57" t="n">
        <f aca="false">BL898*Parameter!$B$18</f>
        <v>6</v>
      </c>
      <c r="J898" s="58" t="n">
        <v>10.5</v>
      </c>
      <c r="K898" s="59" t="n">
        <v>0.571428571428571</v>
      </c>
      <c r="L898" s="57" t="n">
        <v>0</v>
      </c>
      <c r="M898" s="57" t="n">
        <v>5</v>
      </c>
      <c r="N898" s="60" t="n">
        <v>14</v>
      </c>
      <c r="O898" s="55" t="s">
        <v>465</v>
      </c>
      <c r="P898" s="57" t="n">
        <v>5</v>
      </c>
      <c r="Q898" s="60" t="n">
        <f aca="false">IF(BR898=1,0,IFERROR(VLOOKUP(BP898,'Gebinde-Kategorie'!$A$5:$M$45,13,0)+0,0))</f>
        <v>66</v>
      </c>
      <c r="R898" s="61"/>
      <c r="S898" s="62"/>
      <c r="T898" s="62"/>
      <c r="U898" s="55"/>
      <c r="V898" s="57"/>
      <c r="W898" s="57"/>
      <c r="X898" s="55" t="n">
        <f aca="false">IF(A898="","",IF(AND(Parameter!$B$21="Ja",ISNUMBER(U898)),U898,IF(IFERROR(VLOOKUP(D898,Parameter!$A$35:$C$64,2,0),"Nein")="2+3",IF(ISNUMBER(SEARCH("grosser Artikel",BM898)),2,IFERROR(VLOOKUP(BP898,Parameter!$F$35:$G$64,2,0),2)),IF(OR(IFERROR(VLOOKUP(D898,Parameter!$A$35:$C$64,2,0),"Nein")="Nein",IFERROR(VLOOKUP(D898,Parameter!$A$35:$C$64,2,0),"Nein")=""),"-",VLOOKUP(D898,Parameter!$A$35:$C$64,2,0)))))</f>
        <v>3</v>
      </c>
      <c r="Y898" s="62"/>
      <c r="Z898" s="63"/>
      <c r="AA898" s="57" t="n">
        <f aca="false">AP898</f>
        <v>5</v>
      </c>
      <c r="AB898" s="57" t="n">
        <f aca="false">MAX(AP898,G898)</f>
        <v>5</v>
      </c>
      <c r="AC898" s="64"/>
      <c r="AD898" s="57" t="n">
        <f aca="false">IF(LEFT(Cockpit!$C$5,1)="A",G898,IF(BW898=1,BX898,IF(LEFT(Cockpit!$C$5,1)="B",AH898,MAX(AH898,G898))))</f>
        <v>0</v>
      </c>
      <c r="AE898" s="57" t="n">
        <f aca="false">IF(BR898=1,0,ROUNDUP(AD898/BQ898,0))</f>
        <v>0</v>
      </c>
      <c r="AF898" s="59" t="n">
        <f aca="false">IF(CD898&gt;0,CD898*MAX(1,AD898/V898),IF(BR898=1,IF(AD898&lt;=0,0,BS898*MAX(1,IF(G898&gt;0,AD898/G898,1))),IF(Q898&gt;0,AE898/Q898,0))/MAX(0.1,N(Parameter!$M$21)))</f>
        <v>0</v>
      </c>
      <c r="AG898" s="57" t="n">
        <f aca="false">AD898*F898</f>
        <v>0</v>
      </c>
      <c r="AH898" s="57" t="n">
        <f aca="false">ROUNDUP(MAX(I898/IF(BV898&gt;0,BV898,MAX(0.1,N(Cockpit!$C$6))),BY898)/BQ898,0)*BQ898</f>
        <v>5</v>
      </c>
      <c r="AI898" s="58" t="n">
        <f aca="false">IF(AF898&gt;0,I898/AF898,-1)</f>
        <v>-1</v>
      </c>
      <c r="AJ898" s="58" t="str">
        <f aca="false">IF(AND(OR(BU898="L1",BU898="L23"),AF898&gt;0),SUMIFS($AF$7:$AF$1576,$BU$7:$BU$1576,BU898,$AI$7:$AI$1576,"&gt;"&amp;AI898)+SUMIFS($AF$7:$AF$1576,$BU$7:$BU$1576,BU898,$AI$7:$AI$1576,AI898,$BO$7:$BO$1576,"&lt;="&amp;BO898),"")</f>
        <v/>
      </c>
      <c r="AK898" s="65" t="n">
        <f aca="false">IF(AJ898="",0,MAX(0,MIN(1,(IF(BU898="L1",Parameter!$E$5,Parameter!$E$6+Parameter!$E$7)-(AJ898-AF898))/AF898)))</f>
        <v>0</v>
      </c>
      <c r="AL898" s="57" t="n">
        <f aca="false">IF(LEFT(Cockpit!$I$5,1)="A",G898,IF(BW898=1,BX898,IF(LEFT(Cockpit!$I$5,1)="B",AP898,MAX(AP898,G898))))</f>
        <v>5</v>
      </c>
      <c r="AM898" s="57" t="n">
        <f aca="false">IF(BR898=1,0,ROUNDUP(AL898/BQ898,0))</f>
        <v>1</v>
      </c>
      <c r="AN898" s="59" t="n">
        <f aca="false">IF(CD898&gt;0,CD898*MAX(1,AL898/V898),IF(BR898=1,IF(AL898&lt;=0,0,BS898*MAX(1,IF(G898&gt;0,AL898/G898,1))),IF(Q898&gt;0,AM898/Q898,0))/MAX(0.1,N(Parameter!$M$21)))</f>
        <v>0.0151515151515152</v>
      </c>
      <c r="AO898" s="57" t="n">
        <f aca="false">AL898*F898</f>
        <v>32.35</v>
      </c>
      <c r="AP898" s="57" t="n">
        <f aca="false">ROUNDUP(MAX(I898/IF(BV898&gt;0,BV898,MAX(0.1,N(Cockpit!$I$6))),BY898)/BQ898,0)*BQ898</f>
        <v>5</v>
      </c>
      <c r="AQ898" s="58" t="n">
        <f aca="false">IF(AN898&gt;0,I898/AN898,-1)</f>
        <v>396</v>
      </c>
      <c r="AR898" s="58" t="n">
        <f aca="false">IF(AND(OR(BU898="L1",BU898="L23"),AN898&gt;0),SUMIFS($AN$7:$AN$1576,$BU$7:$BU$1576,BU898,$AQ$7:$AQ$1576,"&gt;"&amp;AQ898)+SUMIFS($AN$7:$AN$1576,$BU$7:$BU$1576,BU898,$AQ$7:$AQ$1576,AQ898,$BO$7:$BO$1576,"&lt;="&amp;BO898),"")</f>
        <v>36.8420410148783</v>
      </c>
      <c r="AS898" s="65" t="n">
        <f aca="false">IF(AR898="",0,MAX(0,MIN(1,(IF(BU898="L1",Parameter!$E$5,Parameter!$E$6+Parameter!$E$7)-(AR898-AN898))/AN898)))</f>
        <v>1</v>
      </c>
      <c r="AT898" s="57" t="n">
        <f aca="false">IF(LEFT(Cockpit!$O$5,1)="A",G898,IF(BW898=1,BX898,IF(LEFT(Cockpit!$O$5,1)="B",AX898,MAX(AX898,G898))))</f>
        <v>5</v>
      </c>
      <c r="AU898" s="57" t="n">
        <f aca="false">IF(BR898=1,0,ROUNDUP(AT898/BQ898,0))</f>
        <v>1</v>
      </c>
      <c r="AV898" s="59" t="n">
        <f aca="false">IF(CD898&gt;0,CD898*MAX(1,AT898/V898),IF(BR898=1,IF(AT898&lt;=0,0,BS898*MAX(1,IF(G898&gt;0,AT898/G898,1))),IF(Q898&gt;0,AU898/Q898,0))/MAX(0.1,N(Parameter!$M$21)))</f>
        <v>0.0151515151515152</v>
      </c>
      <c r="AW898" s="57" t="n">
        <f aca="false">AT898*F898</f>
        <v>32.35</v>
      </c>
      <c r="AX898" s="57" t="n">
        <f aca="false">ROUNDUP(MAX(I898/IF(BV898&gt;0,BV898,MAX(0.1,N(Cockpit!$O$6))),BY898)/BQ898,0)*BQ898</f>
        <v>5</v>
      </c>
      <c r="AY898" s="58" t="n">
        <f aca="false">IF(AV898&gt;0,I898/AV898,-1)</f>
        <v>396</v>
      </c>
      <c r="AZ898" s="58" t="n">
        <f aca="false">IF(AND(OR(BU898="L1",BU898="L23"),AV898&gt;0),SUMIFS($AV$7:$AV$1576,$BU$7:$BU$1576,BU898,$AY$7:$AY$1576,"&gt;"&amp;AY898)+SUMIFS($AV$7:$AV$1576,$BU$7:$BU$1576,BU898,$AY$7:$AY$1576,AY898,$BO$7:$BO$1576,"&lt;="&amp;BO898),"")</f>
        <v>36.0067862696235</v>
      </c>
      <c r="BA898" s="65" t="n">
        <f aca="false">IF(AZ898="",0,MAX(0,MIN(1,(IF(BU898="L1",Parameter!$E$5,Parameter!$E$6+Parameter!$E$7)-(AZ898-AV898))/AV898)))</f>
        <v>1</v>
      </c>
      <c r="BB898" s="55" t="str">
        <f aca="false">IF(AF898&lt;=0,"",IF(BU898="Aussen","Aussenlager",IF(BU898="-","Nicht im Lift",IF(AK898&gt;=1,"Lift",IF(AK898&lt;=0,"Aussenlager","teilweise")))))</f>
        <v/>
      </c>
      <c r="BC898" s="55" t="str">
        <f aca="false">IF(AN898&lt;=0,"",IF(BU898="Aussen","Aussenlager",IF(BU898="-","Nicht im Lift",IF(AS898&gt;=1,"Lift",IF(AS898&lt;=0,"Aussenlager","teilweise")))))</f>
        <v>Lift</v>
      </c>
      <c r="BD898" s="55" t="str">
        <f aca="false">IF(AV898&lt;=0,"",IF(BU898="Aussen","Aussenlager",IF(BU898="-","Nicht im Lift",IF(BA898&gt;=1,"Lift",IF(BA898&lt;=0,"Aussenlager","teilweise")))))</f>
        <v>Lift</v>
      </c>
      <c r="BE898" s="55" t="str">
        <f aca="false">IF(A898="","",IF(BN898=1,"Neu; ","")&amp;IF(AND(BN898=0,BI898&lt;0),"negativer Bestand (Export "&amp;BI898&amp;"); ","")&amp;IF(I898&lt;=0,"Kein Verbrauch; ","")&amp;IF(CD898&gt;0,"Lift "&amp;U898&amp;" lt. Liftbericht (Fach "&amp;V898&amp;" Stk); ",IF(BR898=1,"Lose – Fläche geschätzt; ",""))&amp;IF(G898&gt;AP898,"Überbestand "&amp;ROUND(G898-AP898,0)&amp;" Stk / CHF "&amp;ROUND((G898-AP898)*F898,0)&amp;"; ","")&amp;IF(AND(BW898=1,BX898&lt;BY898),"MAX &lt; MB+LG; ","")&amp;IF(AND(CC898&gt;0,CB898*10&gt;CC898),"zu hoch für Tablar; ","")&amp;IF(AND(BN898=0,OR(BW898=1,Y898&lt;&gt;"",S898&lt;&gt;"",T898&lt;&gt;"",Z898&lt;&gt;"")),"manuell übersteuert; ","")&amp;IF(AND(BR898=0,Q898=0),"Gebinde unbekannt / Stellmass fehlt; ","")&amp;IF(AND(BR898=0,N(T898)&lt;=0,N(P898)&lt;=0),"Menge pro Gebinde fehlt (Ist = 1 Gebinde); ","")&amp;BM898)</f>
        <v>negativer Bestand (Export -5); </v>
      </c>
      <c r="BF898" s="55"/>
      <c r="BG898" s="55"/>
      <c r="BH898" s="62"/>
      <c r="BI898" s="57" t="n">
        <v>-5</v>
      </c>
      <c r="BJ898" s="57" t="n">
        <v>11</v>
      </c>
      <c r="BK898" s="56" t="n">
        <v>-32.46</v>
      </c>
      <c r="BL898" s="57" t="n">
        <v>6</v>
      </c>
      <c r="BM898" s="55"/>
      <c r="BN898" s="60" t="n">
        <v>0</v>
      </c>
      <c r="BO898" s="60" t="n">
        <v>898</v>
      </c>
      <c r="BP898" s="55" t="str">
        <f aca="false">IF(S898&lt;&gt;"",UPPER(TRIM(S898)),IF(O898="","LOSE",O898))</f>
        <v>S33</v>
      </c>
      <c r="BQ898" s="57" t="n">
        <f aca="false">IF(BP898="LOSE",1,IF(N(T898)&gt;0,T898,IF(N(P898)&gt;0,P898,MAX(1,G898))))</f>
        <v>5</v>
      </c>
      <c r="BR898" s="60" t="n">
        <f aca="false">IF(BP898="LOSE",1,0)</f>
        <v>0</v>
      </c>
      <c r="BS898" s="59" t="n">
        <f aca="false">IF(BR898=0,0,IF(N(R898)&gt;0,R898,IFERROR(VLOOKUP(D898,Parameter!$A$35:$C$64,3,0)+0,0)))</f>
        <v>0</v>
      </c>
      <c r="BT898" s="55" t="n">
        <f aca="false">IF(Y898&lt;&gt;"",Y898,X898)</f>
        <v>3</v>
      </c>
      <c r="BU898" s="55" t="str">
        <f aca="false">IF(BT898=1,"L1",IF(OR(BT898=2,BT898=3),"L23",IF(BT898="Aussen","Aussen","-")))</f>
        <v>L23</v>
      </c>
      <c r="BV898" s="66" t="n">
        <f aca="false">IF(N(Z898)&gt;0,Z898,0)</f>
        <v>0</v>
      </c>
      <c r="BW898" s="60" t="n">
        <f aca="false">IF(ISNUMBER(AC898),1,0)</f>
        <v>0</v>
      </c>
      <c r="BX898" s="57" t="n">
        <f aca="false">N(AC898)</f>
        <v>0</v>
      </c>
      <c r="BY898" s="57" t="n">
        <f aca="false">N(L898)+N(M898)</f>
        <v>5</v>
      </c>
      <c r="BZ898" s="57" t="n">
        <f aca="false">ROUNDUP(G898/BQ898,0)</f>
        <v>0</v>
      </c>
      <c r="CA898" s="57" t="n">
        <f aca="false">ROUNDUP(BX898/BQ898,0)</f>
        <v>0</v>
      </c>
      <c r="CB898" s="60" t="n">
        <f aca="false">IF(BR898=1,0,IFERROR(VLOOKUP(BP898,'Gebinde-Kategorie'!$A$5:$M$45,5,0)+0,0))</f>
        <v>8</v>
      </c>
      <c r="CC898" s="60" t="n">
        <f aca="false">IFERROR(IF(OR(BT898=1,BT898=2,BT898=3),N(INDEX(Parameter!$I$5:$I$7,BT898)),0),0)</f>
        <v>0</v>
      </c>
      <c r="CD898" s="59" t="n">
        <f aca="false">IF(AND(Parameter!$B$21="Ja",ISNUMBER(U898),N(V898)&gt;0),IFERROR(N(INDEX(Parameter!$L$5:$L$7,U898))*INDEX(Parameter!$E$5:$E$7,U898)*V898/SUMIFS($V$7:$V$1576,$U$7:$U$1576,U898),0),0)</f>
        <v>0</v>
      </c>
    </row>
    <row r="899" customFormat="false" ht="15" hidden="false" customHeight="false" outlineLevel="0" collapsed="false">
      <c r="A899" s="55" t="s">
        <v>1679</v>
      </c>
      <c r="B899" s="55" t="s">
        <v>952</v>
      </c>
      <c r="C899" s="55" t="s">
        <v>160</v>
      </c>
      <c r="D899" s="55" t="s">
        <v>178</v>
      </c>
      <c r="E899" s="55" t="s">
        <v>210</v>
      </c>
      <c r="F899" s="56" t="n">
        <v>0.93</v>
      </c>
      <c r="G899" s="57" t="n">
        <f aca="false">MAX(0,IF(AND(Parameter!$B$21="Ja",ISNUMBER(W899)),W899,IF(Parameter!$B$20="Jahresanfang 2025 + Export",BJ899+BI899,BI899)))</f>
        <v>0</v>
      </c>
      <c r="H899" s="57" t="n">
        <f aca="false">G899*F899</f>
        <v>0</v>
      </c>
      <c r="I899" s="57" t="n">
        <f aca="false">BL899*Parameter!$B$18</f>
        <v>0</v>
      </c>
      <c r="J899" s="58" t="n">
        <v>63.5</v>
      </c>
      <c r="K899" s="59" t="n">
        <v>0</v>
      </c>
      <c r="L899" s="57" t="n">
        <v>0</v>
      </c>
      <c r="M899" s="57" t="n">
        <v>1</v>
      </c>
      <c r="N899" s="60" t="n">
        <v>21</v>
      </c>
      <c r="O899" s="55" t="s">
        <v>416</v>
      </c>
      <c r="P899" s="57" t="n">
        <v>50</v>
      </c>
      <c r="Q899" s="60" t="n">
        <f aca="false">IF(BR899=1,0,IFERROR(VLOOKUP(BP899,'Gebinde-Kategorie'!$A$5:$M$45,13,0)+0,0))</f>
        <v>198</v>
      </c>
      <c r="R899" s="61"/>
      <c r="S899" s="62"/>
      <c r="T899" s="62"/>
      <c r="U899" s="55"/>
      <c r="V899" s="57"/>
      <c r="W899" s="57"/>
      <c r="X899" s="55" t="n">
        <f aca="false">IF(A899="","",IF(AND(Parameter!$B$21="Ja",ISNUMBER(U899)),U899,IF(IFERROR(VLOOKUP(D899,Parameter!$A$35:$C$64,2,0),"Nein")="2+3",IF(ISNUMBER(SEARCH("grosser Artikel",BM899)),2,IFERROR(VLOOKUP(BP899,Parameter!$F$35:$G$64,2,0),2)),IF(OR(IFERROR(VLOOKUP(D899,Parameter!$A$35:$C$64,2,0),"Nein")="Nein",IFERROR(VLOOKUP(D899,Parameter!$A$35:$C$64,2,0),"Nein")=""),"-",VLOOKUP(D899,Parameter!$A$35:$C$64,2,0)))))</f>
        <v>3</v>
      </c>
      <c r="Y899" s="62"/>
      <c r="Z899" s="63"/>
      <c r="AA899" s="57" t="n">
        <f aca="false">AP899</f>
        <v>50</v>
      </c>
      <c r="AB899" s="57" t="n">
        <f aca="false">MAX(AP899,G899)</f>
        <v>50</v>
      </c>
      <c r="AC899" s="64"/>
      <c r="AD899" s="57" t="n">
        <f aca="false">IF(LEFT(Cockpit!$C$5,1)="A",G899,IF(BW899=1,BX899,IF(LEFT(Cockpit!$C$5,1)="B",AH899,MAX(AH899,G899))))</f>
        <v>0</v>
      </c>
      <c r="AE899" s="57" t="n">
        <f aca="false">IF(BR899=1,0,ROUNDUP(AD899/BQ899,0))</f>
        <v>0</v>
      </c>
      <c r="AF899" s="59" t="n">
        <f aca="false">IF(CD899&gt;0,CD899*MAX(1,AD899/V899),IF(BR899=1,IF(AD899&lt;=0,0,BS899*MAX(1,IF(G899&gt;0,AD899/G899,1))),IF(Q899&gt;0,AE899/Q899,0))/MAX(0.1,N(Parameter!$M$21)))</f>
        <v>0</v>
      </c>
      <c r="AG899" s="57" t="n">
        <f aca="false">AD899*F899</f>
        <v>0</v>
      </c>
      <c r="AH899" s="57" t="n">
        <f aca="false">ROUNDUP(MAX(I899/IF(BV899&gt;0,BV899,MAX(0.1,N(Cockpit!$C$6))),BY899)/BQ899,0)*BQ899</f>
        <v>50</v>
      </c>
      <c r="AI899" s="58" t="n">
        <f aca="false">IF(AF899&gt;0,I899/AF899,-1)</f>
        <v>-1</v>
      </c>
      <c r="AJ899" s="58" t="str">
        <f aca="false">IF(AND(OR(BU899="L1",BU899="L23"),AF899&gt;0),SUMIFS($AF$7:$AF$1576,$BU$7:$BU$1576,BU899,$AI$7:$AI$1576,"&gt;"&amp;AI899)+SUMIFS($AF$7:$AF$1576,$BU$7:$BU$1576,BU899,$AI$7:$AI$1576,AI899,$BO$7:$BO$1576,"&lt;="&amp;BO899),"")</f>
        <v/>
      </c>
      <c r="AK899" s="65" t="n">
        <f aca="false">IF(AJ899="",0,MAX(0,MIN(1,(IF(BU899="L1",Parameter!$E$5,Parameter!$E$6+Parameter!$E$7)-(AJ899-AF899))/AF899)))</f>
        <v>0</v>
      </c>
      <c r="AL899" s="57" t="n">
        <f aca="false">IF(LEFT(Cockpit!$I$5,1)="A",G899,IF(BW899=1,BX899,IF(LEFT(Cockpit!$I$5,1)="B",AP899,MAX(AP899,G899))))</f>
        <v>50</v>
      </c>
      <c r="AM899" s="57" t="n">
        <f aca="false">IF(BR899=1,0,ROUNDUP(AL899/BQ899,0))</f>
        <v>1</v>
      </c>
      <c r="AN899" s="59" t="n">
        <f aca="false">IF(CD899&gt;0,CD899*MAX(1,AL899/V899),IF(BR899=1,IF(AL899&lt;=0,0,BS899*MAX(1,IF(G899&gt;0,AL899/G899,1))),IF(Q899&gt;0,AM899/Q899,0))/MAX(0.1,N(Parameter!$M$21)))</f>
        <v>0.00505050505050505</v>
      </c>
      <c r="AO899" s="57" t="n">
        <f aca="false">AL899*F899</f>
        <v>46.5</v>
      </c>
      <c r="AP899" s="57" t="n">
        <f aca="false">ROUNDUP(MAX(I899/IF(BV899&gt;0,BV899,MAX(0.1,N(Cockpit!$I$6))),BY899)/BQ899,0)*BQ899</f>
        <v>50</v>
      </c>
      <c r="AQ899" s="58" t="n">
        <f aca="false">IF(AN899&gt;0,I899/AN899,-1)</f>
        <v>0</v>
      </c>
      <c r="AR899" s="58" t="n">
        <f aca="false">IF(AND(OR(BU899="L1",BU899="L23"),AN899&gt;0),SUMIFS($AN$7:$AN$1576,$BU$7:$BU$1576,BU899,$AQ$7:$AQ$1576,"&gt;"&amp;AQ899)+SUMIFS($AN$7:$AN$1576,$BU$7:$BU$1576,BU899,$AQ$7:$AQ$1576,AQ899,$BO$7:$BO$1576,"&lt;="&amp;BO899),"")</f>
        <v>131.101862847345</v>
      </c>
      <c r="AS899" s="65" t="n">
        <f aca="false">IF(AR899="",0,MAX(0,MIN(1,(IF(BU899="L1",Parameter!$E$5,Parameter!$E$6+Parameter!$E$7)-(AR899-AN899))/AN899)))</f>
        <v>0</v>
      </c>
      <c r="AT899" s="57" t="n">
        <f aca="false">IF(LEFT(Cockpit!$O$5,1)="A",G899,IF(BW899=1,BX899,IF(LEFT(Cockpit!$O$5,1)="B",AX899,MAX(AX899,G899))))</f>
        <v>50</v>
      </c>
      <c r="AU899" s="57" t="n">
        <f aca="false">IF(BR899=1,0,ROUNDUP(AT899/BQ899,0))</f>
        <v>1</v>
      </c>
      <c r="AV899" s="59" t="n">
        <f aca="false">IF(CD899&gt;0,CD899*MAX(1,AT899/V899),IF(BR899=1,IF(AT899&lt;=0,0,BS899*MAX(1,IF(G899&gt;0,AT899/G899,1))),IF(Q899&gt;0,AU899/Q899,0))/MAX(0.1,N(Parameter!$M$21)))</f>
        <v>0.00505050505050505</v>
      </c>
      <c r="AW899" s="57" t="n">
        <f aca="false">AT899*F899</f>
        <v>46.5</v>
      </c>
      <c r="AX899" s="57" t="n">
        <f aca="false">ROUNDUP(MAX(I899/IF(BV899&gt;0,BV899,MAX(0.1,N(Cockpit!$O$6))),BY899)/BQ899,0)*BQ899</f>
        <v>50</v>
      </c>
      <c r="AY899" s="58" t="n">
        <f aca="false">IF(AV899&gt;0,I899/AV899,-1)</f>
        <v>0</v>
      </c>
      <c r="AZ899" s="58" t="n">
        <f aca="false">IF(AND(OR(BU899="L1",BU899="L23"),AV899&gt;0),SUMIFS($AV$7:$AV$1576,$BU$7:$BU$1576,BU899,$AY$7:$AY$1576,"&gt;"&amp;AY899)+SUMIFS($AV$7:$AV$1576,$BU$7:$BU$1576,BU899,$AY$7:$AY$1576,AY899,$BO$7:$BO$1576,"&lt;="&amp;BO899),"")</f>
        <v>121.161413296896</v>
      </c>
      <c r="BA899" s="65" t="n">
        <f aca="false">IF(AZ899="",0,MAX(0,MIN(1,(IF(BU899="L1",Parameter!$E$5,Parameter!$E$6+Parameter!$E$7)-(AZ899-AV899))/AV899)))</f>
        <v>0</v>
      </c>
      <c r="BB899" s="55" t="str">
        <f aca="false">IF(AF899&lt;=0,"",IF(BU899="Aussen","Aussenlager",IF(BU899="-","Nicht im Lift",IF(AK899&gt;=1,"Lift",IF(AK899&lt;=0,"Aussenlager","teilweise")))))</f>
        <v/>
      </c>
      <c r="BC899" s="55" t="str">
        <f aca="false">IF(AN899&lt;=0,"",IF(BU899="Aussen","Aussenlager",IF(BU899="-","Nicht im Lift",IF(AS899&gt;=1,"Lift",IF(AS899&lt;=0,"Aussenlager","teilweise")))))</f>
        <v>Aussenlager</v>
      </c>
      <c r="BD899" s="55" t="str">
        <f aca="false">IF(AV899&lt;=0,"",IF(BU899="Aussen","Aussenlager",IF(BU899="-","Nicht im Lift",IF(BA899&gt;=1,"Lift",IF(BA899&lt;=0,"Aussenlager","teilweise")))))</f>
        <v>Aussenlager</v>
      </c>
      <c r="BE899" s="55" t="str">
        <f aca="false">IF(A899="","",IF(BN899=1,"Neu; ","")&amp;IF(AND(BN899=0,BI899&lt;0),"negativer Bestand (Export "&amp;BI899&amp;"); ","")&amp;IF(I899&lt;=0,"Kein Verbrauch; ","")&amp;IF(CD899&gt;0,"Lift "&amp;U899&amp;" lt. Liftbericht (Fach "&amp;V899&amp;" Stk); ",IF(BR899=1,"Lose – Fläche geschätzt; ",""))&amp;IF(G899&gt;AP899,"Überbestand "&amp;ROUND(G899-AP899,0)&amp;" Stk / CHF "&amp;ROUND((G899-AP899)*F899,0)&amp;"; ","")&amp;IF(AND(BW899=1,BX899&lt;BY899),"MAX &lt; MB+LG; ","")&amp;IF(AND(CC899&gt;0,CB899*10&gt;CC899),"zu hoch für Tablar; ","")&amp;IF(AND(BN899=0,OR(BW899=1,Y899&lt;&gt;"",S899&lt;&gt;"",T899&lt;&gt;"",Z899&lt;&gt;"")),"manuell übersteuert; ","")&amp;IF(AND(BR899=0,Q899=0),"Gebinde unbekannt / Stellmass fehlt; ","")&amp;IF(AND(BR899=0,N(T899)&lt;=0,N(P899)&lt;=0),"Menge pro Gebinde fehlt (Ist = 1 Gebinde); ","")&amp;BM899)</f>
        <v>negativer Bestand (Export -35); Kein Verbrauch; Twin</v>
      </c>
      <c r="BF899" s="55"/>
      <c r="BG899" s="55"/>
      <c r="BH899" s="62"/>
      <c r="BI899" s="57" t="n">
        <v>-35</v>
      </c>
      <c r="BJ899" s="57" t="n">
        <v>80</v>
      </c>
      <c r="BK899" s="56" t="n">
        <v>-32.55</v>
      </c>
      <c r="BL899" s="57" t="n">
        <v>0</v>
      </c>
      <c r="BM899" s="55" t="s">
        <v>206</v>
      </c>
      <c r="BN899" s="60" t="n">
        <v>0</v>
      </c>
      <c r="BO899" s="60" t="n">
        <v>899</v>
      </c>
      <c r="BP899" s="55" t="str">
        <f aca="false">IF(S899&lt;&gt;"",UPPER(TRIM(S899)),IF(O899="","LOSE",O899))</f>
        <v>S22</v>
      </c>
      <c r="BQ899" s="57" t="n">
        <f aca="false">IF(BP899="LOSE",1,IF(N(T899)&gt;0,T899,IF(N(P899)&gt;0,P899,MAX(1,G899))))</f>
        <v>50</v>
      </c>
      <c r="BR899" s="60" t="n">
        <f aca="false">IF(BP899="LOSE",1,0)</f>
        <v>0</v>
      </c>
      <c r="BS899" s="59" t="n">
        <f aca="false">IF(BR899=0,0,IF(N(R899)&gt;0,R899,IFERROR(VLOOKUP(D899,Parameter!$A$35:$C$64,3,0)+0,0)))</f>
        <v>0</v>
      </c>
      <c r="BT899" s="55" t="n">
        <f aca="false">IF(Y899&lt;&gt;"",Y899,X899)</f>
        <v>3</v>
      </c>
      <c r="BU899" s="55" t="str">
        <f aca="false">IF(BT899=1,"L1",IF(OR(BT899=2,BT899=3),"L23",IF(BT899="Aussen","Aussen","-")))</f>
        <v>L23</v>
      </c>
      <c r="BV899" s="66" t="n">
        <f aca="false">IF(N(Z899)&gt;0,Z899,0)</f>
        <v>0</v>
      </c>
      <c r="BW899" s="60" t="n">
        <f aca="false">IF(ISNUMBER(AC899),1,0)</f>
        <v>0</v>
      </c>
      <c r="BX899" s="57" t="n">
        <f aca="false">N(AC899)</f>
        <v>0</v>
      </c>
      <c r="BY899" s="57" t="n">
        <f aca="false">N(L899)+N(M899)</f>
        <v>1</v>
      </c>
      <c r="BZ899" s="57" t="n">
        <f aca="false">ROUNDUP(G899/BQ899,0)</f>
        <v>0</v>
      </c>
      <c r="CA899" s="57" t="n">
        <f aca="false">ROUNDUP(BX899/BQ899,0)</f>
        <v>0</v>
      </c>
      <c r="CB899" s="60" t="n">
        <f aca="false">IF(BR899=1,0,IFERROR(VLOOKUP(BP899,'Gebinde-Kategorie'!$A$5:$M$45,5,0)+0,0))</f>
        <v>8</v>
      </c>
      <c r="CC899" s="60" t="n">
        <f aca="false">IFERROR(IF(OR(BT899=1,BT899=2,BT899=3),N(INDEX(Parameter!$I$5:$I$7,BT899)),0),0)</f>
        <v>0</v>
      </c>
      <c r="CD899" s="59" t="n">
        <f aca="false">IF(AND(Parameter!$B$21="Ja",ISNUMBER(U899),N(V899)&gt;0),IFERROR(N(INDEX(Parameter!$L$5:$L$7,U899))*INDEX(Parameter!$E$5:$E$7,U899)*V899/SUMIFS($V$7:$V$1576,$U$7:$U$1576,U899),0),0)</f>
        <v>0</v>
      </c>
    </row>
    <row r="900" customFormat="false" ht="15" hidden="false" customHeight="false" outlineLevel="0" collapsed="false">
      <c r="A900" s="55" t="s">
        <v>1680</v>
      </c>
      <c r="B900" s="55" t="s">
        <v>1681</v>
      </c>
      <c r="C900" s="55" t="s">
        <v>160</v>
      </c>
      <c r="D900" s="55" t="s">
        <v>178</v>
      </c>
      <c r="E900" s="55" t="s">
        <v>210</v>
      </c>
      <c r="F900" s="56" t="n">
        <v>11.39</v>
      </c>
      <c r="G900" s="57" t="n">
        <f aca="false">MAX(0,IF(AND(Parameter!$B$21="Ja",ISNUMBER(W900)),W900,IF(Parameter!$B$20="Jahresanfang 2025 + Export",BJ900+BI900,BI900)))</f>
        <v>0</v>
      </c>
      <c r="H900" s="57" t="n">
        <f aca="false">G900*F900</f>
        <v>0</v>
      </c>
      <c r="I900" s="57" t="n">
        <f aca="false">BL900*Parameter!$B$18</f>
        <v>0</v>
      </c>
      <c r="J900" s="58" t="n">
        <v>1.5</v>
      </c>
      <c r="K900" s="59" t="n">
        <v>0</v>
      </c>
      <c r="L900" s="57" t="n">
        <v>0</v>
      </c>
      <c r="M900" s="57" t="n">
        <v>1</v>
      </c>
      <c r="N900" s="60" t="n">
        <v>28</v>
      </c>
      <c r="O900" s="55" t="s">
        <v>163</v>
      </c>
      <c r="P900" s="57"/>
      <c r="Q900" s="60" t="n">
        <f aca="false">IF(BR900=1,0,IFERROR(VLOOKUP(BP900,'Gebinde-Kategorie'!$A$5:$M$45,13,0)+0,0))</f>
        <v>0</v>
      </c>
      <c r="R900" s="61"/>
      <c r="S900" s="62"/>
      <c r="T900" s="62"/>
      <c r="U900" s="55"/>
      <c r="V900" s="57"/>
      <c r="W900" s="57"/>
      <c r="X900" s="55" t="n">
        <f aca="false">IF(A900="","",IF(AND(Parameter!$B$21="Ja",ISNUMBER(U900)),U900,IF(IFERROR(VLOOKUP(D900,Parameter!$A$35:$C$64,2,0),"Nein")="2+3",IF(ISNUMBER(SEARCH("grosser Artikel",BM900)),2,IFERROR(VLOOKUP(BP900,Parameter!$F$35:$G$64,2,0),2)),IF(OR(IFERROR(VLOOKUP(D900,Parameter!$A$35:$C$64,2,0),"Nein")="Nein",IFERROR(VLOOKUP(D900,Parameter!$A$35:$C$64,2,0),"Nein")=""),"-",VLOOKUP(D900,Parameter!$A$35:$C$64,2,0)))))</f>
        <v>2</v>
      </c>
      <c r="Y900" s="62"/>
      <c r="Z900" s="63"/>
      <c r="AA900" s="57" t="n">
        <f aca="false">AP900</f>
        <v>1</v>
      </c>
      <c r="AB900" s="57" t="n">
        <f aca="false">MAX(AP900,G900)</f>
        <v>1</v>
      </c>
      <c r="AC900" s="64"/>
      <c r="AD900" s="57" t="n">
        <f aca="false">IF(LEFT(Cockpit!$C$5,1)="A",G900,IF(BW900=1,BX900,IF(LEFT(Cockpit!$C$5,1)="B",AH900,MAX(AH900,G900))))</f>
        <v>0</v>
      </c>
      <c r="AE900" s="57" t="n">
        <f aca="false">IF(BR900=1,0,ROUNDUP(AD900/BQ900,0))</f>
        <v>0</v>
      </c>
      <c r="AF900" s="59" t="n">
        <f aca="false">IF(CD900&gt;0,CD900*MAX(1,AD900/V900),IF(BR900=1,IF(AD900&lt;=0,0,BS900*MAX(1,IF(G900&gt;0,AD900/G900,1))),IF(Q900&gt;0,AE900/Q900,0))/MAX(0.1,N(Parameter!$M$21)))</f>
        <v>0</v>
      </c>
      <c r="AG900" s="57" t="n">
        <f aca="false">AD900*F900</f>
        <v>0</v>
      </c>
      <c r="AH900" s="57" t="n">
        <f aca="false">ROUNDUP(MAX(I900/IF(BV900&gt;0,BV900,MAX(0.1,N(Cockpit!$C$6))),BY900)/BQ900,0)*BQ900</f>
        <v>1</v>
      </c>
      <c r="AI900" s="58" t="n">
        <f aca="false">IF(AF900&gt;0,I900/AF900,-1)</f>
        <v>-1</v>
      </c>
      <c r="AJ900" s="58" t="str">
        <f aca="false">IF(AND(OR(BU900="L1",BU900="L23"),AF900&gt;0),SUMIFS($AF$7:$AF$1576,$BU$7:$BU$1576,BU900,$AI$7:$AI$1576,"&gt;"&amp;AI900)+SUMIFS($AF$7:$AF$1576,$BU$7:$BU$1576,BU900,$AI$7:$AI$1576,AI900,$BO$7:$BO$1576,"&lt;="&amp;BO900),"")</f>
        <v/>
      </c>
      <c r="AK900" s="65" t="n">
        <f aca="false">IF(AJ900="",0,MAX(0,MIN(1,(IF(BU900="L1",Parameter!$E$5,Parameter!$E$6+Parameter!$E$7)-(AJ900-AF900))/AF900)))</f>
        <v>0</v>
      </c>
      <c r="AL900" s="57" t="n">
        <f aca="false">IF(LEFT(Cockpit!$I$5,1)="A",G900,IF(BW900=1,BX900,IF(LEFT(Cockpit!$I$5,1)="B",AP900,MAX(AP900,G900))))</f>
        <v>1</v>
      </c>
      <c r="AM900" s="57" t="n">
        <f aca="false">IF(BR900=1,0,ROUNDUP(AL900/BQ900,0))</f>
        <v>0</v>
      </c>
      <c r="AN900" s="59" t="n">
        <f aca="false">IF(CD900&gt;0,CD900*MAX(1,AL900/V900),IF(BR900=1,IF(AL900&lt;=0,0,BS900*MAX(1,IF(G900&gt;0,AL900/G900,1))),IF(Q900&gt;0,AM900/Q900,0))/MAX(0.1,N(Parameter!$M$21)))</f>
        <v>0.03</v>
      </c>
      <c r="AO900" s="57" t="n">
        <f aca="false">AL900*F900</f>
        <v>11.39</v>
      </c>
      <c r="AP900" s="57" t="n">
        <f aca="false">ROUNDUP(MAX(I900/IF(BV900&gt;0,BV900,MAX(0.1,N(Cockpit!$I$6))),BY900)/BQ900,0)*BQ900</f>
        <v>1</v>
      </c>
      <c r="AQ900" s="58" t="n">
        <f aca="false">IF(AN900&gt;0,I900/AN900,-1)</f>
        <v>0</v>
      </c>
      <c r="AR900" s="58" t="n">
        <f aca="false">IF(AND(OR(BU900="L1",BU900="L23"),AN900&gt;0),SUMIFS($AN$7:$AN$1576,$BU$7:$BU$1576,BU900,$AQ$7:$AQ$1576,"&gt;"&amp;AQ900)+SUMIFS($AN$7:$AN$1576,$BU$7:$BU$1576,BU900,$AQ$7:$AQ$1576,AQ900,$BO$7:$BO$1576,"&lt;="&amp;BO900),"")</f>
        <v>131.131862847345</v>
      </c>
      <c r="AS900" s="65" t="n">
        <f aca="false">IF(AR900="",0,MAX(0,MIN(1,(IF(BU900="L1",Parameter!$E$5,Parameter!$E$6+Parameter!$E$7)-(AR900-AN900))/AN900)))</f>
        <v>0</v>
      </c>
      <c r="AT900" s="57" t="n">
        <f aca="false">IF(LEFT(Cockpit!$O$5,1)="A",G900,IF(BW900=1,BX900,IF(LEFT(Cockpit!$O$5,1)="B",AX900,MAX(AX900,G900))))</f>
        <v>1</v>
      </c>
      <c r="AU900" s="57" t="n">
        <f aca="false">IF(BR900=1,0,ROUNDUP(AT900/BQ900,0))</f>
        <v>0</v>
      </c>
      <c r="AV900" s="59" t="n">
        <f aca="false">IF(CD900&gt;0,CD900*MAX(1,AT900/V900),IF(BR900=1,IF(AT900&lt;=0,0,BS900*MAX(1,IF(G900&gt;0,AT900/G900,1))),IF(Q900&gt;0,AU900/Q900,0))/MAX(0.1,N(Parameter!$M$21)))</f>
        <v>0.03</v>
      </c>
      <c r="AW900" s="57" t="n">
        <f aca="false">AT900*F900</f>
        <v>11.39</v>
      </c>
      <c r="AX900" s="57" t="n">
        <f aca="false">ROUNDUP(MAX(I900/IF(BV900&gt;0,BV900,MAX(0.1,N(Cockpit!$O$6))),BY900)/BQ900,0)*BQ900</f>
        <v>1</v>
      </c>
      <c r="AY900" s="58" t="n">
        <f aca="false">IF(AV900&gt;0,I900/AV900,-1)</f>
        <v>0</v>
      </c>
      <c r="AZ900" s="58" t="n">
        <f aca="false">IF(AND(OR(BU900="L1",BU900="L23"),AV900&gt;0),SUMIFS($AV$7:$AV$1576,$BU$7:$BU$1576,BU900,$AY$7:$AY$1576,"&gt;"&amp;AY900)+SUMIFS($AV$7:$AV$1576,$BU$7:$BU$1576,BU900,$AY$7:$AY$1576,AY900,$BO$7:$BO$1576,"&lt;="&amp;BO900),"")</f>
        <v>121.191413296896</v>
      </c>
      <c r="BA900" s="65" t="n">
        <f aca="false">IF(AZ900="",0,MAX(0,MIN(1,(IF(BU900="L1",Parameter!$E$5,Parameter!$E$6+Parameter!$E$7)-(AZ900-AV900))/AV900)))</f>
        <v>0</v>
      </c>
      <c r="BB900" s="55" t="str">
        <f aca="false">IF(AF900&lt;=0,"",IF(BU900="Aussen","Aussenlager",IF(BU900="-","Nicht im Lift",IF(AK900&gt;=1,"Lift",IF(AK900&lt;=0,"Aussenlager","teilweise")))))</f>
        <v/>
      </c>
      <c r="BC900" s="55" t="str">
        <f aca="false">IF(AN900&lt;=0,"",IF(BU900="Aussen","Aussenlager",IF(BU900="-","Nicht im Lift",IF(AS900&gt;=1,"Lift",IF(AS900&lt;=0,"Aussenlager","teilweise")))))</f>
        <v>Aussenlager</v>
      </c>
      <c r="BD900" s="55" t="str">
        <f aca="false">IF(AV900&lt;=0,"",IF(BU900="Aussen","Aussenlager",IF(BU900="-","Nicht im Lift",IF(BA900&gt;=1,"Lift",IF(BA900&lt;=0,"Aussenlager","teilweise")))))</f>
        <v>Aussenlager</v>
      </c>
      <c r="BE900" s="55" t="str">
        <f aca="false">IF(A900="","",IF(BN900=1,"Neu; ","")&amp;IF(AND(BN900=0,BI900&lt;0),"negativer Bestand (Export "&amp;BI900&amp;"); ","")&amp;IF(I900&lt;=0,"Kein Verbrauch; ","")&amp;IF(CD900&gt;0,"Lift "&amp;U900&amp;" lt. Liftbericht (Fach "&amp;V900&amp;" Stk); ",IF(BR900=1,"Lose – Fläche geschätzt; ",""))&amp;IF(G900&gt;AP900,"Überbestand "&amp;ROUND(G900-AP900,0)&amp;" Stk / CHF "&amp;ROUND((G900-AP900)*F900,0)&amp;"; ","")&amp;IF(AND(BW900=1,BX900&lt;BY900),"MAX &lt; MB+LG; ","")&amp;IF(AND(CC900&gt;0,CB900*10&gt;CC900),"zu hoch für Tablar; ","")&amp;IF(AND(BN900=0,OR(BW900=1,Y900&lt;&gt;"",S900&lt;&gt;"",T900&lt;&gt;"",Z900&lt;&gt;"")),"manuell übersteuert; ","")&amp;IF(AND(BR900=0,Q900=0),"Gebinde unbekannt / Stellmass fehlt; ","")&amp;IF(AND(BR900=0,N(T900)&lt;=0,N(P900)&lt;=0),"Menge pro Gebinde fehlt (Ist = 1 Gebinde); ","")&amp;BM900)</f>
        <v>negativer Bestand (Export -3); Kein Verbrauch; Lose – Fläche geschätzt; </v>
      </c>
      <c r="BF900" s="55"/>
      <c r="BG900" s="55"/>
      <c r="BH900" s="62"/>
      <c r="BI900" s="57" t="n">
        <v>-3</v>
      </c>
      <c r="BJ900" s="57" t="n">
        <v>3</v>
      </c>
      <c r="BK900" s="56" t="n">
        <v>-34.17</v>
      </c>
      <c r="BL900" s="57" t="n">
        <v>0</v>
      </c>
      <c r="BM900" s="55"/>
      <c r="BN900" s="60" t="n">
        <v>0</v>
      </c>
      <c r="BO900" s="60" t="n">
        <v>900</v>
      </c>
      <c r="BP900" s="55" t="str">
        <f aca="false">IF(S900&lt;&gt;"",UPPER(TRIM(S900)),IF(O900="","LOSE",O900))</f>
        <v>LOSE</v>
      </c>
      <c r="BQ900" s="57" t="n">
        <f aca="false">IF(BP900="LOSE",1,IF(N(T900)&gt;0,T900,IF(N(P900)&gt;0,P900,MAX(1,G900))))</f>
        <v>1</v>
      </c>
      <c r="BR900" s="60" t="n">
        <f aca="false">IF(BP900="LOSE",1,0)</f>
        <v>1</v>
      </c>
      <c r="BS900" s="59" t="n">
        <f aca="false">IF(BR900=0,0,IF(N(R900)&gt;0,R900,IFERROR(VLOOKUP(D900,Parameter!$A$35:$C$64,3,0)+0,0)))</f>
        <v>0.03</v>
      </c>
      <c r="BT900" s="55" t="n">
        <f aca="false">IF(Y900&lt;&gt;"",Y900,X900)</f>
        <v>2</v>
      </c>
      <c r="BU900" s="55" t="str">
        <f aca="false">IF(BT900=1,"L1",IF(OR(BT900=2,BT900=3),"L23",IF(BT900="Aussen","Aussen","-")))</f>
        <v>L23</v>
      </c>
      <c r="BV900" s="66" t="n">
        <f aca="false">IF(N(Z900)&gt;0,Z900,0)</f>
        <v>0</v>
      </c>
      <c r="BW900" s="60" t="n">
        <f aca="false">IF(ISNUMBER(AC900),1,0)</f>
        <v>0</v>
      </c>
      <c r="BX900" s="57" t="n">
        <f aca="false">N(AC900)</f>
        <v>0</v>
      </c>
      <c r="BY900" s="57" t="n">
        <f aca="false">N(L900)+N(M900)</f>
        <v>1</v>
      </c>
      <c r="BZ900" s="57" t="n">
        <f aca="false">ROUNDUP(G900/BQ900,0)</f>
        <v>0</v>
      </c>
      <c r="CA900" s="57" t="n">
        <f aca="false">ROUNDUP(BX900/BQ900,0)</f>
        <v>0</v>
      </c>
      <c r="CB900" s="60" t="n">
        <f aca="false">IF(BR900=1,0,IFERROR(VLOOKUP(BP900,'Gebinde-Kategorie'!$A$5:$M$45,5,0)+0,0))</f>
        <v>0</v>
      </c>
      <c r="CC900" s="60" t="n">
        <f aca="false">IFERROR(IF(OR(BT900=1,BT900=2,BT900=3),N(INDEX(Parameter!$I$5:$I$7,BT900)),0),0)</f>
        <v>0</v>
      </c>
      <c r="CD900" s="59" t="n">
        <f aca="false">IF(AND(Parameter!$B$21="Ja",ISNUMBER(U900),N(V900)&gt;0),IFERROR(N(INDEX(Parameter!$L$5:$L$7,U900))*INDEX(Parameter!$E$5:$E$7,U900)*V900/SUMIFS($V$7:$V$1576,$U$7:$U$1576,U900),0),0)</f>
        <v>0</v>
      </c>
    </row>
    <row r="901" customFormat="false" ht="15" hidden="false" customHeight="false" outlineLevel="0" collapsed="false">
      <c r="A901" s="55" t="s">
        <v>1682</v>
      </c>
      <c r="B901" s="55" t="s">
        <v>1681</v>
      </c>
      <c r="C901" s="55" t="s">
        <v>160</v>
      </c>
      <c r="D901" s="55" t="s">
        <v>178</v>
      </c>
      <c r="E901" s="55" t="s">
        <v>210</v>
      </c>
      <c r="F901" s="56" t="n">
        <v>11.39</v>
      </c>
      <c r="G901" s="57" t="n">
        <f aca="false">MAX(0,IF(AND(Parameter!$B$21="Ja",ISNUMBER(W901)),W901,IF(Parameter!$B$20="Jahresanfang 2025 + Export",BJ901+BI901,BI901)))</f>
        <v>0</v>
      </c>
      <c r="H901" s="57" t="n">
        <f aca="false">G901*F901</f>
        <v>0</v>
      </c>
      <c r="I901" s="57" t="n">
        <f aca="false">BL901*Parameter!$B$18</f>
        <v>0</v>
      </c>
      <c r="J901" s="58" t="n">
        <v>1.5</v>
      </c>
      <c r="K901" s="59" t="n">
        <v>0</v>
      </c>
      <c r="L901" s="57" t="n">
        <v>0</v>
      </c>
      <c r="M901" s="57" t="n">
        <v>1</v>
      </c>
      <c r="N901" s="60" t="n">
        <v>28</v>
      </c>
      <c r="O901" s="55" t="s">
        <v>163</v>
      </c>
      <c r="P901" s="57"/>
      <c r="Q901" s="60" t="n">
        <f aca="false">IF(BR901=1,0,IFERROR(VLOOKUP(BP901,'Gebinde-Kategorie'!$A$5:$M$45,13,0)+0,0))</f>
        <v>0</v>
      </c>
      <c r="R901" s="61"/>
      <c r="S901" s="62"/>
      <c r="T901" s="62"/>
      <c r="U901" s="55"/>
      <c r="V901" s="57"/>
      <c r="W901" s="57"/>
      <c r="X901" s="55" t="n">
        <f aca="false">IF(A901="","",IF(AND(Parameter!$B$21="Ja",ISNUMBER(U901)),U901,IF(IFERROR(VLOOKUP(D901,Parameter!$A$35:$C$64,2,0),"Nein")="2+3",IF(ISNUMBER(SEARCH("grosser Artikel",BM901)),2,IFERROR(VLOOKUP(BP901,Parameter!$F$35:$G$64,2,0),2)),IF(OR(IFERROR(VLOOKUP(D901,Parameter!$A$35:$C$64,2,0),"Nein")="Nein",IFERROR(VLOOKUP(D901,Parameter!$A$35:$C$64,2,0),"Nein")=""),"-",VLOOKUP(D901,Parameter!$A$35:$C$64,2,0)))))</f>
        <v>2</v>
      </c>
      <c r="Y901" s="62"/>
      <c r="Z901" s="63"/>
      <c r="AA901" s="57" t="n">
        <f aca="false">AP901</f>
        <v>1</v>
      </c>
      <c r="AB901" s="57" t="n">
        <f aca="false">MAX(AP901,G901)</f>
        <v>1</v>
      </c>
      <c r="AC901" s="64"/>
      <c r="AD901" s="57" t="n">
        <f aca="false">IF(LEFT(Cockpit!$C$5,1)="A",G901,IF(BW901=1,BX901,IF(LEFT(Cockpit!$C$5,1)="B",AH901,MAX(AH901,G901))))</f>
        <v>0</v>
      </c>
      <c r="AE901" s="57" t="n">
        <f aca="false">IF(BR901=1,0,ROUNDUP(AD901/BQ901,0))</f>
        <v>0</v>
      </c>
      <c r="AF901" s="59" t="n">
        <f aca="false">IF(CD901&gt;0,CD901*MAX(1,AD901/V901),IF(BR901=1,IF(AD901&lt;=0,0,BS901*MAX(1,IF(G901&gt;0,AD901/G901,1))),IF(Q901&gt;0,AE901/Q901,0))/MAX(0.1,N(Parameter!$M$21)))</f>
        <v>0</v>
      </c>
      <c r="AG901" s="57" t="n">
        <f aca="false">AD901*F901</f>
        <v>0</v>
      </c>
      <c r="AH901" s="57" t="n">
        <f aca="false">ROUNDUP(MAX(I901/IF(BV901&gt;0,BV901,MAX(0.1,N(Cockpit!$C$6))),BY901)/BQ901,0)*BQ901</f>
        <v>1</v>
      </c>
      <c r="AI901" s="58" t="n">
        <f aca="false">IF(AF901&gt;0,I901/AF901,-1)</f>
        <v>-1</v>
      </c>
      <c r="AJ901" s="58" t="str">
        <f aca="false">IF(AND(OR(BU901="L1",BU901="L23"),AF901&gt;0),SUMIFS($AF$7:$AF$1576,$BU$7:$BU$1576,BU901,$AI$7:$AI$1576,"&gt;"&amp;AI901)+SUMIFS($AF$7:$AF$1576,$BU$7:$BU$1576,BU901,$AI$7:$AI$1576,AI901,$BO$7:$BO$1576,"&lt;="&amp;BO901),"")</f>
        <v/>
      </c>
      <c r="AK901" s="65" t="n">
        <f aca="false">IF(AJ901="",0,MAX(0,MIN(1,(IF(BU901="L1",Parameter!$E$5,Parameter!$E$6+Parameter!$E$7)-(AJ901-AF901))/AF901)))</f>
        <v>0</v>
      </c>
      <c r="AL901" s="57" t="n">
        <f aca="false">IF(LEFT(Cockpit!$I$5,1)="A",G901,IF(BW901=1,BX901,IF(LEFT(Cockpit!$I$5,1)="B",AP901,MAX(AP901,G901))))</f>
        <v>1</v>
      </c>
      <c r="AM901" s="57" t="n">
        <f aca="false">IF(BR901=1,0,ROUNDUP(AL901/BQ901,0))</f>
        <v>0</v>
      </c>
      <c r="AN901" s="59" t="n">
        <f aca="false">IF(CD901&gt;0,CD901*MAX(1,AL901/V901),IF(BR901=1,IF(AL901&lt;=0,0,BS901*MAX(1,IF(G901&gt;0,AL901/G901,1))),IF(Q901&gt;0,AM901/Q901,0))/MAX(0.1,N(Parameter!$M$21)))</f>
        <v>0.03</v>
      </c>
      <c r="AO901" s="57" t="n">
        <f aca="false">AL901*F901</f>
        <v>11.39</v>
      </c>
      <c r="AP901" s="57" t="n">
        <f aca="false">ROUNDUP(MAX(I901/IF(BV901&gt;0,BV901,MAX(0.1,N(Cockpit!$I$6))),BY901)/BQ901,0)*BQ901</f>
        <v>1</v>
      </c>
      <c r="AQ901" s="58" t="n">
        <f aca="false">IF(AN901&gt;0,I901/AN901,-1)</f>
        <v>0</v>
      </c>
      <c r="AR901" s="58" t="n">
        <f aca="false">IF(AND(OR(BU901="L1",BU901="L23"),AN901&gt;0),SUMIFS($AN$7:$AN$1576,$BU$7:$BU$1576,BU901,$AQ$7:$AQ$1576,"&gt;"&amp;AQ901)+SUMIFS($AN$7:$AN$1576,$BU$7:$BU$1576,BU901,$AQ$7:$AQ$1576,AQ901,$BO$7:$BO$1576,"&lt;="&amp;BO901),"")</f>
        <v>131.161862847345</v>
      </c>
      <c r="AS901" s="65" t="n">
        <f aca="false">IF(AR901="",0,MAX(0,MIN(1,(IF(BU901="L1",Parameter!$E$5,Parameter!$E$6+Parameter!$E$7)-(AR901-AN901))/AN901)))</f>
        <v>0</v>
      </c>
      <c r="AT901" s="57" t="n">
        <f aca="false">IF(LEFT(Cockpit!$O$5,1)="A",G901,IF(BW901=1,BX901,IF(LEFT(Cockpit!$O$5,1)="B",AX901,MAX(AX901,G901))))</f>
        <v>1</v>
      </c>
      <c r="AU901" s="57" t="n">
        <f aca="false">IF(BR901=1,0,ROUNDUP(AT901/BQ901,0))</f>
        <v>0</v>
      </c>
      <c r="AV901" s="59" t="n">
        <f aca="false">IF(CD901&gt;0,CD901*MAX(1,AT901/V901),IF(BR901=1,IF(AT901&lt;=0,0,BS901*MAX(1,IF(G901&gt;0,AT901/G901,1))),IF(Q901&gt;0,AU901/Q901,0))/MAX(0.1,N(Parameter!$M$21)))</f>
        <v>0.03</v>
      </c>
      <c r="AW901" s="57" t="n">
        <f aca="false">AT901*F901</f>
        <v>11.39</v>
      </c>
      <c r="AX901" s="57" t="n">
        <f aca="false">ROUNDUP(MAX(I901/IF(BV901&gt;0,BV901,MAX(0.1,N(Cockpit!$O$6))),BY901)/BQ901,0)*BQ901</f>
        <v>1</v>
      </c>
      <c r="AY901" s="58" t="n">
        <f aca="false">IF(AV901&gt;0,I901/AV901,-1)</f>
        <v>0</v>
      </c>
      <c r="AZ901" s="58" t="n">
        <f aca="false">IF(AND(OR(BU901="L1",BU901="L23"),AV901&gt;0),SUMIFS($AV$7:$AV$1576,$BU$7:$BU$1576,BU901,$AY$7:$AY$1576,"&gt;"&amp;AY901)+SUMIFS($AV$7:$AV$1576,$BU$7:$BU$1576,BU901,$AY$7:$AY$1576,AY901,$BO$7:$BO$1576,"&lt;="&amp;BO901),"")</f>
        <v>121.221413296896</v>
      </c>
      <c r="BA901" s="65" t="n">
        <f aca="false">IF(AZ901="",0,MAX(0,MIN(1,(IF(BU901="L1",Parameter!$E$5,Parameter!$E$6+Parameter!$E$7)-(AZ901-AV901))/AV901)))</f>
        <v>0</v>
      </c>
      <c r="BB901" s="55" t="str">
        <f aca="false">IF(AF901&lt;=0,"",IF(BU901="Aussen","Aussenlager",IF(BU901="-","Nicht im Lift",IF(AK901&gt;=1,"Lift",IF(AK901&lt;=0,"Aussenlager","teilweise")))))</f>
        <v/>
      </c>
      <c r="BC901" s="55" t="str">
        <f aca="false">IF(AN901&lt;=0,"",IF(BU901="Aussen","Aussenlager",IF(BU901="-","Nicht im Lift",IF(AS901&gt;=1,"Lift",IF(AS901&lt;=0,"Aussenlager","teilweise")))))</f>
        <v>Aussenlager</v>
      </c>
      <c r="BD901" s="55" t="str">
        <f aca="false">IF(AV901&lt;=0,"",IF(BU901="Aussen","Aussenlager",IF(BU901="-","Nicht im Lift",IF(BA901&gt;=1,"Lift",IF(BA901&lt;=0,"Aussenlager","teilweise")))))</f>
        <v>Aussenlager</v>
      </c>
      <c r="BE901" s="55" t="str">
        <f aca="false">IF(A901="","",IF(BN901=1,"Neu; ","")&amp;IF(AND(BN901=0,BI901&lt;0),"negativer Bestand (Export "&amp;BI901&amp;"); ","")&amp;IF(I901&lt;=0,"Kein Verbrauch; ","")&amp;IF(CD901&gt;0,"Lift "&amp;U901&amp;" lt. Liftbericht (Fach "&amp;V901&amp;" Stk); ",IF(BR901=1,"Lose – Fläche geschätzt; ",""))&amp;IF(G901&gt;AP901,"Überbestand "&amp;ROUND(G901-AP901,0)&amp;" Stk / CHF "&amp;ROUND((G901-AP901)*F901,0)&amp;"; ","")&amp;IF(AND(BW901=1,BX901&lt;BY901),"MAX &lt; MB+LG; ","")&amp;IF(AND(CC901&gt;0,CB901*10&gt;CC901),"zu hoch für Tablar; ","")&amp;IF(AND(BN901=0,OR(BW901=1,Y901&lt;&gt;"",S901&lt;&gt;"",T901&lt;&gt;"",Z901&lt;&gt;"")),"manuell übersteuert; ","")&amp;IF(AND(BR901=0,Q901=0),"Gebinde unbekannt / Stellmass fehlt; ","")&amp;IF(AND(BR901=0,N(T901)&lt;=0,N(P901)&lt;=0),"Menge pro Gebinde fehlt (Ist = 1 Gebinde); ","")&amp;BM901)</f>
        <v>negativer Bestand (Export -3); Kein Verbrauch; Lose – Fläche geschätzt; </v>
      </c>
      <c r="BF901" s="55"/>
      <c r="BG901" s="55"/>
      <c r="BH901" s="62"/>
      <c r="BI901" s="57" t="n">
        <v>-3</v>
      </c>
      <c r="BJ901" s="57" t="n">
        <v>3</v>
      </c>
      <c r="BK901" s="56" t="n">
        <v>-34.17</v>
      </c>
      <c r="BL901" s="57" t="n">
        <v>0</v>
      </c>
      <c r="BM901" s="55"/>
      <c r="BN901" s="60" t="n">
        <v>0</v>
      </c>
      <c r="BO901" s="60" t="n">
        <v>901</v>
      </c>
      <c r="BP901" s="55" t="str">
        <f aca="false">IF(S901&lt;&gt;"",UPPER(TRIM(S901)),IF(O901="","LOSE",O901))</f>
        <v>LOSE</v>
      </c>
      <c r="BQ901" s="57" t="n">
        <f aca="false">IF(BP901="LOSE",1,IF(N(T901)&gt;0,T901,IF(N(P901)&gt;0,P901,MAX(1,G901))))</f>
        <v>1</v>
      </c>
      <c r="BR901" s="60" t="n">
        <f aca="false">IF(BP901="LOSE",1,0)</f>
        <v>1</v>
      </c>
      <c r="BS901" s="59" t="n">
        <f aca="false">IF(BR901=0,0,IF(N(R901)&gt;0,R901,IFERROR(VLOOKUP(D901,Parameter!$A$35:$C$64,3,0)+0,0)))</f>
        <v>0.03</v>
      </c>
      <c r="BT901" s="55" t="n">
        <f aca="false">IF(Y901&lt;&gt;"",Y901,X901)</f>
        <v>2</v>
      </c>
      <c r="BU901" s="55" t="str">
        <f aca="false">IF(BT901=1,"L1",IF(OR(BT901=2,BT901=3),"L23",IF(BT901="Aussen","Aussen","-")))</f>
        <v>L23</v>
      </c>
      <c r="BV901" s="66" t="n">
        <f aca="false">IF(N(Z901)&gt;0,Z901,0)</f>
        <v>0</v>
      </c>
      <c r="BW901" s="60" t="n">
        <f aca="false">IF(ISNUMBER(AC901),1,0)</f>
        <v>0</v>
      </c>
      <c r="BX901" s="57" t="n">
        <f aca="false">N(AC901)</f>
        <v>0</v>
      </c>
      <c r="BY901" s="57" t="n">
        <f aca="false">N(L901)+N(M901)</f>
        <v>1</v>
      </c>
      <c r="BZ901" s="57" t="n">
        <f aca="false">ROUNDUP(G901/BQ901,0)</f>
        <v>0</v>
      </c>
      <c r="CA901" s="57" t="n">
        <f aca="false">ROUNDUP(BX901/BQ901,0)</f>
        <v>0</v>
      </c>
      <c r="CB901" s="60" t="n">
        <f aca="false">IF(BR901=1,0,IFERROR(VLOOKUP(BP901,'Gebinde-Kategorie'!$A$5:$M$45,5,0)+0,0))</f>
        <v>0</v>
      </c>
      <c r="CC901" s="60" t="n">
        <f aca="false">IFERROR(IF(OR(BT901=1,BT901=2,BT901=3),N(INDEX(Parameter!$I$5:$I$7,BT901)),0),0)</f>
        <v>0</v>
      </c>
      <c r="CD901" s="59" t="n">
        <f aca="false">IF(AND(Parameter!$B$21="Ja",ISNUMBER(U901),N(V901)&gt;0),IFERROR(N(INDEX(Parameter!$L$5:$L$7,U901))*INDEX(Parameter!$E$5:$E$7,U901)*V901/SUMIFS($V$7:$V$1576,$U$7:$U$1576,U901),0),0)</f>
        <v>0</v>
      </c>
    </row>
    <row r="902" customFormat="false" ht="15" hidden="false" customHeight="false" outlineLevel="0" collapsed="false">
      <c r="A902" s="55" t="s">
        <v>1683</v>
      </c>
      <c r="B902" s="55" t="s">
        <v>998</v>
      </c>
      <c r="C902" s="55" t="s">
        <v>160</v>
      </c>
      <c r="D902" s="55" t="s">
        <v>178</v>
      </c>
      <c r="E902" s="55" t="s">
        <v>210</v>
      </c>
      <c r="F902" s="56" t="n">
        <v>4.31</v>
      </c>
      <c r="G902" s="57" t="n">
        <f aca="false">MAX(0,IF(AND(Parameter!$B$21="Ja",ISNUMBER(W902)),W902,IF(Parameter!$B$20="Jahresanfang 2025 + Export",BJ902+BI902,BI902)))</f>
        <v>0</v>
      </c>
      <c r="H902" s="57" t="n">
        <f aca="false">G902*F902</f>
        <v>0</v>
      </c>
      <c r="I902" s="57" t="n">
        <f aca="false">BL902*Parameter!$B$18</f>
        <v>1</v>
      </c>
      <c r="J902" s="58" t="n">
        <v>11</v>
      </c>
      <c r="K902" s="59" t="n">
        <v>0.0909090909090909</v>
      </c>
      <c r="L902" s="57" t="n">
        <v>0</v>
      </c>
      <c r="M902" s="57" t="n">
        <v>1</v>
      </c>
      <c r="N902" s="60" t="n">
        <v>70</v>
      </c>
      <c r="O902" s="55" t="s">
        <v>391</v>
      </c>
      <c r="P902" s="57" t="n">
        <v>5</v>
      </c>
      <c r="Q902" s="60" t="n">
        <f aca="false">IF(BR902=1,0,IFERROR(VLOOKUP(BP902,'Gebinde-Kategorie'!$A$5:$M$45,13,0)+0,0))</f>
        <v>414</v>
      </c>
      <c r="R902" s="61"/>
      <c r="S902" s="62"/>
      <c r="T902" s="62"/>
      <c r="U902" s="55"/>
      <c r="V902" s="57"/>
      <c r="W902" s="57"/>
      <c r="X902" s="55" t="n">
        <f aca="false">IF(A902="","",IF(AND(Parameter!$B$21="Ja",ISNUMBER(U902)),U902,IF(IFERROR(VLOOKUP(D902,Parameter!$A$35:$C$64,2,0),"Nein")="2+3",IF(ISNUMBER(SEARCH("grosser Artikel",BM902)),2,IFERROR(VLOOKUP(BP902,Parameter!$F$35:$G$64,2,0),2)),IF(OR(IFERROR(VLOOKUP(D902,Parameter!$A$35:$C$64,2,0),"Nein")="Nein",IFERROR(VLOOKUP(D902,Parameter!$A$35:$C$64,2,0),"Nein")=""),"-",VLOOKUP(D902,Parameter!$A$35:$C$64,2,0)))))</f>
        <v>3</v>
      </c>
      <c r="Y902" s="62"/>
      <c r="Z902" s="63"/>
      <c r="AA902" s="57" t="n">
        <f aca="false">AP902</f>
        <v>5</v>
      </c>
      <c r="AB902" s="57" t="n">
        <f aca="false">MAX(AP902,G902)</f>
        <v>5</v>
      </c>
      <c r="AC902" s="64"/>
      <c r="AD902" s="57" t="n">
        <f aca="false">IF(LEFT(Cockpit!$C$5,1)="A",G902,IF(BW902=1,BX902,IF(LEFT(Cockpit!$C$5,1)="B",AH902,MAX(AH902,G902))))</f>
        <v>0</v>
      </c>
      <c r="AE902" s="57" t="n">
        <f aca="false">IF(BR902=1,0,ROUNDUP(AD902/BQ902,0))</f>
        <v>0</v>
      </c>
      <c r="AF902" s="59" t="n">
        <f aca="false">IF(CD902&gt;0,CD902*MAX(1,AD902/V902),IF(BR902=1,IF(AD902&lt;=0,0,BS902*MAX(1,IF(G902&gt;0,AD902/G902,1))),IF(Q902&gt;0,AE902/Q902,0))/MAX(0.1,N(Parameter!$M$21)))</f>
        <v>0</v>
      </c>
      <c r="AG902" s="57" t="n">
        <f aca="false">AD902*F902</f>
        <v>0</v>
      </c>
      <c r="AH902" s="57" t="n">
        <f aca="false">ROUNDUP(MAX(I902/IF(BV902&gt;0,BV902,MAX(0.1,N(Cockpit!$C$6))),BY902)/BQ902,0)*BQ902</f>
        <v>5</v>
      </c>
      <c r="AI902" s="58" t="n">
        <f aca="false">IF(AF902&gt;0,I902/AF902,-1)</f>
        <v>-1</v>
      </c>
      <c r="AJ902" s="58" t="str">
        <f aca="false">IF(AND(OR(BU902="L1",BU902="L23"),AF902&gt;0),SUMIFS($AF$7:$AF$1576,$BU$7:$BU$1576,BU902,$AI$7:$AI$1576,"&gt;"&amp;AI902)+SUMIFS($AF$7:$AF$1576,$BU$7:$BU$1576,BU902,$AI$7:$AI$1576,AI902,$BO$7:$BO$1576,"&lt;="&amp;BO902),"")</f>
        <v/>
      </c>
      <c r="AK902" s="65" t="n">
        <f aca="false">IF(AJ902="",0,MAX(0,MIN(1,(IF(BU902="L1",Parameter!$E$5,Parameter!$E$6+Parameter!$E$7)-(AJ902-AF902))/AF902)))</f>
        <v>0</v>
      </c>
      <c r="AL902" s="57" t="n">
        <f aca="false">IF(LEFT(Cockpit!$I$5,1)="A",G902,IF(BW902=1,BX902,IF(LEFT(Cockpit!$I$5,1)="B",AP902,MAX(AP902,G902))))</f>
        <v>5</v>
      </c>
      <c r="AM902" s="57" t="n">
        <f aca="false">IF(BR902=1,0,ROUNDUP(AL902/BQ902,0))</f>
        <v>1</v>
      </c>
      <c r="AN902" s="59" t="n">
        <f aca="false">IF(CD902&gt;0,CD902*MAX(1,AL902/V902),IF(BR902=1,IF(AL902&lt;=0,0,BS902*MAX(1,IF(G902&gt;0,AL902/G902,1))),IF(Q902&gt;0,AM902/Q902,0))/MAX(0.1,N(Parameter!$M$21)))</f>
        <v>0.00241545893719807</v>
      </c>
      <c r="AO902" s="57" t="n">
        <f aca="false">AL902*F902</f>
        <v>21.55</v>
      </c>
      <c r="AP902" s="57" t="n">
        <f aca="false">ROUNDUP(MAX(I902/IF(BV902&gt;0,BV902,MAX(0.1,N(Cockpit!$I$6))),BY902)/BQ902,0)*BQ902</f>
        <v>5</v>
      </c>
      <c r="AQ902" s="58" t="n">
        <f aca="false">IF(AN902&gt;0,I902/AN902,-1)</f>
        <v>414</v>
      </c>
      <c r="AR902" s="58" t="n">
        <f aca="false">IF(AND(OR(BU902="L1",BU902="L23"),AN902&gt;0),SUMIFS($AN$7:$AN$1576,$BU$7:$BU$1576,BU902,$AQ$7:$AQ$1576,"&gt;"&amp;AQ902)+SUMIFS($AN$7:$AN$1576,$BU$7:$BU$1576,BU902,$AQ$7:$AQ$1576,AQ902,$BO$7:$BO$1576,"&lt;="&amp;BO902),"")</f>
        <v>36.4439602067975</v>
      </c>
      <c r="AS902" s="65" t="n">
        <f aca="false">IF(AR902="",0,MAX(0,MIN(1,(IF(BU902="L1",Parameter!$E$5,Parameter!$E$6+Parameter!$E$7)-(AR902-AN902))/AN902)))</f>
        <v>1</v>
      </c>
      <c r="AT902" s="57" t="n">
        <f aca="false">IF(LEFT(Cockpit!$O$5,1)="A",G902,IF(BW902=1,BX902,IF(LEFT(Cockpit!$O$5,1)="B",AX902,MAX(AX902,G902))))</f>
        <v>5</v>
      </c>
      <c r="AU902" s="57" t="n">
        <f aca="false">IF(BR902=1,0,ROUNDUP(AT902/BQ902,0))</f>
        <v>1</v>
      </c>
      <c r="AV902" s="59" t="n">
        <f aca="false">IF(CD902&gt;0,CD902*MAX(1,AT902/V902),IF(BR902=1,IF(AT902&lt;=0,0,BS902*MAX(1,IF(G902&gt;0,AT902/G902,1))),IF(Q902&gt;0,AU902/Q902,0))/MAX(0.1,N(Parameter!$M$21)))</f>
        <v>0.00241545893719807</v>
      </c>
      <c r="AW902" s="57" t="n">
        <f aca="false">AT902*F902</f>
        <v>21.55</v>
      </c>
      <c r="AX902" s="57" t="n">
        <f aca="false">ROUNDUP(MAX(I902/IF(BV902&gt;0,BV902,MAX(0.1,N(Cockpit!$O$6))),BY902)/BQ902,0)*BQ902</f>
        <v>5</v>
      </c>
      <c r="AY902" s="58" t="n">
        <f aca="false">IF(AV902&gt;0,I902/AV902,-1)</f>
        <v>414</v>
      </c>
      <c r="AZ902" s="58" t="n">
        <f aca="false">IF(AND(OR(BU902="L1",BU902="L23"),AV902&gt;0),SUMIFS($AV$7:$AV$1576,$BU$7:$BU$1576,BU902,$AY$7:$AY$1576,"&gt;"&amp;AY902)+SUMIFS($AV$7:$AV$1576,$BU$7:$BU$1576,BU902,$AY$7:$AY$1576,AY902,$BO$7:$BO$1576,"&lt;="&amp;BO902),"")</f>
        <v>35.6087054615427</v>
      </c>
      <c r="BA902" s="65" t="n">
        <f aca="false">IF(AZ902="",0,MAX(0,MIN(1,(IF(BU902="L1",Parameter!$E$5,Parameter!$E$6+Parameter!$E$7)-(AZ902-AV902))/AV902)))</f>
        <v>1</v>
      </c>
      <c r="BB902" s="55" t="str">
        <f aca="false">IF(AF902&lt;=0,"",IF(BU902="Aussen","Aussenlager",IF(BU902="-","Nicht im Lift",IF(AK902&gt;=1,"Lift",IF(AK902&lt;=0,"Aussenlager","teilweise")))))</f>
        <v/>
      </c>
      <c r="BC902" s="55" t="str">
        <f aca="false">IF(AN902&lt;=0,"",IF(BU902="Aussen","Aussenlager",IF(BU902="-","Nicht im Lift",IF(AS902&gt;=1,"Lift",IF(AS902&lt;=0,"Aussenlager","teilweise")))))</f>
        <v>Lift</v>
      </c>
      <c r="BD902" s="55" t="str">
        <f aca="false">IF(AV902&lt;=0,"",IF(BU902="Aussen","Aussenlager",IF(BU902="-","Nicht im Lift",IF(BA902&gt;=1,"Lift",IF(BA902&lt;=0,"Aussenlager","teilweise")))))</f>
        <v>Lift</v>
      </c>
      <c r="BE902" s="55" t="str">
        <f aca="false">IF(A902="","",IF(BN902=1,"Neu; ","")&amp;IF(AND(BN902=0,BI902&lt;0),"negativer Bestand (Export "&amp;BI902&amp;"); ","")&amp;IF(I902&lt;=0,"Kein Verbrauch; ","")&amp;IF(CD902&gt;0,"Lift "&amp;U902&amp;" lt. Liftbericht (Fach "&amp;V902&amp;" Stk); ",IF(BR902=1,"Lose – Fläche geschätzt; ",""))&amp;IF(G902&gt;AP902,"Überbestand "&amp;ROUND(G902-AP902,0)&amp;" Stk / CHF "&amp;ROUND((G902-AP902)*F902,0)&amp;"; ","")&amp;IF(AND(BW902=1,BX902&lt;BY902),"MAX &lt; MB+LG; ","")&amp;IF(AND(CC902&gt;0,CB902*10&gt;CC902),"zu hoch für Tablar; ","")&amp;IF(AND(BN902=0,OR(BW902=1,Y902&lt;&gt;"",S902&lt;&gt;"",T902&lt;&gt;"",Z902&lt;&gt;"")),"manuell übersteuert; ","")&amp;IF(AND(BR902=0,Q902=0),"Gebinde unbekannt / Stellmass fehlt; ","")&amp;IF(AND(BR902=0,N(T902)&lt;=0,N(P902)&lt;=0),"Menge pro Gebinde fehlt (Ist = 1 Gebinde); ","")&amp;BM902)</f>
        <v>negativer Bestand (Export -8); </v>
      </c>
      <c r="BF902" s="55"/>
      <c r="BG902" s="55"/>
      <c r="BH902" s="62"/>
      <c r="BI902" s="57" t="n">
        <v>-8</v>
      </c>
      <c r="BJ902" s="57" t="n">
        <v>12</v>
      </c>
      <c r="BK902" s="56" t="n">
        <v>-34.48</v>
      </c>
      <c r="BL902" s="57" t="n">
        <v>1</v>
      </c>
      <c r="BM902" s="55"/>
      <c r="BN902" s="60" t="n">
        <v>0</v>
      </c>
      <c r="BO902" s="60" t="n">
        <v>902</v>
      </c>
      <c r="BP902" s="55" t="str">
        <f aca="false">IF(S902&lt;&gt;"",UPPER(TRIM(S902)),IF(O902="","LOSE",O902))</f>
        <v>S21</v>
      </c>
      <c r="BQ902" s="57" t="n">
        <f aca="false">IF(BP902="LOSE",1,IF(N(T902)&gt;0,T902,IF(N(P902)&gt;0,P902,MAX(1,G902))))</f>
        <v>5</v>
      </c>
      <c r="BR902" s="60" t="n">
        <f aca="false">IF(BP902="LOSE",1,0)</f>
        <v>0</v>
      </c>
      <c r="BS902" s="59" t="n">
        <f aca="false">IF(BR902=0,0,IF(N(R902)&gt;0,R902,IFERROR(VLOOKUP(D902,Parameter!$A$35:$C$64,3,0)+0,0)))</f>
        <v>0</v>
      </c>
      <c r="BT902" s="55" t="n">
        <f aca="false">IF(Y902&lt;&gt;"",Y902,X902)</f>
        <v>3</v>
      </c>
      <c r="BU902" s="55" t="str">
        <f aca="false">IF(BT902=1,"L1",IF(OR(BT902=2,BT902=3),"L23",IF(BT902="Aussen","Aussen","-")))</f>
        <v>L23</v>
      </c>
      <c r="BV902" s="66" t="n">
        <f aca="false">IF(N(Z902)&gt;0,Z902,0)</f>
        <v>0</v>
      </c>
      <c r="BW902" s="60" t="n">
        <f aca="false">IF(ISNUMBER(AC902),1,0)</f>
        <v>0</v>
      </c>
      <c r="BX902" s="57" t="n">
        <f aca="false">N(AC902)</f>
        <v>0</v>
      </c>
      <c r="BY902" s="57" t="n">
        <f aca="false">N(L902)+N(M902)</f>
        <v>1</v>
      </c>
      <c r="BZ902" s="57" t="n">
        <f aca="false">ROUNDUP(G902/BQ902,0)</f>
        <v>0</v>
      </c>
      <c r="CA902" s="57" t="n">
        <f aca="false">ROUNDUP(BX902/BQ902,0)</f>
        <v>0</v>
      </c>
      <c r="CB902" s="60" t="n">
        <f aca="false">IF(BR902=1,0,IFERROR(VLOOKUP(BP902,'Gebinde-Kategorie'!$A$5:$M$45,5,0)+0,0))</f>
        <v>8</v>
      </c>
      <c r="CC902" s="60" t="n">
        <f aca="false">IFERROR(IF(OR(BT902=1,BT902=2,BT902=3),N(INDEX(Parameter!$I$5:$I$7,BT902)),0),0)</f>
        <v>0</v>
      </c>
      <c r="CD902" s="59" t="n">
        <f aca="false">IF(AND(Parameter!$B$21="Ja",ISNUMBER(U902),N(V902)&gt;0),IFERROR(N(INDEX(Parameter!$L$5:$L$7,U902))*INDEX(Parameter!$E$5:$E$7,U902)*V902/SUMIFS($V$7:$V$1576,$U$7:$U$1576,U902),0),0)</f>
        <v>0</v>
      </c>
    </row>
    <row r="903" customFormat="false" ht="15" hidden="false" customHeight="false" outlineLevel="0" collapsed="false">
      <c r="A903" s="55" t="s">
        <v>1684</v>
      </c>
      <c r="B903" s="55" t="s">
        <v>1154</v>
      </c>
      <c r="C903" s="55" t="s">
        <v>160</v>
      </c>
      <c r="D903" s="55" t="s">
        <v>178</v>
      </c>
      <c r="E903" s="55" t="s">
        <v>210</v>
      </c>
      <c r="F903" s="56" t="n">
        <v>12.71</v>
      </c>
      <c r="G903" s="57" t="n">
        <f aca="false">MAX(0,IF(AND(Parameter!$B$21="Ja",ISNUMBER(W903)),W903,IF(Parameter!$B$20="Jahresanfang 2025 + Export",BJ903+BI903,BI903)))</f>
        <v>0</v>
      </c>
      <c r="H903" s="57" t="n">
        <f aca="false">G903*F903</f>
        <v>0</v>
      </c>
      <c r="I903" s="57" t="n">
        <f aca="false">BL903*Parameter!$B$18</f>
        <v>8</v>
      </c>
      <c r="J903" s="58" t="n">
        <v>6.5</v>
      </c>
      <c r="K903" s="59" t="n">
        <v>1.23076923076923</v>
      </c>
      <c r="L903" s="57" t="n">
        <v>0</v>
      </c>
      <c r="M903" s="57" t="n">
        <v>10</v>
      </c>
      <c r="N903" s="60" t="n">
        <v>18</v>
      </c>
      <c r="O903" s="55" t="s">
        <v>465</v>
      </c>
      <c r="P903" s="57" t="n">
        <v>17</v>
      </c>
      <c r="Q903" s="60" t="n">
        <f aca="false">IF(BR903=1,0,IFERROR(VLOOKUP(BP903,'Gebinde-Kategorie'!$A$5:$M$45,13,0)+0,0))</f>
        <v>66</v>
      </c>
      <c r="R903" s="61"/>
      <c r="S903" s="62"/>
      <c r="T903" s="62"/>
      <c r="U903" s="55"/>
      <c r="V903" s="57"/>
      <c r="W903" s="57"/>
      <c r="X903" s="55" t="n">
        <f aca="false">IF(A903="","",IF(AND(Parameter!$B$21="Ja",ISNUMBER(U903)),U903,IF(IFERROR(VLOOKUP(D903,Parameter!$A$35:$C$64,2,0),"Nein")="2+3",IF(ISNUMBER(SEARCH("grosser Artikel",BM903)),2,IFERROR(VLOOKUP(BP903,Parameter!$F$35:$G$64,2,0),2)),IF(OR(IFERROR(VLOOKUP(D903,Parameter!$A$35:$C$64,2,0),"Nein")="Nein",IFERROR(VLOOKUP(D903,Parameter!$A$35:$C$64,2,0),"Nein")=""),"-",VLOOKUP(D903,Parameter!$A$35:$C$64,2,0)))))</f>
        <v>3</v>
      </c>
      <c r="Y903" s="62"/>
      <c r="Z903" s="63"/>
      <c r="AA903" s="57" t="n">
        <f aca="false">AP903</f>
        <v>17</v>
      </c>
      <c r="AB903" s="57" t="n">
        <f aca="false">MAX(AP903,G903)</f>
        <v>17</v>
      </c>
      <c r="AC903" s="64"/>
      <c r="AD903" s="57" t="n">
        <f aca="false">IF(LEFT(Cockpit!$C$5,1)="A",G903,IF(BW903=1,BX903,IF(LEFT(Cockpit!$C$5,1)="B",AH903,MAX(AH903,G903))))</f>
        <v>0</v>
      </c>
      <c r="AE903" s="57" t="n">
        <f aca="false">IF(BR903=1,0,ROUNDUP(AD903/BQ903,0))</f>
        <v>0</v>
      </c>
      <c r="AF903" s="59" t="n">
        <f aca="false">IF(CD903&gt;0,CD903*MAX(1,AD903/V903),IF(BR903=1,IF(AD903&lt;=0,0,BS903*MAX(1,IF(G903&gt;0,AD903/G903,1))),IF(Q903&gt;0,AE903/Q903,0))/MAX(0.1,N(Parameter!$M$21)))</f>
        <v>0</v>
      </c>
      <c r="AG903" s="57" t="n">
        <f aca="false">AD903*F903</f>
        <v>0</v>
      </c>
      <c r="AH903" s="57" t="n">
        <f aca="false">ROUNDUP(MAX(I903/IF(BV903&gt;0,BV903,MAX(0.1,N(Cockpit!$C$6))),BY903)/BQ903,0)*BQ903</f>
        <v>17</v>
      </c>
      <c r="AI903" s="58" t="n">
        <f aca="false">IF(AF903&gt;0,I903/AF903,-1)</f>
        <v>-1</v>
      </c>
      <c r="AJ903" s="58" t="str">
        <f aca="false">IF(AND(OR(BU903="L1",BU903="L23"),AF903&gt;0),SUMIFS($AF$7:$AF$1576,$BU$7:$BU$1576,BU903,$AI$7:$AI$1576,"&gt;"&amp;AI903)+SUMIFS($AF$7:$AF$1576,$BU$7:$BU$1576,BU903,$AI$7:$AI$1576,AI903,$BO$7:$BO$1576,"&lt;="&amp;BO903),"")</f>
        <v/>
      </c>
      <c r="AK903" s="65" t="n">
        <f aca="false">IF(AJ903="",0,MAX(0,MIN(1,(IF(BU903="L1",Parameter!$E$5,Parameter!$E$6+Parameter!$E$7)-(AJ903-AF903))/AF903)))</f>
        <v>0</v>
      </c>
      <c r="AL903" s="57" t="n">
        <f aca="false">IF(LEFT(Cockpit!$I$5,1)="A",G903,IF(BW903=1,BX903,IF(LEFT(Cockpit!$I$5,1)="B",AP903,MAX(AP903,G903))))</f>
        <v>17</v>
      </c>
      <c r="AM903" s="57" t="n">
        <f aca="false">IF(BR903=1,0,ROUNDUP(AL903/BQ903,0))</f>
        <v>1</v>
      </c>
      <c r="AN903" s="59" t="n">
        <f aca="false">IF(CD903&gt;0,CD903*MAX(1,AL903/V903),IF(BR903=1,IF(AL903&lt;=0,0,BS903*MAX(1,IF(G903&gt;0,AL903/G903,1))),IF(Q903&gt;0,AM903/Q903,0))/MAX(0.1,N(Parameter!$M$21)))</f>
        <v>0.0151515151515152</v>
      </c>
      <c r="AO903" s="57" t="n">
        <f aca="false">AL903*F903</f>
        <v>216.07</v>
      </c>
      <c r="AP903" s="57" t="n">
        <f aca="false">ROUNDUP(MAX(I903/IF(BV903&gt;0,BV903,MAX(0.1,N(Cockpit!$I$6))),BY903)/BQ903,0)*BQ903</f>
        <v>17</v>
      </c>
      <c r="AQ903" s="58" t="n">
        <f aca="false">IF(AN903&gt;0,I903/AN903,-1)</f>
        <v>528</v>
      </c>
      <c r="AR903" s="58" t="n">
        <f aca="false">IF(AND(OR(BU903="L1",BU903="L23"),AN903&gt;0),SUMIFS($AN$7:$AN$1576,$BU$7:$BU$1576,BU903,$AQ$7:$AQ$1576,"&gt;"&amp;AQ903)+SUMIFS($AN$7:$AN$1576,$BU$7:$BU$1576,BU903,$AQ$7:$AQ$1576,AQ903,$BO$7:$BO$1576,"&lt;="&amp;BO903),"")</f>
        <v>32.9271385743237</v>
      </c>
      <c r="AS903" s="65" t="n">
        <f aca="false">IF(AR903="",0,MAX(0,MIN(1,(IF(BU903="L1",Parameter!$E$5,Parameter!$E$6+Parameter!$E$7)-(AR903-AN903))/AN903)))</f>
        <v>1</v>
      </c>
      <c r="AT903" s="57" t="n">
        <f aca="false">IF(LEFT(Cockpit!$O$5,1)="A",G903,IF(BW903=1,BX903,IF(LEFT(Cockpit!$O$5,1)="B",AX903,MAX(AX903,G903))))</f>
        <v>17</v>
      </c>
      <c r="AU903" s="57" t="n">
        <f aca="false">IF(BR903=1,0,ROUNDUP(AT903/BQ903,0))</f>
        <v>1</v>
      </c>
      <c r="AV903" s="59" t="n">
        <f aca="false">IF(CD903&gt;0,CD903*MAX(1,AT903/V903),IF(BR903=1,IF(AT903&lt;=0,0,BS903*MAX(1,IF(G903&gt;0,AT903/G903,1))),IF(Q903&gt;0,AU903/Q903,0))/MAX(0.1,N(Parameter!$M$21)))</f>
        <v>0.0151515151515152</v>
      </c>
      <c r="AW903" s="57" t="n">
        <f aca="false">AT903*F903</f>
        <v>216.07</v>
      </c>
      <c r="AX903" s="57" t="n">
        <f aca="false">ROUNDUP(MAX(I903/IF(BV903&gt;0,BV903,MAX(0.1,N(Cockpit!$O$6))),BY903)/BQ903,0)*BQ903</f>
        <v>17</v>
      </c>
      <c r="AY903" s="58" t="n">
        <f aca="false">IF(AV903&gt;0,I903/AV903,-1)</f>
        <v>528</v>
      </c>
      <c r="AZ903" s="58" t="n">
        <f aca="false">IF(AND(OR(BU903="L1",BU903="L23"),AV903&gt;0),SUMIFS($AV$7:$AV$1576,$BU$7:$BU$1576,BU903,$AY$7:$AY$1576,"&gt;"&amp;AY903)+SUMIFS($AV$7:$AV$1576,$BU$7:$BU$1576,BU903,$AY$7:$AY$1576,AY903,$BO$7:$BO$1576,"&lt;="&amp;BO903),"")</f>
        <v>31.0038252210103</v>
      </c>
      <c r="BA903" s="65" t="n">
        <f aca="false">IF(AZ903="",0,MAX(0,MIN(1,(IF(BU903="L1",Parameter!$E$5,Parameter!$E$6+Parameter!$E$7)-(AZ903-AV903))/AV903)))</f>
        <v>1</v>
      </c>
      <c r="BB903" s="55" t="str">
        <f aca="false">IF(AF903&lt;=0,"",IF(BU903="Aussen","Aussenlager",IF(BU903="-","Nicht im Lift",IF(AK903&gt;=1,"Lift",IF(AK903&lt;=0,"Aussenlager","teilweise")))))</f>
        <v/>
      </c>
      <c r="BC903" s="55" t="str">
        <f aca="false">IF(AN903&lt;=0,"",IF(BU903="Aussen","Aussenlager",IF(BU903="-","Nicht im Lift",IF(AS903&gt;=1,"Lift",IF(AS903&lt;=0,"Aussenlager","teilweise")))))</f>
        <v>Lift</v>
      </c>
      <c r="BD903" s="55" t="str">
        <f aca="false">IF(AV903&lt;=0,"",IF(BU903="Aussen","Aussenlager",IF(BU903="-","Nicht im Lift",IF(BA903&gt;=1,"Lift",IF(BA903&lt;=0,"Aussenlager","teilweise")))))</f>
        <v>Lift</v>
      </c>
      <c r="BE903" s="55" t="str">
        <f aca="false">IF(A903="","",IF(BN903=1,"Neu; ","")&amp;IF(AND(BN903=0,BI903&lt;0),"negativer Bestand (Export "&amp;BI903&amp;"); ","")&amp;IF(I903&lt;=0,"Kein Verbrauch; ","")&amp;IF(CD903&gt;0,"Lift "&amp;U903&amp;" lt. Liftbericht (Fach "&amp;V903&amp;" Stk); ",IF(BR903=1,"Lose – Fläche geschätzt; ",""))&amp;IF(G903&gt;AP903,"Überbestand "&amp;ROUND(G903-AP903,0)&amp;" Stk / CHF "&amp;ROUND((G903-AP903)*F903,0)&amp;"; ","")&amp;IF(AND(BW903=1,BX903&lt;BY903),"MAX &lt; MB+LG; ","")&amp;IF(AND(CC903&gt;0,CB903*10&gt;CC903),"zu hoch für Tablar; ","")&amp;IF(AND(BN903=0,OR(BW903=1,Y903&lt;&gt;"",S903&lt;&gt;"",T903&lt;&gt;"",Z903&lt;&gt;"")),"manuell übersteuert; ","")&amp;IF(AND(BR903=0,Q903=0),"Gebinde unbekannt / Stellmass fehlt; ","")&amp;IF(AND(BR903=0,N(T903)&lt;=0,N(P903)&lt;=0),"Menge pro Gebinde fehlt (Ist = 1 Gebinde); ","")&amp;BM903)</f>
        <v>negativer Bestand (Export -2); </v>
      </c>
      <c r="BF903" s="55"/>
      <c r="BG903" s="55"/>
      <c r="BH903" s="62"/>
      <c r="BI903" s="57" t="n">
        <v>-2</v>
      </c>
      <c r="BJ903" s="57" t="n">
        <v>8</v>
      </c>
      <c r="BK903" s="56" t="n">
        <v>-35.5</v>
      </c>
      <c r="BL903" s="57" t="n">
        <v>8</v>
      </c>
      <c r="BM903" s="55"/>
      <c r="BN903" s="60" t="n">
        <v>0</v>
      </c>
      <c r="BO903" s="60" t="n">
        <v>903</v>
      </c>
      <c r="BP903" s="55" t="str">
        <f aca="false">IF(S903&lt;&gt;"",UPPER(TRIM(S903)),IF(O903="","LOSE",O903))</f>
        <v>S33</v>
      </c>
      <c r="BQ903" s="57" t="n">
        <f aca="false">IF(BP903="LOSE",1,IF(N(T903)&gt;0,T903,IF(N(P903)&gt;0,P903,MAX(1,G903))))</f>
        <v>17</v>
      </c>
      <c r="BR903" s="60" t="n">
        <f aca="false">IF(BP903="LOSE",1,0)</f>
        <v>0</v>
      </c>
      <c r="BS903" s="59" t="n">
        <f aca="false">IF(BR903=0,0,IF(N(R903)&gt;0,R903,IFERROR(VLOOKUP(D903,Parameter!$A$35:$C$64,3,0)+0,0)))</f>
        <v>0</v>
      </c>
      <c r="BT903" s="55" t="n">
        <f aca="false">IF(Y903&lt;&gt;"",Y903,X903)</f>
        <v>3</v>
      </c>
      <c r="BU903" s="55" t="str">
        <f aca="false">IF(BT903=1,"L1",IF(OR(BT903=2,BT903=3),"L23",IF(BT903="Aussen","Aussen","-")))</f>
        <v>L23</v>
      </c>
      <c r="BV903" s="66" t="n">
        <f aca="false">IF(N(Z903)&gt;0,Z903,0)</f>
        <v>0</v>
      </c>
      <c r="BW903" s="60" t="n">
        <f aca="false">IF(ISNUMBER(AC903),1,0)</f>
        <v>0</v>
      </c>
      <c r="BX903" s="57" t="n">
        <f aca="false">N(AC903)</f>
        <v>0</v>
      </c>
      <c r="BY903" s="57" t="n">
        <f aca="false">N(L903)+N(M903)</f>
        <v>10</v>
      </c>
      <c r="BZ903" s="57" t="n">
        <f aca="false">ROUNDUP(G903/BQ903,0)</f>
        <v>0</v>
      </c>
      <c r="CA903" s="57" t="n">
        <f aca="false">ROUNDUP(BX903/BQ903,0)</f>
        <v>0</v>
      </c>
      <c r="CB903" s="60" t="n">
        <f aca="false">IF(BR903=1,0,IFERROR(VLOOKUP(BP903,'Gebinde-Kategorie'!$A$5:$M$45,5,0)+0,0))</f>
        <v>8</v>
      </c>
      <c r="CC903" s="60" t="n">
        <f aca="false">IFERROR(IF(OR(BT903=1,BT903=2,BT903=3),N(INDEX(Parameter!$I$5:$I$7,BT903)),0),0)</f>
        <v>0</v>
      </c>
      <c r="CD903" s="59" t="n">
        <f aca="false">IF(AND(Parameter!$B$21="Ja",ISNUMBER(U903),N(V903)&gt;0),IFERROR(N(INDEX(Parameter!$L$5:$L$7,U903))*INDEX(Parameter!$E$5:$E$7,U903)*V903/SUMIFS($V$7:$V$1576,$U$7:$U$1576,U903),0),0)</f>
        <v>0</v>
      </c>
    </row>
    <row r="904" customFormat="false" ht="15" hidden="false" customHeight="false" outlineLevel="0" collapsed="false">
      <c r="A904" s="55" t="s">
        <v>1685</v>
      </c>
      <c r="B904" s="55" t="s">
        <v>643</v>
      </c>
      <c r="C904" s="55" t="s">
        <v>160</v>
      </c>
      <c r="D904" s="55" t="s">
        <v>178</v>
      </c>
      <c r="E904" s="55" t="s">
        <v>210</v>
      </c>
      <c r="F904" s="56" t="n">
        <v>0.06</v>
      </c>
      <c r="G904" s="57" t="n">
        <f aca="false">MAX(0,IF(AND(Parameter!$B$21="Ja",ISNUMBER(W904)),W904,IF(Parameter!$B$20="Jahresanfang 2025 + Export",BJ904+BI904,BI904)))</f>
        <v>0</v>
      </c>
      <c r="H904" s="57" t="n">
        <f aca="false">G904*F904</f>
        <v>0</v>
      </c>
      <c r="I904" s="57" t="n">
        <f aca="false">BL904*Parameter!$B$18</f>
        <v>392</v>
      </c>
      <c r="J904" s="58" t="n">
        <v>993</v>
      </c>
      <c r="K904" s="59" t="n">
        <v>0.394763343403827</v>
      </c>
      <c r="L904" s="57" t="n">
        <v>22</v>
      </c>
      <c r="M904" s="57" t="n">
        <v>400</v>
      </c>
      <c r="N904" s="60" t="n">
        <v>21</v>
      </c>
      <c r="O904" s="55" t="s">
        <v>293</v>
      </c>
      <c r="P904" s="57" t="n">
        <v>756</v>
      </c>
      <c r="Q904" s="60" t="n">
        <f aca="false">IF(BR904=1,0,IFERROR(VLOOKUP(BP904,'Gebinde-Kategorie'!$A$5:$M$45,13,0)+0,0))</f>
        <v>26</v>
      </c>
      <c r="R904" s="61"/>
      <c r="S904" s="62"/>
      <c r="T904" s="62"/>
      <c r="U904" s="55"/>
      <c r="V904" s="57"/>
      <c r="W904" s="57"/>
      <c r="X904" s="55" t="n">
        <f aca="false">IF(A904="","",IF(AND(Parameter!$B$21="Ja",ISNUMBER(U904)),U904,IF(IFERROR(VLOOKUP(D904,Parameter!$A$35:$C$64,2,0),"Nein")="2+3",IF(ISNUMBER(SEARCH("grosser Artikel",BM904)),2,IFERROR(VLOOKUP(BP904,Parameter!$F$35:$G$64,2,0),2)),IF(OR(IFERROR(VLOOKUP(D904,Parameter!$A$35:$C$64,2,0),"Nein")="Nein",IFERROR(VLOOKUP(D904,Parameter!$A$35:$C$64,2,0),"Nein")=""),"-",VLOOKUP(D904,Parameter!$A$35:$C$64,2,0)))))</f>
        <v>3</v>
      </c>
      <c r="Y904" s="62"/>
      <c r="Z904" s="63"/>
      <c r="AA904" s="57" t="n">
        <f aca="false">AP904</f>
        <v>756</v>
      </c>
      <c r="AB904" s="57" t="n">
        <f aca="false">MAX(AP904,G904)</f>
        <v>756</v>
      </c>
      <c r="AC904" s="64"/>
      <c r="AD904" s="57" t="n">
        <f aca="false">IF(LEFT(Cockpit!$C$5,1)="A",G904,IF(BW904=1,BX904,IF(LEFT(Cockpit!$C$5,1)="B",AH904,MAX(AH904,G904))))</f>
        <v>0</v>
      </c>
      <c r="AE904" s="57" t="n">
        <f aca="false">IF(BR904=1,0,ROUNDUP(AD904/BQ904,0))</f>
        <v>0</v>
      </c>
      <c r="AF904" s="59" t="n">
        <f aca="false">IF(CD904&gt;0,CD904*MAX(1,AD904/V904),IF(BR904=1,IF(AD904&lt;=0,0,BS904*MAX(1,IF(G904&gt;0,AD904/G904,1))),IF(Q904&gt;0,AE904/Q904,0))/MAX(0.1,N(Parameter!$M$21)))</f>
        <v>0</v>
      </c>
      <c r="AG904" s="57" t="n">
        <f aca="false">AD904*F904</f>
        <v>0</v>
      </c>
      <c r="AH904" s="57" t="n">
        <f aca="false">ROUNDUP(MAX(I904/IF(BV904&gt;0,BV904,MAX(0.1,N(Cockpit!$C$6))),BY904)/BQ904,0)*BQ904</f>
        <v>756</v>
      </c>
      <c r="AI904" s="58" t="n">
        <f aca="false">IF(AF904&gt;0,I904/AF904,-1)</f>
        <v>-1</v>
      </c>
      <c r="AJ904" s="58" t="str">
        <f aca="false">IF(AND(OR(BU904="L1",BU904="L23"),AF904&gt;0),SUMIFS($AF$7:$AF$1576,$BU$7:$BU$1576,BU904,$AI$7:$AI$1576,"&gt;"&amp;AI904)+SUMIFS($AF$7:$AF$1576,$BU$7:$BU$1576,BU904,$AI$7:$AI$1576,AI904,$BO$7:$BO$1576,"&lt;="&amp;BO904),"")</f>
        <v/>
      </c>
      <c r="AK904" s="65" t="n">
        <f aca="false">IF(AJ904="",0,MAX(0,MIN(1,(IF(BU904="L1",Parameter!$E$5,Parameter!$E$6+Parameter!$E$7)-(AJ904-AF904))/AF904)))</f>
        <v>0</v>
      </c>
      <c r="AL904" s="57" t="n">
        <f aca="false">IF(LEFT(Cockpit!$I$5,1)="A",G904,IF(BW904=1,BX904,IF(LEFT(Cockpit!$I$5,1)="B",AP904,MAX(AP904,G904))))</f>
        <v>756</v>
      </c>
      <c r="AM904" s="57" t="n">
        <f aca="false">IF(BR904=1,0,ROUNDUP(AL904/BQ904,0))</f>
        <v>1</v>
      </c>
      <c r="AN904" s="59" t="n">
        <f aca="false">IF(CD904&gt;0,CD904*MAX(1,AL904/V904),IF(BR904=1,IF(AL904&lt;=0,0,BS904*MAX(1,IF(G904&gt;0,AL904/G904,1))),IF(Q904&gt;0,AM904/Q904,0))/MAX(0.1,N(Parameter!$M$21)))</f>
        <v>0.0384615384615385</v>
      </c>
      <c r="AO904" s="57" t="n">
        <f aca="false">AL904*F904</f>
        <v>45.36</v>
      </c>
      <c r="AP904" s="57" t="n">
        <f aca="false">ROUNDUP(MAX(I904/IF(BV904&gt;0,BV904,MAX(0.1,N(Cockpit!$I$6))),BY904)/BQ904,0)*BQ904</f>
        <v>756</v>
      </c>
      <c r="AQ904" s="58" t="n">
        <f aca="false">IF(AN904&gt;0,I904/AN904,-1)</f>
        <v>10192</v>
      </c>
      <c r="AR904" s="58" t="n">
        <f aca="false">IF(AND(OR(BU904="L1",BU904="L23"),AN904&gt;0),SUMIFS($AN$7:$AN$1576,$BU$7:$BU$1576,BU904,$AQ$7:$AQ$1576,"&gt;"&amp;AQ904)+SUMIFS($AN$7:$AN$1576,$BU$7:$BU$1576,BU904,$AQ$7:$AQ$1576,AQ904,$BO$7:$BO$1576,"&lt;="&amp;BO904),"")</f>
        <v>7.12300496604845</v>
      </c>
      <c r="AS904" s="65" t="n">
        <f aca="false">IF(AR904="",0,MAX(0,MIN(1,(IF(BU904="L1",Parameter!$E$5,Parameter!$E$6+Parameter!$E$7)-(AR904-AN904))/AN904)))</f>
        <v>1</v>
      </c>
      <c r="AT904" s="57" t="n">
        <f aca="false">IF(LEFT(Cockpit!$O$5,1)="A",G904,IF(BW904=1,BX904,IF(LEFT(Cockpit!$O$5,1)="B",AX904,MAX(AX904,G904))))</f>
        <v>756</v>
      </c>
      <c r="AU904" s="57" t="n">
        <f aca="false">IF(BR904=1,0,ROUNDUP(AT904/BQ904,0))</f>
        <v>1</v>
      </c>
      <c r="AV904" s="59" t="n">
        <f aca="false">IF(CD904&gt;0,CD904*MAX(1,AT904/V904),IF(BR904=1,IF(AT904&lt;=0,0,BS904*MAX(1,IF(G904&gt;0,AT904/G904,1))),IF(Q904&gt;0,AU904/Q904,0))/MAX(0.1,N(Parameter!$M$21)))</f>
        <v>0.0384615384615385</v>
      </c>
      <c r="AW904" s="57" t="n">
        <f aca="false">AT904*F904</f>
        <v>45.36</v>
      </c>
      <c r="AX904" s="57" t="n">
        <f aca="false">ROUNDUP(MAX(I904/IF(BV904&gt;0,BV904,MAX(0.1,N(Cockpit!$O$6))),BY904)/BQ904,0)*BQ904</f>
        <v>756</v>
      </c>
      <c r="AY904" s="58" t="n">
        <f aca="false">IF(AV904&gt;0,I904/AV904,-1)</f>
        <v>10192</v>
      </c>
      <c r="AZ904" s="58" t="n">
        <f aca="false">IF(AND(OR(BU904="L1",BU904="L23"),AV904&gt;0),SUMIFS($AV$7:$AV$1576,$BU$7:$BU$1576,BU904,$AY$7:$AY$1576,"&gt;"&amp;AY904)+SUMIFS($AV$7:$AV$1576,$BU$7:$BU$1576,BU904,$AY$7:$AY$1576,AY904,$BO$7:$BO$1576,"&lt;="&amp;BO904),"")</f>
        <v>6.82463666768015</v>
      </c>
      <c r="BA904" s="65" t="n">
        <f aca="false">IF(AZ904="",0,MAX(0,MIN(1,(IF(BU904="L1",Parameter!$E$5,Parameter!$E$6+Parameter!$E$7)-(AZ904-AV904))/AV904)))</f>
        <v>1</v>
      </c>
      <c r="BB904" s="55" t="str">
        <f aca="false">IF(AF904&lt;=0,"",IF(BU904="Aussen","Aussenlager",IF(BU904="-","Nicht im Lift",IF(AK904&gt;=1,"Lift",IF(AK904&lt;=0,"Aussenlager","teilweise")))))</f>
        <v/>
      </c>
      <c r="BC904" s="55" t="str">
        <f aca="false">IF(AN904&lt;=0,"",IF(BU904="Aussen","Aussenlager",IF(BU904="-","Nicht im Lift",IF(AS904&gt;=1,"Lift",IF(AS904&lt;=0,"Aussenlager","teilweise")))))</f>
        <v>Lift</v>
      </c>
      <c r="BD904" s="55" t="str">
        <f aca="false">IF(AV904&lt;=0,"",IF(BU904="Aussen","Aussenlager",IF(BU904="-","Nicht im Lift",IF(BA904&gt;=1,"Lift",IF(BA904&lt;=0,"Aussenlager","teilweise")))))</f>
        <v>Lift</v>
      </c>
      <c r="BE904" s="55" t="str">
        <f aca="false">IF(A904="","",IF(BN904=1,"Neu; ","")&amp;IF(AND(BN904=0,BI904&lt;0),"negativer Bestand (Export "&amp;BI904&amp;"); ","")&amp;IF(I904&lt;=0,"Kein Verbrauch; ","")&amp;IF(CD904&gt;0,"Lift "&amp;U904&amp;" lt. Liftbericht (Fach "&amp;V904&amp;" Stk); ",IF(BR904=1,"Lose – Fläche geschätzt; ",""))&amp;IF(G904&gt;AP904,"Überbestand "&amp;ROUND(G904-AP904,0)&amp;" Stk / CHF "&amp;ROUND((G904-AP904)*F904,0)&amp;"; ","")&amp;IF(AND(BW904=1,BX904&lt;BY904),"MAX &lt; MB+LG; ","")&amp;IF(AND(CC904&gt;0,CB904*10&gt;CC904),"zu hoch für Tablar; ","")&amp;IF(AND(BN904=0,OR(BW904=1,Y904&lt;&gt;"",S904&lt;&gt;"",T904&lt;&gt;"",Z904&lt;&gt;"")),"manuell übersteuert; ","")&amp;IF(AND(BR904=0,Q904=0),"Gebinde unbekannt / Stellmass fehlt; ","")&amp;IF(AND(BR904=0,N(T904)&lt;=0,N(P904)&lt;=0),"Menge pro Gebinde fehlt (Ist = 1 Gebinde); ","")&amp;BM904)</f>
        <v>negativer Bestand (Export -600); </v>
      </c>
      <c r="BF904" s="55"/>
      <c r="BG904" s="55"/>
      <c r="BH904" s="62"/>
      <c r="BI904" s="57" t="n">
        <v>-600</v>
      </c>
      <c r="BJ904" s="57" t="n">
        <v>1193</v>
      </c>
      <c r="BK904" s="56" t="n">
        <v>-36</v>
      </c>
      <c r="BL904" s="57" t="n">
        <v>392</v>
      </c>
      <c r="BM904" s="55"/>
      <c r="BN904" s="60" t="n">
        <v>0</v>
      </c>
      <c r="BO904" s="60" t="n">
        <v>904</v>
      </c>
      <c r="BP904" s="55" t="str">
        <f aca="false">IF(S904&lt;&gt;"",UPPER(TRIM(S904)),IF(O904="","LOSE",O904))</f>
        <v>S51</v>
      </c>
      <c r="BQ904" s="57" t="n">
        <f aca="false">IF(BP904="LOSE",1,IF(N(T904)&gt;0,T904,IF(N(P904)&gt;0,P904,MAX(1,G904))))</f>
        <v>756</v>
      </c>
      <c r="BR904" s="60" t="n">
        <f aca="false">IF(BP904="LOSE",1,0)</f>
        <v>0</v>
      </c>
      <c r="BS904" s="59" t="n">
        <f aca="false">IF(BR904=0,0,IF(N(R904)&gt;0,R904,IFERROR(VLOOKUP(D904,Parameter!$A$35:$C$64,3,0)+0,0)))</f>
        <v>0</v>
      </c>
      <c r="BT904" s="55" t="n">
        <f aca="false">IF(Y904&lt;&gt;"",Y904,X904)</f>
        <v>3</v>
      </c>
      <c r="BU904" s="55" t="str">
        <f aca="false">IF(BT904=1,"L1",IF(OR(BT904=2,BT904=3),"L23",IF(BT904="Aussen","Aussen","-")))</f>
        <v>L23</v>
      </c>
      <c r="BV904" s="66" t="n">
        <f aca="false">IF(N(Z904)&gt;0,Z904,0)</f>
        <v>0</v>
      </c>
      <c r="BW904" s="60" t="n">
        <f aca="false">IF(ISNUMBER(AC904),1,0)</f>
        <v>0</v>
      </c>
      <c r="BX904" s="57" t="n">
        <f aca="false">N(AC904)</f>
        <v>0</v>
      </c>
      <c r="BY904" s="57" t="n">
        <f aca="false">N(L904)+N(M904)</f>
        <v>422</v>
      </c>
      <c r="BZ904" s="57" t="n">
        <f aca="false">ROUNDUP(G904/BQ904,0)</f>
        <v>0</v>
      </c>
      <c r="CA904" s="57" t="n">
        <f aca="false">ROUNDUP(BX904/BQ904,0)</f>
        <v>0</v>
      </c>
      <c r="CB904" s="60" t="n">
        <f aca="false">IF(BR904=1,0,IFERROR(VLOOKUP(BP904,'Gebinde-Kategorie'!$A$5:$M$45,5,0)+0,0))</f>
        <v>11</v>
      </c>
      <c r="CC904" s="60" t="n">
        <f aca="false">IFERROR(IF(OR(BT904=1,BT904=2,BT904=3),N(INDEX(Parameter!$I$5:$I$7,BT904)),0),0)</f>
        <v>0</v>
      </c>
      <c r="CD904" s="59" t="n">
        <f aca="false">IF(AND(Parameter!$B$21="Ja",ISNUMBER(U904),N(V904)&gt;0),IFERROR(N(INDEX(Parameter!$L$5:$L$7,U904))*INDEX(Parameter!$E$5:$E$7,U904)*V904/SUMIFS($V$7:$V$1576,$U$7:$U$1576,U904),0),0)</f>
        <v>0</v>
      </c>
    </row>
    <row r="905" customFormat="false" ht="15" hidden="false" customHeight="false" outlineLevel="0" collapsed="false">
      <c r="A905" s="55" t="s">
        <v>1686</v>
      </c>
      <c r="B905" s="55" t="s">
        <v>1687</v>
      </c>
      <c r="C905" s="55" t="s">
        <v>160</v>
      </c>
      <c r="D905" s="55" t="s">
        <v>178</v>
      </c>
      <c r="E905" s="55" t="s">
        <v>210</v>
      </c>
      <c r="F905" s="56" t="n">
        <v>0.04</v>
      </c>
      <c r="G905" s="57" t="n">
        <f aca="false">MAX(0,IF(AND(Parameter!$B$21="Ja",ISNUMBER(W905)),W905,IF(Parameter!$B$20="Jahresanfang 2025 + Export",BJ905+BI905,BI905)))</f>
        <v>0</v>
      </c>
      <c r="H905" s="57" t="n">
        <f aca="false">G905*F905</f>
        <v>0</v>
      </c>
      <c r="I905" s="57" t="n">
        <f aca="false">BL905*Parameter!$B$18</f>
        <v>600</v>
      </c>
      <c r="J905" s="58" t="n">
        <v>1164</v>
      </c>
      <c r="K905" s="59" t="n">
        <v>0.515463917525773</v>
      </c>
      <c r="L905" s="57" t="n">
        <v>46</v>
      </c>
      <c r="M905" s="57" t="n">
        <v>600</v>
      </c>
      <c r="N905" s="60" t="n">
        <v>28</v>
      </c>
      <c r="O905" s="55" t="s">
        <v>391</v>
      </c>
      <c r="P905" s="57" t="n">
        <v>2242</v>
      </c>
      <c r="Q905" s="60" t="n">
        <f aca="false">IF(BR905=1,0,IFERROR(VLOOKUP(BP905,'Gebinde-Kategorie'!$A$5:$M$45,13,0)+0,0))</f>
        <v>414</v>
      </c>
      <c r="R905" s="61"/>
      <c r="S905" s="62"/>
      <c r="T905" s="62"/>
      <c r="U905" s="55"/>
      <c r="V905" s="57"/>
      <c r="W905" s="57"/>
      <c r="X905" s="55" t="n">
        <f aca="false">IF(A905="","",IF(AND(Parameter!$B$21="Ja",ISNUMBER(U905)),U905,IF(IFERROR(VLOOKUP(D905,Parameter!$A$35:$C$64,2,0),"Nein")="2+3",IF(ISNUMBER(SEARCH("grosser Artikel",BM905)),2,IFERROR(VLOOKUP(BP905,Parameter!$F$35:$G$64,2,0),2)),IF(OR(IFERROR(VLOOKUP(D905,Parameter!$A$35:$C$64,2,0),"Nein")="Nein",IFERROR(VLOOKUP(D905,Parameter!$A$35:$C$64,2,0),"Nein")=""),"-",VLOOKUP(D905,Parameter!$A$35:$C$64,2,0)))))</f>
        <v>3</v>
      </c>
      <c r="Y905" s="62"/>
      <c r="Z905" s="63"/>
      <c r="AA905" s="57" t="n">
        <f aca="false">AP905</f>
        <v>2242</v>
      </c>
      <c r="AB905" s="57" t="n">
        <f aca="false">MAX(AP905,G905)</f>
        <v>2242</v>
      </c>
      <c r="AC905" s="64"/>
      <c r="AD905" s="57" t="n">
        <f aca="false">IF(LEFT(Cockpit!$C$5,1)="A",G905,IF(BW905=1,BX905,IF(LEFT(Cockpit!$C$5,1)="B",AH905,MAX(AH905,G905))))</f>
        <v>0</v>
      </c>
      <c r="AE905" s="57" t="n">
        <f aca="false">IF(BR905=1,0,ROUNDUP(AD905/BQ905,0))</f>
        <v>0</v>
      </c>
      <c r="AF905" s="59" t="n">
        <f aca="false">IF(CD905&gt;0,CD905*MAX(1,AD905/V905),IF(BR905=1,IF(AD905&lt;=0,0,BS905*MAX(1,IF(G905&gt;0,AD905/G905,1))),IF(Q905&gt;0,AE905/Q905,0))/MAX(0.1,N(Parameter!$M$21)))</f>
        <v>0</v>
      </c>
      <c r="AG905" s="57" t="n">
        <f aca="false">AD905*F905</f>
        <v>0</v>
      </c>
      <c r="AH905" s="57" t="n">
        <f aca="false">ROUNDUP(MAX(I905/IF(BV905&gt;0,BV905,MAX(0.1,N(Cockpit!$C$6))),BY905)/BQ905,0)*BQ905</f>
        <v>2242</v>
      </c>
      <c r="AI905" s="58" t="n">
        <f aca="false">IF(AF905&gt;0,I905/AF905,-1)</f>
        <v>-1</v>
      </c>
      <c r="AJ905" s="58" t="str">
        <f aca="false">IF(AND(OR(BU905="L1",BU905="L23"),AF905&gt;0),SUMIFS($AF$7:$AF$1576,$BU$7:$BU$1576,BU905,$AI$7:$AI$1576,"&gt;"&amp;AI905)+SUMIFS($AF$7:$AF$1576,$BU$7:$BU$1576,BU905,$AI$7:$AI$1576,AI905,$BO$7:$BO$1576,"&lt;="&amp;BO905),"")</f>
        <v/>
      </c>
      <c r="AK905" s="65" t="n">
        <f aca="false">IF(AJ905="",0,MAX(0,MIN(1,(IF(BU905="L1",Parameter!$E$5,Parameter!$E$6+Parameter!$E$7)-(AJ905-AF905))/AF905)))</f>
        <v>0</v>
      </c>
      <c r="AL905" s="57" t="n">
        <f aca="false">IF(LEFT(Cockpit!$I$5,1)="A",G905,IF(BW905=1,BX905,IF(LEFT(Cockpit!$I$5,1)="B",AP905,MAX(AP905,G905))))</f>
        <v>2242</v>
      </c>
      <c r="AM905" s="57" t="n">
        <f aca="false">IF(BR905=1,0,ROUNDUP(AL905/BQ905,0))</f>
        <v>1</v>
      </c>
      <c r="AN905" s="59" t="n">
        <f aca="false">IF(CD905&gt;0,CD905*MAX(1,AL905/V905),IF(BR905=1,IF(AL905&lt;=0,0,BS905*MAX(1,IF(G905&gt;0,AL905/G905,1))),IF(Q905&gt;0,AM905/Q905,0))/MAX(0.1,N(Parameter!$M$21)))</f>
        <v>0.00241545893719807</v>
      </c>
      <c r="AO905" s="57" t="n">
        <f aca="false">AL905*F905</f>
        <v>89.68</v>
      </c>
      <c r="AP905" s="57" t="n">
        <f aca="false">ROUNDUP(MAX(I905/IF(BV905&gt;0,BV905,MAX(0.1,N(Cockpit!$I$6))),BY905)/BQ905,0)*BQ905</f>
        <v>2242</v>
      </c>
      <c r="AQ905" s="58" t="n">
        <f aca="false">IF(AN905&gt;0,I905/AN905,-1)</f>
        <v>248400</v>
      </c>
      <c r="AR905" s="58" t="n">
        <f aca="false">IF(AND(OR(BU905="L1",BU905="L23"),AN905&gt;0),SUMIFS($AN$7:$AN$1576,$BU$7:$BU$1576,BU905,$AQ$7:$AQ$1576,"&gt;"&amp;AQ905)+SUMIFS($AN$7:$AN$1576,$BU$7:$BU$1576,BU905,$AQ$7:$AQ$1576,AQ905,$BO$7:$BO$1576,"&lt;="&amp;BO905),"")</f>
        <v>0.0392132022566805</v>
      </c>
      <c r="AS905" s="65" t="n">
        <f aca="false">IF(AR905="",0,MAX(0,MIN(1,(IF(BU905="L1",Parameter!$E$5,Parameter!$E$6+Parameter!$E$7)-(AR905-AN905))/AN905)))</f>
        <v>1</v>
      </c>
      <c r="AT905" s="57" t="n">
        <f aca="false">IF(LEFT(Cockpit!$O$5,1)="A",G905,IF(BW905=1,BX905,IF(LEFT(Cockpit!$O$5,1)="B",AX905,MAX(AX905,G905))))</f>
        <v>2242</v>
      </c>
      <c r="AU905" s="57" t="n">
        <f aca="false">IF(BR905=1,0,ROUNDUP(AT905/BQ905,0))</f>
        <v>1</v>
      </c>
      <c r="AV905" s="59" t="n">
        <f aca="false">IF(CD905&gt;0,CD905*MAX(1,AT905/V905),IF(BR905=1,IF(AT905&lt;=0,0,BS905*MAX(1,IF(G905&gt;0,AT905/G905,1))),IF(Q905&gt;0,AU905/Q905,0))/MAX(0.1,N(Parameter!$M$21)))</f>
        <v>0.00241545893719807</v>
      </c>
      <c r="AW905" s="57" t="n">
        <f aca="false">AT905*F905</f>
        <v>89.68</v>
      </c>
      <c r="AX905" s="57" t="n">
        <f aca="false">ROUNDUP(MAX(I905/IF(BV905&gt;0,BV905,MAX(0.1,N(Cockpit!$O$6))),BY905)/BQ905,0)*BQ905</f>
        <v>2242</v>
      </c>
      <c r="AY905" s="58" t="n">
        <f aca="false">IF(AV905&gt;0,I905/AV905,-1)</f>
        <v>248400</v>
      </c>
      <c r="AZ905" s="58" t="n">
        <f aca="false">IF(AND(OR(BU905="L1",BU905="L23"),AV905&gt;0),SUMIFS($AV$7:$AV$1576,$BU$7:$BU$1576,BU905,$AY$7:$AY$1576,"&gt;"&amp;AY905)+SUMIFS($AV$7:$AV$1576,$BU$7:$BU$1576,BU905,$AY$7:$AY$1576,AY905,$BO$7:$BO$1576,"&lt;="&amp;BO905),"")</f>
        <v>0.0392132022566805</v>
      </c>
      <c r="BA905" s="65" t="n">
        <f aca="false">IF(AZ905="",0,MAX(0,MIN(1,(IF(BU905="L1",Parameter!$E$5,Parameter!$E$6+Parameter!$E$7)-(AZ905-AV905))/AV905)))</f>
        <v>1</v>
      </c>
      <c r="BB905" s="55" t="str">
        <f aca="false">IF(AF905&lt;=0,"",IF(BU905="Aussen","Aussenlager",IF(BU905="-","Nicht im Lift",IF(AK905&gt;=1,"Lift",IF(AK905&lt;=0,"Aussenlager","teilweise")))))</f>
        <v/>
      </c>
      <c r="BC905" s="55" t="str">
        <f aca="false">IF(AN905&lt;=0,"",IF(BU905="Aussen","Aussenlager",IF(BU905="-","Nicht im Lift",IF(AS905&gt;=1,"Lift",IF(AS905&lt;=0,"Aussenlager","teilweise")))))</f>
        <v>Lift</v>
      </c>
      <c r="BD905" s="55" t="str">
        <f aca="false">IF(AV905&lt;=0,"",IF(BU905="Aussen","Aussenlager",IF(BU905="-","Nicht im Lift",IF(BA905&gt;=1,"Lift",IF(BA905&lt;=0,"Aussenlager","teilweise")))))</f>
        <v>Lift</v>
      </c>
      <c r="BE905" s="55" t="str">
        <f aca="false">IF(A905="","",IF(BN905=1,"Neu; ","")&amp;IF(AND(BN905=0,BI905&lt;0),"negativer Bestand (Export "&amp;BI905&amp;"); ","")&amp;IF(I905&lt;=0,"Kein Verbrauch; ","")&amp;IF(CD905&gt;0,"Lift "&amp;U905&amp;" lt. Liftbericht (Fach "&amp;V905&amp;" Stk); ",IF(BR905=1,"Lose – Fläche geschätzt; ",""))&amp;IF(G905&gt;AP905,"Überbestand "&amp;ROUND(G905-AP905,0)&amp;" Stk / CHF "&amp;ROUND((G905-AP905)*F905,0)&amp;"; ","")&amp;IF(AND(BW905=1,BX905&lt;BY905),"MAX &lt; MB+LG; ","")&amp;IF(AND(CC905&gt;0,CB905*10&gt;CC905),"zu hoch für Tablar; ","")&amp;IF(AND(BN905=0,OR(BW905=1,Y905&lt;&gt;"",S905&lt;&gt;"",T905&lt;&gt;"",Z905&lt;&gt;"")),"manuell übersteuert; ","")&amp;IF(AND(BR905=0,Q905=0),"Gebinde unbekannt / Stellmass fehlt; ","")&amp;IF(AND(BR905=0,N(T905)&lt;=0,N(P905)&lt;=0),"Menge pro Gebinde fehlt (Ist = 1 Gebinde); ","")&amp;BM905)</f>
        <v>negativer Bestand (Export -1257); Handlager</v>
      </c>
      <c r="BF905" s="55"/>
      <c r="BG905" s="55"/>
      <c r="BH905" s="62"/>
      <c r="BI905" s="57" t="n">
        <v>-1257</v>
      </c>
      <c r="BJ905" s="57" t="n">
        <v>1520</v>
      </c>
      <c r="BK905" s="56" t="n">
        <v>-36.28</v>
      </c>
      <c r="BL905" s="57" t="n">
        <v>600</v>
      </c>
      <c r="BM905" s="55" t="s">
        <v>884</v>
      </c>
      <c r="BN905" s="60" t="n">
        <v>0</v>
      </c>
      <c r="BO905" s="60" t="n">
        <v>905</v>
      </c>
      <c r="BP905" s="55" t="str">
        <f aca="false">IF(S905&lt;&gt;"",UPPER(TRIM(S905)),IF(O905="","LOSE",O905))</f>
        <v>S21</v>
      </c>
      <c r="BQ905" s="57" t="n">
        <f aca="false">IF(BP905="LOSE",1,IF(N(T905)&gt;0,T905,IF(N(P905)&gt;0,P905,MAX(1,G905))))</f>
        <v>2242</v>
      </c>
      <c r="BR905" s="60" t="n">
        <f aca="false">IF(BP905="LOSE",1,0)</f>
        <v>0</v>
      </c>
      <c r="BS905" s="59" t="n">
        <f aca="false">IF(BR905=0,0,IF(N(R905)&gt;0,R905,IFERROR(VLOOKUP(D905,Parameter!$A$35:$C$64,3,0)+0,0)))</f>
        <v>0</v>
      </c>
      <c r="BT905" s="55" t="n">
        <f aca="false">IF(Y905&lt;&gt;"",Y905,X905)</f>
        <v>3</v>
      </c>
      <c r="BU905" s="55" t="str">
        <f aca="false">IF(BT905=1,"L1",IF(OR(BT905=2,BT905=3),"L23",IF(BT905="Aussen","Aussen","-")))</f>
        <v>L23</v>
      </c>
      <c r="BV905" s="66" t="n">
        <f aca="false">IF(N(Z905)&gt;0,Z905,0)</f>
        <v>0</v>
      </c>
      <c r="BW905" s="60" t="n">
        <f aca="false">IF(ISNUMBER(AC905),1,0)</f>
        <v>0</v>
      </c>
      <c r="BX905" s="57" t="n">
        <f aca="false">N(AC905)</f>
        <v>0</v>
      </c>
      <c r="BY905" s="57" t="n">
        <f aca="false">N(L905)+N(M905)</f>
        <v>646</v>
      </c>
      <c r="BZ905" s="57" t="n">
        <f aca="false">ROUNDUP(G905/BQ905,0)</f>
        <v>0</v>
      </c>
      <c r="CA905" s="57" t="n">
        <f aca="false">ROUNDUP(BX905/BQ905,0)</f>
        <v>0</v>
      </c>
      <c r="CB905" s="60" t="n">
        <f aca="false">IF(BR905=1,0,IFERROR(VLOOKUP(BP905,'Gebinde-Kategorie'!$A$5:$M$45,5,0)+0,0))</f>
        <v>8</v>
      </c>
      <c r="CC905" s="60" t="n">
        <f aca="false">IFERROR(IF(OR(BT905=1,BT905=2,BT905=3),N(INDEX(Parameter!$I$5:$I$7,BT905)),0),0)</f>
        <v>0</v>
      </c>
      <c r="CD905" s="59" t="n">
        <f aca="false">IF(AND(Parameter!$B$21="Ja",ISNUMBER(U905),N(V905)&gt;0),IFERROR(N(INDEX(Parameter!$L$5:$L$7,U905))*INDEX(Parameter!$E$5:$E$7,U905)*V905/SUMIFS($V$7:$V$1576,$U$7:$U$1576,U905),0),0)</f>
        <v>0</v>
      </c>
    </row>
    <row r="906" customFormat="false" ht="15" hidden="false" customHeight="false" outlineLevel="0" collapsed="false">
      <c r="A906" s="55" t="s">
        <v>1688</v>
      </c>
      <c r="B906" s="55" t="s">
        <v>395</v>
      </c>
      <c r="C906" s="55" t="s">
        <v>160</v>
      </c>
      <c r="D906" s="55" t="s">
        <v>178</v>
      </c>
      <c r="E906" s="55" t="s">
        <v>210</v>
      </c>
      <c r="F906" s="56" t="n">
        <v>0.16</v>
      </c>
      <c r="G906" s="57" t="n">
        <f aca="false">MAX(0,IF(AND(Parameter!$B$21="Ja",ISNUMBER(W906)),W906,IF(Parameter!$B$20="Jahresanfang 2025 + Export",BJ906+BI906,BI906)))</f>
        <v>0</v>
      </c>
      <c r="H906" s="57" t="n">
        <f aca="false">G906*F906</f>
        <v>0</v>
      </c>
      <c r="I906" s="57" t="n">
        <f aca="false">BL906*Parameter!$B$18</f>
        <v>288</v>
      </c>
      <c r="J906" s="58" t="n">
        <v>298</v>
      </c>
      <c r="K906" s="59" t="n">
        <v>0.966442953020134</v>
      </c>
      <c r="L906" s="57" t="n">
        <v>22</v>
      </c>
      <c r="M906" s="57" t="n">
        <v>300</v>
      </c>
      <c r="N906" s="60" t="n">
        <v>28</v>
      </c>
      <c r="O906" s="55" t="s">
        <v>225</v>
      </c>
      <c r="P906" s="57" t="n">
        <v>224</v>
      </c>
      <c r="Q906" s="60" t="n">
        <f aca="false">IF(BR906=1,0,IFERROR(VLOOKUP(BP906,'Gebinde-Kategorie'!$A$5:$M$45,13,0)+0,0))</f>
        <v>26</v>
      </c>
      <c r="R906" s="61"/>
      <c r="S906" s="62"/>
      <c r="T906" s="62"/>
      <c r="U906" s="55"/>
      <c r="V906" s="57"/>
      <c r="W906" s="57"/>
      <c r="X906" s="55" t="n">
        <f aca="false">IF(A906="","",IF(AND(Parameter!$B$21="Ja",ISNUMBER(U906)),U906,IF(IFERROR(VLOOKUP(D906,Parameter!$A$35:$C$64,2,0),"Nein")="2+3",IF(ISNUMBER(SEARCH("grosser Artikel",BM906)),2,IFERROR(VLOOKUP(BP906,Parameter!$F$35:$G$64,2,0),2)),IF(OR(IFERROR(VLOOKUP(D906,Parameter!$A$35:$C$64,2,0),"Nein")="Nein",IFERROR(VLOOKUP(D906,Parameter!$A$35:$C$64,2,0),"Nein")=""),"-",VLOOKUP(D906,Parameter!$A$35:$C$64,2,0)))))</f>
        <v>3</v>
      </c>
      <c r="Y906" s="62"/>
      <c r="Z906" s="63"/>
      <c r="AA906" s="57" t="n">
        <f aca="false">AP906</f>
        <v>448</v>
      </c>
      <c r="AB906" s="57" t="n">
        <f aca="false">MAX(AP906,G906)</f>
        <v>448</v>
      </c>
      <c r="AC906" s="64"/>
      <c r="AD906" s="57" t="n">
        <f aca="false">IF(LEFT(Cockpit!$C$5,1)="A",G906,IF(BW906=1,BX906,IF(LEFT(Cockpit!$C$5,1)="B",AH906,MAX(AH906,G906))))</f>
        <v>0</v>
      </c>
      <c r="AE906" s="57" t="n">
        <f aca="false">IF(BR906=1,0,ROUNDUP(AD906/BQ906,0))</f>
        <v>0</v>
      </c>
      <c r="AF906" s="59" t="n">
        <f aca="false">IF(CD906&gt;0,CD906*MAX(1,AD906/V906),IF(BR906=1,IF(AD906&lt;=0,0,BS906*MAX(1,IF(G906&gt;0,AD906/G906,1))),IF(Q906&gt;0,AE906/Q906,0))/MAX(0.1,N(Parameter!$M$21)))</f>
        <v>0</v>
      </c>
      <c r="AG906" s="57" t="n">
        <f aca="false">AD906*F906</f>
        <v>0</v>
      </c>
      <c r="AH906" s="57" t="n">
        <f aca="false">ROUNDUP(MAX(I906/IF(BV906&gt;0,BV906,MAX(0.1,N(Cockpit!$C$6))),BY906)/BQ906,0)*BQ906</f>
        <v>448</v>
      </c>
      <c r="AI906" s="58" t="n">
        <f aca="false">IF(AF906&gt;0,I906/AF906,-1)</f>
        <v>-1</v>
      </c>
      <c r="AJ906" s="58" t="str">
        <f aca="false">IF(AND(OR(BU906="L1",BU906="L23"),AF906&gt;0),SUMIFS($AF$7:$AF$1576,$BU$7:$BU$1576,BU906,$AI$7:$AI$1576,"&gt;"&amp;AI906)+SUMIFS($AF$7:$AF$1576,$BU$7:$BU$1576,BU906,$AI$7:$AI$1576,AI906,$BO$7:$BO$1576,"&lt;="&amp;BO906),"")</f>
        <v/>
      </c>
      <c r="AK906" s="65" t="n">
        <f aca="false">IF(AJ906="",0,MAX(0,MIN(1,(IF(BU906="L1",Parameter!$E$5,Parameter!$E$6+Parameter!$E$7)-(AJ906-AF906))/AF906)))</f>
        <v>0</v>
      </c>
      <c r="AL906" s="57" t="n">
        <f aca="false">IF(LEFT(Cockpit!$I$5,1)="A",G906,IF(BW906=1,BX906,IF(LEFT(Cockpit!$I$5,1)="B",AP906,MAX(AP906,G906))))</f>
        <v>448</v>
      </c>
      <c r="AM906" s="57" t="n">
        <f aca="false">IF(BR906=1,0,ROUNDUP(AL906/BQ906,0))</f>
        <v>2</v>
      </c>
      <c r="AN906" s="59" t="n">
        <f aca="false">IF(CD906&gt;0,CD906*MAX(1,AL906/V906),IF(BR906=1,IF(AL906&lt;=0,0,BS906*MAX(1,IF(G906&gt;0,AL906/G906,1))),IF(Q906&gt;0,AM906/Q906,0))/MAX(0.1,N(Parameter!$M$21)))</f>
        <v>0.0769230769230769</v>
      </c>
      <c r="AO906" s="57" t="n">
        <f aca="false">AL906*F906</f>
        <v>71.68</v>
      </c>
      <c r="AP906" s="57" t="n">
        <f aca="false">ROUNDUP(MAX(I906/IF(BV906&gt;0,BV906,MAX(0.1,N(Cockpit!$I$6))),BY906)/BQ906,0)*BQ906</f>
        <v>448</v>
      </c>
      <c r="AQ906" s="58" t="n">
        <f aca="false">IF(AN906&gt;0,I906/AN906,-1)</f>
        <v>3744</v>
      </c>
      <c r="AR906" s="58" t="n">
        <f aca="false">IF(AND(OR(BU906="L1",BU906="L23"),AN906&gt;0),SUMIFS($AN$7:$AN$1576,$BU$7:$BU$1576,BU906,$AQ$7:$AQ$1576,"&gt;"&amp;AQ906)+SUMIFS($AN$7:$AN$1576,$BU$7:$BU$1576,BU906,$AQ$7:$AQ$1576,AQ906,$BO$7:$BO$1576,"&lt;="&amp;BO906),"")</f>
        <v>13.3319016012973</v>
      </c>
      <c r="AS906" s="65" t="n">
        <f aca="false">IF(AR906="",0,MAX(0,MIN(1,(IF(BU906="L1",Parameter!$E$5,Parameter!$E$6+Parameter!$E$7)-(AR906-AN906))/AN906)))</f>
        <v>1</v>
      </c>
      <c r="AT906" s="57" t="n">
        <f aca="false">IF(LEFT(Cockpit!$O$5,1)="A",G906,IF(BW906=1,BX906,IF(LEFT(Cockpit!$O$5,1)="B",AX906,MAX(AX906,G906))))</f>
        <v>448</v>
      </c>
      <c r="AU906" s="57" t="n">
        <f aca="false">IF(BR906=1,0,ROUNDUP(AT906/BQ906,0))</f>
        <v>2</v>
      </c>
      <c r="AV906" s="59" t="n">
        <f aca="false">IF(CD906&gt;0,CD906*MAX(1,AT906/V906),IF(BR906=1,IF(AT906&lt;=0,0,BS906*MAX(1,IF(G906&gt;0,AT906/G906,1))),IF(Q906&gt;0,AU906/Q906,0))/MAX(0.1,N(Parameter!$M$21)))</f>
        <v>0.0769230769230769</v>
      </c>
      <c r="AW906" s="57" t="n">
        <f aca="false">AT906*F906</f>
        <v>71.68</v>
      </c>
      <c r="AX906" s="57" t="n">
        <f aca="false">ROUNDUP(MAX(I906/IF(BV906&gt;0,BV906,MAX(0.1,N(Cockpit!$O$6))),BY906)/BQ906,0)*BQ906</f>
        <v>448</v>
      </c>
      <c r="AY906" s="58" t="n">
        <f aca="false">IF(AV906&gt;0,I906/AV906,-1)</f>
        <v>3744</v>
      </c>
      <c r="AZ906" s="58" t="n">
        <f aca="false">IF(AND(OR(BU906="L1",BU906="L23"),AV906&gt;0),SUMIFS($AV$7:$AV$1576,$BU$7:$BU$1576,BU906,$AY$7:$AY$1576,"&gt;"&amp;AY906)+SUMIFS($AV$7:$AV$1576,$BU$7:$BU$1576,BU906,$AY$7:$AY$1576,AY906,$BO$7:$BO$1576,"&lt;="&amp;BO906),"")</f>
        <v>12.0527640721597</v>
      </c>
      <c r="BA906" s="65" t="n">
        <f aca="false">IF(AZ906="",0,MAX(0,MIN(1,(IF(BU906="L1",Parameter!$E$5,Parameter!$E$6+Parameter!$E$7)-(AZ906-AV906))/AV906)))</f>
        <v>1</v>
      </c>
      <c r="BB906" s="55" t="str">
        <f aca="false">IF(AF906&lt;=0,"",IF(BU906="Aussen","Aussenlager",IF(BU906="-","Nicht im Lift",IF(AK906&gt;=1,"Lift",IF(AK906&lt;=0,"Aussenlager","teilweise")))))</f>
        <v/>
      </c>
      <c r="BC906" s="55" t="str">
        <f aca="false">IF(AN906&lt;=0,"",IF(BU906="Aussen","Aussenlager",IF(BU906="-","Nicht im Lift",IF(AS906&gt;=1,"Lift",IF(AS906&lt;=0,"Aussenlager","teilweise")))))</f>
        <v>Lift</v>
      </c>
      <c r="BD906" s="55" t="str">
        <f aca="false">IF(AV906&lt;=0,"",IF(BU906="Aussen","Aussenlager",IF(BU906="-","Nicht im Lift",IF(BA906&gt;=1,"Lift",IF(BA906&lt;=0,"Aussenlager","teilweise")))))</f>
        <v>Lift</v>
      </c>
      <c r="BE906" s="55" t="str">
        <f aca="false">IF(A906="","",IF(BN906=1,"Neu; ","")&amp;IF(AND(BN906=0,BI906&lt;0),"negativer Bestand (Export "&amp;BI906&amp;"); ","")&amp;IF(I906&lt;=0,"Kein Verbrauch; ","")&amp;IF(CD906&gt;0,"Lift "&amp;U906&amp;" lt. Liftbericht (Fach "&amp;V906&amp;" Stk); ",IF(BR906=1,"Lose – Fläche geschätzt; ",""))&amp;IF(G906&gt;AP906,"Überbestand "&amp;ROUND(G906-AP906,0)&amp;" Stk / CHF "&amp;ROUND((G906-AP906)*F906,0)&amp;"; ","")&amp;IF(AND(BW906=1,BX906&lt;BY906),"MAX &lt; MB+LG; ","")&amp;IF(AND(CC906&gt;0,CB906*10&gt;CC906),"zu hoch für Tablar; ","")&amp;IF(AND(BN906=0,OR(BW906=1,Y906&lt;&gt;"",S906&lt;&gt;"",T906&lt;&gt;"",Z906&lt;&gt;"")),"manuell übersteuert; ","")&amp;IF(AND(BR906=0,Q906=0),"Gebinde unbekannt / Stellmass fehlt; ","")&amp;IF(AND(BR906=0,N(T906)&lt;=0,N(P906)&lt;=0),"Menge pro Gebinde fehlt (Ist = 1 Gebinde); ","")&amp;BM906)</f>
        <v>negativer Bestand (Export -206); </v>
      </c>
      <c r="BF906" s="55"/>
      <c r="BG906" s="55"/>
      <c r="BH906" s="62"/>
      <c r="BI906" s="57" t="n">
        <v>-206</v>
      </c>
      <c r="BJ906" s="57" t="n">
        <v>341</v>
      </c>
      <c r="BK906" s="56" t="n">
        <v>-36.37</v>
      </c>
      <c r="BL906" s="57" t="n">
        <v>288</v>
      </c>
      <c r="BM906" s="55"/>
      <c r="BN906" s="60" t="n">
        <v>0</v>
      </c>
      <c r="BO906" s="60" t="n">
        <v>906</v>
      </c>
      <c r="BP906" s="55" t="str">
        <f aca="false">IF(S906&lt;&gt;"",UPPER(TRIM(S906)),IF(O906="","LOSE",O906))</f>
        <v>S52</v>
      </c>
      <c r="BQ906" s="57" t="n">
        <f aca="false">IF(BP906="LOSE",1,IF(N(T906)&gt;0,T906,IF(N(P906)&gt;0,P906,MAX(1,G906))))</f>
        <v>224</v>
      </c>
      <c r="BR906" s="60" t="n">
        <f aca="false">IF(BP906="LOSE",1,0)</f>
        <v>0</v>
      </c>
      <c r="BS906" s="59" t="n">
        <f aca="false">IF(BR906=0,0,IF(N(R906)&gt;0,R906,IFERROR(VLOOKUP(D906,Parameter!$A$35:$C$64,3,0)+0,0)))</f>
        <v>0</v>
      </c>
      <c r="BT906" s="55" t="n">
        <f aca="false">IF(Y906&lt;&gt;"",Y906,X906)</f>
        <v>3</v>
      </c>
      <c r="BU906" s="55" t="str">
        <f aca="false">IF(BT906=1,"L1",IF(OR(BT906=2,BT906=3),"L23",IF(BT906="Aussen","Aussen","-")))</f>
        <v>L23</v>
      </c>
      <c r="BV906" s="66" t="n">
        <f aca="false">IF(N(Z906)&gt;0,Z906,0)</f>
        <v>0</v>
      </c>
      <c r="BW906" s="60" t="n">
        <f aca="false">IF(ISNUMBER(AC906),1,0)</f>
        <v>0</v>
      </c>
      <c r="BX906" s="57" t="n">
        <f aca="false">N(AC906)</f>
        <v>0</v>
      </c>
      <c r="BY906" s="57" t="n">
        <f aca="false">N(L906)+N(M906)</f>
        <v>322</v>
      </c>
      <c r="BZ906" s="57" t="n">
        <f aca="false">ROUNDUP(G906/BQ906,0)</f>
        <v>0</v>
      </c>
      <c r="CA906" s="57" t="n">
        <f aca="false">ROUNDUP(BX906/BQ906,0)</f>
        <v>0</v>
      </c>
      <c r="CB906" s="60" t="n">
        <f aca="false">IF(BR906=1,0,IFERROR(VLOOKUP(BP906,'Gebinde-Kategorie'!$A$5:$M$45,5,0)+0,0))</f>
        <v>21</v>
      </c>
      <c r="CC906" s="60" t="n">
        <f aca="false">IFERROR(IF(OR(BT906=1,BT906=2,BT906=3),N(INDEX(Parameter!$I$5:$I$7,BT906)),0),0)</f>
        <v>0</v>
      </c>
      <c r="CD906" s="59" t="n">
        <f aca="false">IF(AND(Parameter!$B$21="Ja",ISNUMBER(U906),N(V906)&gt;0),IFERROR(N(INDEX(Parameter!$L$5:$L$7,U906))*INDEX(Parameter!$E$5:$E$7,U906)*V906/SUMIFS($V$7:$V$1576,$U$7:$U$1576,U906),0),0)</f>
        <v>0</v>
      </c>
    </row>
    <row r="907" customFormat="false" ht="15" hidden="false" customHeight="false" outlineLevel="0" collapsed="false">
      <c r="A907" s="55" t="s">
        <v>1689</v>
      </c>
      <c r="B907" s="55" t="s">
        <v>1671</v>
      </c>
      <c r="C907" s="55" t="s">
        <v>160</v>
      </c>
      <c r="D907" s="55" t="s">
        <v>178</v>
      </c>
      <c r="E907" s="55" t="s">
        <v>210</v>
      </c>
      <c r="F907" s="56" t="n">
        <v>0.37</v>
      </c>
      <c r="G907" s="57" t="n">
        <f aca="false">MAX(0,IF(AND(Parameter!$B$21="Ja",ISNUMBER(W907)),W907,IF(Parameter!$B$20="Jahresanfang 2025 + Export",BJ907+BI907,BI907)))</f>
        <v>0</v>
      </c>
      <c r="H907" s="57" t="n">
        <f aca="false">G907*F907</f>
        <v>0</v>
      </c>
      <c r="I907" s="57" t="n">
        <f aca="false">BL907*Parameter!$B$18</f>
        <v>0</v>
      </c>
      <c r="J907" s="58" t="n">
        <v>50</v>
      </c>
      <c r="K907" s="59" t="n">
        <v>0</v>
      </c>
      <c r="L907" s="57" t="n">
        <v>0</v>
      </c>
      <c r="M907" s="57" t="n">
        <v>1</v>
      </c>
      <c r="N907" s="60" t="n">
        <v>28</v>
      </c>
      <c r="O907" s="55" t="s">
        <v>163</v>
      </c>
      <c r="P907" s="57"/>
      <c r="Q907" s="60" t="n">
        <f aca="false">IF(BR907=1,0,IFERROR(VLOOKUP(BP907,'Gebinde-Kategorie'!$A$5:$M$45,13,0)+0,0))</f>
        <v>0</v>
      </c>
      <c r="R907" s="61"/>
      <c r="S907" s="62"/>
      <c r="T907" s="62"/>
      <c r="U907" s="55"/>
      <c r="V907" s="57"/>
      <c r="W907" s="57"/>
      <c r="X907" s="55" t="n">
        <f aca="false">IF(A907="","",IF(AND(Parameter!$B$21="Ja",ISNUMBER(U907)),U907,IF(IFERROR(VLOOKUP(D907,Parameter!$A$35:$C$64,2,0),"Nein")="2+3",IF(ISNUMBER(SEARCH("grosser Artikel",BM907)),2,IFERROR(VLOOKUP(BP907,Parameter!$F$35:$G$64,2,0),2)),IF(OR(IFERROR(VLOOKUP(D907,Parameter!$A$35:$C$64,2,0),"Nein")="Nein",IFERROR(VLOOKUP(D907,Parameter!$A$35:$C$64,2,0),"Nein")=""),"-",VLOOKUP(D907,Parameter!$A$35:$C$64,2,0)))))</f>
        <v>2</v>
      </c>
      <c r="Y907" s="62"/>
      <c r="Z907" s="63"/>
      <c r="AA907" s="57" t="n">
        <f aca="false">AP907</f>
        <v>1</v>
      </c>
      <c r="AB907" s="57" t="n">
        <f aca="false">MAX(AP907,G907)</f>
        <v>1</v>
      </c>
      <c r="AC907" s="64"/>
      <c r="AD907" s="57" t="n">
        <f aca="false">IF(LEFT(Cockpit!$C$5,1)="A",G907,IF(BW907=1,BX907,IF(LEFT(Cockpit!$C$5,1)="B",AH907,MAX(AH907,G907))))</f>
        <v>0</v>
      </c>
      <c r="AE907" s="57" t="n">
        <f aca="false">IF(BR907=1,0,ROUNDUP(AD907/BQ907,0))</f>
        <v>0</v>
      </c>
      <c r="AF907" s="59" t="n">
        <f aca="false">IF(CD907&gt;0,CD907*MAX(1,AD907/V907),IF(BR907=1,IF(AD907&lt;=0,0,BS907*MAX(1,IF(G907&gt;0,AD907/G907,1))),IF(Q907&gt;0,AE907/Q907,0))/MAX(0.1,N(Parameter!$M$21)))</f>
        <v>0</v>
      </c>
      <c r="AG907" s="57" t="n">
        <f aca="false">AD907*F907</f>
        <v>0</v>
      </c>
      <c r="AH907" s="57" t="n">
        <f aca="false">ROUNDUP(MAX(I907/IF(BV907&gt;0,BV907,MAX(0.1,N(Cockpit!$C$6))),BY907)/BQ907,0)*BQ907</f>
        <v>1</v>
      </c>
      <c r="AI907" s="58" t="n">
        <f aca="false">IF(AF907&gt;0,I907/AF907,-1)</f>
        <v>-1</v>
      </c>
      <c r="AJ907" s="58" t="str">
        <f aca="false">IF(AND(OR(BU907="L1",BU907="L23"),AF907&gt;0),SUMIFS($AF$7:$AF$1576,$BU$7:$BU$1576,BU907,$AI$7:$AI$1576,"&gt;"&amp;AI907)+SUMIFS($AF$7:$AF$1576,$BU$7:$BU$1576,BU907,$AI$7:$AI$1576,AI907,$BO$7:$BO$1576,"&lt;="&amp;BO907),"")</f>
        <v/>
      </c>
      <c r="AK907" s="65" t="n">
        <f aca="false">IF(AJ907="",0,MAX(0,MIN(1,(IF(BU907="L1",Parameter!$E$5,Parameter!$E$6+Parameter!$E$7)-(AJ907-AF907))/AF907)))</f>
        <v>0</v>
      </c>
      <c r="AL907" s="57" t="n">
        <f aca="false">IF(LEFT(Cockpit!$I$5,1)="A",G907,IF(BW907=1,BX907,IF(LEFT(Cockpit!$I$5,1)="B",AP907,MAX(AP907,G907))))</f>
        <v>1</v>
      </c>
      <c r="AM907" s="57" t="n">
        <f aca="false">IF(BR907=1,0,ROUNDUP(AL907/BQ907,0))</f>
        <v>0</v>
      </c>
      <c r="AN907" s="59" t="n">
        <f aca="false">IF(CD907&gt;0,CD907*MAX(1,AL907/V907),IF(BR907=1,IF(AL907&lt;=0,0,BS907*MAX(1,IF(G907&gt;0,AL907/G907,1))),IF(Q907&gt;0,AM907/Q907,0))/MAX(0.1,N(Parameter!$M$21)))</f>
        <v>0.03</v>
      </c>
      <c r="AO907" s="57" t="n">
        <f aca="false">AL907*F907</f>
        <v>0.37</v>
      </c>
      <c r="AP907" s="57" t="n">
        <f aca="false">ROUNDUP(MAX(I907/IF(BV907&gt;0,BV907,MAX(0.1,N(Cockpit!$I$6))),BY907)/BQ907,0)*BQ907</f>
        <v>1</v>
      </c>
      <c r="AQ907" s="58" t="n">
        <f aca="false">IF(AN907&gt;0,I907/AN907,-1)</f>
        <v>0</v>
      </c>
      <c r="AR907" s="58" t="n">
        <f aca="false">IF(AND(OR(BU907="L1",BU907="L23"),AN907&gt;0),SUMIFS($AN$7:$AN$1576,$BU$7:$BU$1576,BU907,$AQ$7:$AQ$1576,"&gt;"&amp;AQ907)+SUMIFS($AN$7:$AN$1576,$BU$7:$BU$1576,BU907,$AQ$7:$AQ$1576,AQ907,$BO$7:$BO$1576,"&lt;="&amp;BO907),"")</f>
        <v>131.191862847345</v>
      </c>
      <c r="AS907" s="65" t="n">
        <f aca="false">IF(AR907="",0,MAX(0,MIN(1,(IF(BU907="L1",Parameter!$E$5,Parameter!$E$6+Parameter!$E$7)-(AR907-AN907))/AN907)))</f>
        <v>0</v>
      </c>
      <c r="AT907" s="57" t="n">
        <f aca="false">IF(LEFT(Cockpit!$O$5,1)="A",G907,IF(BW907=1,BX907,IF(LEFT(Cockpit!$O$5,1)="B",AX907,MAX(AX907,G907))))</f>
        <v>1</v>
      </c>
      <c r="AU907" s="57" t="n">
        <f aca="false">IF(BR907=1,0,ROUNDUP(AT907/BQ907,0))</f>
        <v>0</v>
      </c>
      <c r="AV907" s="59" t="n">
        <f aca="false">IF(CD907&gt;0,CD907*MAX(1,AT907/V907),IF(BR907=1,IF(AT907&lt;=0,0,BS907*MAX(1,IF(G907&gt;0,AT907/G907,1))),IF(Q907&gt;0,AU907/Q907,0))/MAX(0.1,N(Parameter!$M$21)))</f>
        <v>0.03</v>
      </c>
      <c r="AW907" s="57" t="n">
        <f aca="false">AT907*F907</f>
        <v>0.37</v>
      </c>
      <c r="AX907" s="57" t="n">
        <f aca="false">ROUNDUP(MAX(I907/IF(BV907&gt;0,BV907,MAX(0.1,N(Cockpit!$O$6))),BY907)/BQ907,0)*BQ907</f>
        <v>1</v>
      </c>
      <c r="AY907" s="58" t="n">
        <f aca="false">IF(AV907&gt;0,I907/AV907,-1)</f>
        <v>0</v>
      </c>
      <c r="AZ907" s="58" t="n">
        <f aca="false">IF(AND(OR(BU907="L1",BU907="L23"),AV907&gt;0),SUMIFS($AV$7:$AV$1576,$BU$7:$BU$1576,BU907,$AY$7:$AY$1576,"&gt;"&amp;AY907)+SUMIFS($AV$7:$AV$1576,$BU$7:$BU$1576,BU907,$AY$7:$AY$1576,AY907,$BO$7:$BO$1576,"&lt;="&amp;BO907),"")</f>
        <v>121.251413296896</v>
      </c>
      <c r="BA907" s="65" t="n">
        <f aca="false">IF(AZ907="",0,MAX(0,MIN(1,(IF(BU907="L1",Parameter!$E$5,Parameter!$E$6+Parameter!$E$7)-(AZ907-AV907))/AV907)))</f>
        <v>0</v>
      </c>
      <c r="BB907" s="55" t="str">
        <f aca="false">IF(AF907&lt;=0,"",IF(BU907="Aussen","Aussenlager",IF(BU907="-","Nicht im Lift",IF(AK907&gt;=1,"Lift",IF(AK907&lt;=0,"Aussenlager","teilweise")))))</f>
        <v/>
      </c>
      <c r="BC907" s="55" t="str">
        <f aca="false">IF(AN907&lt;=0,"",IF(BU907="Aussen","Aussenlager",IF(BU907="-","Nicht im Lift",IF(AS907&gt;=1,"Lift",IF(AS907&lt;=0,"Aussenlager","teilweise")))))</f>
        <v>Aussenlager</v>
      </c>
      <c r="BD907" s="55" t="str">
        <f aca="false">IF(AV907&lt;=0,"",IF(BU907="Aussen","Aussenlager",IF(BU907="-","Nicht im Lift",IF(BA907&gt;=1,"Lift",IF(BA907&lt;=0,"Aussenlager","teilweise")))))</f>
        <v>Aussenlager</v>
      </c>
      <c r="BE907" s="55" t="str">
        <f aca="false">IF(A907="","",IF(BN907=1,"Neu; ","")&amp;IF(AND(BN907=0,BI907&lt;0),"negativer Bestand (Export "&amp;BI907&amp;"); ","")&amp;IF(I907&lt;=0,"Kein Verbrauch; ","")&amp;IF(CD907&gt;0,"Lift "&amp;U907&amp;" lt. Liftbericht (Fach "&amp;V907&amp;" Stk); ",IF(BR907=1,"Lose – Fläche geschätzt; ",""))&amp;IF(G907&gt;AP907,"Überbestand "&amp;ROUND(G907-AP907,0)&amp;" Stk / CHF "&amp;ROUND((G907-AP907)*F907,0)&amp;"; ","")&amp;IF(AND(BW907=1,BX907&lt;BY907),"MAX &lt; MB+LG; ","")&amp;IF(AND(CC907&gt;0,CB907*10&gt;CC907),"zu hoch für Tablar; ","")&amp;IF(AND(BN907=0,OR(BW907=1,Y907&lt;&gt;"",S907&lt;&gt;"",T907&lt;&gt;"",Z907&lt;&gt;"")),"manuell übersteuert; ","")&amp;IF(AND(BR907=0,Q907=0),"Gebinde unbekannt / Stellmass fehlt; ","")&amp;IF(AND(BR907=0,N(T907)&lt;=0,N(P907)&lt;=0),"Menge pro Gebinde fehlt (Ist = 1 Gebinde); ","")&amp;BM907)</f>
        <v>negativer Bestand (Export -100); Kein Verbrauch; Lose – Fläche geschätzt; </v>
      </c>
      <c r="BF907" s="55"/>
      <c r="BG907" s="55"/>
      <c r="BH907" s="62"/>
      <c r="BI907" s="57" t="n">
        <v>-100</v>
      </c>
      <c r="BJ907" s="57" t="n">
        <v>100</v>
      </c>
      <c r="BK907" s="56" t="n">
        <v>-37</v>
      </c>
      <c r="BL907" s="57" t="n">
        <v>0</v>
      </c>
      <c r="BM907" s="55"/>
      <c r="BN907" s="60" t="n">
        <v>0</v>
      </c>
      <c r="BO907" s="60" t="n">
        <v>907</v>
      </c>
      <c r="BP907" s="55" t="str">
        <f aca="false">IF(S907&lt;&gt;"",UPPER(TRIM(S907)),IF(O907="","LOSE",O907))</f>
        <v>LOSE</v>
      </c>
      <c r="BQ907" s="57" t="n">
        <f aca="false">IF(BP907="LOSE",1,IF(N(T907)&gt;0,T907,IF(N(P907)&gt;0,P907,MAX(1,G907))))</f>
        <v>1</v>
      </c>
      <c r="BR907" s="60" t="n">
        <f aca="false">IF(BP907="LOSE",1,0)</f>
        <v>1</v>
      </c>
      <c r="BS907" s="59" t="n">
        <f aca="false">IF(BR907=0,0,IF(N(R907)&gt;0,R907,IFERROR(VLOOKUP(D907,Parameter!$A$35:$C$64,3,0)+0,0)))</f>
        <v>0.03</v>
      </c>
      <c r="BT907" s="55" t="n">
        <f aca="false">IF(Y907&lt;&gt;"",Y907,X907)</f>
        <v>2</v>
      </c>
      <c r="BU907" s="55" t="str">
        <f aca="false">IF(BT907=1,"L1",IF(OR(BT907=2,BT907=3),"L23",IF(BT907="Aussen","Aussen","-")))</f>
        <v>L23</v>
      </c>
      <c r="BV907" s="66" t="n">
        <f aca="false">IF(N(Z907)&gt;0,Z907,0)</f>
        <v>0</v>
      </c>
      <c r="BW907" s="60" t="n">
        <f aca="false">IF(ISNUMBER(AC907),1,0)</f>
        <v>0</v>
      </c>
      <c r="BX907" s="57" t="n">
        <f aca="false">N(AC907)</f>
        <v>0</v>
      </c>
      <c r="BY907" s="57" t="n">
        <f aca="false">N(L907)+N(M907)</f>
        <v>1</v>
      </c>
      <c r="BZ907" s="57" t="n">
        <f aca="false">ROUNDUP(G907/BQ907,0)</f>
        <v>0</v>
      </c>
      <c r="CA907" s="57" t="n">
        <f aca="false">ROUNDUP(BX907/BQ907,0)</f>
        <v>0</v>
      </c>
      <c r="CB907" s="60" t="n">
        <f aca="false">IF(BR907=1,0,IFERROR(VLOOKUP(BP907,'Gebinde-Kategorie'!$A$5:$M$45,5,0)+0,0))</f>
        <v>0</v>
      </c>
      <c r="CC907" s="60" t="n">
        <f aca="false">IFERROR(IF(OR(BT907=1,BT907=2,BT907=3),N(INDEX(Parameter!$I$5:$I$7,BT907)),0),0)</f>
        <v>0</v>
      </c>
      <c r="CD907" s="59" t="n">
        <f aca="false">IF(AND(Parameter!$B$21="Ja",ISNUMBER(U907),N(V907)&gt;0),IFERROR(N(INDEX(Parameter!$L$5:$L$7,U907))*INDEX(Parameter!$E$5:$E$7,U907)*V907/SUMIFS($V$7:$V$1576,$U$7:$U$1576,U907),0),0)</f>
        <v>0</v>
      </c>
    </row>
    <row r="908" customFormat="false" ht="15" hidden="false" customHeight="false" outlineLevel="0" collapsed="false">
      <c r="A908" s="55" t="s">
        <v>1690</v>
      </c>
      <c r="B908" s="55" t="s">
        <v>1691</v>
      </c>
      <c r="C908" s="55" t="s">
        <v>160</v>
      </c>
      <c r="D908" s="55" t="s">
        <v>178</v>
      </c>
      <c r="E908" s="55" t="s">
        <v>210</v>
      </c>
      <c r="F908" s="56" t="n">
        <v>12.37</v>
      </c>
      <c r="G908" s="57" t="n">
        <f aca="false">MAX(0,IF(AND(Parameter!$B$21="Ja",ISNUMBER(W908)),W908,IF(Parameter!$B$20="Jahresanfang 2025 + Export",BJ908+BI908,BI908)))</f>
        <v>0</v>
      </c>
      <c r="H908" s="57" t="n">
        <f aca="false">G908*F908</f>
        <v>0</v>
      </c>
      <c r="I908" s="57" t="n">
        <f aca="false">BL908*Parameter!$B$18</f>
        <v>1</v>
      </c>
      <c r="J908" s="58" t="n">
        <v>30</v>
      </c>
      <c r="K908" s="59" t="n">
        <v>0.0333333333333333</v>
      </c>
      <c r="L908" s="57" t="n">
        <v>0</v>
      </c>
      <c r="M908" s="57" t="n">
        <v>1</v>
      </c>
      <c r="N908" s="60" t="n">
        <v>28</v>
      </c>
      <c r="O908" s="55" t="s">
        <v>416</v>
      </c>
      <c r="P908" s="57" t="n">
        <v>20</v>
      </c>
      <c r="Q908" s="60" t="n">
        <f aca="false">IF(BR908=1,0,IFERROR(VLOOKUP(BP908,'Gebinde-Kategorie'!$A$5:$M$45,13,0)+0,0))</f>
        <v>198</v>
      </c>
      <c r="R908" s="61"/>
      <c r="S908" s="62"/>
      <c r="T908" s="62"/>
      <c r="U908" s="55"/>
      <c r="V908" s="57"/>
      <c r="W908" s="57"/>
      <c r="X908" s="55" t="n">
        <f aca="false">IF(A908="","",IF(AND(Parameter!$B$21="Ja",ISNUMBER(U908)),U908,IF(IFERROR(VLOOKUP(D908,Parameter!$A$35:$C$64,2,0),"Nein")="2+3",IF(ISNUMBER(SEARCH("grosser Artikel",BM908)),2,IFERROR(VLOOKUP(BP908,Parameter!$F$35:$G$64,2,0),2)),IF(OR(IFERROR(VLOOKUP(D908,Parameter!$A$35:$C$64,2,0),"Nein")="Nein",IFERROR(VLOOKUP(D908,Parameter!$A$35:$C$64,2,0),"Nein")=""),"-",VLOOKUP(D908,Parameter!$A$35:$C$64,2,0)))))</f>
        <v>3</v>
      </c>
      <c r="Y908" s="62"/>
      <c r="Z908" s="63"/>
      <c r="AA908" s="57" t="n">
        <f aca="false">AP908</f>
        <v>20</v>
      </c>
      <c r="AB908" s="57" t="n">
        <f aca="false">MAX(AP908,G908)</f>
        <v>20</v>
      </c>
      <c r="AC908" s="64"/>
      <c r="AD908" s="57" t="n">
        <f aca="false">IF(LEFT(Cockpit!$C$5,1)="A",G908,IF(BW908=1,BX908,IF(LEFT(Cockpit!$C$5,1)="B",AH908,MAX(AH908,G908))))</f>
        <v>0</v>
      </c>
      <c r="AE908" s="57" t="n">
        <f aca="false">IF(BR908=1,0,ROUNDUP(AD908/BQ908,0))</f>
        <v>0</v>
      </c>
      <c r="AF908" s="59" t="n">
        <f aca="false">IF(CD908&gt;0,CD908*MAX(1,AD908/V908),IF(BR908=1,IF(AD908&lt;=0,0,BS908*MAX(1,IF(G908&gt;0,AD908/G908,1))),IF(Q908&gt;0,AE908/Q908,0))/MAX(0.1,N(Parameter!$M$21)))</f>
        <v>0</v>
      </c>
      <c r="AG908" s="57" t="n">
        <f aca="false">AD908*F908</f>
        <v>0</v>
      </c>
      <c r="AH908" s="57" t="n">
        <f aca="false">ROUNDUP(MAX(I908/IF(BV908&gt;0,BV908,MAX(0.1,N(Cockpit!$C$6))),BY908)/BQ908,0)*BQ908</f>
        <v>20</v>
      </c>
      <c r="AI908" s="58" t="n">
        <f aca="false">IF(AF908&gt;0,I908/AF908,-1)</f>
        <v>-1</v>
      </c>
      <c r="AJ908" s="58" t="str">
        <f aca="false">IF(AND(OR(BU908="L1",BU908="L23"),AF908&gt;0),SUMIFS($AF$7:$AF$1576,$BU$7:$BU$1576,BU908,$AI$7:$AI$1576,"&gt;"&amp;AI908)+SUMIFS($AF$7:$AF$1576,$BU$7:$BU$1576,BU908,$AI$7:$AI$1576,AI908,$BO$7:$BO$1576,"&lt;="&amp;BO908),"")</f>
        <v/>
      </c>
      <c r="AK908" s="65" t="n">
        <f aca="false">IF(AJ908="",0,MAX(0,MIN(1,(IF(BU908="L1",Parameter!$E$5,Parameter!$E$6+Parameter!$E$7)-(AJ908-AF908))/AF908)))</f>
        <v>0</v>
      </c>
      <c r="AL908" s="57" t="n">
        <f aca="false">IF(LEFT(Cockpit!$I$5,1)="A",G908,IF(BW908=1,BX908,IF(LEFT(Cockpit!$I$5,1)="B",AP908,MAX(AP908,G908))))</f>
        <v>20</v>
      </c>
      <c r="AM908" s="57" t="n">
        <f aca="false">IF(BR908=1,0,ROUNDUP(AL908/BQ908,0))</f>
        <v>1</v>
      </c>
      <c r="AN908" s="59" t="n">
        <f aca="false">IF(CD908&gt;0,CD908*MAX(1,AL908/V908),IF(BR908=1,IF(AL908&lt;=0,0,BS908*MAX(1,IF(G908&gt;0,AL908/G908,1))),IF(Q908&gt;0,AM908/Q908,0))/MAX(0.1,N(Parameter!$M$21)))</f>
        <v>0.00505050505050505</v>
      </c>
      <c r="AO908" s="57" t="n">
        <f aca="false">AL908*F908</f>
        <v>247.4</v>
      </c>
      <c r="AP908" s="57" t="n">
        <f aca="false">ROUNDUP(MAX(I908/IF(BV908&gt;0,BV908,MAX(0.1,N(Cockpit!$I$6))),BY908)/BQ908,0)*BQ908</f>
        <v>20</v>
      </c>
      <c r="AQ908" s="58" t="n">
        <f aca="false">IF(AN908&gt;0,I908/AN908,-1)</f>
        <v>198</v>
      </c>
      <c r="AR908" s="58" t="n">
        <f aca="false">IF(AND(OR(BU908="L1",BU908="L23"),AN908&gt;0),SUMIFS($AN$7:$AN$1576,$BU$7:$BU$1576,BU908,$AQ$7:$AQ$1576,"&gt;"&amp;AQ908)+SUMIFS($AN$7:$AN$1576,$BU$7:$BU$1576,BU908,$AQ$7:$AQ$1576,AQ908,$BO$7:$BO$1576,"&lt;="&amp;BO908),"")</f>
        <v>50.9100049350161</v>
      </c>
      <c r="AS908" s="65" t="n">
        <f aca="false">IF(AR908="",0,MAX(0,MIN(1,(IF(BU908="L1",Parameter!$E$5,Parameter!$E$6+Parameter!$E$7)-(AR908-AN908))/AN908)))</f>
        <v>1</v>
      </c>
      <c r="AT908" s="57" t="n">
        <f aca="false">IF(LEFT(Cockpit!$O$5,1)="A",G908,IF(BW908=1,BX908,IF(LEFT(Cockpit!$O$5,1)="B",AX908,MAX(AX908,G908))))</f>
        <v>20</v>
      </c>
      <c r="AU908" s="57" t="n">
        <f aca="false">IF(BR908=1,0,ROUNDUP(AT908/BQ908,0))</f>
        <v>1</v>
      </c>
      <c r="AV908" s="59" t="n">
        <f aca="false">IF(CD908&gt;0,CD908*MAX(1,AT908/V908),IF(BR908=1,IF(AT908&lt;=0,0,BS908*MAX(1,IF(G908&gt;0,AT908/G908,1))),IF(Q908&gt;0,AU908/Q908,0))/MAX(0.1,N(Parameter!$M$21)))</f>
        <v>0.00505050505050505</v>
      </c>
      <c r="AW908" s="57" t="n">
        <f aca="false">AT908*F908</f>
        <v>247.4</v>
      </c>
      <c r="AX908" s="57" t="n">
        <f aca="false">ROUNDUP(MAX(I908/IF(BV908&gt;0,BV908,MAX(0.1,N(Cockpit!$O$6))),BY908)/BQ908,0)*BQ908</f>
        <v>20</v>
      </c>
      <c r="AY908" s="58" t="n">
        <f aca="false">IF(AV908&gt;0,I908/AV908,-1)</f>
        <v>198</v>
      </c>
      <c r="AZ908" s="58" t="n">
        <f aca="false">IF(AND(OR(BU908="L1",BU908="L23"),AV908&gt;0),SUMIFS($AV$7:$AV$1576,$BU$7:$BU$1576,BU908,$AY$7:$AY$1576,"&gt;"&amp;AY908)+SUMIFS($AV$7:$AV$1576,$BU$7:$BU$1576,BU908,$AY$7:$AY$1576,AY908,$BO$7:$BO$1576,"&lt;="&amp;BO908),"")</f>
        <v>47.1062653412765</v>
      </c>
      <c r="BA908" s="65" t="n">
        <f aca="false">IF(AZ908="",0,MAX(0,MIN(1,(IF(BU908="L1",Parameter!$E$5,Parameter!$E$6+Parameter!$E$7)-(AZ908-AV908))/AV908)))</f>
        <v>1</v>
      </c>
      <c r="BB908" s="55" t="str">
        <f aca="false">IF(AF908&lt;=0,"",IF(BU908="Aussen","Aussenlager",IF(BU908="-","Nicht im Lift",IF(AK908&gt;=1,"Lift",IF(AK908&lt;=0,"Aussenlager","teilweise")))))</f>
        <v/>
      </c>
      <c r="BC908" s="55" t="str">
        <f aca="false">IF(AN908&lt;=0,"",IF(BU908="Aussen","Aussenlager",IF(BU908="-","Nicht im Lift",IF(AS908&gt;=1,"Lift",IF(AS908&lt;=0,"Aussenlager","teilweise")))))</f>
        <v>Lift</v>
      </c>
      <c r="BD908" s="55" t="str">
        <f aca="false">IF(AV908&lt;=0,"",IF(BU908="Aussen","Aussenlager",IF(BU908="-","Nicht im Lift",IF(BA908&gt;=1,"Lift",IF(BA908&lt;=0,"Aussenlager","teilweise")))))</f>
        <v>Lift</v>
      </c>
      <c r="BE908" s="55" t="str">
        <f aca="false">IF(A908="","",IF(BN908=1,"Neu; ","")&amp;IF(AND(BN908=0,BI908&lt;0),"negativer Bestand (Export "&amp;BI908&amp;"); ","")&amp;IF(I908&lt;=0,"Kein Verbrauch; ","")&amp;IF(CD908&gt;0,"Lift "&amp;U908&amp;" lt. Liftbericht (Fach "&amp;V908&amp;" Stk); ",IF(BR908=1,"Lose – Fläche geschätzt; ",""))&amp;IF(G908&gt;AP908,"Überbestand "&amp;ROUND(G908-AP908,0)&amp;" Stk / CHF "&amp;ROUND((G908-AP908)*F908,0)&amp;"; ","")&amp;IF(AND(BW908=1,BX908&lt;BY908),"MAX &lt; MB+LG; ","")&amp;IF(AND(CC908&gt;0,CB908*10&gt;CC908),"zu hoch für Tablar; ","")&amp;IF(AND(BN908=0,OR(BW908=1,Y908&lt;&gt;"",S908&lt;&gt;"",T908&lt;&gt;"",Z908&lt;&gt;"")),"manuell übersteuert; ","")&amp;IF(AND(BR908=0,Q908=0),"Gebinde unbekannt / Stellmass fehlt; ","")&amp;IF(AND(BR908=0,N(T908)&lt;=0,N(P908)&lt;=0),"Menge pro Gebinde fehlt (Ist = 1 Gebinde); ","")&amp;BM908)</f>
        <v>negativer Bestand (Export -3); </v>
      </c>
      <c r="BF908" s="55"/>
      <c r="BG908" s="55"/>
      <c r="BH908" s="62"/>
      <c r="BI908" s="57" t="n">
        <v>-3</v>
      </c>
      <c r="BJ908" s="57" t="n">
        <v>31</v>
      </c>
      <c r="BK908" s="56" t="n">
        <v>-37.11</v>
      </c>
      <c r="BL908" s="57" t="n">
        <v>1</v>
      </c>
      <c r="BM908" s="55"/>
      <c r="BN908" s="60" t="n">
        <v>0</v>
      </c>
      <c r="BO908" s="60" t="n">
        <v>908</v>
      </c>
      <c r="BP908" s="55" t="str">
        <f aca="false">IF(S908&lt;&gt;"",UPPER(TRIM(S908)),IF(O908="","LOSE",O908))</f>
        <v>S22</v>
      </c>
      <c r="BQ908" s="57" t="n">
        <f aca="false">IF(BP908="LOSE",1,IF(N(T908)&gt;0,T908,IF(N(P908)&gt;0,P908,MAX(1,G908))))</f>
        <v>20</v>
      </c>
      <c r="BR908" s="60" t="n">
        <f aca="false">IF(BP908="LOSE",1,0)</f>
        <v>0</v>
      </c>
      <c r="BS908" s="59" t="n">
        <f aca="false">IF(BR908=0,0,IF(N(R908)&gt;0,R908,IFERROR(VLOOKUP(D908,Parameter!$A$35:$C$64,3,0)+0,0)))</f>
        <v>0</v>
      </c>
      <c r="BT908" s="55" t="n">
        <f aca="false">IF(Y908&lt;&gt;"",Y908,X908)</f>
        <v>3</v>
      </c>
      <c r="BU908" s="55" t="str">
        <f aca="false">IF(BT908=1,"L1",IF(OR(BT908=2,BT908=3),"L23",IF(BT908="Aussen","Aussen","-")))</f>
        <v>L23</v>
      </c>
      <c r="BV908" s="66" t="n">
        <f aca="false">IF(N(Z908)&gt;0,Z908,0)</f>
        <v>0</v>
      </c>
      <c r="BW908" s="60" t="n">
        <f aca="false">IF(ISNUMBER(AC908),1,0)</f>
        <v>0</v>
      </c>
      <c r="BX908" s="57" t="n">
        <f aca="false">N(AC908)</f>
        <v>0</v>
      </c>
      <c r="BY908" s="57" t="n">
        <f aca="false">N(L908)+N(M908)</f>
        <v>1</v>
      </c>
      <c r="BZ908" s="57" t="n">
        <f aca="false">ROUNDUP(G908/BQ908,0)</f>
        <v>0</v>
      </c>
      <c r="CA908" s="57" t="n">
        <f aca="false">ROUNDUP(BX908/BQ908,0)</f>
        <v>0</v>
      </c>
      <c r="CB908" s="60" t="n">
        <f aca="false">IF(BR908=1,0,IFERROR(VLOOKUP(BP908,'Gebinde-Kategorie'!$A$5:$M$45,5,0)+0,0))</f>
        <v>8</v>
      </c>
      <c r="CC908" s="60" t="n">
        <f aca="false">IFERROR(IF(OR(BT908=1,BT908=2,BT908=3),N(INDEX(Parameter!$I$5:$I$7,BT908)),0),0)</f>
        <v>0</v>
      </c>
      <c r="CD908" s="59" t="n">
        <f aca="false">IF(AND(Parameter!$B$21="Ja",ISNUMBER(U908),N(V908)&gt;0),IFERROR(N(INDEX(Parameter!$L$5:$L$7,U908))*INDEX(Parameter!$E$5:$E$7,U908)*V908/SUMIFS($V$7:$V$1576,$U$7:$U$1576,U908),0),0)</f>
        <v>0</v>
      </c>
    </row>
    <row r="909" customFormat="false" ht="15" hidden="false" customHeight="false" outlineLevel="0" collapsed="false">
      <c r="A909" s="55" t="s">
        <v>1692</v>
      </c>
      <c r="B909" s="55" t="s">
        <v>1023</v>
      </c>
      <c r="C909" s="55" t="s">
        <v>160</v>
      </c>
      <c r="D909" s="55" t="s">
        <v>178</v>
      </c>
      <c r="E909" s="55" t="s">
        <v>210</v>
      </c>
      <c r="F909" s="56" t="n">
        <v>7.19</v>
      </c>
      <c r="G909" s="57" t="n">
        <f aca="false">MAX(0,IF(AND(Parameter!$B$21="Ja",ISNUMBER(W909)),W909,IF(Parameter!$B$20="Jahresanfang 2025 + Export",BJ909+BI909,BI909)))</f>
        <v>0</v>
      </c>
      <c r="H909" s="57" t="n">
        <f aca="false">G909*F909</f>
        <v>0</v>
      </c>
      <c r="I909" s="57" t="n">
        <f aca="false">BL909*Parameter!$B$18</f>
        <v>22</v>
      </c>
      <c r="J909" s="58" t="n">
        <v>12.5</v>
      </c>
      <c r="K909" s="59" t="n">
        <v>1.76</v>
      </c>
      <c r="L909" s="57" t="n">
        <v>0</v>
      </c>
      <c r="M909" s="57" t="n">
        <v>20</v>
      </c>
      <c r="N909" s="60" t="n">
        <v>14</v>
      </c>
      <c r="O909" s="55" t="s">
        <v>411</v>
      </c>
      <c r="P909" s="57" t="n">
        <v>22</v>
      </c>
      <c r="Q909" s="60" t="n">
        <f aca="false">IF(BR909=1,0,IFERROR(VLOOKUP(BP909,'Gebinde-Kategorie'!$A$5:$M$45,13,0)+0,0))</f>
        <v>132</v>
      </c>
      <c r="R909" s="61"/>
      <c r="S909" s="62"/>
      <c r="T909" s="62"/>
      <c r="U909" s="55"/>
      <c r="V909" s="57"/>
      <c r="W909" s="57"/>
      <c r="X909" s="55" t="n">
        <f aca="false">IF(A909="","",IF(AND(Parameter!$B$21="Ja",ISNUMBER(U909)),U909,IF(IFERROR(VLOOKUP(D909,Parameter!$A$35:$C$64,2,0),"Nein")="2+3",IF(ISNUMBER(SEARCH("grosser Artikel",BM909)),2,IFERROR(VLOOKUP(BP909,Parameter!$F$35:$G$64,2,0),2)),IF(OR(IFERROR(VLOOKUP(D909,Parameter!$A$35:$C$64,2,0),"Nein")="Nein",IFERROR(VLOOKUP(D909,Parameter!$A$35:$C$64,2,0),"Nein")=""),"-",VLOOKUP(D909,Parameter!$A$35:$C$64,2,0)))))</f>
        <v>3</v>
      </c>
      <c r="Y909" s="62"/>
      <c r="Z909" s="63"/>
      <c r="AA909" s="57" t="n">
        <f aca="false">AP909</f>
        <v>22</v>
      </c>
      <c r="AB909" s="57" t="n">
        <f aca="false">MAX(AP909,G909)</f>
        <v>22</v>
      </c>
      <c r="AC909" s="64"/>
      <c r="AD909" s="57" t="n">
        <f aca="false">IF(LEFT(Cockpit!$C$5,1)="A",G909,IF(BW909=1,BX909,IF(LEFT(Cockpit!$C$5,1)="B",AH909,MAX(AH909,G909))))</f>
        <v>0</v>
      </c>
      <c r="AE909" s="57" t="n">
        <f aca="false">IF(BR909=1,0,ROUNDUP(AD909/BQ909,0))</f>
        <v>0</v>
      </c>
      <c r="AF909" s="59" t="n">
        <f aca="false">IF(CD909&gt;0,CD909*MAX(1,AD909/V909),IF(BR909=1,IF(AD909&lt;=0,0,BS909*MAX(1,IF(G909&gt;0,AD909/G909,1))),IF(Q909&gt;0,AE909/Q909,0))/MAX(0.1,N(Parameter!$M$21)))</f>
        <v>0</v>
      </c>
      <c r="AG909" s="57" t="n">
        <f aca="false">AD909*F909</f>
        <v>0</v>
      </c>
      <c r="AH909" s="57" t="n">
        <f aca="false">ROUNDUP(MAX(I909/IF(BV909&gt;0,BV909,MAX(0.1,N(Cockpit!$C$6))),BY909)/BQ909,0)*BQ909</f>
        <v>22</v>
      </c>
      <c r="AI909" s="58" t="n">
        <f aca="false">IF(AF909&gt;0,I909/AF909,-1)</f>
        <v>-1</v>
      </c>
      <c r="AJ909" s="58" t="str">
        <f aca="false">IF(AND(OR(BU909="L1",BU909="L23"),AF909&gt;0),SUMIFS($AF$7:$AF$1576,$BU$7:$BU$1576,BU909,$AI$7:$AI$1576,"&gt;"&amp;AI909)+SUMIFS($AF$7:$AF$1576,$BU$7:$BU$1576,BU909,$AI$7:$AI$1576,AI909,$BO$7:$BO$1576,"&lt;="&amp;BO909),"")</f>
        <v/>
      </c>
      <c r="AK909" s="65" t="n">
        <f aca="false">IF(AJ909="",0,MAX(0,MIN(1,(IF(BU909="L1",Parameter!$E$5,Parameter!$E$6+Parameter!$E$7)-(AJ909-AF909))/AF909)))</f>
        <v>0</v>
      </c>
      <c r="AL909" s="57" t="n">
        <f aca="false">IF(LEFT(Cockpit!$I$5,1)="A",G909,IF(BW909=1,BX909,IF(LEFT(Cockpit!$I$5,1)="B",AP909,MAX(AP909,G909))))</f>
        <v>22</v>
      </c>
      <c r="AM909" s="57" t="n">
        <f aca="false">IF(BR909=1,0,ROUNDUP(AL909/BQ909,0))</f>
        <v>1</v>
      </c>
      <c r="AN909" s="59" t="n">
        <f aca="false">IF(CD909&gt;0,CD909*MAX(1,AL909/V909),IF(BR909=1,IF(AL909&lt;=0,0,BS909*MAX(1,IF(G909&gt;0,AL909/G909,1))),IF(Q909&gt;0,AM909/Q909,0))/MAX(0.1,N(Parameter!$M$21)))</f>
        <v>0.00757575757575758</v>
      </c>
      <c r="AO909" s="57" t="n">
        <f aca="false">AL909*F909</f>
        <v>158.18</v>
      </c>
      <c r="AP909" s="57" t="n">
        <f aca="false">ROUNDUP(MAX(I909/IF(BV909&gt;0,BV909,MAX(0.1,N(Cockpit!$I$6))),BY909)/BQ909,0)*BQ909</f>
        <v>22</v>
      </c>
      <c r="AQ909" s="58" t="n">
        <f aca="false">IF(AN909&gt;0,I909/AN909,-1)</f>
        <v>2904</v>
      </c>
      <c r="AR909" s="58" t="n">
        <f aca="false">IF(AND(OR(BU909="L1",BU909="L23"),AN909&gt;0),SUMIFS($AN$7:$AN$1576,$BU$7:$BU$1576,BU909,$AQ$7:$AQ$1576,"&gt;"&amp;AQ909)+SUMIFS($AN$7:$AN$1576,$BU$7:$BU$1576,BU909,$AQ$7:$AQ$1576,AQ909,$BO$7:$BO$1576,"&lt;="&amp;BO909),"")</f>
        <v>14.5142072666464</v>
      </c>
      <c r="AS909" s="65" t="n">
        <f aca="false">IF(AR909="",0,MAX(0,MIN(1,(IF(BU909="L1",Parameter!$E$5,Parameter!$E$6+Parameter!$E$7)-(AR909-AN909))/AN909)))</f>
        <v>1</v>
      </c>
      <c r="AT909" s="57" t="n">
        <f aca="false">IF(LEFT(Cockpit!$O$5,1)="A",G909,IF(BW909=1,BX909,IF(LEFT(Cockpit!$O$5,1)="B",AX909,MAX(AX909,G909))))</f>
        <v>22</v>
      </c>
      <c r="AU909" s="57" t="n">
        <f aca="false">IF(BR909=1,0,ROUNDUP(AT909/BQ909,0))</f>
        <v>1</v>
      </c>
      <c r="AV909" s="59" t="n">
        <f aca="false">IF(CD909&gt;0,CD909*MAX(1,AT909/V909),IF(BR909=1,IF(AT909&lt;=0,0,BS909*MAX(1,IF(G909&gt;0,AT909/G909,1))),IF(Q909&gt;0,AU909/Q909,0))/MAX(0.1,N(Parameter!$M$21)))</f>
        <v>0.00757575757575758</v>
      </c>
      <c r="AW909" s="57" t="n">
        <f aca="false">AT909*F909</f>
        <v>158.18</v>
      </c>
      <c r="AX909" s="57" t="n">
        <f aca="false">ROUNDUP(MAX(I909/IF(BV909&gt;0,BV909,MAX(0.1,N(Cockpit!$O$6))),BY909)/BQ909,0)*BQ909</f>
        <v>22</v>
      </c>
      <c r="AY909" s="58" t="n">
        <f aca="false">IF(AV909&gt;0,I909/AV909,-1)</f>
        <v>2904</v>
      </c>
      <c r="AZ909" s="58" t="n">
        <f aca="false">IF(AND(OR(BU909="L1",BU909="L23"),AV909&gt;0),SUMIFS($AV$7:$AV$1576,$BU$7:$BU$1576,BU909,$AY$7:$AY$1576,"&gt;"&amp;AY909)+SUMIFS($AV$7:$AV$1576,$BU$7:$BU$1576,BU909,$AY$7:$AY$1576,AY909,$BO$7:$BO$1576,"&lt;="&amp;BO909),"")</f>
        <v>13.2350697375089</v>
      </c>
      <c r="BA909" s="65" t="n">
        <f aca="false">IF(AZ909="",0,MAX(0,MIN(1,(IF(BU909="L1",Parameter!$E$5,Parameter!$E$6+Parameter!$E$7)-(AZ909-AV909))/AV909)))</f>
        <v>1</v>
      </c>
      <c r="BB909" s="55" t="str">
        <f aca="false">IF(AF909&lt;=0,"",IF(BU909="Aussen","Aussenlager",IF(BU909="-","Nicht im Lift",IF(AK909&gt;=1,"Lift",IF(AK909&lt;=0,"Aussenlager","teilweise")))))</f>
        <v/>
      </c>
      <c r="BC909" s="55" t="str">
        <f aca="false">IF(AN909&lt;=0,"",IF(BU909="Aussen","Aussenlager",IF(BU909="-","Nicht im Lift",IF(AS909&gt;=1,"Lift",IF(AS909&lt;=0,"Aussenlager","teilweise")))))</f>
        <v>Lift</v>
      </c>
      <c r="BD909" s="55" t="str">
        <f aca="false">IF(AV909&lt;=0,"",IF(BU909="Aussen","Aussenlager",IF(BU909="-","Nicht im Lift",IF(BA909&gt;=1,"Lift",IF(BA909&lt;=0,"Aussenlager","teilweise")))))</f>
        <v>Lift</v>
      </c>
      <c r="BE909" s="55" t="str">
        <f aca="false">IF(A909="","",IF(BN909=1,"Neu; ","")&amp;IF(AND(BN909=0,BI909&lt;0),"negativer Bestand (Export "&amp;BI909&amp;"); ","")&amp;IF(I909&lt;=0,"Kein Verbrauch; ","")&amp;IF(CD909&gt;0,"Lift "&amp;U909&amp;" lt. Liftbericht (Fach "&amp;V909&amp;" Stk); ",IF(BR909=1,"Lose – Fläche geschätzt; ",""))&amp;IF(G909&gt;AP909,"Überbestand "&amp;ROUND(G909-AP909,0)&amp;" Stk / CHF "&amp;ROUND((G909-AP909)*F909,0)&amp;"; ","")&amp;IF(AND(BW909=1,BX909&lt;BY909),"MAX &lt; MB+LG; ","")&amp;IF(AND(CC909&gt;0,CB909*10&gt;CC909),"zu hoch für Tablar; ","")&amp;IF(AND(BN909=0,OR(BW909=1,Y909&lt;&gt;"",S909&lt;&gt;"",T909&lt;&gt;"",Z909&lt;&gt;"")),"manuell übersteuert; ","")&amp;IF(AND(BR909=0,Q909=0),"Gebinde unbekannt / Stellmass fehlt; ","")&amp;IF(AND(BR909=0,N(T909)&lt;=0,N(P909)&lt;=0),"Menge pro Gebinde fehlt (Ist = 1 Gebinde); ","")&amp;BM909)</f>
        <v>negativer Bestand (Export -5); </v>
      </c>
      <c r="BF909" s="55"/>
      <c r="BG909" s="55"/>
      <c r="BH909" s="62"/>
      <c r="BI909" s="57" t="n">
        <v>-5</v>
      </c>
      <c r="BJ909" s="57" t="n">
        <v>14</v>
      </c>
      <c r="BK909" s="56" t="n">
        <v>-37.35</v>
      </c>
      <c r="BL909" s="57" t="n">
        <v>22</v>
      </c>
      <c r="BM909" s="55"/>
      <c r="BN909" s="60" t="n">
        <v>0</v>
      </c>
      <c r="BO909" s="60" t="n">
        <v>909</v>
      </c>
      <c r="BP909" s="55" t="str">
        <f aca="false">IF(S909&lt;&gt;"",UPPER(TRIM(S909)),IF(O909="","LOSE",O909))</f>
        <v>S32</v>
      </c>
      <c r="BQ909" s="57" t="n">
        <f aca="false">IF(BP909="LOSE",1,IF(N(T909)&gt;0,T909,IF(N(P909)&gt;0,P909,MAX(1,G909))))</f>
        <v>22</v>
      </c>
      <c r="BR909" s="60" t="n">
        <f aca="false">IF(BP909="LOSE",1,0)</f>
        <v>0</v>
      </c>
      <c r="BS909" s="59" t="n">
        <f aca="false">IF(BR909=0,0,IF(N(R909)&gt;0,R909,IFERROR(VLOOKUP(D909,Parameter!$A$35:$C$64,3,0)+0,0)))</f>
        <v>0</v>
      </c>
      <c r="BT909" s="55" t="n">
        <f aca="false">IF(Y909&lt;&gt;"",Y909,X909)</f>
        <v>3</v>
      </c>
      <c r="BU909" s="55" t="str">
        <f aca="false">IF(BT909=1,"L1",IF(OR(BT909=2,BT909=3),"L23",IF(BT909="Aussen","Aussen","-")))</f>
        <v>L23</v>
      </c>
      <c r="BV909" s="66" t="n">
        <f aca="false">IF(N(Z909)&gt;0,Z909,0)</f>
        <v>0</v>
      </c>
      <c r="BW909" s="60" t="n">
        <f aca="false">IF(ISNUMBER(AC909),1,0)</f>
        <v>0</v>
      </c>
      <c r="BX909" s="57" t="n">
        <f aca="false">N(AC909)</f>
        <v>0</v>
      </c>
      <c r="BY909" s="57" t="n">
        <f aca="false">N(L909)+N(M909)</f>
        <v>20</v>
      </c>
      <c r="BZ909" s="57" t="n">
        <f aca="false">ROUNDUP(G909/BQ909,0)</f>
        <v>0</v>
      </c>
      <c r="CA909" s="57" t="n">
        <f aca="false">ROUNDUP(BX909/BQ909,0)</f>
        <v>0</v>
      </c>
      <c r="CB909" s="60" t="n">
        <f aca="false">IF(BR909=1,0,IFERROR(VLOOKUP(BP909,'Gebinde-Kategorie'!$A$5:$M$45,5,0)+0,0))</f>
        <v>8</v>
      </c>
      <c r="CC909" s="60" t="n">
        <f aca="false">IFERROR(IF(OR(BT909=1,BT909=2,BT909=3),N(INDEX(Parameter!$I$5:$I$7,BT909)),0),0)</f>
        <v>0</v>
      </c>
      <c r="CD909" s="59" t="n">
        <f aca="false">IF(AND(Parameter!$B$21="Ja",ISNUMBER(U909),N(V909)&gt;0),IFERROR(N(INDEX(Parameter!$L$5:$L$7,U909))*INDEX(Parameter!$E$5:$E$7,U909)*V909/SUMIFS($V$7:$V$1576,$U$7:$U$1576,U909),0),0)</f>
        <v>0</v>
      </c>
    </row>
    <row r="910" customFormat="false" ht="15" hidden="false" customHeight="false" outlineLevel="0" collapsed="false">
      <c r="A910" s="55" t="s">
        <v>1693</v>
      </c>
      <c r="B910" s="55" t="s">
        <v>1040</v>
      </c>
      <c r="C910" s="55" t="s">
        <v>160</v>
      </c>
      <c r="D910" s="55" t="s">
        <v>178</v>
      </c>
      <c r="E910" s="55" t="s">
        <v>210</v>
      </c>
      <c r="F910" s="56" t="n">
        <v>37.68</v>
      </c>
      <c r="G910" s="57" t="n">
        <f aca="false">MAX(0,IF(AND(Parameter!$B$21="Ja",ISNUMBER(W910)),W910,IF(Parameter!$B$20="Jahresanfang 2025 + Export",BJ910+BI910,BI910)))</f>
        <v>0</v>
      </c>
      <c r="H910" s="57" t="n">
        <f aca="false">G910*F910</f>
        <v>0</v>
      </c>
      <c r="I910" s="57" t="n">
        <f aca="false">BL910*Parameter!$B$18</f>
        <v>0</v>
      </c>
      <c r="J910" s="58" t="n">
        <v>19.5</v>
      </c>
      <c r="K910" s="59" t="n">
        <v>0</v>
      </c>
      <c r="L910" s="57" t="n">
        <v>0</v>
      </c>
      <c r="M910" s="57" t="n">
        <v>1</v>
      </c>
      <c r="N910" s="60" t="n">
        <v>70</v>
      </c>
      <c r="O910" s="55" t="s">
        <v>163</v>
      </c>
      <c r="P910" s="57"/>
      <c r="Q910" s="60" t="n">
        <f aca="false">IF(BR910=1,0,IFERROR(VLOOKUP(BP910,'Gebinde-Kategorie'!$A$5:$M$45,13,0)+0,0))</f>
        <v>0</v>
      </c>
      <c r="R910" s="61"/>
      <c r="S910" s="62"/>
      <c r="T910" s="62"/>
      <c r="U910" s="55"/>
      <c r="V910" s="57"/>
      <c r="W910" s="57"/>
      <c r="X910" s="55" t="n">
        <f aca="false">IF(A910="","",IF(AND(Parameter!$B$21="Ja",ISNUMBER(U910)),U910,IF(IFERROR(VLOOKUP(D910,Parameter!$A$35:$C$64,2,0),"Nein")="2+3",IF(ISNUMBER(SEARCH("grosser Artikel",BM910)),2,IFERROR(VLOOKUP(BP910,Parameter!$F$35:$G$64,2,0),2)),IF(OR(IFERROR(VLOOKUP(D910,Parameter!$A$35:$C$64,2,0),"Nein")="Nein",IFERROR(VLOOKUP(D910,Parameter!$A$35:$C$64,2,0),"Nein")=""),"-",VLOOKUP(D910,Parameter!$A$35:$C$64,2,0)))))</f>
        <v>2</v>
      </c>
      <c r="Y910" s="62"/>
      <c r="Z910" s="63"/>
      <c r="AA910" s="57" t="n">
        <f aca="false">AP910</f>
        <v>1</v>
      </c>
      <c r="AB910" s="57" t="n">
        <f aca="false">MAX(AP910,G910)</f>
        <v>1</v>
      </c>
      <c r="AC910" s="64"/>
      <c r="AD910" s="57" t="n">
        <f aca="false">IF(LEFT(Cockpit!$C$5,1)="A",G910,IF(BW910=1,BX910,IF(LEFT(Cockpit!$C$5,1)="B",AH910,MAX(AH910,G910))))</f>
        <v>0</v>
      </c>
      <c r="AE910" s="57" t="n">
        <f aca="false">IF(BR910=1,0,ROUNDUP(AD910/BQ910,0))</f>
        <v>0</v>
      </c>
      <c r="AF910" s="59" t="n">
        <f aca="false">IF(CD910&gt;0,CD910*MAX(1,AD910/V910),IF(BR910=1,IF(AD910&lt;=0,0,BS910*MAX(1,IF(G910&gt;0,AD910/G910,1))),IF(Q910&gt;0,AE910/Q910,0))/MAX(0.1,N(Parameter!$M$21)))</f>
        <v>0</v>
      </c>
      <c r="AG910" s="57" t="n">
        <f aca="false">AD910*F910</f>
        <v>0</v>
      </c>
      <c r="AH910" s="57" t="n">
        <f aca="false">ROUNDUP(MAX(I910/IF(BV910&gt;0,BV910,MAX(0.1,N(Cockpit!$C$6))),BY910)/BQ910,0)*BQ910</f>
        <v>1</v>
      </c>
      <c r="AI910" s="58" t="n">
        <f aca="false">IF(AF910&gt;0,I910/AF910,-1)</f>
        <v>-1</v>
      </c>
      <c r="AJ910" s="58" t="str">
        <f aca="false">IF(AND(OR(BU910="L1",BU910="L23"),AF910&gt;0),SUMIFS($AF$7:$AF$1576,$BU$7:$BU$1576,BU910,$AI$7:$AI$1576,"&gt;"&amp;AI910)+SUMIFS($AF$7:$AF$1576,$BU$7:$BU$1576,BU910,$AI$7:$AI$1576,AI910,$BO$7:$BO$1576,"&lt;="&amp;BO910),"")</f>
        <v/>
      </c>
      <c r="AK910" s="65" t="n">
        <f aca="false">IF(AJ910="",0,MAX(0,MIN(1,(IF(BU910="L1",Parameter!$E$5,Parameter!$E$6+Parameter!$E$7)-(AJ910-AF910))/AF910)))</f>
        <v>0</v>
      </c>
      <c r="AL910" s="57" t="n">
        <f aca="false">IF(LEFT(Cockpit!$I$5,1)="A",G910,IF(BW910=1,BX910,IF(LEFT(Cockpit!$I$5,1)="B",AP910,MAX(AP910,G910))))</f>
        <v>1</v>
      </c>
      <c r="AM910" s="57" t="n">
        <f aca="false">IF(BR910=1,0,ROUNDUP(AL910/BQ910,0))</f>
        <v>0</v>
      </c>
      <c r="AN910" s="59" t="n">
        <f aca="false">IF(CD910&gt;0,CD910*MAX(1,AL910/V910),IF(BR910=1,IF(AL910&lt;=0,0,BS910*MAX(1,IF(G910&gt;0,AL910/G910,1))),IF(Q910&gt;0,AM910/Q910,0))/MAX(0.1,N(Parameter!$M$21)))</f>
        <v>0.03</v>
      </c>
      <c r="AO910" s="57" t="n">
        <f aca="false">AL910*F910</f>
        <v>37.68</v>
      </c>
      <c r="AP910" s="57" t="n">
        <f aca="false">ROUNDUP(MAX(I910/IF(BV910&gt;0,BV910,MAX(0.1,N(Cockpit!$I$6))),BY910)/BQ910,0)*BQ910</f>
        <v>1</v>
      </c>
      <c r="AQ910" s="58" t="n">
        <f aca="false">IF(AN910&gt;0,I910/AN910,-1)</f>
        <v>0</v>
      </c>
      <c r="AR910" s="58" t="n">
        <f aca="false">IF(AND(OR(BU910="L1",BU910="L23"),AN910&gt;0),SUMIFS($AN$7:$AN$1576,$BU$7:$BU$1576,BU910,$AQ$7:$AQ$1576,"&gt;"&amp;AQ910)+SUMIFS($AN$7:$AN$1576,$BU$7:$BU$1576,BU910,$AQ$7:$AQ$1576,AQ910,$BO$7:$BO$1576,"&lt;="&amp;BO910),"")</f>
        <v>131.221862847345</v>
      </c>
      <c r="AS910" s="65" t="n">
        <f aca="false">IF(AR910="",0,MAX(0,MIN(1,(IF(BU910="L1",Parameter!$E$5,Parameter!$E$6+Parameter!$E$7)-(AR910-AN910))/AN910)))</f>
        <v>0</v>
      </c>
      <c r="AT910" s="57" t="n">
        <f aca="false">IF(LEFT(Cockpit!$O$5,1)="A",G910,IF(BW910=1,BX910,IF(LEFT(Cockpit!$O$5,1)="B",AX910,MAX(AX910,G910))))</f>
        <v>1</v>
      </c>
      <c r="AU910" s="57" t="n">
        <f aca="false">IF(BR910=1,0,ROUNDUP(AT910/BQ910,0))</f>
        <v>0</v>
      </c>
      <c r="AV910" s="59" t="n">
        <f aca="false">IF(CD910&gt;0,CD910*MAX(1,AT910/V910),IF(BR910=1,IF(AT910&lt;=0,0,BS910*MAX(1,IF(G910&gt;0,AT910/G910,1))),IF(Q910&gt;0,AU910/Q910,0))/MAX(0.1,N(Parameter!$M$21)))</f>
        <v>0.03</v>
      </c>
      <c r="AW910" s="57" t="n">
        <f aca="false">AT910*F910</f>
        <v>37.68</v>
      </c>
      <c r="AX910" s="57" t="n">
        <f aca="false">ROUNDUP(MAX(I910/IF(BV910&gt;0,BV910,MAX(0.1,N(Cockpit!$O$6))),BY910)/BQ910,0)*BQ910</f>
        <v>1</v>
      </c>
      <c r="AY910" s="58" t="n">
        <f aca="false">IF(AV910&gt;0,I910/AV910,-1)</f>
        <v>0</v>
      </c>
      <c r="AZ910" s="58" t="n">
        <f aca="false">IF(AND(OR(BU910="L1",BU910="L23"),AV910&gt;0),SUMIFS($AV$7:$AV$1576,$BU$7:$BU$1576,BU910,$AY$7:$AY$1576,"&gt;"&amp;AY910)+SUMIFS($AV$7:$AV$1576,$BU$7:$BU$1576,BU910,$AY$7:$AY$1576,AY910,$BO$7:$BO$1576,"&lt;="&amp;BO910),"")</f>
        <v>121.281413296896</v>
      </c>
      <c r="BA910" s="65" t="n">
        <f aca="false">IF(AZ910="",0,MAX(0,MIN(1,(IF(BU910="L1",Parameter!$E$5,Parameter!$E$6+Parameter!$E$7)-(AZ910-AV910))/AV910)))</f>
        <v>0</v>
      </c>
      <c r="BB910" s="55" t="str">
        <f aca="false">IF(AF910&lt;=0,"",IF(BU910="Aussen","Aussenlager",IF(BU910="-","Nicht im Lift",IF(AK910&gt;=1,"Lift",IF(AK910&lt;=0,"Aussenlager","teilweise")))))</f>
        <v/>
      </c>
      <c r="BC910" s="55" t="str">
        <f aca="false">IF(AN910&lt;=0,"",IF(BU910="Aussen","Aussenlager",IF(BU910="-","Nicht im Lift",IF(AS910&gt;=1,"Lift",IF(AS910&lt;=0,"Aussenlager","teilweise")))))</f>
        <v>Aussenlager</v>
      </c>
      <c r="BD910" s="55" t="str">
        <f aca="false">IF(AV910&lt;=0,"",IF(BU910="Aussen","Aussenlager",IF(BU910="-","Nicht im Lift",IF(BA910&gt;=1,"Lift",IF(BA910&lt;=0,"Aussenlager","teilweise")))))</f>
        <v>Aussenlager</v>
      </c>
      <c r="BE910" s="55" t="str">
        <f aca="false">IF(A910="","",IF(BN910=1,"Neu; ","")&amp;IF(AND(BN910=0,BI910&lt;0),"negativer Bestand (Export "&amp;BI910&amp;"); ","")&amp;IF(I910&lt;=0,"Kein Verbrauch; ","")&amp;IF(CD910&gt;0,"Lift "&amp;U910&amp;" lt. Liftbericht (Fach "&amp;V910&amp;" Stk); ",IF(BR910=1,"Lose – Fläche geschätzt; ",""))&amp;IF(G910&gt;AP910,"Überbestand "&amp;ROUND(G910-AP910,0)&amp;" Stk / CHF "&amp;ROUND((G910-AP910)*F910,0)&amp;"; ","")&amp;IF(AND(BW910=1,BX910&lt;BY910),"MAX &lt; MB+LG; ","")&amp;IF(AND(CC910&gt;0,CB910*10&gt;CC910),"zu hoch für Tablar; ","")&amp;IF(AND(BN910=0,OR(BW910=1,Y910&lt;&gt;"",S910&lt;&gt;"",T910&lt;&gt;"",Z910&lt;&gt;"")),"manuell übersteuert; ","")&amp;IF(AND(BR910=0,Q910=0),"Gebinde unbekannt / Stellmass fehlt; ","")&amp;IF(AND(BR910=0,N(T910)&lt;=0,N(P910)&lt;=0),"Menge pro Gebinde fehlt (Ist = 1 Gebinde); ","")&amp;BM910)</f>
        <v>negativer Bestand (Export -1); Kein Verbrauch; Lose – Fläche geschätzt; </v>
      </c>
      <c r="BF910" s="55"/>
      <c r="BG910" s="55"/>
      <c r="BH910" s="62"/>
      <c r="BI910" s="57" t="n">
        <v>-1</v>
      </c>
      <c r="BJ910" s="57" t="n">
        <v>20</v>
      </c>
      <c r="BK910" s="56" t="n">
        <v>-37.68</v>
      </c>
      <c r="BL910" s="57" t="n">
        <v>0</v>
      </c>
      <c r="BM910" s="55"/>
      <c r="BN910" s="60" t="n">
        <v>0</v>
      </c>
      <c r="BO910" s="60" t="n">
        <v>910</v>
      </c>
      <c r="BP910" s="55" t="str">
        <f aca="false">IF(S910&lt;&gt;"",UPPER(TRIM(S910)),IF(O910="","LOSE",O910))</f>
        <v>LOSE</v>
      </c>
      <c r="BQ910" s="57" t="n">
        <f aca="false">IF(BP910="LOSE",1,IF(N(T910)&gt;0,T910,IF(N(P910)&gt;0,P910,MAX(1,G910))))</f>
        <v>1</v>
      </c>
      <c r="BR910" s="60" t="n">
        <f aca="false">IF(BP910="LOSE",1,0)</f>
        <v>1</v>
      </c>
      <c r="BS910" s="59" t="n">
        <f aca="false">IF(BR910=0,0,IF(N(R910)&gt;0,R910,IFERROR(VLOOKUP(D910,Parameter!$A$35:$C$64,3,0)+0,0)))</f>
        <v>0.03</v>
      </c>
      <c r="BT910" s="55" t="n">
        <f aca="false">IF(Y910&lt;&gt;"",Y910,X910)</f>
        <v>2</v>
      </c>
      <c r="BU910" s="55" t="str">
        <f aca="false">IF(BT910=1,"L1",IF(OR(BT910=2,BT910=3),"L23",IF(BT910="Aussen","Aussen","-")))</f>
        <v>L23</v>
      </c>
      <c r="BV910" s="66" t="n">
        <f aca="false">IF(N(Z910)&gt;0,Z910,0)</f>
        <v>0</v>
      </c>
      <c r="BW910" s="60" t="n">
        <f aca="false">IF(ISNUMBER(AC910),1,0)</f>
        <v>0</v>
      </c>
      <c r="BX910" s="57" t="n">
        <f aca="false">N(AC910)</f>
        <v>0</v>
      </c>
      <c r="BY910" s="57" t="n">
        <f aca="false">N(L910)+N(M910)</f>
        <v>1</v>
      </c>
      <c r="BZ910" s="57" t="n">
        <f aca="false">ROUNDUP(G910/BQ910,0)</f>
        <v>0</v>
      </c>
      <c r="CA910" s="57" t="n">
        <f aca="false">ROUNDUP(BX910/BQ910,0)</f>
        <v>0</v>
      </c>
      <c r="CB910" s="60" t="n">
        <f aca="false">IF(BR910=1,0,IFERROR(VLOOKUP(BP910,'Gebinde-Kategorie'!$A$5:$M$45,5,0)+0,0))</f>
        <v>0</v>
      </c>
      <c r="CC910" s="60" t="n">
        <f aca="false">IFERROR(IF(OR(BT910=1,BT910=2,BT910=3),N(INDEX(Parameter!$I$5:$I$7,BT910)),0),0)</f>
        <v>0</v>
      </c>
      <c r="CD910" s="59" t="n">
        <f aca="false">IF(AND(Parameter!$B$21="Ja",ISNUMBER(U910),N(V910)&gt;0),IFERROR(N(INDEX(Parameter!$L$5:$L$7,U910))*INDEX(Parameter!$E$5:$E$7,U910)*V910/SUMIFS($V$7:$V$1576,$U$7:$U$1576,U910),0),0)</f>
        <v>0</v>
      </c>
    </row>
    <row r="911" customFormat="false" ht="15" hidden="false" customHeight="false" outlineLevel="0" collapsed="false">
      <c r="A911" s="55" t="s">
        <v>1694</v>
      </c>
      <c r="B911" s="55" t="s">
        <v>1695</v>
      </c>
      <c r="C911" s="55" t="s">
        <v>160</v>
      </c>
      <c r="D911" s="55" t="s">
        <v>178</v>
      </c>
      <c r="E911" s="55" t="s">
        <v>210</v>
      </c>
      <c r="F911" s="56" t="n">
        <v>38.53</v>
      </c>
      <c r="G911" s="57" t="n">
        <f aca="false">MAX(0,IF(AND(Parameter!$B$21="Ja",ISNUMBER(W911)),W911,IF(Parameter!$B$20="Jahresanfang 2025 + Export",BJ911+BI911,BI911)))</f>
        <v>0</v>
      </c>
      <c r="H911" s="57" t="n">
        <f aca="false">G911*F911</f>
        <v>0</v>
      </c>
      <c r="I911" s="57" t="n">
        <f aca="false">BL911*Parameter!$B$18</f>
        <v>0</v>
      </c>
      <c r="J911" s="58" t="n">
        <v>8</v>
      </c>
      <c r="K911" s="59" t="n">
        <v>0</v>
      </c>
      <c r="L911" s="57" t="n">
        <v>0</v>
      </c>
      <c r="M911" s="57" t="n">
        <v>1</v>
      </c>
      <c r="N911" s="60" t="n">
        <v>70</v>
      </c>
      <c r="O911" s="55" t="s">
        <v>465</v>
      </c>
      <c r="P911" s="57" t="n">
        <v>16</v>
      </c>
      <c r="Q911" s="60" t="n">
        <f aca="false">IF(BR911=1,0,IFERROR(VLOOKUP(BP911,'Gebinde-Kategorie'!$A$5:$M$45,13,0)+0,0))</f>
        <v>66</v>
      </c>
      <c r="R911" s="61"/>
      <c r="S911" s="62"/>
      <c r="T911" s="62"/>
      <c r="U911" s="55"/>
      <c r="V911" s="57"/>
      <c r="W911" s="57"/>
      <c r="X911" s="55" t="n">
        <f aca="false">IF(A911="","",IF(AND(Parameter!$B$21="Ja",ISNUMBER(U911)),U911,IF(IFERROR(VLOOKUP(D911,Parameter!$A$35:$C$64,2,0),"Nein")="2+3",IF(ISNUMBER(SEARCH("grosser Artikel",BM911)),2,IFERROR(VLOOKUP(BP911,Parameter!$F$35:$G$64,2,0),2)),IF(OR(IFERROR(VLOOKUP(D911,Parameter!$A$35:$C$64,2,0),"Nein")="Nein",IFERROR(VLOOKUP(D911,Parameter!$A$35:$C$64,2,0),"Nein")=""),"-",VLOOKUP(D911,Parameter!$A$35:$C$64,2,0)))))</f>
        <v>3</v>
      </c>
      <c r="Y911" s="62"/>
      <c r="Z911" s="63"/>
      <c r="AA911" s="57" t="n">
        <f aca="false">AP911</f>
        <v>16</v>
      </c>
      <c r="AB911" s="57" t="n">
        <f aca="false">MAX(AP911,G911)</f>
        <v>16</v>
      </c>
      <c r="AC911" s="64"/>
      <c r="AD911" s="57" t="n">
        <f aca="false">IF(LEFT(Cockpit!$C$5,1)="A",G911,IF(BW911=1,BX911,IF(LEFT(Cockpit!$C$5,1)="B",AH911,MAX(AH911,G911))))</f>
        <v>0</v>
      </c>
      <c r="AE911" s="57" t="n">
        <f aca="false">IF(BR911=1,0,ROUNDUP(AD911/BQ911,0))</f>
        <v>0</v>
      </c>
      <c r="AF911" s="59" t="n">
        <f aca="false">IF(CD911&gt;0,CD911*MAX(1,AD911/V911),IF(BR911=1,IF(AD911&lt;=0,0,BS911*MAX(1,IF(G911&gt;0,AD911/G911,1))),IF(Q911&gt;0,AE911/Q911,0))/MAX(0.1,N(Parameter!$M$21)))</f>
        <v>0</v>
      </c>
      <c r="AG911" s="57" t="n">
        <f aca="false">AD911*F911</f>
        <v>0</v>
      </c>
      <c r="AH911" s="57" t="n">
        <f aca="false">ROUNDUP(MAX(I911/IF(BV911&gt;0,BV911,MAX(0.1,N(Cockpit!$C$6))),BY911)/BQ911,0)*BQ911</f>
        <v>16</v>
      </c>
      <c r="AI911" s="58" t="n">
        <f aca="false">IF(AF911&gt;0,I911/AF911,-1)</f>
        <v>-1</v>
      </c>
      <c r="AJ911" s="58" t="str">
        <f aca="false">IF(AND(OR(BU911="L1",BU911="L23"),AF911&gt;0),SUMIFS($AF$7:$AF$1576,$BU$7:$BU$1576,BU911,$AI$7:$AI$1576,"&gt;"&amp;AI911)+SUMIFS($AF$7:$AF$1576,$BU$7:$BU$1576,BU911,$AI$7:$AI$1576,AI911,$BO$7:$BO$1576,"&lt;="&amp;BO911),"")</f>
        <v/>
      </c>
      <c r="AK911" s="65" t="n">
        <f aca="false">IF(AJ911="",0,MAX(0,MIN(1,(IF(BU911="L1",Parameter!$E$5,Parameter!$E$6+Parameter!$E$7)-(AJ911-AF911))/AF911)))</f>
        <v>0</v>
      </c>
      <c r="AL911" s="57" t="n">
        <f aca="false">IF(LEFT(Cockpit!$I$5,1)="A",G911,IF(BW911=1,BX911,IF(LEFT(Cockpit!$I$5,1)="B",AP911,MAX(AP911,G911))))</f>
        <v>16</v>
      </c>
      <c r="AM911" s="57" t="n">
        <f aca="false">IF(BR911=1,0,ROUNDUP(AL911/BQ911,0))</f>
        <v>1</v>
      </c>
      <c r="AN911" s="59" t="n">
        <f aca="false">IF(CD911&gt;0,CD911*MAX(1,AL911/V911),IF(BR911=1,IF(AL911&lt;=0,0,BS911*MAX(1,IF(G911&gt;0,AL911/G911,1))),IF(Q911&gt;0,AM911/Q911,0))/MAX(0.1,N(Parameter!$M$21)))</f>
        <v>0.0151515151515152</v>
      </c>
      <c r="AO911" s="57" t="n">
        <f aca="false">AL911*F911</f>
        <v>616.48</v>
      </c>
      <c r="AP911" s="57" t="n">
        <f aca="false">ROUNDUP(MAX(I911/IF(BV911&gt;0,BV911,MAX(0.1,N(Cockpit!$I$6))),BY911)/BQ911,0)*BQ911</f>
        <v>16</v>
      </c>
      <c r="AQ911" s="58" t="n">
        <f aca="false">IF(AN911&gt;0,I911/AN911,-1)</f>
        <v>0</v>
      </c>
      <c r="AR911" s="58" t="n">
        <f aca="false">IF(AND(OR(BU911="L1",BU911="L23"),AN911&gt;0),SUMIFS($AN$7:$AN$1576,$BU$7:$BU$1576,BU911,$AQ$7:$AQ$1576,"&gt;"&amp;AQ911)+SUMIFS($AN$7:$AN$1576,$BU$7:$BU$1576,BU911,$AQ$7:$AQ$1576,AQ911,$BO$7:$BO$1576,"&lt;="&amp;BO911),"")</f>
        <v>131.237014362497</v>
      </c>
      <c r="AS911" s="65" t="n">
        <f aca="false">IF(AR911="",0,MAX(0,MIN(1,(IF(BU911="L1",Parameter!$E$5,Parameter!$E$6+Parameter!$E$7)-(AR911-AN911))/AN911)))</f>
        <v>0</v>
      </c>
      <c r="AT911" s="57" t="n">
        <f aca="false">IF(LEFT(Cockpit!$O$5,1)="A",G911,IF(BW911=1,BX911,IF(LEFT(Cockpit!$O$5,1)="B",AX911,MAX(AX911,G911))))</f>
        <v>16</v>
      </c>
      <c r="AU911" s="57" t="n">
        <f aca="false">IF(BR911=1,0,ROUNDUP(AT911/BQ911,0))</f>
        <v>1</v>
      </c>
      <c r="AV911" s="59" t="n">
        <f aca="false">IF(CD911&gt;0,CD911*MAX(1,AT911/V911),IF(BR911=1,IF(AT911&lt;=0,0,BS911*MAX(1,IF(G911&gt;0,AT911/G911,1))),IF(Q911&gt;0,AU911/Q911,0))/MAX(0.1,N(Parameter!$M$21)))</f>
        <v>0.0151515151515152</v>
      </c>
      <c r="AW911" s="57" t="n">
        <f aca="false">AT911*F911</f>
        <v>616.48</v>
      </c>
      <c r="AX911" s="57" t="n">
        <f aca="false">ROUNDUP(MAX(I911/IF(BV911&gt;0,BV911,MAX(0.1,N(Cockpit!$O$6))),BY911)/BQ911,0)*BQ911</f>
        <v>16</v>
      </c>
      <c r="AY911" s="58" t="n">
        <f aca="false">IF(AV911&gt;0,I911/AV911,-1)</f>
        <v>0</v>
      </c>
      <c r="AZ911" s="58" t="n">
        <f aca="false">IF(AND(OR(BU911="L1",BU911="L23"),AV911&gt;0),SUMIFS($AV$7:$AV$1576,$BU$7:$BU$1576,BU911,$AY$7:$AY$1576,"&gt;"&amp;AY911)+SUMIFS($AV$7:$AV$1576,$BU$7:$BU$1576,BU911,$AY$7:$AY$1576,AY911,$BO$7:$BO$1576,"&lt;="&amp;BO911),"")</f>
        <v>121.296564812047</v>
      </c>
      <c r="BA911" s="65" t="n">
        <f aca="false">IF(AZ911="",0,MAX(0,MIN(1,(IF(BU911="L1",Parameter!$E$5,Parameter!$E$6+Parameter!$E$7)-(AZ911-AV911))/AV911)))</f>
        <v>0</v>
      </c>
      <c r="BB911" s="55" t="str">
        <f aca="false">IF(AF911&lt;=0,"",IF(BU911="Aussen","Aussenlager",IF(BU911="-","Nicht im Lift",IF(AK911&gt;=1,"Lift",IF(AK911&lt;=0,"Aussenlager","teilweise")))))</f>
        <v/>
      </c>
      <c r="BC911" s="55" t="str">
        <f aca="false">IF(AN911&lt;=0,"",IF(BU911="Aussen","Aussenlager",IF(BU911="-","Nicht im Lift",IF(AS911&gt;=1,"Lift",IF(AS911&lt;=0,"Aussenlager","teilweise")))))</f>
        <v>Aussenlager</v>
      </c>
      <c r="BD911" s="55" t="str">
        <f aca="false">IF(AV911&lt;=0,"",IF(BU911="Aussen","Aussenlager",IF(BU911="-","Nicht im Lift",IF(BA911&gt;=1,"Lift",IF(BA911&lt;=0,"Aussenlager","teilweise")))))</f>
        <v>Aussenlager</v>
      </c>
      <c r="BE911" s="55" t="str">
        <f aca="false">IF(A911="","",IF(BN911=1,"Neu; ","")&amp;IF(AND(BN911=0,BI911&lt;0),"negativer Bestand (Export "&amp;BI911&amp;"); ","")&amp;IF(I911&lt;=0,"Kein Verbrauch; ","")&amp;IF(CD911&gt;0,"Lift "&amp;U911&amp;" lt. Liftbericht (Fach "&amp;V911&amp;" Stk); ",IF(BR911=1,"Lose – Fläche geschätzt; ",""))&amp;IF(G911&gt;AP911,"Überbestand "&amp;ROUND(G911-AP911,0)&amp;" Stk / CHF "&amp;ROUND((G911-AP911)*F911,0)&amp;"; ","")&amp;IF(AND(BW911=1,BX911&lt;BY911),"MAX &lt; MB+LG; ","")&amp;IF(AND(CC911&gt;0,CB911*10&gt;CC911),"zu hoch für Tablar; ","")&amp;IF(AND(BN911=0,OR(BW911=1,Y911&lt;&gt;"",S911&lt;&gt;"",T911&lt;&gt;"",Z911&lt;&gt;"")),"manuell übersteuert; ","")&amp;IF(AND(BR911=0,Q911=0),"Gebinde unbekannt / Stellmass fehlt; ","")&amp;IF(AND(BR911=0,N(T911)&lt;=0,N(P911)&lt;=0),"Menge pro Gebinde fehlt (Ist = 1 Gebinde); ","")&amp;BM911)</f>
        <v>negativer Bestand (Export -1); Kein Verbrauch; </v>
      </c>
      <c r="BF911" s="55"/>
      <c r="BG911" s="55"/>
      <c r="BH911" s="62"/>
      <c r="BI911" s="57" t="n">
        <v>-1</v>
      </c>
      <c r="BJ911" s="57" t="n">
        <v>8</v>
      </c>
      <c r="BK911" s="56" t="n">
        <v>-38.53</v>
      </c>
      <c r="BL911" s="57" t="n">
        <v>0</v>
      </c>
      <c r="BM911" s="55"/>
      <c r="BN911" s="60" t="n">
        <v>0</v>
      </c>
      <c r="BO911" s="60" t="n">
        <v>911</v>
      </c>
      <c r="BP911" s="55" t="str">
        <f aca="false">IF(S911&lt;&gt;"",UPPER(TRIM(S911)),IF(O911="","LOSE",O911))</f>
        <v>S33</v>
      </c>
      <c r="BQ911" s="57" t="n">
        <f aca="false">IF(BP911="LOSE",1,IF(N(T911)&gt;0,T911,IF(N(P911)&gt;0,P911,MAX(1,G911))))</f>
        <v>16</v>
      </c>
      <c r="BR911" s="60" t="n">
        <f aca="false">IF(BP911="LOSE",1,0)</f>
        <v>0</v>
      </c>
      <c r="BS911" s="59" t="n">
        <f aca="false">IF(BR911=0,0,IF(N(R911)&gt;0,R911,IFERROR(VLOOKUP(D911,Parameter!$A$35:$C$64,3,0)+0,0)))</f>
        <v>0</v>
      </c>
      <c r="BT911" s="55" t="n">
        <f aca="false">IF(Y911&lt;&gt;"",Y911,X911)</f>
        <v>3</v>
      </c>
      <c r="BU911" s="55" t="str">
        <f aca="false">IF(BT911=1,"L1",IF(OR(BT911=2,BT911=3),"L23",IF(BT911="Aussen","Aussen","-")))</f>
        <v>L23</v>
      </c>
      <c r="BV911" s="66" t="n">
        <f aca="false">IF(N(Z911)&gt;0,Z911,0)</f>
        <v>0</v>
      </c>
      <c r="BW911" s="60" t="n">
        <f aca="false">IF(ISNUMBER(AC911),1,0)</f>
        <v>0</v>
      </c>
      <c r="BX911" s="57" t="n">
        <f aca="false">N(AC911)</f>
        <v>0</v>
      </c>
      <c r="BY911" s="57" t="n">
        <f aca="false">N(L911)+N(M911)</f>
        <v>1</v>
      </c>
      <c r="BZ911" s="57" t="n">
        <f aca="false">ROUNDUP(G911/BQ911,0)</f>
        <v>0</v>
      </c>
      <c r="CA911" s="57" t="n">
        <f aca="false">ROUNDUP(BX911/BQ911,0)</f>
        <v>0</v>
      </c>
      <c r="CB911" s="60" t="n">
        <f aca="false">IF(BR911=1,0,IFERROR(VLOOKUP(BP911,'Gebinde-Kategorie'!$A$5:$M$45,5,0)+0,0))</f>
        <v>8</v>
      </c>
      <c r="CC911" s="60" t="n">
        <f aca="false">IFERROR(IF(OR(BT911=1,BT911=2,BT911=3),N(INDEX(Parameter!$I$5:$I$7,BT911)),0),0)</f>
        <v>0</v>
      </c>
      <c r="CD911" s="59" t="n">
        <f aca="false">IF(AND(Parameter!$B$21="Ja",ISNUMBER(U911),N(V911)&gt;0),IFERROR(N(INDEX(Parameter!$L$5:$L$7,U911))*INDEX(Parameter!$E$5:$E$7,U911)*V911/SUMIFS($V$7:$V$1576,$U$7:$U$1576,U911),0),0)</f>
        <v>0</v>
      </c>
    </row>
    <row r="912" customFormat="false" ht="15" hidden="false" customHeight="false" outlineLevel="0" collapsed="false">
      <c r="A912" s="55" t="s">
        <v>1696</v>
      </c>
      <c r="B912" s="55" t="s">
        <v>395</v>
      </c>
      <c r="C912" s="55" t="s">
        <v>160</v>
      </c>
      <c r="D912" s="55" t="s">
        <v>178</v>
      </c>
      <c r="E912" s="55" t="s">
        <v>210</v>
      </c>
      <c r="F912" s="56" t="n">
        <v>0.31</v>
      </c>
      <c r="G912" s="57" t="n">
        <f aca="false">MAX(0,IF(AND(Parameter!$B$21="Ja",ISNUMBER(W912)),W912,IF(Parameter!$B$20="Jahresanfang 2025 + Export",BJ912+BI912,BI912)))</f>
        <v>0</v>
      </c>
      <c r="H912" s="57" t="n">
        <f aca="false">G912*F912</f>
        <v>0</v>
      </c>
      <c r="I912" s="57" t="n">
        <f aca="false">BL912*Parameter!$B$18</f>
        <v>136</v>
      </c>
      <c r="J912" s="58" t="n">
        <v>122.5</v>
      </c>
      <c r="K912" s="59" t="n">
        <v>1.11020408163265</v>
      </c>
      <c r="L912" s="57" t="n">
        <v>5</v>
      </c>
      <c r="M912" s="57" t="n">
        <v>200</v>
      </c>
      <c r="N912" s="60" t="n">
        <v>14</v>
      </c>
      <c r="O912" s="55" t="s">
        <v>411</v>
      </c>
      <c r="P912" s="57" t="n">
        <v>70</v>
      </c>
      <c r="Q912" s="60" t="n">
        <f aca="false">IF(BR912=1,0,IFERROR(VLOOKUP(BP912,'Gebinde-Kategorie'!$A$5:$M$45,13,0)+0,0))</f>
        <v>132</v>
      </c>
      <c r="R912" s="61"/>
      <c r="S912" s="62"/>
      <c r="T912" s="62"/>
      <c r="U912" s="55"/>
      <c r="V912" s="57"/>
      <c r="W912" s="57"/>
      <c r="X912" s="55" t="n">
        <f aca="false">IF(A912="","",IF(AND(Parameter!$B$21="Ja",ISNUMBER(U912)),U912,IF(IFERROR(VLOOKUP(D912,Parameter!$A$35:$C$64,2,0),"Nein")="2+3",IF(ISNUMBER(SEARCH("grosser Artikel",BM912)),2,IFERROR(VLOOKUP(BP912,Parameter!$F$35:$G$64,2,0),2)),IF(OR(IFERROR(VLOOKUP(D912,Parameter!$A$35:$C$64,2,0),"Nein")="Nein",IFERROR(VLOOKUP(D912,Parameter!$A$35:$C$64,2,0),"Nein")=""),"-",VLOOKUP(D912,Parameter!$A$35:$C$64,2,0)))))</f>
        <v>3</v>
      </c>
      <c r="Y912" s="62"/>
      <c r="Z912" s="63"/>
      <c r="AA912" s="57" t="n">
        <f aca="false">AP912</f>
        <v>210</v>
      </c>
      <c r="AB912" s="57" t="n">
        <f aca="false">MAX(AP912,G912)</f>
        <v>210</v>
      </c>
      <c r="AC912" s="64"/>
      <c r="AD912" s="57" t="n">
        <f aca="false">IF(LEFT(Cockpit!$C$5,1)="A",G912,IF(BW912=1,BX912,IF(LEFT(Cockpit!$C$5,1)="B",AH912,MAX(AH912,G912))))</f>
        <v>0</v>
      </c>
      <c r="AE912" s="57" t="n">
        <f aca="false">IF(BR912=1,0,ROUNDUP(AD912/BQ912,0))</f>
        <v>0</v>
      </c>
      <c r="AF912" s="59" t="n">
        <f aca="false">IF(CD912&gt;0,CD912*MAX(1,AD912/V912),IF(BR912=1,IF(AD912&lt;=0,0,BS912*MAX(1,IF(G912&gt;0,AD912/G912,1))),IF(Q912&gt;0,AE912/Q912,0))/MAX(0.1,N(Parameter!$M$21)))</f>
        <v>0</v>
      </c>
      <c r="AG912" s="57" t="n">
        <f aca="false">AD912*F912</f>
        <v>0</v>
      </c>
      <c r="AH912" s="57" t="n">
        <f aca="false">ROUNDUP(MAX(I912/IF(BV912&gt;0,BV912,MAX(0.1,N(Cockpit!$C$6))),BY912)/BQ912,0)*BQ912</f>
        <v>210</v>
      </c>
      <c r="AI912" s="58" t="n">
        <f aca="false">IF(AF912&gt;0,I912/AF912,-1)</f>
        <v>-1</v>
      </c>
      <c r="AJ912" s="58" t="str">
        <f aca="false">IF(AND(OR(BU912="L1",BU912="L23"),AF912&gt;0),SUMIFS($AF$7:$AF$1576,$BU$7:$BU$1576,BU912,$AI$7:$AI$1576,"&gt;"&amp;AI912)+SUMIFS($AF$7:$AF$1576,$BU$7:$BU$1576,BU912,$AI$7:$AI$1576,AI912,$BO$7:$BO$1576,"&lt;="&amp;BO912),"")</f>
        <v/>
      </c>
      <c r="AK912" s="65" t="n">
        <f aca="false">IF(AJ912="",0,MAX(0,MIN(1,(IF(BU912="L1",Parameter!$E$5,Parameter!$E$6+Parameter!$E$7)-(AJ912-AF912))/AF912)))</f>
        <v>0</v>
      </c>
      <c r="AL912" s="57" t="n">
        <f aca="false">IF(LEFT(Cockpit!$I$5,1)="A",G912,IF(BW912=1,BX912,IF(LEFT(Cockpit!$I$5,1)="B",AP912,MAX(AP912,G912))))</f>
        <v>210</v>
      </c>
      <c r="AM912" s="57" t="n">
        <f aca="false">IF(BR912=1,0,ROUNDUP(AL912/BQ912,0))</f>
        <v>3</v>
      </c>
      <c r="AN912" s="59" t="n">
        <f aca="false">IF(CD912&gt;0,CD912*MAX(1,AL912/V912),IF(BR912=1,IF(AL912&lt;=0,0,BS912*MAX(1,IF(G912&gt;0,AL912/G912,1))),IF(Q912&gt;0,AM912/Q912,0))/MAX(0.1,N(Parameter!$M$21)))</f>
        <v>0.0227272727272727</v>
      </c>
      <c r="AO912" s="57" t="n">
        <f aca="false">AL912*F912</f>
        <v>65.1</v>
      </c>
      <c r="AP912" s="57" t="n">
        <f aca="false">ROUNDUP(MAX(I912/IF(BV912&gt;0,BV912,MAX(0.1,N(Cockpit!$I$6))),BY912)/BQ912,0)*BQ912</f>
        <v>210</v>
      </c>
      <c r="AQ912" s="58" t="n">
        <f aca="false">IF(AN912&gt;0,I912/AN912,-1)</f>
        <v>5984</v>
      </c>
      <c r="AR912" s="58" t="n">
        <f aca="false">IF(AND(OR(BU912="L1",BU912="L23"),AN912&gt;0),SUMIFS($AN$7:$AN$1576,$BU$7:$BU$1576,BU912,$AQ$7:$AQ$1576,"&gt;"&amp;AQ912)+SUMIFS($AN$7:$AN$1576,$BU$7:$BU$1576,BU912,$AQ$7:$AQ$1576,AQ912,$BO$7:$BO$1576,"&lt;="&amp;BO912),"")</f>
        <v>10.7882663355968</v>
      </c>
      <c r="AS912" s="65" t="n">
        <f aca="false">IF(AR912="",0,MAX(0,MIN(1,(IF(BU912="L1",Parameter!$E$5,Parameter!$E$6+Parameter!$E$7)-(AR912-AN912))/AN912)))</f>
        <v>1</v>
      </c>
      <c r="AT912" s="57" t="n">
        <f aca="false">IF(LEFT(Cockpit!$O$5,1)="A",G912,IF(BW912=1,BX912,IF(LEFT(Cockpit!$O$5,1)="B",AX912,MAX(AX912,G912))))</f>
        <v>210</v>
      </c>
      <c r="AU912" s="57" t="n">
        <f aca="false">IF(BR912=1,0,ROUNDUP(AT912/BQ912,0))</f>
        <v>3</v>
      </c>
      <c r="AV912" s="59" t="n">
        <f aca="false">IF(CD912&gt;0,CD912*MAX(1,AT912/V912),IF(BR912=1,IF(AT912&lt;=0,0,BS912*MAX(1,IF(G912&gt;0,AT912/G912,1))),IF(Q912&gt;0,AU912/Q912,0))/MAX(0.1,N(Parameter!$M$21)))</f>
        <v>0.0227272727272727</v>
      </c>
      <c r="AW912" s="57" t="n">
        <f aca="false">AT912*F912</f>
        <v>65.1</v>
      </c>
      <c r="AX912" s="57" t="n">
        <f aca="false">ROUNDUP(MAX(I912/IF(BV912&gt;0,BV912,MAX(0.1,N(Cockpit!$O$6))),BY912)/BQ912,0)*BQ912</f>
        <v>210</v>
      </c>
      <c r="AY912" s="58" t="n">
        <f aca="false">IF(AV912&gt;0,I912/AV912,-1)</f>
        <v>5984</v>
      </c>
      <c r="AZ912" s="58" t="n">
        <f aca="false">IF(AND(OR(BU912="L1",BU912="L23"),AV912&gt;0),SUMIFS($AV$7:$AV$1576,$BU$7:$BU$1576,BU912,$AY$7:$AY$1576,"&gt;"&amp;AY912)+SUMIFS($AV$7:$AV$1576,$BU$7:$BU$1576,BU912,$AY$7:$AY$1576,AY912,$BO$7:$BO$1576,"&lt;="&amp;BO912),"")</f>
        <v>9.9706672679977</v>
      </c>
      <c r="BA912" s="65" t="n">
        <f aca="false">IF(AZ912="",0,MAX(0,MIN(1,(IF(BU912="L1",Parameter!$E$5,Parameter!$E$6+Parameter!$E$7)-(AZ912-AV912))/AV912)))</f>
        <v>1</v>
      </c>
      <c r="BB912" s="55" t="str">
        <f aca="false">IF(AF912&lt;=0,"",IF(BU912="Aussen","Aussenlager",IF(BU912="-","Nicht im Lift",IF(AK912&gt;=1,"Lift",IF(AK912&lt;=0,"Aussenlager","teilweise")))))</f>
        <v/>
      </c>
      <c r="BC912" s="55" t="str">
        <f aca="false">IF(AN912&lt;=0,"",IF(BU912="Aussen","Aussenlager",IF(BU912="-","Nicht im Lift",IF(AS912&gt;=1,"Lift",IF(AS912&lt;=0,"Aussenlager","teilweise")))))</f>
        <v>Lift</v>
      </c>
      <c r="BD912" s="55" t="str">
        <f aca="false">IF(AV912&lt;=0,"",IF(BU912="Aussen","Aussenlager",IF(BU912="-","Nicht im Lift",IF(BA912&gt;=1,"Lift",IF(BA912&lt;=0,"Aussenlager","teilweise")))))</f>
        <v>Lift</v>
      </c>
      <c r="BE912" s="55" t="str">
        <f aca="false">IF(A912="","",IF(BN912=1,"Neu; ","")&amp;IF(AND(BN912=0,BI912&lt;0),"negativer Bestand (Export "&amp;BI912&amp;"); ","")&amp;IF(I912&lt;=0,"Kein Verbrauch; ","")&amp;IF(CD912&gt;0,"Lift "&amp;U912&amp;" lt. Liftbericht (Fach "&amp;V912&amp;" Stk); ",IF(BR912=1,"Lose – Fläche geschätzt; ",""))&amp;IF(G912&gt;AP912,"Überbestand "&amp;ROUND(G912-AP912,0)&amp;" Stk / CHF "&amp;ROUND((G912-AP912)*F912,0)&amp;"; ","")&amp;IF(AND(BW912=1,BX912&lt;BY912),"MAX &lt; MB+LG; ","")&amp;IF(AND(CC912&gt;0,CB912*10&gt;CC912),"zu hoch für Tablar; ","")&amp;IF(AND(BN912=0,OR(BW912=1,Y912&lt;&gt;"",S912&lt;&gt;"",T912&lt;&gt;"",Z912&lt;&gt;"")),"manuell übersteuert; ","")&amp;IF(AND(BR912=0,Q912=0),"Gebinde unbekannt / Stellmass fehlt; ","")&amp;IF(AND(BR912=0,N(T912)&lt;=0,N(P912)&lt;=0),"Menge pro Gebinde fehlt (Ist = 1 Gebinde); ","")&amp;BM912)</f>
        <v>negativer Bestand (Export -129); </v>
      </c>
      <c r="BF912" s="55"/>
      <c r="BG912" s="55"/>
      <c r="BH912" s="62"/>
      <c r="BI912" s="57" t="n">
        <v>-129</v>
      </c>
      <c r="BJ912" s="57" t="n">
        <v>143</v>
      </c>
      <c r="BK912" s="56" t="n">
        <v>-38.56</v>
      </c>
      <c r="BL912" s="57" t="n">
        <v>136</v>
      </c>
      <c r="BM912" s="55"/>
      <c r="BN912" s="60" t="n">
        <v>0</v>
      </c>
      <c r="BO912" s="60" t="n">
        <v>912</v>
      </c>
      <c r="BP912" s="55" t="str">
        <f aca="false">IF(S912&lt;&gt;"",UPPER(TRIM(S912)),IF(O912="","LOSE",O912))</f>
        <v>S32</v>
      </c>
      <c r="BQ912" s="57" t="n">
        <f aca="false">IF(BP912="LOSE",1,IF(N(T912)&gt;0,T912,IF(N(P912)&gt;0,P912,MAX(1,G912))))</f>
        <v>70</v>
      </c>
      <c r="BR912" s="60" t="n">
        <f aca="false">IF(BP912="LOSE",1,0)</f>
        <v>0</v>
      </c>
      <c r="BS912" s="59" t="n">
        <f aca="false">IF(BR912=0,0,IF(N(R912)&gt;0,R912,IFERROR(VLOOKUP(D912,Parameter!$A$35:$C$64,3,0)+0,0)))</f>
        <v>0</v>
      </c>
      <c r="BT912" s="55" t="n">
        <f aca="false">IF(Y912&lt;&gt;"",Y912,X912)</f>
        <v>3</v>
      </c>
      <c r="BU912" s="55" t="str">
        <f aca="false">IF(BT912=1,"L1",IF(OR(BT912=2,BT912=3),"L23",IF(BT912="Aussen","Aussen","-")))</f>
        <v>L23</v>
      </c>
      <c r="BV912" s="66" t="n">
        <f aca="false">IF(N(Z912)&gt;0,Z912,0)</f>
        <v>0</v>
      </c>
      <c r="BW912" s="60" t="n">
        <f aca="false">IF(ISNUMBER(AC912),1,0)</f>
        <v>0</v>
      </c>
      <c r="BX912" s="57" t="n">
        <f aca="false">N(AC912)</f>
        <v>0</v>
      </c>
      <c r="BY912" s="57" t="n">
        <f aca="false">N(L912)+N(M912)</f>
        <v>205</v>
      </c>
      <c r="BZ912" s="57" t="n">
        <f aca="false">ROUNDUP(G912/BQ912,0)</f>
        <v>0</v>
      </c>
      <c r="CA912" s="57" t="n">
        <f aca="false">ROUNDUP(BX912/BQ912,0)</f>
        <v>0</v>
      </c>
      <c r="CB912" s="60" t="n">
        <f aca="false">IF(BR912=1,0,IFERROR(VLOOKUP(BP912,'Gebinde-Kategorie'!$A$5:$M$45,5,0)+0,0))</f>
        <v>8</v>
      </c>
      <c r="CC912" s="60" t="n">
        <f aca="false">IFERROR(IF(OR(BT912=1,BT912=2,BT912=3),N(INDEX(Parameter!$I$5:$I$7,BT912)),0),0)</f>
        <v>0</v>
      </c>
      <c r="CD912" s="59" t="n">
        <f aca="false">IF(AND(Parameter!$B$21="Ja",ISNUMBER(U912),N(V912)&gt;0),IFERROR(N(INDEX(Parameter!$L$5:$L$7,U912))*INDEX(Parameter!$E$5:$E$7,U912)*V912/SUMIFS($V$7:$V$1576,$U$7:$U$1576,U912),0),0)</f>
        <v>0</v>
      </c>
    </row>
    <row r="913" customFormat="false" ht="15" hidden="false" customHeight="false" outlineLevel="0" collapsed="false">
      <c r="A913" s="55" t="s">
        <v>1697</v>
      </c>
      <c r="B913" s="55" t="s">
        <v>938</v>
      </c>
      <c r="C913" s="55" t="s">
        <v>160</v>
      </c>
      <c r="D913" s="55" t="s">
        <v>178</v>
      </c>
      <c r="E913" s="55" t="s">
        <v>210</v>
      </c>
      <c r="F913" s="56" t="n">
        <v>0.17</v>
      </c>
      <c r="G913" s="57" t="n">
        <f aca="false">MAX(0,IF(AND(Parameter!$B$21="Ja",ISNUMBER(W913)),W913,IF(Parameter!$B$20="Jahresanfang 2025 + Export",BJ913+BI913,BI913)))</f>
        <v>0</v>
      </c>
      <c r="H913" s="57" t="n">
        <f aca="false">G913*F913</f>
        <v>0</v>
      </c>
      <c r="I913" s="57" t="n">
        <f aca="false">BL913*Parameter!$B$18</f>
        <v>124</v>
      </c>
      <c r="J913" s="58" t="n">
        <v>812.5</v>
      </c>
      <c r="K913" s="59" t="n">
        <v>0.152615384615385</v>
      </c>
      <c r="L913" s="57" t="n">
        <v>7</v>
      </c>
      <c r="M913" s="57" t="n">
        <v>125</v>
      </c>
      <c r="N913" s="60" t="n">
        <v>21</v>
      </c>
      <c r="O913" s="55" t="s">
        <v>465</v>
      </c>
      <c r="P913" s="57" t="n">
        <v>909</v>
      </c>
      <c r="Q913" s="60" t="n">
        <f aca="false">IF(BR913=1,0,IFERROR(VLOOKUP(BP913,'Gebinde-Kategorie'!$A$5:$M$45,13,0)+0,0))</f>
        <v>66</v>
      </c>
      <c r="R913" s="61"/>
      <c r="S913" s="62"/>
      <c r="T913" s="62"/>
      <c r="U913" s="55"/>
      <c r="V913" s="57"/>
      <c r="W913" s="57"/>
      <c r="X913" s="55" t="n">
        <f aca="false">IF(A913="","",IF(AND(Parameter!$B$21="Ja",ISNUMBER(U913)),U913,IF(IFERROR(VLOOKUP(D913,Parameter!$A$35:$C$64,2,0),"Nein")="2+3",IF(ISNUMBER(SEARCH("grosser Artikel",BM913)),2,IFERROR(VLOOKUP(BP913,Parameter!$F$35:$G$64,2,0),2)),IF(OR(IFERROR(VLOOKUP(D913,Parameter!$A$35:$C$64,2,0),"Nein")="Nein",IFERROR(VLOOKUP(D913,Parameter!$A$35:$C$64,2,0),"Nein")=""),"-",VLOOKUP(D913,Parameter!$A$35:$C$64,2,0)))))</f>
        <v>3</v>
      </c>
      <c r="Y913" s="62"/>
      <c r="Z913" s="63"/>
      <c r="AA913" s="57" t="n">
        <f aca="false">AP913</f>
        <v>909</v>
      </c>
      <c r="AB913" s="57" t="n">
        <f aca="false">MAX(AP913,G913)</f>
        <v>909</v>
      </c>
      <c r="AC913" s="64"/>
      <c r="AD913" s="57" t="n">
        <f aca="false">IF(LEFT(Cockpit!$C$5,1)="A",G913,IF(BW913=1,BX913,IF(LEFT(Cockpit!$C$5,1)="B",AH913,MAX(AH913,G913))))</f>
        <v>0</v>
      </c>
      <c r="AE913" s="57" t="n">
        <f aca="false">IF(BR913=1,0,ROUNDUP(AD913/BQ913,0))</f>
        <v>0</v>
      </c>
      <c r="AF913" s="59" t="n">
        <f aca="false">IF(CD913&gt;0,CD913*MAX(1,AD913/V913),IF(BR913=1,IF(AD913&lt;=0,0,BS913*MAX(1,IF(G913&gt;0,AD913/G913,1))),IF(Q913&gt;0,AE913/Q913,0))/MAX(0.1,N(Parameter!$M$21)))</f>
        <v>0</v>
      </c>
      <c r="AG913" s="57" t="n">
        <f aca="false">AD913*F913</f>
        <v>0</v>
      </c>
      <c r="AH913" s="57" t="n">
        <f aca="false">ROUNDUP(MAX(I913/IF(BV913&gt;0,BV913,MAX(0.1,N(Cockpit!$C$6))),BY913)/BQ913,0)*BQ913</f>
        <v>909</v>
      </c>
      <c r="AI913" s="58" t="n">
        <f aca="false">IF(AF913&gt;0,I913/AF913,-1)</f>
        <v>-1</v>
      </c>
      <c r="AJ913" s="58" t="str">
        <f aca="false">IF(AND(OR(BU913="L1",BU913="L23"),AF913&gt;0),SUMIFS($AF$7:$AF$1576,$BU$7:$BU$1576,BU913,$AI$7:$AI$1576,"&gt;"&amp;AI913)+SUMIFS($AF$7:$AF$1576,$BU$7:$BU$1576,BU913,$AI$7:$AI$1576,AI913,$BO$7:$BO$1576,"&lt;="&amp;BO913),"")</f>
        <v/>
      </c>
      <c r="AK913" s="65" t="n">
        <f aca="false">IF(AJ913="",0,MAX(0,MIN(1,(IF(BU913="L1",Parameter!$E$5,Parameter!$E$6+Parameter!$E$7)-(AJ913-AF913))/AF913)))</f>
        <v>0</v>
      </c>
      <c r="AL913" s="57" t="n">
        <f aca="false">IF(LEFT(Cockpit!$I$5,1)="A",G913,IF(BW913=1,BX913,IF(LEFT(Cockpit!$I$5,1)="B",AP913,MAX(AP913,G913))))</f>
        <v>909</v>
      </c>
      <c r="AM913" s="57" t="n">
        <f aca="false">IF(BR913=1,0,ROUNDUP(AL913/BQ913,0))</f>
        <v>1</v>
      </c>
      <c r="AN913" s="59" t="n">
        <f aca="false">IF(CD913&gt;0,CD913*MAX(1,AL913/V913),IF(BR913=1,IF(AL913&lt;=0,0,BS913*MAX(1,IF(G913&gt;0,AL913/G913,1))),IF(Q913&gt;0,AM913/Q913,0))/MAX(0.1,N(Parameter!$M$21)))</f>
        <v>0.0151515151515152</v>
      </c>
      <c r="AO913" s="57" t="n">
        <f aca="false">AL913*F913</f>
        <v>154.53</v>
      </c>
      <c r="AP913" s="57" t="n">
        <f aca="false">ROUNDUP(MAX(I913/IF(BV913&gt;0,BV913,MAX(0.1,N(Cockpit!$I$6))),BY913)/BQ913,0)*BQ913</f>
        <v>909</v>
      </c>
      <c r="AQ913" s="58" t="n">
        <f aca="false">IF(AN913&gt;0,I913/AN913,-1)</f>
        <v>8184</v>
      </c>
      <c r="AR913" s="58" t="n">
        <f aca="false">IF(AND(OR(BU913="L1",BU913="L23"),AN913&gt;0),SUMIFS($AN$7:$AN$1576,$BU$7:$BU$1576,BU913,$AQ$7:$AQ$1576,"&gt;"&amp;AQ913)+SUMIFS($AN$7:$AN$1576,$BU$7:$BU$1576,BU913,$AQ$7:$AQ$1576,AQ913,$BO$7:$BO$1576,"&lt;="&amp;BO913),"")</f>
        <v>8.00798351407047</v>
      </c>
      <c r="AS913" s="65" t="n">
        <f aca="false">IF(AR913="",0,MAX(0,MIN(1,(IF(BU913="L1",Parameter!$E$5,Parameter!$E$6+Parameter!$E$7)-(AR913-AN913))/AN913)))</f>
        <v>1</v>
      </c>
      <c r="AT913" s="57" t="n">
        <f aca="false">IF(LEFT(Cockpit!$O$5,1)="A",G913,IF(BW913=1,BX913,IF(LEFT(Cockpit!$O$5,1)="B",AX913,MAX(AX913,G913))))</f>
        <v>909</v>
      </c>
      <c r="AU913" s="57" t="n">
        <f aca="false">IF(BR913=1,0,ROUNDUP(AT913/BQ913,0))</f>
        <v>1</v>
      </c>
      <c r="AV913" s="59" t="n">
        <f aca="false">IF(CD913&gt;0,CD913*MAX(1,AT913/V913),IF(BR913=1,IF(AT913&lt;=0,0,BS913*MAX(1,IF(G913&gt;0,AT913/G913,1))),IF(Q913&gt;0,AU913/Q913,0))/MAX(0.1,N(Parameter!$M$21)))</f>
        <v>0.0151515151515152</v>
      </c>
      <c r="AW913" s="57" t="n">
        <f aca="false">AT913*F913</f>
        <v>154.53</v>
      </c>
      <c r="AX913" s="57" t="n">
        <f aca="false">ROUNDUP(MAX(I913/IF(BV913&gt;0,BV913,MAX(0.1,N(Cockpit!$O$6))),BY913)/BQ913,0)*BQ913</f>
        <v>909</v>
      </c>
      <c r="AY913" s="58" t="n">
        <f aca="false">IF(AV913&gt;0,I913/AV913,-1)</f>
        <v>8184</v>
      </c>
      <c r="AZ913" s="58" t="n">
        <f aca="false">IF(AND(OR(BU913="L1",BU913="L23"),AV913&gt;0),SUMIFS($AV$7:$AV$1576,$BU$7:$BU$1576,BU913,$AY$7:$AY$1576,"&gt;"&amp;AY913)+SUMIFS($AV$7:$AV$1576,$BU$7:$BU$1576,BU913,$AY$7:$AY$1576,AY913,$BO$7:$BO$1576,"&lt;="&amp;BO913),"")</f>
        <v>8.02371777980474</v>
      </c>
      <c r="BA913" s="65" t="n">
        <f aca="false">IF(AZ913="",0,MAX(0,MIN(1,(IF(BU913="L1",Parameter!$E$5,Parameter!$E$6+Parameter!$E$7)-(AZ913-AV913))/AV913)))</f>
        <v>1</v>
      </c>
      <c r="BB913" s="55" t="str">
        <f aca="false">IF(AF913&lt;=0,"",IF(BU913="Aussen","Aussenlager",IF(BU913="-","Nicht im Lift",IF(AK913&gt;=1,"Lift",IF(AK913&lt;=0,"Aussenlager","teilweise")))))</f>
        <v/>
      </c>
      <c r="BC913" s="55" t="str">
        <f aca="false">IF(AN913&lt;=0,"",IF(BU913="Aussen","Aussenlager",IF(BU913="-","Nicht im Lift",IF(AS913&gt;=1,"Lift",IF(AS913&lt;=0,"Aussenlager","teilweise")))))</f>
        <v>Lift</v>
      </c>
      <c r="BD913" s="55" t="str">
        <f aca="false">IF(AV913&lt;=0,"",IF(BU913="Aussen","Aussenlager",IF(BU913="-","Nicht im Lift",IF(BA913&gt;=1,"Lift",IF(BA913&lt;=0,"Aussenlager","teilweise")))))</f>
        <v>Lift</v>
      </c>
      <c r="BE913" s="55" t="str">
        <f aca="false">IF(A913="","",IF(BN913=1,"Neu; ","")&amp;IF(AND(BN913=0,BI913&lt;0),"negativer Bestand (Export "&amp;BI913&amp;"); ","")&amp;IF(I913&lt;=0,"Kein Verbrauch; ","")&amp;IF(CD913&gt;0,"Lift "&amp;U913&amp;" lt. Liftbericht (Fach "&amp;V913&amp;" Stk); ",IF(BR913=1,"Lose – Fläche geschätzt; ",""))&amp;IF(G913&gt;AP913,"Überbestand "&amp;ROUND(G913-AP913,0)&amp;" Stk / CHF "&amp;ROUND((G913-AP913)*F913,0)&amp;"; ","")&amp;IF(AND(BW913=1,BX913&lt;BY913),"MAX &lt; MB+LG; ","")&amp;IF(AND(CC913&gt;0,CB913*10&gt;CC913),"zu hoch für Tablar; ","")&amp;IF(AND(BN913=0,OR(BW913=1,Y913&lt;&gt;"",S913&lt;&gt;"",T913&lt;&gt;"",Z913&lt;&gt;"")),"manuell übersteuert; ","")&amp;IF(AND(BR913=0,Q913=0),"Gebinde unbekannt / Stellmass fehlt; ","")&amp;IF(AND(BR913=0,N(T913)&lt;=0,N(P913)&lt;=0),"Menge pro Gebinde fehlt (Ist = 1 Gebinde); ","")&amp;BM913)</f>
        <v>negativer Bestand (Export -227); Überbestand</v>
      </c>
      <c r="BF913" s="55"/>
      <c r="BG913" s="55"/>
      <c r="BH913" s="62"/>
      <c r="BI913" s="57" t="n">
        <v>-227</v>
      </c>
      <c r="BJ913" s="57" t="n">
        <v>873</v>
      </c>
      <c r="BK913" s="56" t="n">
        <v>-38.59</v>
      </c>
      <c r="BL913" s="57" t="n">
        <v>124</v>
      </c>
      <c r="BM913" s="55" t="s">
        <v>382</v>
      </c>
      <c r="BN913" s="60" t="n">
        <v>0</v>
      </c>
      <c r="BO913" s="60" t="n">
        <v>913</v>
      </c>
      <c r="BP913" s="55" t="str">
        <f aca="false">IF(S913&lt;&gt;"",UPPER(TRIM(S913)),IF(O913="","LOSE",O913))</f>
        <v>S33</v>
      </c>
      <c r="BQ913" s="57" t="n">
        <f aca="false">IF(BP913="LOSE",1,IF(N(T913)&gt;0,T913,IF(N(P913)&gt;0,P913,MAX(1,G913))))</f>
        <v>909</v>
      </c>
      <c r="BR913" s="60" t="n">
        <f aca="false">IF(BP913="LOSE",1,0)</f>
        <v>0</v>
      </c>
      <c r="BS913" s="59" t="n">
        <f aca="false">IF(BR913=0,0,IF(N(R913)&gt;0,R913,IFERROR(VLOOKUP(D913,Parameter!$A$35:$C$64,3,0)+0,0)))</f>
        <v>0</v>
      </c>
      <c r="BT913" s="55" t="n">
        <f aca="false">IF(Y913&lt;&gt;"",Y913,X913)</f>
        <v>3</v>
      </c>
      <c r="BU913" s="55" t="str">
        <f aca="false">IF(BT913=1,"L1",IF(OR(BT913=2,BT913=3),"L23",IF(BT913="Aussen","Aussen","-")))</f>
        <v>L23</v>
      </c>
      <c r="BV913" s="66" t="n">
        <f aca="false">IF(N(Z913)&gt;0,Z913,0)</f>
        <v>0</v>
      </c>
      <c r="BW913" s="60" t="n">
        <f aca="false">IF(ISNUMBER(AC913),1,0)</f>
        <v>0</v>
      </c>
      <c r="BX913" s="57" t="n">
        <f aca="false">N(AC913)</f>
        <v>0</v>
      </c>
      <c r="BY913" s="57" t="n">
        <f aca="false">N(L913)+N(M913)</f>
        <v>132</v>
      </c>
      <c r="BZ913" s="57" t="n">
        <f aca="false">ROUNDUP(G913/BQ913,0)</f>
        <v>0</v>
      </c>
      <c r="CA913" s="57" t="n">
        <f aca="false">ROUNDUP(BX913/BQ913,0)</f>
        <v>0</v>
      </c>
      <c r="CB913" s="60" t="n">
        <f aca="false">IF(BR913=1,0,IFERROR(VLOOKUP(BP913,'Gebinde-Kategorie'!$A$5:$M$45,5,0)+0,0))</f>
        <v>8</v>
      </c>
      <c r="CC913" s="60" t="n">
        <f aca="false">IFERROR(IF(OR(BT913=1,BT913=2,BT913=3),N(INDEX(Parameter!$I$5:$I$7,BT913)),0),0)</f>
        <v>0</v>
      </c>
      <c r="CD913" s="59" t="n">
        <f aca="false">IF(AND(Parameter!$B$21="Ja",ISNUMBER(U913),N(V913)&gt;0),IFERROR(N(INDEX(Parameter!$L$5:$L$7,U913))*INDEX(Parameter!$E$5:$E$7,U913)*V913/SUMIFS($V$7:$V$1576,$U$7:$U$1576,U913),0),0)</f>
        <v>0</v>
      </c>
    </row>
    <row r="914" customFormat="false" ht="15" hidden="false" customHeight="false" outlineLevel="0" collapsed="false">
      <c r="A914" s="55" t="s">
        <v>1698</v>
      </c>
      <c r="B914" s="55" t="s">
        <v>1699</v>
      </c>
      <c r="C914" s="55" t="s">
        <v>446</v>
      </c>
      <c r="D914" s="55" t="s">
        <v>178</v>
      </c>
      <c r="E914" s="55" t="s">
        <v>210</v>
      </c>
      <c r="F914" s="56" t="n">
        <v>0.76</v>
      </c>
      <c r="G914" s="57" t="n">
        <f aca="false">MAX(0,IF(AND(Parameter!$B$21="Ja",ISNUMBER(W914)),W914,IF(Parameter!$B$20="Jahresanfang 2025 + Export",BJ914+BI914,BI914)))</f>
        <v>0</v>
      </c>
      <c r="H914" s="57" t="n">
        <f aca="false">G914*F914</f>
        <v>0</v>
      </c>
      <c r="I914" s="57" t="n">
        <f aca="false">BL914*Parameter!$B$18</f>
        <v>0</v>
      </c>
      <c r="J914" s="58" t="n">
        <v>40.5</v>
      </c>
      <c r="K914" s="59" t="n">
        <v>0</v>
      </c>
      <c r="L914" s="57" t="n">
        <v>0</v>
      </c>
      <c r="M914" s="57" t="n">
        <v>1</v>
      </c>
      <c r="N914" s="60" t="n">
        <v>21</v>
      </c>
      <c r="O914" s="55" t="s">
        <v>163</v>
      </c>
      <c r="P914" s="57"/>
      <c r="Q914" s="60" t="n">
        <f aca="false">IF(BR914=1,0,IFERROR(VLOOKUP(BP914,'Gebinde-Kategorie'!$A$5:$M$45,13,0)+0,0))</f>
        <v>0</v>
      </c>
      <c r="R914" s="61"/>
      <c r="S914" s="62"/>
      <c r="T914" s="62"/>
      <c r="U914" s="55"/>
      <c r="V914" s="57"/>
      <c r="W914" s="57"/>
      <c r="X914" s="55" t="n">
        <f aca="false">IF(A914="","",IF(AND(Parameter!$B$21="Ja",ISNUMBER(U914)),U914,IF(IFERROR(VLOOKUP(D914,Parameter!$A$35:$C$64,2,0),"Nein")="2+3",IF(ISNUMBER(SEARCH("grosser Artikel",BM914)),2,IFERROR(VLOOKUP(BP914,Parameter!$F$35:$G$64,2,0),2)),IF(OR(IFERROR(VLOOKUP(D914,Parameter!$A$35:$C$64,2,0),"Nein")="Nein",IFERROR(VLOOKUP(D914,Parameter!$A$35:$C$64,2,0),"Nein")=""),"-",VLOOKUP(D914,Parameter!$A$35:$C$64,2,0)))))</f>
        <v>2</v>
      </c>
      <c r="Y914" s="62"/>
      <c r="Z914" s="63"/>
      <c r="AA914" s="57" t="n">
        <f aca="false">AP914</f>
        <v>1</v>
      </c>
      <c r="AB914" s="57" t="n">
        <f aca="false">MAX(AP914,G914)</f>
        <v>1</v>
      </c>
      <c r="AC914" s="64"/>
      <c r="AD914" s="57" t="n">
        <f aca="false">IF(LEFT(Cockpit!$C$5,1)="A",G914,IF(BW914=1,BX914,IF(LEFT(Cockpit!$C$5,1)="B",AH914,MAX(AH914,G914))))</f>
        <v>0</v>
      </c>
      <c r="AE914" s="57" t="n">
        <f aca="false">IF(BR914=1,0,ROUNDUP(AD914/BQ914,0))</f>
        <v>0</v>
      </c>
      <c r="AF914" s="59" t="n">
        <f aca="false">IF(CD914&gt;0,CD914*MAX(1,AD914/V914),IF(BR914=1,IF(AD914&lt;=0,0,BS914*MAX(1,IF(G914&gt;0,AD914/G914,1))),IF(Q914&gt;0,AE914/Q914,0))/MAX(0.1,N(Parameter!$M$21)))</f>
        <v>0</v>
      </c>
      <c r="AG914" s="57" t="n">
        <f aca="false">AD914*F914</f>
        <v>0</v>
      </c>
      <c r="AH914" s="57" t="n">
        <f aca="false">ROUNDUP(MAX(I914/IF(BV914&gt;0,BV914,MAX(0.1,N(Cockpit!$C$6))),BY914)/BQ914,0)*BQ914</f>
        <v>1</v>
      </c>
      <c r="AI914" s="58" t="n">
        <f aca="false">IF(AF914&gt;0,I914/AF914,-1)</f>
        <v>-1</v>
      </c>
      <c r="AJ914" s="58" t="str">
        <f aca="false">IF(AND(OR(BU914="L1",BU914="L23"),AF914&gt;0),SUMIFS($AF$7:$AF$1576,$BU$7:$BU$1576,BU914,$AI$7:$AI$1576,"&gt;"&amp;AI914)+SUMIFS($AF$7:$AF$1576,$BU$7:$BU$1576,BU914,$AI$7:$AI$1576,AI914,$BO$7:$BO$1576,"&lt;="&amp;BO914),"")</f>
        <v/>
      </c>
      <c r="AK914" s="65" t="n">
        <f aca="false">IF(AJ914="",0,MAX(0,MIN(1,(IF(BU914="L1",Parameter!$E$5,Parameter!$E$6+Parameter!$E$7)-(AJ914-AF914))/AF914)))</f>
        <v>0</v>
      </c>
      <c r="AL914" s="57" t="n">
        <f aca="false">IF(LEFT(Cockpit!$I$5,1)="A",G914,IF(BW914=1,BX914,IF(LEFT(Cockpit!$I$5,1)="B",AP914,MAX(AP914,G914))))</f>
        <v>1</v>
      </c>
      <c r="AM914" s="57" t="n">
        <f aca="false">IF(BR914=1,0,ROUNDUP(AL914/BQ914,0))</f>
        <v>0</v>
      </c>
      <c r="AN914" s="59" t="n">
        <f aca="false">IF(CD914&gt;0,CD914*MAX(1,AL914/V914),IF(BR914=1,IF(AL914&lt;=0,0,BS914*MAX(1,IF(G914&gt;0,AL914/G914,1))),IF(Q914&gt;0,AM914/Q914,0))/MAX(0.1,N(Parameter!$M$21)))</f>
        <v>0.03</v>
      </c>
      <c r="AO914" s="57" t="n">
        <f aca="false">AL914*F914</f>
        <v>0.76</v>
      </c>
      <c r="AP914" s="57" t="n">
        <f aca="false">ROUNDUP(MAX(I914/IF(BV914&gt;0,BV914,MAX(0.1,N(Cockpit!$I$6))),BY914)/BQ914,0)*BQ914</f>
        <v>1</v>
      </c>
      <c r="AQ914" s="58" t="n">
        <f aca="false">IF(AN914&gt;0,I914/AN914,-1)</f>
        <v>0</v>
      </c>
      <c r="AR914" s="58" t="n">
        <f aca="false">IF(AND(OR(BU914="L1",BU914="L23"),AN914&gt;0),SUMIFS($AN$7:$AN$1576,$BU$7:$BU$1576,BU914,$AQ$7:$AQ$1576,"&gt;"&amp;AQ914)+SUMIFS($AN$7:$AN$1576,$BU$7:$BU$1576,BU914,$AQ$7:$AQ$1576,AQ914,$BO$7:$BO$1576,"&lt;="&amp;BO914),"")</f>
        <v>131.267014362497</v>
      </c>
      <c r="AS914" s="65" t="n">
        <f aca="false">IF(AR914="",0,MAX(0,MIN(1,(IF(BU914="L1",Parameter!$E$5,Parameter!$E$6+Parameter!$E$7)-(AR914-AN914))/AN914)))</f>
        <v>0</v>
      </c>
      <c r="AT914" s="57" t="n">
        <f aca="false">IF(LEFT(Cockpit!$O$5,1)="A",G914,IF(BW914=1,BX914,IF(LEFT(Cockpit!$O$5,1)="B",AX914,MAX(AX914,G914))))</f>
        <v>1</v>
      </c>
      <c r="AU914" s="57" t="n">
        <f aca="false">IF(BR914=1,0,ROUNDUP(AT914/BQ914,0))</f>
        <v>0</v>
      </c>
      <c r="AV914" s="59" t="n">
        <f aca="false">IF(CD914&gt;0,CD914*MAX(1,AT914/V914),IF(BR914=1,IF(AT914&lt;=0,0,BS914*MAX(1,IF(G914&gt;0,AT914/G914,1))),IF(Q914&gt;0,AU914/Q914,0))/MAX(0.1,N(Parameter!$M$21)))</f>
        <v>0.03</v>
      </c>
      <c r="AW914" s="57" t="n">
        <f aca="false">AT914*F914</f>
        <v>0.76</v>
      </c>
      <c r="AX914" s="57" t="n">
        <f aca="false">ROUNDUP(MAX(I914/IF(BV914&gt;0,BV914,MAX(0.1,N(Cockpit!$O$6))),BY914)/BQ914,0)*BQ914</f>
        <v>1</v>
      </c>
      <c r="AY914" s="58" t="n">
        <f aca="false">IF(AV914&gt;0,I914/AV914,-1)</f>
        <v>0</v>
      </c>
      <c r="AZ914" s="58" t="n">
        <f aca="false">IF(AND(OR(BU914="L1",BU914="L23"),AV914&gt;0),SUMIFS($AV$7:$AV$1576,$BU$7:$BU$1576,BU914,$AY$7:$AY$1576,"&gt;"&amp;AY914)+SUMIFS($AV$7:$AV$1576,$BU$7:$BU$1576,BU914,$AY$7:$AY$1576,AY914,$BO$7:$BO$1576,"&lt;="&amp;BO914),"")</f>
        <v>121.326564812047</v>
      </c>
      <c r="BA914" s="65" t="n">
        <f aca="false">IF(AZ914="",0,MAX(0,MIN(1,(IF(BU914="L1",Parameter!$E$5,Parameter!$E$6+Parameter!$E$7)-(AZ914-AV914))/AV914)))</f>
        <v>0</v>
      </c>
      <c r="BB914" s="55" t="str">
        <f aca="false">IF(AF914&lt;=0,"",IF(BU914="Aussen","Aussenlager",IF(BU914="-","Nicht im Lift",IF(AK914&gt;=1,"Lift",IF(AK914&lt;=0,"Aussenlager","teilweise")))))</f>
        <v/>
      </c>
      <c r="BC914" s="55" t="str">
        <f aca="false">IF(AN914&lt;=0,"",IF(BU914="Aussen","Aussenlager",IF(BU914="-","Nicht im Lift",IF(AS914&gt;=1,"Lift",IF(AS914&lt;=0,"Aussenlager","teilweise")))))</f>
        <v>Aussenlager</v>
      </c>
      <c r="BD914" s="55" t="str">
        <f aca="false">IF(AV914&lt;=0,"",IF(BU914="Aussen","Aussenlager",IF(BU914="-","Nicht im Lift",IF(BA914&gt;=1,"Lift",IF(BA914&lt;=0,"Aussenlager","teilweise")))))</f>
        <v>Aussenlager</v>
      </c>
      <c r="BE914" s="55" t="str">
        <f aca="false">IF(A914="","",IF(BN914=1,"Neu; ","")&amp;IF(AND(BN914=0,BI914&lt;0),"negativer Bestand (Export "&amp;BI914&amp;"); ","")&amp;IF(I914&lt;=0,"Kein Verbrauch; ","")&amp;IF(CD914&gt;0,"Lift "&amp;U914&amp;" lt. Liftbericht (Fach "&amp;V914&amp;" Stk); ",IF(BR914=1,"Lose – Fläche geschätzt; ",""))&amp;IF(G914&gt;AP914,"Überbestand "&amp;ROUND(G914-AP914,0)&amp;" Stk / CHF "&amp;ROUND((G914-AP914)*F914,0)&amp;"; ","")&amp;IF(AND(BW914=1,BX914&lt;BY914),"MAX &lt; MB+LG; ","")&amp;IF(AND(CC914&gt;0,CB914*10&gt;CC914),"zu hoch für Tablar; ","")&amp;IF(AND(BN914=0,OR(BW914=1,Y914&lt;&gt;"",S914&lt;&gt;"",T914&lt;&gt;"",Z914&lt;&gt;"")),"manuell übersteuert; ","")&amp;IF(AND(BR914=0,Q914=0),"Gebinde unbekannt / Stellmass fehlt; ","")&amp;IF(AND(BR914=0,N(T914)&lt;=0,N(P914)&lt;=0),"Menge pro Gebinde fehlt (Ist = 1 Gebinde); ","")&amp;BM914)</f>
        <v>negativer Bestand (Export -51); Kein Verbrauch; Lose – Fläche geschätzt; </v>
      </c>
      <c r="BF914" s="55"/>
      <c r="BG914" s="55"/>
      <c r="BH914" s="62"/>
      <c r="BI914" s="57" t="n">
        <v>-51</v>
      </c>
      <c r="BJ914" s="57" t="n">
        <v>51</v>
      </c>
      <c r="BK914" s="56" t="n">
        <v>-38.76</v>
      </c>
      <c r="BL914" s="57" t="n">
        <v>0</v>
      </c>
      <c r="BM914" s="55"/>
      <c r="BN914" s="60" t="n">
        <v>0</v>
      </c>
      <c r="BO914" s="60" t="n">
        <v>914</v>
      </c>
      <c r="BP914" s="55" t="str">
        <f aca="false">IF(S914&lt;&gt;"",UPPER(TRIM(S914)),IF(O914="","LOSE",O914))</f>
        <v>LOSE</v>
      </c>
      <c r="BQ914" s="57" t="n">
        <f aca="false">IF(BP914="LOSE",1,IF(N(T914)&gt;0,T914,IF(N(P914)&gt;0,P914,MAX(1,G914))))</f>
        <v>1</v>
      </c>
      <c r="BR914" s="60" t="n">
        <f aca="false">IF(BP914="LOSE",1,0)</f>
        <v>1</v>
      </c>
      <c r="BS914" s="59" t="n">
        <f aca="false">IF(BR914=0,0,IF(N(R914)&gt;0,R914,IFERROR(VLOOKUP(D914,Parameter!$A$35:$C$64,3,0)+0,0)))</f>
        <v>0.03</v>
      </c>
      <c r="BT914" s="55" t="n">
        <f aca="false">IF(Y914&lt;&gt;"",Y914,X914)</f>
        <v>2</v>
      </c>
      <c r="BU914" s="55" t="str">
        <f aca="false">IF(BT914=1,"L1",IF(OR(BT914=2,BT914=3),"L23",IF(BT914="Aussen","Aussen","-")))</f>
        <v>L23</v>
      </c>
      <c r="BV914" s="66" t="n">
        <f aca="false">IF(N(Z914)&gt;0,Z914,0)</f>
        <v>0</v>
      </c>
      <c r="BW914" s="60" t="n">
        <f aca="false">IF(ISNUMBER(AC914),1,0)</f>
        <v>0</v>
      </c>
      <c r="BX914" s="57" t="n">
        <f aca="false">N(AC914)</f>
        <v>0</v>
      </c>
      <c r="BY914" s="57" t="n">
        <f aca="false">N(L914)+N(M914)</f>
        <v>1</v>
      </c>
      <c r="BZ914" s="57" t="n">
        <f aca="false">ROUNDUP(G914/BQ914,0)</f>
        <v>0</v>
      </c>
      <c r="CA914" s="57" t="n">
        <f aca="false">ROUNDUP(BX914/BQ914,0)</f>
        <v>0</v>
      </c>
      <c r="CB914" s="60" t="n">
        <f aca="false">IF(BR914=1,0,IFERROR(VLOOKUP(BP914,'Gebinde-Kategorie'!$A$5:$M$45,5,0)+0,0))</f>
        <v>0</v>
      </c>
      <c r="CC914" s="60" t="n">
        <f aca="false">IFERROR(IF(OR(BT914=1,BT914=2,BT914=3),N(INDEX(Parameter!$I$5:$I$7,BT914)),0),0)</f>
        <v>0</v>
      </c>
      <c r="CD914" s="59" t="n">
        <f aca="false">IF(AND(Parameter!$B$21="Ja",ISNUMBER(U914),N(V914)&gt;0),IFERROR(N(INDEX(Parameter!$L$5:$L$7,U914))*INDEX(Parameter!$E$5:$E$7,U914)*V914/SUMIFS($V$7:$V$1576,$U$7:$U$1576,U914),0),0)</f>
        <v>0</v>
      </c>
    </row>
    <row r="915" customFormat="false" ht="15" hidden="false" customHeight="false" outlineLevel="0" collapsed="false">
      <c r="A915" s="55" t="s">
        <v>1700</v>
      </c>
      <c r="B915" s="55" t="s">
        <v>1701</v>
      </c>
      <c r="C915" s="55" t="s">
        <v>160</v>
      </c>
      <c r="D915" s="55" t="s">
        <v>168</v>
      </c>
      <c r="E915" s="55" t="s">
        <v>210</v>
      </c>
      <c r="F915" s="56" t="n">
        <v>2.09</v>
      </c>
      <c r="G915" s="57" t="n">
        <f aca="false">MAX(0,IF(AND(Parameter!$B$21="Ja",ISNUMBER(W915)),W915,IF(Parameter!$B$20="Jahresanfang 2025 + Export",BJ915+BI915,BI915)))</f>
        <v>0</v>
      </c>
      <c r="H915" s="57" t="n">
        <f aca="false">G915*F915</f>
        <v>0</v>
      </c>
      <c r="I915" s="57" t="n">
        <f aca="false">BL915*Parameter!$B$18</f>
        <v>160</v>
      </c>
      <c r="J915" s="58" t="n">
        <v>100</v>
      </c>
      <c r="K915" s="59" t="n">
        <v>1.6</v>
      </c>
      <c r="L915" s="57" t="n">
        <v>25</v>
      </c>
      <c r="M915" s="57" t="n">
        <v>100</v>
      </c>
      <c r="N915" s="60" t="n">
        <v>28</v>
      </c>
      <c r="O915" s="55" t="s">
        <v>163</v>
      </c>
      <c r="P915" s="57"/>
      <c r="Q915" s="60" t="n">
        <f aca="false">IF(BR915=1,0,IFERROR(VLOOKUP(BP915,'Gebinde-Kategorie'!$A$5:$M$45,13,0)+0,0))</f>
        <v>0</v>
      </c>
      <c r="R915" s="61"/>
      <c r="S915" s="62"/>
      <c r="T915" s="62"/>
      <c r="U915" s="55"/>
      <c r="V915" s="57"/>
      <c r="W915" s="57"/>
      <c r="X915" s="55" t="n">
        <f aca="false">IF(A915="","",IF(AND(Parameter!$B$21="Ja",ISNUMBER(U915)),U915,IF(IFERROR(VLOOKUP(D915,Parameter!$A$35:$C$64,2,0),"Nein")="2+3",IF(ISNUMBER(SEARCH("grosser Artikel",BM915)),2,IFERROR(VLOOKUP(BP915,Parameter!$F$35:$G$64,2,0),2)),IF(OR(IFERROR(VLOOKUP(D915,Parameter!$A$35:$C$64,2,0),"Nein")="Nein",IFERROR(VLOOKUP(D915,Parameter!$A$35:$C$64,2,0),"Nein")=""),"-",VLOOKUP(D915,Parameter!$A$35:$C$64,2,0)))))</f>
        <v>2</v>
      </c>
      <c r="Y915" s="62"/>
      <c r="Z915" s="63"/>
      <c r="AA915" s="57" t="n">
        <f aca="false">AP915</f>
        <v>125</v>
      </c>
      <c r="AB915" s="57" t="n">
        <f aca="false">MAX(AP915,G915)</f>
        <v>125</v>
      </c>
      <c r="AC915" s="64"/>
      <c r="AD915" s="57" t="n">
        <f aca="false">IF(LEFT(Cockpit!$C$5,1)="A",G915,IF(BW915=1,BX915,IF(LEFT(Cockpit!$C$5,1)="B",AH915,MAX(AH915,G915))))</f>
        <v>0</v>
      </c>
      <c r="AE915" s="57" t="n">
        <f aca="false">IF(BR915=1,0,ROUNDUP(AD915/BQ915,0))</f>
        <v>0</v>
      </c>
      <c r="AF915" s="59" t="n">
        <f aca="false">IF(CD915&gt;0,CD915*MAX(1,AD915/V915),IF(BR915=1,IF(AD915&lt;=0,0,BS915*MAX(1,IF(G915&gt;0,AD915/G915,1))),IF(Q915&gt;0,AE915/Q915,0))/MAX(0.1,N(Parameter!$M$21)))</f>
        <v>0</v>
      </c>
      <c r="AG915" s="57" t="n">
        <f aca="false">AD915*F915</f>
        <v>0</v>
      </c>
      <c r="AH915" s="57" t="n">
        <f aca="false">ROUNDUP(MAX(I915/IF(BV915&gt;0,BV915,MAX(0.1,N(Cockpit!$C$6))),BY915)/BQ915,0)*BQ915</f>
        <v>125</v>
      </c>
      <c r="AI915" s="58" t="n">
        <f aca="false">IF(AF915&gt;0,I915/AF915,-1)</f>
        <v>-1</v>
      </c>
      <c r="AJ915" s="58" t="str">
        <f aca="false">IF(AND(OR(BU915="L1",BU915="L23"),AF915&gt;0),SUMIFS($AF$7:$AF$1576,$BU$7:$BU$1576,BU915,$AI$7:$AI$1576,"&gt;"&amp;AI915)+SUMIFS($AF$7:$AF$1576,$BU$7:$BU$1576,BU915,$AI$7:$AI$1576,AI915,$BO$7:$BO$1576,"&lt;="&amp;BO915),"")</f>
        <v/>
      </c>
      <c r="AK915" s="65" t="n">
        <f aca="false">IF(AJ915="",0,MAX(0,MIN(1,(IF(BU915="L1",Parameter!$E$5,Parameter!$E$6+Parameter!$E$7)-(AJ915-AF915))/AF915)))</f>
        <v>0</v>
      </c>
      <c r="AL915" s="57" t="n">
        <f aca="false">IF(LEFT(Cockpit!$I$5,1)="A",G915,IF(BW915=1,BX915,IF(LEFT(Cockpit!$I$5,1)="B",AP915,MAX(AP915,G915))))</f>
        <v>125</v>
      </c>
      <c r="AM915" s="57" t="n">
        <f aca="false">IF(BR915=1,0,ROUNDUP(AL915/BQ915,0))</f>
        <v>0</v>
      </c>
      <c r="AN915" s="59" t="n">
        <f aca="false">IF(CD915&gt;0,CD915*MAX(1,AL915/V915),IF(BR915=1,IF(AL915&lt;=0,0,BS915*MAX(1,IF(G915&gt;0,AL915/G915,1))),IF(Q915&gt;0,AM915/Q915,0))/MAX(0.1,N(Parameter!$M$21)))</f>
        <v>0.15</v>
      </c>
      <c r="AO915" s="57" t="n">
        <f aca="false">AL915*F915</f>
        <v>261.25</v>
      </c>
      <c r="AP915" s="57" t="n">
        <f aca="false">ROUNDUP(MAX(I915/IF(BV915&gt;0,BV915,MAX(0.1,N(Cockpit!$I$6))),BY915)/BQ915,0)*BQ915</f>
        <v>125</v>
      </c>
      <c r="AQ915" s="58" t="n">
        <f aca="false">IF(AN915&gt;0,I915/AN915,-1)</f>
        <v>1066.66666666667</v>
      </c>
      <c r="AR915" s="58" t="n">
        <f aca="false">IF(AND(OR(BU915="L1",BU915="L23"),AN915&gt;0),SUMIFS($AN$7:$AN$1576,$BU$7:$BU$1576,BU915,$AQ$7:$AQ$1576,"&gt;"&amp;AQ915)+SUMIFS($AN$7:$AN$1576,$BU$7:$BU$1576,BU915,$AQ$7:$AQ$1576,AQ915,$BO$7:$BO$1576,"&lt;="&amp;BO915),"")</f>
        <v>22.396838246632</v>
      </c>
      <c r="AS915" s="65" t="n">
        <f aca="false">IF(AR915="",0,MAX(0,MIN(1,(IF(BU915="L1",Parameter!$E$5,Parameter!$E$6+Parameter!$E$7)-(AR915-AN915))/AN915)))</f>
        <v>1</v>
      </c>
      <c r="AT915" s="57" t="n">
        <f aca="false">IF(LEFT(Cockpit!$O$5,1)="A",G915,IF(BW915=1,BX915,IF(LEFT(Cockpit!$O$5,1)="B",AX915,MAX(AX915,G915))))</f>
        <v>125</v>
      </c>
      <c r="AU915" s="57" t="n">
        <f aca="false">IF(BR915=1,0,ROUNDUP(AT915/BQ915,0))</f>
        <v>0</v>
      </c>
      <c r="AV915" s="59" t="n">
        <f aca="false">IF(CD915&gt;0,CD915*MAX(1,AT915/V915),IF(BR915=1,IF(AT915&lt;=0,0,BS915*MAX(1,IF(G915&gt;0,AT915/G915,1))),IF(Q915&gt;0,AU915/Q915,0))/MAX(0.1,N(Parameter!$M$21)))</f>
        <v>0.15</v>
      </c>
      <c r="AW915" s="57" t="n">
        <f aca="false">AT915*F915</f>
        <v>261.25</v>
      </c>
      <c r="AX915" s="57" t="n">
        <f aca="false">ROUNDUP(MAX(I915/IF(BV915&gt;0,BV915,MAX(0.1,N(Cockpit!$O$6))),BY915)/BQ915,0)*BQ915</f>
        <v>125</v>
      </c>
      <c r="AY915" s="58" t="n">
        <f aca="false">IF(AV915&gt;0,I915/AV915,-1)</f>
        <v>1066.66666666667</v>
      </c>
      <c r="AZ915" s="58" t="n">
        <f aca="false">IF(AND(OR(BU915="L1",BU915="L23"),AV915&gt;0),SUMIFS($AV$7:$AV$1576,$BU$7:$BU$1576,BU915,$AY$7:$AY$1576,"&gt;"&amp;AY915)+SUMIFS($AV$7:$AV$1576,$BU$7:$BU$1576,BU915,$AY$7:$AY$1576,AY915,$BO$7:$BO$1576,"&lt;="&amp;BO915),"")</f>
        <v>21.7074443072381</v>
      </c>
      <c r="BA915" s="65" t="n">
        <f aca="false">IF(AZ915="",0,MAX(0,MIN(1,(IF(BU915="L1",Parameter!$E$5,Parameter!$E$6+Parameter!$E$7)-(AZ915-AV915))/AV915)))</f>
        <v>1</v>
      </c>
      <c r="BB915" s="55" t="str">
        <f aca="false">IF(AF915&lt;=0,"",IF(BU915="Aussen","Aussenlager",IF(BU915="-","Nicht im Lift",IF(AK915&gt;=1,"Lift",IF(AK915&lt;=0,"Aussenlager","teilweise")))))</f>
        <v/>
      </c>
      <c r="BC915" s="55" t="str">
        <f aca="false">IF(AN915&lt;=0,"",IF(BU915="Aussen","Aussenlager",IF(BU915="-","Nicht im Lift",IF(AS915&gt;=1,"Lift",IF(AS915&lt;=0,"Aussenlager","teilweise")))))</f>
        <v>Lift</v>
      </c>
      <c r="BD915" s="55" t="str">
        <f aca="false">IF(AV915&lt;=0,"",IF(BU915="Aussen","Aussenlager",IF(BU915="-","Nicht im Lift",IF(BA915&gt;=1,"Lift",IF(BA915&lt;=0,"Aussenlager","teilweise")))))</f>
        <v>Lift</v>
      </c>
      <c r="BE915" s="55" t="str">
        <f aca="false">IF(A915="","",IF(BN915=1,"Neu; ","")&amp;IF(AND(BN915=0,BI915&lt;0),"negativer Bestand (Export "&amp;BI915&amp;"); ","")&amp;IF(I915&lt;=0,"Kein Verbrauch; ","")&amp;IF(CD915&gt;0,"Lift "&amp;U915&amp;" lt. Liftbericht (Fach "&amp;V915&amp;" Stk); ",IF(BR915=1,"Lose – Fläche geschätzt; ",""))&amp;IF(G915&gt;AP915,"Überbestand "&amp;ROUND(G915-AP915,0)&amp;" Stk / CHF "&amp;ROUND((G915-AP915)*F915,0)&amp;"; ","")&amp;IF(AND(BW915=1,BX915&lt;BY915),"MAX &lt; MB+LG; ","")&amp;IF(AND(CC915&gt;0,CB915*10&gt;CC915),"zu hoch für Tablar; ","")&amp;IF(AND(BN915=0,OR(BW915=1,Y915&lt;&gt;"",S915&lt;&gt;"",T915&lt;&gt;"",Z915&lt;&gt;"")),"manuell übersteuert; ","")&amp;IF(AND(BR915=0,Q915=0),"Gebinde unbekannt / Stellmass fehlt; ","")&amp;IF(AND(BR915=0,N(T915)&lt;=0,N(P915)&lt;=0),"Menge pro Gebinde fehlt (Ist = 1 Gebinde); ","")&amp;BM915)</f>
        <v>Lose – Fläche geschätzt; </v>
      </c>
      <c r="BF915" s="55"/>
      <c r="BG915" s="55"/>
      <c r="BH915" s="62"/>
      <c r="BI915" s="57" t="n">
        <v>0</v>
      </c>
      <c r="BJ915" s="57" t="n">
        <v>100</v>
      </c>
      <c r="BK915" s="56" t="n">
        <v>-40</v>
      </c>
      <c r="BL915" s="57" t="n">
        <v>160</v>
      </c>
      <c r="BM915" s="55"/>
      <c r="BN915" s="60" t="n">
        <v>0</v>
      </c>
      <c r="BO915" s="60" t="n">
        <v>915</v>
      </c>
      <c r="BP915" s="55" t="str">
        <f aca="false">IF(S915&lt;&gt;"",UPPER(TRIM(S915)),IF(O915="","LOSE",O915))</f>
        <v>LOSE</v>
      </c>
      <c r="BQ915" s="57" t="n">
        <f aca="false">IF(BP915="LOSE",1,IF(N(T915)&gt;0,T915,IF(N(P915)&gt;0,P915,MAX(1,G915))))</f>
        <v>1</v>
      </c>
      <c r="BR915" s="60" t="n">
        <f aca="false">IF(BP915="LOSE",1,0)</f>
        <v>1</v>
      </c>
      <c r="BS915" s="59" t="n">
        <f aca="false">IF(BR915=0,0,IF(N(R915)&gt;0,R915,IFERROR(VLOOKUP(D915,Parameter!$A$35:$C$64,3,0)+0,0)))</f>
        <v>0.15</v>
      </c>
      <c r="BT915" s="55" t="n">
        <f aca="false">IF(Y915&lt;&gt;"",Y915,X915)</f>
        <v>2</v>
      </c>
      <c r="BU915" s="55" t="str">
        <f aca="false">IF(BT915=1,"L1",IF(OR(BT915=2,BT915=3),"L23",IF(BT915="Aussen","Aussen","-")))</f>
        <v>L23</v>
      </c>
      <c r="BV915" s="66" t="n">
        <f aca="false">IF(N(Z915)&gt;0,Z915,0)</f>
        <v>0</v>
      </c>
      <c r="BW915" s="60" t="n">
        <f aca="false">IF(ISNUMBER(AC915),1,0)</f>
        <v>0</v>
      </c>
      <c r="BX915" s="57" t="n">
        <f aca="false">N(AC915)</f>
        <v>0</v>
      </c>
      <c r="BY915" s="57" t="n">
        <f aca="false">N(L915)+N(M915)</f>
        <v>125</v>
      </c>
      <c r="BZ915" s="57" t="n">
        <f aca="false">ROUNDUP(G915/BQ915,0)</f>
        <v>0</v>
      </c>
      <c r="CA915" s="57" t="n">
        <f aca="false">ROUNDUP(BX915/BQ915,0)</f>
        <v>0</v>
      </c>
      <c r="CB915" s="60" t="n">
        <f aca="false">IF(BR915=1,0,IFERROR(VLOOKUP(BP915,'Gebinde-Kategorie'!$A$5:$M$45,5,0)+0,0))</f>
        <v>0</v>
      </c>
      <c r="CC915" s="60" t="n">
        <f aca="false">IFERROR(IF(OR(BT915=1,BT915=2,BT915=3),N(INDEX(Parameter!$I$5:$I$7,BT915)),0),0)</f>
        <v>0</v>
      </c>
      <c r="CD915" s="59" t="n">
        <f aca="false">IF(AND(Parameter!$B$21="Ja",ISNUMBER(U915),N(V915)&gt;0),IFERROR(N(INDEX(Parameter!$L$5:$L$7,U915))*INDEX(Parameter!$E$5:$E$7,U915)*V915/SUMIFS($V$7:$V$1576,$U$7:$U$1576,U915),0),0)</f>
        <v>0</v>
      </c>
    </row>
    <row r="916" customFormat="false" ht="15" hidden="false" customHeight="false" outlineLevel="0" collapsed="false">
      <c r="A916" s="55" t="s">
        <v>1702</v>
      </c>
      <c r="B916" s="55" t="s">
        <v>1703</v>
      </c>
      <c r="C916" s="55" t="s">
        <v>160</v>
      </c>
      <c r="D916" s="55" t="s">
        <v>178</v>
      </c>
      <c r="E916" s="55" t="s">
        <v>210</v>
      </c>
      <c r="F916" s="56" t="n">
        <v>14.19</v>
      </c>
      <c r="G916" s="57" t="n">
        <f aca="false">MAX(0,IF(AND(Parameter!$B$21="Ja",ISNUMBER(W916)),W916,IF(Parameter!$B$20="Jahresanfang 2025 + Export",BJ916+BI916,BI916)))</f>
        <v>0</v>
      </c>
      <c r="H916" s="57" t="n">
        <f aca="false">G916*F916</f>
        <v>0</v>
      </c>
      <c r="I916" s="57" t="n">
        <f aca="false">BL916*Parameter!$B$18</f>
        <v>0.3</v>
      </c>
      <c r="J916" s="58" t="n">
        <v>44.9</v>
      </c>
      <c r="K916" s="59" t="n">
        <v>0.0066815144766147</v>
      </c>
      <c r="L916" s="57" t="n">
        <v>0</v>
      </c>
      <c r="M916" s="57" t="n">
        <v>1</v>
      </c>
      <c r="N916" s="60" t="n">
        <v>21</v>
      </c>
      <c r="O916" s="55" t="s">
        <v>293</v>
      </c>
      <c r="P916" s="57" t="n">
        <v>35</v>
      </c>
      <c r="Q916" s="60" t="n">
        <f aca="false">IF(BR916=1,0,IFERROR(VLOOKUP(BP916,'Gebinde-Kategorie'!$A$5:$M$45,13,0)+0,0))</f>
        <v>26</v>
      </c>
      <c r="R916" s="61"/>
      <c r="S916" s="62"/>
      <c r="T916" s="62"/>
      <c r="U916" s="55"/>
      <c r="V916" s="57"/>
      <c r="W916" s="57"/>
      <c r="X916" s="55" t="n">
        <f aca="false">IF(A916="","",IF(AND(Parameter!$B$21="Ja",ISNUMBER(U916)),U916,IF(IFERROR(VLOOKUP(D916,Parameter!$A$35:$C$64,2,0),"Nein")="2+3",IF(ISNUMBER(SEARCH("grosser Artikel",BM916)),2,IFERROR(VLOOKUP(BP916,Parameter!$F$35:$G$64,2,0),2)),IF(OR(IFERROR(VLOOKUP(D916,Parameter!$A$35:$C$64,2,0),"Nein")="Nein",IFERROR(VLOOKUP(D916,Parameter!$A$35:$C$64,2,0),"Nein")=""),"-",VLOOKUP(D916,Parameter!$A$35:$C$64,2,0)))))</f>
        <v>3</v>
      </c>
      <c r="Y916" s="62"/>
      <c r="Z916" s="63"/>
      <c r="AA916" s="57" t="n">
        <f aca="false">AP916</f>
        <v>35</v>
      </c>
      <c r="AB916" s="57" t="n">
        <f aca="false">MAX(AP916,G916)</f>
        <v>35</v>
      </c>
      <c r="AC916" s="64"/>
      <c r="AD916" s="57" t="n">
        <f aca="false">IF(LEFT(Cockpit!$C$5,1)="A",G916,IF(BW916=1,BX916,IF(LEFT(Cockpit!$C$5,1)="B",AH916,MAX(AH916,G916))))</f>
        <v>0</v>
      </c>
      <c r="AE916" s="57" t="n">
        <f aca="false">IF(BR916=1,0,ROUNDUP(AD916/BQ916,0))</f>
        <v>0</v>
      </c>
      <c r="AF916" s="59" t="n">
        <f aca="false">IF(CD916&gt;0,CD916*MAX(1,AD916/V916),IF(BR916=1,IF(AD916&lt;=0,0,BS916*MAX(1,IF(G916&gt;0,AD916/G916,1))),IF(Q916&gt;0,AE916/Q916,0))/MAX(0.1,N(Parameter!$M$21)))</f>
        <v>0</v>
      </c>
      <c r="AG916" s="57" t="n">
        <f aca="false">AD916*F916</f>
        <v>0</v>
      </c>
      <c r="AH916" s="57" t="n">
        <f aca="false">ROUNDUP(MAX(I916/IF(BV916&gt;0,BV916,MAX(0.1,N(Cockpit!$C$6))),BY916)/BQ916,0)*BQ916</f>
        <v>35</v>
      </c>
      <c r="AI916" s="58" t="n">
        <f aca="false">IF(AF916&gt;0,I916/AF916,-1)</f>
        <v>-1</v>
      </c>
      <c r="AJ916" s="58" t="str">
        <f aca="false">IF(AND(OR(BU916="L1",BU916="L23"),AF916&gt;0),SUMIFS($AF$7:$AF$1576,$BU$7:$BU$1576,BU916,$AI$7:$AI$1576,"&gt;"&amp;AI916)+SUMIFS($AF$7:$AF$1576,$BU$7:$BU$1576,BU916,$AI$7:$AI$1576,AI916,$BO$7:$BO$1576,"&lt;="&amp;BO916),"")</f>
        <v/>
      </c>
      <c r="AK916" s="65" t="n">
        <f aca="false">IF(AJ916="",0,MAX(0,MIN(1,(IF(BU916="L1",Parameter!$E$5,Parameter!$E$6+Parameter!$E$7)-(AJ916-AF916))/AF916)))</f>
        <v>0</v>
      </c>
      <c r="AL916" s="57" t="n">
        <f aca="false">IF(LEFT(Cockpit!$I$5,1)="A",G916,IF(BW916=1,BX916,IF(LEFT(Cockpit!$I$5,1)="B",AP916,MAX(AP916,G916))))</f>
        <v>35</v>
      </c>
      <c r="AM916" s="57" t="n">
        <f aca="false">IF(BR916=1,0,ROUNDUP(AL916/BQ916,0))</f>
        <v>1</v>
      </c>
      <c r="AN916" s="59" t="n">
        <f aca="false">IF(CD916&gt;0,CD916*MAX(1,AL916/V916),IF(BR916=1,IF(AL916&lt;=0,0,BS916*MAX(1,IF(G916&gt;0,AL916/G916,1))),IF(Q916&gt;0,AM916/Q916,0))/MAX(0.1,N(Parameter!$M$21)))</f>
        <v>0.0384615384615385</v>
      </c>
      <c r="AO916" s="57" t="n">
        <f aca="false">AL916*F916</f>
        <v>496.65</v>
      </c>
      <c r="AP916" s="57" t="n">
        <f aca="false">ROUNDUP(MAX(I916/IF(BV916&gt;0,BV916,MAX(0.1,N(Cockpit!$I$6))),BY916)/BQ916,0)*BQ916</f>
        <v>35</v>
      </c>
      <c r="AQ916" s="58" t="n">
        <f aca="false">IF(AN916&gt;0,I916/AN916,-1)</f>
        <v>7.8</v>
      </c>
      <c r="AR916" s="58" t="n">
        <f aca="false">IF(AND(OR(BU916="L1",BU916="L23"),AN916&gt;0),SUMIFS($AN$7:$AN$1576,$BU$7:$BU$1576,BU916,$AQ$7:$AQ$1576,"&gt;"&amp;AQ916)+SUMIFS($AN$7:$AN$1576,$BU$7:$BU$1576,BU916,$AQ$7:$AQ$1576,AQ916,$BO$7:$BO$1576,"&lt;="&amp;BO916),"")</f>
        <v>109.642434588696</v>
      </c>
      <c r="AS916" s="65" t="n">
        <f aca="false">IF(AR916="",0,MAX(0,MIN(1,(IF(BU916="L1",Parameter!$E$5,Parameter!$E$6+Parameter!$E$7)-(AR916-AN916))/AN916)))</f>
        <v>0</v>
      </c>
      <c r="AT916" s="57" t="n">
        <f aca="false">IF(LEFT(Cockpit!$O$5,1)="A",G916,IF(BW916=1,BX916,IF(LEFT(Cockpit!$O$5,1)="B",AX916,MAX(AX916,G916))))</f>
        <v>35</v>
      </c>
      <c r="AU916" s="57" t="n">
        <f aca="false">IF(BR916=1,0,ROUNDUP(AT916/BQ916,0))</f>
        <v>1</v>
      </c>
      <c r="AV916" s="59" t="n">
        <f aca="false">IF(CD916&gt;0,CD916*MAX(1,AT916/V916),IF(BR916=1,IF(AT916&lt;=0,0,BS916*MAX(1,IF(G916&gt;0,AT916/G916,1))),IF(Q916&gt;0,AU916/Q916,0))/MAX(0.1,N(Parameter!$M$21)))</f>
        <v>0.0384615384615385</v>
      </c>
      <c r="AW916" s="57" t="n">
        <f aca="false">AT916*F916</f>
        <v>496.65</v>
      </c>
      <c r="AX916" s="57" t="n">
        <f aca="false">ROUNDUP(MAX(I916/IF(BV916&gt;0,BV916,MAX(0.1,N(Cockpit!$O$6))),BY916)/BQ916,0)*BQ916</f>
        <v>35</v>
      </c>
      <c r="AY916" s="58" t="n">
        <f aca="false">IF(AV916&gt;0,I916/AV916,-1)</f>
        <v>7.8</v>
      </c>
      <c r="AZ916" s="58" t="n">
        <f aca="false">IF(AND(OR(BU916="L1",BU916="L23"),AV916&gt;0),SUMIFS($AV$7:$AV$1576,$BU$7:$BU$1576,BU916,$AY$7:$AY$1576,"&gt;"&amp;AY916)+SUMIFS($AV$7:$AV$1576,$BU$7:$BU$1576,BU916,$AY$7:$AY$1576,AY916,$BO$7:$BO$1576,"&lt;="&amp;BO916),"")</f>
        <v>99.7019850382462</v>
      </c>
      <c r="BA916" s="65" t="n">
        <f aca="false">IF(AZ916="",0,MAX(0,MIN(1,(IF(BU916="L1",Parameter!$E$5,Parameter!$E$6+Parameter!$E$7)-(AZ916-AV916))/AV916)))</f>
        <v>1</v>
      </c>
      <c r="BB916" s="55" t="str">
        <f aca="false">IF(AF916&lt;=0,"",IF(BU916="Aussen","Aussenlager",IF(BU916="-","Nicht im Lift",IF(AK916&gt;=1,"Lift",IF(AK916&lt;=0,"Aussenlager","teilweise")))))</f>
        <v/>
      </c>
      <c r="BC916" s="55" t="str">
        <f aca="false">IF(AN916&lt;=0,"",IF(BU916="Aussen","Aussenlager",IF(BU916="-","Nicht im Lift",IF(AS916&gt;=1,"Lift",IF(AS916&lt;=0,"Aussenlager","teilweise")))))</f>
        <v>Aussenlager</v>
      </c>
      <c r="BD916" s="55" t="str">
        <f aca="false">IF(AV916&lt;=0,"",IF(BU916="Aussen","Aussenlager",IF(BU916="-","Nicht im Lift",IF(BA916&gt;=1,"Lift",IF(BA916&lt;=0,"Aussenlager","teilweise")))))</f>
        <v>Lift</v>
      </c>
      <c r="BE916" s="55" t="str">
        <f aca="false">IF(A916="","",IF(BN916=1,"Neu; ","")&amp;IF(AND(BN916=0,BI916&lt;0),"negativer Bestand (Export "&amp;BI916&amp;"); ","")&amp;IF(I916&lt;=0,"Kein Verbrauch; ","")&amp;IF(CD916&gt;0,"Lift "&amp;U916&amp;" lt. Liftbericht (Fach "&amp;V916&amp;" Stk); ",IF(BR916=1,"Lose – Fläche geschätzt; ",""))&amp;IF(G916&gt;AP916,"Überbestand "&amp;ROUND(G916-AP916,0)&amp;" Stk / CHF "&amp;ROUND((G916-AP916)*F916,0)&amp;"; ","")&amp;IF(AND(BW916=1,BX916&lt;BY916),"MAX &lt; MB+LG; ","")&amp;IF(AND(CC916&gt;0,CB916*10&gt;CC916),"zu hoch für Tablar; ","")&amp;IF(AND(BN916=0,OR(BW916=1,Y916&lt;&gt;"",S916&lt;&gt;"",T916&lt;&gt;"",Z916&lt;&gt;"")),"manuell übersteuert; ","")&amp;IF(AND(BR916=0,Q916=0),"Gebinde unbekannt / Stellmass fehlt; ","")&amp;IF(AND(BR916=0,N(T916)&lt;=0,N(P916)&lt;=0),"Menge pro Gebinde fehlt (Ist = 1 Gebinde); ","")&amp;BM916)</f>
        <v>negativer Bestand (Export -2.9); </v>
      </c>
      <c r="BF916" s="55"/>
      <c r="BG916" s="55"/>
      <c r="BH916" s="62"/>
      <c r="BI916" s="57" t="n">
        <v>-2.9</v>
      </c>
      <c r="BJ916" s="57" t="n">
        <v>35.2</v>
      </c>
      <c r="BK916" s="56" t="n">
        <v>-41.15</v>
      </c>
      <c r="BL916" s="57" t="n">
        <v>0.3</v>
      </c>
      <c r="BM916" s="55"/>
      <c r="BN916" s="60" t="n">
        <v>0</v>
      </c>
      <c r="BO916" s="60" t="n">
        <v>916</v>
      </c>
      <c r="BP916" s="55" t="str">
        <f aca="false">IF(S916&lt;&gt;"",UPPER(TRIM(S916)),IF(O916="","LOSE",O916))</f>
        <v>S51</v>
      </c>
      <c r="BQ916" s="57" t="n">
        <f aca="false">IF(BP916="LOSE",1,IF(N(T916)&gt;0,T916,IF(N(P916)&gt;0,P916,MAX(1,G916))))</f>
        <v>35</v>
      </c>
      <c r="BR916" s="60" t="n">
        <f aca="false">IF(BP916="LOSE",1,0)</f>
        <v>0</v>
      </c>
      <c r="BS916" s="59" t="n">
        <f aca="false">IF(BR916=0,0,IF(N(R916)&gt;0,R916,IFERROR(VLOOKUP(D916,Parameter!$A$35:$C$64,3,0)+0,0)))</f>
        <v>0</v>
      </c>
      <c r="BT916" s="55" t="n">
        <f aca="false">IF(Y916&lt;&gt;"",Y916,X916)</f>
        <v>3</v>
      </c>
      <c r="BU916" s="55" t="str">
        <f aca="false">IF(BT916=1,"L1",IF(OR(BT916=2,BT916=3),"L23",IF(BT916="Aussen","Aussen","-")))</f>
        <v>L23</v>
      </c>
      <c r="BV916" s="66" t="n">
        <f aca="false">IF(N(Z916)&gt;0,Z916,0)</f>
        <v>0</v>
      </c>
      <c r="BW916" s="60" t="n">
        <f aca="false">IF(ISNUMBER(AC916),1,0)</f>
        <v>0</v>
      </c>
      <c r="BX916" s="57" t="n">
        <f aca="false">N(AC916)</f>
        <v>0</v>
      </c>
      <c r="BY916" s="57" t="n">
        <f aca="false">N(L916)+N(M916)</f>
        <v>1</v>
      </c>
      <c r="BZ916" s="57" t="n">
        <f aca="false">ROUNDUP(G916/BQ916,0)</f>
        <v>0</v>
      </c>
      <c r="CA916" s="57" t="n">
        <f aca="false">ROUNDUP(BX916/BQ916,0)</f>
        <v>0</v>
      </c>
      <c r="CB916" s="60" t="n">
        <f aca="false">IF(BR916=1,0,IFERROR(VLOOKUP(BP916,'Gebinde-Kategorie'!$A$5:$M$45,5,0)+0,0))</f>
        <v>11</v>
      </c>
      <c r="CC916" s="60" t="n">
        <f aca="false">IFERROR(IF(OR(BT916=1,BT916=2,BT916=3),N(INDEX(Parameter!$I$5:$I$7,BT916)),0),0)</f>
        <v>0</v>
      </c>
      <c r="CD916" s="59" t="n">
        <f aca="false">IF(AND(Parameter!$B$21="Ja",ISNUMBER(U916),N(V916)&gt;0),IFERROR(N(INDEX(Parameter!$L$5:$L$7,U916))*INDEX(Parameter!$E$5:$E$7,U916)*V916/SUMIFS($V$7:$V$1576,$U$7:$U$1576,U916),0),0)</f>
        <v>0</v>
      </c>
    </row>
    <row r="917" customFormat="false" ht="15" hidden="false" customHeight="false" outlineLevel="0" collapsed="false">
      <c r="A917" s="55" t="s">
        <v>1704</v>
      </c>
      <c r="B917" s="55" t="s">
        <v>1279</v>
      </c>
      <c r="C917" s="55" t="s">
        <v>160</v>
      </c>
      <c r="D917" s="55" t="s">
        <v>178</v>
      </c>
      <c r="E917" s="55" t="s">
        <v>210</v>
      </c>
      <c r="F917" s="56" t="n">
        <v>1.1</v>
      </c>
      <c r="G917" s="57" t="n">
        <f aca="false">MAX(0,IF(AND(Parameter!$B$21="Ja",ISNUMBER(W917)),W917,IF(Parameter!$B$20="Jahresanfang 2025 + Export",BJ917+BI917,BI917)))</f>
        <v>0</v>
      </c>
      <c r="H917" s="57" t="n">
        <f aca="false">G917*F917</f>
        <v>0</v>
      </c>
      <c r="I917" s="57" t="n">
        <f aca="false">BL917*Parameter!$B$18</f>
        <v>27</v>
      </c>
      <c r="J917" s="58" t="n">
        <v>116.5</v>
      </c>
      <c r="K917" s="59" t="n">
        <v>0.231759656652361</v>
      </c>
      <c r="L917" s="57" t="n">
        <v>1</v>
      </c>
      <c r="M917" s="57" t="n">
        <v>25</v>
      </c>
      <c r="N917" s="60" t="n">
        <v>21</v>
      </c>
      <c r="O917" s="55" t="s">
        <v>218</v>
      </c>
      <c r="P917" s="57" t="n">
        <v>179</v>
      </c>
      <c r="Q917" s="60" t="n">
        <f aca="false">IF(BR917=1,0,IFERROR(VLOOKUP(BP917,'Gebinde-Kategorie'!$A$5:$M$45,13,0)+0,0))</f>
        <v>12</v>
      </c>
      <c r="R917" s="61"/>
      <c r="S917" s="62"/>
      <c r="T917" s="62"/>
      <c r="U917" s="55"/>
      <c r="V917" s="57"/>
      <c r="W917" s="57"/>
      <c r="X917" s="55" t="n">
        <f aca="false">IF(A917="","",IF(AND(Parameter!$B$21="Ja",ISNUMBER(U917)),U917,IF(IFERROR(VLOOKUP(D917,Parameter!$A$35:$C$64,2,0),"Nein")="2+3",IF(ISNUMBER(SEARCH("grosser Artikel",BM917)),2,IFERROR(VLOOKUP(BP917,Parameter!$F$35:$G$64,2,0),2)),IF(OR(IFERROR(VLOOKUP(D917,Parameter!$A$35:$C$64,2,0),"Nein")="Nein",IFERROR(VLOOKUP(D917,Parameter!$A$35:$C$64,2,0),"Nein")=""),"-",VLOOKUP(D917,Parameter!$A$35:$C$64,2,0)))))</f>
        <v>2</v>
      </c>
      <c r="Y917" s="62"/>
      <c r="Z917" s="63"/>
      <c r="AA917" s="57" t="n">
        <f aca="false">AP917</f>
        <v>179</v>
      </c>
      <c r="AB917" s="57" t="n">
        <f aca="false">MAX(AP917,G917)</f>
        <v>179</v>
      </c>
      <c r="AC917" s="64"/>
      <c r="AD917" s="57" t="n">
        <f aca="false">IF(LEFT(Cockpit!$C$5,1)="A",G917,IF(BW917=1,BX917,IF(LEFT(Cockpit!$C$5,1)="B",AH917,MAX(AH917,G917))))</f>
        <v>0</v>
      </c>
      <c r="AE917" s="57" t="n">
        <f aca="false">IF(BR917=1,0,ROUNDUP(AD917/BQ917,0))</f>
        <v>0</v>
      </c>
      <c r="AF917" s="59" t="n">
        <f aca="false">IF(CD917&gt;0,CD917*MAX(1,AD917/V917),IF(BR917=1,IF(AD917&lt;=0,0,BS917*MAX(1,IF(G917&gt;0,AD917/G917,1))),IF(Q917&gt;0,AE917/Q917,0))/MAX(0.1,N(Parameter!$M$21)))</f>
        <v>0</v>
      </c>
      <c r="AG917" s="57" t="n">
        <f aca="false">AD917*F917</f>
        <v>0</v>
      </c>
      <c r="AH917" s="57" t="n">
        <f aca="false">ROUNDUP(MAX(I917/IF(BV917&gt;0,BV917,MAX(0.1,N(Cockpit!$C$6))),BY917)/BQ917,0)*BQ917</f>
        <v>179</v>
      </c>
      <c r="AI917" s="58" t="n">
        <f aca="false">IF(AF917&gt;0,I917/AF917,-1)</f>
        <v>-1</v>
      </c>
      <c r="AJ917" s="58" t="str">
        <f aca="false">IF(AND(OR(BU917="L1",BU917="L23"),AF917&gt;0),SUMIFS($AF$7:$AF$1576,$BU$7:$BU$1576,BU917,$AI$7:$AI$1576,"&gt;"&amp;AI917)+SUMIFS($AF$7:$AF$1576,$BU$7:$BU$1576,BU917,$AI$7:$AI$1576,AI917,$BO$7:$BO$1576,"&lt;="&amp;BO917),"")</f>
        <v/>
      </c>
      <c r="AK917" s="65" t="n">
        <f aca="false">IF(AJ917="",0,MAX(0,MIN(1,(IF(BU917="L1",Parameter!$E$5,Parameter!$E$6+Parameter!$E$7)-(AJ917-AF917))/AF917)))</f>
        <v>0</v>
      </c>
      <c r="AL917" s="57" t="n">
        <f aca="false">IF(LEFT(Cockpit!$I$5,1)="A",G917,IF(BW917=1,BX917,IF(LEFT(Cockpit!$I$5,1)="B",AP917,MAX(AP917,G917))))</f>
        <v>179</v>
      </c>
      <c r="AM917" s="57" t="n">
        <f aca="false">IF(BR917=1,0,ROUNDUP(AL917/BQ917,0))</f>
        <v>1</v>
      </c>
      <c r="AN917" s="59" t="n">
        <f aca="false">IF(CD917&gt;0,CD917*MAX(1,AL917/V917),IF(BR917=1,IF(AL917&lt;=0,0,BS917*MAX(1,IF(G917&gt;0,AL917/G917,1))),IF(Q917&gt;0,AM917/Q917,0))/MAX(0.1,N(Parameter!$M$21)))</f>
        <v>0.0833333333333333</v>
      </c>
      <c r="AO917" s="57" t="n">
        <f aca="false">AL917*F917</f>
        <v>196.9</v>
      </c>
      <c r="AP917" s="57" t="n">
        <f aca="false">ROUNDUP(MAX(I917/IF(BV917&gt;0,BV917,MAX(0.1,N(Cockpit!$I$6))),BY917)/BQ917,0)*BQ917</f>
        <v>179</v>
      </c>
      <c r="AQ917" s="58" t="n">
        <f aca="false">IF(AN917&gt;0,I917/AN917,-1)</f>
        <v>324</v>
      </c>
      <c r="AR917" s="58" t="n">
        <f aca="false">IF(AND(OR(BU917="L1",BU917="L23"),AN917&gt;0),SUMIFS($AN$7:$AN$1576,$BU$7:$BU$1576,BU917,$AQ$7:$AQ$1576,"&gt;"&amp;AQ917)+SUMIFS($AN$7:$AN$1576,$BU$7:$BU$1576,BU917,$AQ$7:$AQ$1576,AQ917,$BO$7:$BO$1576,"&lt;="&amp;BO917),"")</f>
        <v>42.247588800426</v>
      </c>
      <c r="AS917" s="65" t="n">
        <f aca="false">IF(AR917="",0,MAX(0,MIN(1,(IF(BU917="L1",Parameter!$E$5,Parameter!$E$6+Parameter!$E$7)-(AR917-AN917))/AN917)))</f>
        <v>1</v>
      </c>
      <c r="AT917" s="57" t="n">
        <f aca="false">IF(LEFT(Cockpit!$O$5,1)="A",G917,IF(BW917=1,BX917,IF(LEFT(Cockpit!$O$5,1)="B",AX917,MAX(AX917,G917))))</f>
        <v>179</v>
      </c>
      <c r="AU917" s="57" t="n">
        <f aca="false">IF(BR917=1,0,ROUNDUP(AT917/BQ917,0))</f>
        <v>1</v>
      </c>
      <c r="AV917" s="59" t="n">
        <f aca="false">IF(CD917&gt;0,CD917*MAX(1,AT917/V917),IF(BR917=1,IF(AT917&lt;=0,0,BS917*MAX(1,IF(G917&gt;0,AT917/G917,1))),IF(Q917&gt;0,AU917/Q917,0))/MAX(0.1,N(Parameter!$M$21)))</f>
        <v>0.0833333333333333</v>
      </c>
      <c r="AW917" s="57" t="n">
        <f aca="false">AT917*F917</f>
        <v>196.9</v>
      </c>
      <c r="AX917" s="57" t="n">
        <f aca="false">ROUNDUP(MAX(I917/IF(BV917&gt;0,BV917,MAX(0.1,N(Cockpit!$O$6))),BY917)/BQ917,0)*BQ917</f>
        <v>179</v>
      </c>
      <c r="AY917" s="58" t="n">
        <f aca="false">IF(AV917&gt;0,I917/AV917,-1)</f>
        <v>324</v>
      </c>
      <c r="AZ917" s="58" t="n">
        <f aca="false">IF(AND(OR(BU917="L1",BU917="L23"),AV917&gt;0),SUMIFS($AV$7:$AV$1576,$BU$7:$BU$1576,BU917,$AY$7:$AY$1576,"&gt;"&amp;AY917)+SUMIFS($AV$7:$AV$1576,$BU$7:$BU$1576,BU917,$AY$7:$AY$1576,AY917,$BO$7:$BO$1576,"&lt;="&amp;BO917),"")</f>
        <v>38.9956673885046</v>
      </c>
      <c r="BA917" s="65" t="n">
        <f aca="false">IF(AZ917="",0,MAX(0,MIN(1,(IF(BU917="L1",Parameter!$E$5,Parameter!$E$6+Parameter!$E$7)-(AZ917-AV917))/AV917)))</f>
        <v>1</v>
      </c>
      <c r="BB917" s="55" t="str">
        <f aca="false">IF(AF917&lt;=0,"",IF(BU917="Aussen","Aussenlager",IF(BU917="-","Nicht im Lift",IF(AK917&gt;=1,"Lift",IF(AK917&lt;=0,"Aussenlager","teilweise")))))</f>
        <v/>
      </c>
      <c r="BC917" s="55" t="str">
        <f aca="false">IF(AN917&lt;=0,"",IF(BU917="Aussen","Aussenlager",IF(BU917="-","Nicht im Lift",IF(AS917&gt;=1,"Lift",IF(AS917&lt;=0,"Aussenlager","teilweise")))))</f>
        <v>Lift</v>
      </c>
      <c r="BD917" s="55" t="str">
        <f aca="false">IF(AV917&lt;=0,"",IF(BU917="Aussen","Aussenlager",IF(BU917="-","Nicht im Lift",IF(BA917&gt;=1,"Lift",IF(BA917&lt;=0,"Aussenlager","teilweise")))))</f>
        <v>Lift</v>
      </c>
      <c r="BE917" s="55" t="str">
        <f aca="false">IF(A917="","",IF(BN917=1,"Neu; ","")&amp;IF(AND(BN917=0,BI917&lt;0),"negativer Bestand (Export "&amp;BI917&amp;"); ","")&amp;IF(I917&lt;=0,"Kein Verbrauch; ","")&amp;IF(CD917&gt;0,"Lift "&amp;U917&amp;" lt. Liftbericht (Fach "&amp;V917&amp;" Stk); ",IF(BR917=1,"Lose – Fläche geschätzt; ",""))&amp;IF(G917&gt;AP917,"Überbestand "&amp;ROUND(G917-AP917,0)&amp;" Stk / CHF "&amp;ROUND((G917-AP917)*F917,0)&amp;"; ","")&amp;IF(AND(BW917=1,BX917&lt;BY917),"MAX &lt; MB+LG; ","")&amp;IF(AND(CC917&gt;0,CB917*10&gt;CC917),"zu hoch für Tablar; ","")&amp;IF(AND(BN917=0,OR(BW917=1,Y917&lt;&gt;"",S917&lt;&gt;"",T917&lt;&gt;"",Z917&lt;&gt;"")),"manuell übersteuert; ","")&amp;IF(AND(BR917=0,Q917=0),"Gebinde unbekannt / Stellmass fehlt; ","")&amp;IF(AND(BR917=0,N(T917)&lt;=0,N(P917)&lt;=0),"Menge pro Gebinde fehlt (Ist = 1 Gebinde); ","")&amp;BM917)</f>
        <v>negativer Bestand (Export -38); Neu</v>
      </c>
      <c r="BF917" s="55"/>
      <c r="BG917" s="55"/>
      <c r="BH917" s="62"/>
      <c r="BI917" s="57" t="n">
        <v>-38</v>
      </c>
      <c r="BJ917" s="57" t="n">
        <v>125</v>
      </c>
      <c r="BK917" s="56" t="n">
        <v>-41.8</v>
      </c>
      <c r="BL917" s="57" t="n">
        <v>27</v>
      </c>
      <c r="BM917" s="55" t="s">
        <v>615</v>
      </c>
      <c r="BN917" s="60" t="n">
        <v>0</v>
      </c>
      <c r="BO917" s="60" t="n">
        <v>917</v>
      </c>
      <c r="BP917" s="55" t="str">
        <f aca="false">IF(S917&lt;&gt;"",UPPER(TRIM(S917)),IF(O917="","LOSE",O917))</f>
        <v>S63</v>
      </c>
      <c r="BQ917" s="57" t="n">
        <f aca="false">IF(BP917="LOSE",1,IF(N(T917)&gt;0,T917,IF(N(P917)&gt;0,P917,MAX(1,G917))))</f>
        <v>179</v>
      </c>
      <c r="BR917" s="60" t="n">
        <f aca="false">IF(BP917="LOSE",1,0)</f>
        <v>0</v>
      </c>
      <c r="BS917" s="59" t="n">
        <f aca="false">IF(BR917=0,0,IF(N(R917)&gt;0,R917,IFERROR(VLOOKUP(D917,Parameter!$A$35:$C$64,3,0)+0,0)))</f>
        <v>0</v>
      </c>
      <c r="BT917" s="55" t="n">
        <f aca="false">IF(Y917&lt;&gt;"",Y917,X917)</f>
        <v>2</v>
      </c>
      <c r="BU917" s="55" t="str">
        <f aca="false">IF(BT917=1,"L1",IF(OR(BT917=2,BT917=3),"L23",IF(BT917="Aussen","Aussen","-")))</f>
        <v>L23</v>
      </c>
      <c r="BV917" s="66" t="n">
        <f aca="false">IF(N(Z917)&gt;0,Z917,0)</f>
        <v>0</v>
      </c>
      <c r="BW917" s="60" t="n">
        <f aca="false">IF(ISNUMBER(AC917),1,0)</f>
        <v>0</v>
      </c>
      <c r="BX917" s="57" t="n">
        <f aca="false">N(AC917)</f>
        <v>0</v>
      </c>
      <c r="BY917" s="57" t="n">
        <f aca="false">N(L917)+N(M917)</f>
        <v>26</v>
      </c>
      <c r="BZ917" s="57" t="n">
        <f aca="false">ROUNDUP(G917/BQ917,0)</f>
        <v>0</v>
      </c>
      <c r="CA917" s="57" t="n">
        <f aca="false">ROUNDUP(BX917/BQ917,0)</f>
        <v>0</v>
      </c>
      <c r="CB917" s="60" t="n">
        <f aca="false">IF(BR917=1,0,IFERROR(VLOOKUP(BP917,'Gebinde-Kategorie'!$A$5:$M$45,5,0)+0,0))</f>
        <v>31</v>
      </c>
      <c r="CC917" s="60" t="n">
        <f aca="false">IFERROR(IF(OR(BT917=1,BT917=2,BT917=3),N(INDEX(Parameter!$I$5:$I$7,BT917)),0),0)</f>
        <v>0</v>
      </c>
      <c r="CD917" s="59" t="n">
        <f aca="false">IF(AND(Parameter!$B$21="Ja",ISNUMBER(U917),N(V917)&gt;0),IFERROR(N(INDEX(Parameter!$L$5:$L$7,U917))*INDEX(Parameter!$E$5:$E$7,U917)*V917/SUMIFS($V$7:$V$1576,$U$7:$U$1576,U917),0),0)</f>
        <v>0</v>
      </c>
    </row>
    <row r="918" customFormat="false" ht="15" hidden="false" customHeight="false" outlineLevel="0" collapsed="false">
      <c r="A918" s="55" t="s">
        <v>1705</v>
      </c>
      <c r="B918" s="55" t="s">
        <v>1706</v>
      </c>
      <c r="C918" s="55" t="s">
        <v>160</v>
      </c>
      <c r="D918" s="55" t="s">
        <v>168</v>
      </c>
      <c r="E918" s="55" t="s">
        <v>210</v>
      </c>
      <c r="F918" s="56" t="n">
        <v>1.05</v>
      </c>
      <c r="G918" s="57" t="n">
        <f aca="false">MAX(0,IF(AND(Parameter!$B$21="Ja",ISNUMBER(W918)),W918,IF(Parameter!$B$20="Jahresanfang 2025 + Export",BJ918+BI918,BI918)))</f>
        <v>0</v>
      </c>
      <c r="H918" s="57" t="n">
        <f aca="false">G918*F918</f>
        <v>0</v>
      </c>
      <c r="I918" s="57" t="n">
        <f aca="false">BL918*Parameter!$B$18</f>
        <v>0</v>
      </c>
      <c r="J918" s="58" t="n">
        <v>25.5</v>
      </c>
      <c r="K918" s="59" t="n">
        <v>0</v>
      </c>
      <c r="L918" s="57" t="n">
        <v>0</v>
      </c>
      <c r="M918" s="57" t="n">
        <v>1</v>
      </c>
      <c r="N918" s="60" t="n">
        <v>35</v>
      </c>
      <c r="O918" s="55" t="s">
        <v>163</v>
      </c>
      <c r="P918" s="57"/>
      <c r="Q918" s="60" t="n">
        <f aca="false">IF(BR918=1,0,IFERROR(VLOOKUP(BP918,'Gebinde-Kategorie'!$A$5:$M$45,13,0)+0,0))</f>
        <v>0</v>
      </c>
      <c r="R918" s="61"/>
      <c r="S918" s="62"/>
      <c r="T918" s="62"/>
      <c r="U918" s="55"/>
      <c r="V918" s="57"/>
      <c r="W918" s="57"/>
      <c r="X918" s="55" t="n">
        <f aca="false">IF(A918="","",IF(AND(Parameter!$B$21="Ja",ISNUMBER(U918)),U918,IF(IFERROR(VLOOKUP(D918,Parameter!$A$35:$C$64,2,0),"Nein")="2+3",IF(ISNUMBER(SEARCH("grosser Artikel",BM918)),2,IFERROR(VLOOKUP(BP918,Parameter!$F$35:$G$64,2,0),2)),IF(OR(IFERROR(VLOOKUP(D918,Parameter!$A$35:$C$64,2,0),"Nein")="Nein",IFERROR(VLOOKUP(D918,Parameter!$A$35:$C$64,2,0),"Nein")=""),"-",VLOOKUP(D918,Parameter!$A$35:$C$64,2,0)))))</f>
        <v>2</v>
      </c>
      <c r="Y918" s="62"/>
      <c r="Z918" s="63"/>
      <c r="AA918" s="57" t="n">
        <f aca="false">AP918</f>
        <v>1</v>
      </c>
      <c r="AB918" s="57" t="n">
        <f aca="false">MAX(AP918,G918)</f>
        <v>1</v>
      </c>
      <c r="AC918" s="64"/>
      <c r="AD918" s="57" t="n">
        <f aca="false">IF(LEFT(Cockpit!$C$5,1)="A",G918,IF(BW918=1,BX918,IF(LEFT(Cockpit!$C$5,1)="B",AH918,MAX(AH918,G918))))</f>
        <v>0</v>
      </c>
      <c r="AE918" s="57" t="n">
        <f aca="false">IF(BR918=1,0,ROUNDUP(AD918/BQ918,0))</f>
        <v>0</v>
      </c>
      <c r="AF918" s="59" t="n">
        <f aca="false">IF(CD918&gt;0,CD918*MAX(1,AD918/V918),IF(BR918=1,IF(AD918&lt;=0,0,BS918*MAX(1,IF(G918&gt;0,AD918/G918,1))),IF(Q918&gt;0,AE918/Q918,0))/MAX(0.1,N(Parameter!$M$21)))</f>
        <v>0</v>
      </c>
      <c r="AG918" s="57" t="n">
        <f aca="false">AD918*F918</f>
        <v>0</v>
      </c>
      <c r="AH918" s="57" t="n">
        <f aca="false">ROUNDUP(MAX(I918/IF(BV918&gt;0,BV918,MAX(0.1,N(Cockpit!$C$6))),BY918)/BQ918,0)*BQ918</f>
        <v>1</v>
      </c>
      <c r="AI918" s="58" t="n">
        <f aca="false">IF(AF918&gt;0,I918/AF918,-1)</f>
        <v>-1</v>
      </c>
      <c r="AJ918" s="58" t="str">
        <f aca="false">IF(AND(OR(BU918="L1",BU918="L23"),AF918&gt;0),SUMIFS($AF$7:$AF$1576,$BU$7:$BU$1576,BU918,$AI$7:$AI$1576,"&gt;"&amp;AI918)+SUMIFS($AF$7:$AF$1576,$BU$7:$BU$1576,BU918,$AI$7:$AI$1576,AI918,$BO$7:$BO$1576,"&lt;="&amp;BO918),"")</f>
        <v/>
      </c>
      <c r="AK918" s="65" t="n">
        <f aca="false">IF(AJ918="",0,MAX(0,MIN(1,(IF(BU918="L1",Parameter!$E$5,Parameter!$E$6+Parameter!$E$7)-(AJ918-AF918))/AF918)))</f>
        <v>0</v>
      </c>
      <c r="AL918" s="57" t="n">
        <f aca="false">IF(LEFT(Cockpit!$I$5,1)="A",G918,IF(BW918=1,BX918,IF(LEFT(Cockpit!$I$5,1)="B",AP918,MAX(AP918,G918))))</f>
        <v>1</v>
      </c>
      <c r="AM918" s="57" t="n">
        <f aca="false">IF(BR918=1,0,ROUNDUP(AL918/BQ918,0))</f>
        <v>0</v>
      </c>
      <c r="AN918" s="59" t="n">
        <f aca="false">IF(CD918&gt;0,CD918*MAX(1,AL918/V918),IF(BR918=1,IF(AL918&lt;=0,0,BS918*MAX(1,IF(G918&gt;0,AL918/G918,1))),IF(Q918&gt;0,AM918/Q918,0))/MAX(0.1,N(Parameter!$M$21)))</f>
        <v>0.15</v>
      </c>
      <c r="AO918" s="57" t="n">
        <f aca="false">AL918*F918</f>
        <v>1.05</v>
      </c>
      <c r="AP918" s="57" t="n">
        <f aca="false">ROUNDUP(MAX(I918/IF(BV918&gt;0,BV918,MAX(0.1,N(Cockpit!$I$6))),BY918)/BQ918,0)*BQ918</f>
        <v>1</v>
      </c>
      <c r="AQ918" s="58" t="n">
        <f aca="false">IF(AN918&gt;0,I918/AN918,-1)</f>
        <v>0</v>
      </c>
      <c r="AR918" s="58" t="n">
        <f aca="false">IF(AND(OR(BU918="L1",BU918="L23"),AN918&gt;0),SUMIFS($AN$7:$AN$1576,$BU$7:$BU$1576,BU918,$AQ$7:$AQ$1576,"&gt;"&amp;AQ918)+SUMIFS($AN$7:$AN$1576,$BU$7:$BU$1576,BU918,$AQ$7:$AQ$1576,AQ918,$BO$7:$BO$1576,"&lt;="&amp;BO918),"")</f>
        <v>131.417014362497</v>
      </c>
      <c r="AS918" s="65" t="n">
        <f aca="false">IF(AR918="",0,MAX(0,MIN(1,(IF(BU918="L1",Parameter!$E$5,Parameter!$E$6+Parameter!$E$7)-(AR918-AN918))/AN918)))</f>
        <v>0</v>
      </c>
      <c r="AT918" s="57" t="n">
        <f aca="false">IF(LEFT(Cockpit!$O$5,1)="A",G918,IF(BW918=1,BX918,IF(LEFT(Cockpit!$O$5,1)="B",AX918,MAX(AX918,G918))))</f>
        <v>1</v>
      </c>
      <c r="AU918" s="57" t="n">
        <f aca="false">IF(BR918=1,0,ROUNDUP(AT918/BQ918,0))</f>
        <v>0</v>
      </c>
      <c r="AV918" s="59" t="n">
        <f aca="false">IF(CD918&gt;0,CD918*MAX(1,AT918/V918),IF(BR918=1,IF(AT918&lt;=0,0,BS918*MAX(1,IF(G918&gt;0,AT918/G918,1))),IF(Q918&gt;0,AU918/Q918,0))/MAX(0.1,N(Parameter!$M$21)))</f>
        <v>0.15</v>
      </c>
      <c r="AW918" s="57" t="n">
        <f aca="false">AT918*F918</f>
        <v>1.05</v>
      </c>
      <c r="AX918" s="57" t="n">
        <f aca="false">ROUNDUP(MAX(I918/IF(BV918&gt;0,BV918,MAX(0.1,N(Cockpit!$O$6))),BY918)/BQ918,0)*BQ918</f>
        <v>1</v>
      </c>
      <c r="AY918" s="58" t="n">
        <f aca="false">IF(AV918&gt;0,I918/AV918,-1)</f>
        <v>0</v>
      </c>
      <c r="AZ918" s="58" t="n">
        <f aca="false">IF(AND(OR(BU918="L1",BU918="L23"),AV918&gt;0),SUMIFS($AV$7:$AV$1576,$BU$7:$BU$1576,BU918,$AY$7:$AY$1576,"&gt;"&amp;AY918)+SUMIFS($AV$7:$AV$1576,$BU$7:$BU$1576,BU918,$AY$7:$AY$1576,AY918,$BO$7:$BO$1576,"&lt;="&amp;BO918),"")</f>
        <v>121.476564812047</v>
      </c>
      <c r="BA918" s="65" t="n">
        <f aca="false">IF(AZ918="",0,MAX(0,MIN(1,(IF(BU918="L1",Parameter!$E$5,Parameter!$E$6+Parameter!$E$7)-(AZ918-AV918))/AV918)))</f>
        <v>0</v>
      </c>
      <c r="BB918" s="55" t="str">
        <f aca="false">IF(AF918&lt;=0,"",IF(BU918="Aussen","Aussenlager",IF(BU918="-","Nicht im Lift",IF(AK918&gt;=1,"Lift",IF(AK918&lt;=0,"Aussenlager","teilweise")))))</f>
        <v/>
      </c>
      <c r="BC918" s="55" t="str">
        <f aca="false">IF(AN918&lt;=0,"",IF(BU918="Aussen","Aussenlager",IF(BU918="-","Nicht im Lift",IF(AS918&gt;=1,"Lift",IF(AS918&lt;=0,"Aussenlager","teilweise")))))</f>
        <v>Aussenlager</v>
      </c>
      <c r="BD918" s="55" t="str">
        <f aca="false">IF(AV918&lt;=0,"",IF(BU918="Aussen","Aussenlager",IF(BU918="-","Nicht im Lift",IF(BA918&gt;=1,"Lift",IF(BA918&lt;=0,"Aussenlager","teilweise")))))</f>
        <v>Aussenlager</v>
      </c>
      <c r="BE918" s="55" t="str">
        <f aca="false">IF(A918="","",IF(BN918=1,"Neu; ","")&amp;IF(AND(BN918=0,BI918&lt;0),"negativer Bestand (Export "&amp;BI918&amp;"); ","")&amp;IF(I918&lt;=0,"Kein Verbrauch; ","")&amp;IF(CD918&gt;0,"Lift "&amp;U918&amp;" lt. Liftbericht (Fach "&amp;V918&amp;" Stk); ",IF(BR918=1,"Lose – Fläche geschätzt; ",""))&amp;IF(G918&gt;AP918,"Überbestand "&amp;ROUND(G918-AP918,0)&amp;" Stk / CHF "&amp;ROUND((G918-AP918)*F918,0)&amp;"; ","")&amp;IF(AND(BW918=1,BX918&lt;BY918),"MAX &lt; MB+LG; ","")&amp;IF(AND(CC918&gt;0,CB918*10&gt;CC918),"zu hoch für Tablar; ","")&amp;IF(AND(BN918=0,OR(BW918=1,Y918&lt;&gt;"",S918&lt;&gt;"",T918&lt;&gt;"",Z918&lt;&gt;"")),"manuell übersteuert; ","")&amp;IF(AND(BR918=0,Q918=0),"Gebinde unbekannt / Stellmass fehlt; ","")&amp;IF(AND(BR918=0,N(T918)&lt;=0,N(P918)&lt;=0),"Menge pro Gebinde fehlt (Ist = 1 Gebinde); ","")&amp;BM918)</f>
        <v>negativer Bestand (Export -41); Kein Verbrauch; Lose – Fläche geschätzt; Neuer Art.</v>
      </c>
      <c r="BF918" s="55"/>
      <c r="BG918" s="55"/>
      <c r="BH918" s="62"/>
      <c r="BI918" s="57" t="n">
        <v>-41</v>
      </c>
      <c r="BJ918" s="57" t="n">
        <v>46</v>
      </c>
      <c r="BK918" s="56" t="n">
        <v>-43.05</v>
      </c>
      <c r="BL918" s="57" t="n">
        <v>0</v>
      </c>
      <c r="BM918" s="55" t="s">
        <v>501</v>
      </c>
      <c r="BN918" s="60" t="n">
        <v>0</v>
      </c>
      <c r="BO918" s="60" t="n">
        <v>918</v>
      </c>
      <c r="BP918" s="55" t="str">
        <f aca="false">IF(S918&lt;&gt;"",UPPER(TRIM(S918)),IF(O918="","LOSE",O918))</f>
        <v>LOSE</v>
      </c>
      <c r="BQ918" s="57" t="n">
        <f aca="false">IF(BP918="LOSE",1,IF(N(T918)&gt;0,T918,IF(N(P918)&gt;0,P918,MAX(1,G918))))</f>
        <v>1</v>
      </c>
      <c r="BR918" s="60" t="n">
        <f aca="false">IF(BP918="LOSE",1,0)</f>
        <v>1</v>
      </c>
      <c r="BS918" s="59" t="n">
        <f aca="false">IF(BR918=0,0,IF(N(R918)&gt;0,R918,IFERROR(VLOOKUP(D918,Parameter!$A$35:$C$64,3,0)+0,0)))</f>
        <v>0.15</v>
      </c>
      <c r="BT918" s="55" t="n">
        <f aca="false">IF(Y918&lt;&gt;"",Y918,X918)</f>
        <v>2</v>
      </c>
      <c r="BU918" s="55" t="str">
        <f aca="false">IF(BT918=1,"L1",IF(OR(BT918=2,BT918=3),"L23",IF(BT918="Aussen","Aussen","-")))</f>
        <v>L23</v>
      </c>
      <c r="BV918" s="66" t="n">
        <f aca="false">IF(N(Z918)&gt;0,Z918,0)</f>
        <v>0</v>
      </c>
      <c r="BW918" s="60" t="n">
        <f aca="false">IF(ISNUMBER(AC918),1,0)</f>
        <v>0</v>
      </c>
      <c r="BX918" s="57" t="n">
        <f aca="false">N(AC918)</f>
        <v>0</v>
      </c>
      <c r="BY918" s="57" t="n">
        <f aca="false">N(L918)+N(M918)</f>
        <v>1</v>
      </c>
      <c r="BZ918" s="57" t="n">
        <f aca="false">ROUNDUP(G918/BQ918,0)</f>
        <v>0</v>
      </c>
      <c r="CA918" s="57" t="n">
        <f aca="false">ROUNDUP(BX918/BQ918,0)</f>
        <v>0</v>
      </c>
      <c r="CB918" s="60" t="n">
        <f aca="false">IF(BR918=1,0,IFERROR(VLOOKUP(BP918,'Gebinde-Kategorie'!$A$5:$M$45,5,0)+0,0))</f>
        <v>0</v>
      </c>
      <c r="CC918" s="60" t="n">
        <f aca="false">IFERROR(IF(OR(BT918=1,BT918=2,BT918=3),N(INDEX(Parameter!$I$5:$I$7,BT918)),0),0)</f>
        <v>0</v>
      </c>
      <c r="CD918" s="59" t="n">
        <f aca="false">IF(AND(Parameter!$B$21="Ja",ISNUMBER(U918),N(V918)&gt;0),IFERROR(N(INDEX(Parameter!$L$5:$L$7,U918))*INDEX(Parameter!$E$5:$E$7,U918)*V918/SUMIFS($V$7:$V$1576,$U$7:$U$1576,U918),0),0)</f>
        <v>0</v>
      </c>
    </row>
    <row r="919" customFormat="false" ht="15" hidden="false" customHeight="false" outlineLevel="0" collapsed="false">
      <c r="A919" s="55" t="s">
        <v>1707</v>
      </c>
      <c r="B919" s="55" t="s">
        <v>1664</v>
      </c>
      <c r="C919" s="55" t="s">
        <v>160</v>
      </c>
      <c r="D919" s="55" t="s">
        <v>178</v>
      </c>
      <c r="E919" s="55" t="s">
        <v>210</v>
      </c>
      <c r="F919" s="56" t="n">
        <v>14.44</v>
      </c>
      <c r="G919" s="57" t="n">
        <f aca="false">MAX(0,IF(AND(Parameter!$B$21="Ja",ISNUMBER(W919)),W919,IF(Parameter!$B$20="Jahresanfang 2025 + Export",BJ919+BI919,BI919)))</f>
        <v>0</v>
      </c>
      <c r="H919" s="57" t="n">
        <f aca="false">G919*F919</f>
        <v>0</v>
      </c>
      <c r="I919" s="57" t="n">
        <f aca="false">BL919*Parameter!$B$18</f>
        <v>0</v>
      </c>
      <c r="J919" s="58" t="n">
        <v>2.5</v>
      </c>
      <c r="K919" s="59" t="n">
        <v>0</v>
      </c>
      <c r="L919" s="57" t="n">
        <v>0</v>
      </c>
      <c r="M919" s="57" t="n">
        <v>1</v>
      </c>
      <c r="N919" s="60" t="n">
        <v>14</v>
      </c>
      <c r="O919" s="55" t="s">
        <v>163</v>
      </c>
      <c r="P919" s="57"/>
      <c r="Q919" s="60" t="n">
        <f aca="false">IF(BR919=1,0,IFERROR(VLOOKUP(BP919,'Gebinde-Kategorie'!$A$5:$M$45,13,0)+0,0))</f>
        <v>0</v>
      </c>
      <c r="R919" s="61"/>
      <c r="S919" s="62"/>
      <c r="T919" s="62"/>
      <c r="U919" s="55"/>
      <c r="V919" s="57"/>
      <c r="W919" s="57"/>
      <c r="X919" s="55" t="n">
        <f aca="false">IF(A919="","",IF(AND(Parameter!$B$21="Ja",ISNUMBER(U919)),U919,IF(IFERROR(VLOOKUP(D919,Parameter!$A$35:$C$64,2,0),"Nein")="2+3",IF(ISNUMBER(SEARCH("grosser Artikel",BM919)),2,IFERROR(VLOOKUP(BP919,Parameter!$F$35:$G$64,2,0),2)),IF(OR(IFERROR(VLOOKUP(D919,Parameter!$A$35:$C$64,2,0),"Nein")="Nein",IFERROR(VLOOKUP(D919,Parameter!$A$35:$C$64,2,0),"Nein")=""),"-",VLOOKUP(D919,Parameter!$A$35:$C$64,2,0)))))</f>
        <v>2</v>
      </c>
      <c r="Y919" s="62"/>
      <c r="Z919" s="63"/>
      <c r="AA919" s="57" t="n">
        <f aca="false">AP919</f>
        <v>1</v>
      </c>
      <c r="AB919" s="57" t="n">
        <f aca="false">MAX(AP919,G919)</f>
        <v>1</v>
      </c>
      <c r="AC919" s="64"/>
      <c r="AD919" s="57" t="n">
        <f aca="false">IF(LEFT(Cockpit!$C$5,1)="A",G919,IF(BW919=1,BX919,IF(LEFT(Cockpit!$C$5,1)="B",AH919,MAX(AH919,G919))))</f>
        <v>0</v>
      </c>
      <c r="AE919" s="57" t="n">
        <f aca="false">IF(BR919=1,0,ROUNDUP(AD919/BQ919,0))</f>
        <v>0</v>
      </c>
      <c r="AF919" s="59" t="n">
        <f aca="false">IF(CD919&gt;0,CD919*MAX(1,AD919/V919),IF(BR919=1,IF(AD919&lt;=0,0,BS919*MAX(1,IF(G919&gt;0,AD919/G919,1))),IF(Q919&gt;0,AE919/Q919,0))/MAX(0.1,N(Parameter!$M$21)))</f>
        <v>0</v>
      </c>
      <c r="AG919" s="57" t="n">
        <f aca="false">AD919*F919</f>
        <v>0</v>
      </c>
      <c r="AH919" s="57" t="n">
        <f aca="false">ROUNDUP(MAX(I919/IF(BV919&gt;0,BV919,MAX(0.1,N(Cockpit!$C$6))),BY919)/BQ919,0)*BQ919</f>
        <v>1</v>
      </c>
      <c r="AI919" s="58" t="n">
        <f aca="false">IF(AF919&gt;0,I919/AF919,-1)</f>
        <v>-1</v>
      </c>
      <c r="AJ919" s="58" t="str">
        <f aca="false">IF(AND(OR(BU919="L1",BU919="L23"),AF919&gt;0),SUMIFS($AF$7:$AF$1576,$BU$7:$BU$1576,BU919,$AI$7:$AI$1576,"&gt;"&amp;AI919)+SUMIFS($AF$7:$AF$1576,$BU$7:$BU$1576,BU919,$AI$7:$AI$1576,AI919,$BO$7:$BO$1576,"&lt;="&amp;BO919),"")</f>
        <v/>
      </c>
      <c r="AK919" s="65" t="n">
        <f aca="false">IF(AJ919="",0,MAX(0,MIN(1,(IF(BU919="L1",Parameter!$E$5,Parameter!$E$6+Parameter!$E$7)-(AJ919-AF919))/AF919)))</f>
        <v>0</v>
      </c>
      <c r="AL919" s="57" t="n">
        <f aca="false">IF(LEFT(Cockpit!$I$5,1)="A",G919,IF(BW919=1,BX919,IF(LEFT(Cockpit!$I$5,1)="B",AP919,MAX(AP919,G919))))</f>
        <v>1</v>
      </c>
      <c r="AM919" s="57" t="n">
        <f aca="false">IF(BR919=1,0,ROUNDUP(AL919/BQ919,0))</f>
        <v>0</v>
      </c>
      <c r="AN919" s="59" t="n">
        <f aca="false">IF(CD919&gt;0,CD919*MAX(1,AL919/V919),IF(BR919=1,IF(AL919&lt;=0,0,BS919*MAX(1,IF(G919&gt;0,AL919/G919,1))),IF(Q919&gt;0,AM919/Q919,0))/MAX(0.1,N(Parameter!$M$21)))</f>
        <v>0.03</v>
      </c>
      <c r="AO919" s="57" t="n">
        <f aca="false">AL919*F919</f>
        <v>14.44</v>
      </c>
      <c r="AP919" s="57" t="n">
        <f aca="false">ROUNDUP(MAX(I919/IF(BV919&gt;0,BV919,MAX(0.1,N(Cockpit!$I$6))),BY919)/BQ919,0)*BQ919</f>
        <v>1</v>
      </c>
      <c r="AQ919" s="58" t="n">
        <f aca="false">IF(AN919&gt;0,I919/AN919,-1)</f>
        <v>0</v>
      </c>
      <c r="AR919" s="58" t="n">
        <f aca="false">IF(AND(OR(BU919="L1",BU919="L23"),AN919&gt;0),SUMIFS($AN$7:$AN$1576,$BU$7:$BU$1576,BU919,$AQ$7:$AQ$1576,"&gt;"&amp;AQ919)+SUMIFS($AN$7:$AN$1576,$BU$7:$BU$1576,BU919,$AQ$7:$AQ$1576,AQ919,$BO$7:$BO$1576,"&lt;="&amp;BO919),"")</f>
        <v>131.447014362497</v>
      </c>
      <c r="AS919" s="65" t="n">
        <f aca="false">IF(AR919="",0,MAX(0,MIN(1,(IF(BU919="L1",Parameter!$E$5,Parameter!$E$6+Parameter!$E$7)-(AR919-AN919))/AN919)))</f>
        <v>0</v>
      </c>
      <c r="AT919" s="57" t="n">
        <f aca="false">IF(LEFT(Cockpit!$O$5,1)="A",G919,IF(BW919=1,BX919,IF(LEFT(Cockpit!$O$5,1)="B",AX919,MAX(AX919,G919))))</f>
        <v>1</v>
      </c>
      <c r="AU919" s="57" t="n">
        <f aca="false">IF(BR919=1,0,ROUNDUP(AT919/BQ919,0))</f>
        <v>0</v>
      </c>
      <c r="AV919" s="59" t="n">
        <f aca="false">IF(CD919&gt;0,CD919*MAX(1,AT919/V919),IF(BR919=1,IF(AT919&lt;=0,0,BS919*MAX(1,IF(G919&gt;0,AT919/G919,1))),IF(Q919&gt;0,AU919/Q919,0))/MAX(0.1,N(Parameter!$M$21)))</f>
        <v>0.03</v>
      </c>
      <c r="AW919" s="57" t="n">
        <f aca="false">AT919*F919</f>
        <v>14.44</v>
      </c>
      <c r="AX919" s="57" t="n">
        <f aca="false">ROUNDUP(MAX(I919/IF(BV919&gt;0,BV919,MAX(0.1,N(Cockpit!$O$6))),BY919)/BQ919,0)*BQ919</f>
        <v>1</v>
      </c>
      <c r="AY919" s="58" t="n">
        <f aca="false">IF(AV919&gt;0,I919/AV919,-1)</f>
        <v>0</v>
      </c>
      <c r="AZ919" s="58" t="n">
        <f aca="false">IF(AND(OR(BU919="L1",BU919="L23"),AV919&gt;0),SUMIFS($AV$7:$AV$1576,$BU$7:$BU$1576,BU919,$AY$7:$AY$1576,"&gt;"&amp;AY919)+SUMIFS($AV$7:$AV$1576,$BU$7:$BU$1576,BU919,$AY$7:$AY$1576,AY919,$BO$7:$BO$1576,"&lt;="&amp;BO919),"")</f>
        <v>121.506564812047</v>
      </c>
      <c r="BA919" s="65" t="n">
        <f aca="false">IF(AZ919="",0,MAX(0,MIN(1,(IF(BU919="L1",Parameter!$E$5,Parameter!$E$6+Parameter!$E$7)-(AZ919-AV919))/AV919)))</f>
        <v>0</v>
      </c>
      <c r="BB919" s="55" t="str">
        <f aca="false">IF(AF919&lt;=0,"",IF(BU919="Aussen","Aussenlager",IF(BU919="-","Nicht im Lift",IF(AK919&gt;=1,"Lift",IF(AK919&lt;=0,"Aussenlager","teilweise")))))</f>
        <v/>
      </c>
      <c r="BC919" s="55" t="str">
        <f aca="false">IF(AN919&lt;=0,"",IF(BU919="Aussen","Aussenlager",IF(BU919="-","Nicht im Lift",IF(AS919&gt;=1,"Lift",IF(AS919&lt;=0,"Aussenlager","teilweise")))))</f>
        <v>Aussenlager</v>
      </c>
      <c r="BD919" s="55" t="str">
        <f aca="false">IF(AV919&lt;=0,"",IF(BU919="Aussen","Aussenlager",IF(BU919="-","Nicht im Lift",IF(BA919&gt;=1,"Lift",IF(BA919&lt;=0,"Aussenlager","teilweise")))))</f>
        <v>Aussenlager</v>
      </c>
      <c r="BE919" s="55" t="str">
        <f aca="false">IF(A919="","",IF(BN919=1,"Neu; ","")&amp;IF(AND(BN919=0,BI919&lt;0),"negativer Bestand (Export "&amp;BI919&amp;"); ","")&amp;IF(I919&lt;=0,"Kein Verbrauch; ","")&amp;IF(CD919&gt;0,"Lift "&amp;U919&amp;" lt. Liftbericht (Fach "&amp;V919&amp;" Stk); ",IF(BR919=1,"Lose – Fläche geschätzt; ",""))&amp;IF(G919&gt;AP919,"Überbestand "&amp;ROUND(G919-AP919,0)&amp;" Stk / CHF "&amp;ROUND((G919-AP919)*F919,0)&amp;"; ","")&amp;IF(AND(BW919=1,BX919&lt;BY919),"MAX &lt; MB+LG; ","")&amp;IF(AND(CC919&gt;0,CB919*10&gt;CC919),"zu hoch für Tablar; ","")&amp;IF(AND(BN919=0,OR(BW919=1,Y919&lt;&gt;"",S919&lt;&gt;"",T919&lt;&gt;"",Z919&lt;&gt;"")),"manuell übersteuert; ","")&amp;IF(AND(BR919=0,Q919=0),"Gebinde unbekannt / Stellmass fehlt; ","")&amp;IF(AND(BR919=0,N(T919)&lt;=0,N(P919)&lt;=0),"Menge pro Gebinde fehlt (Ist = 1 Gebinde); ","")&amp;BM919)</f>
        <v>negativer Bestand (Export -3); Kein Verbrauch; Lose – Fläche geschätzt; </v>
      </c>
      <c r="BF919" s="55"/>
      <c r="BG919" s="55"/>
      <c r="BH919" s="62"/>
      <c r="BI919" s="57" t="n">
        <v>-3</v>
      </c>
      <c r="BJ919" s="57" t="n">
        <v>3</v>
      </c>
      <c r="BK919" s="56" t="n">
        <v>-43.32</v>
      </c>
      <c r="BL919" s="57" t="n">
        <v>0</v>
      </c>
      <c r="BM919" s="55"/>
      <c r="BN919" s="60" t="n">
        <v>0</v>
      </c>
      <c r="BO919" s="60" t="n">
        <v>919</v>
      </c>
      <c r="BP919" s="55" t="str">
        <f aca="false">IF(S919&lt;&gt;"",UPPER(TRIM(S919)),IF(O919="","LOSE",O919))</f>
        <v>LOSE</v>
      </c>
      <c r="BQ919" s="57" t="n">
        <f aca="false">IF(BP919="LOSE",1,IF(N(T919)&gt;0,T919,IF(N(P919)&gt;0,P919,MAX(1,G919))))</f>
        <v>1</v>
      </c>
      <c r="BR919" s="60" t="n">
        <f aca="false">IF(BP919="LOSE",1,0)</f>
        <v>1</v>
      </c>
      <c r="BS919" s="59" t="n">
        <f aca="false">IF(BR919=0,0,IF(N(R919)&gt;0,R919,IFERROR(VLOOKUP(D919,Parameter!$A$35:$C$64,3,0)+0,0)))</f>
        <v>0.03</v>
      </c>
      <c r="BT919" s="55" t="n">
        <f aca="false">IF(Y919&lt;&gt;"",Y919,X919)</f>
        <v>2</v>
      </c>
      <c r="BU919" s="55" t="str">
        <f aca="false">IF(BT919=1,"L1",IF(OR(BT919=2,BT919=3),"L23",IF(BT919="Aussen","Aussen","-")))</f>
        <v>L23</v>
      </c>
      <c r="BV919" s="66" t="n">
        <f aca="false">IF(N(Z919)&gt;0,Z919,0)</f>
        <v>0</v>
      </c>
      <c r="BW919" s="60" t="n">
        <f aca="false">IF(ISNUMBER(AC919),1,0)</f>
        <v>0</v>
      </c>
      <c r="BX919" s="57" t="n">
        <f aca="false">N(AC919)</f>
        <v>0</v>
      </c>
      <c r="BY919" s="57" t="n">
        <f aca="false">N(L919)+N(M919)</f>
        <v>1</v>
      </c>
      <c r="BZ919" s="57" t="n">
        <f aca="false">ROUNDUP(G919/BQ919,0)</f>
        <v>0</v>
      </c>
      <c r="CA919" s="57" t="n">
        <f aca="false">ROUNDUP(BX919/BQ919,0)</f>
        <v>0</v>
      </c>
      <c r="CB919" s="60" t="n">
        <f aca="false">IF(BR919=1,0,IFERROR(VLOOKUP(BP919,'Gebinde-Kategorie'!$A$5:$M$45,5,0)+0,0))</f>
        <v>0</v>
      </c>
      <c r="CC919" s="60" t="n">
        <f aca="false">IFERROR(IF(OR(BT919=1,BT919=2,BT919=3),N(INDEX(Parameter!$I$5:$I$7,BT919)),0),0)</f>
        <v>0</v>
      </c>
      <c r="CD919" s="59" t="n">
        <f aca="false">IF(AND(Parameter!$B$21="Ja",ISNUMBER(U919),N(V919)&gt;0),IFERROR(N(INDEX(Parameter!$L$5:$L$7,U919))*INDEX(Parameter!$E$5:$E$7,U919)*V919/SUMIFS($V$7:$V$1576,$U$7:$U$1576,U919),0),0)</f>
        <v>0</v>
      </c>
    </row>
    <row r="920" customFormat="false" ht="15" hidden="false" customHeight="false" outlineLevel="0" collapsed="false">
      <c r="A920" s="55" t="s">
        <v>1708</v>
      </c>
      <c r="B920" s="55" t="s">
        <v>395</v>
      </c>
      <c r="C920" s="55" t="s">
        <v>160</v>
      </c>
      <c r="D920" s="55" t="s">
        <v>178</v>
      </c>
      <c r="E920" s="55" t="s">
        <v>210</v>
      </c>
      <c r="F920" s="56" t="n">
        <v>0.02</v>
      </c>
      <c r="G920" s="57" t="n">
        <f aca="false">MAX(0,IF(AND(Parameter!$B$21="Ja",ISNUMBER(W920)),W920,IF(Parameter!$B$20="Jahresanfang 2025 + Export",BJ920+BI920,BI920)))</f>
        <v>0</v>
      </c>
      <c r="H920" s="57" t="n">
        <f aca="false">G920*F920</f>
        <v>0</v>
      </c>
      <c r="I920" s="57" t="n">
        <f aca="false">BL920*Parameter!$B$18</f>
        <v>5412</v>
      </c>
      <c r="J920" s="58" t="n">
        <v>3182.5</v>
      </c>
      <c r="K920" s="59" t="n">
        <v>1.70054988216811</v>
      </c>
      <c r="L920" s="57" t="n">
        <v>315</v>
      </c>
      <c r="M920" s="57" t="n">
        <v>2000</v>
      </c>
      <c r="N920" s="60" t="n">
        <v>21</v>
      </c>
      <c r="O920" s="55" t="s">
        <v>293</v>
      </c>
      <c r="P920" s="57" t="n">
        <v>2951</v>
      </c>
      <c r="Q920" s="60" t="n">
        <f aca="false">IF(BR920=1,0,IFERROR(VLOOKUP(BP920,'Gebinde-Kategorie'!$A$5:$M$45,13,0)+0,0))</f>
        <v>26</v>
      </c>
      <c r="R920" s="61"/>
      <c r="S920" s="62"/>
      <c r="T920" s="62"/>
      <c r="U920" s="55"/>
      <c r="V920" s="57"/>
      <c r="W920" s="57"/>
      <c r="X920" s="55" t="n">
        <f aca="false">IF(A920="","",IF(AND(Parameter!$B$21="Ja",ISNUMBER(U920)),U920,IF(IFERROR(VLOOKUP(D920,Parameter!$A$35:$C$64,2,0),"Nein")="2+3",IF(ISNUMBER(SEARCH("grosser Artikel",BM920)),2,IFERROR(VLOOKUP(BP920,Parameter!$F$35:$G$64,2,0),2)),IF(OR(IFERROR(VLOOKUP(D920,Parameter!$A$35:$C$64,2,0),"Nein")="Nein",IFERROR(VLOOKUP(D920,Parameter!$A$35:$C$64,2,0),"Nein")=""),"-",VLOOKUP(D920,Parameter!$A$35:$C$64,2,0)))))</f>
        <v>3</v>
      </c>
      <c r="Y920" s="62"/>
      <c r="Z920" s="63"/>
      <c r="AA920" s="57" t="n">
        <f aca="false">AP920</f>
        <v>2951</v>
      </c>
      <c r="AB920" s="57" t="n">
        <f aca="false">MAX(AP920,G920)</f>
        <v>2951</v>
      </c>
      <c r="AC920" s="64"/>
      <c r="AD920" s="57" t="n">
        <f aca="false">IF(LEFT(Cockpit!$C$5,1)="A",G920,IF(BW920=1,BX920,IF(LEFT(Cockpit!$C$5,1)="B",AH920,MAX(AH920,G920))))</f>
        <v>0</v>
      </c>
      <c r="AE920" s="57" t="n">
        <f aca="false">IF(BR920=1,0,ROUNDUP(AD920/BQ920,0))</f>
        <v>0</v>
      </c>
      <c r="AF920" s="59" t="n">
        <f aca="false">IF(CD920&gt;0,CD920*MAX(1,AD920/V920),IF(BR920=1,IF(AD920&lt;=0,0,BS920*MAX(1,IF(G920&gt;0,AD920/G920,1))),IF(Q920&gt;0,AE920/Q920,0))/MAX(0.1,N(Parameter!$M$21)))</f>
        <v>0</v>
      </c>
      <c r="AG920" s="57" t="n">
        <f aca="false">AD920*F920</f>
        <v>0</v>
      </c>
      <c r="AH920" s="57" t="n">
        <f aca="false">ROUNDUP(MAX(I920/IF(BV920&gt;0,BV920,MAX(0.1,N(Cockpit!$C$6))),BY920)/BQ920,0)*BQ920</f>
        <v>2951</v>
      </c>
      <c r="AI920" s="58" t="n">
        <f aca="false">IF(AF920&gt;0,I920/AF920,-1)</f>
        <v>-1</v>
      </c>
      <c r="AJ920" s="58" t="str">
        <f aca="false">IF(AND(OR(BU920="L1",BU920="L23"),AF920&gt;0),SUMIFS($AF$7:$AF$1576,$BU$7:$BU$1576,BU920,$AI$7:$AI$1576,"&gt;"&amp;AI920)+SUMIFS($AF$7:$AF$1576,$BU$7:$BU$1576,BU920,$AI$7:$AI$1576,AI920,$BO$7:$BO$1576,"&lt;="&amp;BO920),"")</f>
        <v/>
      </c>
      <c r="AK920" s="65" t="n">
        <f aca="false">IF(AJ920="",0,MAX(0,MIN(1,(IF(BU920="L1",Parameter!$E$5,Parameter!$E$6+Parameter!$E$7)-(AJ920-AF920))/AF920)))</f>
        <v>0</v>
      </c>
      <c r="AL920" s="57" t="n">
        <f aca="false">IF(LEFT(Cockpit!$I$5,1)="A",G920,IF(BW920=1,BX920,IF(LEFT(Cockpit!$I$5,1)="B",AP920,MAX(AP920,G920))))</f>
        <v>2951</v>
      </c>
      <c r="AM920" s="57" t="n">
        <f aca="false">IF(BR920=1,0,ROUNDUP(AL920/BQ920,0))</f>
        <v>1</v>
      </c>
      <c r="AN920" s="59" t="n">
        <f aca="false">IF(CD920&gt;0,CD920*MAX(1,AL920/V920),IF(BR920=1,IF(AL920&lt;=0,0,BS920*MAX(1,IF(G920&gt;0,AL920/G920,1))),IF(Q920&gt;0,AM920/Q920,0))/MAX(0.1,N(Parameter!$M$21)))</f>
        <v>0.0384615384615385</v>
      </c>
      <c r="AO920" s="57" t="n">
        <f aca="false">AL920*F920</f>
        <v>59.02</v>
      </c>
      <c r="AP920" s="57" t="n">
        <f aca="false">ROUNDUP(MAX(I920/IF(BV920&gt;0,BV920,MAX(0.1,N(Cockpit!$I$6))),BY920)/BQ920,0)*BQ920</f>
        <v>2951</v>
      </c>
      <c r="AQ920" s="58" t="n">
        <f aca="false">IF(AN920&gt;0,I920/AN920,-1)</f>
        <v>140712</v>
      </c>
      <c r="AR920" s="58" t="n">
        <f aca="false">IF(AND(OR(BU920="L1",BU920="L23"),AN920&gt;0),SUMIFS($AN$7:$AN$1576,$BU$7:$BU$1576,BU920,$AQ$7:$AQ$1576,"&gt;"&amp;AQ920)+SUMIFS($AN$7:$AN$1576,$BU$7:$BU$1576,BU920,$AQ$7:$AQ$1576,AQ920,$BO$7:$BO$1576,"&lt;="&amp;BO920),"")</f>
        <v>0.176159589203067</v>
      </c>
      <c r="AS920" s="65" t="n">
        <f aca="false">IF(AR920="",0,MAX(0,MIN(1,(IF(BU920="L1",Parameter!$E$5,Parameter!$E$6+Parameter!$E$7)-(AR920-AN920))/AN920)))</f>
        <v>1</v>
      </c>
      <c r="AT920" s="57" t="n">
        <f aca="false">IF(LEFT(Cockpit!$O$5,1)="A",G920,IF(BW920=1,BX920,IF(LEFT(Cockpit!$O$5,1)="B",AX920,MAX(AX920,G920))))</f>
        <v>2951</v>
      </c>
      <c r="AU920" s="57" t="n">
        <f aca="false">IF(BR920=1,0,ROUNDUP(AT920/BQ920,0))</f>
        <v>1</v>
      </c>
      <c r="AV920" s="59" t="n">
        <f aca="false">IF(CD920&gt;0,CD920*MAX(1,AT920/V920),IF(BR920=1,IF(AT920&lt;=0,0,BS920*MAX(1,IF(G920&gt;0,AT920/G920,1))),IF(Q920&gt;0,AU920/Q920,0))/MAX(0.1,N(Parameter!$M$21)))</f>
        <v>0.0384615384615385</v>
      </c>
      <c r="AW920" s="57" t="n">
        <f aca="false">AT920*F920</f>
        <v>59.02</v>
      </c>
      <c r="AX920" s="57" t="n">
        <f aca="false">ROUNDUP(MAX(I920/IF(BV920&gt;0,BV920,MAX(0.1,N(Cockpit!$O$6))),BY920)/BQ920,0)*BQ920</f>
        <v>2951</v>
      </c>
      <c r="AY920" s="58" t="n">
        <f aca="false">IF(AV920&gt;0,I920/AV920,-1)</f>
        <v>140712</v>
      </c>
      <c r="AZ920" s="58" t="n">
        <f aca="false">IF(AND(OR(BU920="L1",BU920="L23"),AV920&gt;0),SUMIFS($AV$7:$AV$1576,$BU$7:$BU$1576,BU920,$AY$7:$AY$1576,"&gt;"&amp;AY920)+SUMIFS($AV$7:$AV$1576,$BU$7:$BU$1576,BU920,$AY$7:$AY$1576,AY920,$BO$7:$BO$1576,"&lt;="&amp;BO920),"")</f>
        <v>0.176159589203067</v>
      </c>
      <c r="BA920" s="65" t="n">
        <f aca="false">IF(AZ920="",0,MAX(0,MIN(1,(IF(BU920="L1",Parameter!$E$5,Parameter!$E$6+Parameter!$E$7)-(AZ920-AV920))/AV920)))</f>
        <v>1</v>
      </c>
      <c r="BB920" s="55" t="str">
        <f aca="false">IF(AF920&lt;=0,"",IF(BU920="Aussen","Aussenlager",IF(BU920="-","Nicht im Lift",IF(AK920&gt;=1,"Lift",IF(AK920&lt;=0,"Aussenlager","teilweise")))))</f>
        <v/>
      </c>
      <c r="BC920" s="55" t="str">
        <f aca="false">IF(AN920&lt;=0,"",IF(BU920="Aussen","Aussenlager",IF(BU920="-","Nicht im Lift",IF(AS920&gt;=1,"Lift",IF(AS920&lt;=0,"Aussenlager","teilweise")))))</f>
        <v>Lift</v>
      </c>
      <c r="BD920" s="55" t="str">
        <f aca="false">IF(AV920&lt;=0,"",IF(BU920="Aussen","Aussenlager",IF(BU920="-","Nicht im Lift",IF(BA920&gt;=1,"Lift",IF(BA920&lt;=0,"Aussenlager","teilweise")))))</f>
        <v>Lift</v>
      </c>
      <c r="BE920" s="55" t="str">
        <f aca="false">IF(A920="","",IF(BN920=1,"Neu; ","")&amp;IF(AND(BN920=0,BI920&lt;0),"negativer Bestand (Export "&amp;BI920&amp;"); ","")&amp;IF(I920&lt;=0,"Kein Verbrauch; ","")&amp;IF(CD920&gt;0,"Lift "&amp;U920&amp;" lt. Liftbericht (Fach "&amp;V920&amp;" Stk); ",IF(BR920=1,"Lose – Fläche geschätzt; ",""))&amp;IF(G920&gt;AP920,"Überbestand "&amp;ROUND(G920-AP920,0)&amp;" Stk / CHF "&amp;ROUND((G920-AP920)*F920,0)&amp;"; ","")&amp;IF(AND(BW920=1,BX920&lt;BY920),"MAX &lt; MB+LG; ","")&amp;IF(AND(CC920&gt;0,CB920*10&gt;CC920),"zu hoch für Tablar; ","")&amp;IF(AND(BN920=0,OR(BW920=1,Y920&lt;&gt;"",S920&lt;&gt;"",T920&lt;&gt;"",Z920&lt;&gt;"")),"manuell übersteuert; ","")&amp;IF(AND(BR920=0,Q920=0),"Gebinde unbekannt / Stellmass fehlt; ","")&amp;IF(AND(BR920=0,N(T920)&lt;=0,N(P920)&lt;=0),"Menge pro Gebinde fehlt (Ist = 1 Gebinde); ","")&amp;BM920)</f>
        <v>negativer Bestand (Export -2198); </v>
      </c>
      <c r="BF920" s="55"/>
      <c r="BG920" s="55"/>
      <c r="BH920" s="62"/>
      <c r="BI920" s="57" t="n">
        <v>-2198</v>
      </c>
      <c r="BJ920" s="57" t="n">
        <v>2893</v>
      </c>
      <c r="BK920" s="56" t="n">
        <v>-43.96</v>
      </c>
      <c r="BL920" s="57" t="n">
        <v>5412</v>
      </c>
      <c r="BM920" s="55"/>
      <c r="BN920" s="60" t="n">
        <v>0</v>
      </c>
      <c r="BO920" s="60" t="n">
        <v>920</v>
      </c>
      <c r="BP920" s="55" t="str">
        <f aca="false">IF(S920&lt;&gt;"",UPPER(TRIM(S920)),IF(O920="","LOSE",O920))</f>
        <v>S51</v>
      </c>
      <c r="BQ920" s="57" t="n">
        <f aca="false">IF(BP920="LOSE",1,IF(N(T920)&gt;0,T920,IF(N(P920)&gt;0,P920,MAX(1,G920))))</f>
        <v>2951</v>
      </c>
      <c r="BR920" s="60" t="n">
        <f aca="false">IF(BP920="LOSE",1,0)</f>
        <v>0</v>
      </c>
      <c r="BS920" s="59" t="n">
        <f aca="false">IF(BR920=0,0,IF(N(R920)&gt;0,R920,IFERROR(VLOOKUP(D920,Parameter!$A$35:$C$64,3,0)+0,0)))</f>
        <v>0</v>
      </c>
      <c r="BT920" s="55" t="n">
        <f aca="false">IF(Y920&lt;&gt;"",Y920,X920)</f>
        <v>3</v>
      </c>
      <c r="BU920" s="55" t="str">
        <f aca="false">IF(BT920=1,"L1",IF(OR(BT920=2,BT920=3),"L23",IF(BT920="Aussen","Aussen","-")))</f>
        <v>L23</v>
      </c>
      <c r="BV920" s="66" t="n">
        <f aca="false">IF(N(Z920)&gt;0,Z920,0)</f>
        <v>0</v>
      </c>
      <c r="BW920" s="60" t="n">
        <f aca="false">IF(ISNUMBER(AC920),1,0)</f>
        <v>0</v>
      </c>
      <c r="BX920" s="57" t="n">
        <f aca="false">N(AC920)</f>
        <v>0</v>
      </c>
      <c r="BY920" s="57" t="n">
        <f aca="false">N(L920)+N(M920)</f>
        <v>2315</v>
      </c>
      <c r="BZ920" s="57" t="n">
        <f aca="false">ROUNDUP(G920/BQ920,0)</f>
        <v>0</v>
      </c>
      <c r="CA920" s="57" t="n">
        <f aca="false">ROUNDUP(BX920/BQ920,0)</f>
        <v>0</v>
      </c>
      <c r="CB920" s="60" t="n">
        <f aca="false">IF(BR920=1,0,IFERROR(VLOOKUP(BP920,'Gebinde-Kategorie'!$A$5:$M$45,5,0)+0,0))</f>
        <v>11</v>
      </c>
      <c r="CC920" s="60" t="n">
        <f aca="false">IFERROR(IF(OR(BT920=1,BT920=2,BT920=3),N(INDEX(Parameter!$I$5:$I$7,BT920)),0),0)</f>
        <v>0</v>
      </c>
      <c r="CD920" s="59" t="n">
        <f aca="false">IF(AND(Parameter!$B$21="Ja",ISNUMBER(U920),N(V920)&gt;0),IFERROR(N(INDEX(Parameter!$L$5:$L$7,U920))*INDEX(Parameter!$E$5:$E$7,U920)*V920/SUMIFS($V$7:$V$1576,$U$7:$U$1576,U920),0),0)</f>
        <v>0</v>
      </c>
    </row>
    <row r="921" customFormat="false" ht="15" hidden="false" customHeight="false" outlineLevel="0" collapsed="false">
      <c r="A921" s="55" t="s">
        <v>1709</v>
      </c>
      <c r="B921" s="55" t="s">
        <v>713</v>
      </c>
      <c r="C921" s="55" t="s">
        <v>160</v>
      </c>
      <c r="D921" s="55" t="s">
        <v>178</v>
      </c>
      <c r="E921" s="55" t="s">
        <v>210</v>
      </c>
      <c r="F921" s="56" t="n">
        <v>39.78</v>
      </c>
      <c r="G921" s="57" t="n">
        <f aca="false">MAX(0,IF(AND(Parameter!$B$21="Ja",ISNUMBER(W921)),W921,IF(Parameter!$B$20="Jahresanfang 2025 + Export",BJ921+BI921,BI921)))</f>
        <v>0</v>
      </c>
      <c r="H921" s="57" t="n">
        <f aca="false">G921*F921</f>
        <v>0</v>
      </c>
      <c r="I921" s="57" t="n">
        <f aca="false">BL921*Parameter!$B$18</f>
        <v>4</v>
      </c>
      <c r="J921" s="58" t="n">
        <v>8</v>
      </c>
      <c r="K921" s="59" t="n">
        <v>0.5</v>
      </c>
      <c r="L921" s="57" t="n">
        <v>0</v>
      </c>
      <c r="M921" s="57" t="n">
        <v>5</v>
      </c>
      <c r="N921" s="60" t="n">
        <v>17</v>
      </c>
      <c r="O921" s="55" t="s">
        <v>411</v>
      </c>
      <c r="P921" s="57" t="n">
        <v>13</v>
      </c>
      <c r="Q921" s="60" t="n">
        <f aca="false">IF(BR921=1,0,IFERROR(VLOOKUP(BP921,'Gebinde-Kategorie'!$A$5:$M$45,13,0)+0,0))</f>
        <v>132</v>
      </c>
      <c r="R921" s="61"/>
      <c r="S921" s="62"/>
      <c r="T921" s="62"/>
      <c r="U921" s="55"/>
      <c r="V921" s="57"/>
      <c r="W921" s="57"/>
      <c r="X921" s="55" t="n">
        <f aca="false">IF(A921="","",IF(AND(Parameter!$B$21="Ja",ISNUMBER(U921)),U921,IF(IFERROR(VLOOKUP(D921,Parameter!$A$35:$C$64,2,0),"Nein")="2+3",IF(ISNUMBER(SEARCH("grosser Artikel",BM921)),2,IFERROR(VLOOKUP(BP921,Parameter!$F$35:$G$64,2,0),2)),IF(OR(IFERROR(VLOOKUP(D921,Parameter!$A$35:$C$64,2,0),"Nein")="Nein",IFERROR(VLOOKUP(D921,Parameter!$A$35:$C$64,2,0),"Nein")=""),"-",VLOOKUP(D921,Parameter!$A$35:$C$64,2,0)))))</f>
        <v>3</v>
      </c>
      <c r="Y921" s="62"/>
      <c r="Z921" s="63"/>
      <c r="AA921" s="57" t="n">
        <f aca="false">AP921</f>
        <v>13</v>
      </c>
      <c r="AB921" s="57" t="n">
        <f aca="false">MAX(AP921,G921)</f>
        <v>13</v>
      </c>
      <c r="AC921" s="64"/>
      <c r="AD921" s="57" t="n">
        <f aca="false">IF(LEFT(Cockpit!$C$5,1)="A",G921,IF(BW921=1,BX921,IF(LEFT(Cockpit!$C$5,1)="B",AH921,MAX(AH921,G921))))</f>
        <v>0</v>
      </c>
      <c r="AE921" s="57" t="n">
        <f aca="false">IF(BR921=1,0,ROUNDUP(AD921/BQ921,0))</f>
        <v>0</v>
      </c>
      <c r="AF921" s="59" t="n">
        <f aca="false">IF(CD921&gt;0,CD921*MAX(1,AD921/V921),IF(BR921=1,IF(AD921&lt;=0,0,BS921*MAX(1,IF(G921&gt;0,AD921/G921,1))),IF(Q921&gt;0,AE921/Q921,0))/MAX(0.1,N(Parameter!$M$21)))</f>
        <v>0</v>
      </c>
      <c r="AG921" s="57" t="n">
        <f aca="false">AD921*F921</f>
        <v>0</v>
      </c>
      <c r="AH921" s="57" t="n">
        <f aca="false">ROUNDUP(MAX(I921/IF(BV921&gt;0,BV921,MAX(0.1,N(Cockpit!$C$6))),BY921)/BQ921,0)*BQ921</f>
        <v>13</v>
      </c>
      <c r="AI921" s="58" t="n">
        <f aca="false">IF(AF921&gt;0,I921/AF921,-1)</f>
        <v>-1</v>
      </c>
      <c r="AJ921" s="58" t="str">
        <f aca="false">IF(AND(OR(BU921="L1",BU921="L23"),AF921&gt;0),SUMIFS($AF$7:$AF$1576,$BU$7:$BU$1576,BU921,$AI$7:$AI$1576,"&gt;"&amp;AI921)+SUMIFS($AF$7:$AF$1576,$BU$7:$BU$1576,BU921,$AI$7:$AI$1576,AI921,$BO$7:$BO$1576,"&lt;="&amp;BO921),"")</f>
        <v/>
      </c>
      <c r="AK921" s="65" t="n">
        <f aca="false">IF(AJ921="",0,MAX(0,MIN(1,(IF(BU921="L1",Parameter!$E$5,Parameter!$E$6+Parameter!$E$7)-(AJ921-AF921))/AF921)))</f>
        <v>0</v>
      </c>
      <c r="AL921" s="57" t="n">
        <f aca="false">IF(LEFT(Cockpit!$I$5,1)="A",G921,IF(BW921=1,BX921,IF(LEFT(Cockpit!$I$5,1)="B",AP921,MAX(AP921,G921))))</f>
        <v>13</v>
      </c>
      <c r="AM921" s="57" t="n">
        <f aca="false">IF(BR921=1,0,ROUNDUP(AL921/BQ921,0))</f>
        <v>1</v>
      </c>
      <c r="AN921" s="59" t="n">
        <f aca="false">IF(CD921&gt;0,CD921*MAX(1,AL921/V921),IF(BR921=1,IF(AL921&lt;=0,0,BS921*MAX(1,IF(G921&gt;0,AL921/G921,1))),IF(Q921&gt;0,AM921/Q921,0))/MAX(0.1,N(Parameter!$M$21)))</f>
        <v>0.00757575757575758</v>
      </c>
      <c r="AO921" s="57" t="n">
        <f aca="false">AL921*F921</f>
        <v>517.14</v>
      </c>
      <c r="AP921" s="57" t="n">
        <f aca="false">ROUNDUP(MAX(I921/IF(BV921&gt;0,BV921,MAX(0.1,N(Cockpit!$I$6))),BY921)/BQ921,0)*BQ921</f>
        <v>13</v>
      </c>
      <c r="AQ921" s="58" t="n">
        <f aca="false">IF(AN921&gt;0,I921/AN921,-1)</f>
        <v>528</v>
      </c>
      <c r="AR921" s="58" t="n">
        <f aca="false">IF(AND(OR(BU921="L1",BU921="L23"),AN921&gt;0),SUMIFS($AN$7:$AN$1576,$BU$7:$BU$1576,BU921,$AQ$7:$AQ$1576,"&gt;"&amp;AQ921)+SUMIFS($AN$7:$AN$1576,$BU$7:$BU$1576,BU921,$AQ$7:$AQ$1576,AQ921,$BO$7:$BO$1576,"&lt;="&amp;BO921),"")</f>
        <v>32.9347143318994</v>
      </c>
      <c r="AS921" s="65" t="n">
        <f aca="false">IF(AR921="",0,MAX(0,MIN(1,(IF(BU921="L1",Parameter!$E$5,Parameter!$E$6+Parameter!$E$7)-(AR921-AN921))/AN921)))</f>
        <v>1</v>
      </c>
      <c r="AT921" s="57" t="n">
        <f aca="false">IF(LEFT(Cockpit!$O$5,1)="A",G921,IF(BW921=1,BX921,IF(LEFT(Cockpit!$O$5,1)="B",AX921,MAX(AX921,G921))))</f>
        <v>13</v>
      </c>
      <c r="AU921" s="57" t="n">
        <f aca="false">IF(BR921=1,0,ROUNDUP(AT921/BQ921,0))</f>
        <v>1</v>
      </c>
      <c r="AV921" s="59" t="n">
        <f aca="false">IF(CD921&gt;0,CD921*MAX(1,AT921/V921),IF(BR921=1,IF(AT921&lt;=0,0,BS921*MAX(1,IF(G921&gt;0,AT921/G921,1))),IF(Q921&gt;0,AU921/Q921,0))/MAX(0.1,N(Parameter!$M$21)))</f>
        <v>0.00757575757575758</v>
      </c>
      <c r="AW921" s="57" t="n">
        <f aca="false">AT921*F921</f>
        <v>517.14</v>
      </c>
      <c r="AX921" s="57" t="n">
        <f aca="false">ROUNDUP(MAX(I921/IF(BV921&gt;0,BV921,MAX(0.1,N(Cockpit!$O$6))),BY921)/BQ921,0)*BQ921</f>
        <v>13</v>
      </c>
      <c r="AY921" s="58" t="n">
        <f aca="false">IF(AV921&gt;0,I921/AV921,-1)</f>
        <v>528</v>
      </c>
      <c r="AZ921" s="58" t="n">
        <f aca="false">IF(AND(OR(BU921="L1",BU921="L23"),AV921&gt;0),SUMIFS($AV$7:$AV$1576,$BU$7:$BU$1576,BU921,$AY$7:$AY$1576,"&gt;"&amp;AY921)+SUMIFS($AV$7:$AV$1576,$BU$7:$BU$1576,BU921,$AY$7:$AY$1576,AY921,$BO$7:$BO$1576,"&lt;="&amp;BO921),"")</f>
        <v>31.011400978586</v>
      </c>
      <c r="BA921" s="65" t="n">
        <f aca="false">IF(AZ921="",0,MAX(0,MIN(1,(IF(BU921="L1",Parameter!$E$5,Parameter!$E$6+Parameter!$E$7)-(AZ921-AV921))/AV921)))</f>
        <v>1</v>
      </c>
      <c r="BB921" s="55" t="str">
        <f aca="false">IF(AF921&lt;=0,"",IF(BU921="Aussen","Aussenlager",IF(BU921="-","Nicht im Lift",IF(AK921&gt;=1,"Lift",IF(AK921&lt;=0,"Aussenlager","teilweise")))))</f>
        <v/>
      </c>
      <c r="BC921" s="55" t="str">
        <f aca="false">IF(AN921&lt;=0,"",IF(BU921="Aussen","Aussenlager",IF(BU921="-","Nicht im Lift",IF(AS921&gt;=1,"Lift",IF(AS921&lt;=0,"Aussenlager","teilweise")))))</f>
        <v>Lift</v>
      </c>
      <c r="BD921" s="55" t="str">
        <f aca="false">IF(AV921&lt;=0,"",IF(BU921="Aussen","Aussenlager",IF(BU921="-","Nicht im Lift",IF(BA921&gt;=1,"Lift",IF(BA921&lt;=0,"Aussenlager","teilweise")))))</f>
        <v>Lift</v>
      </c>
      <c r="BE921" s="55" t="str">
        <f aca="false">IF(A921="","",IF(BN921=1,"Neu; ","")&amp;IF(AND(BN921=0,BI921&lt;0),"negativer Bestand (Export "&amp;BI921&amp;"); ","")&amp;IF(I921&lt;=0,"Kein Verbrauch; ","")&amp;IF(CD921&gt;0,"Lift "&amp;U921&amp;" lt. Liftbericht (Fach "&amp;V921&amp;" Stk); ",IF(BR921=1,"Lose – Fläche geschätzt; ",""))&amp;IF(G921&gt;AP921,"Überbestand "&amp;ROUND(G921-AP921,0)&amp;" Stk / CHF "&amp;ROUND((G921-AP921)*F921,0)&amp;"; ","")&amp;IF(AND(BW921=1,BX921&lt;BY921),"MAX &lt; MB+LG; ","")&amp;IF(AND(CC921&gt;0,CB921*10&gt;CC921),"zu hoch für Tablar; ","")&amp;IF(AND(BN921=0,OR(BW921=1,Y921&lt;&gt;"",S921&lt;&gt;"",T921&lt;&gt;"",Z921&lt;&gt;"")),"manuell übersteuert; ","")&amp;IF(AND(BR921=0,Q921=0),"Gebinde unbekannt / Stellmass fehlt; ","")&amp;IF(AND(BR921=0,N(T921)&lt;=0,N(P921)&lt;=0),"Menge pro Gebinde fehlt (Ist = 1 Gebinde); ","")&amp;BM921)</f>
        <v/>
      </c>
      <c r="BF921" s="55"/>
      <c r="BG921" s="55"/>
      <c r="BH921" s="62"/>
      <c r="BI921" s="57" t="n">
        <v>0</v>
      </c>
      <c r="BJ921" s="57" t="n">
        <v>10</v>
      </c>
      <c r="BK921" s="56" t="n">
        <v>-44.0000000000001</v>
      </c>
      <c r="BL921" s="57" t="n">
        <v>4</v>
      </c>
      <c r="BM921" s="55"/>
      <c r="BN921" s="60" t="n">
        <v>0</v>
      </c>
      <c r="BO921" s="60" t="n">
        <v>921</v>
      </c>
      <c r="BP921" s="55" t="str">
        <f aca="false">IF(S921&lt;&gt;"",UPPER(TRIM(S921)),IF(O921="","LOSE",O921))</f>
        <v>S32</v>
      </c>
      <c r="BQ921" s="57" t="n">
        <f aca="false">IF(BP921="LOSE",1,IF(N(T921)&gt;0,T921,IF(N(P921)&gt;0,P921,MAX(1,G921))))</f>
        <v>13</v>
      </c>
      <c r="BR921" s="60" t="n">
        <f aca="false">IF(BP921="LOSE",1,0)</f>
        <v>0</v>
      </c>
      <c r="BS921" s="59" t="n">
        <f aca="false">IF(BR921=0,0,IF(N(R921)&gt;0,R921,IFERROR(VLOOKUP(D921,Parameter!$A$35:$C$64,3,0)+0,0)))</f>
        <v>0</v>
      </c>
      <c r="BT921" s="55" t="n">
        <f aca="false">IF(Y921&lt;&gt;"",Y921,X921)</f>
        <v>3</v>
      </c>
      <c r="BU921" s="55" t="str">
        <f aca="false">IF(BT921=1,"L1",IF(OR(BT921=2,BT921=3),"L23",IF(BT921="Aussen","Aussen","-")))</f>
        <v>L23</v>
      </c>
      <c r="BV921" s="66" t="n">
        <f aca="false">IF(N(Z921)&gt;0,Z921,0)</f>
        <v>0</v>
      </c>
      <c r="BW921" s="60" t="n">
        <f aca="false">IF(ISNUMBER(AC921),1,0)</f>
        <v>0</v>
      </c>
      <c r="BX921" s="57" t="n">
        <f aca="false">N(AC921)</f>
        <v>0</v>
      </c>
      <c r="BY921" s="57" t="n">
        <f aca="false">N(L921)+N(M921)</f>
        <v>5</v>
      </c>
      <c r="BZ921" s="57" t="n">
        <f aca="false">ROUNDUP(G921/BQ921,0)</f>
        <v>0</v>
      </c>
      <c r="CA921" s="57" t="n">
        <f aca="false">ROUNDUP(BX921/BQ921,0)</f>
        <v>0</v>
      </c>
      <c r="CB921" s="60" t="n">
        <f aca="false">IF(BR921=1,0,IFERROR(VLOOKUP(BP921,'Gebinde-Kategorie'!$A$5:$M$45,5,0)+0,0))</f>
        <v>8</v>
      </c>
      <c r="CC921" s="60" t="n">
        <f aca="false">IFERROR(IF(OR(BT921=1,BT921=2,BT921=3),N(INDEX(Parameter!$I$5:$I$7,BT921)),0),0)</f>
        <v>0</v>
      </c>
      <c r="CD921" s="59" t="n">
        <f aca="false">IF(AND(Parameter!$B$21="Ja",ISNUMBER(U921),N(V921)&gt;0),IFERROR(N(INDEX(Parameter!$L$5:$L$7,U921))*INDEX(Parameter!$E$5:$E$7,U921)*V921/SUMIFS($V$7:$V$1576,$U$7:$U$1576,U921),0),0)</f>
        <v>0</v>
      </c>
    </row>
    <row r="922" customFormat="false" ht="15" hidden="false" customHeight="false" outlineLevel="0" collapsed="false">
      <c r="A922" s="55" t="s">
        <v>1710</v>
      </c>
      <c r="B922" s="55" t="s">
        <v>1541</v>
      </c>
      <c r="C922" s="55" t="s">
        <v>160</v>
      </c>
      <c r="D922" s="55" t="s">
        <v>168</v>
      </c>
      <c r="E922" s="55" t="s">
        <v>210</v>
      </c>
      <c r="F922" s="56" t="n">
        <v>0.75</v>
      </c>
      <c r="G922" s="57" t="n">
        <f aca="false">MAX(0,IF(AND(Parameter!$B$21="Ja",ISNUMBER(W922)),W922,IF(Parameter!$B$20="Jahresanfang 2025 + Export",BJ922+BI922,BI922)))</f>
        <v>0</v>
      </c>
      <c r="H922" s="57" t="n">
        <f aca="false">G922*F922</f>
        <v>0</v>
      </c>
      <c r="I922" s="57" t="n">
        <f aca="false">BL922*Parameter!$B$18</f>
        <v>463</v>
      </c>
      <c r="J922" s="58" t="n">
        <v>115.5</v>
      </c>
      <c r="K922" s="59" t="n">
        <v>4.00865800865801</v>
      </c>
      <c r="L922" s="57" t="n">
        <v>27</v>
      </c>
      <c r="M922" s="57" t="n">
        <v>100</v>
      </c>
      <c r="N922" s="60" t="n">
        <v>21</v>
      </c>
      <c r="O922" s="55" t="s">
        <v>163</v>
      </c>
      <c r="P922" s="57"/>
      <c r="Q922" s="60" t="n">
        <f aca="false">IF(BR922=1,0,IFERROR(VLOOKUP(BP922,'Gebinde-Kategorie'!$A$5:$M$45,13,0)+0,0))</f>
        <v>0</v>
      </c>
      <c r="R922" s="61"/>
      <c r="S922" s="62"/>
      <c r="T922" s="62"/>
      <c r="U922" s="55"/>
      <c r="V922" s="57"/>
      <c r="W922" s="57"/>
      <c r="X922" s="55" t="n">
        <f aca="false">IF(A922="","",IF(AND(Parameter!$B$21="Ja",ISNUMBER(U922)),U922,IF(IFERROR(VLOOKUP(D922,Parameter!$A$35:$C$64,2,0),"Nein")="2+3",IF(ISNUMBER(SEARCH("grosser Artikel",BM922)),2,IFERROR(VLOOKUP(BP922,Parameter!$F$35:$G$64,2,0),2)),IF(OR(IFERROR(VLOOKUP(D922,Parameter!$A$35:$C$64,2,0),"Nein")="Nein",IFERROR(VLOOKUP(D922,Parameter!$A$35:$C$64,2,0),"Nein")=""),"-",VLOOKUP(D922,Parameter!$A$35:$C$64,2,0)))))</f>
        <v>2</v>
      </c>
      <c r="Y922" s="62"/>
      <c r="Z922" s="63"/>
      <c r="AA922" s="57" t="n">
        <f aca="false">AP922</f>
        <v>232</v>
      </c>
      <c r="AB922" s="57" t="n">
        <f aca="false">MAX(AP922,G922)</f>
        <v>232</v>
      </c>
      <c r="AC922" s="64"/>
      <c r="AD922" s="57" t="n">
        <f aca="false">IF(LEFT(Cockpit!$C$5,1)="A",G922,IF(BW922=1,BX922,IF(LEFT(Cockpit!$C$5,1)="B",AH922,MAX(AH922,G922))))</f>
        <v>0</v>
      </c>
      <c r="AE922" s="57" t="n">
        <f aca="false">IF(BR922=1,0,ROUNDUP(AD922/BQ922,0))</f>
        <v>0</v>
      </c>
      <c r="AF922" s="59" t="n">
        <f aca="false">IF(CD922&gt;0,CD922*MAX(1,AD922/V922),IF(BR922=1,IF(AD922&lt;=0,0,BS922*MAX(1,IF(G922&gt;0,AD922/G922,1))),IF(Q922&gt;0,AE922/Q922,0))/MAX(0.1,N(Parameter!$M$21)))</f>
        <v>0</v>
      </c>
      <c r="AG922" s="57" t="n">
        <f aca="false">AD922*F922</f>
        <v>0</v>
      </c>
      <c r="AH922" s="57" t="n">
        <f aca="false">ROUNDUP(MAX(I922/IF(BV922&gt;0,BV922,MAX(0.1,N(Cockpit!$C$6))),BY922)/BQ922,0)*BQ922</f>
        <v>232</v>
      </c>
      <c r="AI922" s="58" t="n">
        <f aca="false">IF(AF922&gt;0,I922/AF922,-1)</f>
        <v>-1</v>
      </c>
      <c r="AJ922" s="58" t="str">
        <f aca="false">IF(AND(OR(BU922="L1",BU922="L23"),AF922&gt;0),SUMIFS($AF$7:$AF$1576,$BU$7:$BU$1576,BU922,$AI$7:$AI$1576,"&gt;"&amp;AI922)+SUMIFS($AF$7:$AF$1576,$BU$7:$BU$1576,BU922,$AI$7:$AI$1576,AI922,$BO$7:$BO$1576,"&lt;="&amp;BO922),"")</f>
        <v/>
      </c>
      <c r="AK922" s="65" t="n">
        <f aca="false">IF(AJ922="",0,MAX(0,MIN(1,(IF(BU922="L1",Parameter!$E$5,Parameter!$E$6+Parameter!$E$7)-(AJ922-AF922))/AF922)))</f>
        <v>0</v>
      </c>
      <c r="AL922" s="57" t="n">
        <f aca="false">IF(LEFT(Cockpit!$I$5,1)="A",G922,IF(BW922=1,BX922,IF(LEFT(Cockpit!$I$5,1)="B",AP922,MAX(AP922,G922))))</f>
        <v>232</v>
      </c>
      <c r="AM922" s="57" t="n">
        <f aca="false">IF(BR922=1,0,ROUNDUP(AL922/BQ922,0))</f>
        <v>0</v>
      </c>
      <c r="AN922" s="59" t="n">
        <f aca="false">IF(CD922&gt;0,CD922*MAX(1,AL922/V922),IF(BR922=1,IF(AL922&lt;=0,0,BS922*MAX(1,IF(G922&gt;0,AL922/G922,1))),IF(Q922&gt;0,AM922/Q922,0))/MAX(0.1,N(Parameter!$M$21)))</f>
        <v>0.15</v>
      </c>
      <c r="AO922" s="57" t="n">
        <f aca="false">AL922*F922</f>
        <v>174</v>
      </c>
      <c r="AP922" s="57" t="n">
        <f aca="false">ROUNDUP(MAX(I922/IF(BV922&gt;0,BV922,MAX(0.1,N(Cockpit!$I$6))),BY922)/BQ922,0)*BQ922</f>
        <v>232</v>
      </c>
      <c r="AQ922" s="58" t="n">
        <f aca="false">IF(AN922&gt;0,I922/AN922,-1)</f>
        <v>3086.66666666667</v>
      </c>
      <c r="AR922" s="58" t="n">
        <f aca="false">IF(AND(OR(BU922="L1",BU922="L23"),AN922&gt;0),SUMIFS($AN$7:$AN$1576,$BU$7:$BU$1576,BU922,$AQ$7:$AQ$1576,"&gt;"&amp;AQ922)+SUMIFS($AN$7:$AN$1576,$BU$7:$BU$1576,BU922,$AQ$7:$AQ$1576,AQ922,$BO$7:$BO$1576,"&lt;="&amp;BO922),"")</f>
        <v>14.3265615790007</v>
      </c>
      <c r="AS922" s="65" t="n">
        <f aca="false">IF(AR922="",0,MAX(0,MIN(1,(IF(BU922="L1",Parameter!$E$5,Parameter!$E$6+Parameter!$E$7)-(AR922-AN922))/AN922)))</f>
        <v>1</v>
      </c>
      <c r="AT922" s="57" t="n">
        <f aca="false">IF(LEFT(Cockpit!$O$5,1)="A",G922,IF(BW922=1,BX922,IF(LEFT(Cockpit!$O$5,1)="B",AX922,MAX(AX922,G922))))</f>
        <v>155</v>
      </c>
      <c r="AU922" s="57" t="n">
        <f aca="false">IF(BR922=1,0,ROUNDUP(AT922/BQ922,0))</f>
        <v>0</v>
      </c>
      <c r="AV922" s="59" t="n">
        <f aca="false">IF(CD922&gt;0,CD922*MAX(1,AT922/V922),IF(BR922=1,IF(AT922&lt;=0,0,BS922*MAX(1,IF(G922&gt;0,AT922/G922,1))),IF(Q922&gt;0,AU922/Q922,0))/MAX(0.1,N(Parameter!$M$21)))</f>
        <v>0.15</v>
      </c>
      <c r="AW922" s="57" t="n">
        <f aca="false">AT922*F922</f>
        <v>116.25</v>
      </c>
      <c r="AX922" s="57" t="n">
        <f aca="false">ROUNDUP(MAX(I922/IF(BV922&gt;0,BV922,MAX(0.1,N(Cockpit!$O$6))),BY922)/BQ922,0)*BQ922</f>
        <v>155</v>
      </c>
      <c r="AY922" s="58" t="n">
        <f aca="false">IF(AV922&gt;0,I922/AV922,-1)</f>
        <v>3086.66666666667</v>
      </c>
      <c r="AZ922" s="58" t="n">
        <f aca="false">IF(AND(OR(BU922="L1",BU922="L23"),AV922&gt;0),SUMIFS($AV$7:$AV$1576,$BU$7:$BU$1576,BU922,$AY$7:$AY$1576,"&gt;"&amp;AY922)+SUMIFS($AV$7:$AV$1576,$BU$7:$BU$1576,BU922,$AY$7:$AY$1576,AY922,$BO$7:$BO$1576,"&lt;="&amp;BO922),"")</f>
        <v>13.1243471267863</v>
      </c>
      <c r="BA922" s="65" t="n">
        <f aca="false">IF(AZ922="",0,MAX(0,MIN(1,(IF(BU922="L1",Parameter!$E$5,Parameter!$E$6+Parameter!$E$7)-(AZ922-AV922))/AV922)))</f>
        <v>1</v>
      </c>
      <c r="BB922" s="55" t="str">
        <f aca="false">IF(AF922&lt;=0,"",IF(BU922="Aussen","Aussenlager",IF(BU922="-","Nicht im Lift",IF(AK922&gt;=1,"Lift",IF(AK922&lt;=0,"Aussenlager","teilweise")))))</f>
        <v/>
      </c>
      <c r="BC922" s="55" t="str">
        <f aca="false">IF(AN922&lt;=0,"",IF(BU922="Aussen","Aussenlager",IF(BU922="-","Nicht im Lift",IF(AS922&gt;=1,"Lift",IF(AS922&lt;=0,"Aussenlager","teilweise")))))</f>
        <v>Lift</v>
      </c>
      <c r="BD922" s="55" t="str">
        <f aca="false">IF(AV922&lt;=0,"",IF(BU922="Aussen","Aussenlager",IF(BU922="-","Nicht im Lift",IF(BA922&gt;=1,"Lift",IF(BA922&lt;=0,"Aussenlager","teilweise")))))</f>
        <v>Lift</v>
      </c>
      <c r="BE922" s="55" t="str">
        <f aca="false">IF(A922="","",IF(BN922=1,"Neu; ","")&amp;IF(AND(BN922=0,BI922&lt;0),"negativer Bestand (Export "&amp;BI922&amp;"); ","")&amp;IF(I922&lt;=0,"Kein Verbrauch; ","")&amp;IF(CD922&gt;0,"Lift "&amp;U922&amp;" lt. Liftbericht (Fach "&amp;V922&amp;" Stk); ",IF(BR922=1,"Lose – Fläche geschätzt; ",""))&amp;IF(G922&gt;AP922,"Überbestand "&amp;ROUND(G922-AP922,0)&amp;" Stk / CHF "&amp;ROUND((G922-AP922)*F922,0)&amp;"; ","")&amp;IF(AND(BW922=1,BX922&lt;BY922),"MAX &lt; MB+LG; ","")&amp;IF(AND(CC922&gt;0,CB922*10&gt;CC922),"zu hoch für Tablar; ","")&amp;IF(AND(BN922=0,OR(BW922=1,Y922&lt;&gt;"",S922&lt;&gt;"",T922&lt;&gt;"",Z922&lt;&gt;"")),"manuell übersteuert; ","")&amp;IF(AND(BR922=0,Q922=0),"Gebinde unbekannt / Stellmass fehlt; ","")&amp;IF(AND(BR922=0,N(T922)&lt;=0,N(P922)&lt;=0),"Menge pro Gebinde fehlt (Ist = 1 Gebinde); ","")&amp;BM922)</f>
        <v>negativer Bestand (Export -86); Lose – Fläche geschätzt; </v>
      </c>
      <c r="BF922" s="55"/>
      <c r="BG922" s="55"/>
      <c r="BH922" s="62"/>
      <c r="BI922" s="57" t="n">
        <v>-86</v>
      </c>
      <c r="BJ922" s="57" t="n">
        <v>157</v>
      </c>
      <c r="BK922" s="56" t="n">
        <v>-44.09</v>
      </c>
      <c r="BL922" s="57" t="n">
        <v>463</v>
      </c>
      <c r="BM922" s="55"/>
      <c r="BN922" s="60" t="n">
        <v>0</v>
      </c>
      <c r="BO922" s="60" t="n">
        <v>922</v>
      </c>
      <c r="BP922" s="55" t="str">
        <f aca="false">IF(S922&lt;&gt;"",UPPER(TRIM(S922)),IF(O922="","LOSE",O922))</f>
        <v>LOSE</v>
      </c>
      <c r="BQ922" s="57" t="n">
        <f aca="false">IF(BP922="LOSE",1,IF(N(T922)&gt;0,T922,IF(N(P922)&gt;0,P922,MAX(1,G922))))</f>
        <v>1</v>
      </c>
      <c r="BR922" s="60" t="n">
        <f aca="false">IF(BP922="LOSE",1,0)</f>
        <v>1</v>
      </c>
      <c r="BS922" s="59" t="n">
        <f aca="false">IF(BR922=0,0,IF(N(R922)&gt;0,R922,IFERROR(VLOOKUP(D922,Parameter!$A$35:$C$64,3,0)+0,0)))</f>
        <v>0.15</v>
      </c>
      <c r="BT922" s="55" t="n">
        <f aca="false">IF(Y922&lt;&gt;"",Y922,X922)</f>
        <v>2</v>
      </c>
      <c r="BU922" s="55" t="str">
        <f aca="false">IF(BT922=1,"L1",IF(OR(BT922=2,BT922=3),"L23",IF(BT922="Aussen","Aussen","-")))</f>
        <v>L23</v>
      </c>
      <c r="BV922" s="66" t="n">
        <f aca="false">IF(N(Z922)&gt;0,Z922,0)</f>
        <v>0</v>
      </c>
      <c r="BW922" s="60" t="n">
        <f aca="false">IF(ISNUMBER(AC922),1,0)</f>
        <v>0</v>
      </c>
      <c r="BX922" s="57" t="n">
        <f aca="false">N(AC922)</f>
        <v>0</v>
      </c>
      <c r="BY922" s="57" t="n">
        <f aca="false">N(L922)+N(M922)</f>
        <v>127</v>
      </c>
      <c r="BZ922" s="57" t="n">
        <f aca="false">ROUNDUP(G922/BQ922,0)</f>
        <v>0</v>
      </c>
      <c r="CA922" s="57" t="n">
        <f aca="false">ROUNDUP(BX922/BQ922,0)</f>
        <v>0</v>
      </c>
      <c r="CB922" s="60" t="n">
        <f aca="false">IF(BR922=1,0,IFERROR(VLOOKUP(BP922,'Gebinde-Kategorie'!$A$5:$M$45,5,0)+0,0))</f>
        <v>0</v>
      </c>
      <c r="CC922" s="60" t="n">
        <f aca="false">IFERROR(IF(OR(BT922=1,BT922=2,BT922=3),N(INDEX(Parameter!$I$5:$I$7,BT922)),0),0)</f>
        <v>0</v>
      </c>
      <c r="CD922" s="59" t="n">
        <f aca="false">IF(AND(Parameter!$B$21="Ja",ISNUMBER(U922),N(V922)&gt;0),IFERROR(N(INDEX(Parameter!$L$5:$L$7,U922))*INDEX(Parameter!$E$5:$E$7,U922)*V922/SUMIFS($V$7:$V$1576,$U$7:$U$1576,U922),0),0)</f>
        <v>0</v>
      </c>
    </row>
    <row r="923" customFormat="false" ht="15" hidden="false" customHeight="false" outlineLevel="0" collapsed="false">
      <c r="A923" s="55" t="s">
        <v>1711</v>
      </c>
      <c r="B923" s="55" t="s">
        <v>1712</v>
      </c>
      <c r="C923" s="55" t="s">
        <v>160</v>
      </c>
      <c r="D923" s="55" t="s">
        <v>168</v>
      </c>
      <c r="E923" s="55" t="s">
        <v>210</v>
      </c>
      <c r="F923" s="56" t="n">
        <v>2.29</v>
      </c>
      <c r="G923" s="57" t="n">
        <f aca="false">MAX(0,IF(AND(Parameter!$B$21="Ja",ISNUMBER(W923)),W923,IF(Parameter!$B$20="Jahresanfang 2025 + Export",BJ923+BI923,BI923)))</f>
        <v>0</v>
      </c>
      <c r="H923" s="57" t="n">
        <f aca="false">G923*F923</f>
        <v>0</v>
      </c>
      <c r="I923" s="57" t="n">
        <f aca="false">BL923*Parameter!$B$18</f>
        <v>20</v>
      </c>
      <c r="J923" s="58" t="n">
        <v>880</v>
      </c>
      <c r="K923" s="59" t="n">
        <v>0.0227272727272727</v>
      </c>
      <c r="L923" s="57" t="n">
        <v>1</v>
      </c>
      <c r="M923" s="57" t="n">
        <v>20</v>
      </c>
      <c r="N923" s="60" t="n">
        <v>21</v>
      </c>
      <c r="O923" s="55" t="s">
        <v>163</v>
      </c>
      <c r="P923" s="57"/>
      <c r="Q923" s="60" t="n">
        <f aca="false">IF(BR923=1,0,IFERROR(VLOOKUP(BP923,'Gebinde-Kategorie'!$A$5:$M$45,13,0)+0,0))</f>
        <v>0</v>
      </c>
      <c r="R923" s="61"/>
      <c r="S923" s="62"/>
      <c r="T923" s="62"/>
      <c r="U923" s="55"/>
      <c r="V923" s="57"/>
      <c r="W923" s="57"/>
      <c r="X923" s="55" t="n">
        <f aca="false">IF(A923="","",IF(AND(Parameter!$B$21="Ja",ISNUMBER(U923)),U923,IF(IFERROR(VLOOKUP(D923,Parameter!$A$35:$C$64,2,0),"Nein")="2+3",IF(ISNUMBER(SEARCH("grosser Artikel",BM923)),2,IFERROR(VLOOKUP(BP923,Parameter!$F$35:$G$64,2,0),2)),IF(OR(IFERROR(VLOOKUP(D923,Parameter!$A$35:$C$64,2,0),"Nein")="Nein",IFERROR(VLOOKUP(D923,Parameter!$A$35:$C$64,2,0),"Nein")=""),"-",VLOOKUP(D923,Parameter!$A$35:$C$64,2,0)))))</f>
        <v>2</v>
      </c>
      <c r="Y923" s="62"/>
      <c r="Z923" s="63"/>
      <c r="AA923" s="57" t="n">
        <f aca="false">AP923</f>
        <v>21</v>
      </c>
      <c r="AB923" s="57" t="n">
        <f aca="false">MAX(AP923,G923)</f>
        <v>21</v>
      </c>
      <c r="AC923" s="64"/>
      <c r="AD923" s="57" t="n">
        <f aca="false">IF(LEFT(Cockpit!$C$5,1)="A",G923,IF(BW923=1,BX923,IF(LEFT(Cockpit!$C$5,1)="B",AH923,MAX(AH923,G923))))</f>
        <v>0</v>
      </c>
      <c r="AE923" s="57" t="n">
        <f aca="false">IF(BR923=1,0,ROUNDUP(AD923/BQ923,0))</f>
        <v>0</v>
      </c>
      <c r="AF923" s="59" t="n">
        <f aca="false">IF(CD923&gt;0,CD923*MAX(1,AD923/V923),IF(BR923=1,IF(AD923&lt;=0,0,BS923*MAX(1,IF(G923&gt;0,AD923/G923,1))),IF(Q923&gt;0,AE923/Q923,0))/MAX(0.1,N(Parameter!$M$21)))</f>
        <v>0</v>
      </c>
      <c r="AG923" s="57" t="n">
        <f aca="false">AD923*F923</f>
        <v>0</v>
      </c>
      <c r="AH923" s="57" t="n">
        <f aca="false">ROUNDUP(MAX(I923/IF(BV923&gt;0,BV923,MAX(0.1,N(Cockpit!$C$6))),BY923)/BQ923,0)*BQ923</f>
        <v>21</v>
      </c>
      <c r="AI923" s="58" t="n">
        <f aca="false">IF(AF923&gt;0,I923/AF923,-1)</f>
        <v>-1</v>
      </c>
      <c r="AJ923" s="58" t="str">
        <f aca="false">IF(AND(OR(BU923="L1",BU923="L23"),AF923&gt;0),SUMIFS($AF$7:$AF$1576,$BU$7:$BU$1576,BU923,$AI$7:$AI$1576,"&gt;"&amp;AI923)+SUMIFS($AF$7:$AF$1576,$BU$7:$BU$1576,BU923,$AI$7:$AI$1576,AI923,$BO$7:$BO$1576,"&lt;="&amp;BO923),"")</f>
        <v/>
      </c>
      <c r="AK923" s="65" t="n">
        <f aca="false">IF(AJ923="",0,MAX(0,MIN(1,(IF(BU923="L1",Parameter!$E$5,Parameter!$E$6+Parameter!$E$7)-(AJ923-AF923))/AF923)))</f>
        <v>0</v>
      </c>
      <c r="AL923" s="57" t="n">
        <f aca="false">IF(LEFT(Cockpit!$I$5,1)="A",G923,IF(BW923=1,BX923,IF(LEFT(Cockpit!$I$5,1)="B",AP923,MAX(AP923,G923))))</f>
        <v>21</v>
      </c>
      <c r="AM923" s="57" t="n">
        <f aca="false">IF(BR923=1,0,ROUNDUP(AL923/BQ923,0))</f>
        <v>0</v>
      </c>
      <c r="AN923" s="59" t="n">
        <f aca="false">IF(CD923&gt;0,CD923*MAX(1,AL923/V923),IF(BR923=1,IF(AL923&lt;=0,0,BS923*MAX(1,IF(G923&gt;0,AL923/G923,1))),IF(Q923&gt;0,AM923/Q923,0))/MAX(0.1,N(Parameter!$M$21)))</f>
        <v>0.15</v>
      </c>
      <c r="AO923" s="57" t="n">
        <f aca="false">AL923*F923</f>
        <v>48.09</v>
      </c>
      <c r="AP923" s="57" t="n">
        <f aca="false">ROUNDUP(MAX(I923/IF(BV923&gt;0,BV923,MAX(0.1,N(Cockpit!$I$6))),BY923)/BQ923,0)*BQ923</f>
        <v>21</v>
      </c>
      <c r="AQ923" s="58" t="n">
        <f aca="false">IF(AN923&gt;0,I923/AN923,-1)</f>
        <v>133.333333333333</v>
      </c>
      <c r="AR923" s="58" t="n">
        <f aca="false">IF(AND(OR(BU923="L1",BU923="L23"),AN923&gt;0),SUMIFS($AN$7:$AN$1576,$BU$7:$BU$1576,BU923,$AQ$7:$AQ$1576,"&gt;"&amp;AQ923)+SUMIFS($AN$7:$AN$1576,$BU$7:$BU$1576,BU923,$AQ$7:$AQ$1576,AQ923,$BO$7:$BO$1576,"&lt;="&amp;BO923),"")</f>
        <v>59.912223827235</v>
      </c>
      <c r="AS923" s="65" t="n">
        <f aca="false">IF(AR923="",0,MAX(0,MIN(1,(IF(BU923="L1",Parameter!$E$5,Parameter!$E$6+Parameter!$E$7)-(AR923-AN923))/AN923)))</f>
        <v>1</v>
      </c>
      <c r="AT923" s="57" t="n">
        <f aca="false">IF(LEFT(Cockpit!$O$5,1)="A",G923,IF(BW923=1,BX923,IF(LEFT(Cockpit!$O$5,1)="B",AX923,MAX(AX923,G923))))</f>
        <v>21</v>
      </c>
      <c r="AU923" s="57" t="n">
        <f aca="false">IF(BR923=1,0,ROUNDUP(AT923/BQ923,0))</f>
        <v>0</v>
      </c>
      <c r="AV923" s="59" t="n">
        <f aca="false">IF(CD923&gt;0,CD923*MAX(1,AT923/V923),IF(BR923=1,IF(AT923&lt;=0,0,BS923*MAX(1,IF(G923&gt;0,AT923/G923,1))),IF(Q923&gt;0,AU923/Q923,0))/MAX(0.1,N(Parameter!$M$21)))</f>
        <v>0.15</v>
      </c>
      <c r="AW923" s="57" t="n">
        <f aca="false">AT923*F923</f>
        <v>48.09</v>
      </c>
      <c r="AX923" s="57" t="n">
        <f aca="false">ROUNDUP(MAX(I923/IF(BV923&gt;0,BV923,MAX(0.1,N(Cockpit!$O$6))),BY923)/BQ923,0)*BQ923</f>
        <v>21</v>
      </c>
      <c r="AY923" s="58" t="n">
        <f aca="false">IF(AV923&gt;0,I923/AV923,-1)</f>
        <v>133.333333333333</v>
      </c>
      <c r="AZ923" s="58" t="n">
        <f aca="false">IF(AND(OR(BU923="L1",BU923="L23"),AV923&gt;0),SUMIFS($AV$7:$AV$1576,$BU$7:$BU$1576,BU923,$AY$7:$AY$1576,"&gt;"&amp;AY923)+SUMIFS($AV$7:$AV$1576,$BU$7:$BU$1576,BU923,$AY$7:$AY$1576,AY923,$BO$7:$BO$1576,"&lt;="&amp;BO923),"")</f>
        <v>54.5746909434521</v>
      </c>
      <c r="BA923" s="65" t="n">
        <f aca="false">IF(AZ923="",0,MAX(0,MIN(1,(IF(BU923="L1",Parameter!$E$5,Parameter!$E$6+Parameter!$E$7)-(AZ923-AV923))/AV923)))</f>
        <v>1</v>
      </c>
      <c r="BB923" s="55" t="str">
        <f aca="false">IF(AF923&lt;=0,"",IF(BU923="Aussen","Aussenlager",IF(BU923="-","Nicht im Lift",IF(AK923&gt;=1,"Lift",IF(AK923&lt;=0,"Aussenlager","teilweise")))))</f>
        <v/>
      </c>
      <c r="BC923" s="55" t="str">
        <f aca="false">IF(AN923&lt;=0,"",IF(BU923="Aussen","Aussenlager",IF(BU923="-","Nicht im Lift",IF(AS923&gt;=1,"Lift",IF(AS923&lt;=0,"Aussenlager","teilweise")))))</f>
        <v>Lift</v>
      </c>
      <c r="BD923" s="55" t="str">
        <f aca="false">IF(AV923&lt;=0,"",IF(BU923="Aussen","Aussenlager",IF(BU923="-","Nicht im Lift",IF(BA923&gt;=1,"Lift",IF(BA923&lt;=0,"Aussenlager","teilweise")))))</f>
        <v>Lift</v>
      </c>
      <c r="BE923" s="55" t="str">
        <f aca="false">IF(A923="","",IF(BN923=1,"Neu; ","")&amp;IF(AND(BN923=0,BI923&lt;0),"negativer Bestand (Export "&amp;BI923&amp;"); ","")&amp;IF(I923&lt;=0,"Kein Verbrauch; ","")&amp;IF(CD923&gt;0,"Lift "&amp;U923&amp;" lt. Liftbericht (Fach "&amp;V923&amp;" Stk); ",IF(BR923=1,"Lose – Fläche geschätzt; ",""))&amp;IF(G923&gt;AP923,"Überbestand "&amp;ROUND(G923-AP923,0)&amp;" Stk / CHF "&amp;ROUND((G923-AP923)*F923,0)&amp;"; ","")&amp;IF(AND(BW923=1,BX923&lt;BY923),"MAX &lt; MB+LG; ","")&amp;IF(AND(CC923&gt;0,CB923*10&gt;CC923),"zu hoch für Tablar; ","")&amp;IF(AND(BN923=0,OR(BW923=1,Y923&lt;&gt;"",S923&lt;&gt;"",T923&lt;&gt;"",Z923&lt;&gt;"")),"manuell übersteuert; ","")&amp;IF(AND(BR923=0,Q923=0),"Gebinde unbekannt / Stellmass fehlt; ","")&amp;IF(AND(BR923=0,N(T923)&lt;=0,N(P923)&lt;=0),"Menge pro Gebinde fehlt (Ist = 1 Gebinde); ","")&amp;BM923)</f>
        <v>negativer Bestand (Export -20); Lose – Fläche geschätzt; Überbestand; grosser Artikel &amp; nicht im KTL</v>
      </c>
      <c r="BF923" s="55"/>
      <c r="BG923" s="55"/>
      <c r="BH923" s="62"/>
      <c r="BI923" s="57" t="n">
        <v>-20</v>
      </c>
      <c r="BJ923" s="57" t="n">
        <v>890</v>
      </c>
      <c r="BK923" s="56" t="n">
        <v>-45.8</v>
      </c>
      <c r="BL923" s="57" t="n">
        <v>20</v>
      </c>
      <c r="BM923" s="55" t="s">
        <v>350</v>
      </c>
      <c r="BN923" s="60" t="n">
        <v>0</v>
      </c>
      <c r="BO923" s="60" t="n">
        <v>923</v>
      </c>
      <c r="BP923" s="55" t="str">
        <f aca="false">IF(S923&lt;&gt;"",UPPER(TRIM(S923)),IF(O923="","LOSE",O923))</f>
        <v>LOSE</v>
      </c>
      <c r="BQ923" s="57" t="n">
        <f aca="false">IF(BP923="LOSE",1,IF(N(T923)&gt;0,T923,IF(N(P923)&gt;0,P923,MAX(1,G923))))</f>
        <v>1</v>
      </c>
      <c r="BR923" s="60" t="n">
        <f aca="false">IF(BP923="LOSE",1,0)</f>
        <v>1</v>
      </c>
      <c r="BS923" s="59" t="n">
        <f aca="false">IF(BR923=0,0,IF(N(R923)&gt;0,R923,IFERROR(VLOOKUP(D923,Parameter!$A$35:$C$64,3,0)+0,0)))</f>
        <v>0.15</v>
      </c>
      <c r="BT923" s="55" t="n">
        <f aca="false">IF(Y923&lt;&gt;"",Y923,X923)</f>
        <v>2</v>
      </c>
      <c r="BU923" s="55" t="str">
        <f aca="false">IF(BT923=1,"L1",IF(OR(BT923=2,BT923=3),"L23",IF(BT923="Aussen","Aussen","-")))</f>
        <v>L23</v>
      </c>
      <c r="BV923" s="66" t="n">
        <f aca="false">IF(N(Z923)&gt;0,Z923,0)</f>
        <v>0</v>
      </c>
      <c r="BW923" s="60" t="n">
        <f aca="false">IF(ISNUMBER(AC923),1,0)</f>
        <v>0</v>
      </c>
      <c r="BX923" s="57" t="n">
        <f aca="false">N(AC923)</f>
        <v>0</v>
      </c>
      <c r="BY923" s="57" t="n">
        <f aca="false">N(L923)+N(M923)</f>
        <v>21</v>
      </c>
      <c r="BZ923" s="57" t="n">
        <f aca="false">ROUNDUP(G923/BQ923,0)</f>
        <v>0</v>
      </c>
      <c r="CA923" s="57" t="n">
        <f aca="false">ROUNDUP(BX923/BQ923,0)</f>
        <v>0</v>
      </c>
      <c r="CB923" s="60" t="n">
        <f aca="false">IF(BR923=1,0,IFERROR(VLOOKUP(BP923,'Gebinde-Kategorie'!$A$5:$M$45,5,0)+0,0))</f>
        <v>0</v>
      </c>
      <c r="CC923" s="60" t="n">
        <f aca="false">IFERROR(IF(OR(BT923=1,BT923=2,BT923=3),N(INDEX(Parameter!$I$5:$I$7,BT923)),0),0)</f>
        <v>0</v>
      </c>
      <c r="CD923" s="59" t="n">
        <f aca="false">IF(AND(Parameter!$B$21="Ja",ISNUMBER(U923),N(V923)&gt;0),IFERROR(N(INDEX(Parameter!$L$5:$L$7,U923))*INDEX(Parameter!$E$5:$E$7,U923)*V923/SUMIFS($V$7:$V$1576,$U$7:$U$1576,U923),0),0)</f>
        <v>0</v>
      </c>
    </row>
    <row r="924" customFormat="false" ht="15" hidden="false" customHeight="false" outlineLevel="0" collapsed="false">
      <c r="A924" s="55" t="s">
        <v>1713</v>
      </c>
      <c r="B924" s="55" t="s">
        <v>484</v>
      </c>
      <c r="C924" s="55" t="s">
        <v>160</v>
      </c>
      <c r="D924" s="55" t="s">
        <v>178</v>
      </c>
      <c r="E924" s="55" t="s">
        <v>210</v>
      </c>
      <c r="F924" s="56" t="n">
        <v>0.25</v>
      </c>
      <c r="G924" s="57" t="n">
        <f aca="false">MAX(0,IF(AND(Parameter!$B$21="Ja",ISNUMBER(W924)),W924,IF(Parameter!$B$20="Jahresanfang 2025 + Export",BJ924+BI924,BI924)))</f>
        <v>0</v>
      </c>
      <c r="H924" s="57" t="n">
        <f aca="false">G924*F924</f>
        <v>0</v>
      </c>
      <c r="I924" s="57" t="n">
        <f aca="false">BL924*Parameter!$B$18</f>
        <v>310</v>
      </c>
      <c r="J924" s="58" t="n">
        <v>143</v>
      </c>
      <c r="K924" s="59" t="n">
        <v>2.16783216783217</v>
      </c>
      <c r="L924" s="57" t="n">
        <v>18</v>
      </c>
      <c r="M924" s="57" t="n">
        <v>310</v>
      </c>
      <c r="N924" s="60" t="n">
        <v>21</v>
      </c>
      <c r="O924" s="55" t="s">
        <v>391</v>
      </c>
      <c r="P924" s="57" t="n">
        <v>185</v>
      </c>
      <c r="Q924" s="60" t="n">
        <f aca="false">IF(BR924=1,0,IFERROR(VLOOKUP(BP924,'Gebinde-Kategorie'!$A$5:$M$45,13,0)+0,0))</f>
        <v>414</v>
      </c>
      <c r="R924" s="61"/>
      <c r="S924" s="62"/>
      <c r="T924" s="62"/>
      <c r="U924" s="55"/>
      <c r="V924" s="57"/>
      <c r="W924" s="57"/>
      <c r="X924" s="55" t="n">
        <f aca="false">IF(A924="","",IF(AND(Parameter!$B$21="Ja",ISNUMBER(U924)),U924,IF(IFERROR(VLOOKUP(D924,Parameter!$A$35:$C$64,2,0),"Nein")="2+3",IF(ISNUMBER(SEARCH("grosser Artikel",BM924)),2,IFERROR(VLOOKUP(BP924,Parameter!$F$35:$G$64,2,0),2)),IF(OR(IFERROR(VLOOKUP(D924,Parameter!$A$35:$C$64,2,0),"Nein")="Nein",IFERROR(VLOOKUP(D924,Parameter!$A$35:$C$64,2,0),"Nein")=""),"-",VLOOKUP(D924,Parameter!$A$35:$C$64,2,0)))))</f>
        <v>3</v>
      </c>
      <c r="Y924" s="62"/>
      <c r="Z924" s="63"/>
      <c r="AA924" s="57" t="n">
        <f aca="false">AP924</f>
        <v>370</v>
      </c>
      <c r="AB924" s="57" t="n">
        <f aca="false">MAX(AP924,G924)</f>
        <v>370</v>
      </c>
      <c r="AC924" s="64"/>
      <c r="AD924" s="57" t="n">
        <f aca="false">IF(LEFT(Cockpit!$C$5,1)="A",G924,IF(BW924=1,BX924,IF(LEFT(Cockpit!$C$5,1)="B",AH924,MAX(AH924,G924))))</f>
        <v>0</v>
      </c>
      <c r="AE924" s="57" t="n">
        <f aca="false">IF(BR924=1,0,ROUNDUP(AD924/BQ924,0))</f>
        <v>0</v>
      </c>
      <c r="AF924" s="59" t="n">
        <f aca="false">IF(CD924&gt;0,CD924*MAX(1,AD924/V924),IF(BR924=1,IF(AD924&lt;=0,0,BS924*MAX(1,IF(G924&gt;0,AD924/G924,1))),IF(Q924&gt;0,AE924/Q924,0))/MAX(0.1,N(Parameter!$M$21)))</f>
        <v>0</v>
      </c>
      <c r="AG924" s="57" t="n">
        <f aca="false">AD924*F924</f>
        <v>0</v>
      </c>
      <c r="AH924" s="57" t="n">
        <f aca="false">ROUNDUP(MAX(I924/IF(BV924&gt;0,BV924,MAX(0.1,N(Cockpit!$C$6))),BY924)/BQ924,0)*BQ924</f>
        <v>370</v>
      </c>
      <c r="AI924" s="58" t="n">
        <f aca="false">IF(AF924&gt;0,I924/AF924,-1)</f>
        <v>-1</v>
      </c>
      <c r="AJ924" s="58" t="str">
        <f aca="false">IF(AND(OR(BU924="L1",BU924="L23"),AF924&gt;0),SUMIFS($AF$7:$AF$1576,$BU$7:$BU$1576,BU924,$AI$7:$AI$1576,"&gt;"&amp;AI924)+SUMIFS($AF$7:$AF$1576,$BU$7:$BU$1576,BU924,$AI$7:$AI$1576,AI924,$BO$7:$BO$1576,"&lt;="&amp;BO924),"")</f>
        <v/>
      </c>
      <c r="AK924" s="65" t="n">
        <f aca="false">IF(AJ924="",0,MAX(0,MIN(1,(IF(BU924="L1",Parameter!$E$5,Parameter!$E$6+Parameter!$E$7)-(AJ924-AF924))/AF924)))</f>
        <v>0</v>
      </c>
      <c r="AL924" s="57" t="n">
        <f aca="false">IF(LEFT(Cockpit!$I$5,1)="A",G924,IF(BW924=1,BX924,IF(LEFT(Cockpit!$I$5,1)="B",AP924,MAX(AP924,G924))))</f>
        <v>370</v>
      </c>
      <c r="AM924" s="57" t="n">
        <f aca="false">IF(BR924=1,0,ROUNDUP(AL924/BQ924,0))</f>
        <v>2</v>
      </c>
      <c r="AN924" s="59" t="n">
        <f aca="false">IF(CD924&gt;0,CD924*MAX(1,AL924/V924),IF(BR924=1,IF(AL924&lt;=0,0,BS924*MAX(1,IF(G924&gt;0,AL924/G924,1))),IF(Q924&gt;0,AM924/Q924,0))/MAX(0.1,N(Parameter!$M$21)))</f>
        <v>0.00483091787439614</v>
      </c>
      <c r="AO924" s="57" t="n">
        <f aca="false">AL924*F924</f>
        <v>92.5</v>
      </c>
      <c r="AP924" s="57" t="n">
        <f aca="false">ROUNDUP(MAX(I924/IF(BV924&gt;0,BV924,MAX(0.1,N(Cockpit!$I$6))),BY924)/BQ924,0)*BQ924</f>
        <v>370</v>
      </c>
      <c r="AQ924" s="58" t="n">
        <f aca="false">IF(AN924&gt;0,I924/AN924,-1)</f>
        <v>64170</v>
      </c>
      <c r="AR924" s="58" t="n">
        <f aca="false">IF(AND(OR(BU924="L1",BU924="L23"),AN924&gt;0),SUMIFS($AN$7:$AN$1576,$BU$7:$BU$1576,BU924,$AQ$7:$AQ$1576,"&gt;"&amp;AQ924)+SUMIFS($AN$7:$AN$1576,$BU$7:$BU$1576,BU924,$AQ$7:$AQ$1576,AQ924,$BO$7:$BO$1576,"&lt;="&amp;BO924),"")</f>
        <v>0.758434850173981</v>
      </c>
      <c r="AS924" s="65" t="n">
        <f aca="false">IF(AR924="",0,MAX(0,MIN(1,(IF(BU924="L1",Parameter!$E$5,Parameter!$E$6+Parameter!$E$7)-(AR924-AN924))/AN924)))</f>
        <v>1</v>
      </c>
      <c r="AT924" s="57" t="n">
        <f aca="false">IF(LEFT(Cockpit!$O$5,1)="A",G924,IF(BW924=1,BX924,IF(LEFT(Cockpit!$O$5,1)="B",AX924,MAX(AX924,G924))))</f>
        <v>370</v>
      </c>
      <c r="AU924" s="57" t="n">
        <f aca="false">IF(BR924=1,0,ROUNDUP(AT924/BQ924,0))</f>
        <v>2</v>
      </c>
      <c r="AV924" s="59" t="n">
        <f aca="false">IF(CD924&gt;0,CD924*MAX(1,AT924/V924),IF(BR924=1,IF(AT924&lt;=0,0,BS924*MAX(1,IF(G924&gt;0,AT924/G924,1))),IF(Q924&gt;0,AU924/Q924,0))/MAX(0.1,N(Parameter!$M$21)))</f>
        <v>0.00483091787439614</v>
      </c>
      <c r="AW924" s="57" t="n">
        <f aca="false">AT924*F924</f>
        <v>92.5</v>
      </c>
      <c r="AX924" s="57" t="n">
        <f aca="false">ROUNDUP(MAX(I924/IF(BV924&gt;0,BV924,MAX(0.1,N(Cockpit!$O$6))),BY924)/BQ924,0)*BQ924</f>
        <v>370</v>
      </c>
      <c r="AY924" s="58" t="n">
        <f aca="false">IF(AV924&gt;0,I924/AV924,-1)</f>
        <v>64170</v>
      </c>
      <c r="AZ924" s="58" t="n">
        <f aca="false">IF(AND(OR(BU924="L1",BU924="L23"),AV924&gt;0),SUMIFS($AV$7:$AV$1576,$BU$7:$BU$1576,BU924,$AY$7:$AY$1576,"&gt;"&amp;AY924)+SUMIFS($AV$7:$AV$1576,$BU$7:$BU$1576,BU924,$AY$7:$AY$1576,AY924,$BO$7:$BO$1576,"&lt;="&amp;BO924),"")</f>
        <v>0.92743251917165</v>
      </c>
      <c r="BA924" s="65" t="n">
        <f aca="false">IF(AZ924="",0,MAX(0,MIN(1,(IF(BU924="L1",Parameter!$E$5,Parameter!$E$6+Parameter!$E$7)-(AZ924-AV924))/AV924)))</f>
        <v>1</v>
      </c>
      <c r="BB924" s="55" t="str">
        <f aca="false">IF(AF924&lt;=0,"",IF(BU924="Aussen","Aussenlager",IF(BU924="-","Nicht im Lift",IF(AK924&gt;=1,"Lift",IF(AK924&lt;=0,"Aussenlager","teilweise")))))</f>
        <v/>
      </c>
      <c r="BC924" s="55" t="str">
        <f aca="false">IF(AN924&lt;=0,"",IF(BU924="Aussen","Aussenlager",IF(BU924="-","Nicht im Lift",IF(AS924&gt;=1,"Lift",IF(AS924&lt;=0,"Aussenlager","teilweise")))))</f>
        <v>Lift</v>
      </c>
      <c r="BD924" s="55" t="str">
        <f aca="false">IF(AV924&lt;=0,"",IF(BU924="Aussen","Aussenlager",IF(BU924="-","Nicht im Lift",IF(BA924&gt;=1,"Lift",IF(BA924&lt;=0,"Aussenlager","teilweise")))))</f>
        <v>Lift</v>
      </c>
      <c r="BE924" s="55" t="str">
        <f aca="false">IF(A924="","",IF(BN924=1,"Neu; ","")&amp;IF(AND(BN924=0,BI924&lt;0),"negativer Bestand (Export "&amp;BI924&amp;"); ","")&amp;IF(I924&lt;=0,"Kein Verbrauch; ","")&amp;IF(CD924&gt;0,"Lift "&amp;U924&amp;" lt. Liftbericht (Fach "&amp;V924&amp;" Stk); ",IF(BR924=1,"Lose – Fläche geschätzt; ",""))&amp;IF(G924&gt;AP924,"Überbestand "&amp;ROUND(G924-AP924,0)&amp;" Stk / CHF "&amp;ROUND((G924-AP924)*F924,0)&amp;"; ","")&amp;IF(AND(BW924=1,BX924&lt;BY924),"MAX &lt; MB+LG; ","")&amp;IF(AND(CC924&gt;0,CB924*10&gt;CC924),"zu hoch für Tablar; ","")&amp;IF(AND(BN924=0,OR(BW924=1,Y924&lt;&gt;"",S924&lt;&gt;"",T924&lt;&gt;"",Z924&lt;&gt;"")),"manuell übersteuert; ","")&amp;IF(AND(BR924=0,Q924=0),"Gebinde unbekannt / Stellmass fehlt; ","")&amp;IF(AND(BR924=0,N(T924)&lt;=0,N(P924)&lt;=0),"Menge pro Gebinde fehlt (Ist = 1 Gebinde); ","")&amp;BM924)</f>
        <v>negativer Bestand (Export -152); </v>
      </c>
      <c r="BF924" s="55"/>
      <c r="BG924" s="55"/>
      <c r="BH924" s="62"/>
      <c r="BI924" s="57" t="n">
        <v>-152</v>
      </c>
      <c r="BJ924" s="57" t="n">
        <v>201</v>
      </c>
      <c r="BK924" s="56" t="n">
        <v>-46.04</v>
      </c>
      <c r="BL924" s="57" t="n">
        <v>310</v>
      </c>
      <c r="BM924" s="55"/>
      <c r="BN924" s="60" t="n">
        <v>0</v>
      </c>
      <c r="BO924" s="60" t="n">
        <v>924</v>
      </c>
      <c r="BP924" s="55" t="str">
        <f aca="false">IF(S924&lt;&gt;"",UPPER(TRIM(S924)),IF(O924="","LOSE",O924))</f>
        <v>S21</v>
      </c>
      <c r="BQ924" s="57" t="n">
        <f aca="false">IF(BP924="LOSE",1,IF(N(T924)&gt;0,T924,IF(N(P924)&gt;0,P924,MAX(1,G924))))</f>
        <v>185</v>
      </c>
      <c r="BR924" s="60" t="n">
        <f aca="false">IF(BP924="LOSE",1,0)</f>
        <v>0</v>
      </c>
      <c r="BS924" s="59" t="n">
        <f aca="false">IF(BR924=0,0,IF(N(R924)&gt;0,R924,IFERROR(VLOOKUP(D924,Parameter!$A$35:$C$64,3,0)+0,0)))</f>
        <v>0</v>
      </c>
      <c r="BT924" s="55" t="n">
        <f aca="false">IF(Y924&lt;&gt;"",Y924,X924)</f>
        <v>3</v>
      </c>
      <c r="BU924" s="55" t="str">
        <f aca="false">IF(BT924=1,"L1",IF(OR(BT924=2,BT924=3),"L23",IF(BT924="Aussen","Aussen","-")))</f>
        <v>L23</v>
      </c>
      <c r="BV924" s="66" t="n">
        <f aca="false">IF(N(Z924)&gt;0,Z924,0)</f>
        <v>0</v>
      </c>
      <c r="BW924" s="60" t="n">
        <f aca="false">IF(ISNUMBER(AC924),1,0)</f>
        <v>0</v>
      </c>
      <c r="BX924" s="57" t="n">
        <f aca="false">N(AC924)</f>
        <v>0</v>
      </c>
      <c r="BY924" s="57" t="n">
        <f aca="false">N(L924)+N(M924)</f>
        <v>328</v>
      </c>
      <c r="BZ924" s="57" t="n">
        <f aca="false">ROUNDUP(G924/BQ924,0)</f>
        <v>0</v>
      </c>
      <c r="CA924" s="57" t="n">
        <f aca="false">ROUNDUP(BX924/BQ924,0)</f>
        <v>0</v>
      </c>
      <c r="CB924" s="60" t="n">
        <f aca="false">IF(BR924=1,0,IFERROR(VLOOKUP(BP924,'Gebinde-Kategorie'!$A$5:$M$45,5,0)+0,0))</f>
        <v>8</v>
      </c>
      <c r="CC924" s="60" t="n">
        <f aca="false">IFERROR(IF(OR(BT924=1,BT924=2,BT924=3),N(INDEX(Parameter!$I$5:$I$7,BT924)),0),0)</f>
        <v>0</v>
      </c>
      <c r="CD924" s="59" t="n">
        <f aca="false">IF(AND(Parameter!$B$21="Ja",ISNUMBER(U924),N(V924)&gt;0),IFERROR(N(INDEX(Parameter!$L$5:$L$7,U924))*INDEX(Parameter!$E$5:$E$7,U924)*V924/SUMIFS($V$7:$V$1576,$U$7:$U$1576,U924),0),0)</f>
        <v>0</v>
      </c>
    </row>
    <row r="925" customFormat="false" ht="15" hidden="false" customHeight="false" outlineLevel="0" collapsed="false">
      <c r="A925" s="55" t="s">
        <v>1714</v>
      </c>
      <c r="B925" s="55" t="s">
        <v>881</v>
      </c>
      <c r="C925" s="55" t="s">
        <v>160</v>
      </c>
      <c r="D925" s="55" t="s">
        <v>178</v>
      </c>
      <c r="E925" s="55" t="s">
        <v>210</v>
      </c>
      <c r="F925" s="56" t="n">
        <v>10.02</v>
      </c>
      <c r="G925" s="57" t="n">
        <f aca="false">MAX(0,IF(AND(Parameter!$B$21="Ja",ISNUMBER(W925)),W925,IF(Parameter!$B$20="Jahresanfang 2025 + Export",BJ925+BI925,BI925)))</f>
        <v>0</v>
      </c>
      <c r="H925" s="57" t="n">
        <f aca="false">G925*F925</f>
        <v>0</v>
      </c>
      <c r="I925" s="57" t="n">
        <f aca="false">BL925*Parameter!$B$18</f>
        <v>11</v>
      </c>
      <c r="J925" s="58" t="n">
        <v>7.5</v>
      </c>
      <c r="K925" s="59" t="n">
        <v>1.46666666666667</v>
      </c>
      <c r="L925" s="57" t="n">
        <v>0</v>
      </c>
      <c r="M925" s="57" t="n">
        <v>10</v>
      </c>
      <c r="N925" s="60" t="n">
        <v>14</v>
      </c>
      <c r="O925" s="55" t="s">
        <v>411</v>
      </c>
      <c r="P925" s="57" t="n">
        <v>27</v>
      </c>
      <c r="Q925" s="60" t="n">
        <f aca="false">IF(BR925=1,0,IFERROR(VLOOKUP(BP925,'Gebinde-Kategorie'!$A$5:$M$45,13,0)+0,0))</f>
        <v>132</v>
      </c>
      <c r="R925" s="61"/>
      <c r="S925" s="62"/>
      <c r="T925" s="62"/>
      <c r="U925" s="55"/>
      <c r="V925" s="57"/>
      <c r="W925" s="57"/>
      <c r="X925" s="55" t="n">
        <f aca="false">IF(A925="","",IF(AND(Parameter!$B$21="Ja",ISNUMBER(U925)),U925,IF(IFERROR(VLOOKUP(D925,Parameter!$A$35:$C$64,2,0),"Nein")="2+3",IF(ISNUMBER(SEARCH("grosser Artikel",BM925)),2,IFERROR(VLOOKUP(BP925,Parameter!$F$35:$G$64,2,0),2)),IF(OR(IFERROR(VLOOKUP(D925,Parameter!$A$35:$C$64,2,0),"Nein")="Nein",IFERROR(VLOOKUP(D925,Parameter!$A$35:$C$64,2,0),"Nein")=""),"-",VLOOKUP(D925,Parameter!$A$35:$C$64,2,0)))))</f>
        <v>3</v>
      </c>
      <c r="Y925" s="62"/>
      <c r="Z925" s="63"/>
      <c r="AA925" s="57" t="n">
        <f aca="false">AP925</f>
        <v>27</v>
      </c>
      <c r="AB925" s="57" t="n">
        <f aca="false">MAX(AP925,G925)</f>
        <v>27</v>
      </c>
      <c r="AC925" s="64"/>
      <c r="AD925" s="57" t="n">
        <f aca="false">IF(LEFT(Cockpit!$C$5,1)="A",G925,IF(BW925=1,BX925,IF(LEFT(Cockpit!$C$5,1)="B",AH925,MAX(AH925,G925))))</f>
        <v>0</v>
      </c>
      <c r="AE925" s="57" t="n">
        <f aca="false">IF(BR925=1,0,ROUNDUP(AD925/BQ925,0))</f>
        <v>0</v>
      </c>
      <c r="AF925" s="59" t="n">
        <f aca="false">IF(CD925&gt;0,CD925*MAX(1,AD925/V925),IF(BR925=1,IF(AD925&lt;=0,0,BS925*MAX(1,IF(G925&gt;0,AD925/G925,1))),IF(Q925&gt;0,AE925/Q925,0))/MAX(0.1,N(Parameter!$M$21)))</f>
        <v>0</v>
      </c>
      <c r="AG925" s="57" t="n">
        <f aca="false">AD925*F925</f>
        <v>0</v>
      </c>
      <c r="AH925" s="57" t="n">
        <f aca="false">ROUNDUP(MAX(I925/IF(BV925&gt;0,BV925,MAX(0.1,N(Cockpit!$C$6))),BY925)/BQ925,0)*BQ925</f>
        <v>27</v>
      </c>
      <c r="AI925" s="58" t="n">
        <f aca="false">IF(AF925&gt;0,I925/AF925,-1)</f>
        <v>-1</v>
      </c>
      <c r="AJ925" s="58" t="str">
        <f aca="false">IF(AND(OR(BU925="L1",BU925="L23"),AF925&gt;0),SUMIFS($AF$7:$AF$1576,$BU$7:$BU$1576,BU925,$AI$7:$AI$1576,"&gt;"&amp;AI925)+SUMIFS($AF$7:$AF$1576,$BU$7:$BU$1576,BU925,$AI$7:$AI$1576,AI925,$BO$7:$BO$1576,"&lt;="&amp;BO925),"")</f>
        <v/>
      </c>
      <c r="AK925" s="65" t="n">
        <f aca="false">IF(AJ925="",0,MAX(0,MIN(1,(IF(BU925="L1",Parameter!$E$5,Parameter!$E$6+Parameter!$E$7)-(AJ925-AF925))/AF925)))</f>
        <v>0</v>
      </c>
      <c r="AL925" s="57" t="n">
        <f aca="false">IF(LEFT(Cockpit!$I$5,1)="A",G925,IF(BW925=1,BX925,IF(LEFT(Cockpit!$I$5,1)="B",AP925,MAX(AP925,G925))))</f>
        <v>27</v>
      </c>
      <c r="AM925" s="57" t="n">
        <f aca="false">IF(BR925=1,0,ROUNDUP(AL925/BQ925,0))</f>
        <v>1</v>
      </c>
      <c r="AN925" s="59" t="n">
        <f aca="false">IF(CD925&gt;0,CD925*MAX(1,AL925/V925),IF(BR925=1,IF(AL925&lt;=0,0,BS925*MAX(1,IF(G925&gt;0,AL925/G925,1))),IF(Q925&gt;0,AM925/Q925,0))/MAX(0.1,N(Parameter!$M$21)))</f>
        <v>0.00757575757575758</v>
      </c>
      <c r="AO925" s="57" t="n">
        <f aca="false">AL925*F925</f>
        <v>270.54</v>
      </c>
      <c r="AP925" s="57" t="n">
        <f aca="false">ROUNDUP(MAX(I925/IF(BV925&gt;0,BV925,MAX(0.1,N(Cockpit!$I$6))),BY925)/BQ925,0)*BQ925</f>
        <v>27</v>
      </c>
      <c r="AQ925" s="58" t="n">
        <f aca="false">IF(AN925&gt;0,I925/AN925,-1)</f>
        <v>1452</v>
      </c>
      <c r="AR925" s="58" t="n">
        <f aca="false">IF(AND(OR(BU925="L1",BU925="L23"),AN925&gt;0),SUMIFS($AN$7:$AN$1576,$BU$7:$BU$1576,BU925,$AQ$7:$AQ$1576,"&gt;"&amp;AQ925)+SUMIFS($AN$7:$AN$1576,$BU$7:$BU$1576,BU925,$AQ$7:$AQ$1576,AQ925,$BO$7:$BO$1576,"&lt;="&amp;BO925),"")</f>
        <v>19.4189624991911</v>
      </c>
      <c r="AS925" s="65" t="n">
        <f aca="false">IF(AR925="",0,MAX(0,MIN(1,(IF(BU925="L1",Parameter!$E$5,Parameter!$E$6+Parameter!$E$7)-(AR925-AN925))/AN925)))</f>
        <v>1</v>
      </c>
      <c r="AT925" s="57" t="n">
        <f aca="false">IF(LEFT(Cockpit!$O$5,1)="A",G925,IF(BW925=1,BX925,IF(LEFT(Cockpit!$O$5,1)="B",AX925,MAX(AX925,G925))))</f>
        <v>27</v>
      </c>
      <c r="AU925" s="57" t="n">
        <f aca="false">IF(BR925=1,0,ROUNDUP(AT925/BQ925,0))</f>
        <v>1</v>
      </c>
      <c r="AV925" s="59" t="n">
        <f aca="false">IF(CD925&gt;0,CD925*MAX(1,AT925/V925),IF(BR925=1,IF(AT925&lt;=0,0,BS925*MAX(1,IF(G925&gt;0,AT925/G925,1))),IF(Q925&gt;0,AU925/Q925,0))/MAX(0.1,N(Parameter!$M$21)))</f>
        <v>0.00757575757575758</v>
      </c>
      <c r="AW925" s="57" t="n">
        <f aca="false">AT925*F925</f>
        <v>270.54</v>
      </c>
      <c r="AX925" s="57" t="n">
        <f aca="false">ROUNDUP(MAX(I925/IF(BV925&gt;0,BV925,MAX(0.1,N(Cockpit!$O$6))),BY925)/BQ925,0)*BQ925</f>
        <v>27</v>
      </c>
      <c r="AY925" s="58" t="n">
        <f aca="false">IF(AV925&gt;0,I925/AV925,-1)</f>
        <v>1452</v>
      </c>
      <c r="AZ925" s="58" t="n">
        <f aca="false">IF(AND(OR(BU925="L1",BU925="L23"),AV925&gt;0),SUMIFS($AV$7:$AV$1576,$BU$7:$BU$1576,BU925,$AY$7:$AY$1576,"&gt;"&amp;AY925)+SUMIFS($AV$7:$AV$1576,$BU$7:$BU$1576,BU925,$AY$7:$AY$1576,AY925,$BO$7:$BO$1576,"&lt;="&amp;BO925),"")</f>
        <v>18.3962352264638</v>
      </c>
      <c r="BA925" s="65" t="n">
        <f aca="false">IF(AZ925="",0,MAX(0,MIN(1,(IF(BU925="L1",Parameter!$E$5,Parameter!$E$6+Parameter!$E$7)-(AZ925-AV925))/AV925)))</f>
        <v>1</v>
      </c>
      <c r="BB925" s="55" t="str">
        <f aca="false">IF(AF925&lt;=0,"",IF(BU925="Aussen","Aussenlager",IF(BU925="-","Nicht im Lift",IF(AK925&gt;=1,"Lift",IF(AK925&lt;=0,"Aussenlager","teilweise")))))</f>
        <v/>
      </c>
      <c r="BC925" s="55" t="str">
        <f aca="false">IF(AN925&lt;=0,"",IF(BU925="Aussen","Aussenlager",IF(BU925="-","Nicht im Lift",IF(AS925&gt;=1,"Lift",IF(AS925&lt;=0,"Aussenlager","teilweise")))))</f>
        <v>Lift</v>
      </c>
      <c r="BD925" s="55" t="str">
        <f aca="false">IF(AV925&lt;=0,"",IF(BU925="Aussen","Aussenlager",IF(BU925="-","Nicht im Lift",IF(BA925&gt;=1,"Lift",IF(BA925&lt;=0,"Aussenlager","teilweise")))))</f>
        <v>Lift</v>
      </c>
      <c r="BE925" s="55" t="str">
        <f aca="false">IF(A925="","",IF(BN925=1,"Neu; ","")&amp;IF(AND(BN925=0,BI925&lt;0),"negativer Bestand (Export "&amp;BI925&amp;"); ","")&amp;IF(I925&lt;=0,"Kein Verbrauch; ","")&amp;IF(CD925&gt;0,"Lift "&amp;U925&amp;" lt. Liftbericht (Fach "&amp;V925&amp;" Stk); ",IF(BR925=1,"Lose – Fläche geschätzt; ",""))&amp;IF(G925&gt;AP925,"Überbestand "&amp;ROUND(G925-AP925,0)&amp;" Stk / CHF "&amp;ROUND((G925-AP925)*F925,0)&amp;"; ","")&amp;IF(AND(BW925=1,BX925&lt;BY925),"MAX &lt; MB+LG; ","")&amp;IF(AND(CC925&gt;0,CB925*10&gt;CC925),"zu hoch für Tablar; ","")&amp;IF(AND(BN925=0,OR(BW925=1,Y925&lt;&gt;"",S925&lt;&gt;"",T925&lt;&gt;"",Z925&lt;&gt;"")),"manuell übersteuert; ","")&amp;IF(AND(BR925=0,Q925=0),"Gebinde unbekannt / Stellmass fehlt; ","")&amp;IF(AND(BR925=0,N(T925)&lt;=0,N(P925)&lt;=0),"Menge pro Gebinde fehlt (Ist = 1 Gebinde); ","")&amp;BM925)</f>
        <v>negativer Bestand (Export -5); </v>
      </c>
      <c r="BF925" s="55"/>
      <c r="BG925" s="55"/>
      <c r="BH925" s="62"/>
      <c r="BI925" s="57" t="n">
        <v>-5</v>
      </c>
      <c r="BJ925" s="57" t="n">
        <v>8</v>
      </c>
      <c r="BK925" s="56" t="n">
        <v>-46.74</v>
      </c>
      <c r="BL925" s="57" t="n">
        <v>11</v>
      </c>
      <c r="BM925" s="55"/>
      <c r="BN925" s="60" t="n">
        <v>0</v>
      </c>
      <c r="BO925" s="60" t="n">
        <v>925</v>
      </c>
      <c r="BP925" s="55" t="str">
        <f aca="false">IF(S925&lt;&gt;"",UPPER(TRIM(S925)),IF(O925="","LOSE",O925))</f>
        <v>S32</v>
      </c>
      <c r="BQ925" s="57" t="n">
        <f aca="false">IF(BP925="LOSE",1,IF(N(T925)&gt;0,T925,IF(N(P925)&gt;0,P925,MAX(1,G925))))</f>
        <v>27</v>
      </c>
      <c r="BR925" s="60" t="n">
        <f aca="false">IF(BP925="LOSE",1,0)</f>
        <v>0</v>
      </c>
      <c r="BS925" s="59" t="n">
        <f aca="false">IF(BR925=0,0,IF(N(R925)&gt;0,R925,IFERROR(VLOOKUP(D925,Parameter!$A$35:$C$64,3,0)+0,0)))</f>
        <v>0</v>
      </c>
      <c r="BT925" s="55" t="n">
        <f aca="false">IF(Y925&lt;&gt;"",Y925,X925)</f>
        <v>3</v>
      </c>
      <c r="BU925" s="55" t="str">
        <f aca="false">IF(BT925=1,"L1",IF(OR(BT925=2,BT925=3),"L23",IF(BT925="Aussen","Aussen","-")))</f>
        <v>L23</v>
      </c>
      <c r="BV925" s="66" t="n">
        <f aca="false">IF(N(Z925)&gt;0,Z925,0)</f>
        <v>0</v>
      </c>
      <c r="BW925" s="60" t="n">
        <f aca="false">IF(ISNUMBER(AC925),1,0)</f>
        <v>0</v>
      </c>
      <c r="BX925" s="57" t="n">
        <f aca="false">N(AC925)</f>
        <v>0</v>
      </c>
      <c r="BY925" s="57" t="n">
        <f aca="false">N(L925)+N(M925)</f>
        <v>10</v>
      </c>
      <c r="BZ925" s="57" t="n">
        <f aca="false">ROUNDUP(G925/BQ925,0)</f>
        <v>0</v>
      </c>
      <c r="CA925" s="57" t="n">
        <f aca="false">ROUNDUP(BX925/BQ925,0)</f>
        <v>0</v>
      </c>
      <c r="CB925" s="60" t="n">
        <f aca="false">IF(BR925=1,0,IFERROR(VLOOKUP(BP925,'Gebinde-Kategorie'!$A$5:$M$45,5,0)+0,0))</f>
        <v>8</v>
      </c>
      <c r="CC925" s="60" t="n">
        <f aca="false">IFERROR(IF(OR(BT925=1,BT925=2,BT925=3),N(INDEX(Parameter!$I$5:$I$7,BT925)),0),0)</f>
        <v>0</v>
      </c>
      <c r="CD925" s="59" t="n">
        <f aca="false">IF(AND(Parameter!$B$21="Ja",ISNUMBER(U925),N(V925)&gt;0),IFERROR(N(INDEX(Parameter!$L$5:$L$7,U925))*INDEX(Parameter!$E$5:$E$7,U925)*V925/SUMIFS($V$7:$V$1576,$U$7:$U$1576,U925),0),0)</f>
        <v>0</v>
      </c>
    </row>
    <row r="926" customFormat="false" ht="15" hidden="false" customHeight="false" outlineLevel="0" collapsed="false">
      <c r="A926" s="55" t="s">
        <v>1715</v>
      </c>
      <c r="B926" s="55" t="s">
        <v>1716</v>
      </c>
      <c r="C926" s="55" t="s">
        <v>160</v>
      </c>
      <c r="D926" s="55" t="s">
        <v>178</v>
      </c>
      <c r="E926" s="55" t="s">
        <v>210</v>
      </c>
      <c r="F926" s="56" t="n">
        <v>9.45</v>
      </c>
      <c r="G926" s="57" t="n">
        <f aca="false">MAX(0,IF(AND(Parameter!$B$21="Ja",ISNUMBER(W926)),W926,IF(Parameter!$B$20="Jahresanfang 2025 + Export",BJ926+BI926,BI926)))</f>
        <v>0</v>
      </c>
      <c r="H926" s="57" t="n">
        <f aca="false">G926*F926</f>
        <v>0</v>
      </c>
      <c r="I926" s="57" t="n">
        <f aca="false">BL926*Parameter!$B$18</f>
        <v>5</v>
      </c>
      <c r="J926" s="58" t="n">
        <v>4.5</v>
      </c>
      <c r="K926" s="59" t="n">
        <v>1.11111111111111</v>
      </c>
      <c r="L926" s="57" t="n">
        <v>0</v>
      </c>
      <c r="M926" s="57" t="n">
        <v>5</v>
      </c>
      <c r="N926" s="60" t="n">
        <v>35</v>
      </c>
      <c r="O926" s="55" t="s">
        <v>391</v>
      </c>
      <c r="P926" s="57" t="n">
        <v>3</v>
      </c>
      <c r="Q926" s="60" t="n">
        <f aca="false">IF(BR926=1,0,IFERROR(VLOOKUP(BP926,'Gebinde-Kategorie'!$A$5:$M$45,13,0)+0,0))</f>
        <v>414</v>
      </c>
      <c r="R926" s="61"/>
      <c r="S926" s="62"/>
      <c r="T926" s="62"/>
      <c r="U926" s="55"/>
      <c r="V926" s="57"/>
      <c r="W926" s="57"/>
      <c r="X926" s="55" t="n">
        <f aca="false">IF(A926="","",IF(AND(Parameter!$B$21="Ja",ISNUMBER(U926)),U926,IF(IFERROR(VLOOKUP(D926,Parameter!$A$35:$C$64,2,0),"Nein")="2+3",IF(ISNUMBER(SEARCH("grosser Artikel",BM926)),2,IFERROR(VLOOKUP(BP926,Parameter!$F$35:$G$64,2,0),2)),IF(OR(IFERROR(VLOOKUP(D926,Parameter!$A$35:$C$64,2,0),"Nein")="Nein",IFERROR(VLOOKUP(D926,Parameter!$A$35:$C$64,2,0),"Nein")=""),"-",VLOOKUP(D926,Parameter!$A$35:$C$64,2,0)))))</f>
        <v>3</v>
      </c>
      <c r="Y926" s="62"/>
      <c r="Z926" s="63"/>
      <c r="AA926" s="57" t="n">
        <f aca="false">AP926</f>
        <v>6</v>
      </c>
      <c r="AB926" s="57" t="n">
        <f aca="false">MAX(AP926,G926)</f>
        <v>6</v>
      </c>
      <c r="AC926" s="64"/>
      <c r="AD926" s="57" t="n">
        <f aca="false">IF(LEFT(Cockpit!$C$5,1)="A",G926,IF(BW926=1,BX926,IF(LEFT(Cockpit!$C$5,1)="B",AH926,MAX(AH926,G926))))</f>
        <v>0</v>
      </c>
      <c r="AE926" s="57" t="n">
        <f aca="false">IF(BR926=1,0,ROUNDUP(AD926/BQ926,0))</f>
        <v>0</v>
      </c>
      <c r="AF926" s="59" t="n">
        <f aca="false">IF(CD926&gt;0,CD926*MAX(1,AD926/V926),IF(BR926=1,IF(AD926&lt;=0,0,BS926*MAX(1,IF(G926&gt;0,AD926/G926,1))),IF(Q926&gt;0,AE926/Q926,0))/MAX(0.1,N(Parameter!$M$21)))</f>
        <v>0</v>
      </c>
      <c r="AG926" s="57" t="n">
        <f aca="false">AD926*F926</f>
        <v>0</v>
      </c>
      <c r="AH926" s="57" t="n">
        <f aca="false">ROUNDUP(MAX(I926/IF(BV926&gt;0,BV926,MAX(0.1,N(Cockpit!$C$6))),BY926)/BQ926,0)*BQ926</f>
        <v>6</v>
      </c>
      <c r="AI926" s="58" t="n">
        <f aca="false">IF(AF926&gt;0,I926/AF926,-1)</f>
        <v>-1</v>
      </c>
      <c r="AJ926" s="58" t="str">
        <f aca="false">IF(AND(OR(BU926="L1",BU926="L23"),AF926&gt;0),SUMIFS($AF$7:$AF$1576,$BU$7:$BU$1576,BU926,$AI$7:$AI$1576,"&gt;"&amp;AI926)+SUMIFS($AF$7:$AF$1576,$BU$7:$BU$1576,BU926,$AI$7:$AI$1576,AI926,$BO$7:$BO$1576,"&lt;="&amp;BO926),"")</f>
        <v/>
      </c>
      <c r="AK926" s="65" t="n">
        <f aca="false">IF(AJ926="",0,MAX(0,MIN(1,(IF(BU926="L1",Parameter!$E$5,Parameter!$E$6+Parameter!$E$7)-(AJ926-AF926))/AF926)))</f>
        <v>0</v>
      </c>
      <c r="AL926" s="57" t="n">
        <f aca="false">IF(LEFT(Cockpit!$I$5,1)="A",G926,IF(BW926=1,BX926,IF(LEFT(Cockpit!$I$5,1)="B",AP926,MAX(AP926,G926))))</f>
        <v>6</v>
      </c>
      <c r="AM926" s="57" t="n">
        <f aca="false">IF(BR926=1,0,ROUNDUP(AL926/BQ926,0))</f>
        <v>2</v>
      </c>
      <c r="AN926" s="59" t="n">
        <f aca="false">IF(CD926&gt;0,CD926*MAX(1,AL926/V926),IF(BR926=1,IF(AL926&lt;=0,0,BS926*MAX(1,IF(G926&gt;0,AL926/G926,1))),IF(Q926&gt;0,AM926/Q926,0))/MAX(0.1,N(Parameter!$M$21)))</f>
        <v>0.00483091787439614</v>
      </c>
      <c r="AO926" s="57" t="n">
        <f aca="false">AL926*F926</f>
        <v>56.7</v>
      </c>
      <c r="AP926" s="57" t="n">
        <f aca="false">ROUNDUP(MAX(I926/IF(BV926&gt;0,BV926,MAX(0.1,N(Cockpit!$I$6))),BY926)/BQ926,0)*BQ926</f>
        <v>6</v>
      </c>
      <c r="AQ926" s="58" t="n">
        <f aca="false">IF(AN926&gt;0,I926/AN926,-1)</f>
        <v>1035</v>
      </c>
      <c r="AR926" s="58" t="n">
        <f aca="false">IF(AND(OR(BU926="L1",BU926="L23"),AN926&gt;0),SUMIFS($AN$7:$AN$1576,$BU$7:$BU$1576,BU926,$AQ$7:$AQ$1576,"&gt;"&amp;AQ926)+SUMIFS($AN$7:$AN$1576,$BU$7:$BU$1576,BU926,$AQ$7:$AQ$1576,AQ926,$BO$7:$BO$1576,"&lt;="&amp;BO926),"")</f>
        <v>22.53803280087</v>
      </c>
      <c r="AS926" s="65" t="n">
        <f aca="false">IF(AR926="",0,MAX(0,MIN(1,(IF(BU926="L1",Parameter!$E$5,Parameter!$E$6+Parameter!$E$7)-(AR926-AN926))/AN926)))</f>
        <v>1</v>
      </c>
      <c r="AT926" s="57" t="n">
        <f aca="false">IF(LEFT(Cockpit!$O$5,1)="A",G926,IF(BW926=1,BX926,IF(LEFT(Cockpit!$O$5,1)="B",AX926,MAX(AX926,G926))))</f>
        <v>6</v>
      </c>
      <c r="AU926" s="57" t="n">
        <f aca="false">IF(BR926=1,0,ROUNDUP(AT926/BQ926,0))</f>
        <v>2</v>
      </c>
      <c r="AV926" s="59" t="n">
        <f aca="false">IF(CD926&gt;0,CD926*MAX(1,AT926/V926),IF(BR926=1,IF(AT926&lt;=0,0,BS926*MAX(1,IF(G926&gt;0,AT926/G926,1))),IF(Q926&gt;0,AU926/Q926,0))/MAX(0.1,N(Parameter!$M$21)))</f>
        <v>0.00483091787439614</v>
      </c>
      <c r="AW926" s="57" t="n">
        <f aca="false">AT926*F926</f>
        <v>56.7</v>
      </c>
      <c r="AX926" s="57" t="n">
        <f aca="false">ROUNDUP(MAX(I926/IF(BV926&gt;0,BV926,MAX(0.1,N(Cockpit!$O$6))),BY926)/BQ926,0)*BQ926</f>
        <v>6</v>
      </c>
      <c r="AY926" s="58" t="n">
        <f aca="false">IF(AV926&gt;0,I926/AV926,-1)</f>
        <v>1035</v>
      </c>
      <c r="AZ926" s="58" t="n">
        <f aca="false">IF(AND(OR(BU926="L1",BU926="L23"),AV926&gt;0),SUMIFS($AV$7:$AV$1576,$BU$7:$BU$1576,BU926,$AY$7:$AY$1576,"&gt;"&amp;AY926)+SUMIFS($AV$7:$AV$1576,$BU$7:$BU$1576,BU926,$AY$7:$AY$1576,AY926,$BO$7:$BO$1576,"&lt;="&amp;BO926),"")</f>
        <v>21.8486388614761</v>
      </c>
      <c r="BA926" s="65" t="n">
        <f aca="false">IF(AZ926="",0,MAX(0,MIN(1,(IF(BU926="L1",Parameter!$E$5,Parameter!$E$6+Parameter!$E$7)-(AZ926-AV926))/AV926)))</f>
        <v>1</v>
      </c>
      <c r="BB926" s="55" t="str">
        <f aca="false">IF(AF926&lt;=0,"",IF(BU926="Aussen","Aussenlager",IF(BU926="-","Nicht im Lift",IF(AK926&gt;=1,"Lift",IF(AK926&lt;=0,"Aussenlager","teilweise")))))</f>
        <v/>
      </c>
      <c r="BC926" s="55" t="str">
        <f aca="false">IF(AN926&lt;=0,"",IF(BU926="Aussen","Aussenlager",IF(BU926="-","Nicht im Lift",IF(AS926&gt;=1,"Lift",IF(AS926&lt;=0,"Aussenlager","teilweise")))))</f>
        <v>Lift</v>
      </c>
      <c r="BD926" s="55" t="str">
        <f aca="false">IF(AV926&lt;=0,"",IF(BU926="Aussen","Aussenlager",IF(BU926="-","Nicht im Lift",IF(BA926&gt;=1,"Lift",IF(BA926&lt;=0,"Aussenlager","teilweise")))))</f>
        <v>Lift</v>
      </c>
      <c r="BE926" s="55" t="str">
        <f aca="false">IF(A926="","",IF(BN926=1,"Neu; ","")&amp;IF(AND(BN926=0,BI926&lt;0),"negativer Bestand (Export "&amp;BI926&amp;"); ","")&amp;IF(I926&lt;=0,"Kein Verbrauch; ","")&amp;IF(CD926&gt;0,"Lift "&amp;U926&amp;" lt. Liftbericht (Fach "&amp;V926&amp;" Stk); ",IF(BR926=1,"Lose – Fläche geschätzt; ",""))&amp;IF(G926&gt;AP926,"Überbestand "&amp;ROUND(G926-AP926,0)&amp;" Stk / CHF "&amp;ROUND((G926-AP926)*F926,0)&amp;"; ","")&amp;IF(AND(BW926=1,BX926&lt;BY926),"MAX &lt; MB+LG; ","")&amp;IF(AND(CC926&gt;0,CB926*10&gt;CC926),"zu hoch für Tablar; ","")&amp;IF(AND(BN926=0,OR(BW926=1,Y926&lt;&gt;"",S926&lt;&gt;"",T926&lt;&gt;"",Z926&lt;&gt;"")),"manuell übersteuert; ","")&amp;IF(AND(BR926=0,Q926=0),"Gebinde unbekannt / Stellmass fehlt; ","")&amp;IF(AND(BR926=0,N(T926)&lt;=0,N(P926)&lt;=0),"Menge pro Gebinde fehlt (Ist = 1 Gebinde); ","")&amp;BM926)</f>
        <v>negativer Bestand (Export -5); </v>
      </c>
      <c r="BF926" s="55"/>
      <c r="BG926" s="55"/>
      <c r="BH926" s="62"/>
      <c r="BI926" s="57" t="n">
        <v>-5</v>
      </c>
      <c r="BJ926" s="57" t="n">
        <v>6</v>
      </c>
      <c r="BK926" s="56" t="n">
        <v>-47.25</v>
      </c>
      <c r="BL926" s="57" t="n">
        <v>5</v>
      </c>
      <c r="BM926" s="55"/>
      <c r="BN926" s="60" t="n">
        <v>0</v>
      </c>
      <c r="BO926" s="60" t="n">
        <v>926</v>
      </c>
      <c r="BP926" s="55" t="str">
        <f aca="false">IF(S926&lt;&gt;"",UPPER(TRIM(S926)),IF(O926="","LOSE",O926))</f>
        <v>S21</v>
      </c>
      <c r="BQ926" s="57" t="n">
        <f aca="false">IF(BP926="LOSE",1,IF(N(T926)&gt;0,T926,IF(N(P926)&gt;0,P926,MAX(1,G926))))</f>
        <v>3</v>
      </c>
      <c r="BR926" s="60" t="n">
        <f aca="false">IF(BP926="LOSE",1,0)</f>
        <v>0</v>
      </c>
      <c r="BS926" s="59" t="n">
        <f aca="false">IF(BR926=0,0,IF(N(R926)&gt;0,R926,IFERROR(VLOOKUP(D926,Parameter!$A$35:$C$64,3,0)+0,0)))</f>
        <v>0</v>
      </c>
      <c r="BT926" s="55" t="n">
        <f aca="false">IF(Y926&lt;&gt;"",Y926,X926)</f>
        <v>3</v>
      </c>
      <c r="BU926" s="55" t="str">
        <f aca="false">IF(BT926=1,"L1",IF(OR(BT926=2,BT926=3),"L23",IF(BT926="Aussen","Aussen","-")))</f>
        <v>L23</v>
      </c>
      <c r="BV926" s="66" t="n">
        <f aca="false">IF(N(Z926)&gt;0,Z926,0)</f>
        <v>0</v>
      </c>
      <c r="BW926" s="60" t="n">
        <f aca="false">IF(ISNUMBER(AC926),1,0)</f>
        <v>0</v>
      </c>
      <c r="BX926" s="57" t="n">
        <f aca="false">N(AC926)</f>
        <v>0</v>
      </c>
      <c r="BY926" s="57" t="n">
        <f aca="false">N(L926)+N(M926)</f>
        <v>5</v>
      </c>
      <c r="BZ926" s="57" t="n">
        <f aca="false">ROUNDUP(G926/BQ926,0)</f>
        <v>0</v>
      </c>
      <c r="CA926" s="57" t="n">
        <f aca="false">ROUNDUP(BX926/BQ926,0)</f>
        <v>0</v>
      </c>
      <c r="CB926" s="60" t="n">
        <f aca="false">IF(BR926=1,0,IFERROR(VLOOKUP(BP926,'Gebinde-Kategorie'!$A$5:$M$45,5,0)+0,0))</f>
        <v>8</v>
      </c>
      <c r="CC926" s="60" t="n">
        <f aca="false">IFERROR(IF(OR(BT926=1,BT926=2,BT926=3),N(INDEX(Parameter!$I$5:$I$7,BT926)),0),0)</f>
        <v>0</v>
      </c>
      <c r="CD926" s="59" t="n">
        <f aca="false">IF(AND(Parameter!$B$21="Ja",ISNUMBER(U926),N(V926)&gt;0),IFERROR(N(INDEX(Parameter!$L$5:$L$7,U926))*INDEX(Parameter!$E$5:$E$7,U926)*V926/SUMIFS($V$7:$V$1576,$U$7:$U$1576,U926),0),0)</f>
        <v>0</v>
      </c>
    </row>
    <row r="927" customFormat="false" ht="15" hidden="false" customHeight="false" outlineLevel="0" collapsed="false">
      <c r="A927" s="55" t="s">
        <v>1717</v>
      </c>
      <c r="B927" s="55" t="s">
        <v>653</v>
      </c>
      <c r="C927" s="55" t="s">
        <v>160</v>
      </c>
      <c r="D927" s="55" t="s">
        <v>178</v>
      </c>
      <c r="E927" s="55" t="s">
        <v>210</v>
      </c>
      <c r="F927" s="56" t="n">
        <v>8</v>
      </c>
      <c r="G927" s="57" t="n">
        <f aca="false">MAX(0,IF(AND(Parameter!$B$21="Ja",ISNUMBER(W927)),W927,IF(Parameter!$B$20="Jahresanfang 2025 + Export",BJ927+BI927,BI927)))</f>
        <v>0</v>
      </c>
      <c r="H927" s="57" t="n">
        <f aca="false">G927*F927</f>
        <v>0</v>
      </c>
      <c r="I927" s="57" t="n">
        <f aca="false">BL927*Parameter!$B$18</f>
        <v>11</v>
      </c>
      <c r="J927" s="58" t="n">
        <v>11</v>
      </c>
      <c r="K927" s="59" t="n">
        <v>1</v>
      </c>
      <c r="L927" s="57" t="n">
        <v>0</v>
      </c>
      <c r="M927" s="57" t="n">
        <v>10</v>
      </c>
      <c r="N927" s="60" t="n">
        <v>14</v>
      </c>
      <c r="O927" s="55" t="s">
        <v>284</v>
      </c>
      <c r="P927" s="57" t="n">
        <v>20</v>
      </c>
      <c r="Q927" s="60" t="n">
        <f aca="false">IF(BR927=1,0,IFERROR(VLOOKUP(BP927,'Gebinde-Kategorie'!$A$5:$M$45,13,0)+0,0))</f>
        <v>12</v>
      </c>
      <c r="R927" s="61"/>
      <c r="S927" s="62"/>
      <c r="T927" s="62"/>
      <c r="U927" s="55"/>
      <c r="V927" s="57"/>
      <c r="W927" s="57"/>
      <c r="X927" s="55" t="n">
        <f aca="false">IF(A927="","",IF(AND(Parameter!$B$21="Ja",ISNUMBER(U927)),U927,IF(IFERROR(VLOOKUP(D927,Parameter!$A$35:$C$64,2,0),"Nein")="2+3",IF(ISNUMBER(SEARCH("grosser Artikel",BM927)),2,IFERROR(VLOOKUP(BP927,Parameter!$F$35:$G$64,2,0),2)),IF(OR(IFERROR(VLOOKUP(D927,Parameter!$A$35:$C$64,2,0),"Nein")="Nein",IFERROR(VLOOKUP(D927,Parameter!$A$35:$C$64,2,0),"Nein")=""),"-",VLOOKUP(D927,Parameter!$A$35:$C$64,2,0)))))</f>
        <v>2</v>
      </c>
      <c r="Y927" s="62"/>
      <c r="Z927" s="63"/>
      <c r="AA927" s="57" t="n">
        <f aca="false">AP927</f>
        <v>20</v>
      </c>
      <c r="AB927" s="57" t="n">
        <f aca="false">MAX(AP927,G927)</f>
        <v>20</v>
      </c>
      <c r="AC927" s="64"/>
      <c r="AD927" s="57" t="n">
        <f aca="false">IF(LEFT(Cockpit!$C$5,1)="A",G927,IF(BW927=1,BX927,IF(LEFT(Cockpit!$C$5,1)="B",AH927,MAX(AH927,G927))))</f>
        <v>0</v>
      </c>
      <c r="AE927" s="57" t="n">
        <f aca="false">IF(BR927=1,0,ROUNDUP(AD927/BQ927,0))</f>
        <v>0</v>
      </c>
      <c r="AF927" s="59" t="n">
        <f aca="false">IF(CD927&gt;0,CD927*MAX(1,AD927/V927),IF(BR927=1,IF(AD927&lt;=0,0,BS927*MAX(1,IF(G927&gt;0,AD927/G927,1))),IF(Q927&gt;0,AE927/Q927,0))/MAX(0.1,N(Parameter!$M$21)))</f>
        <v>0</v>
      </c>
      <c r="AG927" s="57" t="n">
        <f aca="false">AD927*F927</f>
        <v>0</v>
      </c>
      <c r="AH927" s="57" t="n">
        <f aca="false">ROUNDUP(MAX(I927/IF(BV927&gt;0,BV927,MAX(0.1,N(Cockpit!$C$6))),BY927)/BQ927,0)*BQ927</f>
        <v>20</v>
      </c>
      <c r="AI927" s="58" t="n">
        <f aca="false">IF(AF927&gt;0,I927/AF927,-1)</f>
        <v>-1</v>
      </c>
      <c r="AJ927" s="58" t="str">
        <f aca="false">IF(AND(OR(BU927="L1",BU927="L23"),AF927&gt;0),SUMIFS($AF$7:$AF$1576,$BU$7:$BU$1576,BU927,$AI$7:$AI$1576,"&gt;"&amp;AI927)+SUMIFS($AF$7:$AF$1576,$BU$7:$BU$1576,BU927,$AI$7:$AI$1576,AI927,$BO$7:$BO$1576,"&lt;="&amp;BO927),"")</f>
        <v/>
      </c>
      <c r="AK927" s="65" t="n">
        <f aca="false">IF(AJ927="",0,MAX(0,MIN(1,(IF(BU927="L1",Parameter!$E$5,Parameter!$E$6+Parameter!$E$7)-(AJ927-AF927))/AF927)))</f>
        <v>0</v>
      </c>
      <c r="AL927" s="57" t="n">
        <f aca="false">IF(LEFT(Cockpit!$I$5,1)="A",G927,IF(BW927=1,BX927,IF(LEFT(Cockpit!$I$5,1)="B",AP927,MAX(AP927,G927))))</f>
        <v>20</v>
      </c>
      <c r="AM927" s="57" t="n">
        <f aca="false">IF(BR927=1,0,ROUNDUP(AL927/BQ927,0))</f>
        <v>1</v>
      </c>
      <c r="AN927" s="59" t="n">
        <f aca="false">IF(CD927&gt;0,CD927*MAX(1,AL927/V927),IF(BR927=1,IF(AL927&lt;=0,0,BS927*MAX(1,IF(G927&gt;0,AL927/G927,1))),IF(Q927&gt;0,AM927/Q927,0))/MAX(0.1,N(Parameter!$M$21)))</f>
        <v>0.0833333333333333</v>
      </c>
      <c r="AO927" s="57" t="n">
        <f aca="false">AL927*F927</f>
        <v>160</v>
      </c>
      <c r="AP927" s="57" t="n">
        <f aca="false">ROUNDUP(MAX(I927/IF(BV927&gt;0,BV927,MAX(0.1,N(Cockpit!$I$6))),BY927)/BQ927,0)*BQ927</f>
        <v>20</v>
      </c>
      <c r="AQ927" s="58" t="n">
        <f aca="false">IF(AN927&gt;0,I927/AN927,-1)</f>
        <v>132</v>
      </c>
      <c r="AR927" s="58" t="n">
        <f aca="false">IF(AND(OR(BU927="L1",BU927="L23"),AN927&gt;0),SUMIFS($AN$7:$AN$1576,$BU$7:$BU$1576,BU927,$AQ$7:$AQ$1576,"&gt;"&amp;AQ927)+SUMIFS($AN$7:$AN$1576,$BU$7:$BU$1576,BU927,$AQ$7:$AQ$1576,AQ927,$BO$7:$BO$1576,"&lt;="&amp;BO927),"")</f>
        <v>60.2676783726895</v>
      </c>
      <c r="AS927" s="65" t="n">
        <f aca="false">IF(AR927="",0,MAX(0,MIN(1,(IF(BU927="L1",Parameter!$E$5,Parameter!$E$6+Parameter!$E$7)-(AR927-AN927))/AN927)))</f>
        <v>1</v>
      </c>
      <c r="AT927" s="57" t="n">
        <f aca="false">IF(LEFT(Cockpit!$O$5,1)="A",G927,IF(BW927=1,BX927,IF(LEFT(Cockpit!$O$5,1)="B",AX927,MAX(AX927,G927))))</f>
        <v>20</v>
      </c>
      <c r="AU927" s="57" t="n">
        <f aca="false">IF(BR927=1,0,ROUNDUP(AT927/BQ927,0))</f>
        <v>1</v>
      </c>
      <c r="AV927" s="59" t="n">
        <f aca="false">IF(CD927&gt;0,CD927*MAX(1,AT927/V927),IF(BR927=1,IF(AT927&lt;=0,0,BS927*MAX(1,IF(G927&gt;0,AT927/G927,1))),IF(Q927&gt;0,AU927/Q927,0))/MAX(0.1,N(Parameter!$M$21)))</f>
        <v>0.0833333333333333</v>
      </c>
      <c r="AW927" s="57" t="n">
        <f aca="false">AT927*F927</f>
        <v>160</v>
      </c>
      <c r="AX927" s="57" t="n">
        <f aca="false">ROUNDUP(MAX(I927/IF(BV927&gt;0,BV927,MAX(0.1,N(Cockpit!$O$6))),BY927)/BQ927,0)*BQ927</f>
        <v>20</v>
      </c>
      <c r="AY927" s="58" t="n">
        <f aca="false">IF(AV927&gt;0,I927/AV927,-1)</f>
        <v>132</v>
      </c>
      <c r="AZ927" s="58" t="n">
        <f aca="false">IF(AND(OR(BU927="L1",BU927="L23"),AV927&gt;0),SUMIFS($AV$7:$AV$1576,$BU$7:$BU$1576,BU927,$AY$7:$AY$1576,"&gt;"&amp;AY927)+SUMIFS($AV$7:$AV$1576,$BU$7:$BU$1576,BU927,$AY$7:$AY$1576,AY927,$BO$7:$BO$1576,"&lt;="&amp;BO927),"")</f>
        <v>54.9301454889066</v>
      </c>
      <c r="BA927" s="65" t="n">
        <f aca="false">IF(AZ927="",0,MAX(0,MIN(1,(IF(BU927="L1",Parameter!$E$5,Parameter!$E$6+Parameter!$E$7)-(AZ927-AV927))/AV927)))</f>
        <v>1</v>
      </c>
      <c r="BB927" s="55" t="str">
        <f aca="false">IF(AF927&lt;=0,"",IF(BU927="Aussen","Aussenlager",IF(BU927="-","Nicht im Lift",IF(AK927&gt;=1,"Lift",IF(AK927&lt;=0,"Aussenlager","teilweise")))))</f>
        <v/>
      </c>
      <c r="BC927" s="55" t="str">
        <f aca="false">IF(AN927&lt;=0,"",IF(BU927="Aussen","Aussenlager",IF(BU927="-","Nicht im Lift",IF(AS927&gt;=1,"Lift",IF(AS927&lt;=0,"Aussenlager","teilweise")))))</f>
        <v>Lift</v>
      </c>
      <c r="BD927" s="55" t="str">
        <f aca="false">IF(AV927&lt;=0,"",IF(BU927="Aussen","Aussenlager",IF(BU927="-","Nicht im Lift",IF(BA927&gt;=1,"Lift",IF(BA927&lt;=0,"Aussenlager","teilweise")))))</f>
        <v>Lift</v>
      </c>
      <c r="BE927" s="55" t="str">
        <f aca="false">IF(A927="","",IF(BN927=1,"Neu; ","")&amp;IF(AND(BN927=0,BI927&lt;0),"negativer Bestand (Export "&amp;BI927&amp;"); ","")&amp;IF(I927&lt;=0,"Kein Verbrauch; ","")&amp;IF(CD927&gt;0,"Lift "&amp;U927&amp;" lt. Liftbericht (Fach "&amp;V927&amp;" Stk); ",IF(BR927=1,"Lose – Fläche geschätzt; ",""))&amp;IF(G927&gt;AP927,"Überbestand "&amp;ROUND(G927-AP927,0)&amp;" Stk / CHF "&amp;ROUND((G927-AP927)*F927,0)&amp;"; ","")&amp;IF(AND(BW927=1,BX927&lt;BY927),"MAX &lt; MB+LG; ","")&amp;IF(AND(CC927&gt;0,CB927*10&gt;CC927),"zu hoch für Tablar; ","")&amp;IF(AND(BN927=0,OR(BW927=1,Y927&lt;&gt;"",S927&lt;&gt;"",T927&lt;&gt;"",Z927&lt;&gt;"")),"manuell übersteuert; ","")&amp;IF(AND(BR927=0,Q927=0),"Gebinde unbekannt / Stellmass fehlt; ","")&amp;IF(AND(BR927=0,N(T927)&lt;=0,N(P927)&lt;=0),"Menge pro Gebinde fehlt (Ist = 1 Gebinde); ","")&amp;BM927)</f>
        <v>negativer Bestand (Export -6); </v>
      </c>
      <c r="BF927" s="55"/>
      <c r="BG927" s="55"/>
      <c r="BH927" s="62"/>
      <c r="BI927" s="57" t="n">
        <v>-6</v>
      </c>
      <c r="BJ927" s="57" t="n">
        <v>12</v>
      </c>
      <c r="BK927" s="56" t="n">
        <v>-48</v>
      </c>
      <c r="BL927" s="57" t="n">
        <v>11</v>
      </c>
      <c r="BM927" s="55"/>
      <c r="BN927" s="60" t="n">
        <v>0</v>
      </c>
      <c r="BO927" s="60" t="n">
        <v>927</v>
      </c>
      <c r="BP927" s="55" t="str">
        <f aca="false">IF(S927&lt;&gt;"",UPPER(TRIM(S927)),IF(O927="","LOSE",O927))</f>
        <v>S62</v>
      </c>
      <c r="BQ927" s="57" t="n">
        <f aca="false">IF(BP927="LOSE",1,IF(N(T927)&gt;0,T927,IF(N(P927)&gt;0,P927,MAX(1,G927))))</f>
        <v>20</v>
      </c>
      <c r="BR927" s="60" t="n">
        <f aca="false">IF(BP927="LOSE",1,0)</f>
        <v>0</v>
      </c>
      <c r="BS927" s="59" t="n">
        <f aca="false">IF(BR927=0,0,IF(N(R927)&gt;0,R927,IFERROR(VLOOKUP(D927,Parameter!$A$35:$C$64,3,0)+0,0)))</f>
        <v>0</v>
      </c>
      <c r="BT927" s="55" t="n">
        <f aca="false">IF(Y927&lt;&gt;"",Y927,X927)</f>
        <v>2</v>
      </c>
      <c r="BU927" s="55" t="str">
        <f aca="false">IF(BT927=1,"L1",IF(OR(BT927=2,BT927=3),"L23",IF(BT927="Aussen","Aussen","-")))</f>
        <v>L23</v>
      </c>
      <c r="BV927" s="66" t="n">
        <f aca="false">IF(N(Z927)&gt;0,Z927,0)</f>
        <v>0</v>
      </c>
      <c r="BW927" s="60" t="n">
        <f aca="false">IF(ISNUMBER(AC927),1,0)</f>
        <v>0</v>
      </c>
      <c r="BX927" s="57" t="n">
        <f aca="false">N(AC927)</f>
        <v>0</v>
      </c>
      <c r="BY927" s="57" t="n">
        <f aca="false">N(L927)+N(M927)</f>
        <v>10</v>
      </c>
      <c r="BZ927" s="57" t="n">
        <f aca="false">ROUNDUP(G927/BQ927,0)</f>
        <v>0</v>
      </c>
      <c r="CA927" s="57" t="n">
        <f aca="false">ROUNDUP(BX927/BQ927,0)</f>
        <v>0</v>
      </c>
      <c r="CB927" s="60" t="n">
        <f aca="false">IF(BR927=1,0,IFERROR(VLOOKUP(BP927,'Gebinde-Kategorie'!$A$5:$M$45,5,0)+0,0))</f>
        <v>21</v>
      </c>
      <c r="CC927" s="60" t="n">
        <f aca="false">IFERROR(IF(OR(BT927=1,BT927=2,BT927=3),N(INDEX(Parameter!$I$5:$I$7,BT927)),0),0)</f>
        <v>0</v>
      </c>
      <c r="CD927" s="59" t="n">
        <f aca="false">IF(AND(Parameter!$B$21="Ja",ISNUMBER(U927),N(V927)&gt;0),IFERROR(N(INDEX(Parameter!$L$5:$L$7,U927))*INDEX(Parameter!$E$5:$E$7,U927)*V927/SUMIFS($V$7:$V$1576,$U$7:$U$1576,U927),0),0)</f>
        <v>0</v>
      </c>
    </row>
    <row r="928" customFormat="false" ht="15" hidden="false" customHeight="false" outlineLevel="0" collapsed="false">
      <c r="A928" s="55" t="s">
        <v>1718</v>
      </c>
      <c r="B928" s="55" t="s">
        <v>706</v>
      </c>
      <c r="C928" s="55" t="s">
        <v>160</v>
      </c>
      <c r="D928" s="55" t="s">
        <v>168</v>
      </c>
      <c r="E928" s="55" t="s">
        <v>210</v>
      </c>
      <c r="F928" s="56" t="n">
        <v>48.24</v>
      </c>
      <c r="G928" s="57" t="n">
        <f aca="false">MAX(0,IF(AND(Parameter!$B$21="Ja",ISNUMBER(W928)),W928,IF(Parameter!$B$20="Jahresanfang 2025 + Export",BJ928+BI928,BI928)))</f>
        <v>0</v>
      </c>
      <c r="H928" s="57" t="n">
        <f aca="false">G928*F928</f>
        <v>0</v>
      </c>
      <c r="I928" s="57" t="n">
        <f aca="false">BL928*Parameter!$B$18</f>
        <v>0</v>
      </c>
      <c r="J928" s="58" t="n">
        <v>3</v>
      </c>
      <c r="K928" s="59" t="n">
        <v>0</v>
      </c>
      <c r="L928" s="57" t="n">
        <v>0</v>
      </c>
      <c r="M928" s="57" t="n">
        <v>1</v>
      </c>
      <c r="N928" s="60" t="n">
        <v>28</v>
      </c>
      <c r="O928" s="55" t="s">
        <v>293</v>
      </c>
      <c r="P928" s="57" t="n">
        <v>20</v>
      </c>
      <c r="Q928" s="60" t="n">
        <f aca="false">IF(BR928=1,0,IFERROR(VLOOKUP(BP928,'Gebinde-Kategorie'!$A$5:$M$45,13,0)+0,0))</f>
        <v>26</v>
      </c>
      <c r="R928" s="61"/>
      <c r="S928" s="62"/>
      <c r="T928" s="62"/>
      <c r="U928" s="55"/>
      <c r="V928" s="57"/>
      <c r="W928" s="57"/>
      <c r="X928" s="55" t="n">
        <f aca="false">IF(A928="","",IF(AND(Parameter!$B$21="Ja",ISNUMBER(U928)),U928,IF(IFERROR(VLOOKUP(D928,Parameter!$A$35:$C$64,2,0),"Nein")="2+3",IF(ISNUMBER(SEARCH("grosser Artikel",BM928)),2,IFERROR(VLOOKUP(BP928,Parameter!$F$35:$G$64,2,0),2)),IF(OR(IFERROR(VLOOKUP(D928,Parameter!$A$35:$C$64,2,0),"Nein")="Nein",IFERROR(VLOOKUP(D928,Parameter!$A$35:$C$64,2,0),"Nein")=""),"-",VLOOKUP(D928,Parameter!$A$35:$C$64,2,0)))))</f>
        <v>3</v>
      </c>
      <c r="Y928" s="62"/>
      <c r="Z928" s="63"/>
      <c r="AA928" s="57" t="n">
        <f aca="false">AP928</f>
        <v>20</v>
      </c>
      <c r="AB928" s="57" t="n">
        <f aca="false">MAX(AP928,G928)</f>
        <v>20</v>
      </c>
      <c r="AC928" s="64"/>
      <c r="AD928" s="57" t="n">
        <f aca="false">IF(LEFT(Cockpit!$C$5,1)="A",G928,IF(BW928=1,BX928,IF(LEFT(Cockpit!$C$5,1)="B",AH928,MAX(AH928,G928))))</f>
        <v>0</v>
      </c>
      <c r="AE928" s="57" t="n">
        <f aca="false">IF(BR928=1,0,ROUNDUP(AD928/BQ928,0))</f>
        <v>0</v>
      </c>
      <c r="AF928" s="59" t="n">
        <f aca="false">IF(CD928&gt;0,CD928*MAX(1,AD928/V928),IF(BR928=1,IF(AD928&lt;=0,0,BS928*MAX(1,IF(G928&gt;0,AD928/G928,1))),IF(Q928&gt;0,AE928/Q928,0))/MAX(0.1,N(Parameter!$M$21)))</f>
        <v>0</v>
      </c>
      <c r="AG928" s="57" t="n">
        <f aca="false">AD928*F928</f>
        <v>0</v>
      </c>
      <c r="AH928" s="57" t="n">
        <f aca="false">ROUNDUP(MAX(I928/IF(BV928&gt;0,BV928,MAX(0.1,N(Cockpit!$C$6))),BY928)/BQ928,0)*BQ928</f>
        <v>20</v>
      </c>
      <c r="AI928" s="58" t="n">
        <f aca="false">IF(AF928&gt;0,I928/AF928,-1)</f>
        <v>-1</v>
      </c>
      <c r="AJ928" s="58" t="str">
        <f aca="false">IF(AND(OR(BU928="L1",BU928="L23"),AF928&gt;0),SUMIFS($AF$7:$AF$1576,$BU$7:$BU$1576,BU928,$AI$7:$AI$1576,"&gt;"&amp;AI928)+SUMIFS($AF$7:$AF$1576,$BU$7:$BU$1576,BU928,$AI$7:$AI$1576,AI928,$BO$7:$BO$1576,"&lt;="&amp;BO928),"")</f>
        <v/>
      </c>
      <c r="AK928" s="65" t="n">
        <f aca="false">IF(AJ928="",0,MAX(0,MIN(1,(IF(BU928="L1",Parameter!$E$5,Parameter!$E$6+Parameter!$E$7)-(AJ928-AF928))/AF928)))</f>
        <v>0</v>
      </c>
      <c r="AL928" s="57" t="n">
        <f aca="false">IF(LEFT(Cockpit!$I$5,1)="A",G928,IF(BW928=1,BX928,IF(LEFT(Cockpit!$I$5,1)="B",AP928,MAX(AP928,G928))))</f>
        <v>20</v>
      </c>
      <c r="AM928" s="57" t="n">
        <f aca="false">IF(BR928=1,0,ROUNDUP(AL928/BQ928,0))</f>
        <v>1</v>
      </c>
      <c r="AN928" s="59" t="n">
        <f aca="false">IF(CD928&gt;0,CD928*MAX(1,AL928/V928),IF(BR928=1,IF(AL928&lt;=0,0,BS928*MAX(1,IF(G928&gt;0,AL928/G928,1))),IF(Q928&gt;0,AM928/Q928,0))/MAX(0.1,N(Parameter!$M$21)))</f>
        <v>0.0384615384615385</v>
      </c>
      <c r="AO928" s="57" t="n">
        <f aca="false">AL928*F928</f>
        <v>964.8</v>
      </c>
      <c r="AP928" s="57" t="n">
        <f aca="false">ROUNDUP(MAX(I928/IF(BV928&gt;0,BV928,MAX(0.1,N(Cockpit!$I$6))),BY928)/BQ928,0)*BQ928</f>
        <v>20</v>
      </c>
      <c r="AQ928" s="58" t="n">
        <f aca="false">IF(AN928&gt;0,I928/AN928,-1)</f>
        <v>0</v>
      </c>
      <c r="AR928" s="58" t="n">
        <f aca="false">IF(AND(OR(BU928="L1",BU928="L23"),AN928&gt;0),SUMIFS($AN$7:$AN$1576,$BU$7:$BU$1576,BU928,$AQ$7:$AQ$1576,"&gt;"&amp;AQ928)+SUMIFS($AN$7:$AN$1576,$BU$7:$BU$1576,BU928,$AQ$7:$AQ$1576,AQ928,$BO$7:$BO$1576,"&lt;="&amp;BO928),"")</f>
        <v>131.485475900958</v>
      </c>
      <c r="AS928" s="65" t="n">
        <f aca="false">IF(AR928="",0,MAX(0,MIN(1,(IF(BU928="L1",Parameter!$E$5,Parameter!$E$6+Parameter!$E$7)-(AR928-AN928))/AN928)))</f>
        <v>0</v>
      </c>
      <c r="AT928" s="57" t="n">
        <f aca="false">IF(LEFT(Cockpit!$O$5,1)="A",G928,IF(BW928=1,BX928,IF(LEFT(Cockpit!$O$5,1)="B",AX928,MAX(AX928,G928))))</f>
        <v>20</v>
      </c>
      <c r="AU928" s="57" t="n">
        <f aca="false">IF(BR928=1,0,ROUNDUP(AT928/BQ928,0))</f>
        <v>1</v>
      </c>
      <c r="AV928" s="59" t="n">
        <f aca="false">IF(CD928&gt;0,CD928*MAX(1,AT928/V928),IF(BR928=1,IF(AT928&lt;=0,0,BS928*MAX(1,IF(G928&gt;0,AT928/G928,1))),IF(Q928&gt;0,AU928/Q928,0))/MAX(0.1,N(Parameter!$M$21)))</f>
        <v>0.0384615384615385</v>
      </c>
      <c r="AW928" s="57" t="n">
        <f aca="false">AT928*F928</f>
        <v>964.8</v>
      </c>
      <c r="AX928" s="57" t="n">
        <f aca="false">ROUNDUP(MAX(I928/IF(BV928&gt;0,BV928,MAX(0.1,N(Cockpit!$O$6))),BY928)/BQ928,0)*BQ928</f>
        <v>20</v>
      </c>
      <c r="AY928" s="58" t="n">
        <f aca="false">IF(AV928&gt;0,I928/AV928,-1)</f>
        <v>0</v>
      </c>
      <c r="AZ928" s="58" t="n">
        <f aca="false">IF(AND(OR(BU928="L1",BU928="L23"),AV928&gt;0),SUMIFS($AV$7:$AV$1576,$BU$7:$BU$1576,BU928,$AY$7:$AY$1576,"&gt;"&amp;AY928)+SUMIFS($AV$7:$AV$1576,$BU$7:$BU$1576,BU928,$AY$7:$AY$1576,AY928,$BO$7:$BO$1576,"&lt;="&amp;BO928),"")</f>
        <v>121.545026350509</v>
      </c>
      <c r="BA928" s="65" t="n">
        <f aca="false">IF(AZ928="",0,MAX(0,MIN(1,(IF(BU928="L1",Parameter!$E$5,Parameter!$E$6+Parameter!$E$7)-(AZ928-AV928))/AV928)))</f>
        <v>0</v>
      </c>
      <c r="BB928" s="55" t="str">
        <f aca="false">IF(AF928&lt;=0,"",IF(BU928="Aussen","Aussenlager",IF(BU928="-","Nicht im Lift",IF(AK928&gt;=1,"Lift",IF(AK928&lt;=0,"Aussenlager","teilweise")))))</f>
        <v/>
      </c>
      <c r="BC928" s="55" t="str">
        <f aca="false">IF(AN928&lt;=0,"",IF(BU928="Aussen","Aussenlager",IF(BU928="-","Nicht im Lift",IF(AS928&gt;=1,"Lift",IF(AS928&lt;=0,"Aussenlager","teilweise")))))</f>
        <v>Aussenlager</v>
      </c>
      <c r="BD928" s="55" t="str">
        <f aca="false">IF(AV928&lt;=0,"",IF(BU928="Aussen","Aussenlager",IF(BU928="-","Nicht im Lift",IF(BA928&gt;=1,"Lift",IF(BA928&lt;=0,"Aussenlager","teilweise")))))</f>
        <v>Aussenlager</v>
      </c>
      <c r="BE928" s="55" t="str">
        <f aca="false">IF(A928="","",IF(BN928=1,"Neu; ","")&amp;IF(AND(BN928=0,BI928&lt;0),"negativer Bestand (Export "&amp;BI928&amp;"); ","")&amp;IF(I928&lt;=0,"Kein Verbrauch; ","")&amp;IF(CD928&gt;0,"Lift "&amp;U928&amp;" lt. Liftbericht (Fach "&amp;V928&amp;" Stk); ",IF(BR928=1,"Lose – Fläche geschätzt; ",""))&amp;IF(G928&gt;AP928,"Überbestand "&amp;ROUND(G928-AP928,0)&amp;" Stk / CHF "&amp;ROUND((G928-AP928)*F928,0)&amp;"; ","")&amp;IF(AND(BW928=1,BX928&lt;BY928),"MAX &lt; MB+LG; ","")&amp;IF(AND(CC928&gt;0,CB928*10&gt;CC928),"zu hoch für Tablar; ","")&amp;IF(AND(BN928=0,OR(BW928=1,Y928&lt;&gt;"",S928&lt;&gt;"",T928&lt;&gt;"",Z928&lt;&gt;"")),"manuell übersteuert; ","")&amp;IF(AND(BR928=0,Q928=0),"Gebinde unbekannt / Stellmass fehlt; ","")&amp;IF(AND(BR928=0,N(T928)&lt;=0,N(P928)&lt;=0),"Menge pro Gebinde fehlt (Ist = 1 Gebinde); ","")&amp;BM928)</f>
        <v>negativer Bestand (Export -1); Kein Verbrauch; </v>
      </c>
      <c r="BF928" s="55"/>
      <c r="BG928" s="55"/>
      <c r="BH928" s="62"/>
      <c r="BI928" s="57" t="n">
        <v>-1</v>
      </c>
      <c r="BJ928" s="57" t="n">
        <v>3</v>
      </c>
      <c r="BK928" s="56" t="n">
        <v>-48.24</v>
      </c>
      <c r="BL928" s="57" t="n">
        <v>0</v>
      </c>
      <c r="BM928" s="55"/>
      <c r="BN928" s="60" t="n">
        <v>0</v>
      </c>
      <c r="BO928" s="60" t="n">
        <v>928</v>
      </c>
      <c r="BP928" s="55" t="str">
        <f aca="false">IF(S928&lt;&gt;"",UPPER(TRIM(S928)),IF(O928="","LOSE",O928))</f>
        <v>S51</v>
      </c>
      <c r="BQ928" s="57" t="n">
        <f aca="false">IF(BP928="LOSE",1,IF(N(T928)&gt;0,T928,IF(N(P928)&gt;0,P928,MAX(1,G928))))</f>
        <v>20</v>
      </c>
      <c r="BR928" s="60" t="n">
        <f aca="false">IF(BP928="LOSE",1,0)</f>
        <v>0</v>
      </c>
      <c r="BS928" s="59" t="n">
        <f aca="false">IF(BR928=0,0,IF(N(R928)&gt;0,R928,IFERROR(VLOOKUP(D928,Parameter!$A$35:$C$64,3,0)+0,0)))</f>
        <v>0</v>
      </c>
      <c r="BT928" s="55" t="n">
        <f aca="false">IF(Y928&lt;&gt;"",Y928,X928)</f>
        <v>3</v>
      </c>
      <c r="BU928" s="55" t="str">
        <f aca="false">IF(BT928=1,"L1",IF(OR(BT928=2,BT928=3),"L23",IF(BT928="Aussen","Aussen","-")))</f>
        <v>L23</v>
      </c>
      <c r="BV928" s="66" t="n">
        <f aca="false">IF(N(Z928)&gt;0,Z928,0)</f>
        <v>0</v>
      </c>
      <c r="BW928" s="60" t="n">
        <f aca="false">IF(ISNUMBER(AC928),1,0)</f>
        <v>0</v>
      </c>
      <c r="BX928" s="57" t="n">
        <f aca="false">N(AC928)</f>
        <v>0</v>
      </c>
      <c r="BY928" s="57" t="n">
        <f aca="false">N(L928)+N(M928)</f>
        <v>1</v>
      </c>
      <c r="BZ928" s="57" t="n">
        <f aca="false">ROUNDUP(G928/BQ928,0)</f>
        <v>0</v>
      </c>
      <c r="CA928" s="57" t="n">
        <f aca="false">ROUNDUP(BX928/BQ928,0)</f>
        <v>0</v>
      </c>
      <c r="CB928" s="60" t="n">
        <f aca="false">IF(BR928=1,0,IFERROR(VLOOKUP(BP928,'Gebinde-Kategorie'!$A$5:$M$45,5,0)+0,0))</f>
        <v>11</v>
      </c>
      <c r="CC928" s="60" t="n">
        <f aca="false">IFERROR(IF(OR(BT928=1,BT928=2,BT928=3),N(INDEX(Parameter!$I$5:$I$7,BT928)),0),0)</f>
        <v>0</v>
      </c>
      <c r="CD928" s="59" t="n">
        <f aca="false">IF(AND(Parameter!$B$21="Ja",ISNUMBER(U928),N(V928)&gt;0),IFERROR(N(INDEX(Parameter!$L$5:$L$7,U928))*INDEX(Parameter!$E$5:$E$7,U928)*V928/SUMIFS($V$7:$V$1576,$U$7:$U$1576,U928),0),0)</f>
        <v>0</v>
      </c>
    </row>
    <row r="929" customFormat="false" ht="15" hidden="false" customHeight="false" outlineLevel="0" collapsed="false">
      <c r="A929" s="55" t="s">
        <v>1719</v>
      </c>
      <c r="B929" s="55" t="s">
        <v>1720</v>
      </c>
      <c r="C929" s="55" t="s">
        <v>160</v>
      </c>
      <c r="D929" s="55" t="s">
        <v>178</v>
      </c>
      <c r="E929" s="55" t="s">
        <v>210</v>
      </c>
      <c r="F929" s="56" t="n">
        <v>14.45</v>
      </c>
      <c r="G929" s="57" t="n">
        <f aca="false">MAX(0,IF(AND(Parameter!$B$21="Ja",ISNUMBER(W929)),W929,IF(Parameter!$B$20="Jahresanfang 2025 + Export",BJ929+BI929,BI929)))</f>
        <v>0</v>
      </c>
      <c r="H929" s="57" t="n">
        <f aca="false">G929*F929</f>
        <v>0</v>
      </c>
      <c r="I929" s="57" t="n">
        <f aca="false">BL929*Parameter!$B$18</f>
        <v>7</v>
      </c>
      <c r="J929" s="58" t="n">
        <v>10</v>
      </c>
      <c r="K929" s="59" t="n">
        <v>0.7</v>
      </c>
      <c r="L929" s="57" t="n">
        <v>0</v>
      </c>
      <c r="M929" s="57" t="n">
        <v>5</v>
      </c>
      <c r="N929" s="60" t="n">
        <v>22</v>
      </c>
      <c r="O929" s="55" t="s">
        <v>319</v>
      </c>
      <c r="P929" s="57" t="n">
        <v>22</v>
      </c>
      <c r="Q929" s="60" t="n">
        <f aca="false">IF(BR929=1,0,IFERROR(VLOOKUP(BP929,'Gebinde-Kategorie'!$A$5:$M$45,13,0)+0,0))</f>
        <v>52</v>
      </c>
      <c r="R929" s="61"/>
      <c r="S929" s="62"/>
      <c r="T929" s="62"/>
      <c r="U929" s="55"/>
      <c r="V929" s="57"/>
      <c r="W929" s="57"/>
      <c r="X929" s="55" t="n">
        <f aca="false">IF(A929="","",IF(AND(Parameter!$B$21="Ja",ISNUMBER(U929)),U929,IF(IFERROR(VLOOKUP(D929,Parameter!$A$35:$C$64,2,0),"Nein")="2+3",IF(ISNUMBER(SEARCH("grosser Artikel",BM929)),2,IFERROR(VLOOKUP(BP929,Parameter!$F$35:$G$64,2,0),2)),IF(OR(IFERROR(VLOOKUP(D929,Parameter!$A$35:$C$64,2,0),"Nein")="Nein",IFERROR(VLOOKUP(D929,Parameter!$A$35:$C$64,2,0),"Nein")=""),"-",VLOOKUP(D929,Parameter!$A$35:$C$64,2,0)))))</f>
        <v>3</v>
      </c>
      <c r="Y929" s="62"/>
      <c r="Z929" s="63"/>
      <c r="AA929" s="57" t="n">
        <f aca="false">AP929</f>
        <v>22</v>
      </c>
      <c r="AB929" s="57" t="n">
        <f aca="false">MAX(AP929,G929)</f>
        <v>22</v>
      </c>
      <c r="AC929" s="64"/>
      <c r="AD929" s="57" t="n">
        <f aca="false">IF(LEFT(Cockpit!$C$5,1)="A",G929,IF(BW929=1,BX929,IF(LEFT(Cockpit!$C$5,1)="B",AH929,MAX(AH929,G929))))</f>
        <v>0</v>
      </c>
      <c r="AE929" s="57" t="n">
        <f aca="false">IF(BR929=1,0,ROUNDUP(AD929/BQ929,0))</f>
        <v>0</v>
      </c>
      <c r="AF929" s="59" t="n">
        <f aca="false">IF(CD929&gt;0,CD929*MAX(1,AD929/V929),IF(BR929=1,IF(AD929&lt;=0,0,BS929*MAX(1,IF(G929&gt;0,AD929/G929,1))),IF(Q929&gt;0,AE929/Q929,0))/MAX(0.1,N(Parameter!$M$21)))</f>
        <v>0</v>
      </c>
      <c r="AG929" s="57" t="n">
        <f aca="false">AD929*F929</f>
        <v>0</v>
      </c>
      <c r="AH929" s="57" t="n">
        <f aca="false">ROUNDUP(MAX(I929/IF(BV929&gt;0,BV929,MAX(0.1,N(Cockpit!$C$6))),BY929)/BQ929,0)*BQ929</f>
        <v>22</v>
      </c>
      <c r="AI929" s="58" t="n">
        <f aca="false">IF(AF929&gt;0,I929/AF929,-1)</f>
        <v>-1</v>
      </c>
      <c r="AJ929" s="58" t="str">
        <f aca="false">IF(AND(OR(BU929="L1",BU929="L23"),AF929&gt;0),SUMIFS($AF$7:$AF$1576,$BU$7:$BU$1576,BU929,$AI$7:$AI$1576,"&gt;"&amp;AI929)+SUMIFS($AF$7:$AF$1576,$BU$7:$BU$1576,BU929,$AI$7:$AI$1576,AI929,$BO$7:$BO$1576,"&lt;="&amp;BO929),"")</f>
        <v/>
      </c>
      <c r="AK929" s="65" t="n">
        <f aca="false">IF(AJ929="",0,MAX(0,MIN(1,(IF(BU929="L1",Parameter!$E$5,Parameter!$E$6+Parameter!$E$7)-(AJ929-AF929))/AF929)))</f>
        <v>0</v>
      </c>
      <c r="AL929" s="57" t="n">
        <f aca="false">IF(LEFT(Cockpit!$I$5,1)="A",G929,IF(BW929=1,BX929,IF(LEFT(Cockpit!$I$5,1)="B",AP929,MAX(AP929,G929))))</f>
        <v>22</v>
      </c>
      <c r="AM929" s="57" t="n">
        <f aca="false">IF(BR929=1,0,ROUNDUP(AL929/BQ929,0))</f>
        <v>1</v>
      </c>
      <c r="AN929" s="59" t="n">
        <f aca="false">IF(CD929&gt;0,CD929*MAX(1,AL929/V929),IF(BR929=1,IF(AL929&lt;=0,0,BS929*MAX(1,IF(G929&gt;0,AL929/G929,1))),IF(Q929&gt;0,AM929/Q929,0))/MAX(0.1,N(Parameter!$M$21)))</f>
        <v>0.0192307692307692</v>
      </c>
      <c r="AO929" s="57" t="n">
        <f aca="false">AL929*F929</f>
        <v>317.9</v>
      </c>
      <c r="AP929" s="57" t="n">
        <f aca="false">ROUNDUP(MAX(I929/IF(BV929&gt;0,BV929,MAX(0.1,N(Cockpit!$I$6))),BY929)/BQ929,0)*BQ929</f>
        <v>22</v>
      </c>
      <c r="AQ929" s="58" t="n">
        <f aca="false">IF(AN929&gt;0,I929/AN929,-1)</f>
        <v>364</v>
      </c>
      <c r="AR929" s="58" t="n">
        <f aca="false">IF(AND(OR(BU929="L1",BU929="L23"),AN929&gt;0),SUMIFS($AN$7:$AN$1576,$BU$7:$BU$1576,BU929,$AQ$7:$AQ$1576,"&gt;"&amp;AQ929)+SUMIFS($AN$7:$AN$1576,$BU$7:$BU$1576,BU929,$AQ$7:$AQ$1576,AQ929,$BO$7:$BO$1576,"&lt;="&amp;BO929),"")</f>
        <v>37.8667496395869</v>
      </c>
      <c r="AS929" s="65" t="n">
        <f aca="false">IF(AR929="",0,MAX(0,MIN(1,(IF(BU929="L1",Parameter!$E$5,Parameter!$E$6+Parameter!$E$7)-(AR929-AN929))/AN929)))</f>
        <v>1</v>
      </c>
      <c r="AT929" s="57" t="n">
        <f aca="false">IF(LEFT(Cockpit!$O$5,1)="A",G929,IF(BW929=1,BX929,IF(LEFT(Cockpit!$O$5,1)="B",AX929,MAX(AX929,G929))))</f>
        <v>22</v>
      </c>
      <c r="AU929" s="57" t="n">
        <f aca="false">IF(BR929=1,0,ROUNDUP(AT929/BQ929,0))</f>
        <v>1</v>
      </c>
      <c r="AV929" s="59" t="n">
        <f aca="false">IF(CD929&gt;0,CD929*MAX(1,AT929/V929),IF(BR929=1,IF(AT929&lt;=0,0,BS929*MAX(1,IF(G929&gt;0,AT929/G929,1))),IF(Q929&gt;0,AU929/Q929,0))/MAX(0.1,N(Parameter!$M$21)))</f>
        <v>0.0192307692307692</v>
      </c>
      <c r="AW929" s="57" t="n">
        <f aca="false">AT929*F929</f>
        <v>317.9</v>
      </c>
      <c r="AX929" s="57" t="n">
        <f aca="false">ROUNDUP(MAX(I929/IF(BV929&gt;0,BV929,MAX(0.1,N(Cockpit!$O$6))),BY929)/BQ929,0)*BQ929</f>
        <v>22</v>
      </c>
      <c r="AY929" s="58" t="n">
        <f aca="false">IF(AV929&gt;0,I929/AV929,-1)</f>
        <v>364</v>
      </c>
      <c r="AZ929" s="58" t="n">
        <f aca="false">IF(AND(OR(BU929="L1",BU929="L23"),AV929&gt;0),SUMIFS($AV$7:$AV$1576,$BU$7:$BU$1576,BU929,$AY$7:$AY$1576,"&gt;"&amp;AY929)+SUMIFS($AV$7:$AV$1576,$BU$7:$BU$1576,BU929,$AY$7:$AY$1576,AY929,$BO$7:$BO$1576,"&lt;="&amp;BO929),"")</f>
        <v>36.6981615609988</v>
      </c>
      <c r="BA929" s="65" t="n">
        <f aca="false">IF(AZ929="",0,MAX(0,MIN(1,(IF(BU929="L1",Parameter!$E$5,Parameter!$E$6+Parameter!$E$7)-(AZ929-AV929))/AV929)))</f>
        <v>1</v>
      </c>
      <c r="BB929" s="55" t="str">
        <f aca="false">IF(AF929&lt;=0,"",IF(BU929="Aussen","Aussenlager",IF(BU929="-","Nicht im Lift",IF(AK929&gt;=1,"Lift",IF(AK929&lt;=0,"Aussenlager","teilweise")))))</f>
        <v/>
      </c>
      <c r="BC929" s="55" t="str">
        <f aca="false">IF(AN929&lt;=0,"",IF(BU929="Aussen","Aussenlager",IF(BU929="-","Nicht im Lift",IF(AS929&gt;=1,"Lift",IF(AS929&lt;=0,"Aussenlager","teilweise")))))</f>
        <v>Lift</v>
      </c>
      <c r="BD929" s="55" t="str">
        <f aca="false">IF(AV929&lt;=0,"",IF(BU929="Aussen","Aussenlager",IF(BU929="-","Nicht im Lift",IF(BA929&gt;=1,"Lift",IF(BA929&lt;=0,"Aussenlager","teilweise")))))</f>
        <v>Lift</v>
      </c>
      <c r="BE929" s="55" t="str">
        <f aca="false">IF(A929="","",IF(BN929=1,"Neu; ","")&amp;IF(AND(BN929=0,BI929&lt;0),"negativer Bestand (Export "&amp;BI929&amp;"); ","")&amp;IF(I929&lt;=0,"Kein Verbrauch; ","")&amp;IF(CD929&gt;0,"Lift "&amp;U929&amp;" lt. Liftbericht (Fach "&amp;V929&amp;" Stk); ",IF(BR929=1,"Lose – Fläche geschätzt; ",""))&amp;IF(G929&gt;AP929,"Überbestand "&amp;ROUND(G929-AP929,0)&amp;" Stk / CHF "&amp;ROUND((G929-AP929)*F929,0)&amp;"; ","")&amp;IF(AND(BW929=1,BX929&lt;BY929),"MAX &lt; MB+LG; ","")&amp;IF(AND(CC929&gt;0,CB929*10&gt;CC929),"zu hoch für Tablar; ","")&amp;IF(AND(BN929=0,OR(BW929=1,Y929&lt;&gt;"",S929&lt;&gt;"",T929&lt;&gt;"",Z929&lt;&gt;"")),"manuell übersteuert; ","")&amp;IF(AND(BR929=0,Q929=0),"Gebinde unbekannt / Stellmass fehlt; ","")&amp;IF(AND(BR929=0,N(T929)&lt;=0,N(P929)&lt;=0),"Menge pro Gebinde fehlt (Ist = 1 Gebinde); ","")&amp;BM929)</f>
        <v>negativer Bestand (Export -3); </v>
      </c>
      <c r="BF929" s="55"/>
      <c r="BG929" s="55"/>
      <c r="BH929" s="62"/>
      <c r="BI929" s="57" t="n">
        <v>-3</v>
      </c>
      <c r="BJ929" s="57" t="n">
        <v>11</v>
      </c>
      <c r="BK929" s="56" t="n">
        <v>-48.63</v>
      </c>
      <c r="BL929" s="57" t="n">
        <v>7</v>
      </c>
      <c r="BM929" s="55"/>
      <c r="BN929" s="60" t="n">
        <v>0</v>
      </c>
      <c r="BO929" s="60" t="n">
        <v>929</v>
      </c>
      <c r="BP929" s="55" t="str">
        <f aca="false">IF(S929&lt;&gt;"",UPPER(TRIM(S929)),IF(O929="","LOSE",O929))</f>
        <v>S41</v>
      </c>
      <c r="BQ929" s="57" t="n">
        <f aca="false">IF(BP929="LOSE",1,IF(N(T929)&gt;0,T929,IF(N(P929)&gt;0,P929,MAX(1,G929))))</f>
        <v>22</v>
      </c>
      <c r="BR929" s="60" t="n">
        <f aca="false">IF(BP929="LOSE",1,0)</f>
        <v>0</v>
      </c>
      <c r="BS929" s="59" t="n">
        <f aca="false">IF(BR929=0,0,IF(N(R929)&gt;0,R929,IFERROR(VLOOKUP(D929,Parameter!$A$35:$C$64,3,0)+0,0)))</f>
        <v>0</v>
      </c>
      <c r="BT929" s="55" t="n">
        <f aca="false">IF(Y929&lt;&gt;"",Y929,X929)</f>
        <v>3</v>
      </c>
      <c r="BU929" s="55" t="str">
        <f aca="false">IF(BT929=1,"L1",IF(OR(BT929=2,BT929=3),"L23",IF(BT929="Aussen","Aussen","-")))</f>
        <v>L23</v>
      </c>
      <c r="BV929" s="66" t="n">
        <f aca="false">IF(N(Z929)&gt;0,Z929,0)</f>
        <v>0</v>
      </c>
      <c r="BW929" s="60" t="n">
        <f aca="false">IF(ISNUMBER(AC929),1,0)</f>
        <v>0</v>
      </c>
      <c r="BX929" s="57" t="n">
        <f aca="false">N(AC929)</f>
        <v>0</v>
      </c>
      <c r="BY929" s="57" t="n">
        <f aca="false">N(L929)+N(M929)</f>
        <v>5</v>
      </c>
      <c r="BZ929" s="57" t="n">
        <f aca="false">ROUNDUP(G929/BQ929,0)</f>
        <v>0</v>
      </c>
      <c r="CA929" s="57" t="n">
        <f aca="false">ROUNDUP(BX929/BQ929,0)</f>
        <v>0</v>
      </c>
      <c r="CB929" s="60" t="n">
        <f aca="false">IF(BR929=1,0,IFERROR(VLOOKUP(BP929,'Gebinde-Kategorie'!$A$5:$M$45,5,0)+0,0))</f>
        <v>11</v>
      </c>
      <c r="CC929" s="60" t="n">
        <f aca="false">IFERROR(IF(OR(BT929=1,BT929=2,BT929=3),N(INDEX(Parameter!$I$5:$I$7,BT929)),0),0)</f>
        <v>0</v>
      </c>
      <c r="CD929" s="59" t="n">
        <f aca="false">IF(AND(Parameter!$B$21="Ja",ISNUMBER(U929),N(V929)&gt;0),IFERROR(N(INDEX(Parameter!$L$5:$L$7,U929))*INDEX(Parameter!$E$5:$E$7,U929)*V929/SUMIFS($V$7:$V$1576,$U$7:$U$1576,U929),0),0)</f>
        <v>0</v>
      </c>
    </row>
    <row r="930" customFormat="false" ht="15" hidden="false" customHeight="false" outlineLevel="0" collapsed="false">
      <c r="A930" s="55" t="s">
        <v>1721</v>
      </c>
      <c r="B930" s="55" t="s">
        <v>1722</v>
      </c>
      <c r="C930" s="55" t="s">
        <v>160</v>
      </c>
      <c r="D930" s="55" t="s">
        <v>178</v>
      </c>
      <c r="E930" s="55" t="s">
        <v>210</v>
      </c>
      <c r="F930" s="56" t="n">
        <v>48.79</v>
      </c>
      <c r="G930" s="57" t="n">
        <f aca="false">MAX(0,IF(AND(Parameter!$B$21="Ja",ISNUMBER(W930)),W930,IF(Parameter!$B$20="Jahresanfang 2025 + Export",BJ930+BI930,BI930)))</f>
        <v>0</v>
      </c>
      <c r="H930" s="57" t="n">
        <f aca="false">G930*F930</f>
        <v>0</v>
      </c>
      <c r="I930" s="57" t="n">
        <f aca="false">BL930*Parameter!$B$18</f>
        <v>0</v>
      </c>
      <c r="J930" s="58" t="n">
        <v>5</v>
      </c>
      <c r="K930" s="59" t="n">
        <v>0</v>
      </c>
      <c r="L930" s="57" t="n">
        <v>0</v>
      </c>
      <c r="M930" s="57" t="n">
        <v>1</v>
      </c>
      <c r="N930" s="60" t="n">
        <v>42</v>
      </c>
      <c r="O930" s="55" t="s">
        <v>391</v>
      </c>
      <c r="P930" s="57" t="n">
        <v>5</v>
      </c>
      <c r="Q930" s="60" t="n">
        <f aca="false">IF(BR930=1,0,IFERROR(VLOOKUP(BP930,'Gebinde-Kategorie'!$A$5:$M$45,13,0)+0,0))</f>
        <v>414</v>
      </c>
      <c r="R930" s="61"/>
      <c r="S930" s="62"/>
      <c r="T930" s="62"/>
      <c r="U930" s="55"/>
      <c r="V930" s="57"/>
      <c r="W930" s="57"/>
      <c r="X930" s="55" t="n">
        <f aca="false">IF(A930="","",IF(AND(Parameter!$B$21="Ja",ISNUMBER(U930)),U930,IF(IFERROR(VLOOKUP(D930,Parameter!$A$35:$C$64,2,0),"Nein")="2+3",IF(ISNUMBER(SEARCH("grosser Artikel",BM930)),2,IFERROR(VLOOKUP(BP930,Parameter!$F$35:$G$64,2,0),2)),IF(OR(IFERROR(VLOOKUP(D930,Parameter!$A$35:$C$64,2,0),"Nein")="Nein",IFERROR(VLOOKUP(D930,Parameter!$A$35:$C$64,2,0),"Nein")=""),"-",VLOOKUP(D930,Parameter!$A$35:$C$64,2,0)))))</f>
        <v>3</v>
      </c>
      <c r="Y930" s="62"/>
      <c r="Z930" s="63"/>
      <c r="AA930" s="57" t="n">
        <f aca="false">AP930</f>
        <v>5</v>
      </c>
      <c r="AB930" s="57" t="n">
        <f aca="false">MAX(AP930,G930)</f>
        <v>5</v>
      </c>
      <c r="AC930" s="64"/>
      <c r="AD930" s="57" t="n">
        <f aca="false">IF(LEFT(Cockpit!$C$5,1)="A",G930,IF(BW930=1,BX930,IF(LEFT(Cockpit!$C$5,1)="B",AH930,MAX(AH930,G930))))</f>
        <v>0</v>
      </c>
      <c r="AE930" s="57" t="n">
        <f aca="false">IF(BR930=1,0,ROUNDUP(AD930/BQ930,0))</f>
        <v>0</v>
      </c>
      <c r="AF930" s="59" t="n">
        <f aca="false">IF(CD930&gt;0,CD930*MAX(1,AD930/V930),IF(BR930=1,IF(AD930&lt;=0,0,BS930*MAX(1,IF(G930&gt;0,AD930/G930,1))),IF(Q930&gt;0,AE930/Q930,0))/MAX(0.1,N(Parameter!$M$21)))</f>
        <v>0</v>
      </c>
      <c r="AG930" s="57" t="n">
        <f aca="false">AD930*F930</f>
        <v>0</v>
      </c>
      <c r="AH930" s="57" t="n">
        <f aca="false">ROUNDUP(MAX(I930/IF(BV930&gt;0,BV930,MAX(0.1,N(Cockpit!$C$6))),BY930)/BQ930,0)*BQ930</f>
        <v>5</v>
      </c>
      <c r="AI930" s="58" t="n">
        <f aca="false">IF(AF930&gt;0,I930/AF930,-1)</f>
        <v>-1</v>
      </c>
      <c r="AJ930" s="58" t="str">
        <f aca="false">IF(AND(OR(BU930="L1",BU930="L23"),AF930&gt;0),SUMIFS($AF$7:$AF$1576,$BU$7:$BU$1576,BU930,$AI$7:$AI$1576,"&gt;"&amp;AI930)+SUMIFS($AF$7:$AF$1576,$BU$7:$BU$1576,BU930,$AI$7:$AI$1576,AI930,$BO$7:$BO$1576,"&lt;="&amp;BO930),"")</f>
        <v/>
      </c>
      <c r="AK930" s="65" t="n">
        <f aca="false">IF(AJ930="",0,MAX(0,MIN(1,(IF(BU930="L1",Parameter!$E$5,Parameter!$E$6+Parameter!$E$7)-(AJ930-AF930))/AF930)))</f>
        <v>0</v>
      </c>
      <c r="AL930" s="57" t="n">
        <f aca="false">IF(LEFT(Cockpit!$I$5,1)="A",G930,IF(BW930=1,BX930,IF(LEFT(Cockpit!$I$5,1)="B",AP930,MAX(AP930,G930))))</f>
        <v>5</v>
      </c>
      <c r="AM930" s="57" t="n">
        <f aca="false">IF(BR930=1,0,ROUNDUP(AL930/BQ930,0))</f>
        <v>1</v>
      </c>
      <c r="AN930" s="59" t="n">
        <f aca="false">IF(CD930&gt;0,CD930*MAX(1,AL930/V930),IF(BR930=1,IF(AL930&lt;=0,0,BS930*MAX(1,IF(G930&gt;0,AL930/G930,1))),IF(Q930&gt;0,AM930/Q930,0))/MAX(0.1,N(Parameter!$M$21)))</f>
        <v>0.00241545893719807</v>
      </c>
      <c r="AO930" s="57" t="n">
        <f aca="false">AL930*F930</f>
        <v>243.95</v>
      </c>
      <c r="AP930" s="57" t="n">
        <f aca="false">ROUNDUP(MAX(I930/IF(BV930&gt;0,BV930,MAX(0.1,N(Cockpit!$I$6))),BY930)/BQ930,0)*BQ930</f>
        <v>5</v>
      </c>
      <c r="AQ930" s="58" t="n">
        <f aca="false">IF(AN930&gt;0,I930/AN930,-1)</f>
        <v>0</v>
      </c>
      <c r="AR930" s="58" t="n">
        <f aca="false">IF(AND(OR(BU930="L1",BU930="L23"),AN930&gt;0),SUMIFS($AN$7:$AN$1576,$BU$7:$BU$1576,BU930,$AQ$7:$AQ$1576,"&gt;"&amp;AQ930)+SUMIFS($AN$7:$AN$1576,$BU$7:$BU$1576,BU930,$AQ$7:$AQ$1576,AQ930,$BO$7:$BO$1576,"&lt;="&amp;BO930),"")</f>
        <v>131.487891359895</v>
      </c>
      <c r="AS930" s="65" t="n">
        <f aca="false">IF(AR930="",0,MAX(0,MIN(1,(IF(BU930="L1",Parameter!$E$5,Parameter!$E$6+Parameter!$E$7)-(AR930-AN930))/AN930)))</f>
        <v>0</v>
      </c>
      <c r="AT930" s="57" t="n">
        <f aca="false">IF(LEFT(Cockpit!$O$5,1)="A",G930,IF(BW930=1,BX930,IF(LEFT(Cockpit!$O$5,1)="B",AX930,MAX(AX930,G930))))</f>
        <v>5</v>
      </c>
      <c r="AU930" s="57" t="n">
        <f aca="false">IF(BR930=1,0,ROUNDUP(AT930/BQ930,0))</f>
        <v>1</v>
      </c>
      <c r="AV930" s="59" t="n">
        <f aca="false">IF(CD930&gt;0,CD930*MAX(1,AT930/V930),IF(BR930=1,IF(AT930&lt;=0,0,BS930*MAX(1,IF(G930&gt;0,AT930/G930,1))),IF(Q930&gt;0,AU930/Q930,0))/MAX(0.1,N(Parameter!$M$21)))</f>
        <v>0.00241545893719807</v>
      </c>
      <c r="AW930" s="57" t="n">
        <f aca="false">AT930*F930</f>
        <v>243.95</v>
      </c>
      <c r="AX930" s="57" t="n">
        <f aca="false">ROUNDUP(MAX(I930/IF(BV930&gt;0,BV930,MAX(0.1,N(Cockpit!$O$6))),BY930)/BQ930,0)*BQ930</f>
        <v>5</v>
      </c>
      <c r="AY930" s="58" t="n">
        <f aca="false">IF(AV930&gt;0,I930/AV930,-1)</f>
        <v>0</v>
      </c>
      <c r="AZ930" s="58" t="n">
        <f aca="false">IF(AND(OR(BU930="L1",BU930="L23"),AV930&gt;0),SUMIFS($AV$7:$AV$1576,$BU$7:$BU$1576,BU930,$AY$7:$AY$1576,"&gt;"&amp;AY930)+SUMIFS($AV$7:$AV$1576,$BU$7:$BU$1576,BU930,$AY$7:$AY$1576,AY930,$BO$7:$BO$1576,"&lt;="&amp;BO930),"")</f>
        <v>121.547441809446</v>
      </c>
      <c r="BA930" s="65" t="n">
        <f aca="false">IF(AZ930="",0,MAX(0,MIN(1,(IF(BU930="L1",Parameter!$E$5,Parameter!$E$6+Parameter!$E$7)-(AZ930-AV930))/AV930)))</f>
        <v>0</v>
      </c>
      <c r="BB930" s="55" t="str">
        <f aca="false">IF(AF930&lt;=0,"",IF(BU930="Aussen","Aussenlager",IF(BU930="-","Nicht im Lift",IF(AK930&gt;=1,"Lift",IF(AK930&lt;=0,"Aussenlager","teilweise")))))</f>
        <v/>
      </c>
      <c r="BC930" s="55" t="str">
        <f aca="false">IF(AN930&lt;=0,"",IF(BU930="Aussen","Aussenlager",IF(BU930="-","Nicht im Lift",IF(AS930&gt;=1,"Lift",IF(AS930&lt;=0,"Aussenlager","teilweise")))))</f>
        <v>Aussenlager</v>
      </c>
      <c r="BD930" s="55" t="str">
        <f aca="false">IF(AV930&lt;=0,"",IF(BU930="Aussen","Aussenlager",IF(BU930="-","Nicht im Lift",IF(BA930&gt;=1,"Lift",IF(BA930&lt;=0,"Aussenlager","teilweise")))))</f>
        <v>Aussenlager</v>
      </c>
      <c r="BE930" s="55" t="str">
        <f aca="false">IF(A930="","",IF(BN930=1,"Neu; ","")&amp;IF(AND(BN930=0,BI930&lt;0),"negativer Bestand (Export "&amp;BI930&amp;"); ","")&amp;IF(I930&lt;=0,"Kein Verbrauch; ","")&amp;IF(CD930&gt;0,"Lift "&amp;U930&amp;" lt. Liftbericht (Fach "&amp;V930&amp;" Stk); ",IF(BR930=1,"Lose – Fläche geschätzt; ",""))&amp;IF(G930&gt;AP930,"Überbestand "&amp;ROUND(G930-AP930,0)&amp;" Stk / CHF "&amp;ROUND((G930-AP930)*F930,0)&amp;"; ","")&amp;IF(AND(BW930=1,BX930&lt;BY930),"MAX &lt; MB+LG; ","")&amp;IF(AND(CC930&gt;0,CB930*10&gt;CC930),"zu hoch für Tablar; ","")&amp;IF(AND(BN930=0,OR(BW930=1,Y930&lt;&gt;"",S930&lt;&gt;"",T930&lt;&gt;"",Z930&lt;&gt;"")),"manuell übersteuert; ","")&amp;IF(AND(BR930=0,Q930=0),"Gebinde unbekannt / Stellmass fehlt; ","")&amp;IF(AND(BR930=0,N(T930)&lt;=0,N(P930)&lt;=0),"Menge pro Gebinde fehlt (Ist = 1 Gebinde); ","")&amp;BM930)</f>
        <v>negativer Bestand (Export -1); Kein Verbrauch; B&amp;R; nicht im KTL vorhanden</v>
      </c>
      <c r="BF930" s="55"/>
      <c r="BG930" s="55"/>
      <c r="BH930" s="62"/>
      <c r="BI930" s="57" t="n">
        <v>-1</v>
      </c>
      <c r="BJ930" s="57" t="n">
        <v>5</v>
      </c>
      <c r="BK930" s="56" t="n">
        <v>-48.79</v>
      </c>
      <c r="BL930" s="57" t="n">
        <v>0</v>
      </c>
      <c r="BM930" s="55" t="s">
        <v>1723</v>
      </c>
      <c r="BN930" s="60" t="n">
        <v>0</v>
      </c>
      <c r="BO930" s="60" t="n">
        <v>930</v>
      </c>
      <c r="BP930" s="55" t="str">
        <f aca="false">IF(S930&lt;&gt;"",UPPER(TRIM(S930)),IF(O930="","LOSE",O930))</f>
        <v>S21</v>
      </c>
      <c r="BQ930" s="57" t="n">
        <f aca="false">IF(BP930="LOSE",1,IF(N(T930)&gt;0,T930,IF(N(P930)&gt;0,P930,MAX(1,G930))))</f>
        <v>5</v>
      </c>
      <c r="BR930" s="60" t="n">
        <f aca="false">IF(BP930="LOSE",1,0)</f>
        <v>0</v>
      </c>
      <c r="BS930" s="59" t="n">
        <f aca="false">IF(BR930=0,0,IF(N(R930)&gt;0,R930,IFERROR(VLOOKUP(D930,Parameter!$A$35:$C$64,3,0)+0,0)))</f>
        <v>0</v>
      </c>
      <c r="BT930" s="55" t="n">
        <f aca="false">IF(Y930&lt;&gt;"",Y930,X930)</f>
        <v>3</v>
      </c>
      <c r="BU930" s="55" t="str">
        <f aca="false">IF(BT930=1,"L1",IF(OR(BT930=2,BT930=3),"L23",IF(BT930="Aussen","Aussen","-")))</f>
        <v>L23</v>
      </c>
      <c r="BV930" s="66" t="n">
        <f aca="false">IF(N(Z930)&gt;0,Z930,0)</f>
        <v>0</v>
      </c>
      <c r="BW930" s="60" t="n">
        <f aca="false">IF(ISNUMBER(AC930),1,0)</f>
        <v>0</v>
      </c>
      <c r="BX930" s="57" t="n">
        <f aca="false">N(AC930)</f>
        <v>0</v>
      </c>
      <c r="BY930" s="57" t="n">
        <f aca="false">N(L930)+N(M930)</f>
        <v>1</v>
      </c>
      <c r="BZ930" s="57" t="n">
        <f aca="false">ROUNDUP(G930/BQ930,0)</f>
        <v>0</v>
      </c>
      <c r="CA930" s="57" t="n">
        <f aca="false">ROUNDUP(BX930/BQ930,0)</f>
        <v>0</v>
      </c>
      <c r="CB930" s="60" t="n">
        <f aca="false">IF(BR930=1,0,IFERROR(VLOOKUP(BP930,'Gebinde-Kategorie'!$A$5:$M$45,5,0)+0,0))</f>
        <v>8</v>
      </c>
      <c r="CC930" s="60" t="n">
        <f aca="false">IFERROR(IF(OR(BT930=1,BT930=2,BT930=3),N(INDEX(Parameter!$I$5:$I$7,BT930)),0),0)</f>
        <v>0</v>
      </c>
      <c r="CD930" s="59" t="n">
        <f aca="false">IF(AND(Parameter!$B$21="Ja",ISNUMBER(U930),N(V930)&gt;0),IFERROR(N(INDEX(Parameter!$L$5:$L$7,U930))*INDEX(Parameter!$E$5:$E$7,U930)*V930/SUMIFS($V$7:$V$1576,$U$7:$U$1576,U930),0),0)</f>
        <v>0</v>
      </c>
    </row>
    <row r="931" customFormat="false" ht="15" hidden="false" customHeight="false" outlineLevel="0" collapsed="false">
      <c r="A931" s="55" t="s">
        <v>1724</v>
      </c>
      <c r="B931" s="55" t="s">
        <v>1725</v>
      </c>
      <c r="C931" s="55" t="s">
        <v>160</v>
      </c>
      <c r="D931" s="55" t="s">
        <v>178</v>
      </c>
      <c r="E931" s="55" t="s">
        <v>210</v>
      </c>
      <c r="F931" s="56" t="n">
        <v>1.2</v>
      </c>
      <c r="G931" s="57" t="n">
        <f aca="false">MAX(0,IF(AND(Parameter!$B$21="Ja",ISNUMBER(W931)),W931,IF(Parameter!$B$20="Jahresanfang 2025 + Export",BJ931+BI931,BI931)))</f>
        <v>0</v>
      </c>
      <c r="H931" s="57" t="n">
        <f aca="false">G931*F931</f>
        <v>0</v>
      </c>
      <c r="I931" s="57" t="n">
        <f aca="false">BL931*Parameter!$B$18</f>
        <v>23</v>
      </c>
      <c r="J931" s="58" t="n">
        <v>96.5</v>
      </c>
      <c r="K931" s="59" t="n">
        <v>0.238341968911917</v>
      </c>
      <c r="L931" s="57" t="n">
        <v>0</v>
      </c>
      <c r="M931" s="57" t="n">
        <v>25</v>
      </c>
      <c r="N931" s="60" t="n">
        <v>14</v>
      </c>
      <c r="O931" s="55" t="s">
        <v>293</v>
      </c>
      <c r="P931" s="57" t="n">
        <v>54</v>
      </c>
      <c r="Q931" s="60" t="n">
        <f aca="false">IF(BR931=1,0,IFERROR(VLOOKUP(BP931,'Gebinde-Kategorie'!$A$5:$M$45,13,0)+0,0))</f>
        <v>26</v>
      </c>
      <c r="R931" s="61"/>
      <c r="S931" s="62"/>
      <c r="T931" s="62"/>
      <c r="U931" s="55"/>
      <c r="V931" s="57"/>
      <c r="W931" s="57"/>
      <c r="X931" s="55" t="n">
        <f aca="false">IF(A931="","",IF(AND(Parameter!$B$21="Ja",ISNUMBER(U931)),U931,IF(IFERROR(VLOOKUP(D931,Parameter!$A$35:$C$64,2,0),"Nein")="2+3",IF(ISNUMBER(SEARCH("grosser Artikel",BM931)),2,IFERROR(VLOOKUP(BP931,Parameter!$F$35:$G$64,2,0),2)),IF(OR(IFERROR(VLOOKUP(D931,Parameter!$A$35:$C$64,2,0),"Nein")="Nein",IFERROR(VLOOKUP(D931,Parameter!$A$35:$C$64,2,0),"Nein")=""),"-",VLOOKUP(D931,Parameter!$A$35:$C$64,2,0)))))</f>
        <v>3</v>
      </c>
      <c r="Y931" s="62"/>
      <c r="Z931" s="63"/>
      <c r="AA931" s="57" t="n">
        <f aca="false">AP931</f>
        <v>54</v>
      </c>
      <c r="AB931" s="57" t="n">
        <f aca="false">MAX(AP931,G931)</f>
        <v>54</v>
      </c>
      <c r="AC931" s="64"/>
      <c r="AD931" s="57" t="n">
        <f aca="false">IF(LEFT(Cockpit!$C$5,1)="A",G931,IF(BW931=1,BX931,IF(LEFT(Cockpit!$C$5,1)="B",AH931,MAX(AH931,G931))))</f>
        <v>0</v>
      </c>
      <c r="AE931" s="57" t="n">
        <f aca="false">IF(BR931=1,0,ROUNDUP(AD931/BQ931,0))</f>
        <v>0</v>
      </c>
      <c r="AF931" s="59" t="n">
        <f aca="false">IF(CD931&gt;0,CD931*MAX(1,AD931/V931),IF(BR931=1,IF(AD931&lt;=0,0,BS931*MAX(1,IF(G931&gt;0,AD931/G931,1))),IF(Q931&gt;0,AE931/Q931,0))/MAX(0.1,N(Parameter!$M$21)))</f>
        <v>0</v>
      </c>
      <c r="AG931" s="57" t="n">
        <f aca="false">AD931*F931</f>
        <v>0</v>
      </c>
      <c r="AH931" s="57" t="n">
        <f aca="false">ROUNDUP(MAX(I931/IF(BV931&gt;0,BV931,MAX(0.1,N(Cockpit!$C$6))),BY931)/BQ931,0)*BQ931</f>
        <v>54</v>
      </c>
      <c r="AI931" s="58" t="n">
        <f aca="false">IF(AF931&gt;0,I931/AF931,-1)</f>
        <v>-1</v>
      </c>
      <c r="AJ931" s="58" t="str">
        <f aca="false">IF(AND(OR(BU931="L1",BU931="L23"),AF931&gt;0),SUMIFS($AF$7:$AF$1576,$BU$7:$BU$1576,BU931,$AI$7:$AI$1576,"&gt;"&amp;AI931)+SUMIFS($AF$7:$AF$1576,$BU$7:$BU$1576,BU931,$AI$7:$AI$1576,AI931,$BO$7:$BO$1576,"&lt;="&amp;BO931),"")</f>
        <v/>
      </c>
      <c r="AK931" s="65" t="n">
        <f aca="false">IF(AJ931="",0,MAX(0,MIN(1,(IF(BU931="L1",Parameter!$E$5,Parameter!$E$6+Parameter!$E$7)-(AJ931-AF931))/AF931)))</f>
        <v>0</v>
      </c>
      <c r="AL931" s="57" t="n">
        <f aca="false">IF(LEFT(Cockpit!$I$5,1)="A",G931,IF(BW931=1,BX931,IF(LEFT(Cockpit!$I$5,1)="B",AP931,MAX(AP931,G931))))</f>
        <v>54</v>
      </c>
      <c r="AM931" s="57" t="n">
        <f aca="false">IF(BR931=1,0,ROUNDUP(AL931/BQ931,0))</f>
        <v>1</v>
      </c>
      <c r="AN931" s="59" t="n">
        <f aca="false">IF(CD931&gt;0,CD931*MAX(1,AL931/V931),IF(BR931=1,IF(AL931&lt;=0,0,BS931*MAX(1,IF(G931&gt;0,AL931/G931,1))),IF(Q931&gt;0,AM931/Q931,0))/MAX(0.1,N(Parameter!$M$21)))</f>
        <v>0.0384615384615385</v>
      </c>
      <c r="AO931" s="57" t="n">
        <f aca="false">AL931*F931</f>
        <v>64.8</v>
      </c>
      <c r="AP931" s="57" t="n">
        <f aca="false">ROUNDUP(MAX(I931/IF(BV931&gt;0,BV931,MAX(0.1,N(Cockpit!$I$6))),BY931)/BQ931,0)*BQ931</f>
        <v>54</v>
      </c>
      <c r="AQ931" s="58" t="n">
        <f aca="false">IF(AN931&gt;0,I931/AN931,-1)</f>
        <v>598</v>
      </c>
      <c r="AR931" s="58" t="n">
        <f aca="false">IF(AND(OR(BU931="L1",BU931="L23"),AN931&gt;0),SUMIFS($AN$7:$AN$1576,$BU$7:$BU$1576,BU931,$AQ$7:$AQ$1576,"&gt;"&amp;AQ931)+SUMIFS($AN$7:$AN$1576,$BU$7:$BU$1576,BU931,$AQ$7:$AQ$1576,AQ931,$BO$7:$BO$1576,"&lt;="&amp;BO931),"")</f>
        <v>31.0639994911846</v>
      </c>
      <c r="AS931" s="65" t="n">
        <f aca="false">IF(AR931="",0,MAX(0,MIN(1,(IF(BU931="L1",Parameter!$E$5,Parameter!$E$6+Parameter!$E$7)-(AR931-AN931))/AN931)))</f>
        <v>1</v>
      </c>
      <c r="AT931" s="57" t="n">
        <f aca="false">IF(LEFT(Cockpit!$O$5,1)="A",G931,IF(BW931=1,BX931,IF(LEFT(Cockpit!$O$5,1)="B",AX931,MAX(AX931,G931))))</f>
        <v>54</v>
      </c>
      <c r="AU931" s="57" t="n">
        <f aca="false">IF(BR931=1,0,ROUNDUP(AT931/BQ931,0))</f>
        <v>1</v>
      </c>
      <c r="AV931" s="59" t="n">
        <f aca="false">IF(CD931&gt;0,CD931*MAX(1,AT931/V931),IF(BR931=1,IF(AT931&lt;=0,0,BS931*MAX(1,IF(G931&gt;0,AT931/G931,1))),IF(Q931&gt;0,AU931/Q931,0))/MAX(0.1,N(Parameter!$M$21)))</f>
        <v>0.0384615384615385</v>
      </c>
      <c r="AW931" s="57" t="n">
        <f aca="false">AT931*F931</f>
        <v>64.8</v>
      </c>
      <c r="AX931" s="57" t="n">
        <f aca="false">ROUNDUP(MAX(I931/IF(BV931&gt;0,BV931,MAX(0.1,N(Cockpit!$O$6))),BY931)/BQ931,0)*BQ931</f>
        <v>54</v>
      </c>
      <c r="AY931" s="58" t="n">
        <f aca="false">IF(AV931&gt;0,I931/AV931,-1)</f>
        <v>598</v>
      </c>
      <c r="AZ931" s="58" t="n">
        <f aca="false">IF(AND(OR(BU931="L1",BU931="L23"),AV931&gt;0),SUMIFS($AV$7:$AV$1576,$BU$7:$BU$1576,BU931,$AY$7:$AY$1576,"&gt;"&amp;AY931)+SUMIFS($AV$7:$AV$1576,$BU$7:$BU$1576,BU931,$AY$7:$AY$1576,AY931,$BO$7:$BO$1576,"&lt;="&amp;BO931),"")</f>
        <v>30.2753015224866</v>
      </c>
      <c r="BA931" s="65" t="n">
        <f aca="false">IF(AZ931="",0,MAX(0,MIN(1,(IF(BU931="L1",Parameter!$E$5,Parameter!$E$6+Parameter!$E$7)-(AZ931-AV931))/AV931)))</f>
        <v>1</v>
      </c>
      <c r="BB931" s="55" t="str">
        <f aca="false">IF(AF931&lt;=0,"",IF(BU931="Aussen","Aussenlager",IF(BU931="-","Nicht im Lift",IF(AK931&gt;=1,"Lift",IF(AK931&lt;=0,"Aussenlager","teilweise")))))</f>
        <v/>
      </c>
      <c r="BC931" s="55" t="str">
        <f aca="false">IF(AN931&lt;=0,"",IF(BU931="Aussen","Aussenlager",IF(BU931="-","Nicht im Lift",IF(AS931&gt;=1,"Lift",IF(AS931&lt;=0,"Aussenlager","teilweise")))))</f>
        <v>Lift</v>
      </c>
      <c r="BD931" s="55" t="str">
        <f aca="false">IF(AV931&lt;=0,"",IF(BU931="Aussen","Aussenlager",IF(BU931="-","Nicht im Lift",IF(BA931&gt;=1,"Lift",IF(BA931&lt;=0,"Aussenlager","teilweise")))))</f>
        <v>Lift</v>
      </c>
      <c r="BE931" s="55" t="str">
        <f aca="false">IF(A931="","",IF(BN931=1,"Neu; ","")&amp;IF(AND(BN931=0,BI931&lt;0),"negativer Bestand (Export "&amp;BI931&amp;"); ","")&amp;IF(I931&lt;=0,"Kein Verbrauch; ","")&amp;IF(CD931&gt;0,"Lift "&amp;U931&amp;" lt. Liftbericht (Fach "&amp;V931&amp;" Stk); ",IF(BR931=1,"Lose – Fläche geschätzt; ",""))&amp;IF(G931&gt;AP931,"Überbestand "&amp;ROUND(G931-AP931,0)&amp;" Stk / CHF "&amp;ROUND((G931-AP931)*F931,0)&amp;"; ","")&amp;IF(AND(BW931=1,BX931&lt;BY931),"MAX &lt; MB+LG; ","")&amp;IF(AND(CC931&gt;0,CB931*10&gt;CC931),"zu hoch für Tablar; ","")&amp;IF(AND(BN931=0,OR(BW931=1,Y931&lt;&gt;"",S931&lt;&gt;"",T931&lt;&gt;"",Z931&lt;&gt;"")),"manuell übersteuert; ","")&amp;IF(AND(BR931=0,Q931=0),"Gebinde unbekannt / Stellmass fehlt; ","")&amp;IF(AND(BR931=0,N(T931)&lt;=0,N(P931)&lt;=0),"Menge pro Gebinde fehlt (Ist = 1 Gebinde); ","")&amp;BM931)</f>
        <v>negativer Bestand (Export -41); </v>
      </c>
      <c r="BF931" s="55"/>
      <c r="BG931" s="55"/>
      <c r="BH931" s="62"/>
      <c r="BI931" s="57" t="n">
        <v>-41</v>
      </c>
      <c r="BJ931" s="57" t="n">
        <v>110</v>
      </c>
      <c r="BK931" s="56" t="n">
        <v>-49.2</v>
      </c>
      <c r="BL931" s="57" t="n">
        <v>23</v>
      </c>
      <c r="BM931" s="55"/>
      <c r="BN931" s="60" t="n">
        <v>0</v>
      </c>
      <c r="BO931" s="60" t="n">
        <v>931</v>
      </c>
      <c r="BP931" s="55" t="str">
        <f aca="false">IF(S931&lt;&gt;"",UPPER(TRIM(S931)),IF(O931="","LOSE",O931))</f>
        <v>S51</v>
      </c>
      <c r="BQ931" s="57" t="n">
        <f aca="false">IF(BP931="LOSE",1,IF(N(T931)&gt;0,T931,IF(N(P931)&gt;0,P931,MAX(1,G931))))</f>
        <v>54</v>
      </c>
      <c r="BR931" s="60" t="n">
        <f aca="false">IF(BP931="LOSE",1,0)</f>
        <v>0</v>
      </c>
      <c r="BS931" s="59" t="n">
        <f aca="false">IF(BR931=0,0,IF(N(R931)&gt;0,R931,IFERROR(VLOOKUP(D931,Parameter!$A$35:$C$64,3,0)+0,0)))</f>
        <v>0</v>
      </c>
      <c r="BT931" s="55" t="n">
        <f aca="false">IF(Y931&lt;&gt;"",Y931,X931)</f>
        <v>3</v>
      </c>
      <c r="BU931" s="55" t="str">
        <f aca="false">IF(BT931=1,"L1",IF(OR(BT931=2,BT931=3),"L23",IF(BT931="Aussen","Aussen","-")))</f>
        <v>L23</v>
      </c>
      <c r="BV931" s="66" t="n">
        <f aca="false">IF(N(Z931)&gt;0,Z931,0)</f>
        <v>0</v>
      </c>
      <c r="BW931" s="60" t="n">
        <f aca="false">IF(ISNUMBER(AC931),1,0)</f>
        <v>0</v>
      </c>
      <c r="BX931" s="57" t="n">
        <f aca="false">N(AC931)</f>
        <v>0</v>
      </c>
      <c r="BY931" s="57" t="n">
        <f aca="false">N(L931)+N(M931)</f>
        <v>25</v>
      </c>
      <c r="BZ931" s="57" t="n">
        <f aca="false">ROUNDUP(G931/BQ931,0)</f>
        <v>0</v>
      </c>
      <c r="CA931" s="57" t="n">
        <f aca="false">ROUNDUP(BX931/BQ931,0)</f>
        <v>0</v>
      </c>
      <c r="CB931" s="60" t="n">
        <f aca="false">IF(BR931=1,0,IFERROR(VLOOKUP(BP931,'Gebinde-Kategorie'!$A$5:$M$45,5,0)+0,0))</f>
        <v>11</v>
      </c>
      <c r="CC931" s="60" t="n">
        <f aca="false">IFERROR(IF(OR(BT931=1,BT931=2,BT931=3),N(INDEX(Parameter!$I$5:$I$7,BT931)),0),0)</f>
        <v>0</v>
      </c>
      <c r="CD931" s="59" t="n">
        <f aca="false">IF(AND(Parameter!$B$21="Ja",ISNUMBER(U931),N(V931)&gt;0),IFERROR(N(INDEX(Parameter!$L$5:$L$7,U931))*INDEX(Parameter!$E$5:$E$7,U931)*V931/SUMIFS($V$7:$V$1576,$U$7:$U$1576,U931),0),0)</f>
        <v>0</v>
      </c>
    </row>
    <row r="932" customFormat="false" ht="15" hidden="false" customHeight="false" outlineLevel="0" collapsed="false">
      <c r="A932" s="55" t="s">
        <v>1726</v>
      </c>
      <c r="B932" s="55" t="s">
        <v>1727</v>
      </c>
      <c r="C932" s="55" t="s">
        <v>160</v>
      </c>
      <c r="D932" s="55" t="s">
        <v>178</v>
      </c>
      <c r="E932" s="55" t="s">
        <v>210</v>
      </c>
      <c r="F932" s="56" t="n">
        <v>24.9</v>
      </c>
      <c r="G932" s="57" t="n">
        <f aca="false">MAX(0,IF(AND(Parameter!$B$21="Ja",ISNUMBER(W932)),W932,IF(Parameter!$B$20="Jahresanfang 2025 + Export",BJ932+BI932,BI932)))</f>
        <v>0</v>
      </c>
      <c r="H932" s="57" t="n">
        <f aca="false">G932*F932</f>
        <v>0</v>
      </c>
      <c r="I932" s="57" t="n">
        <f aca="false">BL932*Parameter!$B$18</f>
        <v>2</v>
      </c>
      <c r="J932" s="58" t="n">
        <v>22</v>
      </c>
      <c r="K932" s="59" t="n">
        <v>0.0909090909090909</v>
      </c>
      <c r="L932" s="57" t="n">
        <v>0</v>
      </c>
      <c r="M932" s="57" t="n">
        <v>1</v>
      </c>
      <c r="N932" s="60" t="n">
        <v>35</v>
      </c>
      <c r="O932" s="55" t="s">
        <v>411</v>
      </c>
      <c r="P932" s="57" t="n">
        <v>26</v>
      </c>
      <c r="Q932" s="60" t="n">
        <f aca="false">IF(BR932=1,0,IFERROR(VLOOKUP(BP932,'Gebinde-Kategorie'!$A$5:$M$45,13,0)+0,0))</f>
        <v>132</v>
      </c>
      <c r="R932" s="61"/>
      <c r="S932" s="62"/>
      <c r="T932" s="62"/>
      <c r="U932" s="55"/>
      <c r="V932" s="57"/>
      <c r="W932" s="57"/>
      <c r="X932" s="55" t="n">
        <f aca="false">IF(A932="","",IF(AND(Parameter!$B$21="Ja",ISNUMBER(U932)),U932,IF(IFERROR(VLOOKUP(D932,Parameter!$A$35:$C$64,2,0),"Nein")="2+3",IF(ISNUMBER(SEARCH("grosser Artikel",BM932)),2,IFERROR(VLOOKUP(BP932,Parameter!$F$35:$G$64,2,0),2)),IF(OR(IFERROR(VLOOKUP(D932,Parameter!$A$35:$C$64,2,0),"Nein")="Nein",IFERROR(VLOOKUP(D932,Parameter!$A$35:$C$64,2,0),"Nein")=""),"-",VLOOKUP(D932,Parameter!$A$35:$C$64,2,0)))))</f>
        <v>3</v>
      </c>
      <c r="Y932" s="62"/>
      <c r="Z932" s="63"/>
      <c r="AA932" s="57" t="n">
        <f aca="false">AP932</f>
        <v>26</v>
      </c>
      <c r="AB932" s="57" t="n">
        <f aca="false">MAX(AP932,G932)</f>
        <v>26</v>
      </c>
      <c r="AC932" s="64"/>
      <c r="AD932" s="57" t="n">
        <f aca="false">IF(LEFT(Cockpit!$C$5,1)="A",G932,IF(BW932=1,BX932,IF(LEFT(Cockpit!$C$5,1)="B",AH932,MAX(AH932,G932))))</f>
        <v>0</v>
      </c>
      <c r="AE932" s="57" t="n">
        <f aca="false">IF(BR932=1,0,ROUNDUP(AD932/BQ932,0))</f>
        <v>0</v>
      </c>
      <c r="AF932" s="59" t="n">
        <f aca="false">IF(CD932&gt;0,CD932*MAX(1,AD932/V932),IF(BR932=1,IF(AD932&lt;=0,0,BS932*MAX(1,IF(G932&gt;0,AD932/G932,1))),IF(Q932&gt;0,AE932/Q932,0))/MAX(0.1,N(Parameter!$M$21)))</f>
        <v>0</v>
      </c>
      <c r="AG932" s="57" t="n">
        <f aca="false">AD932*F932</f>
        <v>0</v>
      </c>
      <c r="AH932" s="57" t="n">
        <f aca="false">ROUNDUP(MAX(I932/IF(BV932&gt;0,BV932,MAX(0.1,N(Cockpit!$C$6))),BY932)/BQ932,0)*BQ932</f>
        <v>26</v>
      </c>
      <c r="AI932" s="58" t="n">
        <f aca="false">IF(AF932&gt;0,I932/AF932,-1)</f>
        <v>-1</v>
      </c>
      <c r="AJ932" s="58" t="str">
        <f aca="false">IF(AND(OR(BU932="L1",BU932="L23"),AF932&gt;0),SUMIFS($AF$7:$AF$1576,$BU$7:$BU$1576,BU932,$AI$7:$AI$1576,"&gt;"&amp;AI932)+SUMIFS($AF$7:$AF$1576,$BU$7:$BU$1576,BU932,$AI$7:$AI$1576,AI932,$BO$7:$BO$1576,"&lt;="&amp;BO932),"")</f>
        <v/>
      </c>
      <c r="AK932" s="65" t="n">
        <f aca="false">IF(AJ932="",0,MAX(0,MIN(1,(IF(BU932="L1",Parameter!$E$5,Parameter!$E$6+Parameter!$E$7)-(AJ932-AF932))/AF932)))</f>
        <v>0</v>
      </c>
      <c r="AL932" s="57" t="n">
        <f aca="false">IF(LEFT(Cockpit!$I$5,1)="A",G932,IF(BW932=1,BX932,IF(LEFT(Cockpit!$I$5,1)="B",AP932,MAX(AP932,G932))))</f>
        <v>26</v>
      </c>
      <c r="AM932" s="57" t="n">
        <f aca="false">IF(BR932=1,0,ROUNDUP(AL932/BQ932,0))</f>
        <v>1</v>
      </c>
      <c r="AN932" s="59" t="n">
        <f aca="false">IF(CD932&gt;0,CD932*MAX(1,AL932/V932),IF(BR932=1,IF(AL932&lt;=0,0,BS932*MAX(1,IF(G932&gt;0,AL932/G932,1))),IF(Q932&gt;0,AM932/Q932,0))/MAX(0.1,N(Parameter!$M$21)))</f>
        <v>0.00757575757575758</v>
      </c>
      <c r="AO932" s="57" t="n">
        <f aca="false">AL932*F932</f>
        <v>647.4</v>
      </c>
      <c r="AP932" s="57" t="n">
        <f aca="false">ROUNDUP(MAX(I932/IF(BV932&gt;0,BV932,MAX(0.1,N(Cockpit!$I$6))),BY932)/BQ932,0)*BQ932</f>
        <v>26</v>
      </c>
      <c r="AQ932" s="58" t="n">
        <f aca="false">IF(AN932&gt;0,I932/AN932,-1)</f>
        <v>264</v>
      </c>
      <c r="AR932" s="58" t="n">
        <f aca="false">IF(AND(OR(BU932="L1",BU932="L23"),AN932&gt;0),SUMIFS($AN$7:$AN$1576,$BU$7:$BU$1576,BU932,$AQ$7:$AQ$1576,"&gt;"&amp;AQ932)+SUMIFS($AN$7:$AN$1576,$BU$7:$BU$1576,BU932,$AQ$7:$AQ$1576,AQ932,$BO$7:$BO$1576,"&lt;="&amp;BO932),"")</f>
        <v>45.3579384507757</v>
      </c>
      <c r="AS932" s="65" t="n">
        <f aca="false">IF(AR932="",0,MAX(0,MIN(1,(IF(BU932="L1",Parameter!$E$5,Parameter!$E$6+Parameter!$E$7)-(AR932-AN932))/AN932)))</f>
        <v>1</v>
      </c>
      <c r="AT932" s="57" t="n">
        <f aca="false">IF(LEFT(Cockpit!$O$5,1)="A",G932,IF(BW932=1,BX932,IF(LEFT(Cockpit!$O$5,1)="B",AX932,MAX(AX932,G932))))</f>
        <v>26</v>
      </c>
      <c r="AU932" s="57" t="n">
        <f aca="false">IF(BR932=1,0,ROUNDUP(AT932/BQ932,0))</f>
        <v>1</v>
      </c>
      <c r="AV932" s="59" t="n">
        <f aca="false">IF(CD932&gt;0,CD932*MAX(1,AT932/V932),IF(BR932=1,IF(AT932&lt;=0,0,BS932*MAX(1,IF(G932&gt;0,AT932/G932,1))),IF(Q932&gt;0,AU932/Q932,0))/MAX(0.1,N(Parameter!$M$21)))</f>
        <v>0.00757575757575758</v>
      </c>
      <c r="AW932" s="57" t="n">
        <f aca="false">AT932*F932</f>
        <v>647.4</v>
      </c>
      <c r="AX932" s="57" t="n">
        <f aca="false">ROUNDUP(MAX(I932/IF(BV932&gt;0,BV932,MAX(0.1,N(Cockpit!$O$6))),BY932)/BQ932,0)*BQ932</f>
        <v>26</v>
      </c>
      <c r="AY932" s="58" t="n">
        <f aca="false">IF(AV932&gt;0,I932/AV932,-1)</f>
        <v>264</v>
      </c>
      <c r="AZ932" s="58" t="n">
        <f aca="false">IF(AND(OR(BU932="L1",BU932="L23"),AV932&gt;0),SUMIFS($AV$7:$AV$1576,$BU$7:$BU$1576,BU932,$AY$7:$AY$1576,"&gt;"&amp;AY932)+SUMIFS($AV$7:$AV$1576,$BU$7:$BU$1576,BU932,$AY$7:$AY$1576,AY932,$BO$7:$BO$1576,"&lt;="&amp;BO932),"")</f>
        <v>41.6360170388543</v>
      </c>
      <c r="BA932" s="65" t="n">
        <f aca="false">IF(AZ932="",0,MAX(0,MIN(1,(IF(BU932="L1",Parameter!$E$5,Parameter!$E$6+Parameter!$E$7)-(AZ932-AV932))/AV932)))</f>
        <v>1</v>
      </c>
      <c r="BB932" s="55" t="str">
        <f aca="false">IF(AF932&lt;=0,"",IF(BU932="Aussen","Aussenlager",IF(BU932="-","Nicht im Lift",IF(AK932&gt;=1,"Lift",IF(AK932&lt;=0,"Aussenlager","teilweise")))))</f>
        <v/>
      </c>
      <c r="BC932" s="55" t="str">
        <f aca="false">IF(AN932&lt;=0,"",IF(BU932="Aussen","Aussenlager",IF(BU932="-","Nicht im Lift",IF(AS932&gt;=1,"Lift",IF(AS932&lt;=0,"Aussenlager","teilweise")))))</f>
        <v>Lift</v>
      </c>
      <c r="BD932" s="55" t="str">
        <f aca="false">IF(AV932&lt;=0,"",IF(BU932="Aussen","Aussenlager",IF(BU932="-","Nicht im Lift",IF(BA932&gt;=1,"Lift",IF(BA932&lt;=0,"Aussenlager","teilweise")))))</f>
        <v>Lift</v>
      </c>
      <c r="BE932" s="55" t="str">
        <f aca="false">IF(A932="","",IF(BN932=1,"Neu; ","")&amp;IF(AND(BN932=0,BI932&lt;0),"negativer Bestand (Export "&amp;BI932&amp;"); ","")&amp;IF(I932&lt;=0,"Kein Verbrauch; ","")&amp;IF(CD932&gt;0,"Lift "&amp;U932&amp;" lt. Liftbericht (Fach "&amp;V932&amp;" Stk); ",IF(BR932=1,"Lose – Fläche geschätzt; ",""))&amp;IF(G932&gt;AP932,"Überbestand "&amp;ROUND(G932-AP932,0)&amp;" Stk / CHF "&amp;ROUND((G932-AP932)*F932,0)&amp;"; ","")&amp;IF(AND(BW932=1,BX932&lt;BY932),"MAX &lt; MB+LG; ","")&amp;IF(AND(CC932&gt;0,CB932*10&gt;CC932),"zu hoch für Tablar; ","")&amp;IF(AND(BN932=0,OR(BW932=1,Y932&lt;&gt;"",S932&lt;&gt;"",T932&lt;&gt;"",Z932&lt;&gt;"")),"manuell übersteuert; ","")&amp;IF(AND(BR932=0,Q932=0),"Gebinde unbekannt / Stellmass fehlt; ","")&amp;IF(AND(BR932=0,N(T932)&lt;=0,N(P932)&lt;=0),"Menge pro Gebinde fehlt (Ist = 1 Gebinde); ","")&amp;BM932)</f>
        <v>negativer Bestand (Export -2); twin</v>
      </c>
      <c r="BF932" s="55"/>
      <c r="BG932" s="55"/>
      <c r="BH932" s="62"/>
      <c r="BI932" s="57" t="n">
        <v>-2</v>
      </c>
      <c r="BJ932" s="57" t="n">
        <v>23</v>
      </c>
      <c r="BK932" s="56" t="n">
        <v>-49.8</v>
      </c>
      <c r="BL932" s="57" t="n">
        <v>2</v>
      </c>
      <c r="BM932" s="55" t="s">
        <v>1728</v>
      </c>
      <c r="BN932" s="60" t="n">
        <v>0</v>
      </c>
      <c r="BO932" s="60" t="n">
        <v>932</v>
      </c>
      <c r="BP932" s="55" t="str">
        <f aca="false">IF(S932&lt;&gt;"",UPPER(TRIM(S932)),IF(O932="","LOSE",O932))</f>
        <v>S32</v>
      </c>
      <c r="BQ932" s="57" t="n">
        <f aca="false">IF(BP932="LOSE",1,IF(N(T932)&gt;0,T932,IF(N(P932)&gt;0,P932,MAX(1,G932))))</f>
        <v>26</v>
      </c>
      <c r="BR932" s="60" t="n">
        <f aca="false">IF(BP932="LOSE",1,0)</f>
        <v>0</v>
      </c>
      <c r="BS932" s="59" t="n">
        <f aca="false">IF(BR932=0,0,IF(N(R932)&gt;0,R932,IFERROR(VLOOKUP(D932,Parameter!$A$35:$C$64,3,0)+0,0)))</f>
        <v>0</v>
      </c>
      <c r="BT932" s="55" t="n">
        <f aca="false">IF(Y932&lt;&gt;"",Y932,X932)</f>
        <v>3</v>
      </c>
      <c r="BU932" s="55" t="str">
        <f aca="false">IF(BT932=1,"L1",IF(OR(BT932=2,BT932=3),"L23",IF(BT932="Aussen","Aussen","-")))</f>
        <v>L23</v>
      </c>
      <c r="BV932" s="66" t="n">
        <f aca="false">IF(N(Z932)&gt;0,Z932,0)</f>
        <v>0</v>
      </c>
      <c r="BW932" s="60" t="n">
        <f aca="false">IF(ISNUMBER(AC932),1,0)</f>
        <v>0</v>
      </c>
      <c r="BX932" s="57" t="n">
        <f aca="false">N(AC932)</f>
        <v>0</v>
      </c>
      <c r="BY932" s="57" t="n">
        <f aca="false">N(L932)+N(M932)</f>
        <v>1</v>
      </c>
      <c r="BZ932" s="57" t="n">
        <f aca="false">ROUNDUP(G932/BQ932,0)</f>
        <v>0</v>
      </c>
      <c r="CA932" s="57" t="n">
        <f aca="false">ROUNDUP(BX932/BQ932,0)</f>
        <v>0</v>
      </c>
      <c r="CB932" s="60" t="n">
        <f aca="false">IF(BR932=1,0,IFERROR(VLOOKUP(BP932,'Gebinde-Kategorie'!$A$5:$M$45,5,0)+0,0))</f>
        <v>8</v>
      </c>
      <c r="CC932" s="60" t="n">
        <f aca="false">IFERROR(IF(OR(BT932=1,BT932=2,BT932=3),N(INDEX(Parameter!$I$5:$I$7,BT932)),0),0)</f>
        <v>0</v>
      </c>
      <c r="CD932" s="59" t="n">
        <f aca="false">IF(AND(Parameter!$B$21="Ja",ISNUMBER(U932),N(V932)&gt;0),IFERROR(N(INDEX(Parameter!$L$5:$L$7,U932))*INDEX(Parameter!$E$5:$E$7,U932)*V932/SUMIFS($V$7:$V$1576,$U$7:$U$1576,U932),0),0)</f>
        <v>0</v>
      </c>
    </row>
    <row r="933" customFormat="false" ht="15" hidden="false" customHeight="false" outlineLevel="0" collapsed="false">
      <c r="A933" s="55" t="s">
        <v>1729</v>
      </c>
      <c r="B933" s="55" t="s">
        <v>1730</v>
      </c>
      <c r="C933" s="55" t="s">
        <v>160</v>
      </c>
      <c r="D933" s="55" t="s">
        <v>178</v>
      </c>
      <c r="E933" s="55" t="s">
        <v>210</v>
      </c>
      <c r="F933" s="56" t="n">
        <v>10</v>
      </c>
      <c r="G933" s="57" t="n">
        <f aca="false">MAX(0,IF(AND(Parameter!$B$21="Ja",ISNUMBER(W933)),W933,IF(Parameter!$B$20="Jahresanfang 2025 + Export",BJ933+BI933,BI933)))</f>
        <v>0</v>
      </c>
      <c r="H933" s="57" t="n">
        <f aca="false">G933*F933</f>
        <v>0</v>
      </c>
      <c r="I933" s="57" t="n">
        <f aca="false">BL933*Parameter!$B$18</f>
        <v>0</v>
      </c>
      <c r="J933" s="58" t="n">
        <v>75.5</v>
      </c>
      <c r="K933" s="59" t="n">
        <v>0</v>
      </c>
      <c r="L933" s="57" t="n">
        <v>0</v>
      </c>
      <c r="M933" s="57" t="n">
        <v>1</v>
      </c>
      <c r="N933" s="60" t="n">
        <v>21</v>
      </c>
      <c r="O933" s="55" t="s">
        <v>416</v>
      </c>
      <c r="P933" s="57" t="n">
        <v>67</v>
      </c>
      <c r="Q933" s="60" t="n">
        <f aca="false">IF(BR933=1,0,IFERROR(VLOOKUP(BP933,'Gebinde-Kategorie'!$A$5:$M$45,13,0)+0,0))</f>
        <v>198</v>
      </c>
      <c r="R933" s="61"/>
      <c r="S933" s="62"/>
      <c r="T933" s="62"/>
      <c r="U933" s="55"/>
      <c r="V933" s="57"/>
      <c r="W933" s="57"/>
      <c r="X933" s="55" t="n">
        <f aca="false">IF(A933="","",IF(AND(Parameter!$B$21="Ja",ISNUMBER(U933)),U933,IF(IFERROR(VLOOKUP(D933,Parameter!$A$35:$C$64,2,0),"Nein")="2+3",IF(ISNUMBER(SEARCH("grosser Artikel",BM933)),2,IFERROR(VLOOKUP(BP933,Parameter!$F$35:$G$64,2,0),2)),IF(OR(IFERROR(VLOOKUP(D933,Parameter!$A$35:$C$64,2,0),"Nein")="Nein",IFERROR(VLOOKUP(D933,Parameter!$A$35:$C$64,2,0),"Nein")=""),"-",VLOOKUP(D933,Parameter!$A$35:$C$64,2,0)))))</f>
        <v>3</v>
      </c>
      <c r="Y933" s="62"/>
      <c r="Z933" s="63"/>
      <c r="AA933" s="57" t="n">
        <f aca="false">AP933</f>
        <v>67</v>
      </c>
      <c r="AB933" s="57" t="n">
        <f aca="false">MAX(AP933,G933)</f>
        <v>67</v>
      </c>
      <c r="AC933" s="64"/>
      <c r="AD933" s="57" t="n">
        <f aca="false">IF(LEFT(Cockpit!$C$5,1)="A",G933,IF(BW933=1,BX933,IF(LEFT(Cockpit!$C$5,1)="B",AH933,MAX(AH933,G933))))</f>
        <v>0</v>
      </c>
      <c r="AE933" s="57" t="n">
        <f aca="false">IF(BR933=1,0,ROUNDUP(AD933/BQ933,0))</f>
        <v>0</v>
      </c>
      <c r="AF933" s="59" t="n">
        <f aca="false">IF(CD933&gt;0,CD933*MAX(1,AD933/V933),IF(BR933=1,IF(AD933&lt;=0,0,BS933*MAX(1,IF(G933&gt;0,AD933/G933,1))),IF(Q933&gt;0,AE933/Q933,0))/MAX(0.1,N(Parameter!$M$21)))</f>
        <v>0</v>
      </c>
      <c r="AG933" s="57" t="n">
        <f aca="false">AD933*F933</f>
        <v>0</v>
      </c>
      <c r="AH933" s="57" t="n">
        <f aca="false">ROUNDUP(MAX(I933/IF(BV933&gt;0,BV933,MAX(0.1,N(Cockpit!$C$6))),BY933)/BQ933,0)*BQ933</f>
        <v>67</v>
      </c>
      <c r="AI933" s="58" t="n">
        <f aca="false">IF(AF933&gt;0,I933/AF933,-1)</f>
        <v>-1</v>
      </c>
      <c r="AJ933" s="58" t="str">
        <f aca="false">IF(AND(OR(BU933="L1",BU933="L23"),AF933&gt;0),SUMIFS($AF$7:$AF$1576,$BU$7:$BU$1576,BU933,$AI$7:$AI$1576,"&gt;"&amp;AI933)+SUMIFS($AF$7:$AF$1576,$BU$7:$BU$1576,BU933,$AI$7:$AI$1576,AI933,$BO$7:$BO$1576,"&lt;="&amp;BO933),"")</f>
        <v/>
      </c>
      <c r="AK933" s="65" t="n">
        <f aca="false">IF(AJ933="",0,MAX(0,MIN(1,(IF(BU933="L1",Parameter!$E$5,Parameter!$E$6+Parameter!$E$7)-(AJ933-AF933))/AF933)))</f>
        <v>0</v>
      </c>
      <c r="AL933" s="57" t="n">
        <f aca="false">IF(LEFT(Cockpit!$I$5,1)="A",G933,IF(BW933=1,BX933,IF(LEFT(Cockpit!$I$5,1)="B",AP933,MAX(AP933,G933))))</f>
        <v>67</v>
      </c>
      <c r="AM933" s="57" t="n">
        <f aca="false">IF(BR933=1,0,ROUNDUP(AL933/BQ933,0))</f>
        <v>1</v>
      </c>
      <c r="AN933" s="59" t="n">
        <f aca="false">IF(CD933&gt;0,CD933*MAX(1,AL933/V933),IF(BR933=1,IF(AL933&lt;=0,0,BS933*MAX(1,IF(G933&gt;0,AL933/G933,1))),IF(Q933&gt;0,AM933/Q933,0))/MAX(0.1,N(Parameter!$M$21)))</f>
        <v>0.00505050505050505</v>
      </c>
      <c r="AO933" s="57" t="n">
        <f aca="false">AL933*F933</f>
        <v>670</v>
      </c>
      <c r="AP933" s="57" t="n">
        <f aca="false">ROUNDUP(MAX(I933/IF(BV933&gt;0,BV933,MAX(0.1,N(Cockpit!$I$6))),BY933)/BQ933,0)*BQ933</f>
        <v>67</v>
      </c>
      <c r="AQ933" s="58" t="n">
        <f aca="false">IF(AN933&gt;0,I933/AN933,-1)</f>
        <v>0</v>
      </c>
      <c r="AR933" s="58" t="n">
        <f aca="false">IF(AND(OR(BU933="L1",BU933="L23"),AN933&gt;0),SUMIFS($AN$7:$AN$1576,$BU$7:$BU$1576,BU933,$AQ$7:$AQ$1576,"&gt;"&amp;AQ933)+SUMIFS($AN$7:$AN$1576,$BU$7:$BU$1576,BU933,$AQ$7:$AQ$1576,AQ933,$BO$7:$BO$1576,"&lt;="&amp;BO933),"")</f>
        <v>131.492941864946</v>
      </c>
      <c r="AS933" s="65" t="n">
        <f aca="false">IF(AR933="",0,MAX(0,MIN(1,(IF(BU933="L1",Parameter!$E$5,Parameter!$E$6+Parameter!$E$7)-(AR933-AN933))/AN933)))</f>
        <v>0</v>
      </c>
      <c r="AT933" s="57" t="n">
        <f aca="false">IF(LEFT(Cockpit!$O$5,1)="A",G933,IF(BW933=1,BX933,IF(LEFT(Cockpit!$O$5,1)="B",AX933,MAX(AX933,G933))))</f>
        <v>67</v>
      </c>
      <c r="AU933" s="57" t="n">
        <f aca="false">IF(BR933=1,0,ROUNDUP(AT933/BQ933,0))</f>
        <v>1</v>
      </c>
      <c r="AV933" s="59" t="n">
        <f aca="false">IF(CD933&gt;0,CD933*MAX(1,AT933/V933),IF(BR933=1,IF(AT933&lt;=0,0,BS933*MAX(1,IF(G933&gt;0,AT933/G933,1))),IF(Q933&gt;0,AU933/Q933,0))/MAX(0.1,N(Parameter!$M$21)))</f>
        <v>0.00505050505050505</v>
      </c>
      <c r="AW933" s="57" t="n">
        <f aca="false">AT933*F933</f>
        <v>670</v>
      </c>
      <c r="AX933" s="57" t="n">
        <f aca="false">ROUNDUP(MAX(I933/IF(BV933&gt;0,BV933,MAX(0.1,N(Cockpit!$O$6))),BY933)/BQ933,0)*BQ933</f>
        <v>67</v>
      </c>
      <c r="AY933" s="58" t="n">
        <f aca="false">IF(AV933&gt;0,I933/AV933,-1)</f>
        <v>0</v>
      </c>
      <c r="AZ933" s="58" t="n">
        <f aca="false">IF(AND(OR(BU933="L1",BU933="L23"),AV933&gt;0),SUMIFS($AV$7:$AV$1576,$BU$7:$BU$1576,BU933,$AY$7:$AY$1576,"&gt;"&amp;AY933)+SUMIFS($AV$7:$AV$1576,$BU$7:$BU$1576,BU933,$AY$7:$AY$1576,AY933,$BO$7:$BO$1576,"&lt;="&amp;BO933),"")</f>
        <v>121.552492314496</v>
      </c>
      <c r="BA933" s="65" t="n">
        <f aca="false">IF(AZ933="",0,MAX(0,MIN(1,(IF(BU933="L1",Parameter!$E$5,Parameter!$E$6+Parameter!$E$7)-(AZ933-AV933))/AV933)))</f>
        <v>0</v>
      </c>
      <c r="BB933" s="55" t="str">
        <f aca="false">IF(AF933&lt;=0,"",IF(BU933="Aussen","Aussenlager",IF(BU933="-","Nicht im Lift",IF(AK933&gt;=1,"Lift",IF(AK933&lt;=0,"Aussenlager","teilweise")))))</f>
        <v/>
      </c>
      <c r="BC933" s="55" t="str">
        <f aca="false">IF(AN933&lt;=0,"",IF(BU933="Aussen","Aussenlager",IF(BU933="-","Nicht im Lift",IF(AS933&gt;=1,"Lift",IF(AS933&lt;=0,"Aussenlager","teilweise")))))</f>
        <v>Aussenlager</v>
      </c>
      <c r="BD933" s="55" t="str">
        <f aca="false">IF(AV933&lt;=0,"",IF(BU933="Aussen","Aussenlager",IF(BU933="-","Nicht im Lift",IF(BA933&gt;=1,"Lift",IF(BA933&lt;=0,"Aussenlager","teilweise")))))</f>
        <v>Aussenlager</v>
      </c>
      <c r="BE933" s="55" t="str">
        <f aca="false">IF(A933="","",IF(BN933=1,"Neu; ","")&amp;IF(AND(BN933=0,BI933&lt;0),"negativer Bestand (Export "&amp;BI933&amp;"); ","")&amp;IF(I933&lt;=0,"Kein Verbrauch; ","")&amp;IF(CD933&gt;0,"Lift "&amp;U933&amp;" lt. Liftbericht (Fach "&amp;V933&amp;" Stk); ",IF(BR933=1,"Lose – Fläche geschätzt; ",""))&amp;IF(G933&gt;AP933,"Überbestand "&amp;ROUND(G933-AP933,0)&amp;" Stk / CHF "&amp;ROUND((G933-AP933)*F933,0)&amp;"; ","")&amp;IF(AND(BW933=1,BX933&lt;BY933),"MAX &lt; MB+LG; ","")&amp;IF(AND(CC933&gt;0,CB933*10&gt;CC933),"zu hoch für Tablar; ","")&amp;IF(AND(BN933=0,OR(BW933=1,Y933&lt;&gt;"",S933&lt;&gt;"",T933&lt;&gt;"",Z933&lt;&gt;"")),"manuell übersteuert; ","")&amp;IF(AND(BR933=0,Q933=0),"Gebinde unbekannt / Stellmass fehlt; ","")&amp;IF(AND(BR933=0,N(T933)&lt;=0,N(P933)&lt;=0),"Menge pro Gebinde fehlt (Ist = 1 Gebinde); ","")&amp;BM933)</f>
        <v>negativer Bestand (Export -5); Kein Verbrauch; </v>
      </c>
      <c r="BF933" s="55"/>
      <c r="BG933" s="55"/>
      <c r="BH933" s="62"/>
      <c r="BI933" s="57" t="n">
        <v>-5</v>
      </c>
      <c r="BJ933" s="57" t="n">
        <v>78</v>
      </c>
      <c r="BK933" s="56" t="n">
        <v>-50</v>
      </c>
      <c r="BL933" s="57" t="n">
        <v>0</v>
      </c>
      <c r="BM933" s="55"/>
      <c r="BN933" s="60" t="n">
        <v>0</v>
      </c>
      <c r="BO933" s="60" t="n">
        <v>933</v>
      </c>
      <c r="BP933" s="55" t="str">
        <f aca="false">IF(S933&lt;&gt;"",UPPER(TRIM(S933)),IF(O933="","LOSE",O933))</f>
        <v>S22</v>
      </c>
      <c r="BQ933" s="57" t="n">
        <f aca="false">IF(BP933="LOSE",1,IF(N(T933)&gt;0,T933,IF(N(P933)&gt;0,P933,MAX(1,G933))))</f>
        <v>67</v>
      </c>
      <c r="BR933" s="60" t="n">
        <f aca="false">IF(BP933="LOSE",1,0)</f>
        <v>0</v>
      </c>
      <c r="BS933" s="59" t="n">
        <f aca="false">IF(BR933=0,0,IF(N(R933)&gt;0,R933,IFERROR(VLOOKUP(D933,Parameter!$A$35:$C$64,3,0)+0,0)))</f>
        <v>0</v>
      </c>
      <c r="BT933" s="55" t="n">
        <f aca="false">IF(Y933&lt;&gt;"",Y933,X933)</f>
        <v>3</v>
      </c>
      <c r="BU933" s="55" t="str">
        <f aca="false">IF(BT933=1,"L1",IF(OR(BT933=2,BT933=3),"L23",IF(BT933="Aussen","Aussen","-")))</f>
        <v>L23</v>
      </c>
      <c r="BV933" s="66" t="n">
        <f aca="false">IF(N(Z933)&gt;0,Z933,0)</f>
        <v>0</v>
      </c>
      <c r="BW933" s="60" t="n">
        <f aca="false">IF(ISNUMBER(AC933),1,0)</f>
        <v>0</v>
      </c>
      <c r="BX933" s="57" t="n">
        <f aca="false">N(AC933)</f>
        <v>0</v>
      </c>
      <c r="BY933" s="57" t="n">
        <f aca="false">N(L933)+N(M933)</f>
        <v>1</v>
      </c>
      <c r="BZ933" s="57" t="n">
        <f aca="false">ROUNDUP(G933/BQ933,0)</f>
        <v>0</v>
      </c>
      <c r="CA933" s="57" t="n">
        <f aca="false">ROUNDUP(BX933/BQ933,0)</f>
        <v>0</v>
      </c>
      <c r="CB933" s="60" t="n">
        <f aca="false">IF(BR933=1,0,IFERROR(VLOOKUP(BP933,'Gebinde-Kategorie'!$A$5:$M$45,5,0)+0,0))</f>
        <v>8</v>
      </c>
      <c r="CC933" s="60" t="n">
        <f aca="false">IFERROR(IF(OR(BT933=1,BT933=2,BT933=3),N(INDEX(Parameter!$I$5:$I$7,BT933)),0),0)</f>
        <v>0</v>
      </c>
      <c r="CD933" s="59" t="n">
        <f aca="false">IF(AND(Parameter!$B$21="Ja",ISNUMBER(U933),N(V933)&gt;0),IFERROR(N(INDEX(Parameter!$L$5:$L$7,U933))*INDEX(Parameter!$E$5:$E$7,U933)*V933/SUMIFS($V$7:$V$1576,$U$7:$U$1576,U933),0),0)</f>
        <v>0</v>
      </c>
    </row>
    <row r="934" customFormat="false" ht="15" hidden="false" customHeight="false" outlineLevel="0" collapsed="false">
      <c r="A934" s="55" t="s">
        <v>1731</v>
      </c>
      <c r="B934" s="55" t="s">
        <v>677</v>
      </c>
      <c r="C934" s="55" t="s">
        <v>160</v>
      </c>
      <c r="D934" s="55" t="s">
        <v>178</v>
      </c>
      <c r="E934" s="55" t="s">
        <v>210</v>
      </c>
      <c r="F934" s="56" t="n">
        <v>14.65</v>
      </c>
      <c r="G934" s="57" t="n">
        <f aca="false">MAX(0,IF(AND(Parameter!$B$21="Ja",ISNUMBER(W934)),W934,IF(Parameter!$B$20="Jahresanfang 2025 + Export",BJ934+BI934,BI934)))</f>
        <v>2</v>
      </c>
      <c r="H934" s="57" t="n">
        <f aca="false">G934*F934</f>
        <v>29.3</v>
      </c>
      <c r="I934" s="57" t="n">
        <f aca="false">BL934*Parameter!$B$18</f>
        <v>29</v>
      </c>
      <c r="J934" s="58" t="n">
        <v>25.5</v>
      </c>
      <c r="K934" s="59" t="n">
        <v>1.13725490196078</v>
      </c>
      <c r="L934" s="57" t="n">
        <v>2</v>
      </c>
      <c r="M934" s="57" t="n">
        <v>30</v>
      </c>
      <c r="N934" s="60" t="n">
        <v>28</v>
      </c>
      <c r="O934" s="55" t="s">
        <v>225</v>
      </c>
      <c r="P934" s="57" t="n">
        <v>46</v>
      </c>
      <c r="Q934" s="60" t="n">
        <f aca="false">IF(BR934=1,0,IFERROR(VLOOKUP(BP934,'Gebinde-Kategorie'!$A$5:$M$45,13,0)+0,0))</f>
        <v>26</v>
      </c>
      <c r="R934" s="61"/>
      <c r="S934" s="62"/>
      <c r="T934" s="62"/>
      <c r="U934" s="55"/>
      <c r="V934" s="57"/>
      <c r="W934" s="57"/>
      <c r="X934" s="55" t="n">
        <f aca="false">IF(A934="","",IF(AND(Parameter!$B$21="Ja",ISNUMBER(U934)),U934,IF(IFERROR(VLOOKUP(D934,Parameter!$A$35:$C$64,2,0),"Nein")="2+3",IF(ISNUMBER(SEARCH("grosser Artikel",BM934)),2,IFERROR(VLOOKUP(BP934,Parameter!$F$35:$G$64,2,0),2)),IF(OR(IFERROR(VLOOKUP(D934,Parameter!$A$35:$C$64,2,0),"Nein")="Nein",IFERROR(VLOOKUP(D934,Parameter!$A$35:$C$64,2,0),"Nein")=""),"-",VLOOKUP(D934,Parameter!$A$35:$C$64,2,0)))))</f>
        <v>3</v>
      </c>
      <c r="Y934" s="62"/>
      <c r="Z934" s="63"/>
      <c r="AA934" s="57" t="n">
        <f aca="false">AP934</f>
        <v>46</v>
      </c>
      <c r="AB934" s="57" t="n">
        <f aca="false">MAX(AP934,G934)</f>
        <v>46</v>
      </c>
      <c r="AC934" s="64"/>
      <c r="AD934" s="57" t="n">
        <f aca="false">IF(LEFT(Cockpit!$C$5,1)="A",G934,IF(BW934=1,BX934,IF(LEFT(Cockpit!$C$5,1)="B",AH934,MAX(AH934,G934))))</f>
        <v>2</v>
      </c>
      <c r="AE934" s="57" t="n">
        <f aca="false">IF(BR934=1,0,ROUNDUP(AD934/BQ934,0))</f>
        <v>1</v>
      </c>
      <c r="AF934" s="59" t="n">
        <f aca="false">IF(CD934&gt;0,CD934*MAX(1,AD934/V934),IF(BR934=1,IF(AD934&lt;=0,0,BS934*MAX(1,IF(G934&gt;0,AD934/G934,1))),IF(Q934&gt;0,AE934/Q934,0))/MAX(0.1,N(Parameter!$M$21)))</f>
        <v>0.0384615384615385</v>
      </c>
      <c r="AG934" s="57" t="n">
        <f aca="false">AD934*F934</f>
        <v>29.3</v>
      </c>
      <c r="AH934" s="57" t="n">
        <f aca="false">ROUNDUP(MAX(I934/IF(BV934&gt;0,BV934,MAX(0.1,N(Cockpit!$C$6))),BY934)/BQ934,0)*BQ934</f>
        <v>46</v>
      </c>
      <c r="AI934" s="58" t="n">
        <f aca="false">IF(AF934&gt;0,I934/AF934,-1)</f>
        <v>754</v>
      </c>
      <c r="AJ934" s="58" t="n">
        <f aca="false">IF(AND(OR(BU934="L1",BU934="L23"),AF934&gt;0),SUMIFS($AF$7:$AF$1576,$BU$7:$BU$1576,BU934,$AI$7:$AI$1576,"&gt;"&amp;AI934)+SUMIFS($AF$7:$AF$1576,$BU$7:$BU$1576,BU934,$AI$7:$AI$1576,AI934,$BO$7:$BO$1576,"&lt;="&amp;BO934),"")</f>
        <v>11.0175092057701</v>
      </c>
      <c r="AK934" s="65" t="n">
        <f aca="false">IF(AJ934="",0,MAX(0,MIN(1,(IF(BU934="L1",Parameter!$E$5,Parameter!$E$6+Parameter!$E$7)-(AJ934-AF934))/AF934)))</f>
        <v>1</v>
      </c>
      <c r="AL934" s="57" t="n">
        <f aca="false">IF(LEFT(Cockpit!$I$5,1)="A",G934,IF(BW934=1,BX934,IF(LEFT(Cockpit!$I$5,1)="B",AP934,MAX(AP934,G934))))</f>
        <v>46</v>
      </c>
      <c r="AM934" s="57" t="n">
        <f aca="false">IF(BR934=1,0,ROUNDUP(AL934/BQ934,0))</f>
        <v>1</v>
      </c>
      <c r="AN934" s="59" t="n">
        <f aca="false">IF(CD934&gt;0,CD934*MAX(1,AL934/V934),IF(BR934=1,IF(AL934&lt;=0,0,BS934*MAX(1,IF(G934&gt;0,AL934/G934,1))),IF(Q934&gt;0,AM934/Q934,0))/MAX(0.1,N(Parameter!$M$21)))</f>
        <v>0.0384615384615385</v>
      </c>
      <c r="AO934" s="57" t="n">
        <f aca="false">AL934*F934</f>
        <v>673.9</v>
      </c>
      <c r="AP934" s="57" t="n">
        <f aca="false">ROUNDUP(MAX(I934/IF(BV934&gt;0,BV934,MAX(0.1,N(Cockpit!$I$6))),BY934)/BQ934,0)*BQ934</f>
        <v>46</v>
      </c>
      <c r="AQ934" s="58" t="n">
        <f aca="false">IF(AN934&gt;0,I934/AN934,-1)</f>
        <v>754</v>
      </c>
      <c r="AR934" s="58" t="n">
        <f aca="false">IF(AND(OR(BU934="L1",BU934="L23"),AN934&gt;0),SUMIFS($AN$7:$AN$1576,$BU$7:$BU$1576,BU934,$AQ$7:$AQ$1576,"&gt;"&amp;AQ934)+SUMIFS($AN$7:$AN$1576,$BU$7:$BU$1576,BU934,$AQ$7:$AQ$1576,AQ934,$BO$7:$BO$1576,"&lt;="&amp;BO934),"")</f>
        <v>26.8309691881543</v>
      </c>
      <c r="AS934" s="65" t="n">
        <f aca="false">IF(AR934="",0,MAX(0,MIN(1,(IF(BU934="L1",Parameter!$E$5,Parameter!$E$6+Parameter!$E$7)-(AR934-AN934))/AN934)))</f>
        <v>1</v>
      </c>
      <c r="AT934" s="57" t="n">
        <f aca="false">IF(LEFT(Cockpit!$O$5,1)="A",G934,IF(BW934=1,BX934,IF(LEFT(Cockpit!$O$5,1)="B",AX934,MAX(AX934,G934))))</f>
        <v>46</v>
      </c>
      <c r="AU934" s="57" t="n">
        <f aca="false">IF(BR934=1,0,ROUNDUP(AT934/BQ934,0))</f>
        <v>1</v>
      </c>
      <c r="AV934" s="59" t="n">
        <f aca="false">IF(CD934&gt;0,CD934*MAX(1,AT934/V934),IF(BR934=1,IF(AT934&lt;=0,0,BS934*MAX(1,IF(G934&gt;0,AT934/G934,1))),IF(Q934&gt;0,AU934/Q934,0))/MAX(0.1,N(Parameter!$M$21)))</f>
        <v>0.0384615384615385</v>
      </c>
      <c r="AW934" s="57" t="n">
        <f aca="false">AT934*F934</f>
        <v>673.9</v>
      </c>
      <c r="AX934" s="57" t="n">
        <f aca="false">ROUNDUP(MAX(I934/IF(BV934&gt;0,BV934,MAX(0.1,N(Cockpit!$O$6))),BY934)/BQ934,0)*BQ934</f>
        <v>46</v>
      </c>
      <c r="AY934" s="58" t="n">
        <f aca="false">IF(AV934&gt;0,I934/AV934,-1)</f>
        <v>754</v>
      </c>
      <c r="AZ934" s="58" t="n">
        <f aca="false">IF(AND(OR(BU934="L1",BU934="L23"),AV934&gt;0),SUMIFS($AV$7:$AV$1576,$BU$7:$BU$1576,BU934,$AY$7:$AY$1576,"&gt;"&amp;AY934)+SUMIFS($AV$7:$AV$1576,$BU$7:$BU$1576,BU934,$AY$7:$AY$1576,AY934,$BO$7:$BO$1576,"&lt;="&amp;BO934),"")</f>
        <v>26.8979855051706</v>
      </c>
      <c r="BA934" s="65" t="n">
        <f aca="false">IF(AZ934="",0,MAX(0,MIN(1,(IF(BU934="L1",Parameter!$E$5,Parameter!$E$6+Parameter!$E$7)-(AZ934-AV934))/AV934)))</f>
        <v>1</v>
      </c>
      <c r="BB934" s="55" t="str">
        <f aca="false">IF(AF934&lt;=0,"",IF(BU934="Aussen","Aussenlager",IF(BU934="-","Nicht im Lift",IF(AK934&gt;=1,"Lift",IF(AK934&lt;=0,"Aussenlager","teilweise")))))</f>
        <v>Lift</v>
      </c>
      <c r="BC934" s="55" t="str">
        <f aca="false">IF(AN934&lt;=0,"",IF(BU934="Aussen","Aussenlager",IF(BU934="-","Nicht im Lift",IF(AS934&gt;=1,"Lift",IF(AS934&lt;=0,"Aussenlager","teilweise")))))</f>
        <v>Lift</v>
      </c>
      <c r="BD934" s="55" t="str">
        <f aca="false">IF(AV934&lt;=0,"",IF(BU934="Aussen","Aussenlager",IF(BU934="-","Nicht im Lift",IF(BA934&gt;=1,"Lift",IF(BA934&lt;=0,"Aussenlager","teilweise")))))</f>
        <v>Lift</v>
      </c>
      <c r="BE934" s="55" t="str">
        <f aca="false">IF(A934="","",IF(BN934=1,"Neu; ","")&amp;IF(AND(BN934=0,BI934&lt;0),"negativer Bestand (Export "&amp;BI934&amp;"); ","")&amp;IF(I934&lt;=0,"Kein Verbrauch; ","")&amp;IF(CD934&gt;0,"Lift "&amp;U934&amp;" lt. Liftbericht (Fach "&amp;V934&amp;" Stk); ",IF(BR934=1,"Lose – Fläche geschätzt; ",""))&amp;IF(G934&gt;AP934,"Überbestand "&amp;ROUND(G934-AP934,0)&amp;" Stk / CHF "&amp;ROUND((G934-AP934)*F934,0)&amp;"; ","")&amp;IF(AND(BW934=1,BX934&lt;BY934),"MAX &lt; MB+LG; ","")&amp;IF(AND(CC934&gt;0,CB934*10&gt;CC934),"zu hoch für Tablar; ","")&amp;IF(AND(BN934=0,OR(BW934=1,Y934&lt;&gt;"",S934&lt;&gt;"",T934&lt;&gt;"",Z934&lt;&gt;"")),"manuell übersteuert; ","")&amp;IF(AND(BR934=0,Q934=0),"Gebinde unbekannt / Stellmass fehlt; ","")&amp;IF(AND(BR934=0,N(T934)&lt;=0,N(P934)&lt;=0),"Menge pro Gebinde fehlt (Ist = 1 Gebinde); ","")&amp;BM934)</f>
        <v/>
      </c>
      <c r="BF934" s="55"/>
      <c r="BG934" s="55"/>
      <c r="BH934" s="62"/>
      <c r="BI934" s="57" t="n">
        <v>2</v>
      </c>
      <c r="BJ934" s="57" t="n">
        <v>20</v>
      </c>
      <c r="BK934" s="56" t="n">
        <v>-50.7000000000002</v>
      </c>
      <c r="BL934" s="57" t="n">
        <v>29</v>
      </c>
      <c r="BM934" s="55"/>
      <c r="BN934" s="60" t="n">
        <v>0</v>
      </c>
      <c r="BO934" s="60" t="n">
        <v>934</v>
      </c>
      <c r="BP934" s="55" t="str">
        <f aca="false">IF(S934&lt;&gt;"",UPPER(TRIM(S934)),IF(O934="","LOSE",O934))</f>
        <v>S52</v>
      </c>
      <c r="BQ934" s="57" t="n">
        <f aca="false">IF(BP934="LOSE",1,IF(N(T934)&gt;0,T934,IF(N(P934)&gt;0,P934,MAX(1,G934))))</f>
        <v>46</v>
      </c>
      <c r="BR934" s="60" t="n">
        <f aca="false">IF(BP934="LOSE",1,0)</f>
        <v>0</v>
      </c>
      <c r="BS934" s="59" t="n">
        <f aca="false">IF(BR934=0,0,IF(N(R934)&gt;0,R934,IFERROR(VLOOKUP(D934,Parameter!$A$35:$C$64,3,0)+0,0)))</f>
        <v>0</v>
      </c>
      <c r="BT934" s="55" t="n">
        <f aca="false">IF(Y934&lt;&gt;"",Y934,X934)</f>
        <v>3</v>
      </c>
      <c r="BU934" s="55" t="str">
        <f aca="false">IF(BT934=1,"L1",IF(OR(BT934=2,BT934=3),"L23",IF(BT934="Aussen","Aussen","-")))</f>
        <v>L23</v>
      </c>
      <c r="BV934" s="66" t="n">
        <f aca="false">IF(N(Z934)&gt;0,Z934,0)</f>
        <v>0</v>
      </c>
      <c r="BW934" s="60" t="n">
        <f aca="false">IF(ISNUMBER(AC934),1,0)</f>
        <v>0</v>
      </c>
      <c r="BX934" s="57" t="n">
        <f aca="false">N(AC934)</f>
        <v>0</v>
      </c>
      <c r="BY934" s="57" t="n">
        <f aca="false">N(L934)+N(M934)</f>
        <v>32</v>
      </c>
      <c r="BZ934" s="57" t="n">
        <f aca="false">ROUNDUP(G934/BQ934,0)</f>
        <v>1</v>
      </c>
      <c r="CA934" s="57" t="n">
        <f aca="false">ROUNDUP(BX934/BQ934,0)</f>
        <v>0</v>
      </c>
      <c r="CB934" s="60" t="n">
        <f aca="false">IF(BR934=1,0,IFERROR(VLOOKUP(BP934,'Gebinde-Kategorie'!$A$5:$M$45,5,0)+0,0))</f>
        <v>21</v>
      </c>
      <c r="CC934" s="60" t="n">
        <f aca="false">IFERROR(IF(OR(BT934=1,BT934=2,BT934=3),N(INDEX(Parameter!$I$5:$I$7,BT934)),0),0)</f>
        <v>0</v>
      </c>
      <c r="CD934" s="59" t="n">
        <f aca="false">IF(AND(Parameter!$B$21="Ja",ISNUMBER(U934),N(V934)&gt;0),IFERROR(N(INDEX(Parameter!$L$5:$L$7,U934))*INDEX(Parameter!$E$5:$E$7,U934)*V934/SUMIFS($V$7:$V$1576,$U$7:$U$1576,U934),0),0)</f>
        <v>0</v>
      </c>
    </row>
    <row r="935" customFormat="false" ht="15" hidden="false" customHeight="false" outlineLevel="0" collapsed="false">
      <c r="A935" s="55" t="s">
        <v>1732</v>
      </c>
      <c r="B935" s="55" t="s">
        <v>1733</v>
      </c>
      <c r="C935" s="55" t="s">
        <v>160</v>
      </c>
      <c r="D935" s="55" t="s">
        <v>178</v>
      </c>
      <c r="E935" s="55" t="s">
        <v>210</v>
      </c>
      <c r="F935" s="56" t="n">
        <v>16.96</v>
      </c>
      <c r="G935" s="57" t="n">
        <f aca="false">MAX(0,IF(AND(Parameter!$B$21="Ja",ISNUMBER(W935)),W935,IF(Parameter!$B$20="Jahresanfang 2025 + Export",BJ935+BI935,BI935)))</f>
        <v>0</v>
      </c>
      <c r="H935" s="57" t="n">
        <f aca="false">G935*F935</f>
        <v>0</v>
      </c>
      <c r="I935" s="57" t="n">
        <f aca="false">BL935*Parameter!$B$18</f>
        <v>3</v>
      </c>
      <c r="J935" s="58" t="n">
        <v>5.5</v>
      </c>
      <c r="K935" s="59" t="n">
        <v>0.545454545454545</v>
      </c>
      <c r="L935" s="57" t="n">
        <v>0</v>
      </c>
      <c r="M935" s="57" t="n">
        <v>5</v>
      </c>
      <c r="N935" s="60" t="n">
        <v>42</v>
      </c>
      <c r="O935" s="55" t="s">
        <v>391</v>
      </c>
      <c r="P935" s="57" t="n">
        <v>5</v>
      </c>
      <c r="Q935" s="60" t="n">
        <f aca="false">IF(BR935=1,0,IFERROR(VLOOKUP(BP935,'Gebinde-Kategorie'!$A$5:$M$45,13,0)+0,0))</f>
        <v>414</v>
      </c>
      <c r="R935" s="61"/>
      <c r="S935" s="62"/>
      <c r="T935" s="62"/>
      <c r="U935" s="55"/>
      <c r="V935" s="57"/>
      <c r="W935" s="57"/>
      <c r="X935" s="55" t="n">
        <f aca="false">IF(A935="","",IF(AND(Parameter!$B$21="Ja",ISNUMBER(U935)),U935,IF(IFERROR(VLOOKUP(D935,Parameter!$A$35:$C$64,2,0),"Nein")="2+3",IF(ISNUMBER(SEARCH("grosser Artikel",BM935)),2,IFERROR(VLOOKUP(BP935,Parameter!$F$35:$G$64,2,0),2)),IF(OR(IFERROR(VLOOKUP(D935,Parameter!$A$35:$C$64,2,0),"Nein")="Nein",IFERROR(VLOOKUP(D935,Parameter!$A$35:$C$64,2,0),"Nein")=""),"-",VLOOKUP(D935,Parameter!$A$35:$C$64,2,0)))))</f>
        <v>3</v>
      </c>
      <c r="Y935" s="62"/>
      <c r="Z935" s="63"/>
      <c r="AA935" s="57" t="n">
        <f aca="false">AP935</f>
        <v>5</v>
      </c>
      <c r="AB935" s="57" t="n">
        <f aca="false">MAX(AP935,G935)</f>
        <v>5</v>
      </c>
      <c r="AC935" s="64"/>
      <c r="AD935" s="57" t="n">
        <f aca="false">IF(LEFT(Cockpit!$C$5,1)="A",G935,IF(BW935=1,BX935,IF(LEFT(Cockpit!$C$5,1)="B",AH935,MAX(AH935,G935))))</f>
        <v>0</v>
      </c>
      <c r="AE935" s="57" t="n">
        <f aca="false">IF(BR935=1,0,ROUNDUP(AD935/BQ935,0))</f>
        <v>0</v>
      </c>
      <c r="AF935" s="59" t="n">
        <f aca="false">IF(CD935&gt;0,CD935*MAX(1,AD935/V935),IF(BR935=1,IF(AD935&lt;=0,0,BS935*MAX(1,IF(G935&gt;0,AD935/G935,1))),IF(Q935&gt;0,AE935/Q935,0))/MAX(0.1,N(Parameter!$M$21)))</f>
        <v>0</v>
      </c>
      <c r="AG935" s="57" t="n">
        <f aca="false">AD935*F935</f>
        <v>0</v>
      </c>
      <c r="AH935" s="57" t="n">
        <f aca="false">ROUNDUP(MAX(I935/IF(BV935&gt;0,BV935,MAX(0.1,N(Cockpit!$C$6))),BY935)/BQ935,0)*BQ935</f>
        <v>5</v>
      </c>
      <c r="AI935" s="58" t="n">
        <f aca="false">IF(AF935&gt;0,I935/AF935,-1)</f>
        <v>-1</v>
      </c>
      <c r="AJ935" s="58" t="str">
        <f aca="false">IF(AND(OR(BU935="L1",BU935="L23"),AF935&gt;0),SUMIFS($AF$7:$AF$1576,$BU$7:$BU$1576,BU935,$AI$7:$AI$1576,"&gt;"&amp;AI935)+SUMIFS($AF$7:$AF$1576,$BU$7:$BU$1576,BU935,$AI$7:$AI$1576,AI935,$BO$7:$BO$1576,"&lt;="&amp;BO935),"")</f>
        <v/>
      </c>
      <c r="AK935" s="65" t="n">
        <f aca="false">IF(AJ935="",0,MAX(0,MIN(1,(IF(BU935="L1",Parameter!$E$5,Parameter!$E$6+Parameter!$E$7)-(AJ935-AF935))/AF935)))</f>
        <v>0</v>
      </c>
      <c r="AL935" s="57" t="n">
        <f aca="false">IF(LEFT(Cockpit!$I$5,1)="A",G935,IF(BW935=1,BX935,IF(LEFT(Cockpit!$I$5,1)="B",AP935,MAX(AP935,G935))))</f>
        <v>5</v>
      </c>
      <c r="AM935" s="57" t="n">
        <f aca="false">IF(BR935=1,0,ROUNDUP(AL935/BQ935,0))</f>
        <v>1</v>
      </c>
      <c r="AN935" s="59" t="n">
        <f aca="false">IF(CD935&gt;0,CD935*MAX(1,AL935/V935),IF(BR935=1,IF(AL935&lt;=0,0,BS935*MAX(1,IF(G935&gt;0,AL935/G935,1))),IF(Q935&gt;0,AM935/Q935,0))/MAX(0.1,N(Parameter!$M$21)))</f>
        <v>0.00241545893719807</v>
      </c>
      <c r="AO935" s="57" t="n">
        <f aca="false">AL935*F935</f>
        <v>84.8</v>
      </c>
      <c r="AP935" s="57" t="n">
        <f aca="false">ROUNDUP(MAX(I935/IF(BV935&gt;0,BV935,MAX(0.1,N(Cockpit!$I$6))),BY935)/BQ935,0)*BQ935</f>
        <v>5</v>
      </c>
      <c r="AQ935" s="58" t="n">
        <f aca="false">IF(AN935&gt;0,I935/AN935,-1)</f>
        <v>1242</v>
      </c>
      <c r="AR935" s="58" t="n">
        <f aca="false">IF(AND(OR(BU935="L1",BU935="L23"),AN935&gt;0),SUMIFS($AN$7:$AN$1576,$BU$7:$BU$1576,BU935,$AQ$7:$AQ$1576,"&gt;"&amp;AQ935)+SUMIFS($AN$7:$AN$1576,$BU$7:$BU$1576,BU935,$AQ$7:$AQ$1576,AQ935,$BO$7:$BO$1576,"&lt;="&amp;BO935),"")</f>
        <v>20.7315245747966</v>
      </c>
      <c r="AS935" s="65" t="n">
        <f aca="false">IF(AR935="",0,MAX(0,MIN(1,(IF(BU935="L1",Parameter!$E$5,Parameter!$E$6+Parameter!$E$7)-(AR935-AN935))/AN935)))</f>
        <v>1</v>
      </c>
      <c r="AT935" s="57" t="n">
        <f aca="false">IF(LEFT(Cockpit!$O$5,1)="A",G935,IF(BW935=1,BX935,IF(LEFT(Cockpit!$O$5,1)="B",AX935,MAX(AX935,G935))))</f>
        <v>5</v>
      </c>
      <c r="AU935" s="57" t="n">
        <f aca="false">IF(BR935=1,0,ROUNDUP(AT935/BQ935,0))</f>
        <v>1</v>
      </c>
      <c r="AV935" s="59" t="n">
        <f aca="false">IF(CD935&gt;0,CD935*MAX(1,AT935/V935),IF(BR935=1,IF(AT935&lt;=0,0,BS935*MAX(1,IF(G935&gt;0,AT935/G935,1))),IF(Q935&gt;0,AU935/Q935,0))/MAX(0.1,N(Parameter!$M$21)))</f>
        <v>0.00241545893719807</v>
      </c>
      <c r="AW935" s="57" t="n">
        <f aca="false">AT935*F935</f>
        <v>84.8</v>
      </c>
      <c r="AX935" s="57" t="n">
        <f aca="false">ROUNDUP(MAX(I935/IF(BV935&gt;0,BV935,MAX(0.1,N(Cockpit!$O$6))),BY935)/BQ935,0)*BQ935</f>
        <v>5</v>
      </c>
      <c r="AY935" s="58" t="n">
        <f aca="false">IF(AV935&gt;0,I935/AV935,-1)</f>
        <v>1242</v>
      </c>
      <c r="AZ935" s="58" t="n">
        <f aca="false">IF(AND(OR(BU935="L1",BU935="L23"),AV935&gt;0),SUMIFS($AV$7:$AV$1576,$BU$7:$BU$1576,BU935,$AY$7:$AY$1576,"&gt;"&amp;AY935)+SUMIFS($AV$7:$AV$1576,$BU$7:$BU$1576,BU935,$AY$7:$AY$1576,AY935,$BO$7:$BO$1576,"&lt;="&amp;BO935),"")</f>
        <v>19.7921306354027</v>
      </c>
      <c r="BA935" s="65" t="n">
        <f aca="false">IF(AZ935="",0,MAX(0,MIN(1,(IF(BU935="L1",Parameter!$E$5,Parameter!$E$6+Parameter!$E$7)-(AZ935-AV935))/AV935)))</f>
        <v>1</v>
      </c>
      <c r="BB935" s="55" t="str">
        <f aca="false">IF(AF935&lt;=0,"",IF(BU935="Aussen","Aussenlager",IF(BU935="-","Nicht im Lift",IF(AK935&gt;=1,"Lift",IF(AK935&lt;=0,"Aussenlager","teilweise")))))</f>
        <v/>
      </c>
      <c r="BC935" s="55" t="str">
        <f aca="false">IF(AN935&lt;=0,"",IF(BU935="Aussen","Aussenlager",IF(BU935="-","Nicht im Lift",IF(AS935&gt;=1,"Lift",IF(AS935&lt;=0,"Aussenlager","teilweise")))))</f>
        <v>Lift</v>
      </c>
      <c r="BD935" s="55" t="str">
        <f aca="false">IF(AV935&lt;=0,"",IF(BU935="Aussen","Aussenlager",IF(BU935="-","Nicht im Lift",IF(BA935&gt;=1,"Lift",IF(BA935&lt;=0,"Aussenlager","teilweise")))))</f>
        <v>Lift</v>
      </c>
      <c r="BE935" s="55" t="str">
        <f aca="false">IF(A935="","",IF(BN935=1,"Neu; ","")&amp;IF(AND(BN935=0,BI935&lt;0),"negativer Bestand (Export "&amp;BI935&amp;"); ","")&amp;IF(I935&lt;=0,"Kein Verbrauch; ","")&amp;IF(CD935&gt;0,"Lift "&amp;U935&amp;" lt. Liftbericht (Fach "&amp;V935&amp;" Stk); ",IF(BR935=1,"Lose – Fläche geschätzt; ",""))&amp;IF(G935&gt;AP935,"Überbestand "&amp;ROUND(G935-AP935,0)&amp;" Stk / CHF "&amp;ROUND((G935-AP935)*F935,0)&amp;"; ","")&amp;IF(AND(BW935=1,BX935&lt;BY935),"MAX &lt; MB+LG; ","")&amp;IF(AND(CC935&gt;0,CB935*10&gt;CC935),"zu hoch für Tablar; ","")&amp;IF(AND(BN935=0,OR(BW935=1,Y935&lt;&gt;"",S935&lt;&gt;"",T935&lt;&gt;"",Z935&lt;&gt;"")),"manuell übersteuert; ","")&amp;IF(AND(BR935=0,Q935=0),"Gebinde unbekannt / Stellmass fehlt; ","")&amp;IF(AND(BR935=0,N(T935)&lt;=0,N(P935)&lt;=0),"Menge pro Gebinde fehlt (Ist = 1 Gebinde); ","")&amp;BM935)</f>
        <v>negativer Bestand (Export -3); </v>
      </c>
      <c r="BF935" s="55"/>
      <c r="BG935" s="55"/>
      <c r="BH935" s="62"/>
      <c r="BI935" s="57" t="n">
        <v>-3</v>
      </c>
      <c r="BJ935" s="57" t="n">
        <v>7</v>
      </c>
      <c r="BK935" s="56" t="n">
        <v>-50.88</v>
      </c>
      <c r="BL935" s="57" t="n">
        <v>3</v>
      </c>
      <c r="BM935" s="55"/>
      <c r="BN935" s="60" t="n">
        <v>0</v>
      </c>
      <c r="BO935" s="60" t="n">
        <v>935</v>
      </c>
      <c r="BP935" s="55" t="str">
        <f aca="false">IF(S935&lt;&gt;"",UPPER(TRIM(S935)),IF(O935="","LOSE",O935))</f>
        <v>S21</v>
      </c>
      <c r="BQ935" s="57" t="n">
        <f aca="false">IF(BP935="LOSE",1,IF(N(T935)&gt;0,T935,IF(N(P935)&gt;0,P935,MAX(1,G935))))</f>
        <v>5</v>
      </c>
      <c r="BR935" s="60" t="n">
        <f aca="false">IF(BP935="LOSE",1,0)</f>
        <v>0</v>
      </c>
      <c r="BS935" s="59" t="n">
        <f aca="false">IF(BR935=0,0,IF(N(R935)&gt;0,R935,IFERROR(VLOOKUP(D935,Parameter!$A$35:$C$64,3,0)+0,0)))</f>
        <v>0</v>
      </c>
      <c r="BT935" s="55" t="n">
        <f aca="false">IF(Y935&lt;&gt;"",Y935,X935)</f>
        <v>3</v>
      </c>
      <c r="BU935" s="55" t="str">
        <f aca="false">IF(BT935=1,"L1",IF(OR(BT935=2,BT935=3),"L23",IF(BT935="Aussen","Aussen","-")))</f>
        <v>L23</v>
      </c>
      <c r="BV935" s="66" t="n">
        <f aca="false">IF(N(Z935)&gt;0,Z935,0)</f>
        <v>0</v>
      </c>
      <c r="BW935" s="60" t="n">
        <f aca="false">IF(ISNUMBER(AC935),1,0)</f>
        <v>0</v>
      </c>
      <c r="BX935" s="57" t="n">
        <f aca="false">N(AC935)</f>
        <v>0</v>
      </c>
      <c r="BY935" s="57" t="n">
        <f aca="false">N(L935)+N(M935)</f>
        <v>5</v>
      </c>
      <c r="BZ935" s="57" t="n">
        <f aca="false">ROUNDUP(G935/BQ935,0)</f>
        <v>0</v>
      </c>
      <c r="CA935" s="57" t="n">
        <f aca="false">ROUNDUP(BX935/BQ935,0)</f>
        <v>0</v>
      </c>
      <c r="CB935" s="60" t="n">
        <f aca="false">IF(BR935=1,0,IFERROR(VLOOKUP(BP935,'Gebinde-Kategorie'!$A$5:$M$45,5,0)+0,0))</f>
        <v>8</v>
      </c>
      <c r="CC935" s="60" t="n">
        <f aca="false">IFERROR(IF(OR(BT935=1,BT935=2,BT935=3),N(INDEX(Parameter!$I$5:$I$7,BT935)),0),0)</f>
        <v>0</v>
      </c>
      <c r="CD935" s="59" t="n">
        <f aca="false">IF(AND(Parameter!$B$21="Ja",ISNUMBER(U935),N(V935)&gt;0),IFERROR(N(INDEX(Parameter!$L$5:$L$7,U935))*INDEX(Parameter!$E$5:$E$7,U935)*V935/SUMIFS($V$7:$V$1576,$U$7:$U$1576,U935),0),0)</f>
        <v>0</v>
      </c>
    </row>
    <row r="936" customFormat="false" ht="15" hidden="false" customHeight="false" outlineLevel="0" collapsed="false">
      <c r="A936" s="55" t="s">
        <v>1734</v>
      </c>
      <c r="B936" s="55" t="s">
        <v>1735</v>
      </c>
      <c r="C936" s="55" t="s">
        <v>160</v>
      </c>
      <c r="D936" s="55" t="s">
        <v>178</v>
      </c>
      <c r="E936" s="55" t="s">
        <v>210</v>
      </c>
      <c r="F936" s="56" t="n">
        <v>35.41</v>
      </c>
      <c r="G936" s="57" t="n">
        <f aca="false">MAX(0,IF(AND(Parameter!$B$21="Ja",ISNUMBER(W936)),W936,IF(Parameter!$B$20="Jahresanfang 2025 + Export",BJ936+BI936,BI936)))</f>
        <v>0</v>
      </c>
      <c r="H936" s="57" t="n">
        <f aca="false">G936*F936</f>
        <v>0</v>
      </c>
      <c r="I936" s="57" t="n">
        <f aca="false">BL936*Parameter!$B$18</f>
        <v>0</v>
      </c>
      <c r="J936" s="58" t="n">
        <v>2.5</v>
      </c>
      <c r="K936" s="59" t="n">
        <v>0</v>
      </c>
      <c r="L936" s="57" t="n">
        <v>0</v>
      </c>
      <c r="M936" s="57" t="n">
        <v>1</v>
      </c>
      <c r="N936" s="60" t="n">
        <v>14</v>
      </c>
      <c r="O936" s="55" t="s">
        <v>163</v>
      </c>
      <c r="P936" s="57"/>
      <c r="Q936" s="60" t="n">
        <f aca="false">IF(BR936=1,0,IFERROR(VLOOKUP(BP936,'Gebinde-Kategorie'!$A$5:$M$45,13,0)+0,0))</f>
        <v>0</v>
      </c>
      <c r="R936" s="61"/>
      <c r="S936" s="62"/>
      <c r="T936" s="62"/>
      <c r="U936" s="55"/>
      <c r="V936" s="57"/>
      <c r="W936" s="57"/>
      <c r="X936" s="55" t="n">
        <f aca="false">IF(A936="","",IF(AND(Parameter!$B$21="Ja",ISNUMBER(U936)),U936,IF(IFERROR(VLOOKUP(D936,Parameter!$A$35:$C$64,2,0),"Nein")="2+3",IF(ISNUMBER(SEARCH("grosser Artikel",BM936)),2,IFERROR(VLOOKUP(BP936,Parameter!$F$35:$G$64,2,0),2)),IF(OR(IFERROR(VLOOKUP(D936,Parameter!$A$35:$C$64,2,0),"Nein")="Nein",IFERROR(VLOOKUP(D936,Parameter!$A$35:$C$64,2,0),"Nein")=""),"-",VLOOKUP(D936,Parameter!$A$35:$C$64,2,0)))))</f>
        <v>2</v>
      </c>
      <c r="Y936" s="62"/>
      <c r="Z936" s="63"/>
      <c r="AA936" s="57" t="n">
        <f aca="false">AP936</f>
        <v>1</v>
      </c>
      <c r="AB936" s="57" t="n">
        <f aca="false">MAX(AP936,G936)</f>
        <v>1</v>
      </c>
      <c r="AC936" s="64"/>
      <c r="AD936" s="57" t="n">
        <f aca="false">IF(LEFT(Cockpit!$C$5,1)="A",G936,IF(BW936=1,BX936,IF(LEFT(Cockpit!$C$5,1)="B",AH936,MAX(AH936,G936))))</f>
        <v>0</v>
      </c>
      <c r="AE936" s="57" t="n">
        <f aca="false">IF(BR936=1,0,ROUNDUP(AD936/BQ936,0))</f>
        <v>0</v>
      </c>
      <c r="AF936" s="59" t="n">
        <f aca="false">IF(CD936&gt;0,CD936*MAX(1,AD936/V936),IF(BR936=1,IF(AD936&lt;=0,0,BS936*MAX(1,IF(G936&gt;0,AD936/G936,1))),IF(Q936&gt;0,AE936/Q936,0))/MAX(0.1,N(Parameter!$M$21)))</f>
        <v>0</v>
      </c>
      <c r="AG936" s="57" t="n">
        <f aca="false">AD936*F936</f>
        <v>0</v>
      </c>
      <c r="AH936" s="57" t="n">
        <f aca="false">ROUNDUP(MAX(I936/IF(BV936&gt;0,BV936,MAX(0.1,N(Cockpit!$C$6))),BY936)/BQ936,0)*BQ936</f>
        <v>1</v>
      </c>
      <c r="AI936" s="58" t="n">
        <f aca="false">IF(AF936&gt;0,I936/AF936,-1)</f>
        <v>-1</v>
      </c>
      <c r="AJ936" s="58" t="str">
        <f aca="false">IF(AND(OR(BU936="L1",BU936="L23"),AF936&gt;0),SUMIFS($AF$7:$AF$1576,$BU$7:$BU$1576,BU936,$AI$7:$AI$1576,"&gt;"&amp;AI936)+SUMIFS($AF$7:$AF$1576,$BU$7:$BU$1576,BU936,$AI$7:$AI$1576,AI936,$BO$7:$BO$1576,"&lt;="&amp;BO936),"")</f>
        <v/>
      </c>
      <c r="AK936" s="65" t="n">
        <f aca="false">IF(AJ936="",0,MAX(0,MIN(1,(IF(BU936="L1",Parameter!$E$5,Parameter!$E$6+Parameter!$E$7)-(AJ936-AF936))/AF936)))</f>
        <v>0</v>
      </c>
      <c r="AL936" s="57" t="n">
        <f aca="false">IF(LEFT(Cockpit!$I$5,1)="A",G936,IF(BW936=1,BX936,IF(LEFT(Cockpit!$I$5,1)="B",AP936,MAX(AP936,G936))))</f>
        <v>1</v>
      </c>
      <c r="AM936" s="57" t="n">
        <f aca="false">IF(BR936=1,0,ROUNDUP(AL936/BQ936,0))</f>
        <v>0</v>
      </c>
      <c r="AN936" s="59" t="n">
        <f aca="false">IF(CD936&gt;0,CD936*MAX(1,AL936/V936),IF(BR936=1,IF(AL936&lt;=0,0,BS936*MAX(1,IF(G936&gt;0,AL936/G936,1))),IF(Q936&gt;0,AM936/Q936,0))/MAX(0.1,N(Parameter!$M$21)))</f>
        <v>0.03</v>
      </c>
      <c r="AO936" s="57" t="n">
        <f aca="false">AL936*F936</f>
        <v>35.41</v>
      </c>
      <c r="AP936" s="57" t="n">
        <f aca="false">ROUNDUP(MAX(I936/IF(BV936&gt;0,BV936,MAX(0.1,N(Cockpit!$I$6))),BY936)/BQ936,0)*BQ936</f>
        <v>1</v>
      </c>
      <c r="AQ936" s="58" t="n">
        <f aca="false">IF(AN936&gt;0,I936/AN936,-1)</f>
        <v>0</v>
      </c>
      <c r="AR936" s="58" t="n">
        <f aca="false">IF(AND(OR(BU936="L1",BU936="L23"),AN936&gt;0),SUMIFS($AN$7:$AN$1576,$BU$7:$BU$1576,BU936,$AQ$7:$AQ$1576,"&gt;"&amp;AQ936)+SUMIFS($AN$7:$AN$1576,$BU$7:$BU$1576,BU936,$AQ$7:$AQ$1576,AQ936,$BO$7:$BO$1576,"&lt;="&amp;BO936),"")</f>
        <v>131.522941864946</v>
      </c>
      <c r="AS936" s="65" t="n">
        <f aca="false">IF(AR936="",0,MAX(0,MIN(1,(IF(BU936="L1",Parameter!$E$5,Parameter!$E$6+Parameter!$E$7)-(AR936-AN936))/AN936)))</f>
        <v>0</v>
      </c>
      <c r="AT936" s="57" t="n">
        <f aca="false">IF(LEFT(Cockpit!$O$5,1)="A",G936,IF(BW936=1,BX936,IF(LEFT(Cockpit!$O$5,1)="B",AX936,MAX(AX936,G936))))</f>
        <v>1</v>
      </c>
      <c r="AU936" s="57" t="n">
        <f aca="false">IF(BR936=1,0,ROUNDUP(AT936/BQ936,0))</f>
        <v>0</v>
      </c>
      <c r="AV936" s="59" t="n">
        <f aca="false">IF(CD936&gt;0,CD936*MAX(1,AT936/V936),IF(BR936=1,IF(AT936&lt;=0,0,BS936*MAX(1,IF(G936&gt;0,AT936/G936,1))),IF(Q936&gt;0,AU936/Q936,0))/MAX(0.1,N(Parameter!$M$21)))</f>
        <v>0.03</v>
      </c>
      <c r="AW936" s="57" t="n">
        <f aca="false">AT936*F936</f>
        <v>35.41</v>
      </c>
      <c r="AX936" s="57" t="n">
        <f aca="false">ROUNDUP(MAX(I936/IF(BV936&gt;0,BV936,MAX(0.1,N(Cockpit!$O$6))),BY936)/BQ936,0)*BQ936</f>
        <v>1</v>
      </c>
      <c r="AY936" s="58" t="n">
        <f aca="false">IF(AV936&gt;0,I936/AV936,-1)</f>
        <v>0</v>
      </c>
      <c r="AZ936" s="58" t="n">
        <f aca="false">IF(AND(OR(BU936="L1",BU936="L23"),AV936&gt;0),SUMIFS($AV$7:$AV$1576,$BU$7:$BU$1576,BU936,$AY$7:$AY$1576,"&gt;"&amp;AY936)+SUMIFS($AV$7:$AV$1576,$BU$7:$BU$1576,BU936,$AY$7:$AY$1576,AY936,$BO$7:$BO$1576,"&lt;="&amp;BO936),"")</f>
        <v>121.582492314496</v>
      </c>
      <c r="BA936" s="65" t="n">
        <f aca="false">IF(AZ936="",0,MAX(0,MIN(1,(IF(BU936="L1",Parameter!$E$5,Parameter!$E$6+Parameter!$E$7)-(AZ936-AV936))/AV936)))</f>
        <v>0</v>
      </c>
      <c r="BB936" s="55" t="str">
        <f aca="false">IF(AF936&lt;=0,"",IF(BU936="Aussen","Aussenlager",IF(BU936="-","Nicht im Lift",IF(AK936&gt;=1,"Lift",IF(AK936&lt;=0,"Aussenlager","teilweise")))))</f>
        <v/>
      </c>
      <c r="BC936" s="55" t="str">
        <f aca="false">IF(AN936&lt;=0,"",IF(BU936="Aussen","Aussenlager",IF(BU936="-","Nicht im Lift",IF(AS936&gt;=1,"Lift",IF(AS936&lt;=0,"Aussenlager","teilweise")))))</f>
        <v>Aussenlager</v>
      </c>
      <c r="BD936" s="55" t="str">
        <f aca="false">IF(AV936&lt;=0,"",IF(BU936="Aussen","Aussenlager",IF(BU936="-","Nicht im Lift",IF(BA936&gt;=1,"Lift",IF(BA936&lt;=0,"Aussenlager","teilweise")))))</f>
        <v>Aussenlager</v>
      </c>
      <c r="BE936" s="55" t="str">
        <f aca="false">IF(A936="","",IF(BN936=1,"Neu; ","")&amp;IF(AND(BN936=0,BI936&lt;0),"negativer Bestand (Export "&amp;BI936&amp;"); ","")&amp;IF(I936&lt;=0,"Kein Verbrauch; ","")&amp;IF(CD936&gt;0,"Lift "&amp;U936&amp;" lt. Liftbericht (Fach "&amp;V936&amp;" Stk); ",IF(BR936=1,"Lose – Fläche geschätzt; ",""))&amp;IF(G936&gt;AP936,"Überbestand "&amp;ROUND(G936-AP936,0)&amp;" Stk / CHF "&amp;ROUND((G936-AP936)*F936,0)&amp;"; ","")&amp;IF(AND(BW936=1,BX936&lt;BY936),"MAX &lt; MB+LG; ","")&amp;IF(AND(CC936&gt;0,CB936*10&gt;CC936),"zu hoch für Tablar; ","")&amp;IF(AND(BN936=0,OR(BW936=1,Y936&lt;&gt;"",S936&lt;&gt;"",T936&lt;&gt;"",Z936&lt;&gt;"")),"manuell übersteuert; ","")&amp;IF(AND(BR936=0,Q936=0),"Gebinde unbekannt / Stellmass fehlt; ","")&amp;IF(AND(BR936=0,N(T936)&lt;=0,N(P936)&lt;=0),"Menge pro Gebinde fehlt (Ist = 1 Gebinde); ","")&amp;BM936)</f>
        <v>Kein Verbrauch; Lose – Fläche geschätzt; </v>
      </c>
      <c r="BF936" s="55"/>
      <c r="BG936" s="55"/>
      <c r="BH936" s="62"/>
      <c r="BI936" s="57" t="n">
        <v>0</v>
      </c>
      <c r="BJ936" s="57" t="n">
        <v>3</v>
      </c>
      <c r="BK936" s="56" t="n">
        <v>-51.54</v>
      </c>
      <c r="BL936" s="57" t="n">
        <v>0</v>
      </c>
      <c r="BM936" s="55"/>
      <c r="BN936" s="60" t="n">
        <v>0</v>
      </c>
      <c r="BO936" s="60" t="n">
        <v>936</v>
      </c>
      <c r="BP936" s="55" t="str">
        <f aca="false">IF(S936&lt;&gt;"",UPPER(TRIM(S936)),IF(O936="","LOSE",O936))</f>
        <v>LOSE</v>
      </c>
      <c r="BQ936" s="57" t="n">
        <f aca="false">IF(BP936="LOSE",1,IF(N(T936)&gt;0,T936,IF(N(P936)&gt;0,P936,MAX(1,G936))))</f>
        <v>1</v>
      </c>
      <c r="BR936" s="60" t="n">
        <f aca="false">IF(BP936="LOSE",1,0)</f>
        <v>1</v>
      </c>
      <c r="BS936" s="59" t="n">
        <f aca="false">IF(BR936=0,0,IF(N(R936)&gt;0,R936,IFERROR(VLOOKUP(D936,Parameter!$A$35:$C$64,3,0)+0,0)))</f>
        <v>0.03</v>
      </c>
      <c r="BT936" s="55" t="n">
        <f aca="false">IF(Y936&lt;&gt;"",Y936,X936)</f>
        <v>2</v>
      </c>
      <c r="BU936" s="55" t="str">
        <f aca="false">IF(BT936=1,"L1",IF(OR(BT936=2,BT936=3),"L23",IF(BT936="Aussen","Aussen","-")))</f>
        <v>L23</v>
      </c>
      <c r="BV936" s="66" t="n">
        <f aca="false">IF(N(Z936)&gt;0,Z936,0)</f>
        <v>0</v>
      </c>
      <c r="BW936" s="60" t="n">
        <f aca="false">IF(ISNUMBER(AC936),1,0)</f>
        <v>0</v>
      </c>
      <c r="BX936" s="57" t="n">
        <f aca="false">N(AC936)</f>
        <v>0</v>
      </c>
      <c r="BY936" s="57" t="n">
        <f aca="false">N(L936)+N(M936)</f>
        <v>1</v>
      </c>
      <c r="BZ936" s="57" t="n">
        <f aca="false">ROUNDUP(G936/BQ936,0)</f>
        <v>0</v>
      </c>
      <c r="CA936" s="57" t="n">
        <f aca="false">ROUNDUP(BX936/BQ936,0)</f>
        <v>0</v>
      </c>
      <c r="CB936" s="60" t="n">
        <f aca="false">IF(BR936=1,0,IFERROR(VLOOKUP(BP936,'Gebinde-Kategorie'!$A$5:$M$45,5,0)+0,0))</f>
        <v>0</v>
      </c>
      <c r="CC936" s="60" t="n">
        <f aca="false">IFERROR(IF(OR(BT936=1,BT936=2,BT936=3),N(INDEX(Parameter!$I$5:$I$7,BT936)),0),0)</f>
        <v>0</v>
      </c>
      <c r="CD936" s="59" t="n">
        <f aca="false">IF(AND(Parameter!$B$21="Ja",ISNUMBER(U936),N(V936)&gt;0),IFERROR(N(INDEX(Parameter!$L$5:$L$7,U936))*INDEX(Parameter!$E$5:$E$7,U936)*V936/SUMIFS($V$7:$V$1576,$U$7:$U$1576,U936),0),0)</f>
        <v>0</v>
      </c>
    </row>
    <row r="937" customFormat="false" ht="15" hidden="false" customHeight="false" outlineLevel="0" collapsed="false">
      <c r="A937" s="55" t="s">
        <v>1736</v>
      </c>
      <c r="B937" s="55" t="s">
        <v>1737</v>
      </c>
      <c r="C937" s="55" t="s">
        <v>160</v>
      </c>
      <c r="D937" s="55" t="s">
        <v>178</v>
      </c>
      <c r="E937" s="55" t="s">
        <v>210</v>
      </c>
      <c r="F937" s="56" t="n">
        <v>9</v>
      </c>
      <c r="G937" s="57" t="n">
        <f aca="false">MAX(0,IF(AND(Parameter!$B$21="Ja",ISNUMBER(W937)),W937,IF(Parameter!$B$20="Jahresanfang 2025 + Export",BJ937+BI937,BI937)))</f>
        <v>0</v>
      </c>
      <c r="H937" s="57" t="n">
        <f aca="false">G937*F937</f>
        <v>0</v>
      </c>
      <c r="I937" s="57" t="n">
        <f aca="false">BL937*Parameter!$B$18</f>
        <v>0</v>
      </c>
      <c r="J937" s="58" t="n">
        <v>6.5</v>
      </c>
      <c r="K937" s="59" t="n">
        <v>0</v>
      </c>
      <c r="L937" s="57" t="n">
        <v>0</v>
      </c>
      <c r="M937" s="57" t="n">
        <v>1</v>
      </c>
      <c r="N937" s="60" t="n">
        <v>14</v>
      </c>
      <c r="O937" s="55" t="s">
        <v>163</v>
      </c>
      <c r="P937" s="57"/>
      <c r="Q937" s="60" t="n">
        <f aca="false">IF(BR937=1,0,IFERROR(VLOOKUP(BP937,'Gebinde-Kategorie'!$A$5:$M$45,13,0)+0,0))</f>
        <v>0</v>
      </c>
      <c r="R937" s="61"/>
      <c r="S937" s="62"/>
      <c r="T937" s="62"/>
      <c r="U937" s="55"/>
      <c r="V937" s="57"/>
      <c r="W937" s="57"/>
      <c r="X937" s="55" t="n">
        <f aca="false">IF(A937="","",IF(AND(Parameter!$B$21="Ja",ISNUMBER(U937)),U937,IF(IFERROR(VLOOKUP(D937,Parameter!$A$35:$C$64,2,0),"Nein")="2+3",IF(ISNUMBER(SEARCH("grosser Artikel",BM937)),2,IFERROR(VLOOKUP(BP937,Parameter!$F$35:$G$64,2,0),2)),IF(OR(IFERROR(VLOOKUP(D937,Parameter!$A$35:$C$64,2,0),"Nein")="Nein",IFERROR(VLOOKUP(D937,Parameter!$A$35:$C$64,2,0),"Nein")=""),"-",VLOOKUP(D937,Parameter!$A$35:$C$64,2,0)))))</f>
        <v>2</v>
      </c>
      <c r="Y937" s="62"/>
      <c r="Z937" s="63"/>
      <c r="AA937" s="57" t="n">
        <f aca="false">AP937</f>
        <v>1</v>
      </c>
      <c r="AB937" s="57" t="n">
        <f aca="false">MAX(AP937,G937)</f>
        <v>1</v>
      </c>
      <c r="AC937" s="64"/>
      <c r="AD937" s="57" t="n">
        <f aca="false">IF(LEFT(Cockpit!$C$5,1)="A",G937,IF(BW937=1,BX937,IF(LEFT(Cockpit!$C$5,1)="B",AH937,MAX(AH937,G937))))</f>
        <v>0</v>
      </c>
      <c r="AE937" s="57" t="n">
        <f aca="false">IF(BR937=1,0,ROUNDUP(AD937/BQ937,0))</f>
        <v>0</v>
      </c>
      <c r="AF937" s="59" t="n">
        <f aca="false">IF(CD937&gt;0,CD937*MAX(1,AD937/V937),IF(BR937=1,IF(AD937&lt;=0,0,BS937*MAX(1,IF(G937&gt;0,AD937/G937,1))),IF(Q937&gt;0,AE937/Q937,0))/MAX(0.1,N(Parameter!$M$21)))</f>
        <v>0</v>
      </c>
      <c r="AG937" s="57" t="n">
        <f aca="false">AD937*F937</f>
        <v>0</v>
      </c>
      <c r="AH937" s="57" t="n">
        <f aca="false">ROUNDUP(MAX(I937/IF(BV937&gt;0,BV937,MAX(0.1,N(Cockpit!$C$6))),BY937)/BQ937,0)*BQ937</f>
        <v>1</v>
      </c>
      <c r="AI937" s="58" t="n">
        <f aca="false">IF(AF937&gt;0,I937/AF937,-1)</f>
        <v>-1</v>
      </c>
      <c r="AJ937" s="58" t="str">
        <f aca="false">IF(AND(OR(BU937="L1",BU937="L23"),AF937&gt;0),SUMIFS($AF$7:$AF$1576,$BU$7:$BU$1576,BU937,$AI$7:$AI$1576,"&gt;"&amp;AI937)+SUMIFS($AF$7:$AF$1576,$BU$7:$BU$1576,BU937,$AI$7:$AI$1576,AI937,$BO$7:$BO$1576,"&lt;="&amp;BO937),"")</f>
        <v/>
      </c>
      <c r="AK937" s="65" t="n">
        <f aca="false">IF(AJ937="",0,MAX(0,MIN(1,(IF(BU937="L1",Parameter!$E$5,Parameter!$E$6+Parameter!$E$7)-(AJ937-AF937))/AF937)))</f>
        <v>0</v>
      </c>
      <c r="AL937" s="57" t="n">
        <f aca="false">IF(LEFT(Cockpit!$I$5,1)="A",G937,IF(BW937=1,BX937,IF(LEFT(Cockpit!$I$5,1)="B",AP937,MAX(AP937,G937))))</f>
        <v>1</v>
      </c>
      <c r="AM937" s="57" t="n">
        <f aca="false">IF(BR937=1,0,ROUNDUP(AL937/BQ937,0))</f>
        <v>0</v>
      </c>
      <c r="AN937" s="59" t="n">
        <f aca="false">IF(CD937&gt;0,CD937*MAX(1,AL937/V937),IF(BR937=1,IF(AL937&lt;=0,0,BS937*MAX(1,IF(G937&gt;0,AL937/G937,1))),IF(Q937&gt;0,AM937/Q937,0))/MAX(0.1,N(Parameter!$M$21)))</f>
        <v>0.03</v>
      </c>
      <c r="AO937" s="57" t="n">
        <f aca="false">AL937*F937</f>
        <v>9</v>
      </c>
      <c r="AP937" s="57" t="n">
        <f aca="false">ROUNDUP(MAX(I937/IF(BV937&gt;0,BV937,MAX(0.1,N(Cockpit!$I$6))),BY937)/BQ937,0)*BQ937</f>
        <v>1</v>
      </c>
      <c r="AQ937" s="58" t="n">
        <f aca="false">IF(AN937&gt;0,I937/AN937,-1)</f>
        <v>0</v>
      </c>
      <c r="AR937" s="58" t="n">
        <f aca="false">IF(AND(OR(BU937="L1",BU937="L23"),AN937&gt;0),SUMIFS($AN$7:$AN$1576,$BU$7:$BU$1576,BU937,$AQ$7:$AQ$1576,"&gt;"&amp;AQ937)+SUMIFS($AN$7:$AN$1576,$BU$7:$BU$1576,BU937,$AQ$7:$AQ$1576,AQ937,$BO$7:$BO$1576,"&lt;="&amp;BO937),"")</f>
        <v>131.552941864946</v>
      </c>
      <c r="AS937" s="65" t="n">
        <f aca="false">IF(AR937="",0,MAX(0,MIN(1,(IF(BU937="L1",Parameter!$E$5,Parameter!$E$6+Parameter!$E$7)-(AR937-AN937))/AN937)))</f>
        <v>0</v>
      </c>
      <c r="AT937" s="57" t="n">
        <f aca="false">IF(LEFT(Cockpit!$O$5,1)="A",G937,IF(BW937=1,BX937,IF(LEFT(Cockpit!$O$5,1)="B",AX937,MAX(AX937,G937))))</f>
        <v>1</v>
      </c>
      <c r="AU937" s="57" t="n">
        <f aca="false">IF(BR937=1,0,ROUNDUP(AT937/BQ937,0))</f>
        <v>0</v>
      </c>
      <c r="AV937" s="59" t="n">
        <f aca="false">IF(CD937&gt;0,CD937*MAX(1,AT937/V937),IF(BR937=1,IF(AT937&lt;=0,0,BS937*MAX(1,IF(G937&gt;0,AT937/G937,1))),IF(Q937&gt;0,AU937/Q937,0))/MAX(0.1,N(Parameter!$M$21)))</f>
        <v>0.03</v>
      </c>
      <c r="AW937" s="57" t="n">
        <f aca="false">AT937*F937</f>
        <v>9</v>
      </c>
      <c r="AX937" s="57" t="n">
        <f aca="false">ROUNDUP(MAX(I937/IF(BV937&gt;0,BV937,MAX(0.1,N(Cockpit!$O$6))),BY937)/BQ937,0)*BQ937</f>
        <v>1</v>
      </c>
      <c r="AY937" s="58" t="n">
        <f aca="false">IF(AV937&gt;0,I937/AV937,-1)</f>
        <v>0</v>
      </c>
      <c r="AZ937" s="58" t="n">
        <f aca="false">IF(AND(OR(BU937="L1",BU937="L23"),AV937&gt;0),SUMIFS($AV$7:$AV$1576,$BU$7:$BU$1576,BU937,$AY$7:$AY$1576,"&gt;"&amp;AY937)+SUMIFS($AV$7:$AV$1576,$BU$7:$BU$1576,BU937,$AY$7:$AY$1576,AY937,$BO$7:$BO$1576,"&lt;="&amp;BO937),"")</f>
        <v>121.612492314496</v>
      </c>
      <c r="BA937" s="65" t="n">
        <f aca="false">IF(AZ937="",0,MAX(0,MIN(1,(IF(BU937="L1",Parameter!$E$5,Parameter!$E$6+Parameter!$E$7)-(AZ937-AV937))/AV937)))</f>
        <v>0</v>
      </c>
      <c r="BB937" s="55" t="str">
        <f aca="false">IF(AF937&lt;=0,"",IF(BU937="Aussen","Aussenlager",IF(BU937="-","Nicht im Lift",IF(AK937&gt;=1,"Lift",IF(AK937&lt;=0,"Aussenlager","teilweise")))))</f>
        <v/>
      </c>
      <c r="BC937" s="55" t="str">
        <f aca="false">IF(AN937&lt;=0,"",IF(BU937="Aussen","Aussenlager",IF(BU937="-","Nicht im Lift",IF(AS937&gt;=1,"Lift",IF(AS937&lt;=0,"Aussenlager","teilweise")))))</f>
        <v>Aussenlager</v>
      </c>
      <c r="BD937" s="55" t="str">
        <f aca="false">IF(AV937&lt;=0,"",IF(BU937="Aussen","Aussenlager",IF(BU937="-","Nicht im Lift",IF(BA937&gt;=1,"Lift",IF(BA937&lt;=0,"Aussenlager","teilweise")))))</f>
        <v>Aussenlager</v>
      </c>
      <c r="BE937" s="55" t="str">
        <f aca="false">IF(A937="","",IF(BN937=1,"Neu; ","")&amp;IF(AND(BN937=0,BI937&lt;0),"negativer Bestand (Export "&amp;BI937&amp;"); ","")&amp;IF(I937&lt;=0,"Kein Verbrauch; ","")&amp;IF(CD937&gt;0,"Lift "&amp;U937&amp;" lt. Liftbericht (Fach "&amp;V937&amp;" Stk); ",IF(BR937=1,"Lose – Fläche geschätzt; ",""))&amp;IF(G937&gt;AP937,"Überbestand "&amp;ROUND(G937-AP937,0)&amp;" Stk / CHF "&amp;ROUND((G937-AP937)*F937,0)&amp;"; ","")&amp;IF(AND(BW937=1,BX937&lt;BY937),"MAX &lt; MB+LG; ","")&amp;IF(AND(CC937&gt;0,CB937*10&gt;CC937),"zu hoch für Tablar; ","")&amp;IF(AND(BN937=0,OR(BW937=1,Y937&lt;&gt;"",S937&lt;&gt;"",T937&lt;&gt;"",Z937&lt;&gt;"")),"manuell übersteuert; ","")&amp;IF(AND(BR937=0,Q937=0),"Gebinde unbekannt / Stellmass fehlt; ","")&amp;IF(AND(BR937=0,N(T937)&lt;=0,N(P937)&lt;=0),"Menge pro Gebinde fehlt (Ist = 1 Gebinde); ","")&amp;BM937)</f>
        <v>negativer Bestand (Export -7); Kein Verbrauch; Lose – Fläche geschätzt; Verb.Lager; nicht im KTL vorhanden</v>
      </c>
      <c r="BF937" s="55"/>
      <c r="BG937" s="55"/>
      <c r="BH937" s="62"/>
      <c r="BI937" s="57" t="n">
        <v>-7</v>
      </c>
      <c r="BJ937" s="57" t="n">
        <v>10</v>
      </c>
      <c r="BK937" s="56" t="n">
        <v>-52.5</v>
      </c>
      <c r="BL937" s="57" t="n">
        <v>0</v>
      </c>
      <c r="BM937" s="55" t="s">
        <v>1738</v>
      </c>
      <c r="BN937" s="60" t="n">
        <v>0</v>
      </c>
      <c r="BO937" s="60" t="n">
        <v>937</v>
      </c>
      <c r="BP937" s="55" t="str">
        <f aca="false">IF(S937&lt;&gt;"",UPPER(TRIM(S937)),IF(O937="","LOSE",O937))</f>
        <v>LOSE</v>
      </c>
      <c r="BQ937" s="57" t="n">
        <f aca="false">IF(BP937="LOSE",1,IF(N(T937)&gt;0,T937,IF(N(P937)&gt;0,P937,MAX(1,G937))))</f>
        <v>1</v>
      </c>
      <c r="BR937" s="60" t="n">
        <f aca="false">IF(BP937="LOSE",1,0)</f>
        <v>1</v>
      </c>
      <c r="BS937" s="59" t="n">
        <f aca="false">IF(BR937=0,0,IF(N(R937)&gt;0,R937,IFERROR(VLOOKUP(D937,Parameter!$A$35:$C$64,3,0)+0,0)))</f>
        <v>0.03</v>
      </c>
      <c r="BT937" s="55" t="n">
        <f aca="false">IF(Y937&lt;&gt;"",Y937,X937)</f>
        <v>2</v>
      </c>
      <c r="BU937" s="55" t="str">
        <f aca="false">IF(BT937=1,"L1",IF(OR(BT937=2,BT937=3),"L23",IF(BT937="Aussen","Aussen","-")))</f>
        <v>L23</v>
      </c>
      <c r="BV937" s="66" t="n">
        <f aca="false">IF(N(Z937)&gt;0,Z937,0)</f>
        <v>0</v>
      </c>
      <c r="BW937" s="60" t="n">
        <f aca="false">IF(ISNUMBER(AC937),1,0)</f>
        <v>0</v>
      </c>
      <c r="BX937" s="57" t="n">
        <f aca="false">N(AC937)</f>
        <v>0</v>
      </c>
      <c r="BY937" s="57" t="n">
        <f aca="false">N(L937)+N(M937)</f>
        <v>1</v>
      </c>
      <c r="BZ937" s="57" t="n">
        <f aca="false">ROUNDUP(G937/BQ937,0)</f>
        <v>0</v>
      </c>
      <c r="CA937" s="57" t="n">
        <f aca="false">ROUNDUP(BX937/BQ937,0)</f>
        <v>0</v>
      </c>
      <c r="CB937" s="60" t="n">
        <f aca="false">IF(BR937=1,0,IFERROR(VLOOKUP(BP937,'Gebinde-Kategorie'!$A$5:$M$45,5,0)+0,0))</f>
        <v>0</v>
      </c>
      <c r="CC937" s="60" t="n">
        <f aca="false">IFERROR(IF(OR(BT937=1,BT937=2,BT937=3),N(INDEX(Parameter!$I$5:$I$7,BT937)),0),0)</f>
        <v>0</v>
      </c>
      <c r="CD937" s="59" t="n">
        <f aca="false">IF(AND(Parameter!$B$21="Ja",ISNUMBER(U937),N(V937)&gt;0),IFERROR(N(INDEX(Parameter!$L$5:$L$7,U937))*INDEX(Parameter!$E$5:$E$7,U937)*V937/SUMIFS($V$7:$V$1576,$U$7:$U$1576,U937),0),0)</f>
        <v>0</v>
      </c>
    </row>
    <row r="938" customFormat="false" ht="15" hidden="false" customHeight="false" outlineLevel="0" collapsed="false">
      <c r="A938" s="55" t="s">
        <v>1739</v>
      </c>
      <c r="B938" s="55" t="s">
        <v>797</v>
      </c>
      <c r="C938" s="55" t="s">
        <v>160</v>
      </c>
      <c r="D938" s="55" t="s">
        <v>178</v>
      </c>
      <c r="E938" s="55" t="s">
        <v>210</v>
      </c>
      <c r="F938" s="56" t="n">
        <v>3.68</v>
      </c>
      <c r="G938" s="57" t="n">
        <f aca="false">MAX(0,IF(AND(Parameter!$B$21="Ja",ISNUMBER(W938)),W938,IF(Parameter!$B$20="Jahresanfang 2025 + Export",BJ938+BI938,BI938)))</f>
        <v>0</v>
      </c>
      <c r="H938" s="57" t="n">
        <f aca="false">G938*F938</f>
        <v>0</v>
      </c>
      <c r="I938" s="57" t="n">
        <f aca="false">BL938*Parameter!$B$18</f>
        <v>65</v>
      </c>
      <c r="J938" s="58" t="n">
        <v>55.5</v>
      </c>
      <c r="K938" s="59" t="n">
        <v>1.17117117117117</v>
      </c>
      <c r="L938" s="57" t="n">
        <v>2</v>
      </c>
      <c r="M938" s="57" t="n">
        <v>65</v>
      </c>
      <c r="N938" s="60" t="n">
        <v>14</v>
      </c>
      <c r="O938" s="55" t="s">
        <v>416</v>
      </c>
      <c r="P938" s="57" t="n">
        <v>60</v>
      </c>
      <c r="Q938" s="60" t="n">
        <f aca="false">IF(BR938=1,0,IFERROR(VLOOKUP(BP938,'Gebinde-Kategorie'!$A$5:$M$45,13,0)+0,0))</f>
        <v>198</v>
      </c>
      <c r="R938" s="61"/>
      <c r="S938" s="62"/>
      <c r="T938" s="62"/>
      <c r="U938" s="55"/>
      <c r="V938" s="57"/>
      <c r="W938" s="57"/>
      <c r="X938" s="55" t="n">
        <f aca="false">IF(A938="","",IF(AND(Parameter!$B$21="Ja",ISNUMBER(U938)),U938,IF(IFERROR(VLOOKUP(D938,Parameter!$A$35:$C$64,2,0),"Nein")="2+3",IF(ISNUMBER(SEARCH("grosser Artikel",BM938)),2,IFERROR(VLOOKUP(BP938,Parameter!$F$35:$G$64,2,0),2)),IF(OR(IFERROR(VLOOKUP(D938,Parameter!$A$35:$C$64,2,0),"Nein")="Nein",IFERROR(VLOOKUP(D938,Parameter!$A$35:$C$64,2,0),"Nein")=""),"-",VLOOKUP(D938,Parameter!$A$35:$C$64,2,0)))))</f>
        <v>3</v>
      </c>
      <c r="Y938" s="62"/>
      <c r="Z938" s="63"/>
      <c r="AA938" s="57" t="n">
        <f aca="false">AP938</f>
        <v>120</v>
      </c>
      <c r="AB938" s="57" t="n">
        <f aca="false">MAX(AP938,G938)</f>
        <v>120</v>
      </c>
      <c r="AC938" s="64"/>
      <c r="AD938" s="57" t="n">
        <f aca="false">IF(LEFT(Cockpit!$C$5,1)="A",G938,IF(BW938=1,BX938,IF(LEFT(Cockpit!$C$5,1)="B",AH938,MAX(AH938,G938))))</f>
        <v>0</v>
      </c>
      <c r="AE938" s="57" t="n">
        <f aca="false">IF(BR938=1,0,ROUNDUP(AD938/BQ938,0))</f>
        <v>0</v>
      </c>
      <c r="AF938" s="59" t="n">
        <f aca="false">IF(CD938&gt;0,CD938*MAX(1,AD938/V938),IF(BR938=1,IF(AD938&lt;=0,0,BS938*MAX(1,IF(G938&gt;0,AD938/G938,1))),IF(Q938&gt;0,AE938/Q938,0))/MAX(0.1,N(Parameter!$M$21)))</f>
        <v>0</v>
      </c>
      <c r="AG938" s="57" t="n">
        <f aca="false">AD938*F938</f>
        <v>0</v>
      </c>
      <c r="AH938" s="57" t="n">
        <f aca="false">ROUNDUP(MAX(I938/IF(BV938&gt;0,BV938,MAX(0.1,N(Cockpit!$C$6))),BY938)/BQ938,0)*BQ938</f>
        <v>120</v>
      </c>
      <c r="AI938" s="58" t="n">
        <f aca="false">IF(AF938&gt;0,I938/AF938,-1)</f>
        <v>-1</v>
      </c>
      <c r="AJ938" s="58" t="str">
        <f aca="false">IF(AND(OR(BU938="L1",BU938="L23"),AF938&gt;0),SUMIFS($AF$7:$AF$1576,$BU$7:$BU$1576,BU938,$AI$7:$AI$1576,"&gt;"&amp;AI938)+SUMIFS($AF$7:$AF$1576,$BU$7:$BU$1576,BU938,$AI$7:$AI$1576,AI938,$BO$7:$BO$1576,"&lt;="&amp;BO938),"")</f>
        <v/>
      </c>
      <c r="AK938" s="65" t="n">
        <f aca="false">IF(AJ938="",0,MAX(0,MIN(1,(IF(BU938="L1",Parameter!$E$5,Parameter!$E$6+Parameter!$E$7)-(AJ938-AF938))/AF938)))</f>
        <v>0</v>
      </c>
      <c r="AL938" s="57" t="n">
        <f aca="false">IF(LEFT(Cockpit!$I$5,1)="A",G938,IF(BW938=1,BX938,IF(LEFT(Cockpit!$I$5,1)="B",AP938,MAX(AP938,G938))))</f>
        <v>120</v>
      </c>
      <c r="AM938" s="57" t="n">
        <f aca="false">IF(BR938=1,0,ROUNDUP(AL938/BQ938,0))</f>
        <v>2</v>
      </c>
      <c r="AN938" s="59" t="n">
        <f aca="false">IF(CD938&gt;0,CD938*MAX(1,AL938/V938),IF(BR938=1,IF(AL938&lt;=0,0,BS938*MAX(1,IF(G938&gt;0,AL938/G938,1))),IF(Q938&gt;0,AM938/Q938,0))/MAX(0.1,N(Parameter!$M$21)))</f>
        <v>0.0101010101010101</v>
      </c>
      <c r="AO938" s="57" t="n">
        <f aca="false">AL938*F938</f>
        <v>441.6</v>
      </c>
      <c r="AP938" s="57" t="n">
        <f aca="false">ROUNDUP(MAX(I938/IF(BV938&gt;0,BV938,MAX(0.1,N(Cockpit!$I$6))),BY938)/BQ938,0)*BQ938</f>
        <v>120</v>
      </c>
      <c r="AQ938" s="58" t="n">
        <f aca="false">IF(AN938&gt;0,I938/AN938,-1)</f>
        <v>6435</v>
      </c>
      <c r="AR938" s="58" t="n">
        <f aca="false">IF(AND(OR(BU938="L1",BU938="L23"),AN938&gt;0),SUMIFS($AN$7:$AN$1576,$BU$7:$BU$1576,BU938,$AQ$7:$AQ$1576,"&gt;"&amp;AQ938)+SUMIFS($AN$7:$AN$1576,$BU$7:$BU$1576,BU938,$AQ$7:$AQ$1576,AQ938,$BO$7:$BO$1576,"&lt;="&amp;BO938),"")</f>
        <v>10.0775619066923</v>
      </c>
      <c r="AS938" s="65" t="n">
        <f aca="false">IF(AR938="",0,MAX(0,MIN(1,(IF(BU938="L1",Parameter!$E$5,Parameter!$E$6+Parameter!$E$7)-(AR938-AN938))/AN938)))</f>
        <v>1</v>
      </c>
      <c r="AT938" s="57" t="n">
        <f aca="false">IF(LEFT(Cockpit!$O$5,1)="A",G938,IF(BW938=1,BX938,IF(LEFT(Cockpit!$O$5,1)="B",AX938,MAX(AX938,G938))))</f>
        <v>120</v>
      </c>
      <c r="AU938" s="57" t="n">
        <f aca="false">IF(BR938=1,0,ROUNDUP(AT938/BQ938,0))</f>
        <v>2</v>
      </c>
      <c r="AV938" s="59" t="n">
        <f aca="false">IF(CD938&gt;0,CD938*MAX(1,AT938/V938),IF(BR938=1,IF(AT938&lt;=0,0,BS938*MAX(1,IF(G938&gt;0,AT938/G938,1))),IF(Q938&gt;0,AU938/Q938,0))/MAX(0.1,N(Parameter!$M$21)))</f>
        <v>0.0101010101010101</v>
      </c>
      <c r="AW938" s="57" t="n">
        <f aca="false">AT938*F938</f>
        <v>441.6</v>
      </c>
      <c r="AX938" s="57" t="n">
        <f aca="false">ROUNDUP(MAX(I938/IF(BV938&gt;0,BV938,MAX(0.1,N(Cockpit!$O$6))),BY938)/BQ938,0)*BQ938</f>
        <v>120</v>
      </c>
      <c r="AY938" s="58" t="n">
        <f aca="false">IF(AV938&gt;0,I938/AV938,-1)</f>
        <v>6435</v>
      </c>
      <c r="AZ938" s="58" t="n">
        <f aca="false">IF(AND(OR(BU938="L1",BU938="L23"),AV938&gt;0),SUMIFS($AV$7:$AV$1576,$BU$7:$BU$1576,BU938,$AY$7:$AY$1576,"&gt;"&amp;AY938)+SUMIFS($AV$7:$AV$1576,$BU$7:$BU$1576,BU938,$AY$7:$AY$1576,AY938,$BO$7:$BO$1576,"&lt;="&amp;BO938),"")</f>
        <v>9.25996283909328</v>
      </c>
      <c r="BA938" s="65" t="n">
        <f aca="false">IF(AZ938="",0,MAX(0,MIN(1,(IF(BU938="L1",Parameter!$E$5,Parameter!$E$6+Parameter!$E$7)-(AZ938-AV938))/AV938)))</f>
        <v>1</v>
      </c>
      <c r="BB938" s="55" t="str">
        <f aca="false">IF(AF938&lt;=0,"",IF(BU938="Aussen","Aussenlager",IF(BU938="-","Nicht im Lift",IF(AK938&gt;=1,"Lift",IF(AK938&lt;=0,"Aussenlager","teilweise")))))</f>
        <v/>
      </c>
      <c r="BC938" s="55" t="str">
        <f aca="false">IF(AN938&lt;=0,"",IF(BU938="Aussen","Aussenlager",IF(BU938="-","Nicht im Lift",IF(AS938&gt;=1,"Lift",IF(AS938&lt;=0,"Aussenlager","teilweise")))))</f>
        <v>Lift</v>
      </c>
      <c r="BD938" s="55" t="str">
        <f aca="false">IF(AV938&lt;=0,"",IF(BU938="Aussen","Aussenlager",IF(BU938="-","Nicht im Lift",IF(BA938&gt;=1,"Lift",IF(BA938&lt;=0,"Aussenlager","teilweise")))))</f>
        <v>Lift</v>
      </c>
      <c r="BE938" s="55" t="str">
        <f aca="false">IF(A938="","",IF(BN938=1,"Neu; ","")&amp;IF(AND(BN938=0,BI938&lt;0),"negativer Bestand (Export "&amp;BI938&amp;"); ","")&amp;IF(I938&lt;=0,"Kein Verbrauch; ","")&amp;IF(CD938&gt;0,"Lift "&amp;U938&amp;" lt. Liftbericht (Fach "&amp;V938&amp;" Stk); ",IF(BR938=1,"Lose – Fläche geschätzt; ",""))&amp;IF(G938&gt;AP938,"Überbestand "&amp;ROUND(G938-AP938,0)&amp;" Stk / CHF "&amp;ROUND((G938-AP938)*F938,0)&amp;"; ","")&amp;IF(AND(BW938=1,BX938&lt;BY938),"MAX &lt; MB+LG; ","")&amp;IF(AND(CC938&gt;0,CB938*10&gt;CC938),"zu hoch für Tablar; ","")&amp;IF(AND(BN938=0,OR(BW938=1,Y938&lt;&gt;"",S938&lt;&gt;"",T938&lt;&gt;"",Z938&lt;&gt;"")),"manuell übersteuert; ","")&amp;IF(AND(BR938=0,Q938=0),"Gebinde unbekannt / Stellmass fehlt; ","")&amp;IF(AND(BR938=0,N(T938)&lt;=0,N(P938)&lt;=0),"Menge pro Gebinde fehlt (Ist = 1 Gebinde); ","")&amp;BM938)</f>
        <v>negativer Bestand (Export -15); </v>
      </c>
      <c r="BF938" s="55"/>
      <c r="BG938" s="55"/>
      <c r="BH938" s="62"/>
      <c r="BI938" s="57" t="n">
        <v>-15</v>
      </c>
      <c r="BJ938" s="57" t="n">
        <v>39</v>
      </c>
      <c r="BK938" s="56" t="n">
        <v>-53.22</v>
      </c>
      <c r="BL938" s="57" t="n">
        <v>65</v>
      </c>
      <c r="BM938" s="55"/>
      <c r="BN938" s="60" t="n">
        <v>0</v>
      </c>
      <c r="BO938" s="60" t="n">
        <v>938</v>
      </c>
      <c r="BP938" s="55" t="str">
        <f aca="false">IF(S938&lt;&gt;"",UPPER(TRIM(S938)),IF(O938="","LOSE",O938))</f>
        <v>S22</v>
      </c>
      <c r="BQ938" s="57" t="n">
        <f aca="false">IF(BP938="LOSE",1,IF(N(T938)&gt;0,T938,IF(N(P938)&gt;0,P938,MAX(1,G938))))</f>
        <v>60</v>
      </c>
      <c r="BR938" s="60" t="n">
        <f aca="false">IF(BP938="LOSE",1,0)</f>
        <v>0</v>
      </c>
      <c r="BS938" s="59" t="n">
        <f aca="false">IF(BR938=0,0,IF(N(R938)&gt;0,R938,IFERROR(VLOOKUP(D938,Parameter!$A$35:$C$64,3,0)+0,0)))</f>
        <v>0</v>
      </c>
      <c r="BT938" s="55" t="n">
        <f aca="false">IF(Y938&lt;&gt;"",Y938,X938)</f>
        <v>3</v>
      </c>
      <c r="BU938" s="55" t="str">
        <f aca="false">IF(BT938=1,"L1",IF(OR(BT938=2,BT938=3),"L23",IF(BT938="Aussen","Aussen","-")))</f>
        <v>L23</v>
      </c>
      <c r="BV938" s="66" t="n">
        <f aca="false">IF(N(Z938)&gt;0,Z938,0)</f>
        <v>0</v>
      </c>
      <c r="BW938" s="60" t="n">
        <f aca="false">IF(ISNUMBER(AC938),1,0)</f>
        <v>0</v>
      </c>
      <c r="BX938" s="57" t="n">
        <f aca="false">N(AC938)</f>
        <v>0</v>
      </c>
      <c r="BY938" s="57" t="n">
        <f aca="false">N(L938)+N(M938)</f>
        <v>67</v>
      </c>
      <c r="BZ938" s="57" t="n">
        <f aca="false">ROUNDUP(G938/BQ938,0)</f>
        <v>0</v>
      </c>
      <c r="CA938" s="57" t="n">
        <f aca="false">ROUNDUP(BX938/BQ938,0)</f>
        <v>0</v>
      </c>
      <c r="CB938" s="60" t="n">
        <f aca="false">IF(BR938=1,0,IFERROR(VLOOKUP(BP938,'Gebinde-Kategorie'!$A$5:$M$45,5,0)+0,0))</f>
        <v>8</v>
      </c>
      <c r="CC938" s="60" t="n">
        <f aca="false">IFERROR(IF(OR(BT938=1,BT938=2,BT938=3),N(INDEX(Parameter!$I$5:$I$7,BT938)),0),0)</f>
        <v>0</v>
      </c>
      <c r="CD938" s="59" t="n">
        <f aca="false">IF(AND(Parameter!$B$21="Ja",ISNUMBER(U938),N(V938)&gt;0),IFERROR(N(INDEX(Parameter!$L$5:$L$7,U938))*INDEX(Parameter!$E$5:$E$7,U938)*V938/SUMIFS($V$7:$V$1576,$U$7:$U$1576,U938),0),0)</f>
        <v>0</v>
      </c>
    </row>
    <row r="939" customFormat="false" ht="15" hidden="false" customHeight="false" outlineLevel="0" collapsed="false">
      <c r="A939" s="55" t="s">
        <v>1740</v>
      </c>
      <c r="B939" s="55" t="s">
        <v>578</v>
      </c>
      <c r="C939" s="55" t="s">
        <v>160</v>
      </c>
      <c r="D939" s="55" t="s">
        <v>178</v>
      </c>
      <c r="E939" s="55" t="s">
        <v>210</v>
      </c>
      <c r="F939" s="56" t="n">
        <v>17.75</v>
      </c>
      <c r="G939" s="57" t="n">
        <f aca="false">MAX(0,IF(AND(Parameter!$B$21="Ja",ISNUMBER(W939)),W939,IF(Parameter!$B$20="Jahresanfang 2025 + Export",BJ939+BI939,BI939)))</f>
        <v>0</v>
      </c>
      <c r="H939" s="57" t="n">
        <f aca="false">G939*F939</f>
        <v>0</v>
      </c>
      <c r="I939" s="57" t="n">
        <f aca="false">BL939*Parameter!$B$18</f>
        <v>15</v>
      </c>
      <c r="J939" s="58" t="n">
        <v>49.5</v>
      </c>
      <c r="K939" s="59" t="n">
        <v>0.303030303030303</v>
      </c>
      <c r="L939" s="57" t="n">
        <v>1</v>
      </c>
      <c r="M939" s="57" t="n">
        <v>15</v>
      </c>
      <c r="N939" s="60" t="n">
        <v>28</v>
      </c>
      <c r="O939" s="55" t="s">
        <v>416</v>
      </c>
      <c r="P939" s="57" t="n">
        <v>64</v>
      </c>
      <c r="Q939" s="60" t="n">
        <f aca="false">IF(BR939=1,0,IFERROR(VLOOKUP(BP939,'Gebinde-Kategorie'!$A$5:$M$45,13,0)+0,0))</f>
        <v>198</v>
      </c>
      <c r="R939" s="61"/>
      <c r="S939" s="62"/>
      <c r="T939" s="62"/>
      <c r="U939" s="55"/>
      <c r="V939" s="57"/>
      <c r="W939" s="57"/>
      <c r="X939" s="55" t="n">
        <f aca="false">IF(A939="","",IF(AND(Parameter!$B$21="Ja",ISNUMBER(U939)),U939,IF(IFERROR(VLOOKUP(D939,Parameter!$A$35:$C$64,2,0),"Nein")="2+3",IF(ISNUMBER(SEARCH("grosser Artikel",BM939)),2,IFERROR(VLOOKUP(BP939,Parameter!$F$35:$G$64,2,0),2)),IF(OR(IFERROR(VLOOKUP(D939,Parameter!$A$35:$C$64,2,0),"Nein")="Nein",IFERROR(VLOOKUP(D939,Parameter!$A$35:$C$64,2,0),"Nein")=""),"-",VLOOKUP(D939,Parameter!$A$35:$C$64,2,0)))))</f>
        <v>3</v>
      </c>
      <c r="Y939" s="62"/>
      <c r="Z939" s="63"/>
      <c r="AA939" s="57" t="n">
        <f aca="false">AP939</f>
        <v>64</v>
      </c>
      <c r="AB939" s="57" t="n">
        <f aca="false">MAX(AP939,G939)</f>
        <v>64</v>
      </c>
      <c r="AC939" s="64"/>
      <c r="AD939" s="57" t="n">
        <f aca="false">IF(LEFT(Cockpit!$C$5,1)="A",G939,IF(BW939=1,BX939,IF(LEFT(Cockpit!$C$5,1)="B",AH939,MAX(AH939,G939))))</f>
        <v>0</v>
      </c>
      <c r="AE939" s="57" t="n">
        <f aca="false">IF(BR939=1,0,ROUNDUP(AD939/BQ939,0))</f>
        <v>0</v>
      </c>
      <c r="AF939" s="59" t="n">
        <f aca="false">IF(CD939&gt;0,CD939*MAX(1,AD939/V939),IF(BR939=1,IF(AD939&lt;=0,0,BS939*MAX(1,IF(G939&gt;0,AD939/G939,1))),IF(Q939&gt;0,AE939/Q939,0))/MAX(0.1,N(Parameter!$M$21)))</f>
        <v>0</v>
      </c>
      <c r="AG939" s="57" t="n">
        <f aca="false">AD939*F939</f>
        <v>0</v>
      </c>
      <c r="AH939" s="57" t="n">
        <f aca="false">ROUNDUP(MAX(I939/IF(BV939&gt;0,BV939,MAX(0.1,N(Cockpit!$C$6))),BY939)/BQ939,0)*BQ939</f>
        <v>64</v>
      </c>
      <c r="AI939" s="58" t="n">
        <f aca="false">IF(AF939&gt;0,I939/AF939,-1)</f>
        <v>-1</v>
      </c>
      <c r="AJ939" s="58" t="str">
        <f aca="false">IF(AND(OR(BU939="L1",BU939="L23"),AF939&gt;0),SUMIFS($AF$7:$AF$1576,$BU$7:$BU$1576,BU939,$AI$7:$AI$1576,"&gt;"&amp;AI939)+SUMIFS($AF$7:$AF$1576,$BU$7:$BU$1576,BU939,$AI$7:$AI$1576,AI939,$BO$7:$BO$1576,"&lt;="&amp;BO939),"")</f>
        <v/>
      </c>
      <c r="AK939" s="65" t="n">
        <f aca="false">IF(AJ939="",0,MAX(0,MIN(1,(IF(BU939="L1",Parameter!$E$5,Parameter!$E$6+Parameter!$E$7)-(AJ939-AF939))/AF939)))</f>
        <v>0</v>
      </c>
      <c r="AL939" s="57" t="n">
        <f aca="false">IF(LEFT(Cockpit!$I$5,1)="A",G939,IF(BW939=1,BX939,IF(LEFT(Cockpit!$I$5,1)="B",AP939,MAX(AP939,G939))))</f>
        <v>64</v>
      </c>
      <c r="AM939" s="57" t="n">
        <f aca="false">IF(BR939=1,0,ROUNDUP(AL939/BQ939,0))</f>
        <v>1</v>
      </c>
      <c r="AN939" s="59" t="n">
        <f aca="false">IF(CD939&gt;0,CD939*MAX(1,AL939/V939),IF(BR939=1,IF(AL939&lt;=0,0,BS939*MAX(1,IF(G939&gt;0,AL939/G939,1))),IF(Q939&gt;0,AM939/Q939,0))/MAX(0.1,N(Parameter!$M$21)))</f>
        <v>0.00505050505050505</v>
      </c>
      <c r="AO939" s="57" t="n">
        <f aca="false">AL939*F939</f>
        <v>1136</v>
      </c>
      <c r="AP939" s="57" t="n">
        <f aca="false">ROUNDUP(MAX(I939/IF(BV939&gt;0,BV939,MAX(0.1,N(Cockpit!$I$6))),BY939)/BQ939,0)*BQ939</f>
        <v>64</v>
      </c>
      <c r="AQ939" s="58" t="n">
        <f aca="false">IF(AN939&gt;0,I939/AN939,-1)</f>
        <v>2970</v>
      </c>
      <c r="AR939" s="58" t="n">
        <f aca="false">IF(AND(OR(BU939="L1",BU939="L23"),AN939&gt;0),SUMIFS($AN$7:$AN$1576,$BU$7:$BU$1576,BU939,$AQ$7:$AQ$1576,"&gt;"&amp;AQ939)+SUMIFS($AN$7:$AN$1576,$BU$7:$BU$1576,BU939,$AQ$7:$AQ$1576,AQ939,$BO$7:$BO$1576,"&lt;="&amp;BO939),"")</f>
        <v>14.4104776629168</v>
      </c>
      <c r="AS939" s="65" t="n">
        <f aca="false">IF(AR939="",0,MAX(0,MIN(1,(IF(BU939="L1",Parameter!$E$5,Parameter!$E$6+Parameter!$E$7)-(AR939-AN939))/AN939)))</f>
        <v>1</v>
      </c>
      <c r="AT939" s="57" t="n">
        <f aca="false">IF(LEFT(Cockpit!$O$5,1)="A",G939,IF(BW939=1,BX939,IF(LEFT(Cockpit!$O$5,1)="B",AX939,MAX(AX939,G939))))</f>
        <v>64</v>
      </c>
      <c r="AU939" s="57" t="n">
        <f aca="false">IF(BR939=1,0,ROUNDUP(AT939/BQ939,0))</f>
        <v>1</v>
      </c>
      <c r="AV939" s="59" t="n">
        <f aca="false">IF(CD939&gt;0,CD939*MAX(1,AT939/V939),IF(BR939=1,IF(AT939&lt;=0,0,BS939*MAX(1,IF(G939&gt;0,AT939/G939,1))),IF(Q939&gt;0,AU939/Q939,0))/MAX(0.1,N(Parameter!$M$21)))</f>
        <v>0.00505050505050505</v>
      </c>
      <c r="AW939" s="57" t="n">
        <f aca="false">AT939*F939</f>
        <v>1136</v>
      </c>
      <c r="AX939" s="57" t="n">
        <f aca="false">ROUNDUP(MAX(I939/IF(BV939&gt;0,BV939,MAX(0.1,N(Cockpit!$O$6))),BY939)/BQ939,0)*BQ939</f>
        <v>64</v>
      </c>
      <c r="AY939" s="58" t="n">
        <f aca="false">IF(AV939&gt;0,I939/AV939,-1)</f>
        <v>2970</v>
      </c>
      <c r="AZ939" s="58" t="n">
        <f aca="false">IF(AND(OR(BU939="L1",BU939="L23"),AV939&gt;0),SUMIFS($AV$7:$AV$1576,$BU$7:$BU$1576,BU939,$AY$7:$AY$1576,"&gt;"&amp;AY939)+SUMIFS($AV$7:$AV$1576,$BU$7:$BU$1576,BU939,$AY$7:$AY$1576,AY939,$BO$7:$BO$1576,"&lt;="&amp;BO939),"")</f>
        <v>13.2082632107023</v>
      </c>
      <c r="BA939" s="65" t="n">
        <f aca="false">IF(AZ939="",0,MAX(0,MIN(1,(IF(BU939="L1",Parameter!$E$5,Parameter!$E$6+Parameter!$E$7)-(AZ939-AV939))/AV939)))</f>
        <v>1</v>
      </c>
      <c r="BB939" s="55" t="str">
        <f aca="false">IF(AF939&lt;=0,"",IF(BU939="Aussen","Aussenlager",IF(BU939="-","Nicht im Lift",IF(AK939&gt;=1,"Lift",IF(AK939&lt;=0,"Aussenlager","teilweise")))))</f>
        <v/>
      </c>
      <c r="BC939" s="55" t="str">
        <f aca="false">IF(AN939&lt;=0,"",IF(BU939="Aussen","Aussenlager",IF(BU939="-","Nicht im Lift",IF(AS939&gt;=1,"Lift",IF(AS939&lt;=0,"Aussenlager","teilweise")))))</f>
        <v>Lift</v>
      </c>
      <c r="BD939" s="55" t="str">
        <f aca="false">IF(AV939&lt;=0,"",IF(BU939="Aussen","Aussenlager",IF(BU939="-","Nicht im Lift",IF(BA939&gt;=1,"Lift",IF(BA939&lt;=0,"Aussenlager","teilweise")))))</f>
        <v>Lift</v>
      </c>
      <c r="BE939" s="55" t="str">
        <f aca="false">IF(A939="","",IF(BN939=1,"Neu; ","")&amp;IF(AND(BN939=0,BI939&lt;0),"negativer Bestand (Export "&amp;BI939&amp;"); ","")&amp;IF(I939&lt;=0,"Kein Verbrauch; ","")&amp;IF(CD939&gt;0,"Lift "&amp;U939&amp;" lt. Liftbericht (Fach "&amp;V939&amp;" Stk); ",IF(BR939=1,"Lose – Fläche geschätzt; ",""))&amp;IF(G939&gt;AP939,"Überbestand "&amp;ROUND(G939-AP939,0)&amp;" Stk / CHF "&amp;ROUND((G939-AP939)*F939,0)&amp;"; ","")&amp;IF(AND(BW939=1,BX939&lt;BY939),"MAX &lt; MB+LG; ","")&amp;IF(AND(CC939&gt;0,CB939*10&gt;CC939),"zu hoch für Tablar; ","")&amp;IF(AND(BN939=0,OR(BW939=1,Y939&lt;&gt;"",S939&lt;&gt;"",T939&lt;&gt;"",Z939&lt;&gt;"")),"manuell übersteuert; ","")&amp;IF(AND(BR939=0,Q939=0),"Gebinde unbekannt / Stellmass fehlt; ","")&amp;IF(AND(BR939=0,N(T939)&lt;=0,N(P939)&lt;=0),"Menge pro Gebinde fehlt (Ist = 1 Gebinde); ","")&amp;BM939)</f>
        <v>negativer Bestand (Export -3); twin</v>
      </c>
      <c r="BF939" s="55"/>
      <c r="BG939" s="55"/>
      <c r="BH939" s="62"/>
      <c r="BI939" s="57" t="n">
        <v>-3</v>
      </c>
      <c r="BJ939" s="57" t="n">
        <v>51</v>
      </c>
      <c r="BK939" s="56" t="n">
        <v>-53.25</v>
      </c>
      <c r="BL939" s="57" t="n">
        <v>15</v>
      </c>
      <c r="BM939" s="55" t="s">
        <v>1728</v>
      </c>
      <c r="BN939" s="60" t="n">
        <v>0</v>
      </c>
      <c r="BO939" s="60" t="n">
        <v>939</v>
      </c>
      <c r="BP939" s="55" t="str">
        <f aca="false">IF(S939&lt;&gt;"",UPPER(TRIM(S939)),IF(O939="","LOSE",O939))</f>
        <v>S22</v>
      </c>
      <c r="BQ939" s="57" t="n">
        <f aca="false">IF(BP939="LOSE",1,IF(N(T939)&gt;0,T939,IF(N(P939)&gt;0,P939,MAX(1,G939))))</f>
        <v>64</v>
      </c>
      <c r="BR939" s="60" t="n">
        <f aca="false">IF(BP939="LOSE",1,0)</f>
        <v>0</v>
      </c>
      <c r="BS939" s="59" t="n">
        <f aca="false">IF(BR939=0,0,IF(N(R939)&gt;0,R939,IFERROR(VLOOKUP(D939,Parameter!$A$35:$C$64,3,0)+0,0)))</f>
        <v>0</v>
      </c>
      <c r="BT939" s="55" t="n">
        <f aca="false">IF(Y939&lt;&gt;"",Y939,X939)</f>
        <v>3</v>
      </c>
      <c r="BU939" s="55" t="str">
        <f aca="false">IF(BT939=1,"L1",IF(OR(BT939=2,BT939=3),"L23",IF(BT939="Aussen","Aussen","-")))</f>
        <v>L23</v>
      </c>
      <c r="BV939" s="66" t="n">
        <f aca="false">IF(N(Z939)&gt;0,Z939,0)</f>
        <v>0</v>
      </c>
      <c r="BW939" s="60" t="n">
        <f aca="false">IF(ISNUMBER(AC939),1,0)</f>
        <v>0</v>
      </c>
      <c r="BX939" s="57" t="n">
        <f aca="false">N(AC939)</f>
        <v>0</v>
      </c>
      <c r="BY939" s="57" t="n">
        <f aca="false">N(L939)+N(M939)</f>
        <v>16</v>
      </c>
      <c r="BZ939" s="57" t="n">
        <f aca="false">ROUNDUP(G939/BQ939,0)</f>
        <v>0</v>
      </c>
      <c r="CA939" s="57" t="n">
        <f aca="false">ROUNDUP(BX939/BQ939,0)</f>
        <v>0</v>
      </c>
      <c r="CB939" s="60" t="n">
        <f aca="false">IF(BR939=1,0,IFERROR(VLOOKUP(BP939,'Gebinde-Kategorie'!$A$5:$M$45,5,0)+0,0))</f>
        <v>8</v>
      </c>
      <c r="CC939" s="60" t="n">
        <f aca="false">IFERROR(IF(OR(BT939=1,BT939=2,BT939=3),N(INDEX(Parameter!$I$5:$I$7,BT939)),0),0)</f>
        <v>0</v>
      </c>
      <c r="CD939" s="59" t="n">
        <f aca="false">IF(AND(Parameter!$B$21="Ja",ISNUMBER(U939),N(V939)&gt;0),IFERROR(N(INDEX(Parameter!$L$5:$L$7,U939))*INDEX(Parameter!$E$5:$E$7,U939)*V939/SUMIFS($V$7:$V$1576,$U$7:$U$1576,U939),0),0)</f>
        <v>0</v>
      </c>
    </row>
    <row r="940" customFormat="false" ht="15" hidden="false" customHeight="false" outlineLevel="0" collapsed="false">
      <c r="A940" s="55" t="s">
        <v>1741</v>
      </c>
      <c r="B940" s="55" t="s">
        <v>1742</v>
      </c>
      <c r="C940" s="55" t="s">
        <v>446</v>
      </c>
      <c r="D940" s="55" t="s">
        <v>178</v>
      </c>
      <c r="E940" s="55" t="s">
        <v>210</v>
      </c>
      <c r="F940" s="56" t="n">
        <v>7.7</v>
      </c>
      <c r="G940" s="57" t="n">
        <f aca="false">MAX(0,IF(AND(Parameter!$B$21="Ja",ISNUMBER(W940)),W940,IF(Parameter!$B$20="Jahresanfang 2025 + Export",BJ940+BI940,BI940)))</f>
        <v>0</v>
      </c>
      <c r="H940" s="57" t="n">
        <f aca="false">G940*F940</f>
        <v>0</v>
      </c>
      <c r="I940" s="57" t="n">
        <f aca="false">BL940*Parameter!$B$18</f>
        <v>7</v>
      </c>
      <c r="J940" s="58" t="n">
        <v>7</v>
      </c>
      <c r="K940" s="59" t="n">
        <v>1</v>
      </c>
      <c r="L940" s="57" t="n">
        <v>0</v>
      </c>
      <c r="M940" s="57" t="n">
        <v>5</v>
      </c>
      <c r="N940" s="60" t="n">
        <v>21</v>
      </c>
      <c r="O940" s="55" t="s">
        <v>163</v>
      </c>
      <c r="P940" s="57"/>
      <c r="Q940" s="60" t="n">
        <f aca="false">IF(BR940=1,0,IFERROR(VLOOKUP(BP940,'Gebinde-Kategorie'!$A$5:$M$45,13,0)+0,0))</f>
        <v>0</v>
      </c>
      <c r="R940" s="61"/>
      <c r="S940" s="62"/>
      <c r="T940" s="62"/>
      <c r="U940" s="55"/>
      <c r="V940" s="57"/>
      <c r="W940" s="57"/>
      <c r="X940" s="55" t="n">
        <f aca="false">IF(A940="","",IF(AND(Parameter!$B$21="Ja",ISNUMBER(U940)),U940,IF(IFERROR(VLOOKUP(D940,Parameter!$A$35:$C$64,2,0),"Nein")="2+3",IF(ISNUMBER(SEARCH("grosser Artikel",BM940)),2,IFERROR(VLOOKUP(BP940,Parameter!$F$35:$G$64,2,0),2)),IF(OR(IFERROR(VLOOKUP(D940,Parameter!$A$35:$C$64,2,0),"Nein")="Nein",IFERROR(VLOOKUP(D940,Parameter!$A$35:$C$64,2,0),"Nein")=""),"-",VLOOKUP(D940,Parameter!$A$35:$C$64,2,0)))))</f>
        <v>2</v>
      </c>
      <c r="Y940" s="62"/>
      <c r="Z940" s="63"/>
      <c r="AA940" s="57" t="n">
        <f aca="false">AP940</f>
        <v>5</v>
      </c>
      <c r="AB940" s="57" t="n">
        <f aca="false">MAX(AP940,G940)</f>
        <v>5</v>
      </c>
      <c r="AC940" s="64"/>
      <c r="AD940" s="57" t="n">
        <f aca="false">IF(LEFT(Cockpit!$C$5,1)="A",G940,IF(BW940=1,BX940,IF(LEFT(Cockpit!$C$5,1)="B",AH940,MAX(AH940,G940))))</f>
        <v>0</v>
      </c>
      <c r="AE940" s="57" t="n">
        <f aca="false">IF(BR940=1,0,ROUNDUP(AD940/BQ940,0))</f>
        <v>0</v>
      </c>
      <c r="AF940" s="59" t="n">
        <f aca="false">IF(CD940&gt;0,CD940*MAX(1,AD940/V940),IF(BR940=1,IF(AD940&lt;=0,0,BS940*MAX(1,IF(G940&gt;0,AD940/G940,1))),IF(Q940&gt;0,AE940/Q940,0))/MAX(0.1,N(Parameter!$M$21)))</f>
        <v>0</v>
      </c>
      <c r="AG940" s="57" t="n">
        <f aca="false">AD940*F940</f>
        <v>0</v>
      </c>
      <c r="AH940" s="57" t="n">
        <f aca="false">ROUNDUP(MAX(I940/IF(BV940&gt;0,BV940,MAX(0.1,N(Cockpit!$C$6))),BY940)/BQ940,0)*BQ940</f>
        <v>5</v>
      </c>
      <c r="AI940" s="58" t="n">
        <f aca="false">IF(AF940&gt;0,I940/AF940,-1)</f>
        <v>-1</v>
      </c>
      <c r="AJ940" s="58" t="str">
        <f aca="false">IF(AND(OR(BU940="L1",BU940="L23"),AF940&gt;0),SUMIFS($AF$7:$AF$1576,$BU$7:$BU$1576,BU940,$AI$7:$AI$1576,"&gt;"&amp;AI940)+SUMIFS($AF$7:$AF$1576,$BU$7:$BU$1576,BU940,$AI$7:$AI$1576,AI940,$BO$7:$BO$1576,"&lt;="&amp;BO940),"")</f>
        <v/>
      </c>
      <c r="AK940" s="65" t="n">
        <f aca="false">IF(AJ940="",0,MAX(0,MIN(1,(IF(BU940="L1",Parameter!$E$5,Parameter!$E$6+Parameter!$E$7)-(AJ940-AF940))/AF940)))</f>
        <v>0</v>
      </c>
      <c r="AL940" s="57" t="n">
        <f aca="false">IF(LEFT(Cockpit!$I$5,1)="A",G940,IF(BW940=1,BX940,IF(LEFT(Cockpit!$I$5,1)="B",AP940,MAX(AP940,G940))))</f>
        <v>5</v>
      </c>
      <c r="AM940" s="57" t="n">
        <f aca="false">IF(BR940=1,0,ROUNDUP(AL940/BQ940,0))</f>
        <v>0</v>
      </c>
      <c r="AN940" s="59" t="n">
        <f aca="false">IF(CD940&gt;0,CD940*MAX(1,AL940/V940),IF(BR940=1,IF(AL940&lt;=0,0,BS940*MAX(1,IF(G940&gt;0,AL940/G940,1))),IF(Q940&gt;0,AM940/Q940,0))/MAX(0.1,N(Parameter!$M$21)))</f>
        <v>0.03</v>
      </c>
      <c r="AO940" s="57" t="n">
        <f aca="false">AL940*F940</f>
        <v>38.5</v>
      </c>
      <c r="AP940" s="57" t="n">
        <f aca="false">ROUNDUP(MAX(I940/IF(BV940&gt;0,BV940,MAX(0.1,N(Cockpit!$I$6))),BY940)/BQ940,0)*BQ940</f>
        <v>5</v>
      </c>
      <c r="AQ940" s="58" t="n">
        <f aca="false">IF(AN940&gt;0,I940/AN940,-1)</f>
        <v>233.333333333333</v>
      </c>
      <c r="AR940" s="58" t="n">
        <f aca="false">IF(AND(OR(BU940="L1",BU940="L23"),AN940&gt;0),SUMIFS($AN$7:$AN$1576,$BU$7:$BU$1576,BU940,$AQ$7:$AQ$1576,"&gt;"&amp;AQ940)+SUMIFS($AN$7:$AN$1576,$BU$7:$BU$1576,BU940,$AQ$7:$AQ$1576,AQ940,$BO$7:$BO$1576,"&lt;="&amp;BO940),"")</f>
        <v>47.0393370521743</v>
      </c>
      <c r="AS940" s="65" t="n">
        <f aca="false">IF(AR940="",0,MAX(0,MIN(1,(IF(BU940="L1",Parameter!$E$5,Parameter!$E$6+Parameter!$E$7)-(AR940-AN940))/AN940)))</f>
        <v>1</v>
      </c>
      <c r="AT940" s="57" t="n">
        <f aca="false">IF(LEFT(Cockpit!$O$5,1)="A",G940,IF(BW940=1,BX940,IF(LEFT(Cockpit!$O$5,1)="B",AX940,MAX(AX940,G940))))</f>
        <v>5</v>
      </c>
      <c r="AU940" s="57" t="n">
        <f aca="false">IF(BR940=1,0,ROUNDUP(AT940/BQ940,0))</f>
        <v>0</v>
      </c>
      <c r="AV940" s="59" t="n">
        <f aca="false">IF(CD940&gt;0,CD940*MAX(1,AT940/V940),IF(BR940=1,IF(AT940&lt;=0,0,BS940*MAX(1,IF(G940&gt;0,AT940/G940,1))),IF(Q940&gt;0,AU940/Q940,0))/MAX(0.1,N(Parameter!$M$21)))</f>
        <v>0.03</v>
      </c>
      <c r="AW940" s="57" t="n">
        <f aca="false">AT940*F940</f>
        <v>38.5</v>
      </c>
      <c r="AX940" s="57" t="n">
        <f aca="false">ROUNDUP(MAX(I940/IF(BV940&gt;0,BV940,MAX(0.1,N(Cockpit!$O$6))),BY940)/BQ940,0)*BQ940</f>
        <v>5</v>
      </c>
      <c r="AY940" s="58" t="n">
        <f aca="false">IF(AV940&gt;0,I940/AV940,-1)</f>
        <v>233.333333333333</v>
      </c>
      <c r="AZ940" s="58" t="n">
        <f aca="false">IF(AND(OR(BU940="L1",BU940="L23"),AV940&gt;0),SUMIFS($AV$7:$AV$1576,$BU$7:$BU$1576,BU940,$AY$7:$AY$1576,"&gt;"&amp;AY940)+SUMIFS($AV$7:$AV$1576,$BU$7:$BU$1576,BU940,$AY$7:$AY$1576,AY940,$BO$7:$BO$1576,"&lt;="&amp;BO940),"")</f>
        <v>43.6507489735862</v>
      </c>
      <c r="BA940" s="65" t="n">
        <f aca="false">IF(AZ940="",0,MAX(0,MIN(1,(IF(BU940="L1",Parameter!$E$5,Parameter!$E$6+Parameter!$E$7)-(AZ940-AV940))/AV940)))</f>
        <v>1</v>
      </c>
      <c r="BB940" s="55" t="str">
        <f aca="false">IF(AF940&lt;=0,"",IF(BU940="Aussen","Aussenlager",IF(BU940="-","Nicht im Lift",IF(AK940&gt;=1,"Lift",IF(AK940&lt;=0,"Aussenlager","teilweise")))))</f>
        <v/>
      </c>
      <c r="BC940" s="55" t="str">
        <f aca="false">IF(AN940&lt;=0,"",IF(BU940="Aussen","Aussenlager",IF(BU940="-","Nicht im Lift",IF(AS940&gt;=1,"Lift",IF(AS940&lt;=0,"Aussenlager","teilweise")))))</f>
        <v>Lift</v>
      </c>
      <c r="BD940" s="55" t="str">
        <f aca="false">IF(AV940&lt;=0,"",IF(BU940="Aussen","Aussenlager",IF(BU940="-","Nicht im Lift",IF(BA940&gt;=1,"Lift",IF(BA940&lt;=0,"Aussenlager","teilweise")))))</f>
        <v>Lift</v>
      </c>
      <c r="BE940" s="55" t="str">
        <f aca="false">IF(A940="","",IF(BN940=1,"Neu; ","")&amp;IF(AND(BN940=0,BI940&lt;0),"negativer Bestand (Export "&amp;BI940&amp;"); ","")&amp;IF(I940&lt;=0,"Kein Verbrauch; ","")&amp;IF(CD940&gt;0,"Lift "&amp;U940&amp;" lt. Liftbericht (Fach "&amp;V940&amp;" Stk); ",IF(BR940=1,"Lose – Fläche geschätzt; ",""))&amp;IF(G940&gt;AP940,"Überbestand "&amp;ROUND(G940-AP940,0)&amp;" Stk / CHF "&amp;ROUND((G940-AP940)*F940,0)&amp;"; ","")&amp;IF(AND(BW940=1,BX940&lt;BY940),"MAX &lt; MB+LG; ","")&amp;IF(AND(CC940&gt;0,CB940*10&gt;CC940),"zu hoch für Tablar; ","")&amp;IF(AND(BN940=0,OR(BW940=1,Y940&lt;&gt;"",S940&lt;&gt;"",T940&lt;&gt;"",Z940&lt;&gt;"")),"manuell übersteuert; ","")&amp;IF(AND(BR940=0,Q940=0),"Gebinde unbekannt / Stellmass fehlt; ","")&amp;IF(AND(BR940=0,N(T940)&lt;=0,N(P940)&lt;=0),"Menge pro Gebinde fehlt (Ist = 1 Gebinde); ","")&amp;BM940)</f>
        <v>negativer Bestand (Export -7); Lose – Fläche geschätzt; </v>
      </c>
      <c r="BF940" s="55"/>
      <c r="BG940" s="55"/>
      <c r="BH940" s="62"/>
      <c r="BI940" s="57" t="n">
        <v>-7</v>
      </c>
      <c r="BJ940" s="57" t="n">
        <v>14</v>
      </c>
      <c r="BK940" s="56" t="n">
        <v>-53.9</v>
      </c>
      <c r="BL940" s="57" t="n">
        <v>7</v>
      </c>
      <c r="BM940" s="55"/>
      <c r="BN940" s="60" t="n">
        <v>0</v>
      </c>
      <c r="BO940" s="60" t="n">
        <v>940</v>
      </c>
      <c r="BP940" s="55" t="str">
        <f aca="false">IF(S940&lt;&gt;"",UPPER(TRIM(S940)),IF(O940="","LOSE",O940))</f>
        <v>LOSE</v>
      </c>
      <c r="BQ940" s="57" t="n">
        <f aca="false">IF(BP940="LOSE",1,IF(N(T940)&gt;0,T940,IF(N(P940)&gt;0,P940,MAX(1,G940))))</f>
        <v>1</v>
      </c>
      <c r="BR940" s="60" t="n">
        <f aca="false">IF(BP940="LOSE",1,0)</f>
        <v>1</v>
      </c>
      <c r="BS940" s="59" t="n">
        <f aca="false">IF(BR940=0,0,IF(N(R940)&gt;0,R940,IFERROR(VLOOKUP(D940,Parameter!$A$35:$C$64,3,0)+0,0)))</f>
        <v>0.03</v>
      </c>
      <c r="BT940" s="55" t="n">
        <f aca="false">IF(Y940&lt;&gt;"",Y940,X940)</f>
        <v>2</v>
      </c>
      <c r="BU940" s="55" t="str">
        <f aca="false">IF(BT940=1,"L1",IF(OR(BT940=2,BT940=3),"L23",IF(BT940="Aussen","Aussen","-")))</f>
        <v>L23</v>
      </c>
      <c r="BV940" s="66" t="n">
        <f aca="false">IF(N(Z940)&gt;0,Z940,0)</f>
        <v>0</v>
      </c>
      <c r="BW940" s="60" t="n">
        <f aca="false">IF(ISNUMBER(AC940),1,0)</f>
        <v>0</v>
      </c>
      <c r="BX940" s="57" t="n">
        <f aca="false">N(AC940)</f>
        <v>0</v>
      </c>
      <c r="BY940" s="57" t="n">
        <f aca="false">N(L940)+N(M940)</f>
        <v>5</v>
      </c>
      <c r="BZ940" s="57" t="n">
        <f aca="false">ROUNDUP(G940/BQ940,0)</f>
        <v>0</v>
      </c>
      <c r="CA940" s="57" t="n">
        <f aca="false">ROUNDUP(BX940/BQ940,0)</f>
        <v>0</v>
      </c>
      <c r="CB940" s="60" t="n">
        <f aca="false">IF(BR940=1,0,IFERROR(VLOOKUP(BP940,'Gebinde-Kategorie'!$A$5:$M$45,5,0)+0,0))</f>
        <v>0</v>
      </c>
      <c r="CC940" s="60" t="n">
        <f aca="false">IFERROR(IF(OR(BT940=1,BT940=2,BT940=3),N(INDEX(Parameter!$I$5:$I$7,BT940)),0),0)</f>
        <v>0</v>
      </c>
      <c r="CD940" s="59" t="n">
        <f aca="false">IF(AND(Parameter!$B$21="Ja",ISNUMBER(U940),N(V940)&gt;0),IFERROR(N(INDEX(Parameter!$L$5:$L$7,U940))*INDEX(Parameter!$E$5:$E$7,U940)*V940/SUMIFS($V$7:$V$1576,$U$7:$U$1576,U940),0),0)</f>
        <v>0</v>
      </c>
    </row>
    <row r="941" customFormat="false" ht="15" hidden="false" customHeight="false" outlineLevel="0" collapsed="false">
      <c r="A941" s="55" t="s">
        <v>1743</v>
      </c>
      <c r="B941" s="55" t="s">
        <v>395</v>
      </c>
      <c r="C941" s="55" t="s">
        <v>160</v>
      </c>
      <c r="D941" s="55" t="s">
        <v>178</v>
      </c>
      <c r="E941" s="55" t="s">
        <v>210</v>
      </c>
      <c r="F941" s="56" t="n">
        <v>0.17</v>
      </c>
      <c r="G941" s="57" t="n">
        <f aca="false">MAX(0,IF(AND(Parameter!$B$21="Ja",ISNUMBER(W941)),W941,IF(Parameter!$B$20="Jahresanfang 2025 + Export",BJ941+BI941,BI941)))</f>
        <v>0</v>
      </c>
      <c r="H941" s="57" t="n">
        <f aca="false">G941*F941</f>
        <v>0</v>
      </c>
      <c r="I941" s="57" t="n">
        <f aca="false">BL941*Parameter!$B$18</f>
        <v>1200</v>
      </c>
      <c r="J941" s="58" t="n">
        <v>458</v>
      </c>
      <c r="K941" s="59" t="n">
        <v>2.62008733624454</v>
      </c>
      <c r="L941" s="57" t="n">
        <v>70</v>
      </c>
      <c r="M941" s="57" t="n">
        <v>600</v>
      </c>
      <c r="N941" s="60" t="n">
        <v>21</v>
      </c>
      <c r="O941" s="55" t="s">
        <v>225</v>
      </c>
      <c r="P941" s="57" t="n">
        <v>884</v>
      </c>
      <c r="Q941" s="60" t="n">
        <f aca="false">IF(BR941=1,0,IFERROR(VLOOKUP(BP941,'Gebinde-Kategorie'!$A$5:$M$45,13,0)+0,0))</f>
        <v>26</v>
      </c>
      <c r="R941" s="61"/>
      <c r="S941" s="62"/>
      <c r="T941" s="62"/>
      <c r="U941" s="55"/>
      <c r="V941" s="57"/>
      <c r="W941" s="57"/>
      <c r="X941" s="55" t="n">
        <f aca="false">IF(A941="","",IF(AND(Parameter!$B$21="Ja",ISNUMBER(U941)),U941,IF(IFERROR(VLOOKUP(D941,Parameter!$A$35:$C$64,2,0),"Nein")="2+3",IF(ISNUMBER(SEARCH("grosser Artikel",BM941)),2,IFERROR(VLOOKUP(BP941,Parameter!$F$35:$G$64,2,0),2)),IF(OR(IFERROR(VLOOKUP(D941,Parameter!$A$35:$C$64,2,0),"Nein")="Nein",IFERROR(VLOOKUP(D941,Parameter!$A$35:$C$64,2,0),"Nein")=""),"-",VLOOKUP(D941,Parameter!$A$35:$C$64,2,0)))))</f>
        <v>3</v>
      </c>
      <c r="Y941" s="62"/>
      <c r="Z941" s="63"/>
      <c r="AA941" s="57" t="n">
        <f aca="false">AP941</f>
        <v>884</v>
      </c>
      <c r="AB941" s="57" t="n">
        <f aca="false">MAX(AP941,G941)</f>
        <v>884</v>
      </c>
      <c r="AC941" s="64"/>
      <c r="AD941" s="57" t="n">
        <f aca="false">IF(LEFT(Cockpit!$C$5,1)="A",G941,IF(BW941=1,BX941,IF(LEFT(Cockpit!$C$5,1)="B",AH941,MAX(AH941,G941))))</f>
        <v>0</v>
      </c>
      <c r="AE941" s="57" t="n">
        <f aca="false">IF(BR941=1,0,ROUNDUP(AD941/BQ941,0))</f>
        <v>0</v>
      </c>
      <c r="AF941" s="59" t="n">
        <f aca="false">IF(CD941&gt;0,CD941*MAX(1,AD941/V941),IF(BR941=1,IF(AD941&lt;=0,0,BS941*MAX(1,IF(G941&gt;0,AD941/G941,1))),IF(Q941&gt;0,AE941/Q941,0))/MAX(0.1,N(Parameter!$M$21)))</f>
        <v>0</v>
      </c>
      <c r="AG941" s="57" t="n">
        <f aca="false">AD941*F941</f>
        <v>0</v>
      </c>
      <c r="AH941" s="57" t="n">
        <f aca="false">ROUNDUP(MAX(I941/IF(BV941&gt;0,BV941,MAX(0.1,N(Cockpit!$C$6))),BY941)/BQ941,0)*BQ941</f>
        <v>884</v>
      </c>
      <c r="AI941" s="58" t="n">
        <f aca="false">IF(AF941&gt;0,I941/AF941,-1)</f>
        <v>-1</v>
      </c>
      <c r="AJ941" s="58" t="str">
        <f aca="false">IF(AND(OR(BU941="L1",BU941="L23"),AF941&gt;0),SUMIFS($AF$7:$AF$1576,$BU$7:$BU$1576,BU941,$AI$7:$AI$1576,"&gt;"&amp;AI941)+SUMIFS($AF$7:$AF$1576,$BU$7:$BU$1576,BU941,$AI$7:$AI$1576,AI941,$BO$7:$BO$1576,"&lt;="&amp;BO941),"")</f>
        <v/>
      </c>
      <c r="AK941" s="65" t="n">
        <f aca="false">IF(AJ941="",0,MAX(0,MIN(1,(IF(BU941="L1",Parameter!$E$5,Parameter!$E$6+Parameter!$E$7)-(AJ941-AF941))/AF941)))</f>
        <v>0</v>
      </c>
      <c r="AL941" s="57" t="n">
        <f aca="false">IF(LEFT(Cockpit!$I$5,1)="A",G941,IF(BW941=1,BX941,IF(LEFT(Cockpit!$I$5,1)="B",AP941,MAX(AP941,G941))))</f>
        <v>884</v>
      </c>
      <c r="AM941" s="57" t="n">
        <f aca="false">IF(BR941=1,0,ROUNDUP(AL941/BQ941,0))</f>
        <v>1</v>
      </c>
      <c r="AN941" s="59" t="n">
        <f aca="false">IF(CD941&gt;0,CD941*MAX(1,AL941/V941),IF(BR941=1,IF(AL941&lt;=0,0,BS941*MAX(1,IF(G941&gt;0,AL941/G941,1))),IF(Q941&gt;0,AM941/Q941,0))/MAX(0.1,N(Parameter!$M$21)))</f>
        <v>0.0384615384615385</v>
      </c>
      <c r="AO941" s="57" t="n">
        <f aca="false">AL941*F941</f>
        <v>150.28</v>
      </c>
      <c r="AP941" s="57" t="n">
        <f aca="false">ROUNDUP(MAX(I941/IF(BV941&gt;0,BV941,MAX(0.1,N(Cockpit!$I$6))),BY941)/BQ941,0)*BQ941</f>
        <v>884</v>
      </c>
      <c r="AQ941" s="58" t="n">
        <f aca="false">IF(AN941&gt;0,I941/AN941,-1)</f>
        <v>31200</v>
      </c>
      <c r="AR941" s="58" t="n">
        <f aca="false">IF(AND(OR(BU941="L1",BU941="L23"),AN941&gt;0),SUMIFS($AN$7:$AN$1576,$BU$7:$BU$1576,BU941,$AQ$7:$AQ$1576,"&gt;"&amp;AQ941)+SUMIFS($AN$7:$AN$1576,$BU$7:$BU$1576,BU941,$AQ$7:$AQ$1576,AQ941,$BO$7:$BO$1576,"&lt;="&amp;BO941),"")</f>
        <v>2.74067970676666</v>
      </c>
      <c r="AS941" s="65" t="n">
        <f aca="false">IF(AR941="",0,MAX(0,MIN(1,(IF(BU941="L1",Parameter!$E$5,Parameter!$E$6+Parameter!$E$7)-(AR941-AN941))/AN941)))</f>
        <v>1</v>
      </c>
      <c r="AT941" s="57" t="n">
        <f aca="false">IF(LEFT(Cockpit!$O$5,1)="A",G941,IF(BW941=1,BX941,IF(LEFT(Cockpit!$O$5,1)="B",AX941,MAX(AX941,G941))))</f>
        <v>884</v>
      </c>
      <c r="AU941" s="57" t="n">
        <f aca="false">IF(BR941=1,0,ROUNDUP(AT941/BQ941,0))</f>
        <v>1</v>
      </c>
      <c r="AV941" s="59" t="n">
        <f aca="false">IF(CD941&gt;0,CD941*MAX(1,AT941/V941),IF(BR941=1,IF(AT941&lt;=0,0,BS941*MAX(1,IF(G941&gt;0,AT941/G941,1))),IF(Q941&gt;0,AU941/Q941,0))/MAX(0.1,N(Parameter!$M$21)))</f>
        <v>0.0384615384615385</v>
      </c>
      <c r="AW941" s="57" t="n">
        <f aca="false">AT941*F941</f>
        <v>150.28</v>
      </c>
      <c r="AX941" s="57" t="n">
        <f aca="false">ROUNDUP(MAX(I941/IF(BV941&gt;0,BV941,MAX(0.1,N(Cockpit!$O$6))),BY941)/BQ941,0)*BQ941</f>
        <v>884</v>
      </c>
      <c r="AY941" s="58" t="n">
        <f aca="false">IF(AV941&gt;0,I941/AV941,-1)</f>
        <v>31200</v>
      </c>
      <c r="AZ941" s="58" t="n">
        <f aca="false">IF(AND(OR(BU941="L1",BU941="L23"),AV941&gt;0),SUMIFS($AV$7:$AV$1576,$BU$7:$BU$1576,BU941,$AY$7:$AY$1576,"&gt;"&amp;AY941)+SUMIFS($AV$7:$AV$1576,$BU$7:$BU$1576,BU941,$AY$7:$AY$1576,AY941,$BO$7:$BO$1576,"&lt;="&amp;BO941),"")</f>
        <v>2.54720651329347</v>
      </c>
      <c r="BA941" s="65" t="n">
        <f aca="false">IF(AZ941="",0,MAX(0,MIN(1,(IF(BU941="L1",Parameter!$E$5,Parameter!$E$6+Parameter!$E$7)-(AZ941-AV941))/AV941)))</f>
        <v>1</v>
      </c>
      <c r="BB941" s="55" t="str">
        <f aca="false">IF(AF941&lt;=0,"",IF(BU941="Aussen","Aussenlager",IF(BU941="-","Nicht im Lift",IF(AK941&gt;=1,"Lift",IF(AK941&lt;=0,"Aussenlager","teilweise")))))</f>
        <v/>
      </c>
      <c r="BC941" s="55" t="str">
        <f aca="false">IF(AN941&lt;=0,"",IF(BU941="Aussen","Aussenlager",IF(BU941="-","Nicht im Lift",IF(AS941&gt;=1,"Lift",IF(AS941&lt;=0,"Aussenlager","teilweise")))))</f>
        <v>Lift</v>
      </c>
      <c r="BD941" s="55" t="str">
        <f aca="false">IF(AV941&lt;=0,"",IF(BU941="Aussen","Aussenlager",IF(BU941="-","Nicht im Lift",IF(BA941&gt;=1,"Lift",IF(BA941&lt;=0,"Aussenlager","teilweise")))))</f>
        <v>Lift</v>
      </c>
      <c r="BE941" s="55" t="str">
        <f aca="false">IF(A941="","",IF(BN941=1,"Neu; ","")&amp;IF(AND(BN941=0,BI941&lt;0),"negativer Bestand (Export "&amp;BI941&amp;"); ","")&amp;IF(I941&lt;=0,"Kein Verbrauch; ","")&amp;IF(CD941&gt;0,"Lift "&amp;U941&amp;" lt. Liftbericht (Fach "&amp;V941&amp;" Stk); ",IF(BR941=1,"Lose – Fläche geschätzt; ",""))&amp;IF(G941&gt;AP941,"Überbestand "&amp;ROUND(G941-AP941,0)&amp;" Stk / CHF "&amp;ROUND((G941-AP941)*F941,0)&amp;"; ","")&amp;IF(AND(BW941=1,BX941&lt;BY941),"MAX &lt; MB+LG; ","")&amp;IF(AND(CC941&gt;0,CB941*10&gt;CC941),"zu hoch für Tablar; ","")&amp;IF(AND(BN941=0,OR(BW941=1,Y941&lt;&gt;"",S941&lt;&gt;"",T941&lt;&gt;"",Z941&lt;&gt;"")),"manuell übersteuert; ","")&amp;IF(AND(BR941=0,Q941=0),"Gebinde unbekannt / Stellmass fehlt; ","")&amp;IF(AND(BR941=0,N(T941)&lt;=0,N(P941)&lt;=0),"Menge pro Gebinde fehlt (Ist = 1 Gebinde); ","")&amp;BM941)</f>
        <v>negativer Bestand (Export -292); </v>
      </c>
      <c r="BF941" s="55"/>
      <c r="BG941" s="55"/>
      <c r="BH941" s="62"/>
      <c r="BI941" s="57" t="n">
        <v>-292</v>
      </c>
      <c r="BJ941" s="57" t="n">
        <v>471</v>
      </c>
      <c r="BK941" s="56" t="n">
        <v>-54.29</v>
      </c>
      <c r="BL941" s="57" t="n">
        <v>1200</v>
      </c>
      <c r="BM941" s="55"/>
      <c r="BN941" s="60" t="n">
        <v>0</v>
      </c>
      <c r="BO941" s="60" t="n">
        <v>941</v>
      </c>
      <c r="BP941" s="55" t="str">
        <f aca="false">IF(S941&lt;&gt;"",UPPER(TRIM(S941)),IF(O941="","LOSE",O941))</f>
        <v>S52</v>
      </c>
      <c r="BQ941" s="57" t="n">
        <f aca="false">IF(BP941="LOSE",1,IF(N(T941)&gt;0,T941,IF(N(P941)&gt;0,P941,MAX(1,G941))))</f>
        <v>884</v>
      </c>
      <c r="BR941" s="60" t="n">
        <f aca="false">IF(BP941="LOSE",1,0)</f>
        <v>0</v>
      </c>
      <c r="BS941" s="59" t="n">
        <f aca="false">IF(BR941=0,0,IF(N(R941)&gt;0,R941,IFERROR(VLOOKUP(D941,Parameter!$A$35:$C$64,3,0)+0,0)))</f>
        <v>0</v>
      </c>
      <c r="BT941" s="55" t="n">
        <f aca="false">IF(Y941&lt;&gt;"",Y941,X941)</f>
        <v>3</v>
      </c>
      <c r="BU941" s="55" t="str">
        <f aca="false">IF(BT941=1,"L1",IF(OR(BT941=2,BT941=3),"L23",IF(BT941="Aussen","Aussen","-")))</f>
        <v>L23</v>
      </c>
      <c r="BV941" s="66" t="n">
        <f aca="false">IF(N(Z941)&gt;0,Z941,0)</f>
        <v>0</v>
      </c>
      <c r="BW941" s="60" t="n">
        <f aca="false">IF(ISNUMBER(AC941),1,0)</f>
        <v>0</v>
      </c>
      <c r="BX941" s="57" t="n">
        <f aca="false">N(AC941)</f>
        <v>0</v>
      </c>
      <c r="BY941" s="57" t="n">
        <f aca="false">N(L941)+N(M941)</f>
        <v>670</v>
      </c>
      <c r="BZ941" s="57" t="n">
        <f aca="false">ROUNDUP(G941/BQ941,0)</f>
        <v>0</v>
      </c>
      <c r="CA941" s="57" t="n">
        <f aca="false">ROUNDUP(BX941/BQ941,0)</f>
        <v>0</v>
      </c>
      <c r="CB941" s="60" t="n">
        <f aca="false">IF(BR941=1,0,IFERROR(VLOOKUP(BP941,'Gebinde-Kategorie'!$A$5:$M$45,5,0)+0,0))</f>
        <v>21</v>
      </c>
      <c r="CC941" s="60" t="n">
        <f aca="false">IFERROR(IF(OR(BT941=1,BT941=2,BT941=3),N(INDEX(Parameter!$I$5:$I$7,BT941)),0),0)</f>
        <v>0</v>
      </c>
      <c r="CD941" s="59" t="n">
        <f aca="false">IF(AND(Parameter!$B$21="Ja",ISNUMBER(U941),N(V941)&gt;0),IFERROR(N(INDEX(Parameter!$L$5:$L$7,U941))*INDEX(Parameter!$E$5:$E$7,U941)*V941/SUMIFS($V$7:$V$1576,$U$7:$U$1576,U941),0),0)</f>
        <v>0</v>
      </c>
    </row>
    <row r="942" customFormat="false" ht="15" hidden="false" customHeight="false" outlineLevel="0" collapsed="false">
      <c r="A942" s="55" t="s">
        <v>1744</v>
      </c>
      <c r="B942" s="55" t="s">
        <v>1154</v>
      </c>
      <c r="C942" s="55" t="s">
        <v>160</v>
      </c>
      <c r="D942" s="55" t="s">
        <v>178</v>
      </c>
      <c r="E942" s="55" t="s">
        <v>210</v>
      </c>
      <c r="F942" s="56" t="n">
        <v>18.23</v>
      </c>
      <c r="G942" s="57" t="n">
        <f aca="false">MAX(0,IF(AND(Parameter!$B$21="Ja",ISNUMBER(W942)),W942,IF(Parameter!$B$20="Jahresanfang 2025 + Export",BJ942+BI942,BI942)))</f>
        <v>0</v>
      </c>
      <c r="H942" s="57" t="n">
        <f aca="false">G942*F942</f>
        <v>0</v>
      </c>
      <c r="I942" s="57" t="n">
        <f aca="false">BL942*Parameter!$B$18</f>
        <v>8</v>
      </c>
      <c r="J942" s="58" t="n">
        <v>3.5</v>
      </c>
      <c r="K942" s="59" t="n">
        <v>2.28571428571429</v>
      </c>
      <c r="L942" s="57" t="n">
        <v>0</v>
      </c>
      <c r="M942" s="57" t="n">
        <v>10</v>
      </c>
      <c r="N942" s="60" t="n">
        <v>18</v>
      </c>
      <c r="O942" s="55" t="s">
        <v>465</v>
      </c>
      <c r="P942" s="57" t="n">
        <v>16</v>
      </c>
      <c r="Q942" s="60" t="n">
        <f aca="false">IF(BR942=1,0,IFERROR(VLOOKUP(BP942,'Gebinde-Kategorie'!$A$5:$M$45,13,0)+0,0))</f>
        <v>66</v>
      </c>
      <c r="R942" s="61"/>
      <c r="S942" s="62"/>
      <c r="T942" s="62"/>
      <c r="U942" s="55"/>
      <c r="V942" s="57"/>
      <c r="W942" s="57"/>
      <c r="X942" s="55" t="n">
        <f aca="false">IF(A942="","",IF(AND(Parameter!$B$21="Ja",ISNUMBER(U942)),U942,IF(IFERROR(VLOOKUP(D942,Parameter!$A$35:$C$64,2,0),"Nein")="2+3",IF(ISNUMBER(SEARCH("grosser Artikel",BM942)),2,IFERROR(VLOOKUP(BP942,Parameter!$F$35:$G$64,2,0),2)),IF(OR(IFERROR(VLOOKUP(D942,Parameter!$A$35:$C$64,2,0),"Nein")="Nein",IFERROR(VLOOKUP(D942,Parameter!$A$35:$C$64,2,0),"Nein")=""),"-",VLOOKUP(D942,Parameter!$A$35:$C$64,2,0)))))</f>
        <v>3</v>
      </c>
      <c r="Y942" s="62"/>
      <c r="Z942" s="63"/>
      <c r="AA942" s="57" t="n">
        <f aca="false">AP942</f>
        <v>16</v>
      </c>
      <c r="AB942" s="57" t="n">
        <f aca="false">MAX(AP942,G942)</f>
        <v>16</v>
      </c>
      <c r="AC942" s="64"/>
      <c r="AD942" s="57" t="n">
        <f aca="false">IF(LEFT(Cockpit!$C$5,1)="A",G942,IF(BW942=1,BX942,IF(LEFT(Cockpit!$C$5,1)="B",AH942,MAX(AH942,G942))))</f>
        <v>0</v>
      </c>
      <c r="AE942" s="57" t="n">
        <f aca="false">IF(BR942=1,0,ROUNDUP(AD942/BQ942,0))</f>
        <v>0</v>
      </c>
      <c r="AF942" s="59" t="n">
        <f aca="false">IF(CD942&gt;0,CD942*MAX(1,AD942/V942),IF(BR942=1,IF(AD942&lt;=0,0,BS942*MAX(1,IF(G942&gt;0,AD942/G942,1))),IF(Q942&gt;0,AE942/Q942,0))/MAX(0.1,N(Parameter!$M$21)))</f>
        <v>0</v>
      </c>
      <c r="AG942" s="57" t="n">
        <f aca="false">AD942*F942</f>
        <v>0</v>
      </c>
      <c r="AH942" s="57" t="n">
        <f aca="false">ROUNDUP(MAX(I942/IF(BV942&gt;0,BV942,MAX(0.1,N(Cockpit!$C$6))),BY942)/BQ942,0)*BQ942</f>
        <v>16</v>
      </c>
      <c r="AI942" s="58" t="n">
        <f aca="false">IF(AF942&gt;0,I942/AF942,-1)</f>
        <v>-1</v>
      </c>
      <c r="AJ942" s="58" t="str">
        <f aca="false">IF(AND(OR(BU942="L1",BU942="L23"),AF942&gt;0),SUMIFS($AF$7:$AF$1576,$BU$7:$BU$1576,BU942,$AI$7:$AI$1576,"&gt;"&amp;AI942)+SUMIFS($AF$7:$AF$1576,$BU$7:$BU$1576,BU942,$AI$7:$AI$1576,AI942,$BO$7:$BO$1576,"&lt;="&amp;BO942),"")</f>
        <v/>
      </c>
      <c r="AK942" s="65" t="n">
        <f aca="false">IF(AJ942="",0,MAX(0,MIN(1,(IF(BU942="L1",Parameter!$E$5,Parameter!$E$6+Parameter!$E$7)-(AJ942-AF942))/AF942)))</f>
        <v>0</v>
      </c>
      <c r="AL942" s="57" t="n">
        <f aca="false">IF(LEFT(Cockpit!$I$5,1)="A",G942,IF(BW942=1,BX942,IF(LEFT(Cockpit!$I$5,1)="B",AP942,MAX(AP942,G942))))</f>
        <v>16</v>
      </c>
      <c r="AM942" s="57" t="n">
        <f aca="false">IF(BR942=1,0,ROUNDUP(AL942/BQ942,0))</f>
        <v>1</v>
      </c>
      <c r="AN942" s="59" t="n">
        <f aca="false">IF(CD942&gt;0,CD942*MAX(1,AL942/V942),IF(BR942=1,IF(AL942&lt;=0,0,BS942*MAX(1,IF(G942&gt;0,AL942/G942,1))),IF(Q942&gt;0,AM942/Q942,0))/MAX(0.1,N(Parameter!$M$21)))</f>
        <v>0.0151515151515152</v>
      </c>
      <c r="AO942" s="57" t="n">
        <f aca="false">AL942*F942</f>
        <v>291.68</v>
      </c>
      <c r="AP942" s="57" t="n">
        <f aca="false">ROUNDUP(MAX(I942/IF(BV942&gt;0,BV942,MAX(0.1,N(Cockpit!$I$6))),BY942)/BQ942,0)*BQ942</f>
        <v>16</v>
      </c>
      <c r="AQ942" s="58" t="n">
        <f aca="false">IF(AN942&gt;0,I942/AN942,-1)</f>
        <v>528</v>
      </c>
      <c r="AR942" s="58" t="n">
        <f aca="false">IF(AND(OR(BU942="L1",BU942="L23"),AN942&gt;0),SUMIFS($AN$7:$AN$1576,$BU$7:$BU$1576,BU942,$AQ$7:$AQ$1576,"&gt;"&amp;AQ942)+SUMIFS($AN$7:$AN$1576,$BU$7:$BU$1576,BU942,$AQ$7:$AQ$1576,AQ942,$BO$7:$BO$1576,"&lt;="&amp;BO942),"")</f>
        <v>32.9498658470509</v>
      </c>
      <c r="AS942" s="65" t="n">
        <f aca="false">IF(AR942="",0,MAX(0,MIN(1,(IF(BU942="L1",Parameter!$E$5,Parameter!$E$6+Parameter!$E$7)-(AR942-AN942))/AN942)))</f>
        <v>1</v>
      </c>
      <c r="AT942" s="57" t="n">
        <f aca="false">IF(LEFT(Cockpit!$O$5,1)="A",G942,IF(BW942=1,BX942,IF(LEFT(Cockpit!$O$5,1)="B",AX942,MAX(AX942,G942))))</f>
        <v>16</v>
      </c>
      <c r="AU942" s="57" t="n">
        <f aca="false">IF(BR942=1,0,ROUNDUP(AT942/BQ942,0))</f>
        <v>1</v>
      </c>
      <c r="AV942" s="59" t="n">
        <f aca="false">IF(CD942&gt;0,CD942*MAX(1,AT942/V942),IF(BR942=1,IF(AT942&lt;=0,0,BS942*MAX(1,IF(G942&gt;0,AT942/G942,1))),IF(Q942&gt;0,AU942/Q942,0))/MAX(0.1,N(Parameter!$M$21)))</f>
        <v>0.0151515151515152</v>
      </c>
      <c r="AW942" s="57" t="n">
        <f aca="false">AT942*F942</f>
        <v>291.68</v>
      </c>
      <c r="AX942" s="57" t="n">
        <f aca="false">ROUNDUP(MAX(I942/IF(BV942&gt;0,BV942,MAX(0.1,N(Cockpit!$O$6))),BY942)/BQ942,0)*BQ942</f>
        <v>16</v>
      </c>
      <c r="AY942" s="58" t="n">
        <f aca="false">IF(AV942&gt;0,I942/AV942,-1)</f>
        <v>528</v>
      </c>
      <c r="AZ942" s="58" t="n">
        <f aca="false">IF(AND(OR(BU942="L1",BU942="L23"),AV942&gt;0),SUMIFS($AV$7:$AV$1576,$BU$7:$BU$1576,BU942,$AY$7:$AY$1576,"&gt;"&amp;AY942)+SUMIFS($AV$7:$AV$1576,$BU$7:$BU$1576,BU942,$AY$7:$AY$1576,AY942,$BO$7:$BO$1576,"&lt;="&amp;BO942),"")</f>
        <v>31.0265524937376</v>
      </c>
      <c r="BA942" s="65" t="n">
        <f aca="false">IF(AZ942="",0,MAX(0,MIN(1,(IF(BU942="L1",Parameter!$E$5,Parameter!$E$6+Parameter!$E$7)-(AZ942-AV942))/AV942)))</f>
        <v>1</v>
      </c>
      <c r="BB942" s="55" t="str">
        <f aca="false">IF(AF942&lt;=0,"",IF(BU942="Aussen","Aussenlager",IF(BU942="-","Nicht im Lift",IF(AK942&gt;=1,"Lift",IF(AK942&lt;=0,"Aussenlager","teilweise")))))</f>
        <v/>
      </c>
      <c r="BC942" s="55" t="str">
        <f aca="false">IF(AN942&lt;=0,"",IF(BU942="Aussen","Aussenlager",IF(BU942="-","Nicht im Lift",IF(AS942&gt;=1,"Lift",IF(AS942&lt;=0,"Aussenlager","teilweise")))))</f>
        <v>Lift</v>
      </c>
      <c r="BD942" s="55" t="str">
        <f aca="false">IF(AV942&lt;=0,"",IF(BU942="Aussen","Aussenlager",IF(BU942="-","Nicht im Lift",IF(BA942&gt;=1,"Lift",IF(BA942&lt;=0,"Aussenlager","teilweise")))))</f>
        <v>Lift</v>
      </c>
      <c r="BE942" s="55" t="str">
        <f aca="false">IF(A942="","",IF(BN942=1,"Neu; ","")&amp;IF(AND(BN942=0,BI942&lt;0),"negativer Bestand (Export "&amp;BI942&amp;"); ","")&amp;IF(I942&lt;=0,"Kein Verbrauch; ","")&amp;IF(CD942&gt;0,"Lift "&amp;U942&amp;" lt. Liftbericht (Fach "&amp;V942&amp;" Stk); ",IF(BR942=1,"Lose – Fläche geschätzt; ",""))&amp;IF(G942&gt;AP942,"Überbestand "&amp;ROUND(G942-AP942,0)&amp;" Stk / CHF "&amp;ROUND((G942-AP942)*F942,0)&amp;"; ","")&amp;IF(AND(BW942=1,BX942&lt;BY942),"MAX &lt; MB+LG; ","")&amp;IF(AND(CC942&gt;0,CB942*10&gt;CC942),"zu hoch für Tablar; ","")&amp;IF(AND(BN942=0,OR(BW942=1,Y942&lt;&gt;"",S942&lt;&gt;"",T942&lt;&gt;"",Z942&lt;&gt;"")),"manuell übersteuert; ","")&amp;IF(AND(BR942=0,Q942=0),"Gebinde unbekannt / Stellmass fehlt; ","")&amp;IF(AND(BR942=0,N(T942)&lt;=0,N(P942)&lt;=0),"Menge pro Gebinde fehlt (Ist = 1 Gebinde); ","")&amp;BM942)</f>
        <v>negativer Bestand (Export -1); </v>
      </c>
      <c r="BF942" s="55"/>
      <c r="BG942" s="55"/>
      <c r="BH942" s="62"/>
      <c r="BI942" s="57" t="n">
        <v>-1</v>
      </c>
      <c r="BJ942" s="57" t="n">
        <v>5</v>
      </c>
      <c r="BK942" s="56" t="n">
        <v>-54.78</v>
      </c>
      <c r="BL942" s="57" t="n">
        <v>8</v>
      </c>
      <c r="BM942" s="55"/>
      <c r="BN942" s="60" t="n">
        <v>0</v>
      </c>
      <c r="BO942" s="60" t="n">
        <v>942</v>
      </c>
      <c r="BP942" s="55" t="str">
        <f aca="false">IF(S942&lt;&gt;"",UPPER(TRIM(S942)),IF(O942="","LOSE",O942))</f>
        <v>S33</v>
      </c>
      <c r="BQ942" s="57" t="n">
        <f aca="false">IF(BP942="LOSE",1,IF(N(T942)&gt;0,T942,IF(N(P942)&gt;0,P942,MAX(1,G942))))</f>
        <v>16</v>
      </c>
      <c r="BR942" s="60" t="n">
        <f aca="false">IF(BP942="LOSE",1,0)</f>
        <v>0</v>
      </c>
      <c r="BS942" s="59" t="n">
        <f aca="false">IF(BR942=0,0,IF(N(R942)&gt;0,R942,IFERROR(VLOOKUP(D942,Parameter!$A$35:$C$64,3,0)+0,0)))</f>
        <v>0</v>
      </c>
      <c r="BT942" s="55" t="n">
        <f aca="false">IF(Y942&lt;&gt;"",Y942,X942)</f>
        <v>3</v>
      </c>
      <c r="BU942" s="55" t="str">
        <f aca="false">IF(BT942=1,"L1",IF(OR(BT942=2,BT942=3),"L23",IF(BT942="Aussen","Aussen","-")))</f>
        <v>L23</v>
      </c>
      <c r="BV942" s="66" t="n">
        <f aca="false">IF(N(Z942)&gt;0,Z942,0)</f>
        <v>0</v>
      </c>
      <c r="BW942" s="60" t="n">
        <f aca="false">IF(ISNUMBER(AC942),1,0)</f>
        <v>0</v>
      </c>
      <c r="BX942" s="57" t="n">
        <f aca="false">N(AC942)</f>
        <v>0</v>
      </c>
      <c r="BY942" s="57" t="n">
        <f aca="false">N(L942)+N(M942)</f>
        <v>10</v>
      </c>
      <c r="BZ942" s="57" t="n">
        <f aca="false">ROUNDUP(G942/BQ942,0)</f>
        <v>0</v>
      </c>
      <c r="CA942" s="57" t="n">
        <f aca="false">ROUNDUP(BX942/BQ942,0)</f>
        <v>0</v>
      </c>
      <c r="CB942" s="60" t="n">
        <f aca="false">IF(BR942=1,0,IFERROR(VLOOKUP(BP942,'Gebinde-Kategorie'!$A$5:$M$45,5,0)+0,0))</f>
        <v>8</v>
      </c>
      <c r="CC942" s="60" t="n">
        <f aca="false">IFERROR(IF(OR(BT942=1,BT942=2,BT942=3),N(INDEX(Parameter!$I$5:$I$7,BT942)),0),0)</f>
        <v>0</v>
      </c>
      <c r="CD942" s="59" t="n">
        <f aca="false">IF(AND(Parameter!$B$21="Ja",ISNUMBER(U942),N(V942)&gt;0),IFERROR(N(INDEX(Parameter!$L$5:$L$7,U942))*INDEX(Parameter!$E$5:$E$7,U942)*V942/SUMIFS($V$7:$V$1576,$U$7:$U$1576,U942),0),0)</f>
        <v>0</v>
      </c>
    </row>
    <row r="943" customFormat="false" ht="15" hidden="false" customHeight="false" outlineLevel="0" collapsed="false">
      <c r="A943" s="55" t="s">
        <v>1745</v>
      </c>
      <c r="B943" s="55" t="s">
        <v>1746</v>
      </c>
      <c r="C943" s="55" t="s">
        <v>446</v>
      </c>
      <c r="D943" s="55" t="s">
        <v>178</v>
      </c>
      <c r="E943" s="55" t="s">
        <v>210</v>
      </c>
      <c r="F943" s="56" t="n">
        <v>2.05</v>
      </c>
      <c r="G943" s="57" t="n">
        <f aca="false">MAX(0,IF(AND(Parameter!$B$21="Ja",ISNUMBER(W943)),W943,IF(Parameter!$B$20="Jahresanfang 2025 + Export",BJ943+BI943,BI943)))</f>
        <v>0</v>
      </c>
      <c r="H943" s="57" t="n">
        <f aca="false">G943*F943</f>
        <v>0</v>
      </c>
      <c r="I943" s="57" t="n">
        <f aca="false">BL943*Parameter!$B$18</f>
        <v>27</v>
      </c>
      <c r="J943" s="58" t="n">
        <v>27</v>
      </c>
      <c r="K943" s="59" t="n">
        <v>1</v>
      </c>
      <c r="L943" s="57" t="n">
        <v>1</v>
      </c>
      <c r="M943" s="57" t="n">
        <v>25</v>
      </c>
      <c r="N943" s="60" t="n">
        <v>21</v>
      </c>
      <c r="O943" s="55" t="s">
        <v>163</v>
      </c>
      <c r="P943" s="57"/>
      <c r="Q943" s="60" t="n">
        <f aca="false">IF(BR943=1,0,IFERROR(VLOOKUP(BP943,'Gebinde-Kategorie'!$A$5:$M$45,13,0)+0,0))</f>
        <v>0</v>
      </c>
      <c r="R943" s="61"/>
      <c r="S943" s="62"/>
      <c r="T943" s="62"/>
      <c r="U943" s="55"/>
      <c r="V943" s="57"/>
      <c r="W943" s="57"/>
      <c r="X943" s="55" t="n">
        <f aca="false">IF(A943="","",IF(AND(Parameter!$B$21="Ja",ISNUMBER(U943)),U943,IF(IFERROR(VLOOKUP(D943,Parameter!$A$35:$C$64,2,0),"Nein")="2+3",IF(ISNUMBER(SEARCH("grosser Artikel",BM943)),2,IFERROR(VLOOKUP(BP943,Parameter!$F$35:$G$64,2,0),2)),IF(OR(IFERROR(VLOOKUP(D943,Parameter!$A$35:$C$64,2,0),"Nein")="Nein",IFERROR(VLOOKUP(D943,Parameter!$A$35:$C$64,2,0),"Nein")=""),"-",VLOOKUP(D943,Parameter!$A$35:$C$64,2,0)))))</f>
        <v>2</v>
      </c>
      <c r="Y943" s="62"/>
      <c r="Z943" s="63"/>
      <c r="AA943" s="57" t="n">
        <f aca="false">AP943</f>
        <v>26</v>
      </c>
      <c r="AB943" s="57" t="n">
        <f aca="false">MAX(AP943,G943)</f>
        <v>26</v>
      </c>
      <c r="AC943" s="64"/>
      <c r="AD943" s="57" t="n">
        <f aca="false">IF(LEFT(Cockpit!$C$5,1)="A",G943,IF(BW943=1,BX943,IF(LEFT(Cockpit!$C$5,1)="B",AH943,MAX(AH943,G943))))</f>
        <v>0</v>
      </c>
      <c r="AE943" s="57" t="n">
        <f aca="false">IF(BR943=1,0,ROUNDUP(AD943/BQ943,0))</f>
        <v>0</v>
      </c>
      <c r="AF943" s="59" t="n">
        <f aca="false">IF(CD943&gt;0,CD943*MAX(1,AD943/V943),IF(BR943=1,IF(AD943&lt;=0,0,BS943*MAX(1,IF(G943&gt;0,AD943/G943,1))),IF(Q943&gt;0,AE943/Q943,0))/MAX(0.1,N(Parameter!$M$21)))</f>
        <v>0</v>
      </c>
      <c r="AG943" s="57" t="n">
        <f aca="false">AD943*F943</f>
        <v>0</v>
      </c>
      <c r="AH943" s="57" t="n">
        <f aca="false">ROUNDUP(MAX(I943/IF(BV943&gt;0,BV943,MAX(0.1,N(Cockpit!$C$6))),BY943)/BQ943,0)*BQ943</f>
        <v>26</v>
      </c>
      <c r="AI943" s="58" t="n">
        <f aca="false">IF(AF943&gt;0,I943/AF943,-1)</f>
        <v>-1</v>
      </c>
      <c r="AJ943" s="58" t="str">
        <f aca="false">IF(AND(OR(BU943="L1",BU943="L23"),AF943&gt;0),SUMIFS($AF$7:$AF$1576,$BU$7:$BU$1576,BU943,$AI$7:$AI$1576,"&gt;"&amp;AI943)+SUMIFS($AF$7:$AF$1576,$BU$7:$BU$1576,BU943,$AI$7:$AI$1576,AI943,$BO$7:$BO$1576,"&lt;="&amp;BO943),"")</f>
        <v/>
      </c>
      <c r="AK943" s="65" t="n">
        <f aca="false">IF(AJ943="",0,MAX(0,MIN(1,(IF(BU943="L1",Parameter!$E$5,Parameter!$E$6+Parameter!$E$7)-(AJ943-AF943))/AF943)))</f>
        <v>0</v>
      </c>
      <c r="AL943" s="57" t="n">
        <f aca="false">IF(LEFT(Cockpit!$I$5,1)="A",G943,IF(BW943=1,BX943,IF(LEFT(Cockpit!$I$5,1)="B",AP943,MAX(AP943,G943))))</f>
        <v>26</v>
      </c>
      <c r="AM943" s="57" t="n">
        <f aca="false">IF(BR943=1,0,ROUNDUP(AL943/BQ943,0))</f>
        <v>0</v>
      </c>
      <c r="AN943" s="59" t="n">
        <f aca="false">IF(CD943&gt;0,CD943*MAX(1,AL943/V943),IF(BR943=1,IF(AL943&lt;=0,0,BS943*MAX(1,IF(G943&gt;0,AL943/G943,1))),IF(Q943&gt;0,AM943/Q943,0))/MAX(0.1,N(Parameter!$M$21)))</f>
        <v>0.03</v>
      </c>
      <c r="AO943" s="57" t="n">
        <f aca="false">AL943*F943</f>
        <v>53.3</v>
      </c>
      <c r="AP943" s="57" t="n">
        <f aca="false">ROUNDUP(MAX(I943/IF(BV943&gt;0,BV943,MAX(0.1,N(Cockpit!$I$6))),BY943)/BQ943,0)*BQ943</f>
        <v>26</v>
      </c>
      <c r="AQ943" s="58" t="n">
        <f aca="false">IF(AN943&gt;0,I943/AN943,-1)</f>
        <v>900</v>
      </c>
      <c r="AR943" s="58" t="n">
        <f aca="false">IF(AND(OR(BU943="L1",BU943="L23"),AN943&gt;0),SUMIFS($AN$7:$AN$1576,$BU$7:$BU$1576,BU943,$AQ$7:$AQ$1576,"&gt;"&amp;AQ943)+SUMIFS($AN$7:$AN$1576,$BU$7:$BU$1576,BU943,$AQ$7:$AQ$1576,AQ943,$BO$7:$BO$1576,"&lt;="&amp;BO943),"")</f>
        <v>24.2380094908467</v>
      </c>
      <c r="AS943" s="65" t="n">
        <f aca="false">IF(AR943="",0,MAX(0,MIN(1,(IF(BU943="L1",Parameter!$E$5,Parameter!$E$6+Parameter!$E$7)-(AR943-AN943))/AN943)))</f>
        <v>1</v>
      </c>
      <c r="AT943" s="57" t="n">
        <f aca="false">IF(LEFT(Cockpit!$O$5,1)="A",G943,IF(BW943=1,BX943,IF(LEFT(Cockpit!$O$5,1)="B",AX943,MAX(AX943,G943))))</f>
        <v>26</v>
      </c>
      <c r="AU943" s="57" t="n">
        <f aca="false">IF(BR943=1,0,ROUNDUP(AT943/BQ943,0))</f>
        <v>0</v>
      </c>
      <c r="AV943" s="59" t="n">
        <f aca="false">IF(CD943&gt;0,CD943*MAX(1,AT943/V943),IF(BR943=1,IF(AT943&lt;=0,0,BS943*MAX(1,IF(G943&gt;0,AT943/G943,1))),IF(Q943&gt;0,AU943/Q943,0))/MAX(0.1,N(Parameter!$M$21)))</f>
        <v>0.03</v>
      </c>
      <c r="AW943" s="57" t="n">
        <f aca="false">AT943*F943</f>
        <v>53.3</v>
      </c>
      <c r="AX943" s="57" t="n">
        <f aca="false">ROUNDUP(MAX(I943/IF(BV943&gt;0,BV943,MAX(0.1,N(Cockpit!$O$6))),BY943)/BQ943,0)*BQ943</f>
        <v>26</v>
      </c>
      <c r="AY943" s="58" t="n">
        <f aca="false">IF(AV943&gt;0,I943/AV943,-1)</f>
        <v>900</v>
      </c>
      <c r="AZ943" s="58" t="n">
        <f aca="false">IF(AND(OR(BU943="L1",BU943="L23"),AV943&gt;0),SUMIFS($AV$7:$AV$1576,$BU$7:$BU$1576,BU943,$AY$7:$AY$1576,"&gt;"&amp;AY943)+SUMIFS($AV$7:$AV$1576,$BU$7:$BU$1576,BU943,$AY$7:$AY$1576,AY943,$BO$7:$BO$1576,"&lt;="&amp;BO943),"")</f>
        <v>23.9716924745297</v>
      </c>
      <c r="BA943" s="65" t="n">
        <f aca="false">IF(AZ943="",0,MAX(0,MIN(1,(IF(BU943="L1",Parameter!$E$5,Parameter!$E$6+Parameter!$E$7)-(AZ943-AV943))/AV943)))</f>
        <v>1</v>
      </c>
      <c r="BB943" s="55" t="str">
        <f aca="false">IF(AF943&lt;=0,"",IF(BU943="Aussen","Aussenlager",IF(BU943="-","Nicht im Lift",IF(AK943&gt;=1,"Lift",IF(AK943&lt;=0,"Aussenlager","teilweise")))))</f>
        <v/>
      </c>
      <c r="BC943" s="55" t="str">
        <f aca="false">IF(AN943&lt;=0,"",IF(BU943="Aussen","Aussenlager",IF(BU943="-","Nicht im Lift",IF(AS943&gt;=1,"Lift",IF(AS943&lt;=0,"Aussenlager","teilweise")))))</f>
        <v>Lift</v>
      </c>
      <c r="BD943" s="55" t="str">
        <f aca="false">IF(AV943&lt;=0,"",IF(BU943="Aussen","Aussenlager",IF(BU943="-","Nicht im Lift",IF(BA943&gt;=1,"Lift",IF(BA943&lt;=0,"Aussenlager","teilweise")))))</f>
        <v>Lift</v>
      </c>
      <c r="BE943" s="55" t="str">
        <f aca="false">IF(A943="","",IF(BN943=1,"Neu; ","")&amp;IF(AND(BN943=0,BI943&lt;0),"negativer Bestand (Export "&amp;BI943&amp;"); ","")&amp;IF(I943&lt;=0,"Kein Verbrauch; ","")&amp;IF(CD943&gt;0,"Lift "&amp;U943&amp;" lt. Liftbericht (Fach "&amp;V943&amp;" Stk); ",IF(BR943=1,"Lose – Fläche geschätzt; ",""))&amp;IF(G943&gt;AP943,"Überbestand "&amp;ROUND(G943-AP943,0)&amp;" Stk / CHF "&amp;ROUND((G943-AP943)*F943,0)&amp;"; ","")&amp;IF(AND(BW943=1,BX943&lt;BY943),"MAX &lt; MB+LG; ","")&amp;IF(AND(CC943&gt;0,CB943*10&gt;CC943),"zu hoch für Tablar; ","")&amp;IF(AND(BN943=0,OR(BW943=1,Y943&lt;&gt;"",S943&lt;&gt;"",T943&lt;&gt;"",Z943&lt;&gt;"")),"manuell übersteuert; ","")&amp;IF(AND(BR943=0,Q943=0),"Gebinde unbekannt / Stellmass fehlt; ","")&amp;IF(AND(BR943=0,N(T943)&lt;=0,N(P943)&lt;=0),"Menge pro Gebinde fehlt (Ist = 1 Gebinde); ","")&amp;BM943)</f>
        <v>negativer Bestand (Export -27); Lose – Fläche geschätzt; </v>
      </c>
      <c r="BF943" s="55"/>
      <c r="BG943" s="55"/>
      <c r="BH943" s="62"/>
      <c r="BI943" s="57" t="n">
        <v>-27</v>
      </c>
      <c r="BJ943" s="57" t="n">
        <v>54</v>
      </c>
      <c r="BK943" s="56" t="n">
        <v>-55.35</v>
      </c>
      <c r="BL943" s="57" t="n">
        <v>27</v>
      </c>
      <c r="BM943" s="55"/>
      <c r="BN943" s="60" t="n">
        <v>0</v>
      </c>
      <c r="BO943" s="60" t="n">
        <v>943</v>
      </c>
      <c r="BP943" s="55" t="str">
        <f aca="false">IF(S943&lt;&gt;"",UPPER(TRIM(S943)),IF(O943="","LOSE",O943))</f>
        <v>LOSE</v>
      </c>
      <c r="BQ943" s="57" t="n">
        <f aca="false">IF(BP943="LOSE",1,IF(N(T943)&gt;0,T943,IF(N(P943)&gt;0,P943,MAX(1,G943))))</f>
        <v>1</v>
      </c>
      <c r="BR943" s="60" t="n">
        <f aca="false">IF(BP943="LOSE",1,0)</f>
        <v>1</v>
      </c>
      <c r="BS943" s="59" t="n">
        <f aca="false">IF(BR943=0,0,IF(N(R943)&gt;0,R943,IFERROR(VLOOKUP(D943,Parameter!$A$35:$C$64,3,0)+0,0)))</f>
        <v>0.03</v>
      </c>
      <c r="BT943" s="55" t="n">
        <f aca="false">IF(Y943&lt;&gt;"",Y943,X943)</f>
        <v>2</v>
      </c>
      <c r="BU943" s="55" t="str">
        <f aca="false">IF(BT943=1,"L1",IF(OR(BT943=2,BT943=3),"L23",IF(BT943="Aussen","Aussen","-")))</f>
        <v>L23</v>
      </c>
      <c r="BV943" s="66" t="n">
        <f aca="false">IF(N(Z943)&gt;0,Z943,0)</f>
        <v>0</v>
      </c>
      <c r="BW943" s="60" t="n">
        <f aca="false">IF(ISNUMBER(AC943),1,0)</f>
        <v>0</v>
      </c>
      <c r="BX943" s="57" t="n">
        <f aca="false">N(AC943)</f>
        <v>0</v>
      </c>
      <c r="BY943" s="57" t="n">
        <f aca="false">N(L943)+N(M943)</f>
        <v>26</v>
      </c>
      <c r="BZ943" s="57" t="n">
        <f aca="false">ROUNDUP(G943/BQ943,0)</f>
        <v>0</v>
      </c>
      <c r="CA943" s="57" t="n">
        <f aca="false">ROUNDUP(BX943/BQ943,0)</f>
        <v>0</v>
      </c>
      <c r="CB943" s="60" t="n">
        <f aca="false">IF(BR943=1,0,IFERROR(VLOOKUP(BP943,'Gebinde-Kategorie'!$A$5:$M$45,5,0)+0,0))</f>
        <v>0</v>
      </c>
      <c r="CC943" s="60" t="n">
        <f aca="false">IFERROR(IF(OR(BT943=1,BT943=2,BT943=3),N(INDEX(Parameter!$I$5:$I$7,BT943)),0),0)</f>
        <v>0</v>
      </c>
      <c r="CD943" s="59" t="n">
        <f aca="false">IF(AND(Parameter!$B$21="Ja",ISNUMBER(U943),N(V943)&gt;0),IFERROR(N(INDEX(Parameter!$L$5:$L$7,U943))*INDEX(Parameter!$E$5:$E$7,U943)*V943/SUMIFS($V$7:$V$1576,$U$7:$U$1576,U943),0),0)</f>
        <v>0</v>
      </c>
    </row>
    <row r="944" customFormat="false" ht="15" hidden="false" customHeight="false" outlineLevel="0" collapsed="false">
      <c r="A944" s="55" t="s">
        <v>1747</v>
      </c>
      <c r="B944" s="55" t="s">
        <v>1748</v>
      </c>
      <c r="C944" s="55" t="s">
        <v>446</v>
      </c>
      <c r="D944" s="55" t="s">
        <v>178</v>
      </c>
      <c r="E944" s="55" t="s">
        <v>210</v>
      </c>
      <c r="F944" s="56" t="n">
        <v>6.15</v>
      </c>
      <c r="G944" s="57" t="n">
        <f aca="false">MAX(0,IF(AND(Parameter!$B$21="Ja",ISNUMBER(W944)),W944,IF(Parameter!$B$20="Jahresanfang 2025 + Export",BJ944+BI944,BI944)))</f>
        <v>0</v>
      </c>
      <c r="H944" s="57" t="n">
        <f aca="false">G944*F944</f>
        <v>0</v>
      </c>
      <c r="I944" s="57" t="n">
        <f aca="false">BL944*Parameter!$B$18</f>
        <v>9</v>
      </c>
      <c r="J944" s="58" t="n">
        <v>9</v>
      </c>
      <c r="K944" s="59" t="n">
        <v>1</v>
      </c>
      <c r="L944" s="57" t="n">
        <v>0</v>
      </c>
      <c r="M944" s="57" t="n">
        <v>10</v>
      </c>
      <c r="N944" s="60" t="n">
        <v>21</v>
      </c>
      <c r="O944" s="55" t="s">
        <v>163</v>
      </c>
      <c r="P944" s="57"/>
      <c r="Q944" s="60" t="n">
        <f aca="false">IF(BR944=1,0,IFERROR(VLOOKUP(BP944,'Gebinde-Kategorie'!$A$5:$M$45,13,0)+0,0))</f>
        <v>0</v>
      </c>
      <c r="R944" s="61"/>
      <c r="S944" s="62"/>
      <c r="T944" s="62"/>
      <c r="U944" s="55"/>
      <c r="V944" s="57"/>
      <c r="W944" s="57"/>
      <c r="X944" s="55" t="n">
        <f aca="false">IF(A944="","",IF(AND(Parameter!$B$21="Ja",ISNUMBER(U944)),U944,IF(IFERROR(VLOOKUP(D944,Parameter!$A$35:$C$64,2,0),"Nein")="2+3",IF(ISNUMBER(SEARCH("grosser Artikel",BM944)),2,IFERROR(VLOOKUP(BP944,Parameter!$F$35:$G$64,2,0),2)),IF(OR(IFERROR(VLOOKUP(D944,Parameter!$A$35:$C$64,2,0),"Nein")="Nein",IFERROR(VLOOKUP(D944,Parameter!$A$35:$C$64,2,0),"Nein")=""),"-",VLOOKUP(D944,Parameter!$A$35:$C$64,2,0)))))</f>
        <v>2</v>
      </c>
      <c r="Y944" s="62"/>
      <c r="Z944" s="63"/>
      <c r="AA944" s="57" t="n">
        <f aca="false">AP944</f>
        <v>10</v>
      </c>
      <c r="AB944" s="57" t="n">
        <f aca="false">MAX(AP944,G944)</f>
        <v>10</v>
      </c>
      <c r="AC944" s="64"/>
      <c r="AD944" s="57" t="n">
        <f aca="false">IF(LEFT(Cockpit!$C$5,1)="A",G944,IF(BW944=1,BX944,IF(LEFT(Cockpit!$C$5,1)="B",AH944,MAX(AH944,G944))))</f>
        <v>0</v>
      </c>
      <c r="AE944" s="57" t="n">
        <f aca="false">IF(BR944=1,0,ROUNDUP(AD944/BQ944,0))</f>
        <v>0</v>
      </c>
      <c r="AF944" s="59" t="n">
        <f aca="false">IF(CD944&gt;0,CD944*MAX(1,AD944/V944),IF(BR944=1,IF(AD944&lt;=0,0,BS944*MAX(1,IF(G944&gt;0,AD944/G944,1))),IF(Q944&gt;0,AE944/Q944,0))/MAX(0.1,N(Parameter!$M$21)))</f>
        <v>0</v>
      </c>
      <c r="AG944" s="57" t="n">
        <f aca="false">AD944*F944</f>
        <v>0</v>
      </c>
      <c r="AH944" s="57" t="n">
        <f aca="false">ROUNDUP(MAX(I944/IF(BV944&gt;0,BV944,MAX(0.1,N(Cockpit!$C$6))),BY944)/BQ944,0)*BQ944</f>
        <v>10</v>
      </c>
      <c r="AI944" s="58" t="n">
        <f aca="false">IF(AF944&gt;0,I944/AF944,-1)</f>
        <v>-1</v>
      </c>
      <c r="AJ944" s="58" t="str">
        <f aca="false">IF(AND(OR(BU944="L1",BU944="L23"),AF944&gt;0),SUMIFS($AF$7:$AF$1576,$BU$7:$BU$1576,BU944,$AI$7:$AI$1576,"&gt;"&amp;AI944)+SUMIFS($AF$7:$AF$1576,$BU$7:$BU$1576,BU944,$AI$7:$AI$1576,AI944,$BO$7:$BO$1576,"&lt;="&amp;BO944),"")</f>
        <v/>
      </c>
      <c r="AK944" s="65" t="n">
        <f aca="false">IF(AJ944="",0,MAX(0,MIN(1,(IF(BU944="L1",Parameter!$E$5,Parameter!$E$6+Parameter!$E$7)-(AJ944-AF944))/AF944)))</f>
        <v>0</v>
      </c>
      <c r="AL944" s="57" t="n">
        <f aca="false">IF(LEFT(Cockpit!$I$5,1)="A",G944,IF(BW944=1,BX944,IF(LEFT(Cockpit!$I$5,1)="B",AP944,MAX(AP944,G944))))</f>
        <v>10</v>
      </c>
      <c r="AM944" s="57" t="n">
        <f aca="false">IF(BR944=1,0,ROUNDUP(AL944/BQ944,0))</f>
        <v>0</v>
      </c>
      <c r="AN944" s="59" t="n">
        <f aca="false">IF(CD944&gt;0,CD944*MAX(1,AL944/V944),IF(BR944=1,IF(AL944&lt;=0,0,BS944*MAX(1,IF(G944&gt;0,AL944/G944,1))),IF(Q944&gt;0,AM944/Q944,0))/MAX(0.1,N(Parameter!$M$21)))</f>
        <v>0.03</v>
      </c>
      <c r="AO944" s="57" t="n">
        <f aca="false">AL944*F944</f>
        <v>61.5</v>
      </c>
      <c r="AP944" s="57" t="n">
        <f aca="false">ROUNDUP(MAX(I944/IF(BV944&gt;0,BV944,MAX(0.1,N(Cockpit!$I$6))),BY944)/BQ944,0)*BQ944</f>
        <v>10</v>
      </c>
      <c r="AQ944" s="58" t="n">
        <f aca="false">IF(AN944&gt;0,I944/AN944,-1)</f>
        <v>300</v>
      </c>
      <c r="AR944" s="58" t="n">
        <f aca="false">IF(AND(OR(BU944="L1",BU944="L23"),AN944&gt;0),SUMIFS($AN$7:$AN$1576,$BU$7:$BU$1576,BU944,$AQ$7:$AQ$1576,"&gt;"&amp;AQ944)+SUMIFS($AN$7:$AN$1576,$BU$7:$BU$1576,BU944,$AQ$7:$AQ$1576,AQ944,$BO$7:$BO$1576,"&lt;="&amp;BO944),"")</f>
        <v>43.8139990568363</v>
      </c>
      <c r="AS944" s="65" t="n">
        <f aca="false">IF(AR944="",0,MAX(0,MIN(1,(IF(BU944="L1",Parameter!$E$5,Parameter!$E$6+Parameter!$E$7)-(AR944-AN944))/AN944)))</f>
        <v>1</v>
      </c>
      <c r="AT944" s="57" t="n">
        <f aca="false">IF(LEFT(Cockpit!$O$5,1)="A",G944,IF(BW944=1,BX944,IF(LEFT(Cockpit!$O$5,1)="B",AX944,MAX(AX944,G944))))</f>
        <v>10</v>
      </c>
      <c r="AU944" s="57" t="n">
        <f aca="false">IF(BR944=1,0,ROUNDUP(AT944/BQ944,0))</f>
        <v>0</v>
      </c>
      <c r="AV944" s="59" t="n">
        <f aca="false">IF(CD944&gt;0,CD944*MAX(1,AT944/V944),IF(BR944=1,IF(AT944&lt;=0,0,BS944*MAX(1,IF(G944&gt;0,AT944/G944,1))),IF(Q944&gt;0,AU944/Q944,0))/MAX(0.1,N(Parameter!$M$21)))</f>
        <v>0.03</v>
      </c>
      <c r="AW944" s="57" t="n">
        <f aca="false">AT944*F944</f>
        <v>61.5</v>
      </c>
      <c r="AX944" s="57" t="n">
        <f aca="false">ROUNDUP(MAX(I944/IF(BV944&gt;0,BV944,MAX(0.1,N(Cockpit!$O$6))),BY944)/BQ944,0)*BQ944</f>
        <v>10</v>
      </c>
      <c r="AY944" s="58" t="n">
        <f aca="false">IF(AV944&gt;0,I944/AV944,-1)</f>
        <v>300</v>
      </c>
      <c r="AZ944" s="58" t="n">
        <f aca="false">IF(AND(OR(BU944="L1",BU944="L23"),AV944&gt;0),SUMIFS($AV$7:$AV$1576,$BU$7:$BU$1576,BU944,$AY$7:$AY$1576,"&gt;"&amp;AY944)+SUMIFS($AV$7:$AV$1576,$BU$7:$BU$1576,BU944,$AY$7:$AY$1576,AY944,$BO$7:$BO$1576,"&lt;="&amp;BO944),"")</f>
        <v>40.0920776449149</v>
      </c>
      <c r="BA944" s="65" t="n">
        <f aca="false">IF(AZ944="",0,MAX(0,MIN(1,(IF(BU944="L1",Parameter!$E$5,Parameter!$E$6+Parameter!$E$7)-(AZ944-AV944))/AV944)))</f>
        <v>1</v>
      </c>
      <c r="BB944" s="55" t="str">
        <f aca="false">IF(AF944&lt;=0,"",IF(BU944="Aussen","Aussenlager",IF(BU944="-","Nicht im Lift",IF(AK944&gt;=1,"Lift",IF(AK944&lt;=0,"Aussenlager","teilweise")))))</f>
        <v/>
      </c>
      <c r="BC944" s="55" t="str">
        <f aca="false">IF(AN944&lt;=0,"",IF(BU944="Aussen","Aussenlager",IF(BU944="-","Nicht im Lift",IF(AS944&gt;=1,"Lift",IF(AS944&lt;=0,"Aussenlager","teilweise")))))</f>
        <v>Lift</v>
      </c>
      <c r="BD944" s="55" t="str">
        <f aca="false">IF(AV944&lt;=0,"",IF(BU944="Aussen","Aussenlager",IF(BU944="-","Nicht im Lift",IF(BA944&gt;=1,"Lift",IF(BA944&lt;=0,"Aussenlager","teilweise")))))</f>
        <v>Lift</v>
      </c>
      <c r="BE944" s="55" t="str">
        <f aca="false">IF(A944="","",IF(BN944=1,"Neu; ","")&amp;IF(AND(BN944=0,BI944&lt;0),"negativer Bestand (Export "&amp;BI944&amp;"); ","")&amp;IF(I944&lt;=0,"Kein Verbrauch; ","")&amp;IF(CD944&gt;0,"Lift "&amp;U944&amp;" lt. Liftbericht (Fach "&amp;V944&amp;" Stk); ",IF(BR944=1,"Lose – Fläche geschätzt; ",""))&amp;IF(G944&gt;AP944,"Überbestand "&amp;ROUND(G944-AP944,0)&amp;" Stk / CHF "&amp;ROUND((G944-AP944)*F944,0)&amp;"; ","")&amp;IF(AND(BW944=1,BX944&lt;BY944),"MAX &lt; MB+LG; ","")&amp;IF(AND(CC944&gt;0,CB944*10&gt;CC944),"zu hoch für Tablar; ","")&amp;IF(AND(BN944=0,OR(BW944=1,Y944&lt;&gt;"",S944&lt;&gt;"",T944&lt;&gt;"",Z944&lt;&gt;"")),"manuell übersteuert; ","")&amp;IF(AND(BR944=0,Q944=0),"Gebinde unbekannt / Stellmass fehlt; ","")&amp;IF(AND(BR944=0,N(T944)&lt;=0,N(P944)&lt;=0),"Menge pro Gebinde fehlt (Ist = 1 Gebinde); ","")&amp;BM944)</f>
        <v>negativer Bestand (Export -9); Lose – Fläche geschätzt; </v>
      </c>
      <c r="BF944" s="55"/>
      <c r="BG944" s="55"/>
      <c r="BH944" s="62"/>
      <c r="BI944" s="57" t="n">
        <v>-9</v>
      </c>
      <c r="BJ944" s="57" t="n">
        <v>18</v>
      </c>
      <c r="BK944" s="56" t="n">
        <v>-55.35</v>
      </c>
      <c r="BL944" s="57" t="n">
        <v>9</v>
      </c>
      <c r="BM944" s="55"/>
      <c r="BN944" s="60" t="n">
        <v>0</v>
      </c>
      <c r="BO944" s="60" t="n">
        <v>944</v>
      </c>
      <c r="BP944" s="55" t="str">
        <f aca="false">IF(S944&lt;&gt;"",UPPER(TRIM(S944)),IF(O944="","LOSE",O944))</f>
        <v>LOSE</v>
      </c>
      <c r="BQ944" s="57" t="n">
        <f aca="false">IF(BP944="LOSE",1,IF(N(T944)&gt;0,T944,IF(N(P944)&gt;0,P944,MAX(1,G944))))</f>
        <v>1</v>
      </c>
      <c r="BR944" s="60" t="n">
        <f aca="false">IF(BP944="LOSE",1,0)</f>
        <v>1</v>
      </c>
      <c r="BS944" s="59" t="n">
        <f aca="false">IF(BR944=0,0,IF(N(R944)&gt;0,R944,IFERROR(VLOOKUP(D944,Parameter!$A$35:$C$64,3,0)+0,0)))</f>
        <v>0.03</v>
      </c>
      <c r="BT944" s="55" t="n">
        <f aca="false">IF(Y944&lt;&gt;"",Y944,X944)</f>
        <v>2</v>
      </c>
      <c r="BU944" s="55" t="str">
        <f aca="false">IF(BT944=1,"L1",IF(OR(BT944=2,BT944=3),"L23",IF(BT944="Aussen","Aussen","-")))</f>
        <v>L23</v>
      </c>
      <c r="BV944" s="66" t="n">
        <f aca="false">IF(N(Z944)&gt;0,Z944,0)</f>
        <v>0</v>
      </c>
      <c r="BW944" s="60" t="n">
        <f aca="false">IF(ISNUMBER(AC944),1,0)</f>
        <v>0</v>
      </c>
      <c r="BX944" s="57" t="n">
        <f aca="false">N(AC944)</f>
        <v>0</v>
      </c>
      <c r="BY944" s="57" t="n">
        <f aca="false">N(L944)+N(M944)</f>
        <v>10</v>
      </c>
      <c r="BZ944" s="57" t="n">
        <f aca="false">ROUNDUP(G944/BQ944,0)</f>
        <v>0</v>
      </c>
      <c r="CA944" s="57" t="n">
        <f aca="false">ROUNDUP(BX944/BQ944,0)</f>
        <v>0</v>
      </c>
      <c r="CB944" s="60" t="n">
        <f aca="false">IF(BR944=1,0,IFERROR(VLOOKUP(BP944,'Gebinde-Kategorie'!$A$5:$M$45,5,0)+0,0))</f>
        <v>0</v>
      </c>
      <c r="CC944" s="60" t="n">
        <f aca="false">IFERROR(IF(OR(BT944=1,BT944=2,BT944=3),N(INDEX(Parameter!$I$5:$I$7,BT944)),0),0)</f>
        <v>0</v>
      </c>
      <c r="CD944" s="59" t="n">
        <f aca="false">IF(AND(Parameter!$B$21="Ja",ISNUMBER(U944),N(V944)&gt;0),IFERROR(N(INDEX(Parameter!$L$5:$L$7,U944))*INDEX(Parameter!$E$5:$E$7,U944)*V944/SUMIFS($V$7:$V$1576,$U$7:$U$1576,U944),0),0)</f>
        <v>0</v>
      </c>
    </row>
    <row r="945" customFormat="false" ht="15" hidden="false" customHeight="false" outlineLevel="0" collapsed="false">
      <c r="A945" s="55" t="s">
        <v>1749</v>
      </c>
      <c r="B945" s="55" t="s">
        <v>1750</v>
      </c>
      <c r="C945" s="55" t="s">
        <v>160</v>
      </c>
      <c r="D945" s="55" t="s">
        <v>178</v>
      </c>
      <c r="E945" s="55" t="s">
        <v>210</v>
      </c>
      <c r="F945" s="56" t="n">
        <v>28</v>
      </c>
      <c r="G945" s="57" t="n">
        <f aca="false">MAX(0,IF(AND(Parameter!$B$21="Ja",ISNUMBER(W945)),W945,IF(Parameter!$B$20="Jahresanfang 2025 + Export",BJ945+BI945,BI945)))</f>
        <v>0</v>
      </c>
      <c r="H945" s="57" t="n">
        <f aca="false">G945*F945</f>
        <v>0</v>
      </c>
      <c r="I945" s="57" t="n">
        <f aca="false">BL945*Parameter!$B$18</f>
        <v>0</v>
      </c>
      <c r="J945" s="58" t="n">
        <v>1</v>
      </c>
      <c r="K945" s="59" t="n">
        <v>0</v>
      </c>
      <c r="L945" s="57" t="n">
        <v>0</v>
      </c>
      <c r="M945" s="57" t="n">
        <v>1</v>
      </c>
      <c r="N945" s="60" t="n">
        <v>49</v>
      </c>
      <c r="O945" s="55" t="s">
        <v>163</v>
      </c>
      <c r="P945" s="57"/>
      <c r="Q945" s="60" t="n">
        <f aca="false">IF(BR945=1,0,IFERROR(VLOOKUP(BP945,'Gebinde-Kategorie'!$A$5:$M$45,13,0)+0,0))</f>
        <v>0</v>
      </c>
      <c r="R945" s="61"/>
      <c r="S945" s="62"/>
      <c r="T945" s="62"/>
      <c r="U945" s="55"/>
      <c r="V945" s="57"/>
      <c r="W945" s="57"/>
      <c r="X945" s="55" t="n">
        <f aca="false">IF(A945="","",IF(AND(Parameter!$B$21="Ja",ISNUMBER(U945)),U945,IF(IFERROR(VLOOKUP(D945,Parameter!$A$35:$C$64,2,0),"Nein")="2+3",IF(ISNUMBER(SEARCH("grosser Artikel",BM945)),2,IFERROR(VLOOKUP(BP945,Parameter!$F$35:$G$64,2,0),2)),IF(OR(IFERROR(VLOOKUP(D945,Parameter!$A$35:$C$64,2,0),"Nein")="Nein",IFERROR(VLOOKUP(D945,Parameter!$A$35:$C$64,2,0),"Nein")=""),"-",VLOOKUP(D945,Parameter!$A$35:$C$64,2,0)))))</f>
        <v>2</v>
      </c>
      <c r="Y945" s="62"/>
      <c r="Z945" s="63"/>
      <c r="AA945" s="57" t="n">
        <f aca="false">AP945</f>
        <v>1</v>
      </c>
      <c r="AB945" s="57" t="n">
        <f aca="false">MAX(AP945,G945)</f>
        <v>1</v>
      </c>
      <c r="AC945" s="64"/>
      <c r="AD945" s="57" t="n">
        <f aca="false">IF(LEFT(Cockpit!$C$5,1)="A",G945,IF(BW945=1,BX945,IF(LEFT(Cockpit!$C$5,1)="B",AH945,MAX(AH945,G945))))</f>
        <v>0</v>
      </c>
      <c r="AE945" s="57" t="n">
        <f aca="false">IF(BR945=1,0,ROUNDUP(AD945/BQ945,0))</f>
        <v>0</v>
      </c>
      <c r="AF945" s="59" t="n">
        <f aca="false">IF(CD945&gt;0,CD945*MAX(1,AD945/V945),IF(BR945=1,IF(AD945&lt;=0,0,BS945*MAX(1,IF(G945&gt;0,AD945/G945,1))),IF(Q945&gt;0,AE945/Q945,0))/MAX(0.1,N(Parameter!$M$21)))</f>
        <v>0</v>
      </c>
      <c r="AG945" s="57" t="n">
        <f aca="false">AD945*F945</f>
        <v>0</v>
      </c>
      <c r="AH945" s="57" t="n">
        <f aca="false">ROUNDUP(MAX(I945/IF(BV945&gt;0,BV945,MAX(0.1,N(Cockpit!$C$6))),BY945)/BQ945,0)*BQ945</f>
        <v>1</v>
      </c>
      <c r="AI945" s="58" t="n">
        <f aca="false">IF(AF945&gt;0,I945/AF945,-1)</f>
        <v>-1</v>
      </c>
      <c r="AJ945" s="58" t="str">
        <f aca="false">IF(AND(OR(BU945="L1",BU945="L23"),AF945&gt;0),SUMIFS($AF$7:$AF$1576,$BU$7:$BU$1576,BU945,$AI$7:$AI$1576,"&gt;"&amp;AI945)+SUMIFS($AF$7:$AF$1576,$BU$7:$BU$1576,BU945,$AI$7:$AI$1576,AI945,$BO$7:$BO$1576,"&lt;="&amp;BO945),"")</f>
        <v/>
      </c>
      <c r="AK945" s="65" t="n">
        <f aca="false">IF(AJ945="",0,MAX(0,MIN(1,(IF(BU945="L1",Parameter!$E$5,Parameter!$E$6+Parameter!$E$7)-(AJ945-AF945))/AF945)))</f>
        <v>0</v>
      </c>
      <c r="AL945" s="57" t="n">
        <f aca="false">IF(LEFT(Cockpit!$I$5,1)="A",G945,IF(BW945=1,BX945,IF(LEFT(Cockpit!$I$5,1)="B",AP945,MAX(AP945,G945))))</f>
        <v>1</v>
      </c>
      <c r="AM945" s="57" t="n">
        <f aca="false">IF(BR945=1,0,ROUNDUP(AL945/BQ945,0))</f>
        <v>0</v>
      </c>
      <c r="AN945" s="59" t="n">
        <f aca="false">IF(CD945&gt;0,CD945*MAX(1,AL945/V945),IF(BR945=1,IF(AL945&lt;=0,0,BS945*MAX(1,IF(G945&gt;0,AL945/G945,1))),IF(Q945&gt;0,AM945/Q945,0))/MAX(0.1,N(Parameter!$M$21)))</f>
        <v>0.03</v>
      </c>
      <c r="AO945" s="57" t="n">
        <f aca="false">AL945*F945</f>
        <v>28</v>
      </c>
      <c r="AP945" s="57" t="n">
        <f aca="false">ROUNDUP(MAX(I945/IF(BV945&gt;0,BV945,MAX(0.1,N(Cockpit!$I$6))),BY945)/BQ945,0)*BQ945</f>
        <v>1</v>
      </c>
      <c r="AQ945" s="58" t="n">
        <f aca="false">IF(AN945&gt;0,I945/AN945,-1)</f>
        <v>0</v>
      </c>
      <c r="AR945" s="58" t="n">
        <f aca="false">IF(AND(OR(BU945="L1",BU945="L23"),AN945&gt;0),SUMIFS($AN$7:$AN$1576,$BU$7:$BU$1576,BU945,$AQ$7:$AQ$1576,"&gt;"&amp;AQ945)+SUMIFS($AN$7:$AN$1576,$BU$7:$BU$1576,BU945,$AQ$7:$AQ$1576,AQ945,$BO$7:$BO$1576,"&lt;="&amp;BO945),"")</f>
        <v>131.582941864946</v>
      </c>
      <c r="AS945" s="65" t="n">
        <f aca="false">IF(AR945="",0,MAX(0,MIN(1,(IF(BU945="L1",Parameter!$E$5,Parameter!$E$6+Parameter!$E$7)-(AR945-AN945))/AN945)))</f>
        <v>0</v>
      </c>
      <c r="AT945" s="57" t="n">
        <f aca="false">IF(LEFT(Cockpit!$O$5,1)="A",G945,IF(BW945=1,BX945,IF(LEFT(Cockpit!$O$5,1)="B",AX945,MAX(AX945,G945))))</f>
        <v>1</v>
      </c>
      <c r="AU945" s="57" t="n">
        <f aca="false">IF(BR945=1,0,ROUNDUP(AT945/BQ945,0))</f>
        <v>0</v>
      </c>
      <c r="AV945" s="59" t="n">
        <f aca="false">IF(CD945&gt;0,CD945*MAX(1,AT945/V945),IF(BR945=1,IF(AT945&lt;=0,0,BS945*MAX(1,IF(G945&gt;0,AT945/G945,1))),IF(Q945&gt;0,AU945/Q945,0))/MAX(0.1,N(Parameter!$M$21)))</f>
        <v>0.03</v>
      </c>
      <c r="AW945" s="57" t="n">
        <f aca="false">AT945*F945</f>
        <v>28</v>
      </c>
      <c r="AX945" s="57" t="n">
        <f aca="false">ROUNDUP(MAX(I945/IF(BV945&gt;0,BV945,MAX(0.1,N(Cockpit!$O$6))),BY945)/BQ945,0)*BQ945</f>
        <v>1</v>
      </c>
      <c r="AY945" s="58" t="n">
        <f aca="false">IF(AV945&gt;0,I945/AV945,-1)</f>
        <v>0</v>
      </c>
      <c r="AZ945" s="58" t="n">
        <f aca="false">IF(AND(OR(BU945="L1",BU945="L23"),AV945&gt;0),SUMIFS($AV$7:$AV$1576,$BU$7:$BU$1576,BU945,$AY$7:$AY$1576,"&gt;"&amp;AY945)+SUMIFS($AV$7:$AV$1576,$BU$7:$BU$1576,BU945,$AY$7:$AY$1576,AY945,$BO$7:$BO$1576,"&lt;="&amp;BO945),"")</f>
        <v>121.642492314496</v>
      </c>
      <c r="BA945" s="65" t="n">
        <f aca="false">IF(AZ945="",0,MAX(0,MIN(1,(IF(BU945="L1",Parameter!$E$5,Parameter!$E$6+Parameter!$E$7)-(AZ945-AV945))/AV945)))</f>
        <v>0</v>
      </c>
      <c r="BB945" s="55" t="str">
        <f aca="false">IF(AF945&lt;=0,"",IF(BU945="Aussen","Aussenlager",IF(BU945="-","Nicht im Lift",IF(AK945&gt;=1,"Lift",IF(AK945&lt;=0,"Aussenlager","teilweise")))))</f>
        <v/>
      </c>
      <c r="BC945" s="55" t="str">
        <f aca="false">IF(AN945&lt;=0,"",IF(BU945="Aussen","Aussenlager",IF(BU945="-","Nicht im Lift",IF(AS945&gt;=1,"Lift",IF(AS945&lt;=0,"Aussenlager","teilweise")))))</f>
        <v>Aussenlager</v>
      </c>
      <c r="BD945" s="55" t="str">
        <f aca="false">IF(AV945&lt;=0,"",IF(BU945="Aussen","Aussenlager",IF(BU945="-","Nicht im Lift",IF(BA945&gt;=1,"Lift",IF(BA945&lt;=0,"Aussenlager","teilweise")))))</f>
        <v>Aussenlager</v>
      </c>
      <c r="BE945" s="55" t="str">
        <f aca="false">IF(A945="","",IF(BN945=1,"Neu; ","")&amp;IF(AND(BN945=0,BI945&lt;0),"negativer Bestand (Export "&amp;BI945&amp;"); ","")&amp;IF(I945&lt;=0,"Kein Verbrauch; ","")&amp;IF(CD945&gt;0,"Lift "&amp;U945&amp;" lt. Liftbericht (Fach "&amp;V945&amp;" Stk); ",IF(BR945=1,"Lose – Fläche geschätzt; ",""))&amp;IF(G945&gt;AP945,"Überbestand "&amp;ROUND(G945-AP945,0)&amp;" Stk / CHF "&amp;ROUND((G945-AP945)*F945,0)&amp;"; ","")&amp;IF(AND(BW945=1,BX945&lt;BY945),"MAX &lt; MB+LG; ","")&amp;IF(AND(CC945&gt;0,CB945*10&gt;CC945),"zu hoch für Tablar; ","")&amp;IF(AND(BN945=0,OR(BW945=1,Y945&lt;&gt;"",S945&lt;&gt;"",T945&lt;&gt;"",Z945&lt;&gt;"")),"manuell übersteuert; ","")&amp;IF(AND(BR945=0,Q945=0),"Gebinde unbekannt / Stellmass fehlt; ","")&amp;IF(AND(BR945=0,N(T945)&lt;=0,N(P945)&lt;=0),"Menge pro Gebinde fehlt (Ist = 1 Gebinde); ","")&amp;BM945)</f>
        <v>negativer Bestand (Export -2); Kein Verbrauch; Lose – Fläche geschätzt; </v>
      </c>
      <c r="BF945" s="55"/>
      <c r="BG945" s="55"/>
      <c r="BH945" s="62"/>
      <c r="BI945" s="57" t="n">
        <v>-2</v>
      </c>
      <c r="BJ945" s="57" t="n">
        <v>2</v>
      </c>
      <c r="BK945" s="56" t="n">
        <v>-56</v>
      </c>
      <c r="BL945" s="57" t="n">
        <v>0</v>
      </c>
      <c r="BM945" s="55"/>
      <c r="BN945" s="60" t="n">
        <v>0</v>
      </c>
      <c r="BO945" s="60" t="n">
        <v>945</v>
      </c>
      <c r="BP945" s="55" t="str">
        <f aca="false">IF(S945&lt;&gt;"",UPPER(TRIM(S945)),IF(O945="","LOSE",O945))</f>
        <v>LOSE</v>
      </c>
      <c r="BQ945" s="57" t="n">
        <f aca="false">IF(BP945="LOSE",1,IF(N(T945)&gt;0,T945,IF(N(P945)&gt;0,P945,MAX(1,G945))))</f>
        <v>1</v>
      </c>
      <c r="BR945" s="60" t="n">
        <f aca="false">IF(BP945="LOSE",1,0)</f>
        <v>1</v>
      </c>
      <c r="BS945" s="59" t="n">
        <f aca="false">IF(BR945=0,0,IF(N(R945)&gt;0,R945,IFERROR(VLOOKUP(D945,Parameter!$A$35:$C$64,3,0)+0,0)))</f>
        <v>0.03</v>
      </c>
      <c r="BT945" s="55" t="n">
        <f aca="false">IF(Y945&lt;&gt;"",Y945,X945)</f>
        <v>2</v>
      </c>
      <c r="BU945" s="55" t="str">
        <f aca="false">IF(BT945=1,"L1",IF(OR(BT945=2,BT945=3),"L23",IF(BT945="Aussen","Aussen","-")))</f>
        <v>L23</v>
      </c>
      <c r="BV945" s="66" t="n">
        <f aca="false">IF(N(Z945)&gt;0,Z945,0)</f>
        <v>0</v>
      </c>
      <c r="BW945" s="60" t="n">
        <f aca="false">IF(ISNUMBER(AC945),1,0)</f>
        <v>0</v>
      </c>
      <c r="BX945" s="57" t="n">
        <f aca="false">N(AC945)</f>
        <v>0</v>
      </c>
      <c r="BY945" s="57" t="n">
        <f aca="false">N(L945)+N(M945)</f>
        <v>1</v>
      </c>
      <c r="BZ945" s="57" t="n">
        <f aca="false">ROUNDUP(G945/BQ945,0)</f>
        <v>0</v>
      </c>
      <c r="CA945" s="57" t="n">
        <f aca="false">ROUNDUP(BX945/BQ945,0)</f>
        <v>0</v>
      </c>
      <c r="CB945" s="60" t="n">
        <f aca="false">IF(BR945=1,0,IFERROR(VLOOKUP(BP945,'Gebinde-Kategorie'!$A$5:$M$45,5,0)+0,0))</f>
        <v>0</v>
      </c>
      <c r="CC945" s="60" t="n">
        <f aca="false">IFERROR(IF(OR(BT945=1,BT945=2,BT945=3),N(INDEX(Parameter!$I$5:$I$7,BT945)),0),0)</f>
        <v>0</v>
      </c>
      <c r="CD945" s="59" t="n">
        <f aca="false">IF(AND(Parameter!$B$21="Ja",ISNUMBER(U945),N(V945)&gt;0),IFERROR(N(INDEX(Parameter!$L$5:$L$7,U945))*INDEX(Parameter!$E$5:$E$7,U945)*V945/SUMIFS($V$7:$V$1576,$U$7:$U$1576,U945),0),0)</f>
        <v>0</v>
      </c>
    </row>
    <row r="946" customFormat="false" ht="15" hidden="false" customHeight="false" outlineLevel="0" collapsed="false">
      <c r="A946" s="55" t="s">
        <v>1751</v>
      </c>
      <c r="B946" s="55" t="s">
        <v>972</v>
      </c>
      <c r="C946" s="55" t="s">
        <v>160</v>
      </c>
      <c r="D946" s="55" t="s">
        <v>178</v>
      </c>
      <c r="E946" s="55" t="s">
        <v>210</v>
      </c>
      <c r="F946" s="56" t="n">
        <v>18.9</v>
      </c>
      <c r="G946" s="57" t="n">
        <f aca="false">MAX(0,IF(AND(Parameter!$B$21="Ja",ISNUMBER(W946)),W946,IF(Parameter!$B$20="Jahresanfang 2025 + Export",BJ946+BI946,BI946)))</f>
        <v>0</v>
      </c>
      <c r="H946" s="57" t="n">
        <f aca="false">G946*F946</f>
        <v>0</v>
      </c>
      <c r="I946" s="57" t="n">
        <f aca="false">BL946*Parameter!$B$18</f>
        <v>8</v>
      </c>
      <c r="J946" s="58" t="n">
        <v>3.5</v>
      </c>
      <c r="K946" s="59" t="n">
        <v>2.28571428571429</v>
      </c>
      <c r="L946" s="57" t="n">
        <v>0</v>
      </c>
      <c r="M946" s="57" t="n">
        <v>10</v>
      </c>
      <c r="N946" s="60" t="n">
        <v>21</v>
      </c>
      <c r="O946" s="55" t="s">
        <v>293</v>
      </c>
      <c r="P946" s="57" t="n">
        <v>10</v>
      </c>
      <c r="Q946" s="60" t="n">
        <f aca="false">IF(BR946=1,0,IFERROR(VLOOKUP(BP946,'Gebinde-Kategorie'!$A$5:$M$45,13,0)+0,0))</f>
        <v>26</v>
      </c>
      <c r="R946" s="61"/>
      <c r="S946" s="62"/>
      <c r="T946" s="62"/>
      <c r="U946" s="55"/>
      <c r="V946" s="57"/>
      <c r="W946" s="57"/>
      <c r="X946" s="55" t="n">
        <f aca="false">IF(A946="","",IF(AND(Parameter!$B$21="Ja",ISNUMBER(U946)),U946,IF(IFERROR(VLOOKUP(D946,Parameter!$A$35:$C$64,2,0),"Nein")="2+3",IF(ISNUMBER(SEARCH("grosser Artikel",BM946)),2,IFERROR(VLOOKUP(BP946,Parameter!$F$35:$G$64,2,0),2)),IF(OR(IFERROR(VLOOKUP(D946,Parameter!$A$35:$C$64,2,0),"Nein")="Nein",IFERROR(VLOOKUP(D946,Parameter!$A$35:$C$64,2,0),"Nein")=""),"-",VLOOKUP(D946,Parameter!$A$35:$C$64,2,0)))))</f>
        <v>3</v>
      </c>
      <c r="Y946" s="62"/>
      <c r="Z946" s="63"/>
      <c r="AA946" s="57" t="n">
        <f aca="false">AP946</f>
        <v>10</v>
      </c>
      <c r="AB946" s="57" t="n">
        <f aca="false">MAX(AP946,G946)</f>
        <v>10</v>
      </c>
      <c r="AC946" s="64"/>
      <c r="AD946" s="57" t="n">
        <f aca="false">IF(LEFT(Cockpit!$C$5,1)="A",G946,IF(BW946=1,BX946,IF(LEFT(Cockpit!$C$5,1)="B",AH946,MAX(AH946,G946))))</f>
        <v>0</v>
      </c>
      <c r="AE946" s="57" t="n">
        <f aca="false">IF(BR946=1,0,ROUNDUP(AD946/BQ946,0))</f>
        <v>0</v>
      </c>
      <c r="AF946" s="59" t="n">
        <f aca="false">IF(CD946&gt;0,CD946*MAX(1,AD946/V946),IF(BR946=1,IF(AD946&lt;=0,0,BS946*MAX(1,IF(G946&gt;0,AD946/G946,1))),IF(Q946&gt;0,AE946/Q946,0))/MAX(0.1,N(Parameter!$M$21)))</f>
        <v>0</v>
      </c>
      <c r="AG946" s="57" t="n">
        <f aca="false">AD946*F946</f>
        <v>0</v>
      </c>
      <c r="AH946" s="57" t="n">
        <f aca="false">ROUNDUP(MAX(I946/IF(BV946&gt;0,BV946,MAX(0.1,N(Cockpit!$C$6))),BY946)/BQ946,0)*BQ946</f>
        <v>10</v>
      </c>
      <c r="AI946" s="58" t="n">
        <f aca="false">IF(AF946&gt;0,I946/AF946,-1)</f>
        <v>-1</v>
      </c>
      <c r="AJ946" s="58" t="str">
        <f aca="false">IF(AND(OR(BU946="L1",BU946="L23"),AF946&gt;0),SUMIFS($AF$7:$AF$1576,$BU$7:$BU$1576,BU946,$AI$7:$AI$1576,"&gt;"&amp;AI946)+SUMIFS($AF$7:$AF$1576,$BU$7:$BU$1576,BU946,$AI$7:$AI$1576,AI946,$BO$7:$BO$1576,"&lt;="&amp;BO946),"")</f>
        <v/>
      </c>
      <c r="AK946" s="65" t="n">
        <f aca="false">IF(AJ946="",0,MAX(0,MIN(1,(IF(BU946="L1",Parameter!$E$5,Parameter!$E$6+Parameter!$E$7)-(AJ946-AF946))/AF946)))</f>
        <v>0</v>
      </c>
      <c r="AL946" s="57" t="n">
        <f aca="false">IF(LEFT(Cockpit!$I$5,1)="A",G946,IF(BW946=1,BX946,IF(LEFT(Cockpit!$I$5,1)="B",AP946,MAX(AP946,G946))))</f>
        <v>10</v>
      </c>
      <c r="AM946" s="57" t="n">
        <f aca="false">IF(BR946=1,0,ROUNDUP(AL946/BQ946,0))</f>
        <v>1</v>
      </c>
      <c r="AN946" s="59" t="n">
        <f aca="false">IF(CD946&gt;0,CD946*MAX(1,AL946/V946),IF(BR946=1,IF(AL946&lt;=0,0,BS946*MAX(1,IF(G946&gt;0,AL946/G946,1))),IF(Q946&gt;0,AM946/Q946,0))/MAX(0.1,N(Parameter!$M$21)))</f>
        <v>0.0384615384615385</v>
      </c>
      <c r="AO946" s="57" t="n">
        <f aca="false">AL946*F946</f>
        <v>189</v>
      </c>
      <c r="AP946" s="57" t="n">
        <f aca="false">ROUNDUP(MAX(I946/IF(BV946&gt;0,BV946,MAX(0.1,N(Cockpit!$I$6))),BY946)/BQ946,0)*BQ946</f>
        <v>10</v>
      </c>
      <c r="AQ946" s="58" t="n">
        <f aca="false">IF(AN946&gt;0,I946/AN946,-1)</f>
        <v>208</v>
      </c>
      <c r="AR946" s="58" t="n">
        <f aca="false">IF(AND(OR(BU946="L1",BU946="L23"),AN946&gt;0),SUMIFS($AN$7:$AN$1576,$BU$7:$BU$1576,BU946,$AQ$7:$AQ$1576,"&gt;"&amp;AQ946)+SUMIFS($AN$7:$AN$1576,$BU$7:$BU$1576,BU946,$AQ$7:$AQ$1576,AQ946,$BO$7:$BO$1576,"&lt;="&amp;BO946),"")</f>
        <v>49.1558172386545</v>
      </c>
      <c r="AS946" s="65" t="n">
        <f aca="false">IF(AR946="",0,MAX(0,MIN(1,(IF(BU946="L1",Parameter!$E$5,Parameter!$E$6+Parameter!$E$7)-(AR946-AN946))/AN946)))</f>
        <v>1</v>
      </c>
      <c r="AT946" s="57" t="n">
        <f aca="false">IF(LEFT(Cockpit!$O$5,1)="A",G946,IF(BW946=1,BX946,IF(LEFT(Cockpit!$O$5,1)="B",AX946,MAX(AX946,G946))))</f>
        <v>10</v>
      </c>
      <c r="AU946" s="57" t="n">
        <f aca="false">IF(BR946=1,0,ROUNDUP(AT946/BQ946,0))</f>
        <v>1</v>
      </c>
      <c r="AV946" s="59" t="n">
        <f aca="false">IF(CD946&gt;0,CD946*MAX(1,AT946/V946),IF(BR946=1,IF(AT946&lt;=0,0,BS946*MAX(1,IF(G946&gt;0,AT946/G946,1))),IF(Q946&gt;0,AU946/Q946,0))/MAX(0.1,N(Parameter!$M$21)))</f>
        <v>0.0384615384615385</v>
      </c>
      <c r="AW946" s="57" t="n">
        <f aca="false">AT946*F946</f>
        <v>189</v>
      </c>
      <c r="AX946" s="57" t="n">
        <f aca="false">ROUNDUP(MAX(I946/IF(BV946&gt;0,BV946,MAX(0.1,N(Cockpit!$O$6))),BY946)/BQ946,0)*BQ946</f>
        <v>10</v>
      </c>
      <c r="AY946" s="58" t="n">
        <f aca="false">IF(AV946&gt;0,I946/AV946,-1)</f>
        <v>208</v>
      </c>
      <c r="AZ946" s="58" t="n">
        <f aca="false">IF(AND(OR(BU946="L1",BU946="L23"),AV946&gt;0),SUMIFS($AV$7:$AV$1576,$BU$7:$BU$1576,BU946,$AY$7:$AY$1576,"&gt;"&amp;AY946)+SUMIFS($AV$7:$AV$1576,$BU$7:$BU$1576,BU946,$AY$7:$AY$1576,AY946,$BO$7:$BO$1576,"&lt;="&amp;BO946),"")</f>
        <v>45.6020776449149</v>
      </c>
      <c r="BA946" s="65" t="n">
        <f aca="false">IF(AZ946="",0,MAX(0,MIN(1,(IF(BU946="L1",Parameter!$E$5,Parameter!$E$6+Parameter!$E$7)-(AZ946-AV946))/AV946)))</f>
        <v>1</v>
      </c>
      <c r="BB946" s="55" t="str">
        <f aca="false">IF(AF946&lt;=0,"",IF(BU946="Aussen","Aussenlager",IF(BU946="-","Nicht im Lift",IF(AK946&gt;=1,"Lift",IF(AK946&lt;=0,"Aussenlager","teilweise")))))</f>
        <v/>
      </c>
      <c r="BC946" s="55" t="str">
        <f aca="false">IF(AN946&lt;=0,"",IF(BU946="Aussen","Aussenlager",IF(BU946="-","Nicht im Lift",IF(AS946&gt;=1,"Lift",IF(AS946&lt;=0,"Aussenlager","teilweise")))))</f>
        <v>Lift</v>
      </c>
      <c r="BD946" s="55" t="str">
        <f aca="false">IF(AV946&lt;=0,"",IF(BU946="Aussen","Aussenlager",IF(BU946="-","Nicht im Lift",IF(BA946&gt;=1,"Lift",IF(BA946&lt;=0,"Aussenlager","teilweise")))))</f>
        <v>Lift</v>
      </c>
      <c r="BE946" s="55" t="str">
        <f aca="false">IF(A946="","",IF(BN946=1,"Neu; ","")&amp;IF(AND(BN946=0,BI946&lt;0),"negativer Bestand (Export "&amp;BI946&amp;"); ","")&amp;IF(I946&lt;=0,"Kein Verbrauch; ","")&amp;IF(CD946&gt;0,"Lift "&amp;U946&amp;" lt. Liftbericht (Fach "&amp;V946&amp;" Stk); ",IF(BR946=1,"Lose – Fläche geschätzt; ",""))&amp;IF(G946&gt;AP946,"Überbestand "&amp;ROUND(G946-AP946,0)&amp;" Stk / CHF "&amp;ROUND((G946-AP946)*F946,0)&amp;"; ","")&amp;IF(AND(BW946=1,BX946&lt;BY946),"MAX &lt; MB+LG; ","")&amp;IF(AND(CC946&gt;0,CB946*10&gt;CC946),"zu hoch für Tablar; ","")&amp;IF(AND(BN946=0,OR(BW946=1,Y946&lt;&gt;"",S946&lt;&gt;"",T946&lt;&gt;"",Z946&lt;&gt;"")),"manuell übersteuert; ","")&amp;IF(AND(BR946=0,Q946=0),"Gebinde unbekannt / Stellmass fehlt; ","")&amp;IF(AND(BR946=0,N(T946)&lt;=0,N(P946)&lt;=0),"Menge pro Gebinde fehlt (Ist = 1 Gebinde); ","")&amp;BM946)</f>
        <v>negativer Bestand (Export -3); </v>
      </c>
      <c r="BF946" s="55"/>
      <c r="BG946" s="55"/>
      <c r="BH946" s="62"/>
      <c r="BI946" s="57" t="n">
        <v>-3</v>
      </c>
      <c r="BJ946" s="57" t="n">
        <v>5</v>
      </c>
      <c r="BK946" s="56" t="n">
        <v>-56.7</v>
      </c>
      <c r="BL946" s="57" t="n">
        <v>8</v>
      </c>
      <c r="BM946" s="55"/>
      <c r="BN946" s="60" t="n">
        <v>0</v>
      </c>
      <c r="BO946" s="60" t="n">
        <v>946</v>
      </c>
      <c r="BP946" s="55" t="str">
        <f aca="false">IF(S946&lt;&gt;"",UPPER(TRIM(S946)),IF(O946="","LOSE",O946))</f>
        <v>S51</v>
      </c>
      <c r="BQ946" s="57" t="n">
        <f aca="false">IF(BP946="LOSE",1,IF(N(T946)&gt;0,T946,IF(N(P946)&gt;0,P946,MAX(1,G946))))</f>
        <v>10</v>
      </c>
      <c r="BR946" s="60" t="n">
        <f aca="false">IF(BP946="LOSE",1,0)</f>
        <v>0</v>
      </c>
      <c r="BS946" s="59" t="n">
        <f aca="false">IF(BR946=0,0,IF(N(R946)&gt;0,R946,IFERROR(VLOOKUP(D946,Parameter!$A$35:$C$64,3,0)+0,0)))</f>
        <v>0</v>
      </c>
      <c r="BT946" s="55" t="n">
        <f aca="false">IF(Y946&lt;&gt;"",Y946,X946)</f>
        <v>3</v>
      </c>
      <c r="BU946" s="55" t="str">
        <f aca="false">IF(BT946=1,"L1",IF(OR(BT946=2,BT946=3),"L23",IF(BT946="Aussen","Aussen","-")))</f>
        <v>L23</v>
      </c>
      <c r="BV946" s="66" t="n">
        <f aca="false">IF(N(Z946)&gt;0,Z946,0)</f>
        <v>0</v>
      </c>
      <c r="BW946" s="60" t="n">
        <f aca="false">IF(ISNUMBER(AC946),1,0)</f>
        <v>0</v>
      </c>
      <c r="BX946" s="57" t="n">
        <f aca="false">N(AC946)</f>
        <v>0</v>
      </c>
      <c r="BY946" s="57" t="n">
        <f aca="false">N(L946)+N(M946)</f>
        <v>10</v>
      </c>
      <c r="BZ946" s="57" t="n">
        <f aca="false">ROUNDUP(G946/BQ946,0)</f>
        <v>0</v>
      </c>
      <c r="CA946" s="57" t="n">
        <f aca="false">ROUNDUP(BX946/BQ946,0)</f>
        <v>0</v>
      </c>
      <c r="CB946" s="60" t="n">
        <f aca="false">IF(BR946=1,0,IFERROR(VLOOKUP(BP946,'Gebinde-Kategorie'!$A$5:$M$45,5,0)+0,0))</f>
        <v>11</v>
      </c>
      <c r="CC946" s="60" t="n">
        <f aca="false">IFERROR(IF(OR(BT946=1,BT946=2,BT946=3),N(INDEX(Parameter!$I$5:$I$7,BT946)),0),0)</f>
        <v>0</v>
      </c>
      <c r="CD946" s="59" t="n">
        <f aca="false">IF(AND(Parameter!$B$21="Ja",ISNUMBER(U946),N(V946)&gt;0),IFERROR(N(INDEX(Parameter!$L$5:$L$7,U946))*INDEX(Parameter!$E$5:$E$7,U946)*V946/SUMIFS($V$7:$V$1576,$U$7:$U$1576,U946),0),0)</f>
        <v>0</v>
      </c>
    </row>
    <row r="947" customFormat="false" ht="15" hidden="false" customHeight="false" outlineLevel="0" collapsed="false">
      <c r="A947" s="55" t="s">
        <v>1752</v>
      </c>
      <c r="B947" s="55" t="s">
        <v>1753</v>
      </c>
      <c r="C947" s="55" t="s">
        <v>160</v>
      </c>
      <c r="D947" s="55" t="s">
        <v>178</v>
      </c>
      <c r="E947" s="55" t="s">
        <v>210</v>
      </c>
      <c r="F947" s="56" t="n">
        <v>28.49</v>
      </c>
      <c r="G947" s="57" t="n">
        <f aca="false">MAX(0,IF(AND(Parameter!$B$21="Ja",ISNUMBER(W947)),W947,IF(Parameter!$B$20="Jahresanfang 2025 + Export",BJ947+BI947,BI947)))</f>
        <v>0</v>
      </c>
      <c r="H947" s="57" t="n">
        <f aca="false">G947*F947</f>
        <v>0</v>
      </c>
      <c r="I947" s="57" t="n">
        <f aca="false">BL947*Parameter!$B$18</f>
        <v>0</v>
      </c>
      <c r="J947" s="58" t="n">
        <v>4</v>
      </c>
      <c r="K947" s="59" t="n">
        <v>0</v>
      </c>
      <c r="L947" s="57" t="n">
        <v>0</v>
      </c>
      <c r="M947" s="57" t="n">
        <v>1</v>
      </c>
      <c r="N947" s="60" t="n">
        <v>28</v>
      </c>
      <c r="O947" s="55" t="s">
        <v>319</v>
      </c>
      <c r="P947" s="57" t="n">
        <v>3</v>
      </c>
      <c r="Q947" s="60" t="n">
        <f aca="false">IF(BR947=1,0,IFERROR(VLOOKUP(BP947,'Gebinde-Kategorie'!$A$5:$M$45,13,0)+0,0))</f>
        <v>52</v>
      </c>
      <c r="R947" s="61"/>
      <c r="S947" s="62"/>
      <c r="T947" s="62"/>
      <c r="U947" s="55"/>
      <c r="V947" s="57"/>
      <c r="W947" s="57"/>
      <c r="X947" s="55" t="n">
        <f aca="false">IF(A947="","",IF(AND(Parameter!$B$21="Ja",ISNUMBER(U947)),U947,IF(IFERROR(VLOOKUP(D947,Parameter!$A$35:$C$64,2,0),"Nein")="2+3",IF(ISNUMBER(SEARCH("grosser Artikel",BM947)),2,IFERROR(VLOOKUP(BP947,Parameter!$F$35:$G$64,2,0),2)),IF(OR(IFERROR(VLOOKUP(D947,Parameter!$A$35:$C$64,2,0),"Nein")="Nein",IFERROR(VLOOKUP(D947,Parameter!$A$35:$C$64,2,0),"Nein")=""),"-",VLOOKUP(D947,Parameter!$A$35:$C$64,2,0)))))</f>
        <v>3</v>
      </c>
      <c r="Y947" s="62"/>
      <c r="Z947" s="63"/>
      <c r="AA947" s="57" t="n">
        <f aca="false">AP947</f>
        <v>3</v>
      </c>
      <c r="AB947" s="57" t="n">
        <f aca="false">MAX(AP947,G947)</f>
        <v>3</v>
      </c>
      <c r="AC947" s="64"/>
      <c r="AD947" s="57" t="n">
        <f aca="false">IF(LEFT(Cockpit!$C$5,1)="A",G947,IF(BW947=1,BX947,IF(LEFT(Cockpit!$C$5,1)="B",AH947,MAX(AH947,G947))))</f>
        <v>0</v>
      </c>
      <c r="AE947" s="57" t="n">
        <f aca="false">IF(BR947=1,0,ROUNDUP(AD947/BQ947,0))</f>
        <v>0</v>
      </c>
      <c r="AF947" s="59" t="n">
        <f aca="false">IF(CD947&gt;0,CD947*MAX(1,AD947/V947),IF(BR947=1,IF(AD947&lt;=0,0,BS947*MAX(1,IF(G947&gt;0,AD947/G947,1))),IF(Q947&gt;0,AE947/Q947,0))/MAX(0.1,N(Parameter!$M$21)))</f>
        <v>0</v>
      </c>
      <c r="AG947" s="57" t="n">
        <f aca="false">AD947*F947</f>
        <v>0</v>
      </c>
      <c r="AH947" s="57" t="n">
        <f aca="false">ROUNDUP(MAX(I947/IF(BV947&gt;0,BV947,MAX(0.1,N(Cockpit!$C$6))),BY947)/BQ947,0)*BQ947</f>
        <v>3</v>
      </c>
      <c r="AI947" s="58" t="n">
        <f aca="false">IF(AF947&gt;0,I947/AF947,-1)</f>
        <v>-1</v>
      </c>
      <c r="AJ947" s="58" t="str">
        <f aca="false">IF(AND(OR(BU947="L1",BU947="L23"),AF947&gt;0),SUMIFS($AF$7:$AF$1576,$BU$7:$BU$1576,BU947,$AI$7:$AI$1576,"&gt;"&amp;AI947)+SUMIFS($AF$7:$AF$1576,$BU$7:$BU$1576,BU947,$AI$7:$AI$1576,AI947,$BO$7:$BO$1576,"&lt;="&amp;BO947),"")</f>
        <v/>
      </c>
      <c r="AK947" s="65" t="n">
        <f aca="false">IF(AJ947="",0,MAX(0,MIN(1,(IF(BU947="L1",Parameter!$E$5,Parameter!$E$6+Parameter!$E$7)-(AJ947-AF947))/AF947)))</f>
        <v>0</v>
      </c>
      <c r="AL947" s="57" t="n">
        <f aca="false">IF(LEFT(Cockpit!$I$5,1)="A",G947,IF(BW947=1,BX947,IF(LEFT(Cockpit!$I$5,1)="B",AP947,MAX(AP947,G947))))</f>
        <v>3</v>
      </c>
      <c r="AM947" s="57" t="n">
        <f aca="false">IF(BR947=1,0,ROUNDUP(AL947/BQ947,0))</f>
        <v>1</v>
      </c>
      <c r="AN947" s="59" t="n">
        <f aca="false">IF(CD947&gt;0,CD947*MAX(1,AL947/V947),IF(BR947=1,IF(AL947&lt;=0,0,BS947*MAX(1,IF(G947&gt;0,AL947/G947,1))),IF(Q947&gt;0,AM947/Q947,0))/MAX(0.1,N(Parameter!$M$21)))</f>
        <v>0.0192307692307692</v>
      </c>
      <c r="AO947" s="57" t="n">
        <f aca="false">AL947*F947</f>
        <v>85.47</v>
      </c>
      <c r="AP947" s="57" t="n">
        <f aca="false">ROUNDUP(MAX(I947/IF(BV947&gt;0,BV947,MAX(0.1,N(Cockpit!$I$6))),BY947)/BQ947,0)*BQ947</f>
        <v>3</v>
      </c>
      <c r="AQ947" s="58" t="n">
        <f aca="false">IF(AN947&gt;0,I947/AN947,-1)</f>
        <v>0</v>
      </c>
      <c r="AR947" s="58" t="n">
        <f aca="false">IF(AND(OR(BU947="L1",BU947="L23"),AN947&gt;0),SUMIFS($AN$7:$AN$1576,$BU$7:$BU$1576,BU947,$AQ$7:$AQ$1576,"&gt;"&amp;AQ947)+SUMIFS($AN$7:$AN$1576,$BU$7:$BU$1576,BU947,$AQ$7:$AQ$1576,AQ947,$BO$7:$BO$1576,"&lt;="&amp;BO947),"")</f>
        <v>131.602172634177</v>
      </c>
      <c r="AS947" s="65" t="n">
        <f aca="false">IF(AR947="",0,MAX(0,MIN(1,(IF(BU947="L1",Parameter!$E$5,Parameter!$E$6+Parameter!$E$7)-(AR947-AN947))/AN947)))</f>
        <v>0</v>
      </c>
      <c r="AT947" s="57" t="n">
        <f aca="false">IF(LEFT(Cockpit!$O$5,1)="A",G947,IF(BW947=1,BX947,IF(LEFT(Cockpit!$O$5,1)="B",AX947,MAX(AX947,G947))))</f>
        <v>3</v>
      </c>
      <c r="AU947" s="57" t="n">
        <f aca="false">IF(BR947=1,0,ROUNDUP(AT947/BQ947,0))</f>
        <v>1</v>
      </c>
      <c r="AV947" s="59" t="n">
        <f aca="false">IF(CD947&gt;0,CD947*MAX(1,AT947/V947),IF(BR947=1,IF(AT947&lt;=0,0,BS947*MAX(1,IF(G947&gt;0,AT947/G947,1))),IF(Q947&gt;0,AU947/Q947,0))/MAX(0.1,N(Parameter!$M$21)))</f>
        <v>0.0192307692307692</v>
      </c>
      <c r="AW947" s="57" t="n">
        <f aca="false">AT947*F947</f>
        <v>85.47</v>
      </c>
      <c r="AX947" s="57" t="n">
        <f aca="false">ROUNDUP(MAX(I947/IF(BV947&gt;0,BV947,MAX(0.1,N(Cockpit!$O$6))),BY947)/BQ947,0)*BQ947</f>
        <v>3</v>
      </c>
      <c r="AY947" s="58" t="n">
        <f aca="false">IF(AV947&gt;0,I947/AV947,-1)</f>
        <v>0</v>
      </c>
      <c r="AZ947" s="58" t="n">
        <f aca="false">IF(AND(OR(BU947="L1",BU947="L23"),AV947&gt;0),SUMIFS($AV$7:$AV$1576,$BU$7:$BU$1576,BU947,$AY$7:$AY$1576,"&gt;"&amp;AY947)+SUMIFS($AV$7:$AV$1576,$BU$7:$BU$1576,BU947,$AY$7:$AY$1576,AY947,$BO$7:$BO$1576,"&lt;="&amp;BO947),"")</f>
        <v>121.661723083727</v>
      </c>
      <c r="BA947" s="65" t="n">
        <f aca="false">IF(AZ947="",0,MAX(0,MIN(1,(IF(BU947="L1",Parameter!$E$5,Parameter!$E$6+Parameter!$E$7)-(AZ947-AV947))/AV947)))</f>
        <v>0</v>
      </c>
      <c r="BB947" s="55" t="str">
        <f aca="false">IF(AF947&lt;=0,"",IF(BU947="Aussen","Aussenlager",IF(BU947="-","Nicht im Lift",IF(AK947&gt;=1,"Lift",IF(AK947&lt;=0,"Aussenlager","teilweise")))))</f>
        <v/>
      </c>
      <c r="BC947" s="55" t="str">
        <f aca="false">IF(AN947&lt;=0,"",IF(BU947="Aussen","Aussenlager",IF(BU947="-","Nicht im Lift",IF(AS947&gt;=1,"Lift",IF(AS947&lt;=0,"Aussenlager","teilweise")))))</f>
        <v>Aussenlager</v>
      </c>
      <c r="BD947" s="55" t="str">
        <f aca="false">IF(AV947&lt;=0,"",IF(BU947="Aussen","Aussenlager",IF(BU947="-","Nicht im Lift",IF(BA947&gt;=1,"Lift",IF(BA947&lt;=0,"Aussenlager","teilweise")))))</f>
        <v>Aussenlager</v>
      </c>
      <c r="BE947" s="55" t="str">
        <f aca="false">IF(A947="","",IF(BN947=1,"Neu; ","")&amp;IF(AND(BN947=0,BI947&lt;0),"negativer Bestand (Export "&amp;BI947&amp;"); ","")&amp;IF(I947&lt;=0,"Kein Verbrauch; ","")&amp;IF(CD947&gt;0,"Lift "&amp;U947&amp;" lt. Liftbericht (Fach "&amp;V947&amp;" Stk); ",IF(BR947=1,"Lose – Fläche geschätzt; ",""))&amp;IF(G947&gt;AP947,"Überbestand "&amp;ROUND(G947-AP947,0)&amp;" Stk / CHF "&amp;ROUND((G947-AP947)*F947,0)&amp;"; ","")&amp;IF(AND(BW947=1,BX947&lt;BY947),"MAX &lt; MB+LG; ","")&amp;IF(AND(CC947&gt;0,CB947*10&gt;CC947),"zu hoch für Tablar; ","")&amp;IF(AND(BN947=0,OR(BW947=1,Y947&lt;&gt;"",S947&lt;&gt;"",T947&lt;&gt;"",Z947&lt;&gt;"")),"manuell übersteuert; ","")&amp;IF(AND(BR947=0,Q947=0),"Gebinde unbekannt / Stellmass fehlt; ","")&amp;IF(AND(BR947=0,N(T947)&lt;=0,N(P947)&lt;=0),"Menge pro Gebinde fehlt (Ist = 1 Gebinde); ","")&amp;BM947)</f>
        <v>negativer Bestand (Export -2); Kein Verbrauch; </v>
      </c>
      <c r="BF947" s="55"/>
      <c r="BG947" s="55"/>
      <c r="BH947" s="62"/>
      <c r="BI947" s="57" t="n">
        <v>-2</v>
      </c>
      <c r="BJ947" s="57" t="n">
        <v>4</v>
      </c>
      <c r="BK947" s="56" t="n">
        <v>-56.98</v>
      </c>
      <c r="BL947" s="57" t="n">
        <v>0</v>
      </c>
      <c r="BM947" s="55"/>
      <c r="BN947" s="60" t="n">
        <v>0</v>
      </c>
      <c r="BO947" s="60" t="n">
        <v>947</v>
      </c>
      <c r="BP947" s="55" t="str">
        <f aca="false">IF(S947&lt;&gt;"",UPPER(TRIM(S947)),IF(O947="","LOSE",O947))</f>
        <v>S41</v>
      </c>
      <c r="BQ947" s="57" t="n">
        <f aca="false">IF(BP947="LOSE",1,IF(N(T947)&gt;0,T947,IF(N(P947)&gt;0,P947,MAX(1,G947))))</f>
        <v>3</v>
      </c>
      <c r="BR947" s="60" t="n">
        <f aca="false">IF(BP947="LOSE",1,0)</f>
        <v>0</v>
      </c>
      <c r="BS947" s="59" t="n">
        <f aca="false">IF(BR947=0,0,IF(N(R947)&gt;0,R947,IFERROR(VLOOKUP(D947,Parameter!$A$35:$C$64,3,0)+0,0)))</f>
        <v>0</v>
      </c>
      <c r="BT947" s="55" t="n">
        <f aca="false">IF(Y947&lt;&gt;"",Y947,X947)</f>
        <v>3</v>
      </c>
      <c r="BU947" s="55" t="str">
        <f aca="false">IF(BT947=1,"L1",IF(OR(BT947=2,BT947=3),"L23",IF(BT947="Aussen","Aussen","-")))</f>
        <v>L23</v>
      </c>
      <c r="BV947" s="66" t="n">
        <f aca="false">IF(N(Z947)&gt;0,Z947,0)</f>
        <v>0</v>
      </c>
      <c r="BW947" s="60" t="n">
        <f aca="false">IF(ISNUMBER(AC947),1,0)</f>
        <v>0</v>
      </c>
      <c r="BX947" s="57" t="n">
        <f aca="false">N(AC947)</f>
        <v>0</v>
      </c>
      <c r="BY947" s="57" t="n">
        <f aca="false">N(L947)+N(M947)</f>
        <v>1</v>
      </c>
      <c r="BZ947" s="57" t="n">
        <f aca="false">ROUNDUP(G947/BQ947,0)</f>
        <v>0</v>
      </c>
      <c r="CA947" s="57" t="n">
        <f aca="false">ROUNDUP(BX947/BQ947,0)</f>
        <v>0</v>
      </c>
      <c r="CB947" s="60" t="n">
        <f aca="false">IF(BR947=1,0,IFERROR(VLOOKUP(BP947,'Gebinde-Kategorie'!$A$5:$M$45,5,0)+0,0))</f>
        <v>11</v>
      </c>
      <c r="CC947" s="60" t="n">
        <f aca="false">IFERROR(IF(OR(BT947=1,BT947=2,BT947=3),N(INDEX(Parameter!$I$5:$I$7,BT947)),0),0)</f>
        <v>0</v>
      </c>
      <c r="CD947" s="59" t="n">
        <f aca="false">IF(AND(Parameter!$B$21="Ja",ISNUMBER(U947),N(V947)&gt;0),IFERROR(N(INDEX(Parameter!$L$5:$L$7,U947))*INDEX(Parameter!$E$5:$E$7,U947)*V947/SUMIFS($V$7:$V$1576,$U$7:$U$1576,U947),0),0)</f>
        <v>0</v>
      </c>
    </row>
    <row r="948" customFormat="false" ht="15" hidden="false" customHeight="false" outlineLevel="0" collapsed="false">
      <c r="A948" s="55" t="s">
        <v>1754</v>
      </c>
      <c r="B948" s="55" t="s">
        <v>1755</v>
      </c>
      <c r="C948" s="55" t="s">
        <v>160</v>
      </c>
      <c r="D948" s="55" t="s">
        <v>178</v>
      </c>
      <c r="E948" s="55" t="s">
        <v>210</v>
      </c>
      <c r="F948" s="56" t="n">
        <v>3.79</v>
      </c>
      <c r="G948" s="57" t="n">
        <f aca="false">MAX(0,IF(AND(Parameter!$B$21="Ja",ISNUMBER(W948)),W948,IF(Parameter!$B$20="Jahresanfang 2025 + Export",BJ948+BI948,BI948)))</f>
        <v>0</v>
      </c>
      <c r="H948" s="57" t="n">
        <f aca="false">G948*F948</f>
        <v>0</v>
      </c>
      <c r="I948" s="57" t="n">
        <f aca="false">BL948*Parameter!$B$18</f>
        <v>35</v>
      </c>
      <c r="J948" s="58" t="n">
        <v>28.5</v>
      </c>
      <c r="K948" s="59" t="n">
        <v>1.2280701754386</v>
      </c>
      <c r="L948" s="57" t="n">
        <v>1</v>
      </c>
      <c r="M948" s="57" t="n">
        <v>35</v>
      </c>
      <c r="N948" s="60" t="n">
        <v>14</v>
      </c>
      <c r="O948" s="55" t="s">
        <v>225</v>
      </c>
      <c r="P948" s="57" t="n">
        <v>48</v>
      </c>
      <c r="Q948" s="60" t="n">
        <f aca="false">IF(BR948=1,0,IFERROR(VLOOKUP(BP948,'Gebinde-Kategorie'!$A$5:$M$45,13,0)+0,0))</f>
        <v>26</v>
      </c>
      <c r="R948" s="61"/>
      <c r="S948" s="62"/>
      <c r="T948" s="62"/>
      <c r="U948" s="55"/>
      <c r="V948" s="57"/>
      <c r="W948" s="57"/>
      <c r="X948" s="55" t="n">
        <f aca="false">IF(A948="","",IF(AND(Parameter!$B$21="Ja",ISNUMBER(U948)),U948,IF(IFERROR(VLOOKUP(D948,Parameter!$A$35:$C$64,2,0),"Nein")="2+3",IF(ISNUMBER(SEARCH("grosser Artikel",BM948)),2,IFERROR(VLOOKUP(BP948,Parameter!$F$35:$G$64,2,0),2)),IF(OR(IFERROR(VLOOKUP(D948,Parameter!$A$35:$C$64,2,0),"Nein")="Nein",IFERROR(VLOOKUP(D948,Parameter!$A$35:$C$64,2,0),"Nein")=""),"-",VLOOKUP(D948,Parameter!$A$35:$C$64,2,0)))))</f>
        <v>3</v>
      </c>
      <c r="Y948" s="62"/>
      <c r="Z948" s="63"/>
      <c r="AA948" s="57" t="n">
        <f aca="false">AP948</f>
        <v>48</v>
      </c>
      <c r="AB948" s="57" t="n">
        <f aca="false">MAX(AP948,G948)</f>
        <v>48</v>
      </c>
      <c r="AC948" s="64"/>
      <c r="AD948" s="57" t="n">
        <f aca="false">IF(LEFT(Cockpit!$C$5,1)="A",G948,IF(BW948=1,BX948,IF(LEFT(Cockpit!$C$5,1)="B",AH948,MAX(AH948,G948))))</f>
        <v>0</v>
      </c>
      <c r="AE948" s="57" t="n">
        <f aca="false">IF(BR948=1,0,ROUNDUP(AD948/BQ948,0))</f>
        <v>0</v>
      </c>
      <c r="AF948" s="59" t="n">
        <f aca="false">IF(CD948&gt;0,CD948*MAX(1,AD948/V948),IF(BR948=1,IF(AD948&lt;=0,0,BS948*MAX(1,IF(G948&gt;0,AD948/G948,1))),IF(Q948&gt;0,AE948/Q948,0))/MAX(0.1,N(Parameter!$M$21)))</f>
        <v>0</v>
      </c>
      <c r="AG948" s="57" t="n">
        <f aca="false">AD948*F948</f>
        <v>0</v>
      </c>
      <c r="AH948" s="57" t="n">
        <f aca="false">ROUNDUP(MAX(I948/IF(BV948&gt;0,BV948,MAX(0.1,N(Cockpit!$C$6))),BY948)/BQ948,0)*BQ948</f>
        <v>48</v>
      </c>
      <c r="AI948" s="58" t="n">
        <f aca="false">IF(AF948&gt;0,I948/AF948,-1)</f>
        <v>-1</v>
      </c>
      <c r="AJ948" s="58" t="str">
        <f aca="false">IF(AND(OR(BU948="L1",BU948="L23"),AF948&gt;0),SUMIFS($AF$7:$AF$1576,$BU$7:$BU$1576,BU948,$AI$7:$AI$1576,"&gt;"&amp;AI948)+SUMIFS($AF$7:$AF$1576,$BU$7:$BU$1576,BU948,$AI$7:$AI$1576,AI948,$BO$7:$BO$1576,"&lt;="&amp;BO948),"")</f>
        <v/>
      </c>
      <c r="AK948" s="65" t="n">
        <f aca="false">IF(AJ948="",0,MAX(0,MIN(1,(IF(BU948="L1",Parameter!$E$5,Parameter!$E$6+Parameter!$E$7)-(AJ948-AF948))/AF948)))</f>
        <v>0</v>
      </c>
      <c r="AL948" s="57" t="n">
        <f aca="false">IF(LEFT(Cockpit!$I$5,1)="A",G948,IF(BW948=1,BX948,IF(LEFT(Cockpit!$I$5,1)="B",AP948,MAX(AP948,G948))))</f>
        <v>48</v>
      </c>
      <c r="AM948" s="57" t="n">
        <f aca="false">IF(BR948=1,0,ROUNDUP(AL948/BQ948,0))</f>
        <v>1</v>
      </c>
      <c r="AN948" s="59" t="n">
        <f aca="false">IF(CD948&gt;0,CD948*MAX(1,AL948/V948),IF(BR948=1,IF(AL948&lt;=0,0,BS948*MAX(1,IF(G948&gt;0,AL948/G948,1))),IF(Q948&gt;0,AM948/Q948,0))/MAX(0.1,N(Parameter!$M$21)))</f>
        <v>0.0384615384615385</v>
      </c>
      <c r="AO948" s="57" t="n">
        <f aca="false">AL948*F948</f>
        <v>181.92</v>
      </c>
      <c r="AP948" s="57" t="n">
        <f aca="false">ROUNDUP(MAX(I948/IF(BV948&gt;0,BV948,MAX(0.1,N(Cockpit!$I$6))),BY948)/BQ948,0)*BQ948</f>
        <v>48</v>
      </c>
      <c r="AQ948" s="58" t="n">
        <f aca="false">IF(AN948&gt;0,I948/AN948,-1)</f>
        <v>910</v>
      </c>
      <c r="AR948" s="58" t="n">
        <f aca="false">IF(AND(OR(BU948="L1",BU948="L23"),AN948&gt;0),SUMIFS($AN$7:$AN$1576,$BU$7:$BU$1576,BU948,$AQ$7:$AQ$1576,"&gt;"&amp;AQ948)+SUMIFS($AN$7:$AN$1576,$BU$7:$BU$1576,BU948,$AQ$7:$AQ$1576,AQ948,$BO$7:$BO$1576,"&lt;="&amp;BO948),"")</f>
        <v>24.2080094908467</v>
      </c>
      <c r="AS948" s="65" t="n">
        <f aca="false">IF(AR948="",0,MAX(0,MIN(1,(IF(BU948="L1",Parameter!$E$5,Parameter!$E$6+Parameter!$E$7)-(AR948-AN948))/AN948)))</f>
        <v>1</v>
      </c>
      <c r="AT948" s="57" t="n">
        <f aca="false">IF(LEFT(Cockpit!$O$5,1)="A",G948,IF(BW948=1,BX948,IF(LEFT(Cockpit!$O$5,1)="B",AX948,MAX(AX948,G948))))</f>
        <v>48</v>
      </c>
      <c r="AU948" s="57" t="n">
        <f aca="false">IF(BR948=1,0,ROUNDUP(AT948/BQ948,0))</f>
        <v>1</v>
      </c>
      <c r="AV948" s="59" t="n">
        <f aca="false">IF(CD948&gt;0,CD948*MAX(1,AT948/V948),IF(BR948=1,IF(AT948&lt;=0,0,BS948*MAX(1,IF(G948&gt;0,AT948/G948,1))),IF(Q948&gt;0,AU948/Q948,0))/MAX(0.1,N(Parameter!$M$21)))</f>
        <v>0.0384615384615385</v>
      </c>
      <c r="AW948" s="57" t="n">
        <f aca="false">AT948*F948</f>
        <v>181.92</v>
      </c>
      <c r="AX948" s="57" t="n">
        <f aca="false">ROUNDUP(MAX(I948/IF(BV948&gt;0,BV948,MAX(0.1,N(Cockpit!$O$6))),BY948)/BQ948,0)*BQ948</f>
        <v>48</v>
      </c>
      <c r="AY948" s="58" t="n">
        <f aca="false">IF(AV948&gt;0,I948/AV948,-1)</f>
        <v>910</v>
      </c>
      <c r="AZ948" s="58" t="n">
        <f aca="false">IF(AND(OR(BU948="L1",BU948="L23"),AV948&gt;0),SUMIFS($AV$7:$AV$1576,$BU$7:$BU$1576,BU948,$AY$7:$AY$1576,"&gt;"&amp;AY948)+SUMIFS($AV$7:$AV$1576,$BU$7:$BU$1576,BU948,$AY$7:$AY$1576,AY948,$BO$7:$BO$1576,"&lt;="&amp;BO948),"")</f>
        <v>23.9416924745297</v>
      </c>
      <c r="BA948" s="65" t="n">
        <f aca="false">IF(AZ948="",0,MAX(0,MIN(1,(IF(BU948="L1",Parameter!$E$5,Parameter!$E$6+Parameter!$E$7)-(AZ948-AV948))/AV948)))</f>
        <v>1</v>
      </c>
      <c r="BB948" s="55" t="str">
        <f aca="false">IF(AF948&lt;=0,"",IF(BU948="Aussen","Aussenlager",IF(BU948="-","Nicht im Lift",IF(AK948&gt;=1,"Lift",IF(AK948&lt;=0,"Aussenlager","teilweise")))))</f>
        <v/>
      </c>
      <c r="BC948" s="55" t="str">
        <f aca="false">IF(AN948&lt;=0,"",IF(BU948="Aussen","Aussenlager",IF(BU948="-","Nicht im Lift",IF(AS948&gt;=1,"Lift",IF(AS948&lt;=0,"Aussenlager","teilweise")))))</f>
        <v>Lift</v>
      </c>
      <c r="BD948" s="55" t="str">
        <f aca="false">IF(AV948&lt;=0,"",IF(BU948="Aussen","Aussenlager",IF(BU948="-","Nicht im Lift",IF(BA948&gt;=1,"Lift",IF(BA948&lt;=0,"Aussenlager","teilweise")))))</f>
        <v>Lift</v>
      </c>
      <c r="BE948" s="55" t="str">
        <f aca="false">IF(A948="","",IF(BN948=1,"Neu; ","")&amp;IF(AND(BN948=0,BI948&lt;0),"negativer Bestand (Export "&amp;BI948&amp;"); ","")&amp;IF(I948&lt;=0,"Kein Verbrauch; ","")&amp;IF(CD948&gt;0,"Lift "&amp;U948&amp;" lt. Liftbericht (Fach "&amp;V948&amp;" Stk); ",IF(BR948=1,"Lose – Fläche geschätzt; ",""))&amp;IF(G948&gt;AP948,"Überbestand "&amp;ROUND(G948-AP948,0)&amp;" Stk / CHF "&amp;ROUND((G948-AP948)*F948,0)&amp;"; ","")&amp;IF(AND(BW948=1,BX948&lt;BY948),"MAX &lt; MB+LG; ","")&amp;IF(AND(CC948&gt;0,CB948*10&gt;CC948),"zu hoch für Tablar; ","")&amp;IF(AND(BN948=0,OR(BW948=1,Y948&lt;&gt;"",S948&lt;&gt;"",T948&lt;&gt;"",Z948&lt;&gt;"")),"manuell übersteuert; ","")&amp;IF(AND(BR948=0,Q948=0),"Gebinde unbekannt / Stellmass fehlt; ","")&amp;IF(AND(BR948=0,N(T948)&lt;=0,N(P948)&lt;=0),"Menge pro Gebinde fehlt (Ist = 1 Gebinde); ","")&amp;BM948)</f>
        <v>negativer Bestand (Export -14); </v>
      </c>
      <c r="BF948" s="55"/>
      <c r="BG948" s="55"/>
      <c r="BH948" s="62"/>
      <c r="BI948" s="57" t="n">
        <v>-14</v>
      </c>
      <c r="BJ948" s="57" t="n">
        <v>36</v>
      </c>
      <c r="BK948" s="56" t="n">
        <v>-58.1</v>
      </c>
      <c r="BL948" s="57" t="n">
        <v>35</v>
      </c>
      <c r="BM948" s="55"/>
      <c r="BN948" s="60" t="n">
        <v>0</v>
      </c>
      <c r="BO948" s="60" t="n">
        <v>948</v>
      </c>
      <c r="BP948" s="55" t="str">
        <f aca="false">IF(S948&lt;&gt;"",UPPER(TRIM(S948)),IF(O948="","LOSE",O948))</f>
        <v>S52</v>
      </c>
      <c r="BQ948" s="57" t="n">
        <f aca="false">IF(BP948="LOSE",1,IF(N(T948)&gt;0,T948,IF(N(P948)&gt;0,P948,MAX(1,G948))))</f>
        <v>48</v>
      </c>
      <c r="BR948" s="60" t="n">
        <f aca="false">IF(BP948="LOSE",1,0)</f>
        <v>0</v>
      </c>
      <c r="BS948" s="59" t="n">
        <f aca="false">IF(BR948=0,0,IF(N(R948)&gt;0,R948,IFERROR(VLOOKUP(D948,Parameter!$A$35:$C$64,3,0)+0,0)))</f>
        <v>0</v>
      </c>
      <c r="BT948" s="55" t="n">
        <f aca="false">IF(Y948&lt;&gt;"",Y948,X948)</f>
        <v>3</v>
      </c>
      <c r="BU948" s="55" t="str">
        <f aca="false">IF(BT948=1,"L1",IF(OR(BT948=2,BT948=3),"L23",IF(BT948="Aussen","Aussen","-")))</f>
        <v>L23</v>
      </c>
      <c r="BV948" s="66" t="n">
        <f aca="false">IF(N(Z948)&gt;0,Z948,0)</f>
        <v>0</v>
      </c>
      <c r="BW948" s="60" t="n">
        <f aca="false">IF(ISNUMBER(AC948),1,0)</f>
        <v>0</v>
      </c>
      <c r="BX948" s="57" t="n">
        <f aca="false">N(AC948)</f>
        <v>0</v>
      </c>
      <c r="BY948" s="57" t="n">
        <f aca="false">N(L948)+N(M948)</f>
        <v>36</v>
      </c>
      <c r="BZ948" s="57" t="n">
        <f aca="false">ROUNDUP(G948/BQ948,0)</f>
        <v>0</v>
      </c>
      <c r="CA948" s="57" t="n">
        <f aca="false">ROUNDUP(BX948/BQ948,0)</f>
        <v>0</v>
      </c>
      <c r="CB948" s="60" t="n">
        <f aca="false">IF(BR948=1,0,IFERROR(VLOOKUP(BP948,'Gebinde-Kategorie'!$A$5:$M$45,5,0)+0,0))</f>
        <v>21</v>
      </c>
      <c r="CC948" s="60" t="n">
        <f aca="false">IFERROR(IF(OR(BT948=1,BT948=2,BT948=3),N(INDEX(Parameter!$I$5:$I$7,BT948)),0),0)</f>
        <v>0</v>
      </c>
      <c r="CD948" s="59" t="n">
        <f aca="false">IF(AND(Parameter!$B$21="Ja",ISNUMBER(U948),N(V948)&gt;0),IFERROR(N(INDEX(Parameter!$L$5:$L$7,U948))*INDEX(Parameter!$E$5:$E$7,U948)*V948/SUMIFS($V$7:$V$1576,$U$7:$U$1576,U948),0),0)</f>
        <v>0</v>
      </c>
    </row>
    <row r="949" customFormat="false" ht="15" hidden="false" customHeight="false" outlineLevel="0" collapsed="false">
      <c r="A949" s="55" t="s">
        <v>1756</v>
      </c>
      <c r="B949" s="55" t="s">
        <v>457</v>
      </c>
      <c r="C949" s="55" t="s">
        <v>160</v>
      </c>
      <c r="D949" s="55" t="s">
        <v>178</v>
      </c>
      <c r="E949" s="55" t="s">
        <v>210</v>
      </c>
      <c r="F949" s="56" t="n">
        <v>0.84</v>
      </c>
      <c r="G949" s="57" t="n">
        <f aca="false">MAX(0,IF(AND(Parameter!$B$21="Ja",ISNUMBER(W949)),W949,IF(Parameter!$B$20="Jahresanfang 2025 + Export",BJ949+BI949,BI949)))</f>
        <v>0</v>
      </c>
      <c r="H949" s="57" t="n">
        <f aca="false">G949*F949</f>
        <v>0</v>
      </c>
      <c r="I949" s="57" t="n">
        <f aca="false">BL949*Parameter!$B$18</f>
        <v>136</v>
      </c>
      <c r="J949" s="58" t="n">
        <v>196.5</v>
      </c>
      <c r="K949" s="59" t="n">
        <v>0.692111959287532</v>
      </c>
      <c r="L949" s="57" t="n">
        <v>5</v>
      </c>
      <c r="M949" s="57" t="n">
        <v>135</v>
      </c>
      <c r="N949" s="60" t="n">
        <v>14</v>
      </c>
      <c r="O949" s="55" t="s">
        <v>465</v>
      </c>
      <c r="P949" s="57" t="n">
        <v>371</v>
      </c>
      <c r="Q949" s="60" t="n">
        <f aca="false">IF(BR949=1,0,IFERROR(VLOOKUP(BP949,'Gebinde-Kategorie'!$A$5:$M$45,13,0)+0,0))</f>
        <v>66</v>
      </c>
      <c r="R949" s="61"/>
      <c r="S949" s="62"/>
      <c r="T949" s="62"/>
      <c r="U949" s="55"/>
      <c r="V949" s="57"/>
      <c r="W949" s="57"/>
      <c r="X949" s="55" t="n">
        <f aca="false">IF(A949="","",IF(AND(Parameter!$B$21="Ja",ISNUMBER(U949)),U949,IF(IFERROR(VLOOKUP(D949,Parameter!$A$35:$C$64,2,0),"Nein")="2+3",IF(ISNUMBER(SEARCH("grosser Artikel",BM949)),2,IFERROR(VLOOKUP(BP949,Parameter!$F$35:$G$64,2,0),2)),IF(OR(IFERROR(VLOOKUP(D949,Parameter!$A$35:$C$64,2,0),"Nein")="Nein",IFERROR(VLOOKUP(D949,Parameter!$A$35:$C$64,2,0),"Nein")=""),"-",VLOOKUP(D949,Parameter!$A$35:$C$64,2,0)))))</f>
        <v>3</v>
      </c>
      <c r="Y949" s="62"/>
      <c r="Z949" s="63"/>
      <c r="AA949" s="57" t="n">
        <f aca="false">AP949</f>
        <v>371</v>
      </c>
      <c r="AB949" s="57" t="n">
        <f aca="false">MAX(AP949,G949)</f>
        <v>371</v>
      </c>
      <c r="AC949" s="64"/>
      <c r="AD949" s="57" t="n">
        <f aca="false">IF(LEFT(Cockpit!$C$5,1)="A",G949,IF(BW949=1,BX949,IF(LEFT(Cockpit!$C$5,1)="B",AH949,MAX(AH949,G949))))</f>
        <v>0</v>
      </c>
      <c r="AE949" s="57" t="n">
        <f aca="false">IF(BR949=1,0,ROUNDUP(AD949/BQ949,0))</f>
        <v>0</v>
      </c>
      <c r="AF949" s="59" t="n">
        <f aca="false">IF(CD949&gt;0,CD949*MAX(1,AD949/V949),IF(BR949=1,IF(AD949&lt;=0,0,BS949*MAX(1,IF(G949&gt;0,AD949/G949,1))),IF(Q949&gt;0,AE949/Q949,0))/MAX(0.1,N(Parameter!$M$21)))</f>
        <v>0</v>
      </c>
      <c r="AG949" s="57" t="n">
        <f aca="false">AD949*F949</f>
        <v>0</v>
      </c>
      <c r="AH949" s="57" t="n">
        <f aca="false">ROUNDUP(MAX(I949/IF(BV949&gt;0,BV949,MAX(0.1,N(Cockpit!$C$6))),BY949)/BQ949,0)*BQ949</f>
        <v>371</v>
      </c>
      <c r="AI949" s="58" t="n">
        <f aca="false">IF(AF949&gt;0,I949/AF949,-1)</f>
        <v>-1</v>
      </c>
      <c r="AJ949" s="58" t="str">
        <f aca="false">IF(AND(OR(BU949="L1",BU949="L23"),AF949&gt;0),SUMIFS($AF$7:$AF$1576,$BU$7:$BU$1576,BU949,$AI$7:$AI$1576,"&gt;"&amp;AI949)+SUMIFS($AF$7:$AF$1576,$BU$7:$BU$1576,BU949,$AI$7:$AI$1576,AI949,$BO$7:$BO$1576,"&lt;="&amp;BO949),"")</f>
        <v/>
      </c>
      <c r="AK949" s="65" t="n">
        <f aca="false">IF(AJ949="",0,MAX(0,MIN(1,(IF(BU949="L1",Parameter!$E$5,Parameter!$E$6+Parameter!$E$7)-(AJ949-AF949))/AF949)))</f>
        <v>0</v>
      </c>
      <c r="AL949" s="57" t="n">
        <f aca="false">IF(LEFT(Cockpit!$I$5,1)="A",G949,IF(BW949=1,BX949,IF(LEFT(Cockpit!$I$5,1)="B",AP949,MAX(AP949,G949))))</f>
        <v>371</v>
      </c>
      <c r="AM949" s="57" t="n">
        <f aca="false">IF(BR949=1,0,ROUNDUP(AL949/BQ949,0))</f>
        <v>1</v>
      </c>
      <c r="AN949" s="59" t="n">
        <f aca="false">IF(CD949&gt;0,CD949*MAX(1,AL949/V949),IF(BR949=1,IF(AL949&lt;=0,0,BS949*MAX(1,IF(G949&gt;0,AL949/G949,1))),IF(Q949&gt;0,AM949/Q949,0))/MAX(0.1,N(Parameter!$M$21)))</f>
        <v>0.0151515151515152</v>
      </c>
      <c r="AO949" s="57" t="n">
        <f aca="false">AL949*F949</f>
        <v>311.64</v>
      </c>
      <c r="AP949" s="57" t="n">
        <f aca="false">ROUNDUP(MAX(I949/IF(BV949&gt;0,BV949,MAX(0.1,N(Cockpit!$I$6))),BY949)/BQ949,0)*BQ949</f>
        <v>371</v>
      </c>
      <c r="AQ949" s="58" t="n">
        <f aca="false">IF(AN949&gt;0,I949/AN949,-1)</f>
        <v>8976</v>
      </c>
      <c r="AR949" s="58" t="n">
        <f aca="false">IF(AND(OR(BU949="L1",BU949="L23"),AN949&gt;0),SUMIFS($AN$7:$AN$1576,$BU$7:$BU$1576,BU949,$AQ$7:$AQ$1576,"&gt;"&amp;AQ949)+SUMIFS($AN$7:$AN$1576,$BU$7:$BU$1576,BU949,$AQ$7:$AQ$1576,AQ949,$BO$7:$BO$1576,"&lt;="&amp;BO949),"")</f>
        <v>7.50140434444782</v>
      </c>
      <c r="AS949" s="65" t="n">
        <f aca="false">IF(AR949="",0,MAX(0,MIN(1,(IF(BU949="L1",Parameter!$E$5,Parameter!$E$6+Parameter!$E$7)-(AR949-AN949))/AN949)))</f>
        <v>1</v>
      </c>
      <c r="AT949" s="57" t="n">
        <f aca="false">IF(LEFT(Cockpit!$O$5,1)="A",G949,IF(BW949=1,BX949,IF(LEFT(Cockpit!$O$5,1)="B",AX949,MAX(AX949,G949))))</f>
        <v>371</v>
      </c>
      <c r="AU949" s="57" t="n">
        <f aca="false">IF(BR949=1,0,ROUNDUP(AT949/BQ949,0))</f>
        <v>1</v>
      </c>
      <c r="AV949" s="59" t="n">
        <f aca="false">IF(CD949&gt;0,CD949*MAX(1,AT949/V949),IF(BR949=1,IF(AT949&lt;=0,0,BS949*MAX(1,IF(G949&gt;0,AT949/G949,1))),IF(Q949&gt;0,AU949/Q949,0))/MAX(0.1,N(Parameter!$M$21)))</f>
        <v>0.0151515151515152</v>
      </c>
      <c r="AW949" s="57" t="n">
        <f aca="false">AT949*F949</f>
        <v>311.64</v>
      </c>
      <c r="AX949" s="57" t="n">
        <f aca="false">ROUNDUP(MAX(I949/IF(BV949&gt;0,BV949,MAX(0.1,N(Cockpit!$O$6))),BY949)/BQ949,0)*BQ949</f>
        <v>371</v>
      </c>
      <c r="AY949" s="58" t="n">
        <f aca="false">IF(AV949&gt;0,I949/AV949,-1)</f>
        <v>8976</v>
      </c>
      <c r="AZ949" s="58" t="n">
        <f aca="false">IF(AND(OR(BU949="L1",BU949="L23"),AV949&gt;0),SUMIFS($AV$7:$AV$1576,$BU$7:$BU$1576,BU949,$AY$7:$AY$1576,"&gt;"&amp;AY949)+SUMIFS($AV$7:$AV$1576,$BU$7:$BU$1576,BU949,$AY$7:$AY$1576,AY949,$BO$7:$BO$1576,"&lt;="&amp;BO949),"")</f>
        <v>7.59406168710517</v>
      </c>
      <c r="BA949" s="65" t="n">
        <f aca="false">IF(AZ949="",0,MAX(0,MIN(1,(IF(BU949="L1",Parameter!$E$5,Parameter!$E$6+Parameter!$E$7)-(AZ949-AV949))/AV949)))</f>
        <v>1</v>
      </c>
      <c r="BB949" s="55" t="str">
        <f aca="false">IF(AF949&lt;=0,"",IF(BU949="Aussen","Aussenlager",IF(BU949="-","Nicht im Lift",IF(AK949&gt;=1,"Lift",IF(AK949&lt;=0,"Aussenlager","teilweise")))))</f>
        <v/>
      </c>
      <c r="BC949" s="55" t="str">
        <f aca="false">IF(AN949&lt;=0,"",IF(BU949="Aussen","Aussenlager",IF(BU949="-","Nicht im Lift",IF(AS949&gt;=1,"Lift",IF(AS949&lt;=0,"Aussenlager","teilweise")))))</f>
        <v>Lift</v>
      </c>
      <c r="BD949" s="55" t="str">
        <f aca="false">IF(AV949&lt;=0,"",IF(BU949="Aussen","Aussenlager",IF(BU949="-","Nicht im Lift",IF(BA949&gt;=1,"Lift",IF(BA949&lt;=0,"Aussenlager","teilweise")))))</f>
        <v>Lift</v>
      </c>
      <c r="BE949" s="55" t="str">
        <f aca="false">IF(A949="","",IF(BN949=1,"Neu; ","")&amp;IF(AND(BN949=0,BI949&lt;0),"negativer Bestand (Export "&amp;BI949&amp;"); ","")&amp;IF(I949&lt;=0,"Kein Verbrauch; ","")&amp;IF(CD949&gt;0,"Lift "&amp;U949&amp;" lt. Liftbericht (Fach "&amp;V949&amp;" Stk); ",IF(BR949=1,"Lose – Fläche geschätzt; ",""))&amp;IF(G949&gt;AP949,"Überbestand "&amp;ROUND(G949-AP949,0)&amp;" Stk / CHF "&amp;ROUND((G949-AP949)*F949,0)&amp;"; ","")&amp;IF(AND(BW949=1,BX949&lt;BY949),"MAX &lt; MB+LG; ","")&amp;IF(AND(CC949&gt;0,CB949*10&gt;CC949),"zu hoch für Tablar; ","")&amp;IF(AND(BN949=0,OR(BW949=1,Y949&lt;&gt;"",S949&lt;&gt;"",T949&lt;&gt;"",Z949&lt;&gt;"")),"manuell übersteuert; ","")&amp;IF(AND(BR949=0,Q949=0),"Gebinde unbekannt / Stellmass fehlt; ","")&amp;IF(AND(BR949=0,N(T949)&lt;=0,N(P949)&lt;=0),"Menge pro Gebinde fehlt (Ist = 1 Gebinde); ","")&amp;BM949)</f>
        <v>negativer Bestand (Export -62); </v>
      </c>
      <c r="BF949" s="55"/>
      <c r="BG949" s="55"/>
      <c r="BH949" s="62"/>
      <c r="BI949" s="57" t="n">
        <v>-62</v>
      </c>
      <c r="BJ949" s="57" t="n">
        <v>175</v>
      </c>
      <c r="BK949" s="56" t="n">
        <v>-58.7599999999999</v>
      </c>
      <c r="BL949" s="57" t="n">
        <v>136</v>
      </c>
      <c r="BM949" s="55"/>
      <c r="BN949" s="60" t="n">
        <v>0</v>
      </c>
      <c r="BO949" s="60" t="n">
        <v>949</v>
      </c>
      <c r="BP949" s="55" t="str">
        <f aca="false">IF(S949&lt;&gt;"",UPPER(TRIM(S949)),IF(O949="","LOSE",O949))</f>
        <v>S33</v>
      </c>
      <c r="BQ949" s="57" t="n">
        <f aca="false">IF(BP949="LOSE",1,IF(N(T949)&gt;0,T949,IF(N(P949)&gt;0,P949,MAX(1,G949))))</f>
        <v>371</v>
      </c>
      <c r="BR949" s="60" t="n">
        <f aca="false">IF(BP949="LOSE",1,0)</f>
        <v>0</v>
      </c>
      <c r="BS949" s="59" t="n">
        <f aca="false">IF(BR949=0,0,IF(N(R949)&gt;0,R949,IFERROR(VLOOKUP(D949,Parameter!$A$35:$C$64,3,0)+0,0)))</f>
        <v>0</v>
      </c>
      <c r="BT949" s="55" t="n">
        <f aca="false">IF(Y949&lt;&gt;"",Y949,X949)</f>
        <v>3</v>
      </c>
      <c r="BU949" s="55" t="str">
        <f aca="false">IF(BT949=1,"L1",IF(OR(BT949=2,BT949=3),"L23",IF(BT949="Aussen","Aussen","-")))</f>
        <v>L23</v>
      </c>
      <c r="BV949" s="66" t="n">
        <f aca="false">IF(N(Z949)&gt;0,Z949,0)</f>
        <v>0</v>
      </c>
      <c r="BW949" s="60" t="n">
        <f aca="false">IF(ISNUMBER(AC949),1,0)</f>
        <v>0</v>
      </c>
      <c r="BX949" s="57" t="n">
        <f aca="false">N(AC949)</f>
        <v>0</v>
      </c>
      <c r="BY949" s="57" t="n">
        <f aca="false">N(L949)+N(M949)</f>
        <v>140</v>
      </c>
      <c r="BZ949" s="57" t="n">
        <f aca="false">ROUNDUP(G949/BQ949,0)</f>
        <v>0</v>
      </c>
      <c r="CA949" s="57" t="n">
        <f aca="false">ROUNDUP(BX949/BQ949,0)</f>
        <v>0</v>
      </c>
      <c r="CB949" s="60" t="n">
        <f aca="false">IF(BR949=1,0,IFERROR(VLOOKUP(BP949,'Gebinde-Kategorie'!$A$5:$M$45,5,0)+0,0))</f>
        <v>8</v>
      </c>
      <c r="CC949" s="60" t="n">
        <f aca="false">IFERROR(IF(OR(BT949=1,BT949=2,BT949=3),N(INDEX(Parameter!$I$5:$I$7,BT949)),0),0)</f>
        <v>0</v>
      </c>
      <c r="CD949" s="59" t="n">
        <f aca="false">IF(AND(Parameter!$B$21="Ja",ISNUMBER(U949),N(V949)&gt;0),IFERROR(N(INDEX(Parameter!$L$5:$L$7,U949))*INDEX(Parameter!$E$5:$E$7,U949)*V949/SUMIFS($V$7:$V$1576,$U$7:$U$1576,U949),0),0)</f>
        <v>0</v>
      </c>
    </row>
    <row r="950" customFormat="false" ht="15" hidden="false" customHeight="false" outlineLevel="0" collapsed="false">
      <c r="A950" s="55" t="s">
        <v>1757</v>
      </c>
      <c r="B950" s="55" t="s">
        <v>1758</v>
      </c>
      <c r="C950" s="55" t="s">
        <v>160</v>
      </c>
      <c r="D950" s="55" t="s">
        <v>178</v>
      </c>
      <c r="E950" s="55" t="s">
        <v>210</v>
      </c>
      <c r="F950" s="56" t="n">
        <v>58.07</v>
      </c>
      <c r="G950" s="57" t="n">
        <f aca="false">MAX(0,IF(AND(Parameter!$B$21="Ja",ISNUMBER(W950)),W950,IF(Parameter!$B$20="Jahresanfang 2025 + Export",BJ950+BI950,BI950)))</f>
        <v>0</v>
      </c>
      <c r="H950" s="57" t="n">
        <f aca="false">G950*F950</f>
        <v>0</v>
      </c>
      <c r="I950" s="57" t="n">
        <f aca="false">BL950*Parameter!$B$18</f>
        <v>7</v>
      </c>
      <c r="J950" s="58" t="n">
        <v>9</v>
      </c>
      <c r="K950" s="59" t="n">
        <v>0.777777777777778</v>
      </c>
      <c r="L950" s="57" t="n">
        <v>0</v>
      </c>
      <c r="M950" s="57" t="n">
        <v>5</v>
      </c>
      <c r="N950" s="60" t="n">
        <v>28</v>
      </c>
      <c r="O950" s="55" t="s">
        <v>225</v>
      </c>
      <c r="P950" s="57" t="n">
        <v>21</v>
      </c>
      <c r="Q950" s="60" t="n">
        <f aca="false">IF(BR950=1,0,IFERROR(VLOOKUP(BP950,'Gebinde-Kategorie'!$A$5:$M$45,13,0)+0,0))</f>
        <v>26</v>
      </c>
      <c r="R950" s="61"/>
      <c r="S950" s="62"/>
      <c r="T950" s="62"/>
      <c r="U950" s="55"/>
      <c r="V950" s="57"/>
      <c r="W950" s="57"/>
      <c r="X950" s="55" t="n">
        <f aca="false">IF(A950="","",IF(AND(Parameter!$B$21="Ja",ISNUMBER(U950)),U950,IF(IFERROR(VLOOKUP(D950,Parameter!$A$35:$C$64,2,0),"Nein")="2+3",IF(ISNUMBER(SEARCH("grosser Artikel",BM950)),2,IFERROR(VLOOKUP(BP950,Parameter!$F$35:$G$64,2,0),2)),IF(OR(IFERROR(VLOOKUP(D950,Parameter!$A$35:$C$64,2,0),"Nein")="Nein",IFERROR(VLOOKUP(D950,Parameter!$A$35:$C$64,2,0),"Nein")=""),"-",VLOOKUP(D950,Parameter!$A$35:$C$64,2,0)))))</f>
        <v>3</v>
      </c>
      <c r="Y950" s="62"/>
      <c r="Z950" s="63"/>
      <c r="AA950" s="57" t="n">
        <f aca="false">AP950</f>
        <v>21</v>
      </c>
      <c r="AB950" s="57" t="n">
        <f aca="false">MAX(AP950,G950)</f>
        <v>21</v>
      </c>
      <c r="AC950" s="64"/>
      <c r="AD950" s="57" t="n">
        <f aca="false">IF(LEFT(Cockpit!$C$5,1)="A",G950,IF(BW950=1,BX950,IF(LEFT(Cockpit!$C$5,1)="B",AH950,MAX(AH950,G950))))</f>
        <v>0</v>
      </c>
      <c r="AE950" s="57" t="n">
        <f aca="false">IF(BR950=1,0,ROUNDUP(AD950/BQ950,0))</f>
        <v>0</v>
      </c>
      <c r="AF950" s="59" t="n">
        <f aca="false">IF(CD950&gt;0,CD950*MAX(1,AD950/V950),IF(BR950=1,IF(AD950&lt;=0,0,BS950*MAX(1,IF(G950&gt;0,AD950/G950,1))),IF(Q950&gt;0,AE950/Q950,0))/MAX(0.1,N(Parameter!$M$21)))</f>
        <v>0</v>
      </c>
      <c r="AG950" s="57" t="n">
        <f aca="false">AD950*F950</f>
        <v>0</v>
      </c>
      <c r="AH950" s="57" t="n">
        <f aca="false">ROUNDUP(MAX(I950/IF(BV950&gt;0,BV950,MAX(0.1,N(Cockpit!$C$6))),BY950)/BQ950,0)*BQ950</f>
        <v>21</v>
      </c>
      <c r="AI950" s="58" t="n">
        <f aca="false">IF(AF950&gt;0,I950/AF950,-1)</f>
        <v>-1</v>
      </c>
      <c r="AJ950" s="58" t="str">
        <f aca="false">IF(AND(OR(BU950="L1",BU950="L23"),AF950&gt;0),SUMIFS($AF$7:$AF$1576,$BU$7:$BU$1576,BU950,$AI$7:$AI$1576,"&gt;"&amp;AI950)+SUMIFS($AF$7:$AF$1576,$BU$7:$BU$1576,BU950,$AI$7:$AI$1576,AI950,$BO$7:$BO$1576,"&lt;="&amp;BO950),"")</f>
        <v/>
      </c>
      <c r="AK950" s="65" t="n">
        <f aca="false">IF(AJ950="",0,MAX(0,MIN(1,(IF(BU950="L1",Parameter!$E$5,Parameter!$E$6+Parameter!$E$7)-(AJ950-AF950))/AF950)))</f>
        <v>0</v>
      </c>
      <c r="AL950" s="57" t="n">
        <f aca="false">IF(LEFT(Cockpit!$I$5,1)="A",G950,IF(BW950=1,BX950,IF(LEFT(Cockpit!$I$5,1)="B",AP950,MAX(AP950,G950))))</f>
        <v>21</v>
      </c>
      <c r="AM950" s="57" t="n">
        <f aca="false">IF(BR950=1,0,ROUNDUP(AL950/BQ950,0))</f>
        <v>1</v>
      </c>
      <c r="AN950" s="59" t="n">
        <f aca="false">IF(CD950&gt;0,CD950*MAX(1,AL950/V950),IF(BR950=1,IF(AL950&lt;=0,0,BS950*MAX(1,IF(G950&gt;0,AL950/G950,1))),IF(Q950&gt;0,AM950/Q950,0))/MAX(0.1,N(Parameter!$M$21)))</f>
        <v>0.0384615384615385</v>
      </c>
      <c r="AO950" s="57" t="n">
        <f aca="false">AL950*F950</f>
        <v>1219.47</v>
      </c>
      <c r="AP950" s="57" t="n">
        <f aca="false">ROUNDUP(MAX(I950/IF(BV950&gt;0,BV950,MAX(0.1,N(Cockpit!$I$6))),BY950)/BQ950,0)*BQ950</f>
        <v>21</v>
      </c>
      <c r="AQ950" s="58" t="n">
        <f aca="false">IF(AN950&gt;0,I950/AN950,-1)</f>
        <v>182</v>
      </c>
      <c r="AR950" s="58" t="n">
        <f aca="false">IF(AND(OR(BU950="L1",BU950="L23"),AN950&gt;0),SUMIFS($AN$7:$AN$1576,$BU$7:$BU$1576,BU950,$AQ$7:$AQ$1576,"&gt;"&amp;AQ950)+SUMIFS($AN$7:$AN$1576,$BU$7:$BU$1576,BU950,$AQ$7:$AQ$1576,AQ950,$BO$7:$BO$1576,"&lt;="&amp;BO950),"")</f>
        <v>52.3649277899389</v>
      </c>
      <c r="AS950" s="65" t="n">
        <f aca="false">IF(AR950="",0,MAX(0,MIN(1,(IF(BU950="L1",Parameter!$E$5,Parameter!$E$6+Parameter!$E$7)-(AR950-AN950))/AN950)))</f>
        <v>1</v>
      </c>
      <c r="AT950" s="57" t="n">
        <f aca="false">IF(LEFT(Cockpit!$O$5,1)="A",G950,IF(BW950=1,BX950,IF(LEFT(Cockpit!$O$5,1)="B",AX950,MAX(AX950,G950))))</f>
        <v>21</v>
      </c>
      <c r="AU950" s="57" t="n">
        <f aca="false">IF(BR950=1,0,ROUNDUP(AT950/BQ950,0))</f>
        <v>1</v>
      </c>
      <c r="AV950" s="59" t="n">
        <f aca="false">IF(CD950&gt;0,CD950*MAX(1,AT950/V950),IF(BR950=1,IF(AT950&lt;=0,0,BS950*MAX(1,IF(G950&gt;0,AT950/G950,1))),IF(Q950&gt;0,AU950/Q950,0))/MAX(0.1,N(Parameter!$M$21)))</f>
        <v>0.0384615384615385</v>
      </c>
      <c r="AW950" s="57" t="n">
        <f aca="false">AT950*F950</f>
        <v>1219.47</v>
      </c>
      <c r="AX950" s="57" t="n">
        <f aca="false">ROUNDUP(MAX(I950/IF(BV950&gt;0,BV950,MAX(0.1,N(Cockpit!$O$6))),BY950)/BQ950,0)*BQ950</f>
        <v>21</v>
      </c>
      <c r="AY950" s="58" t="n">
        <f aca="false">IF(AV950&gt;0,I950/AV950,-1)</f>
        <v>182</v>
      </c>
      <c r="AZ950" s="58" t="n">
        <f aca="false">IF(AND(OR(BU950="L1",BU950="L23"),AV950&gt;0),SUMIFS($AV$7:$AV$1576,$BU$7:$BU$1576,BU950,$AY$7:$AY$1576,"&gt;"&amp;AY950)+SUMIFS($AV$7:$AV$1576,$BU$7:$BU$1576,BU950,$AY$7:$AY$1576,AY950,$BO$7:$BO$1576,"&lt;="&amp;BO950),"")</f>
        <v>48.2469024819136</v>
      </c>
      <c r="BA950" s="65" t="n">
        <f aca="false">IF(AZ950="",0,MAX(0,MIN(1,(IF(BU950="L1",Parameter!$E$5,Parameter!$E$6+Parameter!$E$7)-(AZ950-AV950))/AV950)))</f>
        <v>1</v>
      </c>
      <c r="BB950" s="55" t="str">
        <f aca="false">IF(AF950&lt;=0,"",IF(BU950="Aussen","Aussenlager",IF(BU950="-","Nicht im Lift",IF(AK950&gt;=1,"Lift",IF(AK950&lt;=0,"Aussenlager","teilweise")))))</f>
        <v/>
      </c>
      <c r="BC950" s="55" t="str">
        <f aca="false">IF(AN950&lt;=0,"",IF(BU950="Aussen","Aussenlager",IF(BU950="-","Nicht im Lift",IF(AS950&gt;=1,"Lift",IF(AS950&lt;=0,"Aussenlager","teilweise")))))</f>
        <v>Lift</v>
      </c>
      <c r="BD950" s="55" t="str">
        <f aca="false">IF(AV950&lt;=0,"",IF(BU950="Aussen","Aussenlager",IF(BU950="-","Nicht im Lift",IF(BA950&gt;=1,"Lift",IF(BA950&lt;=0,"Aussenlager","teilweise")))))</f>
        <v>Lift</v>
      </c>
      <c r="BE950" s="55" t="str">
        <f aca="false">IF(A950="","",IF(BN950=1,"Neu; ","")&amp;IF(AND(BN950=0,BI950&lt;0),"negativer Bestand (Export "&amp;BI950&amp;"); ","")&amp;IF(I950&lt;=0,"Kein Verbrauch; ","")&amp;IF(CD950&gt;0,"Lift "&amp;U950&amp;" lt. Liftbericht (Fach "&amp;V950&amp;" Stk); ",IF(BR950=1,"Lose – Fläche geschätzt; ",""))&amp;IF(G950&gt;AP950,"Überbestand "&amp;ROUND(G950-AP950,0)&amp;" Stk / CHF "&amp;ROUND((G950-AP950)*F950,0)&amp;"; ","")&amp;IF(AND(BW950=1,BX950&lt;BY950),"MAX &lt; MB+LG; ","")&amp;IF(AND(CC950&gt;0,CB950*10&gt;CC950),"zu hoch für Tablar; ","")&amp;IF(AND(BN950=0,OR(BW950=1,Y950&lt;&gt;"",S950&lt;&gt;"",T950&lt;&gt;"",Z950&lt;&gt;"")),"manuell übersteuert; ","")&amp;IF(AND(BR950=0,Q950=0),"Gebinde unbekannt / Stellmass fehlt; ","")&amp;IF(AND(BR950=0,N(T950)&lt;=0,N(P950)&lt;=0),"Menge pro Gebinde fehlt (Ist = 1 Gebinde); ","")&amp;BM950)</f>
        <v>negativer Bestand (Export -1); </v>
      </c>
      <c r="BF950" s="55"/>
      <c r="BG950" s="55"/>
      <c r="BH950" s="62"/>
      <c r="BI950" s="57" t="n">
        <v>-1</v>
      </c>
      <c r="BJ950" s="57" t="n">
        <v>10</v>
      </c>
      <c r="BK950" s="56" t="n">
        <v>-59.4699999999999</v>
      </c>
      <c r="BL950" s="57" t="n">
        <v>7</v>
      </c>
      <c r="BM950" s="55"/>
      <c r="BN950" s="60" t="n">
        <v>0</v>
      </c>
      <c r="BO950" s="60" t="n">
        <v>950</v>
      </c>
      <c r="BP950" s="55" t="str">
        <f aca="false">IF(S950&lt;&gt;"",UPPER(TRIM(S950)),IF(O950="","LOSE",O950))</f>
        <v>S52</v>
      </c>
      <c r="BQ950" s="57" t="n">
        <f aca="false">IF(BP950="LOSE",1,IF(N(T950)&gt;0,T950,IF(N(P950)&gt;0,P950,MAX(1,G950))))</f>
        <v>21</v>
      </c>
      <c r="BR950" s="60" t="n">
        <f aca="false">IF(BP950="LOSE",1,0)</f>
        <v>0</v>
      </c>
      <c r="BS950" s="59" t="n">
        <f aca="false">IF(BR950=0,0,IF(N(R950)&gt;0,R950,IFERROR(VLOOKUP(D950,Parameter!$A$35:$C$64,3,0)+0,0)))</f>
        <v>0</v>
      </c>
      <c r="BT950" s="55" t="n">
        <f aca="false">IF(Y950&lt;&gt;"",Y950,X950)</f>
        <v>3</v>
      </c>
      <c r="BU950" s="55" t="str">
        <f aca="false">IF(BT950=1,"L1",IF(OR(BT950=2,BT950=3),"L23",IF(BT950="Aussen","Aussen","-")))</f>
        <v>L23</v>
      </c>
      <c r="BV950" s="66" t="n">
        <f aca="false">IF(N(Z950)&gt;0,Z950,0)</f>
        <v>0</v>
      </c>
      <c r="BW950" s="60" t="n">
        <f aca="false">IF(ISNUMBER(AC950),1,0)</f>
        <v>0</v>
      </c>
      <c r="BX950" s="57" t="n">
        <f aca="false">N(AC950)</f>
        <v>0</v>
      </c>
      <c r="BY950" s="57" t="n">
        <f aca="false">N(L950)+N(M950)</f>
        <v>5</v>
      </c>
      <c r="BZ950" s="57" t="n">
        <f aca="false">ROUNDUP(G950/BQ950,0)</f>
        <v>0</v>
      </c>
      <c r="CA950" s="57" t="n">
        <f aca="false">ROUNDUP(BX950/BQ950,0)</f>
        <v>0</v>
      </c>
      <c r="CB950" s="60" t="n">
        <f aca="false">IF(BR950=1,0,IFERROR(VLOOKUP(BP950,'Gebinde-Kategorie'!$A$5:$M$45,5,0)+0,0))</f>
        <v>21</v>
      </c>
      <c r="CC950" s="60" t="n">
        <f aca="false">IFERROR(IF(OR(BT950=1,BT950=2,BT950=3),N(INDEX(Parameter!$I$5:$I$7,BT950)),0),0)</f>
        <v>0</v>
      </c>
      <c r="CD950" s="59" t="n">
        <f aca="false">IF(AND(Parameter!$B$21="Ja",ISNUMBER(U950),N(V950)&gt;0),IFERROR(N(INDEX(Parameter!$L$5:$L$7,U950))*INDEX(Parameter!$E$5:$E$7,U950)*V950/SUMIFS($V$7:$V$1576,$U$7:$U$1576,U950),0),0)</f>
        <v>0</v>
      </c>
    </row>
    <row r="951" customFormat="false" ht="15" hidden="false" customHeight="false" outlineLevel="0" collapsed="false">
      <c r="A951" s="55" t="s">
        <v>1759</v>
      </c>
      <c r="B951" s="55" t="s">
        <v>1760</v>
      </c>
      <c r="C951" s="55" t="s">
        <v>160</v>
      </c>
      <c r="D951" s="55" t="s">
        <v>178</v>
      </c>
      <c r="E951" s="55" t="s">
        <v>210</v>
      </c>
      <c r="F951" s="56" t="n">
        <v>19.99</v>
      </c>
      <c r="G951" s="57" t="n">
        <f aca="false">MAX(0,IF(AND(Parameter!$B$21="Ja",ISNUMBER(W951)),W951,IF(Parameter!$B$20="Jahresanfang 2025 + Export",BJ951+BI951,BI951)))</f>
        <v>0</v>
      </c>
      <c r="H951" s="57" t="n">
        <f aca="false">G951*F951</f>
        <v>0</v>
      </c>
      <c r="I951" s="57" t="n">
        <f aca="false">BL951*Parameter!$B$18</f>
        <v>1</v>
      </c>
      <c r="J951" s="58" t="n">
        <v>6</v>
      </c>
      <c r="K951" s="59" t="n">
        <v>0.166666666666667</v>
      </c>
      <c r="L951" s="57" t="n">
        <v>0</v>
      </c>
      <c r="M951" s="57" t="n">
        <v>1</v>
      </c>
      <c r="N951" s="60" t="n">
        <v>35</v>
      </c>
      <c r="O951" s="55" t="s">
        <v>416</v>
      </c>
      <c r="P951" s="57" t="n">
        <v>5</v>
      </c>
      <c r="Q951" s="60" t="n">
        <f aca="false">IF(BR951=1,0,IFERROR(VLOOKUP(BP951,'Gebinde-Kategorie'!$A$5:$M$45,13,0)+0,0))</f>
        <v>198</v>
      </c>
      <c r="R951" s="61"/>
      <c r="S951" s="62"/>
      <c r="T951" s="62"/>
      <c r="U951" s="55"/>
      <c r="V951" s="57"/>
      <c r="W951" s="57"/>
      <c r="X951" s="55" t="n">
        <f aca="false">IF(A951="","",IF(AND(Parameter!$B$21="Ja",ISNUMBER(U951)),U951,IF(IFERROR(VLOOKUP(D951,Parameter!$A$35:$C$64,2,0),"Nein")="2+3",IF(ISNUMBER(SEARCH("grosser Artikel",BM951)),2,IFERROR(VLOOKUP(BP951,Parameter!$F$35:$G$64,2,0),2)),IF(OR(IFERROR(VLOOKUP(D951,Parameter!$A$35:$C$64,2,0),"Nein")="Nein",IFERROR(VLOOKUP(D951,Parameter!$A$35:$C$64,2,0),"Nein")=""),"-",VLOOKUP(D951,Parameter!$A$35:$C$64,2,0)))))</f>
        <v>3</v>
      </c>
      <c r="Y951" s="62"/>
      <c r="Z951" s="63"/>
      <c r="AA951" s="57" t="n">
        <f aca="false">AP951</f>
        <v>5</v>
      </c>
      <c r="AB951" s="57" t="n">
        <f aca="false">MAX(AP951,G951)</f>
        <v>5</v>
      </c>
      <c r="AC951" s="64"/>
      <c r="AD951" s="57" t="n">
        <f aca="false">IF(LEFT(Cockpit!$C$5,1)="A",G951,IF(BW951=1,BX951,IF(LEFT(Cockpit!$C$5,1)="B",AH951,MAX(AH951,G951))))</f>
        <v>0</v>
      </c>
      <c r="AE951" s="57" t="n">
        <f aca="false">IF(BR951=1,0,ROUNDUP(AD951/BQ951,0))</f>
        <v>0</v>
      </c>
      <c r="AF951" s="59" t="n">
        <f aca="false">IF(CD951&gt;0,CD951*MAX(1,AD951/V951),IF(BR951=1,IF(AD951&lt;=0,0,BS951*MAX(1,IF(G951&gt;0,AD951/G951,1))),IF(Q951&gt;0,AE951/Q951,0))/MAX(0.1,N(Parameter!$M$21)))</f>
        <v>0</v>
      </c>
      <c r="AG951" s="57" t="n">
        <f aca="false">AD951*F951</f>
        <v>0</v>
      </c>
      <c r="AH951" s="57" t="n">
        <f aca="false">ROUNDUP(MAX(I951/IF(BV951&gt;0,BV951,MAX(0.1,N(Cockpit!$C$6))),BY951)/BQ951,0)*BQ951</f>
        <v>5</v>
      </c>
      <c r="AI951" s="58" t="n">
        <f aca="false">IF(AF951&gt;0,I951/AF951,-1)</f>
        <v>-1</v>
      </c>
      <c r="AJ951" s="58" t="str">
        <f aca="false">IF(AND(OR(BU951="L1",BU951="L23"),AF951&gt;0),SUMIFS($AF$7:$AF$1576,$BU$7:$BU$1576,BU951,$AI$7:$AI$1576,"&gt;"&amp;AI951)+SUMIFS($AF$7:$AF$1576,$BU$7:$BU$1576,BU951,$AI$7:$AI$1576,AI951,$BO$7:$BO$1576,"&lt;="&amp;BO951),"")</f>
        <v/>
      </c>
      <c r="AK951" s="65" t="n">
        <f aca="false">IF(AJ951="",0,MAX(0,MIN(1,(IF(BU951="L1",Parameter!$E$5,Parameter!$E$6+Parameter!$E$7)-(AJ951-AF951))/AF951)))</f>
        <v>0</v>
      </c>
      <c r="AL951" s="57" t="n">
        <f aca="false">IF(LEFT(Cockpit!$I$5,1)="A",G951,IF(BW951=1,BX951,IF(LEFT(Cockpit!$I$5,1)="B",AP951,MAX(AP951,G951))))</f>
        <v>5</v>
      </c>
      <c r="AM951" s="57" t="n">
        <f aca="false">IF(BR951=1,0,ROUNDUP(AL951/BQ951,0))</f>
        <v>1</v>
      </c>
      <c r="AN951" s="59" t="n">
        <f aca="false">IF(CD951&gt;0,CD951*MAX(1,AL951/V951),IF(BR951=1,IF(AL951&lt;=0,0,BS951*MAX(1,IF(G951&gt;0,AL951/G951,1))),IF(Q951&gt;0,AM951/Q951,0))/MAX(0.1,N(Parameter!$M$21)))</f>
        <v>0.00505050505050505</v>
      </c>
      <c r="AO951" s="57" t="n">
        <f aca="false">AL951*F951</f>
        <v>99.95</v>
      </c>
      <c r="AP951" s="57" t="n">
        <f aca="false">ROUNDUP(MAX(I951/IF(BV951&gt;0,BV951,MAX(0.1,N(Cockpit!$I$6))),BY951)/BQ951,0)*BQ951</f>
        <v>5</v>
      </c>
      <c r="AQ951" s="58" t="n">
        <f aca="false">IF(AN951&gt;0,I951/AN951,-1)</f>
        <v>198</v>
      </c>
      <c r="AR951" s="58" t="n">
        <f aca="false">IF(AND(OR(BU951="L1",BU951="L23"),AN951&gt;0),SUMIFS($AN$7:$AN$1576,$BU$7:$BU$1576,BU951,$AQ$7:$AQ$1576,"&gt;"&amp;AQ951)+SUMIFS($AN$7:$AN$1576,$BU$7:$BU$1576,BU951,$AQ$7:$AQ$1576,AQ951,$BO$7:$BO$1576,"&lt;="&amp;BO951),"")</f>
        <v>50.9150554400666</v>
      </c>
      <c r="AS951" s="65" t="n">
        <f aca="false">IF(AR951="",0,MAX(0,MIN(1,(IF(BU951="L1",Parameter!$E$5,Parameter!$E$6+Parameter!$E$7)-(AR951-AN951))/AN951)))</f>
        <v>1</v>
      </c>
      <c r="AT951" s="57" t="n">
        <f aca="false">IF(LEFT(Cockpit!$O$5,1)="A",G951,IF(BW951=1,BX951,IF(LEFT(Cockpit!$O$5,1)="B",AX951,MAX(AX951,G951))))</f>
        <v>5</v>
      </c>
      <c r="AU951" s="57" t="n">
        <f aca="false">IF(BR951=1,0,ROUNDUP(AT951/BQ951,0))</f>
        <v>1</v>
      </c>
      <c r="AV951" s="59" t="n">
        <f aca="false">IF(CD951&gt;0,CD951*MAX(1,AT951/V951),IF(BR951=1,IF(AT951&lt;=0,0,BS951*MAX(1,IF(G951&gt;0,AT951/G951,1))),IF(Q951&gt;0,AU951/Q951,0))/MAX(0.1,N(Parameter!$M$21)))</f>
        <v>0.00505050505050505</v>
      </c>
      <c r="AW951" s="57" t="n">
        <f aca="false">AT951*F951</f>
        <v>99.95</v>
      </c>
      <c r="AX951" s="57" t="n">
        <f aca="false">ROUNDUP(MAX(I951/IF(BV951&gt;0,BV951,MAX(0.1,N(Cockpit!$O$6))),BY951)/BQ951,0)*BQ951</f>
        <v>5</v>
      </c>
      <c r="AY951" s="58" t="n">
        <f aca="false">IF(AV951&gt;0,I951/AV951,-1)</f>
        <v>198</v>
      </c>
      <c r="AZ951" s="58" t="n">
        <f aca="false">IF(AND(OR(BU951="L1",BU951="L23"),AV951&gt;0),SUMIFS($AV$7:$AV$1576,$BU$7:$BU$1576,BU951,$AY$7:$AY$1576,"&gt;"&amp;AY951)+SUMIFS($AV$7:$AV$1576,$BU$7:$BU$1576,BU951,$AY$7:$AY$1576,AY951,$BO$7:$BO$1576,"&lt;="&amp;BO951),"")</f>
        <v>47.111315846327</v>
      </c>
      <c r="BA951" s="65" t="n">
        <f aca="false">IF(AZ951="",0,MAX(0,MIN(1,(IF(BU951="L1",Parameter!$E$5,Parameter!$E$6+Parameter!$E$7)-(AZ951-AV951))/AV951)))</f>
        <v>1</v>
      </c>
      <c r="BB951" s="55" t="str">
        <f aca="false">IF(AF951&lt;=0,"",IF(BU951="Aussen","Aussenlager",IF(BU951="-","Nicht im Lift",IF(AK951&gt;=1,"Lift",IF(AK951&lt;=0,"Aussenlager","teilweise")))))</f>
        <v/>
      </c>
      <c r="BC951" s="55" t="str">
        <f aca="false">IF(AN951&lt;=0,"",IF(BU951="Aussen","Aussenlager",IF(BU951="-","Nicht im Lift",IF(AS951&gt;=1,"Lift",IF(AS951&lt;=0,"Aussenlager","teilweise")))))</f>
        <v>Lift</v>
      </c>
      <c r="BD951" s="55" t="str">
        <f aca="false">IF(AV951&lt;=0,"",IF(BU951="Aussen","Aussenlager",IF(BU951="-","Nicht im Lift",IF(BA951&gt;=1,"Lift",IF(BA951&lt;=0,"Aussenlager","teilweise")))))</f>
        <v>Lift</v>
      </c>
      <c r="BE951" s="55" t="str">
        <f aca="false">IF(A951="","",IF(BN951=1,"Neu; ","")&amp;IF(AND(BN951=0,BI951&lt;0),"negativer Bestand (Export "&amp;BI951&amp;"); ","")&amp;IF(I951&lt;=0,"Kein Verbrauch; ","")&amp;IF(CD951&gt;0,"Lift "&amp;U951&amp;" lt. Liftbericht (Fach "&amp;V951&amp;" Stk); ",IF(BR951=1,"Lose – Fläche geschätzt; ",""))&amp;IF(G951&gt;AP951,"Überbestand "&amp;ROUND(G951-AP951,0)&amp;" Stk / CHF "&amp;ROUND((G951-AP951)*F951,0)&amp;"; ","")&amp;IF(AND(BW951=1,BX951&lt;BY951),"MAX &lt; MB+LG; ","")&amp;IF(AND(CC951&gt;0,CB951*10&gt;CC951),"zu hoch für Tablar; ","")&amp;IF(AND(BN951=0,OR(BW951=1,Y951&lt;&gt;"",S951&lt;&gt;"",T951&lt;&gt;"",Z951&lt;&gt;"")),"manuell übersteuert; ","")&amp;IF(AND(BR951=0,Q951=0),"Gebinde unbekannt / Stellmass fehlt; ","")&amp;IF(AND(BR951=0,N(T951)&lt;=0,N(P951)&lt;=0),"Menge pro Gebinde fehlt (Ist = 1 Gebinde); ","")&amp;BM951)</f>
        <v>negativer Bestand (Export -3); Neuer Art.</v>
      </c>
      <c r="BF951" s="55"/>
      <c r="BG951" s="55"/>
      <c r="BH951" s="62"/>
      <c r="BI951" s="57" t="n">
        <v>-3</v>
      </c>
      <c r="BJ951" s="57" t="n">
        <v>7</v>
      </c>
      <c r="BK951" s="56" t="n">
        <v>-59.97</v>
      </c>
      <c r="BL951" s="57" t="n">
        <v>1</v>
      </c>
      <c r="BM951" s="55" t="s">
        <v>501</v>
      </c>
      <c r="BN951" s="60" t="n">
        <v>0</v>
      </c>
      <c r="BO951" s="60" t="n">
        <v>951</v>
      </c>
      <c r="BP951" s="55" t="str">
        <f aca="false">IF(S951&lt;&gt;"",UPPER(TRIM(S951)),IF(O951="","LOSE",O951))</f>
        <v>S22</v>
      </c>
      <c r="BQ951" s="57" t="n">
        <f aca="false">IF(BP951="LOSE",1,IF(N(T951)&gt;0,T951,IF(N(P951)&gt;0,P951,MAX(1,G951))))</f>
        <v>5</v>
      </c>
      <c r="BR951" s="60" t="n">
        <f aca="false">IF(BP951="LOSE",1,0)</f>
        <v>0</v>
      </c>
      <c r="BS951" s="59" t="n">
        <f aca="false">IF(BR951=0,0,IF(N(R951)&gt;0,R951,IFERROR(VLOOKUP(D951,Parameter!$A$35:$C$64,3,0)+0,0)))</f>
        <v>0</v>
      </c>
      <c r="BT951" s="55" t="n">
        <f aca="false">IF(Y951&lt;&gt;"",Y951,X951)</f>
        <v>3</v>
      </c>
      <c r="BU951" s="55" t="str">
        <f aca="false">IF(BT951=1,"L1",IF(OR(BT951=2,BT951=3),"L23",IF(BT951="Aussen","Aussen","-")))</f>
        <v>L23</v>
      </c>
      <c r="BV951" s="66" t="n">
        <f aca="false">IF(N(Z951)&gt;0,Z951,0)</f>
        <v>0</v>
      </c>
      <c r="BW951" s="60" t="n">
        <f aca="false">IF(ISNUMBER(AC951),1,0)</f>
        <v>0</v>
      </c>
      <c r="BX951" s="57" t="n">
        <f aca="false">N(AC951)</f>
        <v>0</v>
      </c>
      <c r="BY951" s="57" t="n">
        <f aca="false">N(L951)+N(M951)</f>
        <v>1</v>
      </c>
      <c r="BZ951" s="57" t="n">
        <f aca="false">ROUNDUP(G951/BQ951,0)</f>
        <v>0</v>
      </c>
      <c r="CA951" s="57" t="n">
        <f aca="false">ROUNDUP(BX951/BQ951,0)</f>
        <v>0</v>
      </c>
      <c r="CB951" s="60" t="n">
        <f aca="false">IF(BR951=1,0,IFERROR(VLOOKUP(BP951,'Gebinde-Kategorie'!$A$5:$M$45,5,0)+0,0))</f>
        <v>8</v>
      </c>
      <c r="CC951" s="60" t="n">
        <f aca="false">IFERROR(IF(OR(BT951=1,BT951=2,BT951=3),N(INDEX(Parameter!$I$5:$I$7,BT951)),0),0)</f>
        <v>0</v>
      </c>
      <c r="CD951" s="59" t="n">
        <f aca="false">IF(AND(Parameter!$B$21="Ja",ISNUMBER(U951),N(V951)&gt;0),IFERROR(N(INDEX(Parameter!$L$5:$L$7,U951))*INDEX(Parameter!$E$5:$E$7,U951)*V951/SUMIFS($V$7:$V$1576,$U$7:$U$1576,U951),0),0)</f>
        <v>0</v>
      </c>
    </row>
    <row r="952" customFormat="false" ht="15" hidden="false" customHeight="false" outlineLevel="0" collapsed="false">
      <c r="A952" s="55" t="s">
        <v>1761</v>
      </c>
      <c r="B952" s="55" t="s">
        <v>1762</v>
      </c>
      <c r="C952" s="55" t="s">
        <v>160</v>
      </c>
      <c r="D952" s="55" t="s">
        <v>178</v>
      </c>
      <c r="E952" s="55" t="s">
        <v>210</v>
      </c>
      <c r="F952" s="56" t="n">
        <v>12.28</v>
      </c>
      <c r="G952" s="57" t="n">
        <f aca="false">MAX(0,IF(AND(Parameter!$B$21="Ja",ISNUMBER(W952)),W952,IF(Parameter!$B$20="Jahresanfang 2025 + Export",BJ952+BI952,BI952)))</f>
        <v>0</v>
      </c>
      <c r="H952" s="57" t="n">
        <f aca="false">G952*F952</f>
        <v>0</v>
      </c>
      <c r="I952" s="57" t="n">
        <f aca="false">BL952*Parameter!$B$18</f>
        <v>4</v>
      </c>
      <c r="J952" s="58" t="n">
        <v>2.5</v>
      </c>
      <c r="K952" s="59" t="n">
        <v>1.6</v>
      </c>
      <c r="L952" s="57" t="n">
        <v>0</v>
      </c>
      <c r="M952" s="57" t="n">
        <v>5</v>
      </c>
      <c r="N952" s="60" t="n">
        <v>28</v>
      </c>
      <c r="O952" s="55" t="s">
        <v>465</v>
      </c>
      <c r="P952" s="57" t="n">
        <v>6</v>
      </c>
      <c r="Q952" s="60" t="n">
        <f aca="false">IF(BR952=1,0,IFERROR(VLOOKUP(BP952,'Gebinde-Kategorie'!$A$5:$M$45,13,0)+0,0))</f>
        <v>66</v>
      </c>
      <c r="R952" s="61"/>
      <c r="S952" s="62"/>
      <c r="T952" s="62"/>
      <c r="U952" s="55"/>
      <c r="V952" s="57"/>
      <c r="W952" s="57"/>
      <c r="X952" s="55" t="n">
        <f aca="false">IF(A952="","",IF(AND(Parameter!$B$21="Ja",ISNUMBER(U952)),U952,IF(IFERROR(VLOOKUP(D952,Parameter!$A$35:$C$64,2,0),"Nein")="2+3",IF(ISNUMBER(SEARCH("grosser Artikel",BM952)),2,IFERROR(VLOOKUP(BP952,Parameter!$F$35:$G$64,2,0),2)),IF(OR(IFERROR(VLOOKUP(D952,Parameter!$A$35:$C$64,2,0),"Nein")="Nein",IFERROR(VLOOKUP(D952,Parameter!$A$35:$C$64,2,0),"Nein")=""),"-",VLOOKUP(D952,Parameter!$A$35:$C$64,2,0)))))</f>
        <v>3</v>
      </c>
      <c r="Y952" s="62"/>
      <c r="Z952" s="63"/>
      <c r="AA952" s="57" t="n">
        <f aca="false">AP952</f>
        <v>6</v>
      </c>
      <c r="AB952" s="57" t="n">
        <f aca="false">MAX(AP952,G952)</f>
        <v>6</v>
      </c>
      <c r="AC952" s="64"/>
      <c r="AD952" s="57" t="n">
        <f aca="false">IF(LEFT(Cockpit!$C$5,1)="A",G952,IF(BW952=1,BX952,IF(LEFT(Cockpit!$C$5,1)="B",AH952,MAX(AH952,G952))))</f>
        <v>0</v>
      </c>
      <c r="AE952" s="57" t="n">
        <f aca="false">IF(BR952=1,0,ROUNDUP(AD952/BQ952,0))</f>
        <v>0</v>
      </c>
      <c r="AF952" s="59" t="n">
        <f aca="false">IF(CD952&gt;0,CD952*MAX(1,AD952/V952),IF(BR952=1,IF(AD952&lt;=0,0,BS952*MAX(1,IF(G952&gt;0,AD952/G952,1))),IF(Q952&gt;0,AE952/Q952,0))/MAX(0.1,N(Parameter!$M$21)))</f>
        <v>0</v>
      </c>
      <c r="AG952" s="57" t="n">
        <f aca="false">AD952*F952</f>
        <v>0</v>
      </c>
      <c r="AH952" s="57" t="n">
        <f aca="false">ROUNDUP(MAX(I952/IF(BV952&gt;0,BV952,MAX(0.1,N(Cockpit!$C$6))),BY952)/BQ952,0)*BQ952</f>
        <v>6</v>
      </c>
      <c r="AI952" s="58" t="n">
        <f aca="false">IF(AF952&gt;0,I952/AF952,-1)</f>
        <v>-1</v>
      </c>
      <c r="AJ952" s="58" t="str">
        <f aca="false">IF(AND(OR(BU952="L1",BU952="L23"),AF952&gt;0),SUMIFS($AF$7:$AF$1576,$BU$7:$BU$1576,BU952,$AI$7:$AI$1576,"&gt;"&amp;AI952)+SUMIFS($AF$7:$AF$1576,$BU$7:$BU$1576,BU952,$AI$7:$AI$1576,AI952,$BO$7:$BO$1576,"&lt;="&amp;BO952),"")</f>
        <v/>
      </c>
      <c r="AK952" s="65" t="n">
        <f aca="false">IF(AJ952="",0,MAX(0,MIN(1,(IF(BU952="L1",Parameter!$E$5,Parameter!$E$6+Parameter!$E$7)-(AJ952-AF952))/AF952)))</f>
        <v>0</v>
      </c>
      <c r="AL952" s="57" t="n">
        <f aca="false">IF(LEFT(Cockpit!$I$5,1)="A",G952,IF(BW952=1,BX952,IF(LEFT(Cockpit!$I$5,1)="B",AP952,MAX(AP952,G952))))</f>
        <v>6</v>
      </c>
      <c r="AM952" s="57" t="n">
        <f aca="false">IF(BR952=1,0,ROUNDUP(AL952/BQ952,0))</f>
        <v>1</v>
      </c>
      <c r="AN952" s="59" t="n">
        <f aca="false">IF(CD952&gt;0,CD952*MAX(1,AL952/V952),IF(BR952=1,IF(AL952&lt;=0,0,BS952*MAX(1,IF(G952&gt;0,AL952/G952,1))),IF(Q952&gt;0,AM952/Q952,0))/MAX(0.1,N(Parameter!$M$21)))</f>
        <v>0.0151515151515152</v>
      </c>
      <c r="AO952" s="57" t="n">
        <f aca="false">AL952*F952</f>
        <v>73.68</v>
      </c>
      <c r="AP952" s="57" t="n">
        <f aca="false">ROUNDUP(MAX(I952/IF(BV952&gt;0,BV952,MAX(0.1,N(Cockpit!$I$6))),BY952)/BQ952,0)*BQ952</f>
        <v>6</v>
      </c>
      <c r="AQ952" s="58" t="n">
        <f aca="false">IF(AN952&gt;0,I952/AN952,-1)</f>
        <v>264</v>
      </c>
      <c r="AR952" s="58" t="n">
        <f aca="false">IF(AND(OR(BU952="L1",BU952="L23"),AN952&gt;0),SUMIFS($AN$7:$AN$1576,$BU$7:$BU$1576,BU952,$AQ$7:$AQ$1576,"&gt;"&amp;AQ952)+SUMIFS($AN$7:$AN$1576,$BU$7:$BU$1576,BU952,$AQ$7:$AQ$1576,AQ952,$BO$7:$BO$1576,"&lt;="&amp;BO952),"")</f>
        <v>45.3730899659272</v>
      </c>
      <c r="AS952" s="65" t="n">
        <f aca="false">IF(AR952="",0,MAX(0,MIN(1,(IF(BU952="L1",Parameter!$E$5,Parameter!$E$6+Parameter!$E$7)-(AR952-AN952))/AN952)))</f>
        <v>1</v>
      </c>
      <c r="AT952" s="57" t="n">
        <f aca="false">IF(LEFT(Cockpit!$O$5,1)="A",G952,IF(BW952=1,BX952,IF(LEFT(Cockpit!$O$5,1)="B",AX952,MAX(AX952,G952))))</f>
        <v>6</v>
      </c>
      <c r="AU952" s="57" t="n">
        <f aca="false">IF(BR952=1,0,ROUNDUP(AT952/BQ952,0))</f>
        <v>1</v>
      </c>
      <c r="AV952" s="59" t="n">
        <f aca="false">IF(CD952&gt;0,CD952*MAX(1,AT952/V952),IF(BR952=1,IF(AT952&lt;=0,0,BS952*MAX(1,IF(G952&gt;0,AT952/G952,1))),IF(Q952&gt;0,AU952/Q952,0))/MAX(0.1,N(Parameter!$M$21)))</f>
        <v>0.0151515151515152</v>
      </c>
      <c r="AW952" s="57" t="n">
        <f aca="false">AT952*F952</f>
        <v>73.68</v>
      </c>
      <c r="AX952" s="57" t="n">
        <f aca="false">ROUNDUP(MAX(I952/IF(BV952&gt;0,BV952,MAX(0.1,N(Cockpit!$O$6))),BY952)/BQ952,0)*BQ952</f>
        <v>6</v>
      </c>
      <c r="AY952" s="58" t="n">
        <f aca="false">IF(AV952&gt;0,I952/AV952,-1)</f>
        <v>264</v>
      </c>
      <c r="AZ952" s="58" t="n">
        <f aca="false">IF(AND(OR(BU952="L1",BU952="L23"),AV952&gt;0),SUMIFS($AV$7:$AV$1576,$BU$7:$BU$1576,BU952,$AY$7:$AY$1576,"&gt;"&amp;AY952)+SUMIFS($AV$7:$AV$1576,$BU$7:$BU$1576,BU952,$AY$7:$AY$1576,AY952,$BO$7:$BO$1576,"&lt;="&amp;BO952),"")</f>
        <v>41.6511685540058</v>
      </c>
      <c r="BA952" s="65" t="n">
        <f aca="false">IF(AZ952="",0,MAX(0,MIN(1,(IF(BU952="L1",Parameter!$E$5,Parameter!$E$6+Parameter!$E$7)-(AZ952-AV952))/AV952)))</f>
        <v>1</v>
      </c>
      <c r="BB952" s="55" t="str">
        <f aca="false">IF(AF952&lt;=0,"",IF(BU952="Aussen","Aussenlager",IF(BU952="-","Nicht im Lift",IF(AK952&gt;=1,"Lift",IF(AK952&lt;=0,"Aussenlager","teilweise")))))</f>
        <v/>
      </c>
      <c r="BC952" s="55" t="str">
        <f aca="false">IF(AN952&lt;=0,"",IF(BU952="Aussen","Aussenlager",IF(BU952="-","Nicht im Lift",IF(AS952&gt;=1,"Lift",IF(AS952&lt;=0,"Aussenlager","teilweise")))))</f>
        <v>Lift</v>
      </c>
      <c r="BD952" s="55" t="str">
        <f aca="false">IF(AV952&lt;=0,"",IF(BU952="Aussen","Aussenlager",IF(BU952="-","Nicht im Lift",IF(BA952&gt;=1,"Lift",IF(BA952&lt;=0,"Aussenlager","teilweise")))))</f>
        <v>Lift</v>
      </c>
      <c r="BE952" s="55" t="str">
        <f aca="false">IF(A952="","",IF(BN952=1,"Neu; ","")&amp;IF(AND(BN952=0,BI952&lt;0),"negativer Bestand (Export "&amp;BI952&amp;"); ","")&amp;IF(I952&lt;=0,"Kein Verbrauch; ","")&amp;IF(CD952&gt;0,"Lift "&amp;U952&amp;" lt. Liftbericht (Fach "&amp;V952&amp;" Stk); ",IF(BR952=1,"Lose – Fläche geschätzt; ",""))&amp;IF(G952&gt;AP952,"Überbestand "&amp;ROUND(G952-AP952,0)&amp;" Stk / CHF "&amp;ROUND((G952-AP952)*F952,0)&amp;"; ","")&amp;IF(AND(BW952=1,BX952&lt;BY952),"MAX &lt; MB+LG; ","")&amp;IF(AND(CC952&gt;0,CB952*10&gt;CC952),"zu hoch für Tablar; ","")&amp;IF(AND(BN952=0,OR(BW952=1,Y952&lt;&gt;"",S952&lt;&gt;"",T952&lt;&gt;"",Z952&lt;&gt;"")),"manuell übersteuert; ","")&amp;IF(AND(BR952=0,Q952=0),"Gebinde unbekannt / Stellmass fehlt; ","")&amp;IF(AND(BR952=0,N(T952)&lt;=0,N(P952)&lt;=0),"Menge pro Gebinde fehlt (Ist = 1 Gebinde); ","")&amp;BM952)</f>
        <v>negativer Bestand (Export -5); Verb.Lager</v>
      </c>
      <c r="BF952" s="55"/>
      <c r="BG952" s="55"/>
      <c r="BH952" s="62"/>
      <c r="BI952" s="57" t="n">
        <v>-5</v>
      </c>
      <c r="BJ952" s="57" t="n">
        <v>5</v>
      </c>
      <c r="BK952" s="56" t="n">
        <v>-61.4</v>
      </c>
      <c r="BL952" s="57" t="n">
        <v>4</v>
      </c>
      <c r="BM952" s="55" t="s">
        <v>1019</v>
      </c>
      <c r="BN952" s="60" t="n">
        <v>0</v>
      </c>
      <c r="BO952" s="60" t="n">
        <v>952</v>
      </c>
      <c r="BP952" s="55" t="str">
        <f aca="false">IF(S952&lt;&gt;"",UPPER(TRIM(S952)),IF(O952="","LOSE",O952))</f>
        <v>S33</v>
      </c>
      <c r="BQ952" s="57" t="n">
        <f aca="false">IF(BP952="LOSE",1,IF(N(T952)&gt;0,T952,IF(N(P952)&gt;0,P952,MAX(1,G952))))</f>
        <v>6</v>
      </c>
      <c r="BR952" s="60" t="n">
        <f aca="false">IF(BP952="LOSE",1,0)</f>
        <v>0</v>
      </c>
      <c r="BS952" s="59" t="n">
        <f aca="false">IF(BR952=0,0,IF(N(R952)&gt;0,R952,IFERROR(VLOOKUP(D952,Parameter!$A$35:$C$64,3,0)+0,0)))</f>
        <v>0</v>
      </c>
      <c r="BT952" s="55" t="n">
        <f aca="false">IF(Y952&lt;&gt;"",Y952,X952)</f>
        <v>3</v>
      </c>
      <c r="BU952" s="55" t="str">
        <f aca="false">IF(BT952=1,"L1",IF(OR(BT952=2,BT952=3),"L23",IF(BT952="Aussen","Aussen","-")))</f>
        <v>L23</v>
      </c>
      <c r="BV952" s="66" t="n">
        <f aca="false">IF(N(Z952)&gt;0,Z952,0)</f>
        <v>0</v>
      </c>
      <c r="BW952" s="60" t="n">
        <f aca="false">IF(ISNUMBER(AC952),1,0)</f>
        <v>0</v>
      </c>
      <c r="BX952" s="57" t="n">
        <f aca="false">N(AC952)</f>
        <v>0</v>
      </c>
      <c r="BY952" s="57" t="n">
        <f aca="false">N(L952)+N(M952)</f>
        <v>5</v>
      </c>
      <c r="BZ952" s="57" t="n">
        <f aca="false">ROUNDUP(G952/BQ952,0)</f>
        <v>0</v>
      </c>
      <c r="CA952" s="57" t="n">
        <f aca="false">ROUNDUP(BX952/BQ952,0)</f>
        <v>0</v>
      </c>
      <c r="CB952" s="60" t="n">
        <f aca="false">IF(BR952=1,0,IFERROR(VLOOKUP(BP952,'Gebinde-Kategorie'!$A$5:$M$45,5,0)+0,0))</f>
        <v>8</v>
      </c>
      <c r="CC952" s="60" t="n">
        <f aca="false">IFERROR(IF(OR(BT952=1,BT952=2,BT952=3),N(INDEX(Parameter!$I$5:$I$7,BT952)),0),0)</f>
        <v>0</v>
      </c>
      <c r="CD952" s="59" t="n">
        <f aca="false">IF(AND(Parameter!$B$21="Ja",ISNUMBER(U952),N(V952)&gt;0),IFERROR(N(INDEX(Parameter!$L$5:$L$7,U952))*INDEX(Parameter!$E$5:$E$7,U952)*V952/SUMIFS($V$7:$V$1576,$U$7:$U$1576,U952),0),0)</f>
        <v>0</v>
      </c>
    </row>
    <row r="953" customFormat="false" ht="15" hidden="false" customHeight="false" outlineLevel="0" collapsed="false">
      <c r="A953" s="55" t="s">
        <v>1763</v>
      </c>
      <c r="B953" s="55" t="s">
        <v>533</v>
      </c>
      <c r="C953" s="55" t="s">
        <v>160</v>
      </c>
      <c r="D953" s="55" t="s">
        <v>178</v>
      </c>
      <c r="E953" s="55" t="s">
        <v>210</v>
      </c>
      <c r="F953" s="56" t="n">
        <v>15.4</v>
      </c>
      <c r="G953" s="57" t="n">
        <f aca="false">MAX(0,IF(AND(Parameter!$B$21="Ja",ISNUMBER(W953)),W953,IF(Parameter!$B$20="Jahresanfang 2025 + Export",BJ953+BI953,BI953)))</f>
        <v>0</v>
      </c>
      <c r="H953" s="57" t="n">
        <f aca="false">G953*F953</f>
        <v>0</v>
      </c>
      <c r="I953" s="57" t="n">
        <f aca="false">BL953*Parameter!$B$18</f>
        <v>0</v>
      </c>
      <c r="J953" s="58" t="n">
        <v>27</v>
      </c>
      <c r="K953" s="59" t="n">
        <v>0</v>
      </c>
      <c r="L953" s="57" t="n">
        <v>0</v>
      </c>
      <c r="M953" s="57" t="n">
        <v>1</v>
      </c>
      <c r="N953" s="60" t="n">
        <v>28</v>
      </c>
      <c r="O953" s="55" t="s">
        <v>416</v>
      </c>
      <c r="P953" s="57" t="n">
        <v>25</v>
      </c>
      <c r="Q953" s="60" t="n">
        <f aca="false">IF(BR953=1,0,IFERROR(VLOOKUP(BP953,'Gebinde-Kategorie'!$A$5:$M$45,13,0)+0,0))</f>
        <v>198</v>
      </c>
      <c r="R953" s="61"/>
      <c r="S953" s="62"/>
      <c r="T953" s="62"/>
      <c r="U953" s="55"/>
      <c r="V953" s="57"/>
      <c r="W953" s="57"/>
      <c r="X953" s="55" t="n">
        <f aca="false">IF(A953="","",IF(AND(Parameter!$B$21="Ja",ISNUMBER(U953)),U953,IF(IFERROR(VLOOKUP(D953,Parameter!$A$35:$C$64,2,0),"Nein")="2+3",IF(ISNUMBER(SEARCH("grosser Artikel",BM953)),2,IFERROR(VLOOKUP(BP953,Parameter!$F$35:$G$64,2,0),2)),IF(OR(IFERROR(VLOOKUP(D953,Parameter!$A$35:$C$64,2,0),"Nein")="Nein",IFERROR(VLOOKUP(D953,Parameter!$A$35:$C$64,2,0),"Nein")=""),"-",VLOOKUP(D953,Parameter!$A$35:$C$64,2,0)))))</f>
        <v>3</v>
      </c>
      <c r="Y953" s="62"/>
      <c r="Z953" s="63"/>
      <c r="AA953" s="57" t="n">
        <f aca="false">AP953</f>
        <v>25</v>
      </c>
      <c r="AB953" s="57" t="n">
        <f aca="false">MAX(AP953,G953)</f>
        <v>25</v>
      </c>
      <c r="AC953" s="64"/>
      <c r="AD953" s="57" t="n">
        <f aca="false">IF(LEFT(Cockpit!$C$5,1)="A",G953,IF(BW953=1,BX953,IF(LEFT(Cockpit!$C$5,1)="B",AH953,MAX(AH953,G953))))</f>
        <v>0</v>
      </c>
      <c r="AE953" s="57" t="n">
        <f aca="false">IF(BR953=1,0,ROUNDUP(AD953/BQ953,0))</f>
        <v>0</v>
      </c>
      <c r="AF953" s="59" t="n">
        <f aca="false">IF(CD953&gt;0,CD953*MAX(1,AD953/V953),IF(BR953=1,IF(AD953&lt;=0,0,BS953*MAX(1,IF(G953&gt;0,AD953/G953,1))),IF(Q953&gt;0,AE953/Q953,0))/MAX(0.1,N(Parameter!$M$21)))</f>
        <v>0</v>
      </c>
      <c r="AG953" s="57" t="n">
        <f aca="false">AD953*F953</f>
        <v>0</v>
      </c>
      <c r="AH953" s="57" t="n">
        <f aca="false">ROUNDUP(MAX(I953/IF(BV953&gt;0,BV953,MAX(0.1,N(Cockpit!$C$6))),BY953)/BQ953,0)*BQ953</f>
        <v>25</v>
      </c>
      <c r="AI953" s="58" t="n">
        <f aca="false">IF(AF953&gt;0,I953/AF953,-1)</f>
        <v>-1</v>
      </c>
      <c r="AJ953" s="58" t="str">
        <f aca="false">IF(AND(OR(BU953="L1",BU953="L23"),AF953&gt;0),SUMIFS($AF$7:$AF$1576,$BU$7:$BU$1576,BU953,$AI$7:$AI$1576,"&gt;"&amp;AI953)+SUMIFS($AF$7:$AF$1576,$BU$7:$BU$1576,BU953,$AI$7:$AI$1576,AI953,$BO$7:$BO$1576,"&lt;="&amp;BO953),"")</f>
        <v/>
      </c>
      <c r="AK953" s="65" t="n">
        <f aca="false">IF(AJ953="",0,MAX(0,MIN(1,(IF(BU953="L1",Parameter!$E$5,Parameter!$E$6+Parameter!$E$7)-(AJ953-AF953))/AF953)))</f>
        <v>0</v>
      </c>
      <c r="AL953" s="57" t="n">
        <f aca="false">IF(LEFT(Cockpit!$I$5,1)="A",G953,IF(BW953=1,BX953,IF(LEFT(Cockpit!$I$5,1)="B",AP953,MAX(AP953,G953))))</f>
        <v>25</v>
      </c>
      <c r="AM953" s="57" t="n">
        <f aca="false">IF(BR953=1,0,ROUNDUP(AL953/BQ953,0))</f>
        <v>1</v>
      </c>
      <c r="AN953" s="59" t="n">
        <f aca="false">IF(CD953&gt;0,CD953*MAX(1,AL953/V953),IF(BR953=1,IF(AL953&lt;=0,0,BS953*MAX(1,IF(G953&gt;0,AL953/G953,1))),IF(Q953&gt;0,AM953/Q953,0))/MAX(0.1,N(Parameter!$M$21)))</f>
        <v>0.00505050505050505</v>
      </c>
      <c r="AO953" s="57" t="n">
        <f aca="false">AL953*F953</f>
        <v>385</v>
      </c>
      <c r="AP953" s="57" t="n">
        <f aca="false">ROUNDUP(MAX(I953/IF(BV953&gt;0,BV953,MAX(0.1,N(Cockpit!$I$6))),BY953)/BQ953,0)*BQ953</f>
        <v>25</v>
      </c>
      <c r="AQ953" s="58" t="n">
        <f aca="false">IF(AN953&gt;0,I953/AN953,-1)</f>
        <v>0</v>
      </c>
      <c r="AR953" s="58" t="n">
        <f aca="false">IF(AND(OR(BU953="L1",BU953="L23"),AN953&gt;0),SUMIFS($AN$7:$AN$1576,$BU$7:$BU$1576,BU953,$AQ$7:$AQ$1576,"&gt;"&amp;AQ953)+SUMIFS($AN$7:$AN$1576,$BU$7:$BU$1576,BU953,$AQ$7:$AQ$1576,AQ953,$BO$7:$BO$1576,"&lt;="&amp;BO953),"")</f>
        <v>131.607223139227</v>
      </c>
      <c r="AS953" s="65" t="n">
        <f aca="false">IF(AR953="",0,MAX(0,MIN(1,(IF(BU953="L1",Parameter!$E$5,Parameter!$E$6+Parameter!$E$7)-(AR953-AN953))/AN953)))</f>
        <v>0</v>
      </c>
      <c r="AT953" s="57" t="n">
        <f aca="false">IF(LEFT(Cockpit!$O$5,1)="A",G953,IF(BW953=1,BX953,IF(LEFT(Cockpit!$O$5,1)="B",AX953,MAX(AX953,G953))))</f>
        <v>25</v>
      </c>
      <c r="AU953" s="57" t="n">
        <f aca="false">IF(BR953=1,0,ROUNDUP(AT953/BQ953,0))</f>
        <v>1</v>
      </c>
      <c r="AV953" s="59" t="n">
        <f aca="false">IF(CD953&gt;0,CD953*MAX(1,AT953/V953),IF(BR953=1,IF(AT953&lt;=0,0,BS953*MAX(1,IF(G953&gt;0,AT953/G953,1))),IF(Q953&gt;0,AU953/Q953,0))/MAX(0.1,N(Parameter!$M$21)))</f>
        <v>0.00505050505050505</v>
      </c>
      <c r="AW953" s="57" t="n">
        <f aca="false">AT953*F953</f>
        <v>385</v>
      </c>
      <c r="AX953" s="57" t="n">
        <f aca="false">ROUNDUP(MAX(I953/IF(BV953&gt;0,BV953,MAX(0.1,N(Cockpit!$O$6))),BY953)/BQ953,0)*BQ953</f>
        <v>25</v>
      </c>
      <c r="AY953" s="58" t="n">
        <f aca="false">IF(AV953&gt;0,I953/AV953,-1)</f>
        <v>0</v>
      </c>
      <c r="AZ953" s="58" t="n">
        <f aca="false">IF(AND(OR(BU953="L1",BU953="L23"),AV953&gt;0),SUMIFS($AV$7:$AV$1576,$BU$7:$BU$1576,BU953,$AY$7:$AY$1576,"&gt;"&amp;AY953)+SUMIFS($AV$7:$AV$1576,$BU$7:$BU$1576,BU953,$AY$7:$AY$1576,AY953,$BO$7:$BO$1576,"&lt;="&amp;BO953),"")</f>
        <v>121.666773588778</v>
      </c>
      <c r="BA953" s="65" t="n">
        <f aca="false">IF(AZ953="",0,MAX(0,MIN(1,(IF(BU953="L1",Parameter!$E$5,Parameter!$E$6+Parameter!$E$7)-(AZ953-AV953))/AV953)))</f>
        <v>0</v>
      </c>
      <c r="BB953" s="55" t="str">
        <f aca="false">IF(AF953&lt;=0,"",IF(BU953="Aussen","Aussenlager",IF(BU953="-","Nicht im Lift",IF(AK953&gt;=1,"Lift",IF(AK953&lt;=0,"Aussenlager","teilweise")))))</f>
        <v/>
      </c>
      <c r="BC953" s="55" t="str">
        <f aca="false">IF(AN953&lt;=0,"",IF(BU953="Aussen","Aussenlager",IF(BU953="-","Nicht im Lift",IF(AS953&gt;=1,"Lift",IF(AS953&lt;=0,"Aussenlager","teilweise")))))</f>
        <v>Aussenlager</v>
      </c>
      <c r="BD953" s="55" t="str">
        <f aca="false">IF(AV953&lt;=0,"",IF(BU953="Aussen","Aussenlager",IF(BU953="-","Nicht im Lift",IF(BA953&gt;=1,"Lift",IF(BA953&lt;=0,"Aussenlager","teilweise")))))</f>
        <v>Aussenlager</v>
      </c>
      <c r="BE953" s="55" t="str">
        <f aca="false">IF(A953="","",IF(BN953=1,"Neu; ","")&amp;IF(AND(BN953=0,BI953&lt;0),"negativer Bestand (Export "&amp;BI953&amp;"); ","")&amp;IF(I953&lt;=0,"Kein Verbrauch; ","")&amp;IF(CD953&gt;0,"Lift "&amp;U953&amp;" lt. Liftbericht (Fach "&amp;V953&amp;" Stk); ",IF(BR953=1,"Lose – Fläche geschätzt; ",""))&amp;IF(G953&gt;AP953,"Überbestand "&amp;ROUND(G953-AP953,0)&amp;" Stk / CHF "&amp;ROUND((G953-AP953)*F953,0)&amp;"; ","")&amp;IF(AND(BW953=1,BX953&lt;BY953),"MAX &lt; MB+LG; ","")&amp;IF(AND(CC953&gt;0,CB953*10&gt;CC953),"zu hoch für Tablar; ","")&amp;IF(AND(BN953=0,OR(BW953=1,Y953&lt;&gt;"",S953&lt;&gt;"",T953&lt;&gt;"",Z953&lt;&gt;"")),"manuell übersteuert; ","")&amp;IF(AND(BR953=0,Q953=0),"Gebinde unbekannt / Stellmass fehlt; ","")&amp;IF(AND(BR953=0,N(T953)&lt;=0,N(P953)&lt;=0),"Menge pro Gebinde fehlt (Ist = 1 Gebinde); ","")&amp;BM953)</f>
        <v>negativer Bestand (Export -4); Kein Verbrauch; Neuer Art.</v>
      </c>
      <c r="BF953" s="55"/>
      <c r="BG953" s="55"/>
      <c r="BH953" s="62"/>
      <c r="BI953" s="57" t="n">
        <v>-4</v>
      </c>
      <c r="BJ953" s="57" t="n">
        <v>29</v>
      </c>
      <c r="BK953" s="56" t="n">
        <v>-61.6</v>
      </c>
      <c r="BL953" s="57" t="n">
        <v>0</v>
      </c>
      <c r="BM953" s="55" t="s">
        <v>501</v>
      </c>
      <c r="BN953" s="60" t="n">
        <v>0</v>
      </c>
      <c r="BO953" s="60" t="n">
        <v>953</v>
      </c>
      <c r="BP953" s="55" t="str">
        <f aca="false">IF(S953&lt;&gt;"",UPPER(TRIM(S953)),IF(O953="","LOSE",O953))</f>
        <v>S22</v>
      </c>
      <c r="BQ953" s="57" t="n">
        <f aca="false">IF(BP953="LOSE",1,IF(N(T953)&gt;0,T953,IF(N(P953)&gt;0,P953,MAX(1,G953))))</f>
        <v>25</v>
      </c>
      <c r="BR953" s="60" t="n">
        <f aca="false">IF(BP953="LOSE",1,0)</f>
        <v>0</v>
      </c>
      <c r="BS953" s="59" t="n">
        <f aca="false">IF(BR953=0,0,IF(N(R953)&gt;0,R953,IFERROR(VLOOKUP(D953,Parameter!$A$35:$C$64,3,0)+0,0)))</f>
        <v>0</v>
      </c>
      <c r="BT953" s="55" t="n">
        <f aca="false">IF(Y953&lt;&gt;"",Y953,X953)</f>
        <v>3</v>
      </c>
      <c r="BU953" s="55" t="str">
        <f aca="false">IF(BT953=1,"L1",IF(OR(BT953=2,BT953=3),"L23",IF(BT953="Aussen","Aussen","-")))</f>
        <v>L23</v>
      </c>
      <c r="BV953" s="66" t="n">
        <f aca="false">IF(N(Z953)&gt;0,Z953,0)</f>
        <v>0</v>
      </c>
      <c r="BW953" s="60" t="n">
        <f aca="false">IF(ISNUMBER(AC953),1,0)</f>
        <v>0</v>
      </c>
      <c r="BX953" s="57" t="n">
        <f aca="false">N(AC953)</f>
        <v>0</v>
      </c>
      <c r="BY953" s="57" t="n">
        <f aca="false">N(L953)+N(M953)</f>
        <v>1</v>
      </c>
      <c r="BZ953" s="57" t="n">
        <f aca="false">ROUNDUP(G953/BQ953,0)</f>
        <v>0</v>
      </c>
      <c r="CA953" s="57" t="n">
        <f aca="false">ROUNDUP(BX953/BQ953,0)</f>
        <v>0</v>
      </c>
      <c r="CB953" s="60" t="n">
        <f aca="false">IF(BR953=1,0,IFERROR(VLOOKUP(BP953,'Gebinde-Kategorie'!$A$5:$M$45,5,0)+0,0))</f>
        <v>8</v>
      </c>
      <c r="CC953" s="60" t="n">
        <f aca="false">IFERROR(IF(OR(BT953=1,BT953=2,BT953=3),N(INDEX(Parameter!$I$5:$I$7,BT953)),0),0)</f>
        <v>0</v>
      </c>
      <c r="CD953" s="59" t="n">
        <f aca="false">IF(AND(Parameter!$B$21="Ja",ISNUMBER(U953),N(V953)&gt;0),IFERROR(N(INDEX(Parameter!$L$5:$L$7,U953))*INDEX(Parameter!$E$5:$E$7,U953)*V953/SUMIFS($V$7:$V$1576,$U$7:$U$1576,U953),0),0)</f>
        <v>0</v>
      </c>
    </row>
    <row r="954" customFormat="false" ht="15" hidden="false" customHeight="false" outlineLevel="0" collapsed="false">
      <c r="A954" s="55" t="s">
        <v>1764</v>
      </c>
      <c r="B954" s="55" t="s">
        <v>1765</v>
      </c>
      <c r="C954" s="55" t="s">
        <v>160</v>
      </c>
      <c r="D954" s="55" t="s">
        <v>178</v>
      </c>
      <c r="E954" s="55" t="s">
        <v>210</v>
      </c>
      <c r="F954" s="56" t="n">
        <v>62.04</v>
      </c>
      <c r="G954" s="57" t="n">
        <f aca="false">MAX(0,IF(AND(Parameter!$B$21="Ja",ISNUMBER(W954)),W954,IF(Parameter!$B$20="Jahresanfang 2025 + Export",BJ954+BI954,BI954)))</f>
        <v>0</v>
      </c>
      <c r="H954" s="57" t="n">
        <f aca="false">G954*F954</f>
        <v>0</v>
      </c>
      <c r="I954" s="57" t="n">
        <f aca="false">BL954*Parameter!$B$18</f>
        <v>1</v>
      </c>
      <c r="J954" s="58" t="n">
        <v>1.5</v>
      </c>
      <c r="K954" s="59" t="n">
        <v>0.666666666666667</v>
      </c>
      <c r="L954" s="57" t="n">
        <v>0</v>
      </c>
      <c r="M954" s="57" t="n">
        <v>1</v>
      </c>
      <c r="N954" s="60" t="n">
        <v>35</v>
      </c>
      <c r="O954" s="55" t="s">
        <v>411</v>
      </c>
      <c r="P954" s="57" t="n">
        <v>2</v>
      </c>
      <c r="Q954" s="60" t="n">
        <f aca="false">IF(BR954=1,0,IFERROR(VLOOKUP(BP954,'Gebinde-Kategorie'!$A$5:$M$45,13,0)+0,0))</f>
        <v>132</v>
      </c>
      <c r="R954" s="61"/>
      <c r="S954" s="62"/>
      <c r="T954" s="62"/>
      <c r="U954" s="55"/>
      <c r="V954" s="57"/>
      <c r="W954" s="57"/>
      <c r="X954" s="55" t="n">
        <f aca="false">IF(A954="","",IF(AND(Parameter!$B$21="Ja",ISNUMBER(U954)),U954,IF(IFERROR(VLOOKUP(D954,Parameter!$A$35:$C$64,2,0),"Nein")="2+3",IF(ISNUMBER(SEARCH("grosser Artikel",BM954)),2,IFERROR(VLOOKUP(BP954,Parameter!$F$35:$G$64,2,0),2)),IF(OR(IFERROR(VLOOKUP(D954,Parameter!$A$35:$C$64,2,0),"Nein")="Nein",IFERROR(VLOOKUP(D954,Parameter!$A$35:$C$64,2,0),"Nein")=""),"-",VLOOKUP(D954,Parameter!$A$35:$C$64,2,0)))))</f>
        <v>3</v>
      </c>
      <c r="Y954" s="62"/>
      <c r="Z954" s="63"/>
      <c r="AA954" s="57" t="n">
        <f aca="false">AP954</f>
        <v>2</v>
      </c>
      <c r="AB954" s="57" t="n">
        <f aca="false">MAX(AP954,G954)</f>
        <v>2</v>
      </c>
      <c r="AC954" s="64"/>
      <c r="AD954" s="57" t="n">
        <f aca="false">IF(LEFT(Cockpit!$C$5,1)="A",G954,IF(BW954=1,BX954,IF(LEFT(Cockpit!$C$5,1)="B",AH954,MAX(AH954,G954))))</f>
        <v>0</v>
      </c>
      <c r="AE954" s="57" t="n">
        <f aca="false">IF(BR954=1,0,ROUNDUP(AD954/BQ954,0))</f>
        <v>0</v>
      </c>
      <c r="AF954" s="59" t="n">
        <f aca="false">IF(CD954&gt;0,CD954*MAX(1,AD954/V954),IF(BR954=1,IF(AD954&lt;=0,0,BS954*MAX(1,IF(G954&gt;0,AD954/G954,1))),IF(Q954&gt;0,AE954/Q954,0))/MAX(0.1,N(Parameter!$M$21)))</f>
        <v>0</v>
      </c>
      <c r="AG954" s="57" t="n">
        <f aca="false">AD954*F954</f>
        <v>0</v>
      </c>
      <c r="AH954" s="57" t="n">
        <f aca="false">ROUNDUP(MAX(I954/IF(BV954&gt;0,BV954,MAX(0.1,N(Cockpit!$C$6))),BY954)/BQ954,0)*BQ954</f>
        <v>2</v>
      </c>
      <c r="AI954" s="58" t="n">
        <f aca="false">IF(AF954&gt;0,I954/AF954,-1)</f>
        <v>-1</v>
      </c>
      <c r="AJ954" s="58" t="str">
        <f aca="false">IF(AND(OR(BU954="L1",BU954="L23"),AF954&gt;0),SUMIFS($AF$7:$AF$1576,$BU$7:$BU$1576,BU954,$AI$7:$AI$1576,"&gt;"&amp;AI954)+SUMIFS($AF$7:$AF$1576,$BU$7:$BU$1576,BU954,$AI$7:$AI$1576,AI954,$BO$7:$BO$1576,"&lt;="&amp;BO954),"")</f>
        <v/>
      </c>
      <c r="AK954" s="65" t="n">
        <f aca="false">IF(AJ954="",0,MAX(0,MIN(1,(IF(BU954="L1",Parameter!$E$5,Parameter!$E$6+Parameter!$E$7)-(AJ954-AF954))/AF954)))</f>
        <v>0</v>
      </c>
      <c r="AL954" s="57" t="n">
        <f aca="false">IF(LEFT(Cockpit!$I$5,1)="A",G954,IF(BW954=1,BX954,IF(LEFT(Cockpit!$I$5,1)="B",AP954,MAX(AP954,G954))))</f>
        <v>2</v>
      </c>
      <c r="AM954" s="57" t="n">
        <f aca="false">IF(BR954=1,0,ROUNDUP(AL954/BQ954,0))</f>
        <v>1</v>
      </c>
      <c r="AN954" s="59" t="n">
        <f aca="false">IF(CD954&gt;0,CD954*MAX(1,AL954/V954),IF(BR954=1,IF(AL954&lt;=0,0,BS954*MAX(1,IF(G954&gt;0,AL954/G954,1))),IF(Q954&gt;0,AM954/Q954,0))/MAX(0.1,N(Parameter!$M$21)))</f>
        <v>0.00757575757575758</v>
      </c>
      <c r="AO954" s="57" t="n">
        <f aca="false">AL954*F954</f>
        <v>124.08</v>
      </c>
      <c r="AP954" s="57" t="n">
        <f aca="false">ROUNDUP(MAX(I954/IF(BV954&gt;0,BV954,MAX(0.1,N(Cockpit!$I$6))),BY954)/BQ954,0)*BQ954</f>
        <v>2</v>
      </c>
      <c r="AQ954" s="58" t="n">
        <f aca="false">IF(AN954&gt;0,I954/AN954,-1)</f>
        <v>132</v>
      </c>
      <c r="AR954" s="58" t="n">
        <f aca="false">IF(AND(OR(BU954="L1",BU954="L23"),AN954&gt;0),SUMIFS($AN$7:$AN$1576,$BU$7:$BU$1576,BU954,$AQ$7:$AQ$1576,"&gt;"&amp;AQ954)+SUMIFS($AN$7:$AN$1576,$BU$7:$BU$1576,BU954,$AQ$7:$AQ$1576,AQ954,$BO$7:$BO$1576,"&lt;="&amp;BO954),"")</f>
        <v>60.2752541302653</v>
      </c>
      <c r="AS954" s="65" t="n">
        <f aca="false">IF(AR954="",0,MAX(0,MIN(1,(IF(BU954="L1",Parameter!$E$5,Parameter!$E$6+Parameter!$E$7)-(AR954-AN954))/AN954)))</f>
        <v>1</v>
      </c>
      <c r="AT954" s="57" t="n">
        <f aca="false">IF(LEFT(Cockpit!$O$5,1)="A",G954,IF(BW954=1,BX954,IF(LEFT(Cockpit!$O$5,1)="B",AX954,MAX(AX954,G954))))</f>
        <v>2</v>
      </c>
      <c r="AU954" s="57" t="n">
        <f aca="false">IF(BR954=1,0,ROUNDUP(AT954/BQ954,0))</f>
        <v>1</v>
      </c>
      <c r="AV954" s="59" t="n">
        <f aca="false">IF(CD954&gt;0,CD954*MAX(1,AT954/V954),IF(BR954=1,IF(AT954&lt;=0,0,BS954*MAX(1,IF(G954&gt;0,AT954/G954,1))),IF(Q954&gt;0,AU954/Q954,0))/MAX(0.1,N(Parameter!$M$21)))</f>
        <v>0.00757575757575758</v>
      </c>
      <c r="AW954" s="57" t="n">
        <f aca="false">AT954*F954</f>
        <v>124.08</v>
      </c>
      <c r="AX954" s="57" t="n">
        <f aca="false">ROUNDUP(MAX(I954/IF(BV954&gt;0,BV954,MAX(0.1,N(Cockpit!$O$6))),BY954)/BQ954,0)*BQ954</f>
        <v>2</v>
      </c>
      <c r="AY954" s="58" t="n">
        <f aca="false">IF(AV954&gt;0,I954/AV954,-1)</f>
        <v>132</v>
      </c>
      <c r="AZ954" s="58" t="n">
        <f aca="false">IF(AND(OR(BU954="L1",BU954="L23"),AV954&gt;0),SUMIFS($AV$7:$AV$1576,$BU$7:$BU$1576,BU954,$AY$7:$AY$1576,"&gt;"&amp;AY954)+SUMIFS($AV$7:$AV$1576,$BU$7:$BU$1576,BU954,$AY$7:$AY$1576,AY954,$BO$7:$BO$1576,"&lt;="&amp;BO954),"")</f>
        <v>54.9377212464824</v>
      </c>
      <c r="BA954" s="65" t="n">
        <f aca="false">IF(AZ954="",0,MAX(0,MIN(1,(IF(BU954="L1",Parameter!$E$5,Parameter!$E$6+Parameter!$E$7)-(AZ954-AV954))/AV954)))</f>
        <v>1</v>
      </c>
      <c r="BB954" s="55" t="str">
        <f aca="false">IF(AF954&lt;=0,"",IF(BU954="Aussen","Aussenlager",IF(BU954="-","Nicht im Lift",IF(AK954&gt;=1,"Lift",IF(AK954&lt;=0,"Aussenlager","teilweise")))))</f>
        <v/>
      </c>
      <c r="BC954" s="55" t="str">
        <f aca="false">IF(AN954&lt;=0,"",IF(BU954="Aussen","Aussenlager",IF(BU954="-","Nicht im Lift",IF(AS954&gt;=1,"Lift",IF(AS954&lt;=0,"Aussenlager","teilweise")))))</f>
        <v>Lift</v>
      </c>
      <c r="BD954" s="55" t="str">
        <f aca="false">IF(AV954&lt;=0,"",IF(BU954="Aussen","Aussenlager",IF(BU954="-","Nicht im Lift",IF(BA954&gt;=1,"Lift",IF(BA954&lt;=0,"Aussenlager","teilweise")))))</f>
        <v>Lift</v>
      </c>
      <c r="BE954" s="55" t="str">
        <f aca="false">IF(A954="","",IF(BN954=1,"Neu; ","")&amp;IF(AND(BN954=0,BI954&lt;0),"negativer Bestand (Export "&amp;BI954&amp;"); ","")&amp;IF(I954&lt;=0,"Kein Verbrauch; ","")&amp;IF(CD954&gt;0,"Lift "&amp;U954&amp;" lt. Liftbericht (Fach "&amp;V954&amp;" Stk); ",IF(BR954=1,"Lose – Fläche geschätzt; ",""))&amp;IF(G954&gt;AP954,"Überbestand "&amp;ROUND(G954-AP954,0)&amp;" Stk / CHF "&amp;ROUND((G954-AP954)*F954,0)&amp;"; ","")&amp;IF(AND(BW954=1,BX954&lt;BY954),"MAX &lt; MB+LG; ","")&amp;IF(AND(CC954&gt;0,CB954*10&gt;CC954),"zu hoch für Tablar; ","")&amp;IF(AND(BN954=0,OR(BW954=1,Y954&lt;&gt;"",S954&lt;&gt;"",T954&lt;&gt;"",Z954&lt;&gt;"")),"manuell übersteuert; ","")&amp;IF(AND(BR954=0,Q954=0),"Gebinde unbekannt / Stellmass fehlt; ","")&amp;IF(AND(BR954=0,N(T954)&lt;=0,N(P954)&lt;=0),"Menge pro Gebinde fehlt (Ist = 1 Gebinde); ","")&amp;BM954)</f>
        <v>negativer Bestand (Export -1); </v>
      </c>
      <c r="BF954" s="55"/>
      <c r="BG954" s="55"/>
      <c r="BH954" s="62"/>
      <c r="BI954" s="57" t="n">
        <v>-1</v>
      </c>
      <c r="BJ954" s="57" t="n">
        <v>2</v>
      </c>
      <c r="BK954" s="56" t="n">
        <v>-62.04</v>
      </c>
      <c r="BL954" s="57" t="n">
        <v>1</v>
      </c>
      <c r="BM954" s="55"/>
      <c r="BN954" s="60" t="n">
        <v>0</v>
      </c>
      <c r="BO954" s="60" t="n">
        <v>954</v>
      </c>
      <c r="BP954" s="55" t="str">
        <f aca="false">IF(S954&lt;&gt;"",UPPER(TRIM(S954)),IF(O954="","LOSE",O954))</f>
        <v>S32</v>
      </c>
      <c r="BQ954" s="57" t="n">
        <f aca="false">IF(BP954="LOSE",1,IF(N(T954)&gt;0,T954,IF(N(P954)&gt;0,P954,MAX(1,G954))))</f>
        <v>2</v>
      </c>
      <c r="BR954" s="60" t="n">
        <f aca="false">IF(BP954="LOSE",1,0)</f>
        <v>0</v>
      </c>
      <c r="BS954" s="59" t="n">
        <f aca="false">IF(BR954=0,0,IF(N(R954)&gt;0,R954,IFERROR(VLOOKUP(D954,Parameter!$A$35:$C$64,3,0)+0,0)))</f>
        <v>0</v>
      </c>
      <c r="BT954" s="55" t="n">
        <f aca="false">IF(Y954&lt;&gt;"",Y954,X954)</f>
        <v>3</v>
      </c>
      <c r="BU954" s="55" t="str">
        <f aca="false">IF(BT954=1,"L1",IF(OR(BT954=2,BT954=3),"L23",IF(BT954="Aussen","Aussen","-")))</f>
        <v>L23</v>
      </c>
      <c r="BV954" s="66" t="n">
        <f aca="false">IF(N(Z954)&gt;0,Z954,0)</f>
        <v>0</v>
      </c>
      <c r="BW954" s="60" t="n">
        <f aca="false">IF(ISNUMBER(AC954),1,0)</f>
        <v>0</v>
      </c>
      <c r="BX954" s="57" t="n">
        <f aca="false">N(AC954)</f>
        <v>0</v>
      </c>
      <c r="BY954" s="57" t="n">
        <f aca="false">N(L954)+N(M954)</f>
        <v>1</v>
      </c>
      <c r="BZ954" s="57" t="n">
        <f aca="false">ROUNDUP(G954/BQ954,0)</f>
        <v>0</v>
      </c>
      <c r="CA954" s="57" t="n">
        <f aca="false">ROUNDUP(BX954/BQ954,0)</f>
        <v>0</v>
      </c>
      <c r="CB954" s="60" t="n">
        <f aca="false">IF(BR954=1,0,IFERROR(VLOOKUP(BP954,'Gebinde-Kategorie'!$A$5:$M$45,5,0)+0,0))</f>
        <v>8</v>
      </c>
      <c r="CC954" s="60" t="n">
        <f aca="false">IFERROR(IF(OR(BT954=1,BT954=2,BT954=3),N(INDEX(Parameter!$I$5:$I$7,BT954)),0),0)</f>
        <v>0</v>
      </c>
      <c r="CD954" s="59" t="n">
        <f aca="false">IF(AND(Parameter!$B$21="Ja",ISNUMBER(U954),N(V954)&gt;0),IFERROR(N(INDEX(Parameter!$L$5:$L$7,U954))*INDEX(Parameter!$E$5:$E$7,U954)*V954/SUMIFS($V$7:$V$1576,$U$7:$U$1576,U954),0),0)</f>
        <v>0</v>
      </c>
    </row>
    <row r="955" customFormat="false" ht="15" hidden="false" customHeight="false" outlineLevel="0" collapsed="false">
      <c r="A955" s="55" t="s">
        <v>1766</v>
      </c>
      <c r="B955" s="55" t="s">
        <v>1767</v>
      </c>
      <c r="C955" s="55" t="s">
        <v>160</v>
      </c>
      <c r="D955" s="55" t="s">
        <v>178</v>
      </c>
      <c r="E955" s="55" t="s">
        <v>210</v>
      </c>
      <c r="F955" s="56" t="n">
        <v>9.01</v>
      </c>
      <c r="G955" s="57" t="n">
        <f aca="false">MAX(0,IF(AND(Parameter!$B$21="Ja",ISNUMBER(W955)),W955,IF(Parameter!$B$20="Jahresanfang 2025 + Export",BJ955+BI955,BI955)))</f>
        <v>0</v>
      </c>
      <c r="H955" s="57" t="n">
        <f aca="false">G955*F955</f>
        <v>0</v>
      </c>
      <c r="I955" s="57" t="n">
        <f aca="false">BL955*Parameter!$B$18</f>
        <v>9</v>
      </c>
      <c r="J955" s="58" t="n">
        <v>8.5</v>
      </c>
      <c r="K955" s="59" t="n">
        <v>1.05882352941177</v>
      </c>
      <c r="L955" s="57" t="n">
        <v>0</v>
      </c>
      <c r="M955" s="57" t="n">
        <v>10</v>
      </c>
      <c r="N955" s="60" t="n">
        <v>17</v>
      </c>
      <c r="O955" s="55" t="s">
        <v>465</v>
      </c>
      <c r="P955" s="57" t="n">
        <v>23</v>
      </c>
      <c r="Q955" s="60" t="n">
        <f aca="false">IF(BR955=1,0,IFERROR(VLOOKUP(BP955,'Gebinde-Kategorie'!$A$5:$M$45,13,0)+0,0))</f>
        <v>66</v>
      </c>
      <c r="R955" s="61"/>
      <c r="S955" s="62"/>
      <c r="T955" s="62"/>
      <c r="U955" s="55"/>
      <c r="V955" s="57"/>
      <c r="W955" s="57"/>
      <c r="X955" s="55" t="n">
        <f aca="false">IF(A955="","",IF(AND(Parameter!$B$21="Ja",ISNUMBER(U955)),U955,IF(IFERROR(VLOOKUP(D955,Parameter!$A$35:$C$64,2,0),"Nein")="2+3",IF(ISNUMBER(SEARCH("grosser Artikel",BM955)),2,IFERROR(VLOOKUP(BP955,Parameter!$F$35:$G$64,2,0),2)),IF(OR(IFERROR(VLOOKUP(D955,Parameter!$A$35:$C$64,2,0),"Nein")="Nein",IFERROR(VLOOKUP(D955,Parameter!$A$35:$C$64,2,0),"Nein")=""),"-",VLOOKUP(D955,Parameter!$A$35:$C$64,2,0)))))</f>
        <v>3</v>
      </c>
      <c r="Y955" s="62"/>
      <c r="Z955" s="63"/>
      <c r="AA955" s="57" t="n">
        <f aca="false">AP955</f>
        <v>23</v>
      </c>
      <c r="AB955" s="57" t="n">
        <f aca="false">MAX(AP955,G955)</f>
        <v>23</v>
      </c>
      <c r="AC955" s="64"/>
      <c r="AD955" s="57" t="n">
        <f aca="false">IF(LEFT(Cockpit!$C$5,1)="A",G955,IF(BW955=1,BX955,IF(LEFT(Cockpit!$C$5,1)="B",AH955,MAX(AH955,G955))))</f>
        <v>0</v>
      </c>
      <c r="AE955" s="57" t="n">
        <f aca="false">IF(BR955=1,0,ROUNDUP(AD955/BQ955,0))</f>
        <v>0</v>
      </c>
      <c r="AF955" s="59" t="n">
        <f aca="false">IF(CD955&gt;0,CD955*MAX(1,AD955/V955),IF(BR955=1,IF(AD955&lt;=0,0,BS955*MAX(1,IF(G955&gt;0,AD955/G955,1))),IF(Q955&gt;0,AE955/Q955,0))/MAX(0.1,N(Parameter!$M$21)))</f>
        <v>0</v>
      </c>
      <c r="AG955" s="57" t="n">
        <f aca="false">AD955*F955</f>
        <v>0</v>
      </c>
      <c r="AH955" s="57" t="n">
        <f aca="false">ROUNDUP(MAX(I955/IF(BV955&gt;0,BV955,MAX(0.1,N(Cockpit!$C$6))),BY955)/BQ955,0)*BQ955</f>
        <v>23</v>
      </c>
      <c r="AI955" s="58" t="n">
        <f aca="false">IF(AF955&gt;0,I955/AF955,-1)</f>
        <v>-1</v>
      </c>
      <c r="AJ955" s="58" t="str">
        <f aca="false">IF(AND(OR(BU955="L1",BU955="L23"),AF955&gt;0),SUMIFS($AF$7:$AF$1576,$BU$7:$BU$1576,BU955,$AI$7:$AI$1576,"&gt;"&amp;AI955)+SUMIFS($AF$7:$AF$1576,$BU$7:$BU$1576,BU955,$AI$7:$AI$1576,AI955,$BO$7:$BO$1576,"&lt;="&amp;BO955),"")</f>
        <v/>
      </c>
      <c r="AK955" s="65" t="n">
        <f aca="false">IF(AJ955="",0,MAX(0,MIN(1,(IF(BU955="L1",Parameter!$E$5,Parameter!$E$6+Parameter!$E$7)-(AJ955-AF955))/AF955)))</f>
        <v>0</v>
      </c>
      <c r="AL955" s="57" t="n">
        <f aca="false">IF(LEFT(Cockpit!$I$5,1)="A",G955,IF(BW955=1,BX955,IF(LEFT(Cockpit!$I$5,1)="B",AP955,MAX(AP955,G955))))</f>
        <v>23</v>
      </c>
      <c r="AM955" s="57" t="n">
        <f aca="false">IF(BR955=1,0,ROUNDUP(AL955/BQ955,0))</f>
        <v>1</v>
      </c>
      <c r="AN955" s="59" t="n">
        <f aca="false">IF(CD955&gt;0,CD955*MAX(1,AL955/V955),IF(BR955=1,IF(AL955&lt;=0,0,BS955*MAX(1,IF(G955&gt;0,AL955/G955,1))),IF(Q955&gt;0,AM955/Q955,0))/MAX(0.1,N(Parameter!$M$21)))</f>
        <v>0.0151515151515152</v>
      </c>
      <c r="AO955" s="57" t="n">
        <f aca="false">AL955*F955</f>
        <v>207.23</v>
      </c>
      <c r="AP955" s="57" t="n">
        <f aca="false">ROUNDUP(MAX(I955/IF(BV955&gt;0,BV955,MAX(0.1,N(Cockpit!$I$6))),BY955)/BQ955,0)*BQ955</f>
        <v>23</v>
      </c>
      <c r="AQ955" s="58" t="n">
        <f aca="false">IF(AN955&gt;0,I955/AN955,-1)</f>
        <v>594</v>
      </c>
      <c r="AR955" s="58" t="n">
        <f aca="false">IF(AND(OR(BU955="L1",BU955="L23"),AN955&gt;0),SUMIFS($AN$7:$AN$1576,$BU$7:$BU$1576,BU955,$AQ$7:$AQ$1576,"&gt;"&amp;AQ955)+SUMIFS($AN$7:$AN$1576,$BU$7:$BU$1576,BU955,$AQ$7:$AQ$1576,AQ955,$BO$7:$BO$1576,"&lt;="&amp;BO955),"")</f>
        <v>31.5544812316663</v>
      </c>
      <c r="AS955" s="65" t="n">
        <f aca="false">IF(AR955="",0,MAX(0,MIN(1,(IF(BU955="L1",Parameter!$E$5,Parameter!$E$6+Parameter!$E$7)-(AR955-AN955))/AN955)))</f>
        <v>1</v>
      </c>
      <c r="AT955" s="57" t="n">
        <f aca="false">IF(LEFT(Cockpit!$O$5,1)="A",G955,IF(BW955=1,BX955,IF(LEFT(Cockpit!$O$5,1)="B",AX955,MAX(AX955,G955))))</f>
        <v>23</v>
      </c>
      <c r="AU955" s="57" t="n">
        <f aca="false">IF(BR955=1,0,ROUNDUP(AT955/BQ955,0))</f>
        <v>1</v>
      </c>
      <c r="AV955" s="59" t="n">
        <f aca="false">IF(CD955&gt;0,CD955*MAX(1,AT955/V955),IF(BR955=1,IF(AT955&lt;=0,0,BS955*MAX(1,IF(G955&gt;0,AT955/G955,1))),IF(Q955&gt;0,AU955/Q955,0))/MAX(0.1,N(Parameter!$M$21)))</f>
        <v>0.0151515151515152</v>
      </c>
      <c r="AW955" s="57" t="n">
        <f aca="false">AT955*F955</f>
        <v>207.23</v>
      </c>
      <c r="AX955" s="57" t="n">
        <f aca="false">ROUNDUP(MAX(I955/IF(BV955&gt;0,BV955,MAX(0.1,N(Cockpit!$O$6))),BY955)/BQ955,0)*BQ955</f>
        <v>23</v>
      </c>
      <c r="AY955" s="58" t="n">
        <f aca="false">IF(AV955&gt;0,I955/AV955,-1)</f>
        <v>594</v>
      </c>
      <c r="AZ955" s="58" t="n">
        <f aca="false">IF(AND(OR(BU955="L1",BU955="L23"),AV955&gt;0),SUMIFS($AV$7:$AV$1576,$BU$7:$BU$1576,BU955,$AY$7:$AY$1576,"&gt;"&amp;AY955)+SUMIFS($AV$7:$AV$1576,$BU$7:$BU$1576,BU955,$AY$7:$AY$1576,AY955,$BO$7:$BO$1576,"&lt;="&amp;BO955),"")</f>
        <v>30.4645012116863</v>
      </c>
      <c r="BA955" s="65" t="n">
        <f aca="false">IF(AZ955="",0,MAX(0,MIN(1,(IF(BU955="L1",Parameter!$E$5,Parameter!$E$6+Parameter!$E$7)-(AZ955-AV955))/AV955)))</f>
        <v>1</v>
      </c>
      <c r="BB955" s="55" t="str">
        <f aca="false">IF(AF955&lt;=0,"",IF(BU955="Aussen","Aussenlager",IF(BU955="-","Nicht im Lift",IF(AK955&gt;=1,"Lift",IF(AK955&lt;=0,"Aussenlager","teilweise")))))</f>
        <v/>
      </c>
      <c r="BC955" s="55" t="str">
        <f aca="false">IF(AN955&lt;=0,"",IF(BU955="Aussen","Aussenlager",IF(BU955="-","Nicht im Lift",IF(AS955&gt;=1,"Lift",IF(AS955&lt;=0,"Aussenlager","teilweise")))))</f>
        <v>Lift</v>
      </c>
      <c r="BD955" s="55" t="str">
        <f aca="false">IF(AV955&lt;=0,"",IF(BU955="Aussen","Aussenlager",IF(BU955="-","Nicht im Lift",IF(BA955&gt;=1,"Lift",IF(BA955&lt;=0,"Aussenlager","teilweise")))))</f>
        <v>Lift</v>
      </c>
      <c r="BE955" s="55" t="str">
        <f aca="false">IF(A955="","",IF(BN955=1,"Neu; ","")&amp;IF(AND(BN955=0,BI955&lt;0),"negativer Bestand (Export "&amp;BI955&amp;"); ","")&amp;IF(I955&lt;=0,"Kein Verbrauch; ","")&amp;IF(CD955&gt;0,"Lift "&amp;U955&amp;" lt. Liftbericht (Fach "&amp;V955&amp;" Stk); ",IF(BR955=1,"Lose – Fläche geschätzt; ",""))&amp;IF(G955&gt;AP955,"Überbestand "&amp;ROUND(G955-AP955,0)&amp;" Stk / CHF "&amp;ROUND((G955-AP955)*F955,0)&amp;"; ","")&amp;IF(AND(BW955=1,BX955&lt;BY955),"MAX &lt; MB+LG; ","")&amp;IF(AND(CC955&gt;0,CB955*10&gt;CC955),"zu hoch für Tablar; ","")&amp;IF(AND(BN955=0,OR(BW955=1,Y955&lt;&gt;"",S955&lt;&gt;"",T955&lt;&gt;"",Z955&lt;&gt;"")),"manuell übersteuert; ","")&amp;IF(AND(BR955=0,Q955=0),"Gebinde unbekannt / Stellmass fehlt; ","")&amp;IF(AND(BR955=0,N(T955)&lt;=0,N(P955)&lt;=0),"Menge pro Gebinde fehlt (Ist = 1 Gebinde); ","")&amp;BM955)</f>
        <v>negativer Bestand (Export -8); </v>
      </c>
      <c r="BF955" s="55"/>
      <c r="BG955" s="55"/>
      <c r="BH955" s="62"/>
      <c r="BI955" s="57" t="n">
        <v>-8</v>
      </c>
      <c r="BJ955" s="57" t="n">
        <v>12</v>
      </c>
      <c r="BK955" s="56" t="n">
        <v>-62.6</v>
      </c>
      <c r="BL955" s="57" t="n">
        <v>9</v>
      </c>
      <c r="BM955" s="55"/>
      <c r="BN955" s="60" t="n">
        <v>0</v>
      </c>
      <c r="BO955" s="60" t="n">
        <v>955</v>
      </c>
      <c r="BP955" s="55" t="str">
        <f aca="false">IF(S955&lt;&gt;"",UPPER(TRIM(S955)),IF(O955="","LOSE",O955))</f>
        <v>S33</v>
      </c>
      <c r="BQ955" s="57" t="n">
        <f aca="false">IF(BP955="LOSE",1,IF(N(T955)&gt;0,T955,IF(N(P955)&gt;0,P955,MAX(1,G955))))</f>
        <v>23</v>
      </c>
      <c r="BR955" s="60" t="n">
        <f aca="false">IF(BP955="LOSE",1,0)</f>
        <v>0</v>
      </c>
      <c r="BS955" s="59" t="n">
        <f aca="false">IF(BR955=0,0,IF(N(R955)&gt;0,R955,IFERROR(VLOOKUP(D955,Parameter!$A$35:$C$64,3,0)+0,0)))</f>
        <v>0</v>
      </c>
      <c r="BT955" s="55" t="n">
        <f aca="false">IF(Y955&lt;&gt;"",Y955,X955)</f>
        <v>3</v>
      </c>
      <c r="BU955" s="55" t="str">
        <f aca="false">IF(BT955=1,"L1",IF(OR(BT955=2,BT955=3),"L23",IF(BT955="Aussen","Aussen","-")))</f>
        <v>L23</v>
      </c>
      <c r="BV955" s="66" t="n">
        <f aca="false">IF(N(Z955)&gt;0,Z955,0)</f>
        <v>0</v>
      </c>
      <c r="BW955" s="60" t="n">
        <f aca="false">IF(ISNUMBER(AC955),1,0)</f>
        <v>0</v>
      </c>
      <c r="BX955" s="57" t="n">
        <f aca="false">N(AC955)</f>
        <v>0</v>
      </c>
      <c r="BY955" s="57" t="n">
        <f aca="false">N(L955)+N(M955)</f>
        <v>10</v>
      </c>
      <c r="BZ955" s="57" t="n">
        <f aca="false">ROUNDUP(G955/BQ955,0)</f>
        <v>0</v>
      </c>
      <c r="CA955" s="57" t="n">
        <f aca="false">ROUNDUP(BX955/BQ955,0)</f>
        <v>0</v>
      </c>
      <c r="CB955" s="60" t="n">
        <f aca="false">IF(BR955=1,0,IFERROR(VLOOKUP(BP955,'Gebinde-Kategorie'!$A$5:$M$45,5,0)+0,0))</f>
        <v>8</v>
      </c>
      <c r="CC955" s="60" t="n">
        <f aca="false">IFERROR(IF(OR(BT955=1,BT955=2,BT955=3),N(INDEX(Parameter!$I$5:$I$7,BT955)),0),0)</f>
        <v>0</v>
      </c>
      <c r="CD955" s="59" t="n">
        <f aca="false">IF(AND(Parameter!$B$21="Ja",ISNUMBER(U955),N(V955)&gt;0),IFERROR(N(INDEX(Parameter!$L$5:$L$7,U955))*INDEX(Parameter!$E$5:$E$7,U955)*V955/SUMIFS($V$7:$V$1576,$U$7:$U$1576,U955),0),0)</f>
        <v>0</v>
      </c>
    </row>
    <row r="956" customFormat="false" ht="15" hidden="false" customHeight="false" outlineLevel="0" collapsed="false">
      <c r="A956" s="55" t="s">
        <v>1768</v>
      </c>
      <c r="B956" s="55" t="s">
        <v>1695</v>
      </c>
      <c r="C956" s="55" t="s">
        <v>160</v>
      </c>
      <c r="D956" s="55" t="s">
        <v>178</v>
      </c>
      <c r="E956" s="55" t="s">
        <v>210</v>
      </c>
      <c r="F956" s="56" t="n">
        <v>31.64</v>
      </c>
      <c r="G956" s="57" t="n">
        <f aca="false">MAX(0,IF(AND(Parameter!$B$21="Ja",ISNUMBER(W956)),W956,IF(Parameter!$B$20="Jahresanfang 2025 + Export",BJ956+BI956,BI956)))</f>
        <v>0</v>
      </c>
      <c r="H956" s="57" t="n">
        <f aca="false">G956*F956</f>
        <v>0</v>
      </c>
      <c r="I956" s="57" t="n">
        <f aca="false">BL956*Parameter!$B$18</f>
        <v>1</v>
      </c>
      <c r="J956" s="58" t="n">
        <v>16</v>
      </c>
      <c r="K956" s="59" t="n">
        <v>0.0625</v>
      </c>
      <c r="L956" s="57" t="n">
        <v>0</v>
      </c>
      <c r="M956" s="57" t="n">
        <v>5</v>
      </c>
      <c r="N956" s="60" t="n">
        <v>56</v>
      </c>
      <c r="O956" s="55" t="s">
        <v>465</v>
      </c>
      <c r="P956" s="57" t="n">
        <v>22</v>
      </c>
      <c r="Q956" s="60" t="n">
        <f aca="false">IF(BR956=1,0,IFERROR(VLOOKUP(BP956,'Gebinde-Kategorie'!$A$5:$M$45,13,0)+0,0))</f>
        <v>66</v>
      </c>
      <c r="R956" s="61"/>
      <c r="S956" s="62"/>
      <c r="T956" s="62"/>
      <c r="U956" s="55"/>
      <c r="V956" s="57"/>
      <c r="W956" s="57"/>
      <c r="X956" s="55" t="n">
        <f aca="false">IF(A956="","",IF(AND(Parameter!$B$21="Ja",ISNUMBER(U956)),U956,IF(IFERROR(VLOOKUP(D956,Parameter!$A$35:$C$64,2,0),"Nein")="2+3",IF(ISNUMBER(SEARCH("grosser Artikel",BM956)),2,IFERROR(VLOOKUP(BP956,Parameter!$F$35:$G$64,2,0),2)),IF(OR(IFERROR(VLOOKUP(D956,Parameter!$A$35:$C$64,2,0),"Nein")="Nein",IFERROR(VLOOKUP(D956,Parameter!$A$35:$C$64,2,0),"Nein")=""),"-",VLOOKUP(D956,Parameter!$A$35:$C$64,2,0)))))</f>
        <v>3</v>
      </c>
      <c r="Y956" s="62"/>
      <c r="Z956" s="63"/>
      <c r="AA956" s="57" t="n">
        <f aca="false">AP956</f>
        <v>22</v>
      </c>
      <c r="AB956" s="57" t="n">
        <f aca="false">MAX(AP956,G956)</f>
        <v>22</v>
      </c>
      <c r="AC956" s="64"/>
      <c r="AD956" s="57" t="n">
        <f aca="false">IF(LEFT(Cockpit!$C$5,1)="A",G956,IF(BW956=1,BX956,IF(LEFT(Cockpit!$C$5,1)="B",AH956,MAX(AH956,G956))))</f>
        <v>0</v>
      </c>
      <c r="AE956" s="57" t="n">
        <f aca="false">IF(BR956=1,0,ROUNDUP(AD956/BQ956,0))</f>
        <v>0</v>
      </c>
      <c r="AF956" s="59" t="n">
        <f aca="false">IF(CD956&gt;0,CD956*MAX(1,AD956/V956),IF(BR956=1,IF(AD956&lt;=0,0,BS956*MAX(1,IF(G956&gt;0,AD956/G956,1))),IF(Q956&gt;0,AE956/Q956,0))/MAX(0.1,N(Parameter!$M$21)))</f>
        <v>0</v>
      </c>
      <c r="AG956" s="57" t="n">
        <f aca="false">AD956*F956</f>
        <v>0</v>
      </c>
      <c r="AH956" s="57" t="n">
        <f aca="false">ROUNDUP(MAX(I956/IF(BV956&gt;0,BV956,MAX(0.1,N(Cockpit!$C$6))),BY956)/BQ956,0)*BQ956</f>
        <v>22</v>
      </c>
      <c r="AI956" s="58" t="n">
        <f aca="false">IF(AF956&gt;0,I956/AF956,-1)</f>
        <v>-1</v>
      </c>
      <c r="AJ956" s="58" t="str">
        <f aca="false">IF(AND(OR(BU956="L1",BU956="L23"),AF956&gt;0),SUMIFS($AF$7:$AF$1576,$BU$7:$BU$1576,BU956,$AI$7:$AI$1576,"&gt;"&amp;AI956)+SUMIFS($AF$7:$AF$1576,$BU$7:$BU$1576,BU956,$AI$7:$AI$1576,AI956,$BO$7:$BO$1576,"&lt;="&amp;BO956),"")</f>
        <v/>
      </c>
      <c r="AK956" s="65" t="n">
        <f aca="false">IF(AJ956="",0,MAX(0,MIN(1,(IF(BU956="L1",Parameter!$E$5,Parameter!$E$6+Parameter!$E$7)-(AJ956-AF956))/AF956)))</f>
        <v>0</v>
      </c>
      <c r="AL956" s="57" t="n">
        <f aca="false">IF(LEFT(Cockpit!$I$5,1)="A",G956,IF(BW956=1,BX956,IF(LEFT(Cockpit!$I$5,1)="B",AP956,MAX(AP956,G956))))</f>
        <v>22</v>
      </c>
      <c r="AM956" s="57" t="n">
        <f aca="false">IF(BR956=1,0,ROUNDUP(AL956/BQ956,0))</f>
        <v>1</v>
      </c>
      <c r="AN956" s="59" t="n">
        <f aca="false">IF(CD956&gt;0,CD956*MAX(1,AL956/V956),IF(BR956=1,IF(AL956&lt;=0,0,BS956*MAX(1,IF(G956&gt;0,AL956/G956,1))),IF(Q956&gt;0,AM956/Q956,0))/MAX(0.1,N(Parameter!$M$21)))</f>
        <v>0.0151515151515152</v>
      </c>
      <c r="AO956" s="57" t="n">
        <f aca="false">AL956*F956</f>
        <v>696.08</v>
      </c>
      <c r="AP956" s="57" t="n">
        <f aca="false">ROUNDUP(MAX(I956/IF(BV956&gt;0,BV956,MAX(0.1,N(Cockpit!$I$6))),BY956)/BQ956,0)*BQ956</f>
        <v>22</v>
      </c>
      <c r="AQ956" s="58" t="n">
        <f aca="false">IF(AN956&gt;0,I956/AN956,-1)</f>
        <v>66</v>
      </c>
      <c r="AR956" s="58" t="n">
        <f aca="false">IF(AND(OR(BU956="L1",BU956="L23"),AN956&gt;0),SUMIFS($AN$7:$AN$1576,$BU$7:$BU$1576,BU956,$AQ$7:$AQ$1576,"&gt;"&amp;AQ956)+SUMIFS($AN$7:$AN$1576,$BU$7:$BU$1576,BU956,$AQ$7:$AQ$1576,AQ956,$BO$7:$BO$1576,"&lt;="&amp;BO956),"")</f>
        <v>76.2880523043135</v>
      </c>
      <c r="AS956" s="65" t="n">
        <f aca="false">IF(AR956="",0,MAX(0,MIN(1,(IF(BU956="L1",Parameter!$E$5,Parameter!$E$6+Parameter!$E$7)-(AR956-AN956))/AN956)))</f>
        <v>1</v>
      </c>
      <c r="AT956" s="57" t="n">
        <f aca="false">IF(LEFT(Cockpit!$O$5,1)="A",G956,IF(BW956=1,BX956,IF(LEFT(Cockpit!$O$5,1)="B",AX956,MAX(AX956,G956))))</f>
        <v>22</v>
      </c>
      <c r="AU956" s="57" t="n">
        <f aca="false">IF(BR956=1,0,ROUNDUP(AT956/BQ956,0))</f>
        <v>1</v>
      </c>
      <c r="AV956" s="59" t="n">
        <f aca="false">IF(CD956&gt;0,CD956*MAX(1,AT956/V956),IF(BR956=1,IF(AT956&lt;=0,0,BS956*MAX(1,IF(G956&gt;0,AT956/G956,1))),IF(Q956&gt;0,AU956/Q956,0))/MAX(0.1,N(Parameter!$M$21)))</f>
        <v>0.0151515151515152</v>
      </c>
      <c r="AW956" s="57" t="n">
        <f aca="false">AT956*F956</f>
        <v>696.08</v>
      </c>
      <c r="AX956" s="57" t="n">
        <f aca="false">ROUNDUP(MAX(I956/IF(BV956&gt;0,BV956,MAX(0.1,N(Cockpit!$O$6))),BY956)/BQ956,0)*BQ956</f>
        <v>22</v>
      </c>
      <c r="AY956" s="58" t="n">
        <f aca="false">IF(AV956&gt;0,I956/AV956,-1)</f>
        <v>66</v>
      </c>
      <c r="AZ956" s="58" t="n">
        <f aca="false">IF(AND(OR(BU956="L1",BU956="L23"),AV956&gt;0),SUMIFS($AV$7:$AV$1576,$BU$7:$BU$1576,BU956,$AY$7:$AY$1576,"&gt;"&amp;AY956)+SUMIFS($AV$7:$AV$1576,$BU$7:$BU$1576,BU956,$AY$7:$AY$1576,AY956,$BO$7:$BO$1576,"&lt;="&amp;BO956),"")</f>
        <v>74.9992694205306</v>
      </c>
      <c r="BA956" s="65" t="n">
        <f aca="false">IF(AZ956="",0,MAX(0,MIN(1,(IF(BU956="L1",Parameter!$E$5,Parameter!$E$6+Parameter!$E$7)-(AZ956-AV956))/AV956)))</f>
        <v>1</v>
      </c>
      <c r="BB956" s="55" t="str">
        <f aca="false">IF(AF956&lt;=0,"",IF(BU956="Aussen","Aussenlager",IF(BU956="-","Nicht im Lift",IF(AK956&gt;=1,"Lift",IF(AK956&lt;=0,"Aussenlager","teilweise")))))</f>
        <v/>
      </c>
      <c r="BC956" s="55" t="str">
        <f aca="false">IF(AN956&lt;=0,"",IF(BU956="Aussen","Aussenlager",IF(BU956="-","Nicht im Lift",IF(AS956&gt;=1,"Lift",IF(AS956&lt;=0,"Aussenlager","teilweise")))))</f>
        <v>Lift</v>
      </c>
      <c r="BD956" s="55" t="str">
        <f aca="false">IF(AV956&lt;=0,"",IF(BU956="Aussen","Aussenlager",IF(BU956="-","Nicht im Lift",IF(BA956&gt;=1,"Lift",IF(BA956&lt;=0,"Aussenlager","teilweise")))))</f>
        <v>Lift</v>
      </c>
      <c r="BE956" s="55" t="str">
        <f aca="false">IF(A956="","",IF(BN956=1,"Neu; ","")&amp;IF(AND(BN956=0,BI956&lt;0),"negativer Bestand (Export "&amp;BI956&amp;"); ","")&amp;IF(I956&lt;=0,"Kein Verbrauch; ","")&amp;IF(CD956&gt;0,"Lift "&amp;U956&amp;" lt. Liftbericht (Fach "&amp;V956&amp;" Stk); ",IF(BR956=1,"Lose – Fläche geschätzt; ",""))&amp;IF(G956&gt;AP956,"Überbestand "&amp;ROUND(G956-AP956,0)&amp;" Stk / CHF "&amp;ROUND((G956-AP956)*F956,0)&amp;"; ","")&amp;IF(AND(BW956=1,BX956&lt;BY956),"MAX &lt; MB+LG; ","")&amp;IF(AND(CC956&gt;0,CB956*10&gt;CC956),"zu hoch für Tablar; ","")&amp;IF(AND(BN956=0,OR(BW956=1,Y956&lt;&gt;"",S956&lt;&gt;"",T956&lt;&gt;"",Z956&lt;&gt;"")),"manuell übersteuert; ","")&amp;IF(AND(BR956=0,Q956=0),"Gebinde unbekannt / Stellmass fehlt; ","")&amp;IF(AND(BR956=0,N(T956)&lt;=0,N(P956)&lt;=0),"Menge pro Gebinde fehlt (Ist = 1 Gebinde); ","")&amp;BM956)</f>
        <v>negativer Bestand (Export -2); </v>
      </c>
      <c r="BF956" s="55"/>
      <c r="BG956" s="55"/>
      <c r="BH956" s="62"/>
      <c r="BI956" s="57" t="n">
        <v>-2</v>
      </c>
      <c r="BJ956" s="57" t="n">
        <v>17</v>
      </c>
      <c r="BK956" s="56" t="n">
        <v>-63.28</v>
      </c>
      <c r="BL956" s="57" t="n">
        <v>1</v>
      </c>
      <c r="BM956" s="55"/>
      <c r="BN956" s="60" t="n">
        <v>0</v>
      </c>
      <c r="BO956" s="60" t="n">
        <v>956</v>
      </c>
      <c r="BP956" s="55" t="str">
        <f aca="false">IF(S956&lt;&gt;"",UPPER(TRIM(S956)),IF(O956="","LOSE",O956))</f>
        <v>S33</v>
      </c>
      <c r="BQ956" s="57" t="n">
        <f aca="false">IF(BP956="LOSE",1,IF(N(T956)&gt;0,T956,IF(N(P956)&gt;0,P956,MAX(1,G956))))</f>
        <v>22</v>
      </c>
      <c r="BR956" s="60" t="n">
        <f aca="false">IF(BP956="LOSE",1,0)</f>
        <v>0</v>
      </c>
      <c r="BS956" s="59" t="n">
        <f aca="false">IF(BR956=0,0,IF(N(R956)&gt;0,R956,IFERROR(VLOOKUP(D956,Parameter!$A$35:$C$64,3,0)+0,0)))</f>
        <v>0</v>
      </c>
      <c r="BT956" s="55" t="n">
        <f aca="false">IF(Y956&lt;&gt;"",Y956,X956)</f>
        <v>3</v>
      </c>
      <c r="BU956" s="55" t="str">
        <f aca="false">IF(BT956=1,"L1",IF(OR(BT956=2,BT956=3),"L23",IF(BT956="Aussen","Aussen","-")))</f>
        <v>L23</v>
      </c>
      <c r="BV956" s="66" t="n">
        <f aca="false">IF(N(Z956)&gt;0,Z956,0)</f>
        <v>0</v>
      </c>
      <c r="BW956" s="60" t="n">
        <f aca="false">IF(ISNUMBER(AC956),1,0)</f>
        <v>0</v>
      </c>
      <c r="BX956" s="57" t="n">
        <f aca="false">N(AC956)</f>
        <v>0</v>
      </c>
      <c r="BY956" s="57" t="n">
        <f aca="false">N(L956)+N(M956)</f>
        <v>5</v>
      </c>
      <c r="BZ956" s="57" t="n">
        <f aca="false">ROUNDUP(G956/BQ956,0)</f>
        <v>0</v>
      </c>
      <c r="CA956" s="57" t="n">
        <f aca="false">ROUNDUP(BX956/BQ956,0)</f>
        <v>0</v>
      </c>
      <c r="CB956" s="60" t="n">
        <f aca="false">IF(BR956=1,0,IFERROR(VLOOKUP(BP956,'Gebinde-Kategorie'!$A$5:$M$45,5,0)+0,0))</f>
        <v>8</v>
      </c>
      <c r="CC956" s="60" t="n">
        <f aca="false">IFERROR(IF(OR(BT956=1,BT956=2,BT956=3),N(INDEX(Parameter!$I$5:$I$7,BT956)),0),0)</f>
        <v>0</v>
      </c>
      <c r="CD956" s="59" t="n">
        <f aca="false">IF(AND(Parameter!$B$21="Ja",ISNUMBER(U956),N(V956)&gt;0),IFERROR(N(INDEX(Parameter!$L$5:$L$7,U956))*INDEX(Parameter!$E$5:$E$7,U956)*V956/SUMIFS($V$7:$V$1576,$U$7:$U$1576,U956),0),0)</f>
        <v>0</v>
      </c>
    </row>
    <row r="957" customFormat="false" ht="15" hidden="false" customHeight="false" outlineLevel="0" collapsed="false">
      <c r="A957" s="55" t="s">
        <v>1769</v>
      </c>
      <c r="B957" s="55" t="s">
        <v>1748</v>
      </c>
      <c r="C957" s="55" t="s">
        <v>160</v>
      </c>
      <c r="D957" s="55" t="s">
        <v>178</v>
      </c>
      <c r="E957" s="55" t="s">
        <v>210</v>
      </c>
      <c r="F957" s="56" t="n">
        <v>21.34</v>
      </c>
      <c r="G957" s="57" t="n">
        <f aca="false">MAX(0,IF(AND(Parameter!$B$21="Ja",ISNUMBER(W957)),W957,IF(Parameter!$B$20="Jahresanfang 2025 + Export",BJ957+BI957,BI957)))</f>
        <v>0</v>
      </c>
      <c r="H957" s="57" t="n">
        <f aca="false">G957*F957</f>
        <v>0</v>
      </c>
      <c r="I957" s="57" t="n">
        <f aca="false">BL957*Parameter!$B$18</f>
        <v>0</v>
      </c>
      <c r="J957" s="58" t="n">
        <v>45</v>
      </c>
      <c r="K957" s="59" t="n">
        <v>0</v>
      </c>
      <c r="L957" s="57" t="n">
        <v>0</v>
      </c>
      <c r="M957" s="57" t="n">
        <v>1</v>
      </c>
      <c r="N957" s="60" t="n">
        <v>35</v>
      </c>
      <c r="O957" s="55" t="s">
        <v>411</v>
      </c>
      <c r="P957" s="57" t="n">
        <v>54</v>
      </c>
      <c r="Q957" s="60" t="n">
        <f aca="false">IF(BR957=1,0,IFERROR(VLOOKUP(BP957,'Gebinde-Kategorie'!$A$5:$M$45,13,0)+0,0))</f>
        <v>132</v>
      </c>
      <c r="R957" s="61"/>
      <c r="S957" s="62"/>
      <c r="T957" s="62"/>
      <c r="U957" s="55"/>
      <c r="V957" s="57"/>
      <c r="W957" s="57"/>
      <c r="X957" s="55" t="n">
        <f aca="false">IF(A957="","",IF(AND(Parameter!$B$21="Ja",ISNUMBER(U957)),U957,IF(IFERROR(VLOOKUP(D957,Parameter!$A$35:$C$64,2,0),"Nein")="2+3",IF(ISNUMBER(SEARCH("grosser Artikel",BM957)),2,IFERROR(VLOOKUP(BP957,Parameter!$F$35:$G$64,2,0),2)),IF(OR(IFERROR(VLOOKUP(D957,Parameter!$A$35:$C$64,2,0),"Nein")="Nein",IFERROR(VLOOKUP(D957,Parameter!$A$35:$C$64,2,0),"Nein")=""),"-",VLOOKUP(D957,Parameter!$A$35:$C$64,2,0)))))</f>
        <v>3</v>
      </c>
      <c r="Y957" s="62"/>
      <c r="Z957" s="63"/>
      <c r="AA957" s="57" t="n">
        <f aca="false">AP957</f>
        <v>54</v>
      </c>
      <c r="AB957" s="57" t="n">
        <f aca="false">MAX(AP957,G957)</f>
        <v>54</v>
      </c>
      <c r="AC957" s="64"/>
      <c r="AD957" s="57" t="n">
        <f aca="false">IF(LEFT(Cockpit!$C$5,1)="A",G957,IF(BW957=1,BX957,IF(LEFT(Cockpit!$C$5,1)="B",AH957,MAX(AH957,G957))))</f>
        <v>0</v>
      </c>
      <c r="AE957" s="57" t="n">
        <f aca="false">IF(BR957=1,0,ROUNDUP(AD957/BQ957,0))</f>
        <v>0</v>
      </c>
      <c r="AF957" s="59" t="n">
        <f aca="false">IF(CD957&gt;0,CD957*MAX(1,AD957/V957),IF(BR957=1,IF(AD957&lt;=0,0,BS957*MAX(1,IF(G957&gt;0,AD957/G957,1))),IF(Q957&gt;0,AE957/Q957,0))/MAX(0.1,N(Parameter!$M$21)))</f>
        <v>0</v>
      </c>
      <c r="AG957" s="57" t="n">
        <f aca="false">AD957*F957</f>
        <v>0</v>
      </c>
      <c r="AH957" s="57" t="n">
        <f aca="false">ROUNDUP(MAX(I957/IF(BV957&gt;0,BV957,MAX(0.1,N(Cockpit!$C$6))),BY957)/BQ957,0)*BQ957</f>
        <v>54</v>
      </c>
      <c r="AI957" s="58" t="n">
        <f aca="false">IF(AF957&gt;0,I957/AF957,-1)</f>
        <v>-1</v>
      </c>
      <c r="AJ957" s="58" t="str">
        <f aca="false">IF(AND(OR(BU957="L1",BU957="L23"),AF957&gt;0),SUMIFS($AF$7:$AF$1576,$BU$7:$BU$1576,BU957,$AI$7:$AI$1576,"&gt;"&amp;AI957)+SUMIFS($AF$7:$AF$1576,$BU$7:$BU$1576,BU957,$AI$7:$AI$1576,AI957,$BO$7:$BO$1576,"&lt;="&amp;BO957),"")</f>
        <v/>
      </c>
      <c r="AK957" s="65" t="n">
        <f aca="false">IF(AJ957="",0,MAX(0,MIN(1,(IF(BU957="L1",Parameter!$E$5,Parameter!$E$6+Parameter!$E$7)-(AJ957-AF957))/AF957)))</f>
        <v>0</v>
      </c>
      <c r="AL957" s="57" t="n">
        <f aca="false">IF(LEFT(Cockpit!$I$5,1)="A",G957,IF(BW957=1,BX957,IF(LEFT(Cockpit!$I$5,1)="B",AP957,MAX(AP957,G957))))</f>
        <v>54</v>
      </c>
      <c r="AM957" s="57" t="n">
        <f aca="false">IF(BR957=1,0,ROUNDUP(AL957/BQ957,0))</f>
        <v>1</v>
      </c>
      <c r="AN957" s="59" t="n">
        <f aca="false">IF(CD957&gt;0,CD957*MAX(1,AL957/V957),IF(BR957=1,IF(AL957&lt;=0,0,BS957*MAX(1,IF(G957&gt;0,AL957/G957,1))),IF(Q957&gt;0,AM957/Q957,0))/MAX(0.1,N(Parameter!$M$21)))</f>
        <v>0.00757575757575758</v>
      </c>
      <c r="AO957" s="57" t="n">
        <f aca="false">AL957*F957</f>
        <v>1152.36</v>
      </c>
      <c r="AP957" s="57" t="n">
        <f aca="false">ROUNDUP(MAX(I957/IF(BV957&gt;0,BV957,MAX(0.1,N(Cockpit!$I$6))),BY957)/BQ957,0)*BQ957</f>
        <v>54</v>
      </c>
      <c r="AQ957" s="58" t="n">
        <f aca="false">IF(AN957&gt;0,I957/AN957,-1)</f>
        <v>0</v>
      </c>
      <c r="AR957" s="58" t="n">
        <f aca="false">IF(AND(OR(BU957="L1",BU957="L23"),AN957&gt;0),SUMIFS($AN$7:$AN$1576,$BU$7:$BU$1576,BU957,$AQ$7:$AQ$1576,"&gt;"&amp;AQ957)+SUMIFS($AN$7:$AN$1576,$BU$7:$BU$1576,BU957,$AQ$7:$AQ$1576,AQ957,$BO$7:$BO$1576,"&lt;="&amp;BO957),"")</f>
        <v>131.614798896803</v>
      </c>
      <c r="AS957" s="65" t="n">
        <f aca="false">IF(AR957="",0,MAX(0,MIN(1,(IF(BU957="L1",Parameter!$E$5,Parameter!$E$6+Parameter!$E$7)-(AR957-AN957))/AN957)))</f>
        <v>0</v>
      </c>
      <c r="AT957" s="57" t="n">
        <f aca="false">IF(LEFT(Cockpit!$O$5,1)="A",G957,IF(BW957=1,BX957,IF(LEFT(Cockpit!$O$5,1)="B",AX957,MAX(AX957,G957))))</f>
        <v>54</v>
      </c>
      <c r="AU957" s="57" t="n">
        <f aca="false">IF(BR957=1,0,ROUNDUP(AT957/BQ957,0))</f>
        <v>1</v>
      </c>
      <c r="AV957" s="59" t="n">
        <f aca="false">IF(CD957&gt;0,CD957*MAX(1,AT957/V957),IF(BR957=1,IF(AT957&lt;=0,0,BS957*MAX(1,IF(G957&gt;0,AT957/G957,1))),IF(Q957&gt;0,AU957/Q957,0))/MAX(0.1,N(Parameter!$M$21)))</f>
        <v>0.00757575757575758</v>
      </c>
      <c r="AW957" s="57" t="n">
        <f aca="false">AT957*F957</f>
        <v>1152.36</v>
      </c>
      <c r="AX957" s="57" t="n">
        <f aca="false">ROUNDUP(MAX(I957/IF(BV957&gt;0,BV957,MAX(0.1,N(Cockpit!$O$6))),BY957)/BQ957,0)*BQ957</f>
        <v>54</v>
      </c>
      <c r="AY957" s="58" t="n">
        <f aca="false">IF(AV957&gt;0,I957/AV957,-1)</f>
        <v>0</v>
      </c>
      <c r="AZ957" s="58" t="n">
        <f aca="false">IF(AND(OR(BU957="L1",BU957="L23"),AV957&gt;0),SUMIFS($AV$7:$AV$1576,$BU$7:$BU$1576,BU957,$AY$7:$AY$1576,"&gt;"&amp;AY957)+SUMIFS($AV$7:$AV$1576,$BU$7:$BU$1576,BU957,$AY$7:$AY$1576,AY957,$BO$7:$BO$1576,"&lt;="&amp;BO957),"")</f>
        <v>121.674349346353</v>
      </c>
      <c r="BA957" s="65" t="n">
        <f aca="false">IF(AZ957="",0,MAX(0,MIN(1,(IF(BU957="L1",Parameter!$E$5,Parameter!$E$6+Parameter!$E$7)-(AZ957-AV957))/AV957)))</f>
        <v>0</v>
      </c>
      <c r="BB957" s="55" t="str">
        <f aca="false">IF(AF957&lt;=0,"",IF(BU957="Aussen","Aussenlager",IF(BU957="-","Nicht im Lift",IF(AK957&gt;=1,"Lift",IF(AK957&lt;=0,"Aussenlager","teilweise")))))</f>
        <v/>
      </c>
      <c r="BC957" s="55" t="str">
        <f aca="false">IF(AN957&lt;=0,"",IF(BU957="Aussen","Aussenlager",IF(BU957="-","Nicht im Lift",IF(AS957&gt;=1,"Lift",IF(AS957&lt;=0,"Aussenlager","teilweise")))))</f>
        <v>Aussenlager</v>
      </c>
      <c r="BD957" s="55" t="str">
        <f aca="false">IF(AV957&lt;=0,"",IF(BU957="Aussen","Aussenlager",IF(BU957="-","Nicht im Lift",IF(BA957&gt;=1,"Lift",IF(BA957&lt;=0,"Aussenlager","teilweise")))))</f>
        <v>Aussenlager</v>
      </c>
      <c r="BE957" s="55" t="str">
        <f aca="false">IF(A957="","",IF(BN957=1,"Neu; ","")&amp;IF(AND(BN957=0,BI957&lt;0),"negativer Bestand (Export "&amp;BI957&amp;"); ","")&amp;IF(I957&lt;=0,"Kein Verbrauch; ","")&amp;IF(CD957&gt;0,"Lift "&amp;U957&amp;" lt. Liftbericht (Fach "&amp;V957&amp;" Stk); ",IF(BR957=1,"Lose – Fläche geschätzt; ",""))&amp;IF(G957&gt;AP957,"Überbestand "&amp;ROUND(G957-AP957,0)&amp;" Stk / CHF "&amp;ROUND((G957-AP957)*F957,0)&amp;"; ","")&amp;IF(AND(BW957=1,BX957&lt;BY957),"MAX &lt; MB+LG; ","")&amp;IF(AND(CC957&gt;0,CB957*10&gt;CC957),"zu hoch für Tablar; ","")&amp;IF(AND(BN957=0,OR(BW957=1,Y957&lt;&gt;"",S957&lt;&gt;"",T957&lt;&gt;"",Z957&lt;&gt;"")),"manuell übersteuert; ","")&amp;IF(AND(BR957=0,Q957=0),"Gebinde unbekannt / Stellmass fehlt; ","")&amp;IF(AND(BR957=0,N(T957)&lt;=0,N(P957)&lt;=0),"Menge pro Gebinde fehlt (Ist = 1 Gebinde); ","")&amp;BM957)</f>
        <v>negativer Bestand (Export -3); Kein Verbrauch; Twin</v>
      </c>
      <c r="BF957" s="55"/>
      <c r="BG957" s="55"/>
      <c r="BH957" s="62"/>
      <c r="BI957" s="57" t="n">
        <v>-3</v>
      </c>
      <c r="BJ957" s="57" t="n">
        <v>45</v>
      </c>
      <c r="BK957" s="56" t="n">
        <v>-64.02</v>
      </c>
      <c r="BL957" s="57" t="n">
        <v>0</v>
      </c>
      <c r="BM957" s="55" t="s">
        <v>206</v>
      </c>
      <c r="BN957" s="60" t="n">
        <v>0</v>
      </c>
      <c r="BO957" s="60" t="n">
        <v>957</v>
      </c>
      <c r="BP957" s="55" t="str">
        <f aca="false">IF(S957&lt;&gt;"",UPPER(TRIM(S957)),IF(O957="","LOSE",O957))</f>
        <v>S32</v>
      </c>
      <c r="BQ957" s="57" t="n">
        <f aca="false">IF(BP957="LOSE",1,IF(N(T957)&gt;0,T957,IF(N(P957)&gt;0,P957,MAX(1,G957))))</f>
        <v>54</v>
      </c>
      <c r="BR957" s="60" t="n">
        <f aca="false">IF(BP957="LOSE",1,0)</f>
        <v>0</v>
      </c>
      <c r="BS957" s="59" t="n">
        <f aca="false">IF(BR957=0,0,IF(N(R957)&gt;0,R957,IFERROR(VLOOKUP(D957,Parameter!$A$35:$C$64,3,0)+0,0)))</f>
        <v>0</v>
      </c>
      <c r="BT957" s="55" t="n">
        <f aca="false">IF(Y957&lt;&gt;"",Y957,X957)</f>
        <v>3</v>
      </c>
      <c r="BU957" s="55" t="str">
        <f aca="false">IF(BT957=1,"L1",IF(OR(BT957=2,BT957=3),"L23",IF(BT957="Aussen","Aussen","-")))</f>
        <v>L23</v>
      </c>
      <c r="BV957" s="66" t="n">
        <f aca="false">IF(N(Z957)&gt;0,Z957,0)</f>
        <v>0</v>
      </c>
      <c r="BW957" s="60" t="n">
        <f aca="false">IF(ISNUMBER(AC957),1,0)</f>
        <v>0</v>
      </c>
      <c r="BX957" s="57" t="n">
        <f aca="false">N(AC957)</f>
        <v>0</v>
      </c>
      <c r="BY957" s="57" t="n">
        <f aca="false">N(L957)+N(M957)</f>
        <v>1</v>
      </c>
      <c r="BZ957" s="57" t="n">
        <f aca="false">ROUNDUP(G957/BQ957,0)</f>
        <v>0</v>
      </c>
      <c r="CA957" s="57" t="n">
        <f aca="false">ROUNDUP(BX957/BQ957,0)</f>
        <v>0</v>
      </c>
      <c r="CB957" s="60" t="n">
        <f aca="false">IF(BR957=1,0,IFERROR(VLOOKUP(BP957,'Gebinde-Kategorie'!$A$5:$M$45,5,0)+0,0))</f>
        <v>8</v>
      </c>
      <c r="CC957" s="60" t="n">
        <f aca="false">IFERROR(IF(OR(BT957=1,BT957=2,BT957=3),N(INDEX(Parameter!$I$5:$I$7,BT957)),0),0)</f>
        <v>0</v>
      </c>
      <c r="CD957" s="59" t="n">
        <f aca="false">IF(AND(Parameter!$B$21="Ja",ISNUMBER(U957),N(V957)&gt;0),IFERROR(N(INDEX(Parameter!$L$5:$L$7,U957))*INDEX(Parameter!$E$5:$E$7,U957)*V957/SUMIFS($V$7:$V$1576,$U$7:$U$1576,U957),0),0)</f>
        <v>0</v>
      </c>
    </row>
    <row r="958" customFormat="false" ht="15" hidden="false" customHeight="false" outlineLevel="0" collapsed="false">
      <c r="A958" s="55" t="s">
        <v>1770</v>
      </c>
      <c r="B958" s="55" t="s">
        <v>1771</v>
      </c>
      <c r="C958" s="55" t="s">
        <v>160</v>
      </c>
      <c r="D958" s="55" t="s">
        <v>178</v>
      </c>
      <c r="E958" s="55" t="s">
        <v>210</v>
      </c>
      <c r="F958" s="56" t="n">
        <v>65.36</v>
      </c>
      <c r="G958" s="57" t="n">
        <f aca="false">MAX(0,IF(AND(Parameter!$B$21="Ja",ISNUMBER(W958)),W958,IF(Parameter!$B$20="Jahresanfang 2025 + Export",BJ958+BI958,BI958)))</f>
        <v>0</v>
      </c>
      <c r="H958" s="57" t="n">
        <f aca="false">G958*F958</f>
        <v>0</v>
      </c>
      <c r="I958" s="57" t="n">
        <f aca="false">BL958*Parameter!$B$18</f>
        <v>0</v>
      </c>
      <c r="J958" s="58" t="n">
        <v>5.5</v>
      </c>
      <c r="K958" s="59" t="n">
        <v>0</v>
      </c>
      <c r="L958" s="57" t="n">
        <v>0</v>
      </c>
      <c r="M958" s="57" t="n">
        <v>1</v>
      </c>
      <c r="N958" s="60" t="n">
        <v>28</v>
      </c>
      <c r="O958" s="55" t="s">
        <v>319</v>
      </c>
      <c r="P958" s="57" t="n">
        <v>10</v>
      </c>
      <c r="Q958" s="60" t="n">
        <f aca="false">IF(BR958=1,0,IFERROR(VLOOKUP(BP958,'Gebinde-Kategorie'!$A$5:$M$45,13,0)+0,0))</f>
        <v>52</v>
      </c>
      <c r="R958" s="61"/>
      <c r="S958" s="62"/>
      <c r="T958" s="62"/>
      <c r="U958" s="55"/>
      <c r="V958" s="57"/>
      <c r="W958" s="57"/>
      <c r="X958" s="55" t="n">
        <f aca="false">IF(A958="","",IF(AND(Parameter!$B$21="Ja",ISNUMBER(U958)),U958,IF(IFERROR(VLOOKUP(D958,Parameter!$A$35:$C$64,2,0),"Nein")="2+3",IF(ISNUMBER(SEARCH("grosser Artikel",BM958)),2,IFERROR(VLOOKUP(BP958,Parameter!$F$35:$G$64,2,0),2)),IF(OR(IFERROR(VLOOKUP(D958,Parameter!$A$35:$C$64,2,0),"Nein")="Nein",IFERROR(VLOOKUP(D958,Parameter!$A$35:$C$64,2,0),"Nein")=""),"-",VLOOKUP(D958,Parameter!$A$35:$C$64,2,0)))))</f>
        <v>3</v>
      </c>
      <c r="Y958" s="62"/>
      <c r="Z958" s="63"/>
      <c r="AA958" s="57" t="n">
        <f aca="false">AP958</f>
        <v>10</v>
      </c>
      <c r="AB958" s="57" t="n">
        <f aca="false">MAX(AP958,G958)</f>
        <v>10</v>
      </c>
      <c r="AC958" s="64"/>
      <c r="AD958" s="57" t="n">
        <f aca="false">IF(LEFT(Cockpit!$C$5,1)="A",G958,IF(BW958=1,BX958,IF(LEFT(Cockpit!$C$5,1)="B",AH958,MAX(AH958,G958))))</f>
        <v>0</v>
      </c>
      <c r="AE958" s="57" t="n">
        <f aca="false">IF(BR958=1,0,ROUNDUP(AD958/BQ958,0))</f>
        <v>0</v>
      </c>
      <c r="AF958" s="59" t="n">
        <f aca="false">IF(CD958&gt;0,CD958*MAX(1,AD958/V958),IF(BR958=1,IF(AD958&lt;=0,0,BS958*MAX(1,IF(G958&gt;0,AD958/G958,1))),IF(Q958&gt;0,AE958/Q958,0))/MAX(0.1,N(Parameter!$M$21)))</f>
        <v>0</v>
      </c>
      <c r="AG958" s="57" t="n">
        <f aca="false">AD958*F958</f>
        <v>0</v>
      </c>
      <c r="AH958" s="57" t="n">
        <f aca="false">ROUNDUP(MAX(I958/IF(BV958&gt;0,BV958,MAX(0.1,N(Cockpit!$C$6))),BY958)/BQ958,0)*BQ958</f>
        <v>10</v>
      </c>
      <c r="AI958" s="58" t="n">
        <f aca="false">IF(AF958&gt;0,I958/AF958,-1)</f>
        <v>-1</v>
      </c>
      <c r="AJ958" s="58" t="str">
        <f aca="false">IF(AND(OR(BU958="L1",BU958="L23"),AF958&gt;0),SUMIFS($AF$7:$AF$1576,$BU$7:$BU$1576,BU958,$AI$7:$AI$1576,"&gt;"&amp;AI958)+SUMIFS($AF$7:$AF$1576,$BU$7:$BU$1576,BU958,$AI$7:$AI$1576,AI958,$BO$7:$BO$1576,"&lt;="&amp;BO958),"")</f>
        <v/>
      </c>
      <c r="AK958" s="65" t="n">
        <f aca="false">IF(AJ958="",0,MAX(0,MIN(1,(IF(BU958="L1",Parameter!$E$5,Parameter!$E$6+Parameter!$E$7)-(AJ958-AF958))/AF958)))</f>
        <v>0</v>
      </c>
      <c r="AL958" s="57" t="n">
        <f aca="false">IF(LEFT(Cockpit!$I$5,1)="A",G958,IF(BW958=1,BX958,IF(LEFT(Cockpit!$I$5,1)="B",AP958,MAX(AP958,G958))))</f>
        <v>10</v>
      </c>
      <c r="AM958" s="57" t="n">
        <f aca="false">IF(BR958=1,0,ROUNDUP(AL958/BQ958,0))</f>
        <v>1</v>
      </c>
      <c r="AN958" s="59" t="n">
        <f aca="false">IF(CD958&gt;0,CD958*MAX(1,AL958/V958),IF(BR958=1,IF(AL958&lt;=0,0,BS958*MAX(1,IF(G958&gt;0,AL958/G958,1))),IF(Q958&gt;0,AM958/Q958,0))/MAX(0.1,N(Parameter!$M$21)))</f>
        <v>0.0192307692307692</v>
      </c>
      <c r="AO958" s="57" t="n">
        <f aca="false">AL958*F958</f>
        <v>653.6</v>
      </c>
      <c r="AP958" s="57" t="n">
        <f aca="false">ROUNDUP(MAX(I958/IF(BV958&gt;0,BV958,MAX(0.1,N(Cockpit!$I$6))),BY958)/BQ958,0)*BQ958</f>
        <v>10</v>
      </c>
      <c r="AQ958" s="58" t="n">
        <f aca="false">IF(AN958&gt;0,I958/AN958,-1)</f>
        <v>0</v>
      </c>
      <c r="AR958" s="58" t="n">
        <f aca="false">IF(AND(OR(BU958="L1",BU958="L23"),AN958&gt;0),SUMIFS($AN$7:$AN$1576,$BU$7:$BU$1576,BU958,$AQ$7:$AQ$1576,"&gt;"&amp;AQ958)+SUMIFS($AN$7:$AN$1576,$BU$7:$BU$1576,BU958,$AQ$7:$AQ$1576,AQ958,$BO$7:$BO$1576,"&lt;="&amp;BO958),"")</f>
        <v>131.634029666034</v>
      </c>
      <c r="AS958" s="65" t="n">
        <f aca="false">IF(AR958="",0,MAX(0,MIN(1,(IF(BU958="L1",Parameter!$E$5,Parameter!$E$6+Parameter!$E$7)-(AR958-AN958))/AN958)))</f>
        <v>0</v>
      </c>
      <c r="AT958" s="57" t="n">
        <f aca="false">IF(LEFT(Cockpit!$O$5,1)="A",G958,IF(BW958=1,BX958,IF(LEFT(Cockpit!$O$5,1)="B",AX958,MAX(AX958,G958))))</f>
        <v>10</v>
      </c>
      <c r="AU958" s="57" t="n">
        <f aca="false">IF(BR958=1,0,ROUNDUP(AT958/BQ958,0))</f>
        <v>1</v>
      </c>
      <c r="AV958" s="59" t="n">
        <f aca="false">IF(CD958&gt;0,CD958*MAX(1,AT958/V958),IF(BR958=1,IF(AT958&lt;=0,0,BS958*MAX(1,IF(G958&gt;0,AT958/G958,1))),IF(Q958&gt;0,AU958/Q958,0))/MAX(0.1,N(Parameter!$M$21)))</f>
        <v>0.0192307692307692</v>
      </c>
      <c r="AW958" s="57" t="n">
        <f aca="false">AT958*F958</f>
        <v>653.6</v>
      </c>
      <c r="AX958" s="57" t="n">
        <f aca="false">ROUNDUP(MAX(I958/IF(BV958&gt;0,BV958,MAX(0.1,N(Cockpit!$O$6))),BY958)/BQ958,0)*BQ958</f>
        <v>10</v>
      </c>
      <c r="AY958" s="58" t="n">
        <f aca="false">IF(AV958&gt;0,I958/AV958,-1)</f>
        <v>0</v>
      </c>
      <c r="AZ958" s="58" t="n">
        <f aca="false">IF(AND(OR(BU958="L1",BU958="L23"),AV958&gt;0),SUMIFS($AV$7:$AV$1576,$BU$7:$BU$1576,BU958,$AY$7:$AY$1576,"&gt;"&amp;AY958)+SUMIFS($AV$7:$AV$1576,$BU$7:$BU$1576,BU958,$AY$7:$AY$1576,AY958,$BO$7:$BO$1576,"&lt;="&amp;BO958),"")</f>
        <v>121.693580115584</v>
      </c>
      <c r="BA958" s="65" t="n">
        <f aca="false">IF(AZ958="",0,MAX(0,MIN(1,(IF(BU958="L1",Parameter!$E$5,Parameter!$E$6+Parameter!$E$7)-(AZ958-AV958))/AV958)))</f>
        <v>0</v>
      </c>
      <c r="BB958" s="55" t="str">
        <f aca="false">IF(AF958&lt;=0,"",IF(BU958="Aussen","Aussenlager",IF(BU958="-","Nicht im Lift",IF(AK958&gt;=1,"Lift",IF(AK958&lt;=0,"Aussenlager","teilweise")))))</f>
        <v/>
      </c>
      <c r="BC958" s="55" t="str">
        <f aca="false">IF(AN958&lt;=0,"",IF(BU958="Aussen","Aussenlager",IF(BU958="-","Nicht im Lift",IF(AS958&gt;=1,"Lift",IF(AS958&lt;=0,"Aussenlager","teilweise")))))</f>
        <v>Aussenlager</v>
      </c>
      <c r="BD958" s="55" t="str">
        <f aca="false">IF(AV958&lt;=0,"",IF(BU958="Aussen","Aussenlager",IF(BU958="-","Nicht im Lift",IF(BA958&gt;=1,"Lift",IF(BA958&lt;=0,"Aussenlager","teilweise")))))</f>
        <v>Aussenlager</v>
      </c>
      <c r="BE958" s="55" t="str">
        <f aca="false">IF(A958="","",IF(BN958=1,"Neu; ","")&amp;IF(AND(BN958=0,BI958&lt;0),"negativer Bestand (Export "&amp;BI958&amp;"); ","")&amp;IF(I958&lt;=0,"Kein Verbrauch; ","")&amp;IF(CD958&gt;0,"Lift "&amp;U958&amp;" lt. Liftbericht (Fach "&amp;V958&amp;" Stk); ",IF(BR958=1,"Lose – Fläche geschätzt; ",""))&amp;IF(G958&gt;AP958,"Überbestand "&amp;ROUND(G958-AP958,0)&amp;" Stk / CHF "&amp;ROUND((G958-AP958)*F958,0)&amp;"; ","")&amp;IF(AND(BW958=1,BX958&lt;BY958),"MAX &lt; MB+LG; ","")&amp;IF(AND(CC958&gt;0,CB958*10&gt;CC958),"zu hoch für Tablar; ","")&amp;IF(AND(BN958=0,OR(BW958=1,Y958&lt;&gt;"",S958&lt;&gt;"",T958&lt;&gt;"",Z958&lt;&gt;"")),"manuell übersteuert; ","")&amp;IF(AND(BR958=0,Q958=0),"Gebinde unbekannt / Stellmass fehlt; ","")&amp;IF(AND(BR958=0,N(T958)&lt;=0,N(P958)&lt;=0),"Menge pro Gebinde fehlt (Ist = 1 Gebinde); ","")&amp;BM958)</f>
        <v>negativer Bestand (Export -1); Kein Verbrauch; Verb.Lager</v>
      </c>
      <c r="BF958" s="55"/>
      <c r="BG958" s="55"/>
      <c r="BH958" s="62"/>
      <c r="BI958" s="57" t="n">
        <v>-1</v>
      </c>
      <c r="BJ958" s="57" t="n">
        <v>6</v>
      </c>
      <c r="BK958" s="56" t="n">
        <v>-65.36</v>
      </c>
      <c r="BL958" s="57" t="n">
        <v>0</v>
      </c>
      <c r="BM958" s="55" t="s">
        <v>1019</v>
      </c>
      <c r="BN958" s="60" t="n">
        <v>0</v>
      </c>
      <c r="BO958" s="60" t="n">
        <v>958</v>
      </c>
      <c r="BP958" s="55" t="str">
        <f aca="false">IF(S958&lt;&gt;"",UPPER(TRIM(S958)),IF(O958="","LOSE",O958))</f>
        <v>S41</v>
      </c>
      <c r="BQ958" s="57" t="n">
        <f aca="false">IF(BP958="LOSE",1,IF(N(T958)&gt;0,T958,IF(N(P958)&gt;0,P958,MAX(1,G958))))</f>
        <v>10</v>
      </c>
      <c r="BR958" s="60" t="n">
        <f aca="false">IF(BP958="LOSE",1,0)</f>
        <v>0</v>
      </c>
      <c r="BS958" s="59" t="n">
        <f aca="false">IF(BR958=0,0,IF(N(R958)&gt;0,R958,IFERROR(VLOOKUP(D958,Parameter!$A$35:$C$64,3,0)+0,0)))</f>
        <v>0</v>
      </c>
      <c r="BT958" s="55" t="n">
        <f aca="false">IF(Y958&lt;&gt;"",Y958,X958)</f>
        <v>3</v>
      </c>
      <c r="BU958" s="55" t="str">
        <f aca="false">IF(BT958=1,"L1",IF(OR(BT958=2,BT958=3),"L23",IF(BT958="Aussen","Aussen","-")))</f>
        <v>L23</v>
      </c>
      <c r="BV958" s="66" t="n">
        <f aca="false">IF(N(Z958)&gt;0,Z958,0)</f>
        <v>0</v>
      </c>
      <c r="BW958" s="60" t="n">
        <f aca="false">IF(ISNUMBER(AC958),1,0)</f>
        <v>0</v>
      </c>
      <c r="BX958" s="57" t="n">
        <f aca="false">N(AC958)</f>
        <v>0</v>
      </c>
      <c r="BY958" s="57" t="n">
        <f aca="false">N(L958)+N(M958)</f>
        <v>1</v>
      </c>
      <c r="BZ958" s="57" t="n">
        <f aca="false">ROUNDUP(G958/BQ958,0)</f>
        <v>0</v>
      </c>
      <c r="CA958" s="57" t="n">
        <f aca="false">ROUNDUP(BX958/BQ958,0)</f>
        <v>0</v>
      </c>
      <c r="CB958" s="60" t="n">
        <f aca="false">IF(BR958=1,0,IFERROR(VLOOKUP(BP958,'Gebinde-Kategorie'!$A$5:$M$45,5,0)+0,0))</f>
        <v>11</v>
      </c>
      <c r="CC958" s="60" t="n">
        <f aca="false">IFERROR(IF(OR(BT958=1,BT958=2,BT958=3),N(INDEX(Parameter!$I$5:$I$7,BT958)),0),0)</f>
        <v>0</v>
      </c>
      <c r="CD958" s="59" t="n">
        <f aca="false">IF(AND(Parameter!$B$21="Ja",ISNUMBER(U958),N(V958)&gt;0),IFERROR(N(INDEX(Parameter!$L$5:$L$7,U958))*INDEX(Parameter!$E$5:$E$7,U958)*V958/SUMIFS($V$7:$V$1576,$U$7:$U$1576,U958),0),0)</f>
        <v>0</v>
      </c>
    </row>
    <row r="959" customFormat="false" ht="15" hidden="false" customHeight="false" outlineLevel="0" collapsed="false">
      <c r="A959" s="55" t="s">
        <v>1772</v>
      </c>
      <c r="B959" s="55" t="s">
        <v>1773</v>
      </c>
      <c r="C959" s="55" t="s">
        <v>160</v>
      </c>
      <c r="D959" s="55" t="s">
        <v>178</v>
      </c>
      <c r="E959" s="55" t="s">
        <v>210</v>
      </c>
      <c r="F959" s="56" t="n">
        <v>21.84</v>
      </c>
      <c r="G959" s="57" t="n">
        <f aca="false">MAX(0,IF(AND(Parameter!$B$21="Ja",ISNUMBER(W959)),W959,IF(Parameter!$B$20="Jahresanfang 2025 + Export",BJ959+BI959,BI959)))</f>
        <v>0</v>
      </c>
      <c r="H959" s="57" t="n">
        <f aca="false">G959*F959</f>
        <v>0</v>
      </c>
      <c r="I959" s="57" t="n">
        <f aca="false">BL959*Parameter!$B$18</f>
        <v>2.01</v>
      </c>
      <c r="J959" s="58" t="n">
        <v>7.5</v>
      </c>
      <c r="K959" s="59" t="n">
        <v>0.268</v>
      </c>
      <c r="L959" s="57" t="n">
        <v>0</v>
      </c>
      <c r="M959" s="57" t="n">
        <v>1</v>
      </c>
      <c r="N959" s="60" t="n">
        <v>28</v>
      </c>
      <c r="O959" s="55" t="s">
        <v>319</v>
      </c>
      <c r="P959" s="57" t="n">
        <v>12</v>
      </c>
      <c r="Q959" s="60" t="n">
        <f aca="false">IF(BR959=1,0,IFERROR(VLOOKUP(BP959,'Gebinde-Kategorie'!$A$5:$M$45,13,0)+0,0))</f>
        <v>52</v>
      </c>
      <c r="R959" s="61"/>
      <c r="S959" s="62"/>
      <c r="T959" s="62"/>
      <c r="U959" s="55"/>
      <c r="V959" s="57"/>
      <c r="W959" s="57"/>
      <c r="X959" s="55" t="n">
        <f aca="false">IF(A959="","",IF(AND(Parameter!$B$21="Ja",ISNUMBER(U959)),U959,IF(IFERROR(VLOOKUP(D959,Parameter!$A$35:$C$64,2,0),"Nein")="2+3",IF(ISNUMBER(SEARCH("grosser Artikel",BM959)),2,IFERROR(VLOOKUP(BP959,Parameter!$F$35:$G$64,2,0),2)),IF(OR(IFERROR(VLOOKUP(D959,Parameter!$A$35:$C$64,2,0),"Nein")="Nein",IFERROR(VLOOKUP(D959,Parameter!$A$35:$C$64,2,0),"Nein")=""),"-",VLOOKUP(D959,Parameter!$A$35:$C$64,2,0)))))</f>
        <v>3</v>
      </c>
      <c r="Y959" s="62"/>
      <c r="Z959" s="63"/>
      <c r="AA959" s="57" t="n">
        <f aca="false">AP959</f>
        <v>12</v>
      </c>
      <c r="AB959" s="57" t="n">
        <f aca="false">MAX(AP959,G959)</f>
        <v>12</v>
      </c>
      <c r="AC959" s="64"/>
      <c r="AD959" s="57" t="n">
        <f aca="false">IF(LEFT(Cockpit!$C$5,1)="A",G959,IF(BW959=1,BX959,IF(LEFT(Cockpit!$C$5,1)="B",AH959,MAX(AH959,G959))))</f>
        <v>0</v>
      </c>
      <c r="AE959" s="57" t="n">
        <f aca="false">IF(BR959=1,0,ROUNDUP(AD959/BQ959,0))</f>
        <v>0</v>
      </c>
      <c r="AF959" s="59" t="n">
        <f aca="false">IF(CD959&gt;0,CD959*MAX(1,AD959/V959),IF(BR959=1,IF(AD959&lt;=0,0,BS959*MAX(1,IF(G959&gt;0,AD959/G959,1))),IF(Q959&gt;0,AE959/Q959,0))/MAX(0.1,N(Parameter!$M$21)))</f>
        <v>0</v>
      </c>
      <c r="AG959" s="57" t="n">
        <f aca="false">AD959*F959</f>
        <v>0</v>
      </c>
      <c r="AH959" s="57" t="n">
        <f aca="false">ROUNDUP(MAX(I959/IF(BV959&gt;0,BV959,MAX(0.1,N(Cockpit!$C$6))),BY959)/BQ959,0)*BQ959</f>
        <v>12</v>
      </c>
      <c r="AI959" s="58" t="n">
        <f aca="false">IF(AF959&gt;0,I959/AF959,-1)</f>
        <v>-1</v>
      </c>
      <c r="AJ959" s="58" t="str">
        <f aca="false">IF(AND(OR(BU959="L1",BU959="L23"),AF959&gt;0),SUMIFS($AF$7:$AF$1576,$BU$7:$BU$1576,BU959,$AI$7:$AI$1576,"&gt;"&amp;AI959)+SUMIFS($AF$7:$AF$1576,$BU$7:$BU$1576,BU959,$AI$7:$AI$1576,AI959,$BO$7:$BO$1576,"&lt;="&amp;BO959),"")</f>
        <v/>
      </c>
      <c r="AK959" s="65" t="n">
        <f aca="false">IF(AJ959="",0,MAX(0,MIN(1,(IF(BU959="L1",Parameter!$E$5,Parameter!$E$6+Parameter!$E$7)-(AJ959-AF959))/AF959)))</f>
        <v>0</v>
      </c>
      <c r="AL959" s="57" t="n">
        <f aca="false">IF(LEFT(Cockpit!$I$5,1)="A",G959,IF(BW959=1,BX959,IF(LEFT(Cockpit!$I$5,1)="B",AP959,MAX(AP959,G959))))</f>
        <v>12</v>
      </c>
      <c r="AM959" s="57" t="n">
        <f aca="false">IF(BR959=1,0,ROUNDUP(AL959/BQ959,0))</f>
        <v>1</v>
      </c>
      <c r="AN959" s="59" t="n">
        <f aca="false">IF(CD959&gt;0,CD959*MAX(1,AL959/V959),IF(BR959=1,IF(AL959&lt;=0,0,BS959*MAX(1,IF(G959&gt;0,AL959/G959,1))),IF(Q959&gt;0,AM959/Q959,0))/MAX(0.1,N(Parameter!$M$21)))</f>
        <v>0.0192307692307692</v>
      </c>
      <c r="AO959" s="57" t="n">
        <f aca="false">AL959*F959</f>
        <v>262.08</v>
      </c>
      <c r="AP959" s="57" t="n">
        <f aca="false">ROUNDUP(MAX(I959/IF(BV959&gt;0,BV959,MAX(0.1,N(Cockpit!$I$6))),BY959)/BQ959,0)*BQ959</f>
        <v>12</v>
      </c>
      <c r="AQ959" s="58" t="n">
        <f aca="false">IF(AN959&gt;0,I959/AN959,-1)</f>
        <v>104.52</v>
      </c>
      <c r="AR959" s="58" t="n">
        <f aca="false">IF(AND(OR(BU959="L1",BU959="L23"),AN959&gt;0),SUMIFS($AN$7:$AN$1576,$BU$7:$BU$1576,BU959,$AQ$7:$AQ$1576,"&gt;"&amp;AQ959)+SUMIFS($AN$7:$AN$1576,$BU$7:$BU$1576,BU959,$AQ$7:$AQ$1576,AQ959,$BO$7:$BO$1576,"&lt;="&amp;BO959),"")</f>
        <v>68.4649831512443</v>
      </c>
      <c r="AS959" s="65" t="n">
        <f aca="false">IF(AR959="",0,MAX(0,MIN(1,(IF(BU959="L1",Parameter!$E$5,Parameter!$E$6+Parameter!$E$7)-(AR959-AN959))/AN959)))</f>
        <v>1</v>
      </c>
      <c r="AT959" s="57" t="n">
        <f aca="false">IF(LEFT(Cockpit!$O$5,1)="A",G959,IF(BW959=1,BX959,IF(LEFT(Cockpit!$O$5,1)="B",AX959,MAX(AX959,G959))))</f>
        <v>12</v>
      </c>
      <c r="AU959" s="57" t="n">
        <f aca="false">IF(BR959=1,0,ROUNDUP(AT959/BQ959,0))</f>
        <v>1</v>
      </c>
      <c r="AV959" s="59" t="n">
        <f aca="false">IF(CD959&gt;0,CD959*MAX(1,AT959/V959),IF(BR959=1,IF(AT959&lt;=0,0,BS959*MAX(1,IF(G959&gt;0,AT959/G959,1))),IF(Q959&gt;0,AU959/Q959,0))/MAX(0.1,N(Parameter!$M$21)))</f>
        <v>0.0192307692307692</v>
      </c>
      <c r="AW959" s="57" t="n">
        <f aca="false">AT959*F959</f>
        <v>262.08</v>
      </c>
      <c r="AX959" s="57" t="n">
        <f aca="false">ROUNDUP(MAX(I959/IF(BV959&gt;0,BV959,MAX(0.1,N(Cockpit!$O$6))),BY959)/BQ959,0)*BQ959</f>
        <v>12</v>
      </c>
      <c r="AY959" s="58" t="n">
        <f aca="false">IF(AV959&gt;0,I959/AV959,-1)</f>
        <v>104.52</v>
      </c>
      <c r="AZ959" s="58" t="n">
        <f aca="false">IF(AND(OR(BU959="L1",BU959="L23"),AV959&gt;0),SUMIFS($AV$7:$AV$1576,$BU$7:$BU$1576,BU959,$AY$7:$AY$1576,"&gt;"&amp;AY959)+SUMIFS($AV$7:$AV$1576,$BU$7:$BU$1576,BU959,$AY$7:$AY$1576,AY959,$BO$7:$BO$1576,"&lt;="&amp;BO959),"")</f>
        <v>63.0253669341281</v>
      </c>
      <c r="BA959" s="65" t="n">
        <f aca="false">IF(AZ959="",0,MAX(0,MIN(1,(IF(BU959="L1",Parameter!$E$5,Parameter!$E$6+Parameter!$E$7)-(AZ959-AV959))/AV959)))</f>
        <v>1</v>
      </c>
      <c r="BB959" s="55" t="str">
        <f aca="false">IF(AF959&lt;=0,"",IF(BU959="Aussen","Aussenlager",IF(BU959="-","Nicht im Lift",IF(AK959&gt;=1,"Lift",IF(AK959&lt;=0,"Aussenlager","teilweise")))))</f>
        <v/>
      </c>
      <c r="BC959" s="55" t="str">
        <f aca="false">IF(AN959&lt;=0,"",IF(BU959="Aussen","Aussenlager",IF(BU959="-","Nicht im Lift",IF(AS959&gt;=1,"Lift",IF(AS959&lt;=0,"Aussenlager","teilweise")))))</f>
        <v>Lift</v>
      </c>
      <c r="BD959" s="55" t="str">
        <f aca="false">IF(AV959&lt;=0,"",IF(BU959="Aussen","Aussenlager",IF(BU959="-","Nicht im Lift",IF(BA959&gt;=1,"Lift",IF(BA959&lt;=0,"Aussenlager","teilweise")))))</f>
        <v>Lift</v>
      </c>
      <c r="BE959" s="55" t="str">
        <f aca="false">IF(A959="","",IF(BN959=1,"Neu; ","")&amp;IF(AND(BN959=0,BI959&lt;0),"negativer Bestand (Export "&amp;BI959&amp;"); ","")&amp;IF(I959&lt;=0,"Kein Verbrauch; ","")&amp;IF(CD959&gt;0,"Lift "&amp;U959&amp;" lt. Liftbericht (Fach "&amp;V959&amp;" Stk); ",IF(BR959=1,"Lose – Fläche geschätzt; ",""))&amp;IF(G959&gt;AP959,"Überbestand "&amp;ROUND(G959-AP959,0)&amp;" Stk / CHF "&amp;ROUND((G959-AP959)*F959,0)&amp;"; ","")&amp;IF(AND(BW959=1,BX959&lt;BY959),"MAX &lt; MB+LG; ","")&amp;IF(AND(CC959&gt;0,CB959*10&gt;CC959),"zu hoch für Tablar; ","")&amp;IF(AND(BN959=0,OR(BW959=1,Y959&lt;&gt;"",S959&lt;&gt;"",T959&lt;&gt;"",Z959&lt;&gt;"")),"manuell übersteuert; ","")&amp;IF(AND(BR959=0,Q959=0),"Gebinde unbekannt / Stellmass fehlt; ","")&amp;IF(AND(BR959=0,N(T959)&lt;=0,N(P959)&lt;=0),"Menge pro Gebinde fehlt (Ist = 1 Gebinde); ","")&amp;BM959)</f>
        <v>negativer Bestand (Export -3); </v>
      </c>
      <c r="BF959" s="55"/>
      <c r="BG959" s="55"/>
      <c r="BH959" s="62"/>
      <c r="BI959" s="57" t="n">
        <v>-3</v>
      </c>
      <c r="BJ959" s="57" t="n">
        <v>9</v>
      </c>
      <c r="BK959" s="56" t="n">
        <v>-65.52</v>
      </c>
      <c r="BL959" s="57" t="n">
        <v>2.01</v>
      </c>
      <c r="BM959" s="55"/>
      <c r="BN959" s="60" t="n">
        <v>0</v>
      </c>
      <c r="BO959" s="60" t="n">
        <v>959</v>
      </c>
      <c r="BP959" s="55" t="str">
        <f aca="false">IF(S959&lt;&gt;"",UPPER(TRIM(S959)),IF(O959="","LOSE",O959))</f>
        <v>S41</v>
      </c>
      <c r="BQ959" s="57" t="n">
        <f aca="false">IF(BP959="LOSE",1,IF(N(T959)&gt;0,T959,IF(N(P959)&gt;0,P959,MAX(1,G959))))</f>
        <v>12</v>
      </c>
      <c r="BR959" s="60" t="n">
        <f aca="false">IF(BP959="LOSE",1,0)</f>
        <v>0</v>
      </c>
      <c r="BS959" s="59" t="n">
        <f aca="false">IF(BR959=0,0,IF(N(R959)&gt;0,R959,IFERROR(VLOOKUP(D959,Parameter!$A$35:$C$64,3,0)+0,0)))</f>
        <v>0</v>
      </c>
      <c r="BT959" s="55" t="n">
        <f aca="false">IF(Y959&lt;&gt;"",Y959,X959)</f>
        <v>3</v>
      </c>
      <c r="BU959" s="55" t="str">
        <f aca="false">IF(BT959=1,"L1",IF(OR(BT959=2,BT959=3),"L23",IF(BT959="Aussen","Aussen","-")))</f>
        <v>L23</v>
      </c>
      <c r="BV959" s="66" t="n">
        <f aca="false">IF(N(Z959)&gt;0,Z959,0)</f>
        <v>0</v>
      </c>
      <c r="BW959" s="60" t="n">
        <f aca="false">IF(ISNUMBER(AC959),1,0)</f>
        <v>0</v>
      </c>
      <c r="BX959" s="57" t="n">
        <f aca="false">N(AC959)</f>
        <v>0</v>
      </c>
      <c r="BY959" s="57" t="n">
        <f aca="false">N(L959)+N(M959)</f>
        <v>1</v>
      </c>
      <c r="BZ959" s="57" t="n">
        <f aca="false">ROUNDUP(G959/BQ959,0)</f>
        <v>0</v>
      </c>
      <c r="CA959" s="57" t="n">
        <f aca="false">ROUNDUP(BX959/BQ959,0)</f>
        <v>0</v>
      </c>
      <c r="CB959" s="60" t="n">
        <f aca="false">IF(BR959=1,0,IFERROR(VLOOKUP(BP959,'Gebinde-Kategorie'!$A$5:$M$45,5,0)+0,0))</f>
        <v>11</v>
      </c>
      <c r="CC959" s="60" t="n">
        <f aca="false">IFERROR(IF(OR(BT959=1,BT959=2,BT959=3),N(INDEX(Parameter!$I$5:$I$7,BT959)),0),0)</f>
        <v>0</v>
      </c>
      <c r="CD959" s="59" t="n">
        <f aca="false">IF(AND(Parameter!$B$21="Ja",ISNUMBER(U959),N(V959)&gt;0),IFERROR(N(INDEX(Parameter!$L$5:$L$7,U959))*INDEX(Parameter!$E$5:$E$7,U959)*V959/SUMIFS($V$7:$V$1576,$U$7:$U$1576,U959),0),0)</f>
        <v>0</v>
      </c>
    </row>
    <row r="960" customFormat="false" ht="15" hidden="false" customHeight="false" outlineLevel="0" collapsed="false">
      <c r="A960" s="55" t="s">
        <v>1774</v>
      </c>
      <c r="B960" s="55" t="s">
        <v>954</v>
      </c>
      <c r="C960" s="55" t="s">
        <v>160</v>
      </c>
      <c r="D960" s="55" t="s">
        <v>178</v>
      </c>
      <c r="E960" s="55" t="s">
        <v>210</v>
      </c>
      <c r="F960" s="56" t="n">
        <v>16.51</v>
      </c>
      <c r="G960" s="57" t="n">
        <f aca="false">MAX(0,IF(AND(Parameter!$B$21="Ja",ISNUMBER(W960)),W960,IF(Parameter!$B$20="Jahresanfang 2025 + Export",BJ960+BI960,BI960)))</f>
        <v>0</v>
      </c>
      <c r="H960" s="57" t="n">
        <f aca="false">G960*F960</f>
        <v>0</v>
      </c>
      <c r="I960" s="57" t="n">
        <f aca="false">BL960*Parameter!$B$18</f>
        <v>0</v>
      </c>
      <c r="J960" s="58" t="n">
        <v>10.5</v>
      </c>
      <c r="K960" s="59" t="n">
        <v>0</v>
      </c>
      <c r="L960" s="57" t="n">
        <v>0</v>
      </c>
      <c r="M960" s="57" t="n">
        <v>1</v>
      </c>
      <c r="N960" s="60" t="n">
        <v>35</v>
      </c>
      <c r="O960" s="55" t="s">
        <v>465</v>
      </c>
      <c r="P960" s="57" t="n">
        <v>14</v>
      </c>
      <c r="Q960" s="60" t="n">
        <f aca="false">IF(BR960=1,0,IFERROR(VLOOKUP(BP960,'Gebinde-Kategorie'!$A$5:$M$45,13,0)+0,0))</f>
        <v>66</v>
      </c>
      <c r="R960" s="61"/>
      <c r="S960" s="62"/>
      <c r="T960" s="62"/>
      <c r="U960" s="55"/>
      <c r="V960" s="57"/>
      <c r="W960" s="57"/>
      <c r="X960" s="55" t="n">
        <f aca="false">IF(A960="","",IF(AND(Parameter!$B$21="Ja",ISNUMBER(U960)),U960,IF(IFERROR(VLOOKUP(D960,Parameter!$A$35:$C$64,2,0),"Nein")="2+3",IF(ISNUMBER(SEARCH("grosser Artikel",BM960)),2,IFERROR(VLOOKUP(BP960,Parameter!$F$35:$G$64,2,0),2)),IF(OR(IFERROR(VLOOKUP(D960,Parameter!$A$35:$C$64,2,0),"Nein")="Nein",IFERROR(VLOOKUP(D960,Parameter!$A$35:$C$64,2,0),"Nein")=""),"-",VLOOKUP(D960,Parameter!$A$35:$C$64,2,0)))))</f>
        <v>3</v>
      </c>
      <c r="Y960" s="62"/>
      <c r="Z960" s="63"/>
      <c r="AA960" s="57" t="n">
        <f aca="false">AP960</f>
        <v>14</v>
      </c>
      <c r="AB960" s="57" t="n">
        <f aca="false">MAX(AP960,G960)</f>
        <v>14</v>
      </c>
      <c r="AC960" s="64"/>
      <c r="AD960" s="57" t="n">
        <f aca="false">IF(LEFT(Cockpit!$C$5,1)="A",G960,IF(BW960=1,BX960,IF(LEFT(Cockpit!$C$5,1)="B",AH960,MAX(AH960,G960))))</f>
        <v>0</v>
      </c>
      <c r="AE960" s="57" t="n">
        <f aca="false">IF(BR960=1,0,ROUNDUP(AD960/BQ960,0))</f>
        <v>0</v>
      </c>
      <c r="AF960" s="59" t="n">
        <f aca="false">IF(CD960&gt;0,CD960*MAX(1,AD960/V960),IF(BR960=1,IF(AD960&lt;=0,0,BS960*MAX(1,IF(G960&gt;0,AD960/G960,1))),IF(Q960&gt;0,AE960/Q960,0))/MAX(0.1,N(Parameter!$M$21)))</f>
        <v>0</v>
      </c>
      <c r="AG960" s="57" t="n">
        <f aca="false">AD960*F960</f>
        <v>0</v>
      </c>
      <c r="AH960" s="57" t="n">
        <f aca="false">ROUNDUP(MAX(I960/IF(BV960&gt;0,BV960,MAX(0.1,N(Cockpit!$C$6))),BY960)/BQ960,0)*BQ960</f>
        <v>14</v>
      </c>
      <c r="AI960" s="58" t="n">
        <f aca="false">IF(AF960&gt;0,I960/AF960,-1)</f>
        <v>-1</v>
      </c>
      <c r="AJ960" s="58" t="str">
        <f aca="false">IF(AND(OR(BU960="L1",BU960="L23"),AF960&gt;0),SUMIFS($AF$7:$AF$1576,$BU$7:$BU$1576,BU960,$AI$7:$AI$1576,"&gt;"&amp;AI960)+SUMIFS($AF$7:$AF$1576,$BU$7:$BU$1576,BU960,$AI$7:$AI$1576,AI960,$BO$7:$BO$1576,"&lt;="&amp;BO960),"")</f>
        <v/>
      </c>
      <c r="AK960" s="65" t="n">
        <f aca="false">IF(AJ960="",0,MAX(0,MIN(1,(IF(BU960="L1",Parameter!$E$5,Parameter!$E$6+Parameter!$E$7)-(AJ960-AF960))/AF960)))</f>
        <v>0</v>
      </c>
      <c r="AL960" s="57" t="n">
        <f aca="false">IF(LEFT(Cockpit!$I$5,1)="A",G960,IF(BW960=1,BX960,IF(LEFT(Cockpit!$I$5,1)="B",AP960,MAX(AP960,G960))))</f>
        <v>14</v>
      </c>
      <c r="AM960" s="57" t="n">
        <f aca="false">IF(BR960=1,0,ROUNDUP(AL960/BQ960,0))</f>
        <v>1</v>
      </c>
      <c r="AN960" s="59" t="n">
        <f aca="false">IF(CD960&gt;0,CD960*MAX(1,AL960/V960),IF(BR960=1,IF(AL960&lt;=0,0,BS960*MAX(1,IF(G960&gt;0,AL960/G960,1))),IF(Q960&gt;0,AM960/Q960,0))/MAX(0.1,N(Parameter!$M$21)))</f>
        <v>0.0151515151515152</v>
      </c>
      <c r="AO960" s="57" t="n">
        <f aca="false">AL960*F960</f>
        <v>231.14</v>
      </c>
      <c r="AP960" s="57" t="n">
        <f aca="false">ROUNDUP(MAX(I960/IF(BV960&gt;0,BV960,MAX(0.1,N(Cockpit!$I$6))),BY960)/BQ960,0)*BQ960</f>
        <v>14</v>
      </c>
      <c r="AQ960" s="58" t="n">
        <f aca="false">IF(AN960&gt;0,I960/AN960,-1)</f>
        <v>0</v>
      </c>
      <c r="AR960" s="58" t="n">
        <f aca="false">IF(AND(OR(BU960="L1",BU960="L23"),AN960&gt;0),SUMIFS($AN$7:$AN$1576,$BU$7:$BU$1576,BU960,$AQ$7:$AQ$1576,"&gt;"&amp;AQ960)+SUMIFS($AN$7:$AN$1576,$BU$7:$BU$1576,BU960,$AQ$7:$AQ$1576,AQ960,$BO$7:$BO$1576,"&lt;="&amp;BO960),"")</f>
        <v>131.649181181185</v>
      </c>
      <c r="AS960" s="65" t="n">
        <f aca="false">IF(AR960="",0,MAX(0,MIN(1,(IF(BU960="L1",Parameter!$E$5,Parameter!$E$6+Parameter!$E$7)-(AR960-AN960))/AN960)))</f>
        <v>0</v>
      </c>
      <c r="AT960" s="57" t="n">
        <f aca="false">IF(LEFT(Cockpit!$O$5,1)="A",G960,IF(BW960=1,BX960,IF(LEFT(Cockpit!$O$5,1)="B",AX960,MAX(AX960,G960))))</f>
        <v>14</v>
      </c>
      <c r="AU960" s="57" t="n">
        <f aca="false">IF(BR960=1,0,ROUNDUP(AT960/BQ960,0))</f>
        <v>1</v>
      </c>
      <c r="AV960" s="59" t="n">
        <f aca="false">IF(CD960&gt;0,CD960*MAX(1,AT960/V960),IF(BR960=1,IF(AT960&lt;=0,0,BS960*MAX(1,IF(G960&gt;0,AT960/G960,1))),IF(Q960&gt;0,AU960/Q960,0))/MAX(0.1,N(Parameter!$M$21)))</f>
        <v>0.0151515151515152</v>
      </c>
      <c r="AW960" s="57" t="n">
        <f aca="false">AT960*F960</f>
        <v>231.14</v>
      </c>
      <c r="AX960" s="57" t="n">
        <f aca="false">ROUNDUP(MAX(I960/IF(BV960&gt;0,BV960,MAX(0.1,N(Cockpit!$O$6))),BY960)/BQ960,0)*BQ960</f>
        <v>14</v>
      </c>
      <c r="AY960" s="58" t="n">
        <f aca="false">IF(AV960&gt;0,I960/AV960,-1)</f>
        <v>0</v>
      </c>
      <c r="AZ960" s="58" t="n">
        <f aca="false">IF(AND(OR(BU960="L1",BU960="L23"),AV960&gt;0),SUMIFS($AV$7:$AV$1576,$BU$7:$BU$1576,BU960,$AY$7:$AY$1576,"&gt;"&amp;AY960)+SUMIFS($AV$7:$AV$1576,$BU$7:$BU$1576,BU960,$AY$7:$AY$1576,AY960,$BO$7:$BO$1576,"&lt;="&amp;BO960),"")</f>
        <v>121.708731630736</v>
      </c>
      <c r="BA960" s="65" t="n">
        <f aca="false">IF(AZ960="",0,MAX(0,MIN(1,(IF(BU960="L1",Parameter!$E$5,Parameter!$E$6+Parameter!$E$7)-(AZ960-AV960))/AV960)))</f>
        <v>0</v>
      </c>
      <c r="BB960" s="55" t="str">
        <f aca="false">IF(AF960&lt;=0,"",IF(BU960="Aussen","Aussenlager",IF(BU960="-","Nicht im Lift",IF(AK960&gt;=1,"Lift",IF(AK960&lt;=0,"Aussenlager","teilweise")))))</f>
        <v/>
      </c>
      <c r="BC960" s="55" t="str">
        <f aca="false">IF(AN960&lt;=0,"",IF(BU960="Aussen","Aussenlager",IF(BU960="-","Nicht im Lift",IF(AS960&gt;=1,"Lift",IF(AS960&lt;=0,"Aussenlager","teilweise")))))</f>
        <v>Aussenlager</v>
      </c>
      <c r="BD960" s="55" t="str">
        <f aca="false">IF(AV960&lt;=0,"",IF(BU960="Aussen","Aussenlager",IF(BU960="-","Nicht im Lift",IF(BA960&gt;=1,"Lift",IF(BA960&lt;=0,"Aussenlager","teilweise")))))</f>
        <v>Aussenlager</v>
      </c>
      <c r="BE960" s="55" t="str">
        <f aca="false">IF(A960="","",IF(BN960=1,"Neu; ","")&amp;IF(AND(BN960=0,BI960&lt;0),"negativer Bestand (Export "&amp;BI960&amp;"); ","")&amp;IF(I960&lt;=0,"Kein Verbrauch; ","")&amp;IF(CD960&gt;0,"Lift "&amp;U960&amp;" lt. Liftbericht (Fach "&amp;V960&amp;" Stk); ",IF(BR960=1,"Lose – Fläche geschätzt; ",""))&amp;IF(G960&gt;AP960,"Überbestand "&amp;ROUND(G960-AP960,0)&amp;" Stk / CHF "&amp;ROUND((G960-AP960)*F960,0)&amp;"; ","")&amp;IF(AND(BW960=1,BX960&lt;BY960),"MAX &lt; MB+LG; ","")&amp;IF(AND(CC960&gt;0,CB960*10&gt;CC960),"zu hoch für Tablar; ","")&amp;IF(AND(BN960=0,OR(BW960=1,Y960&lt;&gt;"",S960&lt;&gt;"",T960&lt;&gt;"",Z960&lt;&gt;"")),"manuell übersteuert; ","")&amp;IF(AND(BR960=0,Q960=0),"Gebinde unbekannt / Stellmass fehlt; ","")&amp;IF(AND(BR960=0,N(T960)&lt;=0,N(P960)&lt;=0),"Menge pro Gebinde fehlt (Ist = 1 Gebinde); ","")&amp;BM960)</f>
        <v>negativer Bestand (Export -4); Kein Verbrauch; </v>
      </c>
      <c r="BF960" s="55"/>
      <c r="BG960" s="55"/>
      <c r="BH960" s="62"/>
      <c r="BI960" s="57" t="n">
        <v>-4</v>
      </c>
      <c r="BJ960" s="57" t="n">
        <v>12</v>
      </c>
      <c r="BK960" s="56" t="n">
        <v>-66.04</v>
      </c>
      <c r="BL960" s="57" t="n">
        <v>0</v>
      </c>
      <c r="BM960" s="55"/>
      <c r="BN960" s="60" t="n">
        <v>0</v>
      </c>
      <c r="BO960" s="60" t="n">
        <v>960</v>
      </c>
      <c r="BP960" s="55" t="str">
        <f aca="false">IF(S960&lt;&gt;"",UPPER(TRIM(S960)),IF(O960="","LOSE",O960))</f>
        <v>S33</v>
      </c>
      <c r="BQ960" s="57" t="n">
        <f aca="false">IF(BP960="LOSE",1,IF(N(T960)&gt;0,T960,IF(N(P960)&gt;0,P960,MAX(1,G960))))</f>
        <v>14</v>
      </c>
      <c r="BR960" s="60" t="n">
        <f aca="false">IF(BP960="LOSE",1,0)</f>
        <v>0</v>
      </c>
      <c r="BS960" s="59" t="n">
        <f aca="false">IF(BR960=0,0,IF(N(R960)&gt;0,R960,IFERROR(VLOOKUP(D960,Parameter!$A$35:$C$64,3,0)+0,0)))</f>
        <v>0</v>
      </c>
      <c r="BT960" s="55" t="n">
        <f aca="false">IF(Y960&lt;&gt;"",Y960,X960)</f>
        <v>3</v>
      </c>
      <c r="BU960" s="55" t="str">
        <f aca="false">IF(BT960=1,"L1",IF(OR(BT960=2,BT960=3),"L23",IF(BT960="Aussen","Aussen","-")))</f>
        <v>L23</v>
      </c>
      <c r="BV960" s="66" t="n">
        <f aca="false">IF(N(Z960)&gt;0,Z960,0)</f>
        <v>0</v>
      </c>
      <c r="BW960" s="60" t="n">
        <f aca="false">IF(ISNUMBER(AC960),1,0)</f>
        <v>0</v>
      </c>
      <c r="BX960" s="57" t="n">
        <f aca="false">N(AC960)</f>
        <v>0</v>
      </c>
      <c r="BY960" s="57" t="n">
        <f aca="false">N(L960)+N(M960)</f>
        <v>1</v>
      </c>
      <c r="BZ960" s="57" t="n">
        <f aca="false">ROUNDUP(G960/BQ960,0)</f>
        <v>0</v>
      </c>
      <c r="CA960" s="57" t="n">
        <f aca="false">ROUNDUP(BX960/BQ960,0)</f>
        <v>0</v>
      </c>
      <c r="CB960" s="60" t="n">
        <f aca="false">IF(BR960=1,0,IFERROR(VLOOKUP(BP960,'Gebinde-Kategorie'!$A$5:$M$45,5,0)+0,0))</f>
        <v>8</v>
      </c>
      <c r="CC960" s="60" t="n">
        <f aca="false">IFERROR(IF(OR(BT960=1,BT960=2,BT960=3),N(INDEX(Parameter!$I$5:$I$7,BT960)),0),0)</f>
        <v>0</v>
      </c>
      <c r="CD960" s="59" t="n">
        <f aca="false">IF(AND(Parameter!$B$21="Ja",ISNUMBER(U960),N(V960)&gt;0),IFERROR(N(INDEX(Parameter!$L$5:$L$7,U960))*INDEX(Parameter!$E$5:$E$7,U960)*V960/SUMIFS($V$7:$V$1576,$U$7:$U$1576,U960),0),0)</f>
        <v>0</v>
      </c>
    </row>
    <row r="961" customFormat="false" ht="15" hidden="false" customHeight="false" outlineLevel="0" collapsed="false">
      <c r="A961" s="55" t="s">
        <v>1775</v>
      </c>
      <c r="B961" s="55" t="s">
        <v>1776</v>
      </c>
      <c r="C961" s="55" t="s">
        <v>160</v>
      </c>
      <c r="D961" s="55" t="s">
        <v>178</v>
      </c>
      <c r="E961" s="55" t="s">
        <v>210</v>
      </c>
      <c r="F961" s="56" t="n">
        <v>67.24</v>
      </c>
      <c r="G961" s="57" t="n">
        <f aca="false">MAX(0,IF(AND(Parameter!$B$21="Ja",ISNUMBER(W961)),W961,IF(Parameter!$B$20="Jahresanfang 2025 + Export",BJ961+BI961,BI961)))</f>
        <v>0</v>
      </c>
      <c r="H961" s="57" t="n">
        <f aca="false">G961*F961</f>
        <v>0</v>
      </c>
      <c r="I961" s="57" t="n">
        <f aca="false">BL961*Parameter!$B$18</f>
        <v>1</v>
      </c>
      <c r="J961" s="58" t="n">
        <v>4</v>
      </c>
      <c r="K961" s="59" t="n">
        <v>0.25</v>
      </c>
      <c r="L961" s="57" t="n">
        <v>0</v>
      </c>
      <c r="M961" s="57" t="n">
        <v>1</v>
      </c>
      <c r="N961" s="60" t="n">
        <v>21</v>
      </c>
      <c r="O961" s="55" t="s">
        <v>293</v>
      </c>
      <c r="P961" s="57" t="n">
        <v>6</v>
      </c>
      <c r="Q961" s="60" t="n">
        <f aca="false">IF(BR961=1,0,IFERROR(VLOOKUP(BP961,'Gebinde-Kategorie'!$A$5:$M$45,13,0)+0,0))</f>
        <v>26</v>
      </c>
      <c r="R961" s="61"/>
      <c r="S961" s="62"/>
      <c r="T961" s="62"/>
      <c r="U961" s="55"/>
      <c r="V961" s="57"/>
      <c r="W961" s="57"/>
      <c r="X961" s="55" t="n">
        <f aca="false">IF(A961="","",IF(AND(Parameter!$B$21="Ja",ISNUMBER(U961)),U961,IF(IFERROR(VLOOKUP(D961,Parameter!$A$35:$C$64,2,0),"Nein")="2+3",IF(ISNUMBER(SEARCH("grosser Artikel",BM961)),2,IFERROR(VLOOKUP(BP961,Parameter!$F$35:$G$64,2,0),2)),IF(OR(IFERROR(VLOOKUP(D961,Parameter!$A$35:$C$64,2,0),"Nein")="Nein",IFERROR(VLOOKUP(D961,Parameter!$A$35:$C$64,2,0),"Nein")=""),"-",VLOOKUP(D961,Parameter!$A$35:$C$64,2,0)))))</f>
        <v>3</v>
      </c>
      <c r="Y961" s="62"/>
      <c r="Z961" s="63"/>
      <c r="AA961" s="57" t="n">
        <f aca="false">AP961</f>
        <v>6</v>
      </c>
      <c r="AB961" s="57" t="n">
        <f aca="false">MAX(AP961,G961)</f>
        <v>6</v>
      </c>
      <c r="AC961" s="64"/>
      <c r="AD961" s="57" t="n">
        <f aca="false">IF(LEFT(Cockpit!$C$5,1)="A",G961,IF(BW961=1,BX961,IF(LEFT(Cockpit!$C$5,1)="B",AH961,MAX(AH961,G961))))</f>
        <v>0</v>
      </c>
      <c r="AE961" s="57" t="n">
        <f aca="false">IF(BR961=1,0,ROUNDUP(AD961/BQ961,0))</f>
        <v>0</v>
      </c>
      <c r="AF961" s="59" t="n">
        <f aca="false">IF(CD961&gt;0,CD961*MAX(1,AD961/V961),IF(BR961=1,IF(AD961&lt;=0,0,BS961*MAX(1,IF(G961&gt;0,AD961/G961,1))),IF(Q961&gt;0,AE961/Q961,0))/MAX(0.1,N(Parameter!$M$21)))</f>
        <v>0</v>
      </c>
      <c r="AG961" s="57" t="n">
        <f aca="false">AD961*F961</f>
        <v>0</v>
      </c>
      <c r="AH961" s="57" t="n">
        <f aca="false">ROUNDUP(MAX(I961/IF(BV961&gt;0,BV961,MAX(0.1,N(Cockpit!$C$6))),BY961)/BQ961,0)*BQ961</f>
        <v>6</v>
      </c>
      <c r="AI961" s="58" t="n">
        <f aca="false">IF(AF961&gt;0,I961/AF961,-1)</f>
        <v>-1</v>
      </c>
      <c r="AJ961" s="58" t="str">
        <f aca="false">IF(AND(OR(BU961="L1",BU961="L23"),AF961&gt;0),SUMIFS($AF$7:$AF$1576,$BU$7:$BU$1576,BU961,$AI$7:$AI$1576,"&gt;"&amp;AI961)+SUMIFS($AF$7:$AF$1576,$BU$7:$BU$1576,BU961,$AI$7:$AI$1576,AI961,$BO$7:$BO$1576,"&lt;="&amp;BO961),"")</f>
        <v/>
      </c>
      <c r="AK961" s="65" t="n">
        <f aca="false">IF(AJ961="",0,MAX(0,MIN(1,(IF(BU961="L1",Parameter!$E$5,Parameter!$E$6+Parameter!$E$7)-(AJ961-AF961))/AF961)))</f>
        <v>0</v>
      </c>
      <c r="AL961" s="57" t="n">
        <f aca="false">IF(LEFT(Cockpit!$I$5,1)="A",G961,IF(BW961=1,BX961,IF(LEFT(Cockpit!$I$5,1)="B",AP961,MAX(AP961,G961))))</f>
        <v>6</v>
      </c>
      <c r="AM961" s="57" t="n">
        <f aca="false">IF(BR961=1,0,ROUNDUP(AL961/BQ961,0))</f>
        <v>1</v>
      </c>
      <c r="AN961" s="59" t="n">
        <f aca="false">IF(CD961&gt;0,CD961*MAX(1,AL961/V961),IF(BR961=1,IF(AL961&lt;=0,0,BS961*MAX(1,IF(G961&gt;0,AL961/G961,1))),IF(Q961&gt;0,AM961/Q961,0))/MAX(0.1,N(Parameter!$M$21)))</f>
        <v>0.0384615384615385</v>
      </c>
      <c r="AO961" s="57" t="n">
        <f aca="false">AL961*F961</f>
        <v>403.44</v>
      </c>
      <c r="AP961" s="57" t="n">
        <f aca="false">ROUNDUP(MAX(I961/IF(BV961&gt;0,BV961,MAX(0.1,N(Cockpit!$I$6))),BY961)/BQ961,0)*BQ961</f>
        <v>6</v>
      </c>
      <c r="AQ961" s="58" t="n">
        <f aca="false">IF(AN961&gt;0,I961/AN961,-1)</f>
        <v>26</v>
      </c>
      <c r="AR961" s="58" t="n">
        <f aca="false">IF(AND(OR(BU961="L1",BU961="L23"),AN961&gt;0),SUMIFS($AN$7:$AN$1576,$BU$7:$BU$1576,BU961,$AQ$7:$AQ$1576,"&gt;"&amp;AQ961)+SUMIFS($AN$7:$AN$1576,$BU$7:$BU$1576,BU961,$AQ$7:$AQ$1576,AQ961,$BO$7:$BO$1576,"&lt;="&amp;BO961),"")</f>
        <v>97.2770499733111</v>
      </c>
      <c r="AS961" s="65" t="n">
        <f aca="false">IF(AR961="",0,MAX(0,MIN(1,(IF(BU961="L1",Parameter!$E$5,Parameter!$E$6+Parameter!$E$7)-(AR961-AN961))/AN961)))</f>
        <v>1</v>
      </c>
      <c r="AT961" s="57" t="n">
        <f aca="false">IF(LEFT(Cockpit!$O$5,1)="A",G961,IF(BW961=1,BX961,IF(LEFT(Cockpit!$O$5,1)="B",AX961,MAX(AX961,G961))))</f>
        <v>6</v>
      </c>
      <c r="AU961" s="57" t="n">
        <f aca="false">IF(BR961=1,0,ROUNDUP(AT961/BQ961,0))</f>
        <v>1</v>
      </c>
      <c r="AV961" s="59" t="n">
        <f aca="false">IF(CD961&gt;0,CD961*MAX(1,AT961/V961),IF(BR961=1,IF(AT961&lt;=0,0,BS961*MAX(1,IF(G961&gt;0,AT961/G961,1))),IF(Q961&gt;0,AU961/Q961,0))/MAX(0.1,N(Parameter!$M$21)))</f>
        <v>0.0384615384615385</v>
      </c>
      <c r="AW961" s="57" t="n">
        <f aca="false">AT961*F961</f>
        <v>403.44</v>
      </c>
      <c r="AX961" s="57" t="n">
        <f aca="false">ROUNDUP(MAX(I961/IF(BV961&gt;0,BV961,MAX(0.1,N(Cockpit!$O$6))),BY961)/BQ961,0)*BQ961</f>
        <v>6</v>
      </c>
      <c r="AY961" s="58" t="n">
        <f aca="false">IF(AV961&gt;0,I961/AV961,-1)</f>
        <v>26</v>
      </c>
      <c r="AZ961" s="58" t="n">
        <f aca="false">IF(AND(OR(BU961="L1",BU961="L23"),AV961&gt;0),SUMIFS($AV$7:$AV$1576,$BU$7:$BU$1576,BU961,$AY$7:$AY$1576,"&gt;"&amp;AY961)+SUMIFS($AV$7:$AV$1576,$BU$7:$BU$1576,BU961,$AY$7:$AY$1576,AY961,$BO$7:$BO$1576,"&lt;="&amp;BO961),"")</f>
        <v>88.0866004228616</v>
      </c>
      <c r="BA961" s="65" t="n">
        <f aca="false">IF(AZ961="",0,MAX(0,MIN(1,(IF(BU961="L1",Parameter!$E$5,Parameter!$E$6+Parameter!$E$7)-(AZ961-AV961))/AV961)))</f>
        <v>1</v>
      </c>
      <c r="BB961" s="55" t="str">
        <f aca="false">IF(AF961&lt;=0,"",IF(BU961="Aussen","Aussenlager",IF(BU961="-","Nicht im Lift",IF(AK961&gt;=1,"Lift",IF(AK961&lt;=0,"Aussenlager","teilweise")))))</f>
        <v/>
      </c>
      <c r="BC961" s="55" t="str">
        <f aca="false">IF(AN961&lt;=0,"",IF(BU961="Aussen","Aussenlager",IF(BU961="-","Nicht im Lift",IF(AS961&gt;=1,"Lift",IF(AS961&lt;=0,"Aussenlager","teilweise")))))</f>
        <v>Lift</v>
      </c>
      <c r="BD961" s="55" t="str">
        <f aca="false">IF(AV961&lt;=0,"",IF(BU961="Aussen","Aussenlager",IF(BU961="-","Nicht im Lift",IF(BA961&gt;=1,"Lift",IF(BA961&lt;=0,"Aussenlager","teilweise")))))</f>
        <v>Lift</v>
      </c>
      <c r="BE961" s="55" t="str">
        <f aca="false">IF(A961="","",IF(BN961=1,"Neu; ","")&amp;IF(AND(BN961=0,BI961&lt;0),"negativer Bestand (Export "&amp;BI961&amp;"); ","")&amp;IF(I961&lt;=0,"Kein Verbrauch; ","")&amp;IF(CD961&gt;0,"Lift "&amp;U961&amp;" lt. Liftbericht (Fach "&amp;V961&amp;" Stk); ",IF(BR961=1,"Lose – Fläche geschätzt; ",""))&amp;IF(G961&gt;AP961,"Überbestand "&amp;ROUND(G961-AP961,0)&amp;" Stk / CHF "&amp;ROUND((G961-AP961)*F961,0)&amp;"; ","")&amp;IF(AND(BW961=1,BX961&lt;BY961),"MAX &lt; MB+LG; ","")&amp;IF(AND(CC961&gt;0,CB961*10&gt;CC961),"zu hoch für Tablar; ","")&amp;IF(AND(BN961=0,OR(BW961=1,Y961&lt;&gt;"",S961&lt;&gt;"",T961&lt;&gt;"",Z961&lt;&gt;"")),"manuell übersteuert; ","")&amp;IF(AND(BR961=0,Q961=0),"Gebinde unbekannt / Stellmass fehlt; ","")&amp;IF(AND(BR961=0,N(T961)&lt;=0,N(P961)&lt;=0),"Menge pro Gebinde fehlt (Ist = 1 Gebinde); ","")&amp;BM961)</f>
        <v>negativer Bestand (Export -1); </v>
      </c>
      <c r="BF961" s="55"/>
      <c r="BG961" s="55"/>
      <c r="BH961" s="62"/>
      <c r="BI961" s="57" t="n">
        <v>-1</v>
      </c>
      <c r="BJ961" s="57" t="n">
        <v>4</v>
      </c>
      <c r="BK961" s="56" t="n">
        <v>-67.24</v>
      </c>
      <c r="BL961" s="57" t="n">
        <v>1</v>
      </c>
      <c r="BM961" s="55"/>
      <c r="BN961" s="60" t="n">
        <v>0</v>
      </c>
      <c r="BO961" s="60" t="n">
        <v>961</v>
      </c>
      <c r="BP961" s="55" t="str">
        <f aca="false">IF(S961&lt;&gt;"",UPPER(TRIM(S961)),IF(O961="","LOSE",O961))</f>
        <v>S51</v>
      </c>
      <c r="BQ961" s="57" t="n">
        <f aca="false">IF(BP961="LOSE",1,IF(N(T961)&gt;0,T961,IF(N(P961)&gt;0,P961,MAX(1,G961))))</f>
        <v>6</v>
      </c>
      <c r="BR961" s="60" t="n">
        <f aca="false">IF(BP961="LOSE",1,0)</f>
        <v>0</v>
      </c>
      <c r="BS961" s="59" t="n">
        <f aca="false">IF(BR961=0,0,IF(N(R961)&gt;0,R961,IFERROR(VLOOKUP(D961,Parameter!$A$35:$C$64,3,0)+0,0)))</f>
        <v>0</v>
      </c>
      <c r="BT961" s="55" t="n">
        <f aca="false">IF(Y961&lt;&gt;"",Y961,X961)</f>
        <v>3</v>
      </c>
      <c r="BU961" s="55" t="str">
        <f aca="false">IF(BT961=1,"L1",IF(OR(BT961=2,BT961=3),"L23",IF(BT961="Aussen","Aussen","-")))</f>
        <v>L23</v>
      </c>
      <c r="BV961" s="66" t="n">
        <f aca="false">IF(N(Z961)&gt;0,Z961,0)</f>
        <v>0</v>
      </c>
      <c r="BW961" s="60" t="n">
        <f aca="false">IF(ISNUMBER(AC961),1,0)</f>
        <v>0</v>
      </c>
      <c r="BX961" s="57" t="n">
        <f aca="false">N(AC961)</f>
        <v>0</v>
      </c>
      <c r="BY961" s="57" t="n">
        <f aca="false">N(L961)+N(M961)</f>
        <v>1</v>
      </c>
      <c r="BZ961" s="57" t="n">
        <f aca="false">ROUNDUP(G961/BQ961,0)</f>
        <v>0</v>
      </c>
      <c r="CA961" s="57" t="n">
        <f aca="false">ROUNDUP(BX961/BQ961,0)</f>
        <v>0</v>
      </c>
      <c r="CB961" s="60" t="n">
        <f aca="false">IF(BR961=1,0,IFERROR(VLOOKUP(BP961,'Gebinde-Kategorie'!$A$5:$M$45,5,0)+0,0))</f>
        <v>11</v>
      </c>
      <c r="CC961" s="60" t="n">
        <f aca="false">IFERROR(IF(OR(BT961=1,BT961=2,BT961=3),N(INDEX(Parameter!$I$5:$I$7,BT961)),0),0)</f>
        <v>0</v>
      </c>
      <c r="CD961" s="59" t="n">
        <f aca="false">IF(AND(Parameter!$B$21="Ja",ISNUMBER(U961),N(V961)&gt;0),IFERROR(N(INDEX(Parameter!$L$5:$L$7,U961))*INDEX(Parameter!$E$5:$E$7,U961)*V961/SUMIFS($V$7:$V$1576,$U$7:$U$1576,U961),0),0)</f>
        <v>0</v>
      </c>
    </row>
    <row r="962" customFormat="false" ht="15" hidden="false" customHeight="false" outlineLevel="0" collapsed="false">
      <c r="A962" s="55" t="s">
        <v>1777</v>
      </c>
      <c r="B962" s="55" t="s">
        <v>1778</v>
      </c>
      <c r="C962" s="55" t="s">
        <v>160</v>
      </c>
      <c r="D962" s="55" t="s">
        <v>178</v>
      </c>
      <c r="E962" s="55" t="s">
        <v>210</v>
      </c>
      <c r="F962" s="56" t="n">
        <v>68.34</v>
      </c>
      <c r="G962" s="57" t="n">
        <f aca="false">MAX(0,IF(AND(Parameter!$B$21="Ja",ISNUMBER(W962)),W962,IF(Parameter!$B$20="Jahresanfang 2025 + Export",BJ962+BI962,BI962)))</f>
        <v>0</v>
      </c>
      <c r="H962" s="57" t="n">
        <f aca="false">G962*F962</f>
        <v>0</v>
      </c>
      <c r="I962" s="57" t="n">
        <f aca="false">BL962*Parameter!$B$18</f>
        <v>3</v>
      </c>
      <c r="J962" s="58" t="n">
        <v>7</v>
      </c>
      <c r="K962" s="59" t="n">
        <v>0.428571428571429</v>
      </c>
      <c r="L962" s="57" t="n">
        <v>0</v>
      </c>
      <c r="M962" s="57" t="n">
        <v>5</v>
      </c>
      <c r="N962" s="60" t="n">
        <v>14</v>
      </c>
      <c r="O962" s="55" t="s">
        <v>284</v>
      </c>
      <c r="P962" s="57" t="n">
        <v>13</v>
      </c>
      <c r="Q962" s="60" t="n">
        <f aca="false">IF(BR962=1,0,IFERROR(VLOOKUP(BP962,'Gebinde-Kategorie'!$A$5:$M$45,13,0)+0,0))</f>
        <v>12</v>
      </c>
      <c r="R962" s="61"/>
      <c r="S962" s="62"/>
      <c r="T962" s="62"/>
      <c r="U962" s="55"/>
      <c r="V962" s="57"/>
      <c r="W962" s="57"/>
      <c r="X962" s="55" t="n">
        <f aca="false">IF(A962="","",IF(AND(Parameter!$B$21="Ja",ISNUMBER(U962)),U962,IF(IFERROR(VLOOKUP(D962,Parameter!$A$35:$C$64,2,0),"Nein")="2+3",IF(ISNUMBER(SEARCH("grosser Artikel",BM962)),2,IFERROR(VLOOKUP(BP962,Parameter!$F$35:$G$64,2,0),2)),IF(OR(IFERROR(VLOOKUP(D962,Parameter!$A$35:$C$64,2,0),"Nein")="Nein",IFERROR(VLOOKUP(D962,Parameter!$A$35:$C$64,2,0),"Nein")=""),"-",VLOOKUP(D962,Parameter!$A$35:$C$64,2,0)))))</f>
        <v>2</v>
      </c>
      <c r="Y962" s="62"/>
      <c r="Z962" s="63"/>
      <c r="AA962" s="57" t="n">
        <f aca="false">AP962</f>
        <v>13</v>
      </c>
      <c r="AB962" s="57" t="n">
        <f aca="false">MAX(AP962,G962)</f>
        <v>13</v>
      </c>
      <c r="AC962" s="64"/>
      <c r="AD962" s="57" t="n">
        <f aca="false">IF(LEFT(Cockpit!$C$5,1)="A",G962,IF(BW962=1,BX962,IF(LEFT(Cockpit!$C$5,1)="B",AH962,MAX(AH962,G962))))</f>
        <v>0</v>
      </c>
      <c r="AE962" s="57" t="n">
        <f aca="false">IF(BR962=1,0,ROUNDUP(AD962/BQ962,0))</f>
        <v>0</v>
      </c>
      <c r="AF962" s="59" t="n">
        <f aca="false">IF(CD962&gt;0,CD962*MAX(1,AD962/V962),IF(BR962=1,IF(AD962&lt;=0,0,BS962*MAX(1,IF(G962&gt;0,AD962/G962,1))),IF(Q962&gt;0,AE962/Q962,0))/MAX(0.1,N(Parameter!$M$21)))</f>
        <v>0</v>
      </c>
      <c r="AG962" s="57" t="n">
        <f aca="false">AD962*F962</f>
        <v>0</v>
      </c>
      <c r="AH962" s="57" t="n">
        <f aca="false">ROUNDUP(MAX(I962/IF(BV962&gt;0,BV962,MAX(0.1,N(Cockpit!$C$6))),BY962)/BQ962,0)*BQ962</f>
        <v>13</v>
      </c>
      <c r="AI962" s="58" t="n">
        <f aca="false">IF(AF962&gt;0,I962/AF962,-1)</f>
        <v>-1</v>
      </c>
      <c r="AJ962" s="58" t="str">
        <f aca="false">IF(AND(OR(BU962="L1",BU962="L23"),AF962&gt;0),SUMIFS($AF$7:$AF$1576,$BU$7:$BU$1576,BU962,$AI$7:$AI$1576,"&gt;"&amp;AI962)+SUMIFS($AF$7:$AF$1576,$BU$7:$BU$1576,BU962,$AI$7:$AI$1576,AI962,$BO$7:$BO$1576,"&lt;="&amp;BO962),"")</f>
        <v/>
      </c>
      <c r="AK962" s="65" t="n">
        <f aca="false">IF(AJ962="",0,MAX(0,MIN(1,(IF(BU962="L1",Parameter!$E$5,Parameter!$E$6+Parameter!$E$7)-(AJ962-AF962))/AF962)))</f>
        <v>0</v>
      </c>
      <c r="AL962" s="57" t="n">
        <f aca="false">IF(LEFT(Cockpit!$I$5,1)="A",G962,IF(BW962=1,BX962,IF(LEFT(Cockpit!$I$5,1)="B",AP962,MAX(AP962,G962))))</f>
        <v>13</v>
      </c>
      <c r="AM962" s="57" t="n">
        <f aca="false">IF(BR962=1,0,ROUNDUP(AL962/BQ962,0))</f>
        <v>1</v>
      </c>
      <c r="AN962" s="59" t="n">
        <f aca="false">IF(CD962&gt;0,CD962*MAX(1,AL962/V962),IF(BR962=1,IF(AL962&lt;=0,0,BS962*MAX(1,IF(G962&gt;0,AL962/G962,1))),IF(Q962&gt;0,AM962/Q962,0))/MAX(0.1,N(Parameter!$M$21)))</f>
        <v>0.0833333333333333</v>
      </c>
      <c r="AO962" s="57" t="n">
        <f aca="false">AL962*F962</f>
        <v>888.42</v>
      </c>
      <c r="AP962" s="57" t="n">
        <f aca="false">ROUNDUP(MAX(I962/IF(BV962&gt;0,BV962,MAX(0.1,N(Cockpit!$I$6))),BY962)/BQ962,0)*BQ962</f>
        <v>13</v>
      </c>
      <c r="AQ962" s="58" t="n">
        <f aca="false">IF(AN962&gt;0,I962/AN962,-1)</f>
        <v>36</v>
      </c>
      <c r="AR962" s="58" t="n">
        <f aca="false">IF(AND(OR(BU962="L1",BU962="L23"),AN962&gt;0),SUMIFS($AN$7:$AN$1576,$BU$7:$BU$1576,BU962,$AQ$7:$AQ$1576,"&gt;"&amp;AQ962)+SUMIFS($AN$7:$AN$1576,$BU$7:$BU$1576,BU962,$AQ$7:$AQ$1576,AQ962,$BO$7:$BO$1576,"&lt;="&amp;BO962),"")</f>
        <v>93.2157679220291</v>
      </c>
      <c r="AS962" s="65" t="n">
        <f aca="false">IF(AR962="",0,MAX(0,MIN(1,(IF(BU962="L1",Parameter!$E$5,Parameter!$E$6+Parameter!$E$7)-(AR962-AN962))/AN962)))</f>
        <v>1</v>
      </c>
      <c r="AT962" s="57" t="n">
        <f aca="false">IF(LEFT(Cockpit!$O$5,1)="A",G962,IF(BW962=1,BX962,IF(LEFT(Cockpit!$O$5,1)="B",AX962,MAX(AX962,G962))))</f>
        <v>13</v>
      </c>
      <c r="AU962" s="57" t="n">
        <f aca="false">IF(BR962=1,0,ROUNDUP(AT962/BQ962,0))</f>
        <v>1</v>
      </c>
      <c r="AV962" s="59" t="n">
        <f aca="false">IF(CD962&gt;0,CD962*MAX(1,AT962/V962),IF(BR962=1,IF(AT962&lt;=0,0,BS962*MAX(1,IF(G962&gt;0,AT962/G962,1))),IF(Q962&gt;0,AU962/Q962,0))/MAX(0.1,N(Parameter!$M$21)))</f>
        <v>0.0833333333333333</v>
      </c>
      <c r="AW962" s="57" t="n">
        <f aca="false">AT962*F962</f>
        <v>888.42</v>
      </c>
      <c r="AX962" s="57" t="n">
        <f aca="false">ROUNDUP(MAX(I962/IF(BV962&gt;0,BV962,MAX(0.1,N(Cockpit!$O$6))),BY962)/BQ962,0)*BQ962</f>
        <v>13</v>
      </c>
      <c r="AY962" s="58" t="n">
        <f aca="false">IF(AV962&gt;0,I962/AV962,-1)</f>
        <v>36</v>
      </c>
      <c r="AZ962" s="58" t="n">
        <f aca="false">IF(AND(OR(BU962="L1",BU962="L23"),AV962&gt;0),SUMIFS($AV$7:$AV$1576,$BU$7:$BU$1576,BU962,$AY$7:$AY$1576,"&gt;"&amp;AY962)+SUMIFS($AV$7:$AV$1576,$BU$7:$BU$1576,BU962,$AY$7:$AY$1576,AY962,$BO$7:$BO$1576,"&lt;="&amp;BO962),"")</f>
        <v>85.0003183715795</v>
      </c>
      <c r="BA962" s="65" t="n">
        <f aca="false">IF(AZ962="",0,MAX(0,MIN(1,(IF(BU962="L1",Parameter!$E$5,Parameter!$E$6+Parameter!$E$7)-(AZ962-AV962))/AV962)))</f>
        <v>1</v>
      </c>
      <c r="BB962" s="55" t="str">
        <f aca="false">IF(AF962&lt;=0,"",IF(BU962="Aussen","Aussenlager",IF(BU962="-","Nicht im Lift",IF(AK962&gt;=1,"Lift",IF(AK962&lt;=0,"Aussenlager","teilweise")))))</f>
        <v/>
      </c>
      <c r="BC962" s="55" t="str">
        <f aca="false">IF(AN962&lt;=0,"",IF(BU962="Aussen","Aussenlager",IF(BU962="-","Nicht im Lift",IF(AS962&gt;=1,"Lift",IF(AS962&lt;=0,"Aussenlager","teilweise")))))</f>
        <v>Lift</v>
      </c>
      <c r="BD962" s="55" t="str">
        <f aca="false">IF(AV962&lt;=0,"",IF(BU962="Aussen","Aussenlager",IF(BU962="-","Nicht im Lift",IF(BA962&gt;=1,"Lift",IF(BA962&lt;=0,"Aussenlager","teilweise")))))</f>
        <v>Lift</v>
      </c>
      <c r="BE962" s="55" t="str">
        <f aca="false">IF(A962="","",IF(BN962=1,"Neu; ","")&amp;IF(AND(BN962=0,BI962&lt;0),"negativer Bestand (Export "&amp;BI962&amp;"); ","")&amp;IF(I962&lt;=0,"Kein Verbrauch; ","")&amp;IF(CD962&gt;0,"Lift "&amp;U962&amp;" lt. Liftbericht (Fach "&amp;V962&amp;" Stk); ",IF(BR962=1,"Lose – Fläche geschätzt; ",""))&amp;IF(G962&gt;AP962,"Überbestand "&amp;ROUND(G962-AP962,0)&amp;" Stk / CHF "&amp;ROUND((G962-AP962)*F962,0)&amp;"; ","")&amp;IF(AND(BW962=1,BX962&lt;BY962),"MAX &lt; MB+LG; ","")&amp;IF(AND(CC962&gt;0,CB962*10&gt;CC962),"zu hoch für Tablar; ","")&amp;IF(AND(BN962=0,OR(BW962=1,Y962&lt;&gt;"",S962&lt;&gt;"",T962&lt;&gt;"",Z962&lt;&gt;"")),"manuell übersteuert; ","")&amp;IF(AND(BR962=0,Q962=0),"Gebinde unbekannt / Stellmass fehlt; ","")&amp;IF(AND(BR962=0,N(T962)&lt;=0,N(P962)&lt;=0),"Menge pro Gebinde fehlt (Ist = 1 Gebinde); ","")&amp;BM962)</f>
        <v>negativer Bestand (Export -1); </v>
      </c>
      <c r="BF962" s="55"/>
      <c r="BG962" s="55"/>
      <c r="BH962" s="62"/>
      <c r="BI962" s="57" t="n">
        <v>-1</v>
      </c>
      <c r="BJ962" s="57" t="n">
        <v>8</v>
      </c>
      <c r="BK962" s="56" t="n">
        <v>-68.34</v>
      </c>
      <c r="BL962" s="57" t="n">
        <v>3</v>
      </c>
      <c r="BM962" s="55"/>
      <c r="BN962" s="60" t="n">
        <v>0</v>
      </c>
      <c r="BO962" s="60" t="n">
        <v>962</v>
      </c>
      <c r="BP962" s="55" t="str">
        <f aca="false">IF(S962&lt;&gt;"",UPPER(TRIM(S962)),IF(O962="","LOSE",O962))</f>
        <v>S62</v>
      </c>
      <c r="BQ962" s="57" t="n">
        <f aca="false">IF(BP962="LOSE",1,IF(N(T962)&gt;0,T962,IF(N(P962)&gt;0,P962,MAX(1,G962))))</f>
        <v>13</v>
      </c>
      <c r="BR962" s="60" t="n">
        <f aca="false">IF(BP962="LOSE",1,0)</f>
        <v>0</v>
      </c>
      <c r="BS962" s="59" t="n">
        <f aca="false">IF(BR962=0,0,IF(N(R962)&gt;0,R962,IFERROR(VLOOKUP(D962,Parameter!$A$35:$C$64,3,0)+0,0)))</f>
        <v>0</v>
      </c>
      <c r="BT962" s="55" t="n">
        <f aca="false">IF(Y962&lt;&gt;"",Y962,X962)</f>
        <v>2</v>
      </c>
      <c r="BU962" s="55" t="str">
        <f aca="false">IF(BT962=1,"L1",IF(OR(BT962=2,BT962=3),"L23",IF(BT962="Aussen","Aussen","-")))</f>
        <v>L23</v>
      </c>
      <c r="BV962" s="66" t="n">
        <f aca="false">IF(N(Z962)&gt;0,Z962,0)</f>
        <v>0</v>
      </c>
      <c r="BW962" s="60" t="n">
        <f aca="false">IF(ISNUMBER(AC962),1,0)</f>
        <v>0</v>
      </c>
      <c r="BX962" s="57" t="n">
        <f aca="false">N(AC962)</f>
        <v>0</v>
      </c>
      <c r="BY962" s="57" t="n">
        <f aca="false">N(L962)+N(M962)</f>
        <v>5</v>
      </c>
      <c r="BZ962" s="57" t="n">
        <f aca="false">ROUNDUP(G962/BQ962,0)</f>
        <v>0</v>
      </c>
      <c r="CA962" s="57" t="n">
        <f aca="false">ROUNDUP(BX962/BQ962,0)</f>
        <v>0</v>
      </c>
      <c r="CB962" s="60" t="n">
        <f aca="false">IF(BR962=1,0,IFERROR(VLOOKUP(BP962,'Gebinde-Kategorie'!$A$5:$M$45,5,0)+0,0))</f>
        <v>21</v>
      </c>
      <c r="CC962" s="60" t="n">
        <f aca="false">IFERROR(IF(OR(BT962=1,BT962=2,BT962=3),N(INDEX(Parameter!$I$5:$I$7,BT962)),0),0)</f>
        <v>0</v>
      </c>
      <c r="CD962" s="59" t="n">
        <f aca="false">IF(AND(Parameter!$B$21="Ja",ISNUMBER(U962),N(V962)&gt;0),IFERROR(N(INDEX(Parameter!$L$5:$L$7,U962))*INDEX(Parameter!$E$5:$E$7,U962)*V962/SUMIFS($V$7:$V$1576,$U$7:$U$1576,U962),0),0)</f>
        <v>0</v>
      </c>
    </row>
    <row r="963" customFormat="false" ht="15" hidden="false" customHeight="false" outlineLevel="0" collapsed="false">
      <c r="A963" s="55" t="s">
        <v>1779</v>
      </c>
      <c r="B963" s="55" t="s">
        <v>478</v>
      </c>
      <c r="C963" s="55" t="s">
        <v>160</v>
      </c>
      <c r="D963" s="55" t="s">
        <v>178</v>
      </c>
      <c r="E963" s="55" t="s">
        <v>210</v>
      </c>
      <c r="F963" s="56" t="n">
        <v>1.22</v>
      </c>
      <c r="G963" s="57" t="n">
        <f aca="false">MAX(0,IF(AND(Parameter!$B$21="Ja",ISNUMBER(W963)),W963,IF(Parameter!$B$20="Jahresanfang 2025 + Export",BJ963+BI963,BI963)))</f>
        <v>0</v>
      </c>
      <c r="H963" s="57" t="n">
        <f aca="false">G963*F963</f>
        <v>0</v>
      </c>
      <c r="I963" s="57" t="n">
        <f aca="false">BL963*Parameter!$B$18</f>
        <v>422</v>
      </c>
      <c r="J963" s="58" t="n">
        <v>345.5</v>
      </c>
      <c r="K963" s="59" t="n">
        <v>1.22141823444284</v>
      </c>
      <c r="L963" s="57" t="n">
        <v>16</v>
      </c>
      <c r="M963" s="57" t="n">
        <v>420</v>
      </c>
      <c r="N963" s="60" t="n">
        <v>14</v>
      </c>
      <c r="O963" s="55" t="s">
        <v>293</v>
      </c>
      <c r="P963" s="57" t="n">
        <v>621</v>
      </c>
      <c r="Q963" s="60" t="n">
        <f aca="false">IF(BR963=1,0,IFERROR(VLOOKUP(BP963,'Gebinde-Kategorie'!$A$5:$M$45,13,0)+0,0))</f>
        <v>26</v>
      </c>
      <c r="R963" s="61"/>
      <c r="S963" s="62"/>
      <c r="T963" s="62"/>
      <c r="U963" s="55"/>
      <c r="V963" s="57"/>
      <c r="W963" s="57"/>
      <c r="X963" s="55" t="n">
        <f aca="false">IF(A963="","",IF(AND(Parameter!$B$21="Ja",ISNUMBER(U963)),U963,IF(IFERROR(VLOOKUP(D963,Parameter!$A$35:$C$64,2,0),"Nein")="2+3",IF(ISNUMBER(SEARCH("grosser Artikel",BM963)),2,IFERROR(VLOOKUP(BP963,Parameter!$F$35:$G$64,2,0),2)),IF(OR(IFERROR(VLOOKUP(D963,Parameter!$A$35:$C$64,2,0),"Nein")="Nein",IFERROR(VLOOKUP(D963,Parameter!$A$35:$C$64,2,0),"Nein")=""),"-",VLOOKUP(D963,Parameter!$A$35:$C$64,2,0)))))</f>
        <v>3</v>
      </c>
      <c r="Y963" s="62"/>
      <c r="Z963" s="63"/>
      <c r="AA963" s="57" t="n">
        <f aca="false">AP963</f>
        <v>621</v>
      </c>
      <c r="AB963" s="57" t="n">
        <f aca="false">MAX(AP963,G963)</f>
        <v>621</v>
      </c>
      <c r="AC963" s="64"/>
      <c r="AD963" s="57" t="n">
        <f aca="false">IF(LEFT(Cockpit!$C$5,1)="A",G963,IF(BW963=1,BX963,IF(LEFT(Cockpit!$C$5,1)="B",AH963,MAX(AH963,G963))))</f>
        <v>0</v>
      </c>
      <c r="AE963" s="57" t="n">
        <f aca="false">IF(BR963=1,0,ROUNDUP(AD963/BQ963,0))</f>
        <v>0</v>
      </c>
      <c r="AF963" s="59" t="n">
        <f aca="false">IF(CD963&gt;0,CD963*MAX(1,AD963/V963),IF(BR963=1,IF(AD963&lt;=0,0,BS963*MAX(1,IF(G963&gt;0,AD963/G963,1))),IF(Q963&gt;0,AE963/Q963,0))/MAX(0.1,N(Parameter!$M$21)))</f>
        <v>0</v>
      </c>
      <c r="AG963" s="57" t="n">
        <f aca="false">AD963*F963</f>
        <v>0</v>
      </c>
      <c r="AH963" s="57" t="n">
        <f aca="false">ROUNDUP(MAX(I963/IF(BV963&gt;0,BV963,MAX(0.1,N(Cockpit!$C$6))),BY963)/BQ963,0)*BQ963</f>
        <v>621</v>
      </c>
      <c r="AI963" s="58" t="n">
        <f aca="false">IF(AF963&gt;0,I963/AF963,-1)</f>
        <v>-1</v>
      </c>
      <c r="AJ963" s="58" t="str">
        <f aca="false">IF(AND(OR(BU963="L1",BU963="L23"),AF963&gt;0),SUMIFS($AF$7:$AF$1576,$BU$7:$BU$1576,BU963,$AI$7:$AI$1576,"&gt;"&amp;AI963)+SUMIFS($AF$7:$AF$1576,$BU$7:$BU$1576,BU963,$AI$7:$AI$1576,AI963,$BO$7:$BO$1576,"&lt;="&amp;BO963),"")</f>
        <v/>
      </c>
      <c r="AK963" s="65" t="n">
        <f aca="false">IF(AJ963="",0,MAX(0,MIN(1,(IF(BU963="L1",Parameter!$E$5,Parameter!$E$6+Parameter!$E$7)-(AJ963-AF963))/AF963)))</f>
        <v>0</v>
      </c>
      <c r="AL963" s="57" t="n">
        <f aca="false">IF(LEFT(Cockpit!$I$5,1)="A",G963,IF(BW963=1,BX963,IF(LEFT(Cockpit!$I$5,1)="B",AP963,MAX(AP963,G963))))</f>
        <v>621</v>
      </c>
      <c r="AM963" s="57" t="n">
        <f aca="false">IF(BR963=1,0,ROUNDUP(AL963/BQ963,0))</f>
        <v>1</v>
      </c>
      <c r="AN963" s="59" t="n">
        <f aca="false">IF(CD963&gt;0,CD963*MAX(1,AL963/V963),IF(BR963=1,IF(AL963&lt;=0,0,BS963*MAX(1,IF(G963&gt;0,AL963/G963,1))),IF(Q963&gt;0,AM963/Q963,0))/MAX(0.1,N(Parameter!$M$21)))</f>
        <v>0.0384615384615385</v>
      </c>
      <c r="AO963" s="57" t="n">
        <f aca="false">AL963*F963</f>
        <v>757.62</v>
      </c>
      <c r="AP963" s="57" t="n">
        <f aca="false">ROUNDUP(MAX(I963/IF(BV963&gt;0,BV963,MAX(0.1,N(Cockpit!$I$6))),BY963)/BQ963,0)*BQ963</f>
        <v>621</v>
      </c>
      <c r="AQ963" s="58" t="n">
        <f aca="false">IF(AN963&gt;0,I963/AN963,-1)</f>
        <v>10972</v>
      </c>
      <c r="AR963" s="58" t="n">
        <f aca="false">IF(AND(OR(BU963="L1",BU963="L23"),AN963&gt;0),SUMIFS($AN$7:$AN$1576,$BU$7:$BU$1576,BU963,$AQ$7:$AQ$1576,"&gt;"&amp;AQ963)+SUMIFS($AN$7:$AN$1576,$BU$7:$BU$1576,BU963,$AQ$7:$AQ$1576,AQ963,$BO$7:$BO$1576,"&lt;="&amp;BO963),"")</f>
        <v>6.84661227661228</v>
      </c>
      <c r="AS963" s="65" t="n">
        <f aca="false">IF(AR963="",0,MAX(0,MIN(1,(IF(BU963="L1",Parameter!$E$5,Parameter!$E$6+Parameter!$E$7)-(AR963-AN963))/AN963)))</f>
        <v>1</v>
      </c>
      <c r="AT963" s="57" t="n">
        <f aca="false">IF(LEFT(Cockpit!$O$5,1)="A",G963,IF(BW963=1,BX963,IF(LEFT(Cockpit!$O$5,1)="B",AX963,MAX(AX963,G963))))</f>
        <v>621</v>
      </c>
      <c r="AU963" s="57" t="n">
        <f aca="false">IF(BR963=1,0,ROUNDUP(AT963/BQ963,0))</f>
        <v>1</v>
      </c>
      <c r="AV963" s="59" t="n">
        <f aca="false">IF(CD963&gt;0,CD963*MAX(1,AT963/V963),IF(BR963=1,IF(AT963&lt;=0,0,BS963*MAX(1,IF(G963&gt;0,AT963/G963,1))),IF(Q963&gt;0,AU963/Q963,0))/MAX(0.1,N(Parameter!$M$21)))</f>
        <v>0.0384615384615385</v>
      </c>
      <c r="AW963" s="57" t="n">
        <f aca="false">AT963*F963</f>
        <v>757.62</v>
      </c>
      <c r="AX963" s="57" t="n">
        <f aca="false">ROUNDUP(MAX(I963/IF(BV963&gt;0,BV963,MAX(0.1,N(Cockpit!$O$6))),BY963)/BQ963,0)*BQ963</f>
        <v>621</v>
      </c>
      <c r="AY963" s="58" t="n">
        <f aca="false">IF(AV963&gt;0,I963/AV963,-1)</f>
        <v>10972</v>
      </c>
      <c r="AZ963" s="58" t="n">
        <f aca="false">IF(AND(OR(BU963="L1",BU963="L23"),AV963&gt;0),SUMIFS($AV$7:$AV$1576,$BU$7:$BU$1576,BU963,$AY$7:$AY$1576,"&gt;"&amp;AY963)+SUMIFS($AV$7:$AV$1576,$BU$7:$BU$1576,BU963,$AY$7:$AY$1576,AY963,$BO$7:$BO$1576,"&lt;="&amp;BO963),"")</f>
        <v>6.54824397824398</v>
      </c>
      <c r="BA963" s="65" t="n">
        <f aca="false">IF(AZ963="",0,MAX(0,MIN(1,(IF(BU963="L1",Parameter!$E$5,Parameter!$E$6+Parameter!$E$7)-(AZ963-AV963))/AV963)))</f>
        <v>1</v>
      </c>
      <c r="BB963" s="55" t="str">
        <f aca="false">IF(AF963&lt;=0,"",IF(BU963="Aussen","Aussenlager",IF(BU963="-","Nicht im Lift",IF(AK963&gt;=1,"Lift",IF(AK963&lt;=0,"Aussenlager","teilweise")))))</f>
        <v/>
      </c>
      <c r="BC963" s="55" t="str">
        <f aca="false">IF(AN963&lt;=0,"",IF(BU963="Aussen","Aussenlager",IF(BU963="-","Nicht im Lift",IF(AS963&gt;=1,"Lift",IF(AS963&lt;=0,"Aussenlager","teilweise")))))</f>
        <v>Lift</v>
      </c>
      <c r="BD963" s="55" t="str">
        <f aca="false">IF(AV963&lt;=0,"",IF(BU963="Aussen","Aussenlager",IF(BU963="-","Nicht im Lift",IF(BA963&gt;=1,"Lift",IF(BA963&lt;=0,"Aussenlager","teilweise")))))</f>
        <v>Lift</v>
      </c>
      <c r="BE963" s="55" t="str">
        <f aca="false">IF(A963="","",IF(BN963=1,"Neu; ","")&amp;IF(AND(BN963=0,BI963&lt;0),"negativer Bestand (Export "&amp;BI963&amp;"); ","")&amp;IF(I963&lt;=0,"Kein Verbrauch; ","")&amp;IF(CD963&gt;0,"Lift "&amp;U963&amp;" lt. Liftbericht (Fach "&amp;V963&amp;" Stk); ",IF(BR963=1,"Lose – Fläche geschätzt; ",""))&amp;IF(G963&gt;AP963,"Überbestand "&amp;ROUND(G963-AP963,0)&amp;" Stk / CHF "&amp;ROUND((G963-AP963)*F963,0)&amp;"; ","")&amp;IF(AND(BW963=1,BX963&lt;BY963),"MAX &lt; MB+LG; ","")&amp;IF(AND(CC963&gt;0,CB963*10&gt;CC963),"zu hoch für Tablar; ","")&amp;IF(AND(BN963=0,OR(BW963=1,Y963&lt;&gt;"",S963&lt;&gt;"",T963&lt;&gt;"",Z963&lt;&gt;"")),"manuell übersteuert; ","")&amp;IF(AND(BR963=0,Q963=0),"Gebinde unbekannt / Stellmass fehlt; ","")&amp;IF(AND(BR963=0,N(T963)&lt;=0,N(P963)&lt;=0),"Menge pro Gebinde fehlt (Ist = 1 Gebinde); ","")&amp;BM963)</f>
        <v>negativer Bestand (Export -65); </v>
      </c>
      <c r="BF963" s="55"/>
      <c r="BG963" s="55"/>
      <c r="BH963" s="62"/>
      <c r="BI963" s="57" t="n">
        <v>-65</v>
      </c>
      <c r="BJ963" s="57" t="n">
        <v>252</v>
      </c>
      <c r="BK963" s="56" t="n">
        <v>-69.22</v>
      </c>
      <c r="BL963" s="57" t="n">
        <v>422</v>
      </c>
      <c r="BM963" s="55"/>
      <c r="BN963" s="60" t="n">
        <v>0</v>
      </c>
      <c r="BO963" s="60" t="n">
        <v>963</v>
      </c>
      <c r="BP963" s="55" t="str">
        <f aca="false">IF(S963&lt;&gt;"",UPPER(TRIM(S963)),IF(O963="","LOSE",O963))</f>
        <v>S51</v>
      </c>
      <c r="BQ963" s="57" t="n">
        <f aca="false">IF(BP963="LOSE",1,IF(N(T963)&gt;0,T963,IF(N(P963)&gt;0,P963,MAX(1,G963))))</f>
        <v>621</v>
      </c>
      <c r="BR963" s="60" t="n">
        <f aca="false">IF(BP963="LOSE",1,0)</f>
        <v>0</v>
      </c>
      <c r="BS963" s="59" t="n">
        <f aca="false">IF(BR963=0,0,IF(N(R963)&gt;0,R963,IFERROR(VLOOKUP(D963,Parameter!$A$35:$C$64,3,0)+0,0)))</f>
        <v>0</v>
      </c>
      <c r="BT963" s="55" t="n">
        <f aca="false">IF(Y963&lt;&gt;"",Y963,X963)</f>
        <v>3</v>
      </c>
      <c r="BU963" s="55" t="str">
        <f aca="false">IF(BT963=1,"L1",IF(OR(BT963=2,BT963=3),"L23",IF(BT963="Aussen","Aussen","-")))</f>
        <v>L23</v>
      </c>
      <c r="BV963" s="66" t="n">
        <f aca="false">IF(N(Z963)&gt;0,Z963,0)</f>
        <v>0</v>
      </c>
      <c r="BW963" s="60" t="n">
        <f aca="false">IF(ISNUMBER(AC963),1,0)</f>
        <v>0</v>
      </c>
      <c r="BX963" s="57" t="n">
        <f aca="false">N(AC963)</f>
        <v>0</v>
      </c>
      <c r="BY963" s="57" t="n">
        <f aca="false">N(L963)+N(M963)</f>
        <v>436</v>
      </c>
      <c r="BZ963" s="57" t="n">
        <f aca="false">ROUNDUP(G963/BQ963,0)</f>
        <v>0</v>
      </c>
      <c r="CA963" s="57" t="n">
        <f aca="false">ROUNDUP(BX963/BQ963,0)</f>
        <v>0</v>
      </c>
      <c r="CB963" s="60" t="n">
        <f aca="false">IF(BR963=1,0,IFERROR(VLOOKUP(BP963,'Gebinde-Kategorie'!$A$5:$M$45,5,0)+0,0))</f>
        <v>11</v>
      </c>
      <c r="CC963" s="60" t="n">
        <f aca="false">IFERROR(IF(OR(BT963=1,BT963=2,BT963=3),N(INDEX(Parameter!$I$5:$I$7,BT963)),0),0)</f>
        <v>0</v>
      </c>
      <c r="CD963" s="59" t="n">
        <f aca="false">IF(AND(Parameter!$B$21="Ja",ISNUMBER(U963),N(V963)&gt;0),IFERROR(N(INDEX(Parameter!$L$5:$L$7,U963))*INDEX(Parameter!$E$5:$E$7,U963)*V963/SUMIFS($V$7:$V$1576,$U$7:$U$1576,U963),0),0)</f>
        <v>0</v>
      </c>
    </row>
    <row r="964" customFormat="false" ht="15" hidden="false" customHeight="false" outlineLevel="0" collapsed="false">
      <c r="A964" s="55" t="s">
        <v>1780</v>
      </c>
      <c r="B964" s="55" t="s">
        <v>478</v>
      </c>
      <c r="C964" s="55" t="s">
        <v>160</v>
      </c>
      <c r="D964" s="55" t="s">
        <v>178</v>
      </c>
      <c r="E964" s="55" t="s">
        <v>210</v>
      </c>
      <c r="F964" s="56" t="n">
        <v>1.74</v>
      </c>
      <c r="G964" s="57" t="n">
        <f aca="false">MAX(0,IF(AND(Parameter!$B$21="Ja",ISNUMBER(W964)),W964,IF(Parameter!$B$20="Jahresanfang 2025 + Export",BJ964+BI964,BI964)))</f>
        <v>0</v>
      </c>
      <c r="H964" s="57" t="n">
        <f aca="false">G964*F964</f>
        <v>0</v>
      </c>
      <c r="I964" s="57" t="n">
        <f aca="false">BL964*Parameter!$B$18</f>
        <v>272</v>
      </c>
      <c r="J964" s="58" t="n">
        <v>157</v>
      </c>
      <c r="K964" s="59" t="n">
        <v>1.73248407643312</v>
      </c>
      <c r="L964" s="57" t="n">
        <v>10</v>
      </c>
      <c r="M964" s="57" t="n">
        <v>300</v>
      </c>
      <c r="N964" s="60" t="n">
        <v>14</v>
      </c>
      <c r="O964" s="55" t="s">
        <v>465</v>
      </c>
      <c r="P964" s="57" t="n">
        <v>486</v>
      </c>
      <c r="Q964" s="60" t="n">
        <f aca="false">IF(BR964=1,0,IFERROR(VLOOKUP(BP964,'Gebinde-Kategorie'!$A$5:$M$45,13,0)+0,0))</f>
        <v>66</v>
      </c>
      <c r="R964" s="61"/>
      <c r="S964" s="62"/>
      <c r="T964" s="62"/>
      <c r="U964" s="55"/>
      <c r="V964" s="57"/>
      <c r="W964" s="57"/>
      <c r="X964" s="55" t="n">
        <f aca="false">IF(A964="","",IF(AND(Parameter!$B$21="Ja",ISNUMBER(U964)),U964,IF(IFERROR(VLOOKUP(D964,Parameter!$A$35:$C$64,2,0),"Nein")="2+3",IF(ISNUMBER(SEARCH("grosser Artikel",BM964)),2,IFERROR(VLOOKUP(BP964,Parameter!$F$35:$G$64,2,0),2)),IF(OR(IFERROR(VLOOKUP(D964,Parameter!$A$35:$C$64,2,0),"Nein")="Nein",IFERROR(VLOOKUP(D964,Parameter!$A$35:$C$64,2,0),"Nein")=""),"-",VLOOKUP(D964,Parameter!$A$35:$C$64,2,0)))))</f>
        <v>3</v>
      </c>
      <c r="Y964" s="62"/>
      <c r="Z964" s="63"/>
      <c r="AA964" s="57" t="n">
        <f aca="false">AP964</f>
        <v>486</v>
      </c>
      <c r="AB964" s="57" t="n">
        <f aca="false">MAX(AP964,G964)</f>
        <v>486</v>
      </c>
      <c r="AC964" s="64"/>
      <c r="AD964" s="57" t="n">
        <f aca="false">IF(LEFT(Cockpit!$C$5,1)="A",G964,IF(BW964=1,BX964,IF(LEFT(Cockpit!$C$5,1)="B",AH964,MAX(AH964,G964))))</f>
        <v>0</v>
      </c>
      <c r="AE964" s="57" t="n">
        <f aca="false">IF(BR964=1,0,ROUNDUP(AD964/BQ964,0))</f>
        <v>0</v>
      </c>
      <c r="AF964" s="59" t="n">
        <f aca="false">IF(CD964&gt;0,CD964*MAX(1,AD964/V964),IF(BR964=1,IF(AD964&lt;=0,0,BS964*MAX(1,IF(G964&gt;0,AD964/G964,1))),IF(Q964&gt;0,AE964/Q964,0))/MAX(0.1,N(Parameter!$M$21)))</f>
        <v>0</v>
      </c>
      <c r="AG964" s="57" t="n">
        <f aca="false">AD964*F964</f>
        <v>0</v>
      </c>
      <c r="AH964" s="57" t="n">
        <f aca="false">ROUNDUP(MAX(I964/IF(BV964&gt;0,BV964,MAX(0.1,N(Cockpit!$C$6))),BY964)/BQ964,0)*BQ964</f>
        <v>486</v>
      </c>
      <c r="AI964" s="58" t="n">
        <f aca="false">IF(AF964&gt;0,I964/AF964,-1)</f>
        <v>-1</v>
      </c>
      <c r="AJ964" s="58" t="str">
        <f aca="false">IF(AND(OR(BU964="L1",BU964="L23"),AF964&gt;0),SUMIFS($AF$7:$AF$1576,$BU$7:$BU$1576,BU964,$AI$7:$AI$1576,"&gt;"&amp;AI964)+SUMIFS($AF$7:$AF$1576,$BU$7:$BU$1576,BU964,$AI$7:$AI$1576,AI964,$BO$7:$BO$1576,"&lt;="&amp;BO964),"")</f>
        <v/>
      </c>
      <c r="AK964" s="65" t="n">
        <f aca="false">IF(AJ964="",0,MAX(0,MIN(1,(IF(BU964="L1",Parameter!$E$5,Parameter!$E$6+Parameter!$E$7)-(AJ964-AF964))/AF964)))</f>
        <v>0</v>
      </c>
      <c r="AL964" s="57" t="n">
        <f aca="false">IF(LEFT(Cockpit!$I$5,1)="A",G964,IF(BW964=1,BX964,IF(LEFT(Cockpit!$I$5,1)="B",AP964,MAX(AP964,G964))))</f>
        <v>486</v>
      </c>
      <c r="AM964" s="57" t="n">
        <f aca="false">IF(BR964=1,0,ROUNDUP(AL964/BQ964,0))</f>
        <v>1</v>
      </c>
      <c r="AN964" s="59" t="n">
        <f aca="false">IF(CD964&gt;0,CD964*MAX(1,AL964/V964),IF(BR964=1,IF(AL964&lt;=0,0,BS964*MAX(1,IF(G964&gt;0,AL964/G964,1))),IF(Q964&gt;0,AM964/Q964,0))/MAX(0.1,N(Parameter!$M$21)))</f>
        <v>0.0151515151515152</v>
      </c>
      <c r="AO964" s="57" t="n">
        <f aca="false">AL964*F964</f>
        <v>845.64</v>
      </c>
      <c r="AP964" s="57" t="n">
        <f aca="false">ROUNDUP(MAX(I964/IF(BV964&gt;0,BV964,MAX(0.1,N(Cockpit!$I$6))),BY964)/BQ964,0)*BQ964</f>
        <v>486</v>
      </c>
      <c r="AQ964" s="58" t="n">
        <f aca="false">IF(AN964&gt;0,I964/AN964,-1)</f>
        <v>17952</v>
      </c>
      <c r="AR964" s="58" t="n">
        <f aca="false">IF(AND(OR(BU964="L1",BU964="L23"),AN964&gt;0),SUMIFS($AN$7:$AN$1576,$BU$7:$BU$1576,BU964,$AQ$7:$AQ$1576,"&gt;"&amp;AQ964)+SUMIFS($AN$7:$AN$1576,$BU$7:$BU$1576,BU964,$AQ$7:$AQ$1576,AQ964,$BO$7:$BO$1576,"&lt;="&amp;BO964),"")</f>
        <v>4.25894530590183</v>
      </c>
      <c r="AS964" s="65" t="n">
        <f aca="false">IF(AR964="",0,MAX(0,MIN(1,(IF(BU964="L1",Parameter!$E$5,Parameter!$E$6+Parameter!$E$7)-(AR964-AN964))/AN964)))</f>
        <v>1</v>
      </c>
      <c r="AT964" s="57" t="n">
        <f aca="false">IF(LEFT(Cockpit!$O$5,1)="A",G964,IF(BW964=1,BX964,IF(LEFT(Cockpit!$O$5,1)="B",AX964,MAX(AX964,G964))))</f>
        <v>486</v>
      </c>
      <c r="AU964" s="57" t="n">
        <f aca="false">IF(BR964=1,0,ROUNDUP(AT964/BQ964,0))</f>
        <v>1</v>
      </c>
      <c r="AV964" s="59" t="n">
        <f aca="false">IF(CD964&gt;0,CD964*MAX(1,AT964/V964),IF(BR964=1,IF(AT964&lt;=0,0,BS964*MAX(1,IF(G964&gt;0,AT964/G964,1))),IF(Q964&gt;0,AU964/Q964,0))/MAX(0.1,N(Parameter!$M$21)))</f>
        <v>0.0151515151515152</v>
      </c>
      <c r="AW964" s="57" t="n">
        <f aca="false">AT964*F964</f>
        <v>845.64</v>
      </c>
      <c r="AX964" s="57" t="n">
        <f aca="false">ROUNDUP(MAX(I964/IF(BV964&gt;0,BV964,MAX(0.1,N(Cockpit!$O$6))),BY964)/BQ964,0)*BQ964</f>
        <v>486</v>
      </c>
      <c r="AY964" s="58" t="n">
        <f aca="false">IF(AV964&gt;0,I964/AV964,-1)</f>
        <v>17952</v>
      </c>
      <c r="AZ964" s="58" t="n">
        <f aca="false">IF(AND(OR(BU964="L1",BU964="L23"),AV964&gt;0),SUMIFS($AV$7:$AV$1576,$BU$7:$BU$1576,BU964,$AY$7:$AY$1576,"&gt;"&amp;AY964)+SUMIFS($AV$7:$AV$1576,$BU$7:$BU$1576,BU964,$AY$7:$AY$1576,AY964,$BO$7:$BO$1576,"&lt;="&amp;BO964),"")</f>
        <v>4.60160264855917</v>
      </c>
      <c r="BA964" s="65" t="n">
        <f aca="false">IF(AZ964="",0,MAX(0,MIN(1,(IF(BU964="L1",Parameter!$E$5,Parameter!$E$6+Parameter!$E$7)-(AZ964-AV964))/AV964)))</f>
        <v>1</v>
      </c>
      <c r="BB964" s="55" t="str">
        <f aca="false">IF(AF964&lt;=0,"",IF(BU964="Aussen","Aussenlager",IF(BU964="-","Nicht im Lift",IF(AK964&gt;=1,"Lift",IF(AK964&lt;=0,"Aussenlager","teilweise")))))</f>
        <v/>
      </c>
      <c r="BC964" s="55" t="str">
        <f aca="false">IF(AN964&lt;=0,"",IF(BU964="Aussen","Aussenlager",IF(BU964="-","Nicht im Lift",IF(AS964&gt;=1,"Lift",IF(AS964&lt;=0,"Aussenlager","teilweise")))))</f>
        <v>Lift</v>
      </c>
      <c r="BD964" s="55" t="str">
        <f aca="false">IF(AV964&lt;=0,"",IF(BU964="Aussen","Aussenlager",IF(BU964="-","Nicht im Lift",IF(BA964&gt;=1,"Lift",IF(BA964&lt;=0,"Aussenlager","teilweise")))))</f>
        <v>Lift</v>
      </c>
      <c r="BE964" s="55" t="str">
        <f aca="false">IF(A964="","",IF(BN964=1,"Neu; ","")&amp;IF(AND(BN964=0,BI964&lt;0),"negativer Bestand (Export "&amp;BI964&amp;"); ","")&amp;IF(I964&lt;=0,"Kein Verbrauch; ","")&amp;IF(CD964&gt;0,"Lift "&amp;U964&amp;" lt. Liftbericht (Fach "&amp;V964&amp;" Stk); ",IF(BR964=1,"Lose – Fläche geschätzt; ",""))&amp;IF(G964&gt;AP964,"Überbestand "&amp;ROUND(G964-AP964,0)&amp;" Stk / CHF "&amp;ROUND((G964-AP964)*F964,0)&amp;"; ","")&amp;IF(AND(BW964=1,BX964&lt;BY964),"MAX &lt; MB+LG; ","")&amp;IF(AND(CC964&gt;0,CB964*10&gt;CC964),"zu hoch für Tablar; ","")&amp;IF(AND(BN964=0,OR(BW964=1,Y964&lt;&gt;"",S964&lt;&gt;"",T964&lt;&gt;"",Z964&lt;&gt;"")),"manuell übersteuert; ","")&amp;IF(AND(BR964=0,Q964=0),"Gebinde unbekannt / Stellmass fehlt; ","")&amp;IF(AND(BR964=0,N(T964)&lt;=0,N(P964)&lt;=0),"Menge pro Gebinde fehlt (Ist = 1 Gebinde); ","")&amp;BM964)</f>
        <v>negativer Bestand (Export -39); </v>
      </c>
      <c r="BF964" s="55"/>
      <c r="BG964" s="55"/>
      <c r="BH964" s="62"/>
      <c r="BI964" s="57" t="n">
        <v>-39</v>
      </c>
      <c r="BJ964" s="57" t="n">
        <v>93</v>
      </c>
      <c r="BK964" s="56" t="n">
        <v>-69.3999999999999</v>
      </c>
      <c r="BL964" s="57" t="n">
        <v>272</v>
      </c>
      <c r="BM964" s="55"/>
      <c r="BN964" s="60" t="n">
        <v>0</v>
      </c>
      <c r="BO964" s="60" t="n">
        <v>964</v>
      </c>
      <c r="BP964" s="55" t="str">
        <f aca="false">IF(S964&lt;&gt;"",UPPER(TRIM(S964)),IF(O964="","LOSE",O964))</f>
        <v>S33</v>
      </c>
      <c r="BQ964" s="57" t="n">
        <f aca="false">IF(BP964="LOSE",1,IF(N(T964)&gt;0,T964,IF(N(P964)&gt;0,P964,MAX(1,G964))))</f>
        <v>486</v>
      </c>
      <c r="BR964" s="60" t="n">
        <f aca="false">IF(BP964="LOSE",1,0)</f>
        <v>0</v>
      </c>
      <c r="BS964" s="59" t="n">
        <f aca="false">IF(BR964=0,0,IF(N(R964)&gt;0,R964,IFERROR(VLOOKUP(D964,Parameter!$A$35:$C$64,3,0)+0,0)))</f>
        <v>0</v>
      </c>
      <c r="BT964" s="55" t="n">
        <f aca="false">IF(Y964&lt;&gt;"",Y964,X964)</f>
        <v>3</v>
      </c>
      <c r="BU964" s="55" t="str">
        <f aca="false">IF(BT964=1,"L1",IF(OR(BT964=2,BT964=3),"L23",IF(BT964="Aussen","Aussen","-")))</f>
        <v>L23</v>
      </c>
      <c r="BV964" s="66" t="n">
        <f aca="false">IF(N(Z964)&gt;0,Z964,0)</f>
        <v>0</v>
      </c>
      <c r="BW964" s="60" t="n">
        <f aca="false">IF(ISNUMBER(AC964),1,0)</f>
        <v>0</v>
      </c>
      <c r="BX964" s="57" t="n">
        <f aca="false">N(AC964)</f>
        <v>0</v>
      </c>
      <c r="BY964" s="57" t="n">
        <f aca="false">N(L964)+N(M964)</f>
        <v>310</v>
      </c>
      <c r="BZ964" s="57" t="n">
        <f aca="false">ROUNDUP(G964/BQ964,0)</f>
        <v>0</v>
      </c>
      <c r="CA964" s="57" t="n">
        <f aca="false">ROUNDUP(BX964/BQ964,0)</f>
        <v>0</v>
      </c>
      <c r="CB964" s="60" t="n">
        <f aca="false">IF(BR964=1,0,IFERROR(VLOOKUP(BP964,'Gebinde-Kategorie'!$A$5:$M$45,5,0)+0,0))</f>
        <v>8</v>
      </c>
      <c r="CC964" s="60" t="n">
        <f aca="false">IFERROR(IF(OR(BT964=1,BT964=2,BT964=3),N(INDEX(Parameter!$I$5:$I$7,BT964)),0),0)</f>
        <v>0</v>
      </c>
      <c r="CD964" s="59" t="n">
        <f aca="false">IF(AND(Parameter!$B$21="Ja",ISNUMBER(U964),N(V964)&gt;0),IFERROR(N(INDEX(Parameter!$L$5:$L$7,U964))*INDEX(Parameter!$E$5:$E$7,U964)*V964/SUMIFS($V$7:$V$1576,$U$7:$U$1576,U964),0),0)</f>
        <v>0</v>
      </c>
    </row>
    <row r="965" customFormat="false" ht="15" hidden="false" customHeight="false" outlineLevel="0" collapsed="false">
      <c r="A965" s="55" t="s">
        <v>1781</v>
      </c>
      <c r="B965" s="55" t="s">
        <v>457</v>
      </c>
      <c r="C965" s="55" t="s">
        <v>160</v>
      </c>
      <c r="D965" s="55" t="s">
        <v>178</v>
      </c>
      <c r="E965" s="55" t="s">
        <v>210</v>
      </c>
      <c r="F965" s="56" t="n">
        <v>5.06</v>
      </c>
      <c r="G965" s="57" t="n">
        <f aca="false">MAX(0,IF(AND(Parameter!$B$21="Ja",ISNUMBER(W965)),W965,IF(Parameter!$B$20="Jahresanfang 2025 + Export",BJ965+BI965,BI965)))</f>
        <v>2</v>
      </c>
      <c r="H965" s="57" t="n">
        <f aca="false">G965*F965</f>
        <v>10.12</v>
      </c>
      <c r="I965" s="57" t="n">
        <f aca="false">BL965*Parameter!$B$18</f>
        <v>264</v>
      </c>
      <c r="J965" s="58" t="n">
        <v>130</v>
      </c>
      <c r="K965" s="59" t="n">
        <v>2.03076923076923</v>
      </c>
      <c r="L965" s="57" t="n">
        <v>10</v>
      </c>
      <c r="M965" s="57" t="n">
        <v>265</v>
      </c>
      <c r="N965" s="60" t="n">
        <v>14</v>
      </c>
      <c r="O965" s="55" t="s">
        <v>465</v>
      </c>
      <c r="P965" s="57" t="n">
        <v>61</v>
      </c>
      <c r="Q965" s="60" t="n">
        <f aca="false">IF(BR965=1,0,IFERROR(VLOOKUP(BP965,'Gebinde-Kategorie'!$A$5:$M$45,13,0)+0,0))</f>
        <v>66</v>
      </c>
      <c r="R965" s="61"/>
      <c r="S965" s="62"/>
      <c r="T965" s="62"/>
      <c r="U965" s="55"/>
      <c r="V965" s="57"/>
      <c r="W965" s="57"/>
      <c r="X965" s="55" t="n">
        <f aca="false">IF(A965="","",IF(AND(Parameter!$B$21="Ja",ISNUMBER(U965)),U965,IF(IFERROR(VLOOKUP(D965,Parameter!$A$35:$C$64,2,0),"Nein")="2+3",IF(ISNUMBER(SEARCH("grosser Artikel",BM965)),2,IFERROR(VLOOKUP(BP965,Parameter!$F$35:$G$64,2,0),2)),IF(OR(IFERROR(VLOOKUP(D965,Parameter!$A$35:$C$64,2,0),"Nein")="Nein",IFERROR(VLOOKUP(D965,Parameter!$A$35:$C$64,2,0),"Nein")=""),"-",VLOOKUP(D965,Parameter!$A$35:$C$64,2,0)))))</f>
        <v>3</v>
      </c>
      <c r="Y965" s="62"/>
      <c r="Z965" s="63"/>
      <c r="AA965" s="57" t="n">
        <f aca="false">AP965</f>
        <v>305</v>
      </c>
      <c r="AB965" s="57" t="n">
        <f aca="false">MAX(AP965,G965)</f>
        <v>305</v>
      </c>
      <c r="AC965" s="64"/>
      <c r="AD965" s="57" t="n">
        <f aca="false">IF(LEFT(Cockpit!$C$5,1)="A",G965,IF(BW965=1,BX965,IF(LEFT(Cockpit!$C$5,1)="B",AH965,MAX(AH965,G965))))</f>
        <v>2</v>
      </c>
      <c r="AE965" s="57" t="n">
        <f aca="false">IF(BR965=1,0,ROUNDUP(AD965/BQ965,0))</f>
        <v>1</v>
      </c>
      <c r="AF965" s="59" t="n">
        <f aca="false">IF(CD965&gt;0,CD965*MAX(1,AD965/V965),IF(BR965=1,IF(AD965&lt;=0,0,BS965*MAX(1,IF(G965&gt;0,AD965/G965,1))),IF(Q965&gt;0,AE965/Q965,0))/MAX(0.1,N(Parameter!$M$21)))</f>
        <v>0.0151515151515152</v>
      </c>
      <c r="AG965" s="57" t="n">
        <f aca="false">AD965*F965</f>
        <v>10.12</v>
      </c>
      <c r="AH965" s="57" t="n">
        <f aca="false">ROUNDUP(MAX(I965/IF(BV965&gt;0,BV965,MAX(0.1,N(Cockpit!$C$6))),BY965)/BQ965,0)*BQ965</f>
        <v>305</v>
      </c>
      <c r="AI965" s="58" t="n">
        <f aca="false">IF(AF965&gt;0,I965/AF965,-1)</f>
        <v>17424</v>
      </c>
      <c r="AJ965" s="58" t="n">
        <f aca="false">IF(AND(OR(BU965="L1",BU965="L23"),AF965&gt;0),SUMIFS($AF$7:$AF$1576,$BU$7:$BU$1576,BU965,$AI$7:$AI$1576,"&gt;"&amp;AI965)+SUMIFS($AF$7:$AF$1576,$BU$7:$BU$1576,BU965,$AI$7:$AI$1576,AI965,$BO$7:$BO$1576,"&lt;="&amp;BO965),"")</f>
        <v>2.12453126583561</v>
      </c>
      <c r="AK965" s="65" t="n">
        <f aca="false">IF(AJ965="",0,MAX(0,MIN(1,(IF(BU965="L1",Parameter!$E$5,Parameter!$E$6+Parameter!$E$7)-(AJ965-AF965))/AF965)))</f>
        <v>1</v>
      </c>
      <c r="AL965" s="57" t="n">
        <f aca="false">IF(LEFT(Cockpit!$I$5,1)="A",G965,IF(BW965=1,BX965,IF(LEFT(Cockpit!$I$5,1)="B",AP965,MAX(AP965,G965))))</f>
        <v>305</v>
      </c>
      <c r="AM965" s="57" t="n">
        <f aca="false">IF(BR965=1,0,ROUNDUP(AL965/BQ965,0))</f>
        <v>5</v>
      </c>
      <c r="AN965" s="59" t="n">
        <f aca="false">IF(CD965&gt;0,CD965*MAX(1,AL965/V965),IF(BR965=1,IF(AL965&lt;=0,0,BS965*MAX(1,IF(G965&gt;0,AL965/G965,1))),IF(Q965&gt;0,AM965/Q965,0))/MAX(0.1,N(Parameter!$M$21)))</f>
        <v>0.0757575757575758</v>
      </c>
      <c r="AO965" s="57" t="n">
        <f aca="false">AL965*F965</f>
        <v>1543.3</v>
      </c>
      <c r="AP965" s="57" t="n">
        <f aca="false">ROUNDUP(MAX(I965/IF(BV965&gt;0,BV965,MAX(0.1,N(Cockpit!$I$6))),BY965)/BQ965,0)*BQ965</f>
        <v>305</v>
      </c>
      <c r="AQ965" s="58" t="n">
        <f aca="false">IF(AN965&gt;0,I965/AN965,-1)</f>
        <v>3484.8</v>
      </c>
      <c r="AR965" s="58" t="n">
        <f aca="false">IF(AND(OR(BU965="L1",BU965="L23"),AN965&gt;0),SUMIFS($AN$7:$AN$1576,$BU$7:$BU$1576,BU965,$AQ$7:$AQ$1576,"&gt;"&amp;AQ965)+SUMIFS($AN$7:$AN$1576,$BU$7:$BU$1576,BU965,$AQ$7:$AQ$1576,AQ965,$BO$7:$BO$1576,"&lt;="&amp;BO965),"")</f>
        <v>13.6769744028918</v>
      </c>
      <c r="AS965" s="65" t="n">
        <f aca="false">IF(AR965="",0,MAX(0,MIN(1,(IF(BU965="L1",Parameter!$E$5,Parameter!$E$6+Parameter!$E$7)-(AR965-AN965))/AN965)))</f>
        <v>1</v>
      </c>
      <c r="AT965" s="57" t="n">
        <f aca="false">IF(LEFT(Cockpit!$O$5,1)="A",G965,IF(BW965=1,BX965,IF(LEFT(Cockpit!$O$5,1)="B",AX965,MAX(AX965,G965))))</f>
        <v>305</v>
      </c>
      <c r="AU965" s="57" t="n">
        <f aca="false">IF(BR965=1,0,ROUNDUP(AT965/BQ965,0))</f>
        <v>5</v>
      </c>
      <c r="AV965" s="59" t="n">
        <f aca="false">IF(CD965&gt;0,CD965*MAX(1,AT965/V965),IF(BR965=1,IF(AT965&lt;=0,0,BS965*MAX(1,IF(G965&gt;0,AT965/G965,1))),IF(Q965&gt;0,AU965/Q965,0))/MAX(0.1,N(Parameter!$M$21)))</f>
        <v>0.0757575757575758</v>
      </c>
      <c r="AW965" s="57" t="n">
        <f aca="false">AT965*F965</f>
        <v>1543.3</v>
      </c>
      <c r="AX965" s="57" t="n">
        <f aca="false">ROUNDUP(MAX(I965/IF(BV965&gt;0,BV965,MAX(0.1,N(Cockpit!$O$6))),BY965)/BQ965,0)*BQ965</f>
        <v>305</v>
      </c>
      <c r="AY965" s="58" t="n">
        <f aca="false">IF(AV965&gt;0,I965/AV965,-1)</f>
        <v>3484.8</v>
      </c>
      <c r="AZ965" s="58" t="n">
        <f aca="false">IF(AND(OR(BU965="L1",BU965="L23"),AV965&gt;0),SUMIFS($AV$7:$AV$1576,$BU$7:$BU$1576,BU965,$AY$7:$AY$1576,"&gt;"&amp;AY965)+SUMIFS($AV$7:$AV$1576,$BU$7:$BU$1576,BU965,$AY$7:$AY$1576,AY965,$BO$7:$BO$1576,"&lt;="&amp;BO965),"")</f>
        <v>12.3978368737543</v>
      </c>
      <c r="BA965" s="65" t="n">
        <f aca="false">IF(AZ965="",0,MAX(0,MIN(1,(IF(BU965="L1",Parameter!$E$5,Parameter!$E$6+Parameter!$E$7)-(AZ965-AV965))/AV965)))</f>
        <v>1</v>
      </c>
      <c r="BB965" s="55" t="str">
        <f aca="false">IF(AF965&lt;=0,"",IF(BU965="Aussen","Aussenlager",IF(BU965="-","Nicht im Lift",IF(AK965&gt;=1,"Lift",IF(AK965&lt;=0,"Aussenlager","teilweise")))))</f>
        <v>Lift</v>
      </c>
      <c r="BC965" s="55" t="str">
        <f aca="false">IF(AN965&lt;=0,"",IF(BU965="Aussen","Aussenlager",IF(BU965="-","Nicht im Lift",IF(AS965&gt;=1,"Lift",IF(AS965&lt;=0,"Aussenlager","teilweise")))))</f>
        <v>Lift</v>
      </c>
      <c r="BD965" s="55" t="str">
        <f aca="false">IF(AV965&lt;=0,"",IF(BU965="Aussen","Aussenlager",IF(BU965="-","Nicht im Lift",IF(BA965&gt;=1,"Lift",IF(BA965&lt;=0,"Aussenlager","teilweise")))))</f>
        <v>Lift</v>
      </c>
      <c r="BE965" s="55" t="str">
        <f aca="false">IF(A965="","",IF(BN965=1,"Neu; ","")&amp;IF(AND(BN965=0,BI965&lt;0),"negativer Bestand (Export "&amp;BI965&amp;"); ","")&amp;IF(I965&lt;=0,"Kein Verbrauch; ","")&amp;IF(CD965&gt;0,"Lift "&amp;U965&amp;" lt. Liftbericht (Fach "&amp;V965&amp;" Stk); ",IF(BR965=1,"Lose – Fläche geschätzt; ",""))&amp;IF(G965&gt;AP965,"Überbestand "&amp;ROUND(G965-AP965,0)&amp;" Stk / CHF "&amp;ROUND((G965-AP965)*F965,0)&amp;"; ","")&amp;IF(AND(BW965=1,BX965&lt;BY965),"MAX &lt; MB+LG; ","")&amp;IF(AND(CC965&gt;0,CB965*10&gt;CC965),"zu hoch für Tablar; ","")&amp;IF(AND(BN965=0,OR(BW965=1,Y965&lt;&gt;"",S965&lt;&gt;"",T965&lt;&gt;"",Z965&lt;&gt;"")),"manuell übersteuert; ","")&amp;IF(AND(BR965=0,Q965=0),"Gebinde unbekannt / Stellmass fehlt; ","")&amp;IF(AND(BR965=0,N(T965)&lt;=0,N(P965)&lt;=0),"Menge pro Gebinde fehlt (Ist = 1 Gebinde); ","")&amp;BM965)</f>
        <v/>
      </c>
      <c r="BF965" s="55"/>
      <c r="BG965" s="55"/>
      <c r="BH965" s="62"/>
      <c r="BI965" s="57" t="n">
        <v>2</v>
      </c>
      <c r="BJ965" s="57" t="n">
        <v>188</v>
      </c>
      <c r="BK965" s="56" t="n">
        <v>-69.8600000000007</v>
      </c>
      <c r="BL965" s="57" t="n">
        <v>264</v>
      </c>
      <c r="BM965" s="55"/>
      <c r="BN965" s="60" t="n">
        <v>0</v>
      </c>
      <c r="BO965" s="60" t="n">
        <v>965</v>
      </c>
      <c r="BP965" s="55" t="str">
        <f aca="false">IF(S965&lt;&gt;"",UPPER(TRIM(S965)),IF(O965="","LOSE",O965))</f>
        <v>S33</v>
      </c>
      <c r="BQ965" s="57" t="n">
        <f aca="false">IF(BP965="LOSE",1,IF(N(T965)&gt;0,T965,IF(N(P965)&gt;0,P965,MAX(1,G965))))</f>
        <v>61</v>
      </c>
      <c r="BR965" s="60" t="n">
        <f aca="false">IF(BP965="LOSE",1,0)</f>
        <v>0</v>
      </c>
      <c r="BS965" s="59" t="n">
        <f aca="false">IF(BR965=0,0,IF(N(R965)&gt;0,R965,IFERROR(VLOOKUP(D965,Parameter!$A$35:$C$64,3,0)+0,0)))</f>
        <v>0</v>
      </c>
      <c r="BT965" s="55" t="n">
        <f aca="false">IF(Y965&lt;&gt;"",Y965,X965)</f>
        <v>3</v>
      </c>
      <c r="BU965" s="55" t="str">
        <f aca="false">IF(BT965=1,"L1",IF(OR(BT965=2,BT965=3),"L23",IF(BT965="Aussen","Aussen","-")))</f>
        <v>L23</v>
      </c>
      <c r="BV965" s="66" t="n">
        <f aca="false">IF(N(Z965)&gt;0,Z965,0)</f>
        <v>0</v>
      </c>
      <c r="BW965" s="60" t="n">
        <f aca="false">IF(ISNUMBER(AC965),1,0)</f>
        <v>0</v>
      </c>
      <c r="BX965" s="57" t="n">
        <f aca="false">N(AC965)</f>
        <v>0</v>
      </c>
      <c r="BY965" s="57" t="n">
        <f aca="false">N(L965)+N(M965)</f>
        <v>275</v>
      </c>
      <c r="BZ965" s="57" t="n">
        <f aca="false">ROUNDUP(G965/BQ965,0)</f>
        <v>1</v>
      </c>
      <c r="CA965" s="57" t="n">
        <f aca="false">ROUNDUP(BX965/BQ965,0)</f>
        <v>0</v>
      </c>
      <c r="CB965" s="60" t="n">
        <f aca="false">IF(BR965=1,0,IFERROR(VLOOKUP(BP965,'Gebinde-Kategorie'!$A$5:$M$45,5,0)+0,0))</f>
        <v>8</v>
      </c>
      <c r="CC965" s="60" t="n">
        <f aca="false">IFERROR(IF(OR(BT965=1,BT965=2,BT965=3),N(INDEX(Parameter!$I$5:$I$7,BT965)),0),0)</f>
        <v>0</v>
      </c>
      <c r="CD965" s="59" t="n">
        <f aca="false">IF(AND(Parameter!$B$21="Ja",ISNUMBER(U965),N(V965)&gt;0),IFERROR(N(INDEX(Parameter!$L$5:$L$7,U965))*INDEX(Parameter!$E$5:$E$7,U965)*V965/SUMIFS($V$7:$V$1576,$U$7:$U$1576,U965),0),0)</f>
        <v>0</v>
      </c>
    </row>
    <row r="966" customFormat="false" ht="15" hidden="false" customHeight="false" outlineLevel="0" collapsed="false">
      <c r="A966" s="55" t="s">
        <v>1782</v>
      </c>
      <c r="B966" s="55" t="s">
        <v>1783</v>
      </c>
      <c r="C966" s="55" t="s">
        <v>160</v>
      </c>
      <c r="D966" s="55" t="s">
        <v>344</v>
      </c>
      <c r="E966" s="55" t="s">
        <v>210</v>
      </c>
      <c r="F966" s="56" t="n">
        <v>71.23</v>
      </c>
      <c r="G966" s="57" t="n">
        <f aca="false">MAX(0,IF(AND(Parameter!$B$21="Ja",ISNUMBER(W966)),W966,IF(Parameter!$B$20="Jahresanfang 2025 + Export",BJ966+BI966,BI966)))</f>
        <v>0</v>
      </c>
      <c r="H966" s="57" t="n">
        <f aca="false">G966*F966</f>
        <v>0</v>
      </c>
      <c r="I966" s="57" t="n">
        <f aca="false">BL966*Parameter!$B$18</f>
        <v>0</v>
      </c>
      <c r="J966" s="58" t="n">
        <v>0.5</v>
      </c>
      <c r="K966" s="59" t="n">
        <v>0</v>
      </c>
      <c r="L966" s="57" t="n">
        <v>0</v>
      </c>
      <c r="M966" s="57" t="n">
        <v>0</v>
      </c>
      <c r="N966" s="60" t="n">
        <v>28</v>
      </c>
      <c r="O966" s="55" t="s">
        <v>163</v>
      </c>
      <c r="P966" s="57"/>
      <c r="Q966" s="60" t="n">
        <f aca="false">IF(BR966=1,0,IFERROR(VLOOKUP(BP966,'Gebinde-Kategorie'!$A$5:$M$45,13,0)+0,0))</f>
        <v>0</v>
      </c>
      <c r="R966" s="61"/>
      <c r="S966" s="62"/>
      <c r="T966" s="62"/>
      <c r="U966" s="55"/>
      <c r="V966" s="57"/>
      <c r="W966" s="57"/>
      <c r="X966" s="55" t="str">
        <f aca="false">IF(A966="","",IF(AND(Parameter!$B$21="Ja",ISNUMBER(U966)),U966,IF(IFERROR(VLOOKUP(D966,Parameter!$A$35:$C$64,2,0),"Nein")="2+3",IF(ISNUMBER(SEARCH("grosser Artikel",BM966)),2,IFERROR(VLOOKUP(BP966,Parameter!$F$35:$G$64,2,0),2)),IF(OR(IFERROR(VLOOKUP(D966,Parameter!$A$35:$C$64,2,0),"Nein")="Nein",IFERROR(VLOOKUP(D966,Parameter!$A$35:$C$64,2,0),"Nein")=""),"-",VLOOKUP(D966,Parameter!$A$35:$C$64,2,0)))))</f>
        <v>-</v>
      </c>
      <c r="Y966" s="62"/>
      <c r="Z966" s="63"/>
      <c r="AA966" s="57" t="n">
        <f aca="false">AP966</f>
        <v>0</v>
      </c>
      <c r="AB966" s="57" t="n">
        <f aca="false">MAX(AP966,G966)</f>
        <v>0</v>
      </c>
      <c r="AC966" s="64"/>
      <c r="AD966" s="57" t="n">
        <f aca="false">IF(LEFT(Cockpit!$C$5,1)="A",G966,IF(BW966=1,BX966,IF(LEFT(Cockpit!$C$5,1)="B",AH966,MAX(AH966,G966))))</f>
        <v>0</v>
      </c>
      <c r="AE966" s="57" t="n">
        <f aca="false">IF(BR966=1,0,ROUNDUP(AD966/BQ966,0))</f>
        <v>0</v>
      </c>
      <c r="AF966" s="59" t="n">
        <f aca="false">IF(CD966&gt;0,CD966*MAX(1,AD966/V966),IF(BR966=1,IF(AD966&lt;=0,0,BS966*MAX(1,IF(G966&gt;0,AD966/G966,1))),IF(Q966&gt;0,AE966/Q966,0))/MAX(0.1,N(Parameter!$M$21)))</f>
        <v>0</v>
      </c>
      <c r="AG966" s="57" t="n">
        <f aca="false">AD966*F966</f>
        <v>0</v>
      </c>
      <c r="AH966" s="57" t="n">
        <f aca="false">ROUNDUP(MAX(I966/IF(BV966&gt;0,BV966,MAX(0.1,N(Cockpit!$C$6))),BY966)/BQ966,0)*BQ966</f>
        <v>0</v>
      </c>
      <c r="AI966" s="58" t="n">
        <f aca="false">IF(AF966&gt;0,I966/AF966,-1)</f>
        <v>-1</v>
      </c>
      <c r="AJ966" s="58" t="str">
        <f aca="false">IF(AND(OR(BU966="L1",BU966="L23"),AF966&gt;0),SUMIFS($AF$7:$AF$1576,$BU$7:$BU$1576,BU966,$AI$7:$AI$1576,"&gt;"&amp;AI966)+SUMIFS($AF$7:$AF$1576,$BU$7:$BU$1576,BU966,$AI$7:$AI$1576,AI966,$BO$7:$BO$1576,"&lt;="&amp;BO966),"")</f>
        <v/>
      </c>
      <c r="AK966" s="65" t="n">
        <f aca="false">IF(AJ966="",0,MAX(0,MIN(1,(IF(BU966="L1",Parameter!$E$5,Parameter!$E$6+Parameter!$E$7)-(AJ966-AF966))/AF966)))</f>
        <v>0</v>
      </c>
      <c r="AL966" s="57" t="n">
        <f aca="false">IF(LEFT(Cockpit!$I$5,1)="A",G966,IF(BW966=1,BX966,IF(LEFT(Cockpit!$I$5,1)="B",AP966,MAX(AP966,G966))))</f>
        <v>0</v>
      </c>
      <c r="AM966" s="57" t="n">
        <f aca="false">IF(BR966=1,0,ROUNDUP(AL966/BQ966,0))</f>
        <v>0</v>
      </c>
      <c r="AN966" s="59" t="n">
        <f aca="false">IF(CD966&gt;0,CD966*MAX(1,AL966/V966),IF(BR966=1,IF(AL966&lt;=0,0,BS966*MAX(1,IF(G966&gt;0,AL966/G966,1))),IF(Q966&gt;0,AM966/Q966,0))/MAX(0.1,N(Parameter!$M$21)))</f>
        <v>0</v>
      </c>
      <c r="AO966" s="57" t="n">
        <f aca="false">AL966*F966</f>
        <v>0</v>
      </c>
      <c r="AP966" s="57" t="n">
        <f aca="false">ROUNDUP(MAX(I966/IF(BV966&gt;0,BV966,MAX(0.1,N(Cockpit!$I$6))),BY966)/BQ966,0)*BQ966</f>
        <v>0</v>
      </c>
      <c r="AQ966" s="58" t="n">
        <f aca="false">IF(AN966&gt;0,I966/AN966,-1)</f>
        <v>-1</v>
      </c>
      <c r="AR966" s="58" t="str">
        <f aca="false">IF(AND(OR(BU966="L1",BU966="L23"),AN966&gt;0),SUMIFS($AN$7:$AN$1576,$BU$7:$BU$1576,BU966,$AQ$7:$AQ$1576,"&gt;"&amp;AQ966)+SUMIFS($AN$7:$AN$1576,$BU$7:$BU$1576,BU966,$AQ$7:$AQ$1576,AQ966,$BO$7:$BO$1576,"&lt;="&amp;BO966),"")</f>
        <v/>
      </c>
      <c r="AS966" s="65" t="n">
        <f aca="false">IF(AR966="",0,MAX(0,MIN(1,(IF(BU966="L1",Parameter!$E$5,Parameter!$E$6+Parameter!$E$7)-(AR966-AN966))/AN966)))</f>
        <v>0</v>
      </c>
      <c r="AT966" s="57" t="n">
        <f aca="false">IF(LEFT(Cockpit!$O$5,1)="A",G966,IF(BW966=1,BX966,IF(LEFT(Cockpit!$O$5,1)="B",AX966,MAX(AX966,G966))))</f>
        <v>0</v>
      </c>
      <c r="AU966" s="57" t="n">
        <f aca="false">IF(BR966=1,0,ROUNDUP(AT966/BQ966,0))</f>
        <v>0</v>
      </c>
      <c r="AV966" s="59" t="n">
        <f aca="false">IF(CD966&gt;0,CD966*MAX(1,AT966/V966),IF(BR966=1,IF(AT966&lt;=0,0,BS966*MAX(1,IF(G966&gt;0,AT966/G966,1))),IF(Q966&gt;0,AU966/Q966,0))/MAX(0.1,N(Parameter!$M$21)))</f>
        <v>0</v>
      </c>
      <c r="AW966" s="57" t="n">
        <f aca="false">AT966*F966</f>
        <v>0</v>
      </c>
      <c r="AX966" s="57" t="n">
        <f aca="false">ROUNDUP(MAX(I966/IF(BV966&gt;0,BV966,MAX(0.1,N(Cockpit!$O$6))),BY966)/BQ966,0)*BQ966</f>
        <v>0</v>
      </c>
      <c r="AY966" s="58" t="n">
        <f aca="false">IF(AV966&gt;0,I966/AV966,-1)</f>
        <v>-1</v>
      </c>
      <c r="AZ966" s="58" t="str">
        <f aca="false">IF(AND(OR(BU966="L1",BU966="L23"),AV966&gt;0),SUMIFS($AV$7:$AV$1576,$BU$7:$BU$1576,BU966,$AY$7:$AY$1576,"&gt;"&amp;AY966)+SUMIFS($AV$7:$AV$1576,$BU$7:$BU$1576,BU966,$AY$7:$AY$1576,AY966,$BO$7:$BO$1576,"&lt;="&amp;BO966),"")</f>
        <v/>
      </c>
      <c r="BA966" s="65" t="n">
        <f aca="false">IF(AZ966="",0,MAX(0,MIN(1,(IF(BU966="L1",Parameter!$E$5,Parameter!$E$6+Parameter!$E$7)-(AZ966-AV966))/AV966)))</f>
        <v>0</v>
      </c>
      <c r="BB966" s="55" t="str">
        <f aca="false">IF(AF966&lt;=0,"",IF(BU966="Aussen","Aussenlager",IF(BU966="-","Nicht im Lift",IF(AK966&gt;=1,"Lift",IF(AK966&lt;=0,"Aussenlager","teilweise")))))</f>
        <v/>
      </c>
      <c r="BC966" s="55" t="str">
        <f aca="false">IF(AN966&lt;=0,"",IF(BU966="Aussen","Aussenlager",IF(BU966="-","Nicht im Lift",IF(AS966&gt;=1,"Lift",IF(AS966&lt;=0,"Aussenlager","teilweise")))))</f>
        <v/>
      </c>
      <c r="BD966" s="55" t="str">
        <f aca="false">IF(AV966&lt;=0,"",IF(BU966="Aussen","Aussenlager",IF(BU966="-","Nicht im Lift",IF(BA966&gt;=1,"Lift",IF(BA966&lt;=0,"Aussenlager","teilweise")))))</f>
        <v/>
      </c>
      <c r="BE966" s="55" t="str">
        <f aca="false">IF(A966="","",IF(BN966=1,"Neu; ","")&amp;IF(AND(BN966=0,BI966&lt;0),"negativer Bestand (Export "&amp;BI966&amp;"); ","")&amp;IF(I966&lt;=0,"Kein Verbrauch; ","")&amp;IF(CD966&gt;0,"Lift "&amp;U966&amp;" lt. Liftbericht (Fach "&amp;V966&amp;" Stk); ",IF(BR966=1,"Lose – Fläche geschätzt; ",""))&amp;IF(G966&gt;AP966,"Überbestand "&amp;ROUND(G966-AP966,0)&amp;" Stk / CHF "&amp;ROUND((G966-AP966)*F966,0)&amp;"; ","")&amp;IF(AND(BW966=1,BX966&lt;BY966),"MAX &lt; MB+LG; ","")&amp;IF(AND(CC966&gt;0,CB966*10&gt;CC966),"zu hoch für Tablar; ","")&amp;IF(AND(BN966=0,OR(BW966=1,Y966&lt;&gt;"",S966&lt;&gt;"",T966&lt;&gt;"",Z966&lt;&gt;"")),"manuell übersteuert; ","")&amp;IF(AND(BR966=0,Q966=0),"Gebinde unbekannt / Stellmass fehlt; ","")&amp;IF(AND(BR966=0,N(T966)&lt;=0,N(P966)&lt;=0),"Menge pro Gebinde fehlt (Ist = 1 Gebinde); ","")&amp;BM966)</f>
        <v>negativer Bestand (Export -1); Kein Verbrauch; Lose – Fläche geschätzt; </v>
      </c>
      <c r="BF966" s="55"/>
      <c r="BG966" s="55"/>
      <c r="BH966" s="62"/>
      <c r="BI966" s="57" t="n">
        <v>-1</v>
      </c>
      <c r="BJ966" s="57" t="n">
        <v>1</v>
      </c>
      <c r="BK966" s="56" t="n">
        <v>-71.23</v>
      </c>
      <c r="BL966" s="57" t="n">
        <v>0</v>
      </c>
      <c r="BM966" s="55"/>
      <c r="BN966" s="60" t="n">
        <v>0</v>
      </c>
      <c r="BO966" s="60" t="n">
        <v>966</v>
      </c>
      <c r="BP966" s="55" t="str">
        <f aca="false">IF(S966&lt;&gt;"",UPPER(TRIM(S966)),IF(O966="","LOSE",O966))</f>
        <v>LOSE</v>
      </c>
      <c r="BQ966" s="57" t="n">
        <f aca="false">IF(BP966="LOSE",1,IF(N(T966)&gt;0,T966,IF(N(P966)&gt;0,P966,MAX(1,G966))))</f>
        <v>1</v>
      </c>
      <c r="BR966" s="60" t="n">
        <f aca="false">IF(BP966="LOSE",1,0)</f>
        <v>1</v>
      </c>
      <c r="BS966" s="59" t="n">
        <f aca="false">IF(BR966=0,0,IF(N(R966)&gt;0,R966,IFERROR(VLOOKUP(D966,Parameter!$A$35:$C$64,3,0)+0,0)))</f>
        <v>0.15</v>
      </c>
      <c r="BT966" s="55" t="str">
        <f aca="false">IF(Y966&lt;&gt;"",Y966,X966)</f>
        <v>-</v>
      </c>
      <c r="BU966" s="55" t="str">
        <f aca="false">IF(BT966=1,"L1",IF(OR(BT966=2,BT966=3),"L23",IF(BT966="Aussen","Aussen","-")))</f>
        <v>-</v>
      </c>
      <c r="BV966" s="66" t="n">
        <f aca="false">IF(N(Z966)&gt;0,Z966,0)</f>
        <v>0</v>
      </c>
      <c r="BW966" s="60" t="n">
        <f aca="false">IF(ISNUMBER(AC966),1,0)</f>
        <v>0</v>
      </c>
      <c r="BX966" s="57" t="n">
        <f aca="false">N(AC966)</f>
        <v>0</v>
      </c>
      <c r="BY966" s="57" t="n">
        <f aca="false">N(L966)+N(M966)</f>
        <v>0</v>
      </c>
      <c r="BZ966" s="57" t="n">
        <f aca="false">ROUNDUP(G966/BQ966,0)</f>
        <v>0</v>
      </c>
      <c r="CA966" s="57" t="n">
        <f aca="false">ROUNDUP(BX966/BQ966,0)</f>
        <v>0</v>
      </c>
      <c r="CB966" s="60" t="n">
        <f aca="false">IF(BR966=1,0,IFERROR(VLOOKUP(BP966,'Gebinde-Kategorie'!$A$5:$M$45,5,0)+0,0))</f>
        <v>0</v>
      </c>
      <c r="CC966" s="60" t="n">
        <f aca="false">IFERROR(IF(OR(BT966=1,BT966=2,BT966=3),N(INDEX(Parameter!$I$5:$I$7,BT966)),0),0)</f>
        <v>0</v>
      </c>
      <c r="CD966" s="59" t="n">
        <f aca="false">IF(AND(Parameter!$B$21="Ja",ISNUMBER(U966),N(V966)&gt;0),IFERROR(N(INDEX(Parameter!$L$5:$L$7,U966))*INDEX(Parameter!$E$5:$E$7,U966)*V966/SUMIFS($V$7:$V$1576,$U$7:$U$1576,U966),0),0)</f>
        <v>0</v>
      </c>
    </row>
    <row r="967" customFormat="false" ht="15" hidden="false" customHeight="false" outlineLevel="0" collapsed="false">
      <c r="A967" s="55" t="s">
        <v>1784</v>
      </c>
      <c r="B967" s="55" t="s">
        <v>1268</v>
      </c>
      <c r="C967" s="55" t="s">
        <v>160</v>
      </c>
      <c r="D967" s="55" t="s">
        <v>178</v>
      </c>
      <c r="E967" s="55" t="s">
        <v>210</v>
      </c>
      <c r="F967" s="56" t="n">
        <v>2.5</v>
      </c>
      <c r="G967" s="57" t="n">
        <f aca="false">MAX(0,IF(AND(Parameter!$B$21="Ja",ISNUMBER(W967)),W967,IF(Parameter!$B$20="Jahresanfang 2025 + Export",BJ967+BI967,BI967)))</f>
        <v>0</v>
      </c>
      <c r="H967" s="57" t="n">
        <f aca="false">G967*F967</f>
        <v>0</v>
      </c>
      <c r="I967" s="57" t="n">
        <f aca="false">BL967*Parameter!$B$18</f>
        <v>17</v>
      </c>
      <c r="J967" s="58" t="n">
        <v>26</v>
      </c>
      <c r="K967" s="59" t="n">
        <v>0.653846153846154</v>
      </c>
      <c r="L967" s="57" t="n">
        <v>0</v>
      </c>
      <c r="M967" s="57" t="n">
        <v>15</v>
      </c>
      <c r="N967" s="60" t="n">
        <v>14</v>
      </c>
      <c r="O967" s="55" t="s">
        <v>391</v>
      </c>
      <c r="P967" s="57" t="n">
        <v>20</v>
      </c>
      <c r="Q967" s="60" t="n">
        <f aca="false">IF(BR967=1,0,IFERROR(VLOOKUP(BP967,'Gebinde-Kategorie'!$A$5:$M$45,13,0)+0,0))</f>
        <v>414</v>
      </c>
      <c r="R967" s="61"/>
      <c r="S967" s="62"/>
      <c r="T967" s="62"/>
      <c r="U967" s="55"/>
      <c r="V967" s="57"/>
      <c r="W967" s="57"/>
      <c r="X967" s="55" t="n">
        <f aca="false">IF(A967="","",IF(AND(Parameter!$B$21="Ja",ISNUMBER(U967)),U967,IF(IFERROR(VLOOKUP(D967,Parameter!$A$35:$C$64,2,0),"Nein")="2+3",IF(ISNUMBER(SEARCH("grosser Artikel",BM967)),2,IFERROR(VLOOKUP(BP967,Parameter!$F$35:$G$64,2,0),2)),IF(OR(IFERROR(VLOOKUP(D967,Parameter!$A$35:$C$64,2,0),"Nein")="Nein",IFERROR(VLOOKUP(D967,Parameter!$A$35:$C$64,2,0),"Nein")=""),"-",VLOOKUP(D967,Parameter!$A$35:$C$64,2,0)))))</f>
        <v>3</v>
      </c>
      <c r="Y967" s="62"/>
      <c r="Z967" s="63"/>
      <c r="AA967" s="57" t="n">
        <f aca="false">AP967</f>
        <v>20</v>
      </c>
      <c r="AB967" s="57" t="n">
        <f aca="false">MAX(AP967,G967)</f>
        <v>20</v>
      </c>
      <c r="AC967" s="64"/>
      <c r="AD967" s="57" t="n">
        <f aca="false">IF(LEFT(Cockpit!$C$5,1)="A",G967,IF(BW967=1,BX967,IF(LEFT(Cockpit!$C$5,1)="B",AH967,MAX(AH967,G967))))</f>
        <v>0</v>
      </c>
      <c r="AE967" s="57" t="n">
        <f aca="false">IF(BR967=1,0,ROUNDUP(AD967/BQ967,0))</f>
        <v>0</v>
      </c>
      <c r="AF967" s="59" t="n">
        <f aca="false">IF(CD967&gt;0,CD967*MAX(1,AD967/V967),IF(BR967=1,IF(AD967&lt;=0,0,BS967*MAX(1,IF(G967&gt;0,AD967/G967,1))),IF(Q967&gt;0,AE967/Q967,0))/MAX(0.1,N(Parameter!$M$21)))</f>
        <v>0</v>
      </c>
      <c r="AG967" s="57" t="n">
        <f aca="false">AD967*F967</f>
        <v>0</v>
      </c>
      <c r="AH967" s="57" t="n">
        <f aca="false">ROUNDUP(MAX(I967/IF(BV967&gt;0,BV967,MAX(0.1,N(Cockpit!$C$6))),BY967)/BQ967,0)*BQ967</f>
        <v>20</v>
      </c>
      <c r="AI967" s="58" t="n">
        <f aca="false">IF(AF967&gt;0,I967/AF967,-1)</f>
        <v>-1</v>
      </c>
      <c r="AJ967" s="58" t="str">
        <f aca="false">IF(AND(OR(BU967="L1",BU967="L23"),AF967&gt;0),SUMIFS($AF$7:$AF$1576,$BU$7:$BU$1576,BU967,$AI$7:$AI$1576,"&gt;"&amp;AI967)+SUMIFS($AF$7:$AF$1576,$BU$7:$BU$1576,BU967,$AI$7:$AI$1576,AI967,$BO$7:$BO$1576,"&lt;="&amp;BO967),"")</f>
        <v/>
      </c>
      <c r="AK967" s="65" t="n">
        <f aca="false">IF(AJ967="",0,MAX(0,MIN(1,(IF(BU967="L1",Parameter!$E$5,Parameter!$E$6+Parameter!$E$7)-(AJ967-AF967))/AF967)))</f>
        <v>0</v>
      </c>
      <c r="AL967" s="57" t="n">
        <f aca="false">IF(LEFT(Cockpit!$I$5,1)="A",G967,IF(BW967=1,BX967,IF(LEFT(Cockpit!$I$5,1)="B",AP967,MAX(AP967,G967))))</f>
        <v>20</v>
      </c>
      <c r="AM967" s="57" t="n">
        <f aca="false">IF(BR967=1,0,ROUNDUP(AL967/BQ967,0))</f>
        <v>1</v>
      </c>
      <c r="AN967" s="59" t="n">
        <f aca="false">IF(CD967&gt;0,CD967*MAX(1,AL967/V967),IF(BR967=1,IF(AL967&lt;=0,0,BS967*MAX(1,IF(G967&gt;0,AL967/G967,1))),IF(Q967&gt;0,AM967/Q967,0))/MAX(0.1,N(Parameter!$M$21)))</f>
        <v>0.00241545893719807</v>
      </c>
      <c r="AO967" s="57" t="n">
        <f aca="false">AL967*F967</f>
        <v>50</v>
      </c>
      <c r="AP967" s="57" t="n">
        <f aca="false">ROUNDUP(MAX(I967/IF(BV967&gt;0,BV967,MAX(0.1,N(Cockpit!$I$6))),BY967)/BQ967,0)*BQ967</f>
        <v>20</v>
      </c>
      <c r="AQ967" s="58" t="n">
        <f aca="false">IF(AN967&gt;0,I967/AN967,-1)</f>
        <v>7038</v>
      </c>
      <c r="AR967" s="58" t="n">
        <f aca="false">IF(AND(OR(BU967="L1",BU967="L23"),AN967&gt;0),SUMIFS($AN$7:$AN$1576,$BU$7:$BU$1576,BU967,$AQ$7:$AQ$1576,"&gt;"&amp;AQ967)+SUMIFS($AN$7:$AN$1576,$BU$7:$BU$1576,BU967,$AQ$7:$AQ$1576,AQ967,$BO$7:$BO$1576,"&lt;="&amp;BO967),"")</f>
        <v>8.74066990980035</v>
      </c>
      <c r="AS967" s="65" t="n">
        <f aca="false">IF(AR967="",0,MAX(0,MIN(1,(IF(BU967="L1",Parameter!$E$5,Parameter!$E$6+Parameter!$E$7)-(AR967-AN967))/AN967)))</f>
        <v>1</v>
      </c>
      <c r="AT967" s="57" t="n">
        <f aca="false">IF(LEFT(Cockpit!$O$5,1)="A",G967,IF(BW967=1,BX967,IF(LEFT(Cockpit!$O$5,1)="B",AX967,MAX(AX967,G967))))</f>
        <v>20</v>
      </c>
      <c r="AU967" s="57" t="n">
        <f aca="false">IF(BR967=1,0,ROUNDUP(AT967/BQ967,0))</f>
        <v>1</v>
      </c>
      <c r="AV967" s="59" t="n">
        <f aca="false">IF(CD967&gt;0,CD967*MAX(1,AT967/V967),IF(BR967=1,IF(AT967&lt;=0,0,BS967*MAX(1,IF(G967&gt;0,AT967/G967,1))),IF(Q967&gt;0,AU967/Q967,0))/MAX(0.1,N(Parameter!$M$21)))</f>
        <v>0.00241545893719807</v>
      </c>
      <c r="AW967" s="57" t="n">
        <f aca="false">AT967*F967</f>
        <v>50</v>
      </c>
      <c r="AX967" s="57" t="n">
        <f aca="false">ROUNDUP(MAX(I967/IF(BV967&gt;0,BV967,MAX(0.1,N(Cockpit!$O$6))),BY967)/BQ967,0)*BQ967</f>
        <v>20</v>
      </c>
      <c r="AY967" s="58" t="n">
        <f aca="false">IF(AV967&gt;0,I967/AV967,-1)</f>
        <v>7038</v>
      </c>
      <c r="AZ967" s="58" t="n">
        <f aca="false">IF(AND(OR(BU967="L1",BU967="L23"),AV967&gt;0),SUMIFS($AV$7:$AV$1576,$BU$7:$BU$1576,BU967,$AY$7:$AY$1576,"&gt;"&amp;AY967)+SUMIFS($AV$7:$AV$1576,$BU$7:$BU$1576,BU967,$AY$7:$AY$1576,AY967,$BO$7:$BO$1576,"&lt;="&amp;BO967),"")</f>
        <v>8.42307084220128</v>
      </c>
      <c r="BA967" s="65" t="n">
        <f aca="false">IF(AZ967="",0,MAX(0,MIN(1,(IF(BU967="L1",Parameter!$E$5,Parameter!$E$6+Parameter!$E$7)-(AZ967-AV967))/AV967)))</f>
        <v>1</v>
      </c>
      <c r="BB967" s="55" t="str">
        <f aca="false">IF(AF967&lt;=0,"",IF(BU967="Aussen","Aussenlager",IF(BU967="-","Nicht im Lift",IF(AK967&gt;=1,"Lift",IF(AK967&lt;=0,"Aussenlager","teilweise")))))</f>
        <v/>
      </c>
      <c r="BC967" s="55" t="str">
        <f aca="false">IF(AN967&lt;=0,"",IF(BU967="Aussen","Aussenlager",IF(BU967="-","Nicht im Lift",IF(AS967&gt;=1,"Lift",IF(AS967&lt;=0,"Aussenlager","teilweise")))))</f>
        <v>Lift</v>
      </c>
      <c r="BD967" s="55" t="str">
        <f aca="false">IF(AV967&lt;=0,"",IF(BU967="Aussen","Aussenlager",IF(BU967="-","Nicht im Lift",IF(BA967&gt;=1,"Lift",IF(BA967&lt;=0,"Aussenlager","teilweise")))))</f>
        <v>Lift</v>
      </c>
      <c r="BE967" s="55" t="str">
        <f aca="false">IF(A967="","",IF(BN967=1,"Neu; ","")&amp;IF(AND(BN967=0,BI967&lt;0),"negativer Bestand (Export "&amp;BI967&amp;"); ","")&amp;IF(I967&lt;=0,"Kein Verbrauch; ","")&amp;IF(CD967&gt;0,"Lift "&amp;U967&amp;" lt. Liftbericht (Fach "&amp;V967&amp;" Stk); ",IF(BR967=1,"Lose – Fläche geschätzt; ",""))&amp;IF(G967&gt;AP967,"Überbestand "&amp;ROUND(G967-AP967,0)&amp;" Stk / CHF "&amp;ROUND((G967-AP967)*F967,0)&amp;"; ","")&amp;IF(AND(BW967=1,BX967&lt;BY967),"MAX &lt; MB+LG; ","")&amp;IF(AND(CC967&gt;0,CB967*10&gt;CC967),"zu hoch für Tablar; ","")&amp;IF(AND(BN967=0,OR(BW967=1,Y967&lt;&gt;"",S967&lt;&gt;"",T967&lt;&gt;"",Z967&lt;&gt;"")),"manuell übersteuert; ","")&amp;IF(AND(BR967=0,Q967=0),"Gebinde unbekannt / Stellmass fehlt; ","")&amp;IF(AND(BR967=0,N(T967)&lt;=0,N(P967)&lt;=0),"Menge pro Gebinde fehlt (Ist = 1 Gebinde); ","")&amp;BM967)</f>
        <v>negativer Bestand (Export -29); </v>
      </c>
      <c r="BF967" s="55"/>
      <c r="BG967" s="55"/>
      <c r="BH967" s="62"/>
      <c r="BI967" s="57" t="n">
        <v>-29</v>
      </c>
      <c r="BJ967" s="57" t="n">
        <v>29</v>
      </c>
      <c r="BK967" s="56" t="n">
        <v>-71.63</v>
      </c>
      <c r="BL967" s="57" t="n">
        <v>17</v>
      </c>
      <c r="BM967" s="55"/>
      <c r="BN967" s="60" t="n">
        <v>0</v>
      </c>
      <c r="BO967" s="60" t="n">
        <v>967</v>
      </c>
      <c r="BP967" s="55" t="str">
        <f aca="false">IF(S967&lt;&gt;"",UPPER(TRIM(S967)),IF(O967="","LOSE",O967))</f>
        <v>S21</v>
      </c>
      <c r="BQ967" s="57" t="n">
        <f aca="false">IF(BP967="LOSE",1,IF(N(T967)&gt;0,T967,IF(N(P967)&gt;0,P967,MAX(1,G967))))</f>
        <v>20</v>
      </c>
      <c r="BR967" s="60" t="n">
        <f aca="false">IF(BP967="LOSE",1,0)</f>
        <v>0</v>
      </c>
      <c r="BS967" s="59" t="n">
        <f aca="false">IF(BR967=0,0,IF(N(R967)&gt;0,R967,IFERROR(VLOOKUP(D967,Parameter!$A$35:$C$64,3,0)+0,0)))</f>
        <v>0</v>
      </c>
      <c r="BT967" s="55" t="n">
        <f aca="false">IF(Y967&lt;&gt;"",Y967,X967)</f>
        <v>3</v>
      </c>
      <c r="BU967" s="55" t="str">
        <f aca="false">IF(BT967=1,"L1",IF(OR(BT967=2,BT967=3),"L23",IF(BT967="Aussen","Aussen","-")))</f>
        <v>L23</v>
      </c>
      <c r="BV967" s="66" t="n">
        <f aca="false">IF(N(Z967)&gt;0,Z967,0)</f>
        <v>0</v>
      </c>
      <c r="BW967" s="60" t="n">
        <f aca="false">IF(ISNUMBER(AC967),1,0)</f>
        <v>0</v>
      </c>
      <c r="BX967" s="57" t="n">
        <f aca="false">N(AC967)</f>
        <v>0</v>
      </c>
      <c r="BY967" s="57" t="n">
        <f aca="false">N(L967)+N(M967)</f>
        <v>15</v>
      </c>
      <c r="BZ967" s="57" t="n">
        <f aca="false">ROUNDUP(G967/BQ967,0)</f>
        <v>0</v>
      </c>
      <c r="CA967" s="57" t="n">
        <f aca="false">ROUNDUP(BX967/BQ967,0)</f>
        <v>0</v>
      </c>
      <c r="CB967" s="60" t="n">
        <f aca="false">IF(BR967=1,0,IFERROR(VLOOKUP(BP967,'Gebinde-Kategorie'!$A$5:$M$45,5,0)+0,0))</f>
        <v>8</v>
      </c>
      <c r="CC967" s="60" t="n">
        <f aca="false">IFERROR(IF(OR(BT967=1,BT967=2,BT967=3),N(INDEX(Parameter!$I$5:$I$7,BT967)),0),0)</f>
        <v>0</v>
      </c>
      <c r="CD967" s="59" t="n">
        <f aca="false">IF(AND(Parameter!$B$21="Ja",ISNUMBER(U967),N(V967)&gt;0),IFERROR(N(INDEX(Parameter!$L$5:$L$7,U967))*INDEX(Parameter!$E$5:$E$7,U967)*V967/SUMIFS($V$7:$V$1576,$U$7:$U$1576,U967),0),0)</f>
        <v>0</v>
      </c>
    </row>
    <row r="968" customFormat="false" ht="15" hidden="false" customHeight="false" outlineLevel="0" collapsed="false">
      <c r="A968" s="55" t="s">
        <v>1785</v>
      </c>
      <c r="B968" s="55" t="s">
        <v>1786</v>
      </c>
      <c r="C968" s="55" t="s">
        <v>160</v>
      </c>
      <c r="D968" s="55" t="s">
        <v>178</v>
      </c>
      <c r="E968" s="55" t="s">
        <v>210</v>
      </c>
      <c r="F968" s="56" t="n">
        <v>72.05</v>
      </c>
      <c r="G968" s="57" t="n">
        <f aca="false">MAX(0,IF(AND(Parameter!$B$21="Ja",ISNUMBER(W968)),W968,IF(Parameter!$B$20="Jahresanfang 2025 + Export",BJ968+BI968,BI968)))</f>
        <v>0</v>
      </c>
      <c r="H968" s="57" t="n">
        <f aca="false">G968*F968</f>
        <v>0</v>
      </c>
      <c r="I968" s="57" t="n">
        <f aca="false">BL968*Parameter!$B$18</f>
        <v>1</v>
      </c>
      <c r="J968" s="58" t="n">
        <v>6</v>
      </c>
      <c r="K968" s="59" t="n">
        <v>0.166666666666667</v>
      </c>
      <c r="L968" s="57" t="n">
        <v>0</v>
      </c>
      <c r="M968" s="57" t="n">
        <v>1</v>
      </c>
      <c r="N968" s="60" t="n">
        <v>14</v>
      </c>
      <c r="O968" s="55" t="s">
        <v>225</v>
      </c>
      <c r="P968" s="57" t="n">
        <v>12</v>
      </c>
      <c r="Q968" s="60" t="n">
        <f aca="false">IF(BR968=1,0,IFERROR(VLOOKUP(BP968,'Gebinde-Kategorie'!$A$5:$M$45,13,0)+0,0))</f>
        <v>26</v>
      </c>
      <c r="R968" s="61"/>
      <c r="S968" s="62"/>
      <c r="T968" s="62"/>
      <c r="U968" s="55"/>
      <c r="V968" s="57"/>
      <c r="W968" s="57"/>
      <c r="X968" s="55" t="n">
        <f aca="false">IF(A968="","",IF(AND(Parameter!$B$21="Ja",ISNUMBER(U968)),U968,IF(IFERROR(VLOOKUP(D968,Parameter!$A$35:$C$64,2,0),"Nein")="2+3",IF(ISNUMBER(SEARCH("grosser Artikel",BM968)),2,IFERROR(VLOOKUP(BP968,Parameter!$F$35:$G$64,2,0),2)),IF(OR(IFERROR(VLOOKUP(D968,Parameter!$A$35:$C$64,2,0),"Nein")="Nein",IFERROR(VLOOKUP(D968,Parameter!$A$35:$C$64,2,0),"Nein")=""),"-",VLOOKUP(D968,Parameter!$A$35:$C$64,2,0)))))</f>
        <v>3</v>
      </c>
      <c r="Y968" s="62"/>
      <c r="Z968" s="63"/>
      <c r="AA968" s="57" t="n">
        <f aca="false">AP968</f>
        <v>12</v>
      </c>
      <c r="AB968" s="57" t="n">
        <f aca="false">MAX(AP968,G968)</f>
        <v>12</v>
      </c>
      <c r="AC968" s="64"/>
      <c r="AD968" s="57" t="n">
        <f aca="false">IF(LEFT(Cockpit!$C$5,1)="A",G968,IF(BW968=1,BX968,IF(LEFT(Cockpit!$C$5,1)="B",AH968,MAX(AH968,G968))))</f>
        <v>0</v>
      </c>
      <c r="AE968" s="57" t="n">
        <f aca="false">IF(BR968=1,0,ROUNDUP(AD968/BQ968,0))</f>
        <v>0</v>
      </c>
      <c r="AF968" s="59" t="n">
        <f aca="false">IF(CD968&gt;0,CD968*MAX(1,AD968/V968),IF(BR968=1,IF(AD968&lt;=0,0,BS968*MAX(1,IF(G968&gt;0,AD968/G968,1))),IF(Q968&gt;0,AE968/Q968,0))/MAX(0.1,N(Parameter!$M$21)))</f>
        <v>0</v>
      </c>
      <c r="AG968" s="57" t="n">
        <f aca="false">AD968*F968</f>
        <v>0</v>
      </c>
      <c r="AH968" s="57" t="n">
        <f aca="false">ROUNDUP(MAX(I968/IF(BV968&gt;0,BV968,MAX(0.1,N(Cockpit!$C$6))),BY968)/BQ968,0)*BQ968</f>
        <v>12</v>
      </c>
      <c r="AI968" s="58" t="n">
        <f aca="false">IF(AF968&gt;0,I968/AF968,-1)</f>
        <v>-1</v>
      </c>
      <c r="AJ968" s="58" t="str">
        <f aca="false">IF(AND(OR(BU968="L1",BU968="L23"),AF968&gt;0),SUMIFS($AF$7:$AF$1576,$BU$7:$BU$1576,BU968,$AI$7:$AI$1576,"&gt;"&amp;AI968)+SUMIFS($AF$7:$AF$1576,$BU$7:$BU$1576,BU968,$AI$7:$AI$1576,AI968,$BO$7:$BO$1576,"&lt;="&amp;BO968),"")</f>
        <v/>
      </c>
      <c r="AK968" s="65" t="n">
        <f aca="false">IF(AJ968="",0,MAX(0,MIN(1,(IF(BU968="L1",Parameter!$E$5,Parameter!$E$6+Parameter!$E$7)-(AJ968-AF968))/AF968)))</f>
        <v>0</v>
      </c>
      <c r="AL968" s="57" t="n">
        <f aca="false">IF(LEFT(Cockpit!$I$5,1)="A",G968,IF(BW968=1,BX968,IF(LEFT(Cockpit!$I$5,1)="B",AP968,MAX(AP968,G968))))</f>
        <v>12</v>
      </c>
      <c r="AM968" s="57" t="n">
        <f aca="false">IF(BR968=1,0,ROUNDUP(AL968/BQ968,0))</f>
        <v>1</v>
      </c>
      <c r="AN968" s="59" t="n">
        <f aca="false">IF(CD968&gt;0,CD968*MAX(1,AL968/V968),IF(BR968=1,IF(AL968&lt;=0,0,BS968*MAX(1,IF(G968&gt;0,AL968/G968,1))),IF(Q968&gt;0,AM968/Q968,0))/MAX(0.1,N(Parameter!$M$21)))</f>
        <v>0.0384615384615385</v>
      </c>
      <c r="AO968" s="57" t="n">
        <f aca="false">AL968*F968</f>
        <v>864.6</v>
      </c>
      <c r="AP968" s="57" t="n">
        <f aca="false">ROUNDUP(MAX(I968/IF(BV968&gt;0,BV968,MAX(0.1,N(Cockpit!$I$6))),BY968)/BQ968,0)*BQ968</f>
        <v>12</v>
      </c>
      <c r="AQ968" s="58" t="n">
        <f aca="false">IF(AN968&gt;0,I968/AN968,-1)</f>
        <v>26</v>
      </c>
      <c r="AR968" s="58" t="n">
        <f aca="false">IF(AND(OR(BU968="L1",BU968="L23"),AN968&gt;0),SUMIFS($AN$7:$AN$1576,$BU$7:$BU$1576,BU968,$AQ$7:$AQ$1576,"&gt;"&amp;AQ968)+SUMIFS($AN$7:$AN$1576,$BU$7:$BU$1576,BU968,$AQ$7:$AQ$1576,AQ968,$BO$7:$BO$1576,"&lt;="&amp;BO968),"")</f>
        <v>97.3155115117727</v>
      </c>
      <c r="AS968" s="65" t="n">
        <f aca="false">IF(AR968="",0,MAX(0,MIN(1,(IF(BU968="L1",Parameter!$E$5,Parameter!$E$6+Parameter!$E$7)-(AR968-AN968))/AN968)))</f>
        <v>1</v>
      </c>
      <c r="AT968" s="57" t="n">
        <f aca="false">IF(LEFT(Cockpit!$O$5,1)="A",G968,IF(BW968=1,BX968,IF(LEFT(Cockpit!$O$5,1)="B",AX968,MAX(AX968,G968))))</f>
        <v>12</v>
      </c>
      <c r="AU968" s="57" t="n">
        <f aca="false">IF(BR968=1,0,ROUNDUP(AT968/BQ968,0))</f>
        <v>1</v>
      </c>
      <c r="AV968" s="59" t="n">
        <f aca="false">IF(CD968&gt;0,CD968*MAX(1,AT968/V968),IF(BR968=1,IF(AT968&lt;=0,0,BS968*MAX(1,IF(G968&gt;0,AT968/G968,1))),IF(Q968&gt;0,AU968/Q968,0))/MAX(0.1,N(Parameter!$M$21)))</f>
        <v>0.0384615384615385</v>
      </c>
      <c r="AW968" s="57" t="n">
        <f aca="false">AT968*F968</f>
        <v>864.6</v>
      </c>
      <c r="AX968" s="57" t="n">
        <f aca="false">ROUNDUP(MAX(I968/IF(BV968&gt;0,BV968,MAX(0.1,N(Cockpit!$O$6))),BY968)/BQ968,0)*BQ968</f>
        <v>12</v>
      </c>
      <c r="AY968" s="58" t="n">
        <f aca="false">IF(AV968&gt;0,I968/AV968,-1)</f>
        <v>26</v>
      </c>
      <c r="AZ968" s="58" t="n">
        <f aca="false">IF(AND(OR(BU968="L1",BU968="L23"),AV968&gt;0),SUMIFS($AV$7:$AV$1576,$BU$7:$BU$1576,BU968,$AY$7:$AY$1576,"&gt;"&amp;AY968)+SUMIFS($AV$7:$AV$1576,$BU$7:$BU$1576,BU968,$AY$7:$AY$1576,AY968,$BO$7:$BO$1576,"&lt;="&amp;BO968),"")</f>
        <v>88.1250619613231</v>
      </c>
      <c r="BA968" s="65" t="n">
        <f aca="false">IF(AZ968="",0,MAX(0,MIN(1,(IF(BU968="L1",Parameter!$E$5,Parameter!$E$6+Parameter!$E$7)-(AZ968-AV968))/AV968)))</f>
        <v>1</v>
      </c>
      <c r="BB968" s="55" t="str">
        <f aca="false">IF(AF968&lt;=0,"",IF(BU968="Aussen","Aussenlager",IF(BU968="-","Nicht im Lift",IF(AK968&gt;=1,"Lift",IF(AK968&lt;=0,"Aussenlager","teilweise")))))</f>
        <v/>
      </c>
      <c r="BC968" s="55" t="str">
        <f aca="false">IF(AN968&lt;=0,"",IF(BU968="Aussen","Aussenlager",IF(BU968="-","Nicht im Lift",IF(AS968&gt;=1,"Lift",IF(AS968&lt;=0,"Aussenlager","teilweise")))))</f>
        <v>Lift</v>
      </c>
      <c r="BD968" s="55" t="str">
        <f aca="false">IF(AV968&lt;=0,"",IF(BU968="Aussen","Aussenlager",IF(BU968="-","Nicht im Lift",IF(BA968&gt;=1,"Lift",IF(BA968&lt;=0,"Aussenlager","teilweise")))))</f>
        <v>Lift</v>
      </c>
      <c r="BE968" s="55" t="str">
        <f aca="false">IF(A968="","",IF(BN968=1,"Neu; ","")&amp;IF(AND(BN968=0,BI968&lt;0),"negativer Bestand (Export "&amp;BI968&amp;"); ","")&amp;IF(I968&lt;=0,"Kein Verbrauch; ","")&amp;IF(CD968&gt;0,"Lift "&amp;U968&amp;" lt. Liftbericht (Fach "&amp;V968&amp;" Stk); ",IF(BR968=1,"Lose – Fläche geschätzt; ",""))&amp;IF(G968&gt;AP968,"Überbestand "&amp;ROUND(G968-AP968,0)&amp;" Stk / CHF "&amp;ROUND((G968-AP968)*F968,0)&amp;"; ","")&amp;IF(AND(BW968=1,BX968&lt;BY968),"MAX &lt; MB+LG; ","")&amp;IF(AND(CC968&gt;0,CB968*10&gt;CC968),"zu hoch für Tablar; ","")&amp;IF(AND(BN968=0,OR(BW968=1,Y968&lt;&gt;"",S968&lt;&gt;"",T968&lt;&gt;"",Z968&lt;&gt;"")),"manuell übersteuert; ","")&amp;IF(AND(BR968=0,Q968=0),"Gebinde unbekannt / Stellmass fehlt; ","")&amp;IF(AND(BR968=0,N(T968)&lt;=0,N(P968)&lt;=0),"Menge pro Gebinde fehlt (Ist = 1 Gebinde); ","")&amp;BM968)</f>
        <v>negativer Bestand (Export -1); </v>
      </c>
      <c r="BF968" s="55"/>
      <c r="BG968" s="55"/>
      <c r="BH968" s="62"/>
      <c r="BI968" s="57" t="n">
        <v>-1</v>
      </c>
      <c r="BJ968" s="57" t="n">
        <v>7</v>
      </c>
      <c r="BK968" s="56" t="n">
        <v>-72.05</v>
      </c>
      <c r="BL968" s="57" t="n">
        <v>1</v>
      </c>
      <c r="BM968" s="55"/>
      <c r="BN968" s="60" t="n">
        <v>0</v>
      </c>
      <c r="BO968" s="60" t="n">
        <v>968</v>
      </c>
      <c r="BP968" s="55" t="str">
        <f aca="false">IF(S968&lt;&gt;"",UPPER(TRIM(S968)),IF(O968="","LOSE",O968))</f>
        <v>S52</v>
      </c>
      <c r="BQ968" s="57" t="n">
        <f aca="false">IF(BP968="LOSE",1,IF(N(T968)&gt;0,T968,IF(N(P968)&gt;0,P968,MAX(1,G968))))</f>
        <v>12</v>
      </c>
      <c r="BR968" s="60" t="n">
        <f aca="false">IF(BP968="LOSE",1,0)</f>
        <v>0</v>
      </c>
      <c r="BS968" s="59" t="n">
        <f aca="false">IF(BR968=0,0,IF(N(R968)&gt;0,R968,IFERROR(VLOOKUP(D968,Parameter!$A$35:$C$64,3,0)+0,0)))</f>
        <v>0</v>
      </c>
      <c r="BT968" s="55" t="n">
        <f aca="false">IF(Y968&lt;&gt;"",Y968,X968)</f>
        <v>3</v>
      </c>
      <c r="BU968" s="55" t="str">
        <f aca="false">IF(BT968=1,"L1",IF(OR(BT968=2,BT968=3),"L23",IF(BT968="Aussen","Aussen","-")))</f>
        <v>L23</v>
      </c>
      <c r="BV968" s="66" t="n">
        <f aca="false">IF(N(Z968)&gt;0,Z968,0)</f>
        <v>0</v>
      </c>
      <c r="BW968" s="60" t="n">
        <f aca="false">IF(ISNUMBER(AC968),1,0)</f>
        <v>0</v>
      </c>
      <c r="BX968" s="57" t="n">
        <f aca="false">N(AC968)</f>
        <v>0</v>
      </c>
      <c r="BY968" s="57" t="n">
        <f aca="false">N(L968)+N(M968)</f>
        <v>1</v>
      </c>
      <c r="BZ968" s="57" t="n">
        <f aca="false">ROUNDUP(G968/BQ968,0)</f>
        <v>0</v>
      </c>
      <c r="CA968" s="57" t="n">
        <f aca="false">ROUNDUP(BX968/BQ968,0)</f>
        <v>0</v>
      </c>
      <c r="CB968" s="60" t="n">
        <f aca="false">IF(BR968=1,0,IFERROR(VLOOKUP(BP968,'Gebinde-Kategorie'!$A$5:$M$45,5,0)+0,0))</f>
        <v>21</v>
      </c>
      <c r="CC968" s="60" t="n">
        <f aca="false">IFERROR(IF(OR(BT968=1,BT968=2,BT968=3),N(INDEX(Parameter!$I$5:$I$7,BT968)),0),0)</f>
        <v>0</v>
      </c>
      <c r="CD968" s="59" t="n">
        <f aca="false">IF(AND(Parameter!$B$21="Ja",ISNUMBER(U968),N(V968)&gt;0),IFERROR(N(INDEX(Parameter!$L$5:$L$7,U968))*INDEX(Parameter!$E$5:$E$7,U968)*V968/SUMIFS($V$7:$V$1576,$U$7:$U$1576,U968),0),0)</f>
        <v>0</v>
      </c>
    </row>
    <row r="969" customFormat="false" ht="15" hidden="false" customHeight="false" outlineLevel="0" collapsed="false">
      <c r="A969" s="55" t="s">
        <v>1787</v>
      </c>
      <c r="B969" s="55" t="s">
        <v>624</v>
      </c>
      <c r="C969" s="55" t="s">
        <v>160</v>
      </c>
      <c r="D969" s="55" t="s">
        <v>168</v>
      </c>
      <c r="E969" s="55" t="s">
        <v>210</v>
      </c>
      <c r="F969" s="56" t="n">
        <v>36.14</v>
      </c>
      <c r="G969" s="57" t="n">
        <f aca="false">MAX(0,IF(AND(Parameter!$B$21="Ja",ISNUMBER(W969)),W969,IF(Parameter!$B$20="Jahresanfang 2025 + Export",BJ969+BI969,BI969)))</f>
        <v>0</v>
      </c>
      <c r="H969" s="57" t="n">
        <f aca="false">G969*F969</f>
        <v>0</v>
      </c>
      <c r="I969" s="57" t="n">
        <f aca="false">BL969*Parameter!$B$18</f>
        <v>2</v>
      </c>
      <c r="J969" s="58" t="n">
        <v>18</v>
      </c>
      <c r="K969" s="59" t="n">
        <v>0.111111111111111</v>
      </c>
      <c r="L969" s="57" t="n">
        <v>10</v>
      </c>
      <c r="M969" s="57" t="n">
        <v>1</v>
      </c>
      <c r="N969" s="60" t="n">
        <v>28</v>
      </c>
      <c r="O969" s="55" t="s">
        <v>163</v>
      </c>
      <c r="P969" s="57"/>
      <c r="Q969" s="60" t="n">
        <f aca="false">IF(BR969=1,0,IFERROR(VLOOKUP(BP969,'Gebinde-Kategorie'!$A$5:$M$45,13,0)+0,0))</f>
        <v>0</v>
      </c>
      <c r="R969" s="61"/>
      <c r="S969" s="62"/>
      <c r="T969" s="62"/>
      <c r="U969" s="55"/>
      <c r="V969" s="57"/>
      <c r="W969" s="57"/>
      <c r="X969" s="55" t="n">
        <f aca="false">IF(A969="","",IF(AND(Parameter!$B$21="Ja",ISNUMBER(U969)),U969,IF(IFERROR(VLOOKUP(D969,Parameter!$A$35:$C$64,2,0),"Nein")="2+3",IF(ISNUMBER(SEARCH("grosser Artikel",BM969)),2,IFERROR(VLOOKUP(BP969,Parameter!$F$35:$G$64,2,0),2)),IF(OR(IFERROR(VLOOKUP(D969,Parameter!$A$35:$C$64,2,0),"Nein")="Nein",IFERROR(VLOOKUP(D969,Parameter!$A$35:$C$64,2,0),"Nein")=""),"-",VLOOKUP(D969,Parameter!$A$35:$C$64,2,0)))))</f>
        <v>2</v>
      </c>
      <c r="Y969" s="62"/>
      <c r="Z969" s="63"/>
      <c r="AA969" s="57" t="n">
        <f aca="false">AP969</f>
        <v>11</v>
      </c>
      <c r="AB969" s="57" t="n">
        <f aca="false">MAX(AP969,G969)</f>
        <v>11</v>
      </c>
      <c r="AC969" s="64"/>
      <c r="AD969" s="57" t="n">
        <f aca="false">IF(LEFT(Cockpit!$C$5,1)="A",G969,IF(BW969=1,BX969,IF(LEFT(Cockpit!$C$5,1)="B",AH969,MAX(AH969,G969))))</f>
        <v>0</v>
      </c>
      <c r="AE969" s="57" t="n">
        <f aca="false">IF(BR969=1,0,ROUNDUP(AD969/BQ969,0))</f>
        <v>0</v>
      </c>
      <c r="AF969" s="59" t="n">
        <f aca="false">IF(CD969&gt;0,CD969*MAX(1,AD969/V969),IF(BR969=1,IF(AD969&lt;=0,0,BS969*MAX(1,IF(G969&gt;0,AD969/G969,1))),IF(Q969&gt;0,AE969/Q969,0))/MAX(0.1,N(Parameter!$M$21)))</f>
        <v>0</v>
      </c>
      <c r="AG969" s="57" t="n">
        <f aca="false">AD969*F969</f>
        <v>0</v>
      </c>
      <c r="AH969" s="57" t="n">
        <f aca="false">ROUNDUP(MAX(I969/IF(BV969&gt;0,BV969,MAX(0.1,N(Cockpit!$C$6))),BY969)/BQ969,0)*BQ969</f>
        <v>11</v>
      </c>
      <c r="AI969" s="58" t="n">
        <f aca="false">IF(AF969&gt;0,I969/AF969,-1)</f>
        <v>-1</v>
      </c>
      <c r="AJ969" s="58" t="str">
        <f aca="false">IF(AND(OR(BU969="L1",BU969="L23"),AF969&gt;0),SUMIFS($AF$7:$AF$1576,$BU$7:$BU$1576,BU969,$AI$7:$AI$1576,"&gt;"&amp;AI969)+SUMIFS($AF$7:$AF$1576,$BU$7:$BU$1576,BU969,$AI$7:$AI$1576,AI969,$BO$7:$BO$1576,"&lt;="&amp;BO969),"")</f>
        <v/>
      </c>
      <c r="AK969" s="65" t="n">
        <f aca="false">IF(AJ969="",0,MAX(0,MIN(1,(IF(BU969="L1",Parameter!$E$5,Parameter!$E$6+Parameter!$E$7)-(AJ969-AF969))/AF969)))</f>
        <v>0</v>
      </c>
      <c r="AL969" s="57" t="n">
        <f aca="false">IF(LEFT(Cockpit!$I$5,1)="A",G969,IF(BW969=1,BX969,IF(LEFT(Cockpit!$I$5,1)="B",AP969,MAX(AP969,G969))))</f>
        <v>11</v>
      </c>
      <c r="AM969" s="57" t="n">
        <f aca="false">IF(BR969=1,0,ROUNDUP(AL969/BQ969,0))</f>
        <v>0</v>
      </c>
      <c r="AN969" s="59" t="n">
        <f aca="false">IF(CD969&gt;0,CD969*MAX(1,AL969/V969),IF(BR969=1,IF(AL969&lt;=0,0,BS969*MAX(1,IF(G969&gt;0,AL969/G969,1))),IF(Q969&gt;0,AM969/Q969,0))/MAX(0.1,N(Parameter!$M$21)))</f>
        <v>0.15</v>
      </c>
      <c r="AO969" s="57" t="n">
        <f aca="false">AL969*F969</f>
        <v>397.54</v>
      </c>
      <c r="AP969" s="57" t="n">
        <f aca="false">ROUNDUP(MAX(I969/IF(BV969&gt;0,BV969,MAX(0.1,N(Cockpit!$I$6))),BY969)/BQ969,0)*BQ969</f>
        <v>11</v>
      </c>
      <c r="AQ969" s="58" t="n">
        <f aca="false">IF(AN969&gt;0,I969/AN969,-1)</f>
        <v>13.3333333333333</v>
      </c>
      <c r="AR969" s="58" t="n">
        <f aca="false">IF(AND(OR(BU969="L1",BU969="L23"),AN969&gt;0),SUMIFS($AN$7:$AN$1576,$BU$7:$BU$1576,BU969,$AQ$7:$AQ$1576,"&gt;"&amp;AQ969)+SUMIFS($AN$7:$AN$1576,$BU$7:$BU$1576,BU969,$AQ$7:$AQ$1576,AQ969,$BO$7:$BO$1576,"&lt;="&amp;BO969),"")</f>
        <v>106.168075614337</v>
      </c>
      <c r="AS969" s="65" t="n">
        <f aca="false">IF(AR969="",0,MAX(0,MIN(1,(IF(BU969="L1",Parameter!$E$5,Parameter!$E$6+Parameter!$E$7)-(AR969-AN969))/AN969)))</f>
        <v>0</v>
      </c>
      <c r="AT969" s="57" t="n">
        <f aca="false">IF(LEFT(Cockpit!$O$5,1)="A",G969,IF(BW969=1,BX969,IF(LEFT(Cockpit!$O$5,1)="B",AX969,MAX(AX969,G969))))</f>
        <v>11</v>
      </c>
      <c r="AU969" s="57" t="n">
        <f aca="false">IF(BR969=1,0,ROUNDUP(AT969/BQ969,0))</f>
        <v>0</v>
      </c>
      <c r="AV969" s="59" t="n">
        <f aca="false">IF(CD969&gt;0,CD969*MAX(1,AT969/V969),IF(BR969=1,IF(AT969&lt;=0,0,BS969*MAX(1,IF(G969&gt;0,AT969/G969,1))),IF(Q969&gt;0,AU969/Q969,0))/MAX(0.1,N(Parameter!$M$21)))</f>
        <v>0.15</v>
      </c>
      <c r="AW969" s="57" t="n">
        <f aca="false">AT969*F969</f>
        <v>397.54</v>
      </c>
      <c r="AX969" s="57" t="n">
        <f aca="false">ROUNDUP(MAX(I969/IF(BV969&gt;0,BV969,MAX(0.1,N(Cockpit!$O$6))),BY969)/BQ969,0)*BQ969</f>
        <v>11</v>
      </c>
      <c r="AY969" s="58" t="n">
        <f aca="false">IF(AV969&gt;0,I969/AV969,-1)</f>
        <v>13.3333333333333</v>
      </c>
      <c r="AZ969" s="58" t="n">
        <f aca="false">IF(AND(OR(BU969="L1",BU969="L23"),AV969&gt;0),SUMIFS($AV$7:$AV$1576,$BU$7:$BU$1576,BU969,$AY$7:$AY$1576,"&gt;"&amp;AY969)+SUMIFS($AV$7:$AV$1576,$BU$7:$BU$1576,BU969,$AY$7:$AY$1576,AY969,$BO$7:$BO$1576,"&lt;="&amp;BO969),"")</f>
        <v>96.2276260638872</v>
      </c>
      <c r="BA969" s="65" t="n">
        <f aca="false">IF(AZ969="",0,MAX(0,MIN(1,(IF(BU969="L1",Parameter!$E$5,Parameter!$E$6+Parameter!$E$7)-(AZ969-AV969))/AV969)))</f>
        <v>1</v>
      </c>
      <c r="BB969" s="55" t="str">
        <f aca="false">IF(AF969&lt;=0,"",IF(BU969="Aussen","Aussenlager",IF(BU969="-","Nicht im Lift",IF(AK969&gt;=1,"Lift",IF(AK969&lt;=0,"Aussenlager","teilweise")))))</f>
        <v/>
      </c>
      <c r="BC969" s="55" t="str">
        <f aca="false">IF(AN969&lt;=0,"",IF(BU969="Aussen","Aussenlager",IF(BU969="-","Nicht im Lift",IF(AS969&gt;=1,"Lift",IF(AS969&lt;=0,"Aussenlager","teilweise")))))</f>
        <v>Aussenlager</v>
      </c>
      <c r="BD969" s="55" t="str">
        <f aca="false">IF(AV969&lt;=0,"",IF(BU969="Aussen","Aussenlager",IF(BU969="-","Nicht im Lift",IF(BA969&gt;=1,"Lift",IF(BA969&lt;=0,"Aussenlager","teilweise")))))</f>
        <v>Lift</v>
      </c>
      <c r="BE969" s="55" t="str">
        <f aca="false">IF(A969="","",IF(BN969=1,"Neu; ","")&amp;IF(AND(BN969=0,BI969&lt;0),"negativer Bestand (Export "&amp;BI969&amp;"); ","")&amp;IF(I969&lt;=0,"Kein Verbrauch; ","")&amp;IF(CD969&gt;0,"Lift "&amp;U969&amp;" lt. Liftbericht (Fach "&amp;V969&amp;" Stk); ",IF(BR969=1,"Lose – Fläche geschätzt; ",""))&amp;IF(G969&gt;AP969,"Überbestand "&amp;ROUND(G969-AP969,0)&amp;" Stk / CHF "&amp;ROUND((G969-AP969)*F969,0)&amp;"; ","")&amp;IF(AND(BW969=1,BX969&lt;BY969),"MAX &lt; MB+LG; ","")&amp;IF(AND(CC969&gt;0,CB969*10&gt;CC969),"zu hoch für Tablar; ","")&amp;IF(AND(BN969=0,OR(BW969=1,Y969&lt;&gt;"",S969&lt;&gt;"",T969&lt;&gt;"",Z969&lt;&gt;"")),"manuell übersteuert; ","")&amp;IF(AND(BR969=0,Q969=0),"Gebinde unbekannt / Stellmass fehlt; ","")&amp;IF(AND(BR969=0,N(T969)&lt;=0,N(P969)&lt;=0),"Menge pro Gebinde fehlt (Ist = 1 Gebinde); ","")&amp;BM969)</f>
        <v>negativer Bestand (Export -2); Lose – Fläche geschätzt; </v>
      </c>
      <c r="BF969" s="55"/>
      <c r="BG969" s="55"/>
      <c r="BH969" s="62"/>
      <c r="BI969" s="57" t="n">
        <v>-2</v>
      </c>
      <c r="BJ969" s="57" t="n">
        <v>19</v>
      </c>
      <c r="BK969" s="56" t="n">
        <v>-72.28</v>
      </c>
      <c r="BL969" s="57" t="n">
        <v>2</v>
      </c>
      <c r="BM969" s="55"/>
      <c r="BN969" s="60" t="n">
        <v>0</v>
      </c>
      <c r="BO969" s="60" t="n">
        <v>969</v>
      </c>
      <c r="BP969" s="55" t="str">
        <f aca="false">IF(S969&lt;&gt;"",UPPER(TRIM(S969)),IF(O969="","LOSE",O969))</f>
        <v>LOSE</v>
      </c>
      <c r="BQ969" s="57" t="n">
        <f aca="false">IF(BP969="LOSE",1,IF(N(T969)&gt;0,T969,IF(N(P969)&gt;0,P969,MAX(1,G969))))</f>
        <v>1</v>
      </c>
      <c r="BR969" s="60" t="n">
        <f aca="false">IF(BP969="LOSE",1,0)</f>
        <v>1</v>
      </c>
      <c r="BS969" s="59" t="n">
        <f aca="false">IF(BR969=0,0,IF(N(R969)&gt;0,R969,IFERROR(VLOOKUP(D969,Parameter!$A$35:$C$64,3,0)+0,0)))</f>
        <v>0.15</v>
      </c>
      <c r="BT969" s="55" t="n">
        <f aca="false">IF(Y969&lt;&gt;"",Y969,X969)</f>
        <v>2</v>
      </c>
      <c r="BU969" s="55" t="str">
        <f aca="false">IF(BT969=1,"L1",IF(OR(BT969=2,BT969=3),"L23",IF(BT969="Aussen","Aussen","-")))</f>
        <v>L23</v>
      </c>
      <c r="BV969" s="66" t="n">
        <f aca="false">IF(N(Z969)&gt;0,Z969,0)</f>
        <v>0</v>
      </c>
      <c r="BW969" s="60" t="n">
        <f aca="false">IF(ISNUMBER(AC969),1,0)</f>
        <v>0</v>
      </c>
      <c r="BX969" s="57" t="n">
        <f aca="false">N(AC969)</f>
        <v>0</v>
      </c>
      <c r="BY969" s="57" t="n">
        <f aca="false">N(L969)+N(M969)</f>
        <v>11</v>
      </c>
      <c r="BZ969" s="57" t="n">
        <f aca="false">ROUNDUP(G969/BQ969,0)</f>
        <v>0</v>
      </c>
      <c r="CA969" s="57" t="n">
        <f aca="false">ROUNDUP(BX969/BQ969,0)</f>
        <v>0</v>
      </c>
      <c r="CB969" s="60" t="n">
        <f aca="false">IF(BR969=1,0,IFERROR(VLOOKUP(BP969,'Gebinde-Kategorie'!$A$5:$M$45,5,0)+0,0))</f>
        <v>0</v>
      </c>
      <c r="CC969" s="60" t="n">
        <f aca="false">IFERROR(IF(OR(BT969=1,BT969=2,BT969=3),N(INDEX(Parameter!$I$5:$I$7,BT969)),0),0)</f>
        <v>0</v>
      </c>
      <c r="CD969" s="59" t="n">
        <f aca="false">IF(AND(Parameter!$B$21="Ja",ISNUMBER(U969),N(V969)&gt;0),IFERROR(N(INDEX(Parameter!$L$5:$L$7,U969))*INDEX(Parameter!$E$5:$E$7,U969)*V969/SUMIFS($V$7:$V$1576,$U$7:$U$1576,U969),0),0)</f>
        <v>0</v>
      </c>
    </row>
    <row r="970" customFormat="false" ht="15" hidden="false" customHeight="false" outlineLevel="0" collapsed="false">
      <c r="A970" s="55" t="s">
        <v>1788</v>
      </c>
      <c r="B970" s="55" t="s">
        <v>706</v>
      </c>
      <c r="C970" s="55" t="s">
        <v>160</v>
      </c>
      <c r="D970" s="55" t="s">
        <v>168</v>
      </c>
      <c r="E970" s="55" t="s">
        <v>210</v>
      </c>
      <c r="F970" s="56" t="n">
        <v>72.28</v>
      </c>
      <c r="G970" s="57" t="n">
        <f aca="false">MAX(0,IF(AND(Parameter!$B$21="Ja",ISNUMBER(W970)),W970,IF(Parameter!$B$20="Jahresanfang 2025 + Export",BJ970+BI970,BI970)))</f>
        <v>0</v>
      </c>
      <c r="H970" s="57" t="n">
        <f aca="false">G970*F970</f>
        <v>0</v>
      </c>
      <c r="I970" s="57" t="n">
        <f aca="false">BL970*Parameter!$B$18</f>
        <v>0</v>
      </c>
      <c r="J970" s="58" t="n">
        <v>26</v>
      </c>
      <c r="K970" s="59" t="n">
        <v>0</v>
      </c>
      <c r="L970" s="57" t="n">
        <v>0</v>
      </c>
      <c r="M970" s="57" t="n">
        <v>1</v>
      </c>
      <c r="N970" s="60" t="n">
        <v>28</v>
      </c>
      <c r="O970" s="55" t="s">
        <v>179</v>
      </c>
      <c r="P970" s="57" t="n">
        <v>26</v>
      </c>
      <c r="Q970" s="60" t="n">
        <f aca="false">IF(BR970=1,0,IFERROR(VLOOKUP(BP970,'Gebinde-Kategorie'!$A$5:$M$45,13,0)+0,0))</f>
        <v>12</v>
      </c>
      <c r="R970" s="61"/>
      <c r="S970" s="62"/>
      <c r="T970" s="62"/>
      <c r="U970" s="55"/>
      <c r="V970" s="57"/>
      <c r="W970" s="57"/>
      <c r="X970" s="55" t="n">
        <f aca="false">IF(A970="","",IF(AND(Parameter!$B$21="Ja",ISNUMBER(U970)),U970,IF(IFERROR(VLOOKUP(D970,Parameter!$A$35:$C$64,2,0),"Nein")="2+3",IF(ISNUMBER(SEARCH("grosser Artikel",BM970)),2,IFERROR(VLOOKUP(BP970,Parameter!$F$35:$G$64,2,0),2)),IF(OR(IFERROR(VLOOKUP(D970,Parameter!$A$35:$C$64,2,0),"Nein")="Nein",IFERROR(VLOOKUP(D970,Parameter!$A$35:$C$64,2,0),"Nein")=""),"-",VLOOKUP(D970,Parameter!$A$35:$C$64,2,0)))))</f>
        <v>2</v>
      </c>
      <c r="Y970" s="62"/>
      <c r="Z970" s="63"/>
      <c r="AA970" s="57" t="n">
        <f aca="false">AP970</f>
        <v>26</v>
      </c>
      <c r="AB970" s="57" t="n">
        <f aca="false">MAX(AP970,G970)</f>
        <v>26</v>
      </c>
      <c r="AC970" s="64"/>
      <c r="AD970" s="57" t="n">
        <f aca="false">IF(LEFT(Cockpit!$C$5,1)="A",G970,IF(BW970=1,BX970,IF(LEFT(Cockpit!$C$5,1)="B",AH970,MAX(AH970,G970))))</f>
        <v>0</v>
      </c>
      <c r="AE970" s="57" t="n">
        <f aca="false">IF(BR970=1,0,ROUNDUP(AD970/BQ970,0))</f>
        <v>0</v>
      </c>
      <c r="AF970" s="59" t="n">
        <f aca="false">IF(CD970&gt;0,CD970*MAX(1,AD970/V970),IF(BR970=1,IF(AD970&lt;=0,0,BS970*MAX(1,IF(G970&gt;0,AD970/G970,1))),IF(Q970&gt;0,AE970/Q970,0))/MAX(0.1,N(Parameter!$M$21)))</f>
        <v>0</v>
      </c>
      <c r="AG970" s="57" t="n">
        <f aca="false">AD970*F970</f>
        <v>0</v>
      </c>
      <c r="AH970" s="57" t="n">
        <f aca="false">ROUNDUP(MAX(I970/IF(BV970&gt;0,BV970,MAX(0.1,N(Cockpit!$C$6))),BY970)/BQ970,0)*BQ970</f>
        <v>26</v>
      </c>
      <c r="AI970" s="58" t="n">
        <f aca="false">IF(AF970&gt;0,I970/AF970,-1)</f>
        <v>-1</v>
      </c>
      <c r="AJ970" s="58" t="str">
        <f aca="false">IF(AND(OR(BU970="L1",BU970="L23"),AF970&gt;0),SUMIFS($AF$7:$AF$1576,$BU$7:$BU$1576,BU970,$AI$7:$AI$1576,"&gt;"&amp;AI970)+SUMIFS($AF$7:$AF$1576,$BU$7:$BU$1576,BU970,$AI$7:$AI$1576,AI970,$BO$7:$BO$1576,"&lt;="&amp;BO970),"")</f>
        <v/>
      </c>
      <c r="AK970" s="65" t="n">
        <f aca="false">IF(AJ970="",0,MAX(0,MIN(1,(IF(BU970="L1",Parameter!$E$5,Parameter!$E$6+Parameter!$E$7)-(AJ970-AF970))/AF970)))</f>
        <v>0</v>
      </c>
      <c r="AL970" s="57" t="n">
        <f aca="false">IF(LEFT(Cockpit!$I$5,1)="A",G970,IF(BW970=1,BX970,IF(LEFT(Cockpit!$I$5,1)="B",AP970,MAX(AP970,G970))))</f>
        <v>26</v>
      </c>
      <c r="AM970" s="57" t="n">
        <f aca="false">IF(BR970=1,0,ROUNDUP(AL970/BQ970,0))</f>
        <v>1</v>
      </c>
      <c r="AN970" s="59" t="n">
        <f aca="false">IF(CD970&gt;0,CD970*MAX(1,AL970/V970),IF(BR970=1,IF(AL970&lt;=0,0,BS970*MAX(1,IF(G970&gt;0,AL970/G970,1))),IF(Q970&gt;0,AM970/Q970,0))/MAX(0.1,N(Parameter!$M$21)))</f>
        <v>0.0833333333333333</v>
      </c>
      <c r="AO970" s="57" t="n">
        <f aca="false">AL970*F970</f>
        <v>1879.28</v>
      </c>
      <c r="AP970" s="57" t="n">
        <f aca="false">ROUNDUP(MAX(I970/IF(BV970&gt;0,BV970,MAX(0.1,N(Cockpit!$I$6))),BY970)/BQ970,0)*BQ970</f>
        <v>26</v>
      </c>
      <c r="AQ970" s="58" t="n">
        <f aca="false">IF(AN970&gt;0,I970/AN970,-1)</f>
        <v>0</v>
      </c>
      <c r="AR970" s="58" t="n">
        <f aca="false">IF(AND(OR(BU970="L1",BU970="L23"),AN970&gt;0),SUMIFS($AN$7:$AN$1576,$BU$7:$BU$1576,BU970,$AQ$7:$AQ$1576,"&gt;"&amp;AQ970)+SUMIFS($AN$7:$AN$1576,$BU$7:$BU$1576,BU970,$AQ$7:$AQ$1576,AQ970,$BO$7:$BO$1576,"&lt;="&amp;BO970),"")</f>
        <v>131.732514514519</v>
      </c>
      <c r="AS970" s="65" t="n">
        <f aca="false">IF(AR970="",0,MAX(0,MIN(1,(IF(BU970="L1",Parameter!$E$5,Parameter!$E$6+Parameter!$E$7)-(AR970-AN970))/AN970)))</f>
        <v>0</v>
      </c>
      <c r="AT970" s="57" t="n">
        <f aca="false">IF(LEFT(Cockpit!$O$5,1)="A",G970,IF(BW970=1,BX970,IF(LEFT(Cockpit!$O$5,1)="B",AX970,MAX(AX970,G970))))</f>
        <v>26</v>
      </c>
      <c r="AU970" s="57" t="n">
        <f aca="false">IF(BR970=1,0,ROUNDUP(AT970/BQ970,0))</f>
        <v>1</v>
      </c>
      <c r="AV970" s="59" t="n">
        <f aca="false">IF(CD970&gt;0,CD970*MAX(1,AT970/V970),IF(BR970=1,IF(AT970&lt;=0,0,BS970*MAX(1,IF(G970&gt;0,AT970/G970,1))),IF(Q970&gt;0,AU970/Q970,0))/MAX(0.1,N(Parameter!$M$21)))</f>
        <v>0.0833333333333333</v>
      </c>
      <c r="AW970" s="57" t="n">
        <f aca="false">AT970*F970</f>
        <v>1879.28</v>
      </c>
      <c r="AX970" s="57" t="n">
        <f aca="false">ROUNDUP(MAX(I970/IF(BV970&gt;0,BV970,MAX(0.1,N(Cockpit!$O$6))),BY970)/BQ970,0)*BQ970</f>
        <v>26</v>
      </c>
      <c r="AY970" s="58" t="n">
        <f aca="false">IF(AV970&gt;0,I970/AV970,-1)</f>
        <v>0</v>
      </c>
      <c r="AZ970" s="58" t="n">
        <f aca="false">IF(AND(OR(BU970="L1",BU970="L23"),AV970&gt;0),SUMIFS($AV$7:$AV$1576,$BU$7:$BU$1576,BU970,$AY$7:$AY$1576,"&gt;"&amp;AY970)+SUMIFS($AV$7:$AV$1576,$BU$7:$BU$1576,BU970,$AY$7:$AY$1576,AY970,$BO$7:$BO$1576,"&lt;="&amp;BO970),"")</f>
        <v>121.792064964069</v>
      </c>
      <c r="BA970" s="65" t="n">
        <f aca="false">IF(AZ970="",0,MAX(0,MIN(1,(IF(BU970="L1",Parameter!$E$5,Parameter!$E$6+Parameter!$E$7)-(AZ970-AV970))/AV970)))</f>
        <v>0</v>
      </c>
      <c r="BB970" s="55" t="str">
        <f aca="false">IF(AF970&lt;=0,"",IF(BU970="Aussen","Aussenlager",IF(BU970="-","Nicht im Lift",IF(AK970&gt;=1,"Lift",IF(AK970&lt;=0,"Aussenlager","teilweise")))))</f>
        <v/>
      </c>
      <c r="BC970" s="55" t="str">
        <f aca="false">IF(AN970&lt;=0,"",IF(BU970="Aussen","Aussenlager",IF(BU970="-","Nicht im Lift",IF(AS970&gt;=1,"Lift",IF(AS970&lt;=0,"Aussenlager","teilweise")))))</f>
        <v>Aussenlager</v>
      </c>
      <c r="BD970" s="55" t="str">
        <f aca="false">IF(AV970&lt;=0,"",IF(BU970="Aussen","Aussenlager",IF(BU970="-","Nicht im Lift",IF(BA970&gt;=1,"Lift",IF(BA970&lt;=0,"Aussenlager","teilweise")))))</f>
        <v>Aussenlager</v>
      </c>
      <c r="BE970" s="55" t="str">
        <f aca="false">IF(A970="","",IF(BN970=1,"Neu; ","")&amp;IF(AND(BN970=0,BI970&lt;0),"negativer Bestand (Export "&amp;BI970&amp;"); ","")&amp;IF(I970&lt;=0,"Kein Verbrauch; ","")&amp;IF(CD970&gt;0,"Lift "&amp;U970&amp;" lt. Liftbericht (Fach "&amp;V970&amp;" Stk); ",IF(BR970=1,"Lose – Fläche geschätzt; ",""))&amp;IF(G970&gt;AP970,"Überbestand "&amp;ROUND(G970-AP970,0)&amp;" Stk / CHF "&amp;ROUND((G970-AP970)*F970,0)&amp;"; ","")&amp;IF(AND(BW970=1,BX970&lt;BY970),"MAX &lt; MB+LG; ","")&amp;IF(AND(CC970&gt;0,CB970*10&gt;CC970),"zu hoch für Tablar; ","")&amp;IF(AND(BN970=0,OR(BW970=1,Y970&lt;&gt;"",S970&lt;&gt;"",T970&lt;&gt;"",Z970&lt;&gt;"")),"manuell übersteuert; ","")&amp;IF(AND(BR970=0,Q970=0),"Gebinde unbekannt / Stellmass fehlt; ","")&amp;IF(AND(BR970=0,N(T970)&lt;=0,N(P970)&lt;=0),"Menge pro Gebinde fehlt (Ist = 1 Gebinde); ","")&amp;BM970)</f>
        <v>negativer Bestand (Export -1); Kein Verbrauch; </v>
      </c>
      <c r="BF970" s="55"/>
      <c r="BG970" s="55"/>
      <c r="BH970" s="62"/>
      <c r="BI970" s="57" t="n">
        <v>-1</v>
      </c>
      <c r="BJ970" s="57" t="n">
        <v>26</v>
      </c>
      <c r="BK970" s="56" t="n">
        <v>-72.28</v>
      </c>
      <c r="BL970" s="57" t="n">
        <v>0</v>
      </c>
      <c r="BM970" s="55"/>
      <c r="BN970" s="60" t="n">
        <v>0</v>
      </c>
      <c r="BO970" s="60" t="n">
        <v>970</v>
      </c>
      <c r="BP970" s="55" t="str">
        <f aca="false">IF(S970&lt;&gt;"",UPPER(TRIM(S970)),IF(O970="","LOSE",O970))</f>
        <v>S61</v>
      </c>
      <c r="BQ970" s="57" t="n">
        <f aca="false">IF(BP970="LOSE",1,IF(N(T970)&gt;0,T970,IF(N(P970)&gt;0,P970,MAX(1,G970))))</f>
        <v>26</v>
      </c>
      <c r="BR970" s="60" t="n">
        <f aca="false">IF(BP970="LOSE",1,0)</f>
        <v>0</v>
      </c>
      <c r="BS970" s="59" t="n">
        <f aca="false">IF(BR970=0,0,IF(N(R970)&gt;0,R970,IFERROR(VLOOKUP(D970,Parameter!$A$35:$C$64,3,0)+0,0)))</f>
        <v>0</v>
      </c>
      <c r="BT970" s="55" t="n">
        <f aca="false">IF(Y970&lt;&gt;"",Y970,X970)</f>
        <v>2</v>
      </c>
      <c r="BU970" s="55" t="str">
        <f aca="false">IF(BT970=1,"L1",IF(OR(BT970=2,BT970=3),"L23",IF(BT970="Aussen","Aussen","-")))</f>
        <v>L23</v>
      </c>
      <c r="BV970" s="66" t="n">
        <f aca="false">IF(N(Z970)&gt;0,Z970,0)</f>
        <v>0</v>
      </c>
      <c r="BW970" s="60" t="n">
        <f aca="false">IF(ISNUMBER(AC970),1,0)</f>
        <v>0</v>
      </c>
      <c r="BX970" s="57" t="n">
        <f aca="false">N(AC970)</f>
        <v>0</v>
      </c>
      <c r="BY970" s="57" t="n">
        <f aca="false">N(L970)+N(M970)</f>
        <v>1</v>
      </c>
      <c r="BZ970" s="57" t="n">
        <f aca="false">ROUNDUP(G970/BQ970,0)</f>
        <v>0</v>
      </c>
      <c r="CA970" s="57" t="n">
        <f aca="false">ROUNDUP(BX970/BQ970,0)</f>
        <v>0</v>
      </c>
      <c r="CB970" s="60" t="n">
        <f aca="false">IF(BR970=1,0,IFERROR(VLOOKUP(BP970,'Gebinde-Kategorie'!$A$5:$M$45,5,0)+0,0))</f>
        <v>11</v>
      </c>
      <c r="CC970" s="60" t="n">
        <f aca="false">IFERROR(IF(OR(BT970=1,BT970=2,BT970=3),N(INDEX(Parameter!$I$5:$I$7,BT970)),0),0)</f>
        <v>0</v>
      </c>
      <c r="CD970" s="59" t="n">
        <f aca="false">IF(AND(Parameter!$B$21="Ja",ISNUMBER(U970),N(V970)&gt;0),IFERROR(N(INDEX(Parameter!$L$5:$L$7,U970))*INDEX(Parameter!$E$5:$E$7,U970)*V970/SUMIFS($V$7:$V$1576,$U$7:$U$1576,U970),0),0)</f>
        <v>0</v>
      </c>
    </row>
    <row r="971" customFormat="false" ht="15" hidden="false" customHeight="false" outlineLevel="0" collapsed="false">
      <c r="A971" s="55" t="s">
        <v>1789</v>
      </c>
      <c r="B971" s="55" t="s">
        <v>1790</v>
      </c>
      <c r="C971" s="55" t="s">
        <v>160</v>
      </c>
      <c r="D971" s="55" t="s">
        <v>178</v>
      </c>
      <c r="E971" s="55" t="s">
        <v>210</v>
      </c>
      <c r="F971" s="56" t="n">
        <v>72.69</v>
      </c>
      <c r="G971" s="57" t="n">
        <f aca="false">MAX(0,IF(AND(Parameter!$B$21="Ja",ISNUMBER(W971)),W971,IF(Parameter!$B$20="Jahresanfang 2025 + Export",BJ971+BI971,BI971)))</f>
        <v>0</v>
      </c>
      <c r="H971" s="57" t="n">
        <f aca="false">G971*F971</f>
        <v>0</v>
      </c>
      <c r="I971" s="57" t="n">
        <f aca="false">BL971*Parameter!$B$18</f>
        <v>0</v>
      </c>
      <c r="J971" s="58" t="n">
        <v>9.5</v>
      </c>
      <c r="K971" s="59" t="n">
        <v>0</v>
      </c>
      <c r="L971" s="57" t="n">
        <v>0</v>
      </c>
      <c r="M971" s="57" t="n">
        <v>1</v>
      </c>
      <c r="N971" s="60" t="n">
        <v>97</v>
      </c>
      <c r="O971" s="55" t="s">
        <v>225</v>
      </c>
      <c r="P971" s="57" t="n">
        <v>10</v>
      </c>
      <c r="Q971" s="60" t="n">
        <f aca="false">IF(BR971=1,0,IFERROR(VLOOKUP(BP971,'Gebinde-Kategorie'!$A$5:$M$45,13,0)+0,0))</f>
        <v>26</v>
      </c>
      <c r="R971" s="61"/>
      <c r="S971" s="62"/>
      <c r="T971" s="62"/>
      <c r="U971" s="55"/>
      <c r="V971" s="57"/>
      <c r="W971" s="57"/>
      <c r="X971" s="55" t="n">
        <f aca="false">IF(A971="","",IF(AND(Parameter!$B$21="Ja",ISNUMBER(U971)),U971,IF(IFERROR(VLOOKUP(D971,Parameter!$A$35:$C$64,2,0),"Nein")="2+3",IF(ISNUMBER(SEARCH("grosser Artikel",BM971)),2,IFERROR(VLOOKUP(BP971,Parameter!$F$35:$G$64,2,0),2)),IF(OR(IFERROR(VLOOKUP(D971,Parameter!$A$35:$C$64,2,0),"Nein")="Nein",IFERROR(VLOOKUP(D971,Parameter!$A$35:$C$64,2,0),"Nein")=""),"-",VLOOKUP(D971,Parameter!$A$35:$C$64,2,0)))))</f>
        <v>3</v>
      </c>
      <c r="Y971" s="62"/>
      <c r="Z971" s="63"/>
      <c r="AA971" s="57" t="n">
        <f aca="false">AP971</f>
        <v>10</v>
      </c>
      <c r="AB971" s="57" t="n">
        <f aca="false">MAX(AP971,G971)</f>
        <v>10</v>
      </c>
      <c r="AC971" s="64"/>
      <c r="AD971" s="57" t="n">
        <f aca="false">IF(LEFT(Cockpit!$C$5,1)="A",G971,IF(BW971=1,BX971,IF(LEFT(Cockpit!$C$5,1)="B",AH971,MAX(AH971,G971))))</f>
        <v>0</v>
      </c>
      <c r="AE971" s="57" t="n">
        <f aca="false">IF(BR971=1,0,ROUNDUP(AD971/BQ971,0))</f>
        <v>0</v>
      </c>
      <c r="AF971" s="59" t="n">
        <f aca="false">IF(CD971&gt;0,CD971*MAX(1,AD971/V971),IF(BR971=1,IF(AD971&lt;=0,0,BS971*MAX(1,IF(G971&gt;0,AD971/G971,1))),IF(Q971&gt;0,AE971/Q971,0))/MAX(0.1,N(Parameter!$M$21)))</f>
        <v>0</v>
      </c>
      <c r="AG971" s="57" t="n">
        <f aca="false">AD971*F971</f>
        <v>0</v>
      </c>
      <c r="AH971" s="57" t="n">
        <f aca="false">ROUNDUP(MAX(I971/IF(BV971&gt;0,BV971,MAX(0.1,N(Cockpit!$C$6))),BY971)/BQ971,0)*BQ971</f>
        <v>10</v>
      </c>
      <c r="AI971" s="58" t="n">
        <f aca="false">IF(AF971&gt;0,I971/AF971,-1)</f>
        <v>-1</v>
      </c>
      <c r="AJ971" s="58" t="str">
        <f aca="false">IF(AND(OR(BU971="L1",BU971="L23"),AF971&gt;0),SUMIFS($AF$7:$AF$1576,$BU$7:$BU$1576,BU971,$AI$7:$AI$1576,"&gt;"&amp;AI971)+SUMIFS($AF$7:$AF$1576,$BU$7:$BU$1576,BU971,$AI$7:$AI$1576,AI971,$BO$7:$BO$1576,"&lt;="&amp;BO971),"")</f>
        <v/>
      </c>
      <c r="AK971" s="65" t="n">
        <f aca="false">IF(AJ971="",0,MAX(0,MIN(1,(IF(BU971="L1",Parameter!$E$5,Parameter!$E$6+Parameter!$E$7)-(AJ971-AF971))/AF971)))</f>
        <v>0</v>
      </c>
      <c r="AL971" s="57" t="n">
        <f aca="false">IF(LEFT(Cockpit!$I$5,1)="A",G971,IF(BW971=1,BX971,IF(LEFT(Cockpit!$I$5,1)="B",AP971,MAX(AP971,G971))))</f>
        <v>10</v>
      </c>
      <c r="AM971" s="57" t="n">
        <f aca="false">IF(BR971=1,0,ROUNDUP(AL971/BQ971,0))</f>
        <v>1</v>
      </c>
      <c r="AN971" s="59" t="n">
        <f aca="false">IF(CD971&gt;0,CD971*MAX(1,AL971/V971),IF(BR971=1,IF(AL971&lt;=0,0,BS971*MAX(1,IF(G971&gt;0,AL971/G971,1))),IF(Q971&gt;0,AM971/Q971,0))/MAX(0.1,N(Parameter!$M$21)))</f>
        <v>0.0384615384615385</v>
      </c>
      <c r="AO971" s="57" t="n">
        <f aca="false">AL971*F971</f>
        <v>726.9</v>
      </c>
      <c r="AP971" s="57" t="n">
        <f aca="false">ROUNDUP(MAX(I971/IF(BV971&gt;0,BV971,MAX(0.1,N(Cockpit!$I$6))),BY971)/BQ971,0)*BQ971</f>
        <v>10</v>
      </c>
      <c r="AQ971" s="58" t="n">
        <f aca="false">IF(AN971&gt;0,I971/AN971,-1)</f>
        <v>0</v>
      </c>
      <c r="AR971" s="58" t="n">
        <f aca="false">IF(AND(OR(BU971="L1",BU971="L23"),AN971&gt;0),SUMIFS($AN$7:$AN$1576,$BU$7:$BU$1576,BU971,$AQ$7:$AQ$1576,"&gt;"&amp;AQ971)+SUMIFS($AN$7:$AN$1576,$BU$7:$BU$1576,BU971,$AQ$7:$AQ$1576,AQ971,$BO$7:$BO$1576,"&lt;="&amp;BO971),"")</f>
        <v>131.77097605298</v>
      </c>
      <c r="AS971" s="65" t="n">
        <f aca="false">IF(AR971="",0,MAX(0,MIN(1,(IF(BU971="L1",Parameter!$E$5,Parameter!$E$6+Parameter!$E$7)-(AR971-AN971))/AN971)))</f>
        <v>0</v>
      </c>
      <c r="AT971" s="57" t="n">
        <f aca="false">IF(LEFT(Cockpit!$O$5,1)="A",G971,IF(BW971=1,BX971,IF(LEFT(Cockpit!$O$5,1)="B",AX971,MAX(AX971,G971))))</f>
        <v>10</v>
      </c>
      <c r="AU971" s="57" t="n">
        <f aca="false">IF(BR971=1,0,ROUNDUP(AT971/BQ971,0))</f>
        <v>1</v>
      </c>
      <c r="AV971" s="59" t="n">
        <f aca="false">IF(CD971&gt;0,CD971*MAX(1,AT971/V971),IF(BR971=1,IF(AT971&lt;=0,0,BS971*MAX(1,IF(G971&gt;0,AT971/G971,1))),IF(Q971&gt;0,AU971/Q971,0))/MAX(0.1,N(Parameter!$M$21)))</f>
        <v>0.0384615384615385</v>
      </c>
      <c r="AW971" s="57" t="n">
        <f aca="false">AT971*F971</f>
        <v>726.9</v>
      </c>
      <c r="AX971" s="57" t="n">
        <f aca="false">ROUNDUP(MAX(I971/IF(BV971&gt;0,BV971,MAX(0.1,N(Cockpit!$O$6))),BY971)/BQ971,0)*BQ971</f>
        <v>10</v>
      </c>
      <c r="AY971" s="58" t="n">
        <f aca="false">IF(AV971&gt;0,I971/AV971,-1)</f>
        <v>0</v>
      </c>
      <c r="AZ971" s="58" t="n">
        <f aca="false">IF(AND(OR(BU971="L1",BU971="L23"),AV971&gt;0),SUMIFS($AV$7:$AV$1576,$BU$7:$BU$1576,BU971,$AY$7:$AY$1576,"&gt;"&amp;AY971)+SUMIFS($AV$7:$AV$1576,$BU$7:$BU$1576,BU971,$AY$7:$AY$1576,AY971,$BO$7:$BO$1576,"&lt;="&amp;BO971),"")</f>
        <v>121.83052650253</v>
      </c>
      <c r="BA971" s="65" t="n">
        <f aca="false">IF(AZ971="",0,MAX(0,MIN(1,(IF(BU971="L1",Parameter!$E$5,Parameter!$E$6+Parameter!$E$7)-(AZ971-AV971))/AV971)))</f>
        <v>0</v>
      </c>
      <c r="BB971" s="55" t="str">
        <f aca="false">IF(AF971&lt;=0,"",IF(BU971="Aussen","Aussenlager",IF(BU971="-","Nicht im Lift",IF(AK971&gt;=1,"Lift",IF(AK971&lt;=0,"Aussenlager","teilweise")))))</f>
        <v/>
      </c>
      <c r="BC971" s="55" t="str">
        <f aca="false">IF(AN971&lt;=0,"",IF(BU971="Aussen","Aussenlager",IF(BU971="-","Nicht im Lift",IF(AS971&gt;=1,"Lift",IF(AS971&lt;=0,"Aussenlager","teilweise")))))</f>
        <v>Aussenlager</v>
      </c>
      <c r="BD971" s="55" t="str">
        <f aca="false">IF(AV971&lt;=0,"",IF(BU971="Aussen","Aussenlager",IF(BU971="-","Nicht im Lift",IF(BA971&gt;=1,"Lift",IF(BA971&lt;=0,"Aussenlager","teilweise")))))</f>
        <v>Aussenlager</v>
      </c>
      <c r="BE971" s="55" t="str">
        <f aca="false">IF(A971="","",IF(BN971=1,"Neu; ","")&amp;IF(AND(BN971=0,BI971&lt;0),"negativer Bestand (Export "&amp;BI971&amp;"); ","")&amp;IF(I971&lt;=0,"Kein Verbrauch; ","")&amp;IF(CD971&gt;0,"Lift "&amp;U971&amp;" lt. Liftbericht (Fach "&amp;V971&amp;" Stk); ",IF(BR971=1,"Lose – Fläche geschätzt; ",""))&amp;IF(G971&gt;AP971,"Überbestand "&amp;ROUND(G971-AP971,0)&amp;" Stk / CHF "&amp;ROUND((G971-AP971)*F971,0)&amp;"; ","")&amp;IF(AND(BW971=1,BX971&lt;BY971),"MAX &lt; MB+LG; ","")&amp;IF(AND(CC971&gt;0,CB971*10&gt;CC971),"zu hoch für Tablar; ","")&amp;IF(AND(BN971=0,OR(BW971=1,Y971&lt;&gt;"",S971&lt;&gt;"",T971&lt;&gt;"",Z971&lt;&gt;"")),"manuell übersteuert; ","")&amp;IF(AND(BR971=0,Q971=0),"Gebinde unbekannt / Stellmass fehlt; ","")&amp;IF(AND(BR971=0,N(T971)&lt;=0,N(P971)&lt;=0),"Menge pro Gebinde fehlt (Ist = 1 Gebinde); ","")&amp;BM971)</f>
        <v>negativer Bestand (Export -1); Kein Verbrauch; Überbestand</v>
      </c>
      <c r="BF971" s="55"/>
      <c r="BG971" s="55"/>
      <c r="BH971" s="62"/>
      <c r="BI971" s="57" t="n">
        <v>-1</v>
      </c>
      <c r="BJ971" s="57" t="n">
        <v>10</v>
      </c>
      <c r="BK971" s="56" t="n">
        <v>-72.69</v>
      </c>
      <c r="BL971" s="57" t="n">
        <v>0</v>
      </c>
      <c r="BM971" s="55" t="s">
        <v>382</v>
      </c>
      <c r="BN971" s="60" t="n">
        <v>0</v>
      </c>
      <c r="BO971" s="60" t="n">
        <v>971</v>
      </c>
      <c r="BP971" s="55" t="str">
        <f aca="false">IF(S971&lt;&gt;"",UPPER(TRIM(S971)),IF(O971="","LOSE",O971))</f>
        <v>S52</v>
      </c>
      <c r="BQ971" s="57" t="n">
        <f aca="false">IF(BP971="LOSE",1,IF(N(T971)&gt;0,T971,IF(N(P971)&gt;0,P971,MAX(1,G971))))</f>
        <v>10</v>
      </c>
      <c r="BR971" s="60" t="n">
        <f aca="false">IF(BP971="LOSE",1,0)</f>
        <v>0</v>
      </c>
      <c r="BS971" s="59" t="n">
        <f aca="false">IF(BR971=0,0,IF(N(R971)&gt;0,R971,IFERROR(VLOOKUP(D971,Parameter!$A$35:$C$64,3,0)+0,0)))</f>
        <v>0</v>
      </c>
      <c r="BT971" s="55" t="n">
        <f aca="false">IF(Y971&lt;&gt;"",Y971,X971)</f>
        <v>3</v>
      </c>
      <c r="BU971" s="55" t="str">
        <f aca="false">IF(BT971=1,"L1",IF(OR(BT971=2,BT971=3),"L23",IF(BT971="Aussen","Aussen","-")))</f>
        <v>L23</v>
      </c>
      <c r="BV971" s="66" t="n">
        <f aca="false">IF(N(Z971)&gt;0,Z971,0)</f>
        <v>0</v>
      </c>
      <c r="BW971" s="60" t="n">
        <f aca="false">IF(ISNUMBER(AC971),1,0)</f>
        <v>0</v>
      </c>
      <c r="BX971" s="57" t="n">
        <f aca="false">N(AC971)</f>
        <v>0</v>
      </c>
      <c r="BY971" s="57" t="n">
        <f aca="false">N(L971)+N(M971)</f>
        <v>1</v>
      </c>
      <c r="BZ971" s="57" t="n">
        <f aca="false">ROUNDUP(G971/BQ971,0)</f>
        <v>0</v>
      </c>
      <c r="CA971" s="57" t="n">
        <f aca="false">ROUNDUP(BX971/BQ971,0)</f>
        <v>0</v>
      </c>
      <c r="CB971" s="60" t="n">
        <f aca="false">IF(BR971=1,0,IFERROR(VLOOKUP(BP971,'Gebinde-Kategorie'!$A$5:$M$45,5,0)+0,0))</f>
        <v>21</v>
      </c>
      <c r="CC971" s="60" t="n">
        <f aca="false">IFERROR(IF(OR(BT971=1,BT971=2,BT971=3),N(INDEX(Parameter!$I$5:$I$7,BT971)),0),0)</f>
        <v>0</v>
      </c>
      <c r="CD971" s="59" t="n">
        <f aca="false">IF(AND(Parameter!$B$21="Ja",ISNUMBER(U971),N(V971)&gt;0),IFERROR(N(INDEX(Parameter!$L$5:$L$7,U971))*INDEX(Parameter!$E$5:$E$7,U971)*V971/SUMIFS($V$7:$V$1576,$U$7:$U$1576,U971),0),0)</f>
        <v>0</v>
      </c>
    </row>
    <row r="972" customFormat="false" ht="15" hidden="false" customHeight="false" outlineLevel="0" collapsed="false">
      <c r="A972" s="55" t="s">
        <v>1791</v>
      </c>
      <c r="B972" s="55" t="s">
        <v>478</v>
      </c>
      <c r="C972" s="55" t="s">
        <v>160</v>
      </c>
      <c r="D972" s="55" t="s">
        <v>178</v>
      </c>
      <c r="E972" s="55" t="s">
        <v>210</v>
      </c>
      <c r="F972" s="56" t="n">
        <v>1.36</v>
      </c>
      <c r="G972" s="57" t="n">
        <f aca="false">MAX(0,IF(AND(Parameter!$B$21="Ja",ISNUMBER(W972)),W972,IF(Parameter!$B$20="Jahresanfang 2025 + Export",BJ972+BI972,BI972)))</f>
        <v>0</v>
      </c>
      <c r="H972" s="57" t="n">
        <f aca="false">G972*F972</f>
        <v>0</v>
      </c>
      <c r="I972" s="57" t="n">
        <f aca="false">BL972*Parameter!$B$18</f>
        <v>674</v>
      </c>
      <c r="J972" s="58" t="n">
        <v>352.5</v>
      </c>
      <c r="K972" s="59" t="n">
        <v>1.91205673758865</v>
      </c>
      <c r="L972" s="57" t="n">
        <v>26</v>
      </c>
      <c r="M972" s="57" t="n">
        <v>675</v>
      </c>
      <c r="N972" s="60" t="n">
        <v>14</v>
      </c>
      <c r="O972" s="55" t="s">
        <v>293</v>
      </c>
      <c r="P972" s="57" t="n">
        <v>1739</v>
      </c>
      <c r="Q972" s="60" t="n">
        <f aca="false">IF(BR972=1,0,IFERROR(VLOOKUP(BP972,'Gebinde-Kategorie'!$A$5:$M$45,13,0)+0,0))</f>
        <v>26</v>
      </c>
      <c r="R972" s="61"/>
      <c r="S972" s="62"/>
      <c r="T972" s="62"/>
      <c r="U972" s="55"/>
      <c r="V972" s="57"/>
      <c r="W972" s="57"/>
      <c r="X972" s="55" t="n">
        <f aca="false">IF(A972="","",IF(AND(Parameter!$B$21="Ja",ISNUMBER(U972)),U972,IF(IFERROR(VLOOKUP(D972,Parameter!$A$35:$C$64,2,0),"Nein")="2+3",IF(ISNUMBER(SEARCH("grosser Artikel",BM972)),2,IFERROR(VLOOKUP(BP972,Parameter!$F$35:$G$64,2,0),2)),IF(OR(IFERROR(VLOOKUP(D972,Parameter!$A$35:$C$64,2,0),"Nein")="Nein",IFERROR(VLOOKUP(D972,Parameter!$A$35:$C$64,2,0),"Nein")=""),"-",VLOOKUP(D972,Parameter!$A$35:$C$64,2,0)))))</f>
        <v>3</v>
      </c>
      <c r="Y972" s="62"/>
      <c r="Z972" s="63"/>
      <c r="AA972" s="57" t="n">
        <f aca="false">AP972</f>
        <v>1739</v>
      </c>
      <c r="AB972" s="57" t="n">
        <f aca="false">MAX(AP972,G972)</f>
        <v>1739</v>
      </c>
      <c r="AC972" s="64"/>
      <c r="AD972" s="57" t="n">
        <f aca="false">IF(LEFT(Cockpit!$C$5,1)="A",G972,IF(BW972=1,BX972,IF(LEFT(Cockpit!$C$5,1)="B",AH972,MAX(AH972,G972))))</f>
        <v>0</v>
      </c>
      <c r="AE972" s="57" t="n">
        <f aca="false">IF(BR972=1,0,ROUNDUP(AD972/BQ972,0))</f>
        <v>0</v>
      </c>
      <c r="AF972" s="59" t="n">
        <f aca="false">IF(CD972&gt;0,CD972*MAX(1,AD972/V972),IF(BR972=1,IF(AD972&lt;=0,0,BS972*MAX(1,IF(G972&gt;0,AD972/G972,1))),IF(Q972&gt;0,AE972/Q972,0))/MAX(0.1,N(Parameter!$M$21)))</f>
        <v>0</v>
      </c>
      <c r="AG972" s="57" t="n">
        <f aca="false">AD972*F972</f>
        <v>0</v>
      </c>
      <c r="AH972" s="57" t="n">
        <f aca="false">ROUNDUP(MAX(I972/IF(BV972&gt;0,BV972,MAX(0.1,N(Cockpit!$C$6))),BY972)/BQ972,0)*BQ972</f>
        <v>1739</v>
      </c>
      <c r="AI972" s="58" t="n">
        <f aca="false">IF(AF972&gt;0,I972/AF972,-1)</f>
        <v>-1</v>
      </c>
      <c r="AJ972" s="58" t="str">
        <f aca="false">IF(AND(OR(BU972="L1",BU972="L23"),AF972&gt;0),SUMIFS($AF$7:$AF$1576,$BU$7:$BU$1576,BU972,$AI$7:$AI$1576,"&gt;"&amp;AI972)+SUMIFS($AF$7:$AF$1576,$BU$7:$BU$1576,BU972,$AI$7:$AI$1576,AI972,$BO$7:$BO$1576,"&lt;="&amp;BO972),"")</f>
        <v/>
      </c>
      <c r="AK972" s="65" t="n">
        <f aca="false">IF(AJ972="",0,MAX(0,MIN(1,(IF(BU972="L1",Parameter!$E$5,Parameter!$E$6+Parameter!$E$7)-(AJ972-AF972))/AF972)))</f>
        <v>0</v>
      </c>
      <c r="AL972" s="57" t="n">
        <f aca="false">IF(LEFT(Cockpit!$I$5,1)="A",G972,IF(BW972=1,BX972,IF(LEFT(Cockpit!$I$5,1)="B",AP972,MAX(AP972,G972))))</f>
        <v>1739</v>
      </c>
      <c r="AM972" s="57" t="n">
        <f aca="false">IF(BR972=1,0,ROUNDUP(AL972/BQ972,0))</f>
        <v>1</v>
      </c>
      <c r="AN972" s="59" t="n">
        <f aca="false">IF(CD972&gt;0,CD972*MAX(1,AL972/V972),IF(BR972=1,IF(AL972&lt;=0,0,BS972*MAX(1,IF(G972&gt;0,AL972/G972,1))),IF(Q972&gt;0,AM972/Q972,0))/MAX(0.1,N(Parameter!$M$21)))</f>
        <v>0.0384615384615385</v>
      </c>
      <c r="AO972" s="57" t="n">
        <f aca="false">AL972*F972</f>
        <v>2365.04</v>
      </c>
      <c r="AP972" s="57" t="n">
        <f aca="false">ROUNDUP(MAX(I972/IF(BV972&gt;0,BV972,MAX(0.1,N(Cockpit!$I$6))),BY972)/BQ972,0)*BQ972</f>
        <v>1739</v>
      </c>
      <c r="AQ972" s="58" t="n">
        <f aca="false">IF(AN972&gt;0,I972/AN972,-1)</f>
        <v>17524</v>
      </c>
      <c r="AR972" s="58" t="n">
        <f aca="false">IF(AND(OR(BU972="L1",BU972="L23"),AN972&gt;0),SUMIFS($AN$7:$AN$1576,$BU$7:$BU$1576,BU972,$AQ$7:$AQ$1576,"&gt;"&amp;AQ972)+SUMIFS($AN$7:$AN$1576,$BU$7:$BU$1576,BU972,$AQ$7:$AQ$1576,AQ972,$BO$7:$BO$1576,"&lt;="&amp;BO972),"")</f>
        <v>4.35607040302693</v>
      </c>
      <c r="AS972" s="65" t="n">
        <f aca="false">IF(AR972="",0,MAX(0,MIN(1,(IF(BU972="L1",Parameter!$E$5,Parameter!$E$6+Parameter!$E$7)-(AR972-AN972))/AN972)))</f>
        <v>1</v>
      </c>
      <c r="AT972" s="57" t="n">
        <f aca="false">IF(LEFT(Cockpit!$O$5,1)="A",G972,IF(BW972=1,BX972,IF(LEFT(Cockpit!$O$5,1)="B",AX972,MAX(AX972,G972))))</f>
        <v>1739</v>
      </c>
      <c r="AU972" s="57" t="n">
        <f aca="false">IF(BR972=1,0,ROUNDUP(AT972/BQ972,0))</f>
        <v>1</v>
      </c>
      <c r="AV972" s="59" t="n">
        <f aca="false">IF(CD972&gt;0,CD972*MAX(1,AT972/V972),IF(BR972=1,IF(AT972&lt;=0,0,BS972*MAX(1,IF(G972&gt;0,AT972/G972,1))),IF(Q972&gt;0,AU972/Q972,0))/MAX(0.1,N(Parameter!$M$21)))</f>
        <v>0.0384615384615385</v>
      </c>
      <c r="AW972" s="57" t="n">
        <f aca="false">AT972*F972</f>
        <v>2365.04</v>
      </c>
      <c r="AX972" s="57" t="n">
        <f aca="false">ROUNDUP(MAX(I972/IF(BV972&gt;0,BV972,MAX(0.1,N(Cockpit!$O$6))),BY972)/BQ972,0)*BQ972</f>
        <v>1739</v>
      </c>
      <c r="AY972" s="58" t="n">
        <f aca="false">IF(AV972&gt;0,I972/AV972,-1)</f>
        <v>17524</v>
      </c>
      <c r="AZ972" s="58" t="n">
        <f aca="false">IF(AND(OR(BU972="L1",BU972="L23"),AV972&gt;0),SUMIFS($AV$7:$AV$1576,$BU$7:$BU$1576,BU972,$AY$7:$AY$1576,"&gt;"&amp;AY972)+SUMIFS($AV$7:$AV$1576,$BU$7:$BU$1576,BU972,$AY$7:$AY$1576,AY972,$BO$7:$BO$1576,"&lt;="&amp;BO972),"")</f>
        <v>4.69872774568427</v>
      </c>
      <c r="BA972" s="65" t="n">
        <f aca="false">IF(AZ972="",0,MAX(0,MIN(1,(IF(BU972="L1",Parameter!$E$5,Parameter!$E$6+Parameter!$E$7)-(AZ972-AV972))/AV972)))</f>
        <v>1</v>
      </c>
      <c r="BB972" s="55" t="str">
        <f aca="false">IF(AF972&lt;=0,"",IF(BU972="Aussen","Aussenlager",IF(BU972="-","Nicht im Lift",IF(AK972&gt;=1,"Lift",IF(AK972&lt;=0,"Aussenlager","teilweise")))))</f>
        <v/>
      </c>
      <c r="BC972" s="55" t="str">
        <f aca="false">IF(AN972&lt;=0,"",IF(BU972="Aussen","Aussenlager",IF(BU972="-","Nicht im Lift",IF(AS972&gt;=1,"Lift",IF(AS972&lt;=0,"Aussenlager","teilweise")))))</f>
        <v>Lift</v>
      </c>
      <c r="BD972" s="55" t="str">
        <f aca="false">IF(AV972&lt;=0,"",IF(BU972="Aussen","Aussenlager",IF(BU972="-","Nicht im Lift",IF(BA972&gt;=1,"Lift",IF(BA972&lt;=0,"Aussenlager","teilweise")))))</f>
        <v>Lift</v>
      </c>
      <c r="BE972" s="55" t="str">
        <f aca="false">IF(A972="","",IF(BN972=1,"Neu; ","")&amp;IF(AND(BN972=0,BI972&lt;0),"negativer Bestand (Export "&amp;BI972&amp;"); ","")&amp;IF(I972&lt;=0,"Kein Verbrauch; ","")&amp;IF(CD972&gt;0,"Lift "&amp;U972&amp;" lt. Liftbericht (Fach "&amp;V972&amp;" Stk); ",IF(BR972=1,"Lose – Fläche geschätzt; ",""))&amp;IF(G972&gt;AP972,"Überbestand "&amp;ROUND(G972-AP972,0)&amp;" Stk / CHF "&amp;ROUND((G972-AP972)*F972,0)&amp;"; ","")&amp;IF(AND(BW972=1,BX972&lt;BY972),"MAX &lt; MB+LG; ","")&amp;IF(AND(CC972&gt;0,CB972*10&gt;CC972),"zu hoch für Tablar; ","")&amp;IF(AND(BN972=0,OR(BW972=1,Y972&lt;&gt;"",S972&lt;&gt;"",T972&lt;&gt;"",Z972&lt;&gt;"")),"manuell übersteuert; ","")&amp;IF(AND(BR972=0,Q972=0),"Gebinde unbekannt / Stellmass fehlt; ","")&amp;IF(AND(BR972=0,N(T972)&lt;=0,N(P972)&lt;=0),"Menge pro Gebinde fehlt (Ist = 1 Gebinde); ","")&amp;BM972)</f>
        <v>negativer Bestand (Export -54); </v>
      </c>
      <c r="BF972" s="55"/>
      <c r="BG972" s="55"/>
      <c r="BH972" s="62"/>
      <c r="BI972" s="57" t="n">
        <v>-54</v>
      </c>
      <c r="BJ972" s="57" t="n">
        <v>425</v>
      </c>
      <c r="BK972" s="56" t="n">
        <v>-73.4399999999998</v>
      </c>
      <c r="BL972" s="57" t="n">
        <v>674</v>
      </c>
      <c r="BM972" s="55"/>
      <c r="BN972" s="60" t="n">
        <v>0</v>
      </c>
      <c r="BO972" s="60" t="n">
        <v>972</v>
      </c>
      <c r="BP972" s="55" t="str">
        <f aca="false">IF(S972&lt;&gt;"",UPPER(TRIM(S972)),IF(O972="","LOSE",O972))</f>
        <v>S51</v>
      </c>
      <c r="BQ972" s="57" t="n">
        <f aca="false">IF(BP972="LOSE",1,IF(N(T972)&gt;0,T972,IF(N(P972)&gt;0,P972,MAX(1,G972))))</f>
        <v>1739</v>
      </c>
      <c r="BR972" s="60" t="n">
        <f aca="false">IF(BP972="LOSE",1,0)</f>
        <v>0</v>
      </c>
      <c r="BS972" s="59" t="n">
        <f aca="false">IF(BR972=0,0,IF(N(R972)&gt;0,R972,IFERROR(VLOOKUP(D972,Parameter!$A$35:$C$64,3,0)+0,0)))</f>
        <v>0</v>
      </c>
      <c r="BT972" s="55" t="n">
        <f aca="false">IF(Y972&lt;&gt;"",Y972,X972)</f>
        <v>3</v>
      </c>
      <c r="BU972" s="55" t="str">
        <f aca="false">IF(BT972=1,"L1",IF(OR(BT972=2,BT972=3),"L23",IF(BT972="Aussen","Aussen","-")))</f>
        <v>L23</v>
      </c>
      <c r="BV972" s="66" t="n">
        <f aca="false">IF(N(Z972)&gt;0,Z972,0)</f>
        <v>0</v>
      </c>
      <c r="BW972" s="60" t="n">
        <f aca="false">IF(ISNUMBER(AC972),1,0)</f>
        <v>0</v>
      </c>
      <c r="BX972" s="57" t="n">
        <f aca="false">N(AC972)</f>
        <v>0</v>
      </c>
      <c r="BY972" s="57" t="n">
        <f aca="false">N(L972)+N(M972)</f>
        <v>701</v>
      </c>
      <c r="BZ972" s="57" t="n">
        <f aca="false">ROUNDUP(G972/BQ972,0)</f>
        <v>0</v>
      </c>
      <c r="CA972" s="57" t="n">
        <f aca="false">ROUNDUP(BX972/BQ972,0)</f>
        <v>0</v>
      </c>
      <c r="CB972" s="60" t="n">
        <f aca="false">IF(BR972=1,0,IFERROR(VLOOKUP(BP972,'Gebinde-Kategorie'!$A$5:$M$45,5,0)+0,0))</f>
        <v>11</v>
      </c>
      <c r="CC972" s="60" t="n">
        <f aca="false">IFERROR(IF(OR(BT972=1,BT972=2,BT972=3),N(INDEX(Parameter!$I$5:$I$7,BT972)),0),0)</f>
        <v>0</v>
      </c>
      <c r="CD972" s="59" t="n">
        <f aca="false">IF(AND(Parameter!$B$21="Ja",ISNUMBER(U972),N(V972)&gt;0),IFERROR(N(INDEX(Parameter!$L$5:$L$7,U972))*INDEX(Parameter!$E$5:$E$7,U972)*V972/SUMIFS($V$7:$V$1576,$U$7:$U$1576,U972),0),0)</f>
        <v>0</v>
      </c>
    </row>
    <row r="973" customFormat="false" ht="15" hidden="false" customHeight="false" outlineLevel="0" collapsed="false">
      <c r="A973" s="55" t="s">
        <v>1792</v>
      </c>
      <c r="B973" s="55" t="s">
        <v>850</v>
      </c>
      <c r="C973" s="55" t="s">
        <v>160</v>
      </c>
      <c r="D973" s="55" t="s">
        <v>178</v>
      </c>
      <c r="E973" s="55" t="s">
        <v>210</v>
      </c>
      <c r="F973" s="56" t="n">
        <v>9.2</v>
      </c>
      <c r="G973" s="57" t="n">
        <f aca="false">MAX(0,IF(AND(Parameter!$B$21="Ja",ISNUMBER(W973)),W973,IF(Parameter!$B$20="Jahresanfang 2025 + Export",BJ973+BI973,BI973)))</f>
        <v>0</v>
      </c>
      <c r="H973" s="57" t="n">
        <f aca="false">G973*F973</f>
        <v>0</v>
      </c>
      <c r="I973" s="57" t="n">
        <f aca="false">BL973*Parameter!$B$18</f>
        <v>6</v>
      </c>
      <c r="J973" s="58" t="n">
        <v>152.5</v>
      </c>
      <c r="K973" s="59" t="n">
        <v>0.039344262295082</v>
      </c>
      <c r="L973" s="57" t="n">
        <v>0</v>
      </c>
      <c r="M973" s="57" t="n">
        <v>5</v>
      </c>
      <c r="N973" s="60" t="n">
        <v>35</v>
      </c>
      <c r="O973" s="55" t="s">
        <v>319</v>
      </c>
      <c r="P973" s="57" t="n">
        <v>157</v>
      </c>
      <c r="Q973" s="60" t="n">
        <f aca="false">IF(BR973=1,0,IFERROR(VLOOKUP(BP973,'Gebinde-Kategorie'!$A$5:$M$45,13,0)+0,0))</f>
        <v>52</v>
      </c>
      <c r="R973" s="61"/>
      <c r="S973" s="62"/>
      <c r="T973" s="62"/>
      <c r="U973" s="55"/>
      <c r="V973" s="57"/>
      <c r="W973" s="57"/>
      <c r="X973" s="55" t="n">
        <f aca="false">IF(A973="","",IF(AND(Parameter!$B$21="Ja",ISNUMBER(U973)),U973,IF(IFERROR(VLOOKUP(D973,Parameter!$A$35:$C$64,2,0),"Nein")="2+3",IF(ISNUMBER(SEARCH("grosser Artikel",BM973)),2,IFERROR(VLOOKUP(BP973,Parameter!$F$35:$G$64,2,0),2)),IF(OR(IFERROR(VLOOKUP(D973,Parameter!$A$35:$C$64,2,0),"Nein")="Nein",IFERROR(VLOOKUP(D973,Parameter!$A$35:$C$64,2,0),"Nein")=""),"-",VLOOKUP(D973,Parameter!$A$35:$C$64,2,0)))))</f>
        <v>3</v>
      </c>
      <c r="Y973" s="62"/>
      <c r="Z973" s="63"/>
      <c r="AA973" s="57" t="n">
        <f aca="false">AP973</f>
        <v>157</v>
      </c>
      <c r="AB973" s="57" t="n">
        <f aca="false">MAX(AP973,G973)</f>
        <v>157</v>
      </c>
      <c r="AC973" s="64"/>
      <c r="AD973" s="57" t="n">
        <f aca="false">IF(LEFT(Cockpit!$C$5,1)="A",G973,IF(BW973=1,BX973,IF(LEFT(Cockpit!$C$5,1)="B",AH973,MAX(AH973,G973))))</f>
        <v>0</v>
      </c>
      <c r="AE973" s="57" t="n">
        <f aca="false">IF(BR973=1,0,ROUNDUP(AD973/BQ973,0))</f>
        <v>0</v>
      </c>
      <c r="AF973" s="59" t="n">
        <f aca="false">IF(CD973&gt;0,CD973*MAX(1,AD973/V973),IF(BR973=1,IF(AD973&lt;=0,0,BS973*MAX(1,IF(G973&gt;0,AD973/G973,1))),IF(Q973&gt;0,AE973/Q973,0))/MAX(0.1,N(Parameter!$M$21)))</f>
        <v>0</v>
      </c>
      <c r="AG973" s="57" t="n">
        <f aca="false">AD973*F973</f>
        <v>0</v>
      </c>
      <c r="AH973" s="57" t="n">
        <f aca="false">ROUNDUP(MAX(I973/IF(BV973&gt;0,BV973,MAX(0.1,N(Cockpit!$C$6))),BY973)/BQ973,0)*BQ973</f>
        <v>157</v>
      </c>
      <c r="AI973" s="58" t="n">
        <f aca="false">IF(AF973&gt;0,I973/AF973,-1)</f>
        <v>-1</v>
      </c>
      <c r="AJ973" s="58" t="str">
        <f aca="false">IF(AND(OR(BU973="L1",BU973="L23"),AF973&gt;0),SUMIFS($AF$7:$AF$1576,$BU$7:$BU$1576,BU973,$AI$7:$AI$1576,"&gt;"&amp;AI973)+SUMIFS($AF$7:$AF$1576,$BU$7:$BU$1576,BU973,$AI$7:$AI$1576,AI973,$BO$7:$BO$1576,"&lt;="&amp;BO973),"")</f>
        <v/>
      </c>
      <c r="AK973" s="65" t="n">
        <f aca="false">IF(AJ973="",0,MAX(0,MIN(1,(IF(BU973="L1",Parameter!$E$5,Parameter!$E$6+Parameter!$E$7)-(AJ973-AF973))/AF973)))</f>
        <v>0</v>
      </c>
      <c r="AL973" s="57" t="n">
        <f aca="false">IF(LEFT(Cockpit!$I$5,1)="A",G973,IF(BW973=1,BX973,IF(LEFT(Cockpit!$I$5,1)="B",AP973,MAX(AP973,G973))))</f>
        <v>157</v>
      </c>
      <c r="AM973" s="57" t="n">
        <f aca="false">IF(BR973=1,0,ROUNDUP(AL973/BQ973,0))</f>
        <v>1</v>
      </c>
      <c r="AN973" s="59" t="n">
        <f aca="false">IF(CD973&gt;0,CD973*MAX(1,AL973/V973),IF(BR973=1,IF(AL973&lt;=0,0,BS973*MAX(1,IF(G973&gt;0,AL973/G973,1))),IF(Q973&gt;0,AM973/Q973,0))/MAX(0.1,N(Parameter!$M$21)))</f>
        <v>0.0192307692307692</v>
      </c>
      <c r="AO973" s="57" t="n">
        <f aca="false">AL973*F973</f>
        <v>1444.4</v>
      </c>
      <c r="AP973" s="57" t="n">
        <f aca="false">ROUNDUP(MAX(I973/IF(BV973&gt;0,BV973,MAX(0.1,N(Cockpit!$I$6))),BY973)/BQ973,0)*BQ973</f>
        <v>157</v>
      </c>
      <c r="AQ973" s="58" t="n">
        <f aca="false">IF(AN973&gt;0,I973/AN973,-1)</f>
        <v>312</v>
      </c>
      <c r="AR973" s="58" t="n">
        <f aca="false">IF(AND(OR(BU973="L1",BU973="L23"),AN973&gt;0),SUMIFS($AN$7:$AN$1576,$BU$7:$BU$1576,BU973,$AQ$7:$AQ$1576,"&gt;"&amp;AQ973)+SUMIFS($AN$7:$AN$1576,$BU$7:$BU$1576,BU973,$AQ$7:$AQ$1576,AQ973,$BO$7:$BO$1576,"&lt;="&amp;BO973),"")</f>
        <v>43.5039990568363</v>
      </c>
      <c r="AS973" s="65" t="n">
        <f aca="false">IF(AR973="",0,MAX(0,MIN(1,(IF(BU973="L1",Parameter!$E$5,Parameter!$E$6+Parameter!$E$7)-(AR973-AN973))/AN973)))</f>
        <v>1</v>
      </c>
      <c r="AT973" s="57" t="n">
        <f aca="false">IF(LEFT(Cockpit!$O$5,1)="A",G973,IF(BW973=1,BX973,IF(LEFT(Cockpit!$O$5,1)="B",AX973,MAX(AX973,G973))))</f>
        <v>157</v>
      </c>
      <c r="AU973" s="57" t="n">
        <f aca="false">IF(BR973=1,0,ROUNDUP(AT973/BQ973,0))</f>
        <v>1</v>
      </c>
      <c r="AV973" s="59" t="n">
        <f aca="false">IF(CD973&gt;0,CD973*MAX(1,AT973/V973),IF(BR973=1,IF(AT973&lt;=0,0,BS973*MAX(1,IF(G973&gt;0,AT973/G973,1))),IF(Q973&gt;0,AU973/Q973,0))/MAX(0.1,N(Parameter!$M$21)))</f>
        <v>0.0192307692307692</v>
      </c>
      <c r="AW973" s="57" t="n">
        <f aca="false">AT973*F973</f>
        <v>1444.4</v>
      </c>
      <c r="AX973" s="57" t="n">
        <f aca="false">ROUNDUP(MAX(I973/IF(BV973&gt;0,BV973,MAX(0.1,N(Cockpit!$O$6))),BY973)/BQ973,0)*BQ973</f>
        <v>157</v>
      </c>
      <c r="AY973" s="58" t="n">
        <f aca="false">IF(AV973&gt;0,I973/AV973,-1)</f>
        <v>312</v>
      </c>
      <c r="AZ973" s="58" t="n">
        <f aca="false">IF(AND(OR(BU973="L1",BU973="L23"),AV973&gt;0),SUMIFS($AV$7:$AV$1576,$BU$7:$BU$1576,BU973,$AY$7:$AY$1576,"&gt;"&amp;AY973)+SUMIFS($AV$7:$AV$1576,$BU$7:$BU$1576,BU973,$AY$7:$AY$1576,AY973,$BO$7:$BO$1576,"&lt;="&amp;BO973),"")</f>
        <v>39.7520776449149</v>
      </c>
      <c r="BA973" s="65" t="n">
        <f aca="false">IF(AZ973="",0,MAX(0,MIN(1,(IF(BU973="L1",Parameter!$E$5,Parameter!$E$6+Parameter!$E$7)-(AZ973-AV973))/AV973)))</f>
        <v>1</v>
      </c>
      <c r="BB973" s="55" t="str">
        <f aca="false">IF(AF973&lt;=0,"",IF(BU973="Aussen","Aussenlager",IF(BU973="-","Nicht im Lift",IF(AK973&gt;=1,"Lift",IF(AK973&lt;=0,"Aussenlager","teilweise")))))</f>
        <v/>
      </c>
      <c r="BC973" s="55" t="str">
        <f aca="false">IF(AN973&lt;=0,"",IF(BU973="Aussen","Aussenlager",IF(BU973="-","Nicht im Lift",IF(AS973&gt;=1,"Lift",IF(AS973&lt;=0,"Aussenlager","teilweise")))))</f>
        <v>Lift</v>
      </c>
      <c r="BD973" s="55" t="str">
        <f aca="false">IF(AV973&lt;=0,"",IF(BU973="Aussen","Aussenlager",IF(BU973="-","Nicht im Lift",IF(BA973&gt;=1,"Lift",IF(BA973&lt;=0,"Aussenlager","teilweise")))))</f>
        <v>Lift</v>
      </c>
      <c r="BE973" s="55" t="str">
        <f aca="false">IF(A973="","",IF(BN973=1,"Neu; ","")&amp;IF(AND(BN973=0,BI973&lt;0),"negativer Bestand (Export "&amp;BI973&amp;"); ","")&amp;IF(I973&lt;=0,"Kein Verbrauch; ","")&amp;IF(CD973&gt;0,"Lift "&amp;U973&amp;" lt. Liftbericht (Fach "&amp;V973&amp;" Stk); ",IF(BR973=1,"Lose – Fläche geschätzt; ",""))&amp;IF(G973&gt;AP973,"Überbestand "&amp;ROUND(G973-AP973,0)&amp;" Stk / CHF "&amp;ROUND((G973-AP973)*F973,0)&amp;"; ","")&amp;IF(AND(BW973=1,BX973&lt;BY973),"MAX &lt; MB+LG; ","")&amp;IF(AND(CC973&gt;0,CB973*10&gt;CC973),"zu hoch für Tablar; ","")&amp;IF(AND(BN973=0,OR(BW973=1,Y973&lt;&gt;"",S973&lt;&gt;"",T973&lt;&gt;"",Z973&lt;&gt;"")),"manuell übersteuert; ","")&amp;IF(AND(BR973=0,Q973=0),"Gebinde unbekannt / Stellmass fehlt; ","")&amp;IF(AND(BR973=0,N(T973)&lt;=0,N(P973)&lt;=0),"Menge pro Gebinde fehlt (Ist = 1 Gebinde); ","")&amp;BM973)</f>
        <v>negativer Bestand (Export -8); Überbestand</v>
      </c>
      <c r="BF973" s="55"/>
      <c r="BG973" s="55"/>
      <c r="BH973" s="62"/>
      <c r="BI973" s="57" t="n">
        <v>-8</v>
      </c>
      <c r="BJ973" s="57" t="n">
        <v>155</v>
      </c>
      <c r="BK973" s="56" t="n">
        <v>-73.6</v>
      </c>
      <c r="BL973" s="57" t="n">
        <v>6</v>
      </c>
      <c r="BM973" s="55" t="s">
        <v>382</v>
      </c>
      <c r="BN973" s="60" t="n">
        <v>0</v>
      </c>
      <c r="BO973" s="60" t="n">
        <v>973</v>
      </c>
      <c r="BP973" s="55" t="str">
        <f aca="false">IF(S973&lt;&gt;"",UPPER(TRIM(S973)),IF(O973="","LOSE",O973))</f>
        <v>S41</v>
      </c>
      <c r="BQ973" s="57" t="n">
        <f aca="false">IF(BP973="LOSE",1,IF(N(T973)&gt;0,T973,IF(N(P973)&gt;0,P973,MAX(1,G973))))</f>
        <v>157</v>
      </c>
      <c r="BR973" s="60" t="n">
        <f aca="false">IF(BP973="LOSE",1,0)</f>
        <v>0</v>
      </c>
      <c r="BS973" s="59" t="n">
        <f aca="false">IF(BR973=0,0,IF(N(R973)&gt;0,R973,IFERROR(VLOOKUP(D973,Parameter!$A$35:$C$64,3,0)+0,0)))</f>
        <v>0</v>
      </c>
      <c r="BT973" s="55" t="n">
        <f aca="false">IF(Y973&lt;&gt;"",Y973,X973)</f>
        <v>3</v>
      </c>
      <c r="BU973" s="55" t="str">
        <f aca="false">IF(BT973=1,"L1",IF(OR(BT973=2,BT973=3),"L23",IF(BT973="Aussen","Aussen","-")))</f>
        <v>L23</v>
      </c>
      <c r="BV973" s="66" t="n">
        <f aca="false">IF(N(Z973)&gt;0,Z973,0)</f>
        <v>0</v>
      </c>
      <c r="BW973" s="60" t="n">
        <f aca="false">IF(ISNUMBER(AC973),1,0)</f>
        <v>0</v>
      </c>
      <c r="BX973" s="57" t="n">
        <f aca="false">N(AC973)</f>
        <v>0</v>
      </c>
      <c r="BY973" s="57" t="n">
        <f aca="false">N(L973)+N(M973)</f>
        <v>5</v>
      </c>
      <c r="BZ973" s="57" t="n">
        <f aca="false">ROUNDUP(G973/BQ973,0)</f>
        <v>0</v>
      </c>
      <c r="CA973" s="57" t="n">
        <f aca="false">ROUNDUP(BX973/BQ973,0)</f>
        <v>0</v>
      </c>
      <c r="CB973" s="60" t="n">
        <f aca="false">IF(BR973=1,0,IFERROR(VLOOKUP(BP973,'Gebinde-Kategorie'!$A$5:$M$45,5,0)+0,0))</f>
        <v>11</v>
      </c>
      <c r="CC973" s="60" t="n">
        <f aca="false">IFERROR(IF(OR(BT973=1,BT973=2,BT973=3),N(INDEX(Parameter!$I$5:$I$7,BT973)),0),0)</f>
        <v>0</v>
      </c>
      <c r="CD973" s="59" t="n">
        <f aca="false">IF(AND(Parameter!$B$21="Ja",ISNUMBER(U973),N(V973)&gt;0),IFERROR(N(INDEX(Parameter!$L$5:$L$7,U973))*INDEX(Parameter!$E$5:$E$7,U973)*V973/SUMIFS($V$7:$V$1576,$U$7:$U$1576,U973),0),0)</f>
        <v>0</v>
      </c>
    </row>
    <row r="974" customFormat="false" ht="15" hidden="false" customHeight="false" outlineLevel="0" collapsed="false">
      <c r="A974" s="55" t="s">
        <v>1793</v>
      </c>
      <c r="B974" s="55" t="s">
        <v>1794</v>
      </c>
      <c r="C974" s="55" t="s">
        <v>160</v>
      </c>
      <c r="D974" s="55" t="s">
        <v>178</v>
      </c>
      <c r="E974" s="55" t="s">
        <v>210</v>
      </c>
      <c r="F974" s="56" t="n">
        <v>68.15</v>
      </c>
      <c r="G974" s="57" t="n">
        <f aca="false">MAX(0,IF(AND(Parameter!$B$21="Ja",ISNUMBER(W974)),W974,IF(Parameter!$B$20="Jahresanfang 2025 + Export",BJ974+BI974,BI974)))</f>
        <v>0</v>
      </c>
      <c r="H974" s="57" t="n">
        <f aca="false">G974*F974</f>
        <v>0</v>
      </c>
      <c r="I974" s="57" t="n">
        <f aca="false">BL974*Parameter!$B$18</f>
        <v>5</v>
      </c>
      <c r="J974" s="58" t="n">
        <v>4.5</v>
      </c>
      <c r="K974" s="59" t="n">
        <v>1.11111111111111</v>
      </c>
      <c r="L974" s="57" t="n">
        <v>0</v>
      </c>
      <c r="M974" s="57" t="n">
        <v>5</v>
      </c>
      <c r="N974" s="60" t="n">
        <v>21</v>
      </c>
      <c r="O974" s="55" t="s">
        <v>465</v>
      </c>
      <c r="P974" s="57" t="n">
        <v>11</v>
      </c>
      <c r="Q974" s="60" t="n">
        <f aca="false">IF(BR974=1,0,IFERROR(VLOOKUP(BP974,'Gebinde-Kategorie'!$A$5:$M$45,13,0)+0,0))</f>
        <v>66</v>
      </c>
      <c r="R974" s="61"/>
      <c r="S974" s="62"/>
      <c r="T974" s="62"/>
      <c r="U974" s="55"/>
      <c r="V974" s="57"/>
      <c r="W974" s="57"/>
      <c r="X974" s="55" t="n">
        <f aca="false">IF(A974="","",IF(AND(Parameter!$B$21="Ja",ISNUMBER(U974)),U974,IF(IFERROR(VLOOKUP(D974,Parameter!$A$35:$C$64,2,0),"Nein")="2+3",IF(ISNUMBER(SEARCH("grosser Artikel",BM974)),2,IFERROR(VLOOKUP(BP974,Parameter!$F$35:$G$64,2,0),2)),IF(OR(IFERROR(VLOOKUP(D974,Parameter!$A$35:$C$64,2,0),"Nein")="Nein",IFERROR(VLOOKUP(D974,Parameter!$A$35:$C$64,2,0),"Nein")=""),"-",VLOOKUP(D974,Parameter!$A$35:$C$64,2,0)))))</f>
        <v>3</v>
      </c>
      <c r="Y974" s="62"/>
      <c r="Z974" s="63"/>
      <c r="AA974" s="57" t="n">
        <f aca="false">AP974</f>
        <v>11</v>
      </c>
      <c r="AB974" s="57" t="n">
        <f aca="false">MAX(AP974,G974)</f>
        <v>11</v>
      </c>
      <c r="AC974" s="64"/>
      <c r="AD974" s="57" t="n">
        <f aca="false">IF(LEFT(Cockpit!$C$5,1)="A",G974,IF(BW974=1,BX974,IF(LEFT(Cockpit!$C$5,1)="B",AH974,MAX(AH974,G974))))</f>
        <v>0</v>
      </c>
      <c r="AE974" s="57" t="n">
        <f aca="false">IF(BR974=1,0,ROUNDUP(AD974/BQ974,0))</f>
        <v>0</v>
      </c>
      <c r="AF974" s="59" t="n">
        <f aca="false">IF(CD974&gt;0,CD974*MAX(1,AD974/V974),IF(BR974=1,IF(AD974&lt;=0,0,BS974*MAX(1,IF(G974&gt;0,AD974/G974,1))),IF(Q974&gt;0,AE974/Q974,0))/MAX(0.1,N(Parameter!$M$21)))</f>
        <v>0</v>
      </c>
      <c r="AG974" s="57" t="n">
        <f aca="false">AD974*F974</f>
        <v>0</v>
      </c>
      <c r="AH974" s="57" t="n">
        <f aca="false">ROUNDUP(MAX(I974/IF(BV974&gt;0,BV974,MAX(0.1,N(Cockpit!$C$6))),BY974)/BQ974,0)*BQ974</f>
        <v>11</v>
      </c>
      <c r="AI974" s="58" t="n">
        <f aca="false">IF(AF974&gt;0,I974/AF974,-1)</f>
        <v>-1</v>
      </c>
      <c r="AJ974" s="58" t="str">
        <f aca="false">IF(AND(OR(BU974="L1",BU974="L23"),AF974&gt;0),SUMIFS($AF$7:$AF$1576,$BU$7:$BU$1576,BU974,$AI$7:$AI$1576,"&gt;"&amp;AI974)+SUMIFS($AF$7:$AF$1576,$BU$7:$BU$1576,BU974,$AI$7:$AI$1576,AI974,$BO$7:$BO$1576,"&lt;="&amp;BO974),"")</f>
        <v/>
      </c>
      <c r="AK974" s="65" t="n">
        <f aca="false">IF(AJ974="",0,MAX(0,MIN(1,(IF(BU974="L1",Parameter!$E$5,Parameter!$E$6+Parameter!$E$7)-(AJ974-AF974))/AF974)))</f>
        <v>0</v>
      </c>
      <c r="AL974" s="57" t="n">
        <f aca="false">IF(LEFT(Cockpit!$I$5,1)="A",G974,IF(BW974=1,BX974,IF(LEFT(Cockpit!$I$5,1)="B",AP974,MAX(AP974,G974))))</f>
        <v>11</v>
      </c>
      <c r="AM974" s="57" t="n">
        <f aca="false">IF(BR974=1,0,ROUNDUP(AL974/BQ974,0))</f>
        <v>1</v>
      </c>
      <c r="AN974" s="59" t="n">
        <f aca="false">IF(CD974&gt;0,CD974*MAX(1,AL974/V974),IF(BR974=1,IF(AL974&lt;=0,0,BS974*MAX(1,IF(G974&gt;0,AL974/G974,1))),IF(Q974&gt;0,AM974/Q974,0))/MAX(0.1,N(Parameter!$M$21)))</f>
        <v>0.0151515151515152</v>
      </c>
      <c r="AO974" s="57" t="n">
        <f aca="false">AL974*F974</f>
        <v>749.65</v>
      </c>
      <c r="AP974" s="57" t="n">
        <f aca="false">ROUNDUP(MAX(I974/IF(BV974&gt;0,BV974,MAX(0.1,N(Cockpit!$I$6))),BY974)/BQ974,0)*BQ974</f>
        <v>11</v>
      </c>
      <c r="AQ974" s="58" t="n">
        <f aca="false">IF(AN974&gt;0,I974/AN974,-1)</f>
        <v>330</v>
      </c>
      <c r="AR974" s="58" t="n">
        <f aca="false">IF(AND(OR(BU974="L1",BU974="L23"),AN974&gt;0),SUMIFS($AN$7:$AN$1576,$BU$7:$BU$1576,BU974,$AQ$7:$AQ$1576,"&gt;"&amp;AQ974)+SUMIFS($AN$7:$AN$1576,$BU$7:$BU$1576,BU974,$AQ$7:$AQ$1576,AQ974,$BO$7:$BO$1576,"&lt;="&amp;BO974),"")</f>
        <v>41.9262601290974</v>
      </c>
      <c r="AS974" s="65" t="n">
        <f aca="false">IF(AR974="",0,MAX(0,MIN(1,(IF(BU974="L1",Parameter!$E$5,Parameter!$E$6+Parameter!$E$7)-(AR974-AN974))/AN974)))</f>
        <v>1</v>
      </c>
      <c r="AT974" s="57" t="n">
        <f aca="false">IF(LEFT(Cockpit!$O$5,1)="A",G974,IF(BW974=1,BX974,IF(LEFT(Cockpit!$O$5,1)="B",AX974,MAX(AX974,G974))))</f>
        <v>11</v>
      </c>
      <c r="AU974" s="57" t="n">
        <f aca="false">IF(BR974=1,0,ROUNDUP(AT974/BQ974,0))</f>
        <v>1</v>
      </c>
      <c r="AV974" s="59" t="n">
        <f aca="false">IF(CD974&gt;0,CD974*MAX(1,AT974/V974),IF(BR974=1,IF(AT974&lt;=0,0,BS974*MAX(1,IF(G974&gt;0,AT974/G974,1))),IF(Q974&gt;0,AU974/Q974,0))/MAX(0.1,N(Parameter!$M$21)))</f>
        <v>0.0151515151515152</v>
      </c>
      <c r="AW974" s="57" t="n">
        <f aca="false">AT974*F974</f>
        <v>749.65</v>
      </c>
      <c r="AX974" s="57" t="n">
        <f aca="false">ROUNDUP(MAX(I974/IF(BV974&gt;0,BV974,MAX(0.1,N(Cockpit!$O$6))),BY974)/BQ974,0)*BQ974</f>
        <v>11</v>
      </c>
      <c r="AY974" s="58" t="n">
        <f aca="false">IF(AV974&gt;0,I974/AV974,-1)</f>
        <v>330</v>
      </c>
      <c r="AZ974" s="58" t="n">
        <f aca="false">IF(AND(OR(BU974="L1",BU974="L23"),AV974&gt;0),SUMIFS($AV$7:$AV$1576,$BU$7:$BU$1576,BU974,$AY$7:$AY$1576,"&gt;"&amp;AY974)+SUMIFS($AV$7:$AV$1576,$BU$7:$BU$1576,BU974,$AY$7:$AY$1576,AY974,$BO$7:$BO$1576,"&lt;="&amp;BO974),"")</f>
        <v>38.674338717176</v>
      </c>
      <c r="BA974" s="65" t="n">
        <f aca="false">IF(AZ974="",0,MAX(0,MIN(1,(IF(BU974="L1",Parameter!$E$5,Parameter!$E$6+Parameter!$E$7)-(AZ974-AV974))/AV974)))</f>
        <v>1</v>
      </c>
      <c r="BB974" s="55" t="str">
        <f aca="false">IF(AF974&lt;=0,"",IF(BU974="Aussen","Aussenlager",IF(BU974="-","Nicht im Lift",IF(AK974&gt;=1,"Lift",IF(AK974&lt;=0,"Aussenlager","teilweise")))))</f>
        <v/>
      </c>
      <c r="BC974" s="55" t="str">
        <f aca="false">IF(AN974&lt;=0,"",IF(BU974="Aussen","Aussenlager",IF(BU974="-","Nicht im Lift",IF(AS974&gt;=1,"Lift",IF(AS974&lt;=0,"Aussenlager","teilweise")))))</f>
        <v>Lift</v>
      </c>
      <c r="BD974" s="55" t="str">
        <f aca="false">IF(AV974&lt;=0,"",IF(BU974="Aussen","Aussenlager",IF(BU974="-","Nicht im Lift",IF(BA974&gt;=1,"Lift",IF(BA974&lt;=0,"Aussenlager","teilweise")))))</f>
        <v>Lift</v>
      </c>
      <c r="BE974" s="55" t="str">
        <f aca="false">IF(A974="","",IF(BN974=1,"Neu; ","")&amp;IF(AND(BN974=0,BI974&lt;0),"negativer Bestand (Export "&amp;BI974&amp;"); ","")&amp;IF(I974&lt;=0,"Kein Verbrauch; ","")&amp;IF(CD974&gt;0,"Lift "&amp;U974&amp;" lt. Liftbericht (Fach "&amp;V974&amp;" Stk); ",IF(BR974=1,"Lose – Fläche geschätzt; ",""))&amp;IF(G974&gt;AP974,"Überbestand "&amp;ROUND(G974-AP974,0)&amp;" Stk / CHF "&amp;ROUND((G974-AP974)*F974,0)&amp;"; ","")&amp;IF(AND(BW974=1,BX974&lt;BY974),"MAX &lt; MB+LG; ","")&amp;IF(AND(CC974&gt;0,CB974*10&gt;CC974),"zu hoch für Tablar; ","")&amp;IF(AND(BN974=0,OR(BW974=1,Y974&lt;&gt;"",S974&lt;&gt;"",T974&lt;&gt;"",Z974&lt;&gt;"")),"manuell übersteuert; ","")&amp;IF(AND(BR974=0,Q974=0),"Gebinde unbekannt / Stellmass fehlt; ","")&amp;IF(AND(BR974=0,N(T974)&lt;=0,N(P974)&lt;=0),"Menge pro Gebinde fehlt (Ist = 1 Gebinde); ","")&amp;BM974)</f>
        <v>negativer Bestand (Export -2); </v>
      </c>
      <c r="BF974" s="55"/>
      <c r="BG974" s="55"/>
      <c r="BH974" s="62"/>
      <c r="BI974" s="57" t="n">
        <v>-2</v>
      </c>
      <c r="BJ974" s="57" t="n">
        <v>6</v>
      </c>
      <c r="BK974" s="56" t="n">
        <v>-73.66</v>
      </c>
      <c r="BL974" s="57" t="n">
        <v>5</v>
      </c>
      <c r="BM974" s="55"/>
      <c r="BN974" s="60" t="n">
        <v>0</v>
      </c>
      <c r="BO974" s="60" t="n">
        <v>974</v>
      </c>
      <c r="BP974" s="55" t="str">
        <f aca="false">IF(S974&lt;&gt;"",UPPER(TRIM(S974)),IF(O974="","LOSE",O974))</f>
        <v>S33</v>
      </c>
      <c r="BQ974" s="57" t="n">
        <f aca="false">IF(BP974="LOSE",1,IF(N(T974)&gt;0,T974,IF(N(P974)&gt;0,P974,MAX(1,G974))))</f>
        <v>11</v>
      </c>
      <c r="BR974" s="60" t="n">
        <f aca="false">IF(BP974="LOSE",1,0)</f>
        <v>0</v>
      </c>
      <c r="BS974" s="59" t="n">
        <f aca="false">IF(BR974=0,0,IF(N(R974)&gt;0,R974,IFERROR(VLOOKUP(D974,Parameter!$A$35:$C$64,3,0)+0,0)))</f>
        <v>0</v>
      </c>
      <c r="BT974" s="55" t="n">
        <f aca="false">IF(Y974&lt;&gt;"",Y974,X974)</f>
        <v>3</v>
      </c>
      <c r="BU974" s="55" t="str">
        <f aca="false">IF(BT974=1,"L1",IF(OR(BT974=2,BT974=3),"L23",IF(BT974="Aussen","Aussen","-")))</f>
        <v>L23</v>
      </c>
      <c r="BV974" s="66" t="n">
        <f aca="false">IF(N(Z974)&gt;0,Z974,0)</f>
        <v>0</v>
      </c>
      <c r="BW974" s="60" t="n">
        <f aca="false">IF(ISNUMBER(AC974),1,0)</f>
        <v>0</v>
      </c>
      <c r="BX974" s="57" t="n">
        <f aca="false">N(AC974)</f>
        <v>0</v>
      </c>
      <c r="BY974" s="57" t="n">
        <f aca="false">N(L974)+N(M974)</f>
        <v>5</v>
      </c>
      <c r="BZ974" s="57" t="n">
        <f aca="false">ROUNDUP(G974/BQ974,0)</f>
        <v>0</v>
      </c>
      <c r="CA974" s="57" t="n">
        <f aca="false">ROUNDUP(BX974/BQ974,0)</f>
        <v>0</v>
      </c>
      <c r="CB974" s="60" t="n">
        <f aca="false">IF(BR974=1,0,IFERROR(VLOOKUP(BP974,'Gebinde-Kategorie'!$A$5:$M$45,5,0)+0,0))</f>
        <v>8</v>
      </c>
      <c r="CC974" s="60" t="n">
        <f aca="false">IFERROR(IF(OR(BT974=1,BT974=2,BT974=3),N(INDEX(Parameter!$I$5:$I$7,BT974)),0),0)</f>
        <v>0</v>
      </c>
      <c r="CD974" s="59" t="n">
        <f aca="false">IF(AND(Parameter!$B$21="Ja",ISNUMBER(U974),N(V974)&gt;0),IFERROR(N(INDEX(Parameter!$L$5:$L$7,U974))*INDEX(Parameter!$E$5:$E$7,U974)*V974/SUMIFS($V$7:$V$1576,$U$7:$U$1576,U974),0),0)</f>
        <v>0</v>
      </c>
    </row>
    <row r="975" customFormat="false" ht="15" hidden="false" customHeight="false" outlineLevel="0" collapsed="false">
      <c r="A975" s="55" t="s">
        <v>1795</v>
      </c>
      <c r="B975" s="55" t="s">
        <v>801</v>
      </c>
      <c r="C975" s="55" t="s">
        <v>160</v>
      </c>
      <c r="D975" s="55" t="s">
        <v>178</v>
      </c>
      <c r="E975" s="55" t="s">
        <v>210</v>
      </c>
      <c r="F975" s="56" t="n">
        <v>0.16</v>
      </c>
      <c r="G975" s="57" t="n">
        <f aca="false">MAX(0,IF(AND(Parameter!$B$21="Ja",ISNUMBER(W975)),W975,IF(Parameter!$B$20="Jahresanfang 2025 + Export",BJ975+BI975,BI975)))</f>
        <v>0</v>
      </c>
      <c r="H975" s="57" t="n">
        <f aca="false">G975*F975</f>
        <v>0</v>
      </c>
      <c r="I975" s="57" t="n">
        <f aca="false">BL975*Parameter!$B$18</f>
        <v>196</v>
      </c>
      <c r="J975" s="58" t="n">
        <v>565.5</v>
      </c>
      <c r="K975" s="59" t="n">
        <v>0.346595932802829</v>
      </c>
      <c r="L975" s="57" t="n">
        <v>11</v>
      </c>
      <c r="M975" s="57" t="n">
        <v>195</v>
      </c>
      <c r="N975" s="60" t="n">
        <v>21</v>
      </c>
      <c r="O975" s="55" t="s">
        <v>225</v>
      </c>
      <c r="P975" s="57" t="n">
        <v>609</v>
      </c>
      <c r="Q975" s="60" t="n">
        <f aca="false">IF(BR975=1,0,IFERROR(VLOOKUP(BP975,'Gebinde-Kategorie'!$A$5:$M$45,13,0)+0,0))</f>
        <v>26</v>
      </c>
      <c r="R975" s="61"/>
      <c r="S975" s="62"/>
      <c r="T975" s="62"/>
      <c r="U975" s="55"/>
      <c r="V975" s="57"/>
      <c r="W975" s="57"/>
      <c r="X975" s="55" t="n">
        <f aca="false">IF(A975="","",IF(AND(Parameter!$B$21="Ja",ISNUMBER(U975)),U975,IF(IFERROR(VLOOKUP(D975,Parameter!$A$35:$C$64,2,0),"Nein")="2+3",IF(ISNUMBER(SEARCH("grosser Artikel",BM975)),2,IFERROR(VLOOKUP(BP975,Parameter!$F$35:$G$64,2,0),2)),IF(OR(IFERROR(VLOOKUP(D975,Parameter!$A$35:$C$64,2,0),"Nein")="Nein",IFERROR(VLOOKUP(D975,Parameter!$A$35:$C$64,2,0),"Nein")=""),"-",VLOOKUP(D975,Parameter!$A$35:$C$64,2,0)))))</f>
        <v>3</v>
      </c>
      <c r="Y975" s="62"/>
      <c r="Z975" s="63"/>
      <c r="AA975" s="57" t="n">
        <f aca="false">AP975</f>
        <v>609</v>
      </c>
      <c r="AB975" s="57" t="n">
        <f aca="false">MAX(AP975,G975)</f>
        <v>609</v>
      </c>
      <c r="AC975" s="64"/>
      <c r="AD975" s="57" t="n">
        <f aca="false">IF(LEFT(Cockpit!$C$5,1)="A",G975,IF(BW975=1,BX975,IF(LEFT(Cockpit!$C$5,1)="B",AH975,MAX(AH975,G975))))</f>
        <v>0</v>
      </c>
      <c r="AE975" s="57" t="n">
        <f aca="false">IF(BR975=1,0,ROUNDUP(AD975/BQ975,0))</f>
        <v>0</v>
      </c>
      <c r="AF975" s="59" t="n">
        <f aca="false">IF(CD975&gt;0,CD975*MAX(1,AD975/V975),IF(BR975=1,IF(AD975&lt;=0,0,BS975*MAX(1,IF(G975&gt;0,AD975/G975,1))),IF(Q975&gt;0,AE975/Q975,0))/MAX(0.1,N(Parameter!$M$21)))</f>
        <v>0</v>
      </c>
      <c r="AG975" s="57" t="n">
        <f aca="false">AD975*F975</f>
        <v>0</v>
      </c>
      <c r="AH975" s="57" t="n">
        <f aca="false">ROUNDUP(MAX(I975/IF(BV975&gt;0,BV975,MAX(0.1,N(Cockpit!$C$6))),BY975)/BQ975,0)*BQ975</f>
        <v>609</v>
      </c>
      <c r="AI975" s="58" t="n">
        <f aca="false">IF(AF975&gt;0,I975/AF975,-1)</f>
        <v>-1</v>
      </c>
      <c r="AJ975" s="58" t="str">
        <f aca="false">IF(AND(OR(BU975="L1",BU975="L23"),AF975&gt;0),SUMIFS($AF$7:$AF$1576,$BU$7:$BU$1576,BU975,$AI$7:$AI$1576,"&gt;"&amp;AI975)+SUMIFS($AF$7:$AF$1576,$BU$7:$BU$1576,BU975,$AI$7:$AI$1576,AI975,$BO$7:$BO$1576,"&lt;="&amp;BO975),"")</f>
        <v/>
      </c>
      <c r="AK975" s="65" t="n">
        <f aca="false">IF(AJ975="",0,MAX(0,MIN(1,(IF(BU975="L1",Parameter!$E$5,Parameter!$E$6+Parameter!$E$7)-(AJ975-AF975))/AF975)))</f>
        <v>0</v>
      </c>
      <c r="AL975" s="57" t="n">
        <f aca="false">IF(LEFT(Cockpit!$I$5,1)="A",G975,IF(BW975=1,BX975,IF(LEFT(Cockpit!$I$5,1)="B",AP975,MAX(AP975,G975))))</f>
        <v>609</v>
      </c>
      <c r="AM975" s="57" t="n">
        <f aca="false">IF(BR975=1,0,ROUNDUP(AL975/BQ975,0))</f>
        <v>1</v>
      </c>
      <c r="AN975" s="59" t="n">
        <f aca="false">IF(CD975&gt;0,CD975*MAX(1,AL975/V975),IF(BR975=1,IF(AL975&lt;=0,0,BS975*MAX(1,IF(G975&gt;0,AL975/G975,1))),IF(Q975&gt;0,AM975/Q975,0))/MAX(0.1,N(Parameter!$M$21)))</f>
        <v>0.0384615384615385</v>
      </c>
      <c r="AO975" s="57" t="n">
        <f aca="false">AL975*F975</f>
        <v>97.44</v>
      </c>
      <c r="AP975" s="57" t="n">
        <f aca="false">ROUNDUP(MAX(I975/IF(BV975&gt;0,BV975,MAX(0.1,N(Cockpit!$I$6))),BY975)/BQ975,0)*BQ975</f>
        <v>609</v>
      </c>
      <c r="AQ975" s="58" t="n">
        <f aca="false">IF(AN975&gt;0,I975/AN975,-1)</f>
        <v>5096</v>
      </c>
      <c r="AR975" s="58" t="n">
        <f aca="false">IF(AND(OR(BU975="L1",BU975="L23"),AN975&gt;0),SUMIFS($AN$7:$AN$1576,$BU$7:$BU$1576,BU975,$AQ$7:$AQ$1576,"&gt;"&amp;AQ975)+SUMIFS($AN$7:$AN$1576,$BU$7:$BU$1576,BU975,$AQ$7:$AQ$1576,AQ975,$BO$7:$BO$1576,"&lt;="&amp;BO975),"")</f>
        <v>11.2630525759265</v>
      </c>
      <c r="AS975" s="65" t="n">
        <f aca="false">IF(AR975="",0,MAX(0,MIN(1,(IF(BU975="L1",Parameter!$E$5,Parameter!$E$6+Parameter!$E$7)-(AR975-AN975))/AN975)))</f>
        <v>1</v>
      </c>
      <c r="AT975" s="57" t="n">
        <f aca="false">IF(LEFT(Cockpit!$O$5,1)="A",G975,IF(BW975=1,BX975,IF(LEFT(Cockpit!$O$5,1)="B",AX975,MAX(AX975,G975))))</f>
        <v>609</v>
      </c>
      <c r="AU975" s="57" t="n">
        <f aca="false">IF(BR975=1,0,ROUNDUP(AT975/BQ975,0))</f>
        <v>1</v>
      </c>
      <c r="AV975" s="59" t="n">
        <f aca="false">IF(CD975&gt;0,CD975*MAX(1,AT975/V975),IF(BR975=1,IF(AT975&lt;=0,0,BS975*MAX(1,IF(G975&gt;0,AT975/G975,1))),IF(Q975&gt;0,AU975/Q975,0))/MAX(0.1,N(Parameter!$M$21)))</f>
        <v>0.0384615384615385</v>
      </c>
      <c r="AW975" s="57" t="n">
        <f aca="false">AT975*F975</f>
        <v>97.44</v>
      </c>
      <c r="AX975" s="57" t="n">
        <f aca="false">ROUNDUP(MAX(I975/IF(BV975&gt;0,BV975,MAX(0.1,N(Cockpit!$O$6))),BY975)/BQ975,0)*BQ975</f>
        <v>609</v>
      </c>
      <c r="AY975" s="58" t="n">
        <f aca="false">IF(AV975&gt;0,I975/AV975,-1)</f>
        <v>5096</v>
      </c>
      <c r="AZ975" s="58" t="n">
        <f aca="false">IF(AND(OR(BU975="L1",BU975="L23"),AV975&gt;0),SUMIFS($AV$7:$AV$1576,$BU$7:$BU$1576,BU975,$AY$7:$AY$1576,"&gt;"&amp;AY975)+SUMIFS($AV$7:$AV$1576,$BU$7:$BU$1576,BU975,$AY$7:$AY$1576,AY975,$BO$7:$BO$1576,"&lt;="&amp;BO975),"")</f>
        <v>10.483915046789</v>
      </c>
      <c r="BA975" s="65" t="n">
        <f aca="false">IF(AZ975="",0,MAX(0,MIN(1,(IF(BU975="L1",Parameter!$E$5,Parameter!$E$6+Parameter!$E$7)-(AZ975-AV975))/AV975)))</f>
        <v>1</v>
      </c>
      <c r="BB975" s="55" t="str">
        <f aca="false">IF(AF975&lt;=0,"",IF(BU975="Aussen","Aussenlager",IF(BU975="-","Nicht im Lift",IF(AK975&gt;=1,"Lift",IF(AK975&lt;=0,"Aussenlager","teilweise")))))</f>
        <v/>
      </c>
      <c r="BC975" s="55" t="str">
        <f aca="false">IF(AN975&lt;=0,"",IF(BU975="Aussen","Aussenlager",IF(BU975="-","Nicht im Lift",IF(AS975&gt;=1,"Lift",IF(AS975&lt;=0,"Aussenlager","teilweise")))))</f>
        <v>Lift</v>
      </c>
      <c r="BD975" s="55" t="str">
        <f aca="false">IF(AV975&lt;=0,"",IF(BU975="Aussen","Aussenlager",IF(BU975="-","Nicht im Lift",IF(BA975&gt;=1,"Lift",IF(BA975&lt;=0,"Aussenlager","teilweise")))))</f>
        <v>Lift</v>
      </c>
      <c r="BE975" s="55" t="str">
        <f aca="false">IF(A975="","",IF(BN975=1,"Neu; ","")&amp;IF(AND(BN975=0,BI975&lt;0),"negativer Bestand (Export "&amp;BI975&amp;"); ","")&amp;IF(I975&lt;=0,"Kein Verbrauch; ","")&amp;IF(CD975&gt;0,"Lift "&amp;U975&amp;" lt. Liftbericht (Fach "&amp;V975&amp;" Stk); ",IF(BR975=1,"Lose – Fläche geschätzt; ",""))&amp;IF(G975&gt;AP975,"Überbestand "&amp;ROUND(G975-AP975,0)&amp;" Stk / CHF "&amp;ROUND((G975-AP975)*F975,0)&amp;"; ","")&amp;IF(AND(BW975=1,BX975&lt;BY975),"MAX &lt; MB+LG; ","")&amp;IF(AND(CC975&gt;0,CB975*10&gt;CC975),"zu hoch für Tablar; ","")&amp;IF(AND(BN975=0,OR(BW975=1,Y975&lt;&gt;"",S975&lt;&gt;"",T975&lt;&gt;"",Z975&lt;&gt;"")),"manuell übersteuert; ","")&amp;IF(AND(BR975=0,Q975=0),"Gebinde unbekannt / Stellmass fehlt; ","")&amp;IF(AND(BR975=0,N(T975)&lt;=0,N(P975)&lt;=0),"Menge pro Gebinde fehlt (Ist = 1 Gebinde); ","")&amp;BM975)</f>
        <v>negativer Bestand (Export -464); </v>
      </c>
      <c r="BF975" s="55"/>
      <c r="BG975" s="55"/>
      <c r="BH975" s="62"/>
      <c r="BI975" s="57" t="n">
        <v>-464</v>
      </c>
      <c r="BJ975" s="57" t="n">
        <v>706</v>
      </c>
      <c r="BK975" s="56" t="n">
        <v>-74.24</v>
      </c>
      <c r="BL975" s="57" t="n">
        <v>196</v>
      </c>
      <c r="BM975" s="55"/>
      <c r="BN975" s="60" t="n">
        <v>0</v>
      </c>
      <c r="BO975" s="60" t="n">
        <v>975</v>
      </c>
      <c r="BP975" s="55" t="str">
        <f aca="false">IF(S975&lt;&gt;"",UPPER(TRIM(S975)),IF(O975="","LOSE",O975))</f>
        <v>S52</v>
      </c>
      <c r="BQ975" s="57" t="n">
        <f aca="false">IF(BP975="LOSE",1,IF(N(T975)&gt;0,T975,IF(N(P975)&gt;0,P975,MAX(1,G975))))</f>
        <v>609</v>
      </c>
      <c r="BR975" s="60" t="n">
        <f aca="false">IF(BP975="LOSE",1,0)</f>
        <v>0</v>
      </c>
      <c r="BS975" s="59" t="n">
        <f aca="false">IF(BR975=0,0,IF(N(R975)&gt;0,R975,IFERROR(VLOOKUP(D975,Parameter!$A$35:$C$64,3,0)+0,0)))</f>
        <v>0</v>
      </c>
      <c r="BT975" s="55" t="n">
        <f aca="false">IF(Y975&lt;&gt;"",Y975,X975)</f>
        <v>3</v>
      </c>
      <c r="BU975" s="55" t="str">
        <f aca="false">IF(BT975=1,"L1",IF(OR(BT975=2,BT975=3),"L23",IF(BT975="Aussen","Aussen","-")))</f>
        <v>L23</v>
      </c>
      <c r="BV975" s="66" t="n">
        <f aca="false">IF(N(Z975)&gt;0,Z975,0)</f>
        <v>0</v>
      </c>
      <c r="BW975" s="60" t="n">
        <f aca="false">IF(ISNUMBER(AC975),1,0)</f>
        <v>0</v>
      </c>
      <c r="BX975" s="57" t="n">
        <f aca="false">N(AC975)</f>
        <v>0</v>
      </c>
      <c r="BY975" s="57" t="n">
        <f aca="false">N(L975)+N(M975)</f>
        <v>206</v>
      </c>
      <c r="BZ975" s="57" t="n">
        <f aca="false">ROUNDUP(G975/BQ975,0)</f>
        <v>0</v>
      </c>
      <c r="CA975" s="57" t="n">
        <f aca="false">ROUNDUP(BX975/BQ975,0)</f>
        <v>0</v>
      </c>
      <c r="CB975" s="60" t="n">
        <f aca="false">IF(BR975=1,0,IFERROR(VLOOKUP(BP975,'Gebinde-Kategorie'!$A$5:$M$45,5,0)+0,0))</f>
        <v>21</v>
      </c>
      <c r="CC975" s="60" t="n">
        <f aca="false">IFERROR(IF(OR(BT975=1,BT975=2,BT975=3),N(INDEX(Parameter!$I$5:$I$7,BT975)),0),0)</f>
        <v>0</v>
      </c>
      <c r="CD975" s="59" t="n">
        <f aca="false">IF(AND(Parameter!$B$21="Ja",ISNUMBER(U975),N(V975)&gt;0),IFERROR(N(INDEX(Parameter!$L$5:$L$7,U975))*INDEX(Parameter!$E$5:$E$7,U975)*V975/SUMIFS($V$7:$V$1576,$U$7:$U$1576,U975),0),0)</f>
        <v>0</v>
      </c>
    </row>
    <row r="976" customFormat="false" ht="15" hidden="false" customHeight="false" outlineLevel="0" collapsed="false">
      <c r="A976" s="55" t="s">
        <v>1796</v>
      </c>
      <c r="B976" s="55" t="s">
        <v>457</v>
      </c>
      <c r="C976" s="55" t="s">
        <v>160</v>
      </c>
      <c r="D976" s="55" t="s">
        <v>178</v>
      </c>
      <c r="E976" s="55" t="s">
        <v>210</v>
      </c>
      <c r="F976" s="56" t="n">
        <v>0.87</v>
      </c>
      <c r="G976" s="57" t="n">
        <f aca="false">MAX(0,IF(AND(Parameter!$B$21="Ja",ISNUMBER(W976)),W976,IF(Parameter!$B$20="Jahresanfang 2025 + Export",BJ976+BI976,BI976)))</f>
        <v>0</v>
      </c>
      <c r="H976" s="57" t="n">
        <f aca="false">G976*F976</f>
        <v>0</v>
      </c>
      <c r="I976" s="57" t="n">
        <f aca="false">BL976*Parameter!$B$18</f>
        <v>145</v>
      </c>
      <c r="J976" s="58" t="n">
        <v>181</v>
      </c>
      <c r="K976" s="59" t="n">
        <v>0.801104972375691</v>
      </c>
      <c r="L976" s="57" t="n">
        <v>5</v>
      </c>
      <c r="M976" s="57" t="n">
        <v>145</v>
      </c>
      <c r="N976" s="60" t="n">
        <v>14</v>
      </c>
      <c r="O976" s="55" t="s">
        <v>293</v>
      </c>
      <c r="P976" s="57" t="n">
        <v>165</v>
      </c>
      <c r="Q976" s="60" t="n">
        <f aca="false">IF(BR976=1,0,IFERROR(VLOOKUP(BP976,'Gebinde-Kategorie'!$A$5:$M$45,13,0)+0,0))</f>
        <v>26</v>
      </c>
      <c r="R976" s="61"/>
      <c r="S976" s="62"/>
      <c r="T976" s="62"/>
      <c r="U976" s="55"/>
      <c r="V976" s="57"/>
      <c r="W976" s="57"/>
      <c r="X976" s="55" t="n">
        <f aca="false">IF(A976="","",IF(AND(Parameter!$B$21="Ja",ISNUMBER(U976)),U976,IF(IFERROR(VLOOKUP(D976,Parameter!$A$35:$C$64,2,0),"Nein")="2+3",IF(ISNUMBER(SEARCH("grosser Artikel",BM976)),2,IFERROR(VLOOKUP(BP976,Parameter!$F$35:$G$64,2,0),2)),IF(OR(IFERROR(VLOOKUP(D976,Parameter!$A$35:$C$64,2,0),"Nein")="Nein",IFERROR(VLOOKUP(D976,Parameter!$A$35:$C$64,2,0),"Nein")=""),"-",VLOOKUP(D976,Parameter!$A$35:$C$64,2,0)))))</f>
        <v>3</v>
      </c>
      <c r="Y976" s="62"/>
      <c r="Z976" s="63"/>
      <c r="AA976" s="57" t="n">
        <f aca="false">AP976</f>
        <v>165</v>
      </c>
      <c r="AB976" s="57" t="n">
        <f aca="false">MAX(AP976,G976)</f>
        <v>165</v>
      </c>
      <c r="AC976" s="64"/>
      <c r="AD976" s="57" t="n">
        <f aca="false">IF(LEFT(Cockpit!$C$5,1)="A",G976,IF(BW976=1,BX976,IF(LEFT(Cockpit!$C$5,1)="B",AH976,MAX(AH976,G976))))</f>
        <v>0</v>
      </c>
      <c r="AE976" s="57" t="n">
        <f aca="false">IF(BR976=1,0,ROUNDUP(AD976/BQ976,0))</f>
        <v>0</v>
      </c>
      <c r="AF976" s="59" t="n">
        <f aca="false">IF(CD976&gt;0,CD976*MAX(1,AD976/V976),IF(BR976=1,IF(AD976&lt;=0,0,BS976*MAX(1,IF(G976&gt;0,AD976/G976,1))),IF(Q976&gt;0,AE976/Q976,0))/MAX(0.1,N(Parameter!$M$21)))</f>
        <v>0</v>
      </c>
      <c r="AG976" s="57" t="n">
        <f aca="false">AD976*F976</f>
        <v>0</v>
      </c>
      <c r="AH976" s="57" t="n">
        <f aca="false">ROUNDUP(MAX(I976/IF(BV976&gt;0,BV976,MAX(0.1,N(Cockpit!$C$6))),BY976)/BQ976,0)*BQ976</f>
        <v>165</v>
      </c>
      <c r="AI976" s="58" t="n">
        <f aca="false">IF(AF976&gt;0,I976/AF976,-1)</f>
        <v>-1</v>
      </c>
      <c r="AJ976" s="58" t="str">
        <f aca="false">IF(AND(OR(BU976="L1",BU976="L23"),AF976&gt;0),SUMIFS($AF$7:$AF$1576,$BU$7:$BU$1576,BU976,$AI$7:$AI$1576,"&gt;"&amp;AI976)+SUMIFS($AF$7:$AF$1576,$BU$7:$BU$1576,BU976,$AI$7:$AI$1576,AI976,$BO$7:$BO$1576,"&lt;="&amp;BO976),"")</f>
        <v/>
      </c>
      <c r="AK976" s="65" t="n">
        <f aca="false">IF(AJ976="",0,MAX(0,MIN(1,(IF(BU976="L1",Parameter!$E$5,Parameter!$E$6+Parameter!$E$7)-(AJ976-AF976))/AF976)))</f>
        <v>0</v>
      </c>
      <c r="AL976" s="57" t="n">
        <f aca="false">IF(LEFT(Cockpit!$I$5,1)="A",G976,IF(BW976=1,BX976,IF(LEFT(Cockpit!$I$5,1)="B",AP976,MAX(AP976,G976))))</f>
        <v>165</v>
      </c>
      <c r="AM976" s="57" t="n">
        <f aca="false">IF(BR976=1,0,ROUNDUP(AL976/BQ976,0))</f>
        <v>1</v>
      </c>
      <c r="AN976" s="59" t="n">
        <f aca="false">IF(CD976&gt;0,CD976*MAX(1,AL976/V976),IF(BR976=1,IF(AL976&lt;=0,0,BS976*MAX(1,IF(G976&gt;0,AL976/G976,1))),IF(Q976&gt;0,AM976/Q976,0))/MAX(0.1,N(Parameter!$M$21)))</f>
        <v>0.0384615384615385</v>
      </c>
      <c r="AO976" s="57" t="n">
        <f aca="false">AL976*F976</f>
        <v>143.55</v>
      </c>
      <c r="AP976" s="57" t="n">
        <f aca="false">ROUNDUP(MAX(I976/IF(BV976&gt;0,BV976,MAX(0.1,N(Cockpit!$I$6))),BY976)/BQ976,0)*BQ976</f>
        <v>165</v>
      </c>
      <c r="AQ976" s="58" t="n">
        <f aca="false">IF(AN976&gt;0,I976/AN976,-1)</f>
        <v>3770</v>
      </c>
      <c r="AR976" s="58" t="n">
        <f aca="false">IF(AND(OR(BU976="L1",BU976="L23"),AN976&gt;0),SUMIFS($AN$7:$AN$1576,$BU$7:$BU$1576,BU976,$AQ$7:$AQ$1576,"&gt;"&amp;AQ976)+SUMIFS($AN$7:$AN$1576,$BU$7:$BU$1576,BU976,$AQ$7:$AQ$1576,AQ976,$BO$7:$BO$1576,"&lt;="&amp;BO976),"")</f>
        <v>13.2549785243742</v>
      </c>
      <c r="AS976" s="65" t="n">
        <f aca="false">IF(AR976="",0,MAX(0,MIN(1,(IF(BU976="L1",Parameter!$E$5,Parameter!$E$6+Parameter!$E$7)-(AR976-AN976))/AN976)))</f>
        <v>1</v>
      </c>
      <c r="AT976" s="57" t="n">
        <f aca="false">IF(LEFT(Cockpit!$O$5,1)="A",G976,IF(BW976=1,BX976,IF(LEFT(Cockpit!$O$5,1)="B",AX976,MAX(AX976,G976))))</f>
        <v>165</v>
      </c>
      <c r="AU976" s="57" t="n">
        <f aca="false">IF(BR976=1,0,ROUNDUP(AT976/BQ976,0))</f>
        <v>1</v>
      </c>
      <c r="AV976" s="59" t="n">
        <f aca="false">IF(CD976&gt;0,CD976*MAX(1,AT976/V976),IF(BR976=1,IF(AT976&lt;=0,0,BS976*MAX(1,IF(G976&gt;0,AT976/G976,1))),IF(Q976&gt;0,AU976/Q976,0))/MAX(0.1,N(Parameter!$M$21)))</f>
        <v>0.0384615384615385</v>
      </c>
      <c r="AW976" s="57" t="n">
        <f aca="false">AT976*F976</f>
        <v>143.55</v>
      </c>
      <c r="AX976" s="57" t="n">
        <f aca="false">ROUNDUP(MAX(I976/IF(BV976&gt;0,BV976,MAX(0.1,N(Cockpit!$O$6))),BY976)/BQ976,0)*BQ976</f>
        <v>165</v>
      </c>
      <c r="AY976" s="58" t="n">
        <f aca="false">IF(AV976&gt;0,I976/AV976,-1)</f>
        <v>3770</v>
      </c>
      <c r="AZ976" s="58" t="n">
        <f aca="false">IF(AND(OR(BU976="L1",BU976="L23"),AV976&gt;0),SUMIFS($AV$7:$AV$1576,$BU$7:$BU$1576,BU976,$AY$7:$AY$1576,"&gt;"&amp;AY976)+SUMIFS($AV$7:$AV$1576,$BU$7:$BU$1576,BU976,$AY$7:$AY$1576,AY976,$BO$7:$BO$1576,"&lt;="&amp;BO976),"")</f>
        <v>11.9758409952366</v>
      </c>
      <c r="BA976" s="65" t="n">
        <f aca="false">IF(AZ976="",0,MAX(0,MIN(1,(IF(BU976="L1",Parameter!$E$5,Parameter!$E$6+Parameter!$E$7)-(AZ976-AV976))/AV976)))</f>
        <v>1</v>
      </c>
      <c r="BB976" s="55" t="str">
        <f aca="false">IF(AF976&lt;=0,"",IF(BU976="Aussen","Aussenlager",IF(BU976="-","Nicht im Lift",IF(AK976&gt;=1,"Lift",IF(AK976&lt;=0,"Aussenlager","teilweise")))))</f>
        <v/>
      </c>
      <c r="BC976" s="55" t="str">
        <f aca="false">IF(AN976&lt;=0,"",IF(BU976="Aussen","Aussenlager",IF(BU976="-","Nicht im Lift",IF(AS976&gt;=1,"Lift",IF(AS976&lt;=0,"Aussenlager","teilweise")))))</f>
        <v>Lift</v>
      </c>
      <c r="BD976" s="55" t="str">
        <f aca="false">IF(AV976&lt;=0,"",IF(BU976="Aussen","Aussenlager",IF(BU976="-","Nicht im Lift",IF(BA976&gt;=1,"Lift",IF(BA976&lt;=0,"Aussenlager","teilweise")))))</f>
        <v>Lift</v>
      </c>
      <c r="BE976" s="55" t="str">
        <f aca="false">IF(A976="","",IF(BN976=1,"Neu; ","")&amp;IF(AND(BN976=0,BI976&lt;0),"negativer Bestand (Export "&amp;BI976&amp;"); ","")&amp;IF(I976&lt;=0,"Kein Verbrauch; ","")&amp;IF(CD976&gt;0,"Lift "&amp;U976&amp;" lt. Liftbericht (Fach "&amp;V976&amp;" Stk); ",IF(BR976=1,"Lose – Fläche geschätzt; ",""))&amp;IF(G976&gt;AP976,"Überbestand "&amp;ROUND(G976-AP976,0)&amp;" Stk / CHF "&amp;ROUND((G976-AP976)*F976,0)&amp;"; ","")&amp;IF(AND(BW976=1,BX976&lt;BY976),"MAX &lt; MB+LG; ","")&amp;IF(AND(CC976&gt;0,CB976*10&gt;CC976),"zu hoch für Tablar; ","")&amp;IF(AND(BN976=0,OR(BW976=1,Y976&lt;&gt;"",S976&lt;&gt;"",T976&lt;&gt;"",Z976&lt;&gt;"")),"manuell übersteuert; ","")&amp;IF(AND(BR976=0,Q976=0),"Gebinde unbekannt / Stellmass fehlt; ","")&amp;IF(AND(BR976=0,N(T976)&lt;=0,N(P976)&lt;=0),"Menge pro Gebinde fehlt (Ist = 1 Gebinde); ","")&amp;BM976)</f>
        <v>negativer Bestand (Export -94); </v>
      </c>
      <c r="BF976" s="55"/>
      <c r="BG976" s="55"/>
      <c r="BH976" s="62"/>
      <c r="BI976" s="57" t="n">
        <v>-94</v>
      </c>
      <c r="BJ976" s="57" t="n">
        <v>187</v>
      </c>
      <c r="BK976" s="56" t="n">
        <v>-74.4999999999999</v>
      </c>
      <c r="BL976" s="57" t="n">
        <v>145</v>
      </c>
      <c r="BM976" s="55"/>
      <c r="BN976" s="60" t="n">
        <v>0</v>
      </c>
      <c r="BO976" s="60" t="n">
        <v>976</v>
      </c>
      <c r="BP976" s="55" t="str">
        <f aca="false">IF(S976&lt;&gt;"",UPPER(TRIM(S976)),IF(O976="","LOSE",O976))</f>
        <v>S51</v>
      </c>
      <c r="BQ976" s="57" t="n">
        <f aca="false">IF(BP976="LOSE",1,IF(N(T976)&gt;0,T976,IF(N(P976)&gt;0,P976,MAX(1,G976))))</f>
        <v>165</v>
      </c>
      <c r="BR976" s="60" t="n">
        <f aca="false">IF(BP976="LOSE",1,0)</f>
        <v>0</v>
      </c>
      <c r="BS976" s="59" t="n">
        <f aca="false">IF(BR976=0,0,IF(N(R976)&gt;0,R976,IFERROR(VLOOKUP(D976,Parameter!$A$35:$C$64,3,0)+0,0)))</f>
        <v>0</v>
      </c>
      <c r="BT976" s="55" t="n">
        <f aca="false">IF(Y976&lt;&gt;"",Y976,X976)</f>
        <v>3</v>
      </c>
      <c r="BU976" s="55" t="str">
        <f aca="false">IF(BT976=1,"L1",IF(OR(BT976=2,BT976=3),"L23",IF(BT976="Aussen","Aussen","-")))</f>
        <v>L23</v>
      </c>
      <c r="BV976" s="66" t="n">
        <f aca="false">IF(N(Z976)&gt;0,Z976,0)</f>
        <v>0</v>
      </c>
      <c r="BW976" s="60" t="n">
        <f aca="false">IF(ISNUMBER(AC976),1,0)</f>
        <v>0</v>
      </c>
      <c r="BX976" s="57" t="n">
        <f aca="false">N(AC976)</f>
        <v>0</v>
      </c>
      <c r="BY976" s="57" t="n">
        <f aca="false">N(L976)+N(M976)</f>
        <v>150</v>
      </c>
      <c r="BZ976" s="57" t="n">
        <f aca="false">ROUNDUP(G976/BQ976,0)</f>
        <v>0</v>
      </c>
      <c r="CA976" s="57" t="n">
        <f aca="false">ROUNDUP(BX976/BQ976,0)</f>
        <v>0</v>
      </c>
      <c r="CB976" s="60" t="n">
        <f aca="false">IF(BR976=1,0,IFERROR(VLOOKUP(BP976,'Gebinde-Kategorie'!$A$5:$M$45,5,0)+0,0))</f>
        <v>11</v>
      </c>
      <c r="CC976" s="60" t="n">
        <f aca="false">IFERROR(IF(OR(BT976=1,BT976=2,BT976=3),N(INDEX(Parameter!$I$5:$I$7,BT976)),0),0)</f>
        <v>0</v>
      </c>
      <c r="CD976" s="59" t="n">
        <f aca="false">IF(AND(Parameter!$B$21="Ja",ISNUMBER(U976),N(V976)&gt;0),IFERROR(N(INDEX(Parameter!$L$5:$L$7,U976))*INDEX(Parameter!$E$5:$E$7,U976)*V976/SUMIFS($V$7:$V$1576,$U$7:$U$1576,U976),0),0)</f>
        <v>0</v>
      </c>
    </row>
    <row r="977" customFormat="false" ht="15" hidden="false" customHeight="false" outlineLevel="0" collapsed="false">
      <c r="A977" s="55" t="s">
        <v>1797</v>
      </c>
      <c r="B977" s="55" t="s">
        <v>1767</v>
      </c>
      <c r="C977" s="55" t="s">
        <v>160</v>
      </c>
      <c r="D977" s="55" t="s">
        <v>178</v>
      </c>
      <c r="E977" s="55" t="s">
        <v>210</v>
      </c>
      <c r="F977" s="56" t="n">
        <v>8.33</v>
      </c>
      <c r="G977" s="57" t="n">
        <f aca="false">MAX(0,IF(AND(Parameter!$B$21="Ja",ISNUMBER(W977)),W977,IF(Parameter!$B$20="Jahresanfang 2025 + Export",BJ977+BI977,BI977)))</f>
        <v>0</v>
      </c>
      <c r="H977" s="57" t="n">
        <f aca="false">G977*F977</f>
        <v>0</v>
      </c>
      <c r="I977" s="57" t="n">
        <f aca="false">BL977*Parameter!$B$18</f>
        <v>8</v>
      </c>
      <c r="J977" s="58" t="n">
        <v>8</v>
      </c>
      <c r="K977" s="59" t="n">
        <v>1</v>
      </c>
      <c r="L977" s="57" t="n">
        <v>0</v>
      </c>
      <c r="M977" s="57" t="n">
        <v>10</v>
      </c>
      <c r="N977" s="60" t="n">
        <v>17</v>
      </c>
      <c r="O977" s="55" t="s">
        <v>465</v>
      </c>
      <c r="P977" s="57" t="n">
        <v>23</v>
      </c>
      <c r="Q977" s="60" t="n">
        <f aca="false">IF(BR977=1,0,IFERROR(VLOOKUP(BP977,'Gebinde-Kategorie'!$A$5:$M$45,13,0)+0,0))</f>
        <v>66</v>
      </c>
      <c r="R977" s="61"/>
      <c r="S977" s="62"/>
      <c r="T977" s="62"/>
      <c r="U977" s="55"/>
      <c r="V977" s="57"/>
      <c r="W977" s="57"/>
      <c r="X977" s="55" t="n">
        <f aca="false">IF(A977="","",IF(AND(Parameter!$B$21="Ja",ISNUMBER(U977)),U977,IF(IFERROR(VLOOKUP(D977,Parameter!$A$35:$C$64,2,0),"Nein")="2+3",IF(ISNUMBER(SEARCH("grosser Artikel",BM977)),2,IFERROR(VLOOKUP(BP977,Parameter!$F$35:$G$64,2,0),2)),IF(OR(IFERROR(VLOOKUP(D977,Parameter!$A$35:$C$64,2,0),"Nein")="Nein",IFERROR(VLOOKUP(D977,Parameter!$A$35:$C$64,2,0),"Nein")=""),"-",VLOOKUP(D977,Parameter!$A$35:$C$64,2,0)))))</f>
        <v>3</v>
      </c>
      <c r="Y977" s="62"/>
      <c r="Z977" s="63"/>
      <c r="AA977" s="57" t="n">
        <f aca="false">AP977</f>
        <v>23</v>
      </c>
      <c r="AB977" s="57" t="n">
        <f aca="false">MAX(AP977,G977)</f>
        <v>23</v>
      </c>
      <c r="AC977" s="64"/>
      <c r="AD977" s="57" t="n">
        <f aca="false">IF(LEFT(Cockpit!$C$5,1)="A",G977,IF(BW977=1,BX977,IF(LEFT(Cockpit!$C$5,1)="B",AH977,MAX(AH977,G977))))</f>
        <v>0</v>
      </c>
      <c r="AE977" s="57" t="n">
        <f aca="false">IF(BR977=1,0,ROUNDUP(AD977/BQ977,0))</f>
        <v>0</v>
      </c>
      <c r="AF977" s="59" t="n">
        <f aca="false">IF(CD977&gt;0,CD977*MAX(1,AD977/V977),IF(BR977=1,IF(AD977&lt;=0,0,BS977*MAX(1,IF(G977&gt;0,AD977/G977,1))),IF(Q977&gt;0,AE977/Q977,0))/MAX(0.1,N(Parameter!$M$21)))</f>
        <v>0</v>
      </c>
      <c r="AG977" s="57" t="n">
        <f aca="false">AD977*F977</f>
        <v>0</v>
      </c>
      <c r="AH977" s="57" t="n">
        <f aca="false">ROUNDUP(MAX(I977/IF(BV977&gt;0,BV977,MAX(0.1,N(Cockpit!$C$6))),BY977)/BQ977,0)*BQ977</f>
        <v>23</v>
      </c>
      <c r="AI977" s="58" t="n">
        <f aca="false">IF(AF977&gt;0,I977/AF977,-1)</f>
        <v>-1</v>
      </c>
      <c r="AJ977" s="58" t="str">
        <f aca="false">IF(AND(OR(BU977="L1",BU977="L23"),AF977&gt;0),SUMIFS($AF$7:$AF$1576,$BU$7:$BU$1576,BU977,$AI$7:$AI$1576,"&gt;"&amp;AI977)+SUMIFS($AF$7:$AF$1576,$BU$7:$BU$1576,BU977,$AI$7:$AI$1576,AI977,$BO$7:$BO$1576,"&lt;="&amp;BO977),"")</f>
        <v/>
      </c>
      <c r="AK977" s="65" t="n">
        <f aca="false">IF(AJ977="",0,MAX(0,MIN(1,(IF(BU977="L1",Parameter!$E$5,Parameter!$E$6+Parameter!$E$7)-(AJ977-AF977))/AF977)))</f>
        <v>0</v>
      </c>
      <c r="AL977" s="57" t="n">
        <f aca="false">IF(LEFT(Cockpit!$I$5,1)="A",G977,IF(BW977=1,BX977,IF(LEFT(Cockpit!$I$5,1)="B",AP977,MAX(AP977,G977))))</f>
        <v>23</v>
      </c>
      <c r="AM977" s="57" t="n">
        <f aca="false">IF(BR977=1,0,ROUNDUP(AL977/BQ977,0))</f>
        <v>1</v>
      </c>
      <c r="AN977" s="59" t="n">
        <f aca="false">IF(CD977&gt;0,CD977*MAX(1,AL977/V977),IF(BR977=1,IF(AL977&lt;=0,0,BS977*MAX(1,IF(G977&gt;0,AL977/G977,1))),IF(Q977&gt;0,AM977/Q977,0))/MAX(0.1,N(Parameter!$M$21)))</f>
        <v>0.0151515151515152</v>
      </c>
      <c r="AO977" s="57" t="n">
        <f aca="false">AL977*F977</f>
        <v>191.59</v>
      </c>
      <c r="AP977" s="57" t="n">
        <f aca="false">ROUNDUP(MAX(I977/IF(BV977&gt;0,BV977,MAX(0.1,N(Cockpit!$I$6))),BY977)/BQ977,0)*BQ977</f>
        <v>23</v>
      </c>
      <c r="AQ977" s="58" t="n">
        <f aca="false">IF(AN977&gt;0,I977/AN977,-1)</f>
        <v>528</v>
      </c>
      <c r="AR977" s="58" t="n">
        <f aca="false">IF(AND(OR(BU977="L1",BU977="L23"),AN977&gt;0),SUMIFS($AN$7:$AN$1576,$BU$7:$BU$1576,BU977,$AQ$7:$AQ$1576,"&gt;"&amp;AQ977)+SUMIFS($AN$7:$AN$1576,$BU$7:$BU$1576,BU977,$AQ$7:$AQ$1576,AQ977,$BO$7:$BO$1576,"&lt;="&amp;BO977),"")</f>
        <v>32.9650173622024</v>
      </c>
      <c r="AS977" s="65" t="n">
        <f aca="false">IF(AR977="",0,MAX(0,MIN(1,(IF(BU977="L1",Parameter!$E$5,Parameter!$E$6+Parameter!$E$7)-(AR977-AN977))/AN977)))</f>
        <v>1</v>
      </c>
      <c r="AT977" s="57" t="n">
        <f aca="false">IF(LEFT(Cockpit!$O$5,1)="A",G977,IF(BW977=1,BX977,IF(LEFT(Cockpit!$O$5,1)="B",AX977,MAX(AX977,G977))))</f>
        <v>23</v>
      </c>
      <c r="AU977" s="57" t="n">
        <f aca="false">IF(BR977=1,0,ROUNDUP(AT977/BQ977,0))</f>
        <v>1</v>
      </c>
      <c r="AV977" s="59" t="n">
        <f aca="false">IF(CD977&gt;0,CD977*MAX(1,AT977/V977),IF(BR977=1,IF(AT977&lt;=0,0,BS977*MAX(1,IF(G977&gt;0,AT977/G977,1))),IF(Q977&gt;0,AU977/Q977,0))/MAX(0.1,N(Parameter!$M$21)))</f>
        <v>0.0151515151515152</v>
      </c>
      <c r="AW977" s="57" t="n">
        <f aca="false">AT977*F977</f>
        <v>191.59</v>
      </c>
      <c r="AX977" s="57" t="n">
        <f aca="false">ROUNDUP(MAX(I977/IF(BV977&gt;0,BV977,MAX(0.1,N(Cockpit!$O$6))),BY977)/BQ977,0)*BQ977</f>
        <v>23</v>
      </c>
      <c r="AY977" s="58" t="n">
        <f aca="false">IF(AV977&gt;0,I977/AV977,-1)</f>
        <v>528</v>
      </c>
      <c r="AZ977" s="58" t="n">
        <f aca="false">IF(AND(OR(BU977="L1",BU977="L23"),AV977&gt;0),SUMIFS($AV$7:$AV$1576,$BU$7:$BU$1576,BU977,$AY$7:$AY$1576,"&gt;"&amp;AY977)+SUMIFS($AV$7:$AV$1576,$BU$7:$BU$1576,BU977,$AY$7:$AY$1576,AY977,$BO$7:$BO$1576,"&lt;="&amp;BO977),"")</f>
        <v>31.0417040088891</v>
      </c>
      <c r="BA977" s="65" t="n">
        <f aca="false">IF(AZ977="",0,MAX(0,MIN(1,(IF(BU977="L1",Parameter!$E$5,Parameter!$E$6+Parameter!$E$7)-(AZ977-AV977))/AV977)))</f>
        <v>1</v>
      </c>
      <c r="BB977" s="55" t="str">
        <f aca="false">IF(AF977&lt;=0,"",IF(BU977="Aussen","Aussenlager",IF(BU977="-","Nicht im Lift",IF(AK977&gt;=1,"Lift",IF(AK977&lt;=0,"Aussenlager","teilweise")))))</f>
        <v/>
      </c>
      <c r="BC977" s="55" t="str">
        <f aca="false">IF(AN977&lt;=0,"",IF(BU977="Aussen","Aussenlager",IF(BU977="-","Nicht im Lift",IF(AS977&gt;=1,"Lift",IF(AS977&lt;=0,"Aussenlager","teilweise")))))</f>
        <v>Lift</v>
      </c>
      <c r="BD977" s="55" t="str">
        <f aca="false">IF(AV977&lt;=0,"",IF(BU977="Aussen","Aussenlager",IF(BU977="-","Nicht im Lift",IF(BA977&gt;=1,"Lift",IF(BA977&lt;=0,"Aussenlager","teilweise")))))</f>
        <v>Lift</v>
      </c>
      <c r="BE977" s="55" t="str">
        <f aca="false">IF(A977="","",IF(BN977=1,"Neu; ","")&amp;IF(AND(BN977=0,BI977&lt;0),"negativer Bestand (Export "&amp;BI977&amp;"); ","")&amp;IF(I977&lt;=0,"Kein Verbrauch; ","")&amp;IF(CD977&gt;0,"Lift "&amp;U977&amp;" lt. Liftbericht (Fach "&amp;V977&amp;" Stk); ",IF(BR977=1,"Lose – Fläche geschätzt; ",""))&amp;IF(G977&gt;AP977,"Überbestand "&amp;ROUND(G977-AP977,0)&amp;" Stk / CHF "&amp;ROUND((G977-AP977)*F977,0)&amp;"; ","")&amp;IF(AND(BW977=1,BX977&lt;BY977),"MAX &lt; MB+LG; ","")&amp;IF(AND(CC977&gt;0,CB977*10&gt;CC977),"zu hoch für Tablar; ","")&amp;IF(AND(BN977=0,OR(BW977=1,Y977&lt;&gt;"",S977&lt;&gt;"",T977&lt;&gt;"",Z977&lt;&gt;"")),"manuell übersteuert; ","")&amp;IF(AND(BR977=0,Q977=0),"Gebinde unbekannt / Stellmass fehlt; ","")&amp;IF(AND(BR977=0,N(T977)&lt;=0,N(P977)&lt;=0),"Menge pro Gebinde fehlt (Ist = 1 Gebinde); ","")&amp;BM977)</f>
        <v>negativer Bestand (Export -9); </v>
      </c>
      <c r="BF977" s="55"/>
      <c r="BG977" s="55"/>
      <c r="BH977" s="62"/>
      <c r="BI977" s="57" t="n">
        <v>-9</v>
      </c>
      <c r="BJ977" s="57" t="n">
        <v>12</v>
      </c>
      <c r="BK977" s="56" t="n">
        <v>-74.97</v>
      </c>
      <c r="BL977" s="57" t="n">
        <v>8</v>
      </c>
      <c r="BM977" s="55"/>
      <c r="BN977" s="60" t="n">
        <v>0</v>
      </c>
      <c r="BO977" s="60" t="n">
        <v>977</v>
      </c>
      <c r="BP977" s="55" t="str">
        <f aca="false">IF(S977&lt;&gt;"",UPPER(TRIM(S977)),IF(O977="","LOSE",O977))</f>
        <v>S33</v>
      </c>
      <c r="BQ977" s="57" t="n">
        <f aca="false">IF(BP977="LOSE",1,IF(N(T977)&gt;0,T977,IF(N(P977)&gt;0,P977,MAX(1,G977))))</f>
        <v>23</v>
      </c>
      <c r="BR977" s="60" t="n">
        <f aca="false">IF(BP977="LOSE",1,0)</f>
        <v>0</v>
      </c>
      <c r="BS977" s="59" t="n">
        <f aca="false">IF(BR977=0,0,IF(N(R977)&gt;0,R977,IFERROR(VLOOKUP(D977,Parameter!$A$35:$C$64,3,0)+0,0)))</f>
        <v>0</v>
      </c>
      <c r="BT977" s="55" t="n">
        <f aca="false">IF(Y977&lt;&gt;"",Y977,X977)</f>
        <v>3</v>
      </c>
      <c r="BU977" s="55" t="str">
        <f aca="false">IF(BT977=1,"L1",IF(OR(BT977=2,BT977=3),"L23",IF(BT977="Aussen","Aussen","-")))</f>
        <v>L23</v>
      </c>
      <c r="BV977" s="66" t="n">
        <f aca="false">IF(N(Z977)&gt;0,Z977,0)</f>
        <v>0</v>
      </c>
      <c r="BW977" s="60" t="n">
        <f aca="false">IF(ISNUMBER(AC977),1,0)</f>
        <v>0</v>
      </c>
      <c r="BX977" s="57" t="n">
        <f aca="false">N(AC977)</f>
        <v>0</v>
      </c>
      <c r="BY977" s="57" t="n">
        <f aca="false">N(L977)+N(M977)</f>
        <v>10</v>
      </c>
      <c r="BZ977" s="57" t="n">
        <f aca="false">ROUNDUP(G977/BQ977,0)</f>
        <v>0</v>
      </c>
      <c r="CA977" s="57" t="n">
        <f aca="false">ROUNDUP(BX977/BQ977,0)</f>
        <v>0</v>
      </c>
      <c r="CB977" s="60" t="n">
        <f aca="false">IF(BR977=1,0,IFERROR(VLOOKUP(BP977,'Gebinde-Kategorie'!$A$5:$M$45,5,0)+0,0))</f>
        <v>8</v>
      </c>
      <c r="CC977" s="60" t="n">
        <f aca="false">IFERROR(IF(OR(BT977=1,BT977=2,BT977=3),N(INDEX(Parameter!$I$5:$I$7,BT977)),0),0)</f>
        <v>0</v>
      </c>
      <c r="CD977" s="59" t="n">
        <f aca="false">IF(AND(Parameter!$B$21="Ja",ISNUMBER(U977),N(V977)&gt;0),IFERROR(N(INDEX(Parameter!$L$5:$L$7,U977))*INDEX(Parameter!$E$5:$E$7,U977)*V977/SUMIFS($V$7:$V$1576,$U$7:$U$1576,U977),0),0)</f>
        <v>0</v>
      </c>
    </row>
    <row r="978" customFormat="false" ht="15" hidden="false" customHeight="false" outlineLevel="0" collapsed="false">
      <c r="A978" s="55" t="s">
        <v>1798</v>
      </c>
      <c r="B978" s="55" t="s">
        <v>942</v>
      </c>
      <c r="C978" s="55" t="s">
        <v>160</v>
      </c>
      <c r="D978" s="55" t="s">
        <v>178</v>
      </c>
      <c r="E978" s="55" t="s">
        <v>210</v>
      </c>
      <c r="F978" s="56" t="n">
        <v>0.63</v>
      </c>
      <c r="G978" s="57" t="n">
        <f aca="false">MAX(0,IF(AND(Parameter!$B$21="Ja",ISNUMBER(W978)),W978,IF(Parameter!$B$20="Jahresanfang 2025 + Export",BJ978+BI978,BI978)))</f>
        <v>0</v>
      </c>
      <c r="H978" s="57" t="n">
        <f aca="false">G978*F978</f>
        <v>0</v>
      </c>
      <c r="I978" s="57" t="n">
        <f aca="false">BL978*Parameter!$B$18</f>
        <v>0</v>
      </c>
      <c r="J978" s="58" t="n">
        <v>60</v>
      </c>
      <c r="K978" s="59" t="n">
        <v>0</v>
      </c>
      <c r="L978" s="57" t="n">
        <v>0</v>
      </c>
      <c r="M978" s="57" t="n">
        <v>1</v>
      </c>
      <c r="N978" s="60" t="n">
        <v>14</v>
      </c>
      <c r="O978" s="55" t="s">
        <v>163</v>
      </c>
      <c r="P978" s="57"/>
      <c r="Q978" s="60" t="n">
        <f aca="false">IF(BR978=1,0,IFERROR(VLOOKUP(BP978,'Gebinde-Kategorie'!$A$5:$M$45,13,0)+0,0))</f>
        <v>0</v>
      </c>
      <c r="R978" s="61"/>
      <c r="S978" s="62"/>
      <c r="T978" s="62"/>
      <c r="U978" s="55"/>
      <c r="V978" s="57"/>
      <c r="W978" s="57"/>
      <c r="X978" s="55" t="n">
        <f aca="false">IF(A978="","",IF(AND(Parameter!$B$21="Ja",ISNUMBER(U978)),U978,IF(IFERROR(VLOOKUP(D978,Parameter!$A$35:$C$64,2,0),"Nein")="2+3",IF(ISNUMBER(SEARCH("grosser Artikel",BM978)),2,IFERROR(VLOOKUP(BP978,Parameter!$F$35:$G$64,2,0),2)),IF(OR(IFERROR(VLOOKUP(D978,Parameter!$A$35:$C$64,2,0),"Nein")="Nein",IFERROR(VLOOKUP(D978,Parameter!$A$35:$C$64,2,0),"Nein")=""),"-",VLOOKUP(D978,Parameter!$A$35:$C$64,2,0)))))</f>
        <v>2</v>
      </c>
      <c r="Y978" s="62"/>
      <c r="Z978" s="63"/>
      <c r="AA978" s="57" t="n">
        <f aca="false">AP978</f>
        <v>1</v>
      </c>
      <c r="AB978" s="57" t="n">
        <f aca="false">MAX(AP978,G978)</f>
        <v>1</v>
      </c>
      <c r="AC978" s="64"/>
      <c r="AD978" s="57" t="n">
        <f aca="false">IF(LEFT(Cockpit!$C$5,1)="A",G978,IF(BW978=1,BX978,IF(LEFT(Cockpit!$C$5,1)="B",AH978,MAX(AH978,G978))))</f>
        <v>0</v>
      </c>
      <c r="AE978" s="57" t="n">
        <f aca="false">IF(BR978=1,0,ROUNDUP(AD978/BQ978,0))</f>
        <v>0</v>
      </c>
      <c r="AF978" s="59" t="n">
        <f aca="false">IF(CD978&gt;0,CD978*MAX(1,AD978/V978),IF(BR978=1,IF(AD978&lt;=0,0,BS978*MAX(1,IF(G978&gt;0,AD978/G978,1))),IF(Q978&gt;0,AE978/Q978,0))/MAX(0.1,N(Parameter!$M$21)))</f>
        <v>0</v>
      </c>
      <c r="AG978" s="57" t="n">
        <f aca="false">AD978*F978</f>
        <v>0</v>
      </c>
      <c r="AH978" s="57" t="n">
        <f aca="false">ROUNDUP(MAX(I978/IF(BV978&gt;0,BV978,MAX(0.1,N(Cockpit!$C$6))),BY978)/BQ978,0)*BQ978</f>
        <v>1</v>
      </c>
      <c r="AI978" s="58" t="n">
        <f aca="false">IF(AF978&gt;0,I978/AF978,-1)</f>
        <v>-1</v>
      </c>
      <c r="AJ978" s="58" t="str">
        <f aca="false">IF(AND(OR(BU978="L1",BU978="L23"),AF978&gt;0),SUMIFS($AF$7:$AF$1576,$BU$7:$BU$1576,BU978,$AI$7:$AI$1576,"&gt;"&amp;AI978)+SUMIFS($AF$7:$AF$1576,$BU$7:$BU$1576,BU978,$AI$7:$AI$1576,AI978,$BO$7:$BO$1576,"&lt;="&amp;BO978),"")</f>
        <v/>
      </c>
      <c r="AK978" s="65" t="n">
        <f aca="false">IF(AJ978="",0,MAX(0,MIN(1,(IF(BU978="L1",Parameter!$E$5,Parameter!$E$6+Parameter!$E$7)-(AJ978-AF978))/AF978)))</f>
        <v>0</v>
      </c>
      <c r="AL978" s="57" t="n">
        <f aca="false">IF(LEFT(Cockpit!$I$5,1)="A",G978,IF(BW978=1,BX978,IF(LEFT(Cockpit!$I$5,1)="B",AP978,MAX(AP978,G978))))</f>
        <v>1</v>
      </c>
      <c r="AM978" s="57" t="n">
        <f aca="false">IF(BR978=1,0,ROUNDUP(AL978/BQ978,0))</f>
        <v>0</v>
      </c>
      <c r="AN978" s="59" t="n">
        <f aca="false">IF(CD978&gt;0,CD978*MAX(1,AL978/V978),IF(BR978=1,IF(AL978&lt;=0,0,BS978*MAX(1,IF(G978&gt;0,AL978/G978,1))),IF(Q978&gt;0,AM978/Q978,0))/MAX(0.1,N(Parameter!$M$21)))</f>
        <v>0.03</v>
      </c>
      <c r="AO978" s="57" t="n">
        <f aca="false">AL978*F978</f>
        <v>0.63</v>
      </c>
      <c r="AP978" s="57" t="n">
        <f aca="false">ROUNDUP(MAX(I978/IF(BV978&gt;0,BV978,MAX(0.1,N(Cockpit!$I$6))),BY978)/BQ978,0)*BQ978</f>
        <v>1</v>
      </c>
      <c r="AQ978" s="58" t="n">
        <f aca="false">IF(AN978&gt;0,I978/AN978,-1)</f>
        <v>0</v>
      </c>
      <c r="AR978" s="58" t="n">
        <f aca="false">IF(AND(OR(BU978="L1",BU978="L23"),AN978&gt;0),SUMIFS($AN$7:$AN$1576,$BU$7:$BU$1576,BU978,$AQ$7:$AQ$1576,"&gt;"&amp;AQ978)+SUMIFS($AN$7:$AN$1576,$BU$7:$BU$1576,BU978,$AQ$7:$AQ$1576,AQ978,$BO$7:$BO$1576,"&lt;="&amp;BO978),"")</f>
        <v>131.80097605298</v>
      </c>
      <c r="AS978" s="65" t="n">
        <f aca="false">IF(AR978="",0,MAX(0,MIN(1,(IF(BU978="L1",Parameter!$E$5,Parameter!$E$6+Parameter!$E$7)-(AR978-AN978))/AN978)))</f>
        <v>0</v>
      </c>
      <c r="AT978" s="57" t="n">
        <f aca="false">IF(LEFT(Cockpit!$O$5,1)="A",G978,IF(BW978=1,BX978,IF(LEFT(Cockpit!$O$5,1)="B",AX978,MAX(AX978,G978))))</f>
        <v>1</v>
      </c>
      <c r="AU978" s="57" t="n">
        <f aca="false">IF(BR978=1,0,ROUNDUP(AT978/BQ978,0))</f>
        <v>0</v>
      </c>
      <c r="AV978" s="59" t="n">
        <f aca="false">IF(CD978&gt;0,CD978*MAX(1,AT978/V978),IF(BR978=1,IF(AT978&lt;=0,0,BS978*MAX(1,IF(G978&gt;0,AT978/G978,1))),IF(Q978&gt;0,AU978/Q978,0))/MAX(0.1,N(Parameter!$M$21)))</f>
        <v>0.03</v>
      </c>
      <c r="AW978" s="57" t="n">
        <f aca="false">AT978*F978</f>
        <v>0.63</v>
      </c>
      <c r="AX978" s="57" t="n">
        <f aca="false">ROUNDUP(MAX(I978/IF(BV978&gt;0,BV978,MAX(0.1,N(Cockpit!$O$6))),BY978)/BQ978,0)*BQ978</f>
        <v>1</v>
      </c>
      <c r="AY978" s="58" t="n">
        <f aca="false">IF(AV978&gt;0,I978/AV978,-1)</f>
        <v>0</v>
      </c>
      <c r="AZ978" s="58" t="n">
        <f aca="false">IF(AND(OR(BU978="L1",BU978="L23"),AV978&gt;0),SUMIFS($AV$7:$AV$1576,$BU$7:$BU$1576,BU978,$AY$7:$AY$1576,"&gt;"&amp;AY978)+SUMIFS($AV$7:$AV$1576,$BU$7:$BU$1576,BU978,$AY$7:$AY$1576,AY978,$BO$7:$BO$1576,"&lt;="&amp;BO978),"")</f>
        <v>121.86052650253</v>
      </c>
      <c r="BA978" s="65" t="n">
        <f aca="false">IF(AZ978="",0,MAX(0,MIN(1,(IF(BU978="L1",Parameter!$E$5,Parameter!$E$6+Parameter!$E$7)-(AZ978-AV978))/AV978)))</f>
        <v>0</v>
      </c>
      <c r="BB978" s="55" t="str">
        <f aca="false">IF(AF978&lt;=0,"",IF(BU978="Aussen","Aussenlager",IF(BU978="-","Nicht im Lift",IF(AK978&gt;=1,"Lift",IF(AK978&lt;=0,"Aussenlager","teilweise")))))</f>
        <v/>
      </c>
      <c r="BC978" s="55" t="str">
        <f aca="false">IF(AN978&lt;=0,"",IF(BU978="Aussen","Aussenlager",IF(BU978="-","Nicht im Lift",IF(AS978&gt;=1,"Lift",IF(AS978&lt;=0,"Aussenlager","teilweise")))))</f>
        <v>Aussenlager</v>
      </c>
      <c r="BD978" s="55" t="str">
        <f aca="false">IF(AV978&lt;=0,"",IF(BU978="Aussen","Aussenlager",IF(BU978="-","Nicht im Lift",IF(BA978&gt;=1,"Lift",IF(BA978&lt;=0,"Aussenlager","teilweise")))))</f>
        <v>Aussenlager</v>
      </c>
      <c r="BE978" s="55" t="str">
        <f aca="false">IF(A978="","",IF(BN978=1,"Neu; ","")&amp;IF(AND(BN978=0,BI978&lt;0),"negativer Bestand (Export "&amp;BI978&amp;"); ","")&amp;IF(I978&lt;=0,"Kein Verbrauch; ","")&amp;IF(CD978&gt;0,"Lift "&amp;U978&amp;" lt. Liftbericht (Fach "&amp;V978&amp;" Stk); ",IF(BR978=1,"Lose – Fläche geschätzt; ",""))&amp;IF(G978&gt;AP978,"Überbestand "&amp;ROUND(G978-AP978,0)&amp;" Stk / CHF "&amp;ROUND((G978-AP978)*F978,0)&amp;"; ","")&amp;IF(AND(BW978=1,BX978&lt;BY978),"MAX &lt; MB+LG; ","")&amp;IF(AND(CC978&gt;0,CB978*10&gt;CC978),"zu hoch für Tablar; ","")&amp;IF(AND(BN978=0,OR(BW978=1,Y978&lt;&gt;"",S978&lt;&gt;"",T978&lt;&gt;"",Z978&lt;&gt;"")),"manuell übersteuert; ","")&amp;IF(AND(BR978=0,Q978=0),"Gebinde unbekannt / Stellmass fehlt; ","")&amp;IF(AND(BR978=0,N(T978)&lt;=0,N(P978)&lt;=0),"Menge pro Gebinde fehlt (Ist = 1 Gebinde); ","")&amp;BM978)</f>
        <v>negativer Bestand (Export -120); Kein Verbrauch; Lose – Fläche geschätzt; </v>
      </c>
      <c r="BF978" s="55"/>
      <c r="BG978" s="55"/>
      <c r="BH978" s="62"/>
      <c r="BI978" s="57" t="n">
        <v>-120</v>
      </c>
      <c r="BJ978" s="57" t="n">
        <v>120</v>
      </c>
      <c r="BK978" s="56" t="n">
        <v>-75.6</v>
      </c>
      <c r="BL978" s="57" t="n">
        <v>0</v>
      </c>
      <c r="BM978" s="55"/>
      <c r="BN978" s="60" t="n">
        <v>0</v>
      </c>
      <c r="BO978" s="60" t="n">
        <v>978</v>
      </c>
      <c r="BP978" s="55" t="str">
        <f aca="false">IF(S978&lt;&gt;"",UPPER(TRIM(S978)),IF(O978="","LOSE",O978))</f>
        <v>LOSE</v>
      </c>
      <c r="BQ978" s="57" t="n">
        <f aca="false">IF(BP978="LOSE",1,IF(N(T978)&gt;0,T978,IF(N(P978)&gt;0,P978,MAX(1,G978))))</f>
        <v>1</v>
      </c>
      <c r="BR978" s="60" t="n">
        <f aca="false">IF(BP978="LOSE",1,0)</f>
        <v>1</v>
      </c>
      <c r="BS978" s="59" t="n">
        <f aca="false">IF(BR978=0,0,IF(N(R978)&gt;0,R978,IFERROR(VLOOKUP(D978,Parameter!$A$35:$C$64,3,0)+0,0)))</f>
        <v>0.03</v>
      </c>
      <c r="BT978" s="55" t="n">
        <f aca="false">IF(Y978&lt;&gt;"",Y978,X978)</f>
        <v>2</v>
      </c>
      <c r="BU978" s="55" t="str">
        <f aca="false">IF(BT978=1,"L1",IF(OR(BT978=2,BT978=3),"L23",IF(BT978="Aussen","Aussen","-")))</f>
        <v>L23</v>
      </c>
      <c r="BV978" s="66" t="n">
        <f aca="false">IF(N(Z978)&gt;0,Z978,0)</f>
        <v>0</v>
      </c>
      <c r="BW978" s="60" t="n">
        <f aca="false">IF(ISNUMBER(AC978),1,0)</f>
        <v>0</v>
      </c>
      <c r="BX978" s="57" t="n">
        <f aca="false">N(AC978)</f>
        <v>0</v>
      </c>
      <c r="BY978" s="57" t="n">
        <f aca="false">N(L978)+N(M978)</f>
        <v>1</v>
      </c>
      <c r="BZ978" s="57" t="n">
        <f aca="false">ROUNDUP(G978/BQ978,0)</f>
        <v>0</v>
      </c>
      <c r="CA978" s="57" t="n">
        <f aca="false">ROUNDUP(BX978/BQ978,0)</f>
        <v>0</v>
      </c>
      <c r="CB978" s="60" t="n">
        <f aca="false">IF(BR978=1,0,IFERROR(VLOOKUP(BP978,'Gebinde-Kategorie'!$A$5:$M$45,5,0)+0,0))</f>
        <v>0</v>
      </c>
      <c r="CC978" s="60" t="n">
        <f aca="false">IFERROR(IF(OR(BT978=1,BT978=2,BT978=3),N(INDEX(Parameter!$I$5:$I$7,BT978)),0),0)</f>
        <v>0</v>
      </c>
      <c r="CD978" s="59" t="n">
        <f aca="false">IF(AND(Parameter!$B$21="Ja",ISNUMBER(U978),N(V978)&gt;0),IFERROR(N(INDEX(Parameter!$L$5:$L$7,U978))*INDEX(Parameter!$E$5:$E$7,U978)*V978/SUMIFS($V$7:$V$1576,$U$7:$U$1576,U978),0),0)</f>
        <v>0</v>
      </c>
    </row>
    <row r="979" customFormat="false" ht="15" hidden="false" customHeight="false" outlineLevel="0" collapsed="false">
      <c r="A979" s="55" t="s">
        <v>1799</v>
      </c>
      <c r="B979" s="55" t="s">
        <v>1800</v>
      </c>
      <c r="C979" s="55" t="s">
        <v>160</v>
      </c>
      <c r="D979" s="55" t="s">
        <v>178</v>
      </c>
      <c r="E979" s="55" t="s">
        <v>210</v>
      </c>
      <c r="F979" s="56" t="n">
        <v>37.82</v>
      </c>
      <c r="G979" s="57" t="n">
        <f aca="false">MAX(0,IF(AND(Parameter!$B$21="Ja",ISNUMBER(W979)),W979,IF(Parameter!$B$20="Jahresanfang 2025 + Export",BJ979+BI979,BI979)))</f>
        <v>0</v>
      </c>
      <c r="H979" s="57" t="n">
        <f aca="false">G979*F979</f>
        <v>0</v>
      </c>
      <c r="I979" s="57" t="n">
        <f aca="false">BL979*Parameter!$B$18</f>
        <v>3</v>
      </c>
      <c r="J979" s="58" t="n">
        <v>3.5</v>
      </c>
      <c r="K979" s="59" t="n">
        <v>0.857142857142857</v>
      </c>
      <c r="L979" s="57" t="n">
        <v>0</v>
      </c>
      <c r="M979" s="57" t="n">
        <v>5</v>
      </c>
      <c r="N979" s="60" t="n">
        <v>70</v>
      </c>
      <c r="O979" s="55" t="s">
        <v>319</v>
      </c>
      <c r="P979" s="57" t="n">
        <v>5</v>
      </c>
      <c r="Q979" s="60" t="n">
        <f aca="false">IF(BR979=1,0,IFERROR(VLOOKUP(BP979,'Gebinde-Kategorie'!$A$5:$M$45,13,0)+0,0))</f>
        <v>52</v>
      </c>
      <c r="R979" s="61"/>
      <c r="S979" s="62"/>
      <c r="T979" s="62"/>
      <c r="U979" s="55"/>
      <c r="V979" s="57"/>
      <c r="W979" s="57"/>
      <c r="X979" s="55" t="n">
        <f aca="false">IF(A979="","",IF(AND(Parameter!$B$21="Ja",ISNUMBER(U979)),U979,IF(IFERROR(VLOOKUP(D979,Parameter!$A$35:$C$64,2,0),"Nein")="2+3",IF(ISNUMBER(SEARCH("grosser Artikel",BM979)),2,IFERROR(VLOOKUP(BP979,Parameter!$F$35:$G$64,2,0),2)),IF(OR(IFERROR(VLOOKUP(D979,Parameter!$A$35:$C$64,2,0),"Nein")="Nein",IFERROR(VLOOKUP(D979,Parameter!$A$35:$C$64,2,0),"Nein")=""),"-",VLOOKUP(D979,Parameter!$A$35:$C$64,2,0)))))</f>
        <v>3</v>
      </c>
      <c r="Y979" s="62"/>
      <c r="Z979" s="63"/>
      <c r="AA979" s="57" t="n">
        <f aca="false">AP979</f>
        <v>5</v>
      </c>
      <c r="AB979" s="57" t="n">
        <f aca="false">MAX(AP979,G979)</f>
        <v>5</v>
      </c>
      <c r="AC979" s="64"/>
      <c r="AD979" s="57" t="n">
        <f aca="false">IF(LEFT(Cockpit!$C$5,1)="A",G979,IF(BW979=1,BX979,IF(LEFT(Cockpit!$C$5,1)="B",AH979,MAX(AH979,G979))))</f>
        <v>0</v>
      </c>
      <c r="AE979" s="57" t="n">
        <f aca="false">IF(BR979=1,0,ROUNDUP(AD979/BQ979,0))</f>
        <v>0</v>
      </c>
      <c r="AF979" s="59" t="n">
        <f aca="false">IF(CD979&gt;0,CD979*MAX(1,AD979/V979),IF(BR979=1,IF(AD979&lt;=0,0,BS979*MAX(1,IF(G979&gt;0,AD979/G979,1))),IF(Q979&gt;0,AE979/Q979,0))/MAX(0.1,N(Parameter!$M$21)))</f>
        <v>0</v>
      </c>
      <c r="AG979" s="57" t="n">
        <f aca="false">AD979*F979</f>
        <v>0</v>
      </c>
      <c r="AH979" s="57" t="n">
        <f aca="false">ROUNDUP(MAX(I979/IF(BV979&gt;0,BV979,MAX(0.1,N(Cockpit!$C$6))),BY979)/BQ979,0)*BQ979</f>
        <v>5</v>
      </c>
      <c r="AI979" s="58" t="n">
        <f aca="false">IF(AF979&gt;0,I979/AF979,-1)</f>
        <v>-1</v>
      </c>
      <c r="AJ979" s="58" t="str">
        <f aca="false">IF(AND(OR(BU979="L1",BU979="L23"),AF979&gt;0),SUMIFS($AF$7:$AF$1576,$BU$7:$BU$1576,BU979,$AI$7:$AI$1576,"&gt;"&amp;AI979)+SUMIFS($AF$7:$AF$1576,$BU$7:$BU$1576,BU979,$AI$7:$AI$1576,AI979,$BO$7:$BO$1576,"&lt;="&amp;BO979),"")</f>
        <v/>
      </c>
      <c r="AK979" s="65" t="n">
        <f aca="false">IF(AJ979="",0,MAX(0,MIN(1,(IF(BU979="L1",Parameter!$E$5,Parameter!$E$6+Parameter!$E$7)-(AJ979-AF979))/AF979)))</f>
        <v>0</v>
      </c>
      <c r="AL979" s="57" t="n">
        <f aca="false">IF(LEFT(Cockpit!$I$5,1)="A",G979,IF(BW979=1,BX979,IF(LEFT(Cockpit!$I$5,1)="B",AP979,MAX(AP979,G979))))</f>
        <v>5</v>
      </c>
      <c r="AM979" s="57" t="n">
        <f aca="false">IF(BR979=1,0,ROUNDUP(AL979/BQ979,0))</f>
        <v>1</v>
      </c>
      <c r="AN979" s="59" t="n">
        <f aca="false">IF(CD979&gt;0,CD979*MAX(1,AL979/V979),IF(BR979=1,IF(AL979&lt;=0,0,BS979*MAX(1,IF(G979&gt;0,AL979/G979,1))),IF(Q979&gt;0,AM979/Q979,0))/MAX(0.1,N(Parameter!$M$21)))</f>
        <v>0.0192307692307692</v>
      </c>
      <c r="AO979" s="57" t="n">
        <f aca="false">AL979*F979</f>
        <v>189.1</v>
      </c>
      <c r="AP979" s="57" t="n">
        <f aca="false">ROUNDUP(MAX(I979/IF(BV979&gt;0,BV979,MAX(0.1,N(Cockpit!$I$6))),BY979)/BQ979,0)*BQ979</f>
        <v>5</v>
      </c>
      <c r="AQ979" s="58" t="n">
        <f aca="false">IF(AN979&gt;0,I979/AN979,-1)</f>
        <v>156</v>
      </c>
      <c r="AR979" s="58" t="n">
        <f aca="false">IF(AND(OR(BU979="L1",BU979="L23"),AN979&gt;0),SUMIFS($AN$7:$AN$1576,$BU$7:$BU$1576,BU979,$AQ$7:$AQ$1576,"&gt;"&amp;AQ979)+SUMIFS($AN$7:$AN$1576,$BU$7:$BU$1576,BU979,$AQ$7:$AQ$1576,AQ979,$BO$7:$BO$1576,"&lt;="&amp;BO979),"")</f>
        <v>54.4115944566056</v>
      </c>
      <c r="AS979" s="65" t="n">
        <f aca="false">IF(AR979="",0,MAX(0,MIN(1,(IF(BU979="L1",Parameter!$E$5,Parameter!$E$6+Parameter!$E$7)-(AR979-AN979))/AN979)))</f>
        <v>1</v>
      </c>
      <c r="AT979" s="57" t="n">
        <f aca="false">IF(LEFT(Cockpit!$O$5,1)="A",G979,IF(BW979=1,BX979,IF(LEFT(Cockpit!$O$5,1)="B",AX979,MAX(AX979,G979))))</f>
        <v>5</v>
      </c>
      <c r="AU979" s="57" t="n">
        <f aca="false">IF(BR979=1,0,ROUNDUP(AT979/BQ979,0))</f>
        <v>1</v>
      </c>
      <c r="AV979" s="59" t="n">
        <f aca="false">IF(CD979&gt;0,CD979*MAX(1,AT979/V979),IF(BR979=1,IF(AT979&lt;=0,0,BS979*MAX(1,IF(G979&gt;0,AT979/G979,1))),IF(Q979&gt;0,AU979/Q979,0))/MAX(0.1,N(Parameter!$M$21)))</f>
        <v>0.0192307692307692</v>
      </c>
      <c r="AW979" s="57" t="n">
        <f aca="false">AT979*F979</f>
        <v>189.1</v>
      </c>
      <c r="AX979" s="57" t="n">
        <f aca="false">ROUNDUP(MAX(I979/IF(BV979&gt;0,BV979,MAX(0.1,N(Cockpit!$O$6))),BY979)/BQ979,0)*BQ979</f>
        <v>5</v>
      </c>
      <c r="AY979" s="58" t="n">
        <f aca="false">IF(AV979&gt;0,I979/AV979,-1)</f>
        <v>156</v>
      </c>
      <c r="AZ979" s="58" t="n">
        <f aca="false">IF(AND(OR(BU979="L1",BU979="L23"),AV979&gt;0),SUMIFS($AV$7:$AV$1576,$BU$7:$BU$1576,BU979,$AY$7:$AY$1576,"&gt;"&amp;AY979)+SUMIFS($AV$7:$AV$1576,$BU$7:$BU$1576,BU979,$AY$7:$AY$1576,AY979,$BO$7:$BO$1576,"&lt;="&amp;BO979),"")</f>
        <v>50.7498191485803</v>
      </c>
      <c r="BA979" s="65" t="n">
        <f aca="false">IF(AZ979="",0,MAX(0,MIN(1,(IF(BU979="L1",Parameter!$E$5,Parameter!$E$6+Parameter!$E$7)-(AZ979-AV979))/AV979)))</f>
        <v>1</v>
      </c>
      <c r="BB979" s="55" t="str">
        <f aca="false">IF(AF979&lt;=0,"",IF(BU979="Aussen","Aussenlager",IF(BU979="-","Nicht im Lift",IF(AK979&gt;=1,"Lift",IF(AK979&lt;=0,"Aussenlager","teilweise")))))</f>
        <v/>
      </c>
      <c r="BC979" s="55" t="str">
        <f aca="false">IF(AN979&lt;=0,"",IF(BU979="Aussen","Aussenlager",IF(BU979="-","Nicht im Lift",IF(AS979&gt;=1,"Lift",IF(AS979&lt;=0,"Aussenlager","teilweise")))))</f>
        <v>Lift</v>
      </c>
      <c r="BD979" s="55" t="str">
        <f aca="false">IF(AV979&lt;=0,"",IF(BU979="Aussen","Aussenlager",IF(BU979="-","Nicht im Lift",IF(BA979&gt;=1,"Lift",IF(BA979&lt;=0,"Aussenlager","teilweise")))))</f>
        <v>Lift</v>
      </c>
      <c r="BE979" s="55" t="str">
        <f aca="false">IF(A979="","",IF(BN979=1,"Neu; ","")&amp;IF(AND(BN979=0,BI979&lt;0),"negativer Bestand (Export "&amp;BI979&amp;"); ","")&amp;IF(I979&lt;=0,"Kein Verbrauch; ","")&amp;IF(CD979&gt;0,"Lift "&amp;U979&amp;" lt. Liftbericht (Fach "&amp;V979&amp;" Stk); ",IF(BR979=1,"Lose – Fläche geschätzt; ",""))&amp;IF(G979&gt;AP979,"Überbestand "&amp;ROUND(G979-AP979,0)&amp;" Stk / CHF "&amp;ROUND((G979-AP979)*F979,0)&amp;"; ","")&amp;IF(AND(BW979=1,BX979&lt;BY979),"MAX &lt; MB+LG; ","")&amp;IF(AND(CC979&gt;0,CB979*10&gt;CC979),"zu hoch für Tablar; ","")&amp;IF(AND(BN979=0,OR(BW979=1,Y979&lt;&gt;"",S979&lt;&gt;"",T979&lt;&gt;"",Z979&lt;&gt;"")),"manuell übersteuert; ","")&amp;IF(AND(BR979=0,Q979=0),"Gebinde unbekannt / Stellmass fehlt; ","")&amp;IF(AND(BR979=0,N(T979)&lt;=0,N(P979)&lt;=0),"Menge pro Gebinde fehlt (Ist = 1 Gebinde); ","")&amp;BM979)</f>
        <v>negativer Bestand (Export -2); Überbestand</v>
      </c>
      <c r="BF979" s="55"/>
      <c r="BG979" s="55"/>
      <c r="BH979" s="62"/>
      <c r="BI979" s="57" t="n">
        <v>-2</v>
      </c>
      <c r="BJ979" s="57" t="n">
        <v>5</v>
      </c>
      <c r="BK979" s="56" t="n">
        <v>-75.64</v>
      </c>
      <c r="BL979" s="57" t="n">
        <v>3</v>
      </c>
      <c r="BM979" s="55" t="s">
        <v>382</v>
      </c>
      <c r="BN979" s="60" t="n">
        <v>0</v>
      </c>
      <c r="BO979" s="60" t="n">
        <v>979</v>
      </c>
      <c r="BP979" s="55" t="str">
        <f aca="false">IF(S979&lt;&gt;"",UPPER(TRIM(S979)),IF(O979="","LOSE",O979))</f>
        <v>S41</v>
      </c>
      <c r="BQ979" s="57" t="n">
        <f aca="false">IF(BP979="LOSE",1,IF(N(T979)&gt;0,T979,IF(N(P979)&gt;0,P979,MAX(1,G979))))</f>
        <v>5</v>
      </c>
      <c r="BR979" s="60" t="n">
        <f aca="false">IF(BP979="LOSE",1,0)</f>
        <v>0</v>
      </c>
      <c r="BS979" s="59" t="n">
        <f aca="false">IF(BR979=0,0,IF(N(R979)&gt;0,R979,IFERROR(VLOOKUP(D979,Parameter!$A$35:$C$64,3,0)+0,0)))</f>
        <v>0</v>
      </c>
      <c r="BT979" s="55" t="n">
        <f aca="false">IF(Y979&lt;&gt;"",Y979,X979)</f>
        <v>3</v>
      </c>
      <c r="BU979" s="55" t="str">
        <f aca="false">IF(BT979=1,"L1",IF(OR(BT979=2,BT979=3),"L23",IF(BT979="Aussen","Aussen","-")))</f>
        <v>L23</v>
      </c>
      <c r="BV979" s="66" t="n">
        <f aca="false">IF(N(Z979)&gt;0,Z979,0)</f>
        <v>0</v>
      </c>
      <c r="BW979" s="60" t="n">
        <f aca="false">IF(ISNUMBER(AC979),1,0)</f>
        <v>0</v>
      </c>
      <c r="BX979" s="57" t="n">
        <f aca="false">N(AC979)</f>
        <v>0</v>
      </c>
      <c r="BY979" s="57" t="n">
        <f aca="false">N(L979)+N(M979)</f>
        <v>5</v>
      </c>
      <c r="BZ979" s="57" t="n">
        <f aca="false">ROUNDUP(G979/BQ979,0)</f>
        <v>0</v>
      </c>
      <c r="CA979" s="57" t="n">
        <f aca="false">ROUNDUP(BX979/BQ979,0)</f>
        <v>0</v>
      </c>
      <c r="CB979" s="60" t="n">
        <f aca="false">IF(BR979=1,0,IFERROR(VLOOKUP(BP979,'Gebinde-Kategorie'!$A$5:$M$45,5,0)+0,0))</f>
        <v>11</v>
      </c>
      <c r="CC979" s="60" t="n">
        <f aca="false">IFERROR(IF(OR(BT979=1,BT979=2,BT979=3),N(INDEX(Parameter!$I$5:$I$7,BT979)),0),0)</f>
        <v>0</v>
      </c>
      <c r="CD979" s="59" t="n">
        <f aca="false">IF(AND(Parameter!$B$21="Ja",ISNUMBER(U979),N(V979)&gt;0),IFERROR(N(INDEX(Parameter!$L$5:$L$7,U979))*INDEX(Parameter!$E$5:$E$7,U979)*V979/SUMIFS($V$7:$V$1576,$U$7:$U$1576,U979),0),0)</f>
        <v>0</v>
      </c>
    </row>
    <row r="980" customFormat="false" ht="15" hidden="false" customHeight="false" outlineLevel="0" collapsed="false">
      <c r="A980" s="55" t="s">
        <v>1801</v>
      </c>
      <c r="B980" s="55" t="s">
        <v>1802</v>
      </c>
      <c r="C980" s="55" t="s">
        <v>162</v>
      </c>
      <c r="D980" s="55" t="s">
        <v>178</v>
      </c>
      <c r="E980" s="55" t="s">
        <v>210</v>
      </c>
      <c r="F980" s="56" t="n">
        <v>4.45</v>
      </c>
      <c r="G980" s="57" t="n">
        <f aca="false">MAX(0,IF(AND(Parameter!$B$21="Ja",ISNUMBER(W980)),W980,IF(Parameter!$B$20="Jahresanfang 2025 + Export",BJ980+BI980,BI980)))</f>
        <v>0</v>
      </c>
      <c r="H980" s="57" t="n">
        <f aca="false">G980*F980</f>
        <v>0</v>
      </c>
      <c r="I980" s="57" t="n">
        <f aca="false">BL980*Parameter!$B$18</f>
        <v>0</v>
      </c>
      <c r="J980" s="58" t="n">
        <v>110</v>
      </c>
      <c r="K980" s="59" t="n">
        <v>0</v>
      </c>
      <c r="L980" s="57" t="n">
        <v>0</v>
      </c>
      <c r="M980" s="57" t="n">
        <v>1</v>
      </c>
      <c r="N980" s="60" t="n">
        <v>14</v>
      </c>
      <c r="O980" s="55" t="s">
        <v>411</v>
      </c>
      <c r="P980" s="57" t="n">
        <v>20</v>
      </c>
      <c r="Q980" s="60" t="n">
        <f aca="false">IF(BR980=1,0,IFERROR(VLOOKUP(BP980,'Gebinde-Kategorie'!$A$5:$M$45,13,0)+0,0))</f>
        <v>132</v>
      </c>
      <c r="R980" s="61"/>
      <c r="S980" s="62"/>
      <c r="T980" s="62"/>
      <c r="U980" s="55"/>
      <c r="V980" s="57"/>
      <c r="W980" s="57"/>
      <c r="X980" s="55" t="n">
        <f aca="false">IF(A980="","",IF(AND(Parameter!$B$21="Ja",ISNUMBER(U980)),U980,IF(IFERROR(VLOOKUP(D980,Parameter!$A$35:$C$64,2,0),"Nein")="2+3",IF(ISNUMBER(SEARCH("grosser Artikel",BM980)),2,IFERROR(VLOOKUP(BP980,Parameter!$F$35:$G$64,2,0),2)),IF(OR(IFERROR(VLOOKUP(D980,Parameter!$A$35:$C$64,2,0),"Nein")="Nein",IFERROR(VLOOKUP(D980,Parameter!$A$35:$C$64,2,0),"Nein")=""),"-",VLOOKUP(D980,Parameter!$A$35:$C$64,2,0)))))</f>
        <v>3</v>
      </c>
      <c r="Y980" s="62"/>
      <c r="Z980" s="63"/>
      <c r="AA980" s="57" t="n">
        <f aca="false">AP980</f>
        <v>20</v>
      </c>
      <c r="AB980" s="57" t="n">
        <f aca="false">MAX(AP980,G980)</f>
        <v>20</v>
      </c>
      <c r="AC980" s="64"/>
      <c r="AD980" s="57" t="n">
        <f aca="false">IF(LEFT(Cockpit!$C$5,1)="A",G980,IF(BW980=1,BX980,IF(LEFT(Cockpit!$C$5,1)="B",AH980,MAX(AH980,G980))))</f>
        <v>0</v>
      </c>
      <c r="AE980" s="57" t="n">
        <f aca="false">IF(BR980=1,0,ROUNDUP(AD980/BQ980,0))</f>
        <v>0</v>
      </c>
      <c r="AF980" s="59" t="n">
        <f aca="false">IF(CD980&gt;0,CD980*MAX(1,AD980/V980),IF(BR980=1,IF(AD980&lt;=0,0,BS980*MAX(1,IF(G980&gt;0,AD980/G980,1))),IF(Q980&gt;0,AE980/Q980,0))/MAX(0.1,N(Parameter!$M$21)))</f>
        <v>0</v>
      </c>
      <c r="AG980" s="57" t="n">
        <f aca="false">AD980*F980</f>
        <v>0</v>
      </c>
      <c r="AH980" s="57" t="n">
        <f aca="false">ROUNDUP(MAX(I980/IF(BV980&gt;0,BV980,MAX(0.1,N(Cockpit!$C$6))),BY980)/BQ980,0)*BQ980</f>
        <v>20</v>
      </c>
      <c r="AI980" s="58" t="n">
        <f aca="false">IF(AF980&gt;0,I980/AF980,-1)</f>
        <v>-1</v>
      </c>
      <c r="AJ980" s="58" t="str">
        <f aca="false">IF(AND(OR(BU980="L1",BU980="L23"),AF980&gt;0),SUMIFS($AF$7:$AF$1576,$BU$7:$BU$1576,BU980,$AI$7:$AI$1576,"&gt;"&amp;AI980)+SUMIFS($AF$7:$AF$1576,$BU$7:$BU$1576,BU980,$AI$7:$AI$1576,AI980,$BO$7:$BO$1576,"&lt;="&amp;BO980),"")</f>
        <v/>
      </c>
      <c r="AK980" s="65" t="n">
        <f aca="false">IF(AJ980="",0,MAX(0,MIN(1,(IF(BU980="L1",Parameter!$E$5,Parameter!$E$6+Parameter!$E$7)-(AJ980-AF980))/AF980)))</f>
        <v>0</v>
      </c>
      <c r="AL980" s="57" t="n">
        <f aca="false">IF(LEFT(Cockpit!$I$5,1)="A",G980,IF(BW980=1,BX980,IF(LEFT(Cockpit!$I$5,1)="B",AP980,MAX(AP980,G980))))</f>
        <v>20</v>
      </c>
      <c r="AM980" s="57" t="n">
        <f aca="false">IF(BR980=1,0,ROUNDUP(AL980/BQ980,0))</f>
        <v>1</v>
      </c>
      <c r="AN980" s="59" t="n">
        <f aca="false">IF(CD980&gt;0,CD980*MAX(1,AL980/V980),IF(BR980=1,IF(AL980&lt;=0,0,BS980*MAX(1,IF(G980&gt;0,AL980/G980,1))),IF(Q980&gt;0,AM980/Q980,0))/MAX(0.1,N(Parameter!$M$21)))</f>
        <v>0.00757575757575758</v>
      </c>
      <c r="AO980" s="57" t="n">
        <f aca="false">AL980*F980</f>
        <v>89</v>
      </c>
      <c r="AP980" s="57" t="n">
        <f aca="false">ROUNDUP(MAX(I980/IF(BV980&gt;0,BV980,MAX(0.1,N(Cockpit!$I$6))),BY980)/BQ980,0)*BQ980</f>
        <v>20</v>
      </c>
      <c r="AQ980" s="58" t="n">
        <f aca="false">IF(AN980&gt;0,I980/AN980,-1)</f>
        <v>0</v>
      </c>
      <c r="AR980" s="58" t="n">
        <f aca="false">IF(AND(OR(BU980="L1",BU980="L23"),AN980&gt;0),SUMIFS($AN$7:$AN$1576,$BU$7:$BU$1576,BU980,$AQ$7:$AQ$1576,"&gt;"&amp;AQ980)+SUMIFS($AN$7:$AN$1576,$BU$7:$BU$1576,BU980,$AQ$7:$AQ$1576,AQ980,$BO$7:$BO$1576,"&lt;="&amp;BO980),"")</f>
        <v>131.808551810556</v>
      </c>
      <c r="AS980" s="65" t="n">
        <f aca="false">IF(AR980="",0,MAX(0,MIN(1,(IF(BU980="L1",Parameter!$E$5,Parameter!$E$6+Parameter!$E$7)-(AR980-AN980))/AN980)))</f>
        <v>0</v>
      </c>
      <c r="AT980" s="57" t="n">
        <f aca="false">IF(LEFT(Cockpit!$O$5,1)="A",G980,IF(BW980=1,BX980,IF(LEFT(Cockpit!$O$5,1)="B",AX980,MAX(AX980,G980))))</f>
        <v>20</v>
      </c>
      <c r="AU980" s="57" t="n">
        <f aca="false">IF(BR980=1,0,ROUNDUP(AT980/BQ980,0))</f>
        <v>1</v>
      </c>
      <c r="AV980" s="59" t="n">
        <f aca="false">IF(CD980&gt;0,CD980*MAX(1,AT980/V980),IF(BR980=1,IF(AT980&lt;=0,0,BS980*MAX(1,IF(G980&gt;0,AT980/G980,1))),IF(Q980&gt;0,AU980/Q980,0))/MAX(0.1,N(Parameter!$M$21)))</f>
        <v>0.00757575757575758</v>
      </c>
      <c r="AW980" s="57" t="n">
        <f aca="false">AT980*F980</f>
        <v>89</v>
      </c>
      <c r="AX980" s="57" t="n">
        <f aca="false">ROUNDUP(MAX(I980/IF(BV980&gt;0,BV980,MAX(0.1,N(Cockpit!$O$6))),BY980)/BQ980,0)*BQ980</f>
        <v>20</v>
      </c>
      <c r="AY980" s="58" t="n">
        <f aca="false">IF(AV980&gt;0,I980/AV980,-1)</f>
        <v>0</v>
      </c>
      <c r="AZ980" s="58" t="n">
        <f aca="false">IF(AND(OR(BU980="L1",BU980="L23"),AV980&gt;0),SUMIFS($AV$7:$AV$1576,$BU$7:$BU$1576,BU980,$AY$7:$AY$1576,"&gt;"&amp;AY980)+SUMIFS($AV$7:$AV$1576,$BU$7:$BU$1576,BU980,$AY$7:$AY$1576,AY980,$BO$7:$BO$1576,"&lt;="&amp;BO980),"")</f>
        <v>121.868102260106</v>
      </c>
      <c r="BA980" s="65" t="n">
        <f aca="false">IF(AZ980="",0,MAX(0,MIN(1,(IF(BU980="L1",Parameter!$E$5,Parameter!$E$6+Parameter!$E$7)-(AZ980-AV980))/AV980)))</f>
        <v>0</v>
      </c>
      <c r="BB980" s="55" t="str">
        <f aca="false">IF(AF980&lt;=0,"",IF(BU980="Aussen","Aussenlager",IF(BU980="-","Nicht im Lift",IF(AK980&gt;=1,"Lift",IF(AK980&lt;=0,"Aussenlager","teilweise")))))</f>
        <v/>
      </c>
      <c r="BC980" s="55" t="str">
        <f aca="false">IF(AN980&lt;=0,"",IF(BU980="Aussen","Aussenlager",IF(BU980="-","Nicht im Lift",IF(AS980&gt;=1,"Lift",IF(AS980&lt;=0,"Aussenlager","teilweise")))))</f>
        <v>Aussenlager</v>
      </c>
      <c r="BD980" s="55" t="str">
        <f aca="false">IF(AV980&lt;=0,"",IF(BU980="Aussen","Aussenlager",IF(BU980="-","Nicht im Lift",IF(BA980&gt;=1,"Lift",IF(BA980&lt;=0,"Aussenlager","teilweise")))))</f>
        <v>Aussenlager</v>
      </c>
      <c r="BE980" s="55" t="str">
        <f aca="false">IF(A980="","",IF(BN980=1,"Neu; ","")&amp;IF(AND(BN980=0,BI980&lt;0),"negativer Bestand (Export "&amp;BI980&amp;"); ","")&amp;IF(I980&lt;=0,"Kein Verbrauch; ","")&amp;IF(CD980&gt;0,"Lift "&amp;U980&amp;" lt. Liftbericht (Fach "&amp;V980&amp;" Stk); ",IF(BR980=1,"Lose – Fläche geschätzt; ",""))&amp;IF(G980&gt;AP980,"Überbestand "&amp;ROUND(G980-AP980,0)&amp;" Stk / CHF "&amp;ROUND((G980-AP980)*F980,0)&amp;"; ","")&amp;IF(AND(BW980=1,BX980&lt;BY980),"MAX &lt; MB+LG; ","")&amp;IF(AND(CC980&gt;0,CB980*10&gt;CC980),"zu hoch für Tablar; ","")&amp;IF(AND(BN980=0,OR(BW980=1,Y980&lt;&gt;"",S980&lt;&gt;"",T980&lt;&gt;"",Z980&lt;&gt;"")),"manuell übersteuert; ","")&amp;IF(AND(BR980=0,Q980=0),"Gebinde unbekannt / Stellmass fehlt; ","")&amp;IF(AND(BR980=0,N(T980)&lt;=0,N(P980)&lt;=0),"Menge pro Gebinde fehlt (Ist = 1 Gebinde); ","")&amp;BM980)</f>
        <v>negativer Bestand (Export -17); Kein Verbrauch; Verb.Lager</v>
      </c>
      <c r="BF980" s="55"/>
      <c r="BG980" s="55"/>
      <c r="BH980" s="62"/>
      <c r="BI980" s="57" t="n">
        <v>-17</v>
      </c>
      <c r="BJ980" s="57" t="n">
        <v>115</v>
      </c>
      <c r="BK980" s="56" t="n">
        <v>-75.65</v>
      </c>
      <c r="BL980" s="57" t="n">
        <v>0</v>
      </c>
      <c r="BM980" s="55" t="s">
        <v>1019</v>
      </c>
      <c r="BN980" s="60" t="n">
        <v>0</v>
      </c>
      <c r="BO980" s="60" t="n">
        <v>980</v>
      </c>
      <c r="BP980" s="55" t="str">
        <f aca="false">IF(S980&lt;&gt;"",UPPER(TRIM(S980)),IF(O980="","LOSE",O980))</f>
        <v>S32</v>
      </c>
      <c r="BQ980" s="57" t="n">
        <f aca="false">IF(BP980="LOSE",1,IF(N(T980)&gt;0,T980,IF(N(P980)&gt;0,P980,MAX(1,G980))))</f>
        <v>20</v>
      </c>
      <c r="BR980" s="60" t="n">
        <f aca="false">IF(BP980="LOSE",1,0)</f>
        <v>0</v>
      </c>
      <c r="BS980" s="59" t="n">
        <f aca="false">IF(BR980=0,0,IF(N(R980)&gt;0,R980,IFERROR(VLOOKUP(D980,Parameter!$A$35:$C$64,3,0)+0,0)))</f>
        <v>0</v>
      </c>
      <c r="BT980" s="55" t="n">
        <f aca="false">IF(Y980&lt;&gt;"",Y980,X980)</f>
        <v>3</v>
      </c>
      <c r="BU980" s="55" t="str">
        <f aca="false">IF(BT980=1,"L1",IF(OR(BT980=2,BT980=3),"L23",IF(BT980="Aussen","Aussen","-")))</f>
        <v>L23</v>
      </c>
      <c r="BV980" s="66" t="n">
        <f aca="false">IF(N(Z980)&gt;0,Z980,0)</f>
        <v>0</v>
      </c>
      <c r="BW980" s="60" t="n">
        <f aca="false">IF(ISNUMBER(AC980),1,0)</f>
        <v>0</v>
      </c>
      <c r="BX980" s="57" t="n">
        <f aca="false">N(AC980)</f>
        <v>0</v>
      </c>
      <c r="BY980" s="57" t="n">
        <f aca="false">N(L980)+N(M980)</f>
        <v>1</v>
      </c>
      <c r="BZ980" s="57" t="n">
        <f aca="false">ROUNDUP(G980/BQ980,0)</f>
        <v>0</v>
      </c>
      <c r="CA980" s="57" t="n">
        <f aca="false">ROUNDUP(BX980/BQ980,0)</f>
        <v>0</v>
      </c>
      <c r="CB980" s="60" t="n">
        <f aca="false">IF(BR980=1,0,IFERROR(VLOOKUP(BP980,'Gebinde-Kategorie'!$A$5:$M$45,5,0)+0,0))</f>
        <v>8</v>
      </c>
      <c r="CC980" s="60" t="n">
        <f aca="false">IFERROR(IF(OR(BT980=1,BT980=2,BT980=3),N(INDEX(Parameter!$I$5:$I$7,BT980)),0),0)</f>
        <v>0</v>
      </c>
      <c r="CD980" s="59" t="n">
        <f aca="false">IF(AND(Parameter!$B$21="Ja",ISNUMBER(U980),N(V980)&gt;0),IFERROR(N(INDEX(Parameter!$L$5:$L$7,U980))*INDEX(Parameter!$E$5:$E$7,U980)*V980/SUMIFS($V$7:$V$1576,$U$7:$U$1576,U980),0),0)</f>
        <v>0</v>
      </c>
    </row>
    <row r="981" customFormat="false" ht="15" hidden="false" customHeight="false" outlineLevel="0" collapsed="false">
      <c r="A981" s="55" t="s">
        <v>1803</v>
      </c>
      <c r="B981" s="55" t="s">
        <v>850</v>
      </c>
      <c r="C981" s="55" t="s">
        <v>160</v>
      </c>
      <c r="D981" s="55" t="s">
        <v>178</v>
      </c>
      <c r="E981" s="55" t="s">
        <v>210</v>
      </c>
      <c r="F981" s="56" t="n">
        <v>37.92</v>
      </c>
      <c r="G981" s="57" t="n">
        <f aca="false">MAX(0,IF(AND(Parameter!$B$21="Ja",ISNUMBER(W981)),W981,IF(Parameter!$B$20="Jahresanfang 2025 + Export",BJ981+BI981,BI981)))</f>
        <v>0</v>
      </c>
      <c r="H981" s="57" t="n">
        <f aca="false">G981*F981</f>
        <v>0</v>
      </c>
      <c r="I981" s="57" t="n">
        <f aca="false">BL981*Parameter!$B$18</f>
        <v>4</v>
      </c>
      <c r="J981" s="58" t="n">
        <v>19</v>
      </c>
      <c r="K981" s="59" t="n">
        <v>0.210526315789474</v>
      </c>
      <c r="L981" s="57" t="n">
        <v>0</v>
      </c>
      <c r="M981" s="57" t="n">
        <v>5</v>
      </c>
      <c r="N981" s="60" t="n">
        <v>28</v>
      </c>
      <c r="O981" s="55" t="s">
        <v>416</v>
      </c>
      <c r="P981" s="57" t="n">
        <v>20</v>
      </c>
      <c r="Q981" s="60" t="n">
        <f aca="false">IF(BR981=1,0,IFERROR(VLOOKUP(BP981,'Gebinde-Kategorie'!$A$5:$M$45,13,0)+0,0))</f>
        <v>198</v>
      </c>
      <c r="R981" s="61"/>
      <c r="S981" s="62"/>
      <c r="T981" s="62"/>
      <c r="U981" s="55"/>
      <c r="V981" s="57"/>
      <c r="W981" s="57"/>
      <c r="X981" s="55" t="n">
        <f aca="false">IF(A981="","",IF(AND(Parameter!$B$21="Ja",ISNUMBER(U981)),U981,IF(IFERROR(VLOOKUP(D981,Parameter!$A$35:$C$64,2,0),"Nein")="2+3",IF(ISNUMBER(SEARCH("grosser Artikel",BM981)),2,IFERROR(VLOOKUP(BP981,Parameter!$F$35:$G$64,2,0),2)),IF(OR(IFERROR(VLOOKUP(D981,Parameter!$A$35:$C$64,2,0),"Nein")="Nein",IFERROR(VLOOKUP(D981,Parameter!$A$35:$C$64,2,0),"Nein")=""),"-",VLOOKUP(D981,Parameter!$A$35:$C$64,2,0)))))</f>
        <v>3</v>
      </c>
      <c r="Y981" s="62"/>
      <c r="Z981" s="63"/>
      <c r="AA981" s="57" t="n">
        <f aca="false">AP981</f>
        <v>20</v>
      </c>
      <c r="AB981" s="57" t="n">
        <f aca="false">MAX(AP981,G981)</f>
        <v>20</v>
      </c>
      <c r="AC981" s="64"/>
      <c r="AD981" s="57" t="n">
        <f aca="false">IF(LEFT(Cockpit!$C$5,1)="A",G981,IF(BW981=1,BX981,IF(LEFT(Cockpit!$C$5,1)="B",AH981,MAX(AH981,G981))))</f>
        <v>0</v>
      </c>
      <c r="AE981" s="57" t="n">
        <f aca="false">IF(BR981=1,0,ROUNDUP(AD981/BQ981,0))</f>
        <v>0</v>
      </c>
      <c r="AF981" s="59" t="n">
        <f aca="false">IF(CD981&gt;0,CD981*MAX(1,AD981/V981),IF(BR981=1,IF(AD981&lt;=0,0,BS981*MAX(1,IF(G981&gt;0,AD981/G981,1))),IF(Q981&gt;0,AE981/Q981,0))/MAX(0.1,N(Parameter!$M$21)))</f>
        <v>0</v>
      </c>
      <c r="AG981" s="57" t="n">
        <f aca="false">AD981*F981</f>
        <v>0</v>
      </c>
      <c r="AH981" s="57" t="n">
        <f aca="false">ROUNDUP(MAX(I981/IF(BV981&gt;0,BV981,MAX(0.1,N(Cockpit!$C$6))),BY981)/BQ981,0)*BQ981</f>
        <v>20</v>
      </c>
      <c r="AI981" s="58" t="n">
        <f aca="false">IF(AF981&gt;0,I981/AF981,-1)</f>
        <v>-1</v>
      </c>
      <c r="AJ981" s="58" t="str">
        <f aca="false">IF(AND(OR(BU981="L1",BU981="L23"),AF981&gt;0),SUMIFS($AF$7:$AF$1576,$BU$7:$BU$1576,BU981,$AI$7:$AI$1576,"&gt;"&amp;AI981)+SUMIFS($AF$7:$AF$1576,$BU$7:$BU$1576,BU981,$AI$7:$AI$1576,AI981,$BO$7:$BO$1576,"&lt;="&amp;BO981),"")</f>
        <v/>
      </c>
      <c r="AK981" s="65" t="n">
        <f aca="false">IF(AJ981="",0,MAX(0,MIN(1,(IF(BU981="L1",Parameter!$E$5,Parameter!$E$6+Parameter!$E$7)-(AJ981-AF981))/AF981)))</f>
        <v>0</v>
      </c>
      <c r="AL981" s="57" t="n">
        <f aca="false">IF(LEFT(Cockpit!$I$5,1)="A",G981,IF(BW981=1,BX981,IF(LEFT(Cockpit!$I$5,1)="B",AP981,MAX(AP981,G981))))</f>
        <v>20</v>
      </c>
      <c r="AM981" s="57" t="n">
        <f aca="false">IF(BR981=1,0,ROUNDUP(AL981/BQ981,0))</f>
        <v>1</v>
      </c>
      <c r="AN981" s="59" t="n">
        <f aca="false">IF(CD981&gt;0,CD981*MAX(1,AL981/V981),IF(BR981=1,IF(AL981&lt;=0,0,BS981*MAX(1,IF(G981&gt;0,AL981/G981,1))),IF(Q981&gt;0,AM981/Q981,0))/MAX(0.1,N(Parameter!$M$21)))</f>
        <v>0.00505050505050505</v>
      </c>
      <c r="AO981" s="57" t="n">
        <f aca="false">AL981*F981</f>
        <v>758.4</v>
      </c>
      <c r="AP981" s="57" t="n">
        <f aca="false">ROUNDUP(MAX(I981/IF(BV981&gt;0,BV981,MAX(0.1,N(Cockpit!$I$6))),BY981)/BQ981,0)*BQ981</f>
        <v>20</v>
      </c>
      <c r="AQ981" s="58" t="n">
        <f aca="false">IF(AN981&gt;0,I981/AN981,-1)</f>
        <v>792</v>
      </c>
      <c r="AR981" s="58" t="n">
        <f aca="false">IF(AND(OR(BU981="L1",BU981="L23"),AN981&gt;0),SUMIFS($AN$7:$AN$1576,$BU$7:$BU$1576,BU981,$AQ$7:$AQ$1576,"&gt;"&amp;AQ981)+SUMIFS($AN$7:$AN$1576,$BU$7:$BU$1576,BU981,$AQ$7:$AQ$1576,AQ981,$BO$7:$BO$1576,"&lt;="&amp;BO981),"")</f>
        <v>26.2251028322879</v>
      </c>
      <c r="AS981" s="65" t="n">
        <f aca="false">IF(AR981="",0,MAX(0,MIN(1,(IF(BU981="L1",Parameter!$E$5,Parameter!$E$6+Parameter!$E$7)-(AR981-AN981))/AN981)))</f>
        <v>1</v>
      </c>
      <c r="AT981" s="57" t="n">
        <f aca="false">IF(LEFT(Cockpit!$O$5,1)="A",G981,IF(BW981=1,BX981,IF(LEFT(Cockpit!$O$5,1)="B",AX981,MAX(AX981,G981))))</f>
        <v>20</v>
      </c>
      <c r="AU981" s="57" t="n">
        <f aca="false">IF(BR981=1,0,ROUNDUP(AT981/BQ981,0))</f>
        <v>1</v>
      </c>
      <c r="AV981" s="59" t="n">
        <f aca="false">IF(CD981&gt;0,CD981*MAX(1,AT981/V981),IF(BR981=1,IF(AT981&lt;=0,0,BS981*MAX(1,IF(G981&gt;0,AT981/G981,1))),IF(Q981&gt;0,AU981/Q981,0))/MAX(0.1,N(Parameter!$M$21)))</f>
        <v>0.00505050505050505</v>
      </c>
      <c r="AW981" s="57" t="n">
        <f aca="false">AT981*F981</f>
        <v>758.4</v>
      </c>
      <c r="AX981" s="57" t="n">
        <f aca="false">ROUNDUP(MAX(I981/IF(BV981&gt;0,BV981,MAX(0.1,N(Cockpit!$O$6))),BY981)/BQ981,0)*BQ981</f>
        <v>20</v>
      </c>
      <c r="AY981" s="58" t="n">
        <f aca="false">IF(AV981&gt;0,I981/AV981,-1)</f>
        <v>792</v>
      </c>
      <c r="AZ981" s="58" t="n">
        <f aca="false">IF(AND(OR(BU981="L1",BU981="L23"),AV981&gt;0),SUMIFS($AV$7:$AV$1576,$BU$7:$BU$1576,BU981,$AY$7:$AY$1576,"&gt;"&amp;AY981)+SUMIFS($AV$7:$AV$1576,$BU$7:$BU$1576,BU981,$AY$7:$AY$1576,AY981,$BO$7:$BO$1576,"&lt;="&amp;BO981),"")</f>
        <v>26.1254524826376</v>
      </c>
      <c r="BA981" s="65" t="n">
        <f aca="false">IF(AZ981="",0,MAX(0,MIN(1,(IF(BU981="L1",Parameter!$E$5,Parameter!$E$6+Parameter!$E$7)-(AZ981-AV981))/AV981)))</f>
        <v>1</v>
      </c>
      <c r="BB981" s="55" t="str">
        <f aca="false">IF(AF981&lt;=0,"",IF(BU981="Aussen","Aussenlager",IF(BU981="-","Nicht im Lift",IF(AK981&gt;=1,"Lift",IF(AK981&lt;=0,"Aussenlager","teilweise")))))</f>
        <v/>
      </c>
      <c r="BC981" s="55" t="str">
        <f aca="false">IF(AN981&lt;=0,"",IF(BU981="Aussen","Aussenlager",IF(BU981="-","Nicht im Lift",IF(AS981&gt;=1,"Lift",IF(AS981&lt;=0,"Aussenlager","teilweise")))))</f>
        <v>Lift</v>
      </c>
      <c r="BD981" s="55" t="str">
        <f aca="false">IF(AV981&lt;=0,"",IF(BU981="Aussen","Aussenlager",IF(BU981="-","Nicht im Lift",IF(BA981&gt;=1,"Lift",IF(BA981&lt;=0,"Aussenlager","teilweise")))))</f>
        <v>Lift</v>
      </c>
      <c r="BE981" s="55" t="str">
        <f aca="false">IF(A981="","",IF(BN981=1,"Neu; ","")&amp;IF(AND(BN981=0,BI981&lt;0),"negativer Bestand (Export "&amp;BI981&amp;"); ","")&amp;IF(I981&lt;=0,"Kein Verbrauch; ","")&amp;IF(CD981&gt;0,"Lift "&amp;U981&amp;" lt. Liftbericht (Fach "&amp;V981&amp;" Stk); ",IF(BR981=1,"Lose – Fläche geschätzt; ",""))&amp;IF(G981&gt;AP981,"Überbestand "&amp;ROUND(G981-AP981,0)&amp;" Stk / CHF "&amp;ROUND((G981-AP981)*F981,0)&amp;"; ","")&amp;IF(AND(BW981=1,BX981&lt;BY981),"MAX &lt; MB+LG; ","")&amp;IF(AND(CC981&gt;0,CB981*10&gt;CC981),"zu hoch für Tablar; ","")&amp;IF(AND(BN981=0,OR(BW981=1,Y981&lt;&gt;"",S981&lt;&gt;"",T981&lt;&gt;"",Z981&lt;&gt;"")),"manuell übersteuert; ","")&amp;IF(AND(BR981=0,Q981=0),"Gebinde unbekannt / Stellmass fehlt; ","")&amp;IF(AND(BR981=0,N(T981)&lt;=0,N(P981)&lt;=0),"Menge pro Gebinde fehlt (Ist = 1 Gebinde); ","")&amp;BM981)</f>
        <v>negativer Bestand (Export -2); </v>
      </c>
      <c r="BF981" s="55"/>
      <c r="BG981" s="55"/>
      <c r="BH981" s="62"/>
      <c r="BI981" s="57" t="n">
        <v>-2</v>
      </c>
      <c r="BJ981" s="57" t="n">
        <v>20</v>
      </c>
      <c r="BK981" s="56" t="n">
        <v>-75.84</v>
      </c>
      <c r="BL981" s="57" t="n">
        <v>4</v>
      </c>
      <c r="BM981" s="55"/>
      <c r="BN981" s="60" t="n">
        <v>0</v>
      </c>
      <c r="BO981" s="60" t="n">
        <v>981</v>
      </c>
      <c r="BP981" s="55" t="str">
        <f aca="false">IF(S981&lt;&gt;"",UPPER(TRIM(S981)),IF(O981="","LOSE",O981))</f>
        <v>S22</v>
      </c>
      <c r="BQ981" s="57" t="n">
        <f aca="false">IF(BP981="LOSE",1,IF(N(T981)&gt;0,T981,IF(N(P981)&gt;0,P981,MAX(1,G981))))</f>
        <v>20</v>
      </c>
      <c r="BR981" s="60" t="n">
        <f aca="false">IF(BP981="LOSE",1,0)</f>
        <v>0</v>
      </c>
      <c r="BS981" s="59" t="n">
        <f aca="false">IF(BR981=0,0,IF(N(R981)&gt;0,R981,IFERROR(VLOOKUP(D981,Parameter!$A$35:$C$64,3,0)+0,0)))</f>
        <v>0</v>
      </c>
      <c r="BT981" s="55" t="n">
        <f aca="false">IF(Y981&lt;&gt;"",Y981,X981)</f>
        <v>3</v>
      </c>
      <c r="BU981" s="55" t="str">
        <f aca="false">IF(BT981=1,"L1",IF(OR(BT981=2,BT981=3),"L23",IF(BT981="Aussen","Aussen","-")))</f>
        <v>L23</v>
      </c>
      <c r="BV981" s="66" t="n">
        <f aca="false">IF(N(Z981)&gt;0,Z981,0)</f>
        <v>0</v>
      </c>
      <c r="BW981" s="60" t="n">
        <f aca="false">IF(ISNUMBER(AC981),1,0)</f>
        <v>0</v>
      </c>
      <c r="BX981" s="57" t="n">
        <f aca="false">N(AC981)</f>
        <v>0</v>
      </c>
      <c r="BY981" s="57" t="n">
        <f aca="false">N(L981)+N(M981)</f>
        <v>5</v>
      </c>
      <c r="BZ981" s="57" t="n">
        <f aca="false">ROUNDUP(G981/BQ981,0)</f>
        <v>0</v>
      </c>
      <c r="CA981" s="57" t="n">
        <f aca="false">ROUNDUP(BX981/BQ981,0)</f>
        <v>0</v>
      </c>
      <c r="CB981" s="60" t="n">
        <f aca="false">IF(BR981=1,0,IFERROR(VLOOKUP(BP981,'Gebinde-Kategorie'!$A$5:$M$45,5,0)+0,0))</f>
        <v>8</v>
      </c>
      <c r="CC981" s="60" t="n">
        <f aca="false">IFERROR(IF(OR(BT981=1,BT981=2,BT981=3),N(INDEX(Parameter!$I$5:$I$7,BT981)),0),0)</f>
        <v>0</v>
      </c>
      <c r="CD981" s="59" t="n">
        <f aca="false">IF(AND(Parameter!$B$21="Ja",ISNUMBER(U981),N(V981)&gt;0),IFERROR(N(INDEX(Parameter!$L$5:$L$7,U981))*INDEX(Parameter!$E$5:$E$7,U981)*V981/SUMIFS($V$7:$V$1576,$U$7:$U$1576,U981),0),0)</f>
        <v>0</v>
      </c>
    </row>
    <row r="982" customFormat="false" ht="15" hidden="false" customHeight="false" outlineLevel="0" collapsed="false">
      <c r="A982" s="55" t="s">
        <v>1804</v>
      </c>
      <c r="B982" s="55" t="s">
        <v>395</v>
      </c>
      <c r="C982" s="55" t="s">
        <v>160</v>
      </c>
      <c r="D982" s="55" t="s">
        <v>178</v>
      </c>
      <c r="E982" s="55" t="s">
        <v>210</v>
      </c>
      <c r="F982" s="56" t="n">
        <v>1.54</v>
      </c>
      <c r="G982" s="57" t="n">
        <f aca="false">MAX(0,IF(AND(Parameter!$B$21="Ja",ISNUMBER(W982)),W982,IF(Parameter!$B$20="Jahresanfang 2025 + Export",BJ982+BI982,BI982)))</f>
        <v>0</v>
      </c>
      <c r="H982" s="57" t="n">
        <f aca="false">G982*F982</f>
        <v>0</v>
      </c>
      <c r="I982" s="57" t="n">
        <f aca="false">BL982*Parameter!$B$18</f>
        <v>42</v>
      </c>
      <c r="J982" s="58" t="n">
        <v>225.5</v>
      </c>
      <c r="K982" s="59" t="n">
        <v>0.186252771618625</v>
      </c>
      <c r="L982" s="57" t="n">
        <v>3</v>
      </c>
      <c r="M982" s="57" t="n">
        <v>40</v>
      </c>
      <c r="N982" s="60" t="n">
        <v>28</v>
      </c>
      <c r="O982" s="55" t="s">
        <v>293</v>
      </c>
      <c r="P982" s="57" t="n">
        <v>196</v>
      </c>
      <c r="Q982" s="60" t="n">
        <f aca="false">IF(BR982=1,0,IFERROR(VLOOKUP(BP982,'Gebinde-Kategorie'!$A$5:$M$45,13,0)+0,0))</f>
        <v>26</v>
      </c>
      <c r="R982" s="61"/>
      <c r="S982" s="62"/>
      <c r="T982" s="62"/>
      <c r="U982" s="55"/>
      <c r="V982" s="57"/>
      <c r="W982" s="57"/>
      <c r="X982" s="55" t="n">
        <f aca="false">IF(A982="","",IF(AND(Parameter!$B$21="Ja",ISNUMBER(U982)),U982,IF(IFERROR(VLOOKUP(D982,Parameter!$A$35:$C$64,2,0),"Nein")="2+3",IF(ISNUMBER(SEARCH("grosser Artikel",BM982)),2,IFERROR(VLOOKUP(BP982,Parameter!$F$35:$G$64,2,0),2)),IF(OR(IFERROR(VLOOKUP(D982,Parameter!$A$35:$C$64,2,0),"Nein")="Nein",IFERROR(VLOOKUP(D982,Parameter!$A$35:$C$64,2,0),"Nein")=""),"-",VLOOKUP(D982,Parameter!$A$35:$C$64,2,0)))))</f>
        <v>3</v>
      </c>
      <c r="Y982" s="62"/>
      <c r="Z982" s="63"/>
      <c r="AA982" s="57" t="n">
        <f aca="false">AP982</f>
        <v>196</v>
      </c>
      <c r="AB982" s="57" t="n">
        <f aca="false">MAX(AP982,G982)</f>
        <v>196</v>
      </c>
      <c r="AC982" s="64"/>
      <c r="AD982" s="57" t="n">
        <f aca="false">IF(LEFT(Cockpit!$C$5,1)="A",G982,IF(BW982=1,BX982,IF(LEFT(Cockpit!$C$5,1)="B",AH982,MAX(AH982,G982))))</f>
        <v>0</v>
      </c>
      <c r="AE982" s="57" t="n">
        <f aca="false">IF(BR982=1,0,ROUNDUP(AD982/BQ982,0))</f>
        <v>0</v>
      </c>
      <c r="AF982" s="59" t="n">
        <f aca="false">IF(CD982&gt;0,CD982*MAX(1,AD982/V982),IF(BR982=1,IF(AD982&lt;=0,0,BS982*MAX(1,IF(G982&gt;0,AD982/G982,1))),IF(Q982&gt;0,AE982/Q982,0))/MAX(0.1,N(Parameter!$M$21)))</f>
        <v>0</v>
      </c>
      <c r="AG982" s="57" t="n">
        <f aca="false">AD982*F982</f>
        <v>0</v>
      </c>
      <c r="AH982" s="57" t="n">
        <f aca="false">ROUNDUP(MAX(I982/IF(BV982&gt;0,BV982,MAX(0.1,N(Cockpit!$C$6))),BY982)/BQ982,0)*BQ982</f>
        <v>196</v>
      </c>
      <c r="AI982" s="58" t="n">
        <f aca="false">IF(AF982&gt;0,I982/AF982,-1)</f>
        <v>-1</v>
      </c>
      <c r="AJ982" s="58" t="str">
        <f aca="false">IF(AND(OR(BU982="L1",BU982="L23"),AF982&gt;0),SUMIFS($AF$7:$AF$1576,$BU$7:$BU$1576,BU982,$AI$7:$AI$1576,"&gt;"&amp;AI982)+SUMIFS($AF$7:$AF$1576,$BU$7:$BU$1576,BU982,$AI$7:$AI$1576,AI982,$BO$7:$BO$1576,"&lt;="&amp;BO982),"")</f>
        <v/>
      </c>
      <c r="AK982" s="65" t="n">
        <f aca="false">IF(AJ982="",0,MAX(0,MIN(1,(IF(BU982="L1",Parameter!$E$5,Parameter!$E$6+Parameter!$E$7)-(AJ982-AF982))/AF982)))</f>
        <v>0</v>
      </c>
      <c r="AL982" s="57" t="n">
        <f aca="false">IF(LEFT(Cockpit!$I$5,1)="A",G982,IF(BW982=1,BX982,IF(LEFT(Cockpit!$I$5,1)="B",AP982,MAX(AP982,G982))))</f>
        <v>196</v>
      </c>
      <c r="AM982" s="57" t="n">
        <f aca="false">IF(BR982=1,0,ROUNDUP(AL982/BQ982,0))</f>
        <v>1</v>
      </c>
      <c r="AN982" s="59" t="n">
        <f aca="false">IF(CD982&gt;0,CD982*MAX(1,AL982/V982),IF(BR982=1,IF(AL982&lt;=0,0,BS982*MAX(1,IF(G982&gt;0,AL982/G982,1))),IF(Q982&gt;0,AM982/Q982,0))/MAX(0.1,N(Parameter!$M$21)))</f>
        <v>0.0384615384615385</v>
      </c>
      <c r="AO982" s="57" t="n">
        <f aca="false">AL982*F982</f>
        <v>301.84</v>
      </c>
      <c r="AP982" s="57" t="n">
        <f aca="false">ROUNDUP(MAX(I982/IF(BV982&gt;0,BV982,MAX(0.1,N(Cockpit!$I$6))),BY982)/BQ982,0)*BQ982</f>
        <v>196</v>
      </c>
      <c r="AQ982" s="58" t="n">
        <f aca="false">IF(AN982&gt;0,I982/AN982,-1)</f>
        <v>1092</v>
      </c>
      <c r="AR982" s="58" t="n">
        <f aca="false">IF(AND(OR(BU982="L1",BU982="L23"),AN982&gt;0),SUMIFS($AN$7:$AN$1576,$BU$7:$BU$1576,BU982,$AQ$7:$AQ$1576,"&gt;"&amp;AQ982)+SUMIFS($AN$7:$AN$1576,$BU$7:$BU$1576,BU982,$AQ$7:$AQ$1576,AQ982,$BO$7:$BO$1576,"&lt;="&amp;BO982),"")</f>
        <v>22.1891459389397</v>
      </c>
      <c r="AS982" s="65" t="n">
        <f aca="false">IF(AR982="",0,MAX(0,MIN(1,(IF(BU982="L1",Parameter!$E$5,Parameter!$E$6+Parameter!$E$7)-(AR982-AN982))/AN982)))</f>
        <v>1</v>
      </c>
      <c r="AT982" s="57" t="n">
        <f aca="false">IF(LEFT(Cockpit!$O$5,1)="A",G982,IF(BW982=1,BX982,IF(LEFT(Cockpit!$O$5,1)="B",AX982,MAX(AX982,G982))))</f>
        <v>196</v>
      </c>
      <c r="AU982" s="57" t="n">
        <f aca="false">IF(BR982=1,0,ROUNDUP(AT982/BQ982,0))</f>
        <v>1</v>
      </c>
      <c r="AV982" s="59" t="n">
        <f aca="false">IF(CD982&gt;0,CD982*MAX(1,AT982/V982),IF(BR982=1,IF(AT982&lt;=0,0,BS982*MAX(1,IF(G982&gt;0,AT982/G982,1))),IF(Q982&gt;0,AU982/Q982,0))/MAX(0.1,N(Parameter!$M$21)))</f>
        <v>0.0384615384615385</v>
      </c>
      <c r="AW982" s="57" t="n">
        <f aca="false">AT982*F982</f>
        <v>301.84</v>
      </c>
      <c r="AX982" s="57" t="n">
        <f aca="false">ROUNDUP(MAX(I982/IF(BV982&gt;0,BV982,MAX(0.1,N(Cockpit!$O$6))),BY982)/BQ982,0)*BQ982</f>
        <v>196</v>
      </c>
      <c r="AY982" s="58" t="n">
        <f aca="false">IF(AV982&gt;0,I982/AV982,-1)</f>
        <v>1092</v>
      </c>
      <c r="AZ982" s="58" t="n">
        <f aca="false">IF(AND(OR(BU982="L1",BU982="L23"),AV982&gt;0),SUMIFS($AV$7:$AV$1576,$BU$7:$BU$1576,BU982,$AY$7:$AY$1576,"&gt;"&amp;AY982)+SUMIFS($AV$7:$AV$1576,$BU$7:$BU$1576,BU982,$AY$7:$AY$1576,AY982,$BO$7:$BO$1576,"&lt;="&amp;BO982),"")</f>
        <v>21.4997519995458</v>
      </c>
      <c r="BA982" s="65" t="n">
        <f aca="false">IF(AZ982="",0,MAX(0,MIN(1,(IF(BU982="L1",Parameter!$E$5,Parameter!$E$6+Parameter!$E$7)-(AZ982-AV982))/AV982)))</f>
        <v>1</v>
      </c>
      <c r="BB982" s="55" t="str">
        <f aca="false">IF(AF982&lt;=0,"",IF(BU982="Aussen","Aussenlager",IF(BU982="-","Nicht im Lift",IF(AK982&gt;=1,"Lift",IF(AK982&lt;=0,"Aussenlager","teilweise")))))</f>
        <v/>
      </c>
      <c r="BC982" s="55" t="str">
        <f aca="false">IF(AN982&lt;=0,"",IF(BU982="Aussen","Aussenlager",IF(BU982="-","Nicht im Lift",IF(AS982&gt;=1,"Lift",IF(AS982&lt;=0,"Aussenlager","teilweise")))))</f>
        <v>Lift</v>
      </c>
      <c r="BD982" s="55" t="str">
        <f aca="false">IF(AV982&lt;=0,"",IF(BU982="Aussen","Aussenlager",IF(BU982="-","Nicht im Lift",IF(BA982&gt;=1,"Lift",IF(BA982&lt;=0,"Aussenlager","teilweise")))))</f>
        <v>Lift</v>
      </c>
      <c r="BE982" s="55" t="str">
        <f aca="false">IF(A982="","",IF(BN982=1,"Neu; ","")&amp;IF(AND(BN982=0,BI982&lt;0),"negativer Bestand (Export "&amp;BI982&amp;"); ","")&amp;IF(I982&lt;=0,"Kein Verbrauch; ","")&amp;IF(CD982&gt;0,"Lift "&amp;U982&amp;" lt. Liftbericht (Fach "&amp;V982&amp;" Stk); ",IF(BR982=1,"Lose – Fläche geschätzt; ",""))&amp;IF(G982&gt;AP982,"Überbestand "&amp;ROUND(G982-AP982,0)&amp;" Stk / CHF "&amp;ROUND((G982-AP982)*F982,0)&amp;"; ","")&amp;IF(AND(BW982=1,BX982&lt;BY982),"MAX &lt; MB+LG; ","")&amp;IF(AND(CC982&gt;0,CB982*10&gt;CC982),"zu hoch für Tablar; ","")&amp;IF(AND(BN982=0,OR(BW982=1,Y982&lt;&gt;"",S982&lt;&gt;"",T982&lt;&gt;"",Z982&lt;&gt;"")),"manuell übersteuert; ","")&amp;IF(AND(BR982=0,Q982=0),"Gebinde unbekannt / Stellmass fehlt; ","")&amp;IF(AND(BR982=0,N(T982)&lt;=0,N(P982)&lt;=0),"Menge pro Gebinde fehlt (Ist = 1 Gebinde); ","")&amp;BM982)</f>
        <v>negativer Bestand (Export -50); </v>
      </c>
      <c r="BF982" s="55"/>
      <c r="BG982" s="55"/>
      <c r="BH982" s="62"/>
      <c r="BI982" s="57" t="n">
        <v>-50</v>
      </c>
      <c r="BJ982" s="57" t="n">
        <v>247</v>
      </c>
      <c r="BK982" s="56" t="n">
        <v>-77</v>
      </c>
      <c r="BL982" s="57" t="n">
        <v>42</v>
      </c>
      <c r="BM982" s="55"/>
      <c r="BN982" s="60" t="n">
        <v>0</v>
      </c>
      <c r="BO982" s="60" t="n">
        <v>982</v>
      </c>
      <c r="BP982" s="55" t="str">
        <f aca="false">IF(S982&lt;&gt;"",UPPER(TRIM(S982)),IF(O982="","LOSE",O982))</f>
        <v>S51</v>
      </c>
      <c r="BQ982" s="57" t="n">
        <f aca="false">IF(BP982="LOSE",1,IF(N(T982)&gt;0,T982,IF(N(P982)&gt;0,P982,MAX(1,G982))))</f>
        <v>196</v>
      </c>
      <c r="BR982" s="60" t="n">
        <f aca="false">IF(BP982="LOSE",1,0)</f>
        <v>0</v>
      </c>
      <c r="BS982" s="59" t="n">
        <f aca="false">IF(BR982=0,0,IF(N(R982)&gt;0,R982,IFERROR(VLOOKUP(D982,Parameter!$A$35:$C$64,3,0)+0,0)))</f>
        <v>0</v>
      </c>
      <c r="BT982" s="55" t="n">
        <f aca="false">IF(Y982&lt;&gt;"",Y982,X982)</f>
        <v>3</v>
      </c>
      <c r="BU982" s="55" t="str">
        <f aca="false">IF(BT982=1,"L1",IF(OR(BT982=2,BT982=3),"L23",IF(BT982="Aussen","Aussen","-")))</f>
        <v>L23</v>
      </c>
      <c r="BV982" s="66" t="n">
        <f aca="false">IF(N(Z982)&gt;0,Z982,0)</f>
        <v>0</v>
      </c>
      <c r="BW982" s="60" t="n">
        <f aca="false">IF(ISNUMBER(AC982),1,0)</f>
        <v>0</v>
      </c>
      <c r="BX982" s="57" t="n">
        <f aca="false">N(AC982)</f>
        <v>0</v>
      </c>
      <c r="BY982" s="57" t="n">
        <f aca="false">N(L982)+N(M982)</f>
        <v>43</v>
      </c>
      <c r="BZ982" s="57" t="n">
        <f aca="false">ROUNDUP(G982/BQ982,0)</f>
        <v>0</v>
      </c>
      <c r="CA982" s="57" t="n">
        <f aca="false">ROUNDUP(BX982/BQ982,0)</f>
        <v>0</v>
      </c>
      <c r="CB982" s="60" t="n">
        <f aca="false">IF(BR982=1,0,IFERROR(VLOOKUP(BP982,'Gebinde-Kategorie'!$A$5:$M$45,5,0)+0,0))</f>
        <v>11</v>
      </c>
      <c r="CC982" s="60" t="n">
        <f aca="false">IFERROR(IF(OR(BT982=1,BT982=2,BT982=3),N(INDEX(Parameter!$I$5:$I$7,BT982)),0),0)</f>
        <v>0</v>
      </c>
      <c r="CD982" s="59" t="n">
        <f aca="false">IF(AND(Parameter!$B$21="Ja",ISNUMBER(U982),N(V982)&gt;0),IFERROR(N(INDEX(Parameter!$L$5:$L$7,U982))*INDEX(Parameter!$E$5:$E$7,U982)*V982/SUMIFS($V$7:$V$1576,$U$7:$U$1576,U982),0),0)</f>
        <v>0</v>
      </c>
    </row>
    <row r="983" customFormat="false" ht="15" hidden="false" customHeight="false" outlineLevel="0" collapsed="false">
      <c r="A983" s="55" t="s">
        <v>1805</v>
      </c>
      <c r="B983" s="55" t="s">
        <v>578</v>
      </c>
      <c r="C983" s="55" t="s">
        <v>160</v>
      </c>
      <c r="D983" s="55" t="s">
        <v>178</v>
      </c>
      <c r="E983" s="55" t="s">
        <v>210</v>
      </c>
      <c r="F983" s="56" t="n">
        <v>1.66</v>
      </c>
      <c r="G983" s="57" t="n">
        <f aca="false">MAX(0,IF(AND(Parameter!$B$21="Ja",ISNUMBER(W983)),W983,IF(Parameter!$B$20="Jahresanfang 2025 + Export",BJ983+BI983,BI983)))</f>
        <v>0</v>
      </c>
      <c r="H983" s="57" t="n">
        <f aca="false">G983*F983</f>
        <v>0</v>
      </c>
      <c r="I983" s="57" t="n">
        <f aca="false">BL983*Parameter!$B$18</f>
        <v>310</v>
      </c>
      <c r="J983" s="58" t="n">
        <v>148</v>
      </c>
      <c r="K983" s="59" t="n">
        <v>2.0945945945946</v>
      </c>
      <c r="L983" s="57" t="n">
        <v>12</v>
      </c>
      <c r="M983" s="57" t="n">
        <v>310</v>
      </c>
      <c r="N983" s="60" t="n">
        <v>14</v>
      </c>
      <c r="O983" s="55" t="s">
        <v>391</v>
      </c>
      <c r="P983" s="57" t="n">
        <v>74</v>
      </c>
      <c r="Q983" s="60" t="n">
        <f aca="false">IF(BR983=1,0,IFERROR(VLOOKUP(BP983,'Gebinde-Kategorie'!$A$5:$M$45,13,0)+0,0))</f>
        <v>414</v>
      </c>
      <c r="R983" s="61"/>
      <c r="S983" s="62"/>
      <c r="T983" s="62"/>
      <c r="U983" s="55"/>
      <c r="V983" s="57"/>
      <c r="W983" s="57"/>
      <c r="X983" s="55" t="n">
        <f aca="false">IF(A983="","",IF(AND(Parameter!$B$21="Ja",ISNUMBER(U983)),U983,IF(IFERROR(VLOOKUP(D983,Parameter!$A$35:$C$64,2,0),"Nein")="2+3",IF(ISNUMBER(SEARCH("grosser Artikel",BM983)),2,IFERROR(VLOOKUP(BP983,Parameter!$F$35:$G$64,2,0),2)),IF(OR(IFERROR(VLOOKUP(D983,Parameter!$A$35:$C$64,2,0),"Nein")="Nein",IFERROR(VLOOKUP(D983,Parameter!$A$35:$C$64,2,0),"Nein")=""),"-",VLOOKUP(D983,Parameter!$A$35:$C$64,2,0)))))</f>
        <v>3</v>
      </c>
      <c r="Y983" s="62"/>
      <c r="Z983" s="63"/>
      <c r="AA983" s="57" t="n">
        <f aca="false">AP983</f>
        <v>370</v>
      </c>
      <c r="AB983" s="57" t="n">
        <f aca="false">MAX(AP983,G983)</f>
        <v>370</v>
      </c>
      <c r="AC983" s="64"/>
      <c r="AD983" s="57" t="n">
        <f aca="false">IF(LEFT(Cockpit!$C$5,1)="A",G983,IF(BW983=1,BX983,IF(LEFT(Cockpit!$C$5,1)="B",AH983,MAX(AH983,G983))))</f>
        <v>0</v>
      </c>
      <c r="AE983" s="57" t="n">
        <f aca="false">IF(BR983=1,0,ROUNDUP(AD983/BQ983,0))</f>
        <v>0</v>
      </c>
      <c r="AF983" s="59" t="n">
        <f aca="false">IF(CD983&gt;0,CD983*MAX(1,AD983/V983),IF(BR983=1,IF(AD983&lt;=0,0,BS983*MAX(1,IF(G983&gt;0,AD983/G983,1))),IF(Q983&gt;0,AE983/Q983,0))/MAX(0.1,N(Parameter!$M$21)))</f>
        <v>0</v>
      </c>
      <c r="AG983" s="57" t="n">
        <f aca="false">AD983*F983</f>
        <v>0</v>
      </c>
      <c r="AH983" s="57" t="n">
        <f aca="false">ROUNDUP(MAX(I983/IF(BV983&gt;0,BV983,MAX(0.1,N(Cockpit!$C$6))),BY983)/BQ983,0)*BQ983</f>
        <v>370</v>
      </c>
      <c r="AI983" s="58" t="n">
        <f aca="false">IF(AF983&gt;0,I983/AF983,-1)</f>
        <v>-1</v>
      </c>
      <c r="AJ983" s="58" t="str">
        <f aca="false">IF(AND(OR(BU983="L1",BU983="L23"),AF983&gt;0),SUMIFS($AF$7:$AF$1576,$BU$7:$BU$1576,BU983,$AI$7:$AI$1576,"&gt;"&amp;AI983)+SUMIFS($AF$7:$AF$1576,$BU$7:$BU$1576,BU983,$AI$7:$AI$1576,AI983,$BO$7:$BO$1576,"&lt;="&amp;BO983),"")</f>
        <v/>
      </c>
      <c r="AK983" s="65" t="n">
        <f aca="false">IF(AJ983="",0,MAX(0,MIN(1,(IF(BU983="L1",Parameter!$E$5,Parameter!$E$6+Parameter!$E$7)-(AJ983-AF983))/AF983)))</f>
        <v>0</v>
      </c>
      <c r="AL983" s="57" t="n">
        <f aca="false">IF(LEFT(Cockpit!$I$5,1)="A",G983,IF(BW983=1,BX983,IF(LEFT(Cockpit!$I$5,1)="B",AP983,MAX(AP983,G983))))</f>
        <v>370</v>
      </c>
      <c r="AM983" s="57" t="n">
        <f aca="false">IF(BR983=1,0,ROUNDUP(AL983/BQ983,0))</f>
        <v>5</v>
      </c>
      <c r="AN983" s="59" t="n">
        <f aca="false">IF(CD983&gt;0,CD983*MAX(1,AL983/V983),IF(BR983=1,IF(AL983&lt;=0,0,BS983*MAX(1,IF(G983&gt;0,AL983/G983,1))),IF(Q983&gt;0,AM983/Q983,0))/MAX(0.1,N(Parameter!$M$21)))</f>
        <v>0.0120772946859903</v>
      </c>
      <c r="AO983" s="57" t="n">
        <f aca="false">AL983*F983</f>
        <v>614.2</v>
      </c>
      <c r="AP983" s="57" t="n">
        <f aca="false">ROUNDUP(MAX(I983/IF(BV983&gt;0,BV983,MAX(0.1,N(Cockpit!$I$6))),BY983)/BQ983,0)*BQ983</f>
        <v>370</v>
      </c>
      <c r="AQ983" s="58" t="n">
        <f aca="false">IF(AN983&gt;0,I983/AN983,-1)</f>
        <v>25668</v>
      </c>
      <c r="AR983" s="58" t="n">
        <f aca="false">IF(AND(OR(BU983="L1",BU983="L23"),AN983&gt;0),SUMIFS($AN$7:$AN$1576,$BU$7:$BU$1576,BU983,$AQ$7:$AQ$1576,"&gt;"&amp;AQ983)+SUMIFS($AN$7:$AN$1576,$BU$7:$BU$1576,BU983,$AQ$7:$AQ$1576,AQ983,$BO$7:$BO$1576,"&lt;="&amp;BO983),"")</f>
        <v>3.24010540184453</v>
      </c>
      <c r="AS983" s="65" t="n">
        <f aca="false">IF(AR983="",0,MAX(0,MIN(1,(IF(BU983="L1",Parameter!$E$5,Parameter!$E$6+Parameter!$E$7)-(AR983-AN983))/AN983)))</f>
        <v>1</v>
      </c>
      <c r="AT983" s="57" t="n">
        <f aca="false">IF(LEFT(Cockpit!$O$5,1)="A",G983,IF(BW983=1,BX983,IF(LEFT(Cockpit!$O$5,1)="B",AX983,MAX(AX983,G983))))</f>
        <v>370</v>
      </c>
      <c r="AU983" s="57" t="n">
        <f aca="false">IF(BR983=1,0,ROUNDUP(AT983/BQ983,0))</f>
        <v>5</v>
      </c>
      <c r="AV983" s="59" t="n">
        <f aca="false">IF(CD983&gt;0,CD983*MAX(1,AT983/V983),IF(BR983=1,IF(AT983&lt;=0,0,BS983*MAX(1,IF(G983&gt;0,AT983/G983,1))),IF(Q983&gt;0,AU983/Q983,0))/MAX(0.1,N(Parameter!$M$21)))</f>
        <v>0.0120772946859903</v>
      </c>
      <c r="AW983" s="57" t="n">
        <f aca="false">AT983*F983</f>
        <v>614.2</v>
      </c>
      <c r="AX983" s="57" t="n">
        <f aca="false">ROUNDUP(MAX(I983/IF(BV983&gt;0,BV983,MAX(0.1,N(Cockpit!$O$6))),BY983)/BQ983,0)*BQ983</f>
        <v>370</v>
      </c>
      <c r="AY983" s="58" t="n">
        <f aca="false">IF(AV983&gt;0,I983/AV983,-1)</f>
        <v>25668</v>
      </c>
      <c r="AZ983" s="58" t="n">
        <f aca="false">IF(AND(OR(BU983="L1",BU983="L23"),AV983&gt;0),SUMIFS($AV$7:$AV$1576,$BU$7:$BU$1576,BU983,$AY$7:$AY$1576,"&gt;"&amp;AY983)+SUMIFS($AV$7:$AV$1576,$BU$7:$BU$1576,BU983,$AY$7:$AY$1576,AY983,$BO$7:$BO$1576,"&lt;="&amp;BO983),"")</f>
        <v>3.0081706699098</v>
      </c>
      <c r="BA983" s="65" t="n">
        <f aca="false">IF(AZ983="",0,MAX(0,MIN(1,(IF(BU983="L1",Parameter!$E$5,Parameter!$E$6+Parameter!$E$7)-(AZ983-AV983))/AV983)))</f>
        <v>1</v>
      </c>
      <c r="BB983" s="55" t="str">
        <f aca="false">IF(AF983&lt;=0,"",IF(BU983="Aussen","Aussenlager",IF(BU983="-","Nicht im Lift",IF(AK983&gt;=1,"Lift",IF(AK983&lt;=0,"Aussenlager","teilweise")))))</f>
        <v/>
      </c>
      <c r="BC983" s="55" t="str">
        <f aca="false">IF(AN983&lt;=0,"",IF(BU983="Aussen","Aussenlager",IF(BU983="-","Nicht im Lift",IF(AS983&gt;=1,"Lift",IF(AS983&lt;=0,"Aussenlager","teilweise")))))</f>
        <v>Lift</v>
      </c>
      <c r="BD983" s="55" t="str">
        <f aca="false">IF(AV983&lt;=0,"",IF(BU983="Aussen","Aussenlager",IF(BU983="-","Nicht im Lift",IF(BA983&gt;=1,"Lift",IF(BA983&lt;=0,"Aussenlager","teilweise")))))</f>
        <v>Lift</v>
      </c>
      <c r="BE983" s="55" t="str">
        <f aca="false">IF(A983="","",IF(BN983=1,"Neu; ","")&amp;IF(AND(BN983=0,BI983&lt;0),"negativer Bestand (Export "&amp;BI983&amp;"); ","")&amp;IF(I983&lt;=0,"Kein Verbrauch; ","")&amp;IF(CD983&gt;0,"Lift "&amp;U983&amp;" lt. Liftbericht (Fach "&amp;V983&amp;" Stk); ",IF(BR983=1,"Lose – Fläche geschätzt; ",""))&amp;IF(G983&gt;AP983,"Überbestand "&amp;ROUND(G983-AP983,0)&amp;" Stk / CHF "&amp;ROUND((G983-AP983)*F983,0)&amp;"; ","")&amp;IF(AND(BW983=1,BX983&lt;BY983),"MAX &lt; MB+LG; ","")&amp;IF(AND(CC983&gt;0,CB983*10&gt;CC983),"zu hoch für Tablar; ","")&amp;IF(AND(BN983=0,OR(BW983=1,Y983&lt;&gt;"",S983&lt;&gt;"",T983&lt;&gt;"",Z983&lt;&gt;"")),"manuell übersteuert; ","")&amp;IF(AND(BR983=0,Q983=0),"Gebinde unbekannt / Stellmass fehlt; ","")&amp;IF(AND(BR983=0,N(T983)&lt;=0,N(P983)&lt;=0),"Menge pro Gebinde fehlt (Ist = 1 Gebinde); ","")&amp;BM983)</f>
        <v>negativer Bestand (Export -44); </v>
      </c>
      <c r="BF983" s="55"/>
      <c r="BG983" s="55"/>
      <c r="BH983" s="62"/>
      <c r="BI983" s="57" t="n">
        <v>-44</v>
      </c>
      <c r="BJ983" s="57" t="n">
        <v>202</v>
      </c>
      <c r="BK983" s="56" t="n">
        <v>-77.0799999999999</v>
      </c>
      <c r="BL983" s="57" t="n">
        <v>310</v>
      </c>
      <c r="BM983" s="55"/>
      <c r="BN983" s="60" t="n">
        <v>0</v>
      </c>
      <c r="BO983" s="60" t="n">
        <v>983</v>
      </c>
      <c r="BP983" s="55" t="str">
        <f aca="false">IF(S983&lt;&gt;"",UPPER(TRIM(S983)),IF(O983="","LOSE",O983))</f>
        <v>S21</v>
      </c>
      <c r="BQ983" s="57" t="n">
        <f aca="false">IF(BP983="LOSE",1,IF(N(T983)&gt;0,T983,IF(N(P983)&gt;0,P983,MAX(1,G983))))</f>
        <v>74</v>
      </c>
      <c r="BR983" s="60" t="n">
        <f aca="false">IF(BP983="LOSE",1,0)</f>
        <v>0</v>
      </c>
      <c r="BS983" s="59" t="n">
        <f aca="false">IF(BR983=0,0,IF(N(R983)&gt;0,R983,IFERROR(VLOOKUP(D983,Parameter!$A$35:$C$64,3,0)+0,0)))</f>
        <v>0</v>
      </c>
      <c r="BT983" s="55" t="n">
        <f aca="false">IF(Y983&lt;&gt;"",Y983,X983)</f>
        <v>3</v>
      </c>
      <c r="BU983" s="55" t="str">
        <f aca="false">IF(BT983=1,"L1",IF(OR(BT983=2,BT983=3),"L23",IF(BT983="Aussen","Aussen","-")))</f>
        <v>L23</v>
      </c>
      <c r="BV983" s="66" t="n">
        <f aca="false">IF(N(Z983)&gt;0,Z983,0)</f>
        <v>0</v>
      </c>
      <c r="BW983" s="60" t="n">
        <f aca="false">IF(ISNUMBER(AC983),1,0)</f>
        <v>0</v>
      </c>
      <c r="BX983" s="57" t="n">
        <f aca="false">N(AC983)</f>
        <v>0</v>
      </c>
      <c r="BY983" s="57" t="n">
        <f aca="false">N(L983)+N(M983)</f>
        <v>322</v>
      </c>
      <c r="BZ983" s="57" t="n">
        <f aca="false">ROUNDUP(G983/BQ983,0)</f>
        <v>0</v>
      </c>
      <c r="CA983" s="57" t="n">
        <f aca="false">ROUNDUP(BX983/BQ983,0)</f>
        <v>0</v>
      </c>
      <c r="CB983" s="60" t="n">
        <f aca="false">IF(BR983=1,0,IFERROR(VLOOKUP(BP983,'Gebinde-Kategorie'!$A$5:$M$45,5,0)+0,0))</f>
        <v>8</v>
      </c>
      <c r="CC983" s="60" t="n">
        <f aca="false">IFERROR(IF(OR(BT983=1,BT983=2,BT983=3),N(INDEX(Parameter!$I$5:$I$7,BT983)),0),0)</f>
        <v>0</v>
      </c>
      <c r="CD983" s="59" t="n">
        <f aca="false">IF(AND(Parameter!$B$21="Ja",ISNUMBER(U983),N(V983)&gt;0),IFERROR(N(INDEX(Parameter!$L$5:$L$7,U983))*INDEX(Parameter!$E$5:$E$7,U983)*V983/SUMIFS($V$7:$V$1576,$U$7:$U$1576,U983),0),0)</f>
        <v>0</v>
      </c>
    </row>
    <row r="984" customFormat="false" ht="15" hidden="false" customHeight="false" outlineLevel="0" collapsed="false">
      <c r="A984" s="55" t="s">
        <v>1806</v>
      </c>
      <c r="B984" s="55" t="s">
        <v>1807</v>
      </c>
      <c r="C984" s="55" t="s">
        <v>160</v>
      </c>
      <c r="D984" s="55" t="s">
        <v>178</v>
      </c>
      <c r="E984" s="55" t="s">
        <v>210</v>
      </c>
      <c r="F984" s="56" t="n">
        <v>25.86</v>
      </c>
      <c r="G984" s="57" t="n">
        <f aca="false">MAX(0,IF(AND(Parameter!$B$21="Ja",ISNUMBER(W984)),W984,IF(Parameter!$B$20="Jahresanfang 2025 + Export",BJ984+BI984,BI984)))</f>
        <v>0</v>
      </c>
      <c r="H984" s="57" t="n">
        <f aca="false">G984*F984</f>
        <v>0</v>
      </c>
      <c r="I984" s="57" t="n">
        <f aca="false">BL984*Parameter!$B$18</f>
        <v>0</v>
      </c>
      <c r="J984" s="58" t="n">
        <v>62</v>
      </c>
      <c r="K984" s="59" t="n">
        <v>0</v>
      </c>
      <c r="L984" s="57" t="n">
        <v>0</v>
      </c>
      <c r="M984" s="57" t="n">
        <v>1</v>
      </c>
      <c r="N984" s="60" t="n">
        <v>14</v>
      </c>
      <c r="O984" s="55" t="s">
        <v>411</v>
      </c>
      <c r="P984" s="57" t="n">
        <v>78</v>
      </c>
      <c r="Q984" s="60" t="n">
        <f aca="false">IF(BR984=1,0,IFERROR(VLOOKUP(BP984,'Gebinde-Kategorie'!$A$5:$M$45,13,0)+0,0))</f>
        <v>132</v>
      </c>
      <c r="R984" s="61"/>
      <c r="S984" s="62"/>
      <c r="T984" s="62"/>
      <c r="U984" s="55"/>
      <c r="V984" s="57"/>
      <c r="W984" s="57"/>
      <c r="X984" s="55" t="n">
        <f aca="false">IF(A984="","",IF(AND(Parameter!$B$21="Ja",ISNUMBER(U984)),U984,IF(IFERROR(VLOOKUP(D984,Parameter!$A$35:$C$64,2,0),"Nein")="2+3",IF(ISNUMBER(SEARCH("grosser Artikel",BM984)),2,IFERROR(VLOOKUP(BP984,Parameter!$F$35:$G$64,2,0),2)),IF(OR(IFERROR(VLOOKUP(D984,Parameter!$A$35:$C$64,2,0),"Nein")="Nein",IFERROR(VLOOKUP(D984,Parameter!$A$35:$C$64,2,0),"Nein")=""),"-",VLOOKUP(D984,Parameter!$A$35:$C$64,2,0)))))</f>
        <v>3</v>
      </c>
      <c r="Y984" s="62"/>
      <c r="Z984" s="63"/>
      <c r="AA984" s="57" t="n">
        <f aca="false">AP984</f>
        <v>78</v>
      </c>
      <c r="AB984" s="57" t="n">
        <f aca="false">MAX(AP984,G984)</f>
        <v>78</v>
      </c>
      <c r="AC984" s="64"/>
      <c r="AD984" s="57" t="n">
        <f aca="false">IF(LEFT(Cockpit!$C$5,1)="A",G984,IF(BW984=1,BX984,IF(LEFT(Cockpit!$C$5,1)="B",AH984,MAX(AH984,G984))))</f>
        <v>0</v>
      </c>
      <c r="AE984" s="57" t="n">
        <f aca="false">IF(BR984=1,0,ROUNDUP(AD984/BQ984,0))</f>
        <v>0</v>
      </c>
      <c r="AF984" s="59" t="n">
        <f aca="false">IF(CD984&gt;0,CD984*MAX(1,AD984/V984),IF(BR984=1,IF(AD984&lt;=0,0,BS984*MAX(1,IF(G984&gt;0,AD984/G984,1))),IF(Q984&gt;0,AE984/Q984,0))/MAX(0.1,N(Parameter!$M$21)))</f>
        <v>0</v>
      </c>
      <c r="AG984" s="57" t="n">
        <f aca="false">AD984*F984</f>
        <v>0</v>
      </c>
      <c r="AH984" s="57" t="n">
        <f aca="false">ROUNDUP(MAX(I984/IF(BV984&gt;0,BV984,MAX(0.1,N(Cockpit!$C$6))),BY984)/BQ984,0)*BQ984</f>
        <v>78</v>
      </c>
      <c r="AI984" s="58" t="n">
        <f aca="false">IF(AF984&gt;0,I984/AF984,-1)</f>
        <v>-1</v>
      </c>
      <c r="AJ984" s="58" t="str">
        <f aca="false">IF(AND(OR(BU984="L1",BU984="L23"),AF984&gt;0),SUMIFS($AF$7:$AF$1576,$BU$7:$BU$1576,BU984,$AI$7:$AI$1576,"&gt;"&amp;AI984)+SUMIFS($AF$7:$AF$1576,$BU$7:$BU$1576,BU984,$AI$7:$AI$1576,AI984,$BO$7:$BO$1576,"&lt;="&amp;BO984),"")</f>
        <v/>
      </c>
      <c r="AK984" s="65" t="n">
        <f aca="false">IF(AJ984="",0,MAX(0,MIN(1,(IF(BU984="L1",Parameter!$E$5,Parameter!$E$6+Parameter!$E$7)-(AJ984-AF984))/AF984)))</f>
        <v>0</v>
      </c>
      <c r="AL984" s="57" t="n">
        <f aca="false">IF(LEFT(Cockpit!$I$5,1)="A",G984,IF(BW984=1,BX984,IF(LEFT(Cockpit!$I$5,1)="B",AP984,MAX(AP984,G984))))</f>
        <v>78</v>
      </c>
      <c r="AM984" s="57" t="n">
        <f aca="false">IF(BR984=1,0,ROUNDUP(AL984/BQ984,0))</f>
        <v>1</v>
      </c>
      <c r="AN984" s="59" t="n">
        <f aca="false">IF(CD984&gt;0,CD984*MAX(1,AL984/V984),IF(BR984=1,IF(AL984&lt;=0,0,BS984*MAX(1,IF(G984&gt;0,AL984/G984,1))),IF(Q984&gt;0,AM984/Q984,0))/MAX(0.1,N(Parameter!$M$21)))</f>
        <v>0.00757575757575758</v>
      </c>
      <c r="AO984" s="57" t="n">
        <f aca="false">AL984*F984</f>
        <v>2017.08</v>
      </c>
      <c r="AP984" s="57" t="n">
        <f aca="false">ROUNDUP(MAX(I984/IF(BV984&gt;0,BV984,MAX(0.1,N(Cockpit!$I$6))),BY984)/BQ984,0)*BQ984</f>
        <v>78</v>
      </c>
      <c r="AQ984" s="58" t="n">
        <f aca="false">IF(AN984&gt;0,I984/AN984,-1)</f>
        <v>0</v>
      </c>
      <c r="AR984" s="58" t="n">
        <f aca="false">IF(AND(OR(BU984="L1",BU984="L23"),AN984&gt;0),SUMIFS($AN$7:$AN$1576,$BU$7:$BU$1576,BU984,$AQ$7:$AQ$1576,"&gt;"&amp;AQ984)+SUMIFS($AN$7:$AN$1576,$BU$7:$BU$1576,BU984,$AQ$7:$AQ$1576,AQ984,$BO$7:$BO$1576,"&lt;="&amp;BO984),"")</f>
        <v>131.816127568132</v>
      </c>
      <c r="AS984" s="65" t="n">
        <f aca="false">IF(AR984="",0,MAX(0,MIN(1,(IF(BU984="L1",Parameter!$E$5,Parameter!$E$6+Parameter!$E$7)-(AR984-AN984))/AN984)))</f>
        <v>0</v>
      </c>
      <c r="AT984" s="57" t="n">
        <f aca="false">IF(LEFT(Cockpit!$O$5,1)="A",G984,IF(BW984=1,BX984,IF(LEFT(Cockpit!$O$5,1)="B",AX984,MAX(AX984,G984))))</f>
        <v>78</v>
      </c>
      <c r="AU984" s="57" t="n">
        <f aca="false">IF(BR984=1,0,ROUNDUP(AT984/BQ984,0))</f>
        <v>1</v>
      </c>
      <c r="AV984" s="59" t="n">
        <f aca="false">IF(CD984&gt;0,CD984*MAX(1,AT984/V984),IF(BR984=1,IF(AT984&lt;=0,0,BS984*MAX(1,IF(G984&gt;0,AT984/G984,1))),IF(Q984&gt;0,AU984/Q984,0))/MAX(0.1,N(Parameter!$M$21)))</f>
        <v>0.00757575757575758</v>
      </c>
      <c r="AW984" s="57" t="n">
        <f aca="false">AT984*F984</f>
        <v>2017.08</v>
      </c>
      <c r="AX984" s="57" t="n">
        <f aca="false">ROUNDUP(MAX(I984/IF(BV984&gt;0,BV984,MAX(0.1,N(Cockpit!$O$6))),BY984)/BQ984,0)*BQ984</f>
        <v>78</v>
      </c>
      <c r="AY984" s="58" t="n">
        <f aca="false">IF(AV984&gt;0,I984/AV984,-1)</f>
        <v>0</v>
      </c>
      <c r="AZ984" s="58" t="n">
        <f aca="false">IF(AND(OR(BU984="L1",BU984="L23"),AV984&gt;0),SUMIFS($AV$7:$AV$1576,$BU$7:$BU$1576,BU984,$AY$7:$AY$1576,"&gt;"&amp;AY984)+SUMIFS($AV$7:$AV$1576,$BU$7:$BU$1576,BU984,$AY$7:$AY$1576,AY984,$BO$7:$BO$1576,"&lt;="&amp;BO984),"")</f>
        <v>121.875678017682</v>
      </c>
      <c r="BA984" s="65" t="n">
        <f aca="false">IF(AZ984="",0,MAX(0,MIN(1,(IF(BU984="L1",Parameter!$E$5,Parameter!$E$6+Parameter!$E$7)-(AZ984-AV984))/AV984)))</f>
        <v>0</v>
      </c>
      <c r="BB984" s="55" t="str">
        <f aca="false">IF(AF984&lt;=0,"",IF(BU984="Aussen","Aussenlager",IF(BU984="-","Nicht im Lift",IF(AK984&gt;=1,"Lift",IF(AK984&lt;=0,"Aussenlager","teilweise")))))</f>
        <v/>
      </c>
      <c r="BC984" s="55" t="str">
        <f aca="false">IF(AN984&lt;=0,"",IF(BU984="Aussen","Aussenlager",IF(BU984="-","Nicht im Lift",IF(AS984&gt;=1,"Lift",IF(AS984&lt;=0,"Aussenlager","teilweise")))))</f>
        <v>Aussenlager</v>
      </c>
      <c r="BD984" s="55" t="str">
        <f aca="false">IF(AV984&lt;=0,"",IF(BU984="Aussen","Aussenlager",IF(BU984="-","Nicht im Lift",IF(BA984&gt;=1,"Lift",IF(BA984&lt;=0,"Aussenlager","teilweise")))))</f>
        <v>Aussenlager</v>
      </c>
      <c r="BE984" s="55" t="str">
        <f aca="false">IF(A984="","",IF(BN984=1,"Neu; ","")&amp;IF(AND(BN984=0,BI984&lt;0),"negativer Bestand (Export "&amp;BI984&amp;"); ","")&amp;IF(I984&lt;=0,"Kein Verbrauch; ","")&amp;IF(CD984&gt;0,"Lift "&amp;U984&amp;" lt. Liftbericht (Fach "&amp;V984&amp;" Stk); ",IF(BR984=1,"Lose – Fläche geschätzt; ",""))&amp;IF(G984&gt;AP984,"Überbestand "&amp;ROUND(G984-AP984,0)&amp;" Stk / CHF "&amp;ROUND((G984-AP984)*F984,0)&amp;"; ","")&amp;IF(AND(BW984=1,BX984&lt;BY984),"MAX &lt; MB+LG; ","")&amp;IF(AND(CC984&gt;0,CB984*10&gt;CC984),"zu hoch für Tablar; ","")&amp;IF(AND(BN984=0,OR(BW984=1,Y984&lt;&gt;"",S984&lt;&gt;"",T984&lt;&gt;"",Z984&lt;&gt;"")),"manuell übersteuert; ","")&amp;IF(AND(BR984=0,Q984=0),"Gebinde unbekannt / Stellmass fehlt; ","")&amp;IF(AND(BR984=0,N(T984)&lt;=0,N(P984)&lt;=0),"Menge pro Gebinde fehlt (Ist = 1 Gebinde); ","")&amp;BM984)</f>
        <v>negativer Bestand (Export -3); Kein Verbrauch; </v>
      </c>
      <c r="BF984" s="55"/>
      <c r="BG984" s="55"/>
      <c r="BH984" s="62"/>
      <c r="BI984" s="57" t="n">
        <v>-3</v>
      </c>
      <c r="BJ984" s="57" t="n">
        <v>62</v>
      </c>
      <c r="BK984" s="56" t="n">
        <v>-77.58</v>
      </c>
      <c r="BL984" s="57" t="n">
        <v>0</v>
      </c>
      <c r="BM984" s="55"/>
      <c r="BN984" s="60" t="n">
        <v>0</v>
      </c>
      <c r="BO984" s="60" t="n">
        <v>984</v>
      </c>
      <c r="BP984" s="55" t="str">
        <f aca="false">IF(S984&lt;&gt;"",UPPER(TRIM(S984)),IF(O984="","LOSE",O984))</f>
        <v>S32</v>
      </c>
      <c r="BQ984" s="57" t="n">
        <f aca="false">IF(BP984="LOSE",1,IF(N(T984)&gt;0,T984,IF(N(P984)&gt;0,P984,MAX(1,G984))))</f>
        <v>78</v>
      </c>
      <c r="BR984" s="60" t="n">
        <f aca="false">IF(BP984="LOSE",1,0)</f>
        <v>0</v>
      </c>
      <c r="BS984" s="59" t="n">
        <f aca="false">IF(BR984=0,0,IF(N(R984)&gt;0,R984,IFERROR(VLOOKUP(D984,Parameter!$A$35:$C$64,3,0)+0,0)))</f>
        <v>0</v>
      </c>
      <c r="BT984" s="55" t="n">
        <f aca="false">IF(Y984&lt;&gt;"",Y984,X984)</f>
        <v>3</v>
      </c>
      <c r="BU984" s="55" t="str">
        <f aca="false">IF(BT984=1,"L1",IF(OR(BT984=2,BT984=3),"L23",IF(BT984="Aussen","Aussen","-")))</f>
        <v>L23</v>
      </c>
      <c r="BV984" s="66" t="n">
        <f aca="false">IF(N(Z984)&gt;0,Z984,0)</f>
        <v>0</v>
      </c>
      <c r="BW984" s="60" t="n">
        <f aca="false">IF(ISNUMBER(AC984),1,0)</f>
        <v>0</v>
      </c>
      <c r="BX984" s="57" t="n">
        <f aca="false">N(AC984)</f>
        <v>0</v>
      </c>
      <c r="BY984" s="57" t="n">
        <f aca="false">N(L984)+N(M984)</f>
        <v>1</v>
      </c>
      <c r="BZ984" s="57" t="n">
        <f aca="false">ROUNDUP(G984/BQ984,0)</f>
        <v>0</v>
      </c>
      <c r="CA984" s="57" t="n">
        <f aca="false">ROUNDUP(BX984/BQ984,0)</f>
        <v>0</v>
      </c>
      <c r="CB984" s="60" t="n">
        <f aca="false">IF(BR984=1,0,IFERROR(VLOOKUP(BP984,'Gebinde-Kategorie'!$A$5:$M$45,5,0)+0,0))</f>
        <v>8</v>
      </c>
      <c r="CC984" s="60" t="n">
        <f aca="false">IFERROR(IF(OR(BT984=1,BT984=2,BT984=3),N(INDEX(Parameter!$I$5:$I$7,BT984)),0),0)</f>
        <v>0</v>
      </c>
      <c r="CD984" s="59" t="n">
        <f aca="false">IF(AND(Parameter!$B$21="Ja",ISNUMBER(U984),N(V984)&gt;0),IFERROR(N(INDEX(Parameter!$L$5:$L$7,U984))*INDEX(Parameter!$E$5:$E$7,U984)*V984/SUMIFS($V$7:$V$1576,$U$7:$U$1576,U984),0),0)</f>
        <v>0</v>
      </c>
    </row>
    <row r="985" customFormat="false" ht="15" hidden="false" customHeight="false" outlineLevel="0" collapsed="false">
      <c r="A985" s="55" t="s">
        <v>1808</v>
      </c>
      <c r="B985" s="55" t="s">
        <v>1809</v>
      </c>
      <c r="C985" s="55" t="s">
        <v>446</v>
      </c>
      <c r="D985" s="55" t="s">
        <v>178</v>
      </c>
      <c r="E985" s="55" t="s">
        <v>210</v>
      </c>
      <c r="F985" s="56" t="n">
        <v>2</v>
      </c>
      <c r="G985" s="57" t="n">
        <f aca="false">MAX(0,IF(AND(Parameter!$B$21="Ja",ISNUMBER(W985)),W985,IF(Parameter!$B$20="Jahresanfang 2025 + Export",BJ985+BI985,BI985)))</f>
        <v>0</v>
      </c>
      <c r="H985" s="57" t="n">
        <f aca="false">G985*F985</f>
        <v>0</v>
      </c>
      <c r="I985" s="57" t="n">
        <f aca="false">BL985*Parameter!$B$18</f>
        <v>0</v>
      </c>
      <c r="J985" s="58" t="n">
        <v>40</v>
      </c>
      <c r="K985" s="59" t="n">
        <v>0</v>
      </c>
      <c r="L985" s="57" t="n">
        <v>0</v>
      </c>
      <c r="M985" s="57" t="n">
        <v>1</v>
      </c>
      <c r="N985" s="60" t="n">
        <v>21</v>
      </c>
      <c r="O985" s="55" t="s">
        <v>163</v>
      </c>
      <c r="P985" s="57"/>
      <c r="Q985" s="60" t="n">
        <f aca="false">IF(BR985=1,0,IFERROR(VLOOKUP(BP985,'Gebinde-Kategorie'!$A$5:$M$45,13,0)+0,0))</f>
        <v>0</v>
      </c>
      <c r="R985" s="61"/>
      <c r="S985" s="62"/>
      <c r="T985" s="62"/>
      <c r="U985" s="55"/>
      <c r="V985" s="57"/>
      <c r="W985" s="57"/>
      <c r="X985" s="55" t="n">
        <f aca="false">IF(A985="","",IF(AND(Parameter!$B$21="Ja",ISNUMBER(U985)),U985,IF(IFERROR(VLOOKUP(D985,Parameter!$A$35:$C$64,2,0),"Nein")="2+3",IF(ISNUMBER(SEARCH("grosser Artikel",BM985)),2,IFERROR(VLOOKUP(BP985,Parameter!$F$35:$G$64,2,0),2)),IF(OR(IFERROR(VLOOKUP(D985,Parameter!$A$35:$C$64,2,0),"Nein")="Nein",IFERROR(VLOOKUP(D985,Parameter!$A$35:$C$64,2,0),"Nein")=""),"-",VLOOKUP(D985,Parameter!$A$35:$C$64,2,0)))))</f>
        <v>2</v>
      </c>
      <c r="Y985" s="62"/>
      <c r="Z985" s="63"/>
      <c r="AA985" s="57" t="n">
        <f aca="false">AP985</f>
        <v>1</v>
      </c>
      <c r="AB985" s="57" t="n">
        <f aca="false">MAX(AP985,G985)</f>
        <v>1</v>
      </c>
      <c r="AC985" s="64"/>
      <c r="AD985" s="57" t="n">
        <f aca="false">IF(LEFT(Cockpit!$C$5,1)="A",G985,IF(BW985=1,BX985,IF(LEFT(Cockpit!$C$5,1)="B",AH985,MAX(AH985,G985))))</f>
        <v>0</v>
      </c>
      <c r="AE985" s="57" t="n">
        <f aca="false">IF(BR985=1,0,ROUNDUP(AD985/BQ985,0))</f>
        <v>0</v>
      </c>
      <c r="AF985" s="59" t="n">
        <f aca="false">IF(CD985&gt;0,CD985*MAX(1,AD985/V985),IF(BR985=1,IF(AD985&lt;=0,0,BS985*MAX(1,IF(G985&gt;0,AD985/G985,1))),IF(Q985&gt;0,AE985/Q985,0))/MAX(0.1,N(Parameter!$M$21)))</f>
        <v>0</v>
      </c>
      <c r="AG985" s="57" t="n">
        <f aca="false">AD985*F985</f>
        <v>0</v>
      </c>
      <c r="AH985" s="57" t="n">
        <f aca="false">ROUNDUP(MAX(I985/IF(BV985&gt;0,BV985,MAX(0.1,N(Cockpit!$C$6))),BY985)/BQ985,0)*BQ985</f>
        <v>1</v>
      </c>
      <c r="AI985" s="58" t="n">
        <f aca="false">IF(AF985&gt;0,I985/AF985,-1)</f>
        <v>-1</v>
      </c>
      <c r="AJ985" s="58" t="str">
        <f aca="false">IF(AND(OR(BU985="L1",BU985="L23"),AF985&gt;0),SUMIFS($AF$7:$AF$1576,$BU$7:$BU$1576,BU985,$AI$7:$AI$1576,"&gt;"&amp;AI985)+SUMIFS($AF$7:$AF$1576,$BU$7:$BU$1576,BU985,$AI$7:$AI$1576,AI985,$BO$7:$BO$1576,"&lt;="&amp;BO985),"")</f>
        <v/>
      </c>
      <c r="AK985" s="65" t="n">
        <f aca="false">IF(AJ985="",0,MAX(0,MIN(1,(IF(BU985="L1",Parameter!$E$5,Parameter!$E$6+Parameter!$E$7)-(AJ985-AF985))/AF985)))</f>
        <v>0</v>
      </c>
      <c r="AL985" s="57" t="n">
        <f aca="false">IF(LEFT(Cockpit!$I$5,1)="A",G985,IF(BW985=1,BX985,IF(LEFT(Cockpit!$I$5,1)="B",AP985,MAX(AP985,G985))))</f>
        <v>1</v>
      </c>
      <c r="AM985" s="57" t="n">
        <f aca="false">IF(BR985=1,0,ROUNDUP(AL985/BQ985,0))</f>
        <v>0</v>
      </c>
      <c r="AN985" s="59" t="n">
        <f aca="false">IF(CD985&gt;0,CD985*MAX(1,AL985/V985),IF(BR985=1,IF(AL985&lt;=0,0,BS985*MAX(1,IF(G985&gt;0,AL985/G985,1))),IF(Q985&gt;0,AM985/Q985,0))/MAX(0.1,N(Parameter!$M$21)))</f>
        <v>0.03</v>
      </c>
      <c r="AO985" s="57" t="n">
        <f aca="false">AL985*F985</f>
        <v>2</v>
      </c>
      <c r="AP985" s="57" t="n">
        <f aca="false">ROUNDUP(MAX(I985/IF(BV985&gt;0,BV985,MAX(0.1,N(Cockpit!$I$6))),BY985)/BQ985,0)*BQ985</f>
        <v>1</v>
      </c>
      <c r="AQ985" s="58" t="n">
        <f aca="false">IF(AN985&gt;0,I985/AN985,-1)</f>
        <v>0</v>
      </c>
      <c r="AR985" s="58" t="n">
        <f aca="false">IF(AND(OR(BU985="L1",BU985="L23"),AN985&gt;0),SUMIFS($AN$7:$AN$1576,$BU$7:$BU$1576,BU985,$AQ$7:$AQ$1576,"&gt;"&amp;AQ985)+SUMIFS($AN$7:$AN$1576,$BU$7:$BU$1576,BU985,$AQ$7:$AQ$1576,AQ985,$BO$7:$BO$1576,"&lt;="&amp;BO985),"")</f>
        <v>131.846127568132</v>
      </c>
      <c r="AS985" s="65" t="n">
        <f aca="false">IF(AR985="",0,MAX(0,MIN(1,(IF(BU985="L1",Parameter!$E$5,Parameter!$E$6+Parameter!$E$7)-(AR985-AN985))/AN985)))</f>
        <v>0</v>
      </c>
      <c r="AT985" s="57" t="n">
        <f aca="false">IF(LEFT(Cockpit!$O$5,1)="A",G985,IF(BW985=1,BX985,IF(LEFT(Cockpit!$O$5,1)="B",AX985,MAX(AX985,G985))))</f>
        <v>1</v>
      </c>
      <c r="AU985" s="57" t="n">
        <f aca="false">IF(BR985=1,0,ROUNDUP(AT985/BQ985,0))</f>
        <v>0</v>
      </c>
      <c r="AV985" s="59" t="n">
        <f aca="false">IF(CD985&gt;0,CD985*MAX(1,AT985/V985),IF(BR985=1,IF(AT985&lt;=0,0,BS985*MAX(1,IF(G985&gt;0,AT985/G985,1))),IF(Q985&gt;0,AU985/Q985,0))/MAX(0.1,N(Parameter!$M$21)))</f>
        <v>0.03</v>
      </c>
      <c r="AW985" s="57" t="n">
        <f aca="false">AT985*F985</f>
        <v>2</v>
      </c>
      <c r="AX985" s="57" t="n">
        <f aca="false">ROUNDUP(MAX(I985/IF(BV985&gt;0,BV985,MAX(0.1,N(Cockpit!$O$6))),BY985)/BQ985,0)*BQ985</f>
        <v>1</v>
      </c>
      <c r="AY985" s="58" t="n">
        <f aca="false">IF(AV985&gt;0,I985/AV985,-1)</f>
        <v>0</v>
      </c>
      <c r="AZ985" s="58" t="n">
        <f aca="false">IF(AND(OR(BU985="L1",BU985="L23"),AV985&gt;0),SUMIFS($AV$7:$AV$1576,$BU$7:$BU$1576,BU985,$AY$7:$AY$1576,"&gt;"&amp;AY985)+SUMIFS($AV$7:$AV$1576,$BU$7:$BU$1576,BU985,$AY$7:$AY$1576,AY985,$BO$7:$BO$1576,"&lt;="&amp;BO985),"")</f>
        <v>121.905678017682</v>
      </c>
      <c r="BA985" s="65" t="n">
        <f aca="false">IF(AZ985="",0,MAX(0,MIN(1,(IF(BU985="L1",Parameter!$E$5,Parameter!$E$6+Parameter!$E$7)-(AZ985-AV985))/AV985)))</f>
        <v>0</v>
      </c>
      <c r="BB985" s="55" t="str">
        <f aca="false">IF(AF985&lt;=0,"",IF(BU985="Aussen","Aussenlager",IF(BU985="-","Nicht im Lift",IF(AK985&gt;=1,"Lift",IF(AK985&lt;=0,"Aussenlager","teilweise")))))</f>
        <v/>
      </c>
      <c r="BC985" s="55" t="str">
        <f aca="false">IF(AN985&lt;=0,"",IF(BU985="Aussen","Aussenlager",IF(BU985="-","Nicht im Lift",IF(AS985&gt;=1,"Lift",IF(AS985&lt;=0,"Aussenlager","teilweise")))))</f>
        <v>Aussenlager</v>
      </c>
      <c r="BD985" s="55" t="str">
        <f aca="false">IF(AV985&lt;=0,"",IF(BU985="Aussen","Aussenlager",IF(BU985="-","Nicht im Lift",IF(BA985&gt;=1,"Lift",IF(BA985&lt;=0,"Aussenlager","teilweise")))))</f>
        <v>Aussenlager</v>
      </c>
      <c r="BE985" s="55" t="str">
        <f aca="false">IF(A985="","",IF(BN985=1,"Neu; ","")&amp;IF(AND(BN985=0,BI985&lt;0),"negativer Bestand (Export "&amp;BI985&amp;"); ","")&amp;IF(I985&lt;=0,"Kein Verbrauch; ","")&amp;IF(CD985&gt;0,"Lift "&amp;U985&amp;" lt. Liftbericht (Fach "&amp;V985&amp;" Stk); ",IF(BR985=1,"Lose – Fläche geschätzt; ",""))&amp;IF(G985&gt;AP985,"Überbestand "&amp;ROUND(G985-AP985,0)&amp;" Stk / CHF "&amp;ROUND((G985-AP985)*F985,0)&amp;"; ","")&amp;IF(AND(BW985=1,BX985&lt;BY985),"MAX &lt; MB+LG; ","")&amp;IF(AND(CC985&gt;0,CB985*10&gt;CC985),"zu hoch für Tablar; ","")&amp;IF(AND(BN985=0,OR(BW985=1,Y985&lt;&gt;"",S985&lt;&gt;"",T985&lt;&gt;"",Z985&lt;&gt;"")),"manuell übersteuert; ","")&amp;IF(AND(BR985=0,Q985=0),"Gebinde unbekannt / Stellmass fehlt; ","")&amp;IF(AND(BR985=0,N(T985)&lt;=0,N(P985)&lt;=0),"Menge pro Gebinde fehlt (Ist = 1 Gebinde); ","")&amp;BM985)</f>
        <v>negativer Bestand (Export -40); Kein Verbrauch; Lose – Fläche geschätzt; </v>
      </c>
      <c r="BF985" s="55"/>
      <c r="BG985" s="55"/>
      <c r="BH985" s="62"/>
      <c r="BI985" s="57" t="n">
        <v>-40</v>
      </c>
      <c r="BJ985" s="57" t="n">
        <v>40</v>
      </c>
      <c r="BK985" s="56" t="n">
        <v>-80</v>
      </c>
      <c r="BL985" s="57" t="n">
        <v>0</v>
      </c>
      <c r="BM985" s="55"/>
      <c r="BN985" s="60" t="n">
        <v>0</v>
      </c>
      <c r="BO985" s="60" t="n">
        <v>985</v>
      </c>
      <c r="BP985" s="55" t="str">
        <f aca="false">IF(S985&lt;&gt;"",UPPER(TRIM(S985)),IF(O985="","LOSE",O985))</f>
        <v>LOSE</v>
      </c>
      <c r="BQ985" s="57" t="n">
        <f aca="false">IF(BP985="LOSE",1,IF(N(T985)&gt;0,T985,IF(N(P985)&gt;0,P985,MAX(1,G985))))</f>
        <v>1</v>
      </c>
      <c r="BR985" s="60" t="n">
        <f aca="false">IF(BP985="LOSE",1,0)</f>
        <v>1</v>
      </c>
      <c r="BS985" s="59" t="n">
        <f aca="false">IF(BR985=0,0,IF(N(R985)&gt;0,R985,IFERROR(VLOOKUP(D985,Parameter!$A$35:$C$64,3,0)+0,0)))</f>
        <v>0.03</v>
      </c>
      <c r="BT985" s="55" t="n">
        <f aca="false">IF(Y985&lt;&gt;"",Y985,X985)</f>
        <v>2</v>
      </c>
      <c r="BU985" s="55" t="str">
        <f aca="false">IF(BT985=1,"L1",IF(OR(BT985=2,BT985=3),"L23",IF(BT985="Aussen","Aussen","-")))</f>
        <v>L23</v>
      </c>
      <c r="BV985" s="66" t="n">
        <f aca="false">IF(N(Z985)&gt;0,Z985,0)</f>
        <v>0</v>
      </c>
      <c r="BW985" s="60" t="n">
        <f aca="false">IF(ISNUMBER(AC985),1,0)</f>
        <v>0</v>
      </c>
      <c r="BX985" s="57" t="n">
        <f aca="false">N(AC985)</f>
        <v>0</v>
      </c>
      <c r="BY985" s="57" t="n">
        <f aca="false">N(L985)+N(M985)</f>
        <v>1</v>
      </c>
      <c r="BZ985" s="57" t="n">
        <f aca="false">ROUNDUP(G985/BQ985,0)</f>
        <v>0</v>
      </c>
      <c r="CA985" s="57" t="n">
        <f aca="false">ROUNDUP(BX985/BQ985,0)</f>
        <v>0</v>
      </c>
      <c r="CB985" s="60" t="n">
        <f aca="false">IF(BR985=1,0,IFERROR(VLOOKUP(BP985,'Gebinde-Kategorie'!$A$5:$M$45,5,0)+0,0))</f>
        <v>0</v>
      </c>
      <c r="CC985" s="60" t="n">
        <f aca="false">IFERROR(IF(OR(BT985=1,BT985=2,BT985=3),N(INDEX(Parameter!$I$5:$I$7,BT985)),0),0)</f>
        <v>0</v>
      </c>
      <c r="CD985" s="59" t="n">
        <f aca="false">IF(AND(Parameter!$B$21="Ja",ISNUMBER(U985),N(V985)&gt;0),IFERROR(N(INDEX(Parameter!$L$5:$L$7,U985))*INDEX(Parameter!$E$5:$E$7,U985)*V985/SUMIFS($V$7:$V$1576,$U$7:$U$1576,U985),0),0)</f>
        <v>0</v>
      </c>
    </row>
    <row r="986" customFormat="false" ht="15" hidden="false" customHeight="false" outlineLevel="0" collapsed="false">
      <c r="A986" s="55" t="s">
        <v>1810</v>
      </c>
      <c r="B986" s="55" t="s">
        <v>1811</v>
      </c>
      <c r="C986" s="55" t="s">
        <v>446</v>
      </c>
      <c r="D986" s="55" t="s">
        <v>178</v>
      </c>
      <c r="E986" s="55" t="s">
        <v>210</v>
      </c>
      <c r="F986" s="56" t="n">
        <v>2</v>
      </c>
      <c r="G986" s="57" t="n">
        <f aca="false">MAX(0,IF(AND(Parameter!$B$21="Ja",ISNUMBER(W986)),W986,IF(Parameter!$B$20="Jahresanfang 2025 + Export",BJ986+BI986,BI986)))</f>
        <v>0</v>
      </c>
      <c r="H986" s="57" t="n">
        <f aca="false">G986*F986</f>
        <v>0</v>
      </c>
      <c r="I986" s="57" t="n">
        <f aca="false">BL986*Parameter!$B$18</f>
        <v>0</v>
      </c>
      <c r="J986" s="58" t="n">
        <v>37.5</v>
      </c>
      <c r="K986" s="59" t="n">
        <v>0</v>
      </c>
      <c r="L986" s="57" t="n">
        <v>0</v>
      </c>
      <c r="M986" s="57" t="n">
        <v>1</v>
      </c>
      <c r="N986" s="60" t="n">
        <v>21</v>
      </c>
      <c r="O986" s="55" t="s">
        <v>163</v>
      </c>
      <c r="P986" s="57"/>
      <c r="Q986" s="60" t="n">
        <f aca="false">IF(BR986=1,0,IFERROR(VLOOKUP(BP986,'Gebinde-Kategorie'!$A$5:$M$45,13,0)+0,0))</f>
        <v>0</v>
      </c>
      <c r="R986" s="61"/>
      <c r="S986" s="62"/>
      <c r="T986" s="62"/>
      <c r="U986" s="55"/>
      <c r="V986" s="57"/>
      <c r="W986" s="57"/>
      <c r="X986" s="55" t="n">
        <f aca="false">IF(A986="","",IF(AND(Parameter!$B$21="Ja",ISNUMBER(U986)),U986,IF(IFERROR(VLOOKUP(D986,Parameter!$A$35:$C$64,2,0),"Nein")="2+3",IF(ISNUMBER(SEARCH("grosser Artikel",BM986)),2,IFERROR(VLOOKUP(BP986,Parameter!$F$35:$G$64,2,0),2)),IF(OR(IFERROR(VLOOKUP(D986,Parameter!$A$35:$C$64,2,0),"Nein")="Nein",IFERROR(VLOOKUP(D986,Parameter!$A$35:$C$64,2,0),"Nein")=""),"-",VLOOKUP(D986,Parameter!$A$35:$C$64,2,0)))))</f>
        <v>2</v>
      </c>
      <c r="Y986" s="62"/>
      <c r="Z986" s="63"/>
      <c r="AA986" s="57" t="n">
        <f aca="false">AP986</f>
        <v>1</v>
      </c>
      <c r="AB986" s="57" t="n">
        <f aca="false">MAX(AP986,G986)</f>
        <v>1</v>
      </c>
      <c r="AC986" s="64"/>
      <c r="AD986" s="57" t="n">
        <f aca="false">IF(LEFT(Cockpit!$C$5,1)="A",G986,IF(BW986=1,BX986,IF(LEFT(Cockpit!$C$5,1)="B",AH986,MAX(AH986,G986))))</f>
        <v>0</v>
      </c>
      <c r="AE986" s="57" t="n">
        <f aca="false">IF(BR986=1,0,ROUNDUP(AD986/BQ986,0))</f>
        <v>0</v>
      </c>
      <c r="AF986" s="59" t="n">
        <f aca="false">IF(CD986&gt;0,CD986*MAX(1,AD986/V986),IF(BR986=1,IF(AD986&lt;=0,0,BS986*MAX(1,IF(G986&gt;0,AD986/G986,1))),IF(Q986&gt;0,AE986/Q986,0))/MAX(0.1,N(Parameter!$M$21)))</f>
        <v>0</v>
      </c>
      <c r="AG986" s="57" t="n">
        <f aca="false">AD986*F986</f>
        <v>0</v>
      </c>
      <c r="AH986" s="57" t="n">
        <f aca="false">ROUNDUP(MAX(I986/IF(BV986&gt;0,BV986,MAX(0.1,N(Cockpit!$C$6))),BY986)/BQ986,0)*BQ986</f>
        <v>1</v>
      </c>
      <c r="AI986" s="58" t="n">
        <f aca="false">IF(AF986&gt;0,I986/AF986,-1)</f>
        <v>-1</v>
      </c>
      <c r="AJ986" s="58" t="str">
        <f aca="false">IF(AND(OR(BU986="L1",BU986="L23"),AF986&gt;0),SUMIFS($AF$7:$AF$1576,$BU$7:$BU$1576,BU986,$AI$7:$AI$1576,"&gt;"&amp;AI986)+SUMIFS($AF$7:$AF$1576,$BU$7:$BU$1576,BU986,$AI$7:$AI$1576,AI986,$BO$7:$BO$1576,"&lt;="&amp;BO986),"")</f>
        <v/>
      </c>
      <c r="AK986" s="65" t="n">
        <f aca="false">IF(AJ986="",0,MAX(0,MIN(1,(IF(BU986="L1",Parameter!$E$5,Parameter!$E$6+Parameter!$E$7)-(AJ986-AF986))/AF986)))</f>
        <v>0</v>
      </c>
      <c r="AL986" s="57" t="n">
        <f aca="false">IF(LEFT(Cockpit!$I$5,1)="A",G986,IF(BW986=1,BX986,IF(LEFT(Cockpit!$I$5,1)="B",AP986,MAX(AP986,G986))))</f>
        <v>1</v>
      </c>
      <c r="AM986" s="57" t="n">
        <f aca="false">IF(BR986=1,0,ROUNDUP(AL986/BQ986,0))</f>
        <v>0</v>
      </c>
      <c r="AN986" s="59" t="n">
        <f aca="false">IF(CD986&gt;0,CD986*MAX(1,AL986/V986),IF(BR986=1,IF(AL986&lt;=0,0,BS986*MAX(1,IF(G986&gt;0,AL986/G986,1))),IF(Q986&gt;0,AM986/Q986,0))/MAX(0.1,N(Parameter!$M$21)))</f>
        <v>0.03</v>
      </c>
      <c r="AO986" s="57" t="n">
        <f aca="false">AL986*F986</f>
        <v>2</v>
      </c>
      <c r="AP986" s="57" t="n">
        <f aca="false">ROUNDUP(MAX(I986/IF(BV986&gt;0,BV986,MAX(0.1,N(Cockpit!$I$6))),BY986)/BQ986,0)*BQ986</f>
        <v>1</v>
      </c>
      <c r="AQ986" s="58" t="n">
        <f aca="false">IF(AN986&gt;0,I986/AN986,-1)</f>
        <v>0</v>
      </c>
      <c r="AR986" s="58" t="n">
        <f aca="false">IF(AND(OR(BU986="L1",BU986="L23"),AN986&gt;0),SUMIFS($AN$7:$AN$1576,$BU$7:$BU$1576,BU986,$AQ$7:$AQ$1576,"&gt;"&amp;AQ986)+SUMIFS($AN$7:$AN$1576,$BU$7:$BU$1576,BU986,$AQ$7:$AQ$1576,AQ986,$BO$7:$BO$1576,"&lt;="&amp;BO986),"")</f>
        <v>131.876127568132</v>
      </c>
      <c r="AS986" s="65" t="n">
        <f aca="false">IF(AR986="",0,MAX(0,MIN(1,(IF(BU986="L1",Parameter!$E$5,Parameter!$E$6+Parameter!$E$7)-(AR986-AN986))/AN986)))</f>
        <v>0</v>
      </c>
      <c r="AT986" s="57" t="n">
        <f aca="false">IF(LEFT(Cockpit!$O$5,1)="A",G986,IF(BW986=1,BX986,IF(LEFT(Cockpit!$O$5,1)="B",AX986,MAX(AX986,G986))))</f>
        <v>1</v>
      </c>
      <c r="AU986" s="57" t="n">
        <f aca="false">IF(BR986=1,0,ROUNDUP(AT986/BQ986,0))</f>
        <v>0</v>
      </c>
      <c r="AV986" s="59" t="n">
        <f aca="false">IF(CD986&gt;0,CD986*MAX(1,AT986/V986),IF(BR986=1,IF(AT986&lt;=0,0,BS986*MAX(1,IF(G986&gt;0,AT986/G986,1))),IF(Q986&gt;0,AU986/Q986,0))/MAX(0.1,N(Parameter!$M$21)))</f>
        <v>0.03</v>
      </c>
      <c r="AW986" s="57" t="n">
        <f aca="false">AT986*F986</f>
        <v>2</v>
      </c>
      <c r="AX986" s="57" t="n">
        <f aca="false">ROUNDUP(MAX(I986/IF(BV986&gt;0,BV986,MAX(0.1,N(Cockpit!$O$6))),BY986)/BQ986,0)*BQ986</f>
        <v>1</v>
      </c>
      <c r="AY986" s="58" t="n">
        <f aca="false">IF(AV986&gt;0,I986/AV986,-1)</f>
        <v>0</v>
      </c>
      <c r="AZ986" s="58" t="n">
        <f aca="false">IF(AND(OR(BU986="L1",BU986="L23"),AV986&gt;0),SUMIFS($AV$7:$AV$1576,$BU$7:$BU$1576,BU986,$AY$7:$AY$1576,"&gt;"&amp;AY986)+SUMIFS($AV$7:$AV$1576,$BU$7:$BU$1576,BU986,$AY$7:$AY$1576,AY986,$BO$7:$BO$1576,"&lt;="&amp;BO986),"")</f>
        <v>121.935678017682</v>
      </c>
      <c r="BA986" s="65" t="n">
        <f aca="false">IF(AZ986="",0,MAX(0,MIN(1,(IF(BU986="L1",Parameter!$E$5,Parameter!$E$6+Parameter!$E$7)-(AZ986-AV986))/AV986)))</f>
        <v>0</v>
      </c>
      <c r="BB986" s="55" t="str">
        <f aca="false">IF(AF986&lt;=0,"",IF(BU986="Aussen","Aussenlager",IF(BU986="-","Nicht im Lift",IF(AK986&gt;=1,"Lift",IF(AK986&lt;=0,"Aussenlager","teilweise")))))</f>
        <v/>
      </c>
      <c r="BC986" s="55" t="str">
        <f aca="false">IF(AN986&lt;=0,"",IF(BU986="Aussen","Aussenlager",IF(BU986="-","Nicht im Lift",IF(AS986&gt;=1,"Lift",IF(AS986&lt;=0,"Aussenlager","teilweise")))))</f>
        <v>Aussenlager</v>
      </c>
      <c r="BD986" s="55" t="str">
        <f aca="false">IF(AV986&lt;=0,"",IF(BU986="Aussen","Aussenlager",IF(BU986="-","Nicht im Lift",IF(BA986&gt;=1,"Lift",IF(BA986&lt;=0,"Aussenlager","teilweise")))))</f>
        <v>Aussenlager</v>
      </c>
      <c r="BE986" s="55" t="str">
        <f aca="false">IF(A986="","",IF(BN986=1,"Neu; ","")&amp;IF(AND(BN986=0,BI986&lt;0),"negativer Bestand (Export "&amp;BI986&amp;"); ","")&amp;IF(I986&lt;=0,"Kein Verbrauch; ","")&amp;IF(CD986&gt;0,"Lift "&amp;U986&amp;" lt. Liftbericht (Fach "&amp;V986&amp;" Stk); ",IF(BR986=1,"Lose – Fläche geschätzt; ",""))&amp;IF(G986&gt;AP986,"Überbestand "&amp;ROUND(G986-AP986,0)&amp;" Stk / CHF "&amp;ROUND((G986-AP986)*F986,0)&amp;"; ","")&amp;IF(AND(BW986=1,BX986&lt;BY986),"MAX &lt; MB+LG; ","")&amp;IF(AND(CC986&gt;0,CB986*10&gt;CC986),"zu hoch für Tablar; ","")&amp;IF(AND(BN986=0,OR(BW986=1,Y986&lt;&gt;"",S986&lt;&gt;"",T986&lt;&gt;"",Z986&lt;&gt;"")),"manuell übersteuert; ","")&amp;IF(AND(BR986=0,Q986=0),"Gebinde unbekannt / Stellmass fehlt; ","")&amp;IF(AND(BR986=0,N(T986)&lt;=0,N(P986)&lt;=0),"Menge pro Gebinde fehlt (Ist = 1 Gebinde); ","")&amp;BM986)</f>
        <v>negativer Bestand (Export -40); Kein Verbrauch; Lose – Fläche geschätzt; </v>
      </c>
      <c r="BF986" s="55"/>
      <c r="BG986" s="55"/>
      <c r="BH986" s="62"/>
      <c r="BI986" s="57" t="n">
        <v>-40</v>
      </c>
      <c r="BJ986" s="57" t="n">
        <v>40</v>
      </c>
      <c r="BK986" s="56" t="n">
        <v>-80</v>
      </c>
      <c r="BL986" s="57" t="n">
        <v>0</v>
      </c>
      <c r="BM986" s="55"/>
      <c r="BN986" s="60" t="n">
        <v>0</v>
      </c>
      <c r="BO986" s="60" t="n">
        <v>986</v>
      </c>
      <c r="BP986" s="55" t="str">
        <f aca="false">IF(S986&lt;&gt;"",UPPER(TRIM(S986)),IF(O986="","LOSE",O986))</f>
        <v>LOSE</v>
      </c>
      <c r="BQ986" s="57" t="n">
        <f aca="false">IF(BP986="LOSE",1,IF(N(T986)&gt;0,T986,IF(N(P986)&gt;0,P986,MAX(1,G986))))</f>
        <v>1</v>
      </c>
      <c r="BR986" s="60" t="n">
        <f aca="false">IF(BP986="LOSE",1,0)</f>
        <v>1</v>
      </c>
      <c r="BS986" s="59" t="n">
        <f aca="false">IF(BR986=0,0,IF(N(R986)&gt;0,R986,IFERROR(VLOOKUP(D986,Parameter!$A$35:$C$64,3,0)+0,0)))</f>
        <v>0.03</v>
      </c>
      <c r="BT986" s="55" t="n">
        <f aca="false">IF(Y986&lt;&gt;"",Y986,X986)</f>
        <v>2</v>
      </c>
      <c r="BU986" s="55" t="str">
        <f aca="false">IF(BT986=1,"L1",IF(OR(BT986=2,BT986=3),"L23",IF(BT986="Aussen","Aussen","-")))</f>
        <v>L23</v>
      </c>
      <c r="BV986" s="66" t="n">
        <f aca="false">IF(N(Z986)&gt;0,Z986,0)</f>
        <v>0</v>
      </c>
      <c r="BW986" s="60" t="n">
        <f aca="false">IF(ISNUMBER(AC986),1,0)</f>
        <v>0</v>
      </c>
      <c r="BX986" s="57" t="n">
        <f aca="false">N(AC986)</f>
        <v>0</v>
      </c>
      <c r="BY986" s="57" t="n">
        <f aca="false">N(L986)+N(M986)</f>
        <v>1</v>
      </c>
      <c r="BZ986" s="57" t="n">
        <f aca="false">ROUNDUP(G986/BQ986,0)</f>
        <v>0</v>
      </c>
      <c r="CA986" s="57" t="n">
        <f aca="false">ROUNDUP(BX986/BQ986,0)</f>
        <v>0</v>
      </c>
      <c r="CB986" s="60" t="n">
        <f aca="false">IF(BR986=1,0,IFERROR(VLOOKUP(BP986,'Gebinde-Kategorie'!$A$5:$M$45,5,0)+0,0))</f>
        <v>0</v>
      </c>
      <c r="CC986" s="60" t="n">
        <f aca="false">IFERROR(IF(OR(BT986=1,BT986=2,BT986=3),N(INDEX(Parameter!$I$5:$I$7,BT986)),0),0)</f>
        <v>0</v>
      </c>
      <c r="CD986" s="59" t="n">
        <f aca="false">IF(AND(Parameter!$B$21="Ja",ISNUMBER(U986),N(V986)&gt;0),IFERROR(N(INDEX(Parameter!$L$5:$L$7,U986))*INDEX(Parameter!$E$5:$E$7,U986)*V986/SUMIFS($V$7:$V$1576,$U$7:$U$1576,U986),0),0)</f>
        <v>0</v>
      </c>
    </row>
    <row r="987" customFormat="false" ht="15" hidden="false" customHeight="false" outlineLevel="0" collapsed="false">
      <c r="A987" s="55" t="s">
        <v>1812</v>
      </c>
      <c r="B987" s="55" t="s">
        <v>1813</v>
      </c>
      <c r="C987" s="55" t="s">
        <v>160</v>
      </c>
      <c r="D987" s="55" t="s">
        <v>178</v>
      </c>
      <c r="E987" s="55" t="s">
        <v>210</v>
      </c>
      <c r="F987" s="56" t="n">
        <v>80.81</v>
      </c>
      <c r="G987" s="57" t="n">
        <f aca="false">MAX(0,IF(AND(Parameter!$B$21="Ja",ISNUMBER(W987)),W987,IF(Parameter!$B$20="Jahresanfang 2025 + Export",BJ987+BI987,BI987)))</f>
        <v>0</v>
      </c>
      <c r="H987" s="57" t="n">
        <f aca="false">G987*F987</f>
        <v>0</v>
      </c>
      <c r="I987" s="57" t="n">
        <f aca="false">BL987*Parameter!$B$18</f>
        <v>1</v>
      </c>
      <c r="J987" s="58" t="n">
        <v>1.5</v>
      </c>
      <c r="K987" s="59" t="n">
        <v>0.666666666666667</v>
      </c>
      <c r="L987" s="57" t="n">
        <v>0</v>
      </c>
      <c r="M987" s="57" t="n">
        <v>1</v>
      </c>
      <c r="N987" s="60" t="n">
        <v>14</v>
      </c>
      <c r="O987" s="55" t="s">
        <v>293</v>
      </c>
      <c r="P987" s="57" t="n">
        <v>8</v>
      </c>
      <c r="Q987" s="60" t="n">
        <f aca="false">IF(BR987=1,0,IFERROR(VLOOKUP(BP987,'Gebinde-Kategorie'!$A$5:$M$45,13,0)+0,0))</f>
        <v>26</v>
      </c>
      <c r="R987" s="61"/>
      <c r="S987" s="62"/>
      <c r="T987" s="62"/>
      <c r="U987" s="55"/>
      <c r="V987" s="57"/>
      <c r="W987" s="57"/>
      <c r="X987" s="55" t="n">
        <f aca="false">IF(A987="","",IF(AND(Parameter!$B$21="Ja",ISNUMBER(U987)),U987,IF(IFERROR(VLOOKUP(D987,Parameter!$A$35:$C$64,2,0),"Nein")="2+3",IF(ISNUMBER(SEARCH("grosser Artikel",BM987)),2,IFERROR(VLOOKUP(BP987,Parameter!$F$35:$G$64,2,0),2)),IF(OR(IFERROR(VLOOKUP(D987,Parameter!$A$35:$C$64,2,0),"Nein")="Nein",IFERROR(VLOOKUP(D987,Parameter!$A$35:$C$64,2,0),"Nein")=""),"-",VLOOKUP(D987,Parameter!$A$35:$C$64,2,0)))))</f>
        <v>3</v>
      </c>
      <c r="Y987" s="62"/>
      <c r="Z987" s="63"/>
      <c r="AA987" s="57" t="n">
        <f aca="false">AP987</f>
        <v>8</v>
      </c>
      <c r="AB987" s="57" t="n">
        <f aca="false">MAX(AP987,G987)</f>
        <v>8</v>
      </c>
      <c r="AC987" s="64"/>
      <c r="AD987" s="57" t="n">
        <f aca="false">IF(LEFT(Cockpit!$C$5,1)="A",G987,IF(BW987=1,BX987,IF(LEFT(Cockpit!$C$5,1)="B",AH987,MAX(AH987,G987))))</f>
        <v>0</v>
      </c>
      <c r="AE987" s="57" t="n">
        <f aca="false">IF(BR987=1,0,ROUNDUP(AD987/BQ987,0))</f>
        <v>0</v>
      </c>
      <c r="AF987" s="59" t="n">
        <f aca="false">IF(CD987&gt;0,CD987*MAX(1,AD987/V987),IF(BR987=1,IF(AD987&lt;=0,0,BS987*MAX(1,IF(G987&gt;0,AD987/G987,1))),IF(Q987&gt;0,AE987/Q987,0))/MAX(0.1,N(Parameter!$M$21)))</f>
        <v>0</v>
      </c>
      <c r="AG987" s="57" t="n">
        <f aca="false">AD987*F987</f>
        <v>0</v>
      </c>
      <c r="AH987" s="57" t="n">
        <f aca="false">ROUNDUP(MAX(I987/IF(BV987&gt;0,BV987,MAX(0.1,N(Cockpit!$C$6))),BY987)/BQ987,0)*BQ987</f>
        <v>8</v>
      </c>
      <c r="AI987" s="58" t="n">
        <f aca="false">IF(AF987&gt;0,I987/AF987,-1)</f>
        <v>-1</v>
      </c>
      <c r="AJ987" s="58" t="str">
        <f aca="false">IF(AND(OR(BU987="L1",BU987="L23"),AF987&gt;0),SUMIFS($AF$7:$AF$1576,$BU$7:$BU$1576,BU987,$AI$7:$AI$1576,"&gt;"&amp;AI987)+SUMIFS($AF$7:$AF$1576,$BU$7:$BU$1576,BU987,$AI$7:$AI$1576,AI987,$BO$7:$BO$1576,"&lt;="&amp;BO987),"")</f>
        <v/>
      </c>
      <c r="AK987" s="65" t="n">
        <f aca="false">IF(AJ987="",0,MAX(0,MIN(1,(IF(BU987="L1",Parameter!$E$5,Parameter!$E$6+Parameter!$E$7)-(AJ987-AF987))/AF987)))</f>
        <v>0</v>
      </c>
      <c r="AL987" s="57" t="n">
        <f aca="false">IF(LEFT(Cockpit!$I$5,1)="A",G987,IF(BW987=1,BX987,IF(LEFT(Cockpit!$I$5,1)="B",AP987,MAX(AP987,G987))))</f>
        <v>8</v>
      </c>
      <c r="AM987" s="57" t="n">
        <f aca="false">IF(BR987=1,0,ROUNDUP(AL987/BQ987,0))</f>
        <v>1</v>
      </c>
      <c r="AN987" s="59" t="n">
        <f aca="false">IF(CD987&gt;0,CD987*MAX(1,AL987/V987),IF(BR987=1,IF(AL987&lt;=0,0,BS987*MAX(1,IF(G987&gt;0,AL987/G987,1))),IF(Q987&gt;0,AM987/Q987,0))/MAX(0.1,N(Parameter!$M$21)))</f>
        <v>0.0384615384615385</v>
      </c>
      <c r="AO987" s="57" t="n">
        <f aca="false">AL987*F987</f>
        <v>646.48</v>
      </c>
      <c r="AP987" s="57" t="n">
        <f aca="false">ROUNDUP(MAX(I987/IF(BV987&gt;0,BV987,MAX(0.1,N(Cockpit!$I$6))),BY987)/BQ987,0)*BQ987</f>
        <v>8</v>
      </c>
      <c r="AQ987" s="58" t="n">
        <f aca="false">IF(AN987&gt;0,I987/AN987,-1)</f>
        <v>26</v>
      </c>
      <c r="AR987" s="58" t="n">
        <f aca="false">IF(AND(OR(BU987="L1",BU987="L23"),AN987&gt;0),SUMIFS($AN$7:$AN$1576,$BU$7:$BU$1576,BU987,$AQ$7:$AQ$1576,"&gt;"&amp;AQ987)+SUMIFS($AN$7:$AN$1576,$BU$7:$BU$1576,BU987,$AQ$7:$AQ$1576,AQ987,$BO$7:$BO$1576,"&lt;="&amp;BO987),"")</f>
        <v>97.3539730502342</v>
      </c>
      <c r="AS987" s="65" t="n">
        <f aca="false">IF(AR987="",0,MAX(0,MIN(1,(IF(BU987="L1",Parameter!$E$5,Parameter!$E$6+Parameter!$E$7)-(AR987-AN987))/AN987)))</f>
        <v>1</v>
      </c>
      <c r="AT987" s="57" t="n">
        <f aca="false">IF(LEFT(Cockpit!$O$5,1)="A",G987,IF(BW987=1,BX987,IF(LEFT(Cockpit!$O$5,1)="B",AX987,MAX(AX987,G987))))</f>
        <v>8</v>
      </c>
      <c r="AU987" s="57" t="n">
        <f aca="false">IF(BR987=1,0,ROUNDUP(AT987/BQ987,0))</f>
        <v>1</v>
      </c>
      <c r="AV987" s="59" t="n">
        <f aca="false">IF(CD987&gt;0,CD987*MAX(1,AT987/V987),IF(BR987=1,IF(AT987&lt;=0,0,BS987*MAX(1,IF(G987&gt;0,AT987/G987,1))),IF(Q987&gt;0,AU987/Q987,0))/MAX(0.1,N(Parameter!$M$21)))</f>
        <v>0.0384615384615385</v>
      </c>
      <c r="AW987" s="57" t="n">
        <f aca="false">AT987*F987</f>
        <v>646.48</v>
      </c>
      <c r="AX987" s="57" t="n">
        <f aca="false">ROUNDUP(MAX(I987/IF(BV987&gt;0,BV987,MAX(0.1,N(Cockpit!$O$6))),BY987)/BQ987,0)*BQ987</f>
        <v>8</v>
      </c>
      <c r="AY987" s="58" t="n">
        <f aca="false">IF(AV987&gt;0,I987/AV987,-1)</f>
        <v>26</v>
      </c>
      <c r="AZ987" s="58" t="n">
        <f aca="false">IF(AND(OR(BU987="L1",BU987="L23"),AV987&gt;0),SUMIFS($AV$7:$AV$1576,$BU$7:$BU$1576,BU987,$AY$7:$AY$1576,"&gt;"&amp;AY987)+SUMIFS($AV$7:$AV$1576,$BU$7:$BU$1576,BU987,$AY$7:$AY$1576,AY987,$BO$7:$BO$1576,"&lt;="&amp;BO987),"")</f>
        <v>88.1635234997847</v>
      </c>
      <c r="BA987" s="65" t="n">
        <f aca="false">IF(AZ987="",0,MAX(0,MIN(1,(IF(BU987="L1",Parameter!$E$5,Parameter!$E$6+Parameter!$E$7)-(AZ987-AV987))/AV987)))</f>
        <v>1</v>
      </c>
      <c r="BB987" s="55" t="str">
        <f aca="false">IF(AF987&lt;=0,"",IF(BU987="Aussen","Aussenlager",IF(BU987="-","Nicht im Lift",IF(AK987&gt;=1,"Lift",IF(AK987&lt;=0,"Aussenlager","teilweise")))))</f>
        <v/>
      </c>
      <c r="BC987" s="55" t="str">
        <f aca="false">IF(AN987&lt;=0,"",IF(BU987="Aussen","Aussenlager",IF(BU987="-","Nicht im Lift",IF(AS987&gt;=1,"Lift",IF(AS987&lt;=0,"Aussenlager","teilweise")))))</f>
        <v>Lift</v>
      </c>
      <c r="BD987" s="55" t="str">
        <f aca="false">IF(AV987&lt;=0,"",IF(BU987="Aussen","Aussenlager",IF(BU987="-","Nicht im Lift",IF(BA987&gt;=1,"Lift",IF(BA987&lt;=0,"Aussenlager","teilweise")))))</f>
        <v>Lift</v>
      </c>
      <c r="BE987" s="55" t="str">
        <f aca="false">IF(A987="","",IF(BN987=1,"Neu; ","")&amp;IF(AND(BN987=0,BI987&lt;0),"negativer Bestand (Export "&amp;BI987&amp;"); ","")&amp;IF(I987&lt;=0,"Kein Verbrauch; ","")&amp;IF(CD987&gt;0,"Lift "&amp;U987&amp;" lt. Liftbericht (Fach "&amp;V987&amp;" Stk); ",IF(BR987=1,"Lose – Fläche geschätzt; ",""))&amp;IF(G987&gt;AP987,"Überbestand "&amp;ROUND(G987-AP987,0)&amp;" Stk / CHF "&amp;ROUND((G987-AP987)*F987,0)&amp;"; ","")&amp;IF(AND(BW987=1,BX987&lt;BY987),"MAX &lt; MB+LG; ","")&amp;IF(AND(CC987&gt;0,CB987*10&gt;CC987),"zu hoch für Tablar; ","")&amp;IF(AND(BN987=0,OR(BW987=1,Y987&lt;&gt;"",S987&lt;&gt;"",T987&lt;&gt;"",Z987&lt;&gt;"")),"manuell übersteuert; ","")&amp;IF(AND(BR987=0,Q987=0),"Gebinde unbekannt / Stellmass fehlt; ","")&amp;IF(AND(BR987=0,N(T987)&lt;=0,N(P987)&lt;=0),"Menge pro Gebinde fehlt (Ist = 1 Gebinde); ","")&amp;BM987)</f>
        <v>negativer Bestand (Export -1); </v>
      </c>
      <c r="BF987" s="55"/>
      <c r="BG987" s="55"/>
      <c r="BH987" s="62"/>
      <c r="BI987" s="57" t="n">
        <v>-1</v>
      </c>
      <c r="BJ987" s="57" t="n">
        <v>2</v>
      </c>
      <c r="BK987" s="56" t="n">
        <v>-80.81</v>
      </c>
      <c r="BL987" s="57" t="n">
        <v>1</v>
      </c>
      <c r="BM987" s="55"/>
      <c r="BN987" s="60" t="n">
        <v>0</v>
      </c>
      <c r="BO987" s="60" t="n">
        <v>987</v>
      </c>
      <c r="BP987" s="55" t="str">
        <f aca="false">IF(S987&lt;&gt;"",UPPER(TRIM(S987)),IF(O987="","LOSE",O987))</f>
        <v>S51</v>
      </c>
      <c r="BQ987" s="57" t="n">
        <f aca="false">IF(BP987="LOSE",1,IF(N(T987)&gt;0,T987,IF(N(P987)&gt;0,P987,MAX(1,G987))))</f>
        <v>8</v>
      </c>
      <c r="BR987" s="60" t="n">
        <f aca="false">IF(BP987="LOSE",1,0)</f>
        <v>0</v>
      </c>
      <c r="BS987" s="59" t="n">
        <f aca="false">IF(BR987=0,0,IF(N(R987)&gt;0,R987,IFERROR(VLOOKUP(D987,Parameter!$A$35:$C$64,3,0)+0,0)))</f>
        <v>0</v>
      </c>
      <c r="BT987" s="55" t="n">
        <f aca="false">IF(Y987&lt;&gt;"",Y987,X987)</f>
        <v>3</v>
      </c>
      <c r="BU987" s="55" t="str">
        <f aca="false">IF(BT987=1,"L1",IF(OR(BT987=2,BT987=3),"L23",IF(BT987="Aussen","Aussen","-")))</f>
        <v>L23</v>
      </c>
      <c r="BV987" s="66" t="n">
        <f aca="false">IF(N(Z987)&gt;0,Z987,0)</f>
        <v>0</v>
      </c>
      <c r="BW987" s="60" t="n">
        <f aca="false">IF(ISNUMBER(AC987),1,0)</f>
        <v>0</v>
      </c>
      <c r="BX987" s="57" t="n">
        <f aca="false">N(AC987)</f>
        <v>0</v>
      </c>
      <c r="BY987" s="57" t="n">
        <f aca="false">N(L987)+N(M987)</f>
        <v>1</v>
      </c>
      <c r="BZ987" s="57" t="n">
        <f aca="false">ROUNDUP(G987/BQ987,0)</f>
        <v>0</v>
      </c>
      <c r="CA987" s="57" t="n">
        <f aca="false">ROUNDUP(BX987/BQ987,0)</f>
        <v>0</v>
      </c>
      <c r="CB987" s="60" t="n">
        <f aca="false">IF(BR987=1,0,IFERROR(VLOOKUP(BP987,'Gebinde-Kategorie'!$A$5:$M$45,5,0)+0,0))</f>
        <v>11</v>
      </c>
      <c r="CC987" s="60" t="n">
        <f aca="false">IFERROR(IF(OR(BT987=1,BT987=2,BT987=3),N(INDEX(Parameter!$I$5:$I$7,BT987)),0),0)</f>
        <v>0</v>
      </c>
      <c r="CD987" s="59" t="n">
        <f aca="false">IF(AND(Parameter!$B$21="Ja",ISNUMBER(U987),N(V987)&gt;0),IFERROR(N(INDEX(Parameter!$L$5:$L$7,U987))*INDEX(Parameter!$E$5:$E$7,U987)*V987/SUMIFS($V$7:$V$1576,$U$7:$U$1576,U987),0),0)</f>
        <v>0</v>
      </c>
    </row>
    <row r="988" customFormat="false" ht="15" hidden="false" customHeight="false" outlineLevel="0" collapsed="false">
      <c r="A988" s="55" t="s">
        <v>1814</v>
      </c>
      <c r="B988" s="55" t="s">
        <v>1720</v>
      </c>
      <c r="C988" s="55" t="s">
        <v>160</v>
      </c>
      <c r="D988" s="55" t="s">
        <v>178</v>
      </c>
      <c r="E988" s="55" t="s">
        <v>210</v>
      </c>
      <c r="F988" s="56" t="n">
        <v>40.5</v>
      </c>
      <c r="G988" s="57" t="n">
        <f aca="false">MAX(0,IF(AND(Parameter!$B$21="Ja",ISNUMBER(W988)),W988,IF(Parameter!$B$20="Jahresanfang 2025 + Export",BJ988+BI988,BI988)))</f>
        <v>0</v>
      </c>
      <c r="H988" s="57" t="n">
        <f aca="false">G988*F988</f>
        <v>0</v>
      </c>
      <c r="I988" s="57" t="n">
        <f aca="false">BL988*Parameter!$B$18</f>
        <v>4</v>
      </c>
      <c r="J988" s="58" t="n">
        <v>25.5</v>
      </c>
      <c r="K988" s="59" t="n">
        <v>0.156862745098039</v>
      </c>
      <c r="L988" s="57" t="n">
        <v>0</v>
      </c>
      <c r="M988" s="57" t="n">
        <v>5</v>
      </c>
      <c r="N988" s="60" t="n">
        <v>14</v>
      </c>
      <c r="O988" s="55" t="s">
        <v>411</v>
      </c>
      <c r="P988" s="57" t="n">
        <v>29</v>
      </c>
      <c r="Q988" s="60" t="n">
        <f aca="false">IF(BR988=1,0,IFERROR(VLOOKUP(BP988,'Gebinde-Kategorie'!$A$5:$M$45,13,0)+0,0))</f>
        <v>132</v>
      </c>
      <c r="R988" s="61"/>
      <c r="S988" s="62"/>
      <c r="T988" s="62"/>
      <c r="U988" s="55"/>
      <c r="V988" s="57"/>
      <c r="W988" s="57"/>
      <c r="X988" s="55" t="n">
        <f aca="false">IF(A988="","",IF(AND(Parameter!$B$21="Ja",ISNUMBER(U988)),U988,IF(IFERROR(VLOOKUP(D988,Parameter!$A$35:$C$64,2,0),"Nein")="2+3",IF(ISNUMBER(SEARCH("grosser Artikel",BM988)),2,IFERROR(VLOOKUP(BP988,Parameter!$F$35:$G$64,2,0),2)),IF(OR(IFERROR(VLOOKUP(D988,Parameter!$A$35:$C$64,2,0),"Nein")="Nein",IFERROR(VLOOKUP(D988,Parameter!$A$35:$C$64,2,0),"Nein")=""),"-",VLOOKUP(D988,Parameter!$A$35:$C$64,2,0)))))</f>
        <v>3</v>
      </c>
      <c r="Y988" s="62"/>
      <c r="Z988" s="63"/>
      <c r="AA988" s="57" t="n">
        <f aca="false">AP988</f>
        <v>29</v>
      </c>
      <c r="AB988" s="57" t="n">
        <f aca="false">MAX(AP988,G988)</f>
        <v>29</v>
      </c>
      <c r="AC988" s="64"/>
      <c r="AD988" s="57" t="n">
        <f aca="false">IF(LEFT(Cockpit!$C$5,1)="A",G988,IF(BW988=1,BX988,IF(LEFT(Cockpit!$C$5,1)="B",AH988,MAX(AH988,G988))))</f>
        <v>0</v>
      </c>
      <c r="AE988" s="57" t="n">
        <f aca="false">IF(BR988=1,0,ROUNDUP(AD988/BQ988,0))</f>
        <v>0</v>
      </c>
      <c r="AF988" s="59" t="n">
        <f aca="false">IF(CD988&gt;0,CD988*MAX(1,AD988/V988),IF(BR988=1,IF(AD988&lt;=0,0,BS988*MAX(1,IF(G988&gt;0,AD988/G988,1))),IF(Q988&gt;0,AE988/Q988,0))/MAX(0.1,N(Parameter!$M$21)))</f>
        <v>0</v>
      </c>
      <c r="AG988" s="57" t="n">
        <f aca="false">AD988*F988</f>
        <v>0</v>
      </c>
      <c r="AH988" s="57" t="n">
        <f aca="false">ROUNDUP(MAX(I988/IF(BV988&gt;0,BV988,MAX(0.1,N(Cockpit!$C$6))),BY988)/BQ988,0)*BQ988</f>
        <v>29</v>
      </c>
      <c r="AI988" s="58" t="n">
        <f aca="false">IF(AF988&gt;0,I988/AF988,-1)</f>
        <v>-1</v>
      </c>
      <c r="AJ988" s="58" t="str">
        <f aca="false">IF(AND(OR(BU988="L1",BU988="L23"),AF988&gt;0),SUMIFS($AF$7:$AF$1576,$BU$7:$BU$1576,BU988,$AI$7:$AI$1576,"&gt;"&amp;AI988)+SUMIFS($AF$7:$AF$1576,$BU$7:$BU$1576,BU988,$AI$7:$AI$1576,AI988,$BO$7:$BO$1576,"&lt;="&amp;BO988),"")</f>
        <v/>
      </c>
      <c r="AK988" s="65" t="n">
        <f aca="false">IF(AJ988="",0,MAX(0,MIN(1,(IF(BU988="L1",Parameter!$E$5,Parameter!$E$6+Parameter!$E$7)-(AJ988-AF988))/AF988)))</f>
        <v>0</v>
      </c>
      <c r="AL988" s="57" t="n">
        <f aca="false">IF(LEFT(Cockpit!$I$5,1)="A",G988,IF(BW988=1,BX988,IF(LEFT(Cockpit!$I$5,1)="B",AP988,MAX(AP988,G988))))</f>
        <v>29</v>
      </c>
      <c r="AM988" s="57" t="n">
        <f aca="false">IF(BR988=1,0,ROUNDUP(AL988/BQ988,0))</f>
        <v>1</v>
      </c>
      <c r="AN988" s="59" t="n">
        <f aca="false">IF(CD988&gt;0,CD988*MAX(1,AL988/V988),IF(BR988=1,IF(AL988&lt;=0,0,BS988*MAX(1,IF(G988&gt;0,AL988/G988,1))),IF(Q988&gt;0,AM988/Q988,0))/MAX(0.1,N(Parameter!$M$21)))</f>
        <v>0.00757575757575758</v>
      </c>
      <c r="AO988" s="57" t="n">
        <f aca="false">AL988*F988</f>
        <v>1174.5</v>
      </c>
      <c r="AP988" s="57" t="n">
        <f aca="false">ROUNDUP(MAX(I988/IF(BV988&gt;0,BV988,MAX(0.1,N(Cockpit!$I$6))),BY988)/BQ988,0)*BQ988</f>
        <v>29</v>
      </c>
      <c r="AQ988" s="58" t="n">
        <f aca="false">IF(AN988&gt;0,I988/AN988,-1)</f>
        <v>528</v>
      </c>
      <c r="AR988" s="58" t="n">
        <f aca="false">IF(AND(OR(BU988="L1",BU988="L23"),AN988&gt;0),SUMIFS($AN$7:$AN$1576,$BU$7:$BU$1576,BU988,$AQ$7:$AQ$1576,"&gt;"&amp;AQ988)+SUMIFS($AN$7:$AN$1576,$BU$7:$BU$1576,BU988,$AQ$7:$AQ$1576,AQ988,$BO$7:$BO$1576,"&lt;="&amp;BO988),"")</f>
        <v>32.9725931197782</v>
      </c>
      <c r="AS988" s="65" t="n">
        <f aca="false">IF(AR988="",0,MAX(0,MIN(1,(IF(BU988="L1",Parameter!$E$5,Parameter!$E$6+Parameter!$E$7)-(AR988-AN988))/AN988)))</f>
        <v>1</v>
      </c>
      <c r="AT988" s="57" t="n">
        <f aca="false">IF(LEFT(Cockpit!$O$5,1)="A",G988,IF(BW988=1,BX988,IF(LEFT(Cockpit!$O$5,1)="B",AX988,MAX(AX988,G988))))</f>
        <v>29</v>
      </c>
      <c r="AU988" s="57" t="n">
        <f aca="false">IF(BR988=1,0,ROUNDUP(AT988/BQ988,0))</f>
        <v>1</v>
      </c>
      <c r="AV988" s="59" t="n">
        <f aca="false">IF(CD988&gt;0,CD988*MAX(1,AT988/V988),IF(BR988=1,IF(AT988&lt;=0,0,BS988*MAX(1,IF(G988&gt;0,AT988/G988,1))),IF(Q988&gt;0,AU988/Q988,0))/MAX(0.1,N(Parameter!$M$21)))</f>
        <v>0.00757575757575758</v>
      </c>
      <c r="AW988" s="57" t="n">
        <f aca="false">AT988*F988</f>
        <v>1174.5</v>
      </c>
      <c r="AX988" s="57" t="n">
        <f aca="false">ROUNDUP(MAX(I988/IF(BV988&gt;0,BV988,MAX(0.1,N(Cockpit!$O$6))),BY988)/BQ988,0)*BQ988</f>
        <v>29</v>
      </c>
      <c r="AY988" s="58" t="n">
        <f aca="false">IF(AV988&gt;0,I988/AV988,-1)</f>
        <v>528</v>
      </c>
      <c r="AZ988" s="58" t="n">
        <f aca="false">IF(AND(OR(BU988="L1",BU988="L23"),AV988&gt;0),SUMIFS($AV$7:$AV$1576,$BU$7:$BU$1576,BU988,$AY$7:$AY$1576,"&gt;"&amp;AY988)+SUMIFS($AV$7:$AV$1576,$BU$7:$BU$1576,BU988,$AY$7:$AY$1576,AY988,$BO$7:$BO$1576,"&lt;="&amp;BO988),"")</f>
        <v>31.0492797664648</v>
      </c>
      <c r="BA988" s="65" t="n">
        <f aca="false">IF(AZ988="",0,MAX(0,MIN(1,(IF(BU988="L1",Parameter!$E$5,Parameter!$E$6+Parameter!$E$7)-(AZ988-AV988))/AV988)))</f>
        <v>1</v>
      </c>
      <c r="BB988" s="55" t="str">
        <f aca="false">IF(AF988&lt;=0,"",IF(BU988="Aussen","Aussenlager",IF(BU988="-","Nicht im Lift",IF(AK988&gt;=1,"Lift",IF(AK988&lt;=0,"Aussenlager","teilweise")))))</f>
        <v/>
      </c>
      <c r="BC988" s="55" t="str">
        <f aca="false">IF(AN988&lt;=0,"",IF(BU988="Aussen","Aussenlager",IF(BU988="-","Nicht im Lift",IF(AS988&gt;=1,"Lift",IF(AS988&lt;=0,"Aussenlager","teilweise")))))</f>
        <v>Lift</v>
      </c>
      <c r="BD988" s="55" t="str">
        <f aca="false">IF(AV988&lt;=0,"",IF(BU988="Aussen","Aussenlager",IF(BU988="-","Nicht im Lift",IF(BA988&gt;=1,"Lift",IF(BA988&lt;=0,"Aussenlager","teilweise")))))</f>
        <v>Lift</v>
      </c>
      <c r="BE988" s="55" t="str">
        <f aca="false">IF(A988="","",IF(BN988=1,"Neu; ","")&amp;IF(AND(BN988=0,BI988&lt;0),"negativer Bestand (Export "&amp;BI988&amp;"); ","")&amp;IF(I988&lt;=0,"Kein Verbrauch; ","")&amp;IF(CD988&gt;0,"Lift "&amp;U988&amp;" lt. Liftbericht (Fach "&amp;V988&amp;" Stk); ",IF(BR988=1,"Lose – Fläche geschätzt; ",""))&amp;IF(G988&gt;AP988,"Überbestand "&amp;ROUND(G988-AP988,0)&amp;" Stk / CHF "&amp;ROUND((G988-AP988)*F988,0)&amp;"; ","")&amp;IF(AND(BW988=1,BX988&lt;BY988),"MAX &lt; MB+LG; ","")&amp;IF(AND(CC988&gt;0,CB988*10&gt;CC988),"zu hoch für Tablar; ","")&amp;IF(AND(BN988=0,OR(BW988=1,Y988&lt;&gt;"",S988&lt;&gt;"",T988&lt;&gt;"",Z988&lt;&gt;"")),"manuell übersteuert; ","")&amp;IF(AND(BR988=0,Q988=0),"Gebinde unbekannt / Stellmass fehlt; ","")&amp;IF(AND(BR988=0,N(T988)&lt;=0,N(P988)&lt;=0),"Menge pro Gebinde fehlt (Ist = 1 Gebinde); ","")&amp;BM988)</f>
        <v>negativer Bestand (Export -2); </v>
      </c>
      <c r="BF988" s="55"/>
      <c r="BG988" s="55"/>
      <c r="BH988" s="62"/>
      <c r="BI988" s="57" t="n">
        <v>-2</v>
      </c>
      <c r="BJ988" s="57" t="n">
        <v>27</v>
      </c>
      <c r="BK988" s="56" t="n">
        <v>-81</v>
      </c>
      <c r="BL988" s="57" t="n">
        <v>4</v>
      </c>
      <c r="BM988" s="55"/>
      <c r="BN988" s="60" t="n">
        <v>0</v>
      </c>
      <c r="BO988" s="60" t="n">
        <v>988</v>
      </c>
      <c r="BP988" s="55" t="str">
        <f aca="false">IF(S988&lt;&gt;"",UPPER(TRIM(S988)),IF(O988="","LOSE",O988))</f>
        <v>S32</v>
      </c>
      <c r="BQ988" s="57" t="n">
        <f aca="false">IF(BP988="LOSE",1,IF(N(T988)&gt;0,T988,IF(N(P988)&gt;0,P988,MAX(1,G988))))</f>
        <v>29</v>
      </c>
      <c r="BR988" s="60" t="n">
        <f aca="false">IF(BP988="LOSE",1,0)</f>
        <v>0</v>
      </c>
      <c r="BS988" s="59" t="n">
        <f aca="false">IF(BR988=0,0,IF(N(R988)&gt;0,R988,IFERROR(VLOOKUP(D988,Parameter!$A$35:$C$64,3,0)+0,0)))</f>
        <v>0</v>
      </c>
      <c r="BT988" s="55" t="n">
        <f aca="false">IF(Y988&lt;&gt;"",Y988,X988)</f>
        <v>3</v>
      </c>
      <c r="BU988" s="55" t="str">
        <f aca="false">IF(BT988=1,"L1",IF(OR(BT988=2,BT988=3),"L23",IF(BT988="Aussen","Aussen","-")))</f>
        <v>L23</v>
      </c>
      <c r="BV988" s="66" t="n">
        <f aca="false">IF(N(Z988)&gt;0,Z988,0)</f>
        <v>0</v>
      </c>
      <c r="BW988" s="60" t="n">
        <f aca="false">IF(ISNUMBER(AC988),1,0)</f>
        <v>0</v>
      </c>
      <c r="BX988" s="57" t="n">
        <f aca="false">N(AC988)</f>
        <v>0</v>
      </c>
      <c r="BY988" s="57" t="n">
        <f aca="false">N(L988)+N(M988)</f>
        <v>5</v>
      </c>
      <c r="BZ988" s="57" t="n">
        <f aca="false">ROUNDUP(G988/BQ988,0)</f>
        <v>0</v>
      </c>
      <c r="CA988" s="57" t="n">
        <f aca="false">ROUNDUP(BX988/BQ988,0)</f>
        <v>0</v>
      </c>
      <c r="CB988" s="60" t="n">
        <f aca="false">IF(BR988=1,0,IFERROR(VLOOKUP(BP988,'Gebinde-Kategorie'!$A$5:$M$45,5,0)+0,0))</f>
        <v>8</v>
      </c>
      <c r="CC988" s="60" t="n">
        <f aca="false">IFERROR(IF(OR(BT988=1,BT988=2,BT988=3),N(INDEX(Parameter!$I$5:$I$7,BT988)),0),0)</f>
        <v>0</v>
      </c>
      <c r="CD988" s="59" t="n">
        <f aca="false">IF(AND(Parameter!$B$21="Ja",ISNUMBER(U988),N(V988)&gt;0),IFERROR(N(INDEX(Parameter!$L$5:$L$7,U988))*INDEX(Parameter!$E$5:$E$7,U988)*V988/SUMIFS($V$7:$V$1576,$U$7:$U$1576,U988),0),0)</f>
        <v>0</v>
      </c>
    </row>
    <row r="989" customFormat="false" ht="15" hidden="false" customHeight="false" outlineLevel="0" collapsed="false">
      <c r="A989" s="55" t="s">
        <v>1815</v>
      </c>
      <c r="B989" s="55" t="s">
        <v>1816</v>
      </c>
      <c r="C989" s="55" t="s">
        <v>160</v>
      </c>
      <c r="D989" s="55" t="s">
        <v>178</v>
      </c>
      <c r="E989" s="55" t="s">
        <v>210</v>
      </c>
      <c r="F989" s="56" t="n">
        <v>20.42</v>
      </c>
      <c r="G989" s="57" t="n">
        <f aca="false">MAX(0,IF(AND(Parameter!$B$21="Ja",ISNUMBER(W989)),W989,IF(Parameter!$B$20="Jahresanfang 2025 + Export",BJ989+BI989,BI989)))</f>
        <v>0</v>
      </c>
      <c r="H989" s="57" t="n">
        <f aca="false">G989*F989</f>
        <v>0</v>
      </c>
      <c r="I989" s="57" t="n">
        <f aca="false">BL989*Parameter!$B$18</f>
        <v>0</v>
      </c>
      <c r="J989" s="58" t="n">
        <v>60</v>
      </c>
      <c r="K989" s="59" t="n">
        <v>0</v>
      </c>
      <c r="L989" s="57" t="n">
        <v>0</v>
      </c>
      <c r="M989" s="57" t="n">
        <v>1</v>
      </c>
      <c r="N989" s="60" t="n">
        <v>14</v>
      </c>
      <c r="O989" s="55" t="s">
        <v>465</v>
      </c>
      <c r="P989" s="57" t="n">
        <v>88</v>
      </c>
      <c r="Q989" s="60" t="n">
        <f aca="false">IF(BR989=1,0,IFERROR(VLOOKUP(BP989,'Gebinde-Kategorie'!$A$5:$M$45,13,0)+0,0))</f>
        <v>66</v>
      </c>
      <c r="R989" s="61"/>
      <c r="S989" s="62"/>
      <c r="T989" s="62"/>
      <c r="U989" s="55"/>
      <c r="V989" s="57"/>
      <c r="W989" s="57"/>
      <c r="X989" s="55" t="n">
        <f aca="false">IF(A989="","",IF(AND(Parameter!$B$21="Ja",ISNUMBER(U989)),U989,IF(IFERROR(VLOOKUP(D989,Parameter!$A$35:$C$64,2,0),"Nein")="2+3",IF(ISNUMBER(SEARCH("grosser Artikel",BM989)),2,IFERROR(VLOOKUP(BP989,Parameter!$F$35:$G$64,2,0),2)),IF(OR(IFERROR(VLOOKUP(D989,Parameter!$A$35:$C$64,2,0),"Nein")="Nein",IFERROR(VLOOKUP(D989,Parameter!$A$35:$C$64,2,0),"Nein")=""),"-",VLOOKUP(D989,Parameter!$A$35:$C$64,2,0)))))</f>
        <v>3</v>
      </c>
      <c r="Y989" s="62"/>
      <c r="Z989" s="63"/>
      <c r="AA989" s="57" t="n">
        <f aca="false">AP989</f>
        <v>88</v>
      </c>
      <c r="AB989" s="57" t="n">
        <f aca="false">MAX(AP989,G989)</f>
        <v>88</v>
      </c>
      <c r="AC989" s="64"/>
      <c r="AD989" s="57" t="n">
        <f aca="false">IF(LEFT(Cockpit!$C$5,1)="A",G989,IF(BW989=1,BX989,IF(LEFT(Cockpit!$C$5,1)="B",AH989,MAX(AH989,G989))))</f>
        <v>0</v>
      </c>
      <c r="AE989" s="57" t="n">
        <f aca="false">IF(BR989=1,0,ROUNDUP(AD989/BQ989,0))</f>
        <v>0</v>
      </c>
      <c r="AF989" s="59" t="n">
        <f aca="false">IF(CD989&gt;0,CD989*MAX(1,AD989/V989),IF(BR989=1,IF(AD989&lt;=0,0,BS989*MAX(1,IF(G989&gt;0,AD989/G989,1))),IF(Q989&gt;0,AE989/Q989,0))/MAX(0.1,N(Parameter!$M$21)))</f>
        <v>0</v>
      </c>
      <c r="AG989" s="57" t="n">
        <f aca="false">AD989*F989</f>
        <v>0</v>
      </c>
      <c r="AH989" s="57" t="n">
        <f aca="false">ROUNDUP(MAX(I989/IF(BV989&gt;0,BV989,MAX(0.1,N(Cockpit!$C$6))),BY989)/BQ989,0)*BQ989</f>
        <v>88</v>
      </c>
      <c r="AI989" s="58" t="n">
        <f aca="false">IF(AF989&gt;0,I989/AF989,-1)</f>
        <v>-1</v>
      </c>
      <c r="AJ989" s="58" t="str">
        <f aca="false">IF(AND(OR(BU989="L1",BU989="L23"),AF989&gt;0),SUMIFS($AF$7:$AF$1576,$BU$7:$BU$1576,BU989,$AI$7:$AI$1576,"&gt;"&amp;AI989)+SUMIFS($AF$7:$AF$1576,$BU$7:$BU$1576,BU989,$AI$7:$AI$1576,AI989,$BO$7:$BO$1576,"&lt;="&amp;BO989),"")</f>
        <v/>
      </c>
      <c r="AK989" s="65" t="n">
        <f aca="false">IF(AJ989="",0,MAX(0,MIN(1,(IF(BU989="L1",Parameter!$E$5,Parameter!$E$6+Parameter!$E$7)-(AJ989-AF989))/AF989)))</f>
        <v>0</v>
      </c>
      <c r="AL989" s="57" t="n">
        <f aca="false">IF(LEFT(Cockpit!$I$5,1)="A",G989,IF(BW989=1,BX989,IF(LEFT(Cockpit!$I$5,1)="B",AP989,MAX(AP989,G989))))</f>
        <v>88</v>
      </c>
      <c r="AM989" s="57" t="n">
        <f aca="false">IF(BR989=1,0,ROUNDUP(AL989/BQ989,0))</f>
        <v>1</v>
      </c>
      <c r="AN989" s="59" t="n">
        <f aca="false">IF(CD989&gt;0,CD989*MAX(1,AL989/V989),IF(BR989=1,IF(AL989&lt;=0,0,BS989*MAX(1,IF(G989&gt;0,AL989/G989,1))),IF(Q989&gt;0,AM989/Q989,0))/MAX(0.1,N(Parameter!$M$21)))</f>
        <v>0.0151515151515152</v>
      </c>
      <c r="AO989" s="57" t="n">
        <f aca="false">AL989*F989</f>
        <v>1796.96</v>
      </c>
      <c r="AP989" s="57" t="n">
        <f aca="false">ROUNDUP(MAX(I989/IF(BV989&gt;0,BV989,MAX(0.1,N(Cockpit!$I$6))),BY989)/BQ989,0)*BQ989</f>
        <v>88</v>
      </c>
      <c r="AQ989" s="58" t="n">
        <f aca="false">IF(AN989&gt;0,I989/AN989,-1)</f>
        <v>0</v>
      </c>
      <c r="AR989" s="58" t="n">
        <f aca="false">IF(AND(OR(BU989="L1",BU989="L23"),AN989&gt;0),SUMIFS($AN$7:$AN$1576,$BU$7:$BU$1576,BU989,$AQ$7:$AQ$1576,"&gt;"&amp;AQ989)+SUMIFS($AN$7:$AN$1576,$BU$7:$BU$1576,BU989,$AQ$7:$AQ$1576,AQ989,$BO$7:$BO$1576,"&lt;="&amp;BO989),"")</f>
        <v>131.891279083283</v>
      </c>
      <c r="AS989" s="65" t="n">
        <f aca="false">IF(AR989="",0,MAX(0,MIN(1,(IF(BU989="L1",Parameter!$E$5,Parameter!$E$6+Parameter!$E$7)-(AR989-AN989))/AN989)))</f>
        <v>0</v>
      </c>
      <c r="AT989" s="57" t="n">
        <f aca="false">IF(LEFT(Cockpit!$O$5,1)="A",G989,IF(BW989=1,BX989,IF(LEFT(Cockpit!$O$5,1)="B",AX989,MAX(AX989,G989))))</f>
        <v>88</v>
      </c>
      <c r="AU989" s="57" t="n">
        <f aca="false">IF(BR989=1,0,ROUNDUP(AT989/BQ989,0))</f>
        <v>1</v>
      </c>
      <c r="AV989" s="59" t="n">
        <f aca="false">IF(CD989&gt;0,CD989*MAX(1,AT989/V989),IF(BR989=1,IF(AT989&lt;=0,0,BS989*MAX(1,IF(G989&gt;0,AT989/G989,1))),IF(Q989&gt;0,AU989/Q989,0))/MAX(0.1,N(Parameter!$M$21)))</f>
        <v>0.0151515151515152</v>
      </c>
      <c r="AW989" s="57" t="n">
        <f aca="false">AT989*F989</f>
        <v>1796.96</v>
      </c>
      <c r="AX989" s="57" t="n">
        <f aca="false">ROUNDUP(MAX(I989/IF(BV989&gt;0,BV989,MAX(0.1,N(Cockpit!$O$6))),BY989)/BQ989,0)*BQ989</f>
        <v>88</v>
      </c>
      <c r="AY989" s="58" t="n">
        <f aca="false">IF(AV989&gt;0,I989/AV989,-1)</f>
        <v>0</v>
      </c>
      <c r="AZ989" s="58" t="n">
        <f aca="false">IF(AND(OR(BU989="L1",BU989="L23"),AV989&gt;0),SUMIFS($AV$7:$AV$1576,$BU$7:$BU$1576,BU989,$AY$7:$AY$1576,"&gt;"&amp;AY989)+SUMIFS($AV$7:$AV$1576,$BU$7:$BU$1576,BU989,$AY$7:$AY$1576,AY989,$BO$7:$BO$1576,"&lt;="&amp;BO989),"")</f>
        <v>121.950829532834</v>
      </c>
      <c r="BA989" s="65" t="n">
        <f aca="false">IF(AZ989="",0,MAX(0,MIN(1,(IF(BU989="L1",Parameter!$E$5,Parameter!$E$6+Parameter!$E$7)-(AZ989-AV989))/AV989)))</f>
        <v>0</v>
      </c>
      <c r="BB989" s="55" t="str">
        <f aca="false">IF(AF989&lt;=0,"",IF(BU989="Aussen","Aussenlager",IF(BU989="-","Nicht im Lift",IF(AK989&gt;=1,"Lift",IF(AK989&lt;=0,"Aussenlager","teilweise")))))</f>
        <v/>
      </c>
      <c r="BC989" s="55" t="str">
        <f aca="false">IF(AN989&lt;=0,"",IF(BU989="Aussen","Aussenlager",IF(BU989="-","Nicht im Lift",IF(AS989&gt;=1,"Lift",IF(AS989&lt;=0,"Aussenlager","teilweise")))))</f>
        <v>Aussenlager</v>
      </c>
      <c r="BD989" s="55" t="str">
        <f aca="false">IF(AV989&lt;=0,"",IF(BU989="Aussen","Aussenlager",IF(BU989="-","Nicht im Lift",IF(BA989&gt;=1,"Lift",IF(BA989&lt;=0,"Aussenlager","teilweise")))))</f>
        <v>Aussenlager</v>
      </c>
      <c r="BE989" s="55" t="str">
        <f aca="false">IF(A989="","",IF(BN989=1,"Neu; ","")&amp;IF(AND(BN989=0,BI989&lt;0),"negativer Bestand (Export "&amp;BI989&amp;"); ","")&amp;IF(I989&lt;=0,"Kein Verbrauch; ","")&amp;IF(CD989&gt;0,"Lift "&amp;U989&amp;" lt. Liftbericht (Fach "&amp;V989&amp;" Stk); ",IF(BR989=1,"Lose – Fläche geschätzt; ",""))&amp;IF(G989&gt;AP989,"Überbestand "&amp;ROUND(G989-AP989,0)&amp;" Stk / CHF "&amp;ROUND((G989-AP989)*F989,0)&amp;"; ","")&amp;IF(AND(BW989=1,BX989&lt;BY989),"MAX &lt; MB+LG; ","")&amp;IF(AND(CC989&gt;0,CB989*10&gt;CC989),"zu hoch für Tablar; ","")&amp;IF(AND(BN989=0,OR(BW989=1,Y989&lt;&gt;"",S989&lt;&gt;"",T989&lt;&gt;"",Z989&lt;&gt;"")),"manuell übersteuert; ","")&amp;IF(AND(BR989=0,Q989=0),"Gebinde unbekannt / Stellmass fehlt; ","")&amp;IF(AND(BR989=0,N(T989)&lt;=0,N(P989)&lt;=0),"Menge pro Gebinde fehlt (Ist = 1 Gebinde); ","")&amp;BM989)</f>
        <v>negativer Bestand (Export -4); Kein Verbrauch; Überbestand</v>
      </c>
      <c r="BF989" s="55"/>
      <c r="BG989" s="55"/>
      <c r="BH989" s="62"/>
      <c r="BI989" s="57" t="n">
        <v>-4</v>
      </c>
      <c r="BJ989" s="57" t="n">
        <v>60</v>
      </c>
      <c r="BK989" s="56" t="n">
        <v>-81.68</v>
      </c>
      <c r="BL989" s="57" t="n">
        <v>0</v>
      </c>
      <c r="BM989" s="55" t="s">
        <v>382</v>
      </c>
      <c r="BN989" s="60" t="n">
        <v>0</v>
      </c>
      <c r="BO989" s="60" t="n">
        <v>989</v>
      </c>
      <c r="BP989" s="55" t="str">
        <f aca="false">IF(S989&lt;&gt;"",UPPER(TRIM(S989)),IF(O989="","LOSE",O989))</f>
        <v>S33</v>
      </c>
      <c r="BQ989" s="57" t="n">
        <f aca="false">IF(BP989="LOSE",1,IF(N(T989)&gt;0,T989,IF(N(P989)&gt;0,P989,MAX(1,G989))))</f>
        <v>88</v>
      </c>
      <c r="BR989" s="60" t="n">
        <f aca="false">IF(BP989="LOSE",1,0)</f>
        <v>0</v>
      </c>
      <c r="BS989" s="59" t="n">
        <f aca="false">IF(BR989=0,0,IF(N(R989)&gt;0,R989,IFERROR(VLOOKUP(D989,Parameter!$A$35:$C$64,3,0)+0,0)))</f>
        <v>0</v>
      </c>
      <c r="BT989" s="55" t="n">
        <f aca="false">IF(Y989&lt;&gt;"",Y989,X989)</f>
        <v>3</v>
      </c>
      <c r="BU989" s="55" t="str">
        <f aca="false">IF(BT989=1,"L1",IF(OR(BT989=2,BT989=3),"L23",IF(BT989="Aussen","Aussen","-")))</f>
        <v>L23</v>
      </c>
      <c r="BV989" s="66" t="n">
        <f aca="false">IF(N(Z989)&gt;0,Z989,0)</f>
        <v>0</v>
      </c>
      <c r="BW989" s="60" t="n">
        <f aca="false">IF(ISNUMBER(AC989),1,0)</f>
        <v>0</v>
      </c>
      <c r="BX989" s="57" t="n">
        <f aca="false">N(AC989)</f>
        <v>0</v>
      </c>
      <c r="BY989" s="57" t="n">
        <f aca="false">N(L989)+N(M989)</f>
        <v>1</v>
      </c>
      <c r="BZ989" s="57" t="n">
        <f aca="false">ROUNDUP(G989/BQ989,0)</f>
        <v>0</v>
      </c>
      <c r="CA989" s="57" t="n">
        <f aca="false">ROUNDUP(BX989/BQ989,0)</f>
        <v>0</v>
      </c>
      <c r="CB989" s="60" t="n">
        <f aca="false">IF(BR989=1,0,IFERROR(VLOOKUP(BP989,'Gebinde-Kategorie'!$A$5:$M$45,5,0)+0,0))</f>
        <v>8</v>
      </c>
      <c r="CC989" s="60" t="n">
        <f aca="false">IFERROR(IF(OR(BT989=1,BT989=2,BT989=3),N(INDEX(Parameter!$I$5:$I$7,BT989)),0),0)</f>
        <v>0</v>
      </c>
      <c r="CD989" s="59" t="n">
        <f aca="false">IF(AND(Parameter!$B$21="Ja",ISNUMBER(U989),N(V989)&gt;0),IFERROR(N(INDEX(Parameter!$L$5:$L$7,U989))*INDEX(Parameter!$E$5:$E$7,U989)*V989/SUMIFS($V$7:$V$1576,$U$7:$U$1576,U989),0),0)</f>
        <v>0</v>
      </c>
    </row>
    <row r="990" customFormat="false" ht="15" hidden="false" customHeight="false" outlineLevel="0" collapsed="false">
      <c r="A990" s="55" t="s">
        <v>1817</v>
      </c>
      <c r="B990" s="55" t="s">
        <v>938</v>
      </c>
      <c r="C990" s="55" t="s">
        <v>160</v>
      </c>
      <c r="D990" s="55" t="s">
        <v>178</v>
      </c>
      <c r="E990" s="55" t="s">
        <v>210</v>
      </c>
      <c r="F990" s="56" t="n">
        <v>0.32</v>
      </c>
      <c r="G990" s="57" t="n">
        <f aca="false">MAX(0,IF(AND(Parameter!$B$21="Ja",ISNUMBER(W990)),W990,IF(Parameter!$B$20="Jahresanfang 2025 + Export",BJ990+BI990,BI990)))</f>
        <v>0</v>
      </c>
      <c r="H990" s="57" t="n">
        <f aca="false">G990*F990</f>
        <v>0</v>
      </c>
      <c r="I990" s="57" t="n">
        <f aca="false">BL990*Parameter!$B$18</f>
        <v>140</v>
      </c>
      <c r="J990" s="58" t="n">
        <v>691.5</v>
      </c>
      <c r="K990" s="59" t="n">
        <v>0.202458423716558</v>
      </c>
      <c r="L990" s="57" t="n">
        <v>8</v>
      </c>
      <c r="M990" s="57" t="n">
        <v>200</v>
      </c>
      <c r="N990" s="60" t="n">
        <v>21</v>
      </c>
      <c r="O990" s="55" t="s">
        <v>416</v>
      </c>
      <c r="P990" s="57" t="n">
        <v>787</v>
      </c>
      <c r="Q990" s="60" t="n">
        <f aca="false">IF(BR990=1,0,IFERROR(VLOOKUP(BP990,'Gebinde-Kategorie'!$A$5:$M$45,13,0)+0,0))</f>
        <v>198</v>
      </c>
      <c r="R990" s="61"/>
      <c r="S990" s="62"/>
      <c r="T990" s="62"/>
      <c r="U990" s="55"/>
      <c r="V990" s="57"/>
      <c r="W990" s="57"/>
      <c r="X990" s="55" t="n">
        <f aca="false">IF(A990="","",IF(AND(Parameter!$B$21="Ja",ISNUMBER(U990)),U990,IF(IFERROR(VLOOKUP(D990,Parameter!$A$35:$C$64,2,0),"Nein")="2+3",IF(ISNUMBER(SEARCH("grosser Artikel",BM990)),2,IFERROR(VLOOKUP(BP990,Parameter!$F$35:$G$64,2,0),2)),IF(OR(IFERROR(VLOOKUP(D990,Parameter!$A$35:$C$64,2,0),"Nein")="Nein",IFERROR(VLOOKUP(D990,Parameter!$A$35:$C$64,2,0),"Nein")=""),"-",VLOOKUP(D990,Parameter!$A$35:$C$64,2,0)))))</f>
        <v>3</v>
      </c>
      <c r="Y990" s="62"/>
      <c r="Z990" s="63"/>
      <c r="AA990" s="57" t="n">
        <f aca="false">AP990</f>
        <v>787</v>
      </c>
      <c r="AB990" s="57" t="n">
        <f aca="false">MAX(AP990,G990)</f>
        <v>787</v>
      </c>
      <c r="AC990" s="64"/>
      <c r="AD990" s="57" t="n">
        <f aca="false">IF(LEFT(Cockpit!$C$5,1)="A",G990,IF(BW990=1,BX990,IF(LEFT(Cockpit!$C$5,1)="B",AH990,MAX(AH990,G990))))</f>
        <v>0</v>
      </c>
      <c r="AE990" s="57" t="n">
        <f aca="false">IF(BR990=1,0,ROUNDUP(AD990/BQ990,0))</f>
        <v>0</v>
      </c>
      <c r="AF990" s="59" t="n">
        <f aca="false">IF(CD990&gt;0,CD990*MAX(1,AD990/V990),IF(BR990=1,IF(AD990&lt;=0,0,BS990*MAX(1,IF(G990&gt;0,AD990/G990,1))),IF(Q990&gt;0,AE990/Q990,0))/MAX(0.1,N(Parameter!$M$21)))</f>
        <v>0</v>
      </c>
      <c r="AG990" s="57" t="n">
        <f aca="false">AD990*F990</f>
        <v>0</v>
      </c>
      <c r="AH990" s="57" t="n">
        <f aca="false">ROUNDUP(MAX(I990/IF(BV990&gt;0,BV990,MAX(0.1,N(Cockpit!$C$6))),BY990)/BQ990,0)*BQ990</f>
        <v>787</v>
      </c>
      <c r="AI990" s="58" t="n">
        <f aca="false">IF(AF990&gt;0,I990/AF990,-1)</f>
        <v>-1</v>
      </c>
      <c r="AJ990" s="58" t="str">
        <f aca="false">IF(AND(OR(BU990="L1",BU990="L23"),AF990&gt;0),SUMIFS($AF$7:$AF$1576,$BU$7:$BU$1576,BU990,$AI$7:$AI$1576,"&gt;"&amp;AI990)+SUMIFS($AF$7:$AF$1576,$BU$7:$BU$1576,BU990,$AI$7:$AI$1576,AI990,$BO$7:$BO$1576,"&lt;="&amp;BO990),"")</f>
        <v/>
      </c>
      <c r="AK990" s="65" t="n">
        <f aca="false">IF(AJ990="",0,MAX(0,MIN(1,(IF(BU990="L1",Parameter!$E$5,Parameter!$E$6+Parameter!$E$7)-(AJ990-AF990))/AF990)))</f>
        <v>0</v>
      </c>
      <c r="AL990" s="57" t="n">
        <f aca="false">IF(LEFT(Cockpit!$I$5,1)="A",G990,IF(BW990=1,BX990,IF(LEFT(Cockpit!$I$5,1)="B",AP990,MAX(AP990,G990))))</f>
        <v>787</v>
      </c>
      <c r="AM990" s="57" t="n">
        <f aca="false">IF(BR990=1,0,ROUNDUP(AL990/BQ990,0))</f>
        <v>1</v>
      </c>
      <c r="AN990" s="59" t="n">
        <f aca="false">IF(CD990&gt;0,CD990*MAX(1,AL990/V990),IF(BR990=1,IF(AL990&lt;=0,0,BS990*MAX(1,IF(G990&gt;0,AL990/G990,1))),IF(Q990&gt;0,AM990/Q990,0))/MAX(0.1,N(Parameter!$M$21)))</f>
        <v>0.00505050505050505</v>
      </c>
      <c r="AO990" s="57" t="n">
        <f aca="false">AL990*F990</f>
        <v>251.84</v>
      </c>
      <c r="AP990" s="57" t="n">
        <f aca="false">ROUNDUP(MAX(I990/IF(BV990&gt;0,BV990,MAX(0.1,N(Cockpit!$I$6))),BY990)/BQ990,0)*BQ990</f>
        <v>787</v>
      </c>
      <c r="AQ990" s="58" t="n">
        <f aca="false">IF(AN990&gt;0,I990/AN990,-1)</f>
        <v>27720</v>
      </c>
      <c r="AR990" s="58" t="n">
        <f aca="false">IF(AND(OR(BU990="L1",BU990="L23"),AN990&gt;0),SUMIFS($AN$7:$AN$1576,$BU$7:$BU$1576,BU990,$AQ$7:$AQ$1576,"&gt;"&amp;AQ990)+SUMIFS($AN$7:$AN$1576,$BU$7:$BU$1576,BU990,$AQ$7:$AQ$1576,AQ990,$BO$7:$BO$1576,"&lt;="&amp;BO990),"")</f>
        <v>3.21562143170839</v>
      </c>
      <c r="AS990" s="65" t="n">
        <f aca="false">IF(AR990="",0,MAX(0,MIN(1,(IF(BU990="L1",Parameter!$E$5,Parameter!$E$6+Parameter!$E$7)-(AR990-AN990))/AN990)))</f>
        <v>1</v>
      </c>
      <c r="AT990" s="57" t="n">
        <f aca="false">IF(LEFT(Cockpit!$O$5,1)="A",G990,IF(BW990=1,BX990,IF(LEFT(Cockpit!$O$5,1)="B",AX990,MAX(AX990,G990))))</f>
        <v>787</v>
      </c>
      <c r="AU990" s="57" t="n">
        <f aca="false">IF(BR990=1,0,ROUNDUP(AT990/BQ990,0))</f>
        <v>1</v>
      </c>
      <c r="AV990" s="59" t="n">
        <f aca="false">IF(CD990&gt;0,CD990*MAX(1,AT990/V990),IF(BR990=1,IF(AT990&lt;=0,0,BS990*MAX(1,IF(G990&gt;0,AT990/G990,1))),IF(Q990&gt;0,AU990/Q990,0))/MAX(0.1,N(Parameter!$M$21)))</f>
        <v>0.00505050505050505</v>
      </c>
      <c r="AW990" s="57" t="n">
        <f aca="false">AT990*F990</f>
        <v>251.84</v>
      </c>
      <c r="AX990" s="57" t="n">
        <f aca="false">ROUNDUP(MAX(I990/IF(BV990&gt;0,BV990,MAX(0.1,N(Cockpit!$O$6))),BY990)/BQ990,0)*BQ990</f>
        <v>787</v>
      </c>
      <c r="AY990" s="58" t="n">
        <f aca="false">IF(AV990&gt;0,I990/AV990,-1)</f>
        <v>27720</v>
      </c>
      <c r="AZ990" s="58" t="n">
        <f aca="false">IF(AND(OR(BU990="L1",BU990="L23"),AV990&gt;0),SUMIFS($AV$7:$AV$1576,$BU$7:$BU$1576,BU990,$AY$7:$AY$1576,"&gt;"&amp;AY990)+SUMIFS($AV$7:$AV$1576,$BU$7:$BU$1576,BU990,$AY$7:$AY$1576,AY990,$BO$7:$BO$1576,"&lt;="&amp;BO990),"")</f>
        <v>2.98368669977366</v>
      </c>
      <c r="BA990" s="65" t="n">
        <f aca="false">IF(AZ990="",0,MAX(0,MIN(1,(IF(BU990="L1",Parameter!$E$5,Parameter!$E$6+Parameter!$E$7)-(AZ990-AV990))/AV990)))</f>
        <v>1</v>
      </c>
      <c r="BB990" s="55" t="str">
        <f aca="false">IF(AF990&lt;=0,"",IF(BU990="Aussen","Aussenlager",IF(BU990="-","Nicht im Lift",IF(AK990&gt;=1,"Lift",IF(AK990&lt;=0,"Aussenlager","teilweise")))))</f>
        <v/>
      </c>
      <c r="BC990" s="55" t="str">
        <f aca="false">IF(AN990&lt;=0,"",IF(BU990="Aussen","Aussenlager",IF(BU990="-","Nicht im Lift",IF(AS990&gt;=1,"Lift",IF(AS990&lt;=0,"Aussenlager","teilweise")))))</f>
        <v>Lift</v>
      </c>
      <c r="BD990" s="55" t="str">
        <f aca="false">IF(AV990&lt;=0,"",IF(BU990="Aussen","Aussenlager",IF(BU990="-","Nicht im Lift",IF(BA990&gt;=1,"Lift",IF(BA990&lt;=0,"Aussenlager","teilweise")))))</f>
        <v>Lift</v>
      </c>
      <c r="BE990" s="55" t="str">
        <f aca="false">IF(A990="","",IF(BN990=1,"Neu; ","")&amp;IF(AND(BN990=0,BI990&lt;0),"negativer Bestand (Export "&amp;BI990&amp;"); ","")&amp;IF(I990&lt;=0,"Kein Verbrauch; ","")&amp;IF(CD990&gt;0,"Lift "&amp;U990&amp;" lt. Liftbericht (Fach "&amp;V990&amp;" Stk); ",IF(BR990=1,"Lose – Fläche geschätzt; ",""))&amp;IF(G990&gt;AP990,"Überbestand "&amp;ROUND(G990-AP990,0)&amp;" Stk / CHF "&amp;ROUND((G990-AP990)*F990,0)&amp;"; ","")&amp;IF(AND(BW990=1,BX990&lt;BY990),"MAX &lt; MB+LG; ","")&amp;IF(AND(CC990&gt;0,CB990*10&gt;CC990),"zu hoch für Tablar; ","")&amp;IF(AND(BN990=0,OR(BW990=1,Y990&lt;&gt;"",S990&lt;&gt;"",T990&lt;&gt;"",Z990&lt;&gt;"")),"manuell übersteuert; ","")&amp;IF(AND(BR990=0,Q990=0),"Gebinde unbekannt / Stellmass fehlt; ","")&amp;IF(AND(BR990=0,N(T990)&lt;=0,N(P990)&lt;=0),"Menge pro Gebinde fehlt (Ist = 1 Gebinde); ","")&amp;BM990)</f>
        <v>negativer Bestand (Export -1036); </v>
      </c>
      <c r="BF990" s="55"/>
      <c r="BG990" s="55"/>
      <c r="BH990" s="62"/>
      <c r="BI990" s="57" t="n">
        <v>-1036</v>
      </c>
      <c r="BJ990" s="57" t="n">
        <v>1036</v>
      </c>
      <c r="BK990" s="56" t="n">
        <v>-82.88</v>
      </c>
      <c r="BL990" s="57" t="n">
        <v>140</v>
      </c>
      <c r="BM990" s="55"/>
      <c r="BN990" s="60" t="n">
        <v>0</v>
      </c>
      <c r="BO990" s="60" t="n">
        <v>990</v>
      </c>
      <c r="BP990" s="55" t="str">
        <f aca="false">IF(S990&lt;&gt;"",UPPER(TRIM(S990)),IF(O990="","LOSE",O990))</f>
        <v>S22</v>
      </c>
      <c r="BQ990" s="57" t="n">
        <f aca="false">IF(BP990="LOSE",1,IF(N(T990)&gt;0,T990,IF(N(P990)&gt;0,P990,MAX(1,G990))))</f>
        <v>787</v>
      </c>
      <c r="BR990" s="60" t="n">
        <f aca="false">IF(BP990="LOSE",1,0)</f>
        <v>0</v>
      </c>
      <c r="BS990" s="59" t="n">
        <f aca="false">IF(BR990=0,0,IF(N(R990)&gt;0,R990,IFERROR(VLOOKUP(D990,Parameter!$A$35:$C$64,3,0)+0,0)))</f>
        <v>0</v>
      </c>
      <c r="BT990" s="55" t="n">
        <f aca="false">IF(Y990&lt;&gt;"",Y990,X990)</f>
        <v>3</v>
      </c>
      <c r="BU990" s="55" t="str">
        <f aca="false">IF(BT990=1,"L1",IF(OR(BT990=2,BT990=3),"L23",IF(BT990="Aussen","Aussen","-")))</f>
        <v>L23</v>
      </c>
      <c r="BV990" s="66" t="n">
        <f aca="false">IF(N(Z990)&gt;0,Z990,0)</f>
        <v>0</v>
      </c>
      <c r="BW990" s="60" t="n">
        <f aca="false">IF(ISNUMBER(AC990),1,0)</f>
        <v>0</v>
      </c>
      <c r="BX990" s="57" t="n">
        <f aca="false">N(AC990)</f>
        <v>0</v>
      </c>
      <c r="BY990" s="57" t="n">
        <f aca="false">N(L990)+N(M990)</f>
        <v>208</v>
      </c>
      <c r="BZ990" s="57" t="n">
        <f aca="false">ROUNDUP(G990/BQ990,0)</f>
        <v>0</v>
      </c>
      <c r="CA990" s="57" t="n">
        <f aca="false">ROUNDUP(BX990/BQ990,0)</f>
        <v>0</v>
      </c>
      <c r="CB990" s="60" t="n">
        <f aca="false">IF(BR990=1,0,IFERROR(VLOOKUP(BP990,'Gebinde-Kategorie'!$A$5:$M$45,5,0)+0,0))</f>
        <v>8</v>
      </c>
      <c r="CC990" s="60" t="n">
        <f aca="false">IFERROR(IF(OR(BT990=1,BT990=2,BT990=3),N(INDEX(Parameter!$I$5:$I$7,BT990)),0),0)</f>
        <v>0</v>
      </c>
      <c r="CD990" s="59" t="n">
        <f aca="false">IF(AND(Parameter!$B$21="Ja",ISNUMBER(U990),N(V990)&gt;0),IFERROR(N(INDEX(Parameter!$L$5:$L$7,U990))*INDEX(Parameter!$E$5:$E$7,U990)*V990/SUMIFS($V$7:$V$1576,$U$7:$U$1576,U990),0),0)</f>
        <v>0</v>
      </c>
    </row>
    <row r="991" customFormat="false" ht="15" hidden="false" customHeight="false" outlineLevel="0" collapsed="false">
      <c r="A991" s="55" t="s">
        <v>1818</v>
      </c>
      <c r="B991" s="55" t="s">
        <v>1819</v>
      </c>
      <c r="C991" s="55" t="s">
        <v>160</v>
      </c>
      <c r="D991" s="55" t="s">
        <v>178</v>
      </c>
      <c r="E991" s="55" t="s">
        <v>210</v>
      </c>
      <c r="F991" s="56" t="n">
        <v>35.92</v>
      </c>
      <c r="G991" s="57" t="n">
        <f aca="false">MAX(0,IF(AND(Parameter!$B$21="Ja",ISNUMBER(W991)),W991,IF(Parameter!$B$20="Jahresanfang 2025 + Export",BJ991+BI991,BI991)))</f>
        <v>0</v>
      </c>
      <c r="H991" s="57" t="n">
        <f aca="false">G991*F991</f>
        <v>0</v>
      </c>
      <c r="I991" s="57" t="n">
        <f aca="false">BL991*Parameter!$B$18</f>
        <v>5</v>
      </c>
      <c r="J991" s="58" t="n">
        <v>5</v>
      </c>
      <c r="K991" s="59" t="n">
        <v>1</v>
      </c>
      <c r="L991" s="57" t="n">
        <v>0</v>
      </c>
      <c r="M991" s="57" t="n">
        <v>5</v>
      </c>
      <c r="N991" s="60" t="n">
        <v>21</v>
      </c>
      <c r="O991" s="55" t="s">
        <v>293</v>
      </c>
      <c r="P991" s="57" t="n">
        <v>11</v>
      </c>
      <c r="Q991" s="60" t="n">
        <f aca="false">IF(BR991=1,0,IFERROR(VLOOKUP(BP991,'Gebinde-Kategorie'!$A$5:$M$45,13,0)+0,0))</f>
        <v>26</v>
      </c>
      <c r="R991" s="61"/>
      <c r="S991" s="62"/>
      <c r="T991" s="62"/>
      <c r="U991" s="55"/>
      <c r="V991" s="57"/>
      <c r="W991" s="57"/>
      <c r="X991" s="55" t="n">
        <f aca="false">IF(A991="","",IF(AND(Parameter!$B$21="Ja",ISNUMBER(U991)),U991,IF(IFERROR(VLOOKUP(D991,Parameter!$A$35:$C$64,2,0),"Nein")="2+3",IF(ISNUMBER(SEARCH("grosser Artikel",BM991)),2,IFERROR(VLOOKUP(BP991,Parameter!$F$35:$G$64,2,0),2)),IF(OR(IFERROR(VLOOKUP(D991,Parameter!$A$35:$C$64,2,0),"Nein")="Nein",IFERROR(VLOOKUP(D991,Parameter!$A$35:$C$64,2,0),"Nein")=""),"-",VLOOKUP(D991,Parameter!$A$35:$C$64,2,0)))))</f>
        <v>3</v>
      </c>
      <c r="Y991" s="62"/>
      <c r="Z991" s="63"/>
      <c r="AA991" s="57" t="n">
        <f aca="false">AP991</f>
        <v>11</v>
      </c>
      <c r="AB991" s="57" t="n">
        <f aca="false">MAX(AP991,G991)</f>
        <v>11</v>
      </c>
      <c r="AC991" s="64"/>
      <c r="AD991" s="57" t="n">
        <f aca="false">IF(LEFT(Cockpit!$C$5,1)="A",G991,IF(BW991=1,BX991,IF(LEFT(Cockpit!$C$5,1)="B",AH991,MAX(AH991,G991))))</f>
        <v>0</v>
      </c>
      <c r="AE991" s="57" t="n">
        <f aca="false">IF(BR991=1,0,ROUNDUP(AD991/BQ991,0))</f>
        <v>0</v>
      </c>
      <c r="AF991" s="59" t="n">
        <f aca="false">IF(CD991&gt;0,CD991*MAX(1,AD991/V991),IF(BR991=1,IF(AD991&lt;=0,0,BS991*MAX(1,IF(G991&gt;0,AD991/G991,1))),IF(Q991&gt;0,AE991/Q991,0))/MAX(0.1,N(Parameter!$M$21)))</f>
        <v>0</v>
      </c>
      <c r="AG991" s="57" t="n">
        <f aca="false">AD991*F991</f>
        <v>0</v>
      </c>
      <c r="AH991" s="57" t="n">
        <f aca="false">ROUNDUP(MAX(I991/IF(BV991&gt;0,BV991,MAX(0.1,N(Cockpit!$C$6))),BY991)/BQ991,0)*BQ991</f>
        <v>11</v>
      </c>
      <c r="AI991" s="58" t="n">
        <f aca="false">IF(AF991&gt;0,I991/AF991,-1)</f>
        <v>-1</v>
      </c>
      <c r="AJ991" s="58" t="str">
        <f aca="false">IF(AND(OR(BU991="L1",BU991="L23"),AF991&gt;0),SUMIFS($AF$7:$AF$1576,$BU$7:$BU$1576,BU991,$AI$7:$AI$1576,"&gt;"&amp;AI991)+SUMIFS($AF$7:$AF$1576,$BU$7:$BU$1576,BU991,$AI$7:$AI$1576,AI991,$BO$7:$BO$1576,"&lt;="&amp;BO991),"")</f>
        <v/>
      </c>
      <c r="AK991" s="65" t="n">
        <f aca="false">IF(AJ991="",0,MAX(0,MIN(1,(IF(BU991="L1",Parameter!$E$5,Parameter!$E$6+Parameter!$E$7)-(AJ991-AF991))/AF991)))</f>
        <v>0</v>
      </c>
      <c r="AL991" s="57" t="n">
        <f aca="false">IF(LEFT(Cockpit!$I$5,1)="A",G991,IF(BW991=1,BX991,IF(LEFT(Cockpit!$I$5,1)="B",AP991,MAX(AP991,G991))))</f>
        <v>11</v>
      </c>
      <c r="AM991" s="57" t="n">
        <f aca="false">IF(BR991=1,0,ROUNDUP(AL991/BQ991,0))</f>
        <v>1</v>
      </c>
      <c r="AN991" s="59" t="n">
        <f aca="false">IF(CD991&gt;0,CD991*MAX(1,AL991/V991),IF(BR991=1,IF(AL991&lt;=0,0,BS991*MAX(1,IF(G991&gt;0,AL991/G991,1))),IF(Q991&gt;0,AM991/Q991,0))/MAX(0.1,N(Parameter!$M$21)))</f>
        <v>0.0384615384615385</v>
      </c>
      <c r="AO991" s="57" t="n">
        <f aca="false">AL991*F991</f>
        <v>395.12</v>
      </c>
      <c r="AP991" s="57" t="n">
        <f aca="false">ROUNDUP(MAX(I991/IF(BV991&gt;0,BV991,MAX(0.1,N(Cockpit!$I$6))),BY991)/BQ991,0)*BQ991</f>
        <v>11</v>
      </c>
      <c r="AQ991" s="58" t="n">
        <f aca="false">IF(AN991&gt;0,I991/AN991,-1)</f>
        <v>130</v>
      </c>
      <c r="AR991" s="58" t="n">
        <f aca="false">IF(AND(OR(BU991="L1",BU991="L23"),AN991&gt;0),SUMIFS($AN$7:$AN$1576,$BU$7:$BU$1576,BU991,$AQ$7:$AQ$1576,"&gt;"&amp;AQ991)+SUMIFS($AN$7:$AN$1576,$BU$7:$BU$1576,BU991,$AQ$7:$AQ$1576,AQ991,$BO$7:$BO$1576,"&lt;="&amp;BO991),"")</f>
        <v>61.238540843552</v>
      </c>
      <c r="AS991" s="65" t="n">
        <f aca="false">IF(AR991="",0,MAX(0,MIN(1,(IF(BU991="L1",Parameter!$E$5,Parameter!$E$6+Parameter!$E$7)-(AR991-AN991))/AN991)))</f>
        <v>1</v>
      </c>
      <c r="AT991" s="57" t="n">
        <f aca="false">IF(LEFT(Cockpit!$O$5,1)="A",G991,IF(BW991=1,BX991,IF(LEFT(Cockpit!$O$5,1)="B",AX991,MAX(AX991,G991))))</f>
        <v>11</v>
      </c>
      <c r="AU991" s="57" t="n">
        <f aca="false">IF(BR991=1,0,ROUNDUP(AT991/BQ991,0))</f>
        <v>1</v>
      </c>
      <c r="AV991" s="59" t="n">
        <f aca="false">IF(CD991&gt;0,CD991*MAX(1,AT991/V991),IF(BR991=1,IF(AT991&lt;=0,0,BS991*MAX(1,IF(G991&gt;0,AT991/G991,1))),IF(Q991&gt;0,AU991/Q991,0))/MAX(0.1,N(Parameter!$M$21)))</f>
        <v>0.0384615384615385</v>
      </c>
      <c r="AW991" s="57" t="n">
        <f aca="false">AT991*F991</f>
        <v>395.12</v>
      </c>
      <c r="AX991" s="57" t="n">
        <f aca="false">ROUNDUP(MAX(I991/IF(BV991&gt;0,BV991,MAX(0.1,N(Cockpit!$O$6))),BY991)/BQ991,0)*BQ991</f>
        <v>11</v>
      </c>
      <c r="AY991" s="58" t="n">
        <f aca="false">IF(AV991&gt;0,I991/AV991,-1)</f>
        <v>130</v>
      </c>
      <c r="AZ991" s="58" t="n">
        <f aca="false">IF(AND(OR(BU991="L1",BU991="L23"),AV991&gt;0),SUMIFS($AV$7:$AV$1576,$BU$7:$BU$1576,BU991,$AY$7:$AY$1576,"&gt;"&amp;AY991)+SUMIFS($AV$7:$AV$1576,$BU$7:$BU$1576,BU991,$AY$7:$AY$1576,AY991,$BO$7:$BO$1576,"&lt;="&amp;BO991),"")</f>
        <v>56.5676746264358</v>
      </c>
      <c r="BA991" s="65" t="n">
        <f aca="false">IF(AZ991="",0,MAX(0,MIN(1,(IF(BU991="L1",Parameter!$E$5,Parameter!$E$6+Parameter!$E$7)-(AZ991-AV991))/AV991)))</f>
        <v>1</v>
      </c>
      <c r="BB991" s="55" t="str">
        <f aca="false">IF(AF991&lt;=0,"",IF(BU991="Aussen","Aussenlager",IF(BU991="-","Nicht im Lift",IF(AK991&gt;=1,"Lift",IF(AK991&lt;=0,"Aussenlager","teilweise")))))</f>
        <v/>
      </c>
      <c r="BC991" s="55" t="str">
        <f aca="false">IF(AN991&lt;=0,"",IF(BU991="Aussen","Aussenlager",IF(BU991="-","Nicht im Lift",IF(AS991&gt;=1,"Lift",IF(AS991&lt;=0,"Aussenlager","teilweise")))))</f>
        <v>Lift</v>
      </c>
      <c r="BD991" s="55" t="str">
        <f aca="false">IF(AV991&lt;=0,"",IF(BU991="Aussen","Aussenlager",IF(BU991="-","Nicht im Lift",IF(BA991&gt;=1,"Lift",IF(BA991&lt;=0,"Aussenlager","teilweise")))))</f>
        <v>Lift</v>
      </c>
      <c r="BE991" s="55" t="str">
        <f aca="false">IF(A991="","",IF(BN991=1,"Neu; ","")&amp;IF(AND(BN991=0,BI991&lt;0),"negativer Bestand (Export "&amp;BI991&amp;"); ","")&amp;IF(I991&lt;=0,"Kein Verbrauch; ","")&amp;IF(CD991&gt;0,"Lift "&amp;U991&amp;" lt. Liftbericht (Fach "&amp;V991&amp;" Stk); ",IF(BR991=1,"Lose – Fläche geschätzt; ",""))&amp;IF(G991&gt;AP991,"Überbestand "&amp;ROUND(G991-AP991,0)&amp;" Stk / CHF "&amp;ROUND((G991-AP991)*F991,0)&amp;"; ","")&amp;IF(AND(BW991=1,BX991&lt;BY991),"MAX &lt; MB+LG; ","")&amp;IF(AND(CC991&gt;0,CB991*10&gt;CC991),"zu hoch für Tablar; ","")&amp;IF(AND(BN991=0,OR(BW991=1,Y991&lt;&gt;"",S991&lt;&gt;"",T991&lt;&gt;"",Z991&lt;&gt;"")),"manuell übersteuert; ","")&amp;IF(AND(BR991=0,Q991=0),"Gebinde unbekannt / Stellmass fehlt; ","")&amp;IF(AND(BR991=0,N(T991)&lt;=0,N(P991)&lt;=0),"Menge pro Gebinde fehlt (Ist = 1 Gebinde); ","")&amp;BM991)</f>
        <v>negativer Bestand (Export -3); </v>
      </c>
      <c r="BF991" s="55"/>
      <c r="BG991" s="55"/>
      <c r="BH991" s="62"/>
      <c r="BI991" s="57" t="n">
        <v>-3</v>
      </c>
      <c r="BJ991" s="57" t="n">
        <v>6</v>
      </c>
      <c r="BK991" s="56" t="n">
        <v>-84.84</v>
      </c>
      <c r="BL991" s="57" t="n">
        <v>5</v>
      </c>
      <c r="BM991" s="55"/>
      <c r="BN991" s="60" t="n">
        <v>0</v>
      </c>
      <c r="BO991" s="60" t="n">
        <v>991</v>
      </c>
      <c r="BP991" s="55" t="str">
        <f aca="false">IF(S991&lt;&gt;"",UPPER(TRIM(S991)),IF(O991="","LOSE",O991))</f>
        <v>S51</v>
      </c>
      <c r="BQ991" s="57" t="n">
        <f aca="false">IF(BP991="LOSE",1,IF(N(T991)&gt;0,T991,IF(N(P991)&gt;0,P991,MAX(1,G991))))</f>
        <v>11</v>
      </c>
      <c r="BR991" s="60" t="n">
        <f aca="false">IF(BP991="LOSE",1,0)</f>
        <v>0</v>
      </c>
      <c r="BS991" s="59" t="n">
        <f aca="false">IF(BR991=0,0,IF(N(R991)&gt;0,R991,IFERROR(VLOOKUP(D991,Parameter!$A$35:$C$64,3,0)+0,0)))</f>
        <v>0</v>
      </c>
      <c r="BT991" s="55" t="n">
        <f aca="false">IF(Y991&lt;&gt;"",Y991,X991)</f>
        <v>3</v>
      </c>
      <c r="BU991" s="55" t="str">
        <f aca="false">IF(BT991=1,"L1",IF(OR(BT991=2,BT991=3),"L23",IF(BT991="Aussen","Aussen","-")))</f>
        <v>L23</v>
      </c>
      <c r="BV991" s="66" t="n">
        <f aca="false">IF(N(Z991)&gt;0,Z991,0)</f>
        <v>0</v>
      </c>
      <c r="BW991" s="60" t="n">
        <f aca="false">IF(ISNUMBER(AC991),1,0)</f>
        <v>0</v>
      </c>
      <c r="BX991" s="57" t="n">
        <f aca="false">N(AC991)</f>
        <v>0</v>
      </c>
      <c r="BY991" s="57" t="n">
        <f aca="false">N(L991)+N(M991)</f>
        <v>5</v>
      </c>
      <c r="BZ991" s="57" t="n">
        <f aca="false">ROUNDUP(G991/BQ991,0)</f>
        <v>0</v>
      </c>
      <c r="CA991" s="57" t="n">
        <f aca="false">ROUNDUP(BX991/BQ991,0)</f>
        <v>0</v>
      </c>
      <c r="CB991" s="60" t="n">
        <f aca="false">IF(BR991=1,0,IFERROR(VLOOKUP(BP991,'Gebinde-Kategorie'!$A$5:$M$45,5,0)+0,0))</f>
        <v>11</v>
      </c>
      <c r="CC991" s="60" t="n">
        <f aca="false">IFERROR(IF(OR(BT991=1,BT991=2,BT991=3),N(INDEX(Parameter!$I$5:$I$7,BT991)),0),0)</f>
        <v>0</v>
      </c>
      <c r="CD991" s="59" t="n">
        <f aca="false">IF(AND(Parameter!$B$21="Ja",ISNUMBER(U991),N(V991)&gt;0),IFERROR(N(INDEX(Parameter!$L$5:$L$7,U991))*INDEX(Parameter!$E$5:$E$7,U991)*V991/SUMIFS($V$7:$V$1576,$U$7:$U$1576,U991),0),0)</f>
        <v>0</v>
      </c>
    </row>
    <row r="992" customFormat="false" ht="15" hidden="false" customHeight="false" outlineLevel="0" collapsed="false">
      <c r="A992" s="55" t="s">
        <v>1820</v>
      </c>
      <c r="B992" s="55" t="s">
        <v>1821</v>
      </c>
      <c r="C992" s="55" t="s">
        <v>160</v>
      </c>
      <c r="D992" s="55" t="s">
        <v>178</v>
      </c>
      <c r="E992" s="55" t="s">
        <v>210</v>
      </c>
      <c r="F992" s="56" t="n">
        <v>43.78</v>
      </c>
      <c r="G992" s="57" t="n">
        <f aca="false">MAX(0,IF(AND(Parameter!$B$21="Ja",ISNUMBER(W992)),W992,IF(Parameter!$B$20="Jahresanfang 2025 + Export",BJ992+BI992,BI992)))</f>
        <v>0</v>
      </c>
      <c r="H992" s="57" t="n">
        <f aca="false">G992*F992</f>
        <v>0</v>
      </c>
      <c r="I992" s="57" t="n">
        <f aca="false">BL992*Parameter!$B$18</f>
        <v>4</v>
      </c>
      <c r="J992" s="58" t="n">
        <v>13.5</v>
      </c>
      <c r="K992" s="59" t="n">
        <v>0.296296296296296</v>
      </c>
      <c r="L992" s="57" t="n">
        <v>0</v>
      </c>
      <c r="M992" s="57" t="n">
        <v>5</v>
      </c>
      <c r="N992" s="60" t="n">
        <v>16</v>
      </c>
      <c r="O992" s="55" t="s">
        <v>416</v>
      </c>
      <c r="P992" s="57" t="n">
        <v>17</v>
      </c>
      <c r="Q992" s="60" t="n">
        <f aca="false">IF(BR992=1,0,IFERROR(VLOOKUP(BP992,'Gebinde-Kategorie'!$A$5:$M$45,13,0)+0,0))</f>
        <v>198</v>
      </c>
      <c r="R992" s="61"/>
      <c r="S992" s="62"/>
      <c r="T992" s="62"/>
      <c r="U992" s="55"/>
      <c r="V992" s="57"/>
      <c r="W992" s="57"/>
      <c r="X992" s="55" t="n">
        <f aca="false">IF(A992="","",IF(AND(Parameter!$B$21="Ja",ISNUMBER(U992)),U992,IF(IFERROR(VLOOKUP(D992,Parameter!$A$35:$C$64,2,0),"Nein")="2+3",IF(ISNUMBER(SEARCH("grosser Artikel",BM992)),2,IFERROR(VLOOKUP(BP992,Parameter!$F$35:$G$64,2,0),2)),IF(OR(IFERROR(VLOOKUP(D992,Parameter!$A$35:$C$64,2,0),"Nein")="Nein",IFERROR(VLOOKUP(D992,Parameter!$A$35:$C$64,2,0),"Nein")=""),"-",VLOOKUP(D992,Parameter!$A$35:$C$64,2,0)))))</f>
        <v>3</v>
      </c>
      <c r="Y992" s="62"/>
      <c r="Z992" s="63"/>
      <c r="AA992" s="57" t="n">
        <f aca="false">AP992</f>
        <v>17</v>
      </c>
      <c r="AB992" s="57" t="n">
        <f aca="false">MAX(AP992,G992)</f>
        <v>17</v>
      </c>
      <c r="AC992" s="64"/>
      <c r="AD992" s="57" t="n">
        <f aca="false">IF(LEFT(Cockpit!$C$5,1)="A",G992,IF(BW992=1,BX992,IF(LEFT(Cockpit!$C$5,1)="B",AH992,MAX(AH992,G992))))</f>
        <v>0</v>
      </c>
      <c r="AE992" s="57" t="n">
        <f aca="false">IF(BR992=1,0,ROUNDUP(AD992/BQ992,0))</f>
        <v>0</v>
      </c>
      <c r="AF992" s="59" t="n">
        <f aca="false">IF(CD992&gt;0,CD992*MAX(1,AD992/V992),IF(BR992=1,IF(AD992&lt;=0,0,BS992*MAX(1,IF(G992&gt;0,AD992/G992,1))),IF(Q992&gt;0,AE992/Q992,0))/MAX(0.1,N(Parameter!$M$21)))</f>
        <v>0</v>
      </c>
      <c r="AG992" s="57" t="n">
        <f aca="false">AD992*F992</f>
        <v>0</v>
      </c>
      <c r="AH992" s="57" t="n">
        <f aca="false">ROUNDUP(MAX(I992/IF(BV992&gt;0,BV992,MAX(0.1,N(Cockpit!$C$6))),BY992)/BQ992,0)*BQ992</f>
        <v>17</v>
      </c>
      <c r="AI992" s="58" t="n">
        <f aca="false">IF(AF992&gt;0,I992/AF992,-1)</f>
        <v>-1</v>
      </c>
      <c r="AJ992" s="58" t="str">
        <f aca="false">IF(AND(OR(BU992="L1",BU992="L23"),AF992&gt;0),SUMIFS($AF$7:$AF$1576,$BU$7:$BU$1576,BU992,$AI$7:$AI$1576,"&gt;"&amp;AI992)+SUMIFS($AF$7:$AF$1576,$BU$7:$BU$1576,BU992,$AI$7:$AI$1576,AI992,$BO$7:$BO$1576,"&lt;="&amp;BO992),"")</f>
        <v/>
      </c>
      <c r="AK992" s="65" t="n">
        <f aca="false">IF(AJ992="",0,MAX(0,MIN(1,(IF(BU992="L1",Parameter!$E$5,Parameter!$E$6+Parameter!$E$7)-(AJ992-AF992))/AF992)))</f>
        <v>0</v>
      </c>
      <c r="AL992" s="57" t="n">
        <f aca="false">IF(LEFT(Cockpit!$I$5,1)="A",G992,IF(BW992=1,BX992,IF(LEFT(Cockpit!$I$5,1)="B",AP992,MAX(AP992,G992))))</f>
        <v>17</v>
      </c>
      <c r="AM992" s="57" t="n">
        <f aca="false">IF(BR992=1,0,ROUNDUP(AL992/BQ992,0))</f>
        <v>1</v>
      </c>
      <c r="AN992" s="59" t="n">
        <f aca="false">IF(CD992&gt;0,CD992*MAX(1,AL992/V992),IF(BR992=1,IF(AL992&lt;=0,0,BS992*MAX(1,IF(G992&gt;0,AL992/G992,1))),IF(Q992&gt;0,AM992/Q992,0))/MAX(0.1,N(Parameter!$M$21)))</f>
        <v>0.00505050505050505</v>
      </c>
      <c r="AO992" s="57" t="n">
        <f aca="false">AL992*F992</f>
        <v>744.26</v>
      </c>
      <c r="AP992" s="57" t="n">
        <f aca="false">ROUNDUP(MAX(I992/IF(BV992&gt;0,BV992,MAX(0.1,N(Cockpit!$I$6))),BY992)/BQ992,0)*BQ992</f>
        <v>17</v>
      </c>
      <c r="AQ992" s="58" t="n">
        <f aca="false">IF(AN992&gt;0,I992/AN992,-1)</f>
        <v>792</v>
      </c>
      <c r="AR992" s="58" t="n">
        <f aca="false">IF(AND(OR(BU992="L1",BU992="L23"),AN992&gt;0),SUMIFS($AN$7:$AN$1576,$BU$7:$BU$1576,BU992,$AQ$7:$AQ$1576,"&gt;"&amp;AQ992)+SUMIFS($AN$7:$AN$1576,$BU$7:$BU$1576,BU992,$AQ$7:$AQ$1576,AQ992,$BO$7:$BO$1576,"&lt;="&amp;BO992),"")</f>
        <v>26.2301533373384</v>
      </c>
      <c r="AS992" s="65" t="n">
        <f aca="false">IF(AR992="",0,MAX(0,MIN(1,(IF(BU992="L1",Parameter!$E$5,Parameter!$E$6+Parameter!$E$7)-(AR992-AN992))/AN992)))</f>
        <v>1</v>
      </c>
      <c r="AT992" s="57" t="n">
        <f aca="false">IF(LEFT(Cockpit!$O$5,1)="A",G992,IF(BW992=1,BX992,IF(LEFT(Cockpit!$O$5,1)="B",AX992,MAX(AX992,G992))))</f>
        <v>17</v>
      </c>
      <c r="AU992" s="57" t="n">
        <f aca="false">IF(BR992=1,0,ROUNDUP(AT992/BQ992,0))</f>
        <v>1</v>
      </c>
      <c r="AV992" s="59" t="n">
        <f aca="false">IF(CD992&gt;0,CD992*MAX(1,AT992/V992),IF(BR992=1,IF(AT992&lt;=0,0,BS992*MAX(1,IF(G992&gt;0,AT992/G992,1))),IF(Q992&gt;0,AU992/Q992,0))/MAX(0.1,N(Parameter!$M$21)))</f>
        <v>0.00505050505050505</v>
      </c>
      <c r="AW992" s="57" t="n">
        <f aca="false">AT992*F992</f>
        <v>744.26</v>
      </c>
      <c r="AX992" s="57" t="n">
        <f aca="false">ROUNDUP(MAX(I992/IF(BV992&gt;0,BV992,MAX(0.1,N(Cockpit!$O$6))),BY992)/BQ992,0)*BQ992</f>
        <v>17</v>
      </c>
      <c r="AY992" s="58" t="n">
        <f aca="false">IF(AV992&gt;0,I992/AV992,-1)</f>
        <v>792</v>
      </c>
      <c r="AZ992" s="58" t="n">
        <f aca="false">IF(AND(OR(BU992="L1",BU992="L23"),AV992&gt;0),SUMIFS($AV$7:$AV$1576,$BU$7:$BU$1576,BU992,$AY$7:$AY$1576,"&gt;"&amp;AY992)+SUMIFS($AV$7:$AV$1576,$BU$7:$BU$1576,BU992,$AY$7:$AY$1576,AY992,$BO$7:$BO$1576,"&lt;="&amp;BO992),"")</f>
        <v>26.1305029876881</v>
      </c>
      <c r="BA992" s="65" t="n">
        <f aca="false">IF(AZ992="",0,MAX(0,MIN(1,(IF(BU992="L1",Parameter!$E$5,Parameter!$E$6+Parameter!$E$7)-(AZ992-AV992))/AV992)))</f>
        <v>1</v>
      </c>
      <c r="BB992" s="55" t="str">
        <f aca="false">IF(AF992&lt;=0,"",IF(BU992="Aussen","Aussenlager",IF(BU992="-","Nicht im Lift",IF(AK992&gt;=1,"Lift",IF(AK992&lt;=0,"Aussenlager","teilweise")))))</f>
        <v/>
      </c>
      <c r="BC992" s="55" t="str">
        <f aca="false">IF(AN992&lt;=0,"",IF(BU992="Aussen","Aussenlager",IF(BU992="-","Nicht im Lift",IF(AS992&gt;=1,"Lift",IF(AS992&lt;=0,"Aussenlager","teilweise")))))</f>
        <v>Lift</v>
      </c>
      <c r="BD992" s="55" t="str">
        <f aca="false">IF(AV992&lt;=0,"",IF(BU992="Aussen","Aussenlager",IF(BU992="-","Nicht im Lift",IF(BA992&gt;=1,"Lift",IF(BA992&lt;=0,"Aussenlager","teilweise")))))</f>
        <v>Lift</v>
      </c>
      <c r="BE992" s="55" t="str">
        <f aca="false">IF(A992="","",IF(BN992=1,"Neu; ","")&amp;IF(AND(BN992=0,BI992&lt;0),"negativer Bestand (Export "&amp;BI992&amp;"); ","")&amp;IF(I992&lt;=0,"Kein Verbrauch; ","")&amp;IF(CD992&gt;0,"Lift "&amp;U992&amp;" lt. Liftbericht (Fach "&amp;V992&amp;" Stk); ",IF(BR992=1,"Lose – Fläche geschätzt; ",""))&amp;IF(G992&gt;AP992,"Überbestand "&amp;ROUND(G992-AP992,0)&amp;" Stk / CHF "&amp;ROUND((G992-AP992)*F992,0)&amp;"; ","")&amp;IF(AND(BW992=1,BX992&lt;BY992),"MAX &lt; MB+LG; ","")&amp;IF(AND(CC992&gt;0,CB992*10&gt;CC992),"zu hoch für Tablar; ","")&amp;IF(AND(BN992=0,OR(BW992=1,Y992&lt;&gt;"",S992&lt;&gt;"",T992&lt;&gt;"",Z992&lt;&gt;"")),"manuell übersteuert; ","")&amp;IF(AND(BR992=0,Q992=0),"Gebinde unbekannt / Stellmass fehlt; ","")&amp;IF(AND(BR992=0,N(T992)&lt;=0,N(P992)&lt;=0),"Menge pro Gebinde fehlt (Ist = 1 Gebinde); ","")&amp;BM992)</f>
        <v>negativer Bestand (Export -2); </v>
      </c>
      <c r="BF992" s="55"/>
      <c r="BG992" s="55"/>
      <c r="BH992" s="62"/>
      <c r="BI992" s="57" t="n">
        <v>-2</v>
      </c>
      <c r="BJ992" s="57" t="n">
        <v>15</v>
      </c>
      <c r="BK992" s="56" t="n">
        <v>-87.56</v>
      </c>
      <c r="BL992" s="57" t="n">
        <v>4</v>
      </c>
      <c r="BM992" s="55"/>
      <c r="BN992" s="60" t="n">
        <v>0</v>
      </c>
      <c r="BO992" s="60" t="n">
        <v>992</v>
      </c>
      <c r="BP992" s="55" t="str">
        <f aca="false">IF(S992&lt;&gt;"",UPPER(TRIM(S992)),IF(O992="","LOSE",O992))</f>
        <v>S22</v>
      </c>
      <c r="BQ992" s="57" t="n">
        <f aca="false">IF(BP992="LOSE",1,IF(N(T992)&gt;0,T992,IF(N(P992)&gt;0,P992,MAX(1,G992))))</f>
        <v>17</v>
      </c>
      <c r="BR992" s="60" t="n">
        <f aca="false">IF(BP992="LOSE",1,0)</f>
        <v>0</v>
      </c>
      <c r="BS992" s="59" t="n">
        <f aca="false">IF(BR992=0,0,IF(N(R992)&gt;0,R992,IFERROR(VLOOKUP(D992,Parameter!$A$35:$C$64,3,0)+0,0)))</f>
        <v>0</v>
      </c>
      <c r="BT992" s="55" t="n">
        <f aca="false">IF(Y992&lt;&gt;"",Y992,X992)</f>
        <v>3</v>
      </c>
      <c r="BU992" s="55" t="str">
        <f aca="false">IF(BT992=1,"L1",IF(OR(BT992=2,BT992=3),"L23",IF(BT992="Aussen","Aussen","-")))</f>
        <v>L23</v>
      </c>
      <c r="BV992" s="66" t="n">
        <f aca="false">IF(N(Z992)&gt;0,Z992,0)</f>
        <v>0</v>
      </c>
      <c r="BW992" s="60" t="n">
        <f aca="false">IF(ISNUMBER(AC992),1,0)</f>
        <v>0</v>
      </c>
      <c r="BX992" s="57" t="n">
        <f aca="false">N(AC992)</f>
        <v>0</v>
      </c>
      <c r="BY992" s="57" t="n">
        <f aca="false">N(L992)+N(M992)</f>
        <v>5</v>
      </c>
      <c r="BZ992" s="57" t="n">
        <f aca="false">ROUNDUP(G992/BQ992,0)</f>
        <v>0</v>
      </c>
      <c r="CA992" s="57" t="n">
        <f aca="false">ROUNDUP(BX992/BQ992,0)</f>
        <v>0</v>
      </c>
      <c r="CB992" s="60" t="n">
        <f aca="false">IF(BR992=1,0,IFERROR(VLOOKUP(BP992,'Gebinde-Kategorie'!$A$5:$M$45,5,0)+0,0))</f>
        <v>8</v>
      </c>
      <c r="CC992" s="60" t="n">
        <f aca="false">IFERROR(IF(OR(BT992=1,BT992=2,BT992=3),N(INDEX(Parameter!$I$5:$I$7,BT992)),0),0)</f>
        <v>0</v>
      </c>
      <c r="CD992" s="59" t="n">
        <f aca="false">IF(AND(Parameter!$B$21="Ja",ISNUMBER(U992),N(V992)&gt;0),IFERROR(N(INDEX(Parameter!$L$5:$L$7,U992))*INDEX(Parameter!$E$5:$E$7,U992)*V992/SUMIFS($V$7:$V$1576,$U$7:$U$1576,U992),0),0)</f>
        <v>0</v>
      </c>
    </row>
    <row r="993" customFormat="false" ht="15" hidden="false" customHeight="false" outlineLevel="0" collapsed="false">
      <c r="A993" s="55" t="s">
        <v>1822</v>
      </c>
      <c r="B993" s="55" t="s">
        <v>713</v>
      </c>
      <c r="C993" s="55" t="s">
        <v>160</v>
      </c>
      <c r="D993" s="55" t="s">
        <v>178</v>
      </c>
      <c r="E993" s="55" t="s">
        <v>210</v>
      </c>
      <c r="F993" s="56" t="n">
        <v>14.65</v>
      </c>
      <c r="G993" s="57" t="n">
        <f aca="false">MAX(0,IF(AND(Parameter!$B$21="Ja",ISNUMBER(W993)),W993,IF(Parameter!$B$20="Jahresanfang 2025 + Export",BJ993+BI993,BI993)))</f>
        <v>0</v>
      </c>
      <c r="H993" s="57" t="n">
        <f aca="false">G993*F993</f>
        <v>0</v>
      </c>
      <c r="I993" s="57" t="n">
        <f aca="false">BL993*Parameter!$B$18</f>
        <v>6</v>
      </c>
      <c r="J993" s="58" t="n">
        <v>8</v>
      </c>
      <c r="K993" s="59" t="n">
        <v>0.75</v>
      </c>
      <c r="L993" s="57" t="n">
        <v>0</v>
      </c>
      <c r="M993" s="57" t="n">
        <v>5</v>
      </c>
      <c r="N993" s="60" t="n">
        <v>14</v>
      </c>
      <c r="O993" s="55" t="s">
        <v>411</v>
      </c>
      <c r="P993" s="57" t="n">
        <v>19</v>
      </c>
      <c r="Q993" s="60" t="n">
        <f aca="false">IF(BR993=1,0,IFERROR(VLOOKUP(BP993,'Gebinde-Kategorie'!$A$5:$M$45,13,0)+0,0))</f>
        <v>132</v>
      </c>
      <c r="R993" s="61"/>
      <c r="S993" s="62"/>
      <c r="T993" s="62"/>
      <c r="U993" s="55"/>
      <c r="V993" s="57"/>
      <c r="W993" s="57"/>
      <c r="X993" s="55" t="n">
        <f aca="false">IF(A993="","",IF(AND(Parameter!$B$21="Ja",ISNUMBER(U993)),U993,IF(IFERROR(VLOOKUP(D993,Parameter!$A$35:$C$64,2,0),"Nein")="2+3",IF(ISNUMBER(SEARCH("grosser Artikel",BM993)),2,IFERROR(VLOOKUP(BP993,Parameter!$F$35:$G$64,2,0),2)),IF(OR(IFERROR(VLOOKUP(D993,Parameter!$A$35:$C$64,2,0),"Nein")="Nein",IFERROR(VLOOKUP(D993,Parameter!$A$35:$C$64,2,0),"Nein")=""),"-",VLOOKUP(D993,Parameter!$A$35:$C$64,2,0)))))</f>
        <v>3</v>
      </c>
      <c r="Y993" s="62"/>
      <c r="Z993" s="63"/>
      <c r="AA993" s="57" t="n">
        <f aca="false">AP993</f>
        <v>19</v>
      </c>
      <c r="AB993" s="57" t="n">
        <f aca="false">MAX(AP993,G993)</f>
        <v>19</v>
      </c>
      <c r="AC993" s="64"/>
      <c r="AD993" s="57" t="n">
        <f aca="false">IF(LEFT(Cockpit!$C$5,1)="A",G993,IF(BW993=1,BX993,IF(LEFT(Cockpit!$C$5,1)="B",AH993,MAX(AH993,G993))))</f>
        <v>0</v>
      </c>
      <c r="AE993" s="57" t="n">
        <f aca="false">IF(BR993=1,0,ROUNDUP(AD993/BQ993,0))</f>
        <v>0</v>
      </c>
      <c r="AF993" s="59" t="n">
        <f aca="false">IF(CD993&gt;0,CD993*MAX(1,AD993/V993),IF(BR993=1,IF(AD993&lt;=0,0,BS993*MAX(1,IF(G993&gt;0,AD993/G993,1))),IF(Q993&gt;0,AE993/Q993,0))/MAX(0.1,N(Parameter!$M$21)))</f>
        <v>0</v>
      </c>
      <c r="AG993" s="57" t="n">
        <f aca="false">AD993*F993</f>
        <v>0</v>
      </c>
      <c r="AH993" s="57" t="n">
        <f aca="false">ROUNDUP(MAX(I993/IF(BV993&gt;0,BV993,MAX(0.1,N(Cockpit!$C$6))),BY993)/BQ993,0)*BQ993</f>
        <v>19</v>
      </c>
      <c r="AI993" s="58" t="n">
        <f aca="false">IF(AF993&gt;0,I993/AF993,-1)</f>
        <v>-1</v>
      </c>
      <c r="AJ993" s="58" t="str">
        <f aca="false">IF(AND(OR(BU993="L1",BU993="L23"),AF993&gt;0),SUMIFS($AF$7:$AF$1576,$BU$7:$BU$1576,BU993,$AI$7:$AI$1576,"&gt;"&amp;AI993)+SUMIFS($AF$7:$AF$1576,$BU$7:$BU$1576,BU993,$AI$7:$AI$1576,AI993,$BO$7:$BO$1576,"&lt;="&amp;BO993),"")</f>
        <v/>
      </c>
      <c r="AK993" s="65" t="n">
        <f aca="false">IF(AJ993="",0,MAX(0,MIN(1,(IF(BU993="L1",Parameter!$E$5,Parameter!$E$6+Parameter!$E$7)-(AJ993-AF993))/AF993)))</f>
        <v>0</v>
      </c>
      <c r="AL993" s="57" t="n">
        <f aca="false">IF(LEFT(Cockpit!$I$5,1)="A",G993,IF(BW993=1,BX993,IF(LEFT(Cockpit!$I$5,1)="B",AP993,MAX(AP993,G993))))</f>
        <v>19</v>
      </c>
      <c r="AM993" s="57" t="n">
        <f aca="false">IF(BR993=1,0,ROUNDUP(AL993/BQ993,0))</f>
        <v>1</v>
      </c>
      <c r="AN993" s="59" t="n">
        <f aca="false">IF(CD993&gt;0,CD993*MAX(1,AL993/V993),IF(BR993=1,IF(AL993&lt;=0,0,BS993*MAX(1,IF(G993&gt;0,AL993/G993,1))),IF(Q993&gt;0,AM993/Q993,0))/MAX(0.1,N(Parameter!$M$21)))</f>
        <v>0.00757575757575758</v>
      </c>
      <c r="AO993" s="57" t="n">
        <f aca="false">AL993*F993</f>
        <v>278.35</v>
      </c>
      <c r="AP993" s="57" t="n">
        <f aca="false">ROUNDUP(MAX(I993/IF(BV993&gt;0,BV993,MAX(0.1,N(Cockpit!$I$6))),BY993)/BQ993,0)*BQ993</f>
        <v>19</v>
      </c>
      <c r="AQ993" s="58" t="n">
        <f aca="false">IF(AN993&gt;0,I993/AN993,-1)</f>
        <v>792</v>
      </c>
      <c r="AR993" s="58" t="n">
        <f aca="false">IF(AND(OR(BU993="L1",BU993="L23"),AN993&gt;0),SUMIFS($AN$7:$AN$1576,$BU$7:$BU$1576,BU993,$AQ$7:$AQ$1576,"&gt;"&amp;AQ993)+SUMIFS($AN$7:$AN$1576,$BU$7:$BU$1576,BU993,$AQ$7:$AQ$1576,AQ993,$BO$7:$BO$1576,"&lt;="&amp;BO993),"")</f>
        <v>26.2377290949142</v>
      </c>
      <c r="AS993" s="65" t="n">
        <f aca="false">IF(AR993="",0,MAX(0,MIN(1,(IF(BU993="L1",Parameter!$E$5,Parameter!$E$6+Parameter!$E$7)-(AR993-AN993))/AN993)))</f>
        <v>1</v>
      </c>
      <c r="AT993" s="57" t="n">
        <f aca="false">IF(LEFT(Cockpit!$O$5,1)="A",G993,IF(BW993=1,BX993,IF(LEFT(Cockpit!$O$5,1)="B",AX993,MAX(AX993,G993))))</f>
        <v>19</v>
      </c>
      <c r="AU993" s="57" t="n">
        <f aca="false">IF(BR993=1,0,ROUNDUP(AT993/BQ993,0))</f>
        <v>1</v>
      </c>
      <c r="AV993" s="59" t="n">
        <f aca="false">IF(CD993&gt;0,CD993*MAX(1,AT993/V993),IF(BR993=1,IF(AT993&lt;=0,0,BS993*MAX(1,IF(G993&gt;0,AT993/G993,1))),IF(Q993&gt;0,AU993/Q993,0))/MAX(0.1,N(Parameter!$M$21)))</f>
        <v>0.00757575757575758</v>
      </c>
      <c r="AW993" s="57" t="n">
        <f aca="false">AT993*F993</f>
        <v>278.35</v>
      </c>
      <c r="AX993" s="57" t="n">
        <f aca="false">ROUNDUP(MAX(I993/IF(BV993&gt;0,BV993,MAX(0.1,N(Cockpit!$O$6))),BY993)/BQ993,0)*BQ993</f>
        <v>19</v>
      </c>
      <c r="AY993" s="58" t="n">
        <f aca="false">IF(AV993&gt;0,I993/AV993,-1)</f>
        <v>792</v>
      </c>
      <c r="AZ993" s="58" t="n">
        <f aca="false">IF(AND(OR(BU993="L1",BU993="L23"),AV993&gt;0),SUMIFS($AV$7:$AV$1576,$BU$7:$BU$1576,BU993,$AY$7:$AY$1576,"&gt;"&amp;AY993)+SUMIFS($AV$7:$AV$1576,$BU$7:$BU$1576,BU993,$AY$7:$AY$1576,AY993,$BO$7:$BO$1576,"&lt;="&amp;BO993),"")</f>
        <v>26.1380787452638</v>
      </c>
      <c r="BA993" s="65" t="n">
        <f aca="false">IF(AZ993="",0,MAX(0,MIN(1,(IF(BU993="L1",Parameter!$E$5,Parameter!$E$6+Parameter!$E$7)-(AZ993-AV993))/AV993)))</f>
        <v>1</v>
      </c>
      <c r="BB993" s="55" t="str">
        <f aca="false">IF(AF993&lt;=0,"",IF(BU993="Aussen","Aussenlager",IF(BU993="-","Nicht im Lift",IF(AK993&gt;=1,"Lift",IF(AK993&lt;=0,"Aussenlager","teilweise")))))</f>
        <v/>
      </c>
      <c r="BC993" s="55" t="str">
        <f aca="false">IF(AN993&lt;=0,"",IF(BU993="Aussen","Aussenlager",IF(BU993="-","Nicht im Lift",IF(AS993&gt;=1,"Lift",IF(AS993&lt;=0,"Aussenlager","teilweise")))))</f>
        <v>Lift</v>
      </c>
      <c r="BD993" s="55" t="str">
        <f aca="false">IF(AV993&lt;=0,"",IF(BU993="Aussen","Aussenlager",IF(BU993="-","Nicht im Lift",IF(BA993&gt;=1,"Lift",IF(BA993&lt;=0,"Aussenlager","teilweise")))))</f>
        <v>Lift</v>
      </c>
      <c r="BE993" s="55" t="str">
        <f aca="false">IF(A993="","",IF(BN993=1,"Neu; ","")&amp;IF(AND(BN993=0,BI993&lt;0),"negativer Bestand (Export "&amp;BI993&amp;"); ","")&amp;IF(I993&lt;=0,"Kein Verbrauch; ","")&amp;IF(CD993&gt;0,"Lift "&amp;U993&amp;" lt. Liftbericht (Fach "&amp;V993&amp;" Stk); ",IF(BR993=1,"Lose – Fläche geschätzt; ",""))&amp;IF(G993&gt;AP993,"Überbestand "&amp;ROUND(G993-AP993,0)&amp;" Stk / CHF "&amp;ROUND((G993-AP993)*F993,0)&amp;"; ","")&amp;IF(AND(BW993=1,BX993&lt;BY993),"MAX &lt; MB+LG; ","")&amp;IF(AND(CC993&gt;0,CB993*10&gt;CC993),"zu hoch für Tablar; ","")&amp;IF(AND(BN993=0,OR(BW993=1,Y993&lt;&gt;"",S993&lt;&gt;"",T993&lt;&gt;"",Z993&lt;&gt;"")),"manuell übersteuert; ","")&amp;IF(AND(BR993=0,Q993=0),"Gebinde unbekannt / Stellmass fehlt; ","")&amp;IF(AND(BR993=0,N(T993)&lt;=0,N(P993)&lt;=0),"Menge pro Gebinde fehlt (Ist = 1 Gebinde); ","")&amp;BM993)</f>
        <v>negativer Bestand (Export -6); </v>
      </c>
      <c r="BF993" s="55"/>
      <c r="BG993" s="55"/>
      <c r="BH993" s="62"/>
      <c r="BI993" s="57" t="n">
        <v>-6</v>
      </c>
      <c r="BJ993" s="57" t="n">
        <v>11</v>
      </c>
      <c r="BK993" s="56" t="n">
        <v>-87.9</v>
      </c>
      <c r="BL993" s="57" t="n">
        <v>6</v>
      </c>
      <c r="BM993" s="55"/>
      <c r="BN993" s="60" t="n">
        <v>0</v>
      </c>
      <c r="BO993" s="60" t="n">
        <v>993</v>
      </c>
      <c r="BP993" s="55" t="str">
        <f aca="false">IF(S993&lt;&gt;"",UPPER(TRIM(S993)),IF(O993="","LOSE",O993))</f>
        <v>S32</v>
      </c>
      <c r="BQ993" s="57" t="n">
        <f aca="false">IF(BP993="LOSE",1,IF(N(T993)&gt;0,T993,IF(N(P993)&gt;0,P993,MAX(1,G993))))</f>
        <v>19</v>
      </c>
      <c r="BR993" s="60" t="n">
        <f aca="false">IF(BP993="LOSE",1,0)</f>
        <v>0</v>
      </c>
      <c r="BS993" s="59" t="n">
        <f aca="false">IF(BR993=0,0,IF(N(R993)&gt;0,R993,IFERROR(VLOOKUP(D993,Parameter!$A$35:$C$64,3,0)+0,0)))</f>
        <v>0</v>
      </c>
      <c r="BT993" s="55" t="n">
        <f aca="false">IF(Y993&lt;&gt;"",Y993,X993)</f>
        <v>3</v>
      </c>
      <c r="BU993" s="55" t="str">
        <f aca="false">IF(BT993=1,"L1",IF(OR(BT993=2,BT993=3),"L23",IF(BT993="Aussen","Aussen","-")))</f>
        <v>L23</v>
      </c>
      <c r="BV993" s="66" t="n">
        <f aca="false">IF(N(Z993)&gt;0,Z993,0)</f>
        <v>0</v>
      </c>
      <c r="BW993" s="60" t="n">
        <f aca="false">IF(ISNUMBER(AC993),1,0)</f>
        <v>0</v>
      </c>
      <c r="BX993" s="57" t="n">
        <f aca="false">N(AC993)</f>
        <v>0</v>
      </c>
      <c r="BY993" s="57" t="n">
        <f aca="false">N(L993)+N(M993)</f>
        <v>5</v>
      </c>
      <c r="BZ993" s="57" t="n">
        <f aca="false">ROUNDUP(G993/BQ993,0)</f>
        <v>0</v>
      </c>
      <c r="CA993" s="57" t="n">
        <f aca="false">ROUNDUP(BX993/BQ993,0)</f>
        <v>0</v>
      </c>
      <c r="CB993" s="60" t="n">
        <f aca="false">IF(BR993=1,0,IFERROR(VLOOKUP(BP993,'Gebinde-Kategorie'!$A$5:$M$45,5,0)+0,0))</f>
        <v>8</v>
      </c>
      <c r="CC993" s="60" t="n">
        <f aca="false">IFERROR(IF(OR(BT993=1,BT993=2,BT993=3),N(INDEX(Parameter!$I$5:$I$7,BT993)),0),0)</f>
        <v>0</v>
      </c>
      <c r="CD993" s="59" t="n">
        <f aca="false">IF(AND(Parameter!$B$21="Ja",ISNUMBER(U993),N(V993)&gt;0),IFERROR(N(INDEX(Parameter!$L$5:$L$7,U993))*INDEX(Parameter!$E$5:$E$7,U993)*V993/SUMIFS($V$7:$V$1576,$U$7:$U$1576,U993),0),0)</f>
        <v>0</v>
      </c>
    </row>
    <row r="994" customFormat="false" ht="15" hidden="false" customHeight="false" outlineLevel="0" collapsed="false">
      <c r="A994" s="55" t="s">
        <v>1823</v>
      </c>
      <c r="B994" s="55" t="s">
        <v>1824</v>
      </c>
      <c r="C994" s="55" t="s">
        <v>160</v>
      </c>
      <c r="D994" s="55" t="s">
        <v>178</v>
      </c>
      <c r="E994" s="55" t="s">
        <v>210</v>
      </c>
      <c r="F994" s="56" t="n">
        <v>3.58</v>
      </c>
      <c r="G994" s="57" t="n">
        <f aca="false">MAX(0,IF(AND(Parameter!$B$21="Ja",ISNUMBER(W994)),W994,IF(Parameter!$B$20="Jahresanfang 2025 + Export",BJ994+BI994,BI994)))</f>
        <v>0</v>
      </c>
      <c r="H994" s="57" t="n">
        <f aca="false">G994*F994</f>
        <v>0</v>
      </c>
      <c r="I994" s="57" t="n">
        <f aca="false">BL994*Parameter!$B$18</f>
        <v>0</v>
      </c>
      <c r="J994" s="58" t="n">
        <v>45</v>
      </c>
      <c r="K994" s="59" t="n">
        <v>0</v>
      </c>
      <c r="L994" s="57" t="n">
        <v>0</v>
      </c>
      <c r="M994" s="57" t="n">
        <v>1</v>
      </c>
      <c r="N994" s="60" t="n">
        <v>21</v>
      </c>
      <c r="O994" s="55" t="s">
        <v>465</v>
      </c>
      <c r="P994" s="57" t="n">
        <v>71</v>
      </c>
      <c r="Q994" s="60" t="n">
        <f aca="false">IF(BR994=1,0,IFERROR(VLOOKUP(BP994,'Gebinde-Kategorie'!$A$5:$M$45,13,0)+0,0))</f>
        <v>66</v>
      </c>
      <c r="R994" s="61"/>
      <c r="S994" s="62"/>
      <c r="T994" s="62"/>
      <c r="U994" s="55"/>
      <c r="V994" s="57"/>
      <c r="W994" s="57"/>
      <c r="X994" s="55" t="n">
        <f aca="false">IF(A994="","",IF(AND(Parameter!$B$21="Ja",ISNUMBER(U994)),U994,IF(IFERROR(VLOOKUP(D994,Parameter!$A$35:$C$64,2,0),"Nein")="2+3",IF(ISNUMBER(SEARCH("grosser Artikel",BM994)),2,IFERROR(VLOOKUP(BP994,Parameter!$F$35:$G$64,2,0),2)),IF(OR(IFERROR(VLOOKUP(D994,Parameter!$A$35:$C$64,2,0),"Nein")="Nein",IFERROR(VLOOKUP(D994,Parameter!$A$35:$C$64,2,0),"Nein")=""),"-",VLOOKUP(D994,Parameter!$A$35:$C$64,2,0)))))</f>
        <v>3</v>
      </c>
      <c r="Y994" s="62"/>
      <c r="Z994" s="63"/>
      <c r="AA994" s="57" t="n">
        <f aca="false">AP994</f>
        <v>71</v>
      </c>
      <c r="AB994" s="57" t="n">
        <f aca="false">MAX(AP994,G994)</f>
        <v>71</v>
      </c>
      <c r="AC994" s="64"/>
      <c r="AD994" s="57" t="n">
        <f aca="false">IF(LEFT(Cockpit!$C$5,1)="A",G994,IF(BW994=1,BX994,IF(LEFT(Cockpit!$C$5,1)="B",AH994,MAX(AH994,G994))))</f>
        <v>0</v>
      </c>
      <c r="AE994" s="57" t="n">
        <f aca="false">IF(BR994=1,0,ROUNDUP(AD994/BQ994,0))</f>
        <v>0</v>
      </c>
      <c r="AF994" s="59" t="n">
        <f aca="false">IF(CD994&gt;0,CD994*MAX(1,AD994/V994),IF(BR994=1,IF(AD994&lt;=0,0,BS994*MAX(1,IF(G994&gt;0,AD994/G994,1))),IF(Q994&gt;0,AE994/Q994,0))/MAX(0.1,N(Parameter!$M$21)))</f>
        <v>0</v>
      </c>
      <c r="AG994" s="57" t="n">
        <f aca="false">AD994*F994</f>
        <v>0</v>
      </c>
      <c r="AH994" s="57" t="n">
        <f aca="false">ROUNDUP(MAX(I994/IF(BV994&gt;0,BV994,MAX(0.1,N(Cockpit!$C$6))),BY994)/BQ994,0)*BQ994</f>
        <v>71</v>
      </c>
      <c r="AI994" s="58" t="n">
        <f aca="false">IF(AF994&gt;0,I994/AF994,-1)</f>
        <v>-1</v>
      </c>
      <c r="AJ994" s="58" t="str">
        <f aca="false">IF(AND(OR(BU994="L1",BU994="L23"),AF994&gt;0),SUMIFS($AF$7:$AF$1576,$BU$7:$BU$1576,BU994,$AI$7:$AI$1576,"&gt;"&amp;AI994)+SUMIFS($AF$7:$AF$1576,$BU$7:$BU$1576,BU994,$AI$7:$AI$1576,AI994,$BO$7:$BO$1576,"&lt;="&amp;BO994),"")</f>
        <v/>
      </c>
      <c r="AK994" s="65" t="n">
        <f aca="false">IF(AJ994="",0,MAX(0,MIN(1,(IF(BU994="L1",Parameter!$E$5,Parameter!$E$6+Parameter!$E$7)-(AJ994-AF994))/AF994)))</f>
        <v>0</v>
      </c>
      <c r="AL994" s="57" t="n">
        <f aca="false">IF(LEFT(Cockpit!$I$5,1)="A",G994,IF(BW994=1,BX994,IF(LEFT(Cockpit!$I$5,1)="B",AP994,MAX(AP994,G994))))</f>
        <v>71</v>
      </c>
      <c r="AM994" s="57" t="n">
        <f aca="false">IF(BR994=1,0,ROUNDUP(AL994/BQ994,0))</f>
        <v>1</v>
      </c>
      <c r="AN994" s="59" t="n">
        <f aca="false">IF(CD994&gt;0,CD994*MAX(1,AL994/V994),IF(BR994=1,IF(AL994&lt;=0,0,BS994*MAX(1,IF(G994&gt;0,AL994/G994,1))),IF(Q994&gt;0,AM994/Q994,0))/MAX(0.1,N(Parameter!$M$21)))</f>
        <v>0.0151515151515152</v>
      </c>
      <c r="AO994" s="57" t="n">
        <f aca="false">AL994*F994</f>
        <v>254.18</v>
      </c>
      <c r="AP994" s="57" t="n">
        <f aca="false">ROUNDUP(MAX(I994/IF(BV994&gt;0,BV994,MAX(0.1,N(Cockpit!$I$6))),BY994)/BQ994,0)*BQ994</f>
        <v>71</v>
      </c>
      <c r="AQ994" s="58" t="n">
        <f aca="false">IF(AN994&gt;0,I994/AN994,-1)</f>
        <v>0</v>
      </c>
      <c r="AR994" s="58" t="n">
        <f aca="false">IF(AND(OR(BU994="L1",BU994="L23"),AN994&gt;0),SUMIFS($AN$7:$AN$1576,$BU$7:$BU$1576,BU994,$AQ$7:$AQ$1576,"&gt;"&amp;AQ994)+SUMIFS($AN$7:$AN$1576,$BU$7:$BU$1576,BU994,$AQ$7:$AQ$1576,AQ994,$BO$7:$BO$1576,"&lt;="&amp;BO994),"")</f>
        <v>131.906430598435</v>
      </c>
      <c r="AS994" s="65" t="n">
        <f aca="false">IF(AR994="",0,MAX(0,MIN(1,(IF(BU994="L1",Parameter!$E$5,Parameter!$E$6+Parameter!$E$7)-(AR994-AN994))/AN994)))</f>
        <v>0</v>
      </c>
      <c r="AT994" s="57" t="n">
        <f aca="false">IF(LEFT(Cockpit!$O$5,1)="A",G994,IF(BW994=1,BX994,IF(LEFT(Cockpit!$O$5,1)="B",AX994,MAX(AX994,G994))))</f>
        <v>71</v>
      </c>
      <c r="AU994" s="57" t="n">
        <f aca="false">IF(BR994=1,0,ROUNDUP(AT994/BQ994,0))</f>
        <v>1</v>
      </c>
      <c r="AV994" s="59" t="n">
        <f aca="false">IF(CD994&gt;0,CD994*MAX(1,AT994/V994),IF(BR994=1,IF(AT994&lt;=0,0,BS994*MAX(1,IF(G994&gt;0,AT994/G994,1))),IF(Q994&gt;0,AU994/Q994,0))/MAX(0.1,N(Parameter!$M$21)))</f>
        <v>0.0151515151515152</v>
      </c>
      <c r="AW994" s="57" t="n">
        <f aca="false">AT994*F994</f>
        <v>254.18</v>
      </c>
      <c r="AX994" s="57" t="n">
        <f aca="false">ROUNDUP(MAX(I994/IF(BV994&gt;0,BV994,MAX(0.1,N(Cockpit!$O$6))),BY994)/BQ994,0)*BQ994</f>
        <v>71</v>
      </c>
      <c r="AY994" s="58" t="n">
        <f aca="false">IF(AV994&gt;0,I994/AV994,-1)</f>
        <v>0</v>
      </c>
      <c r="AZ994" s="58" t="n">
        <f aca="false">IF(AND(OR(BU994="L1",BU994="L23"),AV994&gt;0),SUMIFS($AV$7:$AV$1576,$BU$7:$BU$1576,BU994,$AY$7:$AY$1576,"&gt;"&amp;AY994)+SUMIFS($AV$7:$AV$1576,$BU$7:$BU$1576,BU994,$AY$7:$AY$1576,AY994,$BO$7:$BO$1576,"&lt;="&amp;BO994),"")</f>
        <v>121.965981047985</v>
      </c>
      <c r="BA994" s="65" t="n">
        <f aca="false">IF(AZ994="",0,MAX(0,MIN(1,(IF(BU994="L1",Parameter!$E$5,Parameter!$E$6+Parameter!$E$7)-(AZ994-AV994))/AV994)))</f>
        <v>0</v>
      </c>
      <c r="BB994" s="55" t="str">
        <f aca="false">IF(AF994&lt;=0,"",IF(BU994="Aussen","Aussenlager",IF(BU994="-","Nicht im Lift",IF(AK994&gt;=1,"Lift",IF(AK994&lt;=0,"Aussenlager","teilweise")))))</f>
        <v/>
      </c>
      <c r="BC994" s="55" t="str">
        <f aca="false">IF(AN994&lt;=0,"",IF(BU994="Aussen","Aussenlager",IF(BU994="-","Nicht im Lift",IF(AS994&gt;=1,"Lift",IF(AS994&lt;=0,"Aussenlager","teilweise")))))</f>
        <v>Aussenlager</v>
      </c>
      <c r="BD994" s="55" t="str">
        <f aca="false">IF(AV994&lt;=0,"",IF(BU994="Aussen","Aussenlager",IF(BU994="-","Nicht im Lift",IF(BA994&gt;=1,"Lift",IF(BA994&lt;=0,"Aussenlager","teilweise")))))</f>
        <v>Aussenlager</v>
      </c>
      <c r="BE994" s="55" t="str">
        <f aca="false">IF(A994="","",IF(BN994=1,"Neu; ","")&amp;IF(AND(BN994=0,BI994&lt;0),"negativer Bestand (Export "&amp;BI994&amp;"); ","")&amp;IF(I994&lt;=0,"Kein Verbrauch; ","")&amp;IF(CD994&gt;0,"Lift "&amp;U994&amp;" lt. Liftbericht (Fach "&amp;V994&amp;" Stk); ",IF(BR994=1,"Lose – Fläche geschätzt; ",""))&amp;IF(G994&gt;AP994,"Überbestand "&amp;ROUND(G994-AP994,0)&amp;" Stk / CHF "&amp;ROUND((G994-AP994)*F994,0)&amp;"; ","")&amp;IF(AND(BW994=1,BX994&lt;BY994),"MAX &lt; MB+LG; ","")&amp;IF(AND(CC994&gt;0,CB994*10&gt;CC994),"zu hoch für Tablar; ","")&amp;IF(AND(BN994=0,OR(BW994=1,Y994&lt;&gt;"",S994&lt;&gt;"",T994&lt;&gt;"",Z994&lt;&gt;"")),"manuell übersteuert; ","")&amp;IF(AND(BR994=0,Q994=0),"Gebinde unbekannt / Stellmass fehlt; ","")&amp;IF(AND(BR994=0,N(T994)&lt;=0,N(P994)&lt;=0),"Menge pro Gebinde fehlt (Ist = 1 Gebinde); ","")&amp;BM994)</f>
        <v>negativer Bestand (Export -60); Kein Verbrauch; Überbestand</v>
      </c>
      <c r="BF994" s="55"/>
      <c r="BG994" s="55"/>
      <c r="BH994" s="62"/>
      <c r="BI994" s="57" t="n">
        <v>-60</v>
      </c>
      <c r="BJ994" s="57" t="n">
        <v>60</v>
      </c>
      <c r="BK994" s="56" t="n">
        <v>-88.2</v>
      </c>
      <c r="BL994" s="57" t="n">
        <v>0</v>
      </c>
      <c r="BM994" s="55" t="s">
        <v>382</v>
      </c>
      <c r="BN994" s="60" t="n">
        <v>0</v>
      </c>
      <c r="BO994" s="60" t="n">
        <v>994</v>
      </c>
      <c r="BP994" s="55" t="str">
        <f aca="false">IF(S994&lt;&gt;"",UPPER(TRIM(S994)),IF(O994="","LOSE",O994))</f>
        <v>S33</v>
      </c>
      <c r="BQ994" s="57" t="n">
        <f aca="false">IF(BP994="LOSE",1,IF(N(T994)&gt;0,T994,IF(N(P994)&gt;0,P994,MAX(1,G994))))</f>
        <v>71</v>
      </c>
      <c r="BR994" s="60" t="n">
        <f aca="false">IF(BP994="LOSE",1,0)</f>
        <v>0</v>
      </c>
      <c r="BS994" s="59" t="n">
        <f aca="false">IF(BR994=0,0,IF(N(R994)&gt;0,R994,IFERROR(VLOOKUP(D994,Parameter!$A$35:$C$64,3,0)+0,0)))</f>
        <v>0</v>
      </c>
      <c r="BT994" s="55" t="n">
        <f aca="false">IF(Y994&lt;&gt;"",Y994,X994)</f>
        <v>3</v>
      </c>
      <c r="BU994" s="55" t="str">
        <f aca="false">IF(BT994=1,"L1",IF(OR(BT994=2,BT994=3),"L23",IF(BT994="Aussen","Aussen","-")))</f>
        <v>L23</v>
      </c>
      <c r="BV994" s="66" t="n">
        <f aca="false">IF(N(Z994)&gt;0,Z994,0)</f>
        <v>0</v>
      </c>
      <c r="BW994" s="60" t="n">
        <f aca="false">IF(ISNUMBER(AC994),1,0)</f>
        <v>0</v>
      </c>
      <c r="BX994" s="57" t="n">
        <f aca="false">N(AC994)</f>
        <v>0</v>
      </c>
      <c r="BY994" s="57" t="n">
        <f aca="false">N(L994)+N(M994)</f>
        <v>1</v>
      </c>
      <c r="BZ994" s="57" t="n">
        <f aca="false">ROUNDUP(G994/BQ994,0)</f>
        <v>0</v>
      </c>
      <c r="CA994" s="57" t="n">
        <f aca="false">ROUNDUP(BX994/BQ994,0)</f>
        <v>0</v>
      </c>
      <c r="CB994" s="60" t="n">
        <f aca="false">IF(BR994=1,0,IFERROR(VLOOKUP(BP994,'Gebinde-Kategorie'!$A$5:$M$45,5,0)+0,0))</f>
        <v>8</v>
      </c>
      <c r="CC994" s="60" t="n">
        <f aca="false">IFERROR(IF(OR(BT994=1,BT994=2,BT994=3),N(INDEX(Parameter!$I$5:$I$7,BT994)),0),0)</f>
        <v>0</v>
      </c>
      <c r="CD994" s="59" t="n">
        <f aca="false">IF(AND(Parameter!$B$21="Ja",ISNUMBER(U994),N(V994)&gt;0),IFERROR(N(INDEX(Parameter!$L$5:$L$7,U994))*INDEX(Parameter!$E$5:$E$7,U994)*V994/SUMIFS($V$7:$V$1576,$U$7:$U$1576,U994),0),0)</f>
        <v>0</v>
      </c>
    </row>
    <row r="995" customFormat="false" ht="15" hidden="false" customHeight="false" outlineLevel="0" collapsed="false">
      <c r="A995" s="55" t="s">
        <v>1825</v>
      </c>
      <c r="B995" s="55" t="s">
        <v>713</v>
      </c>
      <c r="C995" s="55" t="s">
        <v>160</v>
      </c>
      <c r="D995" s="55" t="s">
        <v>178</v>
      </c>
      <c r="E995" s="55" t="s">
        <v>210</v>
      </c>
      <c r="F995" s="56" t="n">
        <v>13.01</v>
      </c>
      <c r="G995" s="57" t="n">
        <f aca="false">MAX(0,IF(AND(Parameter!$B$21="Ja",ISNUMBER(W995)),W995,IF(Parameter!$B$20="Jahresanfang 2025 + Export",BJ995+BI995,BI995)))</f>
        <v>0</v>
      </c>
      <c r="H995" s="57" t="n">
        <f aca="false">G995*F995</f>
        <v>0</v>
      </c>
      <c r="I995" s="57" t="n">
        <f aca="false">BL995*Parameter!$B$18</f>
        <v>7</v>
      </c>
      <c r="J995" s="58" t="n">
        <v>16.5</v>
      </c>
      <c r="K995" s="59" t="n">
        <v>0.424242424242424</v>
      </c>
      <c r="L995" s="57" t="n">
        <v>0</v>
      </c>
      <c r="M995" s="57" t="n">
        <v>5</v>
      </c>
      <c r="N995" s="60" t="n">
        <v>18</v>
      </c>
      <c r="O995" s="55" t="s">
        <v>411</v>
      </c>
      <c r="P995" s="57" t="n">
        <v>28</v>
      </c>
      <c r="Q995" s="60" t="n">
        <f aca="false">IF(BR995=1,0,IFERROR(VLOOKUP(BP995,'Gebinde-Kategorie'!$A$5:$M$45,13,0)+0,0))</f>
        <v>132</v>
      </c>
      <c r="R995" s="61"/>
      <c r="S995" s="62"/>
      <c r="T995" s="62"/>
      <c r="U995" s="55"/>
      <c r="V995" s="57"/>
      <c r="W995" s="57"/>
      <c r="X995" s="55" t="n">
        <f aca="false">IF(A995="","",IF(AND(Parameter!$B$21="Ja",ISNUMBER(U995)),U995,IF(IFERROR(VLOOKUP(D995,Parameter!$A$35:$C$64,2,0),"Nein")="2+3",IF(ISNUMBER(SEARCH("grosser Artikel",BM995)),2,IFERROR(VLOOKUP(BP995,Parameter!$F$35:$G$64,2,0),2)),IF(OR(IFERROR(VLOOKUP(D995,Parameter!$A$35:$C$64,2,0),"Nein")="Nein",IFERROR(VLOOKUP(D995,Parameter!$A$35:$C$64,2,0),"Nein")=""),"-",VLOOKUP(D995,Parameter!$A$35:$C$64,2,0)))))</f>
        <v>3</v>
      </c>
      <c r="Y995" s="62"/>
      <c r="Z995" s="63"/>
      <c r="AA995" s="57" t="n">
        <f aca="false">AP995</f>
        <v>28</v>
      </c>
      <c r="AB995" s="57" t="n">
        <f aca="false">MAX(AP995,G995)</f>
        <v>28</v>
      </c>
      <c r="AC995" s="64"/>
      <c r="AD995" s="57" t="n">
        <f aca="false">IF(LEFT(Cockpit!$C$5,1)="A",G995,IF(BW995=1,BX995,IF(LEFT(Cockpit!$C$5,1)="B",AH995,MAX(AH995,G995))))</f>
        <v>0</v>
      </c>
      <c r="AE995" s="57" t="n">
        <f aca="false">IF(BR995=1,0,ROUNDUP(AD995/BQ995,0))</f>
        <v>0</v>
      </c>
      <c r="AF995" s="59" t="n">
        <f aca="false">IF(CD995&gt;0,CD995*MAX(1,AD995/V995),IF(BR995=1,IF(AD995&lt;=0,0,BS995*MAX(1,IF(G995&gt;0,AD995/G995,1))),IF(Q995&gt;0,AE995/Q995,0))/MAX(0.1,N(Parameter!$M$21)))</f>
        <v>0</v>
      </c>
      <c r="AG995" s="57" t="n">
        <f aca="false">AD995*F995</f>
        <v>0</v>
      </c>
      <c r="AH995" s="57" t="n">
        <f aca="false">ROUNDUP(MAX(I995/IF(BV995&gt;0,BV995,MAX(0.1,N(Cockpit!$C$6))),BY995)/BQ995,0)*BQ995</f>
        <v>28</v>
      </c>
      <c r="AI995" s="58" t="n">
        <f aca="false">IF(AF995&gt;0,I995/AF995,-1)</f>
        <v>-1</v>
      </c>
      <c r="AJ995" s="58" t="str">
        <f aca="false">IF(AND(OR(BU995="L1",BU995="L23"),AF995&gt;0),SUMIFS($AF$7:$AF$1576,$BU$7:$BU$1576,BU995,$AI$7:$AI$1576,"&gt;"&amp;AI995)+SUMIFS($AF$7:$AF$1576,$BU$7:$BU$1576,BU995,$AI$7:$AI$1576,AI995,$BO$7:$BO$1576,"&lt;="&amp;BO995),"")</f>
        <v/>
      </c>
      <c r="AK995" s="65" t="n">
        <f aca="false">IF(AJ995="",0,MAX(0,MIN(1,(IF(BU995="L1",Parameter!$E$5,Parameter!$E$6+Parameter!$E$7)-(AJ995-AF995))/AF995)))</f>
        <v>0</v>
      </c>
      <c r="AL995" s="57" t="n">
        <f aca="false">IF(LEFT(Cockpit!$I$5,1)="A",G995,IF(BW995=1,BX995,IF(LEFT(Cockpit!$I$5,1)="B",AP995,MAX(AP995,G995))))</f>
        <v>28</v>
      </c>
      <c r="AM995" s="57" t="n">
        <f aca="false">IF(BR995=1,0,ROUNDUP(AL995/BQ995,0))</f>
        <v>1</v>
      </c>
      <c r="AN995" s="59" t="n">
        <f aca="false">IF(CD995&gt;0,CD995*MAX(1,AL995/V995),IF(BR995=1,IF(AL995&lt;=0,0,BS995*MAX(1,IF(G995&gt;0,AL995/G995,1))),IF(Q995&gt;0,AM995/Q995,0))/MAX(0.1,N(Parameter!$M$21)))</f>
        <v>0.00757575757575758</v>
      </c>
      <c r="AO995" s="57" t="n">
        <f aca="false">AL995*F995</f>
        <v>364.28</v>
      </c>
      <c r="AP995" s="57" t="n">
        <f aca="false">ROUNDUP(MAX(I995/IF(BV995&gt;0,BV995,MAX(0.1,N(Cockpit!$I$6))),BY995)/BQ995,0)*BQ995</f>
        <v>28</v>
      </c>
      <c r="AQ995" s="58" t="n">
        <f aca="false">IF(AN995&gt;0,I995/AN995,-1)</f>
        <v>924</v>
      </c>
      <c r="AR995" s="58" t="n">
        <f aca="false">IF(AND(OR(BU995="L1",BU995="L23"),AN995&gt;0),SUMIFS($AN$7:$AN$1576,$BU$7:$BU$1576,BU995,$AQ$7:$AQ$1576,"&gt;"&amp;AQ995)+SUMIFS($AN$7:$AN$1576,$BU$7:$BU$1576,BU995,$AQ$7:$AQ$1576,AQ995,$BO$7:$BO$1576,"&lt;="&amp;BO995),"")</f>
        <v>24.1235106563479</v>
      </c>
      <c r="AS995" s="65" t="n">
        <f aca="false">IF(AR995="",0,MAX(0,MIN(1,(IF(BU995="L1",Parameter!$E$5,Parameter!$E$6+Parameter!$E$7)-(AR995-AN995))/AN995)))</f>
        <v>1</v>
      </c>
      <c r="AT995" s="57" t="n">
        <f aca="false">IF(LEFT(Cockpit!$O$5,1)="A",G995,IF(BW995=1,BX995,IF(LEFT(Cockpit!$O$5,1)="B",AX995,MAX(AX995,G995))))</f>
        <v>28</v>
      </c>
      <c r="AU995" s="57" t="n">
        <f aca="false">IF(BR995=1,0,ROUNDUP(AT995/BQ995,0))</f>
        <v>1</v>
      </c>
      <c r="AV995" s="59" t="n">
        <f aca="false">IF(CD995&gt;0,CD995*MAX(1,AT995/V995),IF(BR995=1,IF(AT995&lt;=0,0,BS995*MAX(1,IF(G995&gt;0,AT995/G995,1))),IF(Q995&gt;0,AU995/Q995,0))/MAX(0.1,N(Parameter!$M$21)))</f>
        <v>0.00757575757575758</v>
      </c>
      <c r="AW995" s="57" t="n">
        <f aca="false">AT995*F995</f>
        <v>364.28</v>
      </c>
      <c r="AX995" s="57" t="n">
        <f aca="false">ROUNDUP(MAX(I995/IF(BV995&gt;0,BV995,MAX(0.1,N(Cockpit!$O$6))),BY995)/BQ995,0)*BQ995</f>
        <v>28</v>
      </c>
      <c r="AY995" s="58" t="n">
        <f aca="false">IF(AV995&gt;0,I995/AV995,-1)</f>
        <v>924</v>
      </c>
      <c r="AZ995" s="58" t="n">
        <f aca="false">IF(AND(OR(BU995="L1",BU995="L23"),AV995&gt;0),SUMIFS($AV$7:$AV$1576,$BU$7:$BU$1576,BU995,$AY$7:$AY$1576,"&gt;"&amp;AY995)+SUMIFS($AV$7:$AV$1576,$BU$7:$BU$1576,BU995,$AY$7:$AY$1576,AY995,$BO$7:$BO$1576,"&lt;="&amp;BO995),"")</f>
        <v>23.3571936400309</v>
      </c>
      <c r="BA995" s="65" t="n">
        <f aca="false">IF(AZ995="",0,MAX(0,MIN(1,(IF(BU995="L1",Parameter!$E$5,Parameter!$E$6+Parameter!$E$7)-(AZ995-AV995))/AV995)))</f>
        <v>1</v>
      </c>
      <c r="BB995" s="55" t="str">
        <f aca="false">IF(AF995&lt;=0,"",IF(BU995="Aussen","Aussenlager",IF(BU995="-","Nicht im Lift",IF(AK995&gt;=1,"Lift",IF(AK995&lt;=0,"Aussenlager","teilweise")))))</f>
        <v/>
      </c>
      <c r="BC995" s="55" t="str">
        <f aca="false">IF(AN995&lt;=0,"",IF(BU995="Aussen","Aussenlager",IF(BU995="-","Nicht im Lift",IF(AS995&gt;=1,"Lift",IF(AS995&lt;=0,"Aussenlager","teilweise")))))</f>
        <v>Lift</v>
      </c>
      <c r="BD995" s="55" t="str">
        <f aca="false">IF(AV995&lt;=0,"",IF(BU995="Aussen","Aussenlager",IF(BU995="-","Nicht im Lift",IF(BA995&gt;=1,"Lift",IF(BA995&lt;=0,"Aussenlager","teilweise")))))</f>
        <v>Lift</v>
      </c>
      <c r="BE995" s="55" t="str">
        <f aca="false">IF(A995="","",IF(BN995=1,"Neu; ","")&amp;IF(AND(BN995=0,BI995&lt;0),"negativer Bestand (Export "&amp;BI995&amp;"); ","")&amp;IF(I995&lt;=0,"Kein Verbrauch; ","")&amp;IF(CD995&gt;0,"Lift "&amp;U995&amp;" lt. Liftbericht (Fach "&amp;V995&amp;" Stk); ",IF(BR995=1,"Lose – Fläche geschätzt; ",""))&amp;IF(G995&gt;AP995,"Überbestand "&amp;ROUND(G995-AP995,0)&amp;" Stk / CHF "&amp;ROUND((G995-AP995)*F995,0)&amp;"; ","")&amp;IF(AND(BW995=1,BX995&lt;BY995),"MAX &lt; MB+LG; ","")&amp;IF(AND(CC995&gt;0,CB995*10&gt;CC995),"zu hoch für Tablar; ","")&amp;IF(AND(BN995=0,OR(BW995=1,Y995&lt;&gt;"",S995&lt;&gt;"",T995&lt;&gt;"",Z995&lt;&gt;"")),"manuell übersteuert; ","")&amp;IF(AND(BR995=0,Q995=0),"Gebinde unbekannt / Stellmass fehlt; ","")&amp;IF(AND(BR995=0,N(T995)&lt;=0,N(P995)&lt;=0),"Menge pro Gebinde fehlt (Ist = 1 Gebinde); ","")&amp;BM995)</f>
        <v>negativer Bestand (Export -7); </v>
      </c>
      <c r="BF995" s="55"/>
      <c r="BG995" s="55"/>
      <c r="BH995" s="62"/>
      <c r="BI995" s="57" t="n">
        <v>-7</v>
      </c>
      <c r="BJ995" s="57" t="n">
        <v>20</v>
      </c>
      <c r="BK995" s="56" t="n">
        <v>-91.07</v>
      </c>
      <c r="BL995" s="57" t="n">
        <v>7</v>
      </c>
      <c r="BM995" s="55"/>
      <c r="BN995" s="60" t="n">
        <v>0</v>
      </c>
      <c r="BO995" s="60" t="n">
        <v>995</v>
      </c>
      <c r="BP995" s="55" t="str">
        <f aca="false">IF(S995&lt;&gt;"",UPPER(TRIM(S995)),IF(O995="","LOSE",O995))</f>
        <v>S32</v>
      </c>
      <c r="BQ995" s="57" t="n">
        <f aca="false">IF(BP995="LOSE",1,IF(N(T995)&gt;0,T995,IF(N(P995)&gt;0,P995,MAX(1,G995))))</f>
        <v>28</v>
      </c>
      <c r="BR995" s="60" t="n">
        <f aca="false">IF(BP995="LOSE",1,0)</f>
        <v>0</v>
      </c>
      <c r="BS995" s="59" t="n">
        <f aca="false">IF(BR995=0,0,IF(N(R995)&gt;0,R995,IFERROR(VLOOKUP(D995,Parameter!$A$35:$C$64,3,0)+0,0)))</f>
        <v>0</v>
      </c>
      <c r="BT995" s="55" t="n">
        <f aca="false">IF(Y995&lt;&gt;"",Y995,X995)</f>
        <v>3</v>
      </c>
      <c r="BU995" s="55" t="str">
        <f aca="false">IF(BT995=1,"L1",IF(OR(BT995=2,BT995=3),"L23",IF(BT995="Aussen","Aussen","-")))</f>
        <v>L23</v>
      </c>
      <c r="BV995" s="66" t="n">
        <f aca="false">IF(N(Z995)&gt;0,Z995,0)</f>
        <v>0</v>
      </c>
      <c r="BW995" s="60" t="n">
        <f aca="false">IF(ISNUMBER(AC995),1,0)</f>
        <v>0</v>
      </c>
      <c r="BX995" s="57" t="n">
        <f aca="false">N(AC995)</f>
        <v>0</v>
      </c>
      <c r="BY995" s="57" t="n">
        <f aca="false">N(L995)+N(M995)</f>
        <v>5</v>
      </c>
      <c r="BZ995" s="57" t="n">
        <f aca="false">ROUNDUP(G995/BQ995,0)</f>
        <v>0</v>
      </c>
      <c r="CA995" s="57" t="n">
        <f aca="false">ROUNDUP(BX995/BQ995,0)</f>
        <v>0</v>
      </c>
      <c r="CB995" s="60" t="n">
        <f aca="false">IF(BR995=1,0,IFERROR(VLOOKUP(BP995,'Gebinde-Kategorie'!$A$5:$M$45,5,0)+0,0))</f>
        <v>8</v>
      </c>
      <c r="CC995" s="60" t="n">
        <f aca="false">IFERROR(IF(OR(BT995=1,BT995=2,BT995=3),N(INDEX(Parameter!$I$5:$I$7,BT995)),0),0)</f>
        <v>0</v>
      </c>
      <c r="CD995" s="59" t="n">
        <f aca="false">IF(AND(Parameter!$B$21="Ja",ISNUMBER(U995),N(V995)&gt;0),IFERROR(N(INDEX(Parameter!$L$5:$L$7,U995))*INDEX(Parameter!$E$5:$E$7,U995)*V995/SUMIFS($V$7:$V$1576,$U$7:$U$1576,U995),0),0)</f>
        <v>0</v>
      </c>
    </row>
    <row r="996" customFormat="false" ht="15" hidden="false" customHeight="false" outlineLevel="0" collapsed="false">
      <c r="A996" s="55" t="s">
        <v>1826</v>
      </c>
      <c r="B996" s="55" t="s">
        <v>723</v>
      </c>
      <c r="C996" s="55" t="s">
        <v>160</v>
      </c>
      <c r="D996" s="55" t="s">
        <v>178</v>
      </c>
      <c r="E996" s="55" t="s">
        <v>210</v>
      </c>
      <c r="F996" s="56" t="n">
        <v>42.17</v>
      </c>
      <c r="G996" s="57" t="n">
        <f aca="false">MAX(0,IF(AND(Parameter!$B$21="Ja",ISNUMBER(W996)),W996,IF(Parameter!$B$20="Jahresanfang 2025 + Export",BJ996+BI996,BI996)))</f>
        <v>0</v>
      </c>
      <c r="H996" s="57" t="n">
        <f aca="false">G996*F996</f>
        <v>0</v>
      </c>
      <c r="I996" s="57" t="n">
        <f aca="false">BL996*Parameter!$B$18</f>
        <v>5</v>
      </c>
      <c r="J996" s="58" t="n">
        <v>3.5</v>
      </c>
      <c r="K996" s="59" t="n">
        <v>1.42857142857143</v>
      </c>
      <c r="L996" s="57" t="n">
        <v>0</v>
      </c>
      <c r="M996" s="57" t="n">
        <v>5</v>
      </c>
      <c r="N996" s="60" t="n">
        <v>28</v>
      </c>
      <c r="O996" s="55" t="s">
        <v>319</v>
      </c>
      <c r="P996" s="57" t="n">
        <v>20</v>
      </c>
      <c r="Q996" s="60" t="n">
        <f aca="false">IF(BR996=1,0,IFERROR(VLOOKUP(BP996,'Gebinde-Kategorie'!$A$5:$M$45,13,0)+0,0))</f>
        <v>52</v>
      </c>
      <c r="R996" s="61"/>
      <c r="S996" s="62"/>
      <c r="T996" s="62"/>
      <c r="U996" s="55"/>
      <c r="V996" s="57"/>
      <c r="W996" s="57"/>
      <c r="X996" s="55" t="n">
        <f aca="false">IF(A996="","",IF(AND(Parameter!$B$21="Ja",ISNUMBER(U996)),U996,IF(IFERROR(VLOOKUP(D996,Parameter!$A$35:$C$64,2,0),"Nein")="2+3",IF(ISNUMBER(SEARCH("grosser Artikel",BM996)),2,IFERROR(VLOOKUP(BP996,Parameter!$F$35:$G$64,2,0),2)),IF(OR(IFERROR(VLOOKUP(D996,Parameter!$A$35:$C$64,2,0),"Nein")="Nein",IFERROR(VLOOKUP(D996,Parameter!$A$35:$C$64,2,0),"Nein")=""),"-",VLOOKUP(D996,Parameter!$A$35:$C$64,2,0)))))</f>
        <v>3</v>
      </c>
      <c r="Y996" s="62"/>
      <c r="Z996" s="63"/>
      <c r="AA996" s="57" t="n">
        <f aca="false">AP996</f>
        <v>20</v>
      </c>
      <c r="AB996" s="57" t="n">
        <f aca="false">MAX(AP996,G996)</f>
        <v>20</v>
      </c>
      <c r="AC996" s="64"/>
      <c r="AD996" s="57" t="n">
        <f aca="false">IF(LEFT(Cockpit!$C$5,1)="A",G996,IF(BW996=1,BX996,IF(LEFT(Cockpit!$C$5,1)="B",AH996,MAX(AH996,G996))))</f>
        <v>0</v>
      </c>
      <c r="AE996" s="57" t="n">
        <f aca="false">IF(BR996=1,0,ROUNDUP(AD996/BQ996,0))</f>
        <v>0</v>
      </c>
      <c r="AF996" s="59" t="n">
        <f aca="false">IF(CD996&gt;0,CD996*MAX(1,AD996/V996),IF(BR996=1,IF(AD996&lt;=0,0,BS996*MAX(1,IF(G996&gt;0,AD996/G996,1))),IF(Q996&gt;0,AE996/Q996,0))/MAX(0.1,N(Parameter!$M$21)))</f>
        <v>0</v>
      </c>
      <c r="AG996" s="57" t="n">
        <f aca="false">AD996*F996</f>
        <v>0</v>
      </c>
      <c r="AH996" s="57" t="n">
        <f aca="false">ROUNDUP(MAX(I996/IF(BV996&gt;0,BV996,MAX(0.1,N(Cockpit!$C$6))),BY996)/BQ996,0)*BQ996</f>
        <v>20</v>
      </c>
      <c r="AI996" s="58" t="n">
        <f aca="false">IF(AF996&gt;0,I996/AF996,-1)</f>
        <v>-1</v>
      </c>
      <c r="AJ996" s="58" t="str">
        <f aca="false">IF(AND(OR(BU996="L1",BU996="L23"),AF996&gt;0),SUMIFS($AF$7:$AF$1576,$BU$7:$BU$1576,BU996,$AI$7:$AI$1576,"&gt;"&amp;AI996)+SUMIFS($AF$7:$AF$1576,$BU$7:$BU$1576,BU996,$AI$7:$AI$1576,AI996,$BO$7:$BO$1576,"&lt;="&amp;BO996),"")</f>
        <v/>
      </c>
      <c r="AK996" s="65" t="n">
        <f aca="false">IF(AJ996="",0,MAX(0,MIN(1,(IF(BU996="L1",Parameter!$E$5,Parameter!$E$6+Parameter!$E$7)-(AJ996-AF996))/AF996)))</f>
        <v>0</v>
      </c>
      <c r="AL996" s="57" t="n">
        <f aca="false">IF(LEFT(Cockpit!$I$5,1)="A",G996,IF(BW996=1,BX996,IF(LEFT(Cockpit!$I$5,1)="B",AP996,MAX(AP996,G996))))</f>
        <v>20</v>
      </c>
      <c r="AM996" s="57" t="n">
        <f aca="false">IF(BR996=1,0,ROUNDUP(AL996/BQ996,0))</f>
        <v>1</v>
      </c>
      <c r="AN996" s="59" t="n">
        <f aca="false">IF(CD996&gt;0,CD996*MAX(1,AL996/V996),IF(BR996=1,IF(AL996&lt;=0,0,BS996*MAX(1,IF(G996&gt;0,AL996/G996,1))),IF(Q996&gt;0,AM996/Q996,0))/MAX(0.1,N(Parameter!$M$21)))</f>
        <v>0.0192307692307692</v>
      </c>
      <c r="AO996" s="57" t="n">
        <f aca="false">AL996*F996</f>
        <v>843.4</v>
      </c>
      <c r="AP996" s="57" t="n">
        <f aca="false">ROUNDUP(MAX(I996/IF(BV996&gt;0,BV996,MAX(0.1,N(Cockpit!$I$6))),BY996)/BQ996,0)*BQ996</f>
        <v>20</v>
      </c>
      <c r="AQ996" s="58" t="n">
        <f aca="false">IF(AN996&gt;0,I996/AN996,-1)</f>
        <v>260</v>
      </c>
      <c r="AR996" s="58" t="n">
        <f aca="false">IF(AND(OR(BU996="L1",BU996="L23"),AN996&gt;0),SUMIFS($AN$7:$AN$1576,$BU$7:$BU$1576,BU996,$AQ$7:$AQ$1576,"&gt;"&amp;AQ996)+SUMIFS($AN$7:$AN$1576,$BU$7:$BU$1576,BU996,$AQ$7:$AQ$1576,AQ996,$BO$7:$BO$1576,"&lt;="&amp;BO996),"")</f>
        <v>45.5298498726871</v>
      </c>
      <c r="AS996" s="65" t="n">
        <f aca="false">IF(AR996="",0,MAX(0,MIN(1,(IF(BU996="L1",Parameter!$E$5,Parameter!$E$6+Parameter!$E$7)-(AR996-AN996))/AN996)))</f>
        <v>1</v>
      </c>
      <c r="AT996" s="57" t="n">
        <f aca="false">IF(LEFT(Cockpit!$O$5,1)="A",G996,IF(BW996=1,BX996,IF(LEFT(Cockpit!$O$5,1)="B",AX996,MAX(AX996,G996))))</f>
        <v>20</v>
      </c>
      <c r="AU996" s="57" t="n">
        <f aca="false">IF(BR996=1,0,ROUNDUP(AT996/BQ996,0))</f>
        <v>1</v>
      </c>
      <c r="AV996" s="59" t="n">
        <f aca="false">IF(CD996&gt;0,CD996*MAX(1,AT996/V996),IF(BR996=1,IF(AT996&lt;=0,0,BS996*MAX(1,IF(G996&gt;0,AT996/G996,1))),IF(Q996&gt;0,AU996/Q996,0))/MAX(0.1,N(Parameter!$M$21)))</f>
        <v>0.0192307692307692</v>
      </c>
      <c r="AW996" s="57" t="n">
        <f aca="false">AT996*F996</f>
        <v>843.4</v>
      </c>
      <c r="AX996" s="57" t="n">
        <f aca="false">ROUNDUP(MAX(I996/IF(BV996&gt;0,BV996,MAX(0.1,N(Cockpit!$O$6))),BY996)/BQ996,0)*BQ996</f>
        <v>20</v>
      </c>
      <c r="AY996" s="58" t="n">
        <f aca="false">IF(AV996&gt;0,I996/AV996,-1)</f>
        <v>260</v>
      </c>
      <c r="AZ996" s="58" t="n">
        <f aca="false">IF(AND(OR(BU996="L1",BU996="L23"),AV996&gt;0),SUMIFS($AV$7:$AV$1576,$BU$7:$BU$1576,BU996,$AY$7:$AY$1576,"&gt;"&amp;AY996)+SUMIFS($AV$7:$AV$1576,$BU$7:$BU$1576,BU996,$AY$7:$AY$1576,AY996,$BO$7:$BO$1576,"&lt;="&amp;BO996),"")</f>
        <v>41.8079284607657</v>
      </c>
      <c r="BA996" s="65" t="n">
        <f aca="false">IF(AZ996="",0,MAX(0,MIN(1,(IF(BU996="L1",Parameter!$E$5,Parameter!$E$6+Parameter!$E$7)-(AZ996-AV996))/AV996)))</f>
        <v>1</v>
      </c>
      <c r="BB996" s="55" t="str">
        <f aca="false">IF(AF996&lt;=0,"",IF(BU996="Aussen","Aussenlager",IF(BU996="-","Nicht im Lift",IF(AK996&gt;=1,"Lift",IF(AK996&lt;=0,"Aussenlager","teilweise")))))</f>
        <v/>
      </c>
      <c r="BC996" s="55" t="str">
        <f aca="false">IF(AN996&lt;=0,"",IF(BU996="Aussen","Aussenlager",IF(BU996="-","Nicht im Lift",IF(AS996&gt;=1,"Lift",IF(AS996&lt;=0,"Aussenlager","teilweise")))))</f>
        <v>Lift</v>
      </c>
      <c r="BD996" s="55" t="str">
        <f aca="false">IF(AV996&lt;=0,"",IF(BU996="Aussen","Aussenlager",IF(BU996="-","Nicht im Lift",IF(BA996&gt;=1,"Lift",IF(BA996&lt;=0,"Aussenlager","teilweise")))))</f>
        <v>Lift</v>
      </c>
      <c r="BE996" s="55" t="str">
        <f aca="false">IF(A996="","",IF(BN996=1,"Neu; ","")&amp;IF(AND(BN996=0,BI996&lt;0),"negativer Bestand (Export "&amp;BI996&amp;"); ","")&amp;IF(I996&lt;=0,"Kein Verbrauch; ","")&amp;IF(CD996&gt;0,"Lift "&amp;U996&amp;" lt. Liftbericht (Fach "&amp;V996&amp;" Stk); ",IF(BR996=1,"Lose – Fläche geschätzt; ",""))&amp;IF(G996&gt;AP996,"Überbestand "&amp;ROUND(G996-AP996,0)&amp;" Stk / CHF "&amp;ROUND((G996-AP996)*F996,0)&amp;"; ","")&amp;IF(AND(BW996=1,BX996&lt;BY996),"MAX &lt; MB+LG; ","")&amp;IF(AND(CC996&gt;0,CB996*10&gt;CC996),"zu hoch für Tablar; ","")&amp;IF(AND(BN996=0,OR(BW996=1,Y996&lt;&gt;"",S996&lt;&gt;"",T996&lt;&gt;"",Z996&lt;&gt;"")),"manuell übersteuert; ","")&amp;IF(AND(BR996=0,Q996=0),"Gebinde unbekannt / Stellmass fehlt; ","")&amp;IF(AND(BR996=0,N(T996)&lt;=0,N(P996)&lt;=0),"Menge pro Gebinde fehlt (Ist = 1 Gebinde); ","")&amp;BM996)</f>
        <v/>
      </c>
      <c r="BF996" s="55"/>
      <c r="BG996" s="55"/>
      <c r="BH996" s="62"/>
      <c r="BI996" s="57" t="n">
        <v>0</v>
      </c>
      <c r="BJ996" s="57" t="n">
        <v>4</v>
      </c>
      <c r="BK996" s="56" t="n">
        <v>-91.72</v>
      </c>
      <c r="BL996" s="57" t="n">
        <v>5</v>
      </c>
      <c r="BM996" s="55"/>
      <c r="BN996" s="60" t="n">
        <v>0</v>
      </c>
      <c r="BO996" s="60" t="n">
        <v>996</v>
      </c>
      <c r="BP996" s="55" t="str">
        <f aca="false">IF(S996&lt;&gt;"",UPPER(TRIM(S996)),IF(O996="","LOSE",O996))</f>
        <v>S41</v>
      </c>
      <c r="BQ996" s="57" t="n">
        <f aca="false">IF(BP996="LOSE",1,IF(N(T996)&gt;0,T996,IF(N(P996)&gt;0,P996,MAX(1,G996))))</f>
        <v>20</v>
      </c>
      <c r="BR996" s="60" t="n">
        <f aca="false">IF(BP996="LOSE",1,0)</f>
        <v>0</v>
      </c>
      <c r="BS996" s="59" t="n">
        <f aca="false">IF(BR996=0,0,IF(N(R996)&gt;0,R996,IFERROR(VLOOKUP(D996,Parameter!$A$35:$C$64,3,0)+0,0)))</f>
        <v>0</v>
      </c>
      <c r="BT996" s="55" t="n">
        <f aca="false">IF(Y996&lt;&gt;"",Y996,X996)</f>
        <v>3</v>
      </c>
      <c r="BU996" s="55" t="str">
        <f aca="false">IF(BT996=1,"L1",IF(OR(BT996=2,BT996=3),"L23",IF(BT996="Aussen","Aussen","-")))</f>
        <v>L23</v>
      </c>
      <c r="BV996" s="66" t="n">
        <f aca="false">IF(N(Z996)&gt;0,Z996,0)</f>
        <v>0</v>
      </c>
      <c r="BW996" s="60" t="n">
        <f aca="false">IF(ISNUMBER(AC996),1,0)</f>
        <v>0</v>
      </c>
      <c r="BX996" s="57" t="n">
        <f aca="false">N(AC996)</f>
        <v>0</v>
      </c>
      <c r="BY996" s="57" t="n">
        <f aca="false">N(L996)+N(M996)</f>
        <v>5</v>
      </c>
      <c r="BZ996" s="57" t="n">
        <f aca="false">ROUNDUP(G996/BQ996,0)</f>
        <v>0</v>
      </c>
      <c r="CA996" s="57" t="n">
        <f aca="false">ROUNDUP(BX996/BQ996,0)</f>
        <v>0</v>
      </c>
      <c r="CB996" s="60" t="n">
        <f aca="false">IF(BR996=1,0,IFERROR(VLOOKUP(BP996,'Gebinde-Kategorie'!$A$5:$M$45,5,0)+0,0))</f>
        <v>11</v>
      </c>
      <c r="CC996" s="60" t="n">
        <f aca="false">IFERROR(IF(OR(BT996=1,BT996=2,BT996=3),N(INDEX(Parameter!$I$5:$I$7,BT996)),0),0)</f>
        <v>0</v>
      </c>
      <c r="CD996" s="59" t="n">
        <f aca="false">IF(AND(Parameter!$B$21="Ja",ISNUMBER(U996),N(V996)&gt;0),IFERROR(N(INDEX(Parameter!$L$5:$L$7,U996))*INDEX(Parameter!$E$5:$E$7,U996)*V996/SUMIFS($V$7:$V$1576,$U$7:$U$1576,U996),0),0)</f>
        <v>0</v>
      </c>
    </row>
    <row r="997" customFormat="false" ht="15" hidden="false" customHeight="false" outlineLevel="0" collapsed="false">
      <c r="A997" s="55" t="s">
        <v>1827</v>
      </c>
      <c r="B997" s="55" t="s">
        <v>1828</v>
      </c>
      <c r="C997" s="55" t="s">
        <v>160</v>
      </c>
      <c r="D997" s="55" t="s">
        <v>178</v>
      </c>
      <c r="E997" s="55" t="s">
        <v>210</v>
      </c>
      <c r="F997" s="56" t="n">
        <v>2.13</v>
      </c>
      <c r="G997" s="57" t="n">
        <f aca="false">MAX(0,IF(AND(Parameter!$B$21="Ja",ISNUMBER(W997)),W997,IF(Parameter!$B$20="Jahresanfang 2025 + Export",BJ997+BI997,BI997)))</f>
        <v>0</v>
      </c>
      <c r="H997" s="57" t="n">
        <f aca="false">G997*F997</f>
        <v>0</v>
      </c>
      <c r="I997" s="57" t="n">
        <f aca="false">BL997*Parameter!$B$18</f>
        <v>325</v>
      </c>
      <c r="J997" s="58" t="n">
        <v>112</v>
      </c>
      <c r="K997" s="59" t="n">
        <v>2.90178571428571</v>
      </c>
      <c r="L997" s="57" t="n">
        <v>18</v>
      </c>
      <c r="M997" s="57" t="n">
        <v>100</v>
      </c>
      <c r="N997" s="60" t="n">
        <v>2</v>
      </c>
      <c r="O997" s="55" t="s">
        <v>411</v>
      </c>
      <c r="P997" s="57" t="n">
        <v>120</v>
      </c>
      <c r="Q997" s="60" t="n">
        <f aca="false">IF(BR997=1,0,IFERROR(VLOOKUP(BP997,'Gebinde-Kategorie'!$A$5:$M$45,13,0)+0,0))</f>
        <v>132</v>
      </c>
      <c r="R997" s="61"/>
      <c r="S997" s="62"/>
      <c r="T997" s="62"/>
      <c r="U997" s="55"/>
      <c r="V997" s="57"/>
      <c r="W997" s="57"/>
      <c r="X997" s="55" t="n">
        <f aca="false">IF(A997="","",IF(AND(Parameter!$B$21="Ja",ISNUMBER(U997)),U997,IF(IFERROR(VLOOKUP(D997,Parameter!$A$35:$C$64,2,0),"Nein")="2+3",IF(ISNUMBER(SEARCH("grosser Artikel",BM997)),2,IFERROR(VLOOKUP(BP997,Parameter!$F$35:$G$64,2,0),2)),IF(OR(IFERROR(VLOOKUP(D997,Parameter!$A$35:$C$64,2,0),"Nein")="Nein",IFERROR(VLOOKUP(D997,Parameter!$A$35:$C$64,2,0),"Nein")=""),"-",VLOOKUP(D997,Parameter!$A$35:$C$64,2,0)))))</f>
        <v>3</v>
      </c>
      <c r="Y997" s="62"/>
      <c r="Z997" s="63"/>
      <c r="AA997" s="57" t="n">
        <f aca="false">AP997</f>
        <v>240</v>
      </c>
      <c r="AB997" s="57" t="n">
        <f aca="false">MAX(AP997,G997)</f>
        <v>240</v>
      </c>
      <c r="AC997" s="64"/>
      <c r="AD997" s="57" t="n">
        <f aca="false">IF(LEFT(Cockpit!$C$5,1)="A",G997,IF(BW997=1,BX997,IF(LEFT(Cockpit!$C$5,1)="B",AH997,MAX(AH997,G997))))</f>
        <v>0</v>
      </c>
      <c r="AE997" s="57" t="n">
        <f aca="false">IF(BR997=1,0,ROUNDUP(AD997/BQ997,0))</f>
        <v>0</v>
      </c>
      <c r="AF997" s="59" t="n">
        <f aca="false">IF(CD997&gt;0,CD997*MAX(1,AD997/V997),IF(BR997=1,IF(AD997&lt;=0,0,BS997*MAX(1,IF(G997&gt;0,AD997/G997,1))),IF(Q997&gt;0,AE997/Q997,0))/MAX(0.1,N(Parameter!$M$21)))</f>
        <v>0</v>
      </c>
      <c r="AG997" s="57" t="n">
        <f aca="false">AD997*F997</f>
        <v>0</v>
      </c>
      <c r="AH997" s="57" t="n">
        <f aca="false">ROUNDUP(MAX(I997/IF(BV997&gt;0,BV997,MAX(0.1,N(Cockpit!$C$6))),BY997)/BQ997,0)*BQ997</f>
        <v>240</v>
      </c>
      <c r="AI997" s="58" t="n">
        <f aca="false">IF(AF997&gt;0,I997/AF997,-1)</f>
        <v>-1</v>
      </c>
      <c r="AJ997" s="58" t="str">
        <f aca="false">IF(AND(OR(BU997="L1",BU997="L23"),AF997&gt;0),SUMIFS($AF$7:$AF$1576,$BU$7:$BU$1576,BU997,$AI$7:$AI$1576,"&gt;"&amp;AI997)+SUMIFS($AF$7:$AF$1576,$BU$7:$BU$1576,BU997,$AI$7:$AI$1576,AI997,$BO$7:$BO$1576,"&lt;="&amp;BO997),"")</f>
        <v/>
      </c>
      <c r="AK997" s="65" t="n">
        <f aca="false">IF(AJ997="",0,MAX(0,MIN(1,(IF(BU997="L1",Parameter!$E$5,Parameter!$E$6+Parameter!$E$7)-(AJ997-AF997))/AF997)))</f>
        <v>0</v>
      </c>
      <c r="AL997" s="57" t="n">
        <f aca="false">IF(LEFT(Cockpit!$I$5,1)="A",G997,IF(BW997=1,BX997,IF(LEFT(Cockpit!$I$5,1)="B",AP997,MAX(AP997,G997))))</f>
        <v>240</v>
      </c>
      <c r="AM997" s="57" t="n">
        <f aca="false">IF(BR997=1,0,ROUNDUP(AL997/BQ997,0))</f>
        <v>2</v>
      </c>
      <c r="AN997" s="59" t="n">
        <f aca="false">IF(CD997&gt;0,CD997*MAX(1,AL997/V997),IF(BR997=1,IF(AL997&lt;=0,0,BS997*MAX(1,IF(G997&gt;0,AL997/G997,1))),IF(Q997&gt;0,AM997/Q997,0))/MAX(0.1,N(Parameter!$M$21)))</f>
        <v>0.0151515151515152</v>
      </c>
      <c r="AO997" s="57" t="n">
        <f aca="false">AL997*F997</f>
        <v>511.2</v>
      </c>
      <c r="AP997" s="57" t="n">
        <f aca="false">ROUNDUP(MAX(I997/IF(BV997&gt;0,BV997,MAX(0.1,N(Cockpit!$I$6))),BY997)/BQ997,0)*BQ997</f>
        <v>240</v>
      </c>
      <c r="AQ997" s="58" t="n">
        <f aca="false">IF(AN997&gt;0,I997/AN997,-1)</f>
        <v>21450</v>
      </c>
      <c r="AR997" s="58" t="n">
        <f aca="false">IF(AND(OR(BU997="L1",BU997="L23"),AN997&gt;0),SUMIFS($AN$7:$AN$1576,$BU$7:$BU$1576,BU997,$AQ$7:$AQ$1576,"&gt;"&amp;AQ997)+SUMIFS($AN$7:$AN$1576,$BU$7:$BU$1576,BU997,$AQ$7:$AQ$1576,AQ997,$BO$7:$BO$1576,"&lt;="&amp;BO997),"")</f>
        <v>3.77286375460289</v>
      </c>
      <c r="AS997" s="65" t="n">
        <f aca="false">IF(AR997="",0,MAX(0,MIN(1,(IF(BU997="L1",Parameter!$E$5,Parameter!$E$6+Parameter!$E$7)-(AR997-AN997))/AN997)))</f>
        <v>1</v>
      </c>
      <c r="AT997" s="57" t="n">
        <f aca="false">IF(LEFT(Cockpit!$O$5,1)="A",G997,IF(BW997=1,BX997,IF(LEFT(Cockpit!$O$5,1)="B",AX997,MAX(AX997,G997))))</f>
        <v>120</v>
      </c>
      <c r="AU997" s="57" t="n">
        <f aca="false">IF(BR997=1,0,ROUNDUP(AT997/BQ997,0))</f>
        <v>1</v>
      </c>
      <c r="AV997" s="59" t="n">
        <f aca="false">IF(CD997&gt;0,CD997*MAX(1,AT997/V997),IF(BR997=1,IF(AT997&lt;=0,0,BS997*MAX(1,IF(G997&gt;0,AT997/G997,1))),IF(Q997&gt;0,AU997/Q997,0))/MAX(0.1,N(Parameter!$M$21)))</f>
        <v>0.00757575757575758</v>
      </c>
      <c r="AW997" s="57" t="n">
        <f aca="false">AT997*F997</f>
        <v>255.6</v>
      </c>
      <c r="AX997" s="57" t="n">
        <f aca="false">ROUNDUP(MAX(I997/IF(BV997&gt;0,BV997,MAX(0.1,N(Cockpit!$O$6))),BY997)/BQ997,0)*BQ997</f>
        <v>120</v>
      </c>
      <c r="AY997" s="58" t="n">
        <f aca="false">IF(AV997&gt;0,I997/AV997,-1)</f>
        <v>42900</v>
      </c>
      <c r="AZ997" s="58" t="n">
        <f aca="false">IF(AND(OR(BU997="L1",BU997="L23"),AV997&gt;0),SUMIFS($AV$7:$AV$1576,$BU$7:$BU$1576,BU997,$AY$7:$AY$1576,"&gt;"&amp;AY997)+SUMIFS($AV$7:$AV$1576,$BU$7:$BU$1576,BU997,$AY$7:$AY$1576,AY997,$BO$7:$BO$1576,"&lt;="&amp;BO997),"")</f>
        <v>2.09146076146076</v>
      </c>
      <c r="BA997" s="65" t="n">
        <f aca="false">IF(AZ997="",0,MAX(0,MIN(1,(IF(BU997="L1",Parameter!$E$5,Parameter!$E$6+Parameter!$E$7)-(AZ997-AV997))/AV997)))</f>
        <v>1</v>
      </c>
      <c r="BB997" s="55" t="str">
        <f aca="false">IF(AF997&lt;=0,"",IF(BU997="Aussen","Aussenlager",IF(BU997="-","Nicht im Lift",IF(AK997&gt;=1,"Lift",IF(AK997&lt;=0,"Aussenlager","teilweise")))))</f>
        <v/>
      </c>
      <c r="BC997" s="55" t="str">
        <f aca="false">IF(AN997&lt;=0,"",IF(BU997="Aussen","Aussenlager",IF(BU997="-","Nicht im Lift",IF(AS997&gt;=1,"Lift",IF(AS997&lt;=0,"Aussenlager","teilweise")))))</f>
        <v>Lift</v>
      </c>
      <c r="BD997" s="55" t="str">
        <f aca="false">IF(AV997&lt;=0,"",IF(BU997="Aussen","Aussenlager",IF(BU997="-","Nicht im Lift",IF(BA997&gt;=1,"Lift",IF(BA997&lt;=0,"Aussenlager","teilweise")))))</f>
        <v>Lift</v>
      </c>
      <c r="BE997" s="55" t="str">
        <f aca="false">IF(A997="","",IF(BN997=1,"Neu; ","")&amp;IF(AND(BN997=0,BI997&lt;0),"negativer Bestand (Export "&amp;BI997&amp;"); ","")&amp;IF(I997&lt;=0,"Kein Verbrauch; ","")&amp;IF(CD997&gt;0,"Lift "&amp;U997&amp;" lt. Liftbericht (Fach "&amp;V997&amp;" Stk); ",IF(BR997=1,"Lose – Fläche geschätzt; ",""))&amp;IF(G997&gt;AP997,"Überbestand "&amp;ROUND(G997-AP997,0)&amp;" Stk / CHF "&amp;ROUND((G997-AP997)*F997,0)&amp;"; ","")&amp;IF(AND(BW997=1,BX997&lt;BY997),"MAX &lt; MB+LG; ","")&amp;IF(AND(CC997&gt;0,CB997*10&gt;CC997),"zu hoch für Tablar; ","")&amp;IF(AND(BN997=0,OR(BW997=1,Y997&lt;&gt;"",S997&lt;&gt;"",T997&lt;&gt;"",Z997&lt;&gt;"")),"manuell übersteuert; ","")&amp;IF(AND(BR997=0,Q997=0),"Gebinde unbekannt / Stellmass fehlt; ","")&amp;IF(AND(BR997=0,N(T997)&lt;=0,N(P997)&lt;=0),"Menge pro Gebinde fehlt (Ist = 1 Gebinde); ","")&amp;BM997)</f>
        <v>negativer Bestand (Export -44); </v>
      </c>
      <c r="BF997" s="55"/>
      <c r="BG997" s="55"/>
      <c r="BH997" s="62"/>
      <c r="BI997" s="57" t="n">
        <v>-44</v>
      </c>
      <c r="BJ997" s="57" t="n">
        <v>116</v>
      </c>
      <c r="BK997" s="56" t="n">
        <v>-93.7199999999999</v>
      </c>
      <c r="BL997" s="57" t="n">
        <v>325</v>
      </c>
      <c r="BM997" s="55"/>
      <c r="BN997" s="60" t="n">
        <v>0</v>
      </c>
      <c r="BO997" s="60" t="n">
        <v>997</v>
      </c>
      <c r="BP997" s="55" t="str">
        <f aca="false">IF(S997&lt;&gt;"",UPPER(TRIM(S997)),IF(O997="","LOSE",O997))</f>
        <v>S32</v>
      </c>
      <c r="BQ997" s="57" t="n">
        <f aca="false">IF(BP997="LOSE",1,IF(N(T997)&gt;0,T997,IF(N(P997)&gt;0,P997,MAX(1,G997))))</f>
        <v>120</v>
      </c>
      <c r="BR997" s="60" t="n">
        <f aca="false">IF(BP997="LOSE",1,0)</f>
        <v>0</v>
      </c>
      <c r="BS997" s="59" t="n">
        <f aca="false">IF(BR997=0,0,IF(N(R997)&gt;0,R997,IFERROR(VLOOKUP(D997,Parameter!$A$35:$C$64,3,0)+0,0)))</f>
        <v>0</v>
      </c>
      <c r="BT997" s="55" t="n">
        <f aca="false">IF(Y997&lt;&gt;"",Y997,X997)</f>
        <v>3</v>
      </c>
      <c r="BU997" s="55" t="str">
        <f aca="false">IF(BT997=1,"L1",IF(OR(BT997=2,BT997=3),"L23",IF(BT997="Aussen","Aussen","-")))</f>
        <v>L23</v>
      </c>
      <c r="BV997" s="66" t="n">
        <f aca="false">IF(N(Z997)&gt;0,Z997,0)</f>
        <v>0</v>
      </c>
      <c r="BW997" s="60" t="n">
        <f aca="false">IF(ISNUMBER(AC997),1,0)</f>
        <v>0</v>
      </c>
      <c r="BX997" s="57" t="n">
        <f aca="false">N(AC997)</f>
        <v>0</v>
      </c>
      <c r="BY997" s="57" t="n">
        <f aca="false">N(L997)+N(M997)</f>
        <v>118</v>
      </c>
      <c r="BZ997" s="57" t="n">
        <f aca="false">ROUNDUP(G997/BQ997,0)</f>
        <v>0</v>
      </c>
      <c r="CA997" s="57" t="n">
        <f aca="false">ROUNDUP(BX997/BQ997,0)</f>
        <v>0</v>
      </c>
      <c r="CB997" s="60" t="n">
        <f aca="false">IF(BR997=1,0,IFERROR(VLOOKUP(BP997,'Gebinde-Kategorie'!$A$5:$M$45,5,0)+0,0))</f>
        <v>8</v>
      </c>
      <c r="CC997" s="60" t="n">
        <f aca="false">IFERROR(IF(OR(BT997=1,BT997=2,BT997=3),N(INDEX(Parameter!$I$5:$I$7,BT997)),0),0)</f>
        <v>0</v>
      </c>
      <c r="CD997" s="59" t="n">
        <f aca="false">IF(AND(Parameter!$B$21="Ja",ISNUMBER(U997),N(V997)&gt;0),IFERROR(N(INDEX(Parameter!$L$5:$L$7,U997))*INDEX(Parameter!$E$5:$E$7,U997)*V997/SUMIFS($V$7:$V$1576,$U$7:$U$1576,U997),0),0)</f>
        <v>0</v>
      </c>
    </row>
    <row r="998" customFormat="false" ht="15" hidden="false" customHeight="false" outlineLevel="0" collapsed="false">
      <c r="A998" s="55" t="s">
        <v>1829</v>
      </c>
      <c r="B998" s="55" t="s">
        <v>824</v>
      </c>
      <c r="C998" s="55" t="s">
        <v>160</v>
      </c>
      <c r="D998" s="55" t="s">
        <v>178</v>
      </c>
      <c r="E998" s="55" t="s">
        <v>210</v>
      </c>
      <c r="F998" s="56" t="n">
        <v>8.57</v>
      </c>
      <c r="G998" s="57" t="n">
        <f aca="false">MAX(0,IF(AND(Parameter!$B$21="Ja",ISNUMBER(W998)),W998,IF(Parameter!$B$20="Jahresanfang 2025 + Export",BJ998+BI998,BI998)))</f>
        <v>0</v>
      </c>
      <c r="H998" s="57" t="n">
        <f aca="false">G998*F998</f>
        <v>0</v>
      </c>
      <c r="I998" s="57" t="n">
        <f aca="false">BL998*Parameter!$B$18</f>
        <v>0</v>
      </c>
      <c r="J998" s="58" t="n">
        <v>27</v>
      </c>
      <c r="K998" s="59" t="n">
        <v>0</v>
      </c>
      <c r="L998" s="57" t="n">
        <v>0</v>
      </c>
      <c r="M998" s="57" t="n">
        <v>10</v>
      </c>
      <c r="N998" s="60" t="n">
        <v>28</v>
      </c>
      <c r="O998" s="55" t="s">
        <v>225</v>
      </c>
      <c r="P998" s="57" t="n">
        <v>18</v>
      </c>
      <c r="Q998" s="60" t="n">
        <f aca="false">IF(BR998=1,0,IFERROR(VLOOKUP(BP998,'Gebinde-Kategorie'!$A$5:$M$45,13,0)+0,0))</f>
        <v>26</v>
      </c>
      <c r="R998" s="61"/>
      <c r="S998" s="62"/>
      <c r="T998" s="62"/>
      <c r="U998" s="55"/>
      <c r="V998" s="57"/>
      <c r="W998" s="57"/>
      <c r="X998" s="55" t="n">
        <f aca="false">IF(A998="","",IF(AND(Parameter!$B$21="Ja",ISNUMBER(U998)),U998,IF(IFERROR(VLOOKUP(D998,Parameter!$A$35:$C$64,2,0),"Nein")="2+3",IF(ISNUMBER(SEARCH("grosser Artikel",BM998)),2,IFERROR(VLOOKUP(BP998,Parameter!$F$35:$G$64,2,0),2)),IF(OR(IFERROR(VLOOKUP(D998,Parameter!$A$35:$C$64,2,0),"Nein")="Nein",IFERROR(VLOOKUP(D998,Parameter!$A$35:$C$64,2,0),"Nein")=""),"-",VLOOKUP(D998,Parameter!$A$35:$C$64,2,0)))))</f>
        <v>3</v>
      </c>
      <c r="Y998" s="62"/>
      <c r="Z998" s="63"/>
      <c r="AA998" s="57" t="n">
        <f aca="false">AP998</f>
        <v>18</v>
      </c>
      <c r="AB998" s="57" t="n">
        <f aca="false">MAX(AP998,G998)</f>
        <v>18</v>
      </c>
      <c r="AC998" s="64"/>
      <c r="AD998" s="57" t="n">
        <f aca="false">IF(LEFT(Cockpit!$C$5,1)="A",G998,IF(BW998=1,BX998,IF(LEFT(Cockpit!$C$5,1)="B",AH998,MAX(AH998,G998))))</f>
        <v>0</v>
      </c>
      <c r="AE998" s="57" t="n">
        <f aca="false">IF(BR998=1,0,ROUNDUP(AD998/BQ998,0))</f>
        <v>0</v>
      </c>
      <c r="AF998" s="59" t="n">
        <f aca="false">IF(CD998&gt;0,CD998*MAX(1,AD998/V998),IF(BR998=1,IF(AD998&lt;=0,0,BS998*MAX(1,IF(G998&gt;0,AD998/G998,1))),IF(Q998&gt;0,AE998/Q998,0))/MAX(0.1,N(Parameter!$M$21)))</f>
        <v>0</v>
      </c>
      <c r="AG998" s="57" t="n">
        <f aca="false">AD998*F998</f>
        <v>0</v>
      </c>
      <c r="AH998" s="57" t="n">
        <f aca="false">ROUNDUP(MAX(I998/IF(BV998&gt;0,BV998,MAX(0.1,N(Cockpit!$C$6))),BY998)/BQ998,0)*BQ998</f>
        <v>18</v>
      </c>
      <c r="AI998" s="58" t="n">
        <f aca="false">IF(AF998&gt;0,I998/AF998,-1)</f>
        <v>-1</v>
      </c>
      <c r="AJ998" s="58" t="str">
        <f aca="false">IF(AND(OR(BU998="L1",BU998="L23"),AF998&gt;0),SUMIFS($AF$7:$AF$1576,$BU$7:$BU$1576,BU998,$AI$7:$AI$1576,"&gt;"&amp;AI998)+SUMIFS($AF$7:$AF$1576,$BU$7:$BU$1576,BU998,$AI$7:$AI$1576,AI998,$BO$7:$BO$1576,"&lt;="&amp;BO998),"")</f>
        <v/>
      </c>
      <c r="AK998" s="65" t="n">
        <f aca="false">IF(AJ998="",0,MAX(0,MIN(1,(IF(BU998="L1",Parameter!$E$5,Parameter!$E$6+Parameter!$E$7)-(AJ998-AF998))/AF998)))</f>
        <v>0</v>
      </c>
      <c r="AL998" s="57" t="n">
        <f aca="false">IF(LEFT(Cockpit!$I$5,1)="A",G998,IF(BW998=1,BX998,IF(LEFT(Cockpit!$I$5,1)="B",AP998,MAX(AP998,G998))))</f>
        <v>18</v>
      </c>
      <c r="AM998" s="57" t="n">
        <f aca="false">IF(BR998=1,0,ROUNDUP(AL998/BQ998,0))</f>
        <v>1</v>
      </c>
      <c r="AN998" s="59" t="n">
        <f aca="false">IF(CD998&gt;0,CD998*MAX(1,AL998/V998),IF(BR998=1,IF(AL998&lt;=0,0,BS998*MAX(1,IF(G998&gt;0,AL998/G998,1))),IF(Q998&gt;0,AM998/Q998,0))/MAX(0.1,N(Parameter!$M$21)))</f>
        <v>0.0384615384615385</v>
      </c>
      <c r="AO998" s="57" t="n">
        <f aca="false">AL998*F998</f>
        <v>154.26</v>
      </c>
      <c r="AP998" s="57" t="n">
        <f aca="false">ROUNDUP(MAX(I998/IF(BV998&gt;0,BV998,MAX(0.1,N(Cockpit!$I$6))),BY998)/BQ998,0)*BQ998</f>
        <v>18</v>
      </c>
      <c r="AQ998" s="58" t="n">
        <f aca="false">IF(AN998&gt;0,I998/AN998,-1)</f>
        <v>0</v>
      </c>
      <c r="AR998" s="58" t="n">
        <f aca="false">IF(AND(OR(BU998="L1",BU998="L23"),AN998&gt;0),SUMIFS($AN$7:$AN$1576,$BU$7:$BU$1576,BU998,$AQ$7:$AQ$1576,"&gt;"&amp;AQ998)+SUMIFS($AN$7:$AN$1576,$BU$7:$BU$1576,BU998,$AQ$7:$AQ$1576,AQ998,$BO$7:$BO$1576,"&lt;="&amp;BO998),"")</f>
        <v>131.944892136896</v>
      </c>
      <c r="AS998" s="65" t="n">
        <f aca="false">IF(AR998="",0,MAX(0,MIN(1,(IF(BU998="L1",Parameter!$E$5,Parameter!$E$6+Parameter!$E$7)-(AR998-AN998))/AN998)))</f>
        <v>0</v>
      </c>
      <c r="AT998" s="57" t="n">
        <f aca="false">IF(LEFT(Cockpit!$O$5,1)="A",G998,IF(BW998=1,BX998,IF(LEFT(Cockpit!$O$5,1)="B",AX998,MAX(AX998,G998))))</f>
        <v>18</v>
      </c>
      <c r="AU998" s="57" t="n">
        <f aca="false">IF(BR998=1,0,ROUNDUP(AT998/BQ998,0))</f>
        <v>1</v>
      </c>
      <c r="AV998" s="59" t="n">
        <f aca="false">IF(CD998&gt;0,CD998*MAX(1,AT998/V998),IF(BR998=1,IF(AT998&lt;=0,0,BS998*MAX(1,IF(G998&gt;0,AT998/G998,1))),IF(Q998&gt;0,AU998/Q998,0))/MAX(0.1,N(Parameter!$M$21)))</f>
        <v>0.0384615384615385</v>
      </c>
      <c r="AW998" s="57" t="n">
        <f aca="false">AT998*F998</f>
        <v>154.26</v>
      </c>
      <c r="AX998" s="57" t="n">
        <f aca="false">ROUNDUP(MAX(I998/IF(BV998&gt;0,BV998,MAX(0.1,N(Cockpit!$O$6))),BY998)/BQ998,0)*BQ998</f>
        <v>18</v>
      </c>
      <c r="AY998" s="58" t="n">
        <f aca="false">IF(AV998&gt;0,I998/AV998,-1)</f>
        <v>0</v>
      </c>
      <c r="AZ998" s="58" t="n">
        <f aca="false">IF(AND(OR(BU998="L1",BU998="L23"),AV998&gt;0),SUMIFS($AV$7:$AV$1576,$BU$7:$BU$1576,BU998,$AY$7:$AY$1576,"&gt;"&amp;AY998)+SUMIFS($AV$7:$AV$1576,$BU$7:$BU$1576,BU998,$AY$7:$AY$1576,AY998,$BO$7:$BO$1576,"&lt;="&amp;BO998),"")</f>
        <v>122.004442586447</v>
      </c>
      <c r="BA998" s="65" t="n">
        <f aca="false">IF(AZ998="",0,MAX(0,MIN(1,(IF(BU998="L1",Parameter!$E$5,Parameter!$E$6+Parameter!$E$7)-(AZ998-AV998))/AV998)))</f>
        <v>0</v>
      </c>
      <c r="BB998" s="55" t="str">
        <f aca="false">IF(AF998&lt;=0,"",IF(BU998="Aussen","Aussenlager",IF(BU998="-","Nicht im Lift",IF(AK998&gt;=1,"Lift",IF(AK998&lt;=0,"Aussenlager","teilweise")))))</f>
        <v/>
      </c>
      <c r="BC998" s="55" t="str">
        <f aca="false">IF(AN998&lt;=0,"",IF(BU998="Aussen","Aussenlager",IF(BU998="-","Nicht im Lift",IF(AS998&gt;=1,"Lift",IF(AS998&lt;=0,"Aussenlager","teilweise")))))</f>
        <v>Aussenlager</v>
      </c>
      <c r="BD998" s="55" t="str">
        <f aca="false">IF(AV998&lt;=0,"",IF(BU998="Aussen","Aussenlager",IF(BU998="-","Nicht im Lift",IF(BA998&gt;=1,"Lift",IF(BA998&lt;=0,"Aussenlager","teilweise")))))</f>
        <v>Aussenlager</v>
      </c>
      <c r="BE998" s="55" t="str">
        <f aca="false">IF(A998="","",IF(BN998=1,"Neu; ","")&amp;IF(AND(BN998=0,BI998&lt;0),"negativer Bestand (Export "&amp;BI998&amp;"); ","")&amp;IF(I998&lt;=0,"Kein Verbrauch; ","")&amp;IF(CD998&gt;0,"Lift "&amp;U998&amp;" lt. Liftbericht (Fach "&amp;V998&amp;" Stk); ",IF(BR998=1,"Lose – Fläche geschätzt; ",""))&amp;IF(G998&gt;AP998,"Überbestand "&amp;ROUND(G998-AP998,0)&amp;" Stk / CHF "&amp;ROUND((G998-AP998)*F998,0)&amp;"; ","")&amp;IF(AND(BW998=1,BX998&lt;BY998),"MAX &lt; MB+LG; ","")&amp;IF(AND(CC998&gt;0,CB998*10&gt;CC998),"zu hoch für Tablar; ","")&amp;IF(AND(BN998=0,OR(BW998=1,Y998&lt;&gt;"",S998&lt;&gt;"",T998&lt;&gt;"",Z998&lt;&gt;"")),"manuell übersteuert; ","")&amp;IF(AND(BR998=0,Q998=0),"Gebinde unbekannt / Stellmass fehlt; ","")&amp;IF(AND(BR998=0,N(T998)&lt;=0,N(P998)&lt;=0),"Menge pro Gebinde fehlt (Ist = 1 Gebinde); ","")&amp;BM998)</f>
        <v>negativer Bestand (Export -11); Kein Verbrauch; </v>
      </c>
      <c r="BF998" s="55"/>
      <c r="BG998" s="55"/>
      <c r="BH998" s="62"/>
      <c r="BI998" s="57" t="n">
        <v>-11</v>
      </c>
      <c r="BJ998" s="57" t="n">
        <v>33</v>
      </c>
      <c r="BK998" s="56" t="n">
        <v>-94.27</v>
      </c>
      <c r="BL998" s="57" t="n">
        <v>0</v>
      </c>
      <c r="BM998" s="55"/>
      <c r="BN998" s="60" t="n">
        <v>0</v>
      </c>
      <c r="BO998" s="60" t="n">
        <v>998</v>
      </c>
      <c r="BP998" s="55" t="str">
        <f aca="false">IF(S998&lt;&gt;"",UPPER(TRIM(S998)),IF(O998="","LOSE",O998))</f>
        <v>S52</v>
      </c>
      <c r="BQ998" s="57" t="n">
        <f aca="false">IF(BP998="LOSE",1,IF(N(T998)&gt;0,T998,IF(N(P998)&gt;0,P998,MAX(1,G998))))</f>
        <v>18</v>
      </c>
      <c r="BR998" s="60" t="n">
        <f aca="false">IF(BP998="LOSE",1,0)</f>
        <v>0</v>
      </c>
      <c r="BS998" s="59" t="n">
        <f aca="false">IF(BR998=0,0,IF(N(R998)&gt;0,R998,IFERROR(VLOOKUP(D998,Parameter!$A$35:$C$64,3,0)+0,0)))</f>
        <v>0</v>
      </c>
      <c r="BT998" s="55" t="n">
        <f aca="false">IF(Y998&lt;&gt;"",Y998,X998)</f>
        <v>3</v>
      </c>
      <c r="BU998" s="55" t="str">
        <f aca="false">IF(BT998=1,"L1",IF(OR(BT998=2,BT998=3),"L23",IF(BT998="Aussen","Aussen","-")))</f>
        <v>L23</v>
      </c>
      <c r="BV998" s="66" t="n">
        <f aca="false">IF(N(Z998)&gt;0,Z998,0)</f>
        <v>0</v>
      </c>
      <c r="BW998" s="60" t="n">
        <f aca="false">IF(ISNUMBER(AC998),1,0)</f>
        <v>0</v>
      </c>
      <c r="BX998" s="57" t="n">
        <f aca="false">N(AC998)</f>
        <v>0</v>
      </c>
      <c r="BY998" s="57" t="n">
        <f aca="false">N(L998)+N(M998)</f>
        <v>10</v>
      </c>
      <c r="BZ998" s="57" t="n">
        <f aca="false">ROUNDUP(G998/BQ998,0)</f>
        <v>0</v>
      </c>
      <c r="CA998" s="57" t="n">
        <f aca="false">ROUNDUP(BX998/BQ998,0)</f>
        <v>0</v>
      </c>
      <c r="CB998" s="60" t="n">
        <f aca="false">IF(BR998=1,0,IFERROR(VLOOKUP(BP998,'Gebinde-Kategorie'!$A$5:$M$45,5,0)+0,0))</f>
        <v>21</v>
      </c>
      <c r="CC998" s="60" t="n">
        <f aca="false">IFERROR(IF(OR(BT998=1,BT998=2,BT998=3),N(INDEX(Parameter!$I$5:$I$7,BT998)),0),0)</f>
        <v>0</v>
      </c>
      <c r="CD998" s="59" t="n">
        <f aca="false">IF(AND(Parameter!$B$21="Ja",ISNUMBER(U998),N(V998)&gt;0),IFERROR(N(INDEX(Parameter!$L$5:$L$7,U998))*INDEX(Parameter!$E$5:$E$7,U998)*V998/SUMIFS($V$7:$V$1576,$U$7:$U$1576,U998),0),0)</f>
        <v>0</v>
      </c>
    </row>
    <row r="999" customFormat="false" ht="15" hidden="false" customHeight="false" outlineLevel="0" collapsed="false">
      <c r="A999" s="55" t="s">
        <v>1830</v>
      </c>
      <c r="B999" s="55" t="s">
        <v>457</v>
      </c>
      <c r="C999" s="55" t="s">
        <v>160</v>
      </c>
      <c r="D999" s="55" t="s">
        <v>178</v>
      </c>
      <c r="E999" s="55" t="s">
        <v>210</v>
      </c>
      <c r="F999" s="56" t="n">
        <v>0.44</v>
      </c>
      <c r="G999" s="57" t="n">
        <f aca="false">MAX(0,IF(AND(Parameter!$B$21="Ja",ISNUMBER(W999)),W999,IF(Parameter!$B$20="Jahresanfang 2025 + Export",BJ999+BI999,BI999)))</f>
        <v>0</v>
      </c>
      <c r="H999" s="57" t="n">
        <f aca="false">G999*F999</f>
        <v>0</v>
      </c>
      <c r="I999" s="57" t="n">
        <f aca="false">BL999*Parameter!$B$18</f>
        <v>235</v>
      </c>
      <c r="J999" s="58" t="n">
        <v>343.5</v>
      </c>
      <c r="K999" s="59" t="n">
        <v>0.684133915574964</v>
      </c>
      <c r="L999" s="57" t="n">
        <v>9</v>
      </c>
      <c r="M999" s="57" t="n">
        <v>235</v>
      </c>
      <c r="N999" s="60" t="n">
        <v>14</v>
      </c>
      <c r="O999" s="55" t="s">
        <v>319</v>
      </c>
      <c r="P999" s="57" t="n">
        <v>224</v>
      </c>
      <c r="Q999" s="60" t="n">
        <f aca="false">IF(BR999=1,0,IFERROR(VLOOKUP(BP999,'Gebinde-Kategorie'!$A$5:$M$45,13,0)+0,0))</f>
        <v>52</v>
      </c>
      <c r="R999" s="61"/>
      <c r="S999" s="62"/>
      <c r="T999" s="62"/>
      <c r="U999" s="55"/>
      <c r="V999" s="57"/>
      <c r="W999" s="57"/>
      <c r="X999" s="55" t="n">
        <f aca="false">IF(A999="","",IF(AND(Parameter!$B$21="Ja",ISNUMBER(U999)),U999,IF(IFERROR(VLOOKUP(D999,Parameter!$A$35:$C$64,2,0),"Nein")="2+3",IF(ISNUMBER(SEARCH("grosser Artikel",BM999)),2,IFERROR(VLOOKUP(BP999,Parameter!$F$35:$G$64,2,0),2)),IF(OR(IFERROR(VLOOKUP(D999,Parameter!$A$35:$C$64,2,0),"Nein")="Nein",IFERROR(VLOOKUP(D999,Parameter!$A$35:$C$64,2,0),"Nein")=""),"-",VLOOKUP(D999,Parameter!$A$35:$C$64,2,0)))))</f>
        <v>3</v>
      </c>
      <c r="Y999" s="62"/>
      <c r="Z999" s="63"/>
      <c r="AA999" s="57" t="n">
        <f aca="false">AP999</f>
        <v>448</v>
      </c>
      <c r="AB999" s="57" t="n">
        <f aca="false">MAX(AP999,G999)</f>
        <v>448</v>
      </c>
      <c r="AC999" s="64"/>
      <c r="AD999" s="57" t="n">
        <f aca="false">IF(LEFT(Cockpit!$C$5,1)="A",G999,IF(BW999=1,BX999,IF(LEFT(Cockpit!$C$5,1)="B",AH999,MAX(AH999,G999))))</f>
        <v>0</v>
      </c>
      <c r="AE999" s="57" t="n">
        <f aca="false">IF(BR999=1,0,ROUNDUP(AD999/BQ999,0))</f>
        <v>0</v>
      </c>
      <c r="AF999" s="59" t="n">
        <f aca="false">IF(CD999&gt;0,CD999*MAX(1,AD999/V999),IF(BR999=1,IF(AD999&lt;=0,0,BS999*MAX(1,IF(G999&gt;0,AD999/G999,1))),IF(Q999&gt;0,AE999/Q999,0))/MAX(0.1,N(Parameter!$M$21)))</f>
        <v>0</v>
      </c>
      <c r="AG999" s="57" t="n">
        <f aca="false">AD999*F999</f>
        <v>0</v>
      </c>
      <c r="AH999" s="57" t="n">
        <f aca="false">ROUNDUP(MAX(I999/IF(BV999&gt;0,BV999,MAX(0.1,N(Cockpit!$C$6))),BY999)/BQ999,0)*BQ999</f>
        <v>448</v>
      </c>
      <c r="AI999" s="58" t="n">
        <f aca="false">IF(AF999&gt;0,I999/AF999,-1)</f>
        <v>-1</v>
      </c>
      <c r="AJ999" s="58" t="str">
        <f aca="false">IF(AND(OR(BU999="L1",BU999="L23"),AF999&gt;0),SUMIFS($AF$7:$AF$1576,$BU$7:$BU$1576,BU999,$AI$7:$AI$1576,"&gt;"&amp;AI999)+SUMIFS($AF$7:$AF$1576,$BU$7:$BU$1576,BU999,$AI$7:$AI$1576,AI999,$BO$7:$BO$1576,"&lt;="&amp;BO999),"")</f>
        <v/>
      </c>
      <c r="AK999" s="65" t="n">
        <f aca="false">IF(AJ999="",0,MAX(0,MIN(1,(IF(BU999="L1",Parameter!$E$5,Parameter!$E$6+Parameter!$E$7)-(AJ999-AF999))/AF999)))</f>
        <v>0</v>
      </c>
      <c r="AL999" s="57" t="n">
        <f aca="false">IF(LEFT(Cockpit!$I$5,1)="A",G999,IF(BW999=1,BX999,IF(LEFT(Cockpit!$I$5,1)="B",AP999,MAX(AP999,G999))))</f>
        <v>448</v>
      </c>
      <c r="AM999" s="57" t="n">
        <f aca="false">IF(BR999=1,0,ROUNDUP(AL999/BQ999,0))</f>
        <v>2</v>
      </c>
      <c r="AN999" s="59" t="n">
        <f aca="false">IF(CD999&gt;0,CD999*MAX(1,AL999/V999),IF(BR999=1,IF(AL999&lt;=0,0,BS999*MAX(1,IF(G999&gt;0,AL999/G999,1))),IF(Q999&gt;0,AM999/Q999,0))/MAX(0.1,N(Parameter!$M$21)))</f>
        <v>0.0384615384615385</v>
      </c>
      <c r="AO999" s="57" t="n">
        <f aca="false">AL999*F999</f>
        <v>197.12</v>
      </c>
      <c r="AP999" s="57" t="n">
        <f aca="false">ROUNDUP(MAX(I999/IF(BV999&gt;0,BV999,MAX(0.1,N(Cockpit!$I$6))),BY999)/BQ999,0)*BQ999</f>
        <v>448</v>
      </c>
      <c r="AQ999" s="58" t="n">
        <f aca="false">IF(AN999&gt;0,I999/AN999,-1)</f>
        <v>6110</v>
      </c>
      <c r="AR999" s="58" t="n">
        <f aca="false">IF(AND(OR(BU999="L1",BU999="L23"),AN999&gt;0),SUMIFS($AN$7:$AN$1576,$BU$7:$BU$1576,BU999,$AQ$7:$AQ$1576,"&gt;"&amp;AQ999)+SUMIFS($AN$7:$AN$1576,$BU$7:$BU$1576,BU999,$AQ$7:$AQ$1576,AQ999,$BO$7:$BO$1576,"&lt;="&amp;BO999),"")</f>
        <v>10.727077524408</v>
      </c>
      <c r="AS999" s="65" t="n">
        <f aca="false">IF(AR999="",0,MAX(0,MIN(1,(IF(BU999="L1",Parameter!$E$5,Parameter!$E$6+Parameter!$E$7)-(AR999-AN999))/AN999)))</f>
        <v>1</v>
      </c>
      <c r="AT999" s="57" t="n">
        <f aca="false">IF(LEFT(Cockpit!$O$5,1)="A",G999,IF(BW999=1,BX999,IF(LEFT(Cockpit!$O$5,1)="B",AX999,MAX(AX999,G999))))</f>
        <v>448</v>
      </c>
      <c r="AU999" s="57" t="n">
        <f aca="false">IF(BR999=1,0,ROUNDUP(AT999/BQ999,0))</f>
        <v>2</v>
      </c>
      <c r="AV999" s="59" t="n">
        <f aca="false">IF(CD999&gt;0,CD999*MAX(1,AT999/V999),IF(BR999=1,IF(AT999&lt;=0,0,BS999*MAX(1,IF(G999&gt;0,AT999/G999,1))),IF(Q999&gt;0,AU999/Q999,0))/MAX(0.1,N(Parameter!$M$21)))</f>
        <v>0.0384615384615385</v>
      </c>
      <c r="AW999" s="57" t="n">
        <f aca="false">AT999*F999</f>
        <v>197.12</v>
      </c>
      <c r="AX999" s="57" t="n">
        <f aca="false">ROUNDUP(MAX(I999/IF(BV999&gt;0,BV999,MAX(0.1,N(Cockpit!$O$6))),BY999)/BQ999,0)*BQ999</f>
        <v>448</v>
      </c>
      <c r="AY999" s="58" t="n">
        <f aca="false">IF(AV999&gt;0,I999/AV999,-1)</f>
        <v>6110</v>
      </c>
      <c r="AZ999" s="58" t="n">
        <f aca="false">IF(AND(OR(BU999="L1",BU999="L23"),AV999&gt;0),SUMIFS($AV$7:$AV$1576,$BU$7:$BU$1576,BU999,$AY$7:$AY$1576,"&gt;"&amp;AY999)+SUMIFS($AV$7:$AV$1576,$BU$7:$BU$1576,BU999,$AY$7:$AY$1576,AY999,$BO$7:$BO$1576,"&lt;="&amp;BO999),"")</f>
        <v>9.90947845680889</v>
      </c>
      <c r="BA999" s="65" t="n">
        <f aca="false">IF(AZ999="",0,MAX(0,MIN(1,(IF(BU999="L1",Parameter!$E$5,Parameter!$E$6+Parameter!$E$7)-(AZ999-AV999))/AV999)))</f>
        <v>1</v>
      </c>
      <c r="BB999" s="55" t="str">
        <f aca="false">IF(AF999&lt;=0,"",IF(BU999="Aussen","Aussenlager",IF(BU999="-","Nicht im Lift",IF(AK999&gt;=1,"Lift",IF(AK999&lt;=0,"Aussenlager","teilweise")))))</f>
        <v/>
      </c>
      <c r="BC999" s="55" t="str">
        <f aca="false">IF(AN999&lt;=0,"",IF(BU999="Aussen","Aussenlager",IF(BU999="-","Nicht im Lift",IF(AS999&gt;=1,"Lift",IF(AS999&lt;=0,"Aussenlager","teilweise")))))</f>
        <v>Lift</v>
      </c>
      <c r="BD999" s="55" t="str">
        <f aca="false">IF(AV999&lt;=0,"",IF(BU999="Aussen","Aussenlager",IF(BU999="-","Nicht im Lift",IF(BA999&gt;=1,"Lift",IF(BA999&lt;=0,"Aussenlager","teilweise")))))</f>
        <v>Lift</v>
      </c>
      <c r="BE999" s="55" t="str">
        <f aca="false">IF(A999="","",IF(BN999=1,"Neu; ","")&amp;IF(AND(BN999=0,BI999&lt;0),"negativer Bestand (Export "&amp;BI999&amp;"); ","")&amp;IF(I999&lt;=0,"Kein Verbrauch; ","")&amp;IF(CD999&gt;0,"Lift "&amp;U999&amp;" lt. Liftbericht (Fach "&amp;V999&amp;" Stk); ",IF(BR999=1,"Lose – Fläche geschätzt; ",""))&amp;IF(G999&gt;AP999,"Überbestand "&amp;ROUND(G999-AP999,0)&amp;" Stk / CHF "&amp;ROUND((G999-AP999)*F999,0)&amp;"; ","")&amp;IF(AND(BW999=1,BX999&lt;BY999),"MAX &lt; MB+LG; ","")&amp;IF(AND(CC999&gt;0,CB999*10&gt;CC999),"zu hoch für Tablar; ","")&amp;IF(AND(BN999=0,OR(BW999=1,Y999&lt;&gt;"",S999&lt;&gt;"",T999&lt;&gt;"",Z999&lt;&gt;"")),"manuell übersteuert; ","")&amp;IF(AND(BR999=0,Q999=0),"Gebinde unbekannt / Stellmass fehlt; ","")&amp;IF(AND(BR999=0,N(T999)&lt;=0,N(P999)&lt;=0),"Menge pro Gebinde fehlt (Ist = 1 Gebinde); ","")&amp;BM999)</f>
        <v>negativer Bestand (Export -224); </v>
      </c>
      <c r="BF999" s="55"/>
      <c r="BG999" s="55"/>
      <c r="BH999" s="62"/>
      <c r="BI999" s="57" t="n">
        <v>-224</v>
      </c>
      <c r="BJ999" s="57" t="n">
        <v>361</v>
      </c>
      <c r="BK999" s="56" t="n">
        <v>-95.0999999999999</v>
      </c>
      <c r="BL999" s="57" t="n">
        <v>235</v>
      </c>
      <c r="BM999" s="55"/>
      <c r="BN999" s="60" t="n">
        <v>0</v>
      </c>
      <c r="BO999" s="60" t="n">
        <v>999</v>
      </c>
      <c r="BP999" s="55" t="str">
        <f aca="false">IF(S999&lt;&gt;"",UPPER(TRIM(S999)),IF(O999="","LOSE",O999))</f>
        <v>S41</v>
      </c>
      <c r="BQ999" s="57" t="n">
        <f aca="false">IF(BP999="LOSE",1,IF(N(T999)&gt;0,T999,IF(N(P999)&gt;0,P999,MAX(1,G999))))</f>
        <v>224</v>
      </c>
      <c r="BR999" s="60" t="n">
        <f aca="false">IF(BP999="LOSE",1,0)</f>
        <v>0</v>
      </c>
      <c r="BS999" s="59" t="n">
        <f aca="false">IF(BR999=0,0,IF(N(R999)&gt;0,R999,IFERROR(VLOOKUP(D999,Parameter!$A$35:$C$64,3,0)+0,0)))</f>
        <v>0</v>
      </c>
      <c r="BT999" s="55" t="n">
        <f aca="false">IF(Y999&lt;&gt;"",Y999,X999)</f>
        <v>3</v>
      </c>
      <c r="BU999" s="55" t="str">
        <f aca="false">IF(BT999=1,"L1",IF(OR(BT999=2,BT999=3),"L23",IF(BT999="Aussen","Aussen","-")))</f>
        <v>L23</v>
      </c>
      <c r="BV999" s="66" t="n">
        <f aca="false">IF(N(Z999)&gt;0,Z999,0)</f>
        <v>0</v>
      </c>
      <c r="BW999" s="60" t="n">
        <f aca="false">IF(ISNUMBER(AC999),1,0)</f>
        <v>0</v>
      </c>
      <c r="BX999" s="57" t="n">
        <f aca="false">N(AC999)</f>
        <v>0</v>
      </c>
      <c r="BY999" s="57" t="n">
        <f aca="false">N(L999)+N(M999)</f>
        <v>244</v>
      </c>
      <c r="BZ999" s="57" t="n">
        <f aca="false">ROUNDUP(G999/BQ999,0)</f>
        <v>0</v>
      </c>
      <c r="CA999" s="57" t="n">
        <f aca="false">ROUNDUP(BX999/BQ999,0)</f>
        <v>0</v>
      </c>
      <c r="CB999" s="60" t="n">
        <f aca="false">IF(BR999=1,0,IFERROR(VLOOKUP(BP999,'Gebinde-Kategorie'!$A$5:$M$45,5,0)+0,0))</f>
        <v>11</v>
      </c>
      <c r="CC999" s="60" t="n">
        <f aca="false">IFERROR(IF(OR(BT999=1,BT999=2,BT999=3),N(INDEX(Parameter!$I$5:$I$7,BT999)),0),0)</f>
        <v>0</v>
      </c>
      <c r="CD999" s="59" t="n">
        <f aca="false">IF(AND(Parameter!$B$21="Ja",ISNUMBER(U999),N(V999)&gt;0),IFERROR(N(INDEX(Parameter!$L$5:$L$7,U999))*INDEX(Parameter!$E$5:$E$7,U999)*V999/SUMIFS($V$7:$V$1576,$U$7:$U$1576,U999),0),0)</f>
        <v>0</v>
      </c>
    </row>
    <row r="1000" customFormat="false" ht="15" hidden="false" customHeight="false" outlineLevel="0" collapsed="false">
      <c r="A1000" s="55" t="s">
        <v>1831</v>
      </c>
      <c r="B1000" s="55" t="s">
        <v>1832</v>
      </c>
      <c r="C1000" s="55" t="s">
        <v>160</v>
      </c>
      <c r="D1000" s="55" t="s">
        <v>178</v>
      </c>
      <c r="E1000" s="55" t="s">
        <v>210</v>
      </c>
      <c r="F1000" s="56" t="n">
        <v>28.43</v>
      </c>
      <c r="G1000" s="57" t="n">
        <f aca="false">MAX(0,IF(AND(Parameter!$B$21="Ja",ISNUMBER(W1000)),W1000,IF(Parameter!$B$20="Jahresanfang 2025 + Export",BJ1000+BI1000,BI1000)))</f>
        <v>0</v>
      </c>
      <c r="H1000" s="57" t="n">
        <f aca="false">G1000*F1000</f>
        <v>0</v>
      </c>
      <c r="I1000" s="57" t="n">
        <f aca="false">BL1000*Parameter!$B$18</f>
        <v>5</v>
      </c>
      <c r="J1000" s="58" t="n">
        <v>11.5</v>
      </c>
      <c r="K1000" s="59" t="n">
        <v>0.434782608695652</v>
      </c>
      <c r="L1000" s="57" t="n">
        <v>0</v>
      </c>
      <c r="M1000" s="57" t="n">
        <v>5</v>
      </c>
      <c r="N1000" s="60" t="n">
        <v>21</v>
      </c>
      <c r="O1000" s="55" t="s">
        <v>319</v>
      </c>
      <c r="P1000" s="57" t="n">
        <v>5</v>
      </c>
      <c r="Q1000" s="60" t="n">
        <f aca="false">IF(BR1000=1,0,IFERROR(VLOOKUP(BP1000,'Gebinde-Kategorie'!$A$5:$M$45,13,0)+0,0))</f>
        <v>52</v>
      </c>
      <c r="R1000" s="61"/>
      <c r="S1000" s="62"/>
      <c r="T1000" s="62"/>
      <c r="U1000" s="55"/>
      <c r="V1000" s="57"/>
      <c r="W1000" s="57"/>
      <c r="X1000" s="55" t="n">
        <f aca="false">IF(A1000="","",IF(AND(Parameter!$B$21="Ja",ISNUMBER(U1000)),U1000,IF(IFERROR(VLOOKUP(D1000,Parameter!$A$35:$C$64,2,0),"Nein")="2+3",IF(ISNUMBER(SEARCH("grosser Artikel",BM1000)),2,IFERROR(VLOOKUP(BP1000,Parameter!$F$35:$G$64,2,0),2)),IF(OR(IFERROR(VLOOKUP(D1000,Parameter!$A$35:$C$64,2,0),"Nein")="Nein",IFERROR(VLOOKUP(D1000,Parameter!$A$35:$C$64,2,0),"Nein")=""),"-",VLOOKUP(D1000,Parameter!$A$35:$C$64,2,0)))))</f>
        <v>3</v>
      </c>
      <c r="Y1000" s="62"/>
      <c r="Z1000" s="63"/>
      <c r="AA1000" s="57" t="n">
        <f aca="false">AP1000</f>
        <v>5</v>
      </c>
      <c r="AB1000" s="57" t="n">
        <f aca="false">MAX(AP1000,G1000)</f>
        <v>5</v>
      </c>
      <c r="AC1000" s="64"/>
      <c r="AD1000" s="57" t="n">
        <f aca="false">IF(LEFT(Cockpit!$C$5,1)="A",G1000,IF(BW1000=1,BX1000,IF(LEFT(Cockpit!$C$5,1)="B",AH1000,MAX(AH1000,G1000))))</f>
        <v>0</v>
      </c>
      <c r="AE1000" s="57" t="n">
        <f aca="false">IF(BR1000=1,0,ROUNDUP(AD1000/BQ1000,0))</f>
        <v>0</v>
      </c>
      <c r="AF1000" s="59" t="n">
        <f aca="false">IF(CD1000&gt;0,CD1000*MAX(1,AD1000/V1000),IF(BR1000=1,IF(AD1000&lt;=0,0,BS1000*MAX(1,IF(G1000&gt;0,AD1000/G1000,1))),IF(Q1000&gt;0,AE1000/Q1000,0))/MAX(0.1,N(Parameter!$M$21)))</f>
        <v>0</v>
      </c>
      <c r="AG1000" s="57" t="n">
        <f aca="false">AD1000*F1000</f>
        <v>0</v>
      </c>
      <c r="AH1000" s="57" t="n">
        <f aca="false">ROUNDUP(MAX(I1000/IF(BV1000&gt;0,BV1000,MAX(0.1,N(Cockpit!$C$6))),BY1000)/BQ1000,0)*BQ1000</f>
        <v>5</v>
      </c>
      <c r="AI1000" s="58" t="n">
        <f aca="false">IF(AF1000&gt;0,I1000/AF1000,-1)</f>
        <v>-1</v>
      </c>
      <c r="AJ1000" s="58" t="str">
        <f aca="false">IF(AND(OR(BU1000="L1",BU1000="L23"),AF1000&gt;0),SUMIFS($AF$7:$AF$1576,$BU$7:$BU$1576,BU1000,$AI$7:$AI$1576,"&gt;"&amp;AI1000)+SUMIFS($AF$7:$AF$1576,$BU$7:$BU$1576,BU1000,$AI$7:$AI$1576,AI1000,$BO$7:$BO$1576,"&lt;="&amp;BO1000),"")</f>
        <v/>
      </c>
      <c r="AK1000" s="65" t="n">
        <f aca="false">IF(AJ1000="",0,MAX(0,MIN(1,(IF(BU1000="L1",Parameter!$E$5,Parameter!$E$6+Parameter!$E$7)-(AJ1000-AF1000))/AF1000)))</f>
        <v>0</v>
      </c>
      <c r="AL1000" s="57" t="n">
        <f aca="false">IF(LEFT(Cockpit!$I$5,1)="A",G1000,IF(BW1000=1,BX1000,IF(LEFT(Cockpit!$I$5,1)="B",AP1000,MAX(AP1000,G1000))))</f>
        <v>5</v>
      </c>
      <c r="AM1000" s="57" t="n">
        <f aca="false">IF(BR1000=1,0,ROUNDUP(AL1000/BQ1000,0))</f>
        <v>1</v>
      </c>
      <c r="AN1000" s="59" t="n">
        <f aca="false">IF(CD1000&gt;0,CD1000*MAX(1,AL1000/V1000),IF(BR1000=1,IF(AL1000&lt;=0,0,BS1000*MAX(1,IF(G1000&gt;0,AL1000/G1000,1))),IF(Q1000&gt;0,AM1000/Q1000,0))/MAX(0.1,N(Parameter!$M$21)))</f>
        <v>0.0192307692307692</v>
      </c>
      <c r="AO1000" s="57" t="n">
        <f aca="false">AL1000*F1000</f>
        <v>142.15</v>
      </c>
      <c r="AP1000" s="57" t="n">
        <f aca="false">ROUNDUP(MAX(I1000/IF(BV1000&gt;0,BV1000,MAX(0.1,N(Cockpit!$I$6))),BY1000)/BQ1000,0)*BQ1000</f>
        <v>5</v>
      </c>
      <c r="AQ1000" s="58" t="n">
        <f aca="false">IF(AN1000&gt;0,I1000/AN1000,-1)</f>
        <v>260</v>
      </c>
      <c r="AR1000" s="58" t="n">
        <f aca="false">IF(AND(OR(BU1000="L1",BU1000="L23"),AN1000&gt;0),SUMIFS($AN$7:$AN$1576,$BU$7:$BU$1576,BU1000,$AQ$7:$AQ$1576,"&gt;"&amp;AQ1000)+SUMIFS($AN$7:$AN$1576,$BU$7:$BU$1576,BU1000,$AQ$7:$AQ$1576,AQ1000,$BO$7:$BO$1576,"&lt;="&amp;BO1000),"")</f>
        <v>45.5490806419179</v>
      </c>
      <c r="AS1000" s="65" t="n">
        <f aca="false">IF(AR1000="",0,MAX(0,MIN(1,(IF(BU1000="L1",Parameter!$E$5,Parameter!$E$6+Parameter!$E$7)-(AR1000-AN1000))/AN1000)))</f>
        <v>1</v>
      </c>
      <c r="AT1000" s="57" t="n">
        <f aca="false">IF(LEFT(Cockpit!$O$5,1)="A",G1000,IF(BW1000=1,BX1000,IF(LEFT(Cockpit!$O$5,1)="B",AX1000,MAX(AX1000,G1000))))</f>
        <v>5</v>
      </c>
      <c r="AU1000" s="57" t="n">
        <f aca="false">IF(BR1000=1,0,ROUNDUP(AT1000/BQ1000,0))</f>
        <v>1</v>
      </c>
      <c r="AV1000" s="59" t="n">
        <f aca="false">IF(CD1000&gt;0,CD1000*MAX(1,AT1000/V1000),IF(BR1000=1,IF(AT1000&lt;=0,0,BS1000*MAX(1,IF(G1000&gt;0,AT1000/G1000,1))),IF(Q1000&gt;0,AU1000/Q1000,0))/MAX(0.1,N(Parameter!$M$21)))</f>
        <v>0.0192307692307692</v>
      </c>
      <c r="AW1000" s="57" t="n">
        <f aca="false">AT1000*F1000</f>
        <v>142.15</v>
      </c>
      <c r="AX1000" s="57" t="n">
        <f aca="false">ROUNDUP(MAX(I1000/IF(BV1000&gt;0,BV1000,MAX(0.1,N(Cockpit!$O$6))),BY1000)/BQ1000,0)*BQ1000</f>
        <v>5</v>
      </c>
      <c r="AY1000" s="58" t="n">
        <f aca="false">IF(AV1000&gt;0,I1000/AV1000,-1)</f>
        <v>260</v>
      </c>
      <c r="AZ1000" s="58" t="n">
        <f aca="false">IF(AND(OR(BU1000="L1",BU1000="L23"),AV1000&gt;0),SUMIFS($AV$7:$AV$1576,$BU$7:$BU$1576,BU1000,$AY$7:$AY$1576,"&gt;"&amp;AY1000)+SUMIFS($AV$7:$AV$1576,$BU$7:$BU$1576,BU1000,$AY$7:$AY$1576,AY1000,$BO$7:$BO$1576,"&lt;="&amp;BO1000),"")</f>
        <v>41.8271592299965</v>
      </c>
      <c r="BA1000" s="65" t="n">
        <f aca="false">IF(AZ1000="",0,MAX(0,MIN(1,(IF(BU1000="L1",Parameter!$E$5,Parameter!$E$6+Parameter!$E$7)-(AZ1000-AV1000))/AV1000)))</f>
        <v>1</v>
      </c>
      <c r="BB1000" s="55" t="str">
        <f aca="false">IF(AF1000&lt;=0,"",IF(BU1000="Aussen","Aussenlager",IF(BU1000="-","Nicht im Lift",IF(AK1000&gt;=1,"Lift",IF(AK1000&lt;=0,"Aussenlager","teilweise")))))</f>
        <v/>
      </c>
      <c r="BC1000" s="55" t="str">
        <f aca="false">IF(AN1000&lt;=0,"",IF(BU1000="Aussen","Aussenlager",IF(BU1000="-","Nicht im Lift",IF(AS1000&gt;=1,"Lift",IF(AS1000&lt;=0,"Aussenlager","teilweise")))))</f>
        <v>Lift</v>
      </c>
      <c r="BD1000" s="55" t="str">
        <f aca="false">IF(AV1000&lt;=0,"",IF(BU1000="Aussen","Aussenlager",IF(BU1000="-","Nicht im Lift",IF(BA1000&gt;=1,"Lift",IF(BA1000&lt;=0,"Aussenlager","teilweise")))))</f>
        <v>Lift</v>
      </c>
      <c r="BE1000" s="55" t="str">
        <f aca="false">IF(A1000="","",IF(BN1000=1,"Neu; ","")&amp;IF(AND(BN1000=0,BI1000&lt;0),"negativer Bestand (Export "&amp;BI1000&amp;"); ","")&amp;IF(I1000&lt;=0,"Kein Verbrauch; ","")&amp;IF(CD1000&gt;0,"Lift "&amp;U1000&amp;" lt. Liftbericht (Fach "&amp;V1000&amp;" Stk); ",IF(BR1000=1,"Lose – Fläche geschätzt; ",""))&amp;IF(G1000&gt;AP1000,"Überbestand "&amp;ROUND(G1000-AP1000,0)&amp;" Stk / CHF "&amp;ROUND((G1000-AP1000)*F1000,0)&amp;"; ","")&amp;IF(AND(BW1000=1,BX1000&lt;BY1000),"MAX &lt; MB+LG; ","")&amp;IF(AND(CC1000&gt;0,CB1000*10&gt;CC1000),"zu hoch für Tablar; ","")&amp;IF(AND(BN1000=0,OR(BW1000=1,Y1000&lt;&gt;"",S1000&lt;&gt;"",T1000&lt;&gt;"",Z1000&lt;&gt;"")),"manuell übersteuert; ","")&amp;IF(AND(BR1000=0,Q1000=0),"Gebinde unbekannt / Stellmass fehlt; ","")&amp;IF(AND(BR1000=0,N(T1000)&lt;=0,N(P1000)&lt;=0),"Menge pro Gebinde fehlt (Ist = 1 Gebinde); ","")&amp;BM1000)</f>
        <v>negativer Bestand (Export -9); </v>
      </c>
      <c r="BF1000" s="55"/>
      <c r="BG1000" s="55"/>
      <c r="BH1000" s="62"/>
      <c r="BI1000" s="57" t="n">
        <v>-9</v>
      </c>
      <c r="BJ1000" s="57" t="n">
        <v>14</v>
      </c>
      <c r="BK1000" s="56" t="n">
        <v>-95.85</v>
      </c>
      <c r="BL1000" s="57" t="n">
        <v>5</v>
      </c>
      <c r="BM1000" s="55"/>
      <c r="BN1000" s="60" t="n">
        <v>0</v>
      </c>
      <c r="BO1000" s="60" t="n">
        <v>1000</v>
      </c>
      <c r="BP1000" s="55" t="str">
        <f aca="false">IF(S1000&lt;&gt;"",UPPER(TRIM(S1000)),IF(O1000="","LOSE",O1000))</f>
        <v>S41</v>
      </c>
      <c r="BQ1000" s="57" t="n">
        <f aca="false">IF(BP1000="LOSE",1,IF(N(T1000)&gt;0,T1000,IF(N(P1000)&gt;0,P1000,MAX(1,G1000))))</f>
        <v>5</v>
      </c>
      <c r="BR1000" s="60" t="n">
        <f aca="false">IF(BP1000="LOSE",1,0)</f>
        <v>0</v>
      </c>
      <c r="BS1000" s="59" t="n">
        <f aca="false">IF(BR1000=0,0,IF(N(R1000)&gt;0,R1000,IFERROR(VLOOKUP(D1000,Parameter!$A$35:$C$64,3,0)+0,0)))</f>
        <v>0</v>
      </c>
      <c r="BT1000" s="55" t="n">
        <f aca="false">IF(Y1000&lt;&gt;"",Y1000,X1000)</f>
        <v>3</v>
      </c>
      <c r="BU1000" s="55" t="str">
        <f aca="false">IF(BT1000=1,"L1",IF(OR(BT1000=2,BT1000=3),"L23",IF(BT1000="Aussen","Aussen","-")))</f>
        <v>L23</v>
      </c>
      <c r="BV1000" s="66" t="n">
        <f aca="false">IF(N(Z1000)&gt;0,Z1000,0)</f>
        <v>0</v>
      </c>
      <c r="BW1000" s="60" t="n">
        <f aca="false">IF(ISNUMBER(AC1000),1,0)</f>
        <v>0</v>
      </c>
      <c r="BX1000" s="57" t="n">
        <f aca="false">N(AC1000)</f>
        <v>0</v>
      </c>
      <c r="BY1000" s="57" t="n">
        <f aca="false">N(L1000)+N(M1000)</f>
        <v>5</v>
      </c>
      <c r="BZ1000" s="57" t="n">
        <f aca="false">ROUNDUP(G1000/BQ1000,0)</f>
        <v>0</v>
      </c>
      <c r="CA1000" s="57" t="n">
        <f aca="false">ROUNDUP(BX1000/BQ1000,0)</f>
        <v>0</v>
      </c>
      <c r="CB1000" s="60" t="n">
        <f aca="false">IF(BR1000=1,0,IFERROR(VLOOKUP(BP1000,'Gebinde-Kategorie'!$A$5:$M$45,5,0)+0,0))</f>
        <v>11</v>
      </c>
      <c r="CC1000" s="60" t="n">
        <f aca="false">IFERROR(IF(OR(BT1000=1,BT1000=2,BT1000=3),N(INDEX(Parameter!$I$5:$I$7,BT1000)),0),0)</f>
        <v>0</v>
      </c>
      <c r="CD1000" s="59" t="n">
        <f aca="false">IF(AND(Parameter!$B$21="Ja",ISNUMBER(U1000),N(V1000)&gt;0),IFERROR(N(INDEX(Parameter!$L$5:$L$7,U1000))*INDEX(Parameter!$E$5:$E$7,U1000)*V1000/SUMIFS($V$7:$V$1576,$U$7:$U$1576,U1000),0),0)</f>
        <v>0</v>
      </c>
    </row>
    <row r="1001" customFormat="false" ht="15" hidden="false" customHeight="false" outlineLevel="0" collapsed="false">
      <c r="A1001" s="55" t="s">
        <v>1833</v>
      </c>
      <c r="B1001" s="55" t="s">
        <v>881</v>
      </c>
      <c r="C1001" s="55" t="s">
        <v>160</v>
      </c>
      <c r="D1001" s="55" t="s">
        <v>178</v>
      </c>
      <c r="E1001" s="55" t="s">
        <v>210</v>
      </c>
      <c r="F1001" s="56" t="n">
        <v>12.08</v>
      </c>
      <c r="G1001" s="57" t="n">
        <f aca="false">MAX(0,IF(AND(Parameter!$B$21="Ja",ISNUMBER(W1001)),W1001,IF(Parameter!$B$20="Jahresanfang 2025 + Export",BJ1001+BI1001,BI1001)))</f>
        <v>0</v>
      </c>
      <c r="H1001" s="57" t="n">
        <f aca="false">G1001*F1001</f>
        <v>0</v>
      </c>
      <c r="I1001" s="57" t="n">
        <f aca="false">BL1001*Parameter!$B$18</f>
        <v>5</v>
      </c>
      <c r="J1001" s="58" t="n">
        <v>8.5</v>
      </c>
      <c r="K1001" s="59" t="n">
        <v>0.588235294117647</v>
      </c>
      <c r="L1001" s="57" t="n">
        <v>0</v>
      </c>
      <c r="M1001" s="57" t="n">
        <v>5</v>
      </c>
      <c r="N1001" s="60" t="n">
        <v>21</v>
      </c>
      <c r="O1001" s="55" t="s">
        <v>411</v>
      </c>
      <c r="P1001" s="57" t="n">
        <v>18</v>
      </c>
      <c r="Q1001" s="60" t="n">
        <f aca="false">IF(BR1001=1,0,IFERROR(VLOOKUP(BP1001,'Gebinde-Kategorie'!$A$5:$M$45,13,0)+0,0))</f>
        <v>132</v>
      </c>
      <c r="R1001" s="61"/>
      <c r="S1001" s="62"/>
      <c r="T1001" s="62"/>
      <c r="U1001" s="55"/>
      <c r="V1001" s="57"/>
      <c r="W1001" s="57"/>
      <c r="X1001" s="55" t="n">
        <f aca="false">IF(A1001="","",IF(AND(Parameter!$B$21="Ja",ISNUMBER(U1001)),U1001,IF(IFERROR(VLOOKUP(D1001,Parameter!$A$35:$C$64,2,0),"Nein")="2+3",IF(ISNUMBER(SEARCH("grosser Artikel",BM1001)),2,IFERROR(VLOOKUP(BP1001,Parameter!$F$35:$G$64,2,0),2)),IF(OR(IFERROR(VLOOKUP(D1001,Parameter!$A$35:$C$64,2,0),"Nein")="Nein",IFERROR(VLOOKUP(D1001,Parameter!$A$35:$C$64,2,0),"Nein")=""),"-",VLOOKUP(D1001,Parameter!$A$35:$C$64,2,0)))))</f>
        <v>3</v>
      </c>
      <c r="Y1001" s="62"/>
      <c r="Z1001" s="63"/>
      <c r="AA1001" s="57" t="n">
        <f aca="false">AP1001</f>
        <v>18</v>
      </c>
      <c r="AB1001" s="57" t="n">
        <f aca="false">MAX(AP1001,G1001)</f>
        <v>18</v>
      </c>
      <c r="AC1001" s="64"/>
      <c r="AD1001" s="57" t="n">
        <f aca="false">IF(LEFT(Cockpit!$C$5,1)="A",G1001,IF(BW1001=1,BX1001,IF(LEFT(Cockpit!$C$5,1)="B",AH1001,MAX(AH1001,G1001))))</f>
        <v>0</v>
      </c>
      <c r="AE1001" s="57" t="n">
        <f aca="false">IF(BR1001=1,0,ROUNDUP(AD1001/BQ1001,0))</f>
        <v>0</v>
      </c>
      <c r="AF1001" s="59" t="n">
        <f aca="false">IF(CD1001&gt;0,CD1001*MAX(1,AD1001/V1001),IF(BR1001=1,IF(AD1001&lt;=0,0,BS1001*MAX(1,IF(G1001&gt;0,AD1001/G1001,1))),IF(Q1001&gt;0,AE1001/Q1001,0))/MAX(0.1,N(Parameter!$M$21)))</f>
        <v>0</v>
      </c>
      <c r="AG1001" s="57" t="n">
        <f aca="false">AD1001*F1001</f>
        <v>0</v>
      </c>
      <c r="AH1001" s="57" t="n">
        <f aca="false">ROUNDUP(MAX(I1001/IF(BV1001&gt;0,BV1001,MAX(0.1,N(Cockpit!$C$6))),BY1001)/BQ1001,0)*BQ1001</f>
        <v>18</v>
      </c>
      <c r="AI1001" s="58" t="n">
        <f aca="false">IF(AF1001&gt;0,I1001/AF1001,-1)</f>
        <v>-1</v>
      </c>
      <c r="AJ1001" s="58" t="str">
        <f aca="false">IF(AND(OR(BU1001="L1",BU1001="L23"),AF1001&gt;0),SUMIFS($AF$7:$AF$1576,$BU$7:$BU$1576,BU1001,$AI$7:$AI$1576,"&gt;"&amp;AI1001)+SUMIFS($AF$7:$AF$1576,$BU$7:$BU$1576,BU1001,$AI$7:$AI$1576,AI1001,$BO$7:$BO$1576,"&lt;="&amp;BO1001),"")</f>
        <v/>
      </c>
      <c r="AK1001" s="65" t="n">
        <f aca="false">IF(AJ1001="",0,MAX(0,MIN(1,(IF(BU1001="L1",Parameter!$E$5,Parameter!$E$6+Parameter!$E$7)-(AJ1001-AF1001))/AF1001)))</f>
        <v>0</v>
      </c>
      <c r="AL1001" s="57" t="n">
        <f aca="false">IF(LEFT(Cockpit!$I$5,1)="A",G1001,IF(BW1001=1,BX1001,IF(LEFT(Cockpit!$I$5,1)="B",AP1001,MAX(AP1001,G1001))))</f>
        <v>18</v>
      </c>
      <c r="AM1001" s="57" t="n">
        <f aca="false">IF(BR1001=1,0,ROUNDUP(AL1001/BQ1001,0))</f>
        <v>1</v>
      </c>
      <c r="AN1001" s="59" t="n">
        <f aca="false">IF(CD1001&gt;0,CD1001*MAX(1,AL1001/V1001),IF(BR1001=1,IF(AL1001&lt;=0,0,BS1001*MAX(1,IF(G1001&gt;0,AL1001/G1001,1))),IF(Q1001&gt;0,AM1001/Q1001,0))/MAX(0.1,N(Parameter!$M$21)))</f>
        <v>0.00757575757575758</v>
      </c>
      <c r="AO1001" s="57" t="n">
        <f aca="false">AL1001*F1001</f>
        <v>217.44</v>
      </c>
      <c r="AP1001" s="57" t="n">
        <f aca="false">ROUNDUP(MAX(I1001/IF(BV1001&gt;0,BV1001,MAX(0.1,N(Cockpit!$I$6))),BY1001)/BQ1001,0)*BQ1001</f>
        <v>18</v>
      </c>
      <c r="AQ1001" s="58" t="n">
        <f aca="false">IF(AN1001&gt;0,I1001/AN1001,-1)</f>
        <v>660</v>
      </c>
      <c r="AR1001" s="58" t="n">
        <f aca="false">IF(AND(OR(BU1001="L1",BU1001="L23"),AN1001&gt;0),SUMIFS($AN$7:$AN$1576,$BU$7:$BU$1576,BU1001,$AQ$7:$AQ$1576,"&gt;"&amp;AQ1001)+SUMIFS($AN$7:$AN$1576,$BU$7:$BU$1576,BU1001,$AQ$7:$AQ$1576,AQ1001,$BO$7:$BO$1576,"&lt;="&amp;BO1001),"")</f>
        <v>29.8076591648442</v>
      </c>
      <c r="AS1001" s="65" t="n">
        <f aca="false">IF(AR1001="",0,MAX(0,MIN(1,(IF(BU1001="L1",Parameter!$E$5,Parameter!$E$6+Parameter!$E$7)-(AR1001-AN1001))/AN1001)))</f>
        <v>1</v>
      </c>
      <c r="AT1001" s="57" t="n">
        <f aca="false">IF(LEFT(Cockpit!$O$5,1)="A",G1001,IF(BW1001=1,BX1001,IF(LEFT(Cockpit!$O$5,1)="B",AX1001,MAX(AX1001,G1001))))</f>
        <v>18</v>
      </c>
      <c r="AU1001" s="57" t="n">
        <f aca="false">IF(BR1001=1,0,ROUNDUP(AT1001/BQ1001,0))</f>
        <v>1</v>
      </c>
      <c r="AV1001" s="59" t="n">
        <f aca="false">IF(CD1001&gt;0,CD1001*MAX(1,AT1001/V1001),IF(BR1001=1,IF(AT1001&lt;=0,0,BS1001*MAX(1,IF(G1001&gt;0,AT1001/G1001,1))),IF(Q1001&gt;0,AU1001/Q1001,0))/MAX(0.1,N(Parameter!$M$21)))</f>
        <v>0.00757575757575758</v>
      </c>
      <c r="AW1001" s="57" t="n">
        <f aca="false">AT1001*F1001</f>
        <v>217.44</v>
      </c>
      <c r="AX1001" s="57" t="n">
        <f aca="false">ROUNDUP(MAX(I1001/IF(BV1001&gt;0,BV1001,MAX(0.1,N(Cockpit!$O$6))),BY1001)/BQ1001,0)*BQ1001</f>
        <v>18</v>
      </c>
      <c r="AY1001" s="58" t="n">
        <f aca="false">IF(AV1001&gt;0,I1001/AV1001,-1)</f>
        <v>660</v>
      </c>
      <c r="AZ1001" s="58" t="n">
        <f aca="false">IF(AND(OR(BU1001="L1",BU1001="L23"),AV1001&gt;0),SUMIFS($AV$7:$AV$1576,$BU$7:$BU$1576,BU1001,$AY$7:$AY$1576,"&gt;"&amp;AY1001)+SUMIFS($AV$7:$AV$1576,$BU$7:$BU$1576,BU1001,$AY$7:$AY$1576,AY1001,$BO$7:$BO$1576,"&lt;="&amp;BO1001),"")</f>
        <v>29.5189611961463</v>
      </c>
      <c r="BA1001" s="65" t="n">
        <f aca="false">IF(AZ1001="",0,MAX(0,MIN(1,(IF(BU1001="L1",Parameter!$E$5,Parameter!$E$6+Parameter!$E$7)-(AZ1001-AV1001))/AV1001)))</f>
        <v>1</v>
      </c>
      <c r="BB1001" s="55" t="str">
        <f aca="false">IF(AF1001&lt;=0,"",IF(BU1001="Aussen","Aussenlager",IF(BU1001="-","Nicht im Lift",IF(AK1001&gt;=1,"Lift",IF(AK1001&lt;=0,"Aussenlager","teilweise")))))</f>
        <v/>
      </c>
      <c r="BC1001" s="55" t="str">
        <f aca="false">IF(AN1001&lt;=0,"",IF(BU1001="Aussen","Aussenlager",IF(BU1001="-","Nicht im Lift",IF(AS1001&gt;=1,"Lift",IF(AS1001&lt;=0,"Aussenlager","teilweise")))))</f>
        <v>Lift</v>
      </c>
      <c r="BD1001" s="55" t="str">
        <f aca="false">IF(AV1001&lt;=0,"",IF(BU1001="Aussen","Aussenlager",IF(BU1001="-","Nicht im Lift",IF(BA1001&gt;=1,"Lift",IF(BA1001&lt;=0,"Aussenlager","teilweise")))))</f>
        <v>Lift</v>
      </c>
      <c r="BE1001" s="55" t="str">
        <f aca="false">IF(A1001="","",IF(BN1001=1,"Neu; ","")&amp;IF(AND(BN1001=0,BI1001&lt;0),"negativer Bestand (Export "&amp;BI1001&amp;"); ","")&amp;IF(I1001&lt;=0,"Kein Verbrauch; ","")&amp;IF(CD1001&gt;0,"Lift "&amp;U1001&amp;" lt. Liftbericht (Fach "&amp;V1001&amp;" Stk); ",IF(BR1001=1,"Lose – Fläche geschätzt; ",""))&amp;IF(G1001&gt;AP1001,"Überbestand "&amp;ROUND(G1001-AP1001,0)&amp;" Stk / CHF "&amp;ROUND((G1001-AP1001)*F1001,0)&amp;"; ","")&amp;IF(AND(BW1001=1,BX1001&lt;BY1001),"MAX &lt; MB+LG; ","")&amp;IF(AND(CC1001&gt;0,CB1001*10&gt;CC1001),"zu hoch für Tablar; ","")&amp;IF(AND(BN1001=0,OR(BW1001=1,Y1001&lt;&gt;"",S1001&lt;&gt;"",T1001&lt;&gt;"",Z1001&lt;&gt;"")),"manuell übersteuert; ","")&amp;IF(AND(BR1001=0,Q1001=0),"Gebinde unbekannt / Stellmass fehlt; ","")&amp;IF(AND(BR1001=0,N(T1001)&lt;=0,N(P1001)&lt;=0),"Menge pro Gebinde fehlt (Ist = 1 Gebinde); ","")&amp;BM1001)</f>
        <v>negativer Bestand (Export -8); Neu</v>
      </c>
      <c r="BF1001" s="55"/>
      <c r="BG1001" s="55"/>
      <c r="BH1001" s="62"/>
      <c r="BI1001" s="57" t="n">
        <v>-8</v>
      </c>
      <c r="BJ1001" s="57" t="n">
        <v>12</v>
      </c>
      <c r="BK1001" s="56" t="n">
        <v>-96.64</v>
      </c>
      <c r="BL1001" s="57" t="n">
        <v>5</v>
      </c>
      <c r="BM1001" s="55" t="s">
        <v>615</v>
      </c>
      <c r="BN1001" s="60" t="n">
        <v>0</v>
      </c>
      <c r="BO1001" s="60" t="n">
        <v>1001</v>
      </c>
      <c r="BP1001" s="55" t="str">
        <f aca="false">IF(S1001&lt;&gt;"",UPPER(TRIM(S1001)),IF(O1001="","LOSE",O1001))</f>
        <v>S32</v>
      </c>
      <c r="BQ1001" s="57" t="n">
        <f aca="false">IF(BP1001="LOSE",1,IF(N(T1001)&gt;0,T1001,IF(N(P1001)&gt;0,P1001,MAX(1,G1001))))</f>
        <v>18</v>
      </c>
      <c r="BR1001" s="60" t="n">
        <f aca="false">IF(BP1001="LOSE",1,0)</f>
        <v>0</v>
      </c>
      <c r="BS1001" s="59" t="n">
        <f aca="false">IF(BR1001=0,0,IF(N(R1001)&gt;0,R1001,IFERROR(VLOOKUP(D1001,Parameter!$A$35:$C$64,3,0)+0,0)))</f>
        <v>0</v>
      </c>
      <c r="BT1001" s="55" t="n">
        <f aca="false">IF(Y1001&lt;&gt;"",Y1001,X1001)</f>
        <v>3</v>
      </c>
      <c r="BU1001" s="55" t="str">
        <f aca="false">IF(BT1001=1,"L1",IF(OR(BT1001=2,BT1001=3),"L23",IF(BT1001="Aussen","Aussen","-")))</f>
        <v>L23</v>
      </c>
      <c r="BV1001" s="66" t="n">
        <f aca="false">IF(N(Z1001)&gt;0,Z1001,0)</f>
        <v>0</v>
      </c>
      <c r="BW1001" s="60" t="n">
        <f aca="false">IF(ISNUMBER(AC1001),1,0)</f>
        <v>0</v>
      </c>
      <c r="BX1001" s="57" t="n">
        <f aca="false">N(AC1001)</f>
        <v>0</v>
      </c>
      <c r="BY1001" s="57" t="n">
        <f aca="false">N(L1001)+N(M1001)</f>
        <v>5</v>
      </c>
      <c r="BZ1001" s="57" t="n">
        <f aca="false">ROUNDUP(G1001/BQ1001,0)</f>
        <v>0</v>
      </c>
      <c r="CA1001" s="57" t="n">
        <f aca="false">ROUNDUP(BX1001/BQ1001,0)</f>
        <v>0</v>
      </c>
      <c r="CB1001" s="60" t="n">
        <f aca="false">IF(BR1001=1,0,IFERROR(VLOOKUP(BP1001,'Gebinde-Kategorie'!$A$5:$M$45,5,0)+0,0))</f>
        <v>8</v>
      </c>
      <c r="CC1001" s="60" t="n">
        <f aca="false">IFERROR(IF(OR(BT1001=1,BT1001=2,BT1001=3),N(INDEX(Parameter!$I$5:$I$7,BT1001)),0),0)</f>
        <v>0</v>
      </c>
      <c r="CD1001" s="59" t="n">
        <f aca="false">IF(AND(Parameter!$B$21="Ja",ISNUMBER(U1001),N(V1001)&gt;0),IFERROR(N(INDEX(Parameter!$L$5:$L$7,U1001))*INDEX(Parameter!$E$5:$E$7,U1001)*V1001/SUMIFS($V$7:$V$1576,$U$7:$U$1576,U1001),0),0)</f>
        <v>0</v>
      </c>
    </row>
    <row r="1002" customFormat="false" ht="15" hidden="false" customHeight="false" outlineLevel="0" collapsed="false">
      <c r="A1002" s="55" t="s">
        <v>1834</v>
      </c>
      <c r="B1002" s="55" t="s">
        <v>1835</v>
      </c>
      <c r="C1002" s="55" t="s">
        <v>160</v>
      </c>
      <c r="D1002" s="55" t="s">
        <v>168</v>
      </c>
      <c r="E1002" s="55" t="s">
        <v>210</v>
      </c>
      <c r="F1002" s="56" t="n">
        <v>14.63</v>
      </c>
      <c r="G1002" s="57" t="n">
        <f aca="false">MAX(0,IF(AND(Parameter!$B$21="Ja",ISNUMBER(W1002)),W1002,IF(Parameter!$B$20="Jahresanfang 2025 + Export",BJ1002+BI1002,BI1002)))</f>
        <v>0</v>
      </c>
      <c r="H1002" s="57" t="n">
        <f aca="false">G1002*F1002</f>
        <v>0</v>
      </c>
      <c r="I1002" s="57" t="n">
        <f aca="false">BL1002*Parameter!$B$18</f>
        <v>24</v>
      </c>
      <c r="J1002" s="58" t="n">
        <v>13.5</v>
      </c>
      <c r="K1002" s="59" t="n">
        <v>1.77777777777778</v>
      </c>
      <c r="L1002" s="57" t="n">
        <v>1</v>
      </c>
      <c r="M1002" s="57" t="n">
        <v>10</v>
      </c>
      <c r="N1002" s="60" t="n">
        <v>21</v>
      </c>
      <c r="O1002" s="55" t="s">
        <v>163</v>
      </c>
      <c r="P1002" s="57"/>
      <c r="Q1002" s="60" t="n">
        <f aca="false">IF(BR1002=1,0,IFERROR(VLOOKUP(BP1002,'Gebinde-Kategorie'!$A$5:$M$45,13,0)+0,0))</f>
        <v>0</v>
      </c>
      <c r="R1002" s="61"/>
      <c r="S1002" s="62"/>
      <c r="T1002" s="62"/>
      <c r="U1002" s="55"/>
      <c r="V1002" s="57"/>
      <c r="W1002" s="57"/>
      <c r="X1002" s="55" t="n">
        <f aca="false">IF(A1002="","",IF(AND(Parameter!$B$21="Ja",ISNUMBER(U1002)),U1002,IF(IFERROR(VLOOKUP(D1002,Parameter!$A$35:$C$64,2,0),"Nein")="2+3",IF(ISNUMBER(SEARCH("grosser Artikel",BM1002)),2,IFERROR(VLOOKUP(BP1002,Parameter!$F$35:$G$64,2,0),2)),IF(OR(IFERROR(VLOOKUP(D1002,Parameter!$A$35:$C$64,2,0),"Nein")="Nein",IFERROR(VLOOKUP(D1002,Parameter!$A$35:$C$64,2,0),"Nein")=""),"-",VLOOKUP(D1002,Parameter!$A$35:$C$64,2,0)))))</f>
        <v>2</v>
      </c>
      <c r="Y1002" s="62"/>
      <c r="Z1002" s="63"/>
      <c r="AA1002" s="57" t="n">
        <f aca="false">AP1002</f>
        <v>12</v>
      </c>
      <c r="AB1002" s="57" t="n">
        <f aca="false">MAX(AP1002,G1002)</f>
        <v>12</v>
      </c>
      <c r="AC1002" s="64"/>
      <c r="AD1002" s="57" t="n">
        <f aca="false">IF(LEFT(Cockpit!$C$5,1)="A",G1002,IF(BW1002=1,BX1002,IF(LEFT(Cockpit!$C$5,1)="B",AH1002,MAX(AH1002,G1002))))</f>
        <v>0</v>
      </c>
      <c r="AE1002" s="57" t="n">
        <f aca="false">IF(BR1002=1,0,ROUNDUP(AD1002/BQ1002,0))</f>
        <v>0</v>
      </c>
      <c r="AF1002" s="59" t="n">
        <f aca="false">IF(CD1002&gt;0,CD1002*MAX(1,AD1002/V1002),IF(BR1002=1,IF(AD1002&lt;=0,0,BS1002*MAX(1,IF(G1002&gt;0,AD1002/G1002,1))),IF(Q1002&gt;0,AE1002/Q1002,0))/MAX(0.1,N(Parameter!$M$21)))</f>
        <v>0</v>
      </c>
      <c r="AG1002" s="57" t="n">
        <f aca="false">AD1002*F1002</f>
        <v>0</v>
      </c>
      <c r="AH1002" s="57" t="n">
        <f aca="false">ROUNDUP(MAX(I1002/IF(BV1002&gt;0,BV1002,MAX(0.1,N(Cockpit!$C$6))),BY1002)/BQ1002,0)*BQ1002</f>
        <v>12</v>
      </c>
      <c r="AI1002" s="58" t="n">
        <f aca="false">IF(AF1002&gt;0,I1002/AF1002,-1)</f>
        <v>-1</v>
      </c>
      <c r="AJ1002" s="58" t="str">
        <f aca="false">IF(AND(OR(BU1002="L1",BU1002="L23"),AF1002&gt;0),SUMIFS($AF$7:$AF$1576,$BU$7:$BU$1576,BU1002,$AI$7:$AI$1576,"&gt;"&amp;AI1002)+SUMIFS($AF$7:$AF$1576,$BU$7:$BU$1576,BU1002,$AI$7:$AI$1576,AI1002,$BO$7:$BO$1576,"&lt;="&amp;BO1002),"")</f>
        <v/>
      </c>
      <c r="AK1002" s="65" t="n">
        <f aca="false">IF(AJ1002="",0,MAX(0,MIN(1,(IF(BU1002="L1",Parameter!$E$5,Parameter!$E$6+Parameter!$E$7)-(AJ1002-AF1002))/AF1002)))</f>
        <v>0</v>
      </c>
      <c r="AL1002" s="57" t="n">
        <f aca="false">IF(LEFT(Cockpit!$I$5,1)="A",G1002,IF(BW1002=1,BX1002,IF(LEFT(Cockpit!$I$5,1)="B",AP1002,MAX(AP1002,G1002))))</f>
        <v>12</v>
      </c>
      <c r="AM1002" s="57" t="n">
        <f aca="false">IF(BR1002=1,0,ROUNDUP(AL1002/BQ1002,0))</f>
        <v>0</v>
      </c>
      <c r="AN1002" s="59" t="n">
        <f aca="false">IF(CD1002&gt;0,CD1002*MAX(1,AL1002/V1002),IF(BR1002=1,IF(AL1002&lt;=0,0,BS1002*MAX(1,IF(G1002&gt;0,AL1002/G1002,1))),IF(Q1002&gt;0,AM1002/Q1002,0))/MAX(0.1,N(Parameter!$M$21)))</f>
        <v>0.15</v>
      </c>
      <c r="AO1002" s="57" t="n">
        <f aca="false">AL1002*F1002</f>
        <v>175.56</v>
      </c>
      <c r="AP1002" s="57" t="n">
        <f aca="false">ROUNDUP(MAX(I1002/IF(BV1002&gt;0,BV1002,MAX(0.1,N(Cockpit!$I$6))),BY1002)/BQ1002,0)*BQ1002</f>
        <v>12</v>
      </c>
      <c r="AQ1002" s="58" t="n">
        <f aca="false">IF(AN1002&gt;0,I1002/AN1002,-1)</f>
        <v>160</v>
      </c>
      <c r="AR1002" s="58" t="n">
        <f aca="false">IF(AND(OR(BU1002="L1",BU1002="L23"),AN1002&gt;0),SUMIFS($AN$7:$AN$1576,$BU$7:$BU$1576,BU1002,$AQ$7:$AQ$1576,"&gt;"&amp;AQ1002)+SUMIFS($AN$7:$AN$1576,$BU$7:$BU$1576,BU1002,$AQ$7:$AQ$1576,AQ1002,$BO$7:$BO$1576,"&lt;="&amp;BO1002),"")</f>
        <v>53.7000559950672</v>
      </c>
      <c r="AS1002" s="65" t="n">
        <f aca="false">IF(AR1002="",0,MAX(0,MIN(1,(IF(BU1002="L1",Parameter!$E$5,Parameter!$E$6+Parameter!$E$7)-(AR1002-AN1002))/AN1002)))</f>
        <v>1</v>
      </c>
      <c r="AT1002" s="57" t="n">
        <f aca="false">IF(LEFT(Cockpit!$O$5,1)="A",G1002,IF(BW1002=1,BX1002,IF(LEFT(Cockpit!$O$5,1)="B",AX1002,MAX(AX1002,G1002))))</f>
        <v>11</v>
      </c>
      <c r="AU1002" s="57" t="n">
        <f aca="false">IF(BR1002=1,0,ROUNDUP(AT1002/BQ1002,0))</f>
        <v>0</v>
      </c>
      <c r="AV1002" s="59" t="n">
        <f aca="false">IF(CD1002&gt;0,CD1002*MAX(1,AT1002/V1002),IF(BR1002=1,IF(AT1002&lt;=0,0,BS1002*MAX(1,IF(G1002&gt;0,AT1002/G1002,1))),IF(Q1002&gt;0,AU1002/Q1002,0))/MAX(0.1,N(Parameter!$M$21)))</f>
        <v>0.15</v>
      </c>
      <c r="AW1002" s="57" t="n">
        <f aca="false">AT1002*F1002</f>
        <v>160.93</v>
      </c>
      <c r="AX1002" s="57" t="n">
        <f aca="false">ROUNDUP(MAX(I1002/IF(BV1002&gt;0,BV1002,MAX(0.1,N(Cockpit!$O$6))),BY1002)/BQ1002,0)*BQ1002</f>
        <v>11</v>
      </c>
      <c r="AY1002" s="58" t="n">
        <f aca="false">IF(AV1002&gt;0,I1002/AV1002,-1)</f>
        <v>160</v>
      </c>
      <c r="AZ1002" s="58" t="n">
        <f aca="false">IF(AND(OR(BU1002="L1",BU1002="L23"),AV1002&gt;0),SUMIFS($AV$7:$AV$1576,$BU$7:$BU$1576,BU1002,$AY$7:$AY$1576,"&gt;"&amp;AY1002)+SUMIFS($AV$7:$AV$1576,$BU$7:$BU$1576,BU1002,$AY$7:$AY$1576,AY1002,$BO$7:$BO$1576,"&lt;="&amp;BO1002),"")</f>
        <v>50.0382806870419</v>
      </c>
      <c r="BA1002" s="65" t="n">
        <f aca="false">IF(AZ1002="",0,MAX(0,MIN(1,(IF(BU1002="L1",Parameter!$E$5,Parameter!$E$6+Parameter!$E$7)-(AZ1002-AV1002))/AV1002)))</f>
        <v>1</v>
      </c>
      <c r="BB1002" s="55" t="str">
        <f aca="false">IF(AF1002&lt;=0,"",IF(BU1002="Aussen","Aussenlager",IF(BU1002="-","Nicht im Lift",IF(AK1002&gt;=1,"Lift",IF(AK1002&lt;=0,"Aussenlager","teilweise")))))</f>
        <v/>
      </c>
      <c r="BC1002" s="55" t="str">
        <f aca="false">IF(AN1002&lt;=0,"",IF(BU1002="Aussen","Aussenlager",IF(BU1002="-","Nicht im Lift",IF(AS1002&gt;=1,"Lift",IF(AS1002&lt;=0,"Aussenlager","teilweise")))))</f>
        <v>Lift</v>
      </c>
      <c r="BD1002" s="55" t="str">
        <f aca="false">IF(AV1002&lt;=0,"",IF(BU1002="Aussen","Aussenlager",IF(BU1002="-","Nicht im Lift",IF(BA1002&gt;=1,"Lift",IF(BA1002&lt;=0,"Aussenlager","teilweise")))))</f>
        <v>Lift</v>
      </c>
      <c r="BE1002" s="55" t="str">
        <f aca="false">IF(A1002="","",IF(BN1002=1,"Neu; ","")&amp;IF(AND(BN1002=0,BI1002&lt;0),"negativer Bestand (Export "&amp;BI1002&amp;"); ","")&amp;IF(I1002&lt;=0,"Kein Verbrauch; ","")&amp;IF(CD1002&gt;0,"Lift "&amp;U1002&amp;" lt. Liftbericht (Fach "&amp;V1002&amp;" Stk); ",IF(BR1002=1,"Lose – Fläche geschätzt; ",""))&amp;IF(G1002&gt;AP1002,"Überbestand "&amp;ROUND(G1002-AP1002,0)&amp;" Stk / CHF "&amp;ROUND((G1002-AP1002)*F1002,0)&amp;"; ","")&amp;IF(AND(BW1002=1,BX1002&lt;BY1002),"MAX &lt; MB+LG; ","")&amp;IF(AND(CC1002&gt;0,CB1002*10&gt;CC1002),"zu hoch für Tablar; ","")&amp;IF(AND(BN1002=0,OR(BW1002=1,Y1002&lt;&gt;"",S1002&lt;&gt;"",T1002&lt;&gt;"",Z1002&lt;&gt;"")),"manuell übersteuert; ","")&amp;IF(AND(BR1002=0,Q1002=0),"Gebinde unbekannt / Stellmass fehlt; ","")&amp;IF(AND(BR1002=0,N(T1002)&lt;=0,N(P1002)&lt;=0),"Menge pro Gebinde fehlt (Ist = 1 Gebinde); ","")&amp;BM1002)</f>
        <v>negativer Bestand (Export -6); Lose – Fläche geschätzt; </v>
      </c>
      <c r="BF1002" s="55"/>
      <c r="BG1002" s="55"/>
      <c r="BH1002" s="62"/>
      <c r="BI1002" s="57" t="n">
        <v>-6</v>
      </c>
      <c r="BJ1002" s="57" t="n">
        <v>16</v>
      </c>
      <c r="BK1002" s="56" t="n">
        <v>-98.5000000000001</v>
      </c>
      <c r="BL1002" s="57" t="n">
        <v>24</v>
      </c>
      <c r="BM1002" s="55"/>
      <c r="BN1002" s="60" t="n">
        <v>0</v>
      </c>
      <c r="BO1002" s="60" t="n">
        <v>1002</v>
      </c>
      <c r="BP1002" s="55" t="str">
        <f aca="false">IF(S1002&lt;&gt;"",UPPER(TRIM(S1002)),IF(O1002="","LOSE",O1002))</f>
        <v>LOSE</v>
      </c>
      <c r="BQ1002" s="57" t="n">
        <f aca="false">IF(BP1002="LOSE",1,IF(N(T1002)&gt;0,T1002,IF(N(P1002)&gt;0,P1002,MAX(1,G1002))))</f>
        <v>1</v>
      </c>
      <c r="BR1002" s="60" t="n">
        <f aca="false">IF(BP1002="LOSE",1,0)</f>
        <v>1</v>
      </c>
      <c r="BS1002" s="59" t="n">
        <f aca="false">IF(BR1002=0,0,IF(N(R1002)&gt;0,R1002,IFERROR(VLOOKUP(D1002,Parameter!$A$35:$C$64,3,0)+0,0)))</f>
        <v>0.15</v>
      </c>
      <c r="BT1002" s="55" t="n">
        <f aca="false">IF(Y1002&lt;&gt;"",Y1002,X1002)</f>
        <v>2</v>
      </c>
      <c r="BU1002" s="55" t="str">
        <f aca="false">IF(BT1002=1,"L1",IF(OR(BT1002=2,BT1002=3),"L23",IF(BT1002="Aussen","Aussen","-")))</f>
        <v>L23</v>
      </c>
      <c r="BV1002" s="66" t="n">
        <f aca="false">IF(N(Z1002)&gt;0,Z1002,0)</f>
        <v>0</v>
      </c>
      <c r="BW1002" s="60" t="n">
        <f aca="false">IF(ISNUMBER(AC1002),1,0)</f>
        <v>0</v>
      </c>
      <c r="BX1002" s="57" t="n">
        <f aca="false">N(AC1002)</f>
        <v>0</v>
      </c>
      <c r="BY1002" s="57" t="n">
        <f aca="false">N(L1002)+N(M1002)</f>
        <v>11</v>
      </c>
      <c r="BZ1002" s="57" t="n">
        <f aca="false">ROUNDUP(G1002/BQ1002,0)</f>
        <v>0</v>
      </c>
      <c r="CA1002" s="57" t="n">
        <f aca="false">ROUNDUP(BX1002/BQ1002,0)</f>
        <v>0</v>
      </c>
      <c r="CB1002" s="60" t="n">
        <f aca="false">IF(BR1002=1,0,IFERROR(VLOOKUP(BP1002,'Gebinde-Kategorie'!$A$5:$M$45,5,0)+0,0))</f>
        <v>0</v>
      </c>
      <c r="CC1002" s="60" t="n">
        <f aca="false">IFERROR(IF(OR(BT1002=1,BT1002=2,BT1002=3),N(INDEX(Parameter!$I$5:$I$7,BT1002)),0),0)</f>
        <v>0</v>
      </c>
      <c r="CD1002" s="59" t="n">
        <f aca="false">IF(AND(Parameter!$B$21="Ja",ISNUMBER(U1002),N(V1002)&gt;0),IFERROR(N(INDEX(Parameter!$L$5:$L$7,U1002))*INDEX(Parameter!$E$5:$E$7,U1002)*V1002/SUMIFS($V$7:$V$1576,$U$7:$U$1576,U1002),0),0)</f>
        <v>0</v>
      </c>
    </row>
    <row r="1003" customFormat="false" ht="15" hidden="false" customHeight="false" outlineLevel="0" collapsed="false">
      <c r="A1003" s="55" t="s">
        <v>1836</v>
      </c>
      <c r="B1003" s="55" t="s">
        <v>1837</v>
      </c>
      <c r="C1003" s="55" t="s">
        <v>160</v>
      </c>
      <c r="D1003" s="55" t="s">
        <v>168</v>
      </c>
      <c r="E1003" s="55" t="s">
        <v>210</v>
      </c>
      <c r="F1003" s="56" t="n">
        <v>99.06</v>
      </c>
      <c r="G1003" s="57" t="n">
        <f aca="false">MAX(0,IF(AND(Parameter!$B$21="Ja",ISNUMBER(W1003)),W1003,IF(Parameter!$B$20="Jahresanfang 2025 + Export",BJ1003+BI1003,BI1003)))</f>
        <v>0</v>
      </c>
      <c r="H1003" s="57" t="n">
        <f aca="false">G1003*F1003</f>
        <v>0</v>
      </c>
      <c r="I1003" s="57" t="n">
        <f aca="false">BL1003*Parameter!$B$18</f>
        <v>0</v>
      </c>
      <c r="J1003" s="58" t="n">
        <v>1.5</v>
      </c>
      <c r="K1003" s="59" t="n">
        <v>0</v>
      </c>
      <c r="L1003" s="57" t="n">
        <v>0</v>
      </c>
      <c r="M1003" s="57" t="n">
        <v>1</v>
      </c>
      <c r="N1003" s="60" t="n">
        <v>28</v>
      </c>
      <c r="O1003" s="55" t="s">
        <v>163</v>
      </c>
      <c r="P1003" s="57"/>
      <c r="Q1003" s="60" t="n">
        <f aca="false">IF(BR1003=1,0,IFERROR(VLOOKUP(BP1003,'Gebinde-Kategorie'!$A$5:$M$45,13,0)+0,0))</f>
        <v>0</v>
      </c>
      <c r="R1003" s="61"/>
      <c r="S1003" s="62"/>
      <c r="T1003" s="62"/>
      <c r="U1003" s="55"/>
      <c r="V1003" s="57"/>
      <c r="W1003" s="57"/>
      <c r="X1003" s="55" t="n">
        <f aca="false">IF(A1003="","",IF(AND(Parameter!$B$21="Ja",ISNUMBER(U1003)),U1003,IF(IFERROR(VLOOKUP(D1003,Parameter!$A$35:$C$64,2,0),"Nein")="2+3",IF(ISNUMBER(SEARCH("grosser Artikel",BM1003)),2,IFERROR(VLOOKUP(BP1003,Parameter!$F$35:$G$64,2,0),2)),IF(OR(IFERROR(VLOOKUP(D1003,Parameter!$A$35:$C$64,2,0),"Nein")="Nein",IFERROR(VLOOKUP(D1003,Parameter!$A$35:$C$64,2,0),"Nein")=""),"-",VLOOKUP(D1003,Parameter!$A$35:$C$64,2,0)))))</f>
        <v>2</v>
      </c>
      <c r="Y1003" s="62"/>
      <c r="Z1003" s="63"/>
      <c r="AA1003" s="57" t="n">
        <f aca="false">AP1003</f>
        <v>1</v>
      </c>
      <c r="AB1003" s="57" t="n">
        <f aca="false">MAX(AP1003,G1003)</f>
        <v>1</v>
      </c>
      <c r="AC1003" s="64"/>
      <c r="AD1003" s="57" t="n">
        <f aca="false">IF(LEFT(Cockpit!$C$5,1)="A",G1003,IF(BW1003=1,BX1003,IF(LEFT(Cockpit!$C$5,1)="B",AH1003,MAX(AH1003,G1003))))</f>
        <v>0</v>
      </c>
      <c r="AE1003" s="57" t="n">
        <f aca="false">IF(BR1003=1,0,ROUNDUP(AD1003/BQ1003,0))</f>
        <v>0</v>
      </c>
      <c r="AF1003" s="59" t="n">
        <f aca="false">IF(CD1003&gt;0,CD1003*MAX(1,AD1003/V1003),IF(BR1003=1,IF(AD1003&lt;=0,0,BS1003*MAX(1,IF(G1003&gt;0,AD1003/G1003,1))),IF(Q1003&gt;0,AE1003/Q1003,0))/MAX(0.1,N(Parameter!$M$21)))</f>
        <v>0</v>
      </c>
      <c r="AG1003" s="57" t="n">
        <f aca="false">AD1003*F1003</f>
        <v>0</v>
      </c>
      <c r="AH1003" s="57" t="n">
        <f aca="false">ROUNDUP(MAX(I1003/IF(BV1003&gt;0,BV1003,MAX(0.1,N(Cockpit!$C$6))),BY1003)/BQ1003,0)*BQ1003</f>
        <v>1</v>
      </c>
      <c r="AI1003" s="58" t="n">
        <f aca="false">IF(AF1003&gt;0,I1003/AF1003,-1)</f>
        <v>-1</v>
      </c>
      <c r="AJ1003" s="58" t="str">
        <f aca="false">IF(AND(OR(BU1003="L1",BU1003="L23"),AF1003&gt;0),SUMIFS($AF$7:$AF$1576,$BU$7:$BU$1576,BU1003,$AI$7:$AI$1576,"&gt;"&amp;AI1003)+SUMIFS($AF$7:$AF$1576,$BU$7:$BU$1576,BU1003,$AI$7:$AI$1576,AI1003,$BO$7:$BO$1576,"&lt;="&amp;BO1003),"")</f>
        <v/>
      </c>
      <c r="AK1003" s="65" t="n">
        <f aca="false">IF(AJ1003="",0,MAX(0,MIN(1,(IF(BU1003="L1",Parameter!$E$5,Parameter!$E$6+Parameter!$E$7)-(AJ1003-AF1003))/AF1003)))</f>
        <v>0</v>
      </c>
      <c r="AL1003" s="57" t="n">
        <f aca="false">IF(LEFT(Cockpit!$I$5,1)="A",G1003,IF(BW1003=1,BX1003,IF(LEFT(Cockpit!$I$5,1)="B",AP1003,MAX(AP1003,G1003))))</f>
        <v>1</v>
      </c>
      <c r="AM1003" s="57" t="n">
        <f aca="false">IF(BR1003=1,0,ROUNDUP(AL1003/BQ1003,0))</f>
        <v>0</v>
      </c>
      <c r="AN1003" s="59" t="n">
        <f aca="false">IF(CD1003&gt;0,CD1003*MAX(1,AL1003/V1003),IF(BR1003=1,IF(AL1003&lt;=0,0,BS1003*MAX(1,IF(G1003&gt;0,AL1003/G1003,1))),IF(Q1003&gt;0,AM1003/Q1003,0))/MAX(0.1,N(Parameter!$M$21)))</f>
        <v>0.15</v>
      </c>
      <c r="AO1003" s="57" t="n">
        <f aca="false">AL1003*F1003</f>
        <v>99.06</v>
      </c>
      <c r="AP1003" s="57" t="n">
        <f aca="false">ROUNDUP(MAX(I1003/IF(BV1003&gt;0,BV1003,MAX(0.1,N(Cockpit!$I$6))),BY1003)/BQ1003,0)*BQ1003</f>
        <v>1</v>
      </c>
      <c r="AQ1003" s="58" t="n">
        <f aca="false">IF(AN1003&gt;0,I1003/AN1003,-1)</f>
        <v>0</v>
      </c>
      <c r="AR1003" s="58" t="n">
        <f aca="false">IF(AND(OR(BU1003="L1",BU1003="L23"),AN1003&gt;0),SUMIFS($AN$7:$AN$1576,$BU$7:$BU$1576,BU1003,$AQ$7:$AQ$1576,"&gt;"&amp;AQ1003)+SUMIFS($AN$7:$AN$1576,$BU$7:$BU$1576,BU1003,$AQ$7:$AQ$1576,AQ1003,$BO$7:$BO$1576,"&lt;="&amp;BO1003),"")</f>
        <v>132.094892136896</v>
      </c>
      <c r="AS1003" s="65" t="n">
        <f aca="false">IF(AR1003="",0,MAX(0,MIN(1,(IF(BU1003="L1",Parameter!$E$5,Parameter!$E$6+Parameter!$E$7)-(AR1003-AN1003))/AN1003)))</f>
        <v>0</v>
      </c>
      <c r="AT1003" s="57" t="n">
        <f aca="false">IF(LEFT(Cockpit!$O$5,1)="A",G1003,IF(BW1003=1,BX1003,IF(LEFT(Cockpit!$O$5,1)="B",AX1003,MAX(AX1003,G1003))))</f>
        <v>1</v>
      </c>
      <c r="AU1003" s="57" t="n">
        <f aca="false">IF(BR1003=1,0,ROUNDUP(AT1003/BQ1003,0))</f>
        <v>0</v>
      </c>
      <c r="AV1003" s="59" t="n">
        <f aca="false">IF(CD1003&gt;0,CD1003*MAX(1,AT1003/V1003),IF(BR1003=1,IF(AT1003&lt;=0,0,BS1003*MAX(1,IF(G1003&gt;0,AT1003/G1003,1))),IF(Q1003&gt;0,AU1003/Q1003,0))/MAX(0.1,N(Parameter!$M$21)))</f>
        <v>0.15</v>
      </c>
      <c r="AW1003" s="57" t="n">
        <f aca="false">AT1003*F1003</f>
        <v>99.06</v>
      </c>
      <c r="AX1003" s="57" t="n">
        <f aca="false">ROUNDUP(MAX(I1003/IF(BV1003&gt;0,BV1003,MAX(0.1,N(Cockpit!$O$6))),BY1003)/BQ1003,0)*BQ1003</f>
        <v>1</v>
      </c>
      <c r="AY1003" s="58" t="n">
        <f aca="false">IF(AV1003&gt;0,I1003/AV1003,-1)</f>
        <v>0</v>
      </c>
      <c r="AZ1003" s="58" t="n">
        <f aca="false">IF(AND(OR(BU1003="L1",BU1003="L23"),AV1003&gt;0),SUMIFS($AV$7:$AV$1576,$BU$7:$BU$1576,BU1003,$AY$7:$AY$1576,"&gt;"&amp;AY1003)+SUMIFS($AV$7:$AV$1576,$BU$7:$BU$1576,BU1003,$AY$7:$AY$1576,AY1003,$BO$7:$BO$1576,"&lt;="&amp;BO1003),"")</f>
        <v>122.154442586447</v>
      </c>
      <c r="BA1003" s="65" t="n">
        <f aca="false">IF(AZ1003="",0,MAX(0,MIN(1,(IF(BU1003="L1",Parameter!$E$5,Parameter!$E$6+Parameter!$E$7)-(AZ1003-AV1003))/AV1003)))</f>
        <v>0</v>
      </c>
      <c r="BB1003" s="55" t="str">
        <f aca="false">IF(AF1003&lt;=0,"",IF(BU1003="Aussen","Aussenlager",IF(BU1003="-","Nicht im Lift",IF(AK1003&gt;=1,"Lift",IF(AK1003&lt;=0,"Aussenlager","teilweise")))))</f>
        <v/>
      </c>
      <c r="BC1003" s="55" t="str">
        <f aca="false">IF(AN1003&lt;=0,"",IF(BU1003="Aussen","Aussenlager",IF(BU1003="-","Nicht im Lift",IF(AS1003&gt;=1,"Lift",IF(AS1003&lt;=0,"Aussenlager","teilweise")))))</f>
        <v>Aussenlager</v>
      </c>
      <c r="BD1003" s="55" t="str">
        <f aca="false">IF(AV1003&lt;=0,"",IF(BU1003="Aussen","Aussenlager",IF(BU1003="-","Nicht im Lift",IF(BA1003&gt;=1,"Lift",IF(BA1003&lt;=0,"Aussenlager","teilweise")))))</f>
        <v>Aussenlager</v>
      </c>
      <c r="BE1003" s="55" t="str">
        <f aca="false">IF(A1003="","",IF(BN1003=1,"Neu; ","")&amp;IF(AND(BN1003=0,BI1003&lt;0),"negativer Bestand (Export "&amp;BI1003&amp;"); ","")&amp;IF(I1003&lt;=0,"Kein Verbrauch; ","")&amp;IF(CD1003&gt;0,"Lift "&amp;U1003&amp;" lt. Liftbericht (Fach "&amp;V1003&amp;" Stk); ",IF(BR1003=1,"Lose – Fläche geschätzt; ",""))&amp;IF(G1003&gt;AP1003,"Überbestand "&amp;ROUND(G1003-AP1003,0)&amp;" Stk / CHF "&amp;ROUND((G1003-AP1003)*F1003,0)&amp;"; ","")&amp;IF(AND(BW1003=1,BX1003&lt;BY1003),"MAX &lt; MB+LG; ","")&amp;IF(AND(CC1003&gt;0,CB1003*10&gt;CC1003),"zu hoch für Tablar; ","")&amp;IF(AND(BN1003=0,OR(BW1003=1,Y1003&lt;&gt;"",S1003&lt;&gt;"",T1003&lt;&gt;"",Z1003&lt;&gt;"")),"manuell übersteuert; ","")&amp;IF(AND(BR1003=0,Q1003=0),"Gebinde unbekannt / Stellmass fehlt; ","")&amp;IF(AND(BR1003=0,N(T1003)&lt;=0,N(P1003)&lt;=0),"Menge pro Gebinde fehlt (Ist = 1 Gebinde); ","")&amp;BM1003)</f>
        <v>negativer Bestand (Export -1); Kein Verbrauch; Lose – Fläche geschätzt; </v>
      </c>
      <c r="BF1003" s="55"/>
      <c r="BG1003" s="55"/>
      <c r="BH1003" s="62"/>
      <c r="BI1003" s="57" t="n">
        <v>-1</v>
      </c>
      <c r="BJ1003" s="57" t="n">
        <v>2</v>
      </c>
      <c r="BK1003" s="56" t="n">
        <v>-99.06</v>
      </c>
      <c r="BL1003" s="57" t="n">
        <v>0</v>
      </c>
      <c r="BM1003" s="55"/>
      <c r="BN1003" s="60" t="n">
        <v>0</v>
      </c>
      <c r="BO1003" s="60" t="n">
        <v>1003</v>
      </c>
      <c r="BP1003" s="55" t="str">
        <f aca="false">IF(S1003&lt;&gt;"",UPPER(TRIM(S1003)),IF(O1003="","LOSE",O1003))</f>
        <v>LOSE</v>
      </c>
      <c r="BQ1003" s="57" t="n">
        <f aca="false">IF(BP1003="LOSE",1,IF(N(T1003)&gt;0,T1003,IF(N(P1003)&gt;0,P1003,MAX(1,G1003))))</f>
        <v>1</v>
      </c>
      <c r="BR1003" s="60" t="n">
        <f aca="false">IF(BP1003="LOSE",1,0)</f>
        <v>1</v>
      </c>
      <c r="BS1003" s="59" t="n">
        <f aca="false">IF(BR1003=0,0,IF(N(R1003)&gt;0,R1003,IFERROR(VLOOKUP(D1003,Parameter!$A$35:$C$64,3,0)+0,0)))</f>
        <v>0.15</v>
      </c>
      <c r="BT1003" s="55" t="n">
        <f aca="false">IF(Y1003&lt;&gt;"",Y1003,X1003)</f>
        <v>2</v>
      </c>
      <c r="BU1003" s="55" t="str">
        <f aca="false">IF(BT1003=1,"L1",IF(OR(BT1003=2,BT1003=3),"L23",IF(BT1003="Aussen","Aussen","-")))</f>
        <v>L23</v>
      </c>
      <c r="BV1003" s="66" t="n">
        <f aca="false">IF(N(Z1003)&gt;0,Z1003,0)</f>
        <v>0</v>
      </c>
      <c r="BW1003" s="60" t="n">
        <f aca="false">IF(ISNUMBER(AC1003),1,0)</f>
        <v>0</v>
      </c>
      <c r="BX1003" s="57" t="n">
        <f aca="false">N(AC1003)</f>
        <v>0</v>
      </c>
      <c r="BY1003" s="57" t="n">
        <f aca="false">N(L1003)+N(M1003)</f>
        <v>1</v>
      </c>
      <c r="BZ1003" s="57" t="n">
        <f aca="false">ROUNDUP(G1003/BQ1003,0)</f>
        <v>0</v>
      </c>
      <c r="CA1003" s="57" t="n">
        <f aca="false">ROUNDUP(BX1003/BQ1003,0)</f>
        <v>0</v>
      </c>
      <c r="CB1003" s="60" t="n">
        <f aca="false">IF(BR1003=1,0,IFERROR(VLOOKUP(BP1003,'Gebinde-Kategorie'!$A$5:$M$45,5,0)+0,0))</f>
        <v>0</v>
      </c>
      <c r="CC1003" s="60" t="n">
        <f aca="false">IFERROR(IF(OR(BT1003=1,BT1003=2,BT1003=3),N(INDEX(Parameter!$I$5:$I$7,BT1003)),0),0)</f>
        <v>0</v>
      </c>
      <c r="CD1003" s="59" t="n">
        <f aca="false">IF(AND(Parameter!$B$21="Ja",ISNUMBER(U1003),N(V1003)&gt;0),IFERROR(N(INDEX(Parameter!$L$5:$L$7,U1003))*INDEX(Parameter!$E$5:$E$7,U1003)*V1003/SUMIFS($V$7:$V$1576,$U$7:$U$1576,U1003),0),0)</f>
        <v>0</v>
      </c>
    </row>
    <row r="1004" customFormat="false" ht="15" hidden="false" customHeight="false" outlineLevel="0" collapsed="false">
      <c r="A1004" s="55" t="s">
        <v>1838</v>
      </c>
      <c r="B1004" s="55" t="s">
        <v>1839</v>
      </c>
      <c r="C1004" s="55" t="s">
        <v>446</v>
      </c>
      <c r="D1004" s="55" t="s">
        <v>168</v>
      </c>
      <c r="E1004" s="55" t="s">
        <v>210</v>
      </c>
      <c r="F1004" s="56" t="n">
        <v>12.5</v>
      </c>
      <c r="G1004" s="57" t="n">
        <f aca="false">MAX(0,IF(AND(Parameter!$B$21="Ja",ISNUMBER(W1004)),W1004,IF(Parameter!$B$20="Jahresanfang 2025 + Export",BJ1004+BI1004,BI1004)))</f>
        <v>0</v>
      </c>
      <c r="H1004" s="57" t="n">
        <f aca="false">G1004*F1004</f>
        <v>0</v>
      </c>
      <c r="I1004" s="57" t="n">
        <f aca="false">BL1004*Parameter!$B$18</f>
        <v>8</v>
      </c>
      <c r="J1004" s="58" t="n">
        <v>8</v>
      </c>
      <c r="K1004" s="59" t="n">
        <v>1</v>
      </c>
      <c r="L1004" s="57" t="n">
        <v>0</v>
      </c>
      <c r="M1004" s="57" t="n">
        <v>10</v>
      </c>
      <c r="N1004" s="60" t="n">
        <v>28</v>
      </c>
      <c r="O1004" s="55" t="s">
        <v>163</v>
      </c>
      <c r="P1004" s="57"/>
      <c r="Q1004" s="60" t="n">
        <f aca="false">IF(BR1004=1,0,IFERROR(VLOOKUP(BP1004,'Gebinde-Kategorie'!$A$5:$M$45,13,0)+0,0))</f>
        <v>0</v>
      </c>
      <c r="R1004" s="61"/>
      <c r="S1004" s="62"/>
      <c r="T1004" s="62"/>
      <c r="U1004" s="55"/>
      <c r="V1004" s="57"/>
      <c r="W1004" s="57"/>
      <c r="X1004" s="55" t="n">
        <f aca="false">IF(A1004="","",IF(AND(Parameter!$B$21="Ja",ISNUMBER(U1004)),U1004,IF(IFERROR(VLOOKUP(D1004,Parameter!$A$35:$C$64,2,0),"Nein")="2+3",IF(ISNUMBER(SEARCH("grosser Artikel",BM1004)),2,IFERROR(VLOOKUP(BP1004,Parameter!$F$35:$G$64,2,0),2)),IF(OR(IFERROR(VLOOKUP(D1004,Parameter!$A$35:$C$64,2,0),"Nein")="Nein",IFERROR(VLOOKUP(D1004,Parameter!$A$35:$C$64,2,0),"Nein")=""),"-",VLOOKUP(D1004,Parameter!$A$35:$C$64,2,0)))))</f>
        <v>2</v>
      </c>
      <c r="Y1004" s="62"/>
      <c r="Z1004" s="63"/>
      <c r="AA1004" s="57" t="n">
        <f aca="false">AP1004</f>
        <v>10</v>
      </c>
      <c r="AB1004" s="57" t="n">
        <f aca="false">MAX(AP1004,G1004)</f>
        <v>10</v>
      </c>
      <c r="AC1004" s="64"/>
      <c r="AD1004" s="57" t="n">
        <f aca="false">IF(LEFT(Cockpit!$C$5,1)="A",G1004,IF(BW1004=1,BX1004,IF(LEFT(Cockpit!$C$5,1)="B",AH1004,MAX(AH1004,G1004))))</f>
        <v>0</v>
      </c>
      <c r="AE1004" s="57" t="n">
        <f aca="false">IF(BR1004=1,0,ROUNDUP(AD1004/BQ1004,0))</f>
        <v>0</v>
      </c>
      <c r="AF1004" s="59" t="n">
        <f aca="false">IF(CD1004&gt;0,CD1004*MAX(1,AD1004/V1004),IF(BR1004=1,IF(AD1004&lt;=0,0,BS1004*MAX(1,IF(G1004&gt;0,AD1004/G1004,1))),IF(Q1004&gt;0,AE1004/Q1004,0))/MAX(0.1,N(Parameter!$M$21)))</f>
        <v>0</v>
      </c>
      <c r="AG1004" s="57" t="n">
        <f aca="false">AD1004*F1004</f>
        <v>0</v>
      </c>
      <c r="AH1004" s="57" t="n">
        <f aca="false">ROUNDUP(MAX(I1004/IF(BV1004&gt;0,BV1004,MAX(0.1,N(Cockpit!$C$6))),BY1004)/BQ1004,0)*BQ1004</f>
        <v>10</v>
      </c>
      <c r="AI1004" s="58" t="n">
        <f aca="false">IF(AF1004&gt;0,I1004/AF1004,-1)</f>
        <v>-1</v>
      </c>
      <c r="AJ1004" s="58" t="str">
        <f aca="false">IF(AND(OR(BU1004="L1",BU1004="L23"),AF1004&gt;0),SUMIFS($AF$7:$AF$1576,$BU$7:$BU$1576,BU1004,$AI$7:$AI$1576,"&gt;"&amp;AI1004)+SUMIFS($AF$7:$AF$1576,$BU$7:$BU$1576,BU1004,$AI$7:$AI$1576,AI1004,$BO$7:$BO$1576,"&lt;="&amp;BO1004),"")</f>
        <v/>
      </c>
      <c r="AK1004" s="65" t="n">
        <f aca="false">IF(AJ1004="",0,MAX(0,MIN(1,(IF(BU1004="L1",Parameter!$E$5,Parameter!$E$6+Parameter!$E$7)-(AJ1004-AF1004))/AF1004)))</f>
        <v>0</v>
      </c>
      <c r="AL1004" s="57" t="n">
        <f aca="false">IF(LEFT(Cockpit!$I$5,1)="A",G1004,IF(BW1004=1,BX1004,IF(LEFT(Cockpit!$I$5,1)="B",AP1004,MAX(AP1004,G1004))))</f>
        <v>10</v>
      </c>
      <c r="AM1004" s="57" t="n">
        <f aca="false">IF(BR1004=1,0,ROUNDUP(AL1004/BQ1004,0))</f>
        <v>0</v>
      </c>
      <c r="AN1004" s="59" t="n">
        <f aca="false">IF(CD1004&gt;0,CD1004*MAX(1,AL1004/V1004),IF(BR1004=1,IF(AL1004&lt;=0,0,BS1004*MAX(1,IF(G1004&gt;0,AL1004/G1004,1))),IF(Q1004&gt;0,AM1004/Q1004,0))/MAX(0.1,N(Parameter!$M$21)))</f>
        <v>0.15</v>
      </c>
      <c r="AO1004" s="57" t="n">
        <f aca="false">AL1004*F1004</f>
        <v>125</v>
      </c>
      <c r="AP1004" s="57" t="n">
        <f aca="false">ROUNDUP(MAX(I1004/IF(BV1004&gt;0,BV1004,MAX(0.1,N(Cockpit!$I$6))),BY1004)/BQ1004,0)*BQ1004</f>
        <v>10</v>
      </c>
      <c r="AQ1004" s="58" t="n">
        <f aca="false">IF(AN1004&gt;0,I1004/AN1004,-1)</f>
        <v>53.3333333333333</v>
      </c>
      <c r="AR1004" s="58" t="n">
        <f aca="false">IF(AND(OR(BU1004="L1",BU1004="L23"),AN1004&gt;0),SUMIFS($AN$7:$AN$1576,$BU$7:$BU$1576,BU1004,$AQ$7:$AQ$1576,"&gt;"&amp;AQ1004)+SUMIFS($AN$7:$AN$1576,$BU$7:$BU$1576,BU1004,$AQ$7:$AQ$1576,AQ1004,$BO$7:$BO$1576,"&lt;="&amp;BO1004),"")</f>
        <v>81.5260243322855</v>
      </c>
      <c r="AS1004" s="65" t="n">
        <f aca="false">IF(AR1004="",0,MAX(0,MIN(1,(IF(BU1004="L1",Parameter!$E$5,Parameter!$E$6+Parameter!$E$7)-(AR1004-AN1004))/AN1004)))</f>
        <v>1</v>
      </c>
      <c r="AT1004" s="57" t="n">
        <f aca="false">IF(LEFT(Cockpit!$O$5,1)="A",G1004,IF(BW1004=1,BX1004,IF(LEFT(Cockpit!$O$5,1)="B",AX1004,MAX(AX1004,G1004))))</f>
        <v>10</v>
      </c>
      <c r="AU1004" s="57" t="n">
        <f aca="false">IF(BR1004=1,0,ROUNDUP(AT1004/BQ1004,0))</f>
        <v>0</v>
      </c>
      <c r="AV1004" s="59" t="n">
        <f aca="false">IF(CD1004&gt;0,CD1004*MAX(1,AT1004/V1004),IF(BR1004=1,IF(AT1004&lt;=0,0,BS1004*MAX(1,IF(G1004&gt;0,AT1004/G1004,1))),IF(Q1004&gt;0,AU1004/Q1004,0))/MAX(0.1,N(Parameter!$M$21)))</f>
        <v>0.15</v>
      </c>
      <c r="AW1004" s="57" t="n">
        <f aca="false">AT1004*F1004</f>
        <v>125</v>
      </c>
      <c r="AX1004" s="57" t="n">
        <f aca="false">ROUNDUP(MAX(I1004/IF(BV1004&gt;0,BV1004,MAX(0.1,N(Cockpit!$O$6))),BY1004)/BQ1004,0)*BQ1004</f>
        <v>10</v>
      </c>
      <c r="AY1004" s="58" t="n">
        <f aca="false">IF(AV1004&gt;0,I1004/AV1004,-1)</f>
        <v>53.3333333333333</v>
      </c>
      <c r="AZ1004" s="58" t="n">
        <f aca="false">IF(AND(OR(BU1004="L1",BU1004="L23"),AV1004&gt;0),SUMIFS($AV$7:$AV$1576,$BU$7:$BU$1576,BU1004,$AY$7:$AY$1576,"&gt;"&amp;AY1004)+SUMIFS($AV$7:$AV$1576,$BU$7:$BU$1576,BU1004,$AY$7:$AY$1576,AY1004,$BO$7:$BO$1576,"&lt;="&amp;BO1004),"")</f>
        <v>77.9439081151693</v>
      </c>
      <c r="BA1004" s="65" t="n">
        <f aca="false">IF(AZ1004="",0,MAX(0,MIN(1,(IF(BU1004="L1",Parameter!$E$5,Parameter!$E$6+Parameter!$E$7)-(AZ1004-AV1004))/AV1004)))</f>
        <v>1</v>
      </c>
      <c r="BB1004" s="55" t="str">
        <f aca="false">IF(AF1004&lt;=0,"",IF(BU1004="Aussen","Aussenlager",IF(BU1004="-","Nicht im Lift",IF(AK1004&gt;=1,"Lift",IF(AK1004&lt;=0,"Aussenlager","teilweise")))))</f>
        <v/>
      </c>
      <c r="BC1004" s="55" t="str">
        <f aca="false">IF(AN1004&lt;=0,"",IF(BU1004="Aussen","Aussenlager",IF(BU1004="-","Nicht im Lift",IF(AS1004&gt;=1,"Lift",IF(AS1004&lt;=0,"Aussenlager","teilweise")))))</f>
        <v>Lift</v>
      </c>
      <c r="BD1004" s="55" t="str">
        <f aca="false">IF(AV1004&lt;=0,"",IF(BU1004="Aussen","Aussenlager",IF(BU1004="-","Nicht im Lift",IF(BA1004&gt;=1,"Lift",IF(BA1004&lt;=0,"Aussenlager","teilweise")))))</f>
        <v>Lift</v>
      </c>
      <c r="BE1004" s="55" t="str">
        <f aca="false">IF(A1004="","",IF(BN1004=1,"Neu; ","")&amp;IF(AND(BN1004=0,BI1004&lt;0),"negativer Bestand (Export "&amp;BI1004&amp;"); ","")&amp;IF(I1004&lt;=0,"Kein Verbrauch; ","")&amp;IF(CD1004&gt;0,"Lift "&amp;U1004&amp;" lt. Liftbericht (Fach "&amp;V1004&amp;" Stk); ",IF(BR1004=1,"Lose – Fläche geschätzt; ",""))&amp;IF(G1004&gt;AP1004,"Überbestand "&amp;ROUND(G1004-AP1004,0)&amp;" Stk / CHF "&amp;ROUND((G1004-AP1004)*F1004,0)&amp;"; ","")&amp;IF(AND(BW1004=1,BX1004&lt;BY1004),"MAX &lt; MB+LG; ","")&amp;IF(AND(CC1004&gt;0,CB1004*10&gt;CC1004),"zu hoch für Tablar; ","")&amp;IF(AND(BN1004=0,OR(BW1004=1,Y1004&lt;&gt;"",S1004&lt;&gt;"",T1004&lt;&gt;"",Z1004&lt;&gt;"")),"manuell übersteuert; ","")&amp;IF(AND(BR1004=0,Q1004=0),"Gebinde unbekannt / Stellmass fehlt; ","")&amp;IF(AND(BR1004=0,N(T1004)&lt;=0,N(P1004)&lt;=0),"Menge pro Gebinde fehlt (Ist = 1 Gebinde); ","")&amp;BM1004)</f>
        <v>negativer Bestand (Export -8); Lose – Fläche geschätzt; </v>
      </c>
      <c r="BF1004" s="55"/>
      <c r="BG1004" s="55"/>
      <c r="BH1004" s="62"/>
      <c r="BI1004" s="57" t="n">
        <v>-8</v>
      </c>
      <c r="BJ1004" s="57" t="n">
        <v>16</v>
      </c>
      <c r="BK1004" s="56" t="n">
        <v>-100</v>
      </c>
      <c r="BL1004" s="57" t="n">
        <v>8</v>
      </c>
      <c r="BM1004" s="55"/>
      <c r="BN1004" s="60" t="n">
        <v>0</v>
      </c>
      <c r="BO1004" s="60" t="n">
        <v>1004</v>
      </c>
      <c r="BP1004" s="55" t="str">
        <f aca="false">IF(S1004&lt;&gt;"",UPPER(TRIM(S1004)),IF(O1004="","LOSE",O1004))</f>
        <v>LOSE</v>
      </c>
      <c r="BQ1004" s="57" t="n">
        <f aca="false">IF(BP1004="LOSE",1,IF(N(T1004)&gt;0,T1004,IF(N(P1004)&gt;0,P1004,MAX(1,G1004))))</f>
        <v>1</v>
      </c>
      <c r="BR1004" s="60" t="n">
        <f aca="false">IF(BP1004="LOSE",1,0)</f>
        <v>1</v>
      </c>
      <c r="BS1004" s="59" t="n">
        <f aca="false">IF(BR1004=0,0,IF(N(R1004)&gt;0,R1004,IFERROR(VLOOKUP(D1004,Parameter!$A$35:$C$64,3,0)+0,0)))</f>
        <v>0.15</v>
      </c>
      <c r="BT1004" s="55" t="n">
        <f aca="false">IF(Y1004&lt;&gt;"",Y1004,X1004)</f>
        <v>2</v>
      </c>
      <c r="BU1004" s="55" t="str">
        <f aca="false">IF(BT1004=1,"L1",IF(OR(BT1004=2,BT1004=3),"L23",IF(BT1004="Aussen","Aussen","-")))</f>
        <v>L23</v>
      </c>
      <c r="BV1004" s="66" t="n">
        <f aca="false">IF(N(Z1004)&gt;0,Z1004,0)</f>
        <v>0</v>
      </c>
      <c r="BW1004" s="60" t="n">
        <f aca="false">IF(ISNUMBER(AC1004),1,0)</f>
        <v>0</v>
      </c>
      <c r="BX1004" s="57" t="n">
        <f aca="false">N(AC1004)</f>
        <v>0</v>
      </c>
      <c r="BY1004" s="57" t="n">
        <f aca="false">N(L1004)+N(M1004)</f>
        <v>10</v>
      </c>
      <c r="BZ1004" s="57" t="n">
        <f aca="false">ROUNDUP(G1004/BQ1004,0)</f>
        <v>0</v>
      </c>
      <c r="CA1004" s="57" t="n">
        <f aca="false">ROUNDUP(BX1004/BQ1004,0)</f>
        <v>0</v>
      </c>
      <c r="CB1004" s="60" t="n">
        <f aca="false">IF(BR1004=1,0,IFERROR(VLOOKUP(BP1004,'Gebinde-Kategorie'!$A$5:$M$45,5,0)+0,0))</f>
        <v>0</v>
      </c>
      <c r="CC1004" s="60" t="n">
        <f aca="false">IFERROR(IF(OR(BT1004=1,BT1004=2,BT1004=3),N(INDEX(Parameter!$I$5:$I$7,BT1004)),0),0)</f>
        <v>0</v>
      </c>
      <c r="CD1004" s="59" t="n">
        <f aca="false">IF(AND(Parameter!$B$21="Ja",ISNUMBER(U1004),N(V1004)&gt;0),IFERROR(N(INDEX(Parameter!$L$5:$L$7,U1004))*INDEX(Parameter!$E$5:$E$7,U1004)*V1004/SUMIFS($V$7:$V$1576,$U$7:$U$1576,U1004),0),0)</f>
        <v>0</v>
      </c>
    </row>
    <row r="1005" customFormat="false" ht="15" hidden="false" customHeight="false" outlineLevel="0" collapsed="false">
      <c r="A1005" s="55" t="s">
        <v>1840</v>
      </c>
      <c r="B1005" s="55" t="s">
        <v>1841</v>
      </c>
      <c r="C1005" s="55" t="s">
        <v>160</v>
      </c>
      <c r="D1005" s="55" t="s">
        <v>178</v>
      </c>
      <c r="E1005" s="55" t="s">
        <v>210</v>
      </c>
      <c r="F1005" s="56" t="n">
        <v>7.57</v>
      </c>
      <c r="G1005" s="57" t="n">
        <f aca="false">MAX(0,IF(AND(Parameter!$B$21="Ja",ISNUMBER(W1005)),W1005,IF(Parameter!$B$20="Jahresanfang 2025 + Export",BJ1005+BI1005,BI1005)))</f>
        <v>0</v>
      </c>
      <c r="H1005" s="57" t="n">
        <f aca="false">G1005*F1005</f>
        <v>0</v>
      </c>
      <c r="I1005" s="57" t="n">
        <f aca="false">BL1005*Parameter!$B$18</f>
        <v>53</v>
      </c>
      <c r="J1005" s="58" t="n">
        <v>26.5</v>
      </c>
      <c r="K1005" s="59" t="n">
        <v>2</v>
      </c>
      <c r="L1005" s="57" t="n">
        <v>3</v>
      </c>
      <c r="M1005" s="57" t="n">
        <v>55</v>
      </c>
      <c r="N1005" s="60" t="n">
        <v>21</v>
      </c>
      <c r="O1005" s="55" t="s">
        <v>319</v>
      </c>
      <c r="P1005" s="57" t="n">
        <v>41</v>
      </c>
      <c r="Q1005" s="60" t="n">
        <f aca="false">IF(BR1005=1,0,IFERROR(VLOOKUP(BP1005,'Gebinde-Kategorie'!$A$5:$M$45,13,0)+0,0))</f>
        <v>52</v>
      </c>
      <c r="R1005" s="61"/>
      <c r="S1005" s="62"/>
      <c r="T1005" s="62"/>
      <c r="U1005" s="55"/>
      <c r="V1005" s="57"/>
      <c r="W1005" s="57"/>
      <c r="X1005" s="55" t="n">
        <f aca="false">IF(A1005="","",IF(AND(Parameter!$B$21="Ja",ISNUMBER(U1005)),U1005,IF(IFERROR(VLOOKUP(D1005,Parameter!$A$35:$C$64,2,0),"Nein")="2+3",IF(ISNUMBER(SEARCH("grosser Artikel",BM1005)),2,IFERROR(VLOOKUP(BP1005,Parameter!$F$35:$G$64,2,0),2)),IF(OR(IFERROR(VLOOKUP(D1005,Parameter!$A$35:$C$64,2,0),"Nein")="Nein",IFERROR(VLOOKUP(D1005,Parameter!$A$35:$C$64,2,0),"Nein")=""),"-",VLOOKUP(D1005,Parameter!$A$35:$C$64,2,0)))))</f>
        <v>3</v>
      </c>
      <c r="Y1005" s="62"/>
      <c r="Z1005" s="63"/>
      <c r="AA1005" s="57" t="n">
        <f aca="false">AP1005</f>
        <v>82</v>
      </c>
      <c r="AB1005" s="57" t="n">
        <f aca="false">MAX(AP1005,G1005)</f>
        <v>82</v>
      </c>
      <c r="AC1005" s="64"/>
      <c r="AD1005" s="57" t="n">
        <f aca="false">IF(LEFT(Cockpit!$C$5,1)="A",G1005,IF(BW1005=1,BX1005,IF(LEFT(Cockpit!$C$5,1)="B",AH1005,MAX(AH1005,G1005))))</f>
        <v>0</v>
      </c>
      <c r="AE1005" s="57" t="n">
        <f aca="false">IF(BR1005=1,0,ROUNDUP(AD1005/BQ1005,0))</f>
        <v>0</v>
      </c>
      <c r="AF1005" s="59" t="n">
        <f aca="false">IF(CD1005&gt;0,CD1005*MAX(1,AD1005/V1005),IF(BR1005=1,IF(AD1005&lt;=0,0,BS1005*MAX(1,IF(G1005&gt;0,AD1005/G1005,1))),IF(Q1005&gt;0,AE1005/Q1005,0))/MAX(0.1,N(Parameter!$M$21)))</f>
        <v>0</v>
      </c>
      <c r="AG1005" s="57" t="n">
        <f aca="false">AD1005*F1005</f>
        <v>0</v>
      </c>
      <c r="AH1005" s="57" t="n">
        <f aca="false">ROUNDUP(MAX(I1005/IF(BV1005&gt;0,BV1005,MAX(0.1,N(Cockpit!$C$6))),BY1005)/BQ1005,0)*BQ1005</f>
        <v>82</v>
      </c>
      <c r="AI1005" s="58" t="n">
        <f aca="false">IF(AF1005&gt;0,I1005/AF1005,-1)</f>
        <v>-1</v>
      </c>
      <c r="AJ1005" s="58" t="str">
        <f aca="false">IF(AND(OR(BU1005="L1",BU1005="L23"),AF1005&gt;0),SUMIFS($AF$7:$AF$1576,$BU$7:$BU$1576,BU1005,$AI$7:$AI$1576,"&gt;"&amp;AI1005)+SUMIFS($AF$7:$AF$1576,$BU$7:$BU$1576,BU1005,$AI$7:$AI$1576,AI1005,$BO$7:$BO$1576,"&lt;="&amp;BO1005),"")</f>
        <v/>
      </c>
      <c r="AK1005" s="65" t="n">
        <f aca="false">IF(AJ1005="",0,MAX(0,MIN(1,(IF(BU1005="L1",Parameter!$E$5,Parameter!$E$6+Parameter!$E$7)-(AJ1005-AF1005))/AF1005)))</f>
        <v>0</v>
      </c>
      <c r="AL1005" s="57" t="n">
        <f aca="false">IF(LEFT(Cockpit!$I$5,1)="A",G1005,IF(BW1005=1,BX1005,IF(LEFT(Cockpit!$I$5,1)="B",AP1005,MAX(AP1005,G1005))))</f>
        <v>82</v>
      </c>
      <c r="AM1005" s="57" t="n">
        <f aca="false">IF(BR1005=1,0,ROUNDUP(AL1005/BQ1005,0))</f>
        <v>2</v>
      </c>
      <c r="AN1005" s="59" t="n">
        <f aca="false">IF(CD1005&gt;0,CD1005*MAX(1,AL1005/V1005),IF(BR1005=1,IF(AL1005&lt;=0,0,BS1005*MAX(1,IF(G1005&gt;0,AL1005/G1005,1))),IF(Q1005&gt;0,AM1005/Q1005,0))/MAX(0.1,N(Parameter!$M$21)))</f>
        <v>0.0384615384615385</v>
      </c>
      <c r="AO1005" s="57" t="n">
        <f aca="false">AL1005*F1005</f>
        <v>620.74</v>
      </c>
      <c r="AP1005" s="57" t="n">
        <f aca="false">ROUNDUP(MAX(I1005/IF(BV1005&gt;0,BV1005,MAX(0.1,N(Cockpit!$I$6))),BY1005)/BQ1005,0)*BQ1005</f>
        <v>82</v>
      </c>
      <c r="AQ1005" s="58" t="n">
        <f aca="false">IF(AN1005&gt;0,I1005/AN1005,-1)</f>
        <v>1378</v>
      </c>
      <c r="AR1005" s="58" t="n">
        <f aca="false">IF(AND(OR(BU1005="L1",BU1005="L23"),AN1005&gt;0),SUMIFS($AN$7:$AN$1576,$BU$7:$BU$1576,BU1005,$AQ$7:$AQ$1576,"&gt;"&amp;AQ1005)+SUMIFS($AN$7:$AN$1576,$BU$7:$BU$1576,BU1005,$AQ$7:$AQ$1576,AQ1005,$BO$7:$BO$1576,"&lt;="&amp;BO1005),"")</f>
        <v>19.7829873632159</v>
      </c>
      <c r="AS1005" s="65" t="n">
        <f aca="false">IF(AR1005="",0,MAX(0,MIN(1,(IF(BU1005="L1",Parameter!$E$5,Parameter!$E$6+Parameter!$E$7)-(AR1005-AN1005))/AN1005)))</f>
        <v>1</v>
      </c>
      <c r="AT1005" s="57" t="n">
        <f aca="false">IF(LEFT(Cockpit!$O$5,1)="A",G1005,IF(BW1005=1,BX1005,IF(LEFT(Cockpit!$O$5,1)="B",AX1005,MAX(AX1005,G1005))))</f>
        <v>82</v>
      </c>
      <c r="AU1005" s="57" t="n">
        <f aca="false">IF(BR1005=1,0,ROUNDUP(AT1005/BQ1005,0))</f>
        <v>2</v>
      </c>
      <c r="AV1005" s="59" t="n">
        <f aca="false">IF(CD1005&gt;0,CD1005*MAX(1,AT1005/V1005),IF(BR1005=1,IF(AT1005&lt;=0,0,BS1005*MAX(1,IF(G1005&gt;0,AT1005/G1005,1))),IF(Q1005&gt;0,AU1005/Q1005,0))/MAX(0.1,N(Parameter!$M$21)))</f>
        <v>0.0384615384615385</v>
      </c>
      <c r="AW1005" s="57" t="n">
        <f aca="false">AT1005*F1005</f>
        <v>620.74</v>
      </c>
      <c r="AX1005" s="57" t="n">
        <f aca="false">ROUNDUP(MAX(I1005/IF(BV1005&gt;0,BV1005,MAX(0.1,N(Cockpit!$O$6))),BY1005)/BQ1005,0)*BQ1005</f>
        <v>82</v>
      </c>
      <c r="AY1005" s="58" t="n">
        <f aca="false">IF(AV1005&gt;0,I1005/AV1005,-1)</f>
        <v>1378</v>
      </c>
      <c r="AZ1005" s="58" t="n">
        <f aca="false">IF(AND(OR(BU1005="L1",BU1005="L23"),AV1005&gt;0),SUMIFS($AV$7:$AV$1576,$BU$7:$BU$1576,BU1005,$AY$7:$AY$1576,"&gt;"&amp;AY1005)+SUMIFS($AV$7:$AV$1576,$BU$7:$BU$1576,BU1005,$AY$7:$AY$1576,AY1005,$BO$7:$BO$1576,"&lt;="&amp;BO1005),"")</f>
        <v>18.593593423822</v>
      </c>
      <c r="BA1005" s="65" t="n">
        <f aca="false">IF(AZ1005="",0,MAX(0,MIN(1,(IF(BU1005="L1",Parameter!$E$5,Parameter!$E$6+Parameter!$E$7)-(AZ1005-AV1005))/AV1005)))</f>
        <v>1</v>
      </c>
      <c r="BB1005" s="55" t="str">
        <f aca="false">IF(AF1005&lt;=0,"",IF(BU1005="Aussen","Aussenlager",IF(BU1005="-","Nicht im Lift",IF(AK1005&gt;=1,"Lift",IF(AK1005&lt;=0,"Aussenlager","teilweise")))))</f>
        <v/>
      </c>
      <c r="BC1005" s="55" t="str">
        <f aca="false">IF(AN1005&lt;=0,"",IF(BU1005="Aussen","Aussenlager",IF(BU1005="-","Nicht im Lift",IF(AS1005&gt;=1,"Lift",IF(AS1005&lt;=0,"Aussenlager","teilweise")))))</f>
        <v>Lift</v>
      </c>
      <c r="BD1005" s="55" t="str">
        <f aca="false">IF(AV1005&lt;=0,"",IF(BU1005="Aussen","Aussenlager",IF(BU1005="-","Nicht im Lift",IF(BA1005&gt;=1,"Lift",IF(BA1005&lt;=0,"Aussenlager","teilweise")))))</f>
        <v>Lift</v>
      </c>
      <c r="BE1005" s="55" t="str">
        <f aca="false">IF(A1005="","",IF(BN1005=1,"Neu; ","")&amp;IF(AND(BN1005=0,BI1005&lt;0),"negativer Bestand (Export "&amp;BI1005&amp;"); ","")&amp;IF(I1005&lt;=0,"Kein Verbrauch; ","")&amp;IF(CD1005&gt;0,"Lift "&amp;U1005&amp;" lt. Liftbericht (Fach "&amp;V1005&amp;" Stk); ",IF(BR1005=1,"Lose – Fläche geschätzt; ",""))&amp;IF(G1005&gt;AP1005,"Überbestand "&amp;ROUND(G1005-AP1005,0)&amp;" Stk / CHF "&amp;ROUND((G1005-AP1005)*F1005,0)&amp;"; ","")&amp;IF(AND(BW1005=1,BX1005&lt;BY1005),"MAX &lt; MB+LG; ","")&amp;IF(AND(CC1005&gt;0,CB1005*10&gt;CC1005),"zu hoch für Tablar; ","")&amp;IF(AND(BN1005=0,OR(BW1005=1,Y1005&lt;&gt;"",S1005&lt;&gt;"",T1005&lt;&gt;"",Z1005&lt;&gt;"")),"manuell übersteuert; ","")&amp;IF(AND(BR1005=0,Q1005=0),"Gebinde unbekannt / Stellmass fehlt; ","")&amp;IF(AND(BR1005=0,N(T1005)&lt;=0,N(P1005)&lt;=0),"Menge pro Gebinde fehlt (Ist = 1 Gebinde); ","")&amp;BM1005)</f>
        <v>negativer Bestand (Export -10); </v>
      </c>
      <c r="BF1005" s="55"/>
      <c r="BG1005" s="55"/>
      <c r="BH1005" s="62"/>
      <c r="BI1005" s="57" t="n">
        <v>-10</v>
      </c>
      <c r="BJ1005" s="57" t="n">
        <v>23</v>
      </c>
      <c r="BK1005" s="56" t="n">
        <v>-101.69</v>
      </c>
      <c r="BL1005" s="57" t="n">
        <v>53</v>
      </c>
      <c r="BM1005" s="55"/>
      <c r="BN1005" s="60" t="n">
        <v>0</v>
      </c>
      <c r="BO1005" s="60" t="n">
        <v>1005</v>
      </c>
      <c r="BP1005" s="55" t="str">
        <f aca="false">IF(S1005&lt;&gt;"",UPPER(TRIM(S1005)),IF(O1005="","LOSE",O1005))</f>
        <v>S41</v>
      </c>
      <c r="BQ1005" s="57" t="n">
        <f aca="false">IF(BP1005="LOSE",1,IF(N(T1005)&gt;0,T1005,IF(N(P1005)&gt;0,P1005,MAX(1,G1005))))</f>
        <v>41</v>
      </c>
      <c r="BR1005" s="60" t="n">
        <f aca="false">IF(BP1005="LOSE",1,0)</f>
        <v>0</v>
      </c>
      <c r="BS1005" s="59" t="n">
        <f aca="false">IF(BR1005=0,0,IF(N(R1005)&gt;0,R1005,IFERROR(VLOOKUP(D1005,Parameter!$A$35:$C$64,3,0)+0,0)))</f>
        <v>0</v>
      </c>
      <c r="BT1005" s="55" t="n">
        <f aca="false">IF(Y1005&lt;&gt;"",Y1005,X1005)</f>
        <v>3</v>
      </c>
      <c r="BU1005" s="55" t="str">
        <f aca="false">IF(BT1005=1,"L1",IF(OR(BT1005=2,BT1005=3),"L23",IF(BT1005="Aussen","Aussen","-")))</f>
        <v>L23</v>
      </c>
      <c r="BV1005" s="66" t="n">
        <f aca="false">IF(N(Z1005)&gt;0,Z1005,0)</f>
        <v>0</v>
      </c>
      <c r="BW1005" s="60" t="n">
        <f aca="false">IF(ISNUMBER(AC1005),1,0)</f>
        <v>0</v>
      </c>
      <c r="BX1005" s="57" t="n">
        <f aca="false">N(AC1005)</f>
        <v>0</v>
      </c>
      <c r="BY1005" s="57" t="n">
        <f aca="false">N(L1005)+N(M1005)</f>
        <v>58</v>
      </c>
      <c r="BZ1005" s="57" t="n">
        <f aca="false">ROUNDUP(G1005/BQ1005,0)</f>
        <v>0</v>
      </c>
      <c r="CA1005" s="57" t="n">
        <f aca="false">ROUNDUP(BX1005/BQ1005,0)</f>
        <v>0</v>
      </c>
      <c r="CB1005" s="60" t="n">
        <f aca="false">IF(BR1005=1,0,IFERROR(VLOOKUP(BP1005,'Gebinde-Kategorie'!$A$5:$M$45,5,0)+0,0))</f>
        <v>11</v>
      </c>
      <c r="CC1005" s="60" t="n">
        <f aca="false">IFERROR(IF(OR(BT1005=1,BT1005=2,BT1005=3),N(INDEX(Parameter!$I$5:$I$7,BT1005)),0),0)</f>
        <v>0</v>
      </c>
      <c r="CD1005" s="59" t="n">
        <f aca="false">IF(AND(Parameter!$B$21="Ja",ISNUMBER(U1005),N(V1005)&gt;0),IFERROR(N(INDEX(Parameter!$L$5:$L$7,U1005))*INDEX(Parameter!$E$5:$E$7,U1005)*V1005/SUMIFS($V$7:$V$1576,$U$7:$U$1576,U1005),0),0)</f>
        <v>0</v>
      </c>
    </row>
    <row r="1006" customFormat="false" ht="15" hidden="false" customHeight="false" outlineLevel="0" collapsed="false">
      <c r="A1006" s="55" t="s">
        <v>1842</v>
      </c>
      <c r="B1006" s="55" t="s">
        <v>1843</v>
      </c>
      <c r="C1006" s="55" t="s">
        <v>160</v>
      </c>
      <c r="D1006" s="55" t="s">
        <v>168</v>
      </c>
      <c r="E1006" s="55" t="s">
        <v>210</v>
      </c>
      <c r="F1006" s="56" t="n">
        <v>20.83</v>
      </c>
      <c r="G1006" s="57" t="n">
        <f aca="false">MAX(0,IF(AND(Parameter!$B$21="Ja",ISNUMBER(W1006)),W1006,IF(Parameter!$B$20="Jahresanfang 2025 + Export",BJ1006+BI1006,BI1006)))</f>
        <v>0</v>
      </c>
      <c r="H1006" s="57" t="n">
        <f aca="false">G1006*F1006</f>
        <v>0</v>
      </c>
      <c r="I1006" s="57" t="n">
        <f aca="false">BL1006*Parameter!$B$18</f>
        <v>0</v>
      </c>
      <c r="J1006" s="58" t="n">
        <v>2.5</v>
      </c>
      <c r="K1006" s="59" t="n">
        <v>0</v>
      </c>
      <c r="L1006" s="57" t="n">
        <v>0</v>
      </c>
      <c r="M1006" s="57" t="n">
        <v>1</v>
      </c>
      <c r="N1006" s="60" t="n">
        <v>42</v>
      </c>
      <c r="O1006" s="55" t="s">
        <v>163</v>
      </c>
      <c r="P1006" s="57"/>
      <c r="Q1006" s="60" t="n">
        <f aca="false">IF(BR1006=1,0,IFERROR(VLOOKUP(BP1006,'Gebinde-Kategorie'!$A$5:$M$45,13,0)+0,0))</f>
        <v>0</v>
      </c>
      <c r="R1006" s="61"/>
      <c r="S1006" s="62"/>
      <c r="T1006" s="62"/>
      <c r="U1006" s="55"/>
      <c r="V1006" s="57"/>
      <c r="W1006" s="57"/>
      <c r="X1006" s="55" t="n">
        <f aca="false">IF(A1006="","",IF(AND(Parameter!$B$21="Ja",ISNUMBER(U1006)),U1006,IF(IFERROR(VLOOKUP(D1006,Parameter!$A$35:$C$64,2,0),"Nein")="2+3",IF(ISNUMBER(SEARCH("grosser Artikel",BM1006)),2,IFERROR(VLOOKUP(BP1006,Parameter!$F$35:$G$64,2,0),2)),IF(OR(IFERROR(VLOOKUP(D1006,Parameter!$A$35:$C$64,2,0),"Nein")="Nein",IFERROR(VLOOKUP(D1006,Parameter!$A$35:$C$64,2,0),"Nein")=""),"-",VLOOKUP(D1006,Parameter!$A$35:$C$64,2,0)))))</f>
        <v>2</v>
      </c>
      <c r="Y1006" s="62"/>
      <c r="Z1006" s="63"/>
      <c r="AA1006" s="57" t="n">
        <f aca="false">AP1006</f>
        <v>1</v>
      </c>
      <c r="AB1006" s="57" t="n">
        <f aca="false">MAX(AP1006,G1006)</f>
        <v>1</v>
      </c>
      <c r="AC1006" s="64"/>
      <c r="AD1006" s="57" t="n">
        <f aca="false">IF(LEFT(Cockpit!$C$5,1)="A",G1006,IF(BW1006=1,BX1006,IF(LEFT(Cockpit!$C$5,1)="B",AH1006,MAX(AH1006,G1006))))</f>
        <v>0</v>
      </c>
      <c r="AE1006" s="57" t="n">
        <f aca="false">IF(BR1006=1,0,ROUNDUP(AD1006/BQ1006,0))</f>
        <v>0</v>
      </c>
      <c r="AF1006" s="59" t="n">
        <f aca="false">IF(CD1006&gt;0,CD1006*MAX(1,AD1006/V1006),IF(BR1006=1,IF(AD1006&lt;=0,0,BS1006*MAX(1,IF(G1006&gt;0,AD1006/G1006,1))),IF(Q1006&gt;0,AE1006/Q1006,0))/MAX(0.1,N(Parameter!$M$21)))</f>
        <v>0</v>
      </c>
      <c r="AG1006" s="57" t="n">
        <f aca="false">AD1006*F1006</f>
        <v>0</v>
      </c>
      <c r="AH1006" s="57" t="n">
        <f aca="false">ROUNDUP(MAX(I1006/IF(BV1006&gt;0,BV1006,MAX(0.1,N(Cockpit!$C$6))),BY1006)/BQ1006,0)*BQ1006</f>
        <v>1</v>
      </c>
      <c r="AI1006" s="58" t="n">
        <f aca="false">IF(AF1006&gt;0,I1006/AF1006,-1)</f>
        <v>-1</v>
      </c>
      <c r="AJ1006" s="58" t="str">
        <f aca="false">IF(AND(OR(BU1006="L1",BU1006="L23"),AF1006&gt;0),SUMIFS($AF$7:$AF$1576,$BU$7:$BU$1576,BU1006,$AI$7:$AI$1576,"&gt;"&amp;AI1006)+SUMIFS($AF$7:$AF$1576,$BU$7:$BU$1576,BU1006,$AI$7:$AI$1576,AI1006,$BO$7:$BO$1576,"&lt;="&amp;BO1006),"")</f>
        <v/>
      </c>
      <c r="AK1006" s="65" t="n">
        <f aca="false">IF(AJ1006="",0,MAX(0,MIN(1,(IF(BU1006="L1",Parameter!$E$5,Parameter!$E$6+Parameter!$E$7)-(AJ1006-AF1006))/AF1006)))</f>
        <v>0</v>
      </c>
      <c r="AL1006" s="57" t="n">
        <f aca="false">IF(LEFT(Cockpit!$I$5,1)="A",G1006,IF(BW1006=1,BX1006,IF(LEFT(Cockpit!$I$5,1)="B",AP1006,MAX(AP1006,G1006))))</f>
        <v>1</v>
      </c>
      <c r="AM1006" s="57" t="n">
        <f aca="false">IF(BR1006=1,0,ROUNDUP(AL1006/BQ1006,0))</f>
        <v>0</v>
      </c>
      <c r="AN1006" s="59" t="n">
        <f aca="false">IF(CD1006&gt;0,CD1006*MAX(1,AL1006/V1006),IF(BR1006=1,IF(AL1006&lt;=0,0,BS1006*MAX(1,IF(G1006&gt;0,AL1006/G1006,1))),IF(Q1006&gt;0,AM1006/Q1006,0))/MAX(0.1,N(Parameter!$M$21)))</f>
        <v>0.15</v>
      </c>
      <c r="AO1006" s="57" t="n">
        <f aca="false">AL1006*F1006</f>
        <v>20.83</v>
      </c>
      <c r="AP1006" s="57" t="n">
        <f aca="false">ROUNDUP(MAX(I1006/IF(BV1006&gt;0,BV1006,MAX(0.1,N(Cockpit!$I$6))),BY1006)/BQ1006,0)*BQ1006</f>
        <v>1</v>
      </c>
      <c r="AQ1006" s="58" t="n">
        <f aca="false">IF(AN1006&gt;0,I1006/AN1006,-1)</f>
        <v>0</v>
      </c>
      <c r="AR1006" s="58" t="n">
        <f aca="false">IF(AND(OR(BU1006="L1",BU1006="L23"),AN1006&gt;0),SUMIFS($AN$7:$AN$1576,$BU$7:$BU$1576,BU1006,$AQ$7:$AQ$1576,"&gt;"&amp;AQ1006)+SUMIFS($AN$7:$AN$1576,$BU$7:$BU$1576,BU1006,$AQ$7:$AQ$1576,AQ1006,$BO$7:$BO$1576,"&lt;="&amp;BO1006),"")</f>
        <v>132.244892136896</v>
      </c>
      <c r="AS1006" s="65" t="n">
        <f aca="false">IF(AR1006="",0,MAX(0,MIN(1,(IF(BU1006="L1",Parameter!$E$5,Parameter!$E$6+Parameter!$E$7)-(AR1006-AN1006))/AN1006)))</f>
        <v>0</v>
      </c>
      <c r="AT1006" s="57" t="n">
        <f aca="false">IF(LEFT(Cockpit!$O$5,1)="A",G1006,IF(BW1006=1,BX1006,IF(LEFT(Cockpit!$O$5,1)="B",AX1006,MAX(AX1006,G1006))))</f>
        <v>1</v>
      </c>
      <c r="AU1006" s="57" t="n">
        <f aca="false">IF(BR1006=1,0,ROUNDUP(AT1006/BQ1006,0))</f>
        <v>0</v>
      </c>
      <c r="AV1006" s="59" t="n">
        <f aca="false">IF(CD1006&gt;0,CD1006*MAX(1,AT1006/V1006),IF(BR1006=1,IF(AT1006&lt;=0,0,BS1006*MAX(1,IF(G1006&gt;0,AT1006/G1006,1))),IF(Q1006&gt;0,AU1006/Q1006,0))/MAX(0.1,N(Parameter!$M$21)))</f>
        <v>0.15</v>
      </c>
      <c r="AW1006" s="57" t="n">
        <f aca="false">AT1006*F1006</f>
        <v>20.83</v>
      </c>
      <c r="AX1006" s="57" t="n">
        <f aca="false">ROUNDUP(MAX(I1006/IF(BV1006&gt;0,BV1006,MAX(0.1,N(Cockpit!$O$6))),BY1006)/BQ1006,0)*BQ1006</f>
        <v>1</v>
      </c>
      <c r="AY1006" s="58" t="n">
        <f aca="false">IF(AV1006&gt;0,I1006/AV1006,-1)</f>
        <v>0</v>
      </c>
      <c r="AZ1006" s="58" t="n">
        <f aca="false">IF(AND(OR(BU1006="L1",BU1006="L23"),AV1006&gt;0),SUMIFS($AV$7:$AV$1576,$BU$7:$BU$1576,BU1006,$AY$7:$AY$1576,"&gt;"&amp;AY1006)+SUMIFS($AV$7:$AV$1576,$BU$7:$BU$1576,BU1006,$AY$7:$AY$1576,AY1006,$BO$7:$BO$1576,"&lt;="&amp;BO1006),"")</f>
        <v>122.304442586447</v>
      </c>
      <c r="BA1006" s="65" t="n">
        <f aca="false">IF(AZ1006="",0,MAX(0,MIN(1,(IF(BU1006="L1",Parameter!$E$5,Parameter!$E$6+Parameter!$E$7)-(AZ1006-AV1006))/AV1006)))</f>
        <v>0</v>
      </c>
      <c r="BB1006" s="55" t="str">
        <f aca="false">IF(AF1006&lt;=0,"",IF(BU1006="Aussen","Aussenlager",IF(BU1006="-","Nicht im Lift",IF(AK1006&gt;=1,"Lift",IF(AK1006&lt;=0,"Aussenlager","teilweise")))))</f>
        <v/>
      </c>
      <c r="BC1006" s="55" t="str">
        <f aca="false">IF(AN1006&lt;=0,"",IF(BU1006="Aussen","Aussenlager",IF(BU1006="-","Nicht im Lift",IF(AS1006&gt;=1,"Lift",IF(AS1006&lt;=0,"Aussenlager","teilweise")))))</f>
        <v>Aussenlager</v>
      </c>
      <c r="BD1006" s="55" t="str">
        <f aca="false">IF(AV1006&lt;=0,"",IF(BU1006="Aussen","Aussenlager",IF(BU1006="-","Nicht im Lift",IF(BA1006&gt;=1,"Lift",IF(BA1006&lt;=0,"Aussenlager","teilweise")))))</f>
        <v>Aussenlager</v>
      </c>
      <c r="BE1006" s="55" t="str">
        <f aca="false">IF(A1006="","",IF(BN1006=1,"Neu; ","")&amp;IF(AND(BN1006=0,BI1006&lt;0),"negativer Bestand (Export "&amp;BI1006&amp;"); ","")&amp;IF(I1006&lt;=0,"Kein Verbrauch; ","")&amp;IF(CD1006&gt;0,"Lift "&amp;U1006&amp;" lt. Liftbericht (Fach "&amp;V1006&amp;" Stk); ",IF(BR1006=1,"Lose – Fläche geschätzt; ",""))&amp;IF(G1006&gt;AP1006,"Überbestand "&amp;ROUND(G1006-AP1006,0)&amp;" Stk / CHF "&amp;ROUND((G1006-AP1006)*F1006,0)&amp;"; ","")&amp;IF(AND(BW1006=1,BX1006&lt;BY1006),"MAX &lt; MB+LG; ","")&amp;IF(AND(CC1006&gt;0,CB1006*10&gt;CC1006),"zu hoch für Tablar; ","")&amp;IF(AND(BN1006=0,OR(BW1006=1,Y1006&lt;&gt;"",S1006&lt;&gt;"",T1006&lt;&gt;"",Z1006&lt;&gt;"")),"manuell übersteuert; ","")&amp;IF(AND(BR1006=0,Q1006=0),"Gebinde unbekannt / Stellmass fehlt; ","")&amp;IF(AND(BR1006=0,N(T1006)&lt;=0,N(P1006)&lt;=0),"Menge pro Gebinde fehlt (Ist = 1 Gebinde); ","")&amp;BM1006)</f>
        <v>negativer Bestand (Export -5); Kein Verbrauch; Lose – Fläche geschätzt; </v>
      </c>
      <c r="BF1006" s="55"/>
      <c r="BG1006" s="55"/>
      <c r="BH1006" s="62"/>
      <c r="BI1006" s="57" t="n">
        <v>-5</v>
      </c>
      <c r="BJ1006" s="57" t="n">
        <v>5</v>
      </c>
      <c r="BK1006" s="56" t="n">
        <v>-104.15</v>
      </c>
      <c r="BL1006" s="57" t="n">
        <v>0</v>
      </c>
      <c r="BM1006" s="55"/>
      <c r="BN1006" s="60" t="n">
        <v>0</v>
      </c>
      <c r="BO1006" s="60" t="n">
        <v>1006</v>
      </c>
      <c r="BP1006" s="55" t="str">
        <f aca="false">IF(S1006&lt;&gt;"",UPPER(TRIM(S1006)),IF(O1006="","LOSE",O1006))</f>
        <v>LOSE</v>
      </c>
      <c r="BQ1006" s="57" t="n">
        <f aca="false">IF(BP1006="LOSE",1,IF(N(T1006)&gt;0,T1006,IF(N(P1006)&gt;0,P1006,MAX(1,G1006))))</f>
        <v>1</v>
      </c>
      <c r="BR1006" s="60" t="n">
        <f aca="false">IF(BP1006="LOSE",1,0)</f>
        <v>1</v>
      </c>
      <c r="BS1006" s="59" t="n">
        <f aca="false">IF(BR1006=0,0,IF(N(R1006)&gt;0,R1006,IFERROR(VLOOKUP(D1006,Parameter!$A$35:$C$64,3,0)+0,0)))</f>
        <v>0.15</v>
      </c>
      <c r="BT1006" s="55" t="n">
        <f aca="false">IF(Y1006&lt;&gt;"",Y1006,X1006)</f>
        <v>2</v>
      </c>
      <c r="BU1006" s="55" t="str">
        <f aca="false">IF(BT1006=1,"L1",IF(OR(BT1006=2,BT1006=3),"L23",IF(BT1006="Aussen","Aussen","-")))</f>
        <v>L23</v>
      </c>
      <c r="BV1006" s="66" t="n">
        <f aca="false">IF(N(Z1006)&gt;0,Z1006,0)</f>
        <v>0</v>
      </c>
      <c r="BW1006" s="60" t="n">
        <f aca="false">IF(ISNUMBER(AC1006),1,0)</f>
        <v>0</v>
      </c>
      <c r="BX1006" s="57" t="n">
        <f aca="false">N(AC1006)</f>
        <v>0</v>
      </c>
      <c r="BY1006" s="57" t="n">
        <f aca="false">N(L1006)+N(M1006)</f>
        <v>1</v>
      </c>
      <c r="BZ1006" s="57" t="n">
        <f aca="false">ROUNDUP(G1006/BQ1006,0)</f>
        <v>0</v>
      </c>
      <c r="CA1006" s="57" t="n">
        <f aca="false">ROUNDUP(BX1006/BQ1006,0)</f>
        <v>0</v>
      </c>
      <c r="CB1006" s="60" t="n">
        <f aca="false">IF(BR1006=1,0,IFERROR(VLOOKUP(BP1006,'Gebinde-Kategorie'!$A$5:$M$45,5,0)+0,0))</f>
        <v>0</v>
      </c>
      <c r="CC1006" s="60" t="n">
        <f aca="false">IFERROR(IF(OR(BT1006=1,BT1006=2,BT1006=3),N(INDEX(Parameter!$I$5:$I$7,BT1006)),0),0)</f>
        <v>0</v>
      </c>
      <c r="CD1006" s="59" t="n">
        <f aca="false">IF(AND(Parameter!$B$21="Ja",ISNUMBER(U1006),N(V1006)&gt;0),IFERROR(N(INDEX(Parameter!$L$5:$L$7,U1006))*INDEX(Parameter!$E$5:$E$7,U1006)*V1006/SUMIFS($V$7:$V$1576,$U$7:$U$1576,U1006),0),0)</f>
        <v>0</v>
      </c>
    </row>
    <row r="1007" customFormat="false" ht="15" hidden="false" customHeight="false" outlineLevel="0" collapsed="false">
      <c r="A1007" s="55" t="s">
        <v>1844</v>
      </c>
      <c r="B1007" s="55" t="s">
        <v>1845</v>
      </c>
      <c r="C1007" s="55" t="s">
        <v>160</v>
      </c>
      <c r="D1007" s="55" t="s">
        <v>178</v>
      </c>
      <c r="E1007" s="55" t="s">
        <v>210</v>
      </c>
      <c r="F1007" s="56" t="n">
        <v>7.39</v>
      </c>
      <c r="G1007" s="57" t="n">
        <f aca="false">MAX(0,IF(AND(Parameter!$B$21="Ja",ISNUMBER(W1007)),W1007,IF(Parameter!$B$20="Jahresanfang 2025 + Export",BJ1007+BI1007,BI1007)))</f>
        <v>0</v>
      </c>
      <c r="H1007" s="57" t="n">
        <f aca="false">G1007*F1007</f>
        <v>0</v>
      </c>
      <c r="I1007" s="57" t="n">
        <f aca="false">BL1007*Parameter!$B$18</f>
        <v>103</v>
      </c>
      <c r="J1007" s="58" t="n">
        <v>102</v>
      </c>
      <c r="K1007" s="59" t="n">
        <v>1.00980392156863</v>
      </c>
      <c r="L1007" s="57" t="n">
        <v>4</v>
      </c>
      <c r="M1007" s="57" t="n">
        <v>110</v>
      </c>
      <c r="N1007" s="60" t="n">
        <v>14</v>
      </c>
      <c r="O1007" s="55" t="s">
        <v>465</v>
      </c>
      <c r="P1007" s="57" t="n">
        <v>229</v>
      </c>
      <c r="Q1007" s="60" t="n">
        <f aca="false">IF(BR1007=1,0,IFERROR(VLOOKUP(BP1007,'Gebinde-Kategorie'!$A$5:$M$45,13,0)+0,0))</f>
        <v>66</v>
      </c>
      <c r="R1007" s="61"/>
      <c r="S1007" s="62"/>
      <c r="T1007" s="62"/>
      <c r="U1007" s="55"/>
      <c r="V1007" s="57"/>
      <c r="W1007" s="57"/>
      <c r="X1007" s="55" t="n">
        <f aca="false">IF(A1007="","",IF(AND(Parameter!$B$21="Ja",ISNUMBER(U1007)),U1007,IF(IFERROR(VLOOKUP(D1007,Parameter!$A$35:$C$64,2,0),"Nein")="2+3",IF(ISNUMBER(SEARCH("grosser Artikel",BM1007)),2,IFERROR(VLOOKUP(BP1007,Parameter!$F$35:$G$64,2,0),2)),IF(OR(IFERROR(VLOOKUP(D1007,Parameter!$A$35:$C$64,2,0),"Nein")="Nein",IFERROR(VLOOKUP(D1007,Parameter!$A$35:$C$64,2,0),"Nein")=""),"-",VLOOKUP(D1007,Parameter!$A$35:$C$64,2,0)))))</f>
        <v>3</v>
      </c>
      <c r="Y1007" s="62"/>
      <c r="Z1007" s="63"/>
      <c r="AA1007" s="57" t="n">
        <f aca="false">AP1007</f>
        <v>229</v>
      </c>
      <c r="AB1007" s="57" t="n">
        <f aca="false">MAX(AP1007,G1007)</f>
        <v>229</v>
      </c>
      <c r="AC1007" s="64"/>
      <c r="AD1007" s="57" t="n">
        <f aca="false">IF(LEFT(Cockpit!$C$5,1)="A",G1007,IF(BW1007=1,BX1007,IF(LEFT(Cockpit!$C$5,1)="B",AH1007,MAX(AH1007,G1007))))</f>
        <v>0</v>
      </c>
      <c r="AE1007" s="57" t="n">
        <f aca="false">IF(BR1007=1,0,ROUNDUP(AD1007/BQ1007,0))</f>
        <v>0</v>
      </c>
      <c r="AF1007" s="59" t="n">
        <f aca="false">IF(CD1007&gt;0,CD1007*MAX(1,AD1007/V1007),IF(BR1007=1,IF(AD1007&lt;=0,0,BS1007*MAX(1,IF(G1007&gt;0,AD1007/G1007,1))),IF(Q1007&gt;0,AE1007/Q1007,0))/MAX(0.1,N(Parameter!$M$21)))</f>
        <v>0</v>
      </c>
      <c r="AG1007" s="57" t="n">
        <f aca="false">AD1007*F1007</f>
        <v>0</v>
      </c>
      <c r="AH1007" s="57" t="n">
        <f aca="false">ROUNDUP(MAX(I1007/IF(BV1007&gt;0,BV1007,MAX(0.1,N(Cockpit!$C$6))),BY1007)/BQ1007,0)*BQ1007</f>
        <v>229</v>
      </c>
      <c r="AI1007" s="58" t="n">
        <f aca="false">IF(AF1007&gt;0,I1007/AF1007,-1)</f>
        <v>-1</v>
      </c>
      <c r="AJ1007" s="58" t="str">
        <f aca="false">IF(AND(OR(BU1007="L1",BU1007="L23"),AF1007&gt;0),SUMIFS($AF$7:$AF$1576,$BU$7:$BU$1576,BU1007,$AI$7:$AI$1576,"&gt;"&amp;AI1007)+SUMIFS($AF$7:$AF$1576,$BU$7:$BU$1576,BU1007,$AI$7:$AI$1576,AI1007,$BO$7:$BO$1576,"&lt;="&amp;BO1007),"")</f>
        <v/>
      </c>
      <c r="AK1007" s="65" t="n">
        <f aca="false">IF(AJ1007="",0,MAX(0,MIN(1,(IF(BU1007="L1",Parameter!$E$5,Parameter!$E$6+Parameter!$E$7)-(AJ1007-AF1007))/AF1007)))</f>
        <v>0</v>
      </c>
      <c r="AL1007" s="57" t="n">
        <f aca="false">IF(LEFT(Cockpit!$I$5,1)="A",G1007,IF(BW1007=1,BX1007,IF(LEFT(Cockpit!$I$5,1)="B",AP1007,MAX(AP1007,G1007))))</f>
        <v>229</v>
      </c>
      <c r="AM1007" s="57" t="n">
        <f aca="false">IF(BR1007=1,0,ROUNDUP(AL1007/BQ1007,0))</f>
        <v>1</v>
      </c>
      <c r="AN1007" s="59" t="n">
        <f aca="false">IF(CD1007&gt;0,CD1007*MAX(1,AL1007/V1007),IF(BR1007=1,IF(AL1007&lt;=0,0,BS1007*MAX(1,IF(G1007&gt;0,AL1007/G1007,1))),IF(Q1007&gt;0,AM1007/Q1007,0))/MAX(0.1,N(Parameter!$M$21)))</f>
        <v>0.0151515151515152</v>
      </c>
      <c r="AO1007" s="57" t="n">
        <f aca="false">AL1007*F1007</f>
        <v>1692.31</v>
      </c>
      <c r="AP1007" s="57" t="n">
        <f aca="false">ROUNDUP(MAX(I1007/IF(BV1007&gt;0,BV1007,MAX(0.1,N(Cockpit!$I$6))),BY1007)/BQ1007,0)*BQ1007</f>
        <v>229</v>
      </c>
      <c r="AQ1007" s="58" t="n">
        <f aca="false">IF(AN1007&gt;0,I1007/AN1007,-1)</f>
        <v>6798</v>
      </c>
      <c r="AR1007" s="58" t="n">
        <f aca="false">IF(AND(OR(BU1007="L1",BU1007="L23"),AN1007&gt;0),SUMIFS($AN$7:$AN$1576,$BU$7:$BU$1576,BU1007,$AQ$7:$AQ$1576,"&gt;"&amp;AQ1007)+SUMIFS($AN$7:$AN$1576,$BU$7:$BU$1576,BU1007,$AQ$7:$AQ$1576,AQ1007,$BO$7:$BO$1576,"&lt;="&amp;BO1007),"")</f>
        <v>8.91014154927198</v>
      </c>
      <c r="AS1007" s="65" t="n">
        <f aca="false">IF(AR1007="",0,MAX(0,MIN(1,(IF(BU1007="L1",Parameter!$E$5,Parameter!$E$6+Parameter!$E$7)-(AR1007-AN1007))/AN1007)))</f>
        <v>1</v>
      </c>
      <c r="AT1007" s="57" t="n">
        <f aca="false">IF(LEFT(Cockpit!$O$5,1)="A",G1007,IF(BW1007=1,BX1007,IF(LEFT(Cockpit!$O$5,1)="B",AX1007,MAX(AX1007,G1007))))</f>
        <v>229</v>
      </c>
      <c r="AU1007" s="57" t="n">
        <f aca="false">IF(BR1007=1,0,ROUNDUP(AT1007/BQ1007,0))</f>
        <v>1</v>
      </c>
      <c r="AV1007" s="59" t="n">
        <f aca="false">IF(CD1007&gt;0,CD1007*MAX(1,AT1007/V1007),IF(BR1007=1,IF(AT1007&lt;=0,0,BS1007*MAX(1,IF(G1007&gt;0,AT1007/G1007,1))),IF(Q1007&gt;0,AU1007/Q1007,0))/MAX(0.1,N(Parameter!$M$21)))</f>
        <v>0.0151515151515152</v>
      </c>
      <c r="AW1007" s="57" t="n">
        <f aca="false">AT1007*F1007</f>
        <v>1692.31</v>
      </c>
      <c r="AX1007" s="57" t="n">
        <f aca="false">ROUNDUP(MAX(I1007/IF(BV1007&gt;0,BV1007,MAX(0.1,N(Cockpit!$O$6))),BY1007)/BQ1007,0)*BQ1007</f>
        <v>229</v>
      </c>
      <c r="AY1007" s="58" t="n">
        <f aca="false">IF(AV1007&gt;0,I1007/AV1007,-1)</f>
        <v>6798</v>
      </c>
      <c r="AZ1007" s="58" t="n">
        <f aca="false">IF(AND(OR(BU1007="L1",BU1007="L23"),AV1007&gt;0),SUMIFS($AV$7:$AV$1576,$BU$7:$BU$1576,BU1007,$AY$7:$AY$1576,"&gt;"&amp;AY1007)+SUMIFS($AV$7:$AV$1576,$BU$7:$BU$1576,BU1007,$AY$7:$AY$1576,AY1007,$BO$7:$BO$1576,"&lt;="&amp;BO1007),"")</f>
        <v>8.92587581500625</v>
      </c>
      <c r="BA1007" s="65" t="n">
        <f aca="false">IF(AZ1007="",0,MAX(0,MIN(1,(IF(BU1007="L1",Parameter!$E$5,Parameter!$E$6+Parameter!$E$7)-(AZ1007-AV1007))/AV1007)))</f>
        <v>1</v>
      </c>
      <c r="BB1007" s="55" t="str">
        <f aca="false">IF(AF1007&lt;=0,"",IF(BU1007="Aussen","Aussenlager",IF(BU1007="-","Nicht im Lift",IF(AK1007&gt;=1,"Lift",IF(AK1007&lt;=0,"Aussenlager","teilweise")))))</f>
        <v/>
      </c>
      <c r="BC1007" s="55" t="str">
        <f aca="false">IF(AN1007&lt;=0,"",IF(BU1007="Aussen","Aussenlager",IF(BU1007="-","Nicht im Lift",IF(AS1007&gt;=1,"Lift",IF(AS1007&lt;=0,"Aussenlager","teilweise")))))</f>
        <v>Lift</v>
      </c>
      <c r="BD1007" s="55" t="str">
        <f aca="false">IF(AV1007&lt;=0,"",IF(BU1007="Aussen","Aussenlager",IF(BU1007="-","Nicht im Lift",IF(BA1007&gt;=1,"Lift",IF(BA1007&lt;=0,"Aussenlager","teilweise")))))</f>
        <v>Lift</v>
      </c>
      <c r="BE1007" s="55" t="str">
        <f aca="false">IF(A1007="","",IF(BN1007=1,"Neu; ","")&amp;IF(AND(BN1007=0,BI1007&lt;0),"negativer Bestand (Export "&amp;BI1007&amp;"); ","")&amp;IF(I1007&lt;=0,"Kein Verbrauch; ","")&amp;IF(CD1007&gt;0,"Lift "&amp;U1007&amp;" lt. Liftbericht (Fach "&amp;V1007&amp;" Stk); ",IF(BR1007=1,"Lose – Fläche geschätzt; ",""))&amp;IF(G1007&gt;AP1007,"Überbestand "&amp;ROUND(G1007-AP1007,0)&amp;" Stk / CHF "&amp;ROUND((G1007-AP1007)*F1007,0)&amp;"; ","")&amp;IF(AND(BW1007=1,BX1007&lt;BY1007),"MAX &lt; MB+LG; ","")&amp;IF(AND(CC1007&gt;0,CB1007*10&gt;CC1007),"zu hoch für Tablar; ","")&amp;IF(AND(BN1007=0,OR(BW1007=1,Y1007&lt;&gt;"",S1007&lt;&gt;"",T1007&lt;&gt;"",Z1007&lt;&gt;"")),"manuell übersteuert; ","")&amp;IF(AND(BR1007=0,Q1007=0),"Gebinde unbekannt / Stellmass fehlt; ","")&amp;IF(AND(BR1007=0,N(T1007)&lt;=0,N(P1007)&lt;=0),"Menge pro Gebinde fehlt (Ist = 1 Gebinde); ","")&amp;BM1007)</f>
        <v>negativer Bestand (Export -16); </v>
      </c>
      <c r="BF1007" s="55"/>
      <c r="BG1007" s="55"/>
      <c r="BH1007" s="62"/>
      <c r="BI1007" s="57" t="n">
        <v>-16</v>
      </c>
      <c r="BJ1007" s="57" t="n">
        <v>58</v>
      </c>
      <c r="BK1007" s="56" t="n">
        <v>-105.24</v>
      </c>
      <c r="BL1007" s="57" t="n">
        <v>103</v>
      </c>
      <c r="BM1007" s="55"/>
      <c r="BN1007" s="60" t="n">
        <v>0</v>
      </c>
      <c r="BO1007" s="60" t="n">
        <v>1007</v>
      </c>
      <c r="BP1007" s="55" t="str">
        <f aca="false">IF(S1007&lt;&gt;"",UPPER(TRIM(S1007)),IF(O1007="","LOSE",O1007))</f>
        <v>S33</v>
      </c>
      <c r="BQ1007" s="57" t="n">
        <f aca="false">IF(BP1007="LOSE",1,IF(N(T1007)&gt;0,T1007,IF(N(P1007)&gt;0,P1007,MAX(1,G1007))))</f>
        <v>229</v>
      </c>
      <c r="BR1007" s="60" t="n">
        <f aca="false">IF(BP1007="LOSE",1,0)</f>
        <v>0</v>
      </c>
      <c r="BS1007" s="59" t="n">
        <f aca="false">IF(BR1007=0,0,IF(N(R1007)&gt;0,R1007,IFERROR(VLOOKUP(D1007,Parameter!$A$35:$C$64,3,0)+0,0)))</f>
        <v>0</v>
      </c>
      <c r="BT1007" s="55" t="n">
        <f aca="false">IF(Y1007&lt;&gt;"",Y1007,X1007)</f>
        <v>3</v>
      </c>
      <c r="BU1007" s="55" t="str">
        <f aca="false">IF(BT1007=1,"L1",IF(OR(BT1007=2,BT1007=3),"L23",IF(BT1007="Aussen","Aussen","-")))</f>
        <v>L23</v>
      </c>
      <c r="BV1007" s="66" t="n">
        <f aca="false">IF(N(Z1007)&gt;0,Z1007,0)</f>
        <v>0</v>
      </c>
      <c r="BW1007" s="60" t="n">
        <f aca="false">IF(ISNUMBER(AC1007),1,0)</f>
        <v>0</v>
      </c>
      <c r="BX1007" s="57" t="n">
        <f aca="false">N(AC1007)</f>
        <v>0</v>
      </c>
      <c r="BY1007" s="57" t="n">
        <f aca="false">N(L1007)+N(M1007)</f>
        <v>114</v>
      </c>
      <c r="BZ1007" s="57" t="n">
        <f aca="false">ROUNDUP(G1007/BQ1007,0)</f>
        <v>0</v>
      </c>
      <c r="CA1007" s="57" t="n">
        <f aca="false">ROUNDUP(BX1007/BQ1007,0)</f>
        <v>0</v>
      </c>
      <c r="CB1007" s="60" t="n">
        <f aca="false">IF(BR1007=1,0,IFERROR(VLOOKUP(BP1007,'Gebinde-Kategorie'!$A$5:$M$45,5,0)+0,0))</f>
        <v>8</v>
      </c>
      <c r="CC1007" s="60" t="n">
        <f aca="false">IFERROR(IF(OR(BT1007=1,BT1007=2,BT1007=3),N(INDEX(Parameter!$I$5:$I$7,BT1007)),0),0)</f>
        <v>0</v>
      </c>
      <c r="CD1007" s="59" t="n">
        <f aca="false">IF(AND(Parameter!$B$21="Ja",ISNUMBER(U1007),N(V1007)&gt;0),IFERROR(N(INDEX(Parameter!$L$5:$L$7,U1007))*INDEX(Parameter!$E$5:$E$7,U1007)*V1007/SUMIFS($V$7:$V$1576,$U$7:$U$1576,U1007),0),0)</f>
        <v>0</v>
      </c>
    </row>
    <row r="1008" customFormat="false" ht="15" hidden="false" customHeight="false" outlineLevel="0" collapsed="false">
      <c r="A1008" s="55" t="s">
        <v>1846</v>
      </c>
      <c r="B1008" s="55" t="s">
        <v>1783</v>
      </c>
      <c r="C1008" s="55" t="s">
        <v>160</v>
      </c>
      <c r="D1008" s="55" t="s">
        <v>344</v>
      </c>
      <c r="E1008" s="55" t="s">
        <v>210</v>
      </c>
      <c r="F1008" s="56" t="n">
        <v>106.63</v>
      </c>
      <c r="G1008" s="57" t="n">
        <f aca="false">MAX(0,IF(AND(Parameter!$B$21="Ja",ISNUMBER(W1008)),W1008,IF(Parameter!$B$20="Jahresanfang 2025 + Export",BJ1008+BI1008,BI1008)))</f>
        <v>0</v>
      </c>
      <c r="H1008" s="57" t="n">
        <f aca="false">G1008*F1008</f>
        <v>0</v>
      </c>
      <c r="I1008" s="57" t="n">
        <f aca="false">BL1008*Parameter!$B$18</f>
        <v>0</v>
      </c>
      <c r="J1008" s="58" t="n">
        <v>0.5</v>
      </c>
      <c r="K1008" s="59" t="n">
        <v>0</v>
      </c>
      <c r="L1008" s="57" t="n">
        <v>0</v>
      </c>
      <c r="M1008" s="57" t="n">
        <v>0</v>
      </c>
      <c r="N1008" s="60" t="n">
        <v>28</v>
      </c>
      <c r="O1008" s="55" t="s">
        <v>163</v>
      </c>
      <c r="P1008" s="57"/>
      <c r="Q1008" s="60" t="n">
        <f aca="false">IF(BR1008=1,0,IFERROR(VLOOKUP(BP1008,'Gebinde-Kategorie'!$A$5:$M$45,13,0)+0,0))</f>
        <v>0</v>
      </c>
      <c r="R1008" s="61"/>
      <c r="S1008" s="62"/>
      <c r="T1008" s="62"/>
      <c r="U1008" s="55"/>
      <c r="V1008" s="57"/>
      <c r="W1008" s="57"/>
      <c r="X1008" s="55" t="str">
        <f aca="false">IF(A1008="","",IF(AND(Parameter!$B$21="Ja",ISNUMBER(U1008)),U1008,IF(IFERROR(VLOOKUP(D1008,Parameter!$A$35:$C$64,2,0),"Nein")="2+3",IF(ISNUMBER(SEARCH("grosser Artikel",BM1008)),2,IFERROR(VLOOKUP(BP1008,Parameter!$F$35:$G$64,2,0),2)),IF(OR(IFERROR(VLOOKUP(D1008,Parameter!$A$35:$C$64,2,0),"Nein")="Nein",IFERROR(VLOOKUP(D1008,Parameter!$A$35:$C$64,2,0),"Nein")=""),"-",VLOOKUP(D1008,Parameter!$A$35:$C$64,2,0)))))</f>
        <v>-</v>
      </c>
      <c r="Y1008" s="62"/>
      <c r="Z1008" s="63"/>
      <c r="AA1008" s="57" t="n">
        <f aca="false">AP1008</f>
        <v>0</v>
      </c>
      <c r="AB1008" s="57" t="n">
        <f aca="false">MAX(AP1008,G1008)</f>
        <v>0</v>
      </c>
      <c r="AC1008" s="64"/>
      <c r="AD1008" s="57" t="n">
        <f aca="false">IF(LEFT(Cockpit!$C$5,1)="A",G1008,IF(BW1008=1,BX1008,IF(LEFT(Cockpit!$C$5,1)="B",AH1008,MAX(AH1008,G1008))))</f>
        <v>0</v>
      </c>
      <c r="AE1008" s="57" t="n">
        <f aca="false">IF(BR1008=1,0,ROUNDUP(AD1008/BQ1008,0))</f>
        <v>0</v>
      </c>
      <c r="AF1008" s="59" t="n">
        <f aca="false">IF(CD1008&gt;0,CD1008*MAX(1,AD1008/V1008),IF(BR1008=1,IF(AD1008&lt;=0,0,BS1008*MAX(1,IF(G1008&gt;0,AD1008/G1008,1))),IF(Q1008&gt;0,AE1008/Q1008,0))/MAX(0.1,N(Parameter!$M$21)))</f>
        <v>0</v>
      </c>
      <c r="AG1008" s="57" t="n">
        <f aca="false">AD1008*F1008</f>
        <v>0</v>
      </c>
      <c r="AH1008" s="57" t="n">
        <f aca="false">ROUNDUP(MAX(I1008/IF(BV1008&gt;0,BV1008,MAX(0.1,N(Cockpit!$C$6))),BY1008)/BQ1008,0)*BQ1008</f>
        <v>0</v>
      </c>
      <c r="AI1008" s="58" t="n">
        <f aca="false">IF(AF1008&gt;0,I1008/AF1008,-1)</f>
        <v>-1</v>
      </c>
      <c r="AJ1008" s="58" t="str">
        <f aca="false">IF(AND(OR(BU1008="L1",BU1008="L23"),AF1008&gt;0),SUMIFS($AF$7:$AF$1576,$BU$7:$BU$1576,BU1008,$AI$7:$AI$1576,"&gt;"&amp;AI1008)+SUMIFS($AF$7:$AF$1576,$BU$7:$BU$1576,BU1008,$AI$7:$AI$1576,AI1008,$BO$7:$BO$1576,"&lt;="&amp;BO1008),"")</f>
        <v/>
      </c>
      <c r="AK1008" s="65" t="n">
        <f aca="false">IF(AJ1008="",0,MAX(0,MIN(1,(IF(BU1008="L1",Parameter!$E$5,Parameter!$E$6+Parameter!$E$7)-(AJ1008-AF1008))/AF1008)))</f>
        <v>0</v>
      </c>
      <c r="AL1008" s="57" t="n">
        <f aca="false">IF(LEFT(Cockpit!$I$5,1)="A",G1008,IF(BW1008=1,BX1008,IF(LEFT(Cockpit!$I$5,1)="B",AP1008,MAX(AP1008,G1008))))</f>
        <v>0</v>
      </c>
      <c r="AM1008" s="57" t="n">
        <f aca="false">IF(BR1008=1,0,ROUNDUP(AL1008/BQ1008,0))</f>
        <v>0</v>
      </c>
      <c r="AN1008" s="59" t="n">
        <f aca="false">IF(CD1008&gt;0,CD1008*MAX(1,AL1008/V1008),IF(BR1008=1,IF(AL1008&lt;=0,0,BS1008*MAX(1,IF(G1008&gt;0,AL1008/G1008,1))),IF(Q1008&gt;0,AM1008/Q1008,0))/MAX(0.1,N(Parameter!$M$21)))</f>
        <v>0</v>
      </c>
      <c r="AO1008" s="57" t="n">
        <f aca="false">AL1008*F1008</f>
        <v>0</v>
      </c>
      <c r="AP1008" s="57" t="n">
        <f aca="false">ROUNDUP(MAX(I1008/IF(BV1008&gt;0,BV1008,MAX(0.1,N(Cockpit!$I$6))),BY1008)/BQ1008,0)*BQ1008</f>
        <v>0</v>
      </c>
      <c r="AQ1008" s="58" t="n">
        <f aca="false">IF(AN1008&gt;0,I1008/AN1008,-1)</f>
        <v>-1</v>
      </c>
      <c r="AR1008" s="58" t="str">
        <f aca="false">IF(AND(OR(BU1008="L1",BU1008="L23"),AN1008&gt;0),SUMIFS($AN$7:$AN$1576,$BU$7:$BU$1576,BU1008,$AQ$7:$AQ$1576,"&gt;"&amp;AQ1008)+SUMIFS($AN$7:$AN$1576,$BU$7:$BU$1576,BU1008,$AQ$7:$AQ$1576,AQ1008,$BO$7:$BO$1576,"&lt;="&amp;BO1008),"")</f>
        <v/>
      </c>
      <c r="AS1008" s="65" t="n">
        <f aca="false">IF(AR1008="",0,MAX(0,MIN(1,(IF(BU1008="L1",Parameter!$E$5,Parameter!$E$6+Parameter!$E$7)-(AR1008-AN1008))/AN1008)))</f>
        <v>0</v>
      </c>
      <c r="AT1008" s="57" t="n">
        <f aca="false">IF(LEFT(Cockpit!$O$5,1)="A",G1008,IF(BW1008=1,BX1008,IF(LEFT(Cockpit!$O$5,1)="B",AX1008,MAX(AX1008,G1008))))</f>
        <v>0</v>
      </c>
      <c r="AU1008" s="57" t="n">
        <f aca="false">IF(BR1008=1,0,ROUNDUP(AT1008/BQ1008,0))</f>
        <v>0</v>
      </c>
      <c r="AV1008" s="59" t="n">
        <f aca="false">IF(CD1008&gt;0,CD1008*MAX(1,AT1008/V1008),IF(BR1008=1,IF(AT1008&lt;=0,0,BS1008*MAX(1,IF(G1008&gt;0,AT1008/G1008,1))),IF(Q1008&gt;0,AU1008/Q1008,0))/MAX(0.1,N(Parameter!$M$21)))</f>
        <v>0</v>
      </c>
      <c r="AW1008" s="57" t="n">
        <f aca="false">AT1008*F1008</f>
        <v>0</v>
      </c>
      <c r="AX1008" s="57" t="n">
        <f aca="false">ROUNDUP(MAX(I1008/IF(BV1008&gt;0,BV1008,MAX(0.1,N(Cockpit!$O$6))),BY1008)/BQ1008,0)*BQ1008</f>
        <v>0</v>
      </c>
      <c r="AY1008" s="58" t="n">
        <f aca="false">IF(AV1008&gt;0,I1008/AV1008,-1)</f>
        <v>-1</v>
      </c>
      <c r="AZ1008" s="58" t="str">
        <f aca="false">IF(AND(OR(BU1008="L1",BU1008="L23"),AV1008&gt;0),SUMIFS($AV$7:$AV$1576,$BU$7:$BU$1576,BU1008,$AY$7:$AY$1576,"&gt;"&amp;AY1008)+SUMIFS($AV$7:$AV$1576,$BU$7:$BU$1576,BU1008,$AY$7:$AY$1576,AY1008,$BO$7:$BO$1576,"&lt;="&amp;BO1008),"")</f>
        <v/>
      </c>
      <c r="BA1008" s="65" t="n">
        <f aca="false">IF(AZ1008="",0,MAX(0,MIN(1,(IF(BU1008="L1",Parameter!$E$5,Parameter!$E$6+Parameter!$E$7)-(AZ1008-AV1008))/AV1008)))</f>
        <v>0</v>
      </c>
      <c r="BB1008" s="55" t="str">
        <f aca="false">IF(AF1008&lt;=0,"",IF(BU1008="Aussen","Aussenlager",IF(BU1008="-","Nicht im Lift",IF(AK1008&gt;=1,"Lift",IF(AK1008&lt;=0,"Aussenlager","teilweise")))))</f>
        <v/>
      </c>
      <c r="BC1008" s="55" t="str">
        <f aca="false">IF(AN1008&lt;=0,"",IF(BU1008="Aussen","Aussenlager",IF(BU1008="-","Nicht im Lift",IF(AS1008&gt;=1,"Lift",IF(AS1008&lt;=0,"Aussenlager","teilweise")))))</f>
        <v/>
      </c>
      <c r="BD1008" s="55" t="str">
        <f aca="false">IF(AV1008&lt;=0,"",IF(BU1008="Aussen","Aussenlager",IF(BU1008="-","Nicht im Lift",IF(BA1008&gt;=1,"Lift",IF(BA1008&lt;=0,"Aussenlager","teilweise")))))</f>
        <v/>
      </c>
      <c r="BE1008" s="55" t="str">
        <f aca="false">IF(A1008="","",IF(BN1008=1,"Neu; ","")&amp;IF(AND(BN1008=0,BI1008&lt;0),"negativer Bestand (Export "&amp;BI1008&amp;"); ","")&amp;IF(I1008&lt;=0,"Kein Verbrauch; ","")&amp;IF(CD1008&gt;0,"Lift "&amp;U1008&amp;" lt. Liftbericht (Fach "&amp;V1008&amp;" Stk); ",IF(BR1008=1,"Lose – Fläche geschätzt; ",""))&amp;IF(G1008&gt;AP1008,"Überbestand "&amp;ROUND(G1008-AP1008,0)&amp;" Stk / CHF "&amp;ROUND((G1008-AP1008)*F1008,0)&amp;"; ","")&amp;IF(AND(BW1008=1,BX1008&lt;BY1008),"MAX &lt; MB+LG; ","")&amp;IF(AND(CC1008&gt;0,CB1008*10&gt;CC1008),"zu hoch für Tablar; ","")&amp;IF(AND(BN1008=0,OR(BW1008=1,Y1008&lt;&gt;"",S1008&lt;&gt;"",T1008&lt;&gt;"",Z1008&lt;&gt;"")),"manuell übersteuert; ","")&amp;IF(AND(BR1008=0,Q1008=0),"Gebinde unbekannt / Stellmass fehlt; ","")&amp;IF(AND(BR1008=0,N(T1008)&lt;=0,N(P1008)&lt;=0),"Menge pro Gebinde fehlt (Ist = 1 Gebinde); ","")&amp;BM1008)</f>
        <v>negativer Bestand (Export -1); Kein Verbrauch; Lose – Fläche geschätzt; </v>
      </c>
      <c r="BF1008" s="55"/>
      <c r="BG1008" s="55"/>
      <c r="BH1008" s="62"/>
      <c r="BI1008" s="57" t="n">
        <v>-1</v>
      </c>
      <c r="BJ1008" s="57" t="n">
        <v>1</v>
      </c>
      <c r="BK1008" s="56" t="n">
        <v>-106.63</v>
      </c>
      <c r="BL1008" s="57" t="n">
        <v>0</v>
      </c>
      <c r="BM1008" s="55"/>
      <c r="BN1008" s="60" t="n">
        <v>0</v>
      </c>
      <c r="BO1008" s="60" t="n">
        <v>1008</v>
      </c>
      <c r="BP1008" s="55" t="str">
        <f aca="false">IF(S1008&lt;&gt;"",UPPER(TRIM(S1008)),IF(O1008="","LOSE",O1008))</f>
        <v>LOSE</v>
      </c>
      <c r="BQ1008" s="57" t="n">
        <f aca="false">IF(BP1008="LOSE",1,IF(N(T1008)&gt;0,T1008,IF(N(P1008)&gt;0,P1008,MAX(1,G1008))))</f>
        <v>1</v>
      </c>
      <c r="BR1008" s="60" t="n">
        <f aca="false">IF(BP1008="LOSE",1,0)</f>
        <v>1</v>
      </c>
      <c r="BS1008" s="59" t="n">
        <f aca="false">IF(BR1008=0,0,IF(N(R1008)&gt;0,R1008,IFERROR(VLOOKUP(D1008,Parameter!$A$35:$C$64,3,0)+0,0)))</f>
        <v>0.15</v>
      </c>
      <c r="BT1008" s="55" t="str">
        <f aca="false">IF(Y1008&lt;&gt;"",Y1008,X1008)</f>
        <v>-</v>
      </c>
      <c r="BU1008" s="55" t="str">
        <f aca="false">IF(BT1008=1,"L1",IF(OR(BT1008=2,BT1008=3),"L23",IF(BT1008="Aussen","Aussen","-")))</f>
        <v>-</v>
      </c>
      <c r="BV1008" s="66" t="n">
        <f aca="false">IF(N(Z1008)&gt;0,Z1008,0)</f>
        <v>0</v>
      </c>
      <c r="BW1008" s="60" t="n">
        <f aca="false">IF(ISNUMBER(AC1008),1,0)</f>
        <v>0</v>
      </c>
      <c r="BX1008" s="57" t="n">
        <f aca="false">N(AC1008)</f>
        <v>0</v>
      </c>
      <c r="BY1008" s="57" t="n">
        <f aca="false">N(L1008)+N(M1008)</f>
        <v>0</v>
      </c>
      <c r="BZ1008" s="57" t="n">
        <f aca="false">ROUNDUP(G1008/BQ1008,0)</f>
        <v>0</v>
      </c>
      <c r="CA1008" s="57" t="n">
        <f aca="false">ROUNDUP(BX1008/BQ1008,0)</f>
        <v>0</v>
      </c>
      <c r="CB1008" s="60" t="n">
        <f aca="false">IF(BR1008=1,0,IFERROR(VLOOKUP(BP1008,'Gebinde-Kategorie'!$A$5:$M$45,5,0)+0,0))</f>
        <v>0</v>
      </c>
      <c r="CC1008" s="60" t="n">
        <f aca="false">IFERROR(IF(OR(BT1008=1,BT1008=2,BT1008=3),N(INDEX(Parameter!$I$5:$I$7,BT1008)),0),0)</f>
        <v>0</v>
      </c>
      <c r="CD1008" s="59" t="n">
        <f aca="false">IF(AND(Parameter!$B$21="Ja",ISNUMBER(U1008),N(V1008)&gt;0),IFERROR(N(INDEX(Parameter!$L$5:$L$7,U1008))*INDEX(Parameter!$E$5:$E$7,U1008)*V1008/SUMIFS($V$7:$V$1576,$U$7:$U$1576,U1008),0),0)</f>
        <v>0</v>
      </c>
    </row>
    <row r="1009" customFormat="false" ht="15" hidden="false" customHeight="false" outlineLevel="0" collapsed="false">
      <c r="A1009" s="55" t="s">
        <v>1847</v>
      </c>
      <c r="B1009" s="55" t="s">
        <v>1848</v>
      </c>
      <c r="C1009" s="55" t="s">
        <v>160</v>
      </c>
      <c r="D1009" s="55" t="s">
        <v>178</v>
      </c>
      <c r="E1009" s="55" t="s">
        <v>210</v>
      </c>
      <c r="F1009" s="56" t="n">
        <v>106.76</v>
      </c>
      <c r="G1009" s="57" t="n">
        <f aca="false">MAX(0,IF(AND(Parameter!$B$21="Ja",ISNUMBER(W1009)),W1009,IF(Parameter!$B$20="Jahresanfang 2025 + Export",BJ1009+BI1009,BI1009)))</f>
        <v>0</v>
      </c>
      <c r="H1009" s="57" t="n">
        <f aca="false">G1009*F1009</f>
        <v>0</v>
      </c>
      <c r="I1009" s="57" t="n">
        <f aca="false">BL1009*Parameter!$B$18</f>
        <v>0</v>
      </c>
      <c r="J1009" s="58" t="n">
        <v>7</v>
      </c>
      <c r="K1009" s="59" t="n">
        <v>0</v>
      </c>
      <c r="L1009" s="57" t="n">
        <v>0</v>
      </c>
      <c r="M1009" s="57" t="n">
        <v>1</v>
      </c>
      <c r="N1009" s="60" t="n">
        <v>35</v>
      </c>
      <c r="O1009" s="55" t="s">
        <v>163</v>
      </c>
      <c r="P1009" s="57"/>
      <c r="Q1009" s="60" t="n">
        <f aca="false">IF(BR1009=1,0,IFERROR(VLOOKUP(BP1009,'Gebinde-Kategorie'!$A$5:$M$45,13,0)+0,0))</f>
        <v>0</v>
      </c>
      <c r="R1009" s="61"/>
      <c r="S1009" s="62"/>
      <c r="T1009" s="62"/>
      <c r="U1009" s="55"/>
      <c r="V1009" s="57"/>
      <c r="W1009" s="57"/>
      <c r="X1009" s="55" t="n">
        <f aca="false">IF(A1009="","",IF(AND(Parameter!$B$21="Ja",ISNUMBER(U1009)),U1009,IF(IFERROR(VLOOKUP(D1009,Parameter!$A$35:$C$64,2,0),"Nein")="2+3",IF(ISNUMBER(SEARCH("grosser Artikel",BM1009)),2,IFERROR(VLOOKUP(BP1009,Parameter!$F$35:$G$64,2,0),2)),IF(OR(IFERROR(VLOOKUP(D1009,Parameter!$A$35:$C$64,2,0),"Nein")="Nein",IFERROR(VLOOKUP(D1009,Parameter!$A$35:$C$64,2,0),"Nein")=""),"-",VLOOKUP(D1009,Parameter!$A$35:$C$64,2,0)))))</f>
        <v>2</v>
      </c>
      <c r="Y1009" s="62"/>
      <c r="Z1009" s="63"/>
      <c r="AA1009" s="57" t="n">
        <f aca="false">AP1009</f>
        <v>1</v>
      </c>
      <c r="AB1009" s="57" t="n">
        <f aca="false">MAX(AP1009,G1009)</f>
        <v>1</v>
      </c>
      <c r="AC1009" s="64"/>
      <c r="AD1009" s="57" t="n">
        <f aca="false">IF(LEFT(Cockpit!$C$5,1)="A",G1009,IF(BW1009=1,BX1009,IF(LEFT(Cockpit!$C$5,1)="B",AH1009,MAX(AH1009,G1009))))</f>
        <v>0</v>
      </c>
      <c r="AE1009" s="57" t="n">
        <f aca="false">IF(BR1009=1,0,ROUNDUP(AD1009/BQ1009,0))</f>
        <v>0</v>
      </c>
      <c r="AF1009" s="59" t="n">
        <f aca="false">IF(CD1009&gt;0,CD1009*MAX(1,AD1009/V1009),IF(BR1009=1,IF(AD1009&lt;=0,0,BS1009*MAX(1,IF(G1009&gt;0,AD1009/G1009,1))),IF(Q1009&gt;0,AE1009/Q1009,0))/MAX(0.1,N(Parameter!$M$21)))</f>
        <v>0</v>
      </c>
      <c r="AG1009" s="57" t="n">
        <f aca="false">AD1009*F1009</f>
        <v>0</v>
      </c>
      <c r="AH1009" s="57" t="n">
        <f aca="false">ROUNDUP(MAX(I1009/IF(BV1009&gt;0,BV1009,MAX(0.1,N(Cockpit!$C$6))),BY1009)/BQ1009,0)*BQ1009</f>
        <v>1</v>
      </c>
      <c r="AI1009" s="58" t="n">
        <f aca="false">IF(AF1009&gt;0,I1009/AF1009,-1)</f>
        <v>-1</v>
      </c>
      <c r="AJ1009" s="58" t="str">
        <f aca="false">IF(AND(OR(BU1009="L1",BU1009="L23"),AF1009&gt;0),SUMIFS($AF$7:$AF$1576,$BU$7:$BU$1576,BU1009,$AI$7:$AI$1576,"&gt;"&amp;AI1009)+SUMIFS($AF$7:$AF$1576,$BU$7:$BU$1576,BU1009,$AI$7:$AI$1576,AI1009,$BO$7:$BO$1576,"&lt;="&amp;BO1009),"")</f>
        <v/>
      </c>
      <c r="AK1009" s="65" t="n">
        <f aca="false">IF(AJ1009="",0,MAX(0,MIN(1,(IF(BU1009="L1",Parameter!$E$5,Parameter!$E$6+Parameter!$E$7)-(AJ1009-AF1009))/AF1009)))</f>
        <v>0</v>
      </c>
      <c r="AL1009" s="57" t="n">
        <f aca="false">IF(LEFT(Cockpit!$I$5,1)="A",G1009,IF(BW1009=1,BX1009,IF(LEFT(Cockpit!$I$5,1)="B",AP1009,MAX(AP1009,G1009))))</f>
        <v>1</v>
      </c>
      <c r="AM1009" s="57" t="n">
        <f aca="false">IF(BR1009=1,0,ROUNDUP(AL1009/BQ1009,0))</f>
        <v>0</v>
      </c>
      <c r="AN1009" s="59" t="n">
        <f aca="false">IF(CD1009&gt;0,CD1009*MAX(1,AL1009/V1009),IF(BR1009=1,IF(AL1009&lt;=0,0,BS1009*MAX(1,IF(G1009&gt;0,AL1009/G1009,1))),IF(Q1009&gt;0,AM1009/Q1009,0))/MAX(0.1,N(Parameter!$M$21)))</f>
        <v>0.03</v>
      </c>
      <c r="AO1009" s="57" t="n">
        <f aca="false">AL1009*F1009</f>
        <v>106.76</v>
      </c>
      <c r="AP1009" s="57" t="n">
        <f aca="false">ROUNDUP(MAX(I1009/IF(BV1009&gt;0,BV1009,MAX(0.1,N(Cockpit!$I$6))),BY1009)/BQ1009,0)*BQ1009</f>
        <v>1</v>
      </c>
      <c r="AQ1009" s="58" t="n">
        <f aca="false">IF(AN1009&gt;0,I1009/AN1009,-1)</f>
        <v>0</v>
      </c>
      <c r="AR1009" s="58" t="n">
        <f aca="false">IF(AND(OR(BU1009="L1",BU1009="L23"),AN1009&gt;0),SUMIFS($AN$7:$AN$1576,$BU$7:$BU$1576,BU1009,$AQ$7:$AQ$1576,"&gt;"&amp;AQ1009)+SUMIFS($AN$7:$AN$1576,$BU$7:$BU$1576,BU1009,$AQ$7:$AQ$1576,AQ1009,$BO$7:$BO$1576,"&lt;="&amp;BO1009),"")</f>
        <v>132.274892136896</v>
      </c>
      <c r="AS1009" s="65" t="n">
        <f aca="false">IF(AR1009="",0,MAX(0,MIN(1,(IF(BU1009="L1",Parameter!$E$5,Parameter!$E$6+Parameter!$E$7)-(AR1009-AN1009))/AN1009)))</f>
        <v>0</v>
      </c>
      <c r="AT1009" s="57" t="n">
        <f aca="false">IF(LEFT(Cockpit!$O$5,1)="A",G1009,IF(BW1009=1,BX1009,IF(LEFT(Cockpit!$O$5,1)="B",AX1009,MAX(AX1009,G1009))))</f>
        <v>1</v>
      </c>
      <c r="AU1009" s="57" t="n">
        <f aca="false">IF(BR1009=1,0,ROUNDUP(AT1009/BQ1009,0))</f>
        <v>0</v>
      </c>
      <c r="AV1009" s="59" t="n">
        <f aca="false">IF(CD1009&gt;0,CD1009*MAX(1,AT1009/V1009),IF(BR1009=1,IF(AT1009&lt;=0,0,BS1009*MAX(1,IF(G1009&gt;0,AT1009/G1009,1))),IF(Q1009&gt;0,AU1009/Q1009,0))/MAX(0.1,N(Parameter!$M$21)))</f>
        <v>0.03</v>
      </c>
      <c r="AW1009" s="57" t="n">
        <f aca="false">AT1009*F1009</f>
        <v>106.76</v>
      </c>
      <c r="AX1009" s="57" t="n">
        <f aca="false">ROUNDUP(MAX(I1009/IF(BV1009&gt;0,BV1009,MAX(0.1,N(Cockpit!$O$6))),BY1009)/BQ1009,0)*BQ1009</f>
        <v>1</v>
      </c>
      <c r="AY1009" s="58" t="n">
        <f aca="false">IF(AV1009&gt;0,I1009/AV1009,-1)</f>
        <v>0</v>
      </c>
      <c r="AZ1009" s="58" t="n">
        <f aca="false">IF(AND(OR(BU1009="L1",BU1009="L23"),AV1009&gt;0),SUMIFS($AV$7:$AV$1576,$BU$7:$BU$1576,BU1009,$AY$7:$AY$1576,"&gt;"&amp;AY1009)+SUMIFS($AV$7:$AV$1576,$BU$7:$BU$1576,BU1009,$AY$7:$AY$1576,AY1009,$BO$7:$BO$1576,"&lt;="&amp;BO1009),"")</f>
        <v>122.334442586447</v>
      </c>
      <c r="BA1009" s="65" t="n">
        <f aca="false">IF(AZ1009="",0,MAX(0,MIN(1,(IF(BU1009="L1",Parameter!$E$5,Parameter!$E$6+Parameter!$E$7)-(AZ1009-AV1009))/AV1009)))</f>
        <v>0</v>
      </c>
      <c r="BB1009" s="55" t="str">
        <f aca="false">IF(AF1009&lt;=0,"",IF(BU1009="Aussen","Aussenlager",IF(BU1009="-","Nicht im Lift",IF(AK1009&gt;=1,"Lift",IF(AK1009&lt;=0,"Aussenlager","teilweise")))))</f>
        <v/>
      </c>
      <c r="BC1009" s="55" t="str">
        <f aca="false">IF(AN1009&lt;=0,"",IF(BU1009="Aussen","Aussenlager",IF(BU1009="-","Nicht im Lift",IF(AS1009&gt;=1,"Lift",IF(AS1009&lt;=0,"Aussenlager","teilweise")))))</f>
        <v>Aussenlager</v>
      </c>
      <c r="BD1009" s="55" t="str">
        <f aca="false">IF(AV1009&lt;=0,"",IF(BU1009="Aussen","Aussenlager",IF(BU1009="-","Nicht im Lift",IF(BA1009&gt;=1,"Lift",IF(BA1009&lt;=0,"Aussenlager","teilweise")))))</f>
        <v>Aussenlager</v>
      </c>
      <c r="BE1009" s="55" t="str">
        <f aca="false">IF(A1009="","",IF(BN1009=1,"Neu; ","")&amp;IF(AND(BN1009=0,BI1009&lt;0),"negativer Bestand (Export "&amp;BI1009&amp;"); ","")&amp;IF(I1009&lt;=0,"Kein Verbrauch; ","")&amp;IF(CD1009&gt;0,"Lift "&amp;U1009&amp;" lt. Liftbericht (Fach "&amp;V1009&amp;" Stk); ",IF(BR1009=1,"Lose – Fläche geschätzt; ",""))&amp;IF(G1009&gt;AP1009,"Überbestand "&amp;ROUND(G1009-AP1009,0)&amp;" Stk / CHF "&amp;ROUND((G1009-AP1009)*F1009,0)&amp;"; ","")&amp;IF(AND(BW1009=1,BX1009&lt;BY1009),"MAX &lt; MB+LG; ","")&amp;IF(AND(CC1009&gt;0,CB1009*10&gt;CC1009),"zu hoch für Tablar; ","")&amp;IF(AND(BN1009=0,OR(BW1009=1,Y1009&lt;&gt;"",S1009&lt;&gt;"",T1009&lt;&gt;"",Z1009&lt;&gt;"")),"manuell übersteuert; ","")&amp;IF(AND(BR1009=0,Q1009=0),"Gebinde unbekannt / Stellmass fehlt; ","")&amp;IF(AND(BR1009=0,N(T1009)&lt;=0,N(P1009)&lt;=0),"Menge pro Gebinde fehlt (Ist = 1 Gebinde); ","")&amp;BM1009)</f>
        <v>negativer Bestand (Export -1); Kein Verbrauch; Lose – Fläche geschätzt; </v>
      </c>
      <c r="BF1009" s="55"/>
      <c r="BG1009" s="55"/>
      <c r="BH1009" s="62"/>
      <c r="BI1009" s="57" t="n">
        <v>-1</v>
      </c>
      <c r="BJ1009" s="57" t="n">
        <v>7</v>
      </c>
      <c r="BK1009" s="56" t="n">
        <v>-106.76</v>
      </c>
      <c r="BL1009" s="57" t="n">
        <v>0</v>
      </c>
      <c r="BM1009" s="55"/>
      <c r="BN1009" s="60" t="n">
        <v>0</v>
      </c>
      <c r="BO1009" s="60" t="n">
        <v>1009</v>
      </c>
      <c r="BP1009" s="55" t="str">
        <f aca="false">IF(S1009&lt;&gt;"",UPPER(TRIM(S1009)),IF(O1009="","LOSE",O1009))</f>
        <v>LOSE</v>
      </c>
      <c r="BQ1009" s="57" t="n">
        <f aca="false">IF(BP1009="LOSE",1,IF(N(T1009)&gt;0,T1009,IF(N(P1009)&gt;0,P1009,MAX(1,G1009))))</f>
        <v>1</v>
      </c>
      <c r="BR1009" s="60" t="n">
        <f aca="false">IF(BP1009="LOSE",1,0)</f>
        <v>1</v>
      </c>
      <c r="BS1009" s="59" t="n">
        <f aca="false">IF(BR1009=0,0,IF(N(R1009)&gt;0,R1009,IFERROR(VLOOKUP(D1009,Parameter!$A$35:$C$64,3,0)+0,0)))</f>
        <v>0.03</v>
      </c>
      <c r="BT1009" s="55" t="n">
        <f aca="false">IF(Y1009&lt;&gt;"",Y1009,X1009)</f>
        <v>2</v>
      </c>
      <c r="BU1009" s="55" t="str">
        <f aca="false">IF(BT1009=1,"L1",IF(OR(BT1009=2,BT1009=3),"L23",IF(BT1009="Aussen","Aussen","-")))</f>
        <v>L23</v>
      </c>
      <c r="BV1009" s="66" t="n">
        <f aca="false">IF(N(Z1009)&gt;0,Z1009,0)</f>
        <v>0</v>
      </c>
      <c r="BW1009" s="60" t="n">
        <f aca="false">IF(ISNUMBER(AC1009),1,0)</f>
        <v>0</v>
      </c>
      <c r="BX1009" s="57" t="n">
        <f aca="false">N(AC1009)</f>
        <v>0</v>
      </c>
      <c r="BY1009" s="57" t="n">
        <f aca="false">N(L1009)+N(M1009)</f>
        <v>1</v>
      </c>
      <c r="BZ1009" s="57" t="n">
        <f aca="false">ROUNDUP(G1009/BQ1009,0)</f>
        <v>0</v>
      </c>
      <c r="CA1009" s="57" t="n">
        <f aca="false">ROUNDUP(BX1009/BQ1009,0)</f>
        <v>0</v>
      </c>
      <c r="CB1009" s="60" t="n">
        <f aca="false">IF(BR1009=1,0,IFERROR(VLOOKUP(BP1009,'Gebinde-Kategorie'!$A$5:$M$45,5,0)+0,0))</f>
        <v>0</v>
      </c>
      <c r="CC1009" s="60" t="n">
        <f aca="false">IFERROR(IF(OR(BT1009=1,BT1009=2,BT1009=3),N(INDEX(Parameter!$I$5:$I$7,BT1009)),0),0)</f>
        <v>0</v>
      </c>
      <c r="CD1009" s="59" t="n">
        <f aca="false">IF(AND(Parameter!$B$21="Ja",ISNUMBER(U1009),N(V1009)&gt;0),IFERROR(N(INDEX(Parameter!$L$5:$L$7,U1009))*INDEX(Parameter!$E$5:$E$7,U1009)*V1009/SUMIFS($V$7:$V$1576,$U$7:$U$1576,U1009),0),0)</f>
        <v>0</v>
      </c>
    </row>
    <row r="1010" customFormat="false" ht="15" hidden="false" customHeight="false" outlineLevel="0" collapsed="false">
      <c r="A1010" s="55" t="s">
        <v>1849</v>
      </c>
      <c r="B1010" s="55" t="s">
        <v>490</v>
      </c>
      <c r="C1010" s="55" t="s">
        <v>160</v>
      </c>
      <c r="D1010" s="55" t="s">
        <v>178</v>
      </c>
      <c r="E1010" s="55" t="s">
        <v>210</v>
      </c>
      <c r="F1010" s="56" t="n">
        <v>10.06</v>
      </c>
      <c r="G1010" s="57" t="n">
        <f aca="false">MAX(0,IF(AND(Parameter!$B$21="Ja",ISNUMBER(W1010)),W1010,IF(Parameter!$B$20="Jahresanfang 2025 + Export",BJ1010+BI1010,BI1010)))</f>
        <v>0</v>
      </c>
      <c r="H1010" s="57" t="n">
        <f aca="false">G1010*F1010</f>
        <v>0</v>
      </c>
      <c r="I1010" s="57" t="n">
        <f aca="false">BL1010*Parameter!$B$18</f>
        <v>184</v>
      </c>
      <c r="J1010" s="58" t="n">
        <v>124</v>
      </c>
      <c r="K1010" s="59" t="n">
        <v>1.48387096774194</v>
      </c>
      <c r="L1010" s="57" t="n">
        <v>11</v>
      </c>
      <c r="M1010" s="57" t="n">
        <v>190</v>
      </c>
      <c r="N1010" s="60" t="n">
        <v>21</v>
      </c>
      <c r="O1010" s="55" t="s">
        <v>225</v>
      </c>
      <c r="P1010" s="57" t="n">
        <v>131</v>
      </c>
      <c r="Q1010" s="60" t="n">
        <f aca="false">IF(BR1010=1,0,IFERROR(VLOOKUP(BP1010,'Gebinde-Kategorie'!$A$5:$M$45,13,0)+0,0))</f>
        <v>26</v>
      </c>
      <c r="R1010" s="61"/>
      <c r="S1010" s="62"/>
      <c r="T1010" s="62"/>
      <c r="U1010" s="55"/>
      <c r="V1010" s="57"/>
      <c r="W1010" s="57"/>
      <c r="X1010" s="55" t="n">
        <f aca="false">IF(A1010="","",IF(AND(Parameter!$B$21="Ja",ISNUMBER(U1010)),U1010,IF(IFERROR(VLOOKUP(D1010,Parameter!$A$35:$C$64,2,0),"Nein")="2+3",IF(ISNUMBER(SEARCH("grosser Artikel",BM1010)),2,IFERROR(VLOOKUP(BP1010,Parameter!$F$35:$G$64,2,0),2)),IF(OR(IFERROR(VLOOKUP(D1010,Parameter!$A$35:$C$64,2,0),"Nein")="Nein",IFERROR(VLOOKUP(D1010,Parameter!$A$35:$C$64,2,0),"Nein")=""),"-",VLOOKUP(D1010,Parameter!$A$35:$C$64,2,0)))))</f>
        <v>3</v>
      </c>
      <c r="Y1010" s="62"/>
      <c r="Z1010" s="63"/>
      <c r="AA1010" s="57" t="n">
        <f aca="false">AP1010</f>
        <v>262</v>
      </c>
      <c r="AB1010" s="57" t="n">
        <f aca="false">MAX(AP1010,G1010)</f>
        <v>262</v>
      </c>
      <c r="AC1010" s="64"/>
      <c r="AD1010" s="57" t="n">
        <f aca="false">IF(LEFT(Cockpit!$C$5,1)="A",G1010,IF(BW1010=1,BX1010,IF(LEFT(Cockpit!$C$5,1)="B",AH1010,MAX(AH1010,G1010))))</f>
        <v>0</v>
      </c>
      <c r="AE1010" s="57" t="n">
        <f aca="false">IF(BR1010=1,0,ROUNDUP(AD1010/BQ1010,0))</f>
        <v>0</v>
      </c>
      <c r="AF1010" s="59" t="n">
        <f aca="false">IF(CD1010&gt;0,CD1010*MAX(1,AD1010/V1010),IF(BR1010=1,IF(AD1010&lt;=0,0,BS1010*MAX(1,IF(G1010&gt;0,AD1010/G1010,1))),IF(Q1010&gt;0,AE1010/Q1010,0))/MAX(0.1,N(Parameter!$M$21)))</f>
        <v>0</v>
      </c>
      <c r="AG1010" s="57" t="n">
        <f aca="false">AD1010*F1010</f>
        <v>0</v>
      </c>
      <c r="AH1010" s="57" t="n">
        <f aca="false">ROUNDUP(MAX(I1010/IF(BV1010&gt;0,BV1010,MAX(0.1,N(Cockpit!$C$6))),BY1010)/BQ1010,0)*BQ1010</f>
        <v>262</v>
      </c>
      <c r="AI1010" s="58" t="n">
        <f aca="false">IF(AF1010&gt;0,I1010/AF1010,-1)</f>
        <v>-1</v>
      </c>
      <c r="AJ1010" s="58" t="str">
        <f aca="false">IF(AND(OR(BU1010="L1",BU1010="L23"),AF1010&gt;0),SUMIFS($AF$7:$AF$1576,$BU$7:$BU$1576,BU1010,$AI$7:$AI$1576,"&gt;"&amp;AI1010)+SUMIFS($AF$7:$AF$1576,$BU$7:$BU$1576,BU1010,$AI$7:$AI$1576,AI1010,$BO$7:$BO$1576,"&lt;="&amp;BO1010),"")</f>
        <v/>
      </c>
      <c r="AK1010" s="65" t="n">
        <f aca="false">IF(AJ1010="",0,MAX(0,MIN(1,(IF(BU1010="L1",Parameter!$E$5,Parameter!$E$6+Parameter!$E$7)-(AJ1010-AF1010))/AF1010)))</f>
        <v>0</v>
      </c>
      <c r="AL1010" s="57" t="n">
        <f aca="false">IF(LEFT(Cockpit!$I$5,1)="A",G1010,IF(BW1010=1,BX1010,IF(LEFT(Cockpit!$I$5,1)="B",AP1010,MAX(AP1010,G1010))))</f>
        <v>262</v>
      </c>
      <c r="AM1010" s="57" t="n">
        <f aca="false">IF(BR1010=1,0,ROUNDUP(AL1010/BQ1010,0))</f>
        <v>2</v>
      </c>
      <c r="AN1010" s="59" t="n">
        <f aca="false">IF(CD1010&gt;0,CD1010*MAX(1,AL1010/V1010),IF(BR1010=1,IF(AL1010&lt;=0,0,BS1010*MAX(1,IF(G1010&gt;0,AL1010/G1010,1))),IF(Q1010&gt;0,AM1010/Q1010,0))/MAX(0.1,N(Parameter!$M$21)))</f>
        <v>0.0769230769230769</v>
      </c>
      <c r="AO1010" s="57" t="n">
        <f aca="false">AL1010*F1010</f>
        <v>2635.72</v>
      </c>
      <c r="AP1010" s="57" t="n">
        <f aca="false">ROUNDUP(MAX(I1010/IF(BV1010&gt;0,BV1010,MAX(0.1,N(Cockpit!$I$6))),BY1010)/BQ1010,0)*BQ1010</f>
        <v>262</v>
      </c>
      <c r="AQ1010" s="58" t="n">
        <f aca="false">IF(AN1010&gt;0,I1010/AN1010,-1)</f>
        <v>2392</v>
      </c>
      <c r="AR1010" s="58" t="n">
        <f aca="false">IF(AND(OR(BU1010="L1",BU1010="L23"),AN1010&gt;0),SUMIFS($AN$7:$AN$1576,$BU$7:$BU$1576,BU1010,$AQ$7:$AQ$1576,"&gt;"&amp;AQ1010)+SUMIFS($AN$7:$AN$1576,$BU$7:$BU$1576,BU1010,$AQ$7:$AQ$1576,AQ1010,$BO$7:$BO$1576,"&lt;="&amp;BO1010),"")</f>
        <v>15.9589442565641</v>
      </c>
      <c r="AS1010" s="65" t="n">
        <f aca="false">IF(AR1010="",0,MAX(0,MIN(1,(IF(BU1010="L1",Parameter!$E$5,Parameter!$E$6+Parameter!$E$7)-(AR1010-AN1010))/AN1010)))</f>
        <v>1</v>
      </c>
      <c r="AT1010" s="57" t="n">
        <f aca="false">IF(LEFT(Cockpit!$O$5,1)="A",G1010,IF(BW1010=1,BX1010,IF(LEFT(Cockpit!$O$5,1)="B",AX1010,MAX(AX1010,G1010))))</f>
        <v>262</v>
      </c>
      <c r="AU1010" s="57" t="n">
        <f aca="false">IF(BR1010=1,0,ROUNDUP(AT1010/BQ1010,0))</f>
        <v>2</v>
      </c>
      <c r="AV1010" s="59" t="n">
        <f aca="false">IF(CD1010&gt;0,CD1010*MAX(1,AT1010/V1010),IF(BR1010=1,IF(AT1010&lt;=0,0,BS1010*MAX(1,IF(G1010&gt;0,AT1010/G1010,1))),IF(Q1010&gt;0,AU1010/Q1010,0))/MAX(0.1,N(Parameter!$M$21)))</f>
        <v>0.0769230769230769</v>
      </c>
      <c r="AW1010" s="57" t="n">
        <f aca="false">AT1010*F1010</f>
        <v>2635.72</v>
      </c>
      <c r="AX1010" s="57" t="n">
        <f aca="false">ROUNDUP(MAX(I1010/IF(BV1010&gt;0,BV1010,MAX(0.1,N(Cockpit!$O$6))),BY1010)/BQ1010,0)*BQ1010</f>
        <v>262</v>
      </c>
      <c r="AY1010" s="58" t="n">
        <f aca="false">IF(AV1010&gt;0,I1010/AV1010,-1)</f>
        <v>2392</v>
      </c>
      <c r="AZ1010" s="58" t="n">
        <f aca="false">IF(AND(OR(BU1010="L1",BU1010="L23"),AV1010&gt;0),SUMIFS($AV$7:$AV$1576,$BU$7:$BU$1576,BU1010,$AY$7:$AY$1576,"&gt;"&amp;AY1010)+SUMIFS($AV$7:$AV$1576,$BU$7:$BU$1576,BU1010,$AY$7:$AY$1576,AY1010,$BO$7:$BO$1576,"&lt;="&amp;BO1010),"")</f>
        <v>14.7631400607599</v>
      </c>
      <c r="BA1010" s="65" t="n">
        <f aca="false">IF(AZ1010="",0,MAX(0,MIN(1,(IF(BU1010="L1",Parameter!$E$5,Parameter!$E$6+Parameter!$E$7)-(AZ1010-AV1010))/AV1010)))</f>
        <v>1</v>
      </c>
      <c r="BB1010" s="55" t="str">
        <f aca="false">IF(AF1010&lt;=0,"",IF(BU1010="Aussen","Aussenlager",IF(BU1010="-","Nicht im Lift",IF(AK1010&gt;=1,"Lift",IF(AK1010&lt;=0,"Aussenlager","teilweise")))))</f>
        <v/>
      </c>
      <c r="BC1010" s="55" t="str">
        <f aca="false">IF(AN1010&lt;=0,"",IF(BU1010="Aussen","Aussenlager",IF(BU1010="-","Nicht im Lift",IF(AS1010&gt;=1,"Lift",IF(AS1010&lt;=0,"Aussenlager","teilweise")))))</f>
        <v>Lift</v>
      </c>
      <c r="BD1010" s="55" t="str">
        <f aca="false">IF(AV1010&lt;=0,"",IF(BU1010="Aussen","Aussenlager",IF(BU1010="-","Nicht im Lift",IF(BA1010&gt;=1,"Lift",IF(BA1010&lt;=0,"Aussenlager","teilweise")))))</f>
        <v>Lift</v>
      </c>
      <c r="BE1010" s="55" t="str">
        <f aca="false">IF(A1010="","",IF(BN1010=1,"Neu; ","")&amp;IF(AND(BN1010=0,BI1010&lt;0),"negativer Bestand (Export "&amp;BI1010&amp;"); ","")&amp;IF(I1010&lt;=0,"Kein Verbrauch; ","")&amp;IF(CD1010&gt;0,"Lift "&amp;U1010&amp;" lt. Liftbericht (Fach "&amp;V1010&amp;" Stk); ",IF(BR1010=1,"Lose – Fläche geschätzt; ",""))&amp;IF(G1010&gt;AP1010,"Überbestand "&amp;ROUND(G1010-AP1010,0)&amp;" Stk / CHF "&amp;ROUND((G1010-AP1010)*F1010,0)&amp;"; ","")&amp;IF(AND(BW1010=1,BX1010&lt;BY1010),"MAX &lt; MB+LG; ","")&amp;IF(AND(CC1010&gt;0,CB1010*10&gt;CC1010),"zu hoch für Tablar; ","")&amp;IF(AND(BN1010=0,OR(BW1010=1,Y1010&lt;&gt;"",S1010&lt;&gt;"",T1010&lt;&gt;"",Z1010&lt;&gt;"")),"manuell übersteuert; ","")&amp;IF(AND(BR1010=0,Q1010=0),"Gebinde unbekannt / Stellmass fehlt; ","")&amp;IF(AND(BR1010=0,N(T1010)&lt;=0,N(P1010)&lt;=0),"Menge pro Gebinde fehlt (Ist = 1 Gebinde); ","")&amp;BM1010)</f>
        <v>negativer Bestand (Export -27); </v>
      </c>
      <c r="BF1010" s="55"/>
      <c r="BG1010" s="55"/>
      <c r="BH1010" s="62"/>
      <c r="BI1010" s="57" t="n">
        <v>-27</v>
      </c>
      <c r="BJ1010" s="57" t="n">
        <v>164</v>
      </c>
      <c r="BK1010" s="56" t="n">
        <v>-107.619999999999</v>
      </c>
      <c r="BL1010" s="57" t="n">
        <v>184</v>
      </c>
      <c r="BM1010" s="55"/>
      <c r="BN1010" s="60" t="n">
        <v>0</v>
      </c>
      <c r="BO1010" s="60" t="n">
        <v>1010</v>
      </c>
      <c r="BP1010" s="55" t="str">
        <f aca="false">IF(S1010&lt;&gt;"",UPPER(TRIM(S1010)),IF(O1010="","LOSE",O1010))</f>
        <v>S52</v>
      </c>
      <c r="BQ1010" s="57" t="n">
        <f aca="false">IF(BP1010="LOSE",1,IF(N(T1010)&gt;0,T1010,IF(N(P1010)&gt;0,P1010,MAX(1,G1010))))</f>
        <v>131</v>
      </c>
      <c r="BR1010" s="60" t="n">
        <f aca="false">IF(BP1010="LOSE",1,0)</f>
        <v>0</v>
      </c>
      <c r="BS1010" s="59" t="n">
        <f aca="false">IF(BR1010=0,0,IF(N(R1010)&gt;0,R1010,IFERROR(VLOOKUP(D1010,Parameter!$A$35:$C$64,3,0)+0,0)))</f>
        <v>0</v>
      </c>
      <c r="BT1010" s="55" t="n">
        <f aca="false">IF(Y1010&lt;&gt;"",Y1010,X1010)</f>
        <v>3</v>
      </c>
      <c r="BU1010" s="55" t="str">
        <f aca="false">IF(BT1010=1,"L1",IF(OR(BT1010=2,BT1010=3),"L23",IF(BT1010="Aussen","Aussen","-")))</f>
        <v>L23</v>
      </c>
      <c r="BV1010" s="66" t="n">
        <f aca="false">IF(N(Z1010)&gt;0,Z1010,0)</f>
        <v>0</v>
      </c>
      <c r="BW1010" s="60" t="n">
        <f aca="false">IF(ISNUMBER(AC1010),1,0)</f>
        <v>0</v>
      </c>
      <c r="BX1010" s="57" t="n">
        <f aca="false">N(AC1010)</f>
        <v>0</v>
      </c>
      <c r="BY1010" s="57" t="n">
        <f aca="false">N(L1010)+N(M1010)</f>
        <v>201</v>
      </c>
      <c r="BZ1010" s="57" t="n">
        <f aca="false">ROUNDUP(G1010/BQ1010,0)</f>
        <v>0</v>
      </c>
      <c r="CA1010" s="57" t="n">
        <f aca="false">ROUNDUP(BX1010/BQ1010,0)</f>
        <v>0</v>
      </c>
      <c r="CB1010" s="60" t="n">
        <f aca="false">IF(BR1010=1,0,IFERROR(VLOOKUP(BP1010,'Gebinde-Kategorie'!$A$5:$M$45,5,0)+0,0))</f>
        <v>21</v>
      </c>
      <c r="CC1010" s="60" t="n">
        <f aca="false">IFERROR(IF(OR(BT1010=1,BT1010=2,BT1010=3),N(INDEX(Parameter!$I$5:$I$7,BT1010)),0),0)</f>
        <v>0</v>
      </c>
      <c r="CD1010" s="59" t="n">
        <f aca="false">IF(AND(Parameter!$B$21="Ja",ISNUMBER(U1010),N(V1010)&gt;0),IFERROR(N(INDEX(Parameter!$L$5:$L$7,U1010))*INDEX(Parameter!$E$5:$E$7,U1010)*V1010/SUMIFS($V$7:$V$1576,$U$7:$U$1576,U1010),0),0)</f>
        <v>0</v>
      </c>
    </row>
    <row r="1011" customFormat="false" ht="15" hidden="false" customHeight="false" outlineLevel="0" collapsed="false">
      <c r="A1011" s="55" t="s">
        <v>1850</v>
      </c>
      <c r="B1011" s="55" t="s">
        <v>1851</v>
      </c>
      <c r="C1011" s="55" t="s">
        <v>160</v>
      </c>
      <c r="D1011" s="55" t="s">
        <v>168</v>
      </c>
      <c r="E1011" s="55" t="s">
        <v>210</v>
      </c>
      <c r="F1011" s="56" t="n">
        <v>54.04</v>
      </c>
      <c r="G1011" s="57" t="n">
        <f aca="false">MAX(0,IF(AND(Parameter!$B$21="Ja",ISNUMBER(W1011)),W1011,IF(Parameter!$B$20="Jahresanfang 2025 + Export",BJ1011+BI1011,BI1011)))</f>
        <v>0</v>
      </c>
      <c r="H1011" s="57" t="n">
        <f aca="false">G1011*F1011</f>
        <v>0</v>
      </c>
      <c r="I1011" s="57" t="n">
        <f aca="false">BL1011*Parameter!$B$18</f>
        <v>0</v>
      </c>
      <c r="J1011" s="58" t="n">
        <v>31</v>
      </c>
      <c r="K1011" s="59" t="n">
        <v>0</v>
      </c>
      <c r="L1011" s="57" t="n">
        <v>0</v>
      </c>
      <c r="M1011" s="57" t="n">
        <v>1</v>
      </c>
      <c r="N1011" s="60" t="n">
        <v>42</v>
      </c>
      <c r="O1011" s="55" t="s">
        <v>284</v>
      </c>
      <c r="P1011" s="57" t="n">
        <v>32</v>
      </c>
      <c r="Q1011" s="60" t="n">
        <f aca="false">IF(BR1011=1,0,IFERROR(VLOOKUP(BP1011,'Gebinde-Kategorie'!$A$5:$M$45,13,0)+0,0))</f>
        <v>12</v>
      </c>
      <c r="R1011" s="61"/>
      <c r="S1011" s="62"/>
      <c r="T1011" s="62"/>
      <c r="U1011" s="55"/>
      <c r="V1011" s="57"/>
      <c r="W1011" s="57"/>
      <c r="X1011" s="55" t="n">
        <f aca="false">IF(A1011="","",IF(AND(Parameter!$B$21="Ja",ISNUMBER(U1011)),U1011,IF(IFERROR(VLOOKUP(D1011,Parameter!$A$35:$C$64,2,0),"Nein")="2+3",IF(ISNUMBER(SEARCH("grosser Artikel",BM1011)),2,IFERROR(VLOOKUP(BP1011,Parameter!$F$35:$G$64,2,0),2)),IF(OR(IFERROR(VLOOKUP(D1011,Parameter!$A$35:$C$64,2,0),"Nein")="Nein",IFERROR(VLOOKUP(D1011,Parameter!$A$35:$C$64,2,0),"Nein")=""),"-",VLOOKUP(D1011,Parameter!$A$35:$C$64,2,0)))))</f>
        <v>2</v>
      </c>
      <c r="Y1011" s="62"/>
      <c r="Z1011" s="63"/>
      <c r="AA1011" s="57" t="n">
        <f aca="false">AP1011</f>
        <v>32</v>
      </c>
      <c r="AB1011" s="57" t="n">
        <f aca="false">MAX(AP1011,G1011)</f>
        <v>32</v>
      </c>
      <c r="AC1011" s="64"/>
      <c r="AD1011" s="57" t="n">
        <f aca="false">IF(LEFT(Cockpit!$C$5,1)="A",G1011,IF(BW1011=1,BX1011,IF(LEFT(Cockpit!$C$5,1)="B",AH1011,MAX(AH1011,G1011))))</f>
        <v>0</v>
      </c>
      <c r="AE1011" s="57" t="n">
        <f aca="false">IF(BR1011=1,0,ROUNDUP(AD1011/BQ1011,0))</f>
        <v>0</v>
      </c>
      <c r="AF1011" s="59" t="n">
        <f aca="false">IF(CD1011&gt;0,CD1011*MAX(1,AD1011/V1011),IF(BR1011=1,IF(AD1011&lt;=0,0,BS1011*MAX(1,IF(G1011&gt;0,AD1011/G1011,1))),IF(Q1011&gt;0,AE1011/Q1011,0))/MAX(0.1,N(Parameter!$M$21)))</f>
        <v>0</v>
      </c>
      <c r="AG1011" s="57" t="n">
        <f aca="false">AD1011*F1011</f>
        <v>0</v>
      </c>
      <c r="AH1011" s="57" t="n">
        <f aca="false">ROUNDUP(MAX(I1011/IF(BV1011&gt;0,BV1011,MAX(0.1,N(Cockpit!$C$6))),BY1011)/BQ1011,0)*BQ1011</f>
        <v>32</v>
      </c>
      <c r="AI1011" s="58" t="n">
        <f aca="false">IF(AF1011&gt;0,I1011/AF1011,-1)</f>
        <v>-1</v>
      </c>
      <c r="AJ1011" s="58" t="str">
        <f aca="false">IF(AND(OR(BU1011="L1",BU1011="L23"),AF1011&gt;0),SUMIFS($AF$7:$AF$1576,$BU$7:$BU$1576,BU1011,$AI$7:$AI$1576,"&gt;"&amp;AI1011)+SUMIFS($AF$7:$AF$1576,$BU$7:$BU$1576,BU1011,$AI$7:$AI$1576,AI1011,$BO$7:$BO$1576,"&lt;="&amp;BO1011),"")</f>
        <v/>
      </c>
      <c r="AK1011" s="65" t="n">
        <f aca="false">IF(AJ1011="",0,MAX(0,MIN(1,(IF(BU1011="L1",Parameter!$E$5,Parameter!$E$6+Parameter!$E$7)-(AJ1011-AF1011))/AF1011)))</f>
        <v>0</v>
      </c>
      <c r="AL1011" s="57" t="n">
        <f aca="false">IF(LEFT(Cockpit!$I$5,1)="A",G1011,IF(BW1011=1,BX1011,IF(LEFT(Cockpit!$I$5,1)="B",AP1011,MAX(AP1011,G1011))))</f>
        <v>32</v>
      </c>
      <c r="AM1011" s="57" t="n">
        <f aca="false">IF(BR1011=1,0,ROUNDUP(AL1011/BQ1011,0))</f>
        <v>1</v>
      </c>
      <c r="AN1011" s="59" t="n">
        <f aca="false">IF(CD1011&gt;0,CD1011*MAX(1,AL1011/V1011),IF(BR1011=1,IF(AL1011&lt;=0,0,BS1011*MAX(1,IF(G1011&gt;0,AL1011/G1011,1))),IF(Q1011&gt;0,AM1011/Q1011,0))/MAX(0.1,N(Parameter!$M$21)))</f>
        <v>0.0833333333333333</v>
      </c>
      <c r="AO1011" s="57" t="n">
        <f aca="false">AL1011*F1011</f>
        <v>1729.28</v>
      </c>
      <c r="AP1011" s="57" t="n">
        <f aca="false">ROUNDUP(MAX(I1011/IF(BV1011&gt;0,BV1011,MAX(0.1,N(Cockpit!$I$6))),BY1011)/BQ1011,0)*BQ1011</f>
        <v>32</v>
      </c>
      <c r="AQ1011" s="58" t="n">
        <f aca="false">IF(AN1011&gt;0,I1011/AN1011,-1)</f>
        <v>0</v>
      </c>
      <c r="AR1011" s="58" t="n">
        <f aca="false">IF(AND(OR(BU1011="L1",BU1011="L23"),AN1011&gt;0),SUMIFS($AN$7:$AN$1576,$BU$7:$BU$1576,BU1011,$AQ$7:$AQ$1576,"&gt;"&amp;AQ1011)+SUMIFS($AN$7:$AN$1576,$BU$7:$BU$1576,BU1011,$AQ$7:$AQ$1576,AQ1011,$BO$7:$BO$1576,"&lt;="&amp;BO1011),"")</f>
        <v>132.358225470229</v>
      </c>
      <c r="AS1011" s="65" t="n">
        <f aca="false">IF(AR1011="",0,MAX(0,MIN(1,(IF(BU1011="L1",Parameter!$E$5,Parameter!$E$6+Parameter!$E$7)-(AR1011-AN1011))/AN1011)))</f>
        <v>0</v>
      </c>
      <c r="AT1011" s="57" t="n">
        <f aca="false">IF(LEFT(Cockpit!$O$5,1)="A",G1011,IF(BW1011=1,BX1011,IF(LEFT(Cockpit!$O$5,1)="B",AX1011,MAX(AX1011,G1011))))</f>
        <v>32</v>
      </c>
      <c r="AU1011" s="57" t="n">
        <f aca="false">IF(BR1011=1,0,ROUNDUP(AT1011/BQ1011,0))</f>
        <v>1</v>
      </c>
      <c r="AV1011" s="59" t="n">
        <f aca="false">IF(CD1011&gt;0,CD1011*MAX(1,AT1011/V1011),IF(BR1011=1,IF(AT1011&lt;=0,0,BS1011*MAX(1,IF(G1011&gt;0,AT1011/G1011,1))),IF(Q1011&gt;0,AU1011/Q1011,0))/MAX(0.1,N(Parameter!$M$21)))</f>
        <v>0.0833333333333333</v>
      </c>
      <c r="AW1011" s="57" t="n">
        <f aca="false">AT1011*F1011</f>
        <v>1729.28</v>
      </c>
      <c r="AX1011" s="57" t="n">
        <f aca="false">ROUNDUP(MAX(I1011/IF(BV1011&gt;0,BV1011,MAX(0.1,N(Cockpit!$O$6))),BY1011)/BQ1011,0)*BQ1011</f>
        <v>32</v>
      </c>
      <c r="AY1011" s="58" t="n">
        <f aca="false">IF(AV1011&gt;0,I1011/AV1011,-1)</f>
        <v>0</v>
      </c>
      <c r="AZ1011" s="58" t="n">
        <f aca="false">IF(AND(OR(BU1011="L1",BU1011="L23"),AV1011&gt;0),SUMIFS($AV$7:$AV$1576,$BU$7:$BU$1576,BU1011,$AY$7:$AY$1576,"&gt;"&amp;AY1011)+SUMIFS($AV$7:$AV$1576,$BU$7:$BU$1576,BU1011,$AY$7:$AY$1576,AY1011,$BO$7:$BO$1576,"&lt;="&amp;BO1011),"")</f>
        <v>122.41777591978</v>
      </c>
      <c r="BA1011" s="65" t="n">
        <f aca="false">IF(AZ1011="",0,MAX(0,MIN(1,(IF(BU1011="L1",Parameter!$E$5,Parameter!$E$6+Parameter!$E$7)-(AZ1011-AV1011))/AV1011)))</f>
        <v>0</v>
      </c>
      <c r="BB1011" s="55" t="str">
        <f aca="false">IF(AF1011&lt;=0,"",IF(BU1011="Aussen","Aussenlager",IF(BU1011="-","Nicht im Lift",IF(AK1011&gt;=1,"Lift",IF(AK1011&lt;=0,"Aussenlager","teilweise")))))</f>
        <v/>
      </c>
      <c r="BC1011" s="55" t="str">
        <f aca="false">IF(AN1011&lt;=0,"",IF(BU1011="Aussen","Aussenlager",IF(BU1011="-","Nicht im Lift",IF(AS1011&gt;=1,"Lift",IF(AS1011&lt;=0,"Aussenlager","teilweise")))))</f>
        <v>Aussenlager</v>
      </c>
      <c r="BD1011" s="55" t="str">
        <f aca="false">IF(AV1011&lt;=0,"",IF(BU1011="Aussen","Aussenlager",IF(BU1011="-","Nicht im Lift",IF(BA1011&gt;=1,"Lift",IF(BA1011&lt;=0,"Aussenlager","teilweise")))))</f>
        <v>Aussenlager</v>
      </c>
      <c r="BE1011" s="55" t="str">
        <f aca="false">IF(A1011="","",IF(BN1011=1,"Neu; ","")&amp;IF(AND(BN1011=0,BI1011&lt;0),"negativer Bestand (Export "&amp;BI1011&amp;"); ","")&amp;IF(I1011&lt;=0,"Kein Verbrauch; ","")&amp;IF(CD1011&gt;0,"Lift "&amp;U1011&amp;" lt. Liftbericht (Fach "&amp;V1011&amp;" Stk); ",IF(BR1011=1,"Lose – Fläche geschätzt; ",""))&amp;IF(G1011&gt;AP1011,"Überbestand "&amp;ROUND(G1011-AP1011,0)&amp;" Stk / CHF "&amp;ROUND((G1011-AP1011)*F1011,0)&amp;"; ","")&amp;IF(AND(BW1011=1,BX1011&lt;BY1011),"MAX &lt; MB+LG; ","")&amp;IF(AND(CC1011&gt;0,CB1011*10&gt;CC1011),"zu hoch für Tablar; ","")&amp;IF(AND(BN1011=0,OR(BW1011=1,Y1011&lt;&gt;"",S1011&lt;&gt;"",T1011&lt;&gt;"",Z1011&lt;&gt;"")),"manuell übersteuert; ","")&amp;IF(AND(BR1011=0,Q1011=0),"Gebinde unbekannt / Stellmass fehlt; ","")&amp;IF(AND(BR1011=0,N(T1011)&lt;=0,N(P1011)&lt;=0),"Menge pro Gebinde fehlt (Ist = 1 Gebinde); ","")&amp;BM1011)</f>
        <v>negativer Bestand (Export -2); Kein Verbrauch; </v>
      </c>
      <c r="BF1011" s="55"/>
      <c r="BG1011" s="55"/>
      <c r="BH1011" s="62"/>
      <c r="BI1011" s="57" t="n">
        <v>-2</v>
      </c>
      <c r="BJ1011" s="57" t="n">
        <v>32</v>
      </c>
      <c r="BK1011" s="56" t="n">
        <v>-108.08</v>
      </c>
      <c r="BL1011" s="57" t="n">
        <v>0</v>
      </c>
      <c r="BM1011" s="55"/>
      <c r="BN1011" s="60" t="n">
        <v>0</v>
      </c>
      <c r="BO1011" s="60" t="n">
        <v>1011</v>
      </c>
      <c r="BP1011" s="55" t="str">
        <f aca="false">IF(S1011&lt;&gt;"",UPPER(TRIM(S1011)),IF(O1011="","LOSE",O1011))</f>
        <v>S62</v>
      </c>
      <c r="BQ1011" s="57" t="n">
        <f aca="false">IF(BP1011="LOSE",1,IF(N(T1011)&gt;0,T1011,IF(N(P1011)&gt;0,P1011,MAX(1,G1011))))</f>
        <v>32</v>
      </c>
      <c r="BR1011" s="60" t="n">
        <f aca="false">IF(BP1011="LOSE",1,0)</f>
        <v>0</v>
      </c>
      <c r="BS1011" s="59" t="n">
        <f aca="false">IF(BR1011=0,0,IF(N(R1011)&gt;0,R1011,IFERROR(VLOOKUP(D1011,Parameter!$A$35:$C$64,3,0)+0,0)))</f>
        <v>0</v>
      </c>
      <c r="BT1011" s="55" t="n">
        <f aca="false">IF(Y1011&lt;&gt;"",Y1011,X1011)</f>
        <v>2</v>
      </c>
      <c r="BU1011" s="55" t="str">
        <f aca="false">IF(BT1011=1,"L1",IF(OR(BT1011=2,BT1011=3),"L23",IF(BT1011="Aussen","Aussen","-")))</f>
        <v>L23</v>
      </c>
      <c r="BV1011" s="66" t="n">
        <f aca="false">IF(N(Z1011)&gt;0,Z1011,0)</f>
        <v>0</v>
      </c>
      <c r="BW1011" s="60" t="n">
        <f aca="false">IF(ISNUMBER(AC1011),1,0)</f>
        <v>0</v>
      </c>
      <c r="BX1011" s="57" t="n">
        <f aca="false">N(AC1011)</f>
        <v>0</v>
      </c>
      <c r="BY1011" s="57" t="n">
        <f aca="false">N(L1011)+N(M1011)</f>
        <v>1</v>
      </c>
      <c r="BZ1011" s="57" t="n">
        <f aca="false">ROUNDUP(G1011/BQ1011,0)</f>
        <v>0</v>
      </c>
      <c r="CA1011" s="57" t="n">
        <f aca="false">ROUNDUP(BX1011/BQ1011,0)</f>
        <v>0</v>
      </c>
      <c r="CB1011" s="60" t="n">
        <f aca="false">IF(BR1011=1,0,IFERROR(VLOOKUP(BP1011,'Gebinde-Kategorie'!$A$5:$M$45,5,0)+0,0))</f>
        <v>21</v>
      </c>
      <c r="CC1011" s="60" t="n">
        <f aca="false">IFERROR(IF(OR(BT1011=1,BT1011=2,BT1011=3),N(INDEX(Parameter!$I$5:$I$7,BT1011)),0),0)</f>
        <v>0</v>
      </c>
      <c r="CD1011" s="59" t="n">
        <f aca="false">IF(AND(Parameter!$B$21="Ja",ISNUMBER(U1011),N(V1011)&gt;0),IFERROR(N(INDEX(Parameter!$L$5:$L$7,U1011))*INDEX(Parameter!$E$5:$E$7,U1011)*V1011/SUMIFS($V$7:$V$1576,$U$7:$U$1576,U1011),0),0)</f>
        <v>0</v>
      </c>
    </row>
    <row r="1012" customFormat="false" ht="15" hidden="false" customHeight="false" outlineLevel="0" collapsed="false">
      <c r="A1012" s="55" t="s">
        <v>1852</v>
      </c>
      <c r="B1012" s="55" t="s">
        <v>425</v>
      </c>
      <c r="C1012" s="55" t="s">
        <v>160</v>
      </c>
      <c r="D1012" s="55" t="s">
        <v>178</v>
      </c>
      <c r="E1012" s="55" t="s">
        <v>210</v>
      </c>
      <c r="F1012" s="56" t="n">
        <v>2.71</v>
      </c>
      <c r="G1012" s="57" t="n">
        <f aca="false">MAX(0,IF(AND(Parameter!$B$21="Ja",ISNUMBER(W1012)),W1012,IF(Parameter!$B$20="Jahresanfang 2025 + Export",BJ1012+BI1012,BI1012)))</f>
        <v>0</v>
      </c>
      <c r="H1012" s="57" t="n">
        <f aca="false">G1012*F1012</f>
        <v>0</v>
      </c>
      <c r="I1012" s="57" t="n">
        <f aca="false">BL1012*Parameter!$B$18</f>
        <v>0</v>
      </c>
      <c r="J1012" s="58" t="n">
        <v>69</v>
      </c>
      <c r="K1012" s="59" t="n">
        <v>0</v>
      </c>
      <c r="L1012" s="57" t="n">
        <v>0</v>
      </c>
      <c r="M1012" s="57" t="n">
        <v>1</v>
      </c>
      <c r="N1012" s="60" t="n">
        <v>14</v>
      </c>
      <c r="O1012" s="55" t="s">
        <v>293</v>
      </c>
      <c r="P1012" s="57" t="n">
        <v>94</v>
      </c>
      <c r="Q1012" s="60" t="n">
        <f aca="false">IF(BR1012=1,0,IFERROR(VLOOKUP(BP1012,'Gebinde-Kategorie'!$A$5:$M$45,13,0)+0,0))</f>
        <v>26</v>
      </c>
      <c r="R1012" s="61"/>
      <c r="S1012" s="62"/>
      <c r="T1012" s="62"/>
      <c r="U1012" s="55"/>
      <c r="V1012" s="57"/>
      <c r="W1012" s="57"/>
      <c r="X1012" s="55" t="n">
        <f aca="false">IF(A1012="","",IF(AND(Parameter!$B$21="Ja",ISNUMBER(U1012)),U1012,IF(IFERROR(VLOOKUP(D1012,Parameter!$A$35:$C$64,2,0),"Nein")="2+3",IF(ISNUMBER(SEARCH("grosser Artikel",BM1012)),2,IFERROR(VLOOKUP(BP1012,Parameter!$F$35:$G$64,2,0),2)),IF(OR(IFERROR(VLOOKUP(D1012,Parameter!$A$35:$C$64,2,0),"Nein")="Nein",IFERROR(VLOOKUP(D1012,Parameter!$A$35:$C$64,2,0),"Nein")=""),"-",VLOOKUP(D1012,Parameter!$A$35:$C$64,2,0)))))</f>
        <v>3</v>
      </c>
      <c r="Y1012" s="62"/>
      <c r="Z1012" s="63"/>
      <c r="AA1012" s="57" t="n">
        <f aca="false">AP1012</f>
        <v>94</v>
      </c>
      <c r="AB1012" s="57" t="n">
        <f aca="false">MAX(AP1012,G1012)</f>
        <v>94</v>
      </c>
      <c r="AC1012" s="64"/>
      <c r="AD1012" s="57" t="n">
        <f aca="false">IF(LEFT(Cockpit!$C$5,1)="A",G1012,IF(BW1012=1,BX1012,IF(LEFT(Cockpit!$C$5,1)="B",AH1012,MAX(AH1012,G1012))))</f>
        <v>0</v>
      </c>
      <c r="AE1012" s="57" t="n">
        <f aca="false">IF(BR1012=1,0,ROUNDUP(AD1012/BQ1012,0))</f>
        <v>0</v>
      </c>
      <c r="AF1012" s="59" t="n">
        <f aca="false">IF(CD1012&gt;0,CD1012*MAX(1,AD1012/V1012),IF(BR1012=1,IF(AD1012&lt;=0,0,BS1012*MAX(1,IF(G1012&gt;0,AD1012/G1012,1))),IF(Q1012&gt;0,AE1012/Q1012,0))/MAX(0.1,N(Parameter!$M$21)))</f>
        <v>0</v>
      </c>
      <c r="AG1012" s="57" t="n">
        <f aca="false">AD1012*F1012</f>
        <v>0</v>
      </c>
      <c r="AH1012" s="57" t="n">
        <f aca="false">ROUNDUP(MAX(I1012/IF(BV1012&gt;0,BV1012,MAX(0.1,N(Cockpit!$C$6))),BY1012)/BQ1012,0)*BQ1012</f>
        <v>94</v>
      </c>
      <c r="AI1012" s="58" t="n">
        <f aca="false">IF(AF1012&gt;0,I1012/AF1012,-1)</f>
        <v>-1</v>
      </c>
      <c r="AJ1012" s="58" t="str">
        <f aca="false">IF(AND(OR(BU1012="L1",BU1012="L23"),AF1012&gt;0),SUMIFS($AF$7:$AF$1576,$BU$7:$BU$1576,BU1012,$AI$7:$AI$1576,"&gt;"&amp;AI1012)+SUMIFS($AF$7:$AF$1576,$BU$7:$BU$1576,BU1012,$AI$7:$AI$1576,AI1012,$BO$7:$BO$1576,"&lt;="&amp;BO1012),"")</f>
        <v/>
      </c>
      <c r="AK1012" s="65" t="n">
        <f aca="false">IF(AJ1012="",0,MAX(0,MIN(1,(IF(BU1012="L1",Parameter!$E$5,Parameter!$E$6+Parameter!$E$7)-(AJ1012-AF1012))/AF1012)))</f>
        <v>0</v>
      </c>
      <c r="AL1012" s="57" t="n">
        <f aca="false">IF(LEFT(Cockpit!$I$5,1)="A",G1012,IF(BW1012=1,BX1012,IF(LEFT(Cockpit!$I$5,1)="B",AP1012,MAX(AP1012,G1012))))</f>
        <v>94</v>
      </c>
      <c r="AM1012" s="57" t="n">
        <f aca="false">IF(BR1012=1,0,ROUNDUP(AL1012/BQ1012,0))</f>
        <v>1</v>
      </c>
      <c r="AN1012" s="59" t="n">
        <f aca="false">IF(CD1012&gt;0,CD1012*MAX(1,AL1012/V1012),IF(BR1012=1,IF(AL1012&lt;=0,0,BS1012*MAX(1,IF(G1012&gt;0,AL1012/G1012,1))),IF(Q1012&gt;0,AM1012/Q1012,0))/MAX(0.1,N(Parameter!$M$21)))</f>
        <v>0.0384615384615385</v>
      </c>
      <c r="AO1012" s="57" t="n">
        <f aca="false">AL1012*F1012</f>
        <v>254.74</v>
      </c>
      <c r="AP1012" s="57" t="n">
        <f aca="false">ROUNDUP(MAX(I1012/IF(BV1012&gt;0,BV1012,MAX(0.1,N(Cockpit!$I$6))),BY1012)/BQ1012,0)*BQ1012</f>
        <v>94</v>
      </c>
      <c r="AQ1012" s="58" t="n">
        <f aca="false">IF(AN1012&gt;0,I1012/AN1012,-1)</f>
        <v>0</v>
      </c>
      <c r="AR1012" s="58" t="n">
        <f aca="false">IF(AND(OR(BU1012="L1",BU1012="L23"),AN1012&gt;0),SUMIFS($AN$7:$AN$1576,$BU$7:$BU$1576,BU1012,$AQ$7:$AQ$1576,"&gt;"&amp;AQ1012)+SUMIFS($AN$7:$AN$1576,$BU$7:$BU$1576,BU1012,$AQ$7:$AQ$1576,AQ1012,$BO$7:$BO$1576,"&lt;="&amp;BO1012),"")</f>
        <v>132.396687008691</v>
      </c>
      <c r="AS1012" s="65" t="n">
        <f aca="false">IF(AR1012="",0,MAX(0,MIN(1,(IF(BU1012="L1",Parameter!$E$5,Parameter!$E$6+Parameter!$E$7)-(AR1012-AN1012))/AN1012)))</f>
        <v>0</v>
      </c>
      <c r="AT1012" s="57" t="n">
        <f aca="false">IF(LEFT(Cockpit!$O$5,1)="A",G1012,IF(BW1012=1,BX1012,IF(LEFT(Cockpit!$O$5,1)="B",AX1012,MAX(AX1012,G1012))))</f>
        <v>94</v>
      </c>
      <c r="AU1012" s="57" t="n">
        <f aca="false">IF(BR1012=1,0,ROUNDUP(AT1012/BQ1012,0))</f>
        <v>1</v>
      </c>
      <c r="AV1012" s="59" t="n">
        <f aca="false">IF(CD1012&gt;0,CD1012*MAX(1,AT1012/V1012),IF(BR1012=1,IF(AT1012&lt;=0,0,BS1012*MAX(1,IF(G1012&gt;0,AT1012/G1012,1))),IF(Q1012&gt;0,AU1012/Q1012,0))/MAX(0.1,N(Parameter!$M$21)))</f>
        <v>0.0384615384615385</v>
      </c>
      <c r="AW1012" s="57" t="n">
        <f aca="false">AT1012*F1012</f>
        <v>254.74</v>
      </c>
      <c r="AX1012" s="57" t="n">
        <f aca="false">ROUNDUP(MAX(I1012/IF(BV1012&gt;0,BV1012,MAX(0.1,N(Cockpit!$O$6))),BY1012)/BQ1012,0)*BQ1012</f>
        <v>94</v>
      </c>
      <c r="AY1012" s="58" t="n">
        <f aca="false">IF(AV1012&gt;0,I1012/AV1012,-1)</f>
        <v>0</v>
      </c>
      <c r="AZ1012" s="58" t="n">
        <f aca="false">IF(AND(OR(BU1012="L1",BU1012="L23"),AV1012&gt;0),SUMIFS($AV$7:$AV$1576,$BU$7:$BU$1576,BU1012,$AY$7:$AY$1576,"&gt;"&amp;AY1012)+SUMIFS($AV$7:$AV$1576,$BU$7:$BU$1576,BU1012,$AY$7:$AY$1576,AY1012,$BO$7:$BO$1576,"&lt;="&amp;BO1012),"")</f>
        <v>122.456237458241</v>
      </c>
      <c r="BA1012" s="65" t="n">
        <f aca="false">IF(AZ1012="",0,MAX(0,MIN(1,(IF(BU1012="L1",Parameter!$E$5,Parameter!$E$6+Parameter!$E$7)-(AZ1012-AV1012))/AV1012)))</f>
        <v>0</v>
      </c>
      <c r="BB1012" s="55" t="str">
        <f aca="false">IF(AF1012&lt;=0,"",IF(BU1012="Aussen","Aussenlager",IF(BU1012="-","Nicht im Lift",IF(AK1012&gt;=1,"Lift",IF(AK1012&lt;=0,"Aussenlager","teilweise")))))</f>
        <v/>
      </c>
      <c r="BC1012" s="55" t="str">
        <f aca="false">IF(AN1012&lt;=0,"",IF(BU1012="Aussen","Aussenlager",IF(BU1012="-","Nicht im Lift",IF(AS1012&gt;=1,"Lift",IF(AS1012&lt;=0,"Aussenlager","teilweise")))))</f>
        <v>Aussenlager</v>
      </c>
      <c r="BD1012" s="55" t="str">
        <f aca="false">IF(AV1012&lt;=0,"",IF(BU1012="Aussen","Aussenlager",IF(BU1012="-","Nicht im Lift",IF(BA1012&gt;=1,"Lift",IF(BA1012&lt;=0,"Aussenlager","teilweise")))))</f>
        <v>Aussenlager</v>
      </c>
      <c r="BE1012" s="55" t="str">
        <f aca="false">IF(A1012="","",IF(BN1012=1,"Neu; ","")&amp;IF(AND(BN1012=0,BI1012&lt;0),"negativer Bestand (Export "&amp;BI1012&amp;"); ","")&amp;IF(I1012&lt;=0,"Kein Verbrauch; ","")&amp;IF(CD1012&gt;0,"Lift "&amp;U1012&amp;" lt. Liftbericht (Fach "&amp;V1012&amp;" Stk); ",IF(BR1012=1,"Lose – Fläche geschätzt; ",""))&amp;IF(G1012&gt;AP1012,"Überbestand "&amp;ROUND(G1012-AP1012,0)&amp;" Stk / CHF "&amp;ROUND((G1012-AP1012)*F1012,0)&amp;"; ","")&amp;IF(AND(BW1012=1,BX1012&lt;BY1012),"MAX &lt; MB+LG; ","")&amp;IF(AND(CC1012&gt;0,CB1012*10&gt;CC1012),"zu hoch für Tablar; ","")&amp;IF(AND(BN1012=0,OR(BW1012=1,Y1012&lt;&gt;"",S1012&lt;&gt;"",T1012&lt;&gt;"",Z1012&lt;&gt;"")),"manuell übersteuert; ","")&amp;IF(AND(BR1012=0,Q1012=0),"Gebinde unbekannt / Stellmass fehlt; ","")&amp;IF(AND(BR1012=0,N(T1012)&lt;=0,N(P1012)&lt;=0),"Menge pro Gebinde fehlt (Ist = 1 Gebinde); ","")&amp;BM1012)</f>
        <v>negativer Bestand (Export -41); Kein Verbrauch; Überbestand</v>
      </c>
      <c r="BF1012" s="55"/>
      <c r="BG1012" s="55"/>
      <c r="BH1012" s="62"/>
      <c r="BI1012" s="57" t="n">
        <v>-41</v>
      </c>
      <c r="BJ1012" s="57" t="n">
        <v>88</v>
      </c>
      <c r="BK1012" s="56" t="n">
        <v>-110.23</v>
      </c>
      <c r="BL1012" s="57" t="n">
        <v>0</v>
      </c>
      <c r="BM1012" s="55" t="s">
        <v>382</v>
      </c>
      <c r="BN1012" s="60" t="n">
        <v>0</v>
      </c>
      <c r="BO1012" s="60" t="n">
        <v>1012</v>
      </c>
      <c r="BP1012" s="55" t="str">
        <f aca="false">IF(S1012&lt;&gt;"",UPPER(TRIM(S1012)),IF(O1012="","LOSE",O1012))</f>
        <v>S51</v>
      </c>
      <c r="BQ1012" s="57" t="n">
        <f aca="false">IF(BP1012="LOSE",1,IF(N(T1012)&gt;0,T1012,IF(N(P1012)&gt;0,P1012,MAX(1,G1012))))</f>
        <v>94</v>
      </c>
      <c r="BR1012" s="60" t="n">
        <f aca="false">IF(BP1012="LOSE",1,0)</f>
        <v>0</v>
      </c>
      <c r="BS1012" s="59" t="n">
        <f aca="false">IF(BR1012=0,0,IF(N(R1012)&gt;0,R1012,IFERROR(VLOOKUP(D1012,Parameter!$A$35:$C$64,3,0)+0,0)))</f>
        <v>0</v>
      </c>
      <c r="BT1012" s="55" t="n">
        <f aca="false">IF(Y1012&lt;&gt;"",Y1012,X1012)</f>
        <v>3</v>
      </c>
      <c r="BU1012" s="55" t="str">
        <f aca="false">IF(BT1012=1,"L1",IF(OR(BT1012=2,BT1012=3),"L23",IF(BT1012="Aussen","Aussen","-")))</f>
        <v>L23</v>
      </c>
      <c r="BV1012" s="66" t="n">
        <f aca="false">IF(N(Z1012)&gt;0,Z1012,0)</f>
        <v>0</v>
      </c>
      <c r="BW1012" s="60" t="n">
        <f aca="false">IF(ISNUMBER(AC1012),1,0)</f>
        <v>0</v>
      </c>
      <c r="BX1012" s="57" t="n">
        <f aca="false">N(AC1012)</f>
        <v>0</v>
      </c>
      <c r="BY1012" s="57" t="n">
        <f aca="false">N(L1012)+N(M1012)</f>
        <v>1</v>
      </c>
      <c r="BZ1012" s="57" t="n">
        <f aca="false">ROUNDUP(G1012/BQ1012,0)</f>
        <v>0</v>
      </c>
      <c r="CA1012" s="57" t="n">
        <f aca="false">ROUNDUP(BX1012/BQ1012,0)</f>
        <v>0</v>
      </c>
      <c r="CB1012" s="60" t="n">
        <f aca="false">IF(BR1012=1,0,IFERROR(VLOOKUP(BP1012,'Gebinde-Kategorie'!$A$5:$M$45,5,0)+0,0))</f>
        <v>11</v>
      </c>
      <c r="CC1012" s="60" t="n">
        <f aca="false">IFERROR(IF(OR(BT1012=1,BT1012=2,BT1012=3),N(INDEX(Parameter!$I$5:$I$7,BT1012)),0),0)</f>
        <v>0</v>
      </c>
      <c r="CD1012" s="59" t="n">
        <f aca="false">IF(AND(Parameter!$B$21="Ja",ISNUMBER(U1012),N(V1012)&gt;0),IFERROR(N(INDEX(Parameter!$L$5:$L$7,U1012))*INDEX(Parameter!$E$5:$E$7,U1012)*V1012/SUMIFS($V$7:$V$1576,$U$7:$U$1576,U1012),0),0)</f>
        <v>0</v>
      </c>
    </row>
    <row r="1013" customFormat="false" ht="15" hidden="false" customHeight="false" outlineLevel="0" collapsed="false">
      <c r="A1013" s="55" t="s">
        <v>1853</v>
      </c>
      <c r="B1013" s="55" t="s">
        <v>817</v>
      </c>
      <c r="C1013" s="55" t="s">
        <v>160</v>
      </c>
      <c r="D1013" s="55" t="s">
        <v>168</v>
      </c>
      <c r="E1013" s="55" t="s">
        <v>210</v>
      </c>
      <c r="F1013" s="56" t="n">
        <v>8.73</v>
      </c>
      <c r="G1013" s="57" t="n">
        <f aca="false">MAX(0,IF(AND(Parameter!$B$21="Ja",ISNUMBER(W1013)),W1013,IF(Parameter!$B$20="Jahresanfang 2025 + Export",BJ1013+BI1013,BI1013)))</f>
        <v>0</v>
      </c>
      <c r="H1013" s="57" t="n">
        <f aca="false">G1013*F1013</f>
        <v>0</v>
      </c>
      <c r="I1013" s="57" t="n">
        <f aca="false">BL1013*Parameter!$B$18</f>
        <v>20</v>
      </c>
      <c r="J1013" s="58" t="n">
        <v>26</v>
      </c>
      <c r="K1013" s="59" t="n">
        <v>0.769230769230769</v>
      </c>
      <c r="L1013" s="57" t="n">
        <v>2</v>
      </c>
      <c r="M1013" s="57" t="n">
        <v>20</v>
      </c>
      <c r="N1013" s="60" t="n">
        <v>42</v>
      </c>
      <c r="O1013" s="55" t="s">
        <v>169</v>
      </c>
      <c r="P1013" s="57" t="n">
        <v>24</v>
      </c>
      <c r="Q1013" s="60" t="n">
        <f aca="false">IF(BR1013=1,0,IFERROR(VLOOKUP(BP1013,'Gebinde-Kategorie'!$A$5:$M$45,13,0)+0,0))</f>
        <v>6</v>
      </c>
      <c r="R1013" s="61"/>
      <c r="S1013" s="62"/>
      <c r="T1013" s="62"/>
      <c r="U1013" s="55"/>
      <c r="V1013" s="57"/>
      <c r="W1013" s="57"/>
      <c r="X1013" s="55" t="n">
        <f aca="false">IF(A1013="","",IF(AND(Parameter!$B$21="Ja",ISNUMBER(U1013)),U1013,IF(IFERROR(VLOOKUP(D1013,Parameter!$A$35:$C$64,2,0),"Nein")="2+3",IF(ISNUMBER(SEARCH("grosser Artikel",BM1013)),2,IFERROR(VLOOKUP(BP1013,Parameter!$F$35:$G$64,2,0),2)),IF(OR(IFERROR(VLOOKUP(D1013,Parameter!$A$35:$C$64,2,0),"Nein")="Nein",IFERROR(VLOOKUP(D1013,Parameter!$A$35:$C$64,2,0),"Nein")=""),"-",VLOOKUP(D1013,Parameter!$A$35:$C$64,2,0)))))</f>
        <v>2</v>
      </c>
      <c r="Y1013" s="62"/>
      <c r="Z1013" s="63"/>
      <c r="AA1013" s="57" t="n">
        <f aca="false">AP1013</f>
        <v>24</v>
      </c>
      <c r="AB1013" s="57" t="n">
        <f aca="false">MAX(AP1013,G1013)</f>
        <v>24</v>
      </c>
      <c r="AC1013" s="64"/>
      <c r="AD1013" s="57" t="n">
        <f aca="false">IF(LEFT(Cockpit!$C$5,1)="A",G1013,IF(BW1013=1,BX1013,IF(LEFT(Cockpit!$C$5,1)="B",AH1013,MAX(AH1013,G1013))))</f>
        <v>0</v>
      </c>
      <c r="AE1013" s="57" t="n">
        <f aca="false">IF(BR1013=1,0,ROUNDUP(AD1013/BQ1013,0))</f>
        <v>0</v>
      </c>
      <c r="AF1013" s="59" t="n">
        <f aca="false">IF(CD1013&gt;0,CD1013*MAX(1,AD1013/V1013),IF(BR1013=1,IF(AD1013&lt;=0,0,BS1013*MAX(1,IF(G1013&gt;0,AD1013/G1013,1))),IF(Q1013&gt;0,AE1013/Q1013,0))/MAX(0.1,N(Parameter!$M$21)))</f>
        <v>0</v>
      </c>
      <c r="AG1013" s="57" t="n">
        <f aca="false">AD1013*F1013</f>
        <v>0</v>
      </c>
      <c r="AH1013" s="57" t="n">
        <f aca="false">ROUNDUP(MAX(I1013/IF(BV1013&gt;0,BV1013,MAX(0.1,N(Cockpit!$C$6))),BY1013)/BQ1013,0)*BQ1013</f>
        <v>24</v>
      </c>
      <c r="AI1013" s="58" t="n">
        <f aca="false">IF(AF1013&gt;0,I1013/AF1013,-1)</f>
        <v>-1</v>
      </c>
      <c r="AJ1013" s="58" t="str">
        <f aca="false">IF(AND(OR(BU1013="L1",BU1013="L23"),AF1013&gt;0),SUMIFS($AF$7:$AF$1576,$BU$7:$BU$1576,BU1013,$AI$7:$AI$1576,"&gt;"&amp;AI1013)+SUMIFS($AF$7:$AF$1576,$BU$7:$BU$1576,BU1013,$AI$7:$AI$1576,AI1013,$BO$7:$BO$1576,"&lt;="&amp;BO1013),"")</f>
        <v/>
      </c>
      <c r="AK1013" s="65" t="n">
        <f aca="false">IF(AJ1013="",0,MAX(0,MIN(1,(IF(BU1013="L1",Parameter!$E$5,Parameter!$E$6+Parameter!$E$7)-(AJ1013-AF1013))/AF1013)))</f>
        <v>0</v>
      </c>
      <c r="AL1013" s="57" t="n">
        <f aca="false">IF(LEFT(Cockpit!$I$5,1)="A",G1013,IF(BW1013=1,BX1013,IF(LEFT(Cockpit!$I$5,1)="B",AP1013,MAX(AP1013,G1013))))</f>
        <v>24</v>
      </c>
      <c r="AM1013" s="57" t="n">
        <f aca="false">IF(BR1013=1,0,ROUNDUP(AL1013/BQ1013,0))</f>
        <v>1</v>
      </c>
      <c r="AN1013" s="59" t="n">
        <f aca="false">IF(CD1013&gt;0,CD1013*MAX(1,AL1013/V1013),IF(BR1013=1,IF(AL1013&lt;=0,0,BS1013*MAX(1,IF(G1013&gt;0,AL1013/G1013,1))),IF(Q1013&gt;0,AM1013/Q1013,0))/MAX(0.1,N(Parameter!$M$21)))</f>
        <v>0.166666666666667</v>
      </c>
      <c r="AO1013" s="57" t="n">
        <f aca="false">AL1013*F1013</f>
        <v>209.52</v>
      </c>
      <c r="AP1013" s="57" t="n">
        <f aca="false">ROUNDUP(MAX(I1013/IF(BV1013&gt;0,BV1013,MAX(0.1,N(Cockpit!$I$6))),BY1013)/BQ1013,0)*BQ1013</f>
        <v>24</v>
      </c>
      <c r="AQ1013" s="58" t="n">
        <f aca="false">IF(AN1013&gt;0,I1013/AN1013,-1)</f>
        <v>120</v>
      </c>
      <c r="AR1013" s="58" t="n">
        <f aca="false">IF(AND(OR(BU1013="L1",BU1013="L23"),AN1013&gt;0),SUMIFS($AN$7:$AN$1576,$BU$7:$BU$1576,BU1013,$AQ$7:$AQ$1576,"&gt;"&amp;AQ1013)+SUMIFS($AN$7:$AN$1576,$BU$7:$BU$1576,BU1013,$AQ$7:$AQ$1576,AQ1013,$BO$7:$BO$1576,"&lt;="&amp;BO1013),"")</f>
        <v>64.6936690486802</v>
      </c>
      <c r="AS1013" s="65" t="n">
        <f aca="false">IF(AR1013="",0,MAX(0,MIN(1,(IF(BU1013="L1",Parameter!$E$5,Parameter!$E$6+Parameter!$E$7)-(AR1013-AN1013))/AN1013)))</f>
        <v>1</v>
      </c>
      <c r="AT1013" s="57" t="n">
        <f aca="false">IF(LEFT(Cockpit!$O$5,1)="A",G1013,IF(BW1013=1,BX1013,IF(LEFT(Cockpit!$O$5,1)="B",AX1013,MAX(AX1013,G1013))))</f>
        <v>24</v>
      </c>
      <c r="AU1013" s="57" t="n">
        <f aca="false">IF(BR1013=1,0,ROUNDUP(AT1013/BQ1013,0))</f>
        <v>1</v>
      </c>
      <c r="AV1013" s="59" t="n">
        <f aca="false">IF(CD1013&gt;0,CD1013*MAX(1,AT1013/V1013),IF(BR1013=1,IF(AT1013&lt;=0,0,BS1013*MAX(1,IF(G1013&gt;0,AT1013/G1013,1))),IF(Q1013&gt;0,AU1013/Q1013,0))/MAX(0.1,N(Parameter!$M$21)))</f>
        <v>0.166666666666667</v>
      </c>
      <c r="AW1013" s="57" t="n">
        <f aca="false">AT1013*F1013</f>
        <v>209.52</v>
      </c>
      <c r="AX1013" s="57" t="n">
        <f aca="false">ROUNDUP(MAX(I1013/IF(BV1013&gt;0,BV1013,MAX(0.1,N(Cockpit!$O$6))),BY1013)/BQ1013,0)*BQ1013</f>
        <v>24</v>
      </c>
      <c r="AY1013" s="58" t="n">
        <f aca="false">IF(AV1013&gt;0,I1013/AV1013,-1)</f>
        <v>120</v>
      </c>
      <c r="AZ1013" s="58" t="n">
        <f aca="false">IF(AND(OR(BU1013="L1",BU1013="L23"),AV1013&gt;0),SUMIFS($AV$7:$AV$1576,$BU$7:$BU$1576,BU1013,$AY$7:$AY$1576,"&gt;"&amp;AY1013)+SUMIFS($AV$7:$AV$1576,$BU$7:$BU$1576,BU1013,$AY$7:$AY$1576,AY1013,$BO$7:$BO$1576,"&lt;="&amp;BO1013),"")</f>
        <v>60.022802831564</v>
      </c>
      <c r="BA1013" s="65" t="n">
        <f aca="false">IF(AZ1013="",0,MAX(0,MIN(1,(IF(BU1013="L1",Parameter!$E$5,Parameter!$E$6+Parameter!$E$7)-(AZ1013-AV1013))/AV1013)))</f>
        <v>1</v>
      </c>
      <c r="BB1013" s="55" t="str">
        <f aca="false">IF(AF1013&lt;=0,"",IF(BU1013="Aussen","Aussenlager",IF(BU1013="-","Nicht im Lift",IF(AK1013&gt;=1,"Lift",IF(AK1013&lt;=0,"Aussenlager","teilweise")))))</f>
        <v/>
      </c>
      <c r="BC1013" s="55" t="str">
        <f aca="false">IF(AN1013&lt;=0,"",IF(BU1013="Aussen","Aussenlager",IF(BU1013="-","Nicht im Lift",IF(AS1013&gt;=1,"Lift",IF(AS1013&lt;=0,"Aussenlager","teilweise")))))</f>
        <v>Lift</v>
      </c>
      <c r="BD1013" s="55" t="str">
        <f aca="false">IF(AV1013&lt;=0,"",IF(BU1013="Aussen","Aussenlager",IF(BU1013="-","Nicht im Lift",IF(BA1013&gt;=1,"Lift",IF(BA1013&lt;=0,"Aussenlager","teilweise")))))</f>
        <v>Lift</v>
      </c>
      <c r="BE1013" s="55" t="str">
        <f aca="false">IF(A1013="","",IF(BN1013=1,"Neu; ","")&amp;IF(AND(BN1013=0,BI1013&lt;0),"negativer Bestand (Export "&amp;BI1013&amp;"); ","")&amp;IF(I1013&lt;=0,"Kein Verbrauch; ","")&amp;IF(CD1013&gt;0,"Lift "&amp;U1013&amp;" lt. Liftbericht (Fach "&amp;V1013&amp;" Stk); ",IF(BR1013=1,"Lose – Fläche geschätzt; ",""))&amp;IF(G1013&gt;AP1013,"Überbestand "&amp;ROUND(G1013-AP1013,0)&amp;" Stk / CHF "&amp;ROUND((G1013-AP1013)*F1013,0)&amp;"; ","")&amp;IF(AND(BW1013=1,BX1013&lt;BY1013),"MAX &lt; MB+LG; ","")&amp;IF(AND(CC1013&gt;0,CB1013*10&gt;CC1013),"zu hoch für Tablar; ","")&amp;IF(AND(BN1013=0,OR(BW1013=1,Y1013&lt;&gt;"",S1013&lt;&gt;"",T1013&lt;&gt;"",Z1013&lt;&gt;"")),"manuell übersteuert; ","")&amp;IF(AND(BR1013=0,Q1013=0),"Gebinde unbekannt / Stellmass fehlt; ","")&amp;IF(AND(BR1013=0,N(T1013)&lt;=0,N(P1013)&lt;=0),"Menge pro Gebinde fehlt (Ist = 1 Gebinde); ","")&amp;BM1013)</f>
        <v>negativer Bestand (Export -6); </v>
      </c>
      <c r="BF1013" s="55"/>
      <c r="BG1013" s="55"/>
      <c r="BH1013" s="62"/>
      <c r="BI1013" s="57" t="n">
        <v>-6</v>
      </c>
      <c r="BJ1013" s="57" t="n">
        <v>16</v>
      </c>
      <c r="BK1013" s="56" t="n">
        <v>-111.58</v>
      </c>
      <c r="BL1013" s="57" t="n">
        <v>20</v>
      </c>
      <c r="BM1013" s="55"/>
      <c r="BN1013" s="60" t="n">
        <v>0</v>
      </c>
      <c r="BO1013" s="60" t="n">
        <v>1013</v>
      </c>
      <c r="BP1013" s="55" t="str">
        <f aca="false">IF(S1013&lt;&gt;"",UPPER(TRIM(S1013)),IF(O1013="","LOSE",O1013))</f>
        <v>S71</v>
      </c>
      <c r="BQ1013" s="57" t="n">
        <f aca="false">IF(BP1013="LOSE",1,IF(N(T1013)&gt;0,T1013,IF(N(P1013)&gt;0,P1013,MAX(1,G1013))))</f>
        <v>24</v>
      </c>
      <c r="BR1013" s="60" t="n">
        <f aca="false">IF(BP1013="LOSE",1,0)</f>
        <v>0</v>
      </c>
      <c r="BS1013" s="59" t="n">
        <f aca="false">IF(BR1013=0,0,IF(N(R1013)&gt;0,R1013,IFERROR(VLOOKUP(D1013,Parameter!$A$35:$C$64,3,0)+0,0)))</f>
        <v>0</v>
      </c>
      <c r="BT1013" s="55" t="n">
        <f aca="false">IF(Y1013&lt;&gt;"",Y1013,X1013)</f>
        <v>2</v>
      </c>
      <c r="BU1013" s="55" t="str">
        <f aca="false">IF(BT1013=1,"L1",IF(OR(BT1013=2,BT1013=3),"L23",IF(BT1013="Aussen","Aussen","-")))</f>
        <v>L23</v>
      </c>
      <c r="BV1013" s="66" t="n">
        <f aca="false">IF(N(Z1013)&gt;0,Z1013,0)</f>
        <v>0</v>
      </c>
      <c r="BW1013" s="60" t="n">
        <f aca="false">IF(ISNUMBER(AC1013),1,0)</f>
        <v>0</v>
      </c>
      <c r="BX1013" s="57" t="n">
        <f aca="false">N(AC1013)</f>
        <v>0</v>
      </c>
      <c r="BY1013" s="57" t="n">
        <f aca="false">N(L1013)+N(M1013)</f>
        <v>22</v>
      </c>
      <c r="BZ1013" s="57" t="n">
        <f aca="false">ROUNDUP(G1013/BQ1013,0)</f>
        <v>0</v>
      </c>
      <c r="CA1013" s="57" t="n">
        <f aca="false">ROUNDUP(BX1013/BQ1013,0)</f>
        <v>0</v>
      </c>
      <c r="CB1013" s="60" t="n">
        <f aca="false">IF(BR1013=1,0,IFERROR(VLOOKUP(BP1013,'Gebinde-Kategorie'!$A$5:$M$45,5,0)+0,0))</f>
        <v>20</v>
      </c>
      <c r="CC1013" s="60" t="n">
        <f aca="false">IFERROR(IF(OR(BT1013=1,BT1013=2,BT1013=3),N(INDEX(Parameter!$I$5:$I$7,BT1013)),0),0)</f>
        <v>0</v>
      </c>
      <c r="CD1013" s="59" t="n">
        <f aca="false">IF(AND(Parameter!$B$21="Ja",ISNUMBER(U1013),N(V1013)&gt;0),IFERROR(N(INDEX(Parameter!$L$5:$L$7,U1013))*INDEX(Parameter!$E$5:$E$7,U1013)*V1013/SUMIFS($V$7:$V$1576,$U$7:$U$1576,U1013),0),0)</f>
        <v>0</v>
      </c>
    </row>
    <row r="1014" customFormat="false" ht="15" hidden="false" customHeight="false" outlineLevel="0" collapsed="false">
      <c r="A1014" s="55" t="s">
        <v>1854</v>
      </c>
      <c r="B1014" s="55" t="s">
        <v>1855</v>
      </c>
      <c r="C1014" s="55" t="s">
        <v>160</v>
      </c>
      <c r="D1014" s="55" t="s">
        <v>178</v>
      </c>
      <c r="E1014" s="55" t="s">
        <v>210</v>
      </c>
      <c r="F1014" s="56" t="n">
        <v>112.6</v>
      </c>
      <c r="G1014" s="57" t="n">
        <f aca="false">MAX(0,IF(AND(Parameter!$B$21="Ja",ISNUMBER(W1014)),W1014,IF(Parameter!$B$20="Jahresanfang 2025 + Export",BJ1014+BI1014,BI1014)))</f>
        <v>0</v>
      </c>
      <c r="H1014" s="57" t="n">
        <f aca="false">G1014*F1014</f>
        <v>0</v>
      </c>
      <c r="I1014" s="57" t="n">
        <f aca="false">BL1014*Parameter!$B$18</f>
        <v>0</v>
      </c>
      <c r="J1014" s="58" t="n">
        <v>8</v>
      </c>
      <c r="K1014" s="59" t="n">
        <v>0</v>
      </c>
      <c r="L1014" s="57" t="n">
        <v>0</v>
      </c>
      <c r="M1014" s="57" t="n">
        <v>1</v>
      </c>
      <c r="N1014" s="60" t="n">
        <v>56</v>
      </c>
      <c r="O1014" s="55" t="s">
        <v>319</v>
      </c>
      <c r="P1014" s="57" t="n">
        <v>8</v>
      </c>
      <c r="Q1014" s="60" t="n">
        <f aca="false">IF(BR1014=1,0,IFERROR(VLOOKUP(BP1014,'Gebinde-Kategorie'!$A$5:$M$45,13,0)+0,0))</f>
        <v>52</v>
      </c>
      <c r="R1014" s="61"/>
      <c r="S1014" s="62"/>
      <c r="T1014" s="62"/>
      <c r="U1014" s="55"/>
      <c r="V1014" s="57"/>
      <c r="W1014" s="57"/>
      <c r="X1014" s="55" t="n">
        <f aca="false">IF(A1014="","",IF(AND(Parameter!$B$21="Ja",ISNUMBER(U1014)),U1014,IF(IFERROR(VLOOKUP(D1014,Parameter!$A$35:$C$64,2,0),"Nein")="2+3",IF(ISNUMBER(SEARCH("grosser Artikel",BM1014)),2,IFERROR(VLOOKUP(BP1014,Parameter!$F$35:$G$64,2,0),2)),IF(OR(IFERROR(VLOOKUP(D1014,Parameter!$A$35:$C$64,2,0),"Nein")="Nein",IFERROR(VLOOKUP(D1014,Parameter!$A$35:$C$64,2,0),"Nein")=""),"-",VLOOKUP(D1014,Parameter!$A$35:$C$64,2,0)))))</f>
        <v>3</v>
      </c>
      <c r="Y1014" s="62"/>
      <c r="Z1014" s="63"/>
      <c r="AA1014" s="57" t="n">
        <f aca="false">AP1014</f>
        <v>8</v>
      </c>
      <c r="AB1014" s="57" t="n">
        <f aca="false">MAX(AP1014,G1014)</f>
        <v>8</v>
      </c>
      <c r="AC1014" s="64"/>
      <c r="AD1014" s="57" t="n">
        <f aca="false">IF(LEFT(Cockpit!$C$5,1)="A",G1014,IF(BW1014=1,BX1014,IF(LEFT(Cockpit!$C$5,1)="B",AH1014,MAX(AH1014,G1014))))</f>
        <v>0</v>
      </c>
      <c r="AE1014" s="57" t="n">
        <f aca="false">IF(BR1014=1,0,ROUNDUP(AD1014/BQ1014,0))</f>
        <v>0</v>
      </c>
      <c r="AF1014" s="59" t="n">
        <f aca="false">IF(CD1014&gt;0,CD1014*MAX(1,AD1014/V1014),IF(BR1014=1,IF(AD1014&lt;=0,0,BS1014*MAX(1,IF(G1014&gt;0,AD1014/G1014,1))),IF(Q1014&gt;0,AE1014/Q1014,0))/MAX(0.1,N(Parameter!$M$21)))</f>
        <v>0</v>
      </c>
      <c r="AG1014" s="57" t="n">
        <f aca="false">AD1014*F1014</f>
        <v>0</v>
      </c>
      <c r="AH1014" s="57" t="n">
        <f aca="false">ROUNDUP(MAX(I1014/IF(BV1014&gt;0,BV1014,MAX(0.1,N(Cockpit!$C$6))),BY1014)/BQ1014,0)*BQ1014</f>
        <v>8</v>
      </c>
      <c r="AI1014" s="58" t="n">
        <f aca="false">IF(AF1014&gt;0,I1014/AF1014,-1)</f>
        <v>-1</v>
      </c>
      <c r="AJ1014" s="58" t="str">
        <f aca="false">IF(AND(OR(BU1014="L1",BU1014="L23"),AF1014&gt;0),SUMIFS($AF$7:$AF$1576,$BU$7:$BU$1576,BU1014,$AI$7:$AI$1576,"&gt;"&amp;AI1014)+SUMIFS($AF$7:$AF$1576,$BU$7:$BU$1576,BU1014,$AI$7:$AI$1576,AI1014,$BO$7:$BO$1576,"&lt;="&amp;BO1014),"")</f>
        <v/>
      </c>
      <c r="AK1014" s="65" t="n">
        <f aca="false">IF(AJ1014="",0,MAX(0,MIN(1,(IF(BU1014="L1",Parameter!$E$5,Parameter!$E$6+Parameter!$E$7)-(AJ1014-AF1014))/AF1014)))</f>
        <v>0</v>
      </c>
      <c r="AL1014" s="57" t="n">
        <f aca="false">IF(LEFT(Cockpit!$I$5,1)="A",G1014,IF(BW1014=1,BX1014,IF(LEFT(Cockpit!$I$5,1)="B",AP1014,MAX(AP1014,G1014))))</f>
        <v>8</v>
      </c>
      <c r="AM1014" s="57" t="n">
        <f aca="false">IF(BR1014=1,0,ROUNDUP(AL1014/BQ1014,0))</f>
        <v>1</v>
      </c>
      <c r="AN1014" s="59" t="n">
        <f aca="false">IF(CD1014&gt;0,CD1014*MAX(1,AL1014/V1014),IF(BR1014=1,IF(AL1014&lt;=0,0,BS1014*MAX(1,IF(G1014&gt;0,AL1014/G1014,1))),IF(Q1014&gt;0,AM1014/Q1014,0))/MAX(0.1,N(Parameter!$M$21)))</f>
        <v>0.0192307692307692</v>
      </c>
      <c r="AO1014" s="57" t="n">
        <f aca="false">AL1014*F1014</f>
        <v>900.8</v>
      </c>
      <c r="AP1014" s="57" t="n">
        <f aca="false">ROUNDUP(MAX(I1014/IF(BV1014&gt;0,BV1014,MAX(0.1,N(Cockpit!$I$6))),BY1014)/BQ1014,0)*BQ1014</f>
        <v>8</v>
      </c>
      <c r="AQ1014" s="58" t="n">
        <f aca="false">IF(AN1014&gt;0,I1014/AN1014,-1)</f>
        <v>0</v>
      </c>
      <c r="AR1014" s="58" t="n">
        <f aca="false">IF(AND(OR(BU1014="L1",BU1014="L23"),AN1014&gt;0),SUMIFS($AN$7:$AN$1576,$BU$7:$BU$1576,BU1014,$AQ$7:$AQ$1576,"&gt;"&amp;AQ1014)+SUMIFS($AN$7:$AN$1576,$BU$7:$BU$1576,BU1014,$AQ$7:$AQ$1576,AQ1014,$BO$7:$BO$1576,"&lt;="&amp;BO1014),"")</f>
        <v>132.415917777922</v>
      </c>
      <c r="AS1014" s="65" t="n">
        <f aca="false">IF(AR1014="",0,MAX(0,MIN(1,(IF(BU1014="L1",Parameter!$E$5,Parameter!$E$6+Parameter!$E$7)-(AR1014-AN1014))/AN1014)))</f>
        <v>0</v>
      </c>
      <c r="AT1014" s="57" t="n">
        <f aca="false">IF(LEFT(Cockpit!$O$5,1)="A",G1014,IF(BW1014=1,BX1014,IF(LEFT(Cockpit!$O$5,1)="B",AX1014,MAX(AX1014,G1014))))</f>
        <v>8</v>
      </c>
      <c r="AU1014" s="57" t="n">
        <f aca="false">IF(BR1014=1,0,ROUNDUP(AT1014/BQ1014,0))</f>
        <v>1</v>
      </c>
      <c r="AV1014" s="59" t="n">
        <f aca="false">IF(CD1014&gt;0,CD1014*MAX(1,AT1014/V1014),IF(BR1014=1,IF(AT1014&lt;=0,0,BS1014*MAX(1,IF(G1014&gt;0,AT1014/G1014,1))),IF(Q1014&gt;0,AU1014/Q1014,0))/MAX(0.1,N(Parameter!$M$21)))</f>
        <v>0.0192307692307692</v>
      </c>
      <c r="AW1014" s="57" t="n">
        <f aca="false">AT1014*F1014</f>
        <v>900.8</v>
      </c>
      <c r="AX1014" s="57" t="n">
        <f aca="false">ROUNDUP(MAX(I1014/IF(BV1014&gt;0,BV1014,MAX(0.1,N(Cockpit!$O$6))),BY1014)/BQ1014,0)*BQ1014</f>
        <v>8</v>
      </c>
      <c r="AY1014" s="58" t="n">
        <f aca="false">IF(AV1014&gt;0,I1014/AV1014,-1)</f>
        <v>0</v>
      </c>
      <c r="AZ1014" s="58" t="n">
        <f aca="false">IF(AND(OR(BU1014="L1",BU1014="L23"),AV1014&gt;0),SUMIFS($AV$7:$AV$1576,$BU$7:$BU$1576,BU1014,$AY$7:$AY$1576,"&gt;"&amp;AY1014)+SUMIFS($AV$7:$AV$1576,$BU$7:$BU$1576,BU1014,$AY$7:$AY$1576,AY1014,$BO$7:$BO$1576,"&lt;="&amp;BO1014),"")</f>
        <v>122.475468227472</v>
      </c>
      <c r="BA1014" s="65" t="n">
        <f aca="false">IF(AZ1014="",0,MAX(0,MIN(1,(IF(BU1014="L1",Parameter!$E$5,Parameter!$E$6+Parameter!$E$7)-(AZ1014-AV1014))/AV1014)))</f>
        <v>0</v>
      </c>
      <c r="BB1014" s="55" t="str">
        <f aca="false">IF(AF1014&lt;=0,"",IF(BU1014="Aussen","Aussenlager",IF(BU1014="-","Nicht im Lift",IF(AK1014&gt;=1,"Lift",IF(AK1014&lt;=0,"Aussenlager","teilweise")))))</f>
        <v/>
      </c>
      <c r="BC1014" s="55" t="str">
        <f aca="false">IF(AN1014&lt;=0,"",IF(BU1014="Aussen","Aussenlager",IF(BU1014="-","Nicht im Lift",IF(AS1014&gt;=1,"Lift",IF(AS1014&lt;=0,"Aussenlager","teilweise")))))</f>
        <v>Aussenlager</v>
      </c>
      <c r="BD1014" s="55" t="str">
        <f aca="false">IF(AV1014&lt;=0,"",IF(BU1014="Aussen","Aussenlager",IF(BU1014="-","Nicht im Lift",IF(BA1014&gt;=1,"Lift",IF(BA1014&lt;=0,"Aussenlager","teilweise")))))</f>
        <v>Aussenlager</v>
      </c>
      <c r="BE1014" s="55" t="str">
        <f aca="false">IF(A1014="","",IF(BN1014=1,"Neu; ","")&amp;IF(AND(BN1014=0,BI1014&lt;0),"negativer Bestand (Export "&amp;BI1014&amp;"); ","")&amp;IF(I1014&lt;=0,"Kein Verbrauch; ","")&amp;IF(CD1014&gt;0,"Lift "&amp;U1014&amp;" lt. Liftbericht (Fach "&amp;V1014&amp;" Stk); ",IF(BR1014=1,"Lose – Fläche geschätzt; ",""))&amp;IF(G1014&gt;AP1014,"Überbestand "&amp;ROUND(G1014-AP1014,0)&amp;" Stk / CHF "&amp;ROUND((G1014-AP1014)*F1014,0)&amp;"; ","")&amp;IF(AND(BW1014=1,BX1014&lt;BY1014),"MAX &lt; MB+LG; ","")&amp;IF(AND(CC1014&gt;0,CB1014*10&gt;CC1014),"zu hoch für Tablar; ","")&amp;IF(AND(BN1014=0,OR(BW1014=1,Y1014&lt;&gt;"",S1014&lt;&gt;"",T1014&lt;&gt;"",Z1014&lt;&gt;"")),"manuell übersteuert; ","")&amp;IF(AND(BR1014=0,Q1014=0),"Gebinde unbekannt / Stellmass fehlt; ","")&amp;IF(AND(BR1014=0,N(T1014)&lt;=0,N(P1014)&lt;=0),"Menge pro Gebinde fehlt (Ist = 1 Gebinde); ","")&amp;BM1014)</f>
        <v>negativer Bestand (Export -1); Kein Verbrauch; Überbestand</v>
      </c>
      <c r="BF1014" s="55"/>
      <c r="BG1014" s="55"/>
      <c r="BH1014" s="62"/>
      <c r="BI1014" s="57" t="n">
        <v>-1</v>
      </c>
      <c r="BJ1014" s="57" t="n">
        <v>8</v>
      </c>
      <c r="BK1014" s="56" t="n">
        <v>-112.6</v>
      </c>
      <c r="BL1014" s="57" t="n">
        <v>0</v>
      </c>
      <c r="BM1014" s="55" t="s">
        <v>382</v>
      </c>
      <c r="BN1014" s="60" t="n">
        <v>0</v>
      </c>
      <c r="BO1014" s="60" t="n">
        <v>1014</v>
      </c>
      <c r="BP1014" s="55" t="str">
        <f aca="false">IF(S1014&lt;&gt;"",UPPER(TRIM(S1014)),IF(O1014="","LOSE",O1014))</f>
        <v>S41</v>
      </c>
      <c r="BQ1014" s="57" t="n">
        <f aca="false">IF(BP1014="LOSE",1,IF(N(T1014)&gt;0,T1014,IF(N(P1014)&gt;0,P1014,MAX(1,G1014))))</f>
        <v>8</v>
      </c>
      <c r="BR1014" s="60" t="n">
        <f aca="false">IF(BP1014="LOSE",1,0)</f>
        <v>0</v>
      </c>
      <c r="BS1014" s="59" t="n">
        <f aca="false">IF(BR1014=0,0,IF(N(R1014)&gt;0,R1014,IFERROR(VLOOKUP(D1014,Parameter!$A$35:$C$64,3,0)+0,0)))</f>
        <v>0</v>
      </c>
      <c r="BT1014" s="55" t="n">
        <f aca="false">IF(Y1014&lt;&gt;"",Y1014,X1014)</f>
        <v>3</v>
      </c>
      <c r="BU1014" s="55" t="str">
        <f aca="false">IF(BT1014=1,"L1",IF(OR(BT1014=2,BT1014=3),"L23",IF(BT1014="Aussen","Aussen","-")))</f>
        <v>L23</v>
      </c>
      <c r="BV1014" s="66" t="n">
        <f aca="false">IF(N(Z1014)&gt;0,Z1014,0)</f>
        <v>0</v>
      </c>
      <c r="BW1014" s="60" t="n">
        <f aca="false">IF(ISNUMBER(AC1014),1,0)</f>
        <v>0</v>
      </c>
      <c r="BX1014" s="57" t="n">
        <f aca="false">N(AC1014)</f>
        <v>0</v>
      </c>
      <c r="BY1014" s="57" t="n">
        <f aca="false">N(L1014)+N(M1014)</f>
        <v>1</v>
      </c>
      <c r="BZ1014" s="57" t="n">
        <f aca="false">ROUNDUP(G1014/BQ1014,0)</f>
        <v>0</v>
      </c>
      <c r="CA1014" s="57" t="n">
        <f aca="false">ROUNDUP(BX1014/BQ1014,0)</f>
        <v>0</v>
      </c>
      <c r="CB1014" s="60" t="n">
        <f aca="false">IF(BR1014=1,0,IFERROR(VLOOKUP(BP1014,'Gebinde-Kategorie'!$A$5:$M$45,5,0)+0,0))</f>
        <v>11</v>
      </c>
      <c r="CC1014" s="60" t="n">
        <f aca="false">IFERROR(IF(OR(BT1014=1,BT1014=2,BT1014=3),N(INDEX(Parameter!$I$5:$I$7,BT1014)),0),0)</f>
        <v>0</v>
      </c>
      <c r="CD1014" s="59" t="n">
        <f aca="false">IF(AND(Parameter!$B$21="Ja",ISNUMBER(U1014),N(V1014)&gt;0),IFERROR(N(INDEX(Parameter!$L$5:$L$7,U1014))*INDEX(Parameter!$E$5:$E$7,U1014)*V1014/SUMIFS($V$7:$V$1576,$U$7:$U$1576,U1014),0),0)</f>
        <v>0</v>
      </c>
    </row>
    <row r="1015" customFormat="false" ht="15" hidden="false" customHeight="false" outlineLevel="0" collapsed="false">
      <c r="A1015" s="55" t="s">
        <v>1856</v>
      </c>
      <c r="B1015" s="55" t="s">
        <v>972</v>
      </c>
      <c r="C1015" s="55" t="s">
        <v>160</v>
      </c>
      <c r="D1015" s="55" t="s">
        <v>178</v>
      </c>
      <c r="E1015" s="55" t="s">
        <v>210</v>
      </c>
      <c r="F1015" s="56" t="n">
        <v>37.57</v>
      </c>
      <c r="G1015" s="57" t="n">
        <f aca="false">MAX(0,IF(AND(Parameter!$B$21="Ja",ISNUMBER(W1015)),W1015,IF(Parameter!$B$20="Jahresanfang 2025 + Export",BJ1015+BI1015,BI1015)))</f>
        <v>0</v>
      </c>
      <c r="H1015" s="57" t="n">
        <f aca="false">G1015*F1015</f>
        <v>0</v>
      </c>
      <c r="I1015" s="57" t="n">
        <f aca="false">BL1015*Parameter!$B$18</f>
        <v>0</v>
      </c>
      <c r="J1015" s="58" t="n">
        <v>10.5</v>
      </c>
      <c r="K1015" s="59" t="n">
        <v>0</v>
      </c>
      <c r="L1015" s="57" t="n">
        <v>0</v>
      </c>
      <c r="M1015" s="57" t="n">
        <v>1</v>
      </c>
      <c r="N1015" s="60" t="n">
        <v>14</v>
      </c>
      <c r="O1015" s="55" t="s">
        <v>179</v>
      </c>
      <c r="P1015" s="57" t="n">
        <v>10</v>
      </c>
      <c r="Q1015" s="60" t="n">
        <f aca="false">IF(BR1015=1,0,IFERROR(VLOOKUP(BP1015,'Gebinde-Kategorie'!$A$5:$M$45,13,0)+0,0))</f>
        <v>12</v>
      </c>
      <c r="R1015" s="61"/>
      <c r="S1015" s="62"/>
      <c r="T1015" s="62"/>
      <c r="U1015" s="55"/>
      <c r="V1015" s="57"/>
      <c r="W1015" s="57"/>
      <c r="X1015" s="55" t="n">
        <f aca="false">IF(A1015="","",IF(AND(Parameter!$B$21="Ja",ISNUMBER(U1015)),U1015,IF(IFERROR(VLOOKUP(D1015,Parameter!$A$35:$C$64,2,0),"Nein")="2+3",IF(ISNUMBER(SEARCH("grosser Artikel",BM1015)),2,IFERROR(VLOOKUP(BP1015,Parameter!$F$35:$G$64,2,0),2)),IF(OR(IFERROR(VLOOKUP(D1015,Parameter!$A$35:$C$64,2,0),"Nein")="Nein",IFERROR(VLOOKUP(D1015,Parameter!$A$35:$C$64,2,0),"Nein")=""),"-",VLOOKUP(D1015,Parameter!$A$35:$C$64,2,0)))))</f>
        <v>2</v>
      </c>
      <c r="Y1015" s="62"/>
      <c r="Z1015" s="63"/>
      <c r="AA1015" s="57" t="n">
        <f aca="false">AP1015</f>
        <v>10</v>
      </c>
      <c r="AB1015" s="57" t="n">
        <f aca="false">MAX(AP1015,G1015)</f>
        <v>10</v>
      </c>
      <c r="AC1015" s="64"/>
      <c r="AD1015" s="57" t="n">
        <f aca="false">IF(LEFT(Cockpit!$C$5,1)="A",G1015,IF(BW1015=1,BX1015,IF(LEFT(Cockpit!$C$5,1)="B",AH1015,MAX(AH1015,G1015))))</f>
        <v>0</v>
      </c>
      <c r="AE1015" s="57" t="n">
        <f aca="false">IF(BR1015=1,0,ROUNDUP(AD1015/BQ1015,0))</f>
        <v>0</v>
      </c>
      <c r="AF1015" s="59" t="n">
        <f aca="false">IF(CD1015&gt;0,CD1015*MAX(1,AD1015/V1015),IF(BR1015=1,IF(AD1015&lt;=0,0,BS1015*MAX(1,IF(G1015&gt;0,AD1015/G1015,1))),IF(Q1015&gt;0,AE1015/Q1015,0))/MAX(0.1,N(Parameter!$M$21)))</f>
        <v>0</v>
      </c>
      <c r="AG1015" s="57" t="n">
        <f aca="false">AD1015*F1015</f>
        <v>0</v>
      </c>
      <c r="AH1015" s="57" t="n">
        <f aca="false">ROUNDUP(MAX(I1015/IF(BV1015&gt;0,BV1015,MAX(0.1,N(Cockpit!$C$6))),BY1015)/BQ1015,0)*BQ1015</f>
        <v>10</v>
      </c>
      <c r="AI1015" s="58" t="n">
        <f aca="false">IF(AF1015&gt;0,I1015/AF1015,-1)</f>
        <v>-1</v>
      </c>
      <c r="AJ1015" s="58" t="str">
        <f aca="false">IF(AND(OR(BU1015="L1",BU1015="L23"),AF1015&gt;0),SUMIFS($AF$7:$AF$1576,$BU$7:$BU$1576,BU1015,$AI$7:$AI$1576,"&gt;"&amp;AI1015)+SUMIFS($AF$7:$AF$1576,$BU$7:$BU$1576,BU1015,$AI$7:$AI$1576,AI1015,$BO$7:$BO$1576,"&lt;="&amp;BO1015),"")</f>
        <v/>
      </c>
      <c r="AK1015" s="65" t="n">
        <f aca="false">IF(AJ1015="",0,MAX(0,MIN(1,(IF(BU1015="L1",Parameter!$E$5,Parameter!$E$6+Parameter!$E$7)-(AJ1015-AF1015))/AF1015)))</f>
        <v>0</v>
      </c>
      <c r="AL1015" s="57" t="n">
        <f aca="false">IF(LEFT(Cockpit!$I$5,1)="A",G1015,IF(BW1015=1,BX1015,IF(LEFT(Cockpit!$I$5,1)="B",AP1015,MAX(AP1015,G1015))))</f>
        <v>10</v>
      </c>
      <c r="AM1015" s="57" t="n">
        <f aca="false">IF(BR1015=1,0,ROUNDUP(AL1015/BQ1015,0))</f>
        <v>1</v>
      </c>
      <c r="AN1015" s="59" t="n">
        <f aca="false">IF(CD1015&gt;0,CD1015*MAX(1,AL1015/V1015),IF(BR1015=1,IF(AL1015&lt;=0,0,BS1015*MAX(1,IF(G1015&gt;0,AL1015/G1015,1))),IF(Q1015&gt;0,AM1015/Q1015,0))/MAX(0.1,N(Parameter!$M$21)))</f>
        <v>0.0833333333333333</v>
      </c>
      <c r="AO1015" s="57" t="n">
        <f aca="false">AL1015*F1015</f>
        <v>375.7</v>
      </c>
      <c r="AP1015" s="57" t="n">
        <f aca="false">ROUNDUP(MAX(I1015/IF(BV1015&gt;0,BV1015,MAX(0.1,N(Cockpit!$I$6))),BY1015)/BQ1015,0)*BQ1015</f>
        <v>10</v>
      </c>
      <c r="AQ1015" s="58" t="n">
        <f aca="false">IF(AN1015&gt;0,I1015/AN1015,-1)</f>
        <v>0</v>
      </c>
      <c r="AR1015" s="58" t="n">
        <f aca="false">IF(AND(OR(BU1015="L1",BU1015="L23"),AN1015&gt;0),SUMIFS($AN$7:$AN$1576,$BU$7:$BU$1576,BU1015,$AQ$7:$AQ$1576,"&gt;"&amp;AQ1015)+SUMIFS($AN$7:$AN$1576,$BU$7:$BU$1576,BU1015,$AQ$7:$AQ$1576,AQ1015,$BO$7:$BO$1576,"&lt;="&amp;BO1015),"")</f>
        <v>132.499251111255</v>
      </c>
      <c r="AS1015" s="65" t="n">
        <f aca="false">IF(AR1015="",0,MAX(0,MIN(1,(IF(BU1015="L1",Parameter!$E$5,Parameter!$E$6+Parameter!$E$7)-(AR1015-AN1015))/AN1015)))</f>
        <v>0</v>
      </c>
      <c r="AT1015" s="57" t="n">
        <f aca="false">IF(LEFT(Cockpit!$O$5,1)="A",G1015,IF(BW1015=1,BX1015,IF(LEFT(Cockpit!$O$5,1)="B",AX1015,MAX(AX1015,G1015))))</f>
        <v>10</v>
      </c>
      <c r="AU1015" s="57" t="n">
        <f aca="false">IF(BR1015=1,0,ROUNDUP(AT1015/BQ1015,0))</f>
        <v>1</v>
      </c>
      <c r="AV1015" s="59" t="n">
        <f aca="false">IF(CD1015&gt;0,CD1015*MAX(1,AT1015/V1015),IF(BR1015=1,IF(AT1015&lt;=0,0,BS1015*MAX(1,IF(G1015&gt;0,AT1015/G1015,1))),IF(Q1015&gt;0,AU1015/Q1015,0))/MAX(0.1,N(Parameter!$M$21)))</f>
        <v>0.0833333333333333</v>
      </c>
      <c r="AW1015" s="57" t="n">
        <f aca="false">AT1015*F1015</f>
        <v>375.7</v>
      </c>
      <c r="AX1015" s="57" t="n">
        <f aca="false">ROUNDUP(MAX(I1015/IF(BV1015&gt;0,BV1015,MAX(0.1,N(Cockpit!$O$6))),BY1015)/BQ1015,0)*BQ1015</f>
        <v>10</v>
      </c>
      <c r="AY1015" s="58" t="n">
        <f aca="false">IF(AV1015&gt;0,I1015/AV1015,-1)</f>
        <v>0</v>
      </c>
      <c r="AZ1015" s="58" t="n">
        <f aca="false">IF(AND(OR(BU1015="L1",BU1015="L23"),AV1015&gt;0),SUMIFS($AV$7:$AV$1576,$BU$7:$BU$1576,BU1015,$AY$7:$AY$1576,"&gt;"&amp;AY1015)+SUMIFS($AV$7:$AV$1576,$BU$7:$BU$1576,BU1015,$AY$7:$AY$1576,AY1015,$BO$7:$BO$1576,"&lt;="&amp;BO1015),"")</f>
        <v>122.558801560806</v>
      </c>
      <c r="BA1015" s="65" t="n">
        <f aca="false">IF(AZ1015="",0,MAX(0,MIN(1,(IF(BU1015="L1",Parameter!$E$5,Parameter!$E$6+Parameter!$E$7)-(AZ1015-AV1015))/AV1015)))</f>
        <v>0</v>
      </c>
      <c r="BB1015" s="55" t="str">
        <f aca="false">IF(AF1015&lt;=0,"",IF(BU1015="Aussen","Aussenlager",IF(BU1015="-","Nicht im Lift",IF(AK1015&gt;=1,"Lift",IF(AK1015&lt;=0,"Aussenlager","teilweise")))))</f>
        <v/>
      </c>
      <c r="BC1015" s="55" t="str">
        <f aca="false">IF(AN1015&lt;=0,"",IF(BU1015="Aussen","Aussenlager",IF(BU1015="-","Nicht im Lift",IF(AS1015&gt;=1,"Lift",IF(AS1015&lt;=0,"Aussenlager","teilweise")))))</f>
        <v>Aussenlager</v>
      </c>
      <c r="BD1015" s="55" t="str">
        <f aca="false">IF(AV1015&lt;=0,"",IF(BU1015="Aussen","Aussenlager",IF(BU1015="-","Nicht im Lift",IF(BA1015&gt;=1,"Lift",IF(BA1015&lt;=0,"Aussenlager","teilweise")))))</f>
        <v>Aussenlager</v>
      </c>
      <c r="BE1015" s="55" t="str">
        <f aca="false">IF(A1015="","",IF(BN1015=1,"Neu; ","")&amp;IF(AND(BN1015=0,BI1015&lt;0),"negativer Bestand (Export "&amp;BI1015&amp;"); ","")&amp;IF(I1015&lt;=0,"Kein Verbrauch; ","")&amp;IF(CD1015&gt;0,"Lift "&amp;U1015&amp;" lt. Liftbericht (Fach "&amp;V1015&amp;" Stk); ",IF(BR1015=1,"Lose – Fläche geschätzt; ",""))&amp;IF(G1015&gt;AP1015,"Überbestand "&amp;ROUND(G1015-AP1015,0)&amp;" Stk / CHF "&amp;ROUND((G1015-AP1015)*F1015,0)&amp;"; ","")&amp;IF(AND(BW1015=1,BX1015&lt;BY1015),"MAX &lt; MB+LG; ","")&amp;IF(AND(CC1015&gt;0,CB1015*10&gt;CC1015),"zu hoch für Tablar; ","")&amp;IF(AND(BN1015=0,OR(BW1015=1,Y1015&lt;&gt;"",S1015&lt;&gt;"",T1015&lt;&gt;"",Z1015&lt;&gt;"")),"manuell übersteuert; ","")&amp;IF(AND(BR1015=0,Q1015=0),"Gebinde unbekannt / Stellmass fehlt; ","")&amp;IF(AND(BR1015=0,N(T1015)&lt;=0,N(P1015)&lt;=0),"Menge pro Gebinde fehlt (Ist = 1 Gebinde); ","")&amp;BM1015)</f>
        <v>negativer Bestand (Export -3); Kein Verbrauch; </v>
      </c>
      <c r="BF1015" s="55"/>
      <c r="BG1015" s="55"/>
      <c r="BH1015" s="62"/>
      <c r="BI1015" s="57" t="n">
        <v>-3</v>
      </c>
      <c r="BJ1015" s="57" t="n">
        <v>12</v>
      </c>
      <c r="BK1015" s="56" t="n">
        <v>-112.71</v>
      </c>
      <c r="BL1015" s="57" t="n">
        <v>0</v>
      </c>
      <c r="BM1015" s="55"/>
      <c r="BN1015" s="60" t="n">
        <v>0</v>
      </c>
      <c r="BO1015" s="60" t="n">
        <v>1015</v>
      </c>
      <c r="BP1015" s="55" t="str">
        <f aca="false">IF(S1015&lt;&gt;"",UPPER(TRIM(S1015)),IF(O1015="","LOSE",O1015))</f>
        <v>S61</v>
      </c>
      <c r="BQ1015" s="57" t="n">
        <f aca="false">IF(BP1015="LOSE",1,IF(N(T1015)&gt;0,T1015,IF(N(P1015)&gt;0,P1015,MAX(1,G1015))))</f>
        <v>10</v>
      </c>
      <c r="BR1015" s="60" t="n">
        <f aca="false">IF(BP1015="LOSE",1,0)</f>
        <v>0</v>
      </c>
      <c r="BS1015" s="59" t="n">
        <f aca="false">IF(BR1015=0,0,IF(N(R1015)&gt;0,R1015,IFERROR(VLOOKUP(D1015,Parameter!$A$35:$C$64,3,0)+0,0)))</f>
        <v>0</v>
      </c>
      <c r="BT1015" s="55" t="n">
        <f aca="false">IF(Y1015&lt;&gt;"",Y1015,X1015)</f>
        <v>2</v>
      </c>
      <c r="BU1015" s="55" t="str">
        <f aca="false">IF(BT1015=1,"L1",IF(OR(BT1015=2,BT1015=3),"L23",IF(BT1015="Aussen","Aussen","-")))</f>
        <v>L23</v>
      </c>
      <c r="BV1015" s="66" t="n">
        <f aca="false">IF(N(Z1015)&gt;0,Z1015,0)</f>
        <v>0</v>
      </c>
      <c r="BW1015" s="60" t="n">
        <f aca="false">IF(ISNUMBER(AC1015),1,0)</f>
        <v>0</v>
      </c>
      <c r="BX1015" s="57" t="n">
        <f aca="false">N(AC1015)</f>
        <v>0</v>
      </c>
      <c r="BY1015" s="57" t="n">
        <f aca="false">N(L1015)+N(M1015)</f>
        <v>1</v>
      </c>
      <c r="BZ1015" s="57" t="n">
        <f aca="false">ROUNDUP(G1015/BQ1015,0)</f>
        <v>0</v>
      </c>
      <c r="CA1015" s="57" t="n">
        <f aca="false">ROUNDUP(BX1015/BQ1015,0)</f>
        <v>0</v>
      </c>
      <c r="CB1015" s="60" t="n">
        <f aca="false">IF(BR1015=1,0,IFERROR(VLOOKUP(BP1015,'Gebinde-Kategorie'!$A$5:$M$45,5,0)+0,0))</f>
        <v>11</v>
      </c>
      <c r="CC1015" s="60" t="n">
        <f aca="false">IFERROR(IF(OR(BT1015=1,BT1015=2,BT1015=3),N(INDEX(Parameter!$I$5:$I$7,BT1015)),0),0)</f>
        <v>0</v>
      </c>
      <c r="CD1015" s="59" t="n">
        <f aca="false">IF(AND(Parameter!$B$21="Ja",ISNUMBER(U1015),N(V1015)&gt;0),IFERROR(N(INDEX(Parameter!$L$5:$L$7,U1015))*INDEX(Parameter!$E$5:$E$7,U1015)*V1015/SUMIFS($V$7:$V$1576,$U$7:$U$1576,U1015),0),0)</f>
        <v>0</v>
      </c>
    </row>
    <row r="1016" customFormat="false" ht="15" hidden="false" customHeight="false" outlineLevel="0" collapsed="false">
      <c r="A1016" s="55" t="s">
        <v>1857</v>
      </c>
      <c r="B1016" s="55" t="s">
        <v>1858</v>
      </c>
      <c r="C1016" s="55" t="s">
        <v>446</v>
      </c>
      <c r="D1016" s="55" t="s">
        <v>178</v>
      </c>
      <c r="E1016" s="55" t="s">
        <v>210</v>
      </c>
      <c r="F1016" s="56" t="n">
        <v>8.06</v>
      </c>
      <c r="G1016" s="57" t="n">
        <f aca="false">MAX(0,IF(AND(Parameter!$B$21="Ja",ISNUMBER(W1016)),W1016,IF(Parameter!$B$20="Jahresanfang 2025 + Export",BJ1016+BI1016,BI1016)))</f>
        <v>0</v>
      </c>
      <c r="H1016" s="57" t="n">
        <f aca="false">G1016*F1016</f>
        <v>0</v>
      </c>
      <c r="I1016" s="57" t="n">
        <f aca="false">BL1016*Parameter!$B$18</f>
        <v>14</v>
      </c>
      <c r="J1016" s="58" t="n">
        <v>14</v>
      </c>
      <c r="K1016" s="59" t="n">
        <v>1</v>
      </c>
      <c r="L1016" s="57" t="n">
        <v>0</v>
      </c>
      <c r="M1016" s="57" t="n">
        <v>15</v>
      </c>
      <c r="N1016" s="60" t="n">
        <v>14</v>
      </c>
      <c r="O1016" s="55" t="s">
        <v>163</v>
      </c>
      <c r="P1016" s="57"/>
      <c r="Q1016" s="60" t="n">
        <f aca="false">IF(BR1016=1,0,IFERROR(VLOOKUP(BP1016,'Gebinde-Kategorie'!$A$5:$M$45,13,0)+0,0))</f>
        <v>0</v>
      </c>
      <c r="R1016" s="61"/>
      <c r="S1016" s="62"/>
      <c r="T1016" s="62"/>
      <c r="U1016" s="55"/>
      <c r="V1016" s="57"/>
      <c r="W1016" s="57"/>
      <c r="X1016" s="55" t="n">
        <f aca="false">IF(A1016="","",IF(AND(Parameter!$B$21="Ja",ISNUMBER(U1016)),U1016,IF(IFERROR(VLOOKUP(D1016,Parameter!$A$35:$C$64,2,0),"Nein")="2+3",IF(ISNUMBER(SEARCH("grosser Artikel",BM1016)),2,IFERROR(VLOOKUP(BP1016,Parameter!$F$35:$G$64,2,0),2)),IF(OR(IFERROR(VLOOKUP(D1016,Parameter!$A$35:$C$64,2,0),"Nein")="Nein",IFERROR(VLOOKUP(D1016,Parameter!$A$35:$C$64,2,0),"Nein")=""),"-",VLOOKUP(D1016,Parameter!$A$35:$C$64,2,0)))))</f>
        <v>2</v>
      </c>
      <c r="Y1016" s="62"/>
      <c r="Z1016" s="63"/>
      <c r="AA1016" s="57" t="n">
        <f aca="false">AP1016</f>
        <v>15</v>
      </c>
      <c r="AB1016" s="57" t="n">
        <f aca="false">MAX(AP1016,G1016)</f>
        <v>15</v>
      </c>
      <c r="AC1016" s="64"/>
      <c r="AD1016" s="57" t="n">
        <f aca="false">IF(LEFT(Cockpit!$C$5,1)="A",G1016,IF(BW1016=1,BX1016,IF(LEFT(Cockpit!$C$5,1)="B",AH1016,MAX(AH1016,G1016))))</f>
        <v>0</v>
      </c>
      <c r="AE1016" s="57" t="n">
        <f aca="false">IF(BR1016=1,0,ROUNDUP(AD1016/BQ1016,0))</f>
        <v>0</v>
      </c>
      <c r="AF1016" s="59" t="n">
        <f aca="false">IF(CD1016&gt;0,CD1016*MAX(1,AD1016/V1016),IF(BR1016=1,IF(AD1016&lt;=0,0,BS1016*MAX(1,IF(G1016&gt;0,AD1016/G1016,1))),IF(Q1016&gt;0,AE1016/Q1016,0))/MAX(0.1,N(Parameter!$M$21)))</f>
        <v>0</v>
      </c>
      <c r="AG1016" s="57" t="n">
        <f aca="false">AD1016*F1016</f>
        <v>0</v>
      </c>
      <c r="AH1016" s="57" t="n">
        <f aca="false">ROUNDUP(MAX(I1016/IF(BV1016&gt;0,BV1016,MAX(0.1,N(Cockpit!$C$6))),BY1016)/BQ1016,0)*BQ1016</f>
        <v>15</v>
      </c>
      <c r="AI1016" s="58" t="n">
        <f aca="false">IF(AF1016&gt;0,I1016/AF1016,-1)</f>
        <v>-1</v>
      </c>
      <c r="AJ1016" s="58" t="str">
        <f aca="false">IF(AND(OR(BU1016="L1",BU1016="L23"),AF1016&gt;0),SUMIFS($AF$7:$AF$1576,$BU$7:$BU$1576,BU1016,$AI$7:$AI$1576,"&gt;"&amp;AI1016)+SUMIFS($AF$7:$AF$1576,$BU$7:$BU$1576,BU1016,$AI$7:$AI$1576,AI1016,$BO$7:$BO$1576,"&lt;="&amp;BO1016),"")</f>
        <v/>
      </c>
      <c r="AK1016" s="65" t="n">
        <f aca="false">IF(AJ1016="",0,MAX(0,MIN(1,(IF(BU1016="L1",Parameter!$E$5,Parameter!$E$6+Parameter!$E$7)-(AJ1016-AF1016))/AF1016)))</f>
        <v>0</v>
      </c>
      <c r="AL1016" s="57" t="n">
        <f aca="false">IF(LEFT(Cockpit!$I$5,1)="A",G1016,IF(BW1016=1,BX1016,IF(LEFT(Cockpit!$I$5,1)="B",AP1016,MAX(AP1016,G1016))))</f>
        <v>15</v>
      </c>
      <c r="AM1016" s="57" t="n">
        <f aca="false">IF(BR1016=1,0,ROUNDUP(AL1016/BQ1016,0))</f>
        <v>0</v>
      </c>
      <c r="AN1016" s="59" t="n">
        <f aca="false">IF(CD1016&gt;0,CD1016*MAX(1,AL1016/V1016),IF(BR1016=1,IF(AL1016&lt;=0,0,BS1016*MAX(1,IF(G1016&gt;0,AL1016/G1016,1))),IF(Q1016&gt;0,AM1016/Q1016,0))/MAX(0.1,N(Parameter!$M$21)))</f>
        <v>0.03</v>
      </c>
      <c r="AO1016" s="57" t="n">
        <f aca="false">AL1016*F1016</f>
        <v>120.9</v>
      </c>
      <c r="AP1016" s="57" t="n">
        <f aca="false">ROUNDUP(MAX(I1016/IF(BV1016&gt;0,BV1016,MAX(0.1,N(Cockpit!$I$6))),BY1016)/BQ1016,0)*BQ1016</f>
        <v>15</v>
      </c>
      <c r="AQ1016" s="58" t="n">
        <f aca="false">IF(AN1016&gt;0,I1016/AN1016,-1)</f>
        <v>466.666666666667</v>
      </c>
      <c r="AR1016" s="58" t="n">
        <f aca="false">IF(AND(OR(BU1016="L1",BU1016="L23"),AN1016&gt;0),SUMIFS($AN$7:$AN$1576,$BU$7:$BU$1576,BU1016,$AQ$7:$AQ$1576,"&gt;"&amp;AQ1016)+SUMIFS($AN$7:$AN$1576,$BU$7:$BU$1576,BU1016,$AQ$7:$AQ$1576,AQ1016,$BO$7:$BO$1576,"&lt;="&amp;BO1016),"")</f>
        <v>35.2021102692953</v>
      </c>
      <c r="AS1016" s="65" t="n">
        <f aca="false">IF(AR1016="",0,MAX(0,MIN(1,(IF(BU1016="L1",Parameter!$E$5,Parameter!$E$6+Parameter!$E$7)-(AR1016-AN1016))/AN1016)))</f>
        <v>1</v>
      </c>
      <c r="AT1016" s="57" t="n">
        <f aca="false">IF(LEFT(Cockpit!$O$5,1)="A",G1016,IF(BW1016=1,BX1016,IF(LEFT(Cockpit!$O$5,1)="B",AX1016,MAX(AX1016,G1016))))</f>
        <v>15</v>
      </c>
      <c r="AU1016" s="57" t="n">
        <f aca="false">IF(BR1016=1,0,ROUNDUP(AT1016/BQ1016,0))</f>
        <v>0</v>
      </c>
      <c r="AV1016" s="59" t="n">
        <f aca="false">IF(CD1016&gt;0,CD1016*MAX(1,AT1016/V1016),IF(BR1016=1,IF(AT1016&lt;=0,0,BS1016*MAX(1,IF(G1016&gt;0,AT1016/G1016,1))),IF(Q1016&gt;0,AU1016/Q1016,0))/MAX(0.1,N(Parameter!$M$21)))</f>
        <v>0.03</v>
      </c>
      <c r="AW1016" s="57" t="n">
        <f aca="false">AT1016*F1016</f>
        <v>120.9</v>
      </c>
      <c r="AX1016" s="57" t="n">
        <f aca="false">ROUNDUP(MAX(I1016/IF(BV1016&gt;0,BV1016,MAX(0.1,N(Cockpit!$O$6))),BY1016)/BQ1016,0)*BQ1016</f>
        <v>15</v>
      </c>
      <c r="AY1016" s="58" t="n">
        <f aca="false">IF(AV1016&gt;0,I1016/AV1016,-1)</f>
        <v>466.666666666667</v>
      </c>
      <c r="AZ1016" s="58" t="n">
        <f aca="false">IF(AND(OR(BU1016="L1",BU1016="L23"),AV1016&gt;0),SUMIFS($AV$7:$AV$1576,$BU$7:$BU$1576,BU1016,$AY$7:$AY$1576,"&gt;"&amp;AY1016)+SUMIFS($AV$7:$AV$1576,$BU$7:$BU$1576,BU1016,$AY$7:$AY$1576,AY1016,$BO$7:$BO$1576,"&lt;="&amp;BO1016),"")</f>
        <v>34.3540350112201</v>
      </c>
      <c r="BA1016" s="65" t="n">
        <f aca="false">IF(AZ1016="",0,MAX(0,MIN(1,(IF(BU1016="L1",Parameter!$E$5,Parameter!$E$6+Parameter!$E$7)-(AZ1016-AV1016))/AV1016)))</f>
        <v>1</v>
      </c>
      <c r="BB1016" s="55" t="str">
        <f aca="false">IF(AF1016&lt;=0,"",IF(BU1016="Aussen","Aussenlager",IF(BU1016="-","Nicht im Lift",IF(AK1016&gt;=1,"Lift",IF(AK1016&lt;=0,"Aussenlager","teilweise")))))</f>
        <v/>
      </c>
      <c r="BC1016" s="55" t="str">
        <f aca="false">IF(AN1016&lt;=0,"",IF(BU1016="Aussen","Aussenlager",IF(BU1016="-","Nicht im Lift",IF(AS1016&gt;=1,"Lift",IF(AS1016&lt;=0,"Aussenlager","teilweise")))))</f>
        <v>Lift</v>
      </c>
      <c r="BD1016" s="55" t="str">
        <f aca="false">IF(AV1016&lt;=0,"",IF(BU1016="Aussen","Aussenlager",IF(BU1016="-","Nicht im Lift",IF(BA1016&gt;=1,"Lift",IF(BA1016&lt;=0,"Aussenlager","teilweise")))))</f>
        <v>Lift</v>
      </c>
      <c r="BE1016" s="55" t="str">
        <f aca="false">IF(A1016="","",IF(BN1016=1,"Neu; ","")&amp;IF(AND(BN1016=0,BI1016&lt;0),"negativer Bestand (Export "&amp;BI1016&amp;"); ","")&amp;IF(I1016&lt;=0,"Kein Verbrauch; ","")&amp;IF(CD1016&gt;0,"Lift "&amp;U1016&amp;" lt. Liftbericht (Fach "&amp;V1016&amp;" Stk); ",IF(BR1016=1,"Lose – Fläche geschätzt; ",""))&amp;IF(G1016&gt;AP1016,"Überbestand "&amp;ROUND(G1016-AP1016,0)&amp;" Stk / CHF "&amp;ROUND((G1016-AP1016)*F1016,0)&amp;"; ","")&amp;IF(AND(BW1016=1,BX1016&lt;BY1016),"MAX &lt; MB+LG; ","")&amp;IF(AND(CC1016&gt;0,CB1016*10&gt;CC1016),"zu hoch für Tablar; ","")&amp;IF(AND(BN1016=0,OR(BW1016=1,Y1016&lt;&gt;"",S1016&lt;&gt;"",T1016&lt;&gt;"",Z1016&lt;&gt;"")),"manuell übersteuert; ","")&amp;IF(AND(BR1016=0,Q1016=0),"Gebinde unbekannt / Stellmass fehlt; ","")&amp;IF(AND(BR1016=0,N(T1016)&lt;=0,N(P1016)&lt;=0),"Menge pro Gebinde fehlt (Ist = 1 Gebinde); ","")&amp;BM1016)</f>
        <v>negativer Bestand (Export -14); Lose – Fläche geschätzt; </v>
      </c>
      <c r="BF1016" s="55"/>
      <c r="BG1016" s="55"/>
      <c r="BH1016" s="62"/>
      <c r="BI1016" s="57" t="n">
        <v>-14</v>
      </c>
      <c r="BJ1016" s="57" t="n">
        <v>28</v>
      </c>
      <c r="BK1016" s="56" t="n">
        <v>-112.84</v>
      </c>
      <c r="BL1016" s="57" t="n">
        <v>14</v>
      </c>
      <c r="BM1016" s="55"/>
      <c r="BN1016" s="60" t="n">
        <v>0</v>
      </c>
      <c r="BO1016" s="60" t="n">
        <v>1016</v>
      </c>
      <c r="BP1016" s="55" t="str">
        <f aca="false">IF(S1016&lt;&gt;"",UPPER(TRIM(S1016)),IF(O1016="","LOSE",O1016))</f>
        <v>LOSE</v>
      </c>
      <c r="BQ1016" s="57" t="n">
        <f aca="false">IF(BP1016="LOSE",1,IF(N(T1016)&gt;0,T1016,IF(N(P1016)&gt;0,P1016,MAX(1,G1016))))</f>
        <v>1</v>
      </c>
      <c r="BR1016" s="60" t="n">
        <f aca="false">IF(BP1016="LOSE",1,0)</f>
        <v>1</v>
      </c>
      <c r="BS1016" s="59" t="n">
        <f aca="false">IF(BR1016=0,0,IF(N(R1016)&gt;0,R1016,IFERROR(VLOOKUP(D1016,Parameter!$A$35:$C$64,3,0)+0,0)))</f>
        <v>0.03</v>
      </c>
      <c r="BT1016" s="55" t="n">
        <f aca="false">IF(Y1016&lt;&gt;"",Y1016,X1016)</f>
        <v>2</v>
      </c>
      <c r="BU1016" s="55" t="str">
        <f aca="false">IF(BT1016=1,"L1",IF(OR(BT1016=2,BT1016=3),"L23",IF(BT1016="Aussen","Aussen","-")))</f>
        <v>L23</v>
      </c>
      <c r="BV1016" s="66" t="n">
        <f aca="false">IF(N(Z1016)&gt;0,Z1016,0)</f>
        <v>0</v>
      </c>
      <c r="BW1016" s="60" t="n">
        <f aca="false">IF(ISNUMBER(AC1016),1,0)</f>
        <v>0</v>
      </c>
      <c r="BX1016" s="57" t="n">
        <f aca="false">N(AC1016)</f>
        <v>0</v>
      </c>
      <c r="BY1016" s="57" t="n">
        <f aca="false">N(L1016)+N(M1016)</f>
        <v>15</v>
      </c>
      <c r="BZ1016" s="57" t="n">
        <f aca="false">ROUNDUP(G1016/BQ1016,0)</f>
        <v>0</v>
      </c>
      <c r="CA1016" s="57" t="n">
        <f aca="false">ROUNDUP(BX1016/BQ1016,0)</f>
        <v>0</v>
      </c>
      <c r="CB1016" s="60" t="n">
        <f aca="false">IF(BR1016=1,0,IFERROR(VLOOKUP(BP1016,'Gebinde-Kategorie'!$A$5:$M$45,5,0)+0,0))</f>
        <v>0</v>
      </c>
      <c r="CC1016" s="60" t="n">
        <f aca="false">IFERROR(IF(OR(BT1016=1,BT1016=2,BT1016=3),N(INDEX(Parameter!$I$5:$I$7,BT1016)),0),0)</f>
        <v>0</v>
      </c>
      <c r="CD1016" s="59" t="n">
        <f aca="false">IF(AND(Parameter!$B$21="Ja",ISNUMBER(U1016),N(V1016)&gt;0),IFERROR(N(INDEX(Parameter!$L$5:$L$7,U1016))*INDEX(Parameter!$E$5:$E$7,U1016)*V1016/SUMIFS($V$7:$V$1576,$U$7:$U$1576,U1016),0),0)</f>
        <v>0</v>
      </c>
    </row>
    <row r="1017" customFormat="false" ht="15" hidden="false" customHeight="false" outlineLevel="0" collapsed="false">
      <c r="A1017" s="55" t="s">
        <v>1859</v>
      </c>
      <c r="B1017" s="55" t="s">
        <v>881</v>
      </c>
      <c r="C1017" s="55" t="s">
        <v>160</v>
      </c>
      <c r="D1017" s="55" t="s">
        <v>178</v>
      </c>
      <c r="E1017" s="55" t="s">
        <v>210</v>
      </c>
      <c r="F1017" s="56" t="n">
        <v>10.72</v>
      </c>
      <c r="G1017" s="57" t="n">
        <f aca="false">MAX(0,IF(AND(Parameter!$B$21="Ja",ISNUMBER(W1017)),W1017,IF(Parameter!$B$20="Jahresanfang 2025 + Export",BJ1017+BI1017,BI1017)))</f>
        <v>0</v>
      </c>
      <c r="H1017" s="57" t="n">
        <f aca="false">G1017*F1017</f>
        <v>0</v>
      </c>
      <c r="I1017" s="57" t="n">
        <f aca="false">BL1017*Parameter!$B$18</f>
        <v>8</v>
      </c>
      <c r="J1017" s="58" t="n">
        <v>7.5</v>
      </c>
      <c r="K1017" s="59" t="n">
        <v>1.06666666666667</v>
      </c>
      <c r="L1017" s="57" t="n">
        <v>0</v>
      </c>
      <c r="M1017" s="57" t="n">
        <v>10</v>
      </c>
      <c r="N1017" s="60" t="n">
        <v>18</v>
      </c>
      <c r="O1017" s="55" t="s">
        <v>411</v>
      </c>
      <c r="P1017" s="57" t="n">
        <v>23</v>
      </c>
      <c r="Q1017" s="60" t="n">
        <f aca="false">IF(BR1017=1,0,IFERROR(VLOOKUP(BP1017,'Gebinde-Kategorie'!$A$5:$M$45,13,0)+0,0))</f>
        <v>132</v>
      </c>
      <c r="R1017" s="61"/>
      <c r="S1017" s="62"/>
      <c r="T1017" s="62"/>
      <c r="U1017" s="55"/>
      <c r="V1017" s="57"/>
      <c r="W1017" s="57"/>
      <c r="X1017" s="55" t="n">
        <f aca="false">IF(A1017="","",IF(AND(Parameter!$B$21="Ja",ISNUMBER(U1017)),U1017,IF(IFERROR(VLOOKUP(D1017,Parameter!$A$35:$C$64,2,0),"Nein")="2+3",IF(ISNUMBER(SEARCH("grosser Artikel",BM1017)),2,IFERROR(VLOOKUP(BP1017,Parameter!$F$35:$G$64,2,0),2)),IF(OR(IFERROR(VLOOKUP(D1017,Parameter!$A$35:$C$64,2,0),"Nein")="Nein",IFERROR(VLOOKUP(D1017,Parameter!$A$35:$C$64,2,0),"Nein")=""),"-",VLOOKUP(D1017,Parameter!$A$35:$C$64,2,0)))))</f>
        <v>3</v>
      </c>
      <c r="Y1017" s="62"/>
      <c r="Z1017" s="63"/>
      <c r="AA1017" s="57" t="n">
        <f aca="false">AP1017</f>
        <v>23</v>
      </c>
      <c r="AB1017" s="57" t="n">
        <f aca="false">MAX(AP1017,G1017)</f>
        <v>23</v>
      </c>
      <c r="AC1017" s="64"/>
      <c r="AD1017" s="57" t="n">
        <f aca="false">IF(LEFT(Cockpit!$C$5,1)="A",G1017,IF(BW1017=1,BX1017,IF(LEFT(Cockpit!$C$5,1)="B",AH1017,MAX(AH1017,G1017))))</f>
        <v>0</v>
      </c>
      <c r="AE1017" s="57" t="n">
        <f aca="false">IF(BR1017=1,0,ROUNDUP(AD1017/BQ1017,0))</f>
        <v>0</v>
      </c>
      <c r="AF1017" s="59" t="n">
        <f aca="false">IF(CD1017&gt;0,CD1017*MAX(1,AD1017/V1017),IF(BR1017=1,IF(AD1017&lt;=0,0,BS1017*MAX(1,IF(G1017&gt;0,AD1017/G1017,1))),IF(Q1017&gt;0,AE1017/Q1017,0))/MAX(0.1,N(Parameter!$M$21)))</f>
        <v>0</v>
      </c>
      <c r="AG1017" s="57" t="n">
        <f aca="false">AD1017*F1017</f>
        <v>0</v>
      </c>
      <c r="AH1017" s="57" t="n">
        <f aca="false">ROUNDUP(MAX(I1017/IF(BV1017&gt;0,BV1017,MAX(0.1,N(Cockpit!$C$6))),BY1017)/BQ1017,0)*BQ1017</f>
        <v>23</v>
      </c>
      <c r="AI1017" s="58" t="n">
        <f aca="false">IF(AF1017&gt;0,I1017/AF1017,-1)</f>
        <v>-1</v>
      </c>
      <c r="AJ1017" s="58" t="str">
        <f aca="false">IF(AND(OR(BU1017="L1",BU1017="L23"),AF1017&gt;0),SUMIFS($AF$7:$AF$1576,$BU$7:$BU$1576,BU1017,$AI$7:$AI$1576,"&gt;"&amp;AI1017)+SUMIFS($AF$7:$AF$1576,$BU$7:$BU$1576,BU1017,$AI$7:$AI$1576,AI1017,$BO$7:$BO$1576,"&lt;="&amp;BO1017),"")</f>
        <v/>
      </c>
      <c r="AK1017" s="65" t="n">
        <f aca="false">IF(AJ1017="",0,MAX(0,MIN(1,(IF(BU1017="L1",Parameter!$E$5,Parameter!$E$6+Parameter!$E$7)-(AJ1017-AF1017))/AF1017)))</f>
        <v>0</v>
      </c>
      <c r="AL1017" s="57" t="n">
        <f aca="false">IF(LEFT(Cockpit!$I$5,1)="A",G1017,IF(BW1017=1,BX1017,IF(LEFT(Cockpit!$I$5,1)="B",AP1017,MAX(AP1017,G1017))))</f>
        <v>23</v>
      </c>
      <c r="AM1017" s="57" t="n">
        <f aca="false">IF(BR1017=1,0,ROUNDUP(AL1017/BQ1017,0))</f>
        <v>1</v>
      </c>
      <c r="AN1017" s="59" t="n">
        <f aca="false">IF(CD1017&gt;0,CD1017*MAX(1,AL1017/V1017),IF(BR1017=1,IF(AL1017&lt;=0,0,BS1017*MAX(1,IF(G1017&gt;0,AL1017/G1017,1))),IF(Q1017&gt;0,AM1017/Q1017,0))/MAX(0.1,N(Parameter!$M$21)))</f>
        <v>0.00757575757575758</v>
      </c>
      <c r="AO1017" s="57" t="n">
        <f aca="false">AL1017*F1017</f>
        <v>246.56</v>
      </c>
      <c r="AP1017" s="57" t="n">
        <f aca="false">ROUNDUP(MAX(I1017/IF(BV1017&gt;0,BV1017,MAX(0.1,N(Cockpit!$I$6))),BY1017)/BQ1017,0)*BQ1017</f>
        <v>23</v>
      </c>
      <c r="AQ1017" s="58" t="n">
        <f aca="false">IF(AN1017&gt;0,I1017/AN1017,-1)</f>
        <v>1056</v>
      </c>
      <c r="AR1017" s="58" t="n">
        <f aca="false">IF(AND(OR(BU1017="L1",BU1017="L23"),AN1017&gt;0),SUMIFS($AN$7:$AN$1576,$BU$7:$BU$1576,BU1017,$AQ$7:$AQ$1576,"&gt;"&amp;AQ1017)+SUMIFS($AN$7:$AN$1576,$BU$7:$BU$1576,BU1017,$AQ$7:$AQ$1576,AQ1017,$BO$7:$BO$1576,"&lt;="&amp;BO1017),"")</f>
        <v>22.4498685496623</v>
      </c>
      <c r="AS1017" s="65" t="n">
        <f aca="false">IF(AR1017="",0,MAX(0,MIN(1,(IF(BU1017="L1",Parameter!$E$5,Parameter!$E$6+Parameter!$E$7)-(AR1017-AN1017))/AN1017)))</f>
        <v>1</v>
      </c>
      <c r="AT1017" s="57" t="n">
        <f aca="false">IF(LEFT(Cockpit!$O$5,1)="A",G1017,IF(BW1017=1,BX1017,IF(LEFT(Cockpit!$O$5,1)="B",AX1017,MAX(AX1017,G1017))))</f>
        <v>23</v>
      </c>
      <c r="AU1017" s="57" t="n">
        <f aca="false">IF(BR1017=1,0,ROUNDUP(AT1017/BQ1017,0))</f>
        <v>1</v>
      </c>
      <c r="AV1017" s="59" t="n">
        <f aca="false">IF(CD1017&gt;0,CD1017*MAX(1,AT1017/V1017),IF(BR1017=1,IF(AT1017&lt;=0,0,BS1017*MAX(1,IF(G1017&gt;0,AT1017/G1017,1))),IF(Q1017&gt;0,AU1017/Q1017,0))/MAX(0.1,N(Parameter!$M$21)))</f>
        <v>0.00757575757575758</v>
      </c>
      <c r="AW1017" s="57" t="n">
        <f aca="false">AT1017*F1017</f>
        <v>246.56</v>
      </c>
      <c r="AX1017" s="57" t="n">
        <f aca="false">ROUNDUP(MAX(I1017/IF(BV1017&gt;0,BV1017,MAX(0.1,N(Cockpit!$O$6))),BY1017)/BQ1017,0)*BQ1017</f>
        <v>23</v>
      </c>
      <c r="AY1017" s="58" t="n">
        <f aca="false">IF(AV1017&gt;0,I1017/AV1017,-1)</f>
        <v>1056</v>
      </c>
      <c r="AZ1017" s="58" t="n">
        <f aca="false">IF(AND(OR(BU1017="L1",BU1017="L23"),AV1017&gt;0),SUMIFS($AV$7:$AV$1576,$BU$7:$BU$1576,BU1017,$AY$7:$AY$1576,"&gt;"&amp;AY1017)+SUMIFS($AV$7:$AV$1576,$BU$7:$BU$1576,BU1017,$AY$7:$AY$1576,AY1017,$BO$7:$BO$1576,"&lt;="&amp;BO1017),"")</f>
        <v>21.7604746102684</v>
      </c>
      <c r="BA1017" s="65" t="n">
        <f aca="false">IF(AZ1017="",0,MAX(0,MIN(1,(IF(BU1017="L1",Parameter!$E$5,Parameter!$E$6+Parameter!$E$7)-(AZ1017-AV1017))/AV1017)))</f>
        <v>1</v>
      </c>
      <c r="BB1017" s="55" t="str">
        <f aca="false">IF(AF1017&lt;=0,"",IF(BU1017="Aussen","Aussenlager",IF(BU1017="-","Nicht im Lift",IF(AK1017&gt;=1,"Lift",IF(AK1017&lt;=0,"Aussenlager","teilweise")))))</f>
        <v/>
      </c>
      <c r="BC1017" s="55" t="str">
        <f aca="false">IF(AN1017&lt;=0,"",IF(BU1017="Aussen","Aussenlager",IF(BU1017="-","Nicht im Lift",IF(AS1017&gt;=1,"Lift",IF(AS1017&lt;=0,"Aussenlager","teilweise")))))</f>
        <v>Lift</v>
      </c>
      <c r="BD1017" s="55" t="str">
        <f aca="false">IF(AV1017&lt;=0,"",IF(BU1017="Aussen","Aussenlager",IF(BU1017="-","Nicht im Lift",IF(BA1017&gt;=1,"Lift",IF(BA1017&lt;=0,"Aussenlager","teilweise")))))</f>
        <v>Lift</v>
      </c>
      <c r="BE1017" s="55" t="str">
        <f aca="false">IF(A1017="","",IF(BN1017=1,"Neu; ","")&amp;IF(AND(BN1017=0,BI1017&lt;0),"negativer Bestand (Export "&amp;BI1017&amp;"); ","")&amp;IF(I1017&lt;=0,"Kein Verbrauch; ","")&amp;IF(CD1017&gt;0,"Lift "&amp;U1017&amp;" lt. Liftbericht (Fach "&amp;V1017&amp;" Stk); ",IF(BR1017=1,"Lose – Fläche geschätzt; ",""))&amp;IF(G1017&gt;AP1017,"Überbestand "&amp;ROUND(G1017-AP1017,0)&amp;" Stk / CHF "&amp;ROUND((G1017-AP1017)*F1017,0)&amp;"; ","")&amp;IF(AND(BW1017=1,BX1017&lt;BY1017),"MAX &lt; MB+LG; ","")&amp;IF(AND(CC1017&gt;0,CB1017*10&gt;CC1017),"zu hoch für Tablar; ","")&amp;IF(AND(BN1017=0,OR(BW1017=1,Y1017&lt;&gt;"",S1017&lt;&gt;"",T1017&lt;&gt;"",Z1017&lt;&gt;"")),"manuell übersteuert; ","")&amp;IF(AND(BR1017=0,Q1017=0),"Gebinde unbekannt / Stellmass fehlt; ","")&amp;IF(AND(BR1017=0,N(T1017)&lt;=0,N(P1017)&lt;=0),"Menge pro Gebinde fehlt (Ist = 1 Gebinde); ","")&amp;BM1017)</f>
        <v>negativer Bestand (Export -9); </v>
      </c>
      <c r="BF1017" s="55"/>
      <c r="BG1017" s="55"/>
      <c r="BH1017" s="62"/>
      <c r="BI1017" s="57" t="n">
        <v>-9</v>
      </c>
      <c r="BJ1017" s="57" t="n">
        <v>12</v>
      </c>
      <c r="BK1017" s="56" t="n">
        <v>-113.16</v>
      </c>
      <c r="BL1017" s="57" t="n">
        <v>8</v>
      </c>
      <c r="BM1017" s="55"/>
      <c r="BN1017" s="60" t="n">
        <v>0</v>
      </c>
      <c r="BO1017" s="60" t="n">
        <v>1017</v>
      </c>
      <c r="BP1017" s="55" t="str">
        <f aca="false">IF(S1017&lt;&gt;"",UPPER(TRIM(S1017)),IF(O1017="","LOSE",O1017))</f>
        <v>S32</v>
      </c>
      <c r="BQ1017" s="57" t="n">
        <f aca="false">IF(BP1017="LOSE",1,IF(N(T1017)&gt;0,T1017,IF(N(P1017)&gt;0,P1017,MAX(1,G1017))))</f>
        <v>23</v>
      </c>
      <c r="BR1017" s="60" t="n">
        <f aca="false">IF(BP1017="LOSE",1,0)</f>
        <v>0</v>
      </c>
      <c r="BS1017" s="59" t="n">
        <f aca="false">IF(BR1017=0,0,IF(N(R1017)&gt;0,R1017,IFERROR(VLOOKUP(D1017,Parameter!$A$35:$C$64,3,0)+0,0)))</f>
        <v>0</v>
      </c>
      <c r="BT1017" s="55" t="n">
        <f aca="false">IF(Y1017&lt;&gt;"",Y1017,X1017)</f>
        <v>3</v>
      </c>
      <c r="BU1017" s="55" t="str">
        <f aca="false">IF(BT1017=1,"L1",IF(OR(BT1017=2,BT1017=3),"L23",IF(BT1017="Aussen","Aussen","-")))</f>
        <v>L23</v>
      </c>
      <c r="BV1017" s="66" t="n">
        <f aca="false">IF(N(Z1017)&gt;0,Z1017,0)</f>
        <v>0</v>
      </c>
      <c r="BW1017" s="60" t="n">
        <f aca="false">IF(ISNUMBER(AC1017),1,0)</f>
        <v>0</v>
      </c>
      <c r="BX1017" s="57" t="n">
        <f aca="false">N(AC1017)</f>
        <v>0</v>
      </c>
      <c r="BY1017" s="57" t="n">
        <f aca="false">N(L1017)+N(M1017)</f>
        <v>10</v>
      </c>
      <c r="BZ1017" s="57" t="n">
        <f aca="false">ROUNDUP(G1017/BQ1017,0)</f>
        <v>0</v>
      </c>
      <c r="CA1017" s="57" t="n">
        <f aca="false">ROUNDUP(BX1017/BQ1017,0)</f>
        <v>0</v>
      </c>
      <c r="CB1017" s="60" t="n">
        <f aca="false">IF(BR1017=1,0,IFERROR(VLOOKUP(BP1017,'Gebinde-Kategorie'!$A$5:$M$45,5,0)+0,0))</f>
        <v>8</v>
      </c>
      <c r="CC1017" s="60" t="n">
        <f aca="false">IFERROR(IF(OR(BT1017=1,BT1017=2,BT1017=3),N(INDEX(Parameter!$I$5:$I$7,BT1017)),0),0)</f>
        <v>0</v>
      </c>
      <c r="CD1017" s="59" t="n">
        <f aca="false">IF(AND(Parameter!$B$21="Ja",ISNUMBER(U1017),N(V1017)&gt;0),IFERROR(N(INDEX(Parameter!$L$5:$L$7,U1017))*INDEX(Parameter!$E$5:$E$7,U1017)*V1017/SUMIFS($V$7:$V$1576,$U$7:$U$1576,U1017),0),0)</f>
        <v>0</v>
      </c>
    </row>
    <row r="1018" customFormat="false" ht="15" hidden="false" customHeight="false" outlineLevel="0" collapsed="false">
      <c r="A1018" s="55" t="s">
        <v>1860</v>
      </c>
      <c r="B1018" s="55" t="s">
        <v>1861</v>
      </c>
      <c r="C1018" s="55" t="s">
        <v>446</v>
      </c>
      <c r="D1018" s="55" t="s">
        <v>168</v>
      </c>
      <c r="E1018" s="55" t="s">
        <v>210</v>
      </c>
      <c r="F1018" s="56" t="n">
        <v>114.36</v>
      </c>
      <c r="G1018" s="57" t="n">
        <f aca="false">MAX(0,IF(AND(Parameter!$B$21="Ja",ISNUMBER(W1018)),W1018,IF(Parameter!$B$20="Jahresanfang 2025 + Export",BJ1018+BI1018,BI1018)))</f>
        <v>0</v>
      </c>
      <c r="H1018" s="57" t="n">
        <f aca="false">G1018*F1018</f>
        <v>0</v>
      </c>
      <c r="I1018" s="57" t="n">
        <f aca="false">BL1018*Parameter!$B$18</f>
        <v>0</v>
      </c>
      <c r="J1018" s="58" t="n">
        <v>0.5</v>
      </c>
      <c r="K1018" s="59" t="n">
        <v>0</v>
      </c>
      <c r="L1018" s="57" t="n">
        <v>0</v>
      </c>
      <c r="M1018" s="57" t="n">
        <v>1</v>
      </c>
      <c r="N1018" s="60" t="n">
        <v>56</v>
      </c>
      <c r="O1018" s="55" t="s">
        <v>163</v>
      </c>
      <c r="P1018" s="57"/>
      <c r="Q1018" s="60" t="n">
        <f aca="false">IF(BR1018=1,0,IFERROR(VLOOKUP(BP1018,'Gebinde-Kategorie'!$A$5:$M$45,13,0)+0,0))</f>
        <v>0</v>
      </c>
      <c r="R1018" s="61"/>
      <c r="S1018" s="62"/>
      <c r="T1018" s="62"/>
      <c r="U1018" s="55"/>
      <c r="V1018" s="57"/>
      <c r="W1018" s="57"/>
      <c r="X1018" s="55" t="n">
        <f aca="false">IF(A1018="","",IF(AND(Parameter!$B$21="Ja",ISNUMBER(U1018)),U1018,IF(IFERROR(VLOOKUP(D1018,Parameter!$A$35:$C$64,2,0),"Nein")="2+3",IF(ISNUMBER(SEARCH("grosser Artikel",BM1018)),2,IFERROR(VLOOKUP(BP1018,Parameter!$F$35:$G$64,2,0),2)),IF(OR(IFERROR(VLOOKUP(D1018,Parameter!$A$35:$C$64,2,0),"Nein")="Nein",IFERROR(VLOOKUP(D1018,Parameter!$A$35:$C$64,2,0),"Nein")=""),"-",VLOOKUP(D1018,Parameter!$A$35:$C$64,2,0)))))</f>
        <v>2</v>
      </c>
      <c r="Y1018" s="62"/>
      <c r="Z1018" s="63"/>
      <c r="AA1018" s="57" t="n">
        <f aca="false">AP1018</f>
        <v>1</v>
      </c>
      <c r="AB1018" s="57" t="n">
        <f aca="false">MAX(AP1018,G1018)</f>
        <v>1</v>
      </c>
      <c r="AC1018" s="64"/>
      <c r="AD1018" s="57" t="n">
        <f aca="false">IF(LEFT(Cockpit!$C$5,1)="A",G1018,IF(BW1018=1,BX1018,IF(LEFT(Cockpit!$C$5,1)="B",AH1018,MAX(AH1018,G1018))))</f>
        <v>0</v>
      </c>
      <c r="AE1018" s="57" t="n">
        <f aca="false">IF(BR1018=1,0,ROUNDUP(AD1018/BQ1018,0))</f>
        <v>0</v>
      </c>
      <c r="AF1018" s="59" t="n">
        <f aca="false">IF(CD1018&gt;0,CD1018*MAX(1,AD1018/V1018),IF(BR1018=1,IF(AD1018&lt;=0,0,BS1018*MAX(1,IF(G1018&gt;0,AD1018/G1018,1))),IF(Q1018&gt;0,AE1018/Q1018,0))/MAX(0.1,N(Parameter!$M$21)))</f>
        <v>0</v>
      </c>
      <c r="AG1018" s="57" t="n">
        <f aca="false">AD1018*F1018</f>
        <v>0</v>
      </c>
      <c r="AH1018" s="57" t="n">
        <f aca="false">ROUNDUP(MAX(I1018/IF(BV1018&gt;0,BV1018,MAX(0.1,N(Cockpit!$C$6))),BY1018)/BQ1018,0)*BQ1018</f>
        <v>1</v>
      </c>
      <c r="AI1018" s="58" t="n">
        <f aca="false">IF(AF1018&gt;0,I1018/AF1018,-1)</f>
        <v>-1</v>
      </c>
      <c r="AJ1018" s="58" t="str">
        <f aca="false">IF(AND(OR(BU1018="L1",BU1018="L23"),AF1018&gt;0),SUMIFS($AF$7:$AF$1576,$BU$7:$BU$1576,BU1018,$AI$7:$AI$1576,"&gt;"&amp;AI1018)+SUMIFS($AF$7:$AF$1576,$BU$7:$BU$1576,BU1018,$AI$7:$AI$1576,AI1018,$BO$7:$BO$1576,"&lt;="&amp;BO1018),"")</f>
        <v/>
      </c>
      <c r="AK1018" s="65" t="n">
        <f aca="false">IF(AJ1018="",0,MAX(0,MIN(1,(IF(BU1018="L1",Parameter!$E$5,Parameter!$E$6+Parameter!$E$7)-(AJ1018-AF1018))/AF1018)))</f>
        <v>0</v>
      </c>
      <c r="AL1018" s="57" t="n">
        <f aca="false">IF(LEFT(Cockpit!$I$5,1)="A",G1018,IF(BW1018=1,BX1018,IF(LEFT(Cockpit!$I$5,1)="B",AP1018,MAX(AP1018,G1018))))</f>
        <v>1</v>
      </c>
      <c r="AM1018" s="57" t="n">
        <f aca="false">IF(BR1018=1,0,ROUNDUP(AL1018/BQ1018,0))</f>
        <v>0</v>
      </c>
      <c r="AN1018" s="59" t="n">
        <f aca="false">IF(CD1018&gt;0,CD1018*MAX(1,AL1018/V1018),IF(BR1018=1,IF(AL1018&lt;=0,0,BS1018*MAX(1,IF(G1018&gt;0,AL1018/G1018,1))),IF(Q1018&gt;0,AM1018/Q1018,0))/MAX(0.1,N(Parameter!$M$21)))</f>
        <v>0.15</v>
      </c>
      <c r="AO1018" s="57" t="n">
        <f aca="false">AL1018*F1018</f>
        <v>114.36</v>
      </c>
      <c r="AP1018" s="57" t="n">
        <f aca="false">ROUNDUP(MAX(I1018/IF(BV1018&gt;0,BV1018,MAX(0.1,N(Cockpit!$I$6))),BY1018)/BQ1018,0)*BQ1018</f>
        <v>1</v>
      </c>
      <c r="AQ1018" s="58" t="n">
        <f aca="false">IF(AN1018&gt;0,I1018/AN1018,-1)</f>
        <v>0</v>
      </c>
      <c r="AR1018" s="58" t="n">
        <f aca="false">IF(AND(OR(BU1018="L1",BU1018="L23"),AN1018&gt;0),SUMIFS($AN$7:$AN$1576,$BU$7:$BU$1576,BU1018,$AQ$7:$AQ$1576,"&gt;"&amp;AQ1018)+SUMIFS($AN$7:$AN$1576,$BU$7:$BU$1576,BU1018,$AQ$7:$AQ$1576,AQ1018,$BO$7:$BO$1576,"&lt;="&amp;BO1018),"")</f>
        <v>132.649251111255</v>
      </c>
      <c r="AS1018" s="65" t="n">
        <f aca="false">IF(AR1018="",0,MAX(0,MIN(1,(IF(BU1018="L1",Parameter!$E$5,Parameter!$E$6+Parameter!$E$7)-(AR1018-AN1018))/AN1018)))</f>
        <v>0</v>
      </c>
      <c r="AT1018" s="57" t="n">
        <f aca="false">IF(LEFT(Cockpit!$O$5,1)="A",G1018,IF(BW1018=1,BX1018,IF(LEFT(Cockpit!$O$5,1)="B",AX1018,MAX(AX1018,G1018))))</f>
        <v>1</v>
      </c>
      <c r="AU1018" s="57" t="n">
        <f aca="false">IF(BR1018=1,0,ROUNDUP(AT1018/BQ1018,0))</f>
        <v>0</v>
      </c>
      <c r="AV1018" s="59" t="n">
        <f aca="false">IF(CD1018&gt;0,CD1018*MAX(1,AT1018/V1018),IF(BR1018=1,IF(AT1018&lt;=0,0,BS1018*MAX(1,IF(G1018&gt;0,AT1018/G1018,1))),IF(Q1018&gt;0,AU1018/Q1018,0))/MAX(0.1,N(Parameter!$M$21)))</f>
        <v>0.15</v>
      </c>
      <c r="AW1018" s="57" t="n">
        <f aca="false">AT1018*F1018</f>
        <v>114.36</v>
      </c>
      <c r="AX1018" s="57" t="n">
        <f aca="false">ROUNDUP(MAX(I1018/IF(BV1018&gt;0,BV1018,MAX(0.1,N(Cockpit!$O$6))),BY1018)/BQ1018,0)*BQ1018</f>
        <v>1</v>
      </c>
      <c r="AY1018" s="58" t="n">
        <f aca="false">IF(AV1018&gt;0,I1018/AV1018,-1)</f>
        <v>0</v>
      </c>
      <c r="AZ1018" s="58" t="n">
        <f aca="false">IF(AND(OR(BU1018="L1",BU1018="L23"),AV1018&gt;0),SUMIFS($AV$7:$AV$1576,$BU$7:$BU$1576,BU1018,$AY$7:$AY$1576,"&gt;"&amp;AY1018)+SUMIFS($AV$7:$AV$1576,$BU$7:$BU$1576,BU1018,$AY$7:$AY$1576,AY1018,$BO$7:$BO$1576,"&lt;="&amp;BO1018),"")</f>
        <v>122.708801560806</v>
      </c>
      <c r="BA1018" s="65" t="n">
        <f aca="false">IF(AZ1018="",0,MAX(0,MIN(1,(IF(BU1018="L1",Parameter!$E$5,Parameter!$E$6+Parameter!$E$7)-(AZ1018-AV1018))/AV1018)))</f>
        <v>0</v>
      </c>
      <c r="BB1018" s="55" t="str">
        <f aca="false">IF(AF1018&lt;=0,"",IF(BU1018="Aussen","Aussenlager",IF(BU1018="-","Nicht im Lift",IF(AK1018&gt;=1,"Lift",IF(AK1018&lt;=0,"Aussenlager","teilweise")))))</f>
        <v/>
      </c>
      <c r="BC1018" s="55" t="str">
        <f aca="false">IF(AN1018&lt;=0,"",IF(BU1018="Aussen","Aussenlager",IF(BU1018="-","Nicht im Lift",IF(AS1018&gt;=1,"Lift",IF(AS1018&lt;=0,"Aussenlager","teilweise")))))</f>
        <v>Aussenlager</v>
      </c>
      <c r="BD1018" s="55" t="str">
        <f aca="false">IF(AV1018&lt;=0,"",IF(BU1018="Aussen","Aussenlager",IF(BU1018="-","Nicht im Lift",IF(BA1018&gt;=1,"Lift",IF(BA1018&lt;=0,"Aussenlager","teilweise")))))</f>
        <v>Aussenlager</v>
      </c>
      <c r="BE1018" s="55" t="str">
        <f aca="false">IF(A1018="","",IF(BN1018=1,"Neu; ","")&amp;IF(AND(BN1018=0,BI1018&lt;0),"negativer Bestand (Export "&amp;BI1018&amp;"); ","")&amp;IF(I1018&lt;=0,"Kein Verbrauch; ","")&amp;IF(CD1018&gt;0,"Lift "&amp;U1018&amp;" lt. Liftbericht (Fach "&amp;V1018&amp;" Stk); ",IF(BR1018=1,"Lose – Fläche geschätzt; ",""))&amp;IF(G1018&gt;AP1018,"Überbestand "&amp;ROUND(G1018-AP1018,0)&amp;" Stk / CHF "&amp;ROUND((G1018-AP1018)*F1018,0)&amp;"; ","")&amp;IF(AND(BW1018=1,BX1018&lt;BY1018),"MAX &lt; MB+LG; ","")&amp;IF(AND(CC1018&gt;0,CB1018*10&gt;CC1018),"zu hoch für Tablar; ","")&amp;IF(AND(BN1018=0,OR(BW1018=1,Y1018&lt;&gt;"",S1018&lt;&gt;"",T1018&lt;&gt;"",Z1018&lt;&gt;"")),"manuell übersteuert; ","")&amp;IF(AND(BR1018=0,Q1018=0),"Gebinde unbekannt / Stellmass fehlt; ","")&amp;IF(AND(BR1018=0,N(T1018)&lt;=0,N(P1018)&lt;=0),"Menge pro Gebinde fehlt (Ist = 1 Gebinde); ","")&amp;BM1018)</f>
        <v>negativer Bestand (Export -1); Kein Verbrauch; Lose – Fläche geschätzt; Neu</v>
      </c>
      <c r="BF1018" s="55"/>
      <c r="BG1018" s="55"/>
      <c r="BH1018" s="62"/>
      <c r="BI1018" s="57" t="n">
        <v>-1</v>
      </c>
      <c r="BJ1018" s="57" t="n">
        <v>1</v>
      </c>
      <c r="BK1018" s="56" t="n">
        <v>-114.36</v>
      </c>
      <c r="BL1018" s="57" t="n">
        <v>0</v>
      </c>
      <c r="BM1018" s="55" t="s">
        <v>615</v>
      </c>
      <c r="BN1018" s="60" t="n">
        <v>0</v>
      </c>
      <c r="BO1018" s="60" t="n">
        <v>1018</v>
      </c>
      <c r="BP1018" s="55" t="str">
        <f aca="false">IF(S1018&lt;&gt;"",UPPER(TRIM(S1018)),IF(O1018="","LOSE",O1018))</f>
        <v>LOSE</v>
      </c>
      <c r="BQ1018" s="57" t="n">
        <f aca="false">IF(BP1018="LOSE",1,IF(N(T1018)&gt;0,T1018,IF(N(P1018)&gt;0,P1018,MAX(1,G1018))))</f>
        <v>1</v>
      </c>
      <c r="BR1018" s="60" t="n">
        <f aca="false">IF(BP1018="LOSE",1,0)</f>
        <v>1</v>
      </c>
      <c r="BS1018" s="59" t="n">
        <f aca="false">IF(BR1018=0,0,IF(N(R1018)&gt;0,R1018,IFERROR(VLOOKUP(D1018,Parameter!$A$35:$C$64,3,0)+0,0)))</f>
        <v>0.15</v>
      </c>
      <c r="BT1018" s="55" t="n">
        <f aca="false">IF(Y1018&lt;&gt;"",Y1018,X1018)</f>
        <v>2</v>
      </c>
      <c r="BU1018" s="55" t="str">
        <f aca="false">IF(BT1018=1,"L1",IF(OR(BT1018=2,BT1018=3),"L23",IF(BT1018="Aussen","Aussen","-")))</f>
        <v>L23</v>
      </c>
      <c r="BV1018" s="66" t="n">
        <f aca="false">IF(N(Z1018)&gt;0,Z1018,0)</f>
        <v>0</v>
      </c>
      <c r="BW1018" s="60" t="n">
        <f aca="false">IF(ISNUMBER(AC1018),1,0)</f>
        <v>0</v>
      </c>
      <c r="BX1018" s="57" t="n">
        <f aca="false">N(AC1018)</f>
        <v>0</v>
      </c>
      <c r="BY1018" s="57" t="n">
        <f aca="false">N(L1018)+N(M1018)</f>
        <v>1</v>
      </c>
      <c r="BZ1018" s="57" t="n">
        <f aca="false">ROUNDUP(G1018/BQ1018,0)</f>
        <v>0</v>
      </c>
      <c r="CA1018" s="57" t="n">
        <f aca="false">ROUNDUP(BX1018/BQ1018,0)</f>
        <v>0</v>
      </c>
      <c r="CB1018" s="60" t="n">
        <f aca="false">IF(BR1018=1,0,IFERROR(VLOOKUP(BP1018,'Gebinde-Kategorie'!$A$5:$M$45,5,0)+0,0))</f>
        <v>0</v>
      </c>
      <c r="CC1018" s="60" t="n">
        <f aca="false">IFERROR(IF(OR(BT1018=1,BT1018=2,BT1018=3),N(INDEX(Parameter!$I$5:$I$7,BT1018)),0),0)</f>
        <v>0</v>
      </c>
      <c r="CD1018" s="59" t="n">
        <f aca="false">IF(AND(Parameter!$B$21="Ja",ISNUMBER(U1018),N(V1018)&gt;0),IFERROR(N(INDEX(Parameter!$L$5:$L$7,U1018))*INDEX(Parameter!$E$5:$E$7,U1018)*V1018/SUMIFS($V$7:$V$1576,$U$7:$U$1576,U1018),0),0)</f>
        <v>0</v>
      </c>
    </row>
    <row r="1019" customFormat="false" ht="15" hidden="false" customHeight="false" outlineLevel="0" collapsed="false">
      <c r="A1019" s="55" t="s">
        <v>1862</v>
      </c>
      <c r="B1019" s="55" t="s">
        <v>478</v>
      </c>
      <c r="C1019" s="55" t="s">
        <v>160</v>
      </c>
      <c r="D1019" s="55" t="s">
        <v>178</v>
      </c>
      <c r="E1019" s="55" t="s">
        <v>210</v>
      </c>
      <c r="F1019" s="56" t="n">
        <v>2.19</v>
      </c>
      <c r="G1019" s="57" t="n">
        <f aca="false">MAX(0,IF(AND(Parameter!$B$21="Ja",ISNUMBER(W1019)),W1019,IF(Parameter!$B$20="Jahresanfang 2025 + Export",BJ1019+BI1019,BI1019)))</f>
        <v>0</v>
      </c>
      <c r="H1019" s="57" t="n">
        <f aca="false">G1019*F1019</f>
        <v>0</v>
      </c>
      <c r="I1019" s="57" t="n">
        <f aca="false">BL1019*Parameter!$B$18</f>
        <v>145</v>
      </c>
      <c r="J1019" s="58" t="n">
        <v>145</v>
      </c>
      <c r="K1019" s="59" t="n">
        <v>1</v>
      </c>
      <c r="L1019" s="57" t="n">
        <v>5</v>
      </c>
      <c r="M1019" s="57" t="n">
        <v>145</v>
      </c>
      <c r="N1019" s="60" t="n">
        <v>14</v>
      </c>
      <c r="O1019" s="55" t="s">
        <v>411</v>
      </c>
      <c r="P1019" s="57" t="n">
        <v>275</v>
      </c>
      <c r="Q1019" s="60" t="n">
        <f aca="false">IF(BR1019=1,0,IFERROR(VLOOKUP(BP1019,'Gebinde-Kategorie'!$A$5:$M$45,13,0)+0,0))</f>
        <v>132</v>
      </c>
      <c r="R1019" s="61"/>
      <c r="S1019" s="62"/>
      <c r="T1019" s="62"/>
      <c r="U1019" s="55"/>
      <c r="V1019" s="57"/>
      <c r="W1019" s="57"/>
      <c r="X1019" s="55" t="n">
        <f aca="false">IF(A1019="","",IF(AND(Parameter!$B$21="Ja",ISNUMBER(U1019)),U1019,IF(IFERROR(VLOOKUP(D1019,Parameter!$A$35:$C$64,2,0),"Nein")="2+3",IF(ISNUMBER(SEARCH("grosser Artikel",BM1019)),2,IFERROR(VLOOKUP(BP1019,Parameter!$F$35:$G$64,2,0),2)),IF(OR(IFERROR(VLOOKUP(D1019,Parameter!$A$35:$C$64,2,0),"Nein")="Nein",IFERROR(VLOOKUP(D1019,Parameter!$A$35:$C$64,2,0),"Nein")=""),"-",VLOOKUP(D1019,Parameter!$A$35:$C$64,2,0)))))</f>
        <v>3</v>
      </c>
      <c r="Y1019" s="62"/>
      <c r="Z1019" s="63"/>
      <c r="AA1019" s="57" t="n">
        <f aca="false">AP1019</f>
        <v>275</v>
      </c>
      <c r="AB1019" s="57" t="n">
        <f aca="false">MAX(AP1019,G1019)</f>
        <v>275</v>
      </c>
      <c r="AC1019" s="64"/>
      <c r="AD1019" s="57" t="n">
        <f aca="false">IF(LEFT(Cockpit!$C$5,1)="A",G1019,IF(BW1019=1,BX1019,IF(LEFT(Cockpit!$C$5,1)="B",AH1019,MAX(AH1019,G1019))))</f>
        <v>0</v>
      </c>
      <c r="AE1019" s="57" t="n">
        <f aca="false">IF(BR1019=1,0,ROUNDUP(AD1019/BQ1019,0))</f>
        <v>0</v>
      </c>
      <c r="AF1019" s="59" t="n">
        <f aca="false">IF(CD1019&gt;0,CD1019*MAX(1,AD1019/V1019),IF(BR1019=1,IF(AD1019&lt;=0,0,BS1019*MAX(1,IF(G1019&gt;0,AD1019/G1019,1))),IF(Q1019&gt;0,AE1019/Q1019,0))/MAX(0.1,N(Parameter!$M$21)))</f>
        <v>0</v>
      </c>
      <c r="AG1019" s="57" t="n">
        <f aca="false">AD1019*F1019</f>
        <v>0</v>
      </c>
      <c r="AH1019" s="57" t="n">
        <f aca="false">ROUNDUP(MAX(I1019/IF(BV1019&gt;0,BV1019,MAX(0.1,N(Cockpit!$C$6))),BY1019)/BQ1019,0)*BQ1019</f>
        <v>275</v>
      </c>
      <c r="AI1019" s="58" t="n">
        <f aca="false">IF(AF1019&gt;0,I1019/AF1019,-1)</f>
        <v>-1</v>
      </c>
      <c r="AJ1019" s="58" t="str">
        <f aca="false">IF(AND(OR(BU1019="L1",BU1019="L23"),AF1019&gt;0),SUMIFS($AF$7:$AF$1576,$BU$7:$BU$1576,BU1019,$AI$7:$AI$1576,"&gt;"&amp;AI1019)+SUMIFS($AF$7:$AF$1576,$BU$7:$BU$1576,BU1019,$AI$7:$AI$1576,AI1019,$BO$7:$BO$1576,"&lt;="&amp;BO1019),"")</f>
        <v/>
      </c>
      <c r="AK1019" s="65" t="n">
        <f aca="false">IF(AJ1019="",0,MAX(0,MIN(1,(IF(BU1019="L1",Parameter!$E$5,Parameter!$E$6+Parameter!$E$7)-(AJ1019-AF1019))/AF1019)))</f>
        <v>0</v>
      </c>
      <c r="AL1019" s="57" t="n">
        <f aca="false">IF(LEFT(Cockpit!$I$5,1)="A",G1019,IF(BW1019=1,BX1019,IF(LEFT(Cockpit!$I$5,1)="B",AP1019,MAX(AP1019,G1019))))</f>
        <v>275</v>
      </c>
      <c r="AM1019" s="57" t="n">
        <f aca="false">IF(BR1019=1,0,ROUNDUP(AL1019/BQ1019,0))</f>
        <v>1</v>
      </c>
      <c r="AN1019" s="59" t="n">
        <f aca="false">IF(CD1019&gt;0,CD1019*MAX(1,AL1019/V1019),IF(BR1019=1,IF(AL1019&lt;=0,0,BS1019*MAX(1,IF(G1019&gt;0,AL1019/G1019,1))),IF(Q1019&gt;0,AM1019/Q1019,0))/MAX(0.1,N(Parameter!$M$21)))</f>
        <v>0.00757575757575758</v>
      </c>
      <c r="AO1019" s="57" t="n">
        <f aca="false">AL1019*F1019</f>
        <v>602.25</v>
      </c>
      <c r="AP1019" s="57" t="n">
        <f aca="false">ROUNDUP(MAX(I1019/IF(BV1019&gt;0,BV1019,MAX(0.1,N(Cockpit!$I$6))),BY1019)/BQ1019,0)*BQ1019</f>
        <v>275</v>
      </c>
      <c r="AQ1019" s="58" t="n">
        <f aca="false">IF(AN1019&gt;0,I1019/AN1019,-1)</f>
        <v>19140</v>
      </c>
      <c r="AR1019" s="58" t="n">
        <f aca="false">IF(AND(OR(BU1019="L1",BU1019="L23"),AN1019&gt;0),SUMIFS($AN$7:$AN$1576,$BU$7:$BU$1576,BU1019,$AQ$7:$AQ$1576,"&gt;"&amp;AQ1019)+SUMIFS($AN$7:$AN$1576,$BU$7:$BU$1576,BU1019,$AQ$7:$AQ$1576,AQ1019,$BO$7:$BO$1576,"&lt;="&amp;BO1019),"")</f>
        <v>4.23391236782541</v>
      </c>
      <c r="AS1019" s="65" t="n">
        <f aca="false">IF(AR1019="",0,MAX(0,MIN(1,(IF(BU1019="L1",Parameter!$E$5,Parameter!$E$6+Parameter!$E$7)-(AR1019-AN1019))/AN1019)))</f>
        <v>1</v>
      </c>
      <c r="AT1019" s="57" t="n">
        <f aca="false">IF(LEFT(Cockpit!$O$5,1)="A",G1019,IF(BW1019=1,BX1019,IF(LEFT(Cockpit!$O$5,1)="B",AX1019,MAX(AX1019,G1019))))</f>
        <v>275</v>
      </c>
      <c r="AU1019" s="57" t="n">
        <f aca="false">IF(BR1019=1,0,ROUNDUP(AT1019/BQ1019,0))</f>
        <v>1</v>
      </c>
      <c r="AV1019" s="59" t="n">
        <f aca="false">IF(CD1019&gt;0,CD1019*MAX(1,AT1019/V1019),IF(BR1019=1,IF(AT1019&lt;=0,0,BS1019*MAX(1,IF(G1019&gt;0,AT1019/G1019,1))),IF(Q1019&gt;0,AU1019/Q1019,0))/MAX(0.1,N(Parameter!$M$21)))</f>
        <v>0.00757575757575758</v>
      </c>
      <c r="AW1019" s="57" t="n">
        <f aca="false">AT1019*F1019</f>
        <v>602.25</v>
      </c>
      <c r="AX1019" s="57" t="n">
        <f aca="false">ROUNDUP(MAX(I1019/IF(BV1019&gt;0,BV1019,MAX(0.1,N(Cockpit!$O$6))),BY1019)/BQ1019,0)*BQ1019</f>
        <v>275</v>
      </c>
      <c r="AY1019" s="58" t="n">
        <f aca="false">IF(AV1019&gt;0,I1019/AV1019,-1)</f>
        <v>19140</v>
      </c>
      <c r="AZ1019" s="58" t="n">
        <f aca="false">IF(AND(OR(BU1019="L1",BU1019="L23"),AV1019&gt;0),SUMIFS($AV$7:$AV$1576,$BU$7:$BU$1576,BU1019,$AY$7:$AY$1576,"&gt;"&amp;AY1019)+SUMIFS($AV$7:$AV$1576,$BU$7:$BU$1576,BU1019,$AY$7:$AY$1576,AY1019,$BO$7:$BO$1576,"&lt;="&amp;BO1019),"")</f>
        <v>4.57656971048275</v>
      </c>
      <c r="BA1019" s="65" t="n">
        <f aca="false">IF(AZ1019="",0,MAX(0,MIN(1,(IF(BU1019="L1",Parameter!$E$5,Parameter!$E$6+Parameter!$E$7)-(AZ1019-AV1019))/AV1019)))</f>
        <v>1</v>
      </c>
      <c r="BB1019" s="55" t="str">
        <f aca="false">IF(AF1019&lt;=0,"",IF(BU1019="Aussen","Aussenlager",IF(BU1019="-","Nicht im Lift",IF(AK1019&gt;=1,"Lift",IF(AK1019&lt;=0,"Aussenlager","teilweise")))))</f>
        <v/>
      </c>
      <c r="BC1019" s="55" t="str">
        <f aca="false">IF(AN1019&lt;=0,"",IF(BU1019="Aussen","Aussenlager",IF(BU1019="-","Nicht im Lift",IF(AS1019&gt;=1,"Lift",IF(AS1019&lt;=0,"Aussenlager","teilweise")))))</f>
        <v>Lift</v>
      </c>
      <c r="BD1019" s="55" t="str">
        <f aca="false">IF(AV1019&lt;=0,"",IF(BU1019="Aussen","Aussenlager",IF(BU1019="-","Nicht im Lift",IF(BA1019&gt;=1,"Lift",IF(BA1019&lt;=0,"Aussenlager","teilweise")))))</f>
        <v>Lift</v>
      </c>
      <c r="BE1019" s="55" t="str">
        <f aca="false">IF(A1019="","",IF(BN1019=1,"Neu; ","")&amp;IF(AND(BN1019=0,BI1019&lt;0),"negativer Bestand (Export "&amp;BI1019&amp;"); ","")&amp;IF(I1019&lt;=0,"Kein Verbrauch; ","")&amp;IF(CD1019&gt;0,"Lift "&amp;U1019&amp;" lt. Liftbericht (Fach "&amp;V1019&amp;" Stk); ",IF(BR1019=1,"Lose – Fläche geschätzt; ",""))&amp;IF(G1019&gt;AP1019,"Überbestand "&amp;ROUND(G1019-AP1019,0)&amp;" Stk / CHF "&amp;ROUND((G1019-AP1019)*F1019,0)&amp;"; ","")&amp;IF(AND(BW1019=1,BX1019&lt;BY1019),"MAX &lt; MB+LG; ","")&amp;IF(AND(CC1019&gt;0,CB1019*10&gt;CC1019),"zu hoch für Tablar; ","")&amp;IF(AND(BN1019=0,OR(BW1019=1,Y1019&lt;&gt;"",S1019&lt;&gt;"",T1019&lt;&gt;"",Z1019&lt;&gt;"")),"manuell übersteuert; ","")&amp;IF(AND(BR1019=0,Q1019=0),"Gebinde unbekannt / Stellmass fehlt; ","")&amp;IF(AND(BR1019=0,N(T1019)&lt;=0,N(P1019)&lt;=0),"Menge pro Gebinde fehlt (Ist = 1 Gebinde); ","")&amp;BM1019)</f>
        <v>negativer Bestand (Export -52); </v>
      </c>
      <c r="BF1019" s="55"/>
      <c r="BG1019" s="55"/>
      <c r="BH1019" s="62"/>
      <c r="BI1019" s="57" t="n">
        <v>-52</v>
      </c>
      <c r="BJ1019" s="57" t="n">
        <v>129</v>
      </c>
      <c r="BK1019" s="56" t="n">
        <v>-115.13</v>
      </c>
      <c r="BL1019" s="57" t="n">
        <v>145</v>
      </c>
      <c r="BM1019" s="55"/>
      <c r="BN1019" s="60" t="n">
        <v>0</v>
      </c>
      <c r="BO1019" s="60" t="n">
        <v>1019</v>
      </c>
      <c r="BP1019" s="55" t="str">
        <f aca="false">IF(S1019&lt;&gt;"",UPPER(TRIM(S1019)),IF(O1019="","LOSE",O1019))</f>
        <v>S32</v>
      </c>
      <c r="BQ1019" s="57" t="n">
        <f aca="false">IF(BP1019="LOSE",1,IF(N(T1019)&gt;0,T1019,IF(N(P1019)&gt;0,P1019,MAX(1,G1019))))</f>
        <v>275</v>
      </c>
      <c r="BR1019" s="60" t="n">
        <f aca="false">IF(BP1019="LOSE",1,0)</f>
        <v>0</v>
      </c>
      <c r="BS1019" s="59" t="n">
        <f aca="false">IF(BR1019=0,0,IF(N(R1019)&gt;0,R1019,IFERROR(VLOOKUP(D1019,Parameter!$A$35:$C$64,3,0)+0,0)))</f>
        <v>0</v>
      </c>
      <c r="BT1019" s="55" t="n">
        <f aca="false">IF(Y1019&lt;&gt;"",Y1019,X1019)</f>
        <v>3</v>
      </c>
      <c r="BU1019" s="55" t="str">
        <f aca="false">IF(BT1019=1,"L1",IF(OR(BT1019=2,BT1019=3),"L23",IF(BT1019="Aussen","Aussen","-")))</f>
        <v>L23</v>
      </c>
      <c r="BV1019" s="66" t="n">
        <f aca="false">IF(N(Z1019)&gt;0,Z1019,0)</f>
        <v>0</v>
      </c>
      <c r="BW1019" s="60" t="n">
        <f aca="false">IF(ISNUMBER(AC1019),1,0)</f>
        <v>0</v>
      </c>
      <c r="BX1019" s="57" t="n">
        <f aca="false">N(AC1019)</f>
        <v>0</v>
      </c>
      <c r="BY1019" s="57" t="n">
        <f aca="false">N(L1019)+N(M1019)</f>
        <v>150</v>
      </c>
      <c r="BZ1019" s="57" t="n">
        <f aca="false">ROUNDUP(G1019/BQ1019,0)</f>
        <v>0</v>
      </c>
      <c r="CA1019" s="57" t="n">
        <f aca="false">ROUNDUP(BX1019/BQ1019,0)</f>
        <v>0</v>
      </c>
      <c r="CB1019" s="60" t="n">
        <f aca="false">IF(BR1019=1,0,IFERROR(VLOOKUP(BP1019,'Gebinde-Kategorie'!$A$5:$M$45,5,0)+0,0))</f>
        <v>8</v>
      </c>
      <c r="CC1019" s="60" t="n">
        <f aca="false">IFERROR(IF(OR(BT1019=1,BT1019=2,BT1019=3),N(INDEX(Parameter!$I$5:$I$7,BT1019)),0),0)</f>
        <v>0</v>
      </c>
      <c r="CD1019" s="59" t="n">
        <f aca="false">IF(AND(Parameter!$B$21="Ja",ISNUMBER(U1019),N(V1019)&gt;0),IFERROR(N(INDEX(Parameter!$L$5:$L$7,U1019))*INDEX(Parameter!$E$5:$E$7,U1019)*V1019/SUMIFS($V$7:$V$1576,$U$7:$U$1576,U1019),0),0)</f>
        <v>0</v>
      </c>
    </row>
    <row r="1020" customFormat="false" ht="15" hidden="false" customHeight="false" outlineLevel="0" collapsed="false">
      <c r="A1020" s="55" t="s">
        <v>1863</v>
      </c>
      <c r="B1020" s="55" t="s">
        <v>1864</v>
      </c>
      <c r="C1020" s="55" t="s">
        <v>160</v>
      </c>
      <c r="D1020" s="55" t="s">
        <v>178</v>
      </c>
      <c r="E1020" s="55" t="s">
        <v>210</v>
      </c>
      <c r="F1020" s="56" t="n">
        <v>42.1</v>
      </c>
      <c r="G1020" s="57" t="n">
        <f aca="false">MAX(0,IF(AND(Parameter!$B$21="Ja",ISNUMBER(W1020)),W1020,IF(Parameter!$B$20="Jahresanfang 2025 + Export",BJ1020+BI1020,BI1020)))</f>
        <v>0</v>
      </c>
      <c r="H1020" s="57" t="n">
        <f aca="false">G1020*F1020</f>
        <v>0</v>
      </c>
      <c r="I1020" s="57" t="n">
        <f aca="false">BL1020*Parameter!$B$18</f>
        <v>6</v>
      </c>
      <c r="J1020" s="58" t="n">
        <v>3.5</v>
      </c>
      <c r="K1020" s="59" t="n">
        <v>1.71428571428571</v>
      </c>
      <c r="L1020" s="57" t="n">
        <v>0</v>
      </c>
      <c r="M1020" s="57" t="n">
        <v>5</v>
      </c>
      <c r="N1020" s="60" t="n">
        <v>20</v>
      </c>
      <c r="O1020" s="55" t="s">
        <v>465</v>
      </c>
      <c r="P1020" s="57" t="n">
        <v>10</v>
      </c>
      <c r="Q1020" s="60" t="n">
        <f aca="false">IF(BR1020=1,0,IFERROR(VLOOKUP(BP1020,'Gebinde-Kategorie'!$A$5:$M$45,13,0)+0,0))</f>
        <v>66</v>
      </c>
      <c r="R1020" s="61"/>
      <c r="S1020" s="62"/>
      <c r="T1020" s="62"/>
      <c r="U1020" s="55"/>
      <c r="V1020" s="57"/>
      <c r="W1020" s="57"/>
      <c r="X1020" s="55" t="n">
        <f aca="false">IF(A1020="","",IF(AND(Parameter!$B$21="Ja",ISNUMBER(U1020)),U1020,IF(IFERROR(VLOOKUP(D1020,Parameter!$A$35:$C$64,2,0),"Nein")="2+3",IF(ISNUMBER(SEARCH("grosser Artikel",BM1020)),2,IFERROR(VLOOKUP(BP1020,Parameter!$F$35:$G$64,2,0),2)),IF(OR(IFERROR(VLOOKUP(D1020,Parameter!$A$35:$C$64,2,0),"Nein")="Nein",IFERROR(VLOOKUP(D1020,Parameter!$A$35:$C$64,2,0),"Nein")=""),"-",VLOOKUP(D1020,Parameter!$A$35:$C$64,2,0)))))</f>
        <v>3</v>
      </c>
      <c r="Y1020" s="62"/>
      <c r="Z1020" s="63"/>
      <c r="AA1020" s="57" t="n">
        <f aca="false">AP1020</f>
        <v>10</v>
      </c>
      <c r="AB1020" s="57" t="n">
        <f aca="false">MAX(AP1020,G1020)</f>
        <v>10</v>
      </c>
      <c r="AC1020" s="64"/>
      <c r="AD1020" s="57" t="n">
        <f aca="false">IF(LEFT(Cockpit!$C$5,1)="A",G1020,IF(BW1020=1,BX1020,IF(LEFT(Cockpit!$C$5,1)="B",AH1020,MAX(AH1020,G1020))))</f>
        <v>0</v>
      </c>
      <c r="AE1020" s="57" t="n">
        <f aca="false">IF(BR1020=1,0,ROUNDUP(AD1020/BQ1020,0))</f>
        <v>0</v>
      </c>
      <c r="AF1020" s="59" t="n">
        <f aca="false">IF(CD1020&gt;0,CD1020*MAX(1,AD1020/V1020),IF(BR1020=1,IF(AD1020&lt;=0,0,BS1020*MAX(1,IF(G1020&gt;0,AD1020/G1020,1))),IF(Q1020&gt;0,AE1020/Q1020,0))/MAX(0.1,N(Parameter!$M$21)))</f>
        <v>0</v>
      </c>
      <c r="AG1020" s="57" t="n">
        <f aca="false">AD1020*F1020</f>
        <v>0</v>
      </c>
      <c r="AH1020" s="57" t="n">
        <f aca="false">ROUNDUP(MAX(I1020/IF(BV1020&gt;0,BV1020,MAX(0.1,N(Cockpit!$C$6))),BY1020)/BQ1020,0)*BQ1020</f>
        <v>10</v>
      </c>
      <c r="AI1020" s="58" t="n">
        <f aca="false">IF(AF1020&gt;0,I1020/AF1020,-1)</f>
        <v>-1</v>
      </c>
      <c r="AJ1020" s="58" t="str">
        <f aca="false">IF(AND(OR(BU1020="L1",BU1020="L23"),AF1020&gt;0),SUMIFS($AF$7:$AF$1576,$BU$7:$BU$1576,BU1020,$AI$7:$AI$1576,"&gt;"&amp;AI1020)+SUMIFS($AF$7:$AF$1576,$BU$7:$BU$1576,BU1020,$AI$7:$AI$1576,AI1020,$BO$7:$BO$1576,"&lt;="&amp;BO1020),"")</f>
        <v/>
      </c>
      <c r="AK1020" s="65" t="n">
        <f aca="false">IF(AJ1020="",0,MAX(0,MIN(1,(IF(BU1020="L1",Parameter!$E$5,Parameter!$E$6+Parameter!$E$7)-(AJ1020-AF1020))/AF1020)))</f>
        <v>0</v>
      </c>
      <c r="AL1020" s="57" t="n">
        <f aca="false">IF(LEFT(Cockpit!$I$5,1)="A",G1020,IF(BW1020=1,BX1020,IF(LEFT(Cockpit!$I$5,1)="B",AP1020,MAX(AP1020,G1020))))</f>
        <v>10</v>
      </c>
      <c r="AM1020" s="57" t="n">
        <f aca="false">IF(BR1020=1,0,ROUNDUP(AL1020/BQ1020,0))</f>
        <v>1</v>
      </c>
      <c r="AN1020" s="59" t="n">
        <f aca="false">IF(CD1020&gt;0,CD1020*MAX(1,AL1020/V1020),IF(BR1020=1,IF(AL1020&lt;=0,0,BS1020*MAX(1,IF(G1020&gt;0,AL1020/G1020,1))),IF(Q1020&gt;0,AM1020/Q1020,0))/MAX(0.1,N(Parameter!$M$21)))</f>
        <v>0.0151515151515152</v>
      </c>
      <c r="AO1020" s="57" t="n">
        <f aca="false">AL1020*F1020</f>
        <v>421</v>
      </c>
      <c r="AP1020" s="57" t="n">
        <f aca="false">ROUNDUP(MAX(I1020/IF(BV1020&gt;0,BV1020,MAX(0.1,N(Cockpit!$I$6))),BY1020)/BQ1020,0)*BQ1020</f>
        <v>10</v>
      </c>
      <c r="AQ1020" s="58" t="n">
        <f aca="false">IF(AN1020&gt;0,I1020/AN1020,-1)</f>
        <v>396</v>
      </c>
      <c r="AR1020" s="58" t="n">
        <f aca="false">IF(AND(OR(BU1020="L1",BU1020="L23"),AN1020&gt;0),SUMIFS($AN$7:$AN$1576,$BU$7:$BU$1576,BU1020,$AQ$7:$AQ$1576,"&gt;"&amp;AQ1020)+SUMIFS($AN$7:$AN$1576,$BU$7:$BU$1576,BU1020,$AQ$7:$AQ$1576,AQ1020,$BO$7:$BO$1576,"&lt;="&amp;BO1020),"")</f>
        <v>36.8571925300298</v>
      </c>
      <c r="AS1020" s="65" t="n">
        <f aca="false">IF(AR1020="",0,MAX(0,MIN(1,(IF(BU1020="L1",Parameter!$E$5,Parameter!$E$6+Parameter!$E$7)-(AR1020-AN1020))/AN1020)))</f>
        <v>1</v>
      </c>
      <c r="AT1020" s="57" t="n">
        <f aca="false">IF(LEFT(Cockpit!$O$5,1)="A",G1020,IF(BW1020=1,BX1020,IF(LEFT(Cockpit!$O$5,1)="B",AX1020,MAX(AX1020,G1020))))</f>
        <v>10</v>
      </c>
      <c r="AU1020" s="57" t="n">
        <f aca="false">IF(BR1020=1,0,ROUNDUP(AT1020/BQ1020,0))</f>
        <v>1</v>
      </c>
      <c r="AV1020" s="59" t="n">
        <f aca="false">IF(CD1020&gt;0,CD1020*MAX(1,AT1020/V1020),IF(BR1020=1,IF(AT1020&lt;=0,0,BS1020*MAX(1,IF(G1020&gt;0,AT1020/G1020,1))),IF(Q1020&gt;0,AU1020/Q1020,0))/MAX(0.1,N(Parameter!$M$21)))</f>
        <v>0.0151515151515152</v>
      </c>
      <c r="AW1020" s="57" t="n">
        <f aca="false">AT1020*F1020</f>
        <v>421</v>
      </c>
      <c r="AX1020" s="57" t="n">
        <f aca="false">ROUNDUP(MAX(I1020/IF(BV1020&gt;0,BV1020,MAX(0.1,N(Cockpit!$O$6))),BY1020)/BQ1020,0)*BQ1020</f>
        <v>10</v>
      </c>
      <c r="AY1020" s="58" t="n">
        <f aca="false">IF(AV1020&gt;0,I1020/AV1020,-1)</f>
        <v>396</v>
      </c>
      <c r="AZ1020" s="58" t="n">
        <f aca="false">IF(AND(OR(BU1020="L1",BU1020="L23"),AV1020&gt;0),SUMIFS($AV$7:$AV$1576,$BU$7:$BU$1576,BU1020,$AY$7:$AY$1576,"&gt;"&amp;AY1020)+SUMIFS($AV$7:$AV$1576,$BU$7:$BU$1576,BU1020,$AY$7:$AY$1576,AY1020,$BO$7:$BO$1576,"&lt;="&amp;BO1020),"")</f>
        <v>36.021937784775</v>
      </c>
      <c r="BA1020" s="65" t="n">
        <f aca="false">IF(AZ1020="",0,MAX(0,MIN(1,(IF(BU1020="L1",Parameter!$E$5,Parameter!$E$6+Parameter!$E$7)-(AZ1020-AV1020))/AV1020)))</f>
        <v>1</v>
      </c>
      <c r="BB1020" s="55" t="str">
        <f aca="false">IF(AF1020&lt;=0,"",IF(BU1020="Aussen","Aussenlager",IF(BU1020="-","Nicht im Lift",IF(AK1020&gt;=1,"Lift",IF(AK1020&lt;=0,"Aussenlager","teilweise")))))</f>
        <v/>
      </c>
      <c r="BC1020" s="55" t="str">
        <f aca="false">IF(AN1020&lt;=0,"",IF(BU1020="Aussen","Aussenlager",IF(BU1020="-","Nicht im Lift",IF(AS1020&gt;=1,"Lift",IF(AS1020&lt;=0,"Aussenlager","teilweise")))))</f>
        <v>Lift</v>
      </c>
      <c r="BD1020" s="55" t="str">
        <f aca="false">IF(AV1020&lt;=0,"",IF(BU1020="Aussen","Aussenlager",IF(BU1020="-","Nicht im Lift",IF(BA1020&gt;=1,"Lift",IF(BA1020&lt;=0,"Aussenlager","teilweise")))))</f>
        <v>Lift</v>
      </c>
      <c r="BE1020" s="55" t="str">
        <f aca="false">IF(A1020="","",IF(BN1020=1,"Neu; ","")&amp;IF(AND(BN1020=0,BI1020&lt;0),"negativer Bestand (Export "&amp;BI1020&amp;"); ","")&amp;IF(I1020&lt;=0,"Kein Verbrauch; ","")&amp;IF(CD1020&gt;0,"Lift "&amp;U1020&amp;" lt. Liftbericht (Fach "&amp;V1020&amp;" Stk); ",IF(BR1020=1,"Lose – Fläche geschätzt; ",""))&amp;IF(G1020&gt;AP1020,"Überbestand "&amp;ROUND(G1020-AP1020,0)&amp;" Stk / CHF "&amp;ROUND((G1020-AP1020)*F1020,0)&amp;"; ","")&amp;IF(AND(BW1020=1,BX1020&lt;BY1020),"MAX &lt; MB+LG; ","")&amp;IF(AND(CC1020&gt;0,CB1020*10&gt;CC1020),"zu hoch für Tablar; ","")&amp;IF(AND(BN1020=0,OR(BW1020=1,Y1020&lt;&gt;"",S1020&lt;&gt;"",T1020&lt;&gt;"",Z1020&lt;&gt;"")),"manuell übersteuert; ","")&amp;IF(AND(BR1020=0,Q1020=0),"Gebinde unbekannt / Stellmass fehlt; ","")&amp;IF(AND(BR1020=0,N(T1020)&lt;=0,N(P1020)&lt;=0),"Menge pro Gebinde fehlt (Ist = 1 Gebinde); ","")&amp;BM1020)</f>
        <v>negativer Bestand (Export -3); </v>
      </c>
      <c r="BF1020" s="55"/>
      <c r="BG1020" s="55"/>
      <c r="BH1020" s="62"/>
      <c r="BI1020" s="57" t="n">
        <v>-3</v>
      </c>
      <c r="BJ1020" s="57" t="n">
        <v>5</v>
      </c>
      <c r="BK1020" s="56" t="n">
        <v>-116.35</v>
      </c>
      <c r="BL1020" s="57" t="n">
        <v>6</v>
      </c>
      <c r="BM1020" s="55"/>
      <c r="BN1020" s="60" t="n">
        <v>0</v>
      </c>
      <c r="BO1020" s="60" t="n">
        <v>1020</v>
      </c>
      <c r="BP1020" s="55" t="str">
        <f aca="false">IF(S1020&lt;&gt;"",UPPER(TRIM(S1020)),IF(O1020="","LOSE",O1020))</f>
        <v>S33</v>
      </c>
      <c r="BQ1020" s="57" t="n">
        <f aca="false">IF(BP1020="LOSE",1,IF(N(T1020)&gt;0,T1020,IF(N(P1020)&gt;0,P1020,MAX(1,G1020))))</f>
        <v>10</v>
      </c>
      <c r="BR1020" s="60" t="n">
        <f aca="false">IF(BP1020="LOSE",1,0)</f>
        <v>0</v>
      </c>
      <c r="BS1020" s="59" t="n">
        <f aca="false">IF(BR1020=0,0,IF(N(R1020)&gt;0,R1020,IFERROR(VLOOKUP(D1020,Parameter!$A$35:$C$64,3,0)+0,0)))</f>
        <v>0</v>
      </c>
      <c r="BT1020" s="55" t="n">
        <f aca="false">IF(Y1020&lt;&gt;"",Y1020,X1020)</f>
        <v>3</v>
      </c>
      <c r="BU1020" s="55" t="str">
        <f aca="false">IF(BT1020=1,"L1",IF(OR(BT1020=2,BT1020=3),"L23",IF(BT1020="Aussen","Aussen","-")))</f>
        <v>L23</v>
      </c>
      <c r="BV1020" s="66" t="n">
        <f aca="false">IF(N(Z1020)&gt;0,Z1020,0)</f>
        <v>0</v>
      </c>
      <c r="BW1020" s="60" t="n">
        <f aca="false">IF(ISNUMBER(AC1020),1,0)</f>
        <v>0</v>
      </c>
      <c r="BX1020" s="57" t="n">
        <f aca="false">N(AC1020)</f>
        <v>0</v>
      </c>
      <c r="BY1020" s="57" t="n">
        <f aca="false">N(L1020)+N(M1020)</f>
        <v>5</v>
      </c>
      <c r="BZ1020" s="57" t="n">
        <f aca="false">ROUNDUP(G1020/BQ1020,0)</f>
        <v>0</v>
      </c>
      <c r="CA1020" s="57" t="n">
        <f aca="false">ROUNDUP(BX1020/BQ1020,0)</f>
        <v>0</v>
      </c>
      <c r="CB1020" s="60" t="n">
        <f aca="false">IF(BR1020=1,0,IFERROR(VLOOKUP(BP1020,'Gebinde-Kategorie'!$A$5:$M$45,5,0)+0,0))</f>
        <v>8</v>
      </c>
      <c r="CC1020" s="60" t="n">
        <f aca="false">IFERROR(IF(OR(BT1020=1,BT1020=2,BT1020=3),N(INDEX(Parameter!$I$5:$I$7,BT1020)),0),0)</f>
        <v>0</v>
      </c>
      <c r="CD1020" s="59" t="n">
        <f aca="false">IF(AND(Parameter!$B$21="Ja",ISNUMBER(U1020),N(V1020)&gt;0),IFERROR(N(INDEX(Parameter!$L$5:$L$7,U1020))*INDEX(Parameter!$E$5:$E$7,U1020)*V1020/SUMIFS($V$7:$V$1576,$U$7:$U$1576,U1020),0),0)</f>
        <v>0</v>
      </c>
    </row>
    <row r="1021" customFormat="false" ht="15" hidden="false" customHeight="false" outlineLevel="0" collapsed="false">
      <c r="A1021" s="55" t="s">
        <v>1865</v>
      </c>
      <c r="B1021" s="55" t="s">
        <v>395</v>
      </c>
      <c r="C1021" s="55" t="s">
        <v>160</v>
      </c>
      <c r="D1021" s="55" t="s">
        <v>178</v>
      </c>
      <c r="E1021" s="55" t="s">
        <v>210</v>
      </c>
      <c r="F1021" s="56" t="n">
        <v>2.49</v>
      </c>
      <c r="G1021" s="57" t="n">
        <f aca="false">MAX(0,IF(AND(Parameter!$B$21="Ja",ISNUMBER(W1021)),W1021,IF(Parameter!$B$20="Jahresanfang 2025 + Export",BJ1021+BI1021,BI1021)))</f>
        <v>0</v>
      </c>
      <c r="H1021" s="57" t="n">
        <f aca="false">G1021*F1021</f>
        <v>0</v>
      </c>
      <c r="I1021" s="57" t="n">
        <f aca="false">BL1021*Parameter!$B$18</f>
        <v>43</v>
      </c>
      <c r="J1021" s="58" t="n">
        <v>156.5</v>
      </c>
      <c r="K1021" s="59" t="n">
        <v>0.274760383386582</v>
      </c>
      <c r="L1021" s="57" t="n">
        <v>14</v>
      </c>
      <c r="M1021" s="57" t="n">
        <v>45</v>
      </c>
      <c r="N1021" s="60" t="n">
        <v>119</v>
      </c>
      <c r="O1021" s="55" t="s">
        <v>293</v>
      </c>
      <c r="P1021" s="57" t="n">
        <v>480</v>
      </c>
      <c r="Q1021" s="60" t="n">
        <f aca="false">IF(BR1021=1,0,IFERROR(VLOOKUP(BP1021,'Gebinde-Kategorie'!$A$5:$M$45,13,0)+0,0))</f>
        <v>26</v>
      </c>
      <c r="R1021" s="61"/>
      <c r="S1021" s="62"/>
      <c r="T1021" s="62"/>
      <c r="U1021" s="55"/>
      <c r="V1021" s="57"/>
      <c r="W1021" s="57"/>
      <c r="X1021" s="55" t="n">
        <f aca="false">IF(A1021="","",IF(AND(Parameter!$B$21="Ja",ISNUMBER(U1021)),U1021,IF(IFERROR(VLOOKUP(D1021,Parameter!$A$35:$C$64,2,0),"Nein")="2+3",IF(ISNUMBER(SEARCH("grosser Artikel",BM1021)),2,IFERROR(VLOOKUP(BP1021,Parameter!$F$35:$G$64,2,0),2)),IF(OR(IFERROR(VLOOKUP(D1021,Parameter!$A$35:$C$64,2,0),"Nein")="Nein",IFERROR(VLOOKUP(D1021,Parameter!$A$35:$C$64,2,0),"Nein")=""),"-",VLOOKUP(D1021,Parameter!$A$35:$C$64,2,0)))))</f>
        <v>3</v>
      </c>
      <c r="Y1021" s="62"/>
      <c r="Z1021" s="63"/>
      <c r="AA1021" s="57" t="n">
        <f aca="false">AP1021</f>
        <v>480</v>
      </c>
      <c r="AB1021" s="57" t="n">
        <f aca="false">MAX(AP1021,G1021)</f>
        <v>480</v>
      </c>
      <c r="AC1021" s="64"/>
      <c r="AD1021" s="57" t="n">
        <f aca="false">IF(LEFT(Cockpit!$C$5,1)="A",G1021,IF(BW1021=1,BX1021,IF(LEFT(Cockpit!$C$5,1)="B",AH1021,MAX(AH1021,G1021))))</f>
        <v>0</v>
      </c>
      <c r="AE1021" s="57" t="n">
        <f aca="false">IF(BR1021=1,0,ROUNDUP(AD1021/BQ1021,0))</f>
        <v>0</v>
      </c>
      <c r="AF1021" s="59" t="n">
        <f aca="false">IF(CD1021&gt;0,CD1021*MAX(1,AD1021/V1021),IF(BR1021=1,IF(AD1021&lt;=0,0,BS1021*MAX(1,IF(G1021&gt;0,AD1021/G1021,1))),IF(Q1021&gt;0,AE1021/Q1021,0))/MAX(0.1,N(Parameter!$M$21)))</f>
        <v>0</v>
      </c>
      <c r="AG1021" s="57" t="n">
        <f aca="false">AD1021*F1021</f>
        <v>0</v>
      </c>
      <c r="AH1021" s="57" t="n">
        <f aca="false">ROUNDUP(MAX(I1021/IF(BV1021&gt;0,BV1021,MAX(0.1,N(Cockpit!$C$6))),BY1021)/BQ1021,0)*BQ1021</f>
        <v>480</v>
      </c>
      <c r="AI1021" s="58" t="n">
        <f aca="false">IF(AF1021&gt;0,I1021/AF1021,-1)</f>
        <v>-1</v>
      </c>
      <c r="AJ1021" s="58" t="str">
        <f aca="false">IF(AND(OR(BU1021="L1",BU1021="L23"),AF1021&gt;0),SUMIFS($AF$7:$AF$1576,$BU$7:$BU$1576,BU1021,$AI$7:$AI$1576,"&gt;"&amp;AI1021)+SUMIFS($AF$7:$AF$1576,$BU$7:$BU$1576,BU1021,$AI$7:$AI$1576,AI1021,$BO$7:$BO$1576,"&lt;="&amp;BO1021),"")</f>
        <v/>
      </c>
      <c r="AK1021" s="65" t="n">
        <f aca="false">IF(AJ1021="",0,MAX(0,MIN(1,(IF(BU1021="L1",Parameter!$E$5,Parameter!$E$6+Parameter!$E$7)-(AJ1021-AF1021))/AF1021)))</f>
        <v>0</v>
      </c>
      <c r="AL1021" s="57" t="n">
        <f aca="false">IF(LEFT(Cockpit!$I$5,1)="A",G1021,IF(BW1021=1,BX1021,IF(LEFT(Cockpit!$I$5,1)="B",AP1021,MAX(AP1021,G1021))))</f>
        <v>480</v>
      </c>
      <c r="AM1021" s="57" t="n">
        <f aca="false">IF(BR1021=1,0,ROUNDUP(AL1021/BQ1021,0))</f>
        <v>1</v>
      </c>
      <c r="AN1021" s="59" t="n">
        <f aca="false">IF(CD1021&gt;0,CD1021*MAX(1,AL1021/V1021),IF(BR1021=1,IF(AL1021&lt;=0,0,BS1021*MAX(1,IF(G1021&gt;0,AL1021/G1021,1))),IF(Q1021&gt;0,AM1021/Q1021,0))/MAX(0.1,N(Parameter!$M$21)))</f>
        <v>0.0384615384615385</v>
      </c>
      <c r="AO1021" s="57" t="n">
        <f aca="false">AL1021*F1021</f>
        <v>1195.2</v>
      </c>
      <c r="AP1021" s="57" t="n">
        <f aca="false">ROUNDUP(MAX(I1021/IF(BV1021&gt;0,BV1021,MAX(0.1,N(Cockpit!$I$6))),BY1021)/BQ1021,0)*BQ1021</f>
        <v>480</v>
      </c>
      <c r="AQ1021" s="58" t="n">
        <f aca="false">IF(AN1021&gt;0,I1021/AN1021,-1)</f>
        <v>1118</v>
      </c>
      <c r="AR1021" s="58" t="n">
        <f aca="false">IF(AND(OR(BU1021="L1",BU1021="L23"),AN1021&gt;0),SUMIFS($AN$7:$AN$1576,$BU$7:$BU$1576,BU1021,$AQ$7:$AQ$1576,"&gt;"&amp;AQ1021)+SUMIFS($AN$7:$AN$1576,$BU$7:$BU$1576,BU1021,$AQ$7:$AQ$1576,AQ1021,$BO$7:$BO$1576,"&lt;="&amp;BO1021),"")</f>
        <v>22.1506844004782</v>
      </c>
      <c r="AS1021" s="65" t="n">
        <f aca="false">IF(AR1021="",0,MAX(0,MIN(1,(IF(BU1021="L1",Parameter!$E$5,Parameter!$E$6+Parameter!$E$7)-(AR1021-AN1021))/AN1021)))</f>
        <v>1</v>
      </c>
      <c r="AT1021" s="57" t="n">
        <f aca="false">IF(LEFT(Cockpit!$O$5,1)="A",G1021,IF(BW1021=1,BX1021,IF(LEFT(Cockpit!$O$5,1)="B",AX1021,MAX(AX1021,G1021))))</f>
        <v>480</v>
      </c>
      <c r="AU1021" s="57" t="n">
        <f aca="false">IF(BR1021=1,0,ROUNDUP(AT1021/BQ1021,0))</f>
        <v>1</v>
      </c>
      <c r="AV1021" s="59" t="n">
        <f aca="false">IF(CD1021&gt;0,CD1021*MAX(1,AT1021/V1021),IF(BR1021=1,IF(AT1021&lt;=0,0,BS1021*MAX(1,IF(G1021&gt;0,AT1021/G1021,1))),IF(Q1021&gt;0,AU1021/Q1021,0))/MAX(0.1,N(Parameter!$M$21)))</f>
        <v>0.0384615384615385</v>
      </c>
      <c r="AW1021" s="57" t="n">
        <f aca="false">AT1021*F1021</f>
        <v>1195.2</v>
      </c>
      <c r="AX1021" s="57" t="n">
        <f aca="false">ROUNDUP(MAX(I1021/IF(BV1021&gt;0,BV1021,MAX(0.1,N(Cockpit!$O$6))),BY1021)/BQ1021,0)*BQ1021</f>
        <v>480</v>
      </c>
      <c r="AY1021" s="58" t="n">
        <f aca="false">IF(AV1021&gt;0,I1021/AV1021,-1)</f>
        <v>1118</v>
      </c>
      <c r="AZ1021" s="58" t="n">
        <f aca="false">IF(AND(OR(BU1021="L1",BU1021="L23"),AV1021&gt;0),SUMIFS($AV$7:$AV$1576,$BU$7:$BU$1576,BU1021,$AY$7:$AY$1576,"&gt;"&amp;AY1021)+SUMIFS($AV$7:$AV$1576,$BU$7:$BU$1576,BU1021,$AY$7:$AY$1576,AY1021,$BO$7:$BO$1576,"&lt;="&amp;BO1021),"")</f>
        <v>21.4612904610842</v>
      </c>
      <c r="BA1021" s="65" t="n">
        <f aca="false">IF(AZ1021="",0,MAX(0,MIN(1,(IF(BU1021="L1",Parameter!$E$5,Parameter!$E$6+Parameter!$E$7)-(AZ1021-AV1021))/AV1021)))</f>
        <v>1</v>
      </c>
      <c r="BB1021" s="55" t="str">
        <f aca="false">IF(AF1021&lt;=0,"",IF(BU1021="Aussen","Aussenlager",IF(BU1021="-","Nicht im Lift",IF(AK1021&gt;=1,"Lift",IF(AK1021&lt;=0,"Aussenlager","teilweise")))))</f>
        <v/>
      </c>
      <c r="BC1021" s="55" t="str">
        <f aca="false">IF(AN1021&lt;=0,"",IF(BU1021="Aussen","Aussenlager",IF(BU1021="-","Nicht im Lift",IF(AS1021&gt;=1,"Lift",IF(AS1021&lt;=0,"Aussenlager","teilweise")))))</f>
        <v>Lift</v>
      </c>
      <c r="BD1021" s="55" t="str">
        <f aca="false">IF(AV1021&lt;=0,"",IF(BU1021="Aussen","Aussenlager",IF(BU1021="-","Nicht im Lift",IF(BA1021&gt;=1,"Lift",IF(BA1021&lt;=0,"Aussenlager","teilweise")))))</f>
        <v>Lift</v>
      </c>
      <c r="BE1021" s="55" t="str">
        <f aca="false">IF(A1021="","",IF(BN1021=1,"Neu; ","")&amp;IF(AND(BN1021=0,BI1021&lt;0),"negativer Bestand (Export "&amp;BI1021&amp;"); ","")&amp;IF(I1021&lt;=0,"Kein Verbrauch; ","")&amp;IF(CD1021&gt;0,"Lift "&amp;U1021&amp;" lt. Liftbericht (Fach "&amp;V1021&amp;" Stk); ",IF(BR1021=1,"Lose – Fläche geschätzt; ",""))&amp;IF(G1021&gt;AP1021,"Überbestand "&amp;ROUND(G1021-AP1021,0)&amp;" Stk / CHF "&amp;ROUND((G1021-AP1021)*F1021,0)&amp;"; ","")&amp;IF(AND(BW1021=1,BX1021&lt;BY1021),"MAX &lt; MB+LG; ","")&amp;IF(AND(CC1021&gt;0,CB1021*10&gt;CC1021),"zu hoch für Tablar; ","")&amp;IF(AND(BN1021=0,OR(BW1021=1,Y1021&lt;&gt;"",S1021&lt;&gt;"",T1021&lt;&gt;"",Z1021&lt;&gt;"")),"manuell übersteuert; ","")&amp;IF(AND(BR1021=0,Q1021=0),"Gebinde unbekannt / Stellmass fehlt; ","")&amp;IF(AND(BR1021=0,N(T1021)&lt;=0,N(P1021)&lt;=0),"Menge pro Gebinde fehlt (Ist = 1 Gebinde); ","")&amp;BM1021)</f>
        <v>negativer Bestand (Export -48); twin</v>
      </c>
      <c r="BF1021" s="55"/>
      <c r="BG1021" s="55"/>
      <c r="BH1021" s="62"/>
      <c r="BI1021" s="57" t="n">
        <v>-48</v>
      </c>
      <c r="BJ1021" s="57" t="n">
        <v>177</v>
      </c>
      <c r="BK1021" s="56" t="n">
        <v>-119.52</v>
      </c>
      <c r="BL1021" s="57" t="n">
        <v>43</v>
      </c>
      <c r="BM1021" s="55" t="s">
        <v>1728</v>
      </c>
      <c r="BN1021" s="60" t="n">
        <v>0</v>
      </c>
      <c r="BO1021" s="60" t="n">
        <v>1021</v>
      </c>
      <c r="BP1021" s="55" t="str">
        <f aca="false">IF(S1021&lt;&gt;"",UPPER(TRIM(S1021)),IF(O1021="","LOSE",O1021))</f>
        <v>S51</v>
      </c>
      <c r="BQ1021" s="57" t="n">
        <f aca="false">IF(BP1021="LOSE",1,IF(N(T1021)&gt;0,T1021,IF(N(P1021)&gt;0,P1021,MAX(1,G1021))))</f>
        <v>480</v>
      </c>
      <c r="BR1021" s="60" t="n">
        <f aca="false">IF(BP1021="LOSE",1,0)</f>
        <v>0</v>
      </c>
      <c r="BS1021" s="59" t="n">
        <f aca="false">IF(BR1021=0,0,IF(N(R1021)&gt;0,R1021,IFERROR(VLOOKUP(D1021,Parameter!$A$35:$C$64,3,0)+0,0)))</f>
        <v>0</v>
      </c>
      <c r="BT1021" s="55" t="n">
        <f aca="false">IF(Y1021&lt;&gt;"",Y1021,X1021)</f>
        <v>3</v>
      </c>
      <c r="BU1021" s="55" t="str">
        <f aca="false">IF(BT1021=1,"L1",IF(OR(BT1021=2,BT1021=3),"L23",IF(BT1021="Aussen","Aussen","-")))</f>
        <v>L23</v>
      </c>
      <c r="BV1021" s="66" t="n">
        <f aca="false">IF(N(Z1021)&gt;0,Z1021,0)</f>
        <v>0</v>
      </c>
      <c r="BW1021" s="60" t="n">
        <f aca="false">IF(ISNUMBER(AC1021),1,0)</f>
        <v>0</v>
      </c>
      <c r="BX1021" s="57" t="n">
        <f aca="false">N(AC1021)</f>
        <v>0</v>
      </c>
      <c r="BY1021" s="57" t="n">
        <f aca="false">N(L1021)+N(M1021)</f>
        <v>59</v>
      </c>
      <c r="BZ1021" s="57" t="n">
        <f aca="false">ROUNDUP(G1021/BQ1021,0)</f>
        <v>0</v>
      </c>
      <c r="CA1021" s="57" t="n">
        <f aca="false">ROUNDUP(BX1021/BQ1021,0)</f>
        <v>0</v>
      </c>
      <c r="CB1021" s="60" t="n">
        <f aca="false">IF(BR1021=1,0,IFERROR(VLOOKUP(BP1021,'Gebinde-Kategorie'!$A$5:$M$45,5,0)+0,0))</f>
        <v>11</v>
      </c>
      <c r="CC1021" s="60" t="n">
        <f aca="false">IFERROR(IF(OR(BT1021=1,BT1021=2,BT1021=3),N(INDEX(Parameter!$I$5:$I$7,BT1021)),0),0)</f>
        <v>0</v>
      </c>
      <c r="CD1021" s="59" t="n">
        <f aca="false">IF(AND(Parameter!$B$21="Ja",ISNUMBER(U1021),N(V1021)&gt;0),IFERROR(N(INDEX(Parameter!$L$5:$L$7,U1021))*INDEX(Parameter!$E$5:$E$7,U1021)*V1021/SUMIFS($V$7:$V$1576,$U$7:$U$1576,U1021),0),0)</f>
        <v>0</v>
      </c>
    </row>
    <row r="1022" customFormat="false" ht="15" hidden="false" customHeight="false" outlineLevel="0" collapsed="false">
      <c r="A1022" s="55" t="s">
        <v>1866</v>
      </c>
      <c r="B1022" s="55" t="s">
        <v>860</v>
      </c>
      <c r="C1022" s="55" t="s">
        <v>446</v>
      </c>
      <c r="D1022" s="55" t="s">
        <v>178</v>
      </c>
      <c r="E1022" s="55" t="s">
        <v>210</v>
      </c>
      <c r="F1022" s="56" t="n">
        <v>15.27</v>
      </c>
      <c r="G1022" s="57" t="n">
        <f aca="false">MAX(0,IF(AND(Parameter!$B$21="Ja",ISNUMBER(W1022)),W1022,IF(Parameter!$B$20="Jahresanfang 2025 + Export",BJ1022+BI1022,BI1022)))</f>
        <v>0</v>
      </c>
      <c r="H1022" s="57" t="n">
        <f aca="false">G1022*F1022</f>
        <v>0</v>
      </c>
      <c r="I1022" s="57" t="n">
        <f aca="false">BL1022*Parameter!$B$18</f>
        <v>8</v>
      </c>
      <c r="J1022" s="58" t="n">
        <v>8</v>
      </c>
      <c r="K1022" s="59" t="n">
        <v>1</v>
      </c>
      <c r="L1022" s="57" t="n">
        <v>1</v>
      </c>
      <c r="M1022" s="57" t="n">
        <v>10</v>
      </c>
      <c r="N1022" s="60" t="n">
        <v>56</v>
      </c>
      <c r="O1022" s="55" t="s">
        <v>163</v>
      </c>
      <c r="P1022" s="57"/>
      <c r="Q1022" s="60" t="n">
        <f aca="false">IF(BR1022=1,0,IFERROR(VLOOKUP(BP1022,'Gebinde-Kategorie'!$A$5:$M$45,13,0)+0,0))</f>
        <v>0</v>
      </c>
      <c r="R1022" s="61"/>
      <c r="S1022" s="62"/>
      <c r="T1022" s="62"/>
      <c r="U1022" s="55"/>
      <c r="V1022" s="57"/>
      <c r="W1022" s="57"/>
      <c r="X1022" s="55" t="n">
        <f aca="false">IF(A1022="","",IF(AND(Parameter!$B$21="Ja",ISNUMBER(U1022)),U1022,IF(IFERROR(VLOOKUP(D1022,Parameter!$A$35:$C$64,2,0),"Nein")="2+3",IF(ISNUMBER(SEARCH("grosser Artikel",BM1022)),2,IFERROR(VLOOKUP(BP1022,Parameter!$F$35:$G$64,2,0),2)),IF(OR(IFERROR(VLOOKUP(D1022,Parameter!$A$35:$C$64,2,0),"Nein")="Nein",IFERROR(VLOOKUP(D1022,Parameter!$A$35:$C$64,2,0),"Nein")=""),"-",VLOOKUP(D1022,Parameter!$A$35:$C$64,2,0)))))</f>
        <v>2</v>
      </c>
      <c r="Y1022" s="62"/>
      <c r="Z1022" s="63"/>
      <c r="AA1022" s="57" t="n">
        <f aca="false">AP1022</f>
        <v>11</v>
      </c>
      <c r="AB1022" s="57" t="n">
        <f aca="false">MAX(AP1022,G1022)</f>
        <v>11</v>
      </c>
      <c r="AC1022" s="64"/>
      <c r="AD1022" s="57" t="n">
        <f aca="false">IF(LEFT(Cockpit!$C$5,1)="A",G1022,IF(BW1022=1,BX1022,IF(LEFT(Cockpit!$C$5,1)="B",AH1022,MAX(AH1022,G1022))))</f>
        <v>0</v>
      </c>
      <c r="AE1022" s="57" t="n">
        <f aca="false">IF(BR1022=1,0,ROUNDUP(AD1022/BQ1022,0))</f>
        <v>0</v>
      </c>
      <c r="AF1022" s="59" t="n">
        <f aca="false">IF(CD1022&gt;0,CD1022*MAX(1,AD1022/V1022),IF(BR1022=1,IF(AD1022&lt;=0,0,BS1022*MAX(1,IF(G1022&gt;0,AD1022/G1022,1))),IF(Q1022&gt;0,AE1022/Q1022,0))/MAX(0.1,N(Parameter!$M$21)))</f>
        <v>0</v>
      </c>
      <c r="AG1022" s="57" t="n">
        <f aca="false">AD1022*F1022</f>
        <v>0</v>
      </c>
      <c r="AH1022" s="57" t="n">
        <f aca="false">ROUNDUP(MAX(I1022/IF(BV1022&gt;0,BV1022,MAX(0.1,N(Cockpit!$C$6))),BY1022)/BQ1022,0)*BQ1022</f>
        <v>11</v>
      </c>
      <c r="AI1022" s="58" t="n">
        <f aca="false">IF(AF1022&gt;0,I1022/AF1022,-1)</f>
        <v>-1</v>
      </c>
      <c r="AJ1022" s="58" t="str">
        <f aca="false">IF(AND(OR(BU1022="L1",BU1022="L23"),AF1022&gt;0),SUMIFS($AF$7:$AF$1576,$BU$7:$BU$1576,BU1022,$AI$7:$AI$1576,"&gt;"&amp;AI1022)+SUMIFS($AF$7:$AF$1576,$BU$7:$BU$1576,BU1022,$AI$7:$AI$1576,AI1022,$BO$7:$BO$1576,"&lt;="&amp;BO1022),"")</f>
        <v/>
      </c>
      <c r="AK1022" s="65" t="n">
        <f aca="false">IF(AJ1022="",0,MAX(0,MIN(1,(IF(BU1022="L1",Parameter!$E$5,Parameter!$E$6+Parameter!$E$7)-(AJ1022-AF1022))/AF1022)))</f>
        <v>0</v>
      </c>
      <c r="AL1022" s="57" t="n">
        <f aca="false">IF(LEFT(Cockpit!$I$5,1)="A",G1022,IF(BW1022=1,BX1022,IF(LEFT(Cockpit!$I$5,1)="B",AP1022,MAX(AP1022,G1022))))</f>
        <v>11</v>
      </c>
      <c r="AM1022" s="57" t="n">
        <f aca="false">IF(BR1022=1,0,ROUNDUP(AL1022/BQ1022,0))</f>
        <v>0</v>
      </c>
      <c r="AN1022" s="59" t="n">
        <f aca="false">IF(CD1022&gt;0,CD1022*MAX(1,AL1022/V1022),IF(BR1022=1,IF(AL1022&lt;=0,0,BS1022*MAX(1,IF(G1022&gt;0,AL1022/G1022,1))),IF(Q1022&gt;0,AM1022/Q1022,0))/MAX(0.1,N(Parameter!$M$21)))</f>
        <v>0.03</v>
      </c>
      <c r="AO1022" s="57" t="n">
        <f aca="false">AL1022*F1022</f>
        <v>167.97</v>
      </c>
      <c r="AP1022" s="57" t="n">
        <f aca="false">ROUNDUP(MAX(I1022/IF(BV1022&gt;0,BV1022,MAX(0.1,N(Cockpit!$I$6))),BY1022)/BQ1022,0)*BQ1022</f>
        <v>11</v>
      </c>
      <c r="AQ1022" s="58" t="n">
        <f aca="false">IF(AN1022&gt;0,I1022/AN1022,-1)</f>
        <v>266.666666666667</v>
      </c>
      <c r="AR1022" s="58" t="n">
        <f aca="false">IF(AND(OR(BU1022="L1",BU1022="L23"),AN1022&gt;0),SUMIFS($AN$7:$AN$1576,$BU$7:$BU$1576,BU1022,$AQ$7:$AQ$1576,"&gt;"&amp;AQ1022)+SUMIFS($AN$7:$AN$1576,$BU$7:$BU$1576,BU1022,$AQ$7:$AQ$1576,AQ1022,$BO$7:$BO$1576,"&lt;="&amp;BO1022),"")</f>
        <v>45.1239990568363</v>
      </c>
      <c r="AS1022" s="65" t="n">
        <f aca="false">IF(AR1022="",0,MAX(0,MIN(1,(IF(BU1022="L1",Parameter!$E$5,Parameter!$E$6+Parameter!$E$7)-(AR1022-AN1022))/AN1022)))</f>
        <v>1</v>
      </c>
      <c r="AT1022" s="57" t="n">
        <f aca="false">IF(LEFT(Cockpit!$O$5,1)="A",G1022,IF(BW1022=1,BX1022,IF(LEFT(Cockpit!$O$5,1)="B",AX1022,MAX(AX1022,G1022))))</f>
        <v>11</v>
      </c>
      <c r="AU1022" s="57" t="n">
        <f aca="false">IF(BR1022=1,0,ROUNDUP(AT1022/BQ1022,0))</f>
        <v>0</v>
      </c>
      <c r="AV1022" s="59" t="n">
        <f aca="false">IF(CD1022&gt;0,CD1022*MAX(1,AT1022/V1022),IF(BR1022=1,IF(AT1022&lt;=0,0,BS1022*MAX(1,IF(G1022&gt;0,AT1022/G1022,1))),IF(Q1022&gt;0,AU1022/Q1022,0))/MAX(0.1,N(Parameter!$M$21)))</f>
        <v>0.03</v>
      </c>
      <c r="AW1022" s="57" t="n">
        <f aca="false">AT1022*F1022</f>
        <v>167.97</v>
      </c>
      <c r="AX1022" s="57" t="n">
        <f aca="false">ROUNDUP(MAX(I1022/IF(BV1022&gt;0,BV1022,MAX(0.1,N(Cockpit!$O$6))),BY1022)/BQ1022,0)*BQ1022</f>
        <v>11</v>
      </c>
      <c r="AY1022" s="58" t="n">
        <f aca="false">IF(AV1022&gt;0,I1022/AV1022,-1)</f>
        <v>266.666666666667</v>
      </c>
      <c r="AZ1022" s="58" t="n">
        <f aca="false">IF(AND(OR(BU1022="L1",BU1022="L23"),AV1022&gt;0),SUMIFS($AV$7:$AV$1576,$BU$7:$BU$1576,BU1022,$AY$7:$AY$1576,"&gt;"&amp;AY1022)+SUMIFS($AV$7:$AV$1576,$BU$7:$BU$1576,BU1022,$AY$7:$AY$1576,AY1022,$BO$7:$BO$1576,"&lt;="&amp;BO1022),"")</f>
        <v>41.4020776449149</v>
      </c>
      <c r="BA1022" s="65" t="n">
        <f aca="false">IF(AZ1022="",0,MAX(0,MIN(1,(IF(BU1022="L1",Parameter!$E$5,Parameter!$E$6+Parameter!$E$7)-(AZ1022-AV1022))/AV1022)))</f>
        <v>1</v>
      </c>
      <c r="BB1022" s="55" t="str">
        <f aca="false">IF(AF1022&lt;=0,"",IF(BU1022="Aussen","Aussenlager",IF(BU1022="-","Nicht im Lift",IF(AK1022&gt;=1,"Lift",IF(AK1022&lt;=0,"Aussenlager","teilweise")))))</f>
        <v/>
      </c>
      <c r="BC1022" s="55" t="str">
        <f aca="false">IF(AN1022&lt;=0,"",IF(BU1022="Aussen","Aussenlager",IF(BU1022="-","Nicht im Lift",IF(AS1022&gt;=1,"Lift",IF(AS1022&lt;=0,"Aussenlager","teilweise")))))</f>
        <v>Lift</v>
      </c>
      <c r="BD1022" s="55" t="str">
        <f aca="false">IF(AV1022&lt;=0,"",IF(BU1022="Aussen","Aussenlager",IF(BU1022="-","Nicht im Lift",IF(BA1022&gt;=1,"Lift",IF(BA1022&lt;=0,"Aussenlager","teilweise")))))</f>
        <v>Lift</v>
      </c>
      <c r="BE1022" s="55" t="str">
        <f aca="false">IF(A1022="","",IF(BN1022=1,"Neu; ","")&amp;IF(AND(BN1022=0,BI1022&lt;0),"negativer Bestand (Export "&amp;BI1022&amp;"); ","")&amp;IF(I1022&lt;=0,"Kein Verbrauch; ","")&amp;IF(CD1022&gt;0,"Lift "&amp;U1022&amp;" lt. Liftbericht (Fach "&amp;V1022&amp;" Stk); ",IF(BR1022=1,"Lose – Fläche geschätzt; ",""))&amp;IF(G1022&gt;AP1022,"Überbestand "&amp;ROUND(G1022-AP1022,0)&amp;" Stk / CHF "&amp;ROUND((G1022-AP1022)*F1022,0)&amp;"; ","")&amp;IF(AND(BW1022=1,BX1022&lt;BY1022),"MAX &lt; MB+LG; ","")&amp;IF(AND(CC1022&gt;0,CB1022*10&gt;CC1022),"zu hoch für Tablar; ","")&amp;IF(AND(BN1022=0,OR(BW1022=1,Y1022&lt;&gt;"",S1022&lt;&gt;"",T1022&lt;&gt;"",Z1022&lt;&gt;"")),"manuell übersteuert; ","")&amp;IF(AND(BR1022=0,Q1022=0),"Gebinde unbekannt / Stellmass fehlt; ","")&amp;IF(AND(BR1022=0,N(T1022)&lt;=0,N(P1022)&lt;=0),"Menge pro Gebinde fehlt (Ist = 1 Gebinde); ","")&amp;BM1022)</f>
        <v>negativer Bestand (Export -8); Lose – Fläche geschätzt; </v>
      </c>
      <c r="BF1022" s="55"/>
      <c r="BG1022" s="55"/>
      <c r="BH1022" s="62"/>
      <c r="BI1022" s="57" t="n">
        <v>-8</v>
      </c>
      <c r="BJ1022" s="57" t="n">
        <v>16</v>
      </c>
      <c r="BK1022" s="56" t="n">
        <v>-122.16</v>
      </c>
      <c r="BL1022" s="57" t="n">
        <v>8</v>
      </c>
      <c r="BM1022" s="55"/>
      <c r="BN1022" s="60" t="n">
        <v>0</v>
      </c>
      <c r="BO1022" s="60" t="n">
        <v>1022</v>
      </c>
      <c r="BP1022" s="55" t="str">
        <f aca="false">IF(S1022&lt;&gt;"",UPPER(TRIM(S1022)),IF(O1022="","LOSE",O1022))</f>
        <v>LOSE</v>
      </c>
      <c r="BQ1022" s="57" t="n">
        <f aca="false">IF(BP1022="LOSE",1,IF(N(T1022)&gt;0,T1022,IF(N(P1022)&gt;0,P1022,MAX(1,G1022))))</f>
        <v>1</v>
      </c>
      <c r="BR1022" s="60" t="n">
        <f aca="false">IF(BP1022="LOSE",1,0)</f>
        <v>1</v>
      </c>
      <c r="BS1022" s="59" t="n">
        <f aca="false">IF(BR1022=0,0,IF(N(R1022)&gt;0,R1022,IFERROR(VLOOKUP(D1022,Parameter!$A$35:$C$64,3,0)+0,0)))</f>
        <v>0.03</v>
      </c>
      <c r="BT1022" s="55" t="n">
        <f aca="false">IF(Y1022&lt;&gt;"",Y1022,X1022)</f>
        <v>2</v>
      </c>
      <c r="BU1022" s="55" t="str">
        <f aca="false">IF(BT1022=1,"L1",IF(OR(BT1022=2,BT1022=3),"L23",IF(BT1022="Aussen","Aussen","-")))</f>
        <v>L23</v>
      </c>
      <c r="BV1022" s="66" t="n">
        <f aca="false">IF(N(Z1022)&gt;0,Z1022,0)</f>
        <v>0</v>
      </c>
      <c r="BW1022" s="60" t="n">
        <f aca="false">IF(ISNUMBER(AC1022),1,0)</f>
        <v>0</v>
      </c>
      <c r="BX1022" s="57" t="n">
        <f aca="false">N(AC1022)</f>
        <v>0</v>
      </c>
      <c r="BY1022" s="57" t="n">
        <f aca="false">N(L1022)+N(M1022)</f>
        <v>11</v>
      </c>
      <c r="BZ1022" s="57" t="n">
        <f aca="false">ROUNDUP(G1022/BQ1022,0)</f>
        <v>0</v>
      </c>
      <c r="CA1022" s="57" t="n">
        <f aca="false">ROUNDUP(BX1022/BQ1022,0)</f>
        <v>0</v>
      </c>
      <c r="CB1022" s="60" t="n">
        <f aca="false">IF(BR1022=1,0,IFERROR(VLOOKUP(BP1022,'Gebinde-Kategorie'!$A$5:$M$45,5,0)+0,0))</f>
        <v>0</v>
      </c>
      <c r="CC1022" s="60" t="n">
        <f aca="false">IFERROR(IF(OR(BT1022=1,BT1022=2,BT1022=3),N(INDEX(Parameter!$I$5:$I$7,BT1022)),0),0)</f>
        <v>0</v>
      </c>
      <c r="CD1022" s="59" t="n">
        <f aca="false">IF(AND(Parameter!$B$21="Ja",ISNUMBER(U1022),N(V1022)&gt;0),IFERROR(N(INDEX(Parameter!$L$5:$L$7,U1022))*INDEX(Parameter!$E$5:$E$7,U1022)*V1022/SUMIFS($V$7:$V$1576,$U$7:$U$1576,U1022),0),0)</f>
        <v>0</v>
      </c>
    </row>
    <row r="1023" customFormat="false" ht="15" hidden="false" customHeight="false" outlineLevel="0" collapsed="false">
      <c r="A1023" s="55" t="s">
        <v>1867</v>
      </c>
      <c r="B1023" s="55" t="s">
        <v>1868</v>
      </c>
      <c r="C1023" s="55" t="s">
        <v>160</v>
      </c>
      <c r="D1023" s="55" t="s">
        <v>178</v>
      </c>
      <c r="E1023" s="55" t="s">
        <v>210</v>
      </c>
      <c r="F1023" s="56" t="n">
        <v>42.42</v>
      </c>
      <c r="G1023" s="57" t="n">
        <f aca="false">MAX(0,IF(AND(Parameter!$B$21="Ja",ISNUMBER(W1023)),W1023,IF(Parameter!$B$20="Jahresanfang 2025 + Export",BJ1023+BI1023,BI1023)))</f>
        <v>0</v>
      </c>
      <c r="H1023" s="57" t="n">
        <f aca="false">G1023*F1023</f>
        <v>0</v>
      </c>
      <c r="I1023" s="57" t="n">
        <f aca="false">BL1023*Parameter!$B$18</f>
        <v>0</v>
      </c>
      <c r="J1023" s="58" t="n">
        <v>7</v>
      </c>
      <c r="K1023" s="59" t="n">
        <v>0</v>
      </c>
      <c r="L1023" s="57" t="n">
        <v>0</v>
      </c>
      <c r="M1023" s="57" t="n">
        <v>1</v>
      </c>
      <c r="N1023" s="60" t="n">
        <v>28</v>
      </c>
      <c r="O1023" s="55" t="s">
        <v>225</v>
      </c>
      <c r="P1023" s="57" t="n">
        <v>12</v>
      </c>
      <c r="Q1023" s="60" t="n">
        <f aca="false">IF(BR1023=1,0,IFERROR(VLOOKUP(BP1023,'Gebinde-Kategorie'!$A$5:$M$45,13,0)+0,0))</f>
        <v>26</v>
      </c>
      <c r="R1023" s="61"/>
      <c r="S1023" s="62"/>
      <c r="T1023" s="62"/>
      <c r="U1023" s="55"/>
      <c r="V1023" s="57"/>
      <c r="W1023" s="57"/>
      <c r="X1023" s="55" t="n">
        <f aca="false">IF(A1023="","",IF(AND(Parameter!$B$21="Ja",ISNUMBER(U1023)),U1023,IF(IFERROR(VLOOKUP(D1023,Parameter!$A$35:$C$64,2,0),"Nein")="2+3",IF(ISNUMBER(SEARCH("grosser Artikel",BM1023)),2,IFERROR(VLOOKUP(BP1023,Parameter!$F$35:$G$64,2,0),2)),IF(OR(IFERROR(VLOOKUP(D1023,Parameter!$A$35:$C$64,2,0),"Nein")="Nein",IFERROR(VLOOKUP(D1023,Parameter!$A$35:$C$64,2,0),"Nein")=""),"-",VLOOKUP(D1023,Parameter!$A$35:$C$64,2,0)))))</f>
        <v>3</v>
      </c>
      <c r="Y1023" s="62"/>
      <c r="Z1023" s="63"/>
      <c r="AA1023" s="57" t="n">
        <f aca="false">AP1023</f>
        <v>12</v>
      </c>
      <c r="AB1023" s="57" t="n">
        <f aca="false">MAX(AP1023,G1023)</f>
        <v>12</v>
      </c>
      <c r="AC1023" s="64"/>
      <c r="AD1023" s="57" t="n">
        <f aca="false">IF(LEFT(Cockpit!$C$5,1)="A",G1023,IF(BW1023=1,BX1023,IF(LEFT(Cockpit!$C$5,1)="B",AH1023,MAX(AH1023,G1023))))</f>
        <v>0</v>
      </c>
      <c r="AE1023" s="57" t="n">
        <f aca="false">IF(BR1023=1,0,ROUNDUP(AD1023/BQ1023,0))</f>
        <v>0</v>
      </c>
      <c r="AF1023" s="59" t="n">
        <f aca="false">IF(CD1023&gt;0,CD1023*MAX(1,AD1023/V1023),IF(BR1023=1,IF(AD1023&lt;=0,0,BS1023*MAX(1,IF(G1023&gt;0,AD1023/G1023,1))),IF(Q1023&gt;0,AE1023/Q1023,0))/MAX(0.1,N(Parameter!$M$21)))</f>
        <v>0</v>
      </c>
      <c r="AG1023" s="57" t="n">
        <f aca="false">AD1023*F1023</f>
        <v>0</v>
      </c>
      <c r="AH1023" s="57" t="n">
        <f aca="false">ROUNDUP(MAX(I1023/IF(BV1023&gt;0,BV1023,MAX(0.1,N(Cockpit!$C$6))),BY1023)/BQ1023,0)*BQ1023</f>
        <v>12</v>
      </c>
      <c r="AI1023" s="58" t="n">
        <f aca="false">IF(AF1023&gt;0,I1023/AF1023,-1)</f>
        <v>-1</v>
      </c>
      <c r="AJ1023" s="58" t="str">
        <f aca="false">IF(AND(OR(BU1023="L1",BU1023="L23"),AF1023&gt;0),SUMIFS($AF$7:$AF$1576,$BU$7:$BU$1576,BU1023,$AI$7:$AI$1576,"&gt;"&amp;AI1023)+SUMIFS($AF$7:$AF$1576,$BU$7:$BU$1576,BU1023,$AI$7:$AI$1576,AI1023,$BO$7:$BO$1576,"&lt;="&amp;BO1023),"")</f>
        <v/>
      </c>
      <c r="AK1023" s="65" t="n">
        <f aca="false">IF(AJ1023="",0,MAX(0,MIN(1,(IF(BU1023="L1",Parameter!$E$5,Parameter!$E$6+Parameter!$E$7)-(AJ1023-AF1023))/AF1023)))</f>
        <v>0</v>
      </c>
      <c r="AL1023" s="57" t="n">
        <f aca="false">IF(LEFT(Cockpit!$I$5,1)="A",G1023,IF(BW1023=1,BX1023,IF(LEFT(Cockpit!$I$5,1)="B",AP1023,MAX(AP1023,G1023))))</f>
        <v>12</v>
      </c>
      <c r="AM1023" s="57" t="n">
        <f aca="false">IF(BR1023=1,0,ROUNDUP(AL1023/BQ1023,0))</f>
        <v>1</v>
      </c>
      <c r="AN1023" s="59" t="n">
        <f aca="false">IF(CD1023&gt;0,CD1023*MAX(1,AL1023/V1023),IF(BR1023=1,IF(AL1023&lt;=0,0,BS1023*MAX(1,IF(G1023&gt;0,AL1023/G1023,1))),IF(Q1023&gt;0,AM1023/Q1023,0))/MAX(0.1,N(Parameter!$M$21)))</f>
        <v>0.0384615384615385</v>
      </c>
      <c r="AO1023" s="57" t="n">
        <f aca="false">AL1023*F1023</f>
        <v>509.04</v>
      </c>
      <c r="AP1023" s="57" t="n">
        <f aca="false">ROUNDUP(MAX(I1023/IF(BV1023&gt;0,BV1023,MAX(0.1,N(Cockpit!$I$6))),BY1023)/BQ1023,0)*BQ1023</f>
        <v>12</v>
      </c>
      <c r="AQ1023" s="58" t="n">
        <f aca="false">IF(AN1023&gt;0,I1023/AN1023,-1)</f>
        <v>0</v>
      </c>
      <c r="AR1023" s="58" t="n">
        <f aca="false">IF(AND(OR(BU1023="L1",BU1023="L23"),AN1023&gt;0),SUMIFS($AN$7:$AN$1576,$BU$7:$BU$1576,BU1023,$AQ$7:$AQ$1576,"&gt;"&amp;AQ1023)+SUMIFS($AN$7:$AN$1576,$BU$7:$BU$1576,BU1023,$AQ$7:$AQ$1576,AQ1023,$BO$7:$BO$1576,"&lt;="&amp;BO1023),"")</f>
        <v>132.687712649717</v>
      </c>
      <c r="AS1023" s="65" t="n">
        <f aca="false">IF(AR1023="",0,MAX(0,MIN(1,(IF(BU1023="L1",Parameter!$E$5,Parameter!$E$6+Parameter!$E$7)-(AR1023-AN1023))/AN1023)))</f>
        <v>0</v>
      </c>
      <c r="AT1023" s="57" t="n">
        <f aca="false">IF(LEFT(Cockpit!$O$5,1)="A",G1023,IF(BW1023=1,BX1023,IF(LEFT(Cockpit!$O$5,1)="B",AX1023,MAX(AX1023,G1023))))</f>
        <v>12</v>
      </c>
      <c r="AU1023" s="57" t="n">
        <f aca="false">IF(BR1023=1,0,ROUNDUP(AT1023/BQ1023,0))</f>
        <v>1</v>
      </c>
      <c r="AV1023" s="59" t="n">
        <f aca="false">IF(CD1023&gt;0,CD1023*MAX(1,AT1023/V1023),IF(BR1023=1,IF(AT1023&lt;=0,0,BS1023*MAX(1,IF(G1023&gt;0,AT1023/G1023,1))),IF(Q1023&gt;0,AU1023/Q1023,0))/MAX(0.1,N(Parameter!$M$21)))</f>
        <v>0.0384615384615385</v>
      </c>
      <c r="AW1023" s="57" t="n">
        <f aca="false">AT1023*F1023</f>
        <v>509.04</v>
      </c>
      <c r="AX1023" s="57" t="n">
        <f aca="false">ROUNDUP(MAX(I1023/IF(BV1023&gt;0,BV1023,MAX(0.1,N(Cockpit!$O$6))),BY1023)/BQ1023,0)*BQ1023</f>
        <v>12</v>
      </c>
      <c r="AY1023" s="58" t="n">
        <f aca="false">IF(AV1023&gt;0,I1023/AV1023,-1)</f>
        <v>0</v>
      </c>
      <c r="AZ1023" s="58" t="n">
        <f aca="false">IF(AND(OR(BU1023="L1",BU1023="L23"),AV1023&gt;0),SUMIFS($AV$7:$AV$1576,$BU$7:$BU$1576,BU1023,$AY$7:$AY$1576,"&gt;"&amp;AY1023)+SUMIFS($AV$7:$AV$1576,$BU$7:$BU$1576,BU1023,$AY$7:$AY$1576,AY1023,$BO$7:$BO$1576,"&lt;="&amp;BO1023),"")</f>
        <v>122.747263099267</v>
      </c>
      <c r="BA1023" s="65" t="n">
        <f aca="false">IF(AZ1023="",0,MAX(0,MIN(1,(IF(BU1023="L1",Parameter!$E$5,Parameter!$E$6+Parameter!$E$7)-(AZ1023-AV1023))/AV1023)))</f>
        <v>0</v>
      </c>
      <c r="BB1023" s="55" t="str">
        <f aca="false">IF(AF1023&lt;=0,"",IF(BU1023="Aussen","Aussenlager",IF(BU1023="-","Nicht im Lift",IF(AK1023&gt;=1,"Lift",IF(AK1023&lt;=0,"Aussenlager","teilweise")))))</f>
        <v/>
      </c>
      <c r="BC1023" s="55" t="str">
        <f aca="false">IF(AN1023&lt;=0,"",IF(BU1023="Aussen","Aussenlager",IF(BU1023="-","Nicht im Lift",IF(AS1023&gt;=1,"Lift",IF(AS1023&lt;=0,"Aussenlager","teilweise")))))</f>
        <v>Aussenlager</v>
      </c>
      <c r="BD1023" s="55" t="str">
        <f aca="false">IF(AV1023&lt;=0,"",IF(BU1023="Aussen","Aussenlager",IF(BU1023="-","Nicht im Lift",IF(BA1023&gt;=1,"Lift",IF(BA1023&lt;=0,"Aussenlager","teilweise")))))</f>
        <v>Aussenlager</v>
      </c>
      <c r="BE1023" s="55" t="str">
        <f aca="false">IF(A1023="","",IF(BN1023=1,"Neu; ","")&amp;IF(AND(BN1023=0,BI1023&lt;0),"negativer Bestand (Export "&amp;BI1023&amp;"); ","")&amp;IF(I1023&lt;=0,"Kein Verbrauch; ","")&amp;IF(CD1023&gt;0,"Lift "&amp;U1023&amp;" lt. Liftbericht (Fach "&amp;V1023&amp;" Stk); ",IF(BR1023=1,"Lose – Fläche geschätzt; ",""))&amp;IF(G1023&gt;AP1023,"Überbestand "&amp;ROUND(G1023-AP1023,0)&amp;" Stk / CHF "&amp;ROUND((G1023-AP1023)*F1023,0)&amp;"; ","")&amp;IF(AND(BW1023=1,BX1023&lt;BY1023),"MAX &lt; MB+LG; ","")&amp;IF(AND(CC1023&gt;0,CB1023*10&gt;CC1023),"zu hoch für Tablar; ","")&amp;IF(AND(BN1023=0,OR(BW1023=1,Y1023&lt;&gt;"",S1023&lt;&gt;"",T1023&lt;&gt;"",Z1023&lt;&gt;"")),"manuell übersteuert; ","")&amp;IF(AND(BR1023=0,Q1023=0),"Gebinde unbekannt / Stellmass fehlt; ","")&amp;IF(AND(BR1023=0,N(T1023)&lt;=0,N(P1023)&lt;=0),"Menge pro Gebinde fehlt (Ist = 1 Gebinde); ","")&amp;BM1023)</f>
        <v>negativer Bestand (Export -3); Kein Verbrauch; Neu</v>
      </c>
      <c r="BF1023" s="55"/>
      <c r="BG1023" s="55"/>
      <c r="BH1023" s="62"/>
      <c r="BI1023" s="57" t="n">
        <v>-3</v>
      </c>
      <c r="BJ1023" s="57" t="n">
        <v>7</v>
      </c>
      <c r="BK1023" s="56" t="n">
        <v>-122.22</v>
      </c>
      <c r="BL1023" s="57" t="n">
        <v>0</v>
      </c>
      <c r="BM1023" s="55" t="s">
        <v>615</v>
      </c>
      <c r="BN1023" s="60" t="n">
        <v>0</v>
      </c>
      <c r="BO1023" s="60" t="n">
        <v>1023</v>
      </c>
      <c r="BP1023" s="55" t="str">
        <f aca="false">IF(S1023&lt;&gt;"",UPPER(TRIM(S1023)),IF(O1023="","LOSE",O1023))</f>
        <v>S52</v>
      </c>
      <c r="BQ1023" s="57" t="n">
        <f aca="false">IF(BP1023="LOSE",1,IF(N(T1023)&gt;0,T1023,IF(N(P1023)&gt;0,P1023,MAX(1,G1023))))</f>
        <v>12</v>
      </c>
      <c r="BR1023" s="60" t="n">
        <f aca="false">IF(BP1023="LOSE",1,0)</f>
        <v>0</v>
      </c>
      <c r="BS1023" s="59" t="n">
        <f aca="false">IF(BR1023=0,0,IF(N(R1023)&gt;0,R1023,IFERROR(VLOOKUP(D1023,Parameter!$A$35:$C$64,3,0)+0,0)))</f>
        <v>0</v>
      </c>
      <c r="BT1023" s="55" t="n">
        <f aca="false">IF(Y1023&lt;&gt;"",Y1023,X1023)</f>
        <v>3</v>
      </c>
      <c r="BU1023" s="55" t="str">
        <f aca="false">IF(BT1023=1,"L1",IF(OR(BT1023=2,BT1023=3),"L23",IF(BT1023="Aussen","Aussen","-")))</f>
        <v>L23</v>
      </c>
      <c r="BV1023" s="66" t="n">
        <f aca="false">IF(N(Z1023)&gt;0,Z1023,0)</f>
        <v>0</v>
      </c>
      <c r="BW1023" s="60" t="n">
        <f aca="false">IF(ISNUMBER(AC1023),1,0)</f>
        <v>0</v>
      </c>
      <c r="BX1023" s="57" t="n">
        <f aca="false">N(AC1023)</f>
        <v>0</v>
      </c>
      <c r="BY1023" s="57" t="n">
        <f aca="false">N(L1023)+N(M1023)</f>
        <v>1</v>
      </c>
      <c r="BZ1023" s="57" t="n">
        <f aca="false">ROUNDUP(G1023/BQ1023,0)</f>
        <v>0</v>
      </c>
      <c r="CA1023" s="57" t="n">
        <f aca="false">ROUNDUP(BX1023/BQ1023,0)</f>
        <v>0</v>
      </c>
      <c r="CB1023" s="60" t="n">
        <f aca="false">IF(BR1023=1,0,IFERROR(VLOOKUP(BP1023,'Gebinde-Kategorie'!$A$5:$M$45,5,0)+0,0))</f>
        <v>21</v>
      </c>
      <c r="CC1023" s="60" t="n">
        <f aca="false">IFERROR(IF(OR(BT1023=1,BT1023=2,BT1023=3),N(INDEX(Parameter!$I$5:$I$7,BT1023)),0),0)</f>
        <v>0</v>
      </c>
      <c r="CD1023" s="59" t="n">
        <f aca="false">IF(AND(Parameter!$B$21="Ja",ISNUMBER(U1023),N(V1023)&gt;0),IFERROR(N(INDEX(Parameter!$L$5:$L$7,U1023))*INDEX(Parameter!$E$5:$E$7,U1023)*V1023/SUMIFS($V$7:$V$1576,$U$7:$U$1576,U1023),0),0)</f>
        <v>0</v>
      </c>
    </row>
    <row r="1024" customFormat="false" ht="15" hidden="false" customHeight="false" outlineLevel="0" collapsed="false">
      <c r="A1024" s="55" t="s">
        <v>1869</v>
      </c>
      <c r="B1024" s="55" t="s">
        <v>1870</v>
      </c>
      <c r="C1024" s="55" t="s">
        <v>160</v>
      </c>
      <c r="D1024" s="55" t="s">
        <v>178</v>
      </c>
      <c r="E1024" s="55" t="s">
        <v>210</v>
      </c>
      <c r="F1024" s="56" t="n">
        <v>124</v>
      </c>
      <c r="G1024" s="57" t="n">
        <f aca="false">MAX(0,IF(AND(Parameter!$B$21="Ja",ISNUMBER(W1024)),W1024,IF(Parameter!$B$20="Jahresanfang 2025 + Export",BJ1024+BI1024,BI1024)))</f>
        <v>0</v>
      </c>
      <c r="H1024" s="57" t="n">
        <f aca="false">G1024*F1024</f>
        <v>0</v>
      </c>
      <c r="I1024" s="57" t="n">
        <f aca="false">BL1024*Parameter!$B$18</f>
        <v>2</v>
      </c>
      <c r="J1024" s="58" t="n">
        <v>39</v>
      </c>
      <c r="K1024" s="59" t="n">
        <v>0.0512820512820513</v>
      </c>
      <c r="L1024" s="57" t="n">
        <v>0</v>
      </c>
      <c r="M1024" s="57" t="n">
        <v>1</v>
      </c>
      <c r="N1024" s="60" t="n">
        <v>35</v>
      </c>
      <c r="O1024" s="55" t="s">
        <v>225</v>
      </c>
      <c r="P1024" s="57" t="n">
        <v>45</v>
      </c>
      <c r="Q1024" s="60" t="n">
        <f aca="false">IF(BR1024=1,0,IFERROR(VLOOKUP(BP1024,'Gebinde-Kategorie'!$A$5:$M$45,13,0)+0,0))</f>
        <v>26</v>
      </c>
      <c r="R1024" s="61"/>
      <c r="S1024" s="62"/>
      <c r="T1024" s="62"/>
      <c r="U1024" s="55"/>
      <c r="V1024" s="57"/>
      <c r="W1024" s="57"/>
      <c r="X1024" s="55" t="n">
        <f aca="false">IF(A1024="","",IF(AND(Parameter!$B$21="Ja",ISNUMBER(U1024)),U1024,IF(IFERROR(VLOOKUP(D1024,Parameter!$A$35:$C$64,2,0),"Nein")="2+3",IF(ISNUMBER(SEARCH("grosser Artikel",BM1024)),2,IFERROR(VLOOKUP(BP1024,Parameter!$F$35:$G$64,2,0),2)),IF(OR(IFERROR(VLOOKUP(D1024,Parameter!$A$35:$C$64,2,0),"Nein")="Nein",IFERROR(VLOOKUP(D1024,Parameter!$A$35:$C$64,2,0),"Nein")=""),"-",VLOOKUP(D1024,Parameter!$A$35:$C$64,2,0)))))</f>
        <v>3</v>
      </c>
      <c r="Y1024" s="62"/>
      <c r="Z1024" s="63"/>
      <c r="AA1024" s="57" t="n">
        <f aca="false">AP1024</f>
        <v>45</v>
      </c>
      <c r="AB1024" s="57" t="n">
        <f aca="false">MAX(AP1024,G1024)</f>
        <v>45</v>
      </c>
      <c r="AC1024" s="64"/>
      <c r="AD1024" s="57" t="n">
        <f aca="false">IF(LEFT(Cockpit!$C$5,1)="A",G1024,IF(BW1024=1,BX1024,IF(LEFT(Cockpit!$C$5,1)="B",AH1024,MAX(AH1024,G1024))))</f>
        <v>0</v>
      </c>
      <c r="AE1024" s="57" t="n">
        <f aca="false">IF(BR1024=1,0,ROUNDUP(AD1024/BQ1024,0))</f>
        <v>0</v>
      </c>
      <c r="AF1024" s="59" t="n">
        <f aca="false">IF(CD1024&gt;0,CD1024*MAX(1,AD1024/V1024),IF(BR1024=1,IF(AD1024&lt;=0,0,BS1024*MAX(1,IF(G1024&gt;0,AD1024/G1024,1))),IF(Q1024&gt;0,AE1024/Q1024,0))/MAX(0.1,N(Parameter!$M$21)))</f>
        <v>0</v>
      </c>
      <c r="AG1024" s="57" t="n">
        <f aca="false">AD1024*F1024</f>
        <v>0</v>
      </c>
      <c r="AH1024" s="57" t="n">
        <f aca="false">ROUNDUP(MAX(I1024/IF(BV1024&gt;0,BV1024,MAX(0.1,N(Cockpit!$C$6))),BY1024)/BQ1024,0)*BQ1024</f>
        <v>45</v>
      </c>
      <c r="AI1024" s="58" t="n">
        <f aca="false">IF(AF1024&gt;0,I1024/AF1024,-1)</f>
        <v>-1</v>
      </c>
      <c r="AJ1024" s="58" t="str">
        <f aca="false">IF(AND(OR(BU1024="L1",BU1024="L23"),AF1024&gt;0),SUMIFS($AF$7:$AF$1576,$BU$7:$BU$1576,BU1024,$AI$7:$AI$1576,"&gt;"&amp;AI1024)+SUMIFS($AF$7:$AF$1576,$BU$7:$BU$1576,BU1024,$AI$7:$AI$1576,AI1024,$BO$7:$BO$1576,"&lt;="&amp;BO1024),"")</f>
        <v/>
      </c>
      <c r="AK1024" s="65" t="n">
        <f aca="false">IF(AJ1024="",0,MAX(0,MIN(1,(IF(BU1024="L1",Parameter!$E$5,Parameter!$E$6+Parameter!$E$7)-(AJ1024-AF1024))/AF1024)))</f>
        <v>0</v>
      </c>
      <c r="AL1024" s="57" t="n">
        <f aca="false">IF(LEFT(Cockpit!$I$5,1)="A",G1024,IF(BW1024=1,BX1024,IF(LEFT(Cockpit!$I$5,1)="B",AP1024,MAX(AP1024,G1024))))</f>
        <v>45</v>
      </c>
      <c r="AM1024" s="57" t="n">
        <f aca="false">IF(BR1024=1,0,ROUNDUP(AL1024/BQ1024,0))</f>
        <v>1</v>
      </c>
      <c r="AN1024" s="59" t="n">
        <f aca="false">IF(CD1024&gt;0,CD1024*MAX(1,AL1024/V1024),IF(BR1024=1,IF(AL1024&lt;=0,0,BS1024*MAX(1,IF(G1024&gt;0,AL1024/G1024,1))),IF(Q1024&gt;0,AM1024/Q1024,0))/MAX(0.1,N(Parameter!$M$21)))</f>
        <v>0.0384615384615385</v>
      </c>
      <c r="AO1024" s="57" t="n">
        <f aca="false">AL1024*F1024</f>
        <v>5580</v>
      </c>
      <c r="AP1024" s="57" t="n">
        <f aca="false">ROUNDUP(MAX(I1024/IF(BV1024&gt;0,BV1024,MAX(0.1,N(Cockpit!$I$6))),BY1024)/BQ1024,0)*BQ1024</f>
        <v>45</v>
      </c>
      <c r="AQ1024" s="58" t="n">
        <f aca="false">IF(AN1024&gt;0,I1024/AN1024,-1)</f>
        <v>52</v>
      </c>
      <c r="AR1024" s="58" t="n">
        <f aca="false">IF(AND(OR(BU1024="L1",BU1024="L23"),AN1024&gt;0),SUMIFS($AN$7:$AN$1576,$BU$7:$BU$1576,BU1024,$AQ$7:$AQ$1576,"&gt;"&amp;AQ1024)+SUMIFS($AN$7:$AN$1576,$BU$7:$BU$1576,BU1024,$AQ$7:$AQ$1576,AQ1024,$BO$7:$BO$1576,"&lt;="&amp;BO1024),"")</f>
        <v>82.1760243322855</v>
      </c>
      <c r="AS1024" s="65" t="n">
        <f aca="false">IF(AR1024="",0,MAX(0,MIN(1,(IF(BU1024="L1",Parameter!$E$5,Parameter!$E$6+Parameter!$E$7)-(AR1024-AN1024))/AN1024)))</f>
        <v>1</v>
      </c>
      <c r="AT1024" s="57" t="n">
        <f aca="false">IF(LEFT(Cockpit!$O$5,1)="A",G1024,IF(BW1024=1,BX1024,IF(LEFT(Cockpit!$O$5,1)="B",AX1024,MAX(AX1024,G1024))))</f>
        <v>45</v>
      </c>
      <c r="AU1024" s="57" t="n">
        <f aca="false">IF(BR1024=1,0,ROUNDUP(AT1024/BQ1024,0))</f>
        <v>1</v>
      </c>
      <c r="AV1024" s="59" t="n">
        <f aca="false">IF(CD1024&gt;0,CD1024*MAX(1,AT1024/V1024),IF(BR1024=1,IF(AT1024&lt;=0,0,BS1024*MAX(1,IF(G1024&gt;0,AT1024/G1024,1))),IF(Q1024&gt;0,AU1024/Q1024,0))/MAX(0.1,N(Parameter!$M$21)))</f>
        <v>0.0384615384615385</v>
      </c>
      <c r="AW1024" s="57" t="n">
        <f aca="false">AT1024*F1024</f>
        <v>5580</v>
      </c>
      <c r="AX1024" s="57" t="n">
        <f aca="false">ROUNDUP(MAX(I1024/IF(BV1024&gt;0,BV1024,MAX(0.1,N(Cockpit!$O$6))),BY1024)/BQ1024,0)*BQ1024</f>
        <v>45</v>
      </c>
      <c r="AY1024" s="58" t="n">
        <f aca="false">IF(AV1024&gt;0,I1024/AV1024,-1)</f>
        <v>52</v>
      </c>
      <c r="AZ1024" s="58" t="n">
        <f aca="false">IF(AND(OR(BU1024="L1",BU1024="L23"),AV1024&gt;0),SUMIFS($AV$7:$AV$1576,$BU$7:$BU$1576,BU1024,$AY$7:$AY$1576,"&gt;"&amp;AY1024)+SUMIFS($AV$7:$AV$1576,$BU$7:$BU$1576,BU1024,$AY$7:$AY$1576,AY1024,$BO$7:$BO$1576,"&lt;="&amp;BO1024),"")</f>
        <v>78.5939081151693</v>
      </c>
      <c r="BA1024" s="65" t="n">
        <f aca="false">IF(AZ1024="",0,MAX(0,MIN(1,(IF(BU1024="L1",Parameter!$E$5,Parameter!$E$6+Parameter!$E$7)-(AZ1024-AV1024))/AV1024)))</f>
        <v>1</v>
      </c>
      <c r="BB1024" s="55" t="str">
        <f aca="false">IF(AF1024&lt;=0,"",IF(BU1024="Aussen","Aussenlager",IF(BU1024="-","Nicht im Lift",IF(AK1024&gt;=1,"Lift",IF(AK1024&lt;=0,"Aussenlager","teilweise")))))</f>
        <v/>
      </c>
      <c r="BC1024" s="55" t="str">
        <f aca="false">IF(AN1024&lt;=0,"",IF(BU1024="Aussen","Aussenlager",IF(BU1024="-","Nicht im Lift",IF(AS1024&gt;=1,"Lift",IF(AS1024&lt;=0,"Aussenlager","teilweise")))))</f>
        <v>Lift</v>
      </c>
      <c r="BD1024" s="55" t="str">
        <f aca="false">IF(AV1024&lt;=0,"",IF(BU1024="Aussen","Aussenlager",IF(BU1024="-","Nicht im Lift",IF(BA1024&gt;=1,"Lift",IF(BA1024&lt;=0,"Aussenlager","teilweise")))))</f>
        <v>Lift</v>
      </c>
      <c r="BE1024" s="55" t="str">
        <f aca="false">IF(A1024="","",IF(BN1024=1,"Neu; ","")&amp;IF(AND(BN1024=0,BI1024&lt;0),"negativer Bestand (Export "&amp;BI1024&amp;"); ","")&amp;IF(I1024&lt;=0,"Kein Verbrauch; ","")&amp;IF(CD1024&gt;0,"Lift "&amp;U1024&amp;" lt. Liftbericht (Fach "&amp;V1024&amp;" Stk); ",IF(BR1024=1,"Lose – Fläche geschätzt; ",""))&amp;IF(G1024&gt;AP1024,"Überbestand "&amp;ROUND(G1024-AP1024,0)&amp;" Stk / CHF "&amp;ROUND((G1024-AP1024)*F1024,0)&amp;"; ","")&amp;IF(AND(BW1024=1,BX1024&lt;BY1024),"MAX &lt; MB+LG; ","")&amp;IF(AND(CC1024&gt;0,CB1024*10&gt;CC1024),"zu hoch für Tablar; ","")&amp;IF(AND(BN1024=0,OR(BW1024=1,Y1024&lt;&gt;"",S1024&lt;&gt;"",T1024&lt;&gt;"",Z1024&lt;&gt;"")),"manuell übersteuert; ","")&amp;IF(AND(BR1024=0,Q1024=0),"Gebinde unbekannt / Stellmass fehlt; ","")&amp;IF(AND(BR1024=0,N(T1024)&lt;=0,N(P1024)&lt;=0),"Menge pro Gebinde fehlt (Ist = 1 Gebinde); ","")&amp;BM1024)</f>
        <v>negativer Bestand (Export -1); </v>
      </c>
      <c r="BF1024" s="55"/>
      <c r="BG1024" s="55"/>
      <c r="BH1024" s="62"/>
      <c r="BI1024" s="57" t="n">
        <v>-1</v>
      </c>
      <c r="BJ1024" s="57" t="n">
        <v>40</v>
      </c>
      <c r="BK1024" s="56" t="n">
        <v>-124</v>
      </c>
      <c r="BL1024" s="57" t="n">
        <v>2</v>
      </c>
      <c r="BM1024" s="55"/>
      <c r="BN1024" s="60" t="n">
        <v>0</v>
      </c>
      <c r="BO1024" s="60" t="n">
        <v>1024</v>
      </c>
      <c r="BP1024" s="55" t="str">
        <f aca="false">IF(S1024&lt;&gt;"",UPPER(TRIM(S1024)),IF(O1024="","LOSE",O1024))</f>
        <v>S52</v>
      </c>
      <c r="BQ1024" s="57" t="n">
        <f aca="false">IF(BP1024="LOSE",1,IF(N(T1024)&gt;0,T1024,IF(N(P1024)&gt;0,P1024,MAX(1,G1024))))</f>
        <v>45</v>
      </c>
      <c r="BR1024" s="60" t="n">
        <f aca="false">IF(BP1024="LOSE",1,0)</f>
        <v>0</v>
      </c>
      <c r="BS1024" s="59" t="n">
        <f aca="false">IF(BR1024=0,0,IF(N(R1024)&gt;0,R1024,IFERROR(VLOOKUP(D1024,Parameter!$A$35:$C$64,3,0)+0,0)))</f>
        <v>0</v>
      </c>
      <c r="BT1024" s="55" t="n">
        <f aca="false">IF(Y1024&lt;&gt;"",Y1024,X1024)</f>
        <v>3</v>
      </c>
      <c r="BU1024" s="55" t="str">
        <f aca="false">IF(BT1024=1,"L1",IF(OR(BT1024=2,BT1024=3),"L23",IF(BT1024="Aussen","Aussen","-")))</f>
        <v>L23</v>
      </c>
      <c r="BV1024" s="66" t="n">
        <f aca="false">IF(N(Z1024)&gt;0,Z1024,0)</f>
        <v>0</v>
      </c>
      <c r="BW1024" s="60" t="n">
        <f aca="false">IF(ISNUMBER(AC1024),1,0)</f>
        <v>0</v>
      </c>
      <c r="BX1024" s="57" t="n">
        <f aca="false">N(AC1024)</f>
        <v>0</v>
      </c>
      <c r="BY1024" s="57" t="n">
        <f aca="false">N(L1024)+N(M1024)</f>
        <v>1</v>
      </c>
      <c r="BZ1024" s="57" t="n">
        <f aca="false">ROUNDUP(G1024/BQ1024,0)</f>
        <v>0</v>
      </c>
      <c r="CA1024" s="57" t="n">
        <f aca="false">ROUNDUP(BX1024/BQ1024,0)</f>
        <v>0</v>
      </c>
      <c r="CB1024" s="60" t="n">
        <f aca="false">IF(BR1024=1,0,IFERROR(VLOOKUP(BP1024,'Gebinde-Kategorie'!$A$5:$M$45,5,0)+0,0))</f>
        <v>21</v>
      </c>
      <c r="CC1024" s="60" t="n">
        <f aca="false">IFERROR(IF(OR(BT1024=1,BT1024=2,BT1024=3),N(INDEX(Parameter!$I$5:$I$7,BT1024)),0),0)</f>
        <v>0</v>
      </c>
      <c r="CD1024" s="59" t="n">
        <f aca="false">IF(AND(Parameter!$B$21="Ja",ISNUMBER(U1024),N(V1024)&gt;0),IFERROR(N(INDEX(Parameter!$L$5:$L$7,U1024))*INDEX(Parameter!$E$5:$E$7,U1024)*V1024/SUMIFS($V$7:$V$1576,$U$7:$U$1576,U1024),0),0)</f>
        <v>0</v>
      </c>
    </row>
    <row r="1025" customFormat="false" ht="15" hidden="false" customHeight="false" outlineLevel="0" collapsed="false">
      <c r="A1025" s="55" t="s">
        <v>1871</v>
      </c>
      <c r="B1025" s="55" t="s">
        <v>1872</v>
      </c>
      <c r="C1025" s="55" t="s">
        <v>160</v>
      </c>
      <c r="D1025" s="55" t="s">
        <v>178</v>
      </c>
      <c r="E1025" s="55" t="s">
        <v>210</v>
      </c>
      <c r="F1025" s="56" t="n">
        <v>27.84</v>
      </c>
      <c r="G1025" s="57" t="n">
        <f aca="false">MAX(0,IF(AND(Parameter!$B$21="Ja",ISNUMBER(W1025)),W1025,IF(Parameter!$B$20="Jahresanfang 2025 + Export",BJ1025+BI1025,BI1025)))</f>
        <v>0</v>
      </c>
      <c r="H1025" s="57" t="n">
        <f aca="false">G1025*F1025</f>
        <v>0</v>
      </c>
      <c r="I1025" s="57" t="n">
        <f aca="false">BL1025*Parameter!$B$18</f>
        <v>20</v>
      </c>
      <c r="J1025" s="58" t="n">
        <v>19</v>
      </c>
      <c r="K1025" s="59" t="n">
        <v>1.05263157894737</v>
      </c>
      <c r="L1025" s="57" t="n">
        <v>1</v>
      </c>
      <c r="M1025" s="57" t="n">
        <v>20</v>
      </c>
      <c r="N1025" s="60" t="n">
        <v>21</v>
      </c>
      <c r="O1025" s="55" t="s">
        <v>416</v>
      </c>
      <c r="P1025" s="57" t="n">
        <v>17</v>
      </c>
      <c r="Q1025" s="60" t="n">
        <f aca="false">IF(BR1025=1,0,IFERROR(VLOOKUP(BP1025,'Gebinde-Kategorie'!$A$5:$M$45,13,0)+0,0))</f>
        <v>198</v>
      </c>
      <c r="R1025" s="61"/>
      <c r="S1025" s="62"/>
      <c r="T1025" s="62"/>
      <c r="U1025" s="55"/>
      <c r="V1025" s="57"/>
      <c r="W1025" s="57"/>
      <c r="X1025" s="55" t="n">
        <f aca="false">IF(A1025="","",IF(AND(Parameter!$B$21="Ja",ISNUMBER(U1025)),U1025,IF(IFERROR(VLOOKUP(D1025,Parameter!$A$35:$C$64,2,0),"Nein")="2+3",IF(ISNUMBER(SEARCH("grosser Artikel",BM1025)),2,IFERROR(VLOOKUP(BP1025,Parameter!$F$35:$G$64,2,0),2)),IF(OR(IFERROR(VLOOKUP(D1025,Parameter!$A$35:$C$64,2,0),"Nein")="Nein",IFERROR(VLOOKUP(D1025,Parameter!$A$35:$C$64,2,0),"Nein")=""),"-",VLOOKUP(D1025,Parameter!$A$35:$C$64,2,0)))))</f>
        <v>3</v>
      </c>
      <c r="Y1025" s="62"/>
      <c r="Z1025" s="63"/>
      <c r="AA1025" s="57" t="n">
        <f aca="false">AP1025</f>
        <v>34</v>
      </c>
      <c r="AB1025" s="57" t="n">
        <f aca="false">MAX(AP1025,G1025)</f>
        <v>34</v>
      </c>
      <c r="AC1025" s="64"/>
      <c r="AD1025" s="57" t="n">
        <f aca="false">IF(LEFT(Cockpit!$C$5,1)="A",G1025,IF(BW1025=1,BX1025,IF(LEFT(Cockpit!$C$5,1)="B",AH1025,MAX(AH1025,G1025))))</f>
        <v>0</v>
      </c>
      <c r="AE1025" s="57" t="n">
        <f aca="false">IF(BR1025=1,0,ROUNDUP(AD1025/BQ1025,0))</f>
        <v>0</v>
      </c>
      <c r="AF1025" s="59" t="n">
        <f aca="false">IF(CD1025&gt;0,CD1025*MAX(1,AD1025/V1025),IF(BR1025=1,IF(AD1025&lt;=0,0,BS1025*MAX(1,IF(G1025&gt;0,AD1025/G1025,1))),IF(Q1025&gt;0,AE1025/Q1025,0))/MAX(0.1,N(Parameter!$M$21)))</f>
        <v>0</v>
      </c>
      <c r="AG1025" s="57" t="n">
        <f aca="false">AD1025*F1025</f>
        <v>0</v>
      </c>
      <c r="AH1025" s="57" t="n">
        <f aca="false">ROUNDUP(MAX(I1025/IF(BV1025&gt;0,BV1025,MAX(0.1,N(Cockpit!$C$6))),BY1025)/BQ1025,0)*BQ1025</f>
        <v>34</v>
      </c>
      <c r="AI1025" s="58" t="n">
        <f aca="false">IF(AF1025&gt;0,I1025/AF1025,-1)</f>
        <v>-1</v>
      </c>
      <c r="AJ1025" s="58" t="str">
        <f aca="false">IF(AND(OR(BU1025="L1",BU1025="L23"),AF1025&gt;0),SUMIFS($AF$7:$AF$1576,$BU$7:$BU$1576,BU1025,$AI$7:$AI$1576,"&gt;"&amp;AI1025)+SUMIFS($AF$7:$AF$1576,$BU$7:$BU$1576,BU1025,$AI$7:$AI$1576,AI1025,$BO$7:$BO$1576,"&lt;="&amp;BO1025),"")</f>
        <v/>
      </c>
      <c r="AK1025" s="65" t="n">
        <f aca="false">IF(AJ1025="",0,MAX(0,MIN(1,(IF(BU1025="L1",Parameter!$E$5,Parameter!$E$6+Parameter!$E$7)-(AJ1025-AF1025))/AF1025)))</f>
        <v>0</v>
      </c>
      <c r="AL1025" s="57" t="n">
        <f aca="false">IF(LEFT(Cockpit!$I$5,1)="A",G1025,IF(BW1025=1,BX1025,IF(LEFT(Cockpit!$I$5,1)="B",AP1025,MAX(AP1025,G1025))))</f>
        <v>34</v>
      </c>
      <c r="AM1025" s="57" t="n">
        <f aca="false">IF(BR1025=1,0,ROUNDUP(AL1025/BQ1025,0))</f>
        <v>2</v>
      </c>
      <c r="AN1025" s="59" t="n">
        <f aca="false">IF(CD1025&gt;0,CD1025*MAX(1,AL1025/V1025),IF(BR1025=1,IF(AL1025&lt;=0,0,BS1025*MAX(1,IF(G1025&gt;0,AL1025/G1025,1))),IF(Q1025&gt;0,AM1025/Q1025,0))/MAX(0.1,N(Parameter!$M$21)))</f>
        <v>0.0101010101010101</v>
      </c>
      <c r="AO1025" s="57" t="n">
        <f aca="false">AL1025*F1025</f>
        <v>946.56</v>
      </c>
      <c r="AP1025" s="57" t="n">
        <f aca="false">ROUNDUP(MAX(I1025/IF(BV1025&gt;0,BV1025,MAX(0.1,N(Cockpit!$I$6))),BY1025)/BQ1025,0)*BQ1025</f>
        <v>34</v>
      </c>
      <c r="AQ1025" s="58" t="n">
        <f aca="false">IF(AN1025&gt;0,I1025/AN1025,-1)</f>
        <v>1980</v>
      </c>
      <c r="AR1025" s="58" t="n">
        <f aca="false">IF(AND(OR(BU1025="L1",BU1025="L23"),AN1025&gt;0),SUMIFS($AN$7:$AN$1576,$BU$7:$BU$1576,BU1025,$AQ$7:$AQ$1576,"&gt;"&amp;AQ1025)+SUMIFS($AN$7:$AN$1576,$BU$7:$BU$1576,BU1025,$AQ$7:$AQ$1576,AQ1025,$BO$7:$BO$1576,"&lt;="&amp;BO1025),"")</f>
        <v>17.2831224937858</v>
      </c>
      <c r="AS1025" s="65" t="n">
        <f aca="false">IF(AR1025="",0,MAX(0,MIN(1,(IF(BU1025="L1",Parameter!$E$5,Parameter!$E$6+Parameter!$E$7)-(AR1025-AN1025))/AN1025)))</f>
        <v>1</v>
      </c>
      <c r="AT1025" s="57" t="n">
        <f aca="false">IF(LEFT(Cockpit!$O$5,1)="A",G1025,IF(BW1025=1,BX1025,IF(LEFT(Cockpit!$O$5,1)="B",AX1025,MAX(AX1025,G1025))))</f>
        <v>34</v>
      </c>
      <c r="AU1025" s="57" t="n">
        <f aca="false">IF(BR1025=1,0,ROUNDUP(AT1025/BQ1025,0))</f>
        <v>2</v>
      </c>
      <c r="AV1025" s="59" t="n">
        <f aca="false">IF(CD1025&gt;0,CD1025*MAX(1,AT1025/V1025),IF(BR1025=1,IF(AT1025&lt;=0,0,BS1025*MAX(1,IF(G1025&gt;0,AT1025/G1025,1))),IF(Q1025&gt;0,AU1025/Q1025,0))/MAX(0.1,N(Parameter!$M$21)))</f>
        <v>0.0101010101010101</v>
      </c>
      <c r="AW1025" s="57" t="n">
        <f aca="false">AT1025*F1025</f>
        <v>946.56</v>
      </c>
      <c r="AX1025" s="57" t="n">
        <f aca="false">ROUNDUP(MAX(I1025/IF(BV1025&gt;0,BV1025,MAX(0.1,N(Cockpit!$O$6))),BY1025)/BQ1025,0)*BQ1025</f>
        <v>34</v>
      </c>
      <c r="AY1025" s="58" t="n">
        <f aca="false">IF(AV1025&gt;0,I1025/AV1025,-1)</f>
        <v>1980</v>
      </c>
      <c r="AZ1025" s="58" t="n">
        <f aca="false">IF(AND(OR(BU1025="L1",BU1025="L23"),AV1025&gt;0),SUMIFS($AV$7:$AV$1576,$BU$7:$BU$1576,BU1025,$AY$7:$AY$1576,"&gt;"&amp;AY1025)+SUMIFS($AV$7:$AV$1576,$BU$7:$BU$1576,BU1025,$AY$7:$AY$1576,AY1025,$BO$7:$BO$1576,"&lt;="&amp;BO1025),"")</f>
        <v>16.0103952210586</v>
      </c>
      <c r="BA1025" s="65" t="n">
        <f aca="false">IF(AZ1025="",0,MAX(0,MIN(1,(IF(BU1025="L1",Parameter!$E$5,Parameter!$E$6+Parameter!$E$7)-(AZ1025-AV1025))/AV1025)))</f>
        <v>1</v>
      </c>
      <c r="BB1025" s="55" t="str">
        <f aca="false">IF(AF1025&lt;=0,"",IF(BU1025="Aussen","Aussenlager",IF(BU1025="-","Nicht im Lift",IF(AK1025&gt;=1,"Lift",IF(AK1025&lt;=0,"Aussenlager","teilweise")))))</f>
        <v/>
      </c>
      <c r="BC1025" s="55" t="str">
        <f aca="false">IF(AN1025&lt;=0,"",IF(BU1025="Aussen","Aussenlager",IF(BU1025="-","Nicht im Lift",IF(AS1025&gt;=1,"Lift",IF(AS1025&lt;=0,"Aussenlager","teilweise")))))</f>
        <v>Lift</v>
      </c>
      <c r="BD1025" s="55" t="str">
        <f aca="false">IF(AV1025&lt;=0,"",IF(BU1025="Aussen","Aussenlager",IF(BU1025="-","Nicht im Lift",IF(BA1025&gt;=1,"Lift",IF(BA1025&lt;=0,"Aussenlager","teilweise")))))</f>
        <v>Lift</v>
      </c>
      <c r="BE1025" s="55" t="str">
        <f aca="false">IF(A1025="","",IF(BN1025=1,"Neu; ","")&amp;IF(AND(BN1025=0,BI1025&lt;0),"negativer Bestand (Export "&amp;BI1025&amp;"); ","")&amp;IF(I1025&lt;=0,"Kein Verbrauch; ","")&amp;IF(CD1025&gt;0,"Lift "&amp;U1025&amp;" lt. Liftbericht (Fach "&amp;V1025&amp;" Stk); ",IF(BR1025=1,"Lose – Fläche geschätzt; ",""))&amp;IF(G1025&gt;AP1025,"Überbestand "&amp;ROUND(G1025-AP1025,0)&amp;" Stk / CHF "&amp;ROUND((G1025-AP1025)*F1025,0)&amp;"; ","")&amp;IF(AND(BW1025=1,BX1025&lt;BY1025),"MAX &lt; MB+LG; ","")&amp;IF(AND(CC1025&gt;0,CB1025*10&gt;CC1025),"zu hoch für Tablar; ","")&amp;IF(AND(BN1025=0,OR(BW1025=1,Y1025&lt;&gt;"",S1025&lt;&gt;"",T1025&lt;&gt;"",Z1025&lt;&gt;"")),"manuell übersteuert; ","")&amp;IF(AND(BR1025=0,Q1025=0),"Gebinde unbekannt / Stellmass fehlt; ","")&amp;IF(AND(BR1025=0,N(T1025)&lt;=0,N(P1025)&lt;=0),"Menge pro Gebinde fehlt (Ist = 1 Gebinde); ","")&amp;BM1025)</f>
        <v>negativer Bestand (Export -4); </v>
      </c>
      <c r="BF1025" s="55"/>
      <c r="BG1025" s="55"/>
      <c r="BH1025" s="62"/>
      <c r="BI1025" s="57" t="n">
        <v>-4</v>
      </c>
      <c r="BJ1025" s="57" t="n">
        <v>14</v>
      </c>
      <c r="BK1025" s="56" t="n">
        <v>-124.24</v>
      </c>
      <c r="BL1025" s="57" t="n">
        <v>20</v>
      </c>
      <c r="BM1025" s="55"/>
      <c r="BN1025" s="60" t="n">
        <v>0</v>
      </c>
      <c r="BO1025" s="60" t="n">
        <v>1025</v>
      </c>
      <c r="BP1025" s="55" t="str">
        <f aca="false">IF(S1025&lt;&gt;"",UPPER(TRIM(S1025)),IF(O1025="","LOSE",O1025))</f>
        <v>S22</v>
      </c>
      <c r="BQ1025" s="57" t="n">
        <f aca="false">IF(BP1025="LOSE",1,IF(N(T1025)&gt;0,T1025,IF(N(P1025)&gt;0,P1025,MAX(1,G1025))))</f>
        <v>17</v>
      </c>
      <c r="BR1025" s="60" t="n">
        <f aca="false">IF(BP1025="LOSE",1,0)</f>
        <v>0</v>
      </c>
      <c r="BS1025" s="59" t="n">
        <f aca="false">IF(BR1025=0,0,IF(N(R1025)&gt;0,R1025,IFERROR(VLOOKUP(D1025,Parameter!$A$35:$C$64,3,0)+0,0)))</f>
        <v>0</v>
      </c>
      <c r="BT1025" s="55" t="n">
        <f aca="false">IF(Y1025&lt;&gt;"",Y1025,X1025)</f>
        <v>3</v>
      </c>
      <c r="BU1025" s="55" t="str">
        <f aca="false">IF(BT1025=1,"L1",IF(OR(BT1025=2,BT1025=3),"L23",IF(BT1025="Aussen","Aussen","-")))</f>
        <v>L23</v>
      </c>
      <c r="BV1025" s="66" t="n">
        <f aca="false">IF(N(Z1025)&gt;0,Z1025,0)</f>
        <v>0</v>
      </c>
      <c r="BW1025" s="60" t="n">
        <f aca="false">IF(ISNUMBER(AC1025),1,0)</f>
        <v>0</v>
      </c>
      <c r="BX1025" s="57" t="n">
        <f aca="false">N(AC1025)</f>
        <v>0</v>
      </c>
      <c r="BY1025" s="57" t="n">
        <f aca="false">N(L1025)+N(M1025)</f>
        <v>21</v>
      </c>
      <c r="BZ1025" s="57" t="n">
        <f aca="false">ROUNDUP(G1025/BQ1025,0)</f>
        <v>0</v>
      </c>
      <c r="CA1025" s="57" t="n">
        <f aca="false">ROUNDUP(BX1025/BQ1025,0)</f>
        <v>0</v>
      </c>
      <c r="CB1025" s="60" t="n">
        <f aca="false">IF(BR1025=1,0,IFERROR(VLOOKUP(BP1025,'Gebinde-Kategorie'!$A$5:$M$45,5,0)+0,0))</f>
        <v>8</v>
      </c>
      <c r="CC1025" s="60" t="n">
        <f aca="false">IFERROR(IF(OR(BT1025=1,BT1025=2,BT1025=3),N(INDEX(Parameter!$I$5:$I$7,BT1025)),0),0)</f>
        <v>0</v>
      </c>
      <c r="CD1025" s="59" t="n">
        <f aca="false">IF(AND(Parameter!$B$21="Ja",ISNUMBER(U1025),N(V1025)&gt;0),IFERROR(N(INDEX(Parameter!$L$5:$L$7,U1025))*INDEX(Parameter!$E$5:$E$7,U1025)*V1025/SUMIFS($V$7:$V$1576,$U$7:$U$1576,U1025),0),0)</f>
        <v>0</v>
      </c>
    </row>
    <row r="1026" customFormat="false" ht="15" hidden="false" customHeight="false" outlineLevel="0" collapsed="false">
      <c r="A1026" s="55" t="s">
        <v>1873</v>
      </c>
      <c r="B1026" s="55" t="s">
        <v>1874</v>
      </c>
      <c r="C1026" s="55" t="s">
        <v>160</v>
      </c>
      <c r="D1026" s="55" t="s">
        <v>178</v>
      </c>
      <c r="E1026" s="55" t="s">
        <v>210</v>
      </c>
      <c r="F1026" s="56" t="n">
        <v>11.33</v>
      </c>
      <c r="G1026" s="57" t="n">
        <f aca="false">MAX(0,IF(AND(Parameter!$B$21="Ja",ISNUMBER(W1026)),W1026,IF(Parameter!$B$20="Jahresanfang 2025 + Export",BJ1026+BI1026,BI1026)))</f>
        <v>0</v>
      </c>
      <c r="H1026" s="57" t="n">
        <f aca="false">G1026*F1026</f>
        <v>0</v>
      </c>
      <c r="I1026" s="57" t="n">
        <f aca="false">BL1026*Parameter!$B$18</f>
        <v>6</v>
      </c>
      <c r="J1026" s="58" t="n">
        <v>12</v>
      </c>
      <c r="K1026" s="59" t="n">
        <v>0.5</v>
      </c>
      <c r="L1026" s="57" t="n">
        <v>0</v>
      </c>
      <c r="M1026" s="57" t="n">
        <v>5</v>
      </c>
      <c r="N1026" s="60" t="n">
        <v>35</v>
      </c>
      <c r="O1026" s="55" t="s">
        <v>411</v>
      </c>
      <c r="P1026" s="57" t="n">
        <v>9</v>
      </c>
      <c r="Q1026" s="60" t="n">
        <f aca="false">IF(BR1026=1,0,IFERROR(VLOOKUP(BP1026,'Gebinde-Kategorie'!$A$5:$M$45,13,0)+0,0))</f>
        <v>132</v>
      </c>
      <c r="R1026" s="61"/>
      <c r="S1026" s="62"/>
      <c r="T1026" s="62"/>
      <c r="U1026" s="55"/>
      <c r="V1026" s="57"/>
      <c r="W1026" s="57"/>
      <c r="X1026" s="55" t="n">
        <f aca="false">IF(A1026="","",IF(AND(Parameter!$B$21="Ja",ISNUMBER(U1026)),U1026,IF(IFERROR(VLOOKUP(D1026,Parameter!$A$35:$C$64,2,0),"Nein")="2+3",IF(ISNUMBER(SEARCH("grosser Artikel",BM1026)),2,IFERROR(VLOOKUP(BP1026,Parameter!$F$35:$G$64,2,0),2)),IF(OR(IFERROR(VLOOKUP(D1026,Parameter!$A$35:$C$64,2,0),"Nein")="Nein",IFERROR(VLOOKUP(D1026,Parameter!$A$35:$C$64,2,0),"Nein")=""),"-",VLOOKUP(D1026,Parameter!$A$35:$C$64,2,0)))))</f>
        <v>3</v>
      </c>
      <c r="Y1026" s="62"/>
      <c r="Z1026" s="63"/>
      <c r="AA1026" s="57" t="n">
        <f aca="false">AP1026</f>
        <v>9</v>
      </c>
      <c r="AB1026" s="57" t="n">
        <f aca="false">MAX(AP1026,G1026)</f>
        <v>9</v>
      </c>
      <c r="AC1026" s="64"/>
      <c r="AD1026" s="57" t="n">
        <f aca="false">IF(LEFT(Cockpit!$C$5,1)="A",G1026,IF(BW1026=1,BX1026,IF(LEFT(Cockpit!$C$5,1)="B",AH1026,MAX(AH1026,G1026))))</f>
        <v>0</v>
      </c>
      <c r="AE1026" s="57" t="n">
        <f aca="false">IF(BR1026=1,0,ROUNDUP(AD1026/BQ1026,0))</f>
        <v>0</v>
      </c>
      <c r="AF1026" s="59" t="n">
        <f aca="false">IF(CD1026&gt;0,CD1026*MAX(1,AD1026/V1026),IF(BR1026=1,IF(AD1026&lt;=0,0,BS1026*MAX(1,IF(G1026&gt;0,AD1026/G1026,1))),IF(Q1026&gt;0,AE1026/Q1026,0))/MAX(0.1,N(Parameter!$M$21)))</f>
        <v>0</v>
      </c>
      <c r="AG1026" s="57" t="n">
        <f aca="false">AD1026*F1026</f>
        <v>0</v>
      </c>
      <c r="AH1026" s="57" t="n">
        <f aca="false">ROUNDUP(MAX(I1026/IF(BV1026&gt;0,BV1026,MAX(0.1,N(Cockpit!$C$6))),BY1026)/BQ1026,0)*BQ1026</f>
        <v>9</v>
      </c>
      <c r="AI1026" s="58" t="n">
        <f aca="false">IF(AF1026&gt;0,I1026/AF1026,-1)</f>
        <v>-1</v>
      </c>
      <c r="AJ1026" s="58" t="str">
        <f aca="false">IF(AND(OR(BU1026="L1",BU1026="L23"),AF1026&gt;0),SUMIFS($AF$7:$AF$1576,$BU$7:$BU$1576,BU1026,$AI$7:$AI$1576,"&gt;"&amp;AI1026)+SUMIFS($AF$7:$AF$1576,$BU$7:$BU$1576,BU1026,$AI$7:$AI$1576,AI1026,$BO$7:$BO$1576,"&lt;="&amp;BO1026),"")</f>
        <v/>
      </c>
      <c r="AK1026" s="65" t="n">
        <f aca="false">IF(AJ1026="",0,MAX(0,MIN(1,(IF(BU1026="L1",Parameter!$E$5,Parameter!$E$6+Parameter!$E$7)-(AJ1026-AF1026))/AF1026)))</f>
        <v>0</v>
      </c>
      <c r="AL1026" s="57" t="n">
        <f aca="false">IF(LEFT(Cockpit!$I$5,1)="A",G1026,IF(BW1026=1,BX1026,IF(LEFT(Cockpit!$I$5,1)="B",AP1026,MAX(AP1026,G1026))))</f>
        <v>9</v>
      </c>
      <c r="AM1026" s="57" t="n">
        <f aca="false">IF(BR1026=1,0,ROUNDUP(AL1026/BQ1026,0))</f>
        <v>1</v>
      </c>
      <c r="AN1026" s="59" t="n">
        <f aca="false">IF(CD1026&gt;0,CD1026*MAX(1,AL1026/V1026),IF(BR1026=1,IF(AL1026&lt;=0,0,BS1026*MAX(1,IF(G1026&gt;0,AL1026/G1026,1))),IF(Q1026&gt;0,AM1026/Q1026,0))/MAX(0.1,N(Parameter!$M$21)))</f>
        <v>0.00757575757575758</v>
      </c>
      <c r="AO1026" s="57" t="n">
        <f aca="false">AL1026*F1026</f>
        <v>101.97</v>
      </c>
      <c r="AP1026" s="57" t="n">
        <f aca="false">ROUNDUP(MAX(I1026/IF(BV1026&gt;0,BV1026,MAX(0.1,N(Cockpit!$I$6))),BY1026)/BQ1026,0)*BQ1026</f>
        <v>9</v>
      </c>
      <c r="AQ1026" s="58" t="n">
        <f aca="false">IF(AN1026&gt;0,I1026/AN1026,-1)</f>
        <v>792</v>
      </c>
      <c r="AR1026" s="58" t="n">
        <f aca="false">IF(AND(OR(BU1026="L1",BU1026="L23"),AN1026&gt;0),SUMIFS($AN$7:$AN$1576,$BU$7:$BU$1576,BU1026,$AQ$7:$AQ$1576,"&gt;"&amp;AQ1026)+SUMIFS($AN$7:$AN$1576,$BU$7:$BU$1576,BU1026,$AQ$7:$AQ$1576,AQ1026,$BO$7:$BO$1576,"&lt;="&amp;BO1026),"")</f>
        <v>26.2453048524899</v>
      </c>
      <c r="AS1026" s="65" t="n">
        <f aca="false">IF(AR1026="",0,MAX(0,MIN(1,(IF(BU1026="L1",Parameter!$E$5,Parameter!$E$6+Parameter!$E$7)-(AR1026-AN1026))/AN1026)))</f>
        <v>1</v>
      </c>
      <c r="AT1026" s="57" t="n">
        <f aca="false">IF(LEFT(Cockpit!$O$5,1)="A",G1026,IF(BW1026=1,BX1026,IF(LEFT(Cockpit!$O$5,1)="B",AX1026,MAX(AX1026,G1026))))</f>
        <v>9</v>
      </c>
      <c r="AU1026" s="57" t="n">
        <f aca="false">IF(BR1026=1,0,ROUNDUP(AT1026/BQ1026,0))</f>
        <v>1</v>
      </c>
      <c r="AV1026" s="59" t="n">
        <f aca="false">IF(CD1026&gt;0,CD1026*MAX(1,AT1026/V1026),IF(BR1026=1,IF(AT1026&lt;=0,0,BS1026*MAX(1,IF(G1026&gt;0,AT1026/G1026,1))),IF(Q1026&gt;0,AU1026/Q1026,0))/MAX(0.1,N(Parameter!$M$21)))</f>
        <v>0.00757575757575758</v>
      </c>
      <c r="AW1026" s="57" t="n">
        <f aca="false">AT1026*F1026</f>
        <v>101.97</v>
      </c>
      <c r="AX1026" s="57" t="n">
        <f aca="false">ROUNDUP(MAX(I1026/IF(BV1026&gt;0,BV1026,MAX(0.1,N(Cockpit!$O$6))),BY1026)/BQ1026,0)*BQ1026</f>
        <v>9</v>
      </c>
      <c r="AY1026" s="58" t="n">
        <f aca="false">IF(AV1026&gt;0,I1026/AV1026,-1)</f>
        <v>792</v>
      </c>
      <c r="AZ1026" s="58" t="n">
        <f aca="false">IF(AND(OR(BU1026="L1",BU1026="L23"),AV1026&gt;0),SUMIFS($AV$7:$AV$1576,$BU$7:$BU$1576,BU1026,$AY$7:$AY$1576,"&gt;"&amp;AY1026)+SUMIFS($AV$7:$AV$1576,$BU$7:$BU$1576,BU1026,$AY$7:$AY$1576,AY1026,$BO$7:$BO$1576,"&lt;="&amp;BO1026),"")</f>
        <v>26.1456545028396</v>
      </c>
      <c r="BA1026" s="65" t="n">
        <f aca="false">IF(AZ1026="",0,MAX(0,MIN(1,(IF(BU1026="L1",Parameter!$E$5,Parameter!$E$6+Parameter!$E$7)-(AZ1026-AV1026))/AV1026)))</f>
        <v>1</v>
      </c>
      <c r="BB1026" s="55" t="str">
        <f aca="false">IF(AF1026&lt;=0,"",IF(BU1026="Aussen","Aussenlager",IF(BU1026="-","Nicht im Lift",IF(AK1026&gt;=1,"Lift",IF(AK1026&lt;=0,"Aussenlager","teilweise")))))</f>
        <v/>
      </c>
      <c r="BC1026" s="55" t="str">
        <f aca="false">IF(AN1026&lt;=0,"",IF(BU1026="Aussen","Aussenlager",IF(BU1026="-","Nicht im Lift",IF(AS1026&gt;=1,"Lift",IF(AS1026&lt;=0,"Aussenlager","teilweise")))))</f>
        <v>Lift</v>
      </c>
      <c r="BD1026" s="55" t="str">
        <f aca="false">IF(AV1026&lt;=0,"",IF(BU1026="Aussen","Aussenlager",IF(BU1026="-","Nicht im Lift",IF(BA1026&gt;=1,"Lift",IF(BA1026&lt;=0,"Aussenlager","teilweise")))))</f>
        <v>Lift</v>
      </c>
      <c r="BE1026" s="55" t="str">
        <f aca="false">IF(A1026="","",IF(BN1026=1,"Neu; ","")&amp;IF(AND(BN1026=0,BI1026&lt;0),"negativer Bestand (Export "&amp;BI1026&amp;"); ","")&amp;IF(I1026&lt;=0,"Kein Verbrauch; ","")&amp;IF(CD1026&gt;0,"Lift "&amp;U1026&amp;" lt. Liftbericht (Fach "&amp;V1026&amp;" Stk); ",IF(BR1026=1,"Lose – Fläche geschätzt; ",""))&amp;IF(G1026&gt;AP1026,"Überbestand "&amp;ROUND(G1026-AP1026,0)&amp;" Stk / CHF "&amp;ROUND((G1026-AP1026)*F1026,0)&amp;"; ","")&amp;IF(AND(BW1026=1,BX1026&lt;BY1026),"MAX &lt; MB+LG; ","")&amp;IF(AND(CC1026&gt;0,CB1026*10&gt;CC1026),"zu hoch für Tablar; ","")&amp;IF(AND(BN1026=0,OR(BW1026=1,Y1026&lt;&gt;"",S1026&lt;&gt;"",T1026&lt;&gt;"",Z1026&lt;&gt;"")),"manuell übersteuert; ","")&amp;IF(AND(BR1026=0,Q1026=0),"Gebinde unbekannt / Stellmass fehlt; ","")&amp;IF(AND(BR1026=0,N(T1026)&lt;=0,N(P1026)&lt;=0),"Menge pro Gebinde fehlt (Ist = 1 Gebinde); ","")&amp;BM1026)</f>
        <v>negativer Bestand (Export -11); </v>
      </c>
      <c r="BF1026" s="55"/>
      <c r="BG1026" s="55"/>
      <c r="BH1026" s="62"/>
      <c r="BI1026" s="57" t="n">
        <v>-11</v>
      </c>
      <c r="BJ1026" s="57" t="n">
        <v>15</v>
      </c>
      <c r="BK1026" s="56" t="n">
        <v>-124.63</v>
      </c>
      <c r="BL1026" s="57" t="n">
        <v>6</v>
      </c>
      <c r="BM1026" s="55"/>
      <c r="BN1026" s="60" t="n">
        <v>0</v>
      </c>
      <c r="BO1026" s="60" t="n">
        <v>1026</v>
      </c>
      <c r="BP1026" s="55" t="str">
        <f aca="false">IF(S1026&lt;&gt;"",UPPER(TRIM(S1026)),IF(O1026="","LOSE",O1026))</f>
        <v>S32</v>
      </c>
      <c r="BQ1026" s="57" t="n">
        <f aca="false">IF(BP1026="LOSE",1,IF(N(T1026)&gt;0,T1026,IF(N(P1026)&gt;0,P1026,MAX(1,G1026))))</f>
        <v>9</v>
      </c>
      <c r="BR1026" s="60" t="n">
        <f aca="false">IF(BP1026="LOSE",1,0)</f>
        <v>0</v>
      </c>
      <c r="BS1026" s="59" t="n">
        <f aca="false">IF(BR1026=0,0,IF(N(R1026)&gt;0,R1026,IFERROR(VLOOKUP(D1026,Parameter!$A$35:$C$64,3,0)+0,0)))</f>
        <v>0</v>
      </c>
      <c r="BT1026" s="55" t="n">
        <f aca="false">IF(Y1026&lt;&gt;"",Y1026,X1026)</f>
        <v>3</v>
      </c>
      <c r="BU1026" s="55" t="str">
        <f aca="false">IF(BT1026=1,"L1",IF(OR(BT1026=2,BT1026=3),"L23",IF(BT1026="Aussen","Aussen","-")))</f>
        <v>L23</v>
      </c>
      <c r="BV1026" s="66" t="n">
        <f aca="false">IF(N(Z1026)&gt;0,Z1026,0)</f>
        <v>0</v>
      </c>
      <c r="BW1026" s="60" t="n">
        <f aca="false">IF(ISNUMBER(AC1026),1,0)</f>
        <v>0</v>
      </c>
      <c r="BX1026" s="57" t="n">
        <f aca="false">N(AC1026)</f>
        <v>0</v>
      </c>
      <c r="BY1026" s="57" t="n">
        <f aca="false">N(L1026)+N(M1026)</f>
        <v>5</v>
      </c>
      <c r="BZ1026" s="57" t="n">
        <f aca="false">ROUNDUP(G1026/BQ1026,0)</f>
        <v>0</v>
      </c>
      <c r="CA1026" s="57" t="n">
        <f aca="false">ROUNDUP(BX1026/BQ1026,0)</f>
        <v>0</v>
      </c>
      <c r="CB1026" s="60" t="n">
        <f aca="false">IF(BR1026=1,0,IFERROR(VLOOKUP(BP1026,'Gebinde-Kategorie'!$A$5:$M$45,5,0)+0,0))</f>
        <v>8</v>
      </c>
      <c r="CC1026" s="60" t="n">
        <f aca="false">IFERROR(IF(OR(BT1026=1,BT1026=2,BT1026=3),N(INDEX(Parameter!$I$5:$I$7,BT1026)),0),0)</f>
        <v>0</v>
      </c>
      <c r="CD1026" s="59" t="n">
        <f aca="false">IF(AND(Parameter!$B$21="Ja",ISNUMBER(U1026),N(V1026)&gt;0),IFERROR(N(INDEX(Parameter!$L$5:$L$7,U1026))*INDEX(Parameter!$E$5:$E$7,U1026)*V1026/SUMIFS($V$7:$V$1576,$U$7:$U$1576,U1026),0),0)</f>
        <v>0</v>
      </c>
    </row>
    <row r="1027" customFormat="false" ht="15" hidden="false" customHeight="false" outlineLevel="0" collapsed="false">
      <c r="A1027" s="55" t="s">
        <v>1875</v>
      </c>
      <c r="B1027" s="55" t="s">
        <v>1876</v>
      </c>
      <c r="C1027" s="55" t="s">
        <v>160</v>
      </c>
      <c r="D1027" s="55" t="s">
        <v>178</v>
      </c>
      <c r="E1027" s="55" t="s">
        <v>210</v>
      </c>
      <c r="F1027" s="56" t="n">
        <v>125</v>
      </c>
      <c r="G1027" s="57" t="n">
        <f aca="false">MAX(0,IF(AND(Parameter!$B$21="Ja",ISNUMBER(W1027)),W1027,IF(Parameter!$B$20="Jahresanfang 2025 + Export",BJ1027+BI1027,BI1027)))</f>
        <v>0</v>
      </c>
      <c r="H1027" s="57" t="n">
        <f aca="false">G1027*F1027</f>
        <v>0</v>
      </c>
      <c r="I1027" s="57" t="n">
        <f aca="false">BL1027*Parameter!$B$18</f>
        <v>0</v>
      </c>
      <c r="J1027" s="58" t="n">
        <v>11</v>
      </c>
      <c r="K1027" s="59" t="n">
        <v>0</v>
      </c>
      <c r="L1027" s="57" t="n">
        <v>0</v>
      </c>
      <c r="M1027" s="57" t="n">
        <v>1</v>
      </c>
      <c r="N1027" s="60" t="n">
        <v>35</v>
      </c>
      <c r="O1027" s="55" t="s">
        <v>284</v>
      </c>
      <c r="P1027" s="57" t="n">
        <v>15</v>
      </c>
      <c r="Q1027" s="60" t="n">
        <f aca="false">IF(BR1027=1,0,IFERROR(VLOOKUP(BP1027,'Gebinde-Kategorie'!$A$5:$M$45,13,0)+0,0))</f>
        <v>12</v>
      </c>
      <c r="R1027" s="61"/>
      <c r="S1027" s="62"/>
      <c r="T1027" s="62"/>
      <c r="U1027" s="55"/>
      <c r="V1027" s="57"/>
      <c r="W1027" s="57"/>
      <c r="X1027" s="55" t="n">
        <f aca="false">IF(A1027="","",IF(AND(Parameter!$B$21="Ja",ISNUMBER(U1027)),U1027,IF(IFERROR(VLOOKUP(D1027,Parameter!$A$35:$C$64,2,0),"Nein")="2+3",IF(ISNUMBER(SEARCH("grosser Artikel",BM1027)),2,IFERROR(VLOOKUP(BP1027,Parameter!$F$35:$G$64,2,0),2)),IF(OR(IFERROR(VLOOKUP(D1027,Parameter!$A$35:$C$64,2,0),"Nein")="Nein",IFERROR(VLOOKUP(D1027,Parameter!$A$35:$C$64,2,0),"Nein")=""),"-",VLOOKUP(D1027,Parameter!$A$35:$C$64,2,0)))))</f>
        <v>2</v>
      </c>
      <c r="Y1027" s="62"/>
      <c r="Z1027" s="63"/>
      <c r="AA1027" s="57" t="n">
        <f aca="false">AP1027</f>
        <v>15</v>
      </c>
      <c r="AB1027" s="57" t="n">
        <f aca="false">MAX(AP1027,G1027)</f>
        <v>15</v>
      </c>
      <c r="AC1027" s="64"/>
      <c r="AD1027" s="57" t="n">
        <f aca="false">IF(LEFT(Cockpit!$C$5,1)="A",G1027,IF(BW1027=1,BX1027,IF(LEFT(Cockpit!$C$5,1)="B",AH1027,MAX(AH1027,G1027))))</f>
        <v>0</v>
      </c>
      <c r="AE1027" s="57" t="n">
        <f aca="false">IF(BR1027=1,0,ROUNDUP(AD1027/BQ1027,0))</f>
        <v>0</v>
      </c>
      <c r="AF1027" s="59" t="n">
        <f aca="false">IF(CD1027&gt;0,CD1027*MAX(1,AD1027/V1027),IF(BR1027=1,IF(AD1027&lt;=0,0,BS1027*MAX(1,IF(G1027&gt;0,AD1027/G1027,1))),IF(Q1027&gt;0,AE1027/Q1027,0))/MAX(0.1,N(Parameter!$M$21)))</f>
        <v>0</v>
      </c>
      <c r="AG1027" s="57" t="n">
        <f aca="false">AD1027*F1027</f>
        <v>0</v>
      </c>
      <c r="AH1027" s="57" t="n">
        <f aca="false">ROUNDUP(MAX(I1027/IF(BV1027&gt;0,BV1027,MAX(0.1,N(Cockpit!$C$6))),BY1027)/BQ1027,0)*BQ1027</f>
        <v>15</v>
      </c>
      <c r="AI1027" s="58" t="n">
        <f aca="false">IF(AF1027&gt;0,I1027/AF1027,-1)</f>
        <v>-1</v>
      </c>
      <c r="AJ1027" s="58" t="str">
        <f aca="false">IF(AND(OR(BU1027="L1",BU1027="L23"),AF1027&gt;0),SUMIFS($AF$7:$AF$1576,$BU$7:$BU$1576,BU1027,$AI$7:$AI$1576,"&gt;"&amp;AI1027)+SUMIFS($AF$7:$AF$1576,$BU$7:$BU$1576,BU1027,$AI$7:$AI$1576,AI1027,$BO$7:$BO$1576,"&lt;="&amp;BO1027),"")</f>
        <v/>
      </c>
      <c r="AK1027" s="65" t="n">
        <f aca="false">IF(AJ1027="",0,MAX(0,MIN(1,(IF(BU1027="L1",Parameter!$E$5,Parameter!$E$6+Parameter!$E$7)-(AJ1027-AF1027))/AF1027)))</f>
        <v>0</v>
      </c>
      <c r="AL1027" s="57" t="n">
        <f aca="false">IF(LEFT(Cockpit!$I$5,1)="A",G1027,IF(BW1027=1,BX1027,IF(LEFT(Cockpit!$I$5,1)="B",AP1027,MAX(AP1027,G1027))))</f>
        <v>15</v>
      </c>
      <c r="AM1027" s="57" t="n">
        <f aca="false">IF(BR1027=1,0,ROUNDUP(AL1027/BQ1027,0))</f>
        <v>1</v>
      </c>
      <c r="AN1027" s="59" t="n">
        <f aca="false">IF(CD1027&gt;0,CD1027*MAX(1,AL1027/V1027),IF(BR1027=1,IF(AL1027&lt;=0,0,BS1027*MAX(1,IF(G1027&gt;0,AL1027/G1027,1))),IF(Q1027&gt;0,AM1027/Q1027,0))/MAX(0.1,N(Parameter!$M$21)))</f>
        <v>0.0833333333333333</v>
      </c>
      <c r="AO1027" s="57" t="n">
        <f aca="false">AL1027*F1027</f>
        <v>1875</v>
      </c>
      <c r="AP1027" s="57" t="n">
        <f aca="false">ROUNDUP(MAX(I1027/IF(BV1027&gt;0,BV1027,MAX(0.1,N(Cockpit!$I$6))),BY1027)/BQ1027,0)*BQ1027</f>
        <v>15</v>
      </c>
      <c r="AQ1027" s="58" t="n">
        <f aca="false">IF(AN1027&gt;0,I1027/AN1027,-1)</f>
        <v>0</v>
      </c>
      <c r="AR1027" s="58" t="n">
        <f aca="false">IF(AND(OR(BU1027="L1",BU1027="L23"),AN1027&gt;0),SUMIFS($AN$7:$AN$1576,$BU$7:$BU$1576,BU1027,$AQ$7:$AQ$1576,"&gt;"&amp;AQ1027)+SUMIFS($AN$7:$AN$1576,$BU$7:$BU$1576,BU1027,$AQ$7:$AQ$1576,AQ1027,$BO$7:$BO$1576,"&lt;="&amp;BO1027),"")</f>
        <v>132.77104598305</v>
      </c>
      <c r="AS1027" s="65" t="n">
        <f aca="false">IF(AR1027="",0,MAX(0,MIN(1,(IF(BU1027="L1",Parameter!$E$5,Parameter!$E$6+Parameter!$E$7)-(AR1027-AN1027))/AN1027)))</f>
        <v>0</v>
      </c>
      <c r="AT1027" s="57" t="n">
        <f aca="false">IF(LEFT(Cockpit!$O$5,1)="A",G1027,IF(BW1027=1,BX1027,IF(LEFT(Cockpit!$O$5,1)="B",AX1027,MAX(AX1027,G1027))))</f>
        <v>15</v>
      </c>
      <c r="AU1027" s="57" t="n">
        <f aca="false">IF(BR1027=1,0,ROUNDUP(AT1027/BQ1027,0))</f>
        <v>1</v>
      </c>
      <c r="AV1027" s="59" t="n">
        <f aca="false">IF(CD1027&gt;0,CD1027*MAX(1,AT1027/V1027),IF(BR1027=1,IF(AT1027&lt;=0,0,BS1027*MAX(1,IF(G1027&gt;0,AT1027/G1027,1))),IF(Q1027&gt;0,AU1027/Q1027,0))/MAX(0.1,N(Parameter!$M$21)))</f>
        <v>0.0833333333333333</v>
      </c>
      <c r="AW1027" s="57" t="n">
        <f aca="false">AT1027*F1027</f>
        <v>1875</v>
      </c>
      <c r="AX1027" s="57" t="n">
        <f aca="false">ROUNDUP(MAX(I1027/IF(BV1027&gt;0,BV1027,MAX(0.1,N(Cockpit!$O$6))),BY1027)/BQ1027,0)*BQ1027</f>
        <v>15</v>
      </c>
      <c r="AY1027" s="58" t="n">
        <f aca="false">IF(AV1027&gt;0,I1027/AV1027,-1)</f>
        <v>0</v>
      </c>
      <c r="AZ1027" s="58" t="n">
        <f aca="false">IF(AND(OR(BU1027="L1",BU1027="L23"),AV1027&gt;0),SUMIFS($AV$7:$AV$1576,$BU$7:$BU$1576,BU1027,$AY$7:$AY$1576,"&gt;"&amp;AY1027)+SUMIFS($AV$7:$AV$1576,$BU$7:$BU$1576,BU1027,$AY$7:$AY$1576,AY1027,$BO$7:$BO$1576,"&lt;="&amp;BO1027),"")</f>
        <v>122.8305964326</v>
      </c>
      <c r="BA1027" s="65" t="n">
        <f aca="false">IF(AZ1027="",0,MAX(0,MIN(1,(IF(BU1027="L1",Parameter!$E$5,Parameter!$E$6+Parameter!$E$7)-(AZ1027-AV1027))/AV1027)))</f>
        <v>0</v>
      </c>
      <c r="BB1027" s="55" t="str">
        <f aca="false">IF(AF1027&lt;=0,"",IF(BU1027="Aussen","Aussenlager",IF(BU1027="-","Nicht im Lift",IF(AK1027&gt;=1,"Lift",IF(AK1027&lt;=0,"Aussenlager","teilweise")))))</f>
        <v/>
      </c>
      <c r="BC1027" s="55" t="str">
        <f aca="false">IF(AN1027&lt;=0,"",IF(BU1027="Aussen","Aussenlager",IF(BU1027="-","Nicht im Lift",IF(AS1027&gt;=1,"Lift",IF(AS1027&lt;=0,"Aussenlager","teilweise")))))</f>
        <v>Aussenlager</v>
      </c>
      <c r="BD1027" s="55" t="str">
        <f aca="false">IF(AV1027&lt;=0,"",IF(BU1027="Aussen","Aussenlager",IF(BU1027="-","Nicht im Lift",IF(BA1027&gt;=1,"Lift",IF(BA1027&lt;=0,"Aussenlager","teilweise")))))</f>
        <v>Aussenlager</v>
      </c>
      <c r="BE1027" s="55" t="str">
        <f aca="false">IF(A1027="","",IF(BN1027=1,"Neu; ","")&amp;IF(AND(BN1027=0,BI1027&lt;0),"negativer Bestand (Export "&amp;BI1027&amp;"); ","")&amp;IF(I1027&lt;=0,"Kein Verbrauch; ","")&amp;IF(CD1027&gt;0,"Lift "&amp;U1027&amp;" lt. Liftbericht (Fach "&amp;V1027&amp;" Stk); ",IF(BR1027=1,"Lose – Fläche geschätzt; ",""))&amp;IF(G1027&gt;AP1027,"Überbestand "&amp;ROUND(G1027-AP1027,0)&amp;" Stk / CHF "&amp;ROUND((G1027-AP1027)*F1027,0)&amp;"; ","")&amp;IF(AND(BW1027=1,BX1027&lt;BY1027),"MAX &lt; MB+LG; ","")&amp;IF(AND(CC1027&gt;0,CB1027*10&gt;CC1027),"zu hoch für Tablar; ","")&amp;IF(AND(BN1027=0,OR(BW1027=1,Y1027&lt;&gt;"",S1027&lt;&gt;"",T1027&lt;&gt;"",Z1027&lt;&gt;"")),"manuell übersteuert; ","")&amp;IF(AND(BR1027=0,Q1027=0),"Gebinde unbekannt / Stellmass fehlt; ","")&amp;IF(AND(BR1027=0,N(T1027)&lt;=0,N(P1027)&lt;=0),"Menge pro Gebinde fehlt (Ist = 1 Gebinde); ","")&amp;BM1027)</f>
        <v>negativer Bestand (Export -1); Kein Verbrauch; </v>
      </c>
      <c r="BF1027" s="55"/>
      <c r="BG1027" s="55"/>
      <c r="BH1027" s="62"/>
      <c r="BI1027" s="57" t="n">
        <v>-1</v>
      </c>
      <c r="BJ1027" s="57" t="n">
        <v>11</v>
      </c>
      <c r="BK1027" s="56" t="n">
        <v>-125</v>
      </c>
      <c r="BL1027" s="57" t="n">
        <v>0</v>
      </c>
      <c r="BM1027" s="55"/>
      <c r="BN1027" s="60" t="n">
        <v>0</v>
      </c>
      <c r="BO1027" s="60" t="n">
        <v>1027</v>
      </c>
      <c r="BP1027" s="55" t="str">
        <f aca="false">IF(S1027&lt;&gt;"",UPPER(TRIM(S1027)),IF(O1027="","LOSE",O1027))</f>
        <v>S62</v>
      </c>
      <c r="BQ1027" s="57" t="n">
        <f aca="false">IF(BP1027="LOSE",1,IF(N(T1027)&gt;0,T1027,IF(N(P1027)&gt;0,P1027,MAX(1,G1027))))</f>
        <v>15</v>
      </c>
      <c r="BR1027" s="60" t="n">
        <f aca="false">IF(BP1027="LOSE",1,0)</f>
        <v>0</v>
      </c>
      <c r="BS1027" s="59" t="n">
        <f aca="false">IF(BR1027=0,0,IF(N(R1027)&gt;0,R1027,IFERROR(VLOOKUP(D1027,Parameter!$A$35:$C$64,3,0)+0,0)))</f>
        <v>0</v>
      </c>
      <c r="BT1027" s="55" t="n">
        <f aca="false">IF(Y1027&lt;&gt;"",Y1027,X1027)</f>
        <v>2</v>
      </c>
      <c r="BU1027" s="55" t="str">
        <f aca="false">IF(BT1027=1,"L1",IF(OR(BT1027=2,BT1027=3),"L23",IF(BT1027="Aussen","Aussen","-")))</f>
        <v>L23</v>
      </c>
      <c r="BV1027" s="66" t="n">
        <f aca="false">IF(N(Z1027)&gt;0,Z1027,0)</f>
        <v>0</v>
      </c>
      <c r="BW1027" s="60" t="n">
        <f aca="false">IF(ISNUMBER(AC1027),1,0)</f>
        <v>0</v>
      </c>
      <c r="BX1027" s="57" t="n">
        <f aca="false">N(AC1027)</f>
        <v>0</v>
      </c>
      <c r="BY1027" s="57" t="n">
        <f aca="false">N(L1027)+N(M1027)</f>
        <v>1</v>
      </c>
      <c r="BZ1027" s="57" t="n">
        <f aca="false">ROUNDUP(G1027/BQ1027,0)</f>
        <v>0</v>
      </c>
      <c r="CA1027" s="57" t="n">
        <f aca="false">ROUNDUP(BX1027/BQ1027,0)</f>
        <v>0</v>
      </c>
      <c r="CB1027" s="60" t="n">
        <f aca="false">IF(BR1027=1,0,IFERROR(VLOOKUP(BP1027,'Gebinde-Kategorie'!$A$5:$M$45,5,0)+0,0))</f>
        <v>21</v>
      </c>
      <c r="CC1027" s="60" t="n">
        <f aca="false">IFERROR(IF(OR(BT1027=1,BT1027=2,BT1027=3),N(INDEX(Parameter!$I$5:$I$7,BT1027)),0),0)</f>
        <v>0</v>
      </c>
      <c r="CD1027" s="59" t="n">
        <f aca="false">IF(AND(Parameter!$B$21="Ja",ISNUMBER(U1027),N(V1027)&gt;0),IFERROR(N(INDEX(Parameter!$L$5:$L$7,U1027))*INDEX(Parameter!$E$5:$E$7,U1027)*V1027/SUMIFS($V$7:$V$1576,$U$7:$U$1576,U1027),0),0)</f>
        <v>0</v>
      </c>
    </row>
    <row r="1028" customFormat="false" ht="15" hidden="false" customHeight="false" outlineLevel="0" collapsed="false">
      <c r="A1028" s="55" t="s">
        <v>1877</v>
      </c>
      <c r="B1028" s="55" t="s">
        <v>533</v>
      </c>
      <c r="C1028" s="55" t="s">
        <v>160</v>
      </c>
      <c r="D1028" s="55" t="s">
        <v>178</v>
      </c>
      <c r="E1028" s="55" t="s">
        <v>210</v>
      </c>
      <c r="F1028" s="56" t="n">
        <v>20.71</v>
      </c>
      <c r="G1028" s="57" t="n">
        <f aca="false">MAX(0,IF(AND(Parameter!$B$21="Ja",ISNUMBER(W1028)),W1028,IF(Parameter!$B$20="Jahresanfang 2025 + Export",BJ1028+BI1028,BI1028)))</f>
        <v>0</v>
      </c>
      <c r="H1028" s="57" t="n">
        <f aca="false">G1028*F1028</f>
        <v>0</v>
      </c>
      <c r="I1028" s="57" t="n">
        <f aca="false">BL1028*Parameter!$B$18</f>
        <v>13</v>
      </c>
      <c r="J1028" s="58" t="n">
        <v>19.5</v>
      </c>
      <c r="K1028" s="59" t="n">
        <v>0.666666666666667</v>
      </c>
      <c r="L1028" s="57" t="n">
        <v>0</v>
      </c>
      <c r="M1028" s="57" t="n">
        <v>15</v>
      </c>
      <c r="N1028" s="60" t="n">
        <v>21</v>
      </c>
      <c r="O1028" s="55" t="s">
        <v>411</v>
      </c>
      <c r="P1028" s="57" t="n">
        <v>13</v>
      </c>
      <c r="Q1028" s="60" t="n">
        <f aca="false">IF(BR1028=1,0,IFERROR(VLOOKUP(BP1028,'Gebinde-Kategorie'!$A$5:$M$45,13,0)+0,0))</f>
        <v>132</v>
      </c>
      <c r="R1028" s="61"/>
      <c r="S1028" s="62"/>
      <c r="T1028" s="62"/>
      <c r="U1028" s="55"/>
      <c r="V1028" s="57"/>
      <c r="W1028" s="57"/>
      <c r="X1028" s="55" t="n">
        <f aca="false">IF(A1028="","",IF(AND(Parameter!$B$21="Ja",ISNUMBER(U1028)),U1028,IF(IFERROR(VLOOKUP(D1028,Parameter!$A$35:$C$64,2,0),"Nein")="2+3",IF(ISNUMBER(SEARCH("grosser Artikel",BM1028)),2,IFERROR(VLOOKUP(BP1028,Parameter!$F$35:$G$64,2,0),2)),IF(OR(IFERROR(VLOOKUP(D1028,Parameter!$A$35:$C$64,2,0),"Nein")="Nein",IFERROR(VLOOKUP(D1028,Parameter!$A$35:$C$64,2,0),"Nein")=""),"-",VLOOKUP(D1028,Parameter!$A$35:$C$64,2,0)))))</f>
        <v>3</v>
      </c>
      <c r="Y1028" s="62"/>
      <c r="Z1028" s="63"/>
      <c r="AA1028" s="57" t="n">
        <f aca="false">AP1028</f>
        <v>26</v>
      </c>
      <c r="AB1028" s="57" t="n">
        <f aca="false">MAX(AP1028,G1028)</f>
        <v>26</v>
      </c>
      <c r="AC1028" s="64"/>
      <c r="AD1028" s="57" t="n">
        <f aca="false">IF(LEFT(Cockpit!$C$5,1)="A",G1028,IF(BW1028=1,BX1028,IF(LEFT(Cockpit!$C$5,1)="B",AH1028,MAX(AH1028,G1028))))</f>
        <v>0</v>
      </c>
      <c r="AE1028" s="57" t="n">
        <f aca="false">IF(BR1028=1,0,ROUNDUP(AD1028/BQ1028,0))</f>
        <v>0</v>
      </c>
      <c r="AF1028" s="59" t="n">
        <f aca="false">IF(CD1028&gt;0,CD1028*MAX(1,AD1028/V1028),IF(BR1028=1,IF(AD1028&lt;=0,0,BS1028*MAX(1,IF(G1028&gt;0,AD1028/G1028,1))),IF(Q1028&gt;0,AE1028/Q1028,0))/MAX(0.1,N(Parameter!$M$21)))</f>
        <v>0</v>
      </c>
      <c r="AG1028" s="57" t="n">
        <f aca="false">AD1028*F1028</f>
        <v>0</v>
      </c>
      <c r="AH1028" s="57" t="n">
        <f aca="false">ROUNDUP(MAX(I1028/IF(BV1028&gt;0,BV1028,MAX(0.1,N(Cockpit!$C$6))),BY1028)/BQ1028,0)*BQ1028</f>
        <v>26</v>
      </c>
      <c r="AI1028" s="58" t="n">
        <f aca="false">IF(AF1028&gt;0,I1028/AF1028,-1)</f>
        <v>-1</v>
      </c>
      <c r="AJ1028" s="58" t="str">
        <f aca="false">IF(AND(OR(BU1028="L1",BU1028="L23"),AF1028&gt;0),SUMIFS($AF$7:$AF$1576,$BU$7:$BU$1576,BU1028,$AI$7:$AI$1576,"&gt;"&amp;AI1028)+SUMIFS($AF$7:$AF$1576,$BU$7:$BU$1576,BU1028,$AI$7:$AI$1576,AI1028,$BO$7:$BO$1576,"&lt;="&amp;BO1028),"")</f>
        <v/>
      </c>
      <c r="AK1028" s="65" t="n">
        <f aca="false">IF(AJ1028="",0,MAX(0,MIN(1,(IF(BU1028="L1",Parameter!$E$5,Parameter!$E$6+Parameter!$E$7)-(AJ1028-AF1028))/AF1028)))</f>
        <v>0</v>
      </c>
      <c r="AL1028" s="57" t="n">
        <f aca="false">IF(LEFT(Cockpit!$I$5,1)="A",G1028,IF(BW1028=1,BX1028,IF(LEFT(Cockpit!$I$5,1)="B",AP1028,MAX(AP1028,G1028))))</f>
        <v>26</v>
      </c>
      <c r="AM1028" s="57" t="n">
        <f aca="false">IF(BR1028=1,0,ROUNDUP(AL1028/BQ1028,0))</f>
        <v>2</v>
      </c>
      <c r="AN1028" s="59" t="n">
        <f aca="false">IF(CD1028&gt;0,CD1028*MAX(1,AL1028/V1028),IF(BR1028=1,IF(AL1028&lt;=0,0,BS1028*MAX(1,IF(G1028&gt;0,AL1028/G1028,1))),IF(Q1028&gt;0,AM1028/Q1028,0))/MAX(0.1,N(Parameter!$M$21)))</f>
        <v>0.0151515151515152</v>
      </c>
      <c r="AO1028" s="57" t="n">
        <f aca="false">AL1028*F1028</f>
        <v>538.46</v>
      </c>
      <c r="AP1028" s="57" t="n">
        <f aca="false">ROUNDUP(MAX(I1028/IF(BV1028&gt;0,BV1028,MAX(0.1,N(Cockpit!$I$6))),BY1028)/BQ1028,0)*BQ1028</f>
        <v>26</v>
      </c>
      <c r="AQ1028" s="58" t="n">
        <f aca="false">IF(AN1028&gt;0,I1028/AN1028,-1)</f>
        <v>858</v>
      </c>
      <c r="AR1028" s="58" t="n">
        <f aca="false">IF(AND(OR(BU1028="L1",BU1028="L23"),AN1028&gt;0),SUMIFS($AN$7:$AN$1576,$BU$7:$BU$1576,BU1028,$AQ$7:$AQ$1576,"&gt;"&amp;AQ1028)+SUMIFS($AN$7:$AN$1576,$BU$7:$BU$1576,BU1028,$AQ$7:$AQ$1576,AQ1028,$BO$7:$BO$1576,"&lt;="&amp;BO1028),"")</f>
        <v>25.5260048288421</v>
      </c>
      <c r="AS1028" s="65" t="n">
        <f aca="false">IF(AR1028="",0,MAX(0,MIN(1,(IF(BU1028="L1",Parameter!$E$5,Parameter!$E$6+Parameter!$E$7)-(AR1028-AN1028))/AN1028)))</f>
        <v>1</v>
      </c>
      <c r="AT1028" s="57" t="n">
        <f aca="false">IF(LEFT(Cockpit!$O$5,1)="A",G1028,IF(BW1028=1,BX1028,IF(LEFT(Cockpit!$O$5,1)="B",AX1028,MAX(AX1028,G1028))))</f>
        <v>26</v>
      </c>
      <c r="AU1028" s="57" t="n">
        <f aca="false">IF(BR1028=1,0,ROUNDUP(AT1028/BQ1028,0))</f>
        <v>2</v>
      </c>
      <c r="AV1028" s="59" t="n">
        <f aca="false">IF(CD1028&gt;0,CD1028*MAX(1,AT1028/V1028),IF(BR1028=1,IF(AT1028&lt;=0,0,BS1028*MAX(1,IF(G1028&gt;0,AT1028/G1028,1))),IF(Q1028&gt;0,AU1028/Q1028,0))/MAX(0.1,N(Parameter!$M$21)))</f>
        <v>0.0151515151515152</v>
      </c>
      <c r="AW1028" s="57" t="n">
        <f aca="false">AT1028*F1028</f>
        <v>538.46</v>
      </c>
      <c r="AX1028" s="57" t="n">
        <f aca="false">ROUNDUP(MAX(I1028/IF(BV1028&gt;0,BV1028,MAX(0.1,N(Cockpit!$O$6))),BY1028)/BQ1028,0)*BQ1028</f>
        <v>26</v>
      </c>
      <c r="AY1028" s="58" t="n">
        <f aca="false">IF(AV1028&gt;0,I1028/AV1028,-1)</f>
        <v>858</v>
      </c>
      <c r="AZ1028" s="58" t="n">
        <f aca="false">IF(AND(OR(BU1028="L1",BU1028="L23"),AV1028&gt;0),SUMIFS($AV$7:$AV$1576,$BU$7:$BU$1576,BU1028,$AY$7:$AY$1576,"&gt;"&amp;AY1028)+SUMIFS($AV$7:$AV$1576,$BU$7:$BU$1576,BU1028,$AY$7:$AY$1576,AY1028,$BO$7:$BO$1576,"&lt;="&amp;BO1028),"")</f>
        <v>25.7596878125251</v>
      </c>
      <c r="BA1028" s="65" t="n">
        <f aca="false">IF(AZ1028="",0,MAX(0,MIN(1,(IF(BU1028="L1",Parameter!$E$5,Parameter!$E$6+Parameter!$E$7)-(AZ1028-AV1028))/AV1028)))</f>
        <v>1</v>
      </c>
      <c r="BB1028" s="55" t="str">
        <f aca="false">IF(AF1028&lt;=0,"",IF(BU1028="Aussen","Aussenlager",IF(BU1028="-","Nicht im Lift",IF(AK1028&gt;=1,"Lift",IF(AK1028&lt;=0,"Aussenlager","teilweise")))))</f>
        <v/>
      </c>
      <c r="BC1028" s="55" t="str">
        <f aca="false">IF(AN1028&lt;=0,"",IF(BU1028="Aussen","Aussenlager",IF(BU1028="-","Nicht im Lift",IF(AS1028&gt;=1,"Lift",IF(AS1028&lt;=0,"Aussenlager","teilweise")))))</f>
        <v>Lift</v>
      </c>
      <c r="BD1028" s="55" t="str">
        <f aca="false">IF(AV1028&lt;=0,"",IF(BU1028="Aussen","Aussenlager",IF(BU1028="-","Nicht im Lift",IF(BA1028&gt;=1,"Lift",IF(BA1028&lt;=0,"Aussenlager","teilweise")))))</f>
        <v>Lift</v>
      </c>
      <c r="BE1028" s="55" t="str">
        <f aca="false">IF(A1028="","",IF(BN1028=1,"Neu; ","")&amp;IF(AND(BN1028=0,BI1028&lt;0),"negativer Bestand (Export "&amp;BI1028&amp;"); ","")&amp;IF(I1028&lt;=0,"Kein Verbrauch; ","")&amp;IF(CD1028&gt;0,"Lift "&amp;U1028&amp;" lt. Liftbericht (Fach "&amp;V1028&amp;" Stk); ",IF(BR1028=1,"Lose – Fläche geschätzt; ",""))&amp;IF(G1028&gt;AP1028,"Überbestand "&amp;ROUND(G1028-AP1028,0)&amp;" Stk / CHF "&amp;ROUND((G1028-AP1028)*F1028,0)&amp;"; ","")&amp;IF(AND(BW1028=1,BX1028&lt;BY1028),"MAX &lt; MB+LG; ","")&amp;IF(AND(CC1028&gt;0,CB1028*10&gt;CC1028),"zu hoch für Tablar; ","")&amp;IF(AND(BN1028=0,OR(BW1028=1,Y1028&lt;&gt;"",S1028&lt;&gt;"",T1028&lt;&gt;"",Z1028&lt;&gt;"")),"manuell übersteuert; ","")&amp;IF(AND(BR1028=0,Q1028=0),"Gebinde unbekannt / Stellmass fehlt; ","")&amp;IF(AND(BR1028=0,N(T1028)&lt;=0,N(P1028)&lt;=0),"Menge pro Gebinde fehlt (Ist = 1 Gebinde); ","")&amp;BM1028)</f>
        <v>negativer Bestand (Export -7); </v>
      </c>
      <c r="BF1028" s="55"/>
      <c r="BG1028" s="55"/>
      <c r="BH1028" s="62"/>
      <c r="BI1028" s="57" t="n">
        <v>-7</v>
      </c>
      <c r="BJ1028" s="57" t="n">
        <v>21</v>
      </c>
      <c r="BK1028" s="56" t="n">
        <v>-127.12</v>
      </c>
      <c r="BL1028" s="57" t="n">
        <v>13</v>
      </c>
      <c r="BM1028" s="55"/>
      <c r="BN1028" s="60" t="n">
        <v>0</v>
      </c>
      <c r="BO1028" s="60" t="n">
        <v>1028</v>
      </c>
      <c r="BP1028" s="55" t="str">
        <f aca="false">IF(S1028&lt;&gt;"",UPPER(TRIM(S1028)),IF(O1028="","LOSE",O1028))</f>
        <v>S32</v>
      </c>
      <c r="BQ1028" s="57" t="n">
        <f aca="false">IF(BP1028="LOSE",1,IF(N(T1028)&gt;0,T1028,IF(N(P1028)&gt;0,P1028,MAX(1,G1028))))</f>
        <v>13</v>
      </c>
      <c r="BR1028" s="60" t="n">
        <f aca="false">IF(BP1028="LOSE",1,0)</f>
        <v>0</v>
      </c>
      <c r="BS1028" s="59" t="n">
        <f aca="false">IF(BR1028=0,0,IF(N(R1028)&gt;0,R1028,IFERROR(VLOOKUP(D1028,Parameter!$A$35:$C$64,3,0)+0,0)))</f>
        <v>0</v>
      </c>
      <c r="BT1028" s="55" t="n">
        <f aca="false">IF(Y1028&lt;&gt;"",Y1028,X1028)</f>
        <v>3</v>
      </c>
      <c r="BU1028" s="55" t="str">
        <f aca="false">IF(BT1028=1,"L1",IF(OR(BT1028=2,BT1028=3),"L23",IF(BT1028="Aussen","Aussen","-")))</f>
        <v>L23</v>
      </c>
      <c r="BV1028" s="66" t="n">
        <f aca="false">IF(N(Z1028)&gt;0,Z1028,0)</f>
        <v>0</v>
      </c>
      <c r="BW1028" s="60" t="n">
        <f aca="false">IF(ISNUMBER(AC1028),1,0)</f>
        <v>0</v>
      </c>
      <c r="BX1028" s="57" t="n">
        <f aca="false">N(AC1028)</f>
        <v>0</v>
      </c>
      <c r="BY1028" s="57" t="n">
        <f aca="false">N(L1028)+N(M1028)</f>
        <v>15</v>
      </c>
      <c r="BZ1028" s="57" t="n">
        <f aca="false">ROUNDUP(G1028/BQ1028,0)</f>
        <v>0</v>
      </c>
      <c r="CA1028" s="57" t="n">
        <f aca="false">ROUNDUP(BX1028/BQ1028,0)</f>
        <v>0</v>
      </c>
      <c r="CB1028" s="60" t="n">
        <f aca="false">IF(BR1028=1,0,IFERROR(VLOOKUP(BP1028,'Gebinde-Kategorie'!$A$5:$M$45,5,0)+0,0))</f>
        <v>8</v>
      </c>
      <c r="CC1028" s="60" t="n">
        <f aca="false">IFERROR(IF(OR(BT1028=1,BT1028=2,BT1028=3),N(INDEX(Parameter!$I$5:$I$7,BT1028)),0),0)</f>
        <v>0</v>
      </c>
      <c r="CD1028" s="59" t="n">
        <f aca="false">IF(AND(Parameter!$B$21="Ja",ISNUMBER(U1028),N(V1028)&gt;0),IFERROR(N(INDEX(Parameter!$L$5:$L$7,U1028))*INDEX(Parameter!$E$5:$E$7,U1028)*V1028/SUMIFS($V$7:$V$1576,$U$7:$U$1576,U1028),0),0)</f>
        <v>0</v>
      </c>
    </row>
    <row r="1029" customFormat="false" ht="15" hidden="false" customHeight="false" outlineLevel="0" collapsed="false">
      <c r="A1029" s="55" t="s">
        <v>1878</v>
      </c>
      <c r="B1029" s="55" t="s">
        <v>1879</v>
      </c>
      <c r="C1029" s="55" t="s">
        <v>160</v>
      </c>
      <c r="D1029" s="55" t="s">
        <v>178</v>
      </c>
      <c r="E1029" s="55" t="s">
        <v>210</v>
      </c>
      <c r="F1029" s="56" t="n">
        <v>15.9</v>
      </c>
      <c r="G1029" s="57" t="n">
        <f aca="false">MAX(0,IF(AND(Parameter!$B$21="Ja",ISNUMBER(W1029)),W1029,IF(Parameter!$B$20="Jahresanfang 2025 + Export",BJ1029+BI1029,BI1029)))</f>
        <v>0</v>
      </c>
      <c r="H1029" s="57" t="n">
        <f aca="false">G1029*F1029</f>
        <v>0</v>
      </c>
      <c r="I1029" s="57" t="n">
        <f aca="false">BL1029*Parameter!$B$18</f>
        <v>6</v>
      </c>
      <c r="J1029" s="58" t="n">
        <v>78</v>
      </c>
      <c r="K1029" s="59" t="n">
        <v>0.0769230769230769</v>
      </c>
      <c r="L1029" s="57" t="n">
        <v>0</v>
      </c>
      <c r="M1029" s="57" t="n">
        <v>5</v>
      </c>
      <c r="N1029" s="60" t="n">
        <v>35</v>
      </c>
      <c r="O1029" s="55" t="s">
        <v>319</v>
      </c>
      <c r="P1029" s="57" t="n">
        <v>119</v>
      </c>
      <c r="Q1029" s="60" t="n">
        <f aca="false">IF(BR1029=1,0,IFERROR(VLOOKUP(BP1029,'Gebinde-Kategorie'!$A$5:$M$45,13,0)+0,0))</f>
        <v>52</v>
      </c>
      <c r="R1029" s="61"/>
      <c r="S1029" s="62"/>
      <c r="T1029" s="62"/>
      <c r="U1029" s="55"/>
      <c r="V1029" s="57"/>
      <c r="W1029" s="57"/>
      <c r="X1029" s="55" t="n">
        <f aca="false">IF(A1029="","",IF(AND(Parameter!$B$21="Ja",ISNUMBER(U1029)),U1029,IF(IFERROR(VLOOKUP(D1029,Parameter!$A$35:$C$64,2,0),"Nein")="2+3",IF(ISNUMBER(SEARCH("grosser Artikel",BM1029)),2,IFERROR(VLOOKUP(BP1029,Parameter!$F$35:$G$64,2,0),2)),IF(OR(IFERROR(VLOOKUP(D1029,Parameter!$A$35:$C$64,2,0),"Nein")="Nein",IFERROR(VLOOKUP(D1029,Parameter!$A$35:$C$64,2,0),"Nein")=""),"-",VLOOKUP(D1029,Parameter!$A$35:$C$64,2,0)))))</f>
        <v>3</v>
      </c>
      <c r="Y1029" s="62"/>
      <c r="Z1029" s="63"/>
      <c r="AA1029" s="57" t="n">
        <f aca="false">AP1029</f>
        <v>119</v>
      </c>
      <c r="AB1029" s="57" t="n">
        <f aca="false">MAX(AP1029,G1029)</f>
        <v>119</v>
      </c>
      <c r="AC1029" s="64"/>
      <c r="AD1029" s="57" t="n">
        <f aca="false">IF(LEFT(Cockpit!$C$5,1)="A",G1029,IF(BW1029=1,BX1029,IF(LEFT(Cockpit!$C$5,1)="B",AH1029,MAX(AH1029,G1029))))</f>
        <v>0</v>
      </c>
      <c r="AE1029" s="57" t="n">
        <f aca="false">IF(BR1029=1,0,ROUNDUP(AD1029/BQ1029,0))</f>
        <v>0</v>
      </c>
      <c r="AF1029" s="59" t="n">
        <f aca="false">IF(CD1029&gt;0,CD1029*MAX(1,AD1029/V1029),IF(BR1029=1,IF(AD1029&lt;=0,0,BS1029*MAX(1,IF(G1029&gt;0,AD1029/G1029,1))),IF(Q1029&gt;0,AE1029/Q1029,0))/MAX(0.1,N(Parameter!$M$21)))</f>
        <v>0</v>
      </c>
      <c r="AG1029" s="57" t="n">
        <f aca="false">AD1029*F1029</f>
        <v>0</v>
      </c>
      <c r="AH1029" s="57" t="n">
        <f aca="false">ROUNDUP(MAX(I1029/IF(BV1029&gt;0,BV1029,MAX(0.1,N(Cockpit!$C$6))),BY1029)/BQ1029,0)*BQ1029</f>
        <v>119</v>
      </c>
      <c r="AI1029" s="58" t="n">
        <f aca="false">IF(AF1029&gt;0,I1029/AF1029,-1)</f>
        <v>-1</v>
      </c>
      <c r="AJ1029" s="58" t="str">
        <f aca="false">IF(AND(OR(BU1029="L1",BU1029="L23"),AF1029&gt;0),SUMIFS($AF$7:$AF$1576,$BU$7:$BU$1576,BU1029,$AI$7:$AI$1576,"&gt;"&amp;AI1029)+SUMIFS($AF$7:$AF$1576,$BU$7:$BU$1576,BU1029,$AI$7:$AI$1576,AI1029,$BO$7:$BO$1576,"&lt;="&amp;BO1029),"")</f>
        <v/>
      </c>
      <c r="AK1029" s="65" t="n">
        <f aca="false">IF(AJ1029="",0,MAX(0,MIN(1,(IF(BU1029="L1",Parameter!$E$5,Parameter!$E$6+Parameter!$E$7)-(AJ1029-AF1029))/AF1029)))</f>
        <v>0</v>
      </c>
      <c r="AL1029" s="57" t="n">
        <f aca="false">IF(LEFT(Cockpit!$I$5,1)="A",G1029,IF(BW1029=1,BX1029,IF(LEFT(Cockpit!$I$5,1)="B",AP1029,MAX(AP1029,G1029))))</f>
        <v>119</v>
      </c>
      <c r="AM1029" s="57" t="n">
        <f aca="false">IF(BR1029=1,0,ROUNDUP(AL1029/BQ1029,0))</f>
        <v>1</v>
      </c>
      <c r="AN1029" s="59" t="n">
        <f aca="false">IF(CD1029&gt;0,CD1029*MAX(1,AL1029/V1029),IF(BR1029=1,IF(AL1029&lt;=0,0,BS1029*MAX(1,IF(G1029&gt;0,AL1029/G1029,1))),IF(Q1029&gt;0,AM1029/Q1029,0))/MAX(0.1,N(Parameter!$M$21)))</f>
        <v>0.0192307692307692</v>
      </c>
      <c r="AO1029" s="57" t="n">
        <f aca="false">AL1029*F1029</f>
        <v>1892.1</v>
      </c>
      <c r="AP1029" s="57" t="n">
        <f aca="false">ROUNDUP(MAX(I1029/IF(BV1029&gt;0,BV1029,MAX(0.1,N(Cockpit!$I$6))),BY1029)/BQ1029,0)*BQ1029</f>
        <v>119</v>
      </c>
      <c r="AQ1029" s="58" t="n">
        <f aca="false">IF(AN1029&gt;0,I1029/AN1029,-1)</f>
        <v>312</v>
      </c>
      <c r="AR1029" s="58" t="n">
        <f aca="false">IF(AND(OR(BU1029="L1",BU1029="L23"),AN1029&gt;0),SUMIFS($AN$7:$AN$1576,$BU$7:$BU$1576,BU1029,$AQ$7:$AQ$1576,"&gt;"&amp;AQ1029)+SUMIFS($AN$7:$AN$1576,$BU$7:$BU$1576,BU1029,$AQ$7:$AQ$1576,AQ1029,$BO$7:$BO$1576,"&lt;="&amp;BO1029),"")</f>
        <v>43.5232298260671</v>
      </c>
      <c r="AS1029" s="65" t="n">
        <f aca="false">IF(AR1029="",0,MAX(0,MIN(1,(IF(BU1029="L1",Parameter!$E$5,Parameter!$E$6+Parameter!$E$7)-(AR1029-AN1029))/AN1029)))</f>
        <v>1</v>
      </c>
      <c r="AT1029" s="57" t="n">
        <f aca="false">IF(LEFT(Cockpit!$O$5,1)="A",G1029,IF(BW1029=1,BX1029,IF(LEFT(Cockpit!$O$5,1)="B",AX1029,MAX(AX1029,G1029))))</f>
        <v>119</v>
      </c>
      <c r="AU1029" s="57" t="n">
        <f aca="false">IF(BR1029=1,0,ROUNDUP(AT1029/BQ1029,0))</f>
        <v>1</v>
      </c>
      <c r="AV1029" s="59" t="n">
        <f aca="false">IF(CD1029&gt;0,CD1029*MAX(1,AT1029/V1029),IF(BR1029=1,IF(AT1029&lt;=0,0,BS1029*MAX(1,IF(G1029&gt;0,AT1029/G1029,1))),IF(Q1029&gt;0,AU1029/Q1029,0))/MAX(0.1,N(Parameter!$M$21)))</f>
        <v>0.0192307692307692</v>
      </c>
      <c r="AW1029" s="57" t="n">
        <f aca="false">AT1029*F1029</f>
        <v>1892.1</v>
      </c>
      <c r="AX1029" s="57" t="n">
        <f aca="false">ROUNDUP(MAX(I1029/IF(BV1029&gt;0,BV1029,MAX(0.1,N(Cockpit!$O$6))),BY1029)/BQ1029,0)*BQ1029</f>
        <v>119</v>
      </c>
      <c r="AY1029" s="58" t="n">
        <f aca="false">IF(AV1029&gt;0,I1029/AV1029,-1)</f>
        <v>312</v>
      </c>
      <c r="AZ1029" s="58" t="n">
        <f aca="false">IF(AND(OR(BU1029="L1",BU1029="L23"),AV1029&gt;0),SUMIFS($AV$7:$AV$1576,$BU$7:$BU$1576,BU1029,$AY$7:$AY$1576,"&gt;"&amp;AY1029)+SUMIFS($AV$7:$AV$1576,$BU$7:$BU$1576,BU1029,$AY$7:$AY$1576,AY1029,$BO$7:$BO$1576,"&lt;="&amp;BO1029),"")</f>
        <v>39.7713084141457</v>
      </c>
      <c r="BA1029" s="65" t="n">
        <f aca="false">IF(AZ1029="",0,MAX(0,MIN(1,(IF(BU1029="L1",Parameter!$E$5,Parameter!$E$6+Parameter!$E$7)-(AZ1029-AV1029))/AV1029)))</f>
        <v>1</v>
      </c>
      <c r="BB1029" s="55" t="str">
        <f aca="false">IF(AF1029&lt;=0,"",IF(BU1029="Aussen","Aussenlager",IF(BU1029="-","Nicht im Lift",IF(AK1029&gt;=1,"Lift",IF(AK1029&lt;=0,"Aussenlager","teilweise")))))</f>
        <v/>
      </c>
      <c r="BC1029" s="55" t="str">
        <f aca="false">IF(AN1029&lt;=0,"",IF(BU1029="Aussen","Aussenlager",IF(BU1029="-","Nicht im Lift",IF(AS1029&gt;=1,"Lift",IF(AS1029&lt;=0,"Aussenlager","teilweise")))))</f>
        <v>Lift</v>
      </c>
      <c r="BD1029" s="55" t="str">
        <f aca="false">IF(AV1029&lt;=0,"",IF(BU1029="Aussen","Aussenlager",IF(BU1029="-","Nicht im Lift",IF(BA1029&gt;=1,"Lift",IF(BA1029&lt;=0,"Aussenlager","teilweise")))))</f>
        <v>Lift</v>
      </c>
      <c r="BE1029" s="55" t="str">
        <f aca="false">IF(A1029="","",IF(BN1029=1,"Neu; ","")&amp;IF(AND(BN1029=0,BI1029&lt;0),"negativer Bestand (Export "&amp;BI1029&amp;"); ","")&amp;IF(I1029&lt;=0,"Kein Verbrauch; ","")&amp;IF(CD1029&gt;0,"Lift "&amp;U1029&amp;" lt. Liftbericht (Fach "&amp;V1029&amp;" Stk); ",IF(BR1029=1,"Lose – Fläche geschätzt; ",""))&amp;IF(G1029&gt;AP1029,"Überbestand "&amp;ROUND(G1029-AP1029,0)&amp;" Stk / CHF "&amp;ROUND((G1029-AP1029)*F1029,0)&amp;"; ","")&amp;IF(AND(BW1029=1,BX1029&lt;BY1029),"MAX &lt; MB+LG; ","")&amp;IF(AND(CC1029&gt;0,CB1029*10&gt;CC1029),"zu hoch für Tablar; ","")&amp;IF(AND(BN1029=0,OR(BW1029=1,Y1029&lt;&gt;"",S1029&lt;&gt;"",T1029&lt;&gt;"",Z1029&lt;&gt;"")),"manuell übersteuert; ","")&amp;IF(AND(BR1029=0,Q1029=0),"Gebinde unbekannt / Stellmass fehlt; ","")&amp;IF(AND(BR1029=0,N(T1029)&lt;=0,N(P1029)&lt;=0),"Menge pro Gebinde fehlt (Ist = 1 Gebinde); ","")&amp;BM1029)</f>
        <v>negativer Bestand (Export -8); twin</v>
      </c>
      <c r="BF1029" s="55"/>
      <c r="BG1029" s="55"/>
      <c r="BH1029" s="62"/>
      <c r="BI1029" s="57" t="n">
        <v>-8</v>
      </c>
      <c r="BJ1029" s="57" t="n">
        <v>81</v>
      </c>
      <c r="BK1029" s="56" t="n">
        <v>-127.2</v>
      </c>
      <c r="BL1029" s="57" t="n">
        <v>6</v>
      </c>
      <c r="BM1029" s="55" t="s">
        <v>1728</v>
      </c>
      <c r="BN1029" s="60" t="n">
        <v>0</v>
      </c>
      <c r="BO1029" s="60" t="n">
        <v>1029</v>
      </c>
      <c r="BP1029" s="55" t="str">
        <f aca="false">IF(S1029&lt;&gt;"",UPPER(TRIM(S1029)),IF(O1029="","LOSE",O1029))</f>
        <v>S41</v>
      </c>
      <c r="BQ1029" s="57" t="n">
        <f aca="false">IF(BP1029="LOSE",1,IF(N(T1029)&gt;0,T1029,IF(N(P1029)&gt;0,P1029,MAX(1,G1029))))</f>
        <v>119</v>
      </c>
      <c r="BR1029" s="60" t="n">
        <f aca="false">IF(BP1029="LOSE",1,0)</f>
        <v>0</v>
      </c>
      <c r="BS1029" s="59" t="n">
        <f aca="false">IF(BR1029=0,0,IF(N(R1029)&gt;0,R1029,IFERROR(VLOOKUP(D1029,Parameter!$A$35:$C$64,3,0)+0,0)))</f>
        <v>0</v>
      </c>
      <c r="BT1029" s="55" t="n">
        <f aca="false">IF(Y1029&lt;&gt;"",Y1029,X1029)</f>
        <v>3</v>
      </c>
      <c r="BU1029" s="55" t="str">
        <f aca="false">IF(BT1029=1,"L1",IF(OR(BT1029=2,BT1029=3),"L23",IF(BT1029="Aussen","Aussen","-")))</f>
        <v>L23</v>
      </c>
      <c r="BV1029" s="66" t="n">
        <f aca="false">IF(N(Z1029)&gt;0,Z1029,0)</f>
        <v>0</v>
      </c>
      <c r="BW1029" s="60" t="n">
        <f aca="false">IF(ISNUMBER(AC1029),1,0)</f>
        <v>0</v>
      </c>
      <c r="BX1029" s="57" t="n">
        <f aca="false">N(AC1029)</f>
        <v>0</v>
      </c>
      <c r="BY1029" s="57" t="n">
        <f aca="false">N(L1029)+N(M1029)</f>
        <v>5</v>
      </c>
      <c r="BZ1029" s="57" t="n">
        <f aca="false">ROUNDUP(G1029/BQ1029,0)</f>
        <v>0</v>
      </c>
      <c r="CA1029" s="57" t="n">
        <f aca="false">ROUNDUP(BX1029/BQ1029,0)</f>
        <v>0</v>
      </c>
      <c r="CB1029" s="60" t="n">
        <f aca="false">IF(BR1029=1,0,IFERROR(VLOOKUP(BP1029,'Gebinde-Kategorie'!$A$5:$M$45,5,0)+0,0))</f>
        <v>11</v>
      </c>
      <c r="CC1029" s="60" t="n">
        <f aca="false">IFERROR(IF(OR(BT1029=1,BT1029=2,BT1029=3),N(INDEX(Parameter!$I$5:$I$7,BT1029)),0),0)</f>
        <v>0</v>
      </c>
      <c r="CD1029" s="59" t="n">
        <f aca="false">IF(AND(Parameter!$B$21="Ja",ISNUMBER(U1029),N(V1029)&gt;0),IFERROR(N(INDEX(Parameter!$L$5:$L$7,U1029))*INDEX(Parameter!$E$5:$E$7,U1029)*V1029/SUMIFS($V$7:$V$1576,$U$7:$U$1576,U1029),0),0)</f>
        <v>0</v>
      </c>
    </row>
    <row r="1030" customFormat="false" ht="15" hidden="false" customHeight="false" outlineLevel="0" collapsed="false">
      <c r="A1030" s="55" t="s">
        <v>1880</v>
      </c>
      <c r="B1030" s="55" t="s">
        <v>1881</v>
      </c>
      <c r="C1030" s="55" t="s">
        <v>160</v>
      </c>
      <c r="D1030" s="55" t="s">
        <v>178</v>
      </c>
      <c r="E1030" s="55" t="s">
        <v>210</v>
      </c>
      <c r="F1030" s="56" t="n">
        <v>7.61</v>
      </c>
      <c r="G1030" s="57" t="n">
        <f aca="false">MAX(0,IF(AND(Parameter!$B$21="Ja",ISNUMBER(W1030)),W1030,IF(Parameter!$B$20="Jahresanfang 2025 + Export",BJ1030+BI1030,BI1030)))</f>
        <v>0</v>
      </c>
      <c r="H1030" s="57" t="n">
        <f aca="false">G1030*F1030</f>
        <v>0</v>
      </c>
      <c r="I1030" s="57" t="n">
        <f aca="false">BL1030*Parameter!$B$18</f>
        <v>13</v>
      </c>
      <c r="J1030" s="58" t="n">
        <v>31.5</v>
      </c>
      <c r="K1030" s="59" t="n">
        <v>0.412698412698413</v>
      </c>
      <c r="L1030" s="57" t="n">
        <v>0</v>
      </c>
      <c r="M1030" s="57" t="n">
        <v>15</v>
      </c>
      <c r="N1030" s="60" t="n">
        <v>14</v>
      </c>
      <c r="O1030" s="55" t="s">
        <v>391</v>
      </c>
      <c r="P1030" s="57" t="n">
        <v>15</v>
      </c>
      <c r="Q1030" s="60" t="n">
        <f aca="false">IF(BR1030=1,0,IFERROR(VLOOKUP(BP1030,'Gebinde-Kategorie'!$A$5:$M$45,13,0)+0,0))</f>
        <v>414</v>
      </c>
      <c r="R1030" s="61"/>
      <c r="S1030" s="62"/>
      <c r="T1030" s="62"/>
      <c r="U1030" s="55"/>
      <c r="V1030" s="57"/>
      <c r="W1030" s="57"/>
      <c r="X1030" s="55" t="n">
        <f aca="false">IF(A1030="","",IF(AND(Parameter!$B$21="Ja",ISNUMBER(U1030)),U1030,IF(IFERROR(VLOOKUP(D1030,Parameter!$A$35:$C$64,2,0),"Nein")="2+3",IF(ISNUMBER(SEARCH("grosser Artikel",BM1030)),2,IFERROR(VLOOKUP(BP1030,Parameter!$F$35:$G$64,2,0),2)),IF(OR(IFERROR(VLOOKUP(D1030,Parameter!$A$35:$C$64,2,0),"Nein")="Nein",IFERROR(VLOOKUP(D1030,Parameter!$A$35:$C$64,2,0),"Nein")=""),"-",VLOOKUP(D1030,Parameter!$A$35:$C$64,2,0)))))</f>
        <v>3</v>
      </c>
      <c r="Y1030" s="62"/>
      <c r="Z1030" s="63"/>
      <c r="AA1030" s="57" t="n">
        <f aca="false">AP1030</f>
        <v>15</v>
      </c>
      <c r="AB1030" s="57" t="n">
        <f aca="false">MAX(AP1030,G1030)</f>
        <v>15</v>
      </c>
      <c r="AC1030" s="64"/>
      <c r="AD1030" s="57" t="n">
        <f aca="false">IF(LEFT(Cockpit!$C$5,1)="A",G1030,IF(BW1030=1,BX1030,IF(LEFT(Cockpit!$C$5,1)="B",AH1030,MAX(AH1030,G1030))))</f>
        <v>0</v>
      </c>
      <c r="AE1030" s="57" t="n">
        <f aca="false">IF(BR1030=1,0,ROUNDUP(AD1030/BQ1030,0))</f>
        <v>0</v>
      </c>
      <c r="AF1030" s="59" t="n">
        <f aca="false">IF(CD1030&gt;0,CD1030*MAX(1,AD1030/V1030),IF(BR1030=1,IF(AD1030&lt;=0,0,BS1030*MAX(1,IF(G1030&gt;0,AD1030/G1030,1))),IF(Q1030&gt;0,AE1030/Q1030,0))/MAX(0.1,N(Parameter!$M$21)))</f>
        <v>0</v>
      </c>
      <c r="AG1030" s="57" t="n">
        <f aca="false">AD1030*F1030</f>
        <v>0</v>
      </c>
      <c r="AH1030" s="57" t="n">
        <f aca="false">ROUNDUP(MAX(I1030/IF(BV1030&gt;0,BV1030,MAX(0.1,N(Cockpit!$C$6))),BY1030)/BQ1030,0)*BQ1030</f>
        <v>15</v>
      </c>
      <c r="AI1030" s="58" t="n">
        <f aca="false">IF(AF1030&gt;0,I1030/AF1030,-1)</f>
        <v>-1</v>
      </c>
      <c r="AJ1030" s="58" t="str">
        <f aca="false">IF(AND(OR(BU1030="L1",BU1030="L23"),AF1030&gt;0),SUMIFS($AF$7:$AF$1576,$BU$7:$BU$1576,BU1030,$AI$7:$AI$1576,"&gt;"&amp;AI1030)+SUMIFS($AF$7:$AF$1576,$BU$7:$BU$1576,BU1030,$AI$7:$AI$1576,AI1030,$BO$7:$BO$1576,"&lt;="&amp;BO1030),"")</f>
        <v/>
      </c>
      <c r="AK1030" s="65" t="n">
        <f aca="false">IF(AJ1030="",0,MAX(0,MIN(1,(IF(BU1030="L1",Parameter!$E$5,Parameter!$E$6+Parameter!$E$7)-(AJ1030-AF1030))/AF1030)))</f>
        <v>0</v>
      </c>
      <c r="AL1030" s="57" t="n">
        <f aca="false">IF(LEFT(Cockpit!$I$5,1)="A",G1030,IF(BW1030=1,BX1030,IF(LEFT(Cockpit!$I$5,1)="B",AP1030,MAX(AP1030,G1030))))</f>
        <v>15</v>
      </c>
      <c r="AM1030" s="57" t="n">
        <f aca="false">IF(BR1030=1,0,ROUNDUP(AL1030/BQ1030,0))</f>
        <v>1</v>
      </c>
      <c r="AN1030" s="59" t="n">
        <f aca="false">IF(CD1030&gt;0,CD1030*MAX(1,AL1030/V1030),IF(BR1030=1,IF(AL1030&lt;=0,0,BS1030*MAX(1,IF(G1030&gt;0,AL1030/G1030,1))),IF(Q1030&gt;0,AM1030/Q1030,0))/MAX(0.1,N(Parameter!$M$21)))</f>
        <v>0.00241545893719807</v>
      </c>
      <c r="AO1030" s="57" t="n">
        <f aca="false">AL1030*F1030</f>
        <v>114.15</v>
      </c>
      <c r="AP1030" s="57" t="n">
        <f aca="false">ROUNDUP(MAX(I1030/IF(BV1030&gt;0,BV1030,MAX(0.1,N(Cockpit!$I$6))),BY1030)/BQ1030,0)*BQ1030</f>
        <v>15</v>
      </c>
      <c r="AQ1030" s="58" t="n">
        <f aca="false">IF(AN1030&gt;0,I1030/AN1030,-1)</f>
        <v>5382</v>
      </c>
      <c r="AR1030" s="58" t="n">
        <f aca="false">IF(AND(OR(BU1030="L1",BU1030="L23"),AN1030&gt;0),SUMIFS($AN$7:$AN$1576,$BU$7:$BU$1576,BU1030,$AQ$7:$AQ$1576,"&gt;"&amp;AQ1030)+SUMIFS($AN$7:$AN$1576,$BU$7:$BU$1576,BU1030,$AQ$7:$AQ$1576,AQ1030,$BO$7:$BO$1576,"&lt;="&amp;BO1030),"")</f>
        <v>11.0946376575116</v>
      </c>
      <c r="AS1030" s="65" t="n">
        <f aca="false">IF(AR1030="",0,MAX(0,MIN(1,(IF(BU1030="L1",Parameter!$E$5,Parameter!$E$6+Parameter!$E$7)-(AR1030-AN1030))/AN1030)))</f>
        <v>1</v>
      </c>
      <c r="AT1030" s="57" t="n">
        <f aca="false">IF(LEFT(Cockpit!$O$5,1)="A",G1030,IF(BW1030=1,BX1030,IF(LEFT(Cockpit!$O$5,1)="B",AX1030,MAX(AX1030,G1030))))</f>
        <v>15</v>
      </c>
      <c r="AU1030" s="57" t="n">
        <f aca="false">IF(BR1030=1,0,ROUNDUP(AT1030/BQ1030,0))</f>
        <v>1</v>
      </c>
      <c r="AV1030" s="59" t="n">
        <f aca="false">IF(CD1030&gt;0,CD1030*MAX(1,AT1030/V1030),IF(BR1030=1,IF(AT1030&lt;=0,0,BS1030*MAX(1,IF(G1030&gt;0,AT1030/G1030,1))),IF(Q1030&gt;0,AU1030/Q1030,0))/MAX(0.1,N(Parameter!$M$21)))</f>
        <v>0.00241545893719807</v>
      </c>
      <c r="AW1030" s="57" t="n">
        <f aca="false">AT1030*F1030</f>
        <v>114.15</v>
      </c>
      <c r="AX1030" s="57" t="n">
        <f aca="false">ROUNDUP(MAX(I1030/IF(BV1030&gt;0,BV1030,MAX(0.1,N(Cockpit!$O$6))),BY1030)/BQ1030,0)*BQ1030</f>
        <v>15</v>
      </c>
      <c r="AY1030" s="58" t="n">
        <f aca="false">IF(AV1030&gt;0,I1030/AV1030,-1)</f>
        <v>5382</v>
      </c>
      <c r="AZ1030" s="58" t="n">
        <f aca="false">IF(AND(OR(BU1030="L1",BU1030="L23"),AV1030&gt;0),SUMIFS($AV$7:$AV$1576,$BU$7:$BU$1576,BU1030,$AY$7:$AY$1576,"&gt;"&amp;AY1030)+SUMIFS($AV$7:$AV$1576,$BU$7:$BU$1576,BU1030,$AY$7:$AY$1576,AY1030,$BO$7:$BO$1576,"&lt;="&amp;BO1030),"")</f>
        <v>10.315500128374</v>
      </c>
      <c r="BA1030" s="65" t="n">
        <f aca="false">IF(AZ1030="",0,MAX(0,MIN(1,(IF(BU1030="L1",Parameter!$E$5,Parameter!$E$6+Parameter!$E$7)-(AZ1030-AV1030))/AV1030)))</f>
        <v>1</v>
      </c>
      <c r="BB1030" s="55" t="str">
        <f aca="false">IF(AF1030&lt;=0,"",IF(BU1030="Aussen","Aussenlager",IF(BU1030="-","Nicht im Lift",IF(AK1030&gt;=1,"Lift",IF(AK1030&lt;=0,"Aussenlager","teilweise")))))</f>
        <v/>
      </c>
      <c r="BC1030" s="55" t="str">
        <f aca="false">IF(AN1030&lt;=0,"",IF(BU1030="Aussen","Aussenlager",IF(BU1030="-","Nicht im Lift",IF(AS1030&gt;=1,"Lift",IF(AS1030&lt;=0,"Aussenlager","teilweise")))))</f>
        <v>Lift</v>
      </c>
      <c r="BD1030" s="55" t="str">
        <f aca="false">IF(AV1030&lt;=0,"",IF(BU1030="Aussen","Aussenlager",IF(BU1030="-","Nicht im Lift",IF(BA1030&gt;=1,"Lift",IF(BA1030&lt;=0,"Aussenlager","teilweise")))))</f>
        <v>Lift</v>
      </c>
      <c r="BE1030" s="55" t="str">
        <f aca="false">IF(A1030="","",IF(BN1030=1,"Neu; ","")&amp;IF(AND(BN1030=0,BI1030&lt;0),"negativer Bestand (Export "&amp;BI1030&amp;"); ","")&amp;IF(I1030&lt;=0,"Kein Verbrauch; ","")&amp;IF(CD1030&gt;0,"Lift "&amp;U1030&amp;" lt. Liftbericht (Fach "&amp;V1030&amp;" Stk); ",IF(BR1030=1,"Lose – Fläche geschätzt; ",""))&amp;IF(G1030&gt;AP1030,"Überbestand "&amp;ROUND(G1030-AP1030,0)&amp;" Stk / CHF "&amp;ROUND((G1030-AP1030)*F1030,0)&amp;"; ","")&amp;IF(AND(BW1030=1,BX1030&lt;BY1030),"MAX &lt; MB+LG; ","")&amp;IF(AND(CC1030&gt;0,CB1030*10&gt;CC1030),"zu hoch für Tablar; ","")&amp;IF(AND(BN1030=0,OR(BW1030=1,Y1030&lt;&gt;"",S1030&lt;&gt;"",T1030&lt;&gt;"",Z1030&lt;&gt;"")),"manuell übersteuert; ","")&amp;IF(AND(BR1030=0,Q1030=0),"Gebinde unbekannt / Stellmass fehlt; ","")&amp;IF(AND(BR1030=0,N(T1030)&lt;=0,N(P1030)&lt;=0),"Menge pro Gebinde fehlt (Ist = 1 Gebinde); ","")&amp;BM1030)</f>
        <v>negativer Bestand (Export -17); </v>
      </c>
      <c r="BF1030" s="55"/>
      <c r="BG1030" s="55"/>
      <c r="BH1030" s="62"/>
      <c r="BI1030" s="57" t="n">
        <v>-17</v>
      </c>
      <c r="BJ1030" s="57" t="n">
        <v>41</v>
      </c>
      <c r="BK1030" s="56" t="n">
        <v>-129.37</v>
      </c>
      <c r="BL1030" s="57" t="n">
        <v>13</v>
      </c>
      <c r="BM1030" s="55"/>
      <c r="BN1030" s="60" t="n">
        <v>0</v>
      </c>
      <c r="BO1030" s="60" t="n">
        <v>1030</v>
      </c>
      <c r="BP1030" s="55" t="str">
        <f aca="false">IF(S1030&lt;&gt;"",UPPER(TRIM(S1030)),IF(O1030="","LOSE",O1030))</f>
        <v>S21</v>
      </c>
      <c r="BQ1030" s="57" t="n">
        <f aca="false">IF(BP1030="LOSE",1,IF(N(T1030)&gt;0,T1030,IF(N(P1030)&gt;0,P1030,MAX(1,G1030))))</f>
        <v>15</v>
      </c>
      <c r="BR1030" s="60" t="n">
        <f aca="false">IF(BP1030="LOSE",1,0)</f>
        <v>0</v>
      </c>
      <c r="BS1030" s="59" t="n">
        <f aca="false">IF(BR1030=0,0,IF(N(R1030)&gt;0,R1030,IFERROR(VLOOKUP(D1030,Parameter!$A$35:$C$64,3,0)+0,0)))</f>
        <v>0</v>
      </c>
      <c r="BT1030" s="55" t="n">
        <f aca="false">IF(Y1030&lt;&gt;"",Y1030,X1030)</f>
        <v>3</v>
      </c>
      <c r="BU1030" s="55" t="str">
        <f aca="false">IF(BT1030=1,"L1",IF(OR(BT1030=2,BT1030=3),"L23",IF(BT1030="Aussen","Aussen","-")))</f>
        <v>L23</v>
      </c>
      <c r="BV1030" s="66" t="n">
        <f aca="false">IF(N(Z1030)&gt;0,Z1030,0)</f>
        <v>0</v>
      </c>
      <c r="BW1030" s="60" t="n">
        <f aca="false">IF(ISNUMBER(AC1030),1,0)</f>
        <v>0</v>
      </c>
      <c r="BX1030" s="57" t="n">
        <f aca="false">N(AC1030)</f>
        <v>0</v>
      </c>
      <c r="BY1030" s="57" t="n">
        <f aca="false">N(L1030)+N(M1030)</f>
        <v>15</v>
      </c>
      <c r="BZ1030" s="57" t="n">
        <f aca="false">ROUNDUP(G1030/BQ1030,0)</f>
        <v>0</v>
      </c>
      <c r="CA1030" s="57" t="n">
        <f aca="false">ROUNDUP(BX1030/BQ1030,0)</f>
        <v>0</v>
      </c>
      <c r="CB1030" s="60" t="n">
        <f aca="false">IF(BR1030=1,0,IFERROR(VLOOKUP(BP1030,'Gebinde-Kategorie'!$A$5:$M$45,5,0)+0,0))</f>
        <v>8</v>
      </c>
      <c r="CC1030" s="60" t="n">
        <f aca="false">IFERROR(IF(OR(BT1030=1,BT1030=2,BT1030=3),N(INDEX(Parameter!$I$5:$I$7,BT1030)),0),0)</f>
        <v>0</v>
      </c>
      <c r="CD1030" s="59" t="n">
        <f aca="false">IF(AND(Parameter!$B$21="Ja",ISNUMBER(U1030),N(V1030)&gt;0),IFERROR(N(INDEX(Parameter!$L$5:$L$7,U1030))*INDEX(Parameter!$E$5:$E$7,U1030)*V1030/SUMIFS($V$7:$V$1576,$U$7:$U$1576,U1030),0),0)</f>
        <v>0</v>
      </c>
    </row>
    <row r="1031" customFormat="false" ht="15" hidden="false" customHeight="false" outlineLevel="0" collapsed="false">
      <c r="A1031" s="55" t="s">
        <v>1882</v>
      </c>
      <c r="B1031" s="55" t="s">
        <v>1883</v>
      </c>
      <c r="C1031" s="55" t="s">
        <v>446</v>
      </c>
      <c r="D1031" s="55" t="s">
        <v>168</v>
      </c>
      <c r="E1031" s="55" t="s">
        <v>210</v>
      </c>
      <c r="F1031" s="56" t="n">
        <v>130.2</v>
      </c>
      <c r="G1031" s="57" t="n">
        <f aca="false">MAX(0,IF(AND(Parameter!$B$21="Ja",ISNUMBER(W1031)),W1031,IF(Parameter!$B$20="Jahresanfang 2025 + Export",BJ1031+BI1031,BI1031)))</f>
        <v>0</v>
      </c>
      <c r="H1031" s="57" t="n">
        <f aca="false">G1031*F1031</f>
        <v>0</v>
      </c>
      <c r="I1031" s="57" t="n">
        <f aca="false">BL1031*Parameter!$B$18</f>
        <v>0</v>
      </c>
      <c r="J1031" s="58" t="n">
        <v>0.5</v>
      </c>
      <c r="K1031" s="59" t="n">
        <v>0</v>
      </c>
      <c r="L1031" s="57" t="n">
        <v>0</v>
      </c>
      <c r="M1031" s="57" t="n">
        <v>1</v>
      </c>
      <c r="N1031" s="60" t="n">
        <v>56</v>
      </c>
      <c r="O1031" s="55" t="s">
        <v>163</v>
      </c>
      <c r="P1031" s="57"/>
      <c r="Q1031" s="60" t="n">
        <f aca="false">IF(BR1031=1,0,IFERROR(VLOOKUP(BP1031,'Gebinde-Kategorie'!$A$5:$M$45,13,0)+0,0))</f>
        <v>0</v>
      </c>
      <c r="R1031" s="61"/>
      <c r="S1031" s="62"/>
      <c r="T1031" s="62"/>
      <c r="U1031" s="55"/>
      <c r="V1031" s="57"/>
      <c r="W1031" s="57"/>
      <c r="X1031" s="55" t="n">
        <f aca="false">IF(A1031="","",IF(AND(Parameter!$B$21="Ja",ISNUMBER(U1031)),U1031,IF(IFERROR(VLOOKUP(D1031,Parameter!$A$35:$C$64,2,0),"Nein")="2+3",IF(ISNUMBER(SEARCH("grosser Artikel",BM1031)),2,IFERROR(VLOOKUP(BP1031,Parameter!$F$35:$G$64,2,0),2)),IF(OR(IFERROR(VLOOKUP(D1031,Parameter!$A$35:$C$64,2,0),"Nein")="Nein",IFERROR(VLOOKUP(D1031,Parameter!$A$35:$C$64,2,0),"Nein")=""),"-",VLOOKUP(D1031,Parameter!$A$35:$C$64,2,0)))))</f>
        <v>2</v>
      </c>
      <c r="Y1031" s="62"/>
      <c r="Z1031" s="63"/>
      <c r="AA1031" s="57" t="n">
        <f aca="false">AP1031</f>
        <v>1</v>
      </c>
      <c r="AB1031" s="57" t="n">
        <f aca="false">MAX(AP1031,G1031)</f>
        <v>1</v>
      </c>
      <c r="AC1031" s="64"/>
      <c r="AD1031" s="57" t="n">
        <f aca="false">IF(LEFT(Cockpit!$C$5,1)="A",G1031,IF(BW1031=1,BX1031,IF(LEFT(Cockpit!$C$5,1)="B",AH1031,MAX(AH1031,G1031))))</f>
        <v>0</v>
      </c>
      <c r="AE1031" s="57" t="n">
        <f aca="false">IF(BR1031=1,0,ROUNDUP(AD1031/BQ1031,0))</f>
        <v>0</v>
      </c>
      <c r="AF1031" s="59" t="n">
        <f aca="false">IF(CD1031&gt;0,CD1031*MAX(1,AD1031/V1031),IF(BR1031=1,IF(AD1031&lt;=0,0,BS1031*MAX(1,IF(G1031&gt;0,AD1031/G1031,1))),IF(Q1031&gt;0,AE1031/Q1031,0))/MAX(0.1,N(Parameter!$M$21)))</f>
        <v>0</v>
      </c>
      <c r="AG1031" s="57" t="n">
        <f aca="false">AD1031*F1031</f>
        <v>0</v>
      </c>
      <c r="AH1031" s="57" t="n">
        <f aca="false">ROUNDUP(MAX(I1031/IF(BV1031&gt;0,BV1031,MAX(0.1,N(Cockpit!$C$6))),BY1031)/BQ1031,0)*BQ1031</f>
        <v>1</v>
      </c>
      <c r="AI1031" s="58" t="n">
        <f aca="false">IF(AF1031&gt;0,I1031/AF1031,-1)</f>
        <v>-1</v>
      </c>
      <c r="AJ1031" s="58" t="str">
        <f aca="false">IF(AND(OR(BU1031="L1",BU1031="L23"),AF1031&gt;0),SUMIFS($AF$7:$AF$1576,$BU$7:$BU$1576,BU1031,$AI$7:$AI$1576,"&gt;"&amp;AI1031)+SUMIFS($AF$7:$AF$1576,$BU$7:$BU$1576,BU1031,$AI$7:$AI$1576,AI1031,$BO$7:$BO$1576,"&lt;="&amp;BO1031),"")</f>
        <v/>
      </c>
      <c r="AK1031" s="65" t="n">
        <f aca="false">IF(AJ1031="",0,MAX(0,MIN(1,(IF(BU1031="L1",Parameter!$E$5,Parameter!$E$6+Parameter!$E$7)-(AJ1031-AF1031))/AF1031)))</f>
        <v>0</v>
      </c>
      <c r="AL1031" s="57" t="n">
        <f aca="false">IF(LEFT(Cockpit!$I$5,1)="A",G1031,IF(BW1031=1,BX1031,IF(LEFT(Cockpit!$I$5,1)="B",AP1031,MAX(AP1031,G1031))))</f>
        <v>1</v>
      </c>
      <c r="AM1031" s="57" t="n">
        <f aca="false">IF(BR1031=1,0,ROUNDUP(AL1031/BQ1031,0))</f>
        <v>0</v>
      </c>
      <c r="AN1031" s="59" t="n">
        <f aca="false">IF(CD1031&gt;0,CD1031*MAX(1,AL1031/V1031),IF(BR1031=1,IF(AL1031&lt;=0,0,BS1031*MAX(1,IF(G1031&gt;0,AL1031/G1031,1))),IF(Q1031&gt;0,AM1031/Q1031,0))/MAX(0.1,N(Parameter!$M$21)))</f>
        <v>0.15</v>
      </c>
      <c r="AO1031" s="57" t="n">
        <f aca="false">AL1031*F1031</f>
        <v>130.2</v>
      </c>
      <c r="AP1031" s="57" t="n">
        <f aca="false">ROUNDUP(MAX(I1031/IF(BV1031&gt;0,BV1031,MAX(0.1,N(Cockpit!$I$6))),BY1031)/BQ1031,0)*BQ1031</f>
        <v>1</v>
      </c>
      <c r="AQ1031" s="58" t="n">
        <f aca="false">IF(AN1031&gt;0,I1031/AN1031,-1)</f>
        <v>0</v>
      </c>
      <c r="AR1031" s="58" t="n">
        <f aca="false">IF(AND(OR(BU1031="L1",BU1031="L23"),AN1031&gt;0),SUMIFS($AN$7:$AN$1576,$BU$7:$BU$1576,BU1031,$AQ$7:$AQ$1576,"&gt;"&amp;AQ1031)+SUMIFS($AN$7:$AN$1576,$BU$7:$BU$1576,BU1031,$AQ$7:$AQ$1576,AQ1031,$BO$7:$BO$1576,"&lt;="&amp;BO1031),"")</f>
        <v>132.92104598305</v>
      </c>
      <c r="AS1031" s="65" t="n">
        <f aca="false">IF(AR1031="",0,MAX(0,MIN(1,(IF(BU1031="L1",Parameter!$E$5,Parameter!$E$6+Parameter!$E$7)-(AR1031-AN1031))/AN1031)))</f>
        <v>0</v>
      </c>
      <c r="AT1031" s="57" t="n">
        <f aca="false">IF(LEFT(Cockpit!$O$5,1)="A",G1031,IF(BW1031=1,BX1031,IF(LEFT(Cockpit!$O$5,1)="B",AX1031,MAX(AX1031,G1031))))</f>
        <v>1</v>
      </c>
      <c r="AU1031" s="57" t="n">
        <f aca="false">IF(BR1031=1,0,ROUNDUP(AT1031/BQ1031,0))</f>
        <v>0</v>
      </c>
      <c r="AV1031" s="59" t="n">
        <f aca="false">IF(CD1031&gt;0,CD1031*MAX(1,AT1031/V1031),IF(BR1031=1,IF(AT1031&lt;=0,0,BS1031*MAX(1,IF(G1031&gt;0,AT1031/G1031,1))),IF(Q1031&gt;0,AU1031/Q1031,0))/MAX(0.1,N(Parameter!$M$21)))</f>
        <v>0.15</v>
      </c>
      <c r="AW1031" s="57" t="n">
        <f aca="false">AT1031*F1031</f>
        <v>130.2</v>
      </c>
      <c r="AX1031" s="57" t="n">
        <f aca="false">ROUNDUP(MAX(I1031/IF(BV1031&gt;0,BV1031,MAX(0.1,N(Cockpit!$O$6))),BY1031)/BQ1031,0)*BQ1031</f>
        <v>1</v>
      </c>
      <c r="AY1031" s="58" t="n">
        <f aca="false">IF(AV1031&gt;0,I1031/AV1031,-1)</f>
        <v>0</v>
      </c>
      <c r="AZ1031" s="58" t="n">
        <f aca="false">IF(AND(OR(BU1031="L1",BU1031="L23"),AV1031&gt;0),SUMIFS($AV$7:$AV$1576,$BU$7:$BU$1576,BU1031,$AY$7:$AY$1576,"&gt;"&amp;AY1031)+SUMIFS($AV$7:$AV$1576,$BU$7:$BU$1576,BU1031,$AY$7:$AY$1576,AY1031,$BO$7:$BO$1576,"&lt;="&amp;BO1031),"")</f>
        <v>122.9805964326</v>
      </c>
      <c r="BA1031" s="65" t="n">
        <f aca="false">IF(AZ1031="",0,MAX(0,MIN(1,(IF(BU1031="L1",Parameter!$E$5,Parameter!$E$6+Parameter!$E$7)-(AZ1031-AV1031))/AV1031)))</f>
        <v>0</v>
      </c>
      <c r="BB1031" s="55" t="str">
        <f aca="false">IF(AF1031&lt;=0,"",IF(BU1031="Aussen","Aussenlager",IF(BU1031="-","Nicht im Lift",IF(AK1031&gt;=1,"Lift",IF(AK1031&lt;=0,"Aussenlager","teilweise")))))</f>
        <v/>
      </c>
      <c r="BC1031" s="55" t="str">
        <f aca="false">IF(AN1031&lt;=0,"",IF(BU1031="Aussen","Aussenlager",IF(BU1031="-","Nicht im Lift",IF(AS1031&gt;=1,"Lift",IF(AS1031&lt;=0,"Aussenlager","teilweise")))))</f>
        <v>Aussenlager</v>
      </c>
      <c r="BD1031" s="55" t="str">
        <f aca="false">IF(AV1031&lt;=0,"",IF(BU1031="Aussen","Aussenlager",IF(BU1031="-","Nicht im Lift",IF(BA1031&gt;=1,"Lift",IF(BA1031&lt;=0,"Aussenlager","teilweise")))))</f>
        <v>Aussenlager</v>
      </c>
      <c r="BE1031" s="55" t="str">
        <f aca="false">IF(A1031="","",IF(BN1031=1,"Neu; ","")&amp;IF(AND(BN1031=0,BI1031&lt;0),"negativer Bestand (Export "&amp;BI1031&amp;"); ","")&amp;IF(I1031&lt;=0,"Kein Verbrauch; ","")&amp;IF(CD1031&gt;0,"Lift "&amp;U1031&amp;" lt. Liftbericht (Fach "&amp;V1031&amp;" Stk); ",IF(BR1031=1,"Lose – Fläche geschätzt; ",""))&amp;IF(G1031&gt;AP1031,"Überbestand "&amp;ROUND(G1031-AP1031,0)&amp;" Stk / CHF "&amp;ROUND((G1031-AP1031)*F1031,0)&amp;"; ","")&amp;IF(AND(BW1031=1,BX1031&lt;BY1031),"MAX &lt; MB+LG; ","")&amp;IF(AND(CC1031&gt;0,CB1031*10&gt;CC1031),"zu hoch für Tablar; ","")&amp;IF(AND(BN1031=0,OR(BW1031=1,Y1031&lt;&gt;"",S1031&lt;&gt;"",T1031&lt;&gt;"",Z1031&lt;&gt;"")),"manuell übersteuert; ","")&amp;IF(AND(BR1031=0,Q1031=0),"Gebinde unbekannt / Stellmass fehlt; ","")&amp;IF(AND(BR1031=0,N(T1031)&lt;=0,N(P1031)&lt;=0),"Menge pro Gebinde fehlt (Ist = 1 Gebinde); ","")&amp;BM1031)</f>
        <v>negativer Bestand (Export -1); Kein Verbrauch; Lose – Fläche geschätzt; Neu</v>
      </c>
      <c r="BF1031" s="55"/>
      <c r="BG1031" s="55"/>
      <c r="BH1031" s="62"/>
      <c r="BI1031" s="57" t="n">
        <v>-1</v>
      </c>
      <c r="BJ1031" s="57" t="n">
        <v>1</v>
      </c>
      <c r="BK1031" s="56" t="n">
        <v>-130.2</v>
      </c>
      <c r="BL1031" s="57" t="n">
        <v>0</v>
      </c>
      <c r="BM1031" s="55" t="s">
        <v>615</v>
      </c>
      <c r="BN1031" s="60" t="n">
        <v>0</v>
      </c>
      <c r="BO1031" s="60" t="n">
        <v>1031</v>
      </c>
      <c r="BP1031" s="55" t="str">
        <f aca="false">IF(S1031&lt;&gt;"",UPPER(TRIM(S1031)),IF(O1031="","LOSE",O1031))</f>
        <v>LOSE</v>
      </c>
      <c r="BQ1031" s="57" t="n">
        <f aca="false">IF(BP1031="LOSE",1,IF(N(T1031)&gt;0,T1031,IF(N(P1031)&gt;0,P1031,MAX(1,G1031))))</f>
        <v>1</v>
      </c>
      <c r="BR1031" s="60" t="n">
        <f aca="false">IF(BP1031="LOSE",1,0)</f>
        <v>1</v>
      </c>
      <c r="BS1031" s="59" t="n">
        <f aca="false">IF(BR1031=0,0,IF(N(R1031)&gt;0,R1031,IFERROR(VLOOKUP(D1031,Parameter!$A$35:$C$64,3,0)+0,0)))</f>
        <v>0.15</v>
      </c>
      <c r="BT1031" s="55" t="n">
        <f aca="false">IF(Y1031&lt;&gt;"",Y1031,X1031)</f>
        <v>2</v>
      </c>
      <c r="BU1031" s="55" t="str">
        <f aca="false">IF(BT1031=1,"L1",IF(OR(BT1031=2,BT1031=3),"L23",IF(BT1031="Aussen","Aussen","-")))</f>
        <v>L23</v>
      </c>
      <c r="BV1031" s="66" t="n">
        <f aca="false">IF(N(Z1031)&gt;0,Z1031,0)</f>
        <v>0</v>
      </c>
      <c r="BW1031" s="60" t="n">
        <f aca="false">IF(ISNUMBER(AC1031),1,0)</f>
        <v>0</v>
      </c>
      <c r="BX1031" s="57" t="n">
        <f aca="false">N(AC1031)</f>
        <v>0</v>
      </c>
      <c r="BY1031" s="57" t="n">
        <f aca="false">N(L1031)+N(M1031)</f>
        <v>1</v>
      </c>
      <c r="BZ1031" s="57" t="n">
        <f aca="false">ROUNDUP(G1031/BQ1031,0)</f>
        <v>0</v>
      </c>
      <c r="CA1031" s="57" t="n">
        <f aca="false">ROUNDUP(BX1031/BQ1031,0)</f>
        <v>0</v>
      </c>
      <c r="CB1031" s="60" t="n">
        <f aca="false">IF(BR1031=1,0,IFERROR(VLOOKUP(BP1031,'Gebinde-Kategorie'!$A$5:$M$45,5,0)+0,0))</f>
        <v>0</v>
      </c>
      <c r="CC1031" s="60" t="n">
        <f aca="false">IFERROR(IF(OR(BT1031=1,BT1031=2,BT1031=3),N(INDEX(Parameter!$I$5:$I$7,BT1031)),0),0)</f>
        <v>0</v>
      </c>
      <c r="CD1031" s="59" t="n">
        <f aca="false">IF(AND(Parameter!$B$21="Ja",ISNUMBER(U1031),N(V1031)&gt;0),IFERROR(N(INDEX(Parameter!$L$5:$L$7,U1031))*INDEX(Parameter!$E$5:$E$7,U1031)*V1031/SUMIFS($V$7:$V$1576,$U$7:$U$1576,U1031),0),0)</f>
        <v>0</v>
      </c>
    </row>
    <row r="1032" customFormat="false" ht="15" hidden="false" customHeight="false" outlineLevel="0" collapsed="false">
      <c r="A1032" s="55" t="s">
        <v>1884</v>
      </c>
      <c r="B1032" s="55" t="s">
        <v>1885</v>
      </c>
      <c r="C1032" s="55" t="s">
        <v>160</v>
      </c>
      <c r="D1032" s="55" t="s">
        <v>178</v>
      </c>
      <c r="E1032" s="55" t="s">
        <v>210</v>
      </c>
      <c r="F1032" s="56" t="n">
        <v>22.57</v>
      </c>
      <c r="G1032" s="57" t="n">
        <f aca="false">MAX(0,IF(AND(Parameter!$B$21="Ja",ISNUMBER(W1032)),W1032,IF(Parameter!$B$20="Jahresanfang 2025 + Export",BJ1032+BI1032,BI1032)))</f>
        <v>0</v>
      </c>
      <c r="H1032" s="57" t="n">
        <f aca="false">G1032*F1032</f>
        <v>0</v>
      </c>
      <c r="I1032" s="57" t="n">
        <f aca="false">BL1032*Parameter!$B$18</f>
        <v>20</v>
      </c>
      <c r="J1032" s="58" t="n">
        <v>11</v>
      </c>
      <c r="K1032" s="59" t="n">
        <v>1.81818181818182</v>
      </c>
      <c r="L1032" s="57" t="n">
        <v>1</v>
      </c>
      <c r="M1032" s="57" t="n">
        <v>20</v>
      </c>
      <c r="N1032" s="60" t="n">
        <v>24</v>
      </c>
      <c r="O1032" s="55" t="s">
        <v>293</v>
      </c>
      <c r="P1032" s="57" t="n">
        <v>43</v>
      </c>
      <c r="Q1032" s="60" t="n">
        <f aca="false">IF(BR1032=1,0,IFERROR(VLOOKUP(BP1032,'Gebinde-Kategorie'!$A$5:$M$45,13,0)+0,0))</f>
        <v>26</v>
      </c>
      <c r="R1032" s="61"/>
      <c r="S1032" s="62"/>
      <c r="T1032" s="62"/>
      <c r="U1032" s="55"/>
      <c r="V1032" s="57"/>
      <c r="W1032" s="57"/>
      <c r="X1032" s="55" t="n">
        <f aca="false">IF(A1032="","",IF(AND(Parameter!$B$21="Ja",ISNUMBER(U1032)),U1032,IF(IFERROR(VLOOKUP(D1032,Parameter!$A$35:$C$64,2,0),"Nein")="2+3",IF(ISNUMBER(SEARCH("grosser Artikel",BM1032)),2,IFERROR(VLOOKUP(BP1032,Parameter!$F$35:$G$64,2,0),2)),IF(OR(IFERROR(VLOOKUP(D1032,Parameter!$A$35:$C$64,2,0),"Nein")="Nein",IFERROR(VLOOKUP(D1032,Parameter!$A$35:$C$64,2,0),"Nein")=""),"-",VLOOKUP(D1032,Parameter!$A$35:$C$64,2,0)))))</f>
        <v>3</v>
      </c>
      <c r="Y1032" s="62"/>
      <c r="Z1032" s="63"/>
      <c r="AA1032" s="57" t="n">
        <f aca="false">AP1032</f>
        <v>43</v>
      </c>
      <c r="AB1032" s="57" t="n">
        <f aca="false">MAX(AP1032,G1032)</f>
        <v>43</v>
      </c>
      <c r="AC1032" s="64"/>
      <c r="AD1032" s="57" t="n">
        <f aca="false">IF(LEFT(Cockpit!$C$5,1)="A",G1032,IF(BW1032=1,BX1032,IF(LEFT(Cockpit!$C$5,1)="B",AH1032,MAX(AH1032,G1032))))</f>
        <v>0</v>
      </c>
      <c r="AE1032" s="57" t="n">
        <f aca="false">IF(BR1032=1,0,ROUNDUP(AD1032/BQ1032,0))</f>
        <v>0</v>
      </c>
      <c r="AF1032" s="59" t="n">
        <f aca="false">IF(CD1032&gt;0,CD1032*MAX(1,AD1032/V1032),IF(BR1032=1,IF(AD1032&lt;=0,0,BS1032*MAX(1,IF(G1032&gt;0,AD1032/G1032,1))),IF(Q1032&gt;0,AE1032/Q1032,0))/MAX(0.1,N(Parameter!$M$21)))</f>
        <v>0</v>
      </c>
      <c r="AG1032" s="57" t="n">
        <f aca="false">AD1032*F1032</f>
        <v>0</v>
      </c>
      <c r="AH1032" s="57" t="n">
        <f aca="false">ROUNDUP(MAX(I1032/IF(BV1032&gt;0,BV1032,MAX(0.1,N(Cockpit!$C$6))),BY1032)/BQ1032,0)*BQ1032</f>
        <v>43</v>
      </c>
      <c r="AI1032" s="58" t="n">
        <f aca="false">IF(AF1032&gt;0,I1032/AF1032,-1)</f>
        <v>-1</v>
      </c>
      <c r="AJ1032" s="58" t="str">
        <f aca="false">IF(AND(OR(BU1032="L1",BU1032="L23"),AF1032&gt;0),SUMIFS($AF$7:$AF$1576,$BU$7:$BU$1576,BU1032,$AI$7:$AI$1576,"&gt;"&amp;AI1032)+SUMIFS($AF$7:$AF$1576,$BU$7:$BU$1576,BU1032,$AI$7:$AI$1576,AI1032,$BO$7:$BO$1576,"&lt;="&amp;BO1032),"")</f>
        <v/>
      </c>
      <c r="AK1032" s="65" t="n">
        <f aca="false">IF(AJ1032="",0,MAX(0,MIN(1,(IF(BU1032="L1",Parameter!$E$5,Parameter!$E$6+Parameter!$E$7)-(AJ1032-AF1032))/AF1032)))</f>
        <v>0</v>
      </c>
      <c r="AL1032" s="57" t="n">
        <f aca="false">IF(LEFT(Cockpit!$I$5,1)="A",G1032,IF(BW1032=1,BX1032,IF(LEFT(Cockpit!$I$5,1)="B",AP1032,MAX(AP1032,G1032))))</f>
        <v>43</v>
      </c>
      <c r="AM1032" s="57" t="n">
        <f aca="false">IF(BR1032=1,0,ROUNDUP(AL1032/BQ1032,0))</f>
        <v>1</v>
      </c>
      <c r="AN1032" s="59" t="n">
        <f aca="false">IF(CD1032&gt;0,CD1032*MAX(1,AL1032/V1032),IF(BR1032=1,IF(AL1032&lt;=0,0,BS1032*MAX(1,IF(G1032&gt;0,AL1032/G1032,1))),IF(Q1032&gt;0,AM1032/Q1032,0))/MAX(0.1,N(Parameter!$M$21)))</f>
        <v>0.0384615384615385</v>
      </c>
      <c r="AO1032" s="57" t="n">
        <f aca="false">AL1032*F1032</f>
        <v>970.51</v>
      </c>
      <c r="AP1032" s="57" t="n">
        <f aca="false">ROUNDUP(MAX(I1032/IF(BV1032&gt;0,BV1032,MAX(0.1,N(Cockpit!$I$6))),BY1032)/BQ1032,0)*BQ1032</f>
        <v>43</v>
      </c>
      <c r="AQ1032" s="58" t="n">
        <f aca="false">IF(AN1032&gt;0,I1032/AN1032,-1)</f>
        <v>520</v>
      </c>
      <c r="AR1032" s="58" t="n">
        <f aca="false">IF(AND(OR(BU1032="L1",BU1032="L23"),AN1032&gt;0),SUMIFS($AN$7:$AN$1576,$BU$7:$BU$1576,BU1032,$AQ$7:$AQ$1576,"&gt;"&amp;AQ1032)+SUMIFS($AN$7:$AN$1576,$BU$7:$BU$1576,BU1032,$AQ$7:$AQ$1576,AQ1032,$BO$7:$BO$1576,"&lt;="&amp;BO1032),"")</f>
        <v>33.2622201594052</v>
      </c>
      <c r="AS1032" s="65" t="n">
        <f aca="false">IF(AR1032="",0,MAX(0,MIN(1,(IF(BU1032="L1",Parameter!$E$5,Parameter!$E$6+Parameter!$E$7)-(AR1032-AN1032))/AN1032)))</f>
        <v>1</v>
      </c>
      <c r="AT1032" s="57" t="n">
        <f aca="false">IF(LEFT(Cockpit!$O$5,1)="A",G1032,IF(BW1032=1,BX1032,IF(LEFT(Cockpit!$O$5,1)="B",AX1032,MAX(AX1032,G1032))))</f>
        <v>43</v>
      </c>
      <c r="AU1032" s="57" t="n">
        <f aca="false">IF(BR1032=1,0,ROUNDUP(AT1032/BQ1032,0))</f>
        <v>1</v>
      </c>
      <c r="AV1032" s="59" t="n">
        <f aca="false">IF(CD1032&gt;0,CD1032*MAX(1,AT1032/V1032),IF(BR1032=1,IF(AT1032&lt;=0,0,BS1032*MAX(1,IF(G1032&gt;0,AT1032/G1032,1))),IF(Q1032&gt;0,AU1032/Q1032,0))/MAX(0.1,N(Parameter!$M$21)))</f>
        <v>0.0384615384615385</v>
      </c>
      <c r="AW1032" s="57" t="n">
        <f aca="false">AT1032*F1032</f>
        <v>970.51</v>
      </c>
      <c r="AX1032" s="57" t="n">
        <f aca="false">ROUNDUP(MAX(I1032/IF(BV1032&gt;0,BV1032,MAX(0.1,N(Cockpit!$O$6))),BY1032)/BQ1032,0)*BQ1032</f>
        <v>43</v>
      </c>
      <c r="AY1032" s="58" t="n">
        <f aca="false">IF(AV1032&gt;0,I1032/AV1032,-1)</f>
        <v>520</v>
      </c>
      <c r="AZ1032" s="58" t="n">
        <f aca="false">IF(AND(OR(BU1032="L1",BU1032="L23"),AV1032&gt;0),SUMIFS($AV$7:$AV$1576,$BU$7:$BU$1576,BU1032,$AY$7:$AY$1576,"&gt;"&amp;AY1032)+SUMIFS($AV$7:$AV$1576,$BU$7:$BU$1576,BU1032,$AY$7:$AY$1576,AY1032,$BO$7:$BO$1576,"&lt;="&amp;BO1032),"")</f>
        <v>31.3389068060919</v>
      </c>
      <c r="BA1032" s="65" t="n">
        <f aca="false">IF(AZ1032="",0,MAX(0,MIN(1,(IF(BU1032="L1",Parameter!$E$5,Parameter!$E$6+Parameter!$E$7)-(AZ1032-AV1032))/AV1032)))</f>
        <v>1</v>
      </c>
      <c r="BB1032" s="55" t="str">
        <f aca="false">IF(AF1032&lt;=0,"",IF(BU1032="Aussen","Aussenlager",IF(BU1032="-","Nicht im Lift",IF(AK1032&gt;=1,"Lift",IF(AK1032&lt;=0,"Aussenlager","teilweise")))))</f>
        <v/>
      </c>
      <c r="BC1032" s="55" t="str">
        <f aca="false">IF(AN1032&lt;=0,"",IF(BU1032="Aussen","Aussenlager",IF(BU1032="-","Nicht im Lift",IF(AS1032&gt;=1,"Lift",IF(AS1032&lt;=0,"Aussenlager","teilweise")))))</f>
        <v>Lift</v>
      </c>
      <c r="BD1032" s="55" t="str">
        <f aca="false">IF(AV1032&lt;=0,"",IF(BU1032="Aussen","Aussenlager",IF(BU1032="-","Nicht im Lift",IF(BA1032&gt;=1,"Lift",IF(BA1032&lt;=0,"Aussenlager","teilweise")))))</f>
        <v>Lift</v>
      </c>
      <c r="BE1032" s="55" t="str">
        <f aca="false">IF(A1032="","",IF(BN1032=1,"Neu; ","")&amp;IF(AND(BN1032=0,BI1032&lt;0),"negativer Bestand (Export "&amp;BI1032&amp;"); ","")&amp;IF(I1032&lt;=0,"Kein Verbrauch; ","")&amp;IF(CD1032&gt;0,"Lift "&amp;U1032&amp;" lt. Liftbericht (Fach "&amp;V1032&amp;" Stk); ",IF(BR1032=1,"Lose – Fläche geschätzt; ",""))&amp;IF(G1032&gt;AP1032,"Überbestand "&amp;ROUND(G1032-AP1032,0)&amp;" Stk / CHF "&amp;ROUND((G1032-AP1032)*F1032,0)&amp;"; ","")&amp;IF(AND(BW1032=1,BX1032&lt;BY1032),"MAX &lt; MB+LG; ","")&amp;IF(AND(CC1032&gt;0,CB1032*10&gt;CC1032),"zu hoch für Tablar; ","")&amp;IF(AND(BN1032=0,OR(BW1032=1,Y1032&lt;&gt;"",S1032&lt;&gt;"",T1032&lt;&gt;"",Z1032&lt;&gt;"")),"manuell übersteuert; ","")&amp;IF(AND(BR1032=0,Q1032=0),"Gebinde unbekannt / Stellmass fehlt; ","")&amp;IF(AND(BR1032=0,N(T1032)&lt;=0,N(P1032)&lt;=0),"Menge pro Gebinde fehlt (Ist = 1 Gebinde); ","")&amp;BM1032)</f>
        <v>negativer Bestand (Export -6); </v>
      </c>
      <c r="BF1032" s="55"/>
      <c r="BG1032" s="55"/>
      <c r="BH1032" s="62"/>
      <c r="BI1032" s="57" t="n">
        <v>-6</v>
      </c>
      <c r="BJ1032" s="57" t="n">
        <v>14</v>
      </c>
      <c r="BK1032" s="56" t="n">
        <v>-130.66</v>
      </c>
      <c r="BL1032" s="57" t="n">
        <v>20</v>
      </c>
      <c r="BM1032" s="55"/>
      <c r="BN1032" s="60" t="n">
        <v>0</v>
      </c>
      <c r="BO1032" s="60" t="n">
        <v>1032</v>
      </c>
      <c r="BP1032" s="55" t="str">
        <f aca="false">IF(S1032&lt;&gt;"",UPPER(TRIM(S1032)),IF(O1032="","LOSE",O1032))</f>
        <v>S51</v>
      </c>
      <c r="BQ1032" s="57" t="n">
        <f aca="false">IF(BP1032="LOSE",1,IF(N(T1032)&gt;0,T1032,IF(N(P1032)&gt;0,P1032,MAX(1,G1032))))</f>
        <v>43</v>
      </c>
      <c r="BR1032" s="60" t="n">
        <f aca="false">IF(BP1032="LOSE",1,0)</f>
        <v>0</v>
      </c>
      <c r="BS1032" s="59" t="n">
        <f aca="false">IF(BR1032=0,0,IF(N(R1032)&gt;0,R1032,IFERROR(VLOOKUP(D1032,Parameter!$A$35:$C$64,3,0)+0,0)))</f>
        <v>0</v>
      </c>
      <c r="BT1032" s="55" t="n">
        <f aca="false">IF(Y1032&lt;&gt;"",Y1032,X1032)</f>
        <v>3</v>
      </c>
      <c r="BU1032" s="55" t="str">
        <f aca="false">IF(BT1032=1,"L1",IF(OR(BT1032=2,BT1032=3),"L23",IF(BT1032="Aussen","Aussen","-")))</f>
        <v>L23</v>
      </c>
      <c r="BV1032" s="66" t="n">
        <f aca="false">IF(N(Z1032)&gt;0,Z1032,0)</f>
        <v>0</v>
      </c>
      <c r="BW1032" s="60" t="n">
        <f aca="false">IF(ISNUMBER(AC1032),1,0)</f>
        <v>0</v>
      </c>
      <c r="BX1032" s="57" t="n">
        <f aca="false">N(AC1032)</f>
        <v>0</v>
      </c>
      <c r="BY1032" s="57" t="n">
        <f aca="false">N(L1032)+N(M1032)</f>
        <v>21</v>
      </c>
      <c r="BZ1032" s="57" t="n">
        <f aca="false">ROUNDUP(G1032/BQ1032,0)</f>
        <v>0</v>
      </c>
      <c r="CA1032" s="57" t="n">
        <f aca="false">ROUNDUP(BX1032/BQ1032,0)</f>
        <v>0</v>
      </c>
      <c r="CB1032" s="60" t="n">
        <f aca="false">IF(BR1032=1,0,IFERROR(VLOOKUP(BP1032,'Gebinde-Kategorie'!$A$5:$M$45,5,0)+0,0))</f>
        <v>11</v>
      </c>
      <c r="CC1032" s="60" t="n">
        <f aca="false">IFERROR(IF(OR(BT1032=1,BT1032=2,BT1032=3),N(INDEX(Parameter!$I$5:$I$7,BT1032)),0),0)</f>
        <v>0</v>
      </c>
      <c r="CD1032" s="59" t="n">
        <f aca="false">IF(AND(Parameter!$B$21="Ja",ISNUMBER(U1032),N(V1032)&gt;0),IFERROR(N(INDEX(Parameter!$L$5:$L$7,U1032))*INDEX(Parameter!$E$5:$E$7,U1032)*V1032/SUMIFS($V$7:$V$1576,$U$7:$U$1576,U1032),0),0)</f>
        <v>0</v>
      </c>
    </row>
    <row r="1033" customFormat="false" ht="15" hidden="false" customHeight="false" outlineLevel="0" collapsed="false">
      <c r="A1033" s="55" t="s">
        <v>1886</v>
      </c>
      <c r="B1033" s="55" t="s">
        <v>421</v>
      </c>
      <c r="C1033" s="55" t="s">
        <v>160</v>
      </c>
      <c r="D1033" s="55" t="s">
        <v>178</v>
      </c>
      <c r="E1033" s="55" t="s">
        <v>210</v>
      </c>
      <c r="F1033" s="56" t="n">
        <v>133.9</v>
      </c>
      <c r="G1033" s="57" t="n">
        <f aca="false">MAX(0,IF(AND(Parameter!$B$21="Ja",ISNUMBER(W1033)),W1033,IF(Parameter!$B$20="Jahresanfang 2025 + Export",BJ1033+BI1033,BI1033)))</f>
        <v>0</v>
      </c>
      <c r="H1033" s="57" t="n">
        <f aca="false">G1033*F1033</f>
        <v>0</v>
      </c>
      <c r="I1033" s="57" t="n">
        <f aca="false">BL1033*Parameter!$B$18</f>
        <v>0.002</v>
      </c>
      <c r="J1033" s="58" t="n">
        <v>1.5</v>
      </c>
      <c r="K1033" s="59" t="n">
        <v>0.00133333333333333</v>
      </c>
      <c r="L1033" s="57" t="n">
        <v>0</v>
      </c>
      <c r="M1033" s="57" t="n">
        <v>1</v>
      </c>
      <c r="N1033" s="60" t="n">
        <v>70</v>
      </c>
      <c r="O1033" s="55" t="s">
        <v>416</v>
      </c>
      <c r="P1033" s="57" t="n">
        <v>2</v>
      </c>
      <c r="Q1033" s="60" t="n">
        <f aca="false">IF(BR1033=1,0,IFERROR(VLOOKUP(BP1033,'Gebinde-Kategorie'!$A$5:$M$45,13,0)+0,0))</f>
        <v>198</v>
      </c>
      <c r="R1033" s="61"/>
      <c r="S1033" s="62"/>
      <c r="T1033" s="62"/>
      <c r="U1033" s="55"/>
      <c r="V1033" s="57"/>
      <c r="W1033" s="57"/>
      <c r="X1033" s="55" t="n">
        <f aca="false">IF(A1033="","",IF(AND(Parameter!$B$21="Ja",ISNUMBER(U1033)),U1033,IF(IFERROR(VLOOKUP(D1033,Parameter!$A$35:$C$64,2,0),"Nein")="2+3",IF(ISNUMBER(SEARCH("grosser Artikel",BM1033)),2,IFERROR(VLOOKUP(BP1033,Parameter!$F$35:$G$64,2,0),2)),IF(OR(IFERROR(VLOOKUP(D1033,Parameter!$A$35:$C$64,2,0),"Nein")="Nein",IFERROR(VLOOKUP(D1033,Parameter!$A$35:$C$64,2,0),"Nein")=""),"-",VLOOKUP(D1033,Parameter!$A$35:$C$64,2,0)))))</f>
        <v>3</v>
      </c>
      <c r="Y1033" s="62"/>
      <c r="Z1033" s="63"/>
      <c r="AA1033" s="57" t="n">
        <f aca="false">AP1033</f>
        <v>2</v>
      </c>
      <c r="AB1033" s="57" t="n">
        <f aca="false">MAX(AP1033,G1033)</f>
        <v>2</v>
      </c>
      <c r="AC1033" s="64"/>
      <c r="AD1033" s="57" t="n">
        <f aca="false">IF(LEFT(Cockpit!$C$5,1)="A",G1033,IF(BW1033=1,BX1033,IF(LEFT(Cockpit!$C$5,1)="B",AH1033,MAX(AH1033,G1033))))</f>
        <v>0</v>
      </c>
      <c r="AE1033" s="57" t="n">
        <f aca="false">IF(BR1033=1,0,ROUNDUP(AD1033/BQ1033,0))</f>
        <v>0</v>
      </c>
      <c r="AF1033" s="59" t="n">
        <f aca="false">IF(CD1033&gt;0,CD1033*MAX(1,AD1033/V1033),IF(BR1033=1,IF(AD1033&lt;=0,0,BS1033*MAX(1,IF(G1033&gt;0,AD1033/G1033,1))),IF(Q1033&gt;0,AE1033/Q1033,0))/MAX(0.1,N(Parameter!$M$21)))</f>
        <v>0</v>
      </c>
      <c r="AG1033" s="57" t="n">
        <f aca="false">AD1033*F1033</f>
        <v>0</v>
      </c>
      <c r="AH1033" s="57" t="n">
        <f aca="false">ROUNDUP(MAX(I1033/IF(BV1033&gt;0,BV1033,MAX(0.1,N(Cockpit!$C$6))),BY1033)/BQ1033,0)*BQ1033</f>
        <v>2</v>
      </c>
      <c r="AI1033" s="58" t="n">
        <f aca="false">IF(AF1033&gt;0,I1033/AF1033,-1)</f>
        <v>-1</v>
      </c>
      <c r="AJ1033" s="58" t="str">
        <f aca="false">IF(AND(OR(BU1033="L1",BU1033="L23"),AF1033&gt;0),SUMIFS($AF$7:$AF$1576,$BU$7:$BU$1576,BU1033,$AI$7:$AI$1576,"&gt;"&amp;AI1033)+SUMIFS($AF$7:$AF$1576,$BU$7:$BU$1576,BU1033,$AI$7:$AI$1576,AI1033,$BO$7:$BO$1576,"&lt;="&amp;BO1033),"")</f>
        <v/>
      </c>
      <c r="AK1033" s="65" t="n">
        <f aca="false">IF(AJ1033="",0,MAX(0,MIN(1,(IF(BU1033="L1",Parameter!$E$5,Parameter!$E$6+Parameter!$E$7)-(AJ1033-AF1033))/AF1033)))</f>
        <v>0</v>
      </c>
      <c r="AL1033" s="57" t="n">
        <f aca="false">IF(LEFT(Cockpit!$I$5,1)="A",G1033,IF(BW1033=1,BX1033,IF(LEFT(Cockpit!$I$5,1)="B",AP1033,MAX(AP1033,G1033))))</f>
        <v>2</v>
      </c>
      <c r="AM1033" s="57" t="n">
        <f aca="false">IF(BR1033=1,0,ROUNDUP(AL1033/BQ1033,0))</f>
        <v>1</v>
      </c>
      <c r="AN1033" s="59" t="n">
        <f aca="false">IF(CD1033&gt;0,CD1033*MAX(1,AL1033/V1033),IF(BR1033=1,IF(AL1033&lt;=0,0,BS1033*MAX(1,IF(G1033&gt;0,AL1033/G1033,1))),IF(Q1033&gt;0,AM1033/Q1033,0))/MAX(0.1,N(Parameter!$M$21)))</f>
        <v>0.00505050505050505</v>
      </c>
      <c r="AO1033" s="57" t="n">
        <f aca="false">AL1033*F1033</f>
        <v>267.8</v>
      </c>
      <c r="AP1033" s="57" t="n">
        <f aca="false">ROUNDUP(MAX(I1033/IF(BV1033&gt;0,BV1033,MAX(0.1,N(Cockpit!$I$6))),BY1033)/BQ1033,0)*BQ1033</f>
        <v>2</v>
      </c>
      <c r="AQ1033" s="58" t="n">
        <f aca="false">IF(AN1033&gt;0,I1033/AN1033,-1)</f>
        <v>0.396</v>
      </c>
      <c r="AR1033" s="58" t="n">
        <f aca="false">IF(AND(OR(BU1033="L1",BU1033="L23"),AN1033&gt;0),SUMIFS($AN$7:$AN$1576,$BU$7:$BU$1576,BU1033,$AQ$7:$AQ$1576,"&gt;"&amp;AQ1033)+SUMIFS($AN$7:$AN$1576,$BU$7:$BU$1576,BU1033,$AQ$7:$AQ$1576,AQ1033,$BO$7:$BO$1576,"&lt;="&amp;BO1033),"")</f>
        <v>117.797485093746</v>
      </c>
      <c r="AS1033" s="65" t="n">
        <f aca="false">IF(AR1033="",0,MAX(0,MIN(1,(IF(BU1033="L1",Parameter!$E$5,Parameter!$E$6+Parameter!$E$7)-(AR1033-AN1033))/AN1033)))</f>
        <v>0</v>
      </c>
      <c r="AT1033" s="57" t="n">
        <f aca="false">IF(LEFT(Cockpit!$O$5,1)="A",G1033,IF(BW1033=1,BX1033,IF(LEFT(Cockpit!$O$5,1)="B",AX1033,MAX(AX1033,G1033))))</f>
        <v>2</v>
      </c>
      <c r="AU1033" s="57" t="n">
        <f aca="false">IF(BR1033=1,0,ROUNDUP(AT1033/BQ1033,0))</f>
        <v>1</v>
      </c>
      <c r="AV1033" s="59" t="n">
        <f aca="false">IF(CD1033&gt;0,CD1033*MAX(1,AT1033/V1033),IF(BR1033=1,IF(AT1033&lt;=0,0,BS1033*MAX(1,IF(G1033&gt;0,AT1033/G1033,1))),IF(Q1033&gt;0,AU1033/Q1033,0))/MAX(0.1,N(Parameter!$M$21)))</f>
        <v>0.00505050505050505</v>
      </c>
      <c r="AW1033" s="57" t="n">
        <f aca="false">AT1033*F1033</f>
        <v>267.8</v>
      </c>
      <c r="AX1033" s="57" t="n">
        <f aca="false">ROUNDUP(MAX(I1033/IF(BV1033&gt;0,BV1033,MAX(0.1,N(Cockpit!$O$6))),BY1033)/BQ1033,0)*BQ1033</f>
        <v>2</v>
      </c>
      <c r="AY1033" s="58" t="n">
        <f aca="false">IF(AV1033&gt;0,I1033/AV1033,-1)</f>
        <v>0.396</v>
      </c>
      <c r="AZ1033" s="58" t="n">
        <f aca="false">IF(AND(OR(BU1033="L1",BU1033="L23"),AV1033&gt;0),SUMIFS($AV$7:$AV$1576,$BU$7:$BU$1576,BU1033,$AY$7:$AY$1576,"&gt;"&amp;AY1033)+SUMIFS($AV$7:$AV$1576,$BU$7:$BU$1576,BU1033,$AY$7:$AY$1576,AY1033,$BO$7:$BO$1576,"&lt;="&amp;BO1033),"")</f>
        <v>107.857035543297</v>
      </c>
      <c r="BA1033" s="65" t="n">
        <f aca="false">IF(AZ1033="",0,MAX(0,MIN(1,(IF(BU1033="L1",Parameter!$E$5,Parameter!$E$6+Parameter!$E$7)-(AZ1033-AV1033))/AV1033)))</f>
        <v>0</v>
      </c>
      <c r="BB1033" s="55" t="str">
        <f aca="false">IF(AF1033&lt;=0,"",IF(BU1033="Aussen","Aussenlager",IF(BU1033="-","Nicht im Lift",IF(AK1033&gt;=1,"Lift",IF(AK1033&lt;=0,"Aussenlager","teilweise")))))</f>
        <v/>
      </c>
      <c r="BC1033" s="55" t="str">
        <f aca="false">IF(AN1033&lt;=0,"",IF(BU1033="Aussen","Aussenlager",IF(BU1033="-","Nicht im Lift",IF(AS1033&gt;=1,"Lift",IF(AS1033&lt;=0,"Aussenlager","teilweise")))))</f>
        <v>Aussenlager</v>
      </c>
      <c r="BD1033" s="55" t="str">
        <f aca="false">IF(AV1033&lt;=0,"",IF(BU1033="Aussen","Aussenlager",IF(BU1033="-","Nicht im Lift",IF(BA1033&gt;=1,"Lift",IF(BA1033&lt;=0,"Aussenlager","teilweise")))))</f>
        <v>Aussenlager</v>
      </c>
      <c r="BE1033" s="55" t="str">
        <f aca="false">IF(A1033="","",IF(BN1033=1,"Neu; ","")&amp;IF(AND(BN1033=0,BI1033&lt;0),"negativer Bestand (Export "&amp;BI1033&amp;"); ","")&amp;IF(I1033&lt;=0,"Kein Verbrauch; ","")&amp;IF(CD1033&gt;0,"Lift "&amp;U1033&amp;" lt. Liftbericht (Fach "&amp;V1033&amp;" Stk); ",IF(BR1033=1,"Lose – Fläche geschätzt; ",""))&amp;IF(G1033&gt;AP1033,"Überbestand "&amp;ROUND(G1033-AP1033,0)&amp;" Stk / CHF "&amp;ROUND((G1033-AP1033)*F1033,0)&amp;"; ","")&amp;IF(AND(BW1033=1,BX1033&lt;BY1033),"MAX &lt; MB+LG; ","")&amp;IF(AND(CC1033&gt;0,CB1033*10&gt;CC1033),"zu hoch für Tablar; ","")&amp;IF(AND(BN1033=0,OR(BW1033=1,Y1033&lt;&gt;"",S1033&lt;&gt;"",T1033&lt;&gt;"",Z1033&lt;&gt;"")),"manuell übersteuert; ","")&amp;IF(AND(BR1033=0,Q1033=0),"Gebinde unbekannt / Stellmass fehlt; ","")&amp;IF(AND(BR1033=0,N(T1033)&lt;=0,N(P1033)&lt;=0),"Menge pro Gebinde fehlt (Ist = 1 Gebinde); ","")&amp;BM1033)</f>
        <v>negativer Bestand (Export -1); </v>
      </c>
      <c r="BF1033" s="55"/>
      <c r="BG1033" s="55"/>
      <c r="BH1033" s="62"/>
      <c r="BI1033" s="57" t="n">
        <v>-1</v>
      </c>
      <c r="BJ1033" s="57" t="n">
        <v>2</v>
      </c>
      <c r="BK1033" s="56" t="n">
        <v>-130.7</v>
      </c>
      <c r="BL1033" s="57" t="n">
        <v>0.002</v>
      </c>
      <c r="BM1033" s="55"/>
      <c r="BN1033" s="60" t="n">
        <v>0</v>
      </c>
      <c r="BO1033" s="60" t="n">
        <v>1033</v>
      </c>
      <c r="BP1033" s="55" t="str">
        <f aca="false">IF(S1033&lt;&gt;"",UPPER(TRIM(S1033)),IF(O1033="","LOSE",O1033))</f>
        <v>S22</v>
      </c>
      <c r="BQ1033" s="57" t="n">
        <f aca="false">IF(BP1033="LOSE",1,IF(N(T1033)&gt;0,T1033,IF(N(P1033)&gt;0,P1033,MAX(1,G1033))))</f>
        <v>2</v>
      </c>
      <c r="BR1033" s="60" t="n">
        <f aca="false">IF(BP1033="LOSE",1,0)</f>
        <v>0</v>
      </c>
      <c r="BS1033" s="59" t="n">
        <f aca="false">IF(BR1033=0,0,IF(N(R1033)&gt;0,R1033,IFERROR(VLOOKUP(D1033,Parameter!$A$35:$C$64,3,0)+0,0)))</f>
        <v>0</v>
      </c>
      <c r="BT1033" s="55" t="n">
        <f aca="false">IF(Y1033&lt;&gt;"",Y1033,X1033)</f>
        <v>3</v>
      </c>
      <c r="BU1033" s="55" t="str">
        <f aca="false">IF(BT1033=1,"L1",IF(OR(BT1033=2,BT1033=3),"L23",IF(BT1033="Aussen","Aussen","-")))</f>
        <v>L23</v>
      </c>
      <c r="BV1033" s="66" t="n">
        <f aca="false">IF(N(Z1033)&gt;0,Z1033,0)</f>
        <v>0</v>
      </c>
      <c r="BW1033" s="60" t="n">
        <f aca="false">IF(ISNUMBER(AC1033),1,0)</f>
        <v>0</v>
      </c>
      <c r="BX1033" s="57" t="n">
        <f aca="false">N(AC1033)</f>
        <v>0</v>
      </c>
      <c r="BY1033" s="57" t="n">
        <f aca="false">N(L1033)+N(M1033)</f>
        <v>1</v>
      </c>
      <c r="BZ1033" s="57" t="n">
        <f aca="false">ROUNDUP(G1033/BQ1033,0)</f>
        <v>0</v>
      </c>
      <c r="CA1033" s="57" t="n">
        <f aca="false">ROUNDUP(BX1033/BQ1033,0)</f>
        <v>0</v>
      </c>
      <c r="CB1033" s="60" t="n">
        <f aca="false">IF(BR1033=1,0,IFERROR(VLOOKUP(BP1033,'Gebinde-Kategorie'!$A$5:$M$45,5,0)+0,0))</f>
        <v>8</v>
      </c>
      <c r="CC1033" s="60" t="n">
        <f aca="false">IFERROR(IF(OR(BT1033=1,BT1033=2,BT1033=3),N(INDEX(Parameter!$I$5:$I$7,BT1033)),0),0)</f>
        <v>0</v>
      </c>
      <c r="CD1033" s="59" t="n">
        <f aca="false">IF(AND(Parameter!$B$21="Ja",ISNUMBER(U1033),N(V1033)&gt;0),IFERROR(N(INDEX(Parameter!$L$5:$L$7,U1033))*INDEX(Parameter!$E$5:$E$7,U1033)*V1033/SUMIFS($V$7:$V$1576,$U$7:$U$1576,U1033),0),0)</f>
        <v>0</v>
      </c>
    </row>
    <row r="1034" customFormat="false" ht="15" hidden="false" customHeight="false" outlineLevel="0" collapsed="false">
      <c r="A1034" s="55" t="s">
        <v>1887</v>
      </c>
      <c r="B1034" s="55" t="s">
        <v>399</v>
      </c>
      <c r="C1034" s="55" t="s">
        <v>160</v>
      </c>
      <c r="D1034" s="55" t="s">
        <v>178</v>
      </c>
      <c r="E1034" s="55" t="s">
        <v>210</v>
      </c>
      <c r="F1034" s="56" t="n">
        <v>43.75</v>
      </c>
      <c r="G1034" s="57" t="n">
        <f aca="false">MAX(0,IF(AND(Parameter!$B$21="Ja",ISNUMBER(W1034)),W1034,IF(Parameter!$B$20="Jahresanfang 2025 + Export",BJ1034+BI1034,BI1034)))</f>
        <v>0</v>
      </c>
      <c r="H1034" s="57" t="n">
        <f aca="false">G1034*F1034</f>
        <v>0</v>
      </c>
      <c r="I1034" s="57" t="n">
        <f aca="false">BL1034*Parameter!$B$18</f>
        <v>0</v>
      </c>
      <c r="J1034" s="58" t="n">
        <v>39.5</v>
      </c>
      <c r="K1034" s="59" t="n">
        <v>0</v>
      </c>
      <c r="L1034" s="57" t="n">
        <v>0</v>
      </c>
      <c r="M1034" s="57" t="n">
        <v>1</v>
      </c>
      <c r="N1034" s="60" t="n">
        <v>28</v>
      </c>
      <c r="O1034" s="55" t="s">
        <v>293</v>
      </c>
      <c r="P1034" s="57" t="n">
        <v>42</v>
      </c>
      <c r="Q1034" s="60" t="n">
        <f aca="false">IF(BR1034=1,0,IFERROR(VLOOKUP(BP1034,'Gebinde-Kategorie'!$A$5:$M$45,13,0)+0,0))</f>
        <v>26</v>
      </c>
      <c r="R1034" s="61"/>
      <c r="S1034" s="62"/>
      <c r="T1034" s="62"/>
      <c r="U1034" s="55"/>
      <c r="V1034" s="57"/>
      <c r="W1034" s="57"/>
      <c r="X1034" s="55" t="n">
        <f aca="false">IF(A1034="","",IF(AND(Parameter!$B$21="Ja",ISNUMBER(U1034)),U1034,IF(IFERROR(VLOOKUP(D1034,Parameter!$A$35:$C$64,2,0),"Nein")="2+3",IF(ISNUMBER(SEARCH("grosser Artikel",BM1034)),2,IFERROR(VLOOKUP(BP1034,Parameter!$F$35:$G$64,2,0),2)),IF(OR(IFERROR(VLOOKUP(D1034,Parameter!$A$35:$C$64,2,0),"Nein")="Nein",IFERROR(VLOOKUP(D1034,Parameter!$A$35:$C$64,2,0),"Nein")=""),"-",VLOOKUP(D1034,Parameter!$A$35:$C$64,2,0)))))</f>
        <v>3</v>
      </c>
      <c r="Y1034" s="62"/>
      <c r="Z1034" s="63"/>
      <c r="AA1034" s="57" t="n">
        <f aca="false">AP1034</f>
        <v>42</v>
      </c>
      <c r="AB1034" s="57" t="n">
        <f aca="false">MAX(AP1034,G1034)</f>
        <v>42</v>
      </c>
      <c r="AC1034" s="64"/>
      <c r="AD1034" s="57" t="n">
        <f aca="false">IF(LEFT(Cockpit!$C$5,1)="A",G1034,IF(BW1034=1,BX1034,IF(LEFT(Cockpit!$C$5,1)="B",AH1034,MAX(AH1034,G1034))))</f>
        <v>0</v>
      </c>
      <c r="AE1034" s="57" t="n">
        <f aca="false">IF(BR1034=1,0,ROUNDUP(AD1034/BQ1034,0))</f>
        <v>0</v>
      </c>
      <c r="AF1034" s="59" t="n">
        <f aca="false">IF(CD1034&gt;0,CD1034*MAX(1,AD1034/V1034),IF(BR1034=1,IF(AD1034&lt;=0,0,BS1034*MAX(1,IF(G1034&gt;0,AD1034/G1034,1))),IF(Q1034&gt;0,AE1034/Q1034,0))/MAX(0.1,N(Parameter!$M$21)))</f>
        <v>0</v>
      </c>
      <c r="AG1034" s="57" t="n">
        <f aca="false">AD1034*F1034</f>
        <v>0</v>
      </c>
      <c r="AH1034" s="57" t="n">
        <f aca="false">ROUNDUP(MAX(I1034/IF(BV1034&gt;0,BV1034,MAX(0.1,N(Cockpit!$C$6))),BY1034)/BQ1034,0)*BQ1034</f>
        <v>42</v>
      </c>
      <c r="AI1034" s="58" t="n">
        <f aca="false">IF(AF1034&gt;0,I1034/AF1034,-1)</f>
        <v>-1</v>
      </c>
      <c r="AJ1034" s="58" t="str">
        <f aca="false">IF(AND(OR(BU1034="L1",BU1034="L23"),AF1034&gt;0),SUMIFS($AF$7:$AF$1576,$BU$7:$BU$1576,BU1034,$AI$7:$AI$1576,"&gt;"&amp;AI1034)+SUMIFS($AF$7:$AF$1576,$BU$7:$BU$1576,BU1034,$AI$7:$AI$1576,AI1034,$BO$7:$BO$1576,"&lt;="&amp;BO1034),"")</f>
        <v/>
      </c>
      <c r="AK1034" s="65" t="n">
        <f aca="false">IF(AJ1034="",0,MAX(0,MIN(1,(IF(BU1034="L1",Parameter!$E$5,Parameter!$E$6+Parameter!$E$7)-(AJ1034-AF1034))/AF1034)))</f>
        <v>0</v>
      </c>
      <c r="AL1034" s="57" t="n">
        <f aca="false">IF(LEFT(Cockpit!$I$5,1)="A",G1034,IF(BW1034=1,BX1034,IF(LEFT(Cockpit!$I$5,1)="B",AP1034,MAX(AP1034,G1034))))</f>
        <v>42</v>
      </c>
      <c r="AM1034" s="57" t="n">
        <f aca="false">IF(BR1034=1,0,ROUNDUP(AL1034/BQ1034,0))</f>
        <v>1</v>
      </c>
      <c r="AN1034" s="59" t="n">
        <f aca="false">IF(CD1034&gt;0,CD1034*MAX(1,AL1034/V1034),IF(BR1034=1,IF(AL1034&lt;=0,0,BS1034*MAX(1,IF(G1034&gt;0,AL1034/G1034,1))),IF(Q1034&gt;0,AM1034/Q1034,0))/MAX(0.1,N(Parameter!$M$21)))</f>
        <v>0.0384615384615385</v>
      </c>
      <c r="AO1034" s="57" t="n">
        <f aca="false">AL1034*F1034</f>
        <v>1837.5</v>
      </c>
      <c r="AP1034" s="57" t="n">
        <f aca="false">ROUNDUP(MAX(I1034/IF(BV1034&gt;0,BV1034,MAX(0.1,N(Cockpit!$I$6))),BY1034)/BQ1034,0)*BQ1034</f>
        <v>42</v>
      </c>
      <c r="AQ1034" s="58" t="n">
        <f aca="false">IF(AN1034&gt;0,I1034/AN1034,-1)</f>
        <v>0</v>
      </c>
      <c r="AR1034" s="58" t="n">
        <f aca="false">IF(AND(OR(BU1034="L1",BU1034="L23"),AN1034&gt;0),SUMIFS($AN$7:$AN$1576,$BU$7:$BU$1576,BU1034,$AQ$7:$AQ$1576,"&gt;"&amp;AQ1034)+SUMIFS($AN$7:$AN$1576,$BU$7:$BU$1576,BU1034,$AQ$7:$AQ$1576,AQ1034,$BO$7:$BO$1576,"&lt;="&amp;BO1034),"")</f>
        <v>132.959507521511</v>
      </c>
      <c r="AS1034" s="65" t="n">
        <f aca="false">IF(AR1034="",0,MAX(0,MIN(1,(IF(BU1034="L1",Parameter!$E$5,Parameter!$E$6+Parameter!$E$7)-(AR1034-AN1034))/AN1034)))</f>
        <v>0</v>
      </c>
      <c r="AT1034" s="57" t="n">
        <f aca="false">IF(LEFT(Cockpit!$O$5,1)="A",G1034,IF(BW1034=1,BX1034,IF(LEFT(Cockpit!$O$5,1)="B",AX1034,MAX(AX1034,G1034))))</f>
        <v>42</v>
      </c>
      <c r="AU1034" s="57" t="n">
        <f aca="false">IF(BR1034=1,0,ROUNDUP(AT1034/BQ1034,0))</f>
        <v>1</v>
      </c>
      <c r="AV1034" s="59" t="n">
        <f aca="false">IF(CD1034&gt;0,CD1034*MAX(1,AT1034/V1034),IF(BR1034=1,IF(AT1034&lt;=0,0,BS1034*MAX(1,IF(G1034&gt;0,AT1034/G1034,1))),IF(Q1034&gt;0,AU1034/Q1034,0))/MAX(0.1,N(Parameter!$M$21)))</f>
        <v>0.0384615384615385</v>
      </c>
      <c r="AW1034" s="57" t="n">
        <f aca="false">AT1034*F1034</f>
        <v>1837.5</v>
      </c>
      <c r="AX1034" s="57" t="n">
        <f aca="false">ROUNDUP(MAX(I1034/IF(BV1034&gt;0,BV1034,MAX(0.1,N(Cockpit!$O$6))),BY1034)/BQ1034,0)*BQ1034</f>
        <v>42</v>
      </c>
      <c r="AY1034" s="58" t="n">
        <f aca="false">IF(AV1034&gt;0,I1034/AV1034,-1)</f>
        <v>0</v>
      </c>
      <c r="AZ1034" s="58" t="n">
        <f aca="false">IF(AND(OR(BU1034="L1",BU1034="L23"),AV1034&gt;0),SUMIFS($AV$7:$AV$1576,$BU$7:$BU$1576,BU1034,$AY$7:$AY$1576,"&gt;"&amp;AY1034)+SUMIFS($AV$7:$AV$1576,$BU$7:$BU$1576,BU1034,$AY$7:$AY$1576,AY1034,$BO$7:$BO$1576,"&lt;="&amp;BO1034),"")</f>
        <v>123.019057971062</v>
      </c>
      <c r="BA1034" s="65" t="n">
        <f aca="false">IF(AZ1034="",0,MAX(0,MIN(1,(IF(BU1034="L1",Parameter!$E$5,Parameter!$E$6+Parameter!$E$7)-(AZ1034-AV1034))/AV1034)))</f>
        <v>0</v>
      </c>
      <c r="BB1034" s="55" t="str">
        <f aca="false">IF(AF1034&lt;=0,"",IF(BU1034="Aussen","Aussenlager",IF(BU1034="-","Nicht im Lift",IF(AK1034&gt;=1,"Lift",IF(AK1034&lt;=0,"Aussenlager","teilweise")))))</f>
        <v/>
      </c>
      <c r="BC1034" s="55" t="str">
        <f aca="false">IF(AN1034&lt;=0,"",IF(BU1034="Aussen","Aussenlager",IF(BU1034="-","Nicht im Lift",IF(AS1034&gt;=1,"Lift",IF(AS1034&lt;=0,"Aussenlager","teilweise")))))</f>
        <v>Aussenlager</v>
      </c>
      <c r="BD1034" s="55" t="str">
        <f aca="false">IF(AV1034&lt;=0,"",IF(BU1034="Aussen","Aussenlager",IF(BU1034="-","Nicht im Lift",IF(BA1034&gt;=1,"Lift",IF(BA1034&lt;=0,"Aussenlager","teilweise")))))</f>
        <v>Aussenlager</v>
      </c>
      <c r="BE1034" s="55" t="str">
        <f aca="false">IF(A1034="","",IF(BN1034=1,"Neu; ","")&amp;IF(AND(BN1034=0,BI1034&lt;0),"negativer Bestand (Export "&amp;BI1034&amp;"); ","")&amp;IF(I1034&lt;=0,"Kein Verbrauch; ","")&amp;IF(CD1034&gt;0,"Lift "&amp;U1034&amp;" lt. Liftbericht (Fach "&amp;V1034&amp;" Stk); ",IF(BR1034=1,"Lose – Fläche geschätzt; ",""))&amp;IF(G1034&gt;AP1034,"Überbestand "&amp;ROUND(G1034-AP1034,0)&amp;" Stk / CHF "&amp;ROUND((G1034-AP1034)*F1034,0)&amp;"; ","")&amp;IF(AND(BW1034=1,BX1034&lt;BY1034),"MAX &lt; MB+LG; ","")&amp;IF(AND(CC1034&gt;0,CB1034*10&gt;CC1034),"zu hoch für Tablar; ","")&amp;IF(AND(BN1034=0,OR(BW1034=1,Y1034&lt;&gt;"",S1034&lt;&gt;"",T1034&lt;&gt;"",Z1034&lt;&gt;"")),"manuell übersteuert; ","")&amp;IF(AND(BR1034=0,Q1034=0),"Gebinde unbekannt / Stellmass fehlt; ","")&amp;IF(AND(BR1034=0,N(T1034)&lt;=0,N(P1034)&lt;=0),"Menge pro Gebinde fehlt (Ist = 1 Gebinde); ","")&amp;BM1034)</f>
        <v>negativer Bestand (Export -3); Kein Verbrauch; </v>
      </c>
      <c r="BF1034" s="55"/>
      <c r="BG1034" s="55"/>
      <c r="BH1034" s="62"/>
      <c r="BI1034" s="57" t="n">
        <v>-3</v>
      </c>
      <c r="BJ1034" s="57" t="n">
        <v>41</v>
      </c>
      <c r="BK1034" s="56" t="n">
        <v>-131.25</v>
      </c>
      <c r="BL1034" s="57" t="n">
        <v>0</v>
      </c>
      <c r="BM1034" s="55"/>
      <c r="BN1034" s="60" t="n">
        <v>0</v>
      </c>
      <c r="BO1034" s="60" t="n">
        <v>1034</v>
      </c>
      <c r="BP1034" s="55" t="str">
        <f aca="false">IF(S1034&lt;&gt;"",UPPER(TRIM(S1034)),IF(O1034="","LOSE",O1034))</f>
        <v>S51</v>
      </c>
      <c r="BQ1034" s="57" t="n">
        <f aca="false">IF(BP1034="LOSE",1,IF(N(T1034)&gt;0,T1034,IF(N(P1034)&gt;0,P1034,MAX(1,G1034))))</f>
        <v>42</v>
      </c>
      <c r="BR1034" s="60" t="n">
        <f aca="false">IF(BP1034="LOSE",1,0)</f>
        <v>0</v>
      </c>
      <c r="BS1034" s="59" t="n">
        <f aca="false">IF(BR1034=0,0,IF(N(R1034)&gt;0,R1034,IFERROR(VLOOKUP(D1034,Parameter!$A$35:$C$64,3,0)+0,0)))</f>
        <v>0</v>
      </c>
      <c r="BT1034" s="55" t="n">
        <f aca="false">IF(Y1034&lt;&gt;"",Y1034,X1034)</f>
        <v>3</v>
      </c>
      <c r="BU1034" s="55" t="str">
        <f aca="false">IF(BT1034=1,"L1",IF(OR(BT1034=2,BT1034=3),"L23",IF(BT1034="Aussen","Aussen","-")))</f>
        <v>L23</v>
      </c>
      <c r="BV1034" s="66" t="n">
        <f aca="false">IF(N(Z1034)&gt;0,Z1034,0)</f>
        <v>0</v>
      </c>
      <c r="BW1034" s="60" t="n">
        <f aca="false">IF(ISNUMBER(AC1034),1,0)</f>
        <v>0</v>
      </c>
      <c r="BX1034" s="57" t="n">
        <f aca="false">N(AC1034)</f>
        <v>0</v>
      </c>
      <c r="BY1034" s="57" t="n">
        <f aca="false">N(L1034)+N(M1034)</f>
        <v>1</v>
      </c>
      <c r="BZ1034" s="57" t="n">
        <f aca="false">ROUNDUP(G1034/BQ1034,0)</f>
        <v>0</v>
      </c>
      <c r="CA1034" s="57" t="n">
        <f aca="false">ROUNDUP(BX1034/BQ1034,0)</f>
        <v>0</v>
      </c>
      <c r="CB1034" s="60" t="n">
        <f aca="false">IF(BR1034=1,0,IFERROR(VLOOKUP(BP1034,'Gebinde-Kategorie'!$A$5:$M$45,5,0)+0,0))</f>
        <v>11</v>
      </c>
      <c r="CC1034" s="60" t="n">
        <f aca="false">IFERROR(IF(OR(BT1034=1,BT1034=2,BT1034=3),N(INDEX(Parameter!$I$5:$I$7,BT1034)),0),0)</f>
        <v>0</v>
      </c>
      <c r="CD1034" s="59" t="n">
        <f aca="false">IF(AND(Parameter!$B$21="Ja",ISNUMBER(U1034),N(V1034)&gt;0),IFERROR(N(INDEX(Parameter!$L$5:$L$7,U1034))*INDEX(Parameter!$E$5:$E$7,U1034)*V1034/SUMIFS($V$7:$V$1576,$U$7:$U$1576,U1034),0),0)</f>
        <v>0</v>
      </c>
    </row>
    <row r="1035" customFormat="false" ht="15" hidden="false" customHeight="false" outlineLevel="0" collapsed="false">
      <c r="A1035" s="55" t="s">
        <v>1888</v>
      </c>
      <c r="B1035" s="55" t="s">
        <v>1889</v>
      </c>
      <c r="C1035" s="55" t="s">
        <v>160</v>
      </c>
      <c r="D1035" s="55" t="s">
        <v>178</v>
      </c>
      <c r="E1035" s="55" t="s">
        <v>210</v>
      </c>
      <c r="F1035" s="56" t="n">
        <v>32.82</v>
      </c>
      <c r="G1035" s="57" t="n">
        <f aca="false">MAX(0,IF(AND(Parameter!$B$21="Ja",ISNUMBER(W1035)),W1035,IF(Parameter!$B$20="Jahresanfang 2025 + Export",BJ1035+BI1035,BI1035)))</f>
        <v>0</v>
      </c>
      <c r="H1035" s="57" t="n">
        <f aca="false">G1035*F1035</f>
        <v>0</v>
      </c>
      <c r="I1035" s="57" t="n">
        <f aca="false">BL1035*Parameter!$B$18</f>
        <v>24</v>
      </c>
      <c r="J1035" s="58" t="n">
        <v>46.5</v>
      </c>
      <c r="K1035" s="59" t="n">
        <v>0.516129032258065</v>
      </c>
      <c r="L1035" s="57" t="n">
        <v>1</v>
      </c>
      <c r="M1035" s="57" t="n">
        <v>25</v>
      </c>
      <c r="N1035" s="60" t="n">
        <v>28</v>
      </c>
      <c r="O1035" s="55" t="s">
        <v>293</v>
      </c>
      <c r="P1035" s="57" t="n">
        <v>30</v>
      </c>
      <c r="Q1035" s="60" t="n">
        <f aca="false">IF(BR1035=1,0,IFERROR(VLOOKUP(BP1035,'Gebinde-Kategorie'!$A$5:$M$45,13,0)+0,0))</f>
        <v>26</v>
      </c>
      <c r="R1035" s="61"/>
      <c r="S1035" s="62"/>
      <c r="T1035" s="62"/>
      <c r="U1035" s="55"/>
      <c r="V1035" s="57"/>
      <c r="W1035" s="57"/>
      <c r="X1035" s="55" t="n">
        <f aca="false">IF(A1035="","",IF(AND(Parameter!$B$21="Ja",ISNUMBER(U1035)),U1035,IF(IFERROR(VLOOKUP(D1035,Parameter!$A$35:$C$64,2,0),"Nein")="2+3",IF(ISNUMBER(SEARCH("grosser Artikel",BM1035)),2,IFERROR(VLOOKUP(BP1035,Parameter!$F$35:$G$64,2,0),2)),IF(OR(IFERROR(VLOOKUP(D1035,Parameter!$A$35:$C$64,2,0),"Nein")="Nein",IFERROR(VLOOKUP(D1035,Parameter!$A$35:$C$64,2,0),"Nein")=""),"-",VLOOKUP(D1035,Parameter!$A$35:$C$64,2,0)))))</f>
        <v>3</v>
      </c>
      <c r="Y1035" s="62"/>
      <c r="Z1035" s="63"/>
      <c r="AA1035" s="57" t="n">
        <f aca="false">AP1035</f>
        <v>30</v>
      </c>
      <c r="AB1035" s="57" t="n">
        <f aca="false">MAX(AP1035,G1035)</f>
        <v>30</v>
      </c>
      <c r="AC1035" s="64"/>
      <c r="AD1035" s="57" t="n">
        <f aca="false">IF(LEFT(Cockpit!$C$5,1)="A",G1035,IF(BW1035=1,BX1035,IF(LEFT(Cockpit!$C$5,1)="B",AH1035,MAX(AH1035,G1035))))</f>
        <v>0</v>
      </c>
      <c r="AE1035" s="57" t="n">
        <f aca="false">IF(BR1035=1,0,ROUNDUP(AD1035/BQ1035,0))</f>
        <v>0</v>
      </c>
      <c r="AF1035" s="59" t="n">
        <f aca="false">IF(CD1035&gt;0,CD1035*MAX(1,AD1035/V1035),IF(BR1035=1,IF(AD1035&lt;=0,0,BS1035*MAX(1,IF(G1035&gt;0,AD1035/G1035,1))),IF(Q1035&gt;0,AE1035/Q1035,0))/MAX(0.1,N(Parameter!$M$21)))</f>
        <v>0</v>
      </c>
      <c r="AG1035" s="57" t="n">
        <f aca="false">AD1035*F1035</f>
        <v>0</v>
      </c>
      <c r="AH1035" s="57" t="n">
        <f aca="false">ROUNDUP(MAX(I1035/IF(BV1035&gt;0,BV1035,MAX(0.1,N(Cockpit!$C$6))),BY1035)/BQ1035,0)*BQ1035</f>
        <v>30</v>
      </c>
      <c r="AI1035" s="58" t="n">
        <f aca="false">IF(AF1035&gt;0,I1035/AF1035,-1)</f>
        <v>-1</v>
      </c>
      <c r="AJ1035" s="58" t="str">
        <f aca="false">IF(AND(OR(BU1035="L1",BU1035="L23"),AF1035&gt;0),SUMIFS($AF$7:$AF$1576,$BU$7:$BU$1576,BU1035,$AI$7:$AI$1576,"&gt;"&amp;AI1035)+SUMIFS($AF$7:$AF$1576,$BU$7:$BU$1576,BU1035,$AI$7:$AI$1576,AI1035,$BO$7:$BO$1576,"&lt;="&amp;BO1035),"")</f>
        <v/>
      </c>
      <c r="AK1035" s="65" t="n">
        <f aca="false">IF(AJ1035="",0,MAX(0,MIN(1,(IF(BU1035="L1",Parameter!$E$5,Parameter!$E$6+Parameter!$E$7)-(AJ1035-AF1035))/AF1035)))</f>
        <v>0</v>
      </c>
      <c r="AL1035" s="57" t="n">
        <f aca="false">IF(LEFT(Cockpit!$I$5,1)="A",G1035,IF(BW1035=1,BX1035,IF(LEFT(Cockpit!$I$5,1)="B",AP1035,MAX(AP1035,G1035))))</f>
        <v>30</v>
      </c>
      <c r="AM1035" s="57" t="n">
        <f aca="false">IF(BR1035=1,0,ROUNDUP(AL1035/BQ1035,0))</f>
        <v>1</v>
      </c>
      <c r="AN1035" s="59" t="n">
        <f aca="false">IF(CD1035&gt;0,CD1035*MAX(1,AL1035/V1035),IF(BR1035=1,IF(AL1035&lt;=0,0,BS1035*MAX(1,IF(G1035&gt;0,AL1035/G1035,1))),IF(Q1035&gt;0,AM1035/Q1035,0))/MAX(0.1,N(Parameter!$M$21)))</f>
        <v>0.0384615384615385</v>
      </c>
      <c r="AO1035" s="57" t="n">
        <f aca="false">AL1035*F1035</f>
        <v>984.6</v>
      </c>
      <c r="AP1035" s="57" t="n">
        <f aca="false">ROUNDUP(MAX(I1035/IF(BV1035&gt;0,BV1035,MAX(0.1,N(Cockpit!$I$6))),BY1035)/BQ1035,0)*BQ1035</f>
        <v>30</v>
      </c>
      <c r="AQ1035" s="58" t="n">
        <f aca="false">IF(AN1035&gt;0,I1035/AN1035,-1)</f>
        <v>624</v>
      </c>
      <c r="AR1035" s="58" t="n">
        <f aca="false">IF(AND(OR(BU1035="L1",BU1035="L23"),AN1035&gt;0),SUMIFS($AN$7:$AN$1576,$BU$7:$BU$1576,BU1035,$AQ$7:$AQ$1576,"&gt;"&amp;AQ1035)+SUMIFS($AN$7:$AN$1576,$BU$7:$BU$1576,BU1035,$AQ$7:$AQ$1576,AQ1035,$BO$7:$BO$1576,"&lt;="&amp;BO1035),"")</f>
        <v>30.8416917988769</v>
      </c>
      <c r="AS1035" s="65" t="n">
        <f aca="false">IF(AR1035="",0,MAX(0,MIN(1,(IF(BU1035="L1",Parameter!$E$5,Parameter!$E$6+Parameter!$E$7)-(AR1035-AN1035))/AN1035)))</f>
        <v>1</v>
      </c>
      <c r="AT1035" s="57" t="n">
        <f aca="false">IF(LEFT(Cockpit!$O$5,1)="A",G1035,IF(BW1035=1,BX1035,IF(LEFT(Cockpit!$O$5,1)="B",AX1035,MAX(AX1035,G1035))))</f>
        <v>30</v>
      </c>
      <c r="AU1035" s="57" t="n">
        <f aca="false">IF(BR1035=1,0,ROUNDUP(AT1035/BQ1035,0))</f>
        <v>1</v>
      </c>
      <c r="AV1035" s="59" t="n">
        <f aca="false">IF(CD1035&gt;0,CD1035*MAX(1,AT1035/V1035),IF(BR1035=1,IF(AT1035&lt;=0,0,BS1035*MAX(1,IF(G1035&gt;0,AT1035/G1035,1))),IF(Q1035&gt;0,AU1035/Q1035,0))/MAX(0.1,N(Parameter!$M$21)))</f>
        <v>0.0384615384615385</v>
      </c>
      <c r="AW1035" s="57" t="n">
        <f aca="false">AT1035*F1035</f>
        <v>984.6</v>
      </c>
      <c r="AX1035" s="57" t="n">
        <f aca="false">ROUNDUP(MAX(I1035/IF(BV1035&gt;0,BV1035,MAX(0.1,N(Cockpit!$O$6))),BY1035)/BQ1035,0)*BQ1035</f>
        <v>30</v>
      </c>
      <c r="AY1035" s="58" t="n">
        <f aca="false">IF(AV1035&gt;0,I1035/AV1035,-1)</f>
        <v>624</v>
      </c>
      <c r="AZ1035" s="58" t="n">
        <f aca="false">IF(AND(OR(BU1035="L1",BU1035="L23"),AV1035&gt;0),SUMIFS($AV$7:$AV$1576,$BU$7:$BU$1576,BU1035,$AY$7:$AY$1576,"&gt;"&amp;AY1035)+SUMIFS($AV$7:$AV$1576,$BU$7:$BU$1576,BU1035,$AY$7:$AY$1576,AY1035,$BO$7:$BO$1576,"&lt;="&amp;BO1035),"")</f>
        <v>30.0529938301789</v>
      </c>
      <c r="BA1035" s="65" t="n">
        <f aca="false">IF(AZ1035="",0,MAX(0,MIN(1,(IF(BU1035="L1",Parameter!$E$5,Parameter!$E$6+Parameter!$E$7)-(AZ1035-AV1035))/AV1035)))</f>
        <v>1</v>
      </c>
      <c r="BB1035" s="55" t="str">
        <f aca="false">IF(AF1035&lt;=0,"",IF(BU1035="Aussen","Aussenlager",IF(BU1035="-","Nicht im Lift",IF(AK1035&gt;=1,"Lift",IF(AK1035&lt;=0,"Aussenlager","teilweise")))))</f>
        <v/>
      </c>
      <c r="BC1035" s="55" t="str">
        <f aca="false">IF(AN1035&lt;=0,"",IF(BU1035="Aussen","Aussenlager",IF(BU1035="-","Nicht im Lift",IF(AS1035&gt;=1,"Lift",IF(AS1035&lt;=0,"Aussenlager","teilweise")))))</f>
        <v>Lift</v>
      </c>
      <c r="BD1035" s="55" t="str">
        <f aca="false">IF(AV1035&lt;=0,"",IF(BU1035="Aussen","Aussenlager",IF(BU1035="-","Nicht im Lift",IF(BA1035&gt;=1,"Lift",IF(BA1035&lt;=0,"Aussenlager","teilweise")))))</f>
        <v>Lift</v>
      </c>
      <c r="BE1035" s="55" t="str">
        <f aca="false">IF(A1035="","",IF(BN1035=1,"Neu; ","")&amp;IF(AND(BN1035=0,BI1035&lt;0),"negativer Bestand (Export "&amp;BI1035&amp;"); ","")&amp;IF(I1035&lt;=0,"Kein Verbrauch; ","")&amp;IF(CD1035&gt;0,"Lift "&amp;U1035&amp;" lt. Liftbericht (Fach "&amp;V1035&amp;" Stk); ",IF(BR1035=1,"Lose – Fläche geschätzt; ",""))&amp;IF(G1035&gt;AP1035,"Überbestand "&amp;ROUND(G1035-AP1035,0)&amp;" Stk / CHF "&amp;ROUND((G1035-AP1035)*F1035,0)&amp;"; ","")&amp;IF(AND(BW1035=1,BX1035&lt;BY1035),"MAX &lt; MB+LG; ","")&amp;IF(AND(CC1035&gt;0,CB1035*10&gt;CC1035),"zu hoch für Tablar; ","")&amp;IF(AND(BN1035=0,OR(BW1035=1,Y1035&lt;&gt;"",S1035&lt;&gt;"",T1035&lt;&gt;"",Z1035&lt;&gt;"")),"manuell übersteuert; ","")&amp;IF(AND(BR1035=0,Q1035=0),"Gebinde unbekannt / Stellmass fehlt; ","")&amp;IF(AND(BR1035=0,N(T1035)&lt;=0,N(P1035)&lt;=0),"Menge pro Gebinde fehlt (Ist = 1 Gebinde); ","")&amp;BM1035)</f>
        <v>negativer Bestand (Export -4); Neu</v>
      </c>
      <c r="BF1035" s="55"/>
      <c r="BG1035" s="55"/>
      <c r="BH1035" s="62"/>
      <c r="BI1035" s="57" t="n">
        <v>-4</v>
      </c>
      <c r="BJ1035" s="57" t="n">
        <v>48</v>
      </c>
      <c r="BK1035" s="56" t="n">
        <v>-131.28</v>
      </c>
      <c r="BL1035" s="57" t="n">
        <v>24</v>
      </c>
      <c r="BM1035" s="55" t="s">
        <v>615</v>
      </c>
      <c r="BN1035" s="60" t="n">
        <v>0</v>
      </c>
      <c r="BO1035" s="60" t="n">
        <v>1035</v>
      </c>
      <c r="BP1035" s="55" t="str">
        <f aca="false">IF(S1035&lt;&gt;"",UPPER(TRIM(S1035)),IF(O1035="","LOSE",O1035))</f>
        <v>S51</v>
      </c>
      <c r="BQ1035" s="57" t="n">
        <f aca="false">IF(BP1035="LOSE",1,IF(N(T1035)&gt;0,T1035,IF(N(P1035)&gt;0,P1035,MAX(1,G1035))))</f>
        <v>30</v>
      </c>
      <c r="BR1035" s="60" t="n">
        <f aca="false">IF(BP1035="LOSE",1,0)</f>
        <v>0</v>
      </c>
      <c r="BS1035" s="59" t="n">
        <f aca="false">IF(BR1035=0,0,IF(N(R1035)&gt;0,R1035,IFERROR(VLOOKUP(D1035,Parameter!$A$35:$C$64,3,0)+0,0)))</f>
        <v>0</v>
      </c>
      <c r="BT1035" s="55" t="n">
        <f aca="false">IF(Y1035&lt;&gt;"",Y1035,X1035)</f>
        <v>3</v>
      </c>
      <c r="BU1035" s="55" t="str">
        <f aca="false">IF(BT1035=1,"L1",IF(OR(BT1035=2,BT1035=3),"L23",IF(BT1035="Aussen","Aussen","-")))</f>
        <v>L23</v>
      </c>
      <c r="BV1035" s="66" t="n">
        <f aca="false">IF(N(Z1035)&gt;0,Z1035,0)</f>
        <v>0</v>
      </c>
      <c r="BW1035" s="60" t="n">
        <f aca="false">IF(ISNUMBER(AC1035),1,0)</f>
        <v>0</v>
      </c>
      <c r="BX1035" s="57" t="n">
        <f aca="false">N(AC1035)</f>
        <v>0</v>
      </c>
      <c r="BY1035" s="57" t="n">
        <f aca="false">N(L1035)+N(M1035)</f>
        <v>26</v>
      </c>
      <c r="BZ1035" s="57" t="n">
        <f aca="false">ROUNDUP(G1035/BQ1035,0)</f>
        <v>0</v>
      </c>
      <c r="CA1035" s="57" t="n">
        <f aca="false">ROUNDUP(BX1035/BQ1035,0)</f>
        <v>0</v>
      </c>
      <c r="CB1035" s="60" t="n">
        <f aca="false">IF(BR1035=1,0,IFERROR(VLOOKUP(BP1035,'Gebinde-Kategorie'!$A$5:$M$45,5,0)+0,0))</f>
        <v>11</v>
      </c>
      <c r="CC1035" s="60" t="n">
        <f aca="false">IFERROR(IF(OR(BT1035=1,BT1035=2,BT1035=3),N(INDEX(Parameter!$I$5:$I$7,BT1035)),0),0)</f>
        <v>0</v>
      </c>
      <c r="CD1035" s="59" t="n">
        <f aca="false">IF(AND(Parameter!$B$21="Ja",ISNUMBER(U1035),N(V1035)&gt;0),IFERROR(N(INDEX(Parameter!$L$5:$L$7,U1035))*INDEX(Parameter!$E$5:$E$7,U1035)*V1035/SUMIFS($V$7:$V$1576,$U$7:$U$1576,U1035),0),0)</f>
        <v>0</v>
      </c>
    </row>
    <row r="1036" customFormat="false" ht="15" hidden="false" customHeight="false" outlineLevel="0" collapsed="false">
      <c r="A1036" s="55" t="s">
        <v>1890</v>
      </c>
      <c r="B1036" s="55" t="s">
        <v>1773</v>
      </c>
      <c r="C1036" s="55" t="s">
        <v>160</v>
      </c>
      <c r="D1036" s="55" t="s">
        <v>178</v>
      </c>
      <c r="E1036" s="55" t="s">
        <v>210</v>
      </c>
      <c r="F1036" s="56" t="n">
        <v>30.34</v>
      </c>
      <c r="G1036" s="57" t="n">
        <f aca="false">MAX(0,IF(AND(Parameter!$B$21="Ja",ISNUMBER(W1036)),W1036,IF(Parameter!$B$20="Jahresanfang 2025 + Export",BJ1036+BI1036,BI1036)))</f>
        <v>0</v>
      </c>
      <c r="H1036" s="57" t="n">
        <f aca="false">G1036*F1036</f>
        <v>0</v>
      </c>
      <c r="I1036" s="57" t="n">
        <f aca="false">BL1036*Parameter!$B$18</f>
        <v>2</v>
      </c>
      <c r="J1036" s="58" t="n">
        <v>9</v>
      </c>
      <c r="K1036" s="59" t="n">
        <v>0.222222222222222</v>
      </c>
      <c r="L1036" s="57" t="n">
        <v>0</v>
      </c>
      <c r="M1036" s="57" t="n">
        <v>1</v>
      </c>
      <c r="N1036" s="60" t="n">
        <v>19</v>
      </c>
      <c r="O1036" s="55" t="s">
        <v>391</v>
      </c>
      <c r="P1036" s="57" t="n">
        <v>16</v>
      </c>
      <c r="Q1036" s="60" t="n">
        <f aca="false">IF(BR1036=1,0,IFERROR(VLOOKUP(BP1036,'Gebinde-Kategorie'!$A$5:$M$45,13,0)+0,0))</f>
        <v>414</v>
      </c>
      <c r="R1036" s="61"/>
      <c r="S1036" s="62"/>
      <c r="T1036" s="62"/>
      <c r="U1036" s="55"/>
      <c r="V1036" s="57"/>
      <c r="W1036" s="57"/>
      <c r="X1036" s="55" t="n">
        <f aca="false">IF(A1036="","",IF(AND(Parameter!$B$21="Ja",ISNUMBER(U1036)),U1036,IF(IFERROR(VLOOKUP(D1036,Parameter!$A$35:$C$64,2,0),"Nein")="2+3",IF(ISNUMBER(SEARCH("grosser Artikel",BM1036)),2,IFERROR(VLOOKUP(BP1036,Parameter!$F$35:$G$64,2,0),2)),IF(OR(IFERROR(VLOOKUP(D1036,Parameter!$A$35:$C$64,2,0),"Nein")="Nein",IFERROR(VLOOKUP(D1036,Parameter!$A$35:$C$64,2,0),"Nein")=""),"-",VLOOKUP(D1036,Parameter!$A$35:$C$64,2,0)))))</f>
        <v>3</v>
      </c>
      <c r="Y1036" s="62"/>
      <c r="Z1036" s="63"/>
      <c r="AA1036" s="57" t="n">
        <f aca="false">AP1036</f>
        <v>16</v>
      </c>
      <c r="AB1036" s="57" t="n">
        <f aca="false">MAX(AP1036,G1036)</f>
        <v>16</v>
      </c>
      <c r="AC1036" s="64"/>
      <c r="AD1036" s="57" t="n">
        <f aca="false">IF(LEFT(Cockpit!$C$5,1)="A",G1036,IF(BW1036=1,BX1036,IF(LEFT(Cockpit!$C$5,1)="B",AH1036,MAX(AH1036,G1036))))</f>
        <v>0</v>
      </c>
      <c r="AE1036" s="57" t="n">
        <f aca="false">IF(BR1036=1,0,ROUNDUP(AD1036/BQ1036,0))</f>
        <v>0</v>
      </c>
      <c r="AF1036" s="59" t="n">
        <f aca="false">IF(CD1036&gt;0,CD1036*MAX(1,AD1036/V1036),IF(BR1036=1,IF(AD1036&lt;=0,0,BS1036*MAX(1,IF(G1036&gt;0,AD1036/G1036,1))),IF(Q1036&gt;0,AE1036/Q1036,0))/MAX(0.1,N(Parameter!$M$21)))</f>
        <v>0</v>
      </c>
      <c r="AG1036" s="57" t="n">
        <f aca="false">AD1036*F1036</f>
        <v>0</v>
      </c>
      <c r="AH1036" s="57" t="n">
        <f aca="false">ROUNDUP(MAX(I1036/IF(BV1036&gt;0,BV1036,MAX(0.1,N(Cockpit!$C$6))),BY1036)/BQ1036,0)*BQ1036</f>
        <v>16</v>
      </c>
      <c r="AI1036" s="58" t="n">
        <f aca="false">IF(AF1036&gt;0,I1036/AF1036,-1)</f>
        <v>-1</v>
      </c>
      <c r="AJ1036" s="58" t="str">
        <f aca="false">IF(AND(OR(BU1036="L1",BU1036="L23"),AF1036&gt;0),SUMIFS($AF$7:$AF$1576,$BU$7:$BU$1576,BU1036,$AI$7:$AI$1576,"&gt;"&amp;AI1036)+SUMIFS($AF$7:$AF$1576,$BU$7:$BU$1576,BU1036,$AI$7:$AI$1576,AI1036,$BO$7:$BO$1576,"&lt;="&amp;BO1036),"")</f>
        <v/>
      </c>
      <c r="AK1036" s="65" t="n">
        <f aca="false">IF(AJ1036="",0,MAX(0,MIN(1,(IF(BU1036="L1",Parameter!$E$5,Parameter!$E$6+Parameter!$E$7)-(AJ1036-AF1036))/AF1036)))</f>
        <v>0</v>
      </c>
      <c r="AL1036" s="57" t="n">
        <f aca="false">IF(LEFT(Cockpit!$I$5,1)="A",G1036,IF(BW1036=1,BX1036,IF(LEFT(Cockpit!$I$5,1)="B",AP1036,MAX(AP1036,G1036))))</f>
        <v>16</v>
      </c>
      <c r="AM1036" s="57" t="n">
        <f aca="false">IF(BR1036=1,0,ROUNDUP(AL1036/BQ1036,0))</f>
        <v>1</v>
      </c>
      <c r="AN1036" s="59" t="n">
        <f aca="false">IF(CD1036&gt;0,CD1036*MAX(1,AL1036/V1036),IF(BR1036=1,IF(AL1036&lt;=0,0,BS1036*MAX(1,IF(G1036&gt;0,AL1036/G1036,1))),IF(Q1036&gt;0,AM1036/Q1036,0))/MAX(0.1,N(Parameter!$M$21)))</f>
        <v>0.00241545893719807</v>
      </c>
      <c r="AO1036" s="57" t="n">
        <f aca="false">AL1036*F1036</f>
        <v>485.44</v>
      </c>
      <c r="AP1036" s="57" t="n">
        <f aca="false">ROUNDUP(MAX(I1036/IF(BV1036&gt;0,BV1036,MAX(0.1,N(Cockpit!$I$6))),BY1036)/BQ1036,0)*BQ1036</f>
        <v>16</v>
      </c>
      <c r="AQ1036" s="58" t="n">
        <f aca="false">IF(AN1036&gt;0,I1036/AN1036,-1)</f>
        <v>828</v>
      </c>
      <c r="AR1036" s="58" t="n">
        <f aca="false">IF(AND(OR(BU1036="L1",BU1036="L23"),AN1036&gt;0),SUMIFS($AN$7:$AN$1576,$BU$7:$BU$1576,BU1036,$AQ$7:$AQ$1576,"&gt;"&amp;AQ1036)+SUMIFS($AN$7:$AN$1576,$BU$7:$BU$1576,BU1036,$AQ$7:$AQ$1576,AQ1036,$BO$7:$BO$1576,"&lt;="&amp;BO1036),"")</f>
        <v>25.6199290205924</v>
      </c>
      <c r="AS1036" s="65" t="n">
        <f aca="false">IF(AR1036="",0,MAX(0,MIN(1,(IF(BU1036="L1",Parameter!$E$5,Parameter!$E$6+Parameter!$E$7)-(AR1036-AN1036))/AN1036)))</f>
        <v>1</v>
      </c>
      <c r="AT1036" s="57" t="n">
        <f aca="false">IF(LEFT(Cockpit!$O$5,1)="A",G1036,IF(BW1036=1,BX1036,IF(LEFT(Cockpit!$O$5,1)="B",AX1036,MAX(AX1036,G1036))))</f>
        <v>16</v>
      </c>
      <c r="AU1036" s="57" t="n">
        <f aca="false">IF(BR1036=1,0,ROUNDUP(AT1036/BQ1036,0))</f>
        <v>1</v>
      </c>
      <c r="AV1036" s="59" t="n">
        <f aca="false">IF(CD1036&gt;0,CD1036*MAX(1,AT1036/V1036),IF(BR1036=1,IF(AT1036&lt;=0,0,BS1036*MAX(1,IF(G1036&gt;0,AT1036/G1036,1))),IF(Q1036&gt;0,AU1036/Q1036,0))/MAX(0.1,N(Parameter!$M$21)))</f>
        <v>0.00241545893719807</v>
      </c>
      <c r="AW1036" s="57" t="n">
        <f aca="false">AT1036*F1036</f>
        <v>485.44</v>
      </c>
      <c r="AX1036" s="57" t="n">
        <f aca="false">ROUNDUP(MAX(I1036/IF(BV1036&gt;0,BV1036,MAX(0.1,N(Cockpit!$O$6))),BY1036)/BQ1036,0)*BQ1036</f>
        <v>16</v>
      </c>
      <c r="AY1036" s="58" t="n">
        <f aca="false">IF(AV1036&gt;0,I1036/AV1036,-1)</f>
        <v>828</v>
      </c>
      <c r="AZ1036" s="58" t="n">
        <f aca="false">IF(AND(OR(BU1036="L1",BU1036="L23"),AV1036&gt;0),SUMIFS($AV$7:$AV$1576,$BU$7:$BU$1576,BU1036,$AY$7:$AY$1576,"&gt;"&amp;AY1036)+SUMIFS($AV$7:$AV$1576,$BU$7:$BU$1576,BU1036,$AY$7:$AY$1576,AY1036,$BO$7:$BO$1576,"&lt;="&amp;BO1036),"")</f>
        <v>25.9369453376087</v>
      </c>
      <c r="BA1036" s="65" t="n">
        <f aca="false">IF(AZ1036="",0,MAX(0,MIN(1,(IF(BU1036="L1",Parameter!$E$5,Parameter!$E$6+Parameter!$E$7)-(AZ1036-AV1036))/AV1036)))</f>
        <v>1</v>
      </c>
      <c r="BB1036" s="55" t="str">
        <f aca="false">IF(AF1036&lt;=0,"",IF(BU1036="Aussen","Aussenlager",IF(BU1036="-","Nicht im Lift",IF(AK1036&gt;=1,"Lift",IF(AK1036&lt;=0,"Aussenlager","teilweise")))))</f>
        <v/>
      </c>
      <c r="BC1036" s="55" t="str">
        <f aca="false">IF(AN1036&lt;=0,"",IF(BU1036="Aussen","Aussenlager",IF(BU1036="-","Nicht im Lift",IF(AS1036&gt;=1,"Lift",IF(AS1036&lt;=0,"Aussenlager","teilweise")))))</f>
        <v>Lift</v>
      </c>
      <c r="BD1036" s="55" t="str">
        <f aca="false">IF(AV1036&lt;=0,"",IF(BU1036="Aussen","Aussenlager",IF(BU1036="-","Nicht im Lift",IF(BA1036&gt;=1,"Lift",IF(BA1036&lt;=0,"Aussenlager","teilweise")))))</f>
        <v>Lift</v>
      </c>
      <c r="BE1036" s="55" t="str">
        <f aca="false">IF(A1036="","",IF(BN1036=1,"Neu; ","")&amp;IF(AND(BN1036=0,BI1036&lt;0),"negativer Bestand (Export "&amp;BI1036&amp;"); ","")&amp;IF(I1036&lt;=0,"Kein Verbrauch; ","")&amp;IF(CD1036&gt;0,"Lift "&amp;U1036&amp;" lt. Liftbericht (Fach "&amp;V1036&amp;" Stk); ",IF(BR1036=1,"Lose – Fläche geschätzt; ",""))&amp;IF(G1036&gt;AP1036,"Überbestand "&amp;ROUND(G1036-AP1036,0)&amp;" Stk / CHF "&amp;ROUND((G1036-AP1036)*F1036,0)&amp;"; ","")&amp;IF(AND(BW1036=1,BX1036&lt;BY1036),"MAX &lt; MB+LG; ","")&amp;IF(AND(CC1036&gt;0,CB1036*10&gt;CC1036),"zu hoch für Tablar; ","")&amp;IF(AND(BN1036=0,OR(BW1036=1,Y1036&lt;&gt;"",S1036&lt;&gt;"",T1036&lt;&gt;"",Z1036&lt;&gt;"")),"manuell übersteuert; ","")&amp;IF(AND(BR1036=0,Q1036=0),"Gebinde unbekannt / Stellmass fehlt; ","")&amp;IF(AND(BR1036=0,N(T1036)&lt;=0,N(P1036)&lt;=0),"Menge pro Gebinde fehlt (Ist = 1 Gebinde); ","")&amp;BM1036)</f>
        <v>negativer Bestand (Export -4); Überbestand</v>
      </c>
      <c r="BF1036" s="55"/>
      <c r="BG1036" s="55"/>
      <c r="BH1036" s="62"/>
      <c r="BI1036" s="57" t="n">
        <v>-4</v>
      </c>
      <c r="BJ1036" s="57" t="n">
        <v>10</v>
      </c>
      <c r="BK1036" s="56" t="n">
        <v>-131.66</v>
      </c>
      <c r="BL1036" s="57" t="n">
        <v>2</v>
      </c>
      <c r="BM1036" s="55" t="s">
        <v>382</v>
      </c>
      <c r="BN1036" s="60" t="n">
        <v>0</v>
      </c>
      <c r="BO1036" s="60" t="n">
        <v>1036</v>
      </c>
      <c r="BP1036" s="55" t="str">
        <f aca="false">IF(S1036&lt;&gt;"",UPPER(TRIM(S1036)),IF(O1036="","LOSE",O1036))</f>
        <v>S21</v>
      </c>
      <c r="BQ1036" s="57" t="n">
        <f aca="false">IF(BP1036="LOSE",1,IF(N(T1036)&gt;0,T1036,IF(N(P1036)&gt;0,P1036,MAX(1,G1036))))</f>
        <v>16</v>
      </c>
      <c r="BR1036" s="60" t="n">
        <f aca="false">IF(BP1036="LOSE",1,0)</f>
        <v>0</v>
      </c>
      <c r="BS1036" s="59" t="n">
        <f aca="false">IF(BR1036=0,0,IF(N(R1036)&gt;0,R1036,IFERROR(VLOOKUP(D1036,Parameter!$A$35:$C$64,3,0)+0,0)))</f>
        <v>0</v>
      </c>
      <c r="BT1036" s="55" t="n">
        <f aca="false">IF(Y1036&lt;&gt;"",Y1036,X1036)</f>
        <v>3</v>
      </c>
      <c r="BU1036" s="55" t="str">
        <f aca="false">IF(BT1036=1,"L1",IF(OR(BT1036=2,BT1036=3),"L23",IF(BT1036="Aussen","Aussen","-")))</f>
        <v>L23</v>
      </c>
      <c r="BV1036" s="66" t="n">
        <f aca="false">IF(N(Z1036)&gt;0,Z1036,0)</f>
        <v>0</v>
      </c>
      <c r="BW1036" s="60" t="n">
        <f aca="false">IF(ISNUMBER(AC1036),1,0)</f>
        <v>0</v>
      </c>
      <c r="BX1036" s="57" t="n">
        <f aca="false">N(AC1036)</f>
        <v>0</v>
      </c>
      <c r="BY1036" s="57" t="n">
        <f aca="false">N(L1036)+N(M1036)</f>
        <v>1</v>
      </c>
      <c r="BZ1036" s="57" t="n">
        <f aca="false">ROUNDUP(G1036/BQ1036,0)</f>
        <v>0</v>
      </c>
      <c r="CA1036" s="57" t="n">
        <f aca="false">ROUNDUP(BX1036/BQ1036,0)</f>
        <v>0</v>
      </c>
      <c r="CB1036" s="60" t="n">
        <f aca="false">IF(BR1036=1,0,IFERROR(VLOOKUP(BP1036,'Gebinde-Kategorie'!$A$5:$M$45,5,0)+0,0))</f>
        <v>8</v>
      </c>
      <c r="CC1036" s="60" t="n">
        <f aca="false">IFERROR(IF(OR(BT1036=1,BT1036=2,BT1036=3),N(INDEX(Parameter!$I$5:$I$7,BT1036)),0),0)</f>
        <v>0</v>
      </c>
      <c r="CD1036" s="59" t="n">
        <f aca="false">IF(AND(Parameter!$B$21="Ja",ISNUMBER(U1036),N(V1036)&gt;0),IFERROR(N(INDEX(Parameter!$L$5:$L$7,U1036))*INDEX(Parameter!$E$5:$E$7,U1036)*V1036/SUMIFS($V$7:$V$1576,$U$7:$U$1576,U1036),0),0)</f>
        <v>0</v>
      </c>
    </row>
    <row r="1037" customFormat="false" ht="15" hidden="false" customHeight="false" outlineLevel="0" collapsed="false">
      <c r="A1037" s="55" t="s">
        <v>1891</v>
      </c>
      <c r="B1037" s="55" t="s">
        <v>1855</v>
      </c>
      <c r="C1037" s="55" t="s">
        <v>160</v>
      </c>
      <c r="D1037" s="55" t="s">
        <v>178</v>
      </c>
      <c r="E1037" s="55" t="s">
        <v>210</v>
      </c>
      <c r="F1037" s="56" t="n">
        <v>133.49</v>
      </c>
      <c r="G1037" s="57" t="n">
        <f aca="false">MAX(0,IF(AND(Parameter!$B$21="Ja",ISNUMBER(W1037)),W1037,IF(Parameter!$B$20="Jahresanfang 2025 + Export",BJ1037+BI1037,BI1037)))</f>
        <v>0</v>
      </c>
      <c r="H1037" s="57" t="n">
        <f aca="false">G1037*F1037</f>
        <v>0</v>
      </c>
      <c r="I1037" s="57" t="n">
        <f aca="false">BL1037*Parameter!$B$18</f>
        <v>0</v>
      </c>
      <c r="J1037" s="58" t="n">
        <v>21.5</v>
      </c>
      <c r="K1037" s="59" t="n">
        <v>0</v>
      </c>
      <c r="L1037" s="57" t="n">
        <v>0</v>
      </c>
      <c r="M1037" s="57" t="n">
        <v>1</v>
      </c>
      <c r="N1037" s="60" t="n">
        <v>56</v>
      </c>
      <c r="O1037" s="55" t="s">
        <v>293</v>
      </c>
      <c r="P1037" s="57" t="n">
        <v>6</v>
      </c>
      <c r="Q1037" s="60" t="n">
        <f aca="false">IF(BR1037=1,0,IFERROR(VLOOKUP(BP1037,'Gebinde-Kategorie'!$A$5:$M$45,13,0)+0,0))</f>
        <v>26</v>
      </c>
      <c r="R1037" s="61"/>
      <c r="S1037" s="62"/>
      <c r="T1037" s="62"/>
      <c r="U1037" s="55"/>
      <c r="V1037" s="57"/>
      <c r="W1037" s="57"/>
      <c r="X1037" s="55" t="n">
        <f aca="false">IF(A1037="","",IF(AND(Parameter!$B$21="Ja",ISNUMBER(U1037)),U1037,IF(IFERROR(VLOOKUP(D1037,Parameter!$A$35:$C$64,2,0),"Nein")="2+3",IF(ISNUMBER(SEARCH("grosser Artikel",BM1037)),2,IFERROR(VLOOKUP(BP1037,Parameter!$F$35:$G$64,2,0),2)),IF(OR(IFERROR(VLOOKUP(D1037,Parameter!$A$35:$C$64,2,0),"Nein")="Nein",IFERROR(VLOOKUP(D1037,Parameter!$A$35:$C$64,2,0),"Nein")=""),"-",VLOOKUP(D1037,Parameter!$A$35:$C$64,2,0)))))</f>
        <v>3</v>
      </c>
      <c r="Y1037" s="62"/>
      <c r="Z1037" s="63"/>
      <c r="AA1037" s="57" t="n">
        <f aca="false">AP1037</f>
        <v>6</v>
      </c>
      <c r="AB1037" s="57" t="n">
        <f aca="false">MAX(AP1037,G1037)</f>
        <v>6</v>
      </c>
      <c r="AC1037" s="64"/>
      <c r="AD1037" s="57" t="n">
        <f aca="false">IF(LEFT(Cockpit!$C$5,1)="A",G1037,IF(BW1037=1,BX1037,IF(LEFT(Cockpit!$C$5,1)="B",AH1037,MAX(AH1037,G1037))))</f>
        <v>0</v>
      </c>
      <c r="AE1037" s="57" t="n">
        <f aca="false">IF(BR1037=1,0,ROUNDUP(AD1037/BQ1037,0))</f>
        <v>0</v>
      </c>
      <c r="AF1037" s="59" t="n">
        <f aca="false">IF(CD1037&gt;0,CD1037*MAX(1,AD1037/V1037),IF(BR1037=1,IF(AD1037&lt;=0,0,BS1037*MAX(1,IF(G1037&gt;0,AD1037/G1037,1))),IF(Q1037&gt;0,AE1037/Q1037,0))/MAX(0.1,N(Parameter!$M$21)))</f>
        <v>0</v>
      </c>
      <c r="AG1037" s="57" t="n">
        <f aca="false">AD1037*F1037</f>
        <v>0</v>
      </c>
      <c r="AH1037" s="57" t="n">
        <f aca="false">ROUNDUP(MAX(I1037/IF(BV1037&gt;0,BV1037,MAX(0.1,N(Cockpit!$C$6))),BY1037)/BQ1037,0)*BQ1037</f>
        <v>6</v>
      </c>
      <c r="AI1037" s="58" t="n">
        <f aca="false">IF(AF1037&gt;0,I1037/AF1037,-1)</f>
        <v>-1</v>
      </c>
      <c r="AJ1037" s="58" t="str">
        <f aca="false">IF(AND(OR(BU1037="L1",BU1037="L23"),AF1037&gt;0),SUMIFS($AF$7:$AF$1576,$BU$7:$BU$1576,BU1037,$AI$7:$AI$1576,"&gt;"&amp;AI1037)+SUMIFS($AF$7:$AF$1576,$BU$7:$BU$1576,BU1037,$AI$7:$AI$1576,AI1037,$BO$7:$BO$1576,"&lt;="&amp;BO1037),"")</f>
        <v/>
      </c>
      <c r="AK1037" s="65" t="n">
        <f aca="false">IF(AJ1037="",0,MAX(0,MIN(1,(IF(BU1037="L1",Parameter!$E$5,Parameter!$E$6+Parameter!$E$7)-(AJ1037-AF1037))/AF1037)))</f>
        <v>0</v>
      </c>
      <c r="AL1037" s="57" t="n">
        <f aca="false">IF(LEFT(Cockpit!$I$5,1)="A",G1037,IF(BW1037=1,BX1037,IF(LEFT(Cockpit!$I$5,1)="B",AP1037,MAX(AP1037,G1037))))</f>
        <v>6</v>
      </c>
      <c r="AM1037" s="57" t="n">
        <f aca="false">IF(BR1037=1,0,ROUNDUP(AL1037/BQ1037,0))</f>
        <v>1</v>
      </c>
      <c r="AN1037" s="59" t="n">
        <f aca="false">IF(CD1037&gt;0,CD1037*MAX(1,AL1037/V1037),IF(BR1037=1,IF(AL1037&lt;=0,0,BS1037*MAX(1,IF(G1037&gt;0,AL1037/G1037,1))),IF(Q1037&gt;0,AM1037/Q1037,0))/MAX(0.1,N(Parameter!$M$21)))</f>
        <v>0.0384615384615385</v>
      </c>
      <c r="AO1037" s="57" t="n">
        <f aca="false">AL1037*F1037</f>
        <v>800.94</v>
      </c>
      <c r="AP1037" s="57" t="n">
        <f aca="false">ROUNDUP(MAX(I1037/IF(BV1037&gt;0,BV1037,MAX(0.1,N(Cockpit!$I$6))),BY1037)/BQ1037,0)*BQ1037</f>
        <v>6</v>
      </c>
      <c r="AQ1037" s="58" t="n">
        <f aca="false">IF(AN1037&gt;0,I1037/AN1037,-1)</f>
        <v>0</v>
      </c>
      <c r="AR1037" s="58" t="n">
        <f aca="false">IF(AND(OR(BU1037="L1",BU1037="L23"),AN1037&gt;0),SUMIFS($AN$7:$AN$1576,$BU$7:$BU$1576,BU1037,$AQ$7:$AQ$1576,"&gt;"&amp;AQ1037)+SUMIFS($AN$7:$AN$1576,$BU$7:$BU$1576,BU1037,$AQ$7:$AQ$1576,AQ1037,$BO$7:$BO$1576,"&lt;="&amp;BO1037),"")</f>
        <v>132.997969059973</v>
      </c>
      <c r="AS1037" s="65" t="n">
        <f aca="false">IF(AR1037="",0,MAX(0,MIN(1,(IF(BU1037="L1",Parameter!$E$5,Parameter!$E$6+Parameter!$E$7)-(AR1037-AN1037))/AN1037)))</f>
        <v>0</v>
      </c>
      <c r="AT1037" s="57" t="n">
        <f aca="false">IF(LEFT(Cockpit!$O$5,1)="A",G1037,IF(BW1037=1,BX1037,IF(LEFT(Cockpit!$O$5,1)="B",AX1037,MAX(AX1037,G1037))))</f>
        <v>6</v>
      </c>
      <c r="AU1037" s="57" t="n">
        <f aca="false">IF(BR1037=1,0,ROUNDUP(AT1037/BQ1037,0))</f>
        <v>1</v>
      </c>
      <c r="AV1037" s="59" t="n">
        <f aca="false">IF(CD1037&gt;0,CD1037*MAX(1,AT1037/V1037),IF(BR1037=1,IF(AT1037&lt;=0,0,BS1037*MAX(1,IF(G1037&gt;0,AT1037/G1037,1))),IF(Q1037&gt;0,AU1037/Q1037,0))/MAX(0.1,N(Parameter!$M$21)))</f>
        <v>0.0384615384615385</v>
      </c>
      <c r="AW1037" s="57" t="n">
        <f aca="false">AT1037*F1037</f>
        <v>800.94</v>
      </c>
      <c r="AX1037" s="57" t="n">
        <f aca="false">ROUNDUP(MAX(I1037/IF(BV1037&gt;0,BV1037,MAX(0.1,N(Cockpit!$O$6))),BY1037)/BQ1037,0)*BQ1037</f>
        <v>6</v>
      </c>
      <c r="AY1037" s="58" t="n">
        <f aca="false">IF(AV1037&gt;0,I1037/AV1037,-1)</f>
        <v>0</v>
      </c>
      <c r="AZ1037" s="58" t="n">
        <f aca="false">IF(AND(OR(BU1037="L1",BU1037="L23"),AV1037&gt;0),SUMIFS($AV$7:$AV$1576,$BU$7:$BU$1576,BU1037,$AY$7:$AY$1576,"&gt;"&amp;AY1037)+SUMIFS($AV$7:$AV$1576,$BU$7:$BU$1576,BU1037,$AY$7:$AY$1576,AY1037,$BO$7:$BO$1576,"&lt;="&amp;BO1037),"")</f>
        <v>123.057519509523</v>
      </c>
      <c r="BA1037" s="65" t="n">
        <f aca="false">IF(AZ1037="",0,MAX(0,MIN(1,(IF(BU1037="L1",Parameter!$E$5,Parameter!$E$6+Parameter!$E$7)-(AZ1037-AV1037))/AV1037)))</f>
        <v>0</v>
      </c>
      <c r="BB1037" s="55" t="str">
        <f aca="false">IF(AF1037&lt;=0,"",IF(BU1037="Aussen","Aussenlager",IF(BU1037="-","Nicht im Lift",IF(AK1037&gt;=1,"Lift",IF(AK1037&lt;=0,"Aussenlager","teilweise")))))</f>
        <v/>
      </c>
      <c r="BC1037" s="55" t="str">
        <f aca="false">IF(AN1037&lt;=0,"",IF(BU1037="Aussen","Aussenlager",IF(BU1037="-","Nicht im Lift",IF(AS1037&gt;=1,"Lift",IF(AS1037&lt;=0,"Aussenlager","teilweise")))))</f>
        <v>Aussenlager</v>
      </c>
      <c r="BD1037" s="55" t="str">
        <f aca="false">IF(AV1037&lt;=0,"",IF(BU1037="Aussen","Aussenlager",IF(BU1037="-","Nicht im Lift",IF(BA1037&gt;=1,"Lift",IF(BA1037&lt;=0,"Aussenlager","teilweise")))))</f>
        <v>Aussenlager</v>
      </c>
      <c r="BE1037" s="55" t="str">
        <f aca="false">IF(A1037="","",IF(BN1037=1,"Neu; ","")&amp;IF(AND(BN1037=0,BI1037&lt;0),"negativer Bestand (Export "&amp;BI1037&amp;"); ","")&amp;IF(I1037&lt;=0,"Kein Verbrauch; ","")&amp;IF(CD1037&gt;0,"Lift "&amp;U1037&amp;" lt. Liftbericht (Fach "&amp;V1037&amp;" Stk); ",IF(BR1037=1,"Lose – Fläche geschätzt; ",""))&amp;IF(G1037&gt;AP1037,"Überbestand "&amp;ROUND(G1037-AP1037,0)&amp;" Stk / CHF "&amp;ROUND((G1037-AP1037)*F1037,0)&amp;"; ","")&amp;IF(AND(BW1037=1,BX1037&lt;BY1037),"MAX &lt; MB+LG; ","")&amp;IF(AND(CC1037&gt;0,CB1037*10&gt;CC1037),"zu hoch für Tablar; ","")&amp;IF(AND(BN1037=0,OR(BW1037=1,Y1037&lt;&gt;"",S1037&lt;&gt;"",T1037&lt;&gt;"",Z1037&lt;&gt;"")),"manuell übersteuert; ","")&amp;IF(AND(BR1037=0,Q1037=0),"Gebinde unbekannt / Stellmass fehlt; ","")&amp;IF(AND(BR1037=0,N(T1037)&lt;=0,N(P1037)&lt;=0),"Menge pro Gebinde fehlt (Ist = 1 Gebinde); ","")&amp;BM1037)</f>
        <v>negativer Bestand (Export -1); Kein Verbrauch; </v>
      </c>
      <c r="BF1037" s="55"/>
      <c r="BG1037" s="55"/>
      <c r="BH1037" s="62"/>
      <c r="BI1037" s="57" t="n">
        <v>-1</v>
      </c>
      <c r="BJ1037" s="57" t="n">
        <v>22</v>
      </c>
      <c r="BK1037" s="56" t="n">
        <v>-133.49</v>
      </c>
      <c r="BL1037" s="57" t="n">
        <v>0</v>
      </c>
      <c r="BM1037" s="55"/>
      <c r="BN1037" s="60" t="n">
        <v>0</v>
      </c>
      <c r="BO1037" s="60" t="n">
        <v>1037</v>
      </c>
      <c r="BP1037" s="55" t="str">
        <f aca="false">IF(S1037&lt;&gt;"",UPPER(TRIM(S1037)),IF(O1037="","LOSE",O1037))</f>
        <v>S51</v>
      </c>
      <c r="BQ1037" s="57" t="n">
        <f aca="false">IF(BP1037="LOSE",1,IF(N(T1037)&gt;0,T1037,IF(N(P1037)&gt;0,P1037,MAX(1,G1037))))</f>
        <v>6</v>
      </c>
      <c r="BR1037" s="60" t="n">
        <f aca="false">IF(BP1037="LOSE",1,0)</f>
        <v>0</v>
      </c>
      <c r="BS1037" s="59" t="n">
        <f aca="false">IF(BR1037=0,0,IF(N(R1037)&gt;0,R1037,IFERROR(VLOOKUP(D1037,Parameter!$A$35:$C$64,3,0)+0,0)))</f>
        <v>0</v>
      </c>
      <c r="BT1037" s="55" t="n">
        <f aca="false">IF(Y1037&lt;&gt;"",Y1037,X1037)</f>
        <v>3</v>
      </c>
      <c r="BU1037" s="55" t="str">
        <f aca="false">IF(BT1037=1,"L1",IF(OR(BT1037=2,BT1037=3),"L23",IF(BT1037="Aussen","Aussen","-")))</f>
        <v>L23</v>
      </c>
      <c r="BV1037" s="66" t="n">
        <f aca="false">IF(N(Z1037)&gt;0,Z1037,0)</f>
        <v>0</v>
      </c>
      <c r="BW1037" s="60" t="n">
        <f aca="false">IF(ISNUMBER(AC1037),1,0)</f>
        <v>0</v>
      </c>
      <c r="BX1037" s="57" t="n">
        <f aca="false">N(AC1037)</f>
        <v>0</v>
      </c>
      <c r="BY1037" s="57" t="n">
        <f aca="false">N(L1037)+N(M1037)</f>
        <v>1</v>
      </c>
      <c r="BZ1037" s="57" t="n">
        <f aca="false">ROUNDUP(G1037/BQ1037,0)</f>
        <v>0</v>
      </c>
      <c r="CA1037" s="57" t="n">
        <f aca="false">ROUNDUP(BX1037/BQ1037,0)</f>
        <v>0</v>
      </c>
      <c r="CB1037" s="60" t="n">
        <f aca="false">IF(BR1037=1,0,IFERROR(VLOOKUP(BP1037,'Gebinde-Kategorie'!$A$5:$M$45,5,0)+0,0))</f>
        <v>11</v>
      </c>
      <c r="CC1037" s="60" t="n">
        <f aca="false">IFERROR(IF(OR(BT1037=1,BT1037=2,BT1037=3),N(INDEX(Parameter!$I$5:$I$7,BT1037)),0),0)</f>
        <v>0</v>
      </c>
      <c r="CD1037" s="59" t="n">
        <f aca="false">IF(AND(Parameter!$B$21="Ja",ISNUMBER(U1037),N(V1037)&gt;0),IFERROR(N(INDEX(Parameter!$L$5:$L$7,U1037))*INDEX(Parameter!$E$5:$E$7,U1037)*V1037/SUMIFS($V$7:$V$1576,$U$7:$U$1576,U1037),0),0)</f>
        <v>0</v>
      </c>
    </row>
    <row r="1038" customFormat="false" ht="15" hidden="false" customHeight="false" outlineLevel="0" collapsed="false">
      <c r="A1038" s="55" t="s">
        <v>1892</v>
      </c>
      <c r="B1038" s="55" t="s">
        <v>1893</v>
      </c>
      <c r="C1038" s="55" t="s">
        <v>446</v>
      </c>
      <c r="D1038" s="55" t="s">
        <v>168</v>
      </c>
      <c r="E1038" s="55" t="s">
        <v>210</v>
      </c>
      <c r="F1038" s="56" t="n">
        <v>133.51</v>
      </c>
      <c r="G1038" s="57" t="n">
        <f aca="false">MAX(0,IF(AND(Parameter!$B$21="Ja",ISNUMBER(W1038)),W1038,IF(Parameter!$B$20="Jahresanfang 2025 + Export",BJ1038+BI1038,BI1038)))</f>
        <v>0</v>
      </c>
      <c r="H1038" s="57" t="n">
        <f aca="false">G1038*F1038</f>
        <v>0</v>
      </c>
      <c r="I1038" s="57" t="n">
        <f aca="false">BL1038*Parameter!$B$18</f>
        <v>0</v>
      </c>
      <c r="J1038" s="58" t="n">
        <v>0.5</v>
      </c>
      <c r="K1038" s="59" t="n">
        <v>0</v>
      </c>
      <c r="L1038" s="57" t="n">
        <v>0</v>
      </c>
      <c r="M1038" s="57" t="n">
        <v>1</v>
      </c>
      <c r="N1038" s="60" t="n">
        <v>56</v>
      </c>
      <c r="O1038" s="55" t="s">
        <v>163</v>
      </c>
      <c r="P1038" s="57"/>
      <c r="Q1038" s="60" t="n">
        <f aca="false">IF(BR1038=1,0,IFERROR(VLOOKUP(BP1038,'Gebinde-Kategorie'!$A$5:$M$45,13,0)+0,0))</f>
        <v>0</v>
      </c>
      <c r="R1038" s="61"/>
      <c r="S1038" s="62"/>
      <c r="T1038" s="62"/>
      <c r="U1038" s="55"/>
      <c r="V1038" s="57"/>
      <c r="W1038" s="57"/>
      <c r="X1038" s="55" t="n">
        <f aca="false">IF(A1038="","",IF(AND(Parameter!$B$21="Ja",ISNUMBER(U1038)),U1038,IF(IFERROR(VLOOKUP(D1038,Parameter!$A$35:$C$64,2,0),"Nein")="2+3",IF(ISNUMBER(SEARCH("grosser Artikel",BM1038)),2,IFERROR(VLOOKUP(BP1038,Parameter!$F$35:$G$64,2,0),2)),IF(OR(IFERROR(VLOOKUP(D1038,Parameter!$A$35:$C$64,2,0),"Nein")="Nein",IFERROR(VLOOKUP(D1038,Parameter!$A$35:$C$64,2,0),"Nein")=""),"-",VLOOKUP(D1038,Parameter!$A$35:$C$64,2,0)))))</f>
        <v>2</v>
      </c>
      <c r="Y1038" s="62"/>
      <c r="Z1038" s="63"/>
      <c r="AA1038" s="57" t="n">
        <f aca="false">AP1038</f>
        <v>1</v>
      </c>
      <c r="AB1038" s="57" t="n">
        <f aca="false">MAX(AP1038,G1038)</f>
        <v>1</v>
      </c>
      <c r="AC1038" s="64"/>
      <c r="AD1038" s="57" t="n">
        <f aca="false">IF(LEFT(Cockpit!$C$5,1)="A",G1038,IF(BW1038=1,BX1038,IF(LEFT(Cockpit!$C$5,1)="B",AH1038,MAX(AH1038,G1038))))</f>
        <v>0</v>
      </c>
      <c r="AE1038" s="57" t="n">
        <f aca="false">IF(BR1038=1,0,ROUNDUP(AD1038/BQ1038,0))</f>
        <v>0</v>
      </c>
      <c r="AF1038" s="59" t="n">
        <f aca="false">IF(CD1038&gt;0,CD1038*MAX(1,AD1038/V1038),IF(BR1038=1,IF(AD1038&lt;=0,0,BS1038*MAX(1,IF(G1038&gt;0,AD1038/G1038,1))),IF(Q1038&gt;0,AE1038/Q1038,0))/MAX(0.1,N(Parameter!$M$21)))</f>
        <v>0</v>
      </c>
      <c r="AG1038" s="57" t="n">
        <f aca="false">AD1038*F1038</f>
        <v>0</v>
      </c>
      <c r="AH1038" s="57" t="n">
        <f aca="false">ROUNDUP(MAX(I1038/IF(BV1038&gt;0,BV1038,MAX(0.1,N(Cockpit!$C$6))),BY1038)/BQ1038,0)*BQ1038</f>
        <v>1</v>
      </c>
      <c r="AI1038" s="58" t="n">
        <f aca="false">IF(AF1038&gt;0,I1038/AF1038,-1)</f>
        <v>-1</v>
      </c>
      <c r="AJ1038" s="58" t="str">
        <f aca="false">IF(AND(OR(BU1038="L1",BU1038="L23"),AF1038&gt;0),SUMIFS($AF$7:$AF$1576,$BU$7:$BU$1576,BU1038,$AI$7:$AI$1576,"&gt;"&amp;AI1038)+SUMIFS($AF$7:$AF$1576,$BU$7:$BU$1576,BU1038,$AI$7:$AI$1576,AI1038,$BO$7:$BO$1576,"&lt;="&amp;BO1038),"")</f>
        <v/>
      </c>
      <c r="AK1038" s="65" t="n">
        <f aca="false">IF(AJ1038="",0,MAX(0,MIN(1,(IF(BU1038="L1",Parameter!$E$5,Parameter!$E$6+Parameter!$E$7)-(AJ1038-AF1038))/AF1038)))</f>
        <v>0</v>
      </c>
      <c r="AL1038" s="57" t="n">
        <f aca="false">IF(LEFT(Cockpit!$I$5,1)="A",G1038,IF(BW1038=1,BX1038,IF(LEFT(Cockpit!$I$5,1)="B",AP1038,MAX(AP1038,G1038))))</f>
        <v>1</v>
      </c>
      <c r="AM1038" s="57" t="n">
        <f aca="false">IF(BR1038=1,0,ROUNDUP(AL1038/BQ1038,0))</f>
        <v>0</v>
      </c>
      <c r="AN1038" s="59" t="n">
        <f aca="false">IF(CD1038&gt;0,CD1038*MAX(1,AL1038/V1038),IF(BR1038=1,IF(AL1038&lt;=0,0,BS1038*MAX(1,IF(G1038&gt;0,AL1038/G1038,1))),IF(Q1038&gt;0,AM1038/Q1038,0))/MAX(0.1,N(Parameter!$M$21)))</f>
        <v>0.15</v>
      </c>
      <c r="AO1038" s="57" t="n">
        <f aca="false">AL1038*F1038</f>
        <v>133.51</v>
      </c>
      <c r="AP1038" s="57" t="n">
        <f aca="false">ROUNDUP(MAX(I1038/IF(BV1038&gt;0,BV1038,MAX(0.1,N(Cockpit!$I$6))),BY1038)/BQ1038,0)*BQ1038</f>
        <v>1</v>
      </c>
      <c r="AQ1038" s="58" t="n">
        <f aca="false">IF(AN1038&gt;0,I1038/AN1038,-1)</f>
        <v>0</v>
      </c>
      <c r="AR1038" s="58" t="n">
        <f aca="false">IF(AND(OR(BU1038="L1",BU1038="L23"),AN1038&gt;0),SUMIFS($AN$7:$AN$1576,$BU$7:$BU$1576,BU1038,$AQ$7:$AQ$1576,"&gt;"&amp;AQ1038)+SUMIFS($AN$7:$AN$1576,$BU$7:$BU$1576,BU1038,$AQ$7:$AQ$1576,AQ1038,$BO$7:$BO$1576,"&lt;="&amp;BO1038),"")</f>
        <v>133.147969059973</v>
      </c>
      <c r="AS1038" s="65" t="n">
        <f aca="false">IF(AR1038="",0,MAX(0,MIN(1,(IF(BU1038="L1",Parameter!$E$5,Parameter!$E$6+Parameter!$E$7)-(AR1038-AN1038))/AN1038)))</f>
        <v>0</v>
      </c>
      <c r="AT1038" s="57" t="n">
        <f aca="false">IF(LEFT(Cockpit!$O$5,1)="A",G1038,IF(BW1038=1,BX1038,IF(LEFT(Cockpit!$O$5,1)="B",AX1038,MAX(AX1038,G1038))))</f>
        <v>1</v>
      </c>
      <c r="AU1038" s="57" t="n">
        <f aca="false">IF(BR1038=1,0,ROUNDUP(AT1038/BQ1038,0))</f>
        <v>0</v>
      </c>
      <c r="AV1038" s="59" t="n">
        <f aca="false">IF(CD1038&gt;0,CD1038*MAX(1,AT1038/V1038),IF(BR1038=1,IF(AT1038&lt;=0,0,BS1038*MAX(1,IF(G1038&gt;0,AT1038/G1038,1))),IF(Q1038&gt;0,AU1038/Q1038,0))/MAX(0.1,N(Parameter!$M$21)))</f>
        <v>0.15</v>
      </c>
      <c r="AW1038" s="57" t="n">
        <f aca="false">AT1038*F1038</f>
        <v>133.51</v>
      </c>
      <c r="AX1038" s="57" t="n">
        <f aca="false">ROUNDUP(MAX(I1038/IF(BV1038&gt;0,BV1038,MAX(0.1,N(Cockpit!$O$6))),BY1038)/BQ1038,0)*BQ1038</f>
        <v>1</v>
      </c>
      <c r="AY1038" s="58" t="n">
        <f aca="false">IF(AV1038&gt;0,I1038/AV1038,-1)</f>
        <v>0</v>
      </c>
      <c r="AZ1038" s="58" t="n">
        <f aca="false">IF(AND(OR(BU1038="L1",BU1038="L23"),AV1038&gt;0),SUMIFS($AV$7:$AV$1576,$BU$7:$BU$1576,BU1038,$AY$7:$AY$1576,"&gt;"&amp;AY1038)+SUMIFS($AV$7:$AV$1576,$BU$7:$BU$1576,BU1038,$AY$7:$AY$1576,AY1038,$BO$7:$BO$1576,"&lt;="&amp;BO1038),"")</f>
        <v>123.207519509524</v>
      </c>
      <c r="BA1038" s="65" t="n">
        <f aca="false">IF(AZ1038="",0,MAX(0,MIN(1,(IF(BU1038="L1",Parameter!$E$5,Parameter!$E$6+Parameter!$E$7)-(AZ1038-AV1038))/AV1038)))</f>
        <v>0</v>
      </c>
      <c r="BB1038" s="55" t="str">
        <f aca="false">IF(AF1038&lt;=0,"",IF(BU1038="Aussen","Aussenlager",IF(BU1038="-","Nicht im Lift",IF(AK1038&gt;=1,"Lift",IF(AK1038&lt;=0,"Aussenlager","teilweise")))))</f>
        <v/>
      </c>
      <c r="BC1038" s="55" t="str">
        <f aca="false">IF(AN1038&lt;=0,"",IF(BU1038="Aussen","Aussenlager",IF(BU1038="-","Nicht im Lift",IF(AS1038&gt;=1,"Lift",IF(AS1038&lt;=0,"Aussenlager","teilweise")))))</f>
        <v>Aussenlager</v>
      </c>
      <c r="BD1038" s="55" t="str">
        <f aca="false">IF(AV1038&lt;=0,"",IF(BU1038="Aussen","Aussenlager",IF(BU1038="-","Nicht im Lift",IF(BA1038&gt;=1,"Lift",IF(BA1038&lt;=0,"Aussenlager","teilweise")))))</f>
        <v>Aussenlager</v>
      </c>
      <c r="BE1038" s="55" t="str">
        <f aca="false">IF(A1038="","",IF(BN1038=1,"Neu; ","")&amp;IF(AND(BN1038=0,BI1038&lt;0),"negativer Bestand (Export "&amp;BI1038&amp;"); ","")&amp;IF(I1038&lt;=0,"Kein Verbrauch; ","")&amp;IF(CD1038&gt;0,"Lift "&amp;U1038&amp;" lt. Liftbericht (Fach "&amp;V1038&amp;" Stk); ",IF(BR1038=1,"Lose – Fläche geschätzt; ",""))&amp;IF(G1038&gt;AP1038,"Überbestand "&amp;ROUND(G1038-AP1038,0)&amp;" Stk / CHF "&amp;ROUND((G1038-AP1038)*F1038,0)&amp;"; ","")&amp;IF(AND(BW1038=1,BX1038&lt;BY1038),"MAX &lt; MB+LG; ","")&amp;IF(AND(CC1038&gt;0,CB1038*10&gt;CC1038),"zu hoch für Tablar; ","")&amp;IF(AND(BN1038=0,OR(BW1038=1,Y1038&lt;&gt;"",S1038&lt;&gt;"",T1038&lt;&gt;"",Z1038&lt;&gt;"")),"manuell übersteuert; ","")&amp;IF(AND(BR1038=0,Q1038=0),"Gebinde unbekannt / Stellmass fehlt; ","")&amp;IF(AND(BR1038=0,N(T1038)&lt;=0,N(P1038)&lt;=0),"Menge pro Gebinde fehlt (Ist = 1 Gebinde); ","")&amp;BM1038)</f>
        <v>negativer Bestand (Export -1); Kein Verbrauch; Lose – Fläche geschätzt; Neu</v>
      </c>
      <c r="BF1038" s="55"/>
      <c r="BG1038" s="55"/>
      <c r="BH1038" s="62"/>
      <c r="BI1038" s="57" t="n">
        <v>-1</v>
      </c>
      <c r="BJ1038" s="57" t="n">
        <v>1</v>
      </c>
      <c r="BK1038" s="56" t="n">
        <v>-133.51</v>
      </c>
      <c r="BL1038" s="57" t="n">
        <v>0</v>
      </c>
      <c r="BM1038" s="55" t="s">
        <v>615</v>
      </c>
      <c r="BN1038" s="60" t="n">
        <v>0</v>
      </c>
      <c r="BO1038" s="60" t="n">
        <v>1038</v>
      </c>
      <c r="BP1038" s="55" t="str">
        <f aca="false">IF(S1038&lt;&gt;"",UPPER(TRIM(S1038)),IF(O1038="","LOSE",O1038))</f>
        <v>LOSE</v>
      </c>
      <c r="BQ1038" s="57" t="n">
        <f aca="false">IF(BP1038="LOSE",1,IF(N(T1038)&gt;0,T1038,IF(N(P1038)&gt;0,P1038,MAX(1,G1038))))</f>
        <v>1</v>
      </c>
      <c r="BR1038" s="60" t="n">
        <f aca="false">IF(BP1038="LOSE",1,0)</f>
        <v>1</v>
      </c>
      <c r="BS1038" s="59" t="n">
        <f aca="false">IF(BR1038=0,0,IF(N(R1038)&gt;0,R1038,IFERROR(VLOOKUP(D1038,Parameter!$A$35:$C$64,3,0)+0,0)))</f>
        <v>0.15</v>
      </c>
      <c r="BT1038" s="55" t="n">
        <f aca="false">IF(Y1038&lt;&gt;"",Y1038,X1038)</f>
        <v>2</v>
      </c>
      <c r="BU1038" s="55" t="str">
        <f aca="false">IF(BT1038=1,"L1",IF(OR(BT1038=2,BT1038=3),"L23",IF(BT1038="Aussen","Aussen","-")))</f>
        <v>L23</v>
      </c>
      <c r="BV1038" s="66" t="n">
        <f aca="false">IF(N(Z1038)&gt;0,Z1038,0)</f>
        <v>0</v>
      </c>
      <c r="BW1038" s="60" t="n">
        <f aca="false">IF(ISNUMBER(AC1038),1,0)</f>
        <v>0</v>
      </c>
      <c r="BX1038" s="57" t="n">
        <f aca="false">N(AC1038)</f>
        <v>0</v>
      </c>
      <c r="BY1038" s="57" t="n">
        <f aca="false">N(L1038)+N(M1038)</f>
        <v>1</v>
      </c>
      <c r="BZ1038" s="57" t="n">
        <f aca="false">ROUNDUP(G1038/BQ1038,0)</f>
        <v>0</v>
      </c>
      <c r="CA1038" s="57" t="n">
        <f aca="false">ROUNDUP(BX1038/BQ1038,0)</f>
        <v>0</v>
      </c>
      <c r="CB1038" s="60" t="n">
        <f aca="false">IF(BR1038=1,0,IFERROR(VLOOKUP(BP1038,'Gebinde-Kategorie'!$A$5:$M$45,5,0)+0,0))</f>
        <v>0</v>
      </c>
      <c r="CC1038" s="60" t="n">
        <f aca="false">IFERROR(IF(OR(BT1038=1,BT1038=2,BT1038=3),N(INDEX(Parameter!$I$5:$I$7,BT1038)),0),0)</f>
        <v>0</v>
      </c>
      <c r="CD1038" s="59" t="n">
        <f aca="false">IF(AND(Parameter!$B$21="Ja",ISNUMBER(U1038),N(V1038)&gt;0),IFERROR(N(INDEX(Parameter!$L$5:$L$7,U1038))*INDEX(Parameter!$E$5:$E$7,U1038)*V1038/SUMIFS($V$7:$V$1576,$U$7:$U$1576,U1038),0),0)</f>
        <v>0</v>
      </c>
    </row>
    <row r="1039" customFormat="false" ht="15" hidden="false" customHeight="false" outlineLevel="0" collapsed="false">
      <c r="A1039" s="55" t="s">
        <v>1894</v>
      </c>
      <c r="B1039" s="55" t="s">
        <v>836</v>
      </c>
      <c r="C1039" s="55" t="s">
        <v>160</v>
      </c>
      <c r="D1039" s="55" t="s">
        <v>178</v>
      </c>
      <c r="E1039" s="55" t="s">
        <v>210</v>
      </c>
      <c r="F1039" s="56" t="n">
        <v>19.2</v>
      </c>
      <c r="G1039" s="57" t="n">
        <f aca="false">MAX(0,IF(AND(Parameter!$B$21="Ja",ISNUMBER(W1039)),W1039,IF(Parameter!$B$20="Jahresanfang 2025 + Export",BJ1039+BI1039,BI1039)))</f>
        <v>0</v>
      </c>
      <c r="H1039" s="57" t="n">
        <f aca="false">G1039*F1039</f>
        <v>0</v>
      </c>
      <c r="I1039" s="57" t="n">
        <f aca="false">BL1039*Parameter!$B$18</f>
        <v>6</v>
      </c>
      <c r="J1039" s="58" t="n">
        <v>13</v>
      </c>
      <c r="K1039" s="59" t="n">
        <v>0.461538461538462</v>
      </c>
      <c r="L1039" s="57" t="n">
        <v>0</v>
      </c>
      <c r="M1039" s="57" t="n">
        <v>5</v>
      </c>
      <c r="N1039" s="60" t="n">
        <v>31</v>
      </c>
      <c r="O1039" s="55" t="s">
        <v>465</v>
      </c>
      <c r="P1039" s="57" t="n">
        <v>19</v>
      </c>
      <c r="Q1039" s="60" t="n">
        <f aca="false">IF(BR1039=1,0,IFERROR(VLOOKUP(BP1039,'Gebinde-Kategorie'!$A$5:$M$45,13,0)+0,0))</f>
        <v>66</v>
      </c>
      <c r="R1039" s="61"/>
      <c r="S1039" s="62"/>
      <c r="T1039" s="62"/>
      <c r="U1039" s="55"/>
      <c r="V1039" s="57"/>
      <c r="W1039" s="57"/>
      <c r="X1039" s="55" t="n">
        <f aca="false">IF(A1039="","",IF(AND(Parameter!$B$21="Ja",ISNUMBER(U1039)),U1039,IF(IFERROR(VLOOKUP(D1039,Parameter!$A$35:$C$64,2,0),"Nein")="2+3",IF(ISNUMBER(SEARCH("grosser Artikel",BM1039)),2,IFERROR(VLOOKUP(BP1039,Parameter!$F$35:$G$64,2,0),2)),IF(OR(IFERROR(VLOOKUP(D1039,Parameter!$A$35:$C$64,2,0),"Nein")="Nein",IFERROR(VLOOKUP(D1039,Parameter!$A$35:$C$64,2,0),"Nein")=""),"-",VLOOKUP(D1039,Parameter!$A$35:$C$64,2,0)))))</f>
        <v>3</v>
      </c>
      <c r="Y1039" s="62"/>
      <c r="Z1039" s="63"/>
      <c r="AA1039" s="57" t="n">
        <f aca="false">AP1039</f>
        <v>19</v>
      </c>
      <c r="AB1039" s="57" t="n">
        <f aca="false">MAX(AP1039,G1039)</f>
        <v>19</v>
      </c>
      <c r="AC1039" s="64"/>
      <c r="AD1039" s="57" t="n">
        <f aca="false">IF(LEFT(Cockpit!$C$5,1)="A",G1039,IF(BW1039=1,BX1039,IF(LEFT(Cockpit!$C$5,1)="B",AH1039,MAX(AH1039,G1039))))</f>
        <v>0</v>
      </c>
      <c r="AE1039" s="57" t="n">
        <f aca="false">IF(BR1039=1,0,ROUNDUP(AD1039/BQ1039,0))</f>
        <v>0</v>
      </c>
      <c r="AF1039" s="59" t="n">
        <f aca="false">IF(CD1039&gt;0,CD1039*MAX(1,AD1039/V1039),IF(BR1039=1,IF(AD1039&lt;=0,0,BS1039*MAX(1,IF(G1039&gt;0,AD1039/G1039,1))),IF(Q1039&gt;0,AE1039/Q1039,0))/MAX(0.1,N(Parameter!$M$21)))</f>
        <v>0</v>
      </c>
      <c r="AG1039" s="57" t="n">
        <f aca="false">AD1039*F1039</f>
        <v>0</v>
      </c>
      <c r="AH1039" s="57" t="n">
        <f aca="false">ROUNDUP(MAX(I1039/IF(BV1039&gt;0,BV1039,MAX(0.1,N(Cockpit!$C$6))),BY1039)/BQ1039,0)*BQ1039</f>
        <v>19</v>
      </c>
      <c r="AI1039" s="58" t="n">
        <f aca="false">IF(AF1039&gt;0,I1039/AF1039,-1)</f>
        <v>-1</v>
      </c>
      <c r="AJ1039" s="58" t="str">
        <f aca="false">IF(AND(OR(BU1039="L1",BU1039="L23"),AF1039&gt;0),SUMIFS($AF$7:$AF$1576,$BU$7:$BU$1576,BU1039,$AI$7:$AI$1576,"&gt;"&amp;AI1039)+SUMIFS($AF$7:$AF$1576,$BU$7:$BU$1576,BU1039,$AI$7:$AI$1576,AI1039,$BO$7:$BO$1576,"&lt;="&amp;BO1039),"")</f>
        <v/>
      </c>
      <c r="AK1039" s="65" t="n">
        <f aca="false">IF(AJ1039="",0,MAX(0,MIN(1,(IF(BU1039="L1",Parameter!$E$5,Parameter!$E$6+Parameter!$E$7)-(AJ1039-AF1039))/AF1039)))</f>
        <v>0</v>
      </c>
      <c r="AL1039" s="57" t="n">
        <f aca="false">IF(LEFT(Cockpit!$I$5,1)="A",G1039,IF(BW1039=1,BX1039,IF(LEFT(Cockpit!$I$5,1)="B",AP1039,MAX(AP1039,G1039))))</f>
        <v>19</v>
      </c>
      <c r="AM1039" s="57" t="n">
        <f aca="false">IF(BR1039=1,0,ROUNDUP(AL1039/BQ1039,0))</f>
        <v>1</v>
      </c>
      <c r="AN1039" s="59" t="n">
        <f aca="false">IF(CD1039&gt;0,CD1039*MAX(1,AL1039/V1039),IF(BR1039=1,IF(AL1039&lt;=0,0,BS1039*MAX(1,IF(G1039&gt;0,AL1039/G1039,1))),IF(Q1039&gt;0,AM1039/Q1039,0))/MAX(0.1,N(Parameter!$M$21)))</f>
        <v>0.0151515151515152</v>
      </c>
      <c r="AO1039" s="57" t="n">
        <f aca="false">AL1039*F1039</f>
        <v>364.8</v>
      </c>
      <c r="AP1039" s="57" t="n">
        <f aca="false">ROUNDUP(MAX(I1039/IF(BV1039&gt;0,BV1039,MAX(0.1,N(Cockpit!$I$6))),BY1039)/BQ1039,0)*BQ1039</f>
        <v>19</v>
      </c>
      <c r="AQ1039" s="58" t="n">
        <f aca="false">IF(AN1039&gt;0,I1039/AN1039,-1)</f>
        <v>396</v>
      </c>
      <c r="AR1039" s="58" t="n">
        <f aca="false">IF(AND(OR(BU1039="L1",BU1039="L23"),AN1039&gt;0),SUMIFS($AN$7:$AN$1576,$BU$7:$BU$1576,BU1039,$AQ$7:$AQ$1576,"&gt;"&amp;AQ1039)+SUMIFS($AN$7:$AN$1576,$BU$7:$BU$1576,BU1039,$AQ$7:$AQ$1576,AQ1039,$BO$7:$BO$1576,"&lt;="&amp;BO1039),"")</f>
        <v>36.8723440451813</v>
      </c>
      <c r="AS1039" s="65" t="n">
        <f aca="false">IF(AR1039="",0,MAX(0,MIN(1,(IF(BU1039="L1",Parameter!$E$5,Parameter!$E$6+Parameter!$E$7)-(AR1039-AN1039))/AN1039)))</f>
        <v>1</v>
      </c>
      <c r="AT1039" s="57" t="n">
        <f aca="false">IF(LEFT(Cockpit!$O$5,1)="A",G1039,IF(BW1039=1,BX1039,IF(LEFT(Cockpit!$O$5,1)="B",AX1039,MAX(AX1039,G1039))))</f>
        <v>19</v>
      </c>
      <c r="AU1039" s="57" t="n">
        <f aca="false">IF(BR1039=1,0,ROUNDUP(AT1039/BQ1039,0))</f>
        <v>1</v>
      </c>
      <c r="AV1039" s="59" t="n">
        <f aca="false">IF(CD1039&gt;0,CD1039*MAX(1,AT1039/V1039),IF(BR1039=1,IF(AT1039&lt;=0,0,BS1039*MAX(1,IF(G1039&gt;0,AT1039/G1039,1))),IF(Q1039&gt;0,AU1039/Q1039,0))/MAX(0.1,N(Parameter!$M$21)))</f>
        <v>0.0151515151515152</v>
      </c>
      <c r="AW1039" s="57" t="n">
        <f aca="false">AT1039*F1039</f>
        <v>364.8</v>
      </c>
      <c r="AX1039" s="57" t="n">
        <f aca="false">ROUNDUP(MAX(I1039/IF(BV1039&gt;0,BV1039,MAX(0.1,N(Cockpit!$O$6))),BY1039)/BQ1039,0)*BQ1039</f>
        <v>19</v>
      </c>
      <c r="AY1039" s="58" t="n">
        <f aca="false">IF(AV1039&gt;0,I1039/AV1039,-1)</f>
        <v>396</v>
      </c>
      <c r="AZ1039" s="58" t="n">
        <f aca="false">IF(AND(OR(BU1039="L1",BU1039="L23"),AV1039&gt;0),SUMIFS($AV$7:$AV$1576,$BU$7:$BU$1576,BU1039,$AY$7:$AY$1576,"&gt;"&amp;AY1039)+SUMIFS($AV$7:$AV$1576,$BU$7:$BU$1576,BU1039,$AY$7:$AY$1576,AY1039,$BO$7:$BO$1576,"&lt;="&amp;BO1039),"")</f>
        <v>36.0370892999265</v>
      </c>
      <c r="BA1039" s="65" t="n">
        <f aca="false">IF(AZ1039="",0,MAX(0,MIN(1,(IF(BU1039="L1",Parameter!$E$5,Parameter!$E$6+Parameter!$E$7)-(AZ1039-AV1039))/AV1039)))</f>
        <v>1</v>
      </c>
      <c r="BB1039" s="55" t="str">
        <f aca="false">IF(AF1039&lt;=0,"",IF(BU1039="Aussen","Aussenlager",IF(BU1039="-","Nicht im Lift",IF(AK1039&gt;=1,"Lift",IF(AK1039&lt;=0,"Aussenlager","teilweise")))))</f>
        <v/>
      </c>
      <c r="BC1039" s="55" t="str">
        <f aca="false">IF(AN1039&lt;=0,"",IF(BU1039="Aussen","Aussenlager",IF(BU1039="-","Nicht im Lift",IF(AS1039&gt;=1,"Lift",IF(AS1039&lt;=0,"Aussenlager","teilweise")))))</f>
        <v>Lift</v>
      </c>
      <c r="BD1039" s="55" t="str">
        <f aca="false">IF(AV1039&lt;=0,"",IF(BU1039="Aussen","Aussenlager",IF(BU1039="-","Nicht im Lift",IF(BA1039&gt;=1,"Lift",IF(BA1039&lt;=0,"Aussenlager","teilweise")))))</f>
        <v>Lift</v>
      </c>
      <c r="BE1039" s="55" t="str">
        <f aca="false">IF(A1039="","",IF(BN1039=1,"Neu; ","")&amp;IF(AND(BN1039=0,BI1039&lt;0),"negativer Bestand (Export "&amp;BI1039&amp;"); ","")&amp;IF(I1039&lt;=0,"Kein Verbrauch; ","")&amp;IF(CD1039&gt;0,"Lift "&amp;U1039&amp;" lt. Liftbericht (Fach "&amp;V1039&amp;" Stk); ",IF(BR1039=1,"Lose – Fläche geschätzt; ",""))&amp;IF(G1039&gt;AP1039,"Überbestand "&amp;ROUND(G1039-AP1039,0)&amp;" Stk / CHF "&amp;ROUND((G1039-AP1039)*F1039,0)&amp;"; ","")&amp;IF(AND(BW1039=1,BX1039&lt;BY1039),"MAX &lt; MB+LG; ","")&amp;IF(AND(CC1039&gt;0,CB1039*10&gt;CC1039),"zu hoch für Tablar; ","")&amp;IF(AND(BN1039=0,OR(BW1039=1,Y1039&lt;&gt;"",S1039&lt;&gt;"",T1039&lt;&gt;"",Z1039&lt;&gt;"")),"manuell übersteuert; ","")&amp;IF(AND(BR1039=0,Q1039=0),"Gebinde unbekannt / Stellmass fehlt; ","")&amp;IF(AND(BR1039=0,N(T1039)&lt;=0,N(P1039)&lt;=0),"Menge pro Gebinde fehlt (Ist = 1 Gebinde); ","")&amp;BM1039)</f>
        <v>negativer Bestand (Export -7); Überbestand</v>
      </c>
      <c r="BF1039" s="55"/>
      <c r="BG1039" s="55"/>
      <c r="BH1039" s="62"/>
      <c r="BI1039" s="57" t="n">
        <v>-7</v>
      </c>
      <c r="BJ1039" s="57" t="n">
        <v>16</v>
      </c>
      <c r="BK1039" s="56" t="n">
        <v>-134.4</v>
      </c>
      <c r="BL1039" s="57" t="n">
        <v>6</v>
      </c>
      <c r="BM1039" s="55" t="s">
        <v>382</v>
      </c>
      <c r="BN1039" s="60" t="n">
        <v>0</v>
      </c>
      <c r="BO1039" s="60" t="n">
        <v>1039</v>
      </c>
      <c r="BP1039" s="55" t="str">
        <f aca="false">IF(S1039&lt;&gt;"",UPPER(TRIM(S1039)),IF(O1039="","LOSE",O1039))</f>
        <v>S33</v>
      </c>
      <c r="BQ1039" s="57" t="n">
        <f aca="false">IF(BP1039="LOSE",1,IF(N(T1039)&gt;0,T1039,IF(N(P1039)&gt;0,P1039,MAX(1,G1039))))</f>
        <v>19</v>
      </c>
      <c r="BR1039" s="60" t="n">
        <f aca="false">IF(BP1039="LOSE",1,0)</f>
        <v>0</v>
      </c>
      <c r="BS1039" s="59" t="n">
        <f aca="false">IF(BR1039=0,0,IF(N(R1039)&gt;0,R1039,IFERROR(VLOOKUP(D1039,Parameter!$A$35:$C$64,3,0)+0,0)))</f>
        <v>0</v>
      </c>
      <c r="BT1039" s="55" t="n">
        <f aca="false">IF(Y1039&lt;&gt;"",Y1039,X1039)</f>
        <v>3</v>
      </c>
      <c r="BU1039" s="55" t="str">
        <f aca="false">IF(BT1039=1,"L1",IF(OR(BT1039=2,BT1039=3),"L23",IF(BT1039="Aussen","Aussen","-")))</f>
        <v>L23</v>
      </c>
      <c r="BV1039" s="66" t="n">
        <f aca="false">IF(N(Z1039)&gt;0,Z1039,0)</f>
        <v>0</v>
      </c>
      <c r="BW1039" s="60" t="n">
        <f aca="false">IF(ISNUMBER(AC1039),1,0)</f>
        <v>0</v>
      </c>
      <c r="BX1039" s="57" t="n">
        <f aca="false">N(AC1039)</f>
        <v>0</v>
      </c>
      <c r="BY1039" s="57" t="n">
        <f aca="false">N(L1039)+N(M1039)</f>
        <v>5</v>
      </c>
      <c r="BZ1039" s="57" t="n">
        <f aca="false">ROUNDUP(G1039/BQ1039,0)</f>
        <v>0</v>
      </c>
      <c r="CA1039" s="57" t="n">
        <f aca="false">ROUNDUP(BX1039/BQ1039,0)</f>
        <v>0</v>
      </c>
      <c r="CB1039" s="60" t="n">
        <f aca="false">IF(BR1039=1,0,IFERROR(VLOOKUP(BP1039,'Gebinde-Kategorie'!$A$5:$M$45,5,0)+0,0))</f>
        <v>8</v>
      </c>
      <c r="CC1039" s="60" t="n">
        <f aca="false">IFERROR(IF(OR(BT1039=1,BT1039=2,BT1039=3),N(INDEX(Parameter!$I$5:$I$7,BT1039)),0),0)</f>
        <v>0</v>
      </c>
      <c r="CD1039" s="59" t="n">
        <f aca="false">IF(AND(Parameter!$B$21="Ja",ISNUMBER(U1039),N(V1039)&gt;0),IFERROR(N(INDEX(Parameter!$L$5:$L$7,U1039))*INDEX(Parameter!$E$5:$E$7,U1039)*V1039/SUMIFS($V$7:$V$1576,$U$7:$U$1576,U1039),0),0)</f>
        <v>0</v>
      </c>
    </row>
    <row r="1040" customFormat="false" ht="15" hidden="false" customHeight="false" outlineLevel="0" collapsed="false">
      <c r="A1040" s="55" t="s">
        <v>1895</v>
      </c>
      <c r="B1040" s="55" t="s">
        <v>1270</v>
      </c>
      <c r="C1040" s="55" t="s">
        <v>160</v>
      </c>
      <c r="D1040" s="55" t="s">
        <v>178</v>
      </c>
      <c r="E1040" s="55" t="s">
        <v>210</v>
      </c>
      <c r="F1040" s="56" t="n">
        <v>11.25</v>
      </c>
      <c r="G1040" s="57" t="n">
        <f aca="false">MAX(0,IF(AND(Parameter!$B$21="Ja",ISNUMBER(W1040)),W1040,IF(Parameter!$B$20="Jahresanfang 2025 + Export",BJ1040+BI1040,BI1040)))</f>
        <v>0</v>
      </c>
      <c r="H1040" s="57" t="n">
        <f aca="false">G1040*F1040</f>
        <v>0</v>
      </c>
      <c r="I1040" s="57" t="n">
        <f aca="false">BL1040*Parameter!$B$18</f>
        <v>3</v>
      </c>
      <c r="J1040" s="58" t="n">
        <v>80.5</v>
      </c>
      <c r="K1040" s="59" t="n">
        <v>0.0372670807453416</v>
      </c>
      <c r="L1040" s="57" t="n">
        <v>0</v>
      </c>
      <c r="M1040" s="57" t="n">
        <v>5</v>
      </c>
      <c r="N1040" s="60" t="n">
        <v>21</v>
      </c>
      <c r="O1040" s="55" t="s">
        <v>411</v>
      </c>
      <c r="P1040" s="57" t="n">
        <v>83</v>
      </c>
      <c r="Q1040" s="60" t="n">
        <f aca="false">IF(BR1040=1,0,IFERROR(VLOOKUP(BP1040,'Gebinde-Kategorie'!$A$5:$M$45,13,0)+0,0))</f>
        <v>132</v>
      </c>
      <c r="R1040" s="61"/>
      <c r="S1040" s="62"/>
      <c r="T1040" s="62"/>
      <c r="U1040" s="55"/>
      <c r="V1040" s="57"/>
      <c r="W1040" s="57"/>
      <c r="X1040" s="55" t="n">
        <f aca="false">IF(A1040="","",IF(AND(Parameter!$B$21="Ja",ISNUMBER(U1040)),U1040,IF(IFERROR(VLOOKUP(D1040,Parameter!$A$35:$C$64,2,0),"Nein")="2+3",IF(ISNUMBER(SEARCH("grosser Artikel",BM1040)),2,IFERROR(VLOOKUP(BP1040,Parameter!$F$35:$G$64,2,0),2)),IF(OR(IFERROR(VLOOKUP(D1040,Parameter!$A$35:$C$64,2,0),"Nein")="Nein",IFERROR(VLOOKUP(D1040,Parameter!$A$35:$C$64,2,0),"Nein")=""),"-",VLOOKUP(D1040,Parameter!$A$35:$C$64,2,0)))))</f>
        <v>3</v>
      </c>
      <c r="Y1040" s="62"/>
      <c r="Z1040" s="63"/>
      <c r="AA1040" s="57" t="n">
        <f aca="false">AP1040</f>
        <v>83</v>
      </c>
      <c r="AB1040" s="57" t="n">
        <f aca="false">MAX(AP1040,G1040)</f>
        <v>83</v>
      </c>
      <c r="AC1040" s="64"/>
      <c r="AD1040" s="57" t="n">
        <f aca="false">IF(LEFT(Cockpit!$C$5,1)="A",G1040,IF(BW1040=1,BX1040,IF(LEFT(Cockpit!$C$5,1)="B",AH1040,MAX(AH1040,G1040))))</f>
        <v>0</v>
      </c>
      <c r="AE1040" s="57" t="n">
        <f aca="false">IF(BR1040=1,0,ROUNDUP(AD1040/BQ1040,0))</f>
        <v>0</v>
      </c>
      <c r="AF1040" s="59" t="n">
        <f aca="false">IF(CD1040&gt;0,CD1040*MAX(1,AD1040/V1040),IF(BR1040=1,IF(AD1040&lt;=0,0,BS1040*MAX(1,IF(G1040&gt;0,AD1040/G1040,1))),IF(Q1040&gt;0,AE1040/Q1040,0))/MAX(0.1,N(Parameter!$M$21)))</f>
        <v>0</v>
      </c>
      <c r="AG1040" s="57" t="n">
        <f aca="false">AD1040*F1040</f>
        <v>0</v>
      </c>
      <c r="AH1040" s="57" t="n">
        <f aca="false">ROUNDUP(MAX(I1040/IF(BV1040&gt;0,BV1040,MAX(0.1,N(Cockpit!$C$6))),BY1040)/BQ1040,0)*BQ1040</f>
        <v>83</v>
      </c>
      <c r="AI1040" s="58" t="n">
        <f aca="false">IF(AF1040&gt;0,I1040/AF1040,-1)</f>
        <v>-1</v>
      </c>
      <c r="AJ1040" s="58" t="str">
        <f aca="false">IF(AND(OR(BU1040="L1",BU1040="L23"),AF1040&gt;0),SUMIFS($AF$7:$AF$1576,$BU$7:$BU$1576,BU1040,$AI$7:$AI$1576,"&gt;"&amp;AI1040)+SUMIFS($AF$7:$AF$1576,$BU$7:$BU$1576,BU1040,$AI$7:$AI$1576,AI1040,$BO$7:$BO$1576,"&lt;="&amp;BO1040),"")</f>
        <v/>
      </c>
      <c r="AK1040" s="65" t="n">
        <f aca="false">IF(AJ1040="",0,MAX(0,MIN(1,(IF(BU1040="L1",Parameter!$E$5,Parameter!$E$6+Parameter!$E$7)-(AJ1040-AF1040))/AF1040)))</f>
        <v>0</v>
      </c>
      <c r="AL1040" s="57" t="n">
        <f aca="false">IF(LEFT(Cockpit!$I$5,1)="A",G1040,IF(BW1040=1,BX1040,IF(LEFT(Cockpit!$I$5,1)="B",AP1040,MAX(AP1040,G1040))))</f>
        <v>83</v>
      </c>
      <c r="AM1040" s="57" t="n">
        <f aca="false">IF(BR1040=1,0,ROUNDUP(AL1040/BQ1040,0))</f>
        <v>1</v>
      </c>
      <c r="AN1040" s="59" t="n">
        <f aca="false">IF(CD1040&gt;0,CD1040*MAX(1,AL1040/V1040),IF(BR1040=1,IF(AL1040&lt;=0,0,BS1040*MAX(1,IF(G1040&gt;0,AL1040/G1040,1))),IF(Q1040&gt;0,AM1040/Q1040,0))/MAX(0.1,N(Parameter!$M$21)))</f>
        <v>0.00757575757575758</v>
      </c>
      <c r="AO1040" s="57" t="n">
        <f aca="false">AL1040*F1040</f>
        <v>933.75</v>
      </c>
      <c r="AP1040" s="57" t="n">
        <f aca="false">ROUNDUP(MAX(I1040/IF(BV1040&gt;0,BV1040,MAX(0.1,N(Cockpit!$I$6))),BY1040)/BQ1040,0)*BQ1040</f>
        <v>83</v>
      </c>
      <c r="AQ1040" s="58" t="n">
        <f aca="false">IF(AN1040&gt;0,I1040/AN1040,-1)</f>
        <v>396</v>
      </c>
      <c r="AR1040" s="58" t="n">
        <f aca="false">IF(AND(OR(BU1040="L1",BU1040="L23"),AN1040&gt;0),SUMIFS($AN$7:$AN$1576,$BU$7:$BU$1576,BU1040,$AQ$7:$AQ$1576,"&gt;"&amp;AQ1040)+SUMIFS($AN$7:$AN$1576,$BU$7:$BU$1576,BU1040,$AQ$7:$AQ$1576,AQ1040,$BO$7:$BO$1576,"&lt;="&amp;BO1040),"")</f>
        <v>36.879919802757</v>
      </c>
      <c r="AS1040" s="65" t="n">
        <f aca="false">IF(AR1040="",0,MAX(0,MIN(1,(IF(BU1040="L1",Parameter!$E$5,Parameter!$E$6+Parameter!$E$7)-(AR1040-AN1040))/AN1040)))</f>
        <v>1</v>
      </c>
      <c r="AT1040" s="57" t="n">
        <f aca="false">IF(LEFT(Cockpit!$O$5,1)="A",G1040,IF(BW1040=1,BX1040,IF(LEFT(Cockpit!$O$5,1)="B",AX1040,MAX(AX1040,G1040))))</f>
        <v>83</v>
      </c>
      <c r="AU1040" s="57" t="n">
        <f aca="false">IF(BR1040=1,0,ROUNDUP(AT1040/BQ1040,0))</f>
        <v>1</v>
      </c>
      <c r="AV1040" s="59" t="n">
        <f aca="false">IF(CD1040&gt;0,CD1040*MAX(1,AT1040/V1040),IF(BR1040=1,IF(AT1040&lt;=0,0,BS1040*MAX(1,IF(G1040&gt;0,AT1040/G1040,1))),IF(Q1040&gt;0,AU1040/Q1040,0))/MAX(0.1,N(Parameter!$M$21)))</f>
        <v>0.00757575757575758</v>
      </c>
      <c r="AW1040" s="57" t="n">
        <f aca="false">AT1040*F1040</f>
        <v>933.75</v>
      </c>
      <c r="AX1040" s="57" t="n">
        <f aca="false">ROUNDUP(MAX(I1040/IF(BV1040&gt;0,BV1040,MAX(0.1,N(Cockpit!$O$6))),BY1040)/BQ1040,0)*BQ1040</f>
        <v>83</v>
      </c>
      <c r="AY1040" s="58" t="n">
        <f aca="false">IF(AV1040&gt;0,I1040/AV1040,-1)</f>
        <v>396</v>
      </c>
      <c r="AZ1040" s="58" t="n">
        <f aca="false">IF(AND(OR(BU1040="L1",BU1040="L23"),AV1040&gt;0),SUMIFS($AV$7:$AV$1576,$BU$7:$BU$1576,BU1040,$AY$7:$AY$1576,"&gt;"&amp;AY1040)+SUMIFS($AV$7:$AV$1576,$BU$7:$BU$1576,BU1040,$AY$7:$AY$1576,AY1040,$BO$7:$BO$1576,"&lt;="&amp;BO1040),"")</f>
        <v>36.0446650575023</v>
      </c>
      <c r="BA1040" s="65" t="n">
        <f aca="false">IF(AZ1040="",0,MAX(0,MIN(1,(IF(BU1040="L1",Parameter!$E$5,Parameter!$E$6+Parameter!$E$7)-(AZ1040-AV1040))/AV1040)))</f>
        <v>1</v>
      </c>
      <c r="BB1040" s="55" t="str">
        <f aca="false">IF(AF1040&lt;=0,"",IF(BU1040="Aussen","Aussenlager",IF(BU1040="-","Nicht im Lift",IF(AK1040&gt;=1,"Lift",IF(AK1040&lt;=0,"Aussenlager","teilweise")))))</f>
        <v/>
      </c>
      <c r="BC1040" s="55" t="str">
        <f aca="false">IF(AN1040&lt;=0,"",IF(BU1040="Aussen","Aussenlager",IF(BU1040="-","Nicht im Lift",IF(AS1040&gt;=1,"Lift",IF(AS1040&lt;=0,"Aussenlager","teilweise")))))</f>
        <v>Lift</v>
      </c>
      <c r="BD1040" s="55" t="str">
        <f aca="false">IF(AV1040&lt;=0,"",IF(BU1040="Aussen","Aussenlager",IF(BU1040="-","Nicht im Lift",IF(BA1040&gt;=1,"Lift",IF(BA1040&lt;=0,"Aussenlager","teilweise")))))</f>
        <v>Lift</v>
      </c>
      <c r="BE1040" s="55" t="str">
        <f aca="false">IF(A1040="","",IF(BN1040=1,"Neu; ","")&amp;IF(AND(BN1040=0,BI1040&lt;0),"negativer Bestand (Export "&amp;BI1040&amp;"); ","")&amp;IF(I1040&lt;=0,"Kein Verbrauch; ","")&amp;IF(CD1040&gt;0,"Lift "&amp;U1040&amp;" lt. Liftbericht (Fach "&amp;V1040&amp;" Stk); ",IF(BR1040=1,"Lose – Fläche geschätzt; ",""))&amp;IF(G1040&gt;AP1040,"Überbestand "&amp;ROUND(G1040-AP1040,0)&amp;" Stk / CHF "&amp;ROUND((G1040-AP1040)*F1040,0)&amp;"; ","")&amp;IF(AND(BW1040=1,BX1040&lt;BY1040),"MAX &lt; MB+LG; ","")&amp;IF(AND(CC1040&gt;0,CB1040*10&gt;CC1040),"zu hoch für Tablar; ","")&amp;IF(AND(BN1040=0,OR(BW1040=1,Y1040&lt;&gt;"",S1040&lt;&gt;"",T1040&lt;&gt;"",Z1040&lt;&gt;"")),"manuell übersteuert; ","")&amp;IF(AND(BR1040=0,Q1040=0),"Gebinde unbekannt / Stellmass fehlt; ","")&amp;IF(AND(BR1040=0,N(T1040)&lt;=0,N(P1040)&lt;=0),"Menge pro Gebinde fehlt (Ist = 1 Gebinde); ","")&amp;BM1040)</f>
        <v>negativer Bestand (Export -12); Überbestand</v>
      </c>
      <c r="BF1040" s="55"/>
      <c r="BG1040" s="55"/>
      <c r="BH1040" s="62"/>
      <c r="BI1040" s="57" t="n">
        <v>-12</v>
      </c>
      <c r="BJ1040" s="57" t="n">
        <v>82</v>
      </c>
      <c r="BK1040" s="56" t="n">
        <v>-135</v>
      </c>
      <c r="BL1040" s="57" t="n">
        <v>3</v>
      </c>
      <c r="BM1040" s="55" t="s">
        <v>382</v>
      </c>
      <c r="BN1040" s="60" t="n">
        <v>0</v>
      </c>
      <c r="BO1040" s="60" t="n">
        <v>1040</v>
      </c>
      <c r="BP1040" s="55" t="str">
        <f aca="false">IF(S1040&lt;&gt;"",UPPER(TRIM(S1040)),IF(O1040="","LOSE",O1040))</f>
        <v>S32</v>
      </c>
      <c r="BQ1040" s="57" t="n">
        <f aca="false">IF(BP1040="LOSE",1,IF(N(T1040)&gt;0,T1040,IF(N(P1040)&gt;0,P1040,MAX(1,G1040))))</f>
        <v>83</v>
      </c>
      <c r="BR1040" s="60" t="n">
        <f aca="false">IF(BP1040="LOSE",1,0)</f>
        <v>0</v>
      </c>
      <c r="BS1040" s="59" t="n">
        <f aca="false">IF(BR1040=0,0,IF(N(R1040)&gt;0,R1040,IFERROR(VLOOKUP(D1040,Parameter!$A$35:$C$64,3,0)+0,0)))</f>
        <v>0</v>
      </c>
      <c r="BT1040" s="55" t="n">
        <f aca="false">IF(Y1040&lt;&gt;"",Y1040,X1040)</f>
        <v>3</v>
      </c>
      <c r="BU1040" s="55" t="str">
        <f aca="false">IF(BT1040=1,"L1",IF(OR(BT1040=2,BT1040=3),"L23",IF(BT1040="Aussen","Aussen","-")))</f>
        <v>L23</v>
      </c>
      <c r="BV1040" s="66" t="n">
        <f aca="false">IF(N(Z1040)&gt;0,Z1040,0)</f>
        <v>0</v>
      </c>
      <c r="BW1040" s="60" t="n">
        <f aca="false">IF(ISNUMBER(AC1040),1,0)</f>
        <v>0</v>
      </c>
      <c r="BX1040" s="57" t="n">
        <f aca="false">N(AC1040)</f>
        <v>0</v>
      </c>
      <c r="BY1040" s="57" t="n">
        <f aca="false">N(L1040)+N(M1040)</f>
        <v>5</v>
      </c>
      <c r="BZ1040" s="57" t="n">
        <f aca="false">ROUNDUP(G1040/BQ1040,0)</f>
        <v>0</v>
      </c>
      <c r="CA1040" s="57" t="n">
        <f aca="false">ROUNDUP(BX1040/BQ1040,0)</f>
        <v>0</v>
      </c>
      <c r="CB1040" s="60" t="n">
        <f aca="false">IF(BR1040=1,0,IFERROR(VLOOKUP(BP1040,'Gebinde-Kategorie'!$A$5:$M$45,5,0)+0,0))</f>
        <v>8</v>
      </c>
      <c r="CC1040" s="60" t="n">
        <f aca="false">IFERROR(IF(OR(BT1040=1,BT1040=2,BT1040=3),N(INDEX(Parameter!$I$5:$I$7,BT1040)),0),0)</f>
        <v>0</v>
      </c>
      <c r="CD1040" s="59" t="n">
        <f aca="false">IF(AND(Parameter!$B$21="Ja",ISNUMBER(U1040),N(V1040)&gt;0),IFERROR(N(INDEX(Parameter!$L$5:$L$7,U1040))*INDEX(Parameter!$E$5:$E$7,U1040)*V1040/SUMIFS($V$7:$V$1576,$U$7:$U$1576,U1040),0),0)</f>
        <v>0</v>
      </c>
    </row>
    <row r="1041" customFormat="false" ht="15" hidden="false" customHeight="false" outlineLevel="0" collapsed="false">
      <c r="A1041" s="55" t="s">
        <v>1896</v>
      </c>
      <c r="B1041" s="55" t="s">
        <v>1897</v>
      </c>
      <c r="C1041" s="55" t="s">
        <v>160</v>
      </c>
      <c r="D1041" s="55" t="s">
        <v>178</v>
      </c>
      <c r="E1041" s="55" t="s">
        <v>210</v>
      </c>
      <c r="F1041" s="56" t="n">
        <v>11.4</v>
      </c>
      <c r="G1041" s="57" t="n">
        <f aca="false">MAX(0,IF(AND(Parameter!$B$21="Ja",ISNUMBER(W1041)),W1041,IF(Parameter!$B$20="Jahresanfang 2025 + Export",BJ1041+BI1041,BI1041)))</f>
        <v>0</v>
      </c>
      <c r="H1041" s="57" t="n">
        <f aca="false">G1041*F1041</f>
        <v>0</v>
      </c>
      <c r="I1041" s="57" t="n">
        <f aca="false">BL1041*Parameter!$B$18</f>
        <v>153</v>
      </c>
      <c r="J1041" s="58" t="n">
        <v>65</v>
      </c>
      <c r="K1041" s="59" t="n">
        <v>2.35384615384615</v>
      </c>
      <c r="L1041" s="57" t="n">
        <v>17</v>
      </c>
      <c r="M1041" s="57" t="n">
        <v>50</v>
      </c>
      <c r="N1041" s="60" t="n">
        <v>42</v>
      </c>
      <c r="O1041" s="55" t="s">
        <v>284</v>
      </c>
      <c r="P1041" s="57" t="n">
        <v>101</v>
      </c>
      <c r="Q1041" s="60" t="n">
        <f aca="false">IF(BR1041=1,0,IFERROR(VLOOKUP(BP1041,'Gebinde-Kategorie'!$A$5:$M$45,13,0)+0,0))</f>
        <v>12</v>
      </c>
      <c r="R1041" s="61"/>
      <c r="S1041" s="62"/>
      <c r="T1041" s="62"/>
      <c r="U1041" s="55"/>
      <c r="V1041" s="57"/>
      <c r="W1041" s="57"/>
      <c r="X1041" s="55" t="n">
        <f aca="false">IF(A1041="","",IF(AND(Parameter!$B$21="Ja",ISNUMBER(U1041)),U1041,IF(IFERROR(VLOOKUP(D1041,Parameter!$A$35:$C$64,2,0),"Nein")="2+3",IF(ISNUMBER(SEARCH("grosser Artikel",BM1041)),2,IFERROR(VLOOKUP(BP1041,Parameter!$F$35:$G$64,2,0),2)),IF(OR(IFERROR(VLOOKUP(D1041,Parameter!$A$35:$C$64,2,0),"Nein")="Nein",IFERROR(VLOOKUP(D1041,Parameter!$A$35:$C$64,2,0),"Nein")=""),"-",VLOOKUP(D1041,Parameter!$A$35:$C$64,2,0)))))</f>
        <v>2</v>
      </c>
      <c r="Y1041" s="62"/>
      <c r="Z1041" s="63"/>
      <c r="AA1041" s="57" t="n">
        <f aca="false">AP1041</f>
        <v>101</v>
      </c>
      <c r="AB1041" s="57" t="n">
        <f aca="false">MAX(AP1041,G1041)</f>
        <v>101</v>
      </c>
      <c r="AC1041" s="64"/>
      <c r="AD1041" s="57" t="n">
        <f aca="false">IF(LEFT(Cockpit!$C$5,1)="A",G1041,IF(BW1041=1,BX1041,IF(LEFT(Cockpit!$C$5,1)="B",AH1041,MAX(AH1041,G1041))))</f>
        <v>0</v>
      </c>
      <c r="AE1041" s="57" t="n">
        <f aca="false">IF(BR1041=1,0,ROUNDUP(AD1041/BQ1041,0))</f>
        <v>0</v>
      </c>
      <c r="AF1041" s="59" t="n">
        <f aca="false">IF(CD1041&gt;0,CD1041*MAX(1,AD1041/V1041),IF(BR1041=1,IF(AD1041&lt;=0,0,BS1041*MAX(1,IF(G1041&gt;0,AD1041/G1041,1))),IF(Q1041&gt;0,AE1041/Q1041,0))/MAX(0.1,N(Parameter!$M$21)))</f>
        <v>0</v>
      </c>
      <c r="AG1041" s="57" t="n">
        <f aca="false">AD1041*F1041</f>
        <v>0</v>
      </c>
      <c r="AH1041" s="57" t="n">
        <f aca="false">ROUNDUP(MAX(I1041/IF(BV1041&gt;0,BV1041,MAX(0.1,N(Cockpit!$C$6))),BY1041)/BQ1041,0)*BQ1041</f>
        <v>101</v>
      </c>
      <c r="AI1041" s="58" t="n">
        <f aca="false">IF(AF1041&gt;0,I1041/AF1041,-1)</f>
        <v>-1</v>
      </c>
      <c r="AJ1041" s="58" t="str">
        <f aca="false">IF(AND(OR(BU1041="L1",BU1041="L23"),AF1041&gt;0),SUMIFS($AF$7:$AF$1576,$BU$7:$BU$1576,BU1041,$AI$7:$AI$1576,"&gt;"&amp;AI1041)+SUMIFS($AF$7:$AF$1576,$BU$7:$BU$1576,BU1041,$AI$7:$AI$1576,AI1041,$BO$7:$BO$1576,"&lt;="&amp;BO1041),"")</f>
        <v/>
      </c>
      <c r="AK1041" s="65" t="n">
        <f aca="false">IF(AJ1041="",0,MAX(0,MIN(1,(IF(BU1041="L1",Parameter!$E$5,Parameter!$E$6+Parameter!$E$7)-(AJ1041-AF1041))/AF1041)))</f>
        <v>0</v>
      </c>
      <c r="AL1041" s="57" t="n">
        <f aca="false">IF(LEFT(Cockpit!$I$5,1)="A",G1041,IF(BW1041=1,BX1041,IF(LEFT(Cockpit!$I$5,1)="B",AP1041,MAX(AP1041,G1041))))</f>
        <v>101</v>
      </c>
      <c r="AM1041" s="57" t="n">
        <f aca="false">IF(BR1041=1,0,ROUNDUP(AL1041/BQ1041,0))</f>
        <v>1</v>
      </c>
      <c r="AN1041" s="59" t="n">
        <f aca="false">IF(CD1041&gt;0,CD1041*MAX(1,AL1041/V1041),IF(BR1041=1,IF(AL1041&lt;=0,0,BS1041*MAX(1,IF(G1041&gt;0,AL1041/G1041,1))),IF(Q1041&gt;0,AM1041/Q1041,0))/MAX(0.1,N(Parameter!$M$21)))</f>
        <v>0.0833333333333333</v>
      </c>
      <c r="AO1041" s="57" t="n">
        <f aca="false">AL1041*F1041</f>
        <v>1151.4</v>
      </c>
      <c r="AP1041" s="57" t="n">
        <f aca="false">ROUNDUP(MAX(I1041/IF(BV1041&gt;0,BV1041,MAX(0.1,N(Cockpit!$I$6))),BY1041)/BQ1041,0)*BQ1041</f>
        <v>101</v>
      </c>
      <c r="AQ1041" s="58" t="n">
        <f aca="false">IF(AN1041&gt;0,I1041/AN1041,-1)</f>
        <v>1836</v>
      </c>
      <c r="AR1041" s="58" t="n">
        <f aca="false">IF(AND(OR(BU1041="L1",BU1041="L23"),AN1041&gt;0),SUMIFS($AN$7:$AN$1576,$BU$7:$BU$1576,BU1041,$AQ$7:$AQ$1576,"&gt;"&amp;AQ1041)+SUMIFS($AN$7:$AN$1576,$BU$7:$BU$1576,BU1041,$AQ$7:$AQ$1576,AQ1041,$BO$7:$BO$1576,"&lt;="&amp;BO1041),"")</f>
        <v>17.7838994945628</v>
      </c>
      <c r="AS1041" s="65" t="n">
        <f aca="false">IF(AR1041="",0,MAX(0,MIN(1,(IF(BU1041="L1",Parameter!$E$5,Parameter!$E$6+Parameter!$E$7)-(AR1041-AN1041))/AN1041)))</f>
        <v>1</v>
      </c>
      <c r="AT1041" s="57" t="n">
        <f aca="false">IF(LEFT(Cockpit!$O$5,1)="A",G1041,IF(BW1041=1,BX1041,IF(LEFT(Cockpit!$O$5,1)="B",AX1041,MAX(AX1041,G1041))))</f>
        <v>101</v>
      </c>
      <c r="AU1041" s="57" t="n">
        <f aca="false">IF(BR1041=1,0,ROUNDUP(AT1041/BQ1041,0))</f>
        <v>1</v>
      </c>
      <c r="AV1041" s="59" t="n">
        <f aca="false">IF(CD1041&gt;0,CD1041*MAX(1,AT1041/V1041),IF(BR1041=1,IF(AT1041&lt;=0,0,BS1041*MAX(1,IF(G1041&gt;0,AT1041/G1041,1))),IF(Q1041&gt;0,AU1041/Q1041,0))/MAX(0.1,N(Parameter!$M$21)))</f>
        <v>0.0833333333333333</v>
      </c>
      <c r="AW1041" s="57" t="n">
        <f aca="false">AT1041*F1041</f>
        <v>1151.4</v>
      </c>
      <c r="AX1041" s="57" t="n">
        <f aca="false">ROUNDUP(MAX(I1041/IF(BV1041&gt;0,BV1041,MAX(0.1,N(Cockpit!$O$6))),BY1041)/BQ1041,0)*BQ1041</f>
        <v>101</v>
      </c>
      <c r="AY1041" s="58" t="n">
        <f aca="false">IF(AV1041&gt;0,I1041/AV1041,-1)</f>
        <v>1836</v>
      </c>
      <c r="AZ1041" s="58" t="n">
        <f aca="false">IF(AND(OR(BU1041="L1",BU1041="L23"),AV1041&gt;0),SUMIFS($AV$7:$AV$1576,$BU$7:$BU$1576,BU1041,$AY$7:$AY$1576,"&gt;"&amp;AY1041)+SUMIFS($AV$7:$AV$1576,$BU$7:$BU$1576,BU1041,$AY$7:$AY$1576,AY1041,$BO$7:$BO$1576,"&lt;="&amp;BO1041),"")</f>
        <v>16.7611722218356</v>
      </c>
      <c r="BA1041" s="65" t="n">
        <f aca="false">IF(AZ1041="",0,MAX(0,MIN(1,(IF(BU1041="L1",Parameter!$E$5,Parameter!$E$6+Parameter!$E$7)-(AZ1041-AV1041))/AV1041)))</f>
        <v>1</v>
      </c>
      <c r="BB1041" s="55" t="str">
        <f aca="false">IF(AF1041&lt;=0,"",IF(BU1041="Aussen","Aussenlager",IF(BU1041="-","Nicht im Lift",IF(AK1041&gt;=1,"Lift",IF(AK1041&lt;=0,"Aussenlager","teilweise")))))</f>
        <v/>
      </c>
      <c r="BC1041" s="55" t="str">
        <f aca="false">IF(AN1041&lt;=0,"",IF(BU1041="Aussen","Aussenlager",IF(BU1041="-","Nicht im Lift",IF(AS1041&gt;=1,"Lift",IF(AS1041&lt;=0,"Aussenlager","teilweise")))))</f>
        <v>Lift</v>
      </c>
      <c r="BD1041" s="55" t="str">
        <f aca="false">IF(AV1041&lt;=0,"",IF(BU1041="Aussen","Aussenlager",IF(BU1041="-","Nicht im Lift",IF(BA1041&gt;=1,"Lift",IF(BA1041&lt;=0,"Aussenlager","teilweise")))))</f>
        <v>Lift</v>
      </c>
      <c r="BE1041" s="55" t="str">
        <f aca="false">IF(A1041="","",IF(BN1041=1,"Neu; ","")&amp;IF(AND(BN1041=0,BI1041&lt;0),"negativer Bestand (Export "&amp;BI1041&amp;"); ","")&amp;IF(I1041&lt;=0,"Kein Verbrauch; ","")&amp;IF(CD1041&gt;0,"Lift "&amp;U1041&amp;" lt. Liftbericht (Fach "&amp;V1041&amp;" Stk); ",IF(BR1041=1,"Lose – Fläche geschätzt; ",""))&amp;IF(G1041&gt;AP1041,"Überbestand "&amp;ROUND(G1041-AP1041,0)&amp;" Stk / CHF "&amp;ROUND((G1041-AP1041)*F1041,0)&amp;"; ","")&amp;IF(AND(BW1041=1,BX1041&lt;BY1041),"MAX &lt; MB+LG; ","")&amp;IF(AND(CC1041&gt;0,CB1041*10&gt;CC1041),"zu hoch für Tablar; ","")&amp;IF(AND(BN1041=0,OR(BW1041=1,Y1041&lt;&gt;"",S1041&lt;&gt;"",T1041&lt;&gt;"",Z1041&lt;&gt;"")),"manuell übersteuert; ","")&amp;IF(AND(BR1041=0,Q1041=0),"Gebinde unbekannt / Stellmass fehlt; ","")&amp;IF(AND(BR1041=0,N(T1041)&lt;=0,N(P1041)&lt;=0),"Menge pro Gebinde fehlt (Ist = 1 Gebinde); ","")&amp;BM1041)</f>
        <v>negativer Bestand (Export -12); </v>
      </c>
      <c r="BF1041" s="55"/>
      <c r="BG1041" s="55"/>
      <c r="BH1041" s="62"/>
      <c r="BI1041" s="57" t="n">
        <v>-12</v>
      </c>
      <c r="BJ1041" s="57" t="n">
        <v>66</v>
      </c>
      <c r="BK1041" s="56" t="n">
        <v>-136.8</v>
      </c>
      <c r="BL1041" s="57" t="n">
        <v>153</v>
      </c>
      <c r="BM1041" s="55"/>
      <c r="BN1041" s="60" t="n">
        <v>0</v>
      </c>
      <c r="BO1041" s="60" t="n">
        <v>1041</v>
      </c>
      <c r="BP1041" s="55" t="str">
        <f aca="false">IF(S1041&lt;&gt;"",UPPER(TRIM(S1041)),IF(O1041="","LOSE",O1041))</f>
        <v>S62</v>
      </c>
      <c r="BQ1041" s="57" t="n">
        <f aca="false">IF(BP1041="LOSE",1,IF(N(T1041)&gt;0,T1041,IF(N(P1041)&gt;0,P1041,MAX(1,G1041))))</f>
        <v>101</v>
      </c>
      <c r="BR1041" s="60" t="n">
        <f aca="false">IF(BP1041="LOSE",1,0)</f>
        <v>0</v>
      </c>
      <c r="BS1041" s="59" t="n">
        <f aca="false">IF(BR1041=0,0,IF(N(R1041)&gt;0,R1041,IFERROR(VLOOKUP(D1041,Parameter!$A$35:$C$64,3,0)+0,0)))</f>
        <v>0</v>
      </c>
      <c r="BT1041" s="55" t="n">
        <f aca="false">IF(Y1041&lt;&gt;"",Y1041,X1041)</f>
        <v>2</v>
      </c>
      <c r="BU1041" s="55" t="str">
        <f aca="false">IF(BT1041=1,"L1",IF(OR(BT1041=2,BT1041=3),"L23",IF(BT1041="Aussen","Aussen","-")))</f>
        <v>L23</v>
      </c>
      <c r="BV1041" s="66" t="n">
        <f aca="false">IF(N(Z1041)&gt;0,Z1041,0)</f>
        <v>0</v>
      </c>
      <c r="BW1041" s="60" t="n">
        <f aca="false">IF(ISNUMBER(AC1041),1,0)</f>
        <v>0</v>
      </c>
      <c r="BX1041" s="57" t="n">
        <f aca="false">N(AC1041)</f>
        <v>0</v>
      </c>
      <c r="BY1041" s="57" t="n">
        <f aca="false">N(L1041)+N(M1041)</f>
        <v>67</v>
      </c>
      <c r="BZ1041" s="57" t="n">
        <f aca="false">ROUNDUP(G1041/BQ1041,0)</f>
        <v>0</v>
      </c>
      <c r="CA1041" s="57" t="n">
        <f aca="false">ROUNDUP(BX1041/BQ1041,0)</f>
        <v>0</v>
      </c>
      <c r="CB1041" s="60" t="n">
        <f aca="false">IF(BR1041=1,0,IFERROR(VLOOKUP(BP1041,'Gebinde-Kategorie'!$A$5:$M$45,5,0)+0,0))</f>
        <v>21</v>
      </c>
      <c r="CC1041" s="60" t="n">
        <f aca="false">IFERROR(IF(OR(BT1041=1,BT1041=2,BT1041=3),N(INDEX(Parameter!$I$5:$I$7,BT1041)),0),0)</f>
        <v>0</v>
      </c>
      <c r="CD1041" s="59" t="n">
        <f aca="false">IF(AND(Parameter!$B$21="Ja",ISNUMBER(U1041),N(V1041)&gt;0),IFERROR(N(INDEX(Parameter!$L$5:$L$7,U1041))*INDEX(Parameter!$E$5:$E$7,U1041)*V1041/SUMIFS($V$7:$V$1576,$U$7:$U$1576,U1041),0),0)</f>
        <v>0</v>
      </c>
    </row>
    <row r="1042" customFormat="false" ht="15" hidden="false" customHeight="false" outlineLevel="0" collapsed="false">
      <c r="A1042" s="55" t="s">
        <v>1898</v>
      </c>
      <c r="B1042" s="55" t="s">
        <v>1899</v>
      </c>
      <c r="C1042" s="55" t="s">
        <v>160</v>
      </c>
      <c r="D1042" s="55" t="s">
        <v>168</v>
      </c>
      <c r="E1042" s="55" t="s">
        <v>210</v>
      </c>
      <c r="F1042" s="56" t="n">
        <v>18.72</v>
      </c>
      <c r="G1042" s="57" t="n">
        <f aca="false">MAX(0,IF(AND(Parameter!$B$21="Ja",ISNUMBER(W1042)),W1042,IF(Parameter!$B$20="Jahresanfang 2025 + Export",BJ1042+BI1042,BI1042)))</f>
        <v>0</v>
      </c>
      <c r="H1042" s="57" t="n">
        <f aca="false">G1042*F1042</f>
        <v>0</v>
      </c>
      <c r="I1042" s="57" t="n">
        <f aca="false">BL1042*Parameter!$B$18</f>
        <v>15</v>
      </c>
      <c r="J1042" s="58" t="n">
        <v>8.5</v>
      </c>
      <c r="K1042" s="59" t="n">
        <v>1.76470588235294</v>
      </c>
      <c r="L1042" s="57" t="n">
        <v>1</v>
      </c>
      <c r="M1042" s="57" t="n">
        <v>15</v>
      </c>
      <c r="N1042" s="60" t="n">
        <v>35</v>
      </c>
      <c r="O1042" s="55" t="s">
        <v>416</v>
      </c>
      <c r="P1042" s="57" t="n">
        <v>10</v>
      </c>
      <c r="Q1042" s="60" t="n">
        <f aca="false">IF(BR1042=1,0,IFERROR(VLOOKUP(BP1042,'Gebinde-Kategorie'!$A$5:$M$45,13,0)+0,0))</f>
        <v>198</v>
      </c>
      <c r="R1042" s="61"/>
      <c r="S1042" s="62"/>
      <c r="T1042" s="62"/>
      <c r="U1042" s="55"/>
      <c r="V1042" s="57"/>
      <c r="W1042" s="57"/>
      <c r="X1042" s="55" t="n">
        <f aca="false">IF(A1042="","",IF(AND(Parameter!$B$21="Ja",ISNUMBER(U1042)),U1042,IF(IFERROR(VLOOKUP(D1042,Parameter!$A$35:$C$64,2,0),"Nein")="2+3",IF(ISNUMBER(SEARCH("grosser Artikel",BM1042)),2,IFERROR(VLOOKUP(BP1042,Parameter!$F$35:$G$64,2,0),2)),IF(OR(IFERROR(VLOOKUP(D1042,Parameter!$A$35:$C$64,2,0),"Nein")="Nein",IFERROR(VLOOKUP(D1042,Parameter!$A$35:$C$64,2,0),"Nein")=""),"-",VLOOKUP(D1042,Parameter!$A$35:$C$64,2,0)))))</f>
        <v>3</v>
      </c>
      <c r="Y1042" s="62"/>
      <c r="Z1042" s="63"/>
      <c r="AA1042" s="57" t="n">
        <f aca="false">AP1042</f>
        <v>20</v>
      </c>
      <c r="AB1042" s="57" t="n">
        <f aca="false">MAX(AP1042,G1042)</f>
        <v>20</v>
      </c>
      <c r="AC1042" s="64"/>
      <c r="AD1042" s="57" t="n">
        <f aca="false">IF(LEFT(Cockpit!$C$5,1)="A",G1042,IF(BW1042=1,BX1042,IF(LEFT(Cockpit!$C$5,1)="B",AH1042,MAX(AH1042,G1042))))</f>
        <v>0</v>
      </c>
      <c r="AE1042" s="57" t="n">
        <f aca="false">IF(BR1042=1,0,ROUNDUP(AD1042/BQ1042,0))</f>
        <v>0</v>
      </c>
      <c r="AF1042" s="59" t="n">
        <f aca="false">IF(CD1042&gt;0,CD1042*MAX(1,AD1042/V1042),IF(BR1042=1,IF(AD1042&lt;=0,0,BS1042*MAX(1,IF(G1042&gt;0,AD1042/G1042,1))),IF(Q1042&gt;0,AE1042/Q1042,0))/MAX(0.1,N(Parameter!$M$21)))</f>
        <v>0</v>
      </c>
      <c r="AG1042" s="57" t="n">
        <f aca="false">AD1042*F1042</f>
        <v>0</v>
      </c>
      <c r="AH1042" s="57" t="n">
        <f aca="false">ROUNDUP(MAX(I1042/IF(BV1042&gt;0,BV1042,MAX(0.1,N(Cockpit!$C$6))),BY1042)/BQ1042,0)*BQ1042</f>
        <v>20</v>
      </c>
      <c r="AI1042" s="58" t="n">
        <f aca="false">IF(AF1042&gt;0,I1042/AF1042,-1)</f>
        <v>-1</v>
      </c>
      <c r="AJ1042" s="58" t="str">
        <f aca="false">IF(AND(OR(BU1042="L1",BU1042="L23"),AF1042&gt;0),SUMIFS($AF$7:$AF$1576,$BU$7:$BU$1576,BU1042,$AI$7:$AI$1576,"&gt;"&amp;AI1042)+SUMIFS($AF$7:$AF$1576,$BU$7:$BU$1576,BU1042,$AI$7:$AI$1576,AI1042,$BO$7:$BO$1576,"&lt;="&amp;BO1042),"")</f>
        <v/>
      </c>
      <c r="AK1042" s="65" t="n">
        <f aca="false">IF(AJ1042="",0,MAX(0,MIN(1,(IF(BU1042="L1",Parameter!$E$5,Parameter!$E$6+Parameter!$E$7)-(AJ1042-AF1042))/AF1042)))</f>
        <v>0</v>
      </c>
      <c r="AL1042" s="57" t="n">
        <f aca="false">IF(LEFT(Cockpit!$I$5,1)="A",G1042,IF(BW1042=1,BX1042,IF(LEFT(Cockpit!$I$5,1)="B",AP1042,MAX(AP1042,G1042))))</f>
        <v>20</v>
      </c>
      <c r="AM1042" s="57" t="n">
        <f aca="false">IF(BR1042=1,0,ROUNDUP(AL1042/BQ1042,0))</f>
        <v>2</v>
      </c>
      <c r="AN1042" s="59" t="n">
        <f aca="false">IF(CD1042&gt;0,CD1042*MAX(1,AL1042/V1042),IF(BR1042=1,IF(AL1042&lt;=0,0,BS1042*MAX(1,IF(G1042&gt;0,AL1042/G1042,1))),IF(Q1042&gt;0,AM1042/Q1042,0))/MAX(0.1,N(Parameter!$M$21)))</f>
        <v>0.0101010101010101</v>
      </c>
      <c r="AO1042" s="57" t="n">
        <f aca="false">AL1042*F1042</f>
        <v>374.4</v>
      </c>
      <c r="AP1042" s="57" t="n">
        <f aca="false">ROUNDUP(MAX(I1042/IF(BV1042&gt;0,BV1042,MAX(0.1,N(Cockpit!$I$6))),BY1042)/BQ1042,0)*BQ1042</f>
        <v>20</v>
      </c>
      <c r="AQ1042" s="58" t="n">
        <f aca="false">IF(AN1042&gt;0,I1042/AN1042,-1)</f>
        <v>1485</v>
      </c>
      <c r="AR1042" s="58" t="n">
        <f aca="false">IF(AND(OR(BU1042="L1",BU1042="L23"),AN1042&gt;0),SUMIFS($AN$7:$AN$1576,$BU$7:$BU$1576,BU1042,$AQ$7:$AQ$1576,"&gt;"&amp;AQ1042)+SUMIFS($AN$7:$AN$1576,$BU$7:$BU$1576,BU1042,$AQ$7:$AQ$1576,AQ1042,$BO$7:$BO$1576,"&lt;="&amp;BO1042),"")</f>
        <v>19.2190790493076</v>
      </c>
      <c r="AS1042" s="65" t="n">
        <f aca="false">IF(AR1042="",0,MAX(0,MIN(1,(IF(BU1042="L1",Parameter!$E$5,Parameter!$E$6+Parameter!$E$7)-(AR1042-AN1042))/AN1042)))</f>
        <v>1</v>
      </c>
      <c r="AT1042" s="57" t="n">
        <f aca="false">IF(LEFT(Cockpit!$O$5,1)="A",G1042,IF(BW1042=1,BX1042,IF(LEFT(Cockpit!$O$5,1)="B",AX1042,MAX(AX1042,G1042))))</f>
        <v>20</v>
      </c>
      <c r="AU1042" s="57" t="n">
        <f aca="false">IF(BR1042=1,0,ROUNDUP(AT1042/BQ1042,0))</f>
        <v>2</v>
      </c>
      <c r="AV1042" s="59" t="n">
        <f aca="false">IF(CD1042&gt;0,CD1042*MAX(1,AT1042/V1042),IF(BR1042=1,IF(AT1042&lt;=0,0,BS1042*MAX(1,IF(G1042&gt;0,AT1042/G1042,1))),IF(Q1042&gt;0,AU1042/Q1042,0))/MAX(0.1,N(Parameter!$M$21)))</f>
        <v>0.0101010101010101</v>
      </c>
      <c r="AW1042" s="57" t="n">
        <f aca="false">AT1042*F1042</f>
        <v>374.4</v>
      </c>
      <c r="AX1042" s="57" t="n">
        <f aca="false">ROUNDUP(MAX(I1042/IF(BV1042&gt;0,BV1042,MAX(0.1,N(Cockpit!$O$6))),BY1042)/BQ1042,0)*BQ1042</f>
        <v>20</v>
      </c>
      <c r="AY1042" s="58" t="n">
        <f aca="false">IF(AV1042&gt;0,I1042/AV1042,-1)</f>
        <v>1485</v>
      </c>
      <c r="AZ1042" s="58" t="n">
        <f aca="false">IF(AND(OR(BU1042="L1",BU1042="L23"),AV1042&gt;0),SUMIFS($AV$7:$AV$1576,$BU$7:$BU$1576,BU1042,$AY$7:$AY$1576,"&gt;"&amp;AY1042)+SUMIFS($AV$7:$AV$1576,$BU$7:$BU$1576,BU1042,$AY$7:$AY$1576,AY1042,$BO$7:$BO$1576,"&lt;="&amp;BO1042),"")</f>
        <v>18.1963517765803</v>
      </c>
      <c r="BA1042" s="65" t="n">
        <f aca="false">IF(AZ1042="",0,MAX(0,MIN(1,(IF(BU1042="L1",Parameter!$E$5,Parameter!$E$6+Parameter!$E$7)-(AZ1042-AV1042))/AV1042)))</f>
        <v>1</v>
      </c>
      <c r="BB1042" s="55" t="str">
        <f aca="false">IF(AF1042&lt;=0,"",IF(BU1042="Aussen","Aussenlager",IF(BU1042="-","Nicht im Lift",IF(AK1042&gt;=1,"Lift",IF(AK1042&lt;=0,"Aussenlager","teilweise")))))</f>
        <v/>
      </c>
      <c r="BC1042" s="55" t="str">
        <f aca="false">IF(AN1042&lt;=0,"",IF(BU1042="Aussen","Aussenlager",IF(BU1042="-","Nicht im Lift",IF(AS1042&gt;=1,"Lift",IF(AS1042&lt;=0,"Aussenlager","teilweise")))))</f>
        <v>Lift</v>
      </c>
      <c r="BD1042" s="55" t="str">
        <f aca="false">IF(AV1042&lt;=0,"",IF(BU1042="Aussen","Aussenlager",IF(BU1042="-","Nicht im Lift",IF(BA1042&gt;=1,"Lift",IF(BA1042&lt;=0,"Aussenlager","teilweise")))))</f>
        <v>Lift</v>
      </c>
      <c r="BE1042" s="55" t="str">
        <f aca="false">IF(A1042="","",IF(BN1042=1,"Neu; ","")&amp;IF(AND(BN1042=0,BI1042&lt;0),"negativer Bestand (Export "&amp;BI1042&amp;"); ","")&amp;IF(I1042&lt;=0,"Kein Verbrauch; ","")&amp;IF(CD1042&gt;0,"Lift "&amp;U1042&amp;" lt. Liftbericht (Fach "&amp;V1042&amp;" Stk); ",IF(BR1042=1,"Lose – Fläche geschätzt; ",""))&amp;IF(G1042&gt;AP1042,"Überbestand "&amp;ROUND(G1042-AP1042,0)&amp;" Stk / CHF "&amp;ROUND((G1042-AP1042)*F1042,0)&amp;"; ","")&amp;IF(AND(BW1042=1,BX1042&lt;BY1042),"MAX &lt; MB+LG; ","")&amp;IF(AND(CC1042&gt;0,CB1042*10&gt;CC1042),"zu hoch für Tablar; ","")&amp;IF(AND(BN1042=0,OR(BW1042=1,Y1042&lt;&gt;"",S1042&lt;&gt;"",T1042&lt;&gt;"",Z1042&lt;&gt;"")),"manuell übersteuert; ","")&amp;IF(AND(BR1042=0,Q1042=0),"Gebinde unbekannt / Stellmass fehlt; ","")&amp;IF(AND(BR1042=0,N(T1042)&lt;=0,N(P1042)&lt;=0),"Menge pro Gebinde fehlt (Ist = 1 Gebinde); ","")&amp;BM1042)</f>
        <v>negativer Bestand (Export -8); </v>
      </c>
      <c r="BF1042" s="55"/>
      <c r="BG1042" s="55"/>
      <c r="BH1042" s="62"/>
      <c r="BI1042" s="57" t="n">
        <v>-8</v>
      </c>
      <c r="BJ1042" s="57" t="n">
        <v>11</v>
      </c>
      <c r="BK1042" s="56" t="n">
        <v>-137.11</v>
      </c>
      <c r="BL1042" s="57" t="n">
        <v>15</v>
      </c>
      <c r="BM1042" s="55"/>
      <c r="BN1042" s="60" t="n">
        <v>0</v>
      </c>
      <c r="BO1042" s="60" t="n">
        <v>1042</v>
      </c>
      <c r="BP1042" s="55" t="str">
        <f aca="false">IF(S1042&lt;&gt;"",UPPER(TRIM(S1042)),IF(O1042="","LOSE",O1042))</f>
        <v>S22</v>
      </c>
      <c r="BQ1042" s="57" t="n">
        <f aca="false">IF(BP1042="LOSE",1,IF(N(T1042)&gt;0,T1042,IF(N(P1042)&gt;0,P1042,MAX(1,G1042))))</f>
        <v>10</v>
      </c>
      <c r="BR1042" s="60" t="n">
        <f aca="false">IF(BP1042="LOSE",1,0)</f>
        <v>0</v>
      </c>
      <c r="BS1042" s="59" t="n">
        <f aca="false">IF(BR1042=0,0,IF(N(R1042)&gt;0,R1042,IFERROR(VLOOKUP(D1042,Parameter!$A$35:$C$64,3,0)+0,0)))</f>
        <v>0</v>
      </c>
      <c r="BT1042" s="55" t="n">
        <f aca="false">IF(Y1042&lt;&gt;"",Y1042,X1042)</f>
        <v>3</v>
      </c>
      <c r="BU1042" s="55" t="str">
        <f aca="false">IF(BT1042=1,"L1",IF(OR(BT1042=2,BT1042=3),"L23",IF(BT1042="Aussen","Aussen","-")))</f>
        <v>L23</v>
      </c>
      <c r="BV1042" s="66" t="n">
        <f aca="false">IF(N(Z1042)&gt;0,Z1042,0)</f>
        <v>0</v>
      </c>
      <c r="BW1042" s="60" t="n">
        <f aca="false">IF(ISNUMBER(AC1042),1,0)</f>
        <v>0</v>
      </c>
      <c r="BX1042" s="57" t="n">
        <f aca="false">N(AC1042)</f>
        <v>0</v>
      </c>
      <c r="BY1042" s="57" t="n">
        <f aca="false">N(L1042)+N(M1042)</f>
        <v>16</v>
      </c>
      <c r="BZ1042" s="57" t="n">
        <f aca="false">ROUNDUP(G1042/BQ1042,0)</f>
        <v>0</v>
      </c>
      <c r="CA1042" s="57" t="n">
        <f aca="false">ROUNDUP(BX1042/BQ1042,0)</f>
        <v>0</v>
      </c>
      <c r="CB1042" s="60" t="n">
        <f aca="false">IF(BR1042=1,0,IFERROR(VLOOKUP(BP1042,'Gebinde-Kategorie'!$A$5:$M$45,5,0)+0,0))</f>
        <v>8</v>
      </c>
      <c r="CC1042" s="60" t="n">
        <f aca="false">IFERROR(IF(OR(BT1042=1,BT1042=2,BT1042=3),N(INDEX(Parameter!$I$5:$I$7,BT1042)),0),0)</f>
        <v>0</v>
      </c>
      <c r="CD1042" s="59" t="n">
        <f aca="false">IF(AND(Parameter!$B$21="Ja",ISNUMBER(U1042),N(V1042)&gt;0),IFERROR(N(INDEX(Parameter!$L$5:$L$7,U1042))*INDEX(Parameter!$E$5:$E$7,U1042)*V1042/SUMIFS($V$7:$V$1576,$U$7:$U$1576,U1042),0),0)</f>
        <v>0</v>
      </c>
    </row>
    <row r="1043" customFormat="false" ht="15" hidden="false" customHeight="false" outlineLevel="0" collapsed="false">
      <c r="A1043" s="55" t="s">
        <v>1900</v>
      </c>
      <c r="B1043" s="55" t="s">
        <v>1901</v>
      </c>
      <c r="C1043" s="55" t="s">
        <v>160</v>
      </c>
      <c r="D1043" s="55" t="s">
        <v>178</v>
      </c>
      <c r="E1043" s="55" t="s">
        <v>210</v>
      </c>
      <c r="F1043" s="56" t="n">
        <v>137.89</v>
      </c>
      <c r="G1043" s="57" t="n">
        <f aca="false">MAX(0,IF(AND(Parameter!$B$21="Ja",ISNUMBER(W1043)),W1043,IF(Parameter!$B$20="Jahresanfang 2025 + Export",BJ1043+BI1043,BI1043)))</f>
        <v>0</v>
      </c>
      <c r="H1043" s="57" t="n">
        <f aca="false">G1043*F1043</f>
        <v>0</v>
      </c>
      <c r="I1043" s="57" t="n">
        <f aca="false">BL1043*Parameter!$B$18</f>
        <v>1</v>
      </c>
      <c r="J1043" s="58" t="n">
        <v>22.5</v>
      </c>
      <c r="K1043" s="59" t="n">
        <v>0.0444444444444445</v>
      </c>
      <c r="L1043" s="57" t="n">
        <v>0</v>
      </c>
      <c r="M1043" s="57" t="n">
        <v>1</v>
      </c>
      <c r="N1043" s="60" t="n">
        <v>14</v>
      </c>
      <c r="O1043" s="55" t="s">
        <v>319</v>
      </c>
      <c r="P1043" s="57" t="n">
        <v>47</v>
      </c>
      <c r="Q1043" s="60" t="n">
        <f aca="false">IF(BR1043=1,0,IFERROR(VLOOKUP(BP1043,'Gebinde-Kategorie'!$A$5:$M$45,13,0)+0,0))</f>
        <v>52</v>
      </c>
      <c r="R1043" s="61"/>
      <c r="S1043" s="62"/>
      <c r="T1043" s="62"/>
      <c r="U1043" s="55"/>
      <c r="V1043" s="57"/>
      <c r="W1043" s="57"/>
      <c r="X1043" s="55" t="n">
        <f aca="false">IF(A1043="","",IF(AND(Parameter!$B$21="Ja",ISNUMBER(U1043)),U1043,IF(IFERROR(VLOOKUP(D1043,Parameter!$A$35:$C$64,2,0),"Nein")="2+3",IF(ISNUMBER(SEARCH("grosser Artikel",BM1043)),2,IFERROR(VLOOKUP(BP1043,Parameter!$F$35:$G$64,2,0),2)),IF(OR(IFERROR(VLOOKUP(D1043,Parameter!$A$35:$C$64,2,0),"Nein")="Nein",IFERROR(VLOOKUP(D1043,Parameter!$A$35:$C$64,2,0),"Nein")=""),"-",VLOOKUP(D1043,Parameter!$A$35:$C$64,2,0)))))</f>
        <v>3</v>
      </c>
      <c r="Y1043" s="62"/>
      <c r="Z1043" s="63"/>
      <c r="AA1043" s="57" t="n">
        <f aca="false">AP1043</f>
        <v>47</v>
      </c>
      <c r="AB1043" s="57" t="n">
        <f aca="false">MAX(AP1043,G1043)</f>
        <v>47</v>
      </c>
      <c r="AC1043" s="64"/>
      <c r="AD1043" s="57" t="n">
        <f aca="false">IF(LEFT(Cockpit!$C$5,1)="A",G1043,IF(BW1043=1,BX1043,IF(LEFT(Cockpit!$C$5,1)="B",AH1043,MAX(AH1043,G1043))))</f>
        <v>0</v>
      </c>
      <c r="AE1043" s="57" t="n">
        <f aca="false">IF(BR1043=1,0,ROUNDUP(AD1043/BQ1043,0))</f>
        <v>0</v>
      </c>
      <c r="AF1043" s="59" t="n">
        <f aca="false">IF(CD1043&gt;0,CD1043*MAX(1,AD1043/V1043),IF(BR1043=1,IF(AD1043&lt;=0,0,BS1043*MAX(1,IF(G1043&gt;0,AD1043/G1043,1))),IF(Q1043&gt;0,AE1043/Q1043,0))/MAX(0.1,N(Parameter!$M$21)))</f>
        <v>0</v>
      </c>
      <c r="AG1043" s="57" t="n">
        <f aca="false">AD1043*F1043</f>
        <v>0</v>
      </c>
      <c r="AH1043" s="57" t="n">
        <f aca="false">ROUNDUP(MAX(I1043/IF(BV1043&gt;0,BV1043,MAX(0.1,N(Cockpit!$C$6))),BY1043)/BQ1043,0)*BQ1043</f>
        <v>47</v>
      </c>
      <c r="AI1043" s="58" t="n">
        <f aca="false">IF(AF1043&gt;0,I1043/AF1043,-1)</f>
        <v>-1</v>
      </c>
      <c r="AJ1043" s="58" t="str">
        <f aca="false">IF(AND(OR(BU1043="L1",BU1043="L23"),AF1043&gt;0),SUMIFS($AF$7:$AF$1576,$BU$7:$BU$1576,BU1043,$AI$7:$AI$1576,"&gt;"&amp;AI1043)+SUMIFS($AF$7:$AF$1576,$BU$7:$BU$1576,BU1043,$AI$7:$AI$1576,AI1043,$BO$7:$BO$1576,"&lt;="&amp;BO1043),"")</f>
        <v/>
      </c>
      <c r="AK1043" s="65" t="n">
        <f aca="false">IF(AJ1043="",0,MAX(0,MIN(1,(IF(BU1043="L1",Parameter!$E$5,Parameter!$E$6+Parameter!$E$7)-(AJ1043-AF1043))/AF1043)))</f>
        <v>0</v>
      </c>
      <c r="AL1043" s="57" t="n">
        <f aca="false">IF(LEFT(Cockpit!$I$5,1)="A",G1043,IF(BW1043=1,BX1043,IF(LEFT(Cockpit!$I$5,1)="B",AP1043,MAX(AP1043,G1043))))</f>
        <v>47</v>
      </c>
      <c r="AM1043" s="57" t="n">
        <f aca="false">IF(BR1043=1,0,ROUNDUP(AL1043/BQ1043,0))</f>
        <v>1</v>
      </c>
      <c r="AN1043" s="59" t="n">
        <f aca="false">IF(CD1043&gt;0,CD1043*MAX(1,AL1043/V1043),IF(BR1043=1,IF(AL1043&lt;=0,0,BS1043*MAX(1,IF(G1043&gt;0,AL1043/G1043,1))),IF(Q1043&gt;0,AM1043/Q1043,0))/MAX(0.1,N(Parameter!$M$21)))</f>
        <v>0.0192307692307692</v>
      </c>
      <c r="AO1043" s="57" t="n">
        <f aca="false">AL1043*F1043</f>
        <v>6480.83</v>
      </c>
      <c r="AP1043" s="57" t="n">
        <f aca="false">ROUNDUP(MAX(I1043/IF(BV1043&gt;0,BV1043,MAX(0.1,N(Cockpit!$I$6))),BY1043)/BQ1043,0)*BQ1043</f>
        <v>47</v>
      </c>
      <c r="AQ1043" s="58" t="n">
        <f aca="false">IF(AN1043&gt;0,I1043/AN1043,-1)</f>
        <v>52</v>
      </c>
      <c r="AR1043" s="58" t="n">
        <f aca="false">IF(AND(OR(BU1043="L1",BU1043="L23"),AN1043&gt;0),SUMIFS($AN$7:$AN$1576,$BU$7:$BU$1576,BU1043,$AQ$7:$AQ$1576,"&gt;"&amp;AQ1043)+SUMIFS($AN$7:$AN$1576,$BU$7:$BU$1576,BU1043,$AQ$7:$AQ$1576,AQ1043,$BO$7:$BO$1576,"&lt;="&amp;BO1043),"")</f>
        <v>82.1952551015163</v>
      </c>
      <c r="AS1043" s="65" t="n">
        <f aca="false">IF(AR1043="",0,MAX(0,MIN(1,(IF(BU1043="L1",Parameter!$E$5,Parameter!$E$6+Parameter!$E$7)-(AR1043-AN1043))/AN1043)))</f>
        <v>1</v>
      </c>
      <c r="AT1043" s="57" t="n">
        <f aca="false">IF(LEFT(Cockpit!$O$5,1)="A",G1043,IF(BW1043=1,BX1043,IF(LEFT(Cockpit!$O$5,1)="B",AX1043,MAX(AX1043,G1043))))</f>
        <v>47</v>
      </c>
      <c r="AU1043" s="57" t="n">
        <f aca="false">IF(BR1043=1,0,ROUNDUP(AT1043/BQ1043,0))</f>
        <v>1</v>
      </c>
      <c r="AV1043" s="59" t="n">
        <f aca="false">IF(CD1043&gt;0,CD1043*MAX(1,AT1043/V1043),IF(BR1043=1,IF(AT1043&lt;=0,0,BS1043*MAX(1,IF(G1043&gt;0,AT1043/G1043,1))),IF(Q1043&gt;0,AU1043/Q1043,0))/MAX(0.1,N(Parameter!$M$21)))</f>
        <v>0.0192307692307692</v>
      </c>
      <c r="AW1043" s="57" t="n">
        <f aca="false">AT1043*F1043</f>
        <v>6480.83</v>
      </c>
      <c r="AX1043" s="57" t="n">
        <f aca="false">ROUNDUP(MAX(I1043/IF(BV1043&gt;0,BV1043,MAX(0.1,N(Cockpit!$O$6))),BY1043)/BQ1043,0)*BQ1043</f>
        <v>47</v>
      </c>
      <c r="AY1043" s="58" t="n">
        <f aca="false">IF(AV1043&gt;0,I1043/AV1043,-1)</f>
        <v>52</v>
      </c>
      <c r="AZ1043" s="58" t="n">
        <f aca="false">IF(AND(OR(BU1043="L1",BU1043="L23"),AV1043&gt;0),SUMIFS($AV$7:$AV$1576,$BU$7:$BU$1576,BU1043,$AY$7:$AY$1576,"&gt;"&amp;AY1043)+SUMIFS($AV$7:$AV$1576,$BU$7:$BU$1576,BU1043,$AY$7:$AY$1576,AY1043,$BO$7:$BO$1576,"&lt;="&amp;BO1043),"")</f>
        <v>78.6131388844</v>
      </c>
      <c r="BA1043" s="65" t="n">
        <f aca="false">IF(AZ1043="",0,MAX(0,MIN(1,(IF(BU1043="L1",Parameter!$E$5,Parameter!$E$6+Parameter!$E$7)-(AZ1043-AV1043))/AV1043)))</f>
        <v>1</v>
      </c>
      <c r="BB1043" s="55" t="str">
        <f aca="false">IF(AF1043&lt;=0,"",IF(BU1043="Aussen","Aussenlager",IF(BU1043="-","Nicht im Lift",IF(AK1043&gt;=1,"Lift",IF(AK1043&lt;=0,"Aussenlager","teilweise")))))</f>
        <v/>
      </c>
      <c r="BC1043" s="55" t="str">
        <f aca="false">IF(AN1043&lt;=0,"",IF(BU1043="Aussen","Aussenlager",IF(BU1043="-","Nicht im Lift",IF(AS1043&gt;=1,"Lift",IF(AS1043&lt;=0,"Aussenlager","teilweise")))))</f>
        <v>Lift</v>
      </c>
      <c r="BD1043" s="55" t="str">
        <f aca="false">IF(AV1043&lt;=0,"",IF(BU1043="Aussen","Aussenlager",IF(BU1043="-","Nicht im Lift",IF(BA1043&gt;=1,"Lift",IF(BA1043&lt;=0,"Aussenlager","teilweise")))))</f>
        <v>Lift</v>
      </c>
      <c r="BE1043" s="55" t="str">
        <f aca="false">IF(A1043="","",IF(BN1043=1,"Neu; ","")&amp;IF(AND(BN1043=0,BI1043&lt;0),"negativer Bestand (Export "&amp;BI1043&amp;"); ","")&amp;IF(I1043&lt;=0,"Kein Verbrauch; ","")&amp;IF(CD1043&gt;0,"Lift "&amp;U1043&amp;" lt. Liftbericht (Fach "&amp;V1043&amp;" Stk); ",IF(BR1043=1,"Lose – Fläche geschätzt; ",""))&amp;IF(G1043&gt;AP1043,"Überbestand "&amp;ROUND(G1043-AP1043,0)&amp;" Stk / CHF "&amp;ROUND((G1043-AP1043)*F1043,0)&amp;"; ","")&amp;IF(AND(BW1043=1,BX1043&lt;BY1043),"MAX &lt; MB+LG; ","")&amp;IF(AND(CC1043&gt;0,CB1043*10&gt;CC1043),"zu hoch für Tablar; ","")&amp;IF(AND(BN1043=0,OR(BW1043=1,Y1043&lt;&gt;"",S1043&lt;&gt;"",T1043&lt;&gt;"",Z1043&lt;&gt;"")),"manuell übersteuert; ","")&amp;IF(AND(BR1043=0,Q1043=0),"Gebinde unbekannt / Stellmass fehlt; ","")&amp;IF(AND(BR1043=0,N(T1043)&lt;=0,N(P1043)&lt;=0),"Menge pro Gebinde fehlt (Ist = 1 Gebinde); ","")&amp;BM1043)</f>
        <v>negativer Bestand (Export -1); Überbestand</v>
      </c>
      <c r="BF1043" s="55"/>
      <c r="BG1043" s="55"/>
      <c r="BH1043" s="62"/>
      <c r="BI1043" s="57" t="n">
        <v>-1</v>
      </c>
      <c r="BJ1043" s="57" t="n">
        <v>23</v>
      </c>
      <c r="BK1043" s="56" t="n">
        <v>-137.89</v>
      </c>
      <c r="BL1043" s="57" t="n">
        <v>1</v>
      </c>
      <c r="BM1043" s="55" t="s">
        <v>382</v>
      </c>
      <c r="BN1043" s="60" t="n">
        <v>0</v>
      </c>
      <c r="BO1043" s="60" t="n">
        <v>1043</v>
      </c>
      <c r="BP1043" s="55" t="str">
        <f aca="false">IF(S1043&lt;&gt;"",UPPER(TRIM(S1043)),IF(O1043="","LOSE",O1043))</f>
        <v>S41</v>
      </c>
      <c r="BQ1043" s="57" t="n">
        <f aca="false">IF(BP1043="LOSE",1,IF(N(T1043)&gt;0,T1043,IF(N(P1043)&gt;0,P1043,MAX(1,G1043))))</f>
        <v>47</v>
      </c>
      <c r="BR1043" s="60" t="n">
        <f aca="false">IF(BP1043="LOSE",1,0)</f>
        <v>0</v>
      </c>
      <c r="BS1043" s="59" t="n">
        <f aca="false">IF(BR1043=0,0,IF(N(R1043)&gt;0,R1043,IFERROR(VLOOKUP(D1043,Parameter!$A$35:$C$64,3,0)+0,0)))</f>
        <v>0</v>
      </c>
      <c r="BT1043" s="55" t="n">
        <f aca="false">IF(Y1043&lt;&gt;"",Y1043,X1043)</f>
        <v>3</v>
      </c>
      <c r="BU1043" s="55" t="str">
        <f aca="false">IF(BT1043=1,"L1",IF(OR(BT1043=2,BT1043=3),"L23",IF(BT1043="Aussen","Aussen","-")))</f>
        <v>L23</v>
      </c>
      <c r="BV1043" s="66" t="n">
        <f aca="false">IF(N(Z1043)&gt;0,Z1043,0)</f>
        <v>0</v>
      </c>
      <c r="BW1043" s="60" t="n">
        <f aca="false">IF(ISNUMBER(AC1043),1,0)</f>
        <v>0</v>
      </c>
      <c r="BX1043" s="57" t="n">
        <f aca="false">N(AC1043)</f>
        <v>0</v>
      </c>
      <c r="BY1043" s="57" t="n">
        <f aca="false">N(L1043)+N(M1043)</f>
        <v>1</v>
      </c>
      <c r="BZ1043" s="57" t="n">
        <f aca="false">ROUNDUP(G1043/BQ1043,0)</f>
        <v>0</v>
      </c>
      <c r="CA1043" s="57" t="n">
        <f aca="false">ROUNDUP(BX1043/BQ1043,0)</f>
        <v>0</v>
      </c>
      <c r="CB1043" s="60" t="n">
        <f aca="false">IF(BR1043=1,0,IFERROR(VLOOKUP(BP1043,'Gebinde-Kategorie'!$A$5:$M$45,5,0)+0,0))</f>
        <v>11</v>
      </c>
      <c r="CC1043" s="60" t="n">
        <f aca="false">IFERROR(IF(OR(BT1043=1,BT1043=2,BT1043=3),N(INDEX(Parameter!$I$5:$I$7,BT1043)),0),0)</f>
        <v>0</v>
      </c>
      <c r="CD1043" s="59" t="n">
        <f aca="false">IF(AND(Parameter!$B$21="Ja",ISNUMBER(U1043),N(V1043)&gt;0),IFERROR(N(INDEX(Parameter!$L$5:$L$7,U1043))*INDEX(Parameter!$E$5:$E$7,U1043)*V1043/SUMIFS($V$7:$V$1576,$U$7:$U$1576,U1043),0),0)</f>
        <v>0</v>
      </c>
    </row>
    <row r="1044" customFormat="false" ht="15" hidden="false" customHeight="false" outlineLevel="0" collapsed="false">
      <c r="A1044" s="55" t="s">
        <v>1902</v>
      </c>
      <c r="B1044" s="55" t="s">
        <v>1903</v>
      </c>
      <c r="C1044" s="55" t="s">
        <v>160</v>
      </c>
      <c r="D1044" s="55" t="s">
        <v>178</v>
      </c>
      <c r="E1044" s="55" t="s">
        <v>210</v>
      </c>
      <c r="F1044" s="56" t="n">
        <v>69.28</v>
      </c>
      <c r="G1044" s="57" t="n">
        <f aca="false">MAX(0,IF(AND(Parameter!$B$21="Ja",ISNUMBER(W1044)),W1044,IF(Parameter!$B$20="Jahresanfang 2025 + Export",BJ1044+BI1044,BI1044)))</f>
        <v>0</v>
      </c>
      <c r="H1044" s="57" t="n">
        <f aca="false">G1044*F1044</f>
        <v>0</v>
      </c>
      <c r="I1044" s="57" t="n">
        <f aca="false">BL1044*Parameter!$B$18</f>
        <v>0</v>
      </c>
      <c r="J1044" s="58" t="n">
        <v>10</v>
      </c>
      <c r="K1044" s="59" t="n">
        <v>0</v>
      </c>
      <c r="L1044" s="57" t="n">
        <v>0</v>
      </c>
      <c r="M1044" s="57" t="n">
        <v>1</v>
      </c>
      <c r="N1044" s="60" t="n">
        <v>42</v>
      </c>
      <c r="O1044" s="55" t="s">
        <v>465</v>
      </c>
      <c r="P1044" s="57" t="n">
        <v>12</v>
      </c>
      <c r="Q1044" s="60" t="n">
        <f aca="false">IF(BR1044=1,0,IFERROR(VLOOKUP(BP1044,'Gebinde-Kategorie'!$A$5:$M$45,13,0)+0,0))</f>
        <v>66</v>
      </c>
      <c r="R1044" s="61"/>
      <c r="S1044" s="62"/>
      <c r="T1044" s="62"/>
      <c r="U1044" s="55"/>
      <c r="V1044" s="57"/>
      <c r="W1044" s="57"/>
      <c r="X1044" s="55" t="n">
        <f aca="false">IF(A1044="","",IF(AND(Parameter!$B$21="Ja",ISNUMBER(U1044)),U1044,IF(IFERROR(VLOOKUP(D1044,Parameter!$A$35:$C$64,2,0),"Nein")="2+3",IF(ISNUMBER(SEARCH("grosser Artikel",BM1044)),2,IFERROR(VLOOKUP(BP1044,Parameter!$F$35:$G$64,2,0),2)),IF(OR(IFERROR(VLOOKUP(D1044,Parameter!$A$35:$C$64,2,0),"Nein")="Nein",IFERROR(VLOOKUP(D1044,Parameter!$A$35:$C$64,2,0),"Nein")=""),"-",VLOOKUP(D1044,Parameter!$A$35:$C$64,2,0)))))</f>
        <v>3</v>
      </c>
      <c r="Y1044" s="62"/>
      <c r="Z1044" s="63"/>
      <c r="AA1044" s="57" t="n">
        <f aca="false">AP1044</f>
        <v>12</v>
      </c>
      <c r="AB1044" s="57" t="n">
        <f aca="false">MAX(AP1044,G1044)</f>
        <v>12</v>
      </c>
      <c r="AC1044" s="64"/>
      <c r="AD1044" s="57" t="n">
        <f aca="false">IF(LEFT(Cockpit!$C$5,1)="A",G1044,IF(BW1044=1,BX1044,IF(LEFT(Cockpit!$C$5,1)="B",AH1044,MAX(AH1044,G1044))))</f>
        <v>0</v>
      </c>
      <c r="AE1044" s="57" t="n">
        <f aca="false">IF(BR1044=1,0,ROUNDUP(AD1044/BQ1044,0))</f>
        <v>0</v>
      </c>
      <c r="AF1044" s="59" t="n">
        <f aca="false">IF(CD1044&gt;0,CD1044*MAX(1,AD1044/V1044),IF(BR1044=1,IF(AD1044&lt;=0,0,BS1044*MAX(1,IF(G1044&gt;0,AD1044/G1044,1))),IF(Q1044&gt;0,AE1044/Q1044,0))/MAX(0.1,N(Parameter!$M$21)))</f>
        <v>0</v>
      </c>
      <c r="AG1044" s="57" t="n">
        <f aca="false">AD1044*F1044</f>
        <v>0</v>
      </c>
      <c r="AH1044" s="57" t="n">
        <f aca="false">ROUNDUP(MAX(I1044/IF(BV1044&gt;0,BV1044,MAX(0.1,N(Cockpit!$C$6))),BY1044)/BQ1044,0)*BQ1044</f>
        <v>12</v>
      </c>
      <c r="AI1044" s="58" t="n">
        <f aca="false">IF(AF1044&gt;0,I1044/AF1044,-1)</f>
        <v>-1</v>
      </c>
      <c r="AJ1044" s="58" t="str">
        <f aca="false">IF(AND(OR(BU1044="L1",BU1044="L23"),AF1044&gt;0),SUMIFS($AF$7:$AF$1576,$BU$7:$BU$1576,BU1044,$AI$7:$AI$1576,"&gt;"&amp;AI1044)+SUMIFS($AF$7:$AF$1576,$BU$7:$BU$1576,BU1044,$AI$7:$AI$1576,AI1044,$BO$7:$BO$1576,"&lt;="&amp;BO1044),"")</f>
        <v/>
      </c>
      <c r="AK1044" s="65" t="n">
        <f aca="false">IF(AJ1044="",0,MAX(0,MIN(1,(IF(BU1044="L1",Parameter!$E$5,Parameter!$E$6+Parameter!$E$7)-(AJ1044-AF1044))/AF1044)))</f>
        <v>0</v>
      </c>
      <c r="AL1044" s="57" t="n">
        <f aca="false">IF(LEFT(Cockpit!$I$5,1)="A",G1044,IF(BW1044=1,BX1044,IF(LEFT(Cockpit!$I$5,1)="B",AP1044,MAX(AP1044,G1044))))</f>
        <v>12</v>
      </c>
      <c r="AM1044" s="57" t="n">
        <f aca="false">IF(BR1044=1,0,ROUNDUP(AL1044/BQ1044,0))</f>
        <v>1</v>
      </c>
      <c r="AN1044" s="59" t="n">
        <f aca="false">IF(CD1044&gt;0,CD1044*MAX(1,AL1044/V1044),IF(BR1044=1,IF(AL1044&lt;=0,0,BS1044*MAX(1,IF(G1044&gt;0,AL1044/G1044,1))),IF(Q1044&gt;0,AM1044/Q1044,0))/MAX(0.1,N(Parameter!$M$21)))</f>
        <v>0.0151515151515152</v>
      </c>
      <c r="AO1044" s="57" t="n">
        <f aca="false">AL1044*F1044</f>
        <v>831.36</v>
      </c>
      <c r="AP1044" s="57" t="n">
        <f aca="false">ROUNDUP(MAX(I1044/IF(BV1044&gt;0,BV1044,MAX(0.1,N(Cockpit!$I$6))),BY1044)/BQ1044,0)*BQ1044</f>
        <v>12</v>
      </c>
      <c r="AQ1044" s="58" t="n">
        <f aca="false">IF(AN1044&gt;0,I1044/AN1044,-1)</f>
        <v>0</v>
      </c>
      <c r="AR1044" s="58" t="n">
        <f aca="false">IF(AND(OR(BU1044="L1",BU1044="L23"),AN1044&gt;0),SUMIFS($AN$7:$AN$1576,$BU$7:$BU$1576,BU1044,$AQ$7:$AQ$1576,"&gt;"&amp;AQ1044)+SUMIFS($AN$7:$AN$1576,$BU$7:$BU$1576,BU1044,$AQ$7:$AQ$1576,AQ1044,$BO$7:$BO$1576,"&lt;="&amp;BO1044),"")</f>
        <v>133.163120575125</v>
      </c>
      <c r="AS1044" s="65" t="n">
        <f aca="false">IF(AR1044="",0,MAX(0,MIN(1,(IF(BU1044="L1",Parameter!$E$5,Parameter!$E$6+Parameter!$E$7)-(AR1044-AN1044))/AN1044)))</f>
        <v>0</v>
      </c>
      <c r="AT1044" s="57" t="n">
        <f aca="false">IF(LEFT(Cockpit!$O$5,1)="A",G1044,IF(BW1044=1,BX1044,IF(LEFT(Cockpit!$O$5,1)="B",AX1044,MAX(AX1044,G1044))))</f>
        <v>12</v>
      </c>
      <c r="AU1044" s="57" t="n">
        <f aca="false">IF(BR1044=1,0,ROUNDUP(AT1044/BQ1044,0))</f>
        <v>1</v>
      </c>
      <c r="AV1044" s="59" t="n">
        <f aca="false">IF(CD1044&gt;0,CD1044*MAX(1,AT1044/V1044),IF(BR1044=1,IF(AT1044&lt;=0,0,BS1044*MAX(1,IF(G1044&gt;0,AT1044/G1044,1))),IF(Q1044&gt;0,AU1044/Q1044,0))/MAX(0.1,N(Parameter!$M$21)))</f>
        <v>0.0151515151515152</v>
      </c>
      <c r="AW1044" s="57" t="n">
        <f aca="false">AT1044*F1044</f>
        <v>831.36</v>
      </c>
      <c r="AX1044" s="57" t="n">
        <f aca="false">ROUNDUP(MAX(I1044/IF(BV1044&gt;0,BV1044,MAX(0.1,N(Cockpit!$O$6))),BY1044)/BQ1044,0)*BQ1044</f>
        <v>12</v>
      </c>
      <c r="AY1044" s="58" t="n">
        <f aca="false">IF(AV1044&gt;0,I1044/AV1044,-1)</f>
        <v>0</v>
      </c>
      <c r="AZ1044" s="58" t="n">
        <f aca="false">IF(AND(OR(BU1044="L1",BU1044="L23"),AV1044&gt;0),SUMIFS($AV$7:$AV$1576,$BU$7:$BU$1576,BU1044,$AY$7:$AY$1576,"&gt;"&amp;AY1044)+SUMIFS($AV$7:$AV$1576,$BU$7:$BU$1576,BU1044,$AY$7:$AY$1576,AY1044,$BO$7:$BO$1576,"&lt;="&amp;BO1044),"")</f>
        <v>123.222671024675</v>
      </c>
      <c r="BA1044" s="65" t="n">
        <f aca="false">IF(AZ1044="",0,MAX(0,MIN(1,(IF(BU1044="L1",Parameter!$E$5,Parameter!$E$6+Parameter!$E$7)-(AZ1044-AV1044))/AV1044)))</f>
        <v>0</v>
      </c>
      <c r="BB1044" s="55" t="str">
        <f aca="false">IF(AF1044&lt;=0,"",IF(BU1044="Aussen","Aussenlager",IF(BU1044="-","Nicht im Lift",IF(AK1044&gt;=1,"Lift",IF(AK1044&lt;=0,"Aussenlager","teilweise")))))</f>
        <v/>
      </c>
      <c r="BC1044" s="55" t="str">
        <f aca="false">IF(AN1044&lt;=0,"",IF(BU1044="Aussen","Aussenlager",IF(BU1044="-","Nicht im Lift",IF(AS1044&gt;=1,"Lift",IF(AS1044&lt;=0,"Aussenlager","teilweise")))))</f>
        <v>Aussenlager</v>
      </c>
      <c r="BD1044" s="55" t="str">
        <f aca="false">IF(AV1044&lt;=0,"",IF(BU1044="Aussen","Aussenlager",IF(BU1044="-","Nicht im Lift",IF(BA1044&gt;=1,"Lift",IF(BA1044&lt;=0,"Aussenlager","teilweise")))))</f>
        <v>Aussenlager</v>
      </c>
      <c r="BE1044" s="55" t="str">
        <f aca="false">IF(A1044="","",IF(BN1044=1,"Neu; ","")&amp;IF(AND(BN1044=0,BI1044&lt;0),"negativer Bestand (Export "&amp;BI1044&amp;"); ","")&amp;IF(I1044&lt;=0,"Kein Verbrauch; ","")&amp;IF(CD1044&gt;0,"Lift "&amp;U1044&amp;" lt. Liftbericht (Fach "&amp;V1044&amp;" Stk); ",IF(BR1044=1,"Lose – Fläche geschätzt; ",""))&amp;IF(G1044&gt;AP1044,"Überbestand "&amp;ROUND(G1044-AP1044,0)&amp;" Stk / CHF "&amp;ROUND((G1044-AP1044)*F1044,0)&amp;"; ","")&amp;IF(AND(BW1044=1,BX1044&lt;BY1044),"MAX &lt; MB+LG; ","")&amp;IF(AND(CC1044&gt;0,CB1044*10&gt;CC1044),"zu hoch für Tablar; ","")&amp;IF(AND(BN1044=0,OR(BW1044=1,Y1044&lt;&gt;"",S1044&lt;&gt;"",T1044&lt;&gt;"",Z1044&lt;&gt;"")),"manuell übersteuert; ","")&amp;IF(AND(BR1044=0,Q1044=0),"Gebinde unbekannt / Stellmass fehlt; ","")&amp;IF(AND(BR1044=0,N(T1044)&lt;=0,N(P1044)&lt;=0),"Menge pro Gebinde fehlt (Ist = 1 Gebinde); ","")&amp;BM1044)</f>
        <v>negativer Bestand (Export -2); Kein Verbrauch; </v>
      </c>
      <c r="BF1044" s="55"/>
      <c r="BG1044" s="55"/>
      <c r="BH1044" s="62"/>
      <c r="BI1044" s="57" t="n">
        <v>-2</v>
      </c>
      <c r="BJ1044" s="57" t="n">
        <v>10</v>
      </c>
      <c r="BK1044" s="56" t="n">
        <v>-138.56</v>
      </c>
      <c r="BL1044" s="57" t="n">
        <v>0</v>
      </c>
      <c r="BM1044" s="55"/>
      <c r="BN1044" s="60" t="n">
        <v>0</v>
      </c>
      <c r="BO1044" s="60" t="n">
        <v>1044</v>
      </c>
      <c r="BP1044" s="55" t="str">
        <f aca="false">IF(S1044&lt;&gt;"",UPPER(TRIM(S1044)),IF(O1044="","LOSE",O1044))</f>
        <v>S33</v>
      </c>
      <c r="BQ1044" s="57" t="n">
        <f aca="false">IF(BP1044="LOSE",1,IF(N(T1044)&gt;0,T1044,IF(N(P1044)&gt;0,P1044,MAX(1,G1044))))</f>
        <v>12</v>
      </c>
      <c r="BR1044" s="60" t="n">
        <f aca="false">IF(BP1044="LOSE",1,0)</f>
        <v>0</v>
      </c>
      <c r="BS1044" s="59" t="n">
        <f aca="false">IF(BR1044=0,0,IF(N(R1044)&gt;0,R1044,IFERROR(VLOOKUP(D1044,Parameter!$A$35:$C$64,3,0)+0,0)))</f>
        <v>0</v>
      </c>
      <c r="BT1044" s="55" t="n">
        <f aca="false">IF(Y1044&lt;&gt;"",Y1044,X1044)</f>
        <v>3</v>
      </c>
      <c r="BU1044" s="55" t="str">
        <f aca="false">IF(BT1044=1,"L1",IF(OR(BT1044=2,BT1044=3),"L23",IF(BT1044="Aussen","Aussen","-")))</f>
        <v>L23</v>
      </c>
      <c r="BV1044" s="66" t="n">
        <f aca="false">IF(N(Z1044)&gt;0,Z1044,0)</f>
        <v>0</v>
      </c>
      <c r="BW1044" s="60" t="n">
        <f aca="false">IF(ISNUMBER(AC1044),1,0)</f>
        <v>0</v>
      </c>
      <c r="BX1044" s="57" t="n">
        <f aca="false">N(AC1044)</f>
        <v>0</v>
      </c>
      <c r="BY1044" s="57" t="n">
        <f aca="false">N(L1044)+N(M1044)</f>
        <v>1</v>
      </c>
      <c r="BZ1044" s="57" t="n">
        <f aca="false">ROUNDUP(G1044/BQ1044,0)</f>
        <v>0</v>
      </c>
      <c r="CA1044" s="57" t="n">
        <f aca="false">ROUNDUP(BX1044/BQ1044,0)</f>
        <v>0</v>
      </c>
      <c r="CB1044" s="60" t="n">
        <f aca="false">IF(BR1044=1,0,IFERROR(VLOOKUP(BP1044,'Gebinde-Kategorie'!$A$5:$M$45,5,0)+0,0))</f>
        <v>8</v>
      </c>
      <c r="CC1044" s="60" t="n">
        <f aca="false">IFERROR(IF(OR(BT1044=1,BT1044=2,BT1044=3),N(INDEX(Parameter!$I$5:$I$7,BT1044)),0),0)</f>
        <v>0</v>
      </c>
      <c r="CD1044" s="59" t="n">
        <f aca="false">IF(AND(Parameter!$B$21="Ja",ISNUMBER(U1044),N(V1044)&gt;0),IFERROR(N(INDEX(Parameter!$L$5:$L$7,U1044))*INDEX(Parameter!$E$5:$E$7,U1044)*V1044/SUMIFS($V$7:$V$1576,$U$7:$U$1576,U1044),0),0)</f>
        <v>0</v>
      </c>
    </row>
    <row r="1045" customFormat="false" ht="15" hidden="false" customHeight="false" outlineLevel="0" collapsed="false">
      <c r="A1045" s="55" t="s">
        <v>1904</v>
      </c>
      <c r="B1045" s="55" t="s">
        <v>1905</v>
      </c>
      <c r="C1045" s="55" t="s">
        <v>160</v>
      </c>
      <c r="D1045" s="55" t="s">
        <v>178</v>
      </c>
      <c r="E1045" s="55" t="s">
        <v>210</v>
      </c>
      <c r="F1045" s="56" t="n">
        <v>15.88</v>
      </c>
      <c r="G1045" s="57" t="n">
        <f aca="false">MAX(0,IF(AND(Parameter!$B$21="Ja",ISNUMBER(W1045)),W1045,IF(Parameter!$B$20="Jahresanfang 2025 + Export",BJ1045+BI1045,BI1045)))</f>
        <v>0</v>
      </c>
      <c r="H1045" s="57" t="n">
        <f aca="false">G1045*F1045</f>
        <v>0</v>
      </c>
      <c r="I1045" s="57" t="n">
        <f aca="false">BL1045*Parameter!$B$18</f>
        <v>4</v>
      </c>
      <c r="J1045" s="58" t="n">
        <v>26</v>
      </c>
      <c r="K1045" s="59" t="n">
        <v>0.153846153846154</v>
      </c>
      <c r="L1045" s="57" t="n">
        <v>0</v>
      </c>
      <c r="M1045" s="57" t="n">
        <v>5</v>
      </c>
      <c r="N1045" s="60" t="n">
        <v>28</v>
      </c>
      <c r="O1045" s="55" t="s">
        <v>293</v>
      </c>
      <c r="P1045" s="57" t="n">
        <v>20</v>
      </c>
      <c r="Q1045" s="60" t="n">
        <f aca="false">IF(BR1045=1,0,IFERROR(VLOOKUP(BP1045,'Gebinde-Kategorie'!$A$5:$M$45,13,0)+0,0))</f>
        <v>26</v>
      </c>
      <c r="R1045" s="61"/>
      <c r="S1045" s="62"/>
      <c r="T1045" s="62"/>
      <c r="U1045" s="55"/>
      <c r="V1045" s="57"/>
      <c r="W1045" s="57"/>
      <c r="X1045" s="55" t="n">
        <f aca="false">IF(A1045="","",IF(AND(Parameter!$B$21="Ja",ISNUMBER(U1045)),U1045,IF(IFERROR(VLOOKUP(D1045,Parameter!$A$35:$C$64,2,0),"Nein")="2+3",IF(ISNUMBER(SEARCH("grosser Artikel",BM1045)),2,IFERROR(VLOOKUP(BP1045,Parameter!$F$35:$G$64,2,0),2)),IF(OR(IFERROR(VLOOKUP(D1045,Parameter!$A$35:$C$64,2,0),"Nein")="Nein",IFERROR(VLOOKUP(D1045,Parameter!$A$35:$C$64,2,0),"Nein")=""),"-",VLOOKUP(D1045,Parameter!$A$35:$C$64,2,0)))))</f>
        <v>3</v>
      </c>
      <c r="Y1045" s="62"/>
      <c r="Z1045" s="63"/>
      <c r="AA1045" s="57" t="n">
        <f aca="false">AP1045</f>
        <v>20</v>
      </c>
      <c r="AB1045" s="57" t="n">
        <f aca="false">MAX(AP1045,G1045)</f>
        <v>20</v>
      </c>
      <c r="AC1045" s="64"/>
      <c r="AD1045" s="57" t="n">
        <f aca="false">IF(LEFT(Cockpit!$C$5,1)="A",G1045,IF(BW1045=1,BX1045,IF(LEFT(Cockpit!$C$5,1)="B",AH1045,MAX(AH1045,G1045))))</f>
        <v>0</v>
      </c>
      <c r="AE1045" s="57" t="n">
        <f aca="false">IF(BR1045=1,0,ROUNDUP(AD1045/BQ1045,0))</f>
        <v>0</v>
      </c>
      <c r="AF1045" s="59" t="n">
        <f aca="false">IF(CD1045&gt;0,CD1045*MAX(1,AD1045/V1045),IF(BR1045=1,IF(AD1045&lt;=0,0,BS1045*MAX(1,IF(G1045&gt;0,AD1045/G1045,1))),IF(Q1045&gt;0,AE1045/Q1045,0))/MAX(0.1,N(Parameter!$M$21)))</f>
        <v>0</v>
      </c>
      <c r="AG1045" s="57" t="n">
        <f aca="false">AD1045*F1045</f>
        <v>0</v>
      </c>
      <c r="AH1045" s="57" t="n">
        <f aca="false">ROUNDUP(MAX(I1045/IF(BV1045&gt;0,BV1045,MAX(0.1,N(Cockpit!$C$6))),BY1045)/BQ1045,0)*BQ1045</f>
        <v>20</v>
      </c>
      <c r="AI1045" s="58" t="n">
        <f aca="false">IF(AF1045&gt;0,I1045/AF1045,-1)</f>
        <v>-1</v>
      </c>
      <c r="AJ1045" s="58" t="str">
        <f aca="false">IF(AND(OR(BU1045="L1",BU1045="L23"),AF1045&gt;0),SUMIFS($AF$7:$AF$1576,$BU$7:$BU$1576,BU1045,$AI$7:$AI$1576,"&gt;"&amp;AI1045)+SUMIFS($AF$7:$AF$1576,$BU$7:$BU$1576,BU1045,$AI$7:$AI$1576,AI1045,$BO$7:$BO$1576,"&lt;="&amp;BO1045),"")</f>
        <v/>
      </c>
      <c r="AK1045" s="65" t="n">
        <f aca="false">IF(AJ1045="",0,MAX(0,MIN(1,(IF(BU1045="L1",Parameter!$E$5,Parameter!$E$6+Parameter!$E$7)-(AJ1045-AF1045))/AF1045)))</f>
        <v>0</v>
      </c>
      <c r="AL1045" s="57" t="n">
        <f aca="false">IF(LEFT(Cockpit!$I$5,1)="A",G1045,IF(BW1045=1,BX1045,IF(LEFT(Cockpit!$I$5,1)="B",AP1045,MAX(AP1045,G1045))))</f>
        <v>20</v>
      </c>
      <c r="AM1045" s="57" t="n">
        <f aca="false">IF(BR1045=1,0,ROUNDUP(AL1045/BQ1045,0))</f>
        <v>1</v>
      </c>
      <c r="AN1045" s="59" t="n">
        <f aca="false">IF(CD1045&gt;0,CD1045*MAX(1,AL1045/V1045),IF(BR1045=1,IF(AL1045&lt;=0,0,BS1045*MAX(1,IF(G1045&gt;0,AL1045/G1045,1))),IF(Q1045&gt;0,AM1045/Q1045,0))/MAX(0.1,N(Parameter!$M$21)))</f>
        <v>0.0384615384615385</v>
      </c>
      <c r="AO1045" s="57" t="n">
        <f aca="false">AL1045*F1045</f>
        <v>317.6</v>
      </c>
      <c r="AP1045" s="57" t="n">
        <f aca="false">ROUNDUP(MAX(I1045/IF(BV1045&gt;0,BV1045,MAX(0.1,N(Cockpit!$I$6))),BY1045)/BQ1045,0)*BQ1045</f>
        <v>20</v>
      </c>
      <c r="AQ1045" s="58" t="n">
        <f aca="false">IF(AN1045&gt;0,I1045/AN1045,-1)</f>
        <v>104</v>
      </c>
      <c r="AR1045" s="58" t="n">
        <f aca="false">IF(AND(OR(BU1045="L1",BU1045="L23"),AN1045&gt;0),SUMIFS($AN$7:$AN$1576,$BU$7:$BU$1576,BU1045,$AQ$7:$AQ$1576,"&gt;"&amp;AQ1045)+SUMIFS($AN$7:$AN$1576,$BU$7:$BU$1576,BU1045,$AQ$7:$AQ$1576,AQ1045,$BO$7:$BO$1576,"&lt;="&amp;BO1045),"")</f>
        <v>68.6765216127828</v>
      </c>
      <c r="AS1045" s="65" t="n">
        <f aca="false">IF(AR1045="",0,MAX(0,MIN(1,(IF(BU1045="L1",Parameter!$E$5,Parameter!$E$6+Parameter!$E$7)-(AR1045-AN1045))/AN1045)))</f>
        <v>1</v>
      </c>
      <c r="AT1045" s="57" t="n">
        <f aca="false">IF(LEFT(Cockpit!$O$5,1)="A",G1045,IF(BW1045=1,BX1045,IF(LEFT(Cockpit!$O$5,1)="B",AX1045,MAX(AX1045,G1045))))</f>
        <v>20</v>
      </c>
      <c r="AU1045" s="57" t="n">
        <f aca="false">IF(BR1045=1,0,ROUNDUP(AT1045/BQ1045,0))</f>
        <v>1</v>
      </c>
      <c r="AV1045" s="59" t="n">
        <f aca="false">IF(CD1045&gt;0,CD1045*MAX(1,AT1045/V1045),IF(BR1045=1,IF(AT1045&lt;=0,0,BS1045*MAX(1,IF(G1045&gt;0,AT1045/G1045,1))),IF(Q1045&gt;0,AU1045/Q1045,0))/MAX(0.1,N(Parameter!$M$21)))</f>
        <v>0.0384615384615385</v>
      </c>
      <c r="AW1045" s="57" t="n">
        <f aca="false">AT1045*F1045</f>
        <v>317.6</v>
      </c>
      <c r="AX1045" s="57" t="n">
        <f aca="false">ROUNDUP(MAX(I1045/IF(BV1045&gt;0,BV1045,MAX(0.1,N(Cockpit!$O$6))),BY1045)/BQ1045,0)*BQ1045</f>
        <v>20</v>
      </c>
      <c r="AY1045" s="58" t="n">
        <f aca="false">IF(AV1045&gt;0,I1045/AV1045,-1)</f>
        <v>104</v>
      </c>
      <c r="AZ1045" s="58" t="n">
        <f aca="false">IF(AND(OR(BU1045="L1",BU1045="L23"),AV1045&gt;0),SUMIFS($AV$7:$AV$1576,$BU$7:$BU$1576,BU1045,$AY$7:$AY$1576,"&gt;"&amp;AY1045)+SUMIFS($AV$7:$AV$1576,$BU$7:$BU$1576,BU1045,$AY$7:$AY$1576,AY1045,$BO$7:$BO$1576,"&lt;="&amp;BO1045),"")</f>
        <v>63.2369053956666</v>
      </c>
      <c r="BA1045" s="65" t="n">
        <f aca="false">IF(AZ1045="",0,MAX(0,MIN(1,(IF(BU1045="L1",Parameter!$E$5,Parameter!$E$6+Parameter!$E$7)-(AZ1045-AV1045))/AV1045)))</f>
        <v>1</v>
      </c>
      <c r="BB1045" s="55" t="str">
        <f aca="false">IF(AF1045&lt;=0,"",IF(BU1045="Aussen","Aussenlager",IF(BU1045="-","Nicht im Lift",IF(AK1045&gt;=1,"Lift",IF(AK1045&lt;=0,"Aussenlager","teilweise")))))</f>
        <v/>
      </c>
      <c r="BC1045" s="55" t="str">
        <f aca="false">IF(AN1045&lt;=0,"",IF(BU1045="Aussen","Aussenlager",IF(BU1045="-","Nicht im Lift",IF(AS1045&gt;=1,"Lift",IF(AS1045&lt;=0,"Aussenlager","teilweise")))))</f>
        <v>Lift</v>
      </c>
      <c r="BD1045" s="55" t="str">
        <f aca="false">IF(AV1045&lt;=0,"",IF(BU1045="Aussen","Aussenlager",IF(BU1045="-","Nicht im Lift",IF(BA1045&gt;=1,"Lift",IF(BA1045&lt;=0,"Aussenlager","teilweise")))))</f>
        <v>Lift</v>
      </c>
      <c r="BE1045" s="55" t="str">
        <f aca="false">IF(A1045="","",IF(BN1045=1,"Neu; ","")&amp;IF(AND(BN1045=0,BI1045&lt;0),"negativer Bestand (Export "&amp;BI1045&amp;"); ","")&amp;IF(I1045&lt;=0,"Kein Verbrauch; ","")&amp;IF(CD1045&gt;0,"Lift "&amp;U1045&amp;" lt. Liftbericht (Fach "&amp;V1045&amp;" Stk); ",IF(BR1045=1,"Lose – Fläche geschätzt; ",""))&amp;IF(G1045&gt;AP1045,"Überbestand "&amp;ROUND(G1045-AP1045,0)&amp;" Stk / CHF "&amp;ROUND((G1045-AP1045)*F1045,0)&amp;"; ","")&amp;IF(AND(BW1045=1,BX1045&lt;BY1045),"MAX &lt; MB+LG; ","")&amp;IF(AND(CC1045&gt;0,CB1045*10&gt;CC1045),"zu hoch für Tablar; ","")&amp;IF(AND(BN1045=0,OR(BW1045=1,Y1045&lt;&gt;"",S1045&lt;&gt;"",T1045&lt;&gt;"",Z1045&lt;&gt;"")),"manuell übersteuert; ","")&amp;IF(AND(BR1045=0,Q1045=0),"Gebinde unbekannt / Stellmass fehlt; ","")&amp;IF(AND(BR1045=0,N(T1045)&lt;=0,N(P1045)&lt;=0),"Menge pro Gebinde fehlt (Ist = 1 Gebinde); ","")&amp;BM1045)</f>
        <v>negativer Bestand (Export -9); </v>
      </c>
      <c r="BF1045" s="55"/>
      <c r="BG1045" s="55"/>
      <c r="BH1045" s="62"/>
      <c r="BI1045" s="57" t="n">
        <v>-9</v>
      </c>
      <c r="BJ1045" s="57" t="n">
        <v>18</v>
      </c>
      <c r="BK1045" s="56" t="n">
        <v>-138.78</v>
      </c>
      <c r="BL1045" s="57" t="n">
        <v>4</v>
      </c>
      <c r="BM1045" s="55"/>
      <c r="BN1045" s="60" t="n">
        <v>0</v>
      </c>
      <c r="BO1045" s="60" t="n">
        <v>1045</v>
      </c>
      <c r="BP1045" s="55" t="str">
        <f aca="false">IF(S1045&lt;&gt;"",UPPER(TRIM(S1045)),IF(O1045="","LOSE",O1045))</f>
        <v>S51</v>
      </c>
      <c r="BQ1045" s="57" t="n">
        <f aca="false">IF(BP1045="LOSE",1,IF(N(T1045)&gt;0,T1045,IF(N(P1045)&gt;0,P1045,MAX(1,G1045))))</f>
        <v>20</v>
      </c>
      <c r="BR1045" s="60" t="n">
        <f aca="false">IF(BP1045="LOSE",1,0)</f>
        <v>0</v>
      </c>
      <c r="BS1045" s="59" t="n">
        <f aca="false">IF(BR1045=0,0,IF(N(R1045)&gt;0,R1045,IFERROR(VLOOKUP(D1045,Parameter!$A$35:$C$64,3,0)+0,0)))</f>
        <v>0</v>
      </c>
      <c r="BT1045" s="55" t="n">
        <f aca="false">IF(Y1045&lt;&gt;"",Y1045,X1045)</f>
        <v>3</v>
      </c>
      <c r="BU1045" s="55" t="str">
        <f aca="false">IF(BT1045=1,"L1",IF(OR(BT1045=2,BT1045=3),"L23",IF(BT1045="Aussen","Aussen","-")))</f>
        <v>L23</v>
      </c>
      <c r="BV1045" s="66" t="n">
        <f aca="false">IF(N(Z1045)&gt;0,Z1045,0)</f>
        <v>0</v>
      </c>
      <c r="BW1045" s="60" t="n">
        <f aca="false">IF(ISNUMBER(AC1045),1,0)</f>
        <v>0</v>
      </c>
      <c r="BX1045" s="57" t="n">
        <f aca="false">N(AC1045)</f>
        <v>0</v>
      </c>
      <c r="BY1045" s="57" t="n">
        <f aca="false">N(L1045)+N(M1045)</f>
        <v>5</v>
      </c>
      <c r="BZ1045" s="57" t="n">
        <f aca="false">ROUNDUP(G1045/BQ1045,0)</f>
        <v>0</v>
      </c>
      <c r="CA1045" s="57" t="n">
        <f aca="false">ROUNDUP(BX1045/BQ1045,0)</f>
        <v>0</v>
      </c>
      <c r="CB1045" s="60" t="n">
        <f aca="false">IF(BR1045=1,0,IFERROR(VLOOKUP(BP1045,'Gebinde-Kategorie'!$A$5:$M$45,5,0)+0,0))</f>
        <v>11</v>
      </c>
      <c r="CC1045" s="60" t="n">
        <f aca="false">IFERROR(IF(OR(BT1045=1,BT1045=2,BT1045=3),N(INDEX(Parameter!$I$5:$I$7,BT1045)),0),0)</f>
        <v>0</v>
      </c>
      <c r="CD1045" s="59" t="n">
        <f aca="false">IF(AND(Parameter!$B$21="Ja",ISNUMBER(U1045),N(V1045)&gt;0),IFERROR(N(INDEX(Parameter!$L$5:$L$7,U1045))*INDEX(Parameter!$E$5:$E$7,U1045)*V1045/SUMIFS($V$7:$V$1576,$U$7:$U$1576,U1045),0),0)</f>
        <v>0</v>
      </c>
    </row>
    <row r="1046" customFormat="false" ht="15" hidden="false" customHeight="false" outlineLevel="0" collapsed="false">
      <c r="A1046" s="55" t="s">
        <v>1906</v>
      </c>
      <c r="B1046" s="55" t="s">
        <v>587</v>
      </c>
      <c r="C1046" s="55" t="s">
        <v>160</v>
      </c>
      <c r="D1046" s="55" t="s">
        <v>178</v>
      </c>
      <c r="E1046" s="55" t="s">
        <v>210</v>
      </c>
      <c r="F1046" s="56" t="n">
        <v>7.91</v>
      </c>
      <c r="G1046" s="57" t="n">
        <f aca="false">MAX(0,IF(AND(Parameter!$B$21="Ja",ISNUMBER(W1046)),W1046,IF(Parameter!$B$20="Jahresanfang 2025 + Export",BJ1046+BI1046,BI1046)))</f>
        <v>0</v>
      </c>
      <c r="H1046" s="57" t="n">
        <f aca="false">G1046*F1046</f>
        <v>0</v>
      </c>
      <c r="I1046" s="57" t="n">
        <f aca="false">BL1046*Parameter!$B$18</f>
        <v>380</v>
      </c>
      <c r="J1046" s="58" t="n">
        <v>133</v>
      </c>
      <c r="K1046" s="59" t="n">
        <v>2.85714285714286</v>
      </c>
      <c r="L1046" s="57" t="n">
        <v>25</v>
      </c>
      <c r="M1046" s="57" t="n">
        <v>80</v>
      </c>
      <c r="N1046" s="60" t="n">
        <v>21</v>
      </c>
      <c r="O1046" s="55" t="s">
        <v>465</v>
      </c>
      <c r="P1046" s="57" t="n">
        <v>117</v>
      </c>
      <c r="Q1046" s="60" t="n">
        <f aca="false">IF(BR1046=1,0,IFERROR(VLOOKUP(BP1046,'Gebinde-Kategorie'!$A$5:$M$45,13,0)+0,0))</f>
        <v>66</v>
      </c>
      <c r="R1046" s="61"/>
      <c r="S1046" s="62"/>
      <c r="T1046" s="62"/>
      <c r="U1046" s="55"/>
      <c r="V1046" s="57"/>
      <c r="W1046" s="57"/>
      <c r="X1046" s="55" t="n">
        <f aca="false">IF(A1046="","",IF(AND(Parameter!$B$21="Ja",ISNUMBER(U1046)),U1046,IF(IFERROR(VLOOKUP(D1046,Parameter!$A$35:$C$64,2,0),"Nein")="2+3",IF(ISNUMBER(SEARCH("grosser Artikel",BM1046)),2,IFERROR(VLOOKUP(BP1046,Parameter!$F$35:$G$64,2,0),2)),IF(OR(IFERROR(VLOOKUP(D1046,Parameter!$A$35:$C$64,2,0),"Nein")="Nein",IFERROR(VLOOKUP(D1046,Parameter!$A$35:$C$64,2,0),"Nein")=""),"-",VLOOKUP(D1046,Parameter!$A$35:$C$64,2,0)))))</f>
        <v>3</v>
      </c>
      <c r="Y1046" s="62"/>
      <c r="Z1046" s="63"/>
      <c r="AA1046" s="57" t="n">
        <f aca="false">AP1046</f>
        <v>234</v>
      </c>
      <c r="AB1046" s="57" t="n">
        <f aca="false">MAX(AP1046,G1046)</f>
        <v>234</v>
      </c>
      <c r="AC1046" s="64"/>
      <c r="AD1046" s="57" t="n">
        <f aca="false">IF(LEFT(Cockpit!$C$5,1)="A",G1046,IF(BW1046=1,BX1046,IF(LEFT(Cockpit!$C$5,1)="B",AH1046,MAX(AH1046,G1046))))</f>
        <v>0</v>
      </c>
      <c r="AE1046" s="57" t="n">
        <f aca="false">IF(BR1046=1,0,ROUNDUP(AD1046/BQ1046,0))</f>
        <v>0</v>
      </c>
      <c r="AF1046" s="59" t="n">
        <f aca="false">IF(CD1046&gt;0,CD1046*MAX(1,AD1046/V1046),IF(BR1046=1,IF(AD1046&lt;=0,0,BS1046*MAX(1,IF(G1046&gt;0,AD1046/G1046,1))),IF(Q1046&gt;0,AE1046/Q1046,0))/MAX(0.1,N(Parameter!$M$21)))</f>
        <v>0</v>
      </c>
      <c r="AG1046" s="57" t="n">
        <f aca="false">AD1046*F1046</f>
        <v>0</v>
      </c>
      <c r="AH1046" s="57" t="n">
        <f aca="false">ROUNDUP(MAX(I1046/IF(BV1046&gt;0,BV1046,MAX(0.1,N(Cockpit!$C$6))),BY1046)/BQ1046,0)*BQ1046</f>
        <v>234</v>
      </c>
      <c r="AI1046" s="58" t="n">
        <f aca="false">IF(AF1046&gt;0,I1046/AF1046,-1)</f>
        <v>-1</v>
      </c>
      <c r="AJ1046" s="58" t="str">
        <f aca="false">IF(AND(OR(BU1046="L1",BU1046="L23"),AF1046&gt;0),SUMIFS($AF$7:$AF$1576,$BU$7:$BU$1576,BU1046,$AI$7:$AI$1576,"&gt;"&amp;AI1046)+SUMIFS($AF$7:$AF$1576,$BU$7:$BU$1576,BU1046,$AI$7:$AI$1576,AI1046,$BO$7:$BO$1576,"&lt;="&amp;BO1046),"")</f>
        <v/>
      </c>
      <c r="AK1046" s="65" t="n">
        <f aca="false">IF(AJ1046="",0,MAX(0,MIN(1,(IF(BU1046="L1",Parameter!$E$5,Parameter!$E$6+Parameter!$E$7)-(AJ1046-AF1046))/AF1046)))</f>
        <v>0</v>
      </c>
      <c r="AL1046" s="57" t="n">
        <f aca="false">IF(LEFT(Cockpit!$I$5,1)="A",G1046,IF(BW1046=1,BX1046,IF(LEFT(Cockpit!$I$5,1)="B",AP1046,MAX(AP1046,G1046))))</f>
        <v>234</v>
      </c>
      <c r="AM1046" s="57" t="n">
        <f aca="false">IF(BR1046=1,0,ROUNDUP(AL1046/BQ1046,0))</f>
        <v>2</v>
      </c>
      <c r="AN1046" s="59" t="n">
        <f aca="false">IF(CD1046&gt;0,CD1046*MAX(1,AL1046/V1046),IF(BR1046=1,IF(AL1046&lt;=0,0,BS1046*MAX(1,IF(G1046&gt;0,AL1046/G1046,1))),IF(Q1046&gt;0,AM1046/Q1046,0))/MAX(0.1,N(Parameter!$M$21)))</f>
        <v>0.0303030303030303</v>
      </c>
      <c r="AO1046" s="57" t="n">
        <f aca="false">AL1046*F1046</f>
        <v>1850.94</v>
      </c>
      <c r="AP1046" s="57" t="n">
        <f aca="false">ROUNDUP(MAX(I1046/IF(BV1046&gt;0,BV1046,MAX(0.1,N(Cockpit!$I$6))),BY1046)/BQ1046,0)*BQ1046</f>
        <v>234</v>
      </c>
      <c r="AQ1046" s="58" t="n">
        <f aca="false">IF(AN1046&gt;0,I1046/AN1046,-1)</f>
        <v>12540</v>
      </c>
      <c r="AR1046" s="58" t="n">
        <f aca="false">IF(AND(OR(BU1046="L1",BU1046="L23"),AN1046&gt;0),SUMIFS($AN$7:$AN$1576,$BU$7:$BU$1576,BU1046,$AQ$7:$AQ$1576,"&gt;"&amp;AQ1046)+SUMIFS($AN$7:$AN$1576,$BU$7:$BU$1576,BU1046,$AQ$7:$AQ$1576,AQ1046,$BO$7:$BO$1576,"&lt;="&amp;BO1046),"")</f>
        <v>6.16257187257187</v>
      </c>
      <c r="AS1046" s="65" t="n">
        <f aca="false">IF(AR1046="",0,MAX(0,MIN(1,(IF(BU1046="L1",Parameter!$E$5,Parameter!$E$6+Parameter!$E$7)-(AR1046-AN1046))/AN1046)))</f>
        <v>1</v>
      </c>
      <c r="AT1046" s="57" t="n">
        <f aca="false">IF(LEFT(Cockpit!$O$5,1)="A",G1046,IF(BW1046=1,BX1046,IF(LEFT(Cockpit!$O$5,1)="B",AX1046,MAX(AX1046,G1046))))</f>
        <v>234</v>
      </c>
      <c r="AU1046" s="57" t="n">
        <f aca="false">IF(BR1046=1,0,ROUNDUP(AT1046/BQ1046,0))</f>
        <v>2</v>
      </c>
      <c r="AV1046" s="59" t="n">
        <f aca="false">IF(CD1046&gt;0,CD1046*MAX(1,AT1046/V1046),IF(BR1046=1,IF(AT1046&lt;=0,0,BS1046*MAX(1,IF(G1046&gt;0,AT1046/G1046,1))),IF(Q1046&gt;0,AU1046/Q1046,0))/MAX(0.1,N(Parameter!$M$21)))</f>
        <v>0.0303030303030303</v>
      </c>
      <c r="AW1046" s="57" t="n">
        <f aca="false">AT1046*F1046</f>
        <v>1850.94</v>
      </c>
      <c r="AX1046" s="57" t="n">
        <f aca="false">ROUNDUP(MAX(I1046/IF(BV1046&gt;0,BV1046,MAX(0.1,N(Cockpit!$O$6))),BY1046)/BQ1046,0)*BQ1046</f>
        <v>234</v>
      </c>
      <c r="AY1046" s="58" t="n">
        <f aca="false">IF(AV1046&gt;0,I1046/AV1046,-1)</f>
        <v>12540</v>
      </c>
      <c r="AZ1046" s="58" t="n">
        <f aca="false">IF(AND(OR(BU1046="L1",BU1046="L23"),AV1046&gt;0),SUMIFS($AV$7:$AV$1576,$BU$7:$BU$1576,BU1046,$AY$7:$AY$1576,"&gt;"&amp;AY1046)+SUMIFS($AV$7:$AV$1576,$BU$7:$BU$1576,BU1046,$AY$7:$AY$1576,AY1046,$BO$7:$BO$1576,"&lt;="&amp;BO1046),"")</f>
        <v>5.71035742035742</v>
      </c>
      <c r="BA1046" s="65" t="n">
        <f aca="false">IF(AZ1046="",0,MAX(0,MIN(1,(IF(BU1046="L1",Parameter!$E$5,Parameter!$E$6+Parameter!$E$7)-(AZ1046-AV1046))/AV1046)))</f>
        <v>1</v>
      </c>
      <c r="BB1046" s="55" t="str">
        <f aca="false">IF(AF1046&lt;=0,"",IF(BU1046="Aussen","Aussenlager",IF(BU1046="-","Nicht im Lift",IF(AK1046&gt;=1,"Lift",IF(AK1046&lt;=0,"Aussenlager","teilweise")))))</f>
        <v/>
      </c>
      <c r="BC1046" s="55" t="str">
        <f aca="false">IF(AN1046&lt;=0,"",IF(BU1046="Aussen","Aussenlager",IF(BU1046="-","Nicht im Lift",IF(AS1046&gt;=1,"Lift",IF(AS1046&lt;=0,"Aussenlager","teilweise")))))</f>
        <v>Lift</v>
      </c>
      <c r="BD1046" s="55" t="str">
        <f aca="false">IF(AV1046&lt;=0,"",IF(BU1046="Aussen","Aussenlager",IF(BU1046="-","Nicht im Lift",IF(BA1046&gt;=1,"Lift",IF(BA1046&lt;=0,"Aussenlager","teilweise")))))</f>
        <v>Lift</v>
      </c>
      <c r="BE1046" s="55" t="str">
        <f aca="false">IF(A1046="","",IF(BN1046=1,"Neu; ","")&amp;IF(AND(BN1046=0,BI1046&lt;0),"negativer Bestand (Export "&amp;BI1046&amp;"); ","")&amp;IF(I1046&lt;=0,"Kein Verbrauch; ","")&amp;IF(CD1046&gt;0,"Lift "&amp;U1046&amp;" lt. Liftbericht (Fach "&amp;V1046&amp;" Stk); ",IF(BR1046=1,"Lose – Fläche geschätzt; ",""))&amp;IF(G1046&gt;AP1046,"Überbestand "&amp;ROUND(G1046-AP1046,0)&amp;" Stk / CHF "&amp;ROUND((G1046-AP1046)*F1046,0)&amp;"; ","")&amp;IF(AND(BW1046=1,BX1046&lt;BY1046),"MAX &lt; MB+LG; ","")&amp;IF(AND(CC1046&gt;0,CB1046*10&gt;CC1046),"zu hoch für Tablar; ","")&amp;IF(AND(BN1046=0,OR(BW1046=1,Y1046&lt;&gt;"",S1046&lt;&gt;"",T1046&lt;&gt;"",Z1046&lt;&gt;"")),"manuell übersteuert; ","")&amp;IF(AND(BR1046=0,Q1046=0),"Gebinde unbekannt / Stellmass fehlt; ","")&amp;IF(AND(BR1046=0,N(T1046)&lt;=0,N(P1046)&lt;=0),"Menge pro Gebinde fehlt (Ist = 1 Gebinde); ","")&amp;BM1046)</f>
        <v>negativer Bestand (Export -16); </v>
      </c>
      <c r="BF1046" s="55"/>
      <c r="BG1046" s="55"/>
      <c r="BH1046" s="62"/>
      <c r="BI1046" s="57" t="n">
        <v>-16</v>
      </c>
      <c r="BJ1046" s="57" t="n">
        <v>124</v>
      </c>
      <c r="BK1046" s="56" t="n">
        <v>-138.96</v>
      </c>
      <c r="BL1046" s="57" t="n">
        <v>380</v>
      </c>
      <c r="BM1046" s="55"/>
      <c r="BN1046" s="60" t="n">
        <v>0</v>
      </c>
      <c r="BO1046" s="60" t="n">
        <v>1046</v>
      </c>
      <c r="BP1046" s="55" t="str">
        <f aca="false">IF(S1046&lt;&gt;"",UPPER(TRIM(S1046)),IF(O1046="","LOSE",O1046))</f>
        <v>S33</v>
      </c>
      <c r="BQ1046" s="57" t="n">
        <f aca="false">IF(BP1046="LOSE",1,IF(N(T1046)&gt;0,T1046,IF(N(P1046)&gt;0,P1046,MAX(1,G1046))))</f>
        <v>117</v>
      </c>
      <c r="BR1046" s="60" t="n">
        <f aca="false">IF(BP1046="LOSE",1,0)</f>
        <v>0</v>
      </c>
      <c r="BS1046" s="59" t="n">
        <f aca="false">IF(BR1046=0,0,IF(N(R1046)&gt;0,R1046,IFERROR(VLOOKUP(D1046,Parameter!$A$35:$C$64,3,0)+0,0)))</f>
        <v>0</v>
      </c>
      <c r="BT1046" s="55" t="n">
        <f aca="false">IF(Y1046&lt;&gt;"",Y1046,X1046)</f>
        <v>3</v>
      </c>
      <c r="BU1046" s="55" t="str">
        <f aca="false">IF(BT1046=1,"L1",IF(OR(BT1046=2,BT1046=3),"L23",IF(BT1046="Aussen","Aussen","-")))</f>
        <v>L23</v>
      </c>
      <c r="BV1046" s="66" t="n">
        <f aca="false">IF(N(Z1046)&gt;0,Z1046,0)</f>
        <v>0</v>
      </c>
      <c r="BW1046" s="60" t="n">
        <f aca="false">IF(ISNUMBER(AC1046),1,0)</f>
        <v>0</v>
      </c>
      <c r="BX1046" s="57" t="n">
        <f aca="false">N(AC1046)</f>
        <v>0</v>
      </c>
      <c r="BY1046" s="57" t="n">
        <f aca="false">N(L1046)+N(M1046)</f>
        <v>105</v>
      </c>
      <c r="BZ1046" s="57" t="n">
        <f aca="false">ROUNDUP(G1046/BQ1046,0)</f>
        <v>0</v>
      </c>
      <c r="CA1046" s="57" t="n">
        <f aca="false">ROUNDUP(BX1046/BQ1046,0)</f>
        <v>0</v>
      </c>
      <c r="CB1046" s="60" t="n">
        <f aca="false">IF(BR1046=1,0,IFERROR(VLOOKUP(BP1046,'Gebinde-Kategorie'!$A$5:$M$45,5,0)+0,0))</f>
        <v>8</v>
      </c>
      <c r="CC1046" s="60" t="n">
        <f aca="false">IFERROR(IF(OR(BT1046=1,BT1046=2,BT1046=3),N(INDEX(Parameter!$I$5:$I$7,BT1046)),0),0)</f>
        <v>0</v>
      </c>
      <c r="CD1046" s="59" t="n">
        <f aca="false">IF(AND(Parameter!$B$21="Ja",ISNUMBER(U1046),N(V1046)&gt;0),IFERROR(N(INDEX(Parameter!$L$5:$L$7,U1046))*INDEX(Parameter!$E$5:$E$7,U1046)*V1046/SUMIFS($V$7:$V$1576,$U$7:$U$1576,U1046),0),0)</f>
        <v>0</v>
      </c>
    </row>
    <row r="1047" customFormat="false" ht="15" hidden="false" customHeight="false" outlineLevel="0" collapsed="false">
      <c r="A1047" s="55" t="s">
        <v>1907</v>
      </c>
      <c r="B1047" s="55" t="s">
        <v>587</v>
      </c>
      <c r="C1047" s="55" t="s">
        <v>160</v>
      </c>
      <c r="D1047" s="55" t="s">
        <v>178</v>
      </c>
      <c r="E1047" s="55" t="s">
        <v>210</v>
      </c>
      <c r="F1047" s="56" t="n">
        <v>17.52</v>
      </c>
      <c r="G1047" s="57" t="n">
        <f aca="false">MAX(0,IF(AND(Parameter!$B$21="Ja",ISNUMBER(W1047)),W1047,IF(Parameter!$B$20="Jahresanfang 2025 + Export",BJ1047+BI1047,BI1047)))</f>
        <v>0</v>
      </c>
      <c r="H1047" s="57" t="n">
        <f aca="false">G1047*F1047</f>
        <v>0</v>
      </c>
      <c r="I1047" s="57" t="n">
        <f aca="false">BL1047*Parameter!$B$18</f>
        <v>7</v>
      </c>
      <c r="J1047" s="58" t="n">
        <v>76.5</v>
      </c>
      <c r="K1047" s="59" t="n">
        <v>0.0915032679738562</v>
      </c>
      <c r="L1047" s="57" t="n">
        <v>0</v>
      </c>
      <c r="M1047" s="57" t="n">
        <v>5</v>
      </c>
      <c r="N1047" s="60" t="n">
        <v>14</v>
      </c>
      <c r="O1047" s="55" t="s">
        <v>465</v>
      </c>
      <c r="P1047" s="57" t="n">
        <v>202</v>
      </c>
      <c r="Q1047" s="60" t="n">
        <f aca="false">IF(BR1047=1,0,IFERROR(VLOOKUP(BP1047,'Gebinde-Kategorie'!$A$5:$M$45,13,0)+0,0))</f>
        <v>66</v>
      </c>
      <c r="R1047" s="61"/>
      <c r="S1047" s="62"/>
      <c r="T1047" s="62"/>
      <c r="U1047" s="55"/>
      <c r="V1047" s="57"/>
      <c r="W1047" s="57"/>
      <c r="X1047" s="55" t="n">
        <f aca="false">IF(A1047="","",IF(AND(Parameter!$B$21="Ja",ISNUMBER(U1047)),U1047,IF(IFERROR(VLOOKUP(D1047,Parameter!$A$35:$C$64,2,0),"Nein")="2+3",IF(ISNUMBER(SEARCH("grosser Artikel",BM1047)),2,IFERROR(VLOOKUP(BP1047,Parameter!$F$35:$G$64,2,0),2)),IF(OR(IFERROR(VLOOKUP(D1047,Parameter!$A$35:$C$64,2,0),"Nein")="Nein",IFERROR(VLOOKUP(D1047,Parameter!$A$35:$C$64,2,0),"Nein")=""),"-",VLOOKUP(D1047,Parameter!$A$35:$C$64,2,0)))))</f>
        <v>3</v>
      </c>
      <c r="Y1047" s="62"/>
      <c r="Z1047" s="63"/>
      <c r="AA1047" s="57" t="n">
        <f aca="false">AP1047</f>
        <v>202</v>
      </c>
      <c r="AB1047" s="57" t="n">
        <f aca="false">MAX(AP1047,G1047)</f>
        <v>202</v>
      </c>
      <c r="AC1047" s="64"/>
      <c r="AD1047" s="57" t="n">
        <f aca="false">IF(LEFT(Cockpit!$C$5,1)="A",G1047,IF(BW1047=1,BX1047,IF(LEFT(Cockpit!$C$5,1)="B",AH1047,MAX(AH1047,G1047))))</f>
        <v>0</v>
      </c>
      <c r="AE1047" s="57" t="n">
        <f aca="false">IF(BR1047=1,0,ROUNDUP(AD1047/BQ1047,0))</f>
        <v>0</v>
      </c>
      <c r="AF1047" s="59" t="n">
        <f aca="false">IF(CD1047&gt;0,CD1047*MAX(1,AD1047/V1047),IF(BR1047=1,IF(AD1047&lt;=0,0,BS1047*MAX(1,IF(G1047&gt;0,AD1047/G1047,1))),IF(Q1047&gt;0,AE1047/Q1047,0))/MAX(0.1,N(Parameter!$M$21)))</f>
        <v>0</v>
      </c>
      <c r="AG1047" s="57" t="n">
        <f aca="false">AD1047*F1047</f>
        <v>0</v>
      </c>
      <c r="AH1047" s="57" t="n">
        <f aca="false">ROUNDUP(MAX(I1047/IF(BV1047&gt;0,BV1047,MAX(0.1,N(Cockpit!$C$6))),BY1047)/BQ1047,0)*BQ1047</f>
        <v>202</v>
      </c>
      <c r="AI1047" s="58" t="n">
        <f aca="false">IF(AF1047&gt;0,I1047/AF1047,-1)</f>
        <v>-1</v>
      </c>
      <c r="AJ1047" s="58" t="str">
        <f aca="false">IF(AND(OR(BU1047="L1",BU1047="L23"),AF1047&gt;0),SUMIFS($AF$7:$AF$1576,$BU$7:$BU$1576,BU1047,$AI$7:$AI$1576,"&gt;"&amp;AI1047)+SUMIFS($AF$7:$AF$1576,$BU$7:$BU$1576,BU1047,$AI$7:$AI$1576,AI1047,$BO$7:$BO$1576,"&lt;="&amp;BO1047),"")</f>
        <v/>
      </c>
      <c r="AK1047" s="65" t="n">
        <f aca="false">IF(AJ1047="",0,MAX(0,MIN(1,(IF(BU1047="L1",Parameter!$E$5,Parameter!$E$6+Parameter!$E$7)-(AJ1047-AF1047))/AF1047)))</f>
        <v>0</v>
      </c>
      <c r="AL1047" s="57" t="n">
        <f aca="false">IF(LEFT(Cockpit!$I$5,1)="A",G1047,IF(BW1047=1,BX1047,IF(LEFT(Cockpit!$I$5,1)="B",AP1047,MAX(AP1047,G1047))))</f>
        <v>202</v>
      </c>
      <c r="AM1047" s="57" t="n">
        <f aca="false">IF(BR1047=1,0,ROUNDUP(AL1047/BQ1047,0))</f>
        <v>1</v>
      </c>
      <c r="AN1047" s="59" t="n">
        <f aca="false">IF(CD1047&gt;0,CD1047*MAX(1,AL1047/V1047),IF(BR1047=1,IF(AL1047&lt;=0,0,BS1047*MAX(1,IF(G1047&gt;0,AL1047/G1047,1))),IF(Q1047&gt;0,AM1047/Q1047,0))/MAX(0.1,N(Parameter!$M$21)))</f>
        <v>0.0151515151515152</v>
      </c>
      <c r="AO1047" s="57" t="n">
        <f aca="false">AL1047*F1047</f>
        <v>3539.04</v>
      </c>
      <c r="AP1047" s="57" t="n">
        <f aca="false">ROUNDUP(MAX(I1047/IF(BV1047&gt;0,BV1047,MAX(0.1,N(Cockpit!$I$6))),BY1047)/BQ1047,0)*BQ1047</f>
        <v>202</v>
      </c>
      <c r="AQ1047" s="58" t="n">
        <f aca="false">IF(AN1047&gt;0,I1047/AN1047,-1)</f>
        <v>462</v>
      </c>
      <c r="AR1047" s="58" t="n">
        <f aca="false">IF(AND(OR(BU1047="L1",BU1047="L23"),AN1047&gt;0),SUMIFS($AN$7:$AN$1576,$BU$7:$BU$1576,BU1047,$AQ$7:$AQ$1576,"&gt;"&amp;AQ1047)+SUMIFS($AN$7:$AN$1576,$BU$7:$BU$1576,BU1047,$AQ$7:$AQ$1576,AQ1047,$BO$7:$BO$1576,"&lt;="&amp;BO1047),"")</f>
        <v>35.2475648147499</v>
      </c>
      <c r="AS1047" s="65" t="n">
        <f aca="false">IF(AR1047="",0,MAX(0,MIN(1,(IF(BU1047="L1",Parameter!$E$5,Parameter!$E$6+Parameter!$E$7)-(AR1047-AN1047))/AN1047)))</f>
        <v>1</v>
      </c>
      <c r="AT1047" s="57" t="n">
        <f aca="false">IF(LEFT(Cockpit!$O$5,1)="A",G1047,IF(BW1047=1,BX1047,IF(LEFT(Cockpit!$O$5,1)="B",AX1047,MAX(AX1047,G1047))))</f>
        <v>202</v>
      </c>
      <c r="AU1047" s="57" t="n">
        <f aca="false">IF(BR1047=1,0,ROUNDUP(AT1047/BQ1047,0))</f>
        <v>1</v>
      </c>
      <c r="AV1047" s="59" t="n">
        <f aca="false">IF(CD1047&gt;0,CD1047*MAX(1,AT1047/V1047),IF(BR1047=1,IF(AT1047&lt;=0,0,BS1047*MAX(1,IF(G1047&gt;0,AT1047/G1047,1))),IF(Q1047&gt;0,AU1047/Q1047,0))/MAX(0.1,N(Parameter!$M$21)))</f>
        <v>0.0151515151515152</v>
      </c>
      <c r="AW1047" s="57" t="n">
        <f aca="false">AT1047*F1047</f>
        <v>3539.04</v>
      </c>
      <c r="AX1047" s="57" t="n">
        <f aca="false">ROUNDUP(MAX(I1047/IF(BV1047&gt;0,BV1047,MAX(0.1,N(Cockpit!$O$6))),BY1047)/BQ1047,0)*BQ1047</f>
        <v>202</v>
      </c>
      <c r="AY1047" s="58" t="n">
        <f aca="false">IF(AV1047&gt;0,I1047/AV1047,-1)</f>
        <v>462</v>
      </c>
      <c r="AZ1047" s="58" t="n">
        <f aca="false">IF(AND(OR(BU1047="L1",BU1047="L23"),AV1047&gt;0),SUMIFS($AV$7:$AV$1576,$BU$7:$BU$1576,BU1047,$AY$7:$AY$1576,"&gt;"&amp;AY1047)+SUMIFS($AV$7:$AV$1576,$BU$7:$BU$1576,BU1047,$AY$7:$AY$1576,AY1047,$BO$7:$BO$1576,"&lt;="&amp;BO1047),"")</f>
        <v>34.3994895566746</v>
      </c>
      <c r="BA1047" s="65" t="n">
        <f aca="false">IF(AZ1047="",0,MAX(0,MIN(1,(IF(BU1047="L1",Parameter!$E$5,Parameter!$E$6+Parameter!$E$7)-(AZ1047-AV1047))/AV1047)))</f>
        <v>1</v>
      </c>
      <c r="BB1047" s="55" t="str">
        <f aca="false">IF(AF1047&lt;=0,"",IF(BU1047="Aussen","Aussenlager",IF(BU1047="-","Nicht im Lift",IF(AK1047&gt;=1,"Lift",IF(AK1047&lt;=0,"Aussenlager","teilweise")))))</f>
        <v/>
      </c>
      <c r="BC1047" s="55" t="str">
        <f aca="false">IF(AN1047&lt;=0,"",IF(BU1047="Aussen","Aussenlager",IF(BU1047="-","Nicht im Lift",IF(AS1047&gt;=1,"Lift",IF(AS1047&lt;=0,"Aussenlager","teilweise")))))</f>
        <v>Lift</v>
      </c>
      <c r="BD1047" s="55" t="str">
        <f aca="false">IF(AV1047&lt;=0,"",IF(BU1047="Aussen","Aussenlager",IF(BU1047="-","Nicht im Lift",IF(BA1047&gt;=1,"Lift",IF(BA1047&lt;=0,"Aussenlager","teilweise")))))</f>
        <v>Lift</v>
      </c>
      <c r="BE1047" s="55" t="str">
        <f aca="false">IF(A1047="","",IF(BN1047=1,"Neu; ","")&amp;IF(AND(BN1047=0,BI1047&lt;0),"negativer Bestand (Export "&amp;BI1047&amp;"); ","")&amp;IF(I1047&lt;=0,"Kein Verbrauch; ","")&amp;IF(CD1047&gt;0,"Lift "&amp;U1047&amp;" lt. Liftbericht (Fach "&amp;V1047&amp;" Stk); ",IF(BR1047=1,"Lose – Fläche geschätzt; ",""))&amp;IF(G1047&gt;AP1047,"Überbestand "&amp;ROUND(G1047-AP1047,0)&amp;" Stk / CHF "&amp;ROUND((G1047-AP1047)*F1047,0)&amp;"; ","")&amp;IF(AND(BW1047=1,BX1047&lt;BY1047),"MAX &lt; MB+LG; ","")&amp;IF(AND(CC1047&gt;0,CB1047*10&gt;CC1047),"zu hoch für Tablar; ","")&amp;IF(AND(BN1047=0,OR(BW1047=1,Y1047&lt;&gt;"",S1047&lt;&gt;"",T1047&lt;&gt;"",Z1047&lt;&gt;"")),"manuell übersteuert; ","")&amp;IF(AND(BR1047=0,Q1047=0),"Gebinde unbekannt / Stellmass fehlt; ","")&amp;IF(AND(BR1047=0,N(T1047)&lt;=0,N(P1047)&lt;=0),"Menge pro Gebinde fehlt (Ist = 1 Gebinde); ","")&amp;BM1047)</f>
        <v>negativer Bestand (Export -8); Überbestand</v>
      </c>
      <c r="BF1047" s="55"/>
      <c r="BG1047" s="55"/>
      <c r="BH1047" s="62"/>
      <c r="BI1047" s="57" t="n">
        <v>-8</v>
      </c>
      <c r="BJ1047" s="57" t="n">
        <v>80</v>
      </c>
      <c r="BK1047" s="56" t="n">
        <v>-140.16</v>
      </c>
      <c r="BL1047" s="57" t="n">
        <v>7</v>
      </c>
      <c r="BM1047" s="55" t="s">
        <v>382</v>
      </c>
      <c r="BN1047" s="60" t="n">
        <v>0</v>
      </c>
      <c r="BO1047" s="60" t="n">
        <v>1047</v>
      </c>
      <c r="BP1047" s="55" t="str">
        <f aca="false">IF(S1047&lt;&gt;"",UPPER(TRIM(S1047)),IF(O1047="","LOSE",O1047))</f>
        <v>S33</v>
      </c>
      <c r="BQ1047" s="57" t="n">
        <f aca="false">IF(BP1047="LOSE",1,IF(N(T1047)&gt;0,T1047,IF(N(P1047)&gt;0,P1047,MAX(1,G1047))))</f>
        <v>202</v>
      </c>
      <c r="BR1047" s="60" t="n">
        <f aca="false">IF(BP1047="LOSE",1,0)</f>
        <v>0</v>
      </c>
      <c r="BS1047" s="59" t="n">
        <f aca="false">IF(BR1047=0,0,IF(N(R1047)&gt;0,R1047,IFERROR(VLOOKUP(D1047,Parameter!$A$35:$C$64,3,0)+0,0)))</f>
        <v>0</v>
      </c>
      <c r="BT1047" s="55" t="n">
        <f aca="false">IF(Y1047&lt;&gt;"",Y1047,X1047)</f>
        <v>3</v>
      </c>
      <c r="BU1047" s="55" t="str">
        <f aca="false">IF(BT1047=1,"L1",IF(OR(BT1047=2,BT1047=3),"L23",IF(BT1047="Aussen","Aussen","-")))</f>
        <v>L23</v>
      </c>
      <c r="BV1047" s="66" t="n">
        <f aca="false">IF(N(Z1047)&gt;0,Z1047,0)</f>
        <v>0</v>
      </c>
      <c r="BW1047" s="60" t="n">
        <f aca="false">IF(ISNUMBER(AC1047),1,0)</f>
        <v>0</v>
      </c>
      <c r="BX1047" s="57" t="n">
        <f aca="false">N(AC1047)</f>
        <v>0</v>
      </c>
      <c r="BY1047" s="57" t="n">
        <f aca="false">N(L1047)+N(M1047)</f>
        <v>5</v>
      </c>
      <c r="BZ1047" s="57" t="n">
        <f aca="false">ROUNDUP(G1047/BQ1047,0)</f>
        <v>0</v>
      </c>
      <c r="CA1047" s="57" t="n">
        <f aca="false">ROUNDUP(BX1047/BQ1047,0)</f>
        <v>0</v>
      </c>
      <c r="CB1047" s="60" t="n">
        <f aca="false">IF(BR1047=1,0,IFERROR(VLOOKUP(BP1047,'Gebinde-Kategorie'!$A$5:$M$45,5,0)+0,0))</f>
        <v>8</v>
      </c>
      <c r="CC1047" s="60" t="n">
        <f aca="false">IFERROR(IF(OR(BT1047=1,BT1047=2,BT1047=3),N(INDEX(Parameter!$I$5:$I$7,BT1047)),0),0)</f>
        <v>0</v>
      </c>
      <c r="CD1047" s="59" t="n">
        <f aca="false">IF(AND(Parameter!$B$21="Ja",ISNUMBER(U1047),N(V1047)&gt;0),IFERROR(N(INDEX(Parameter!$L$5:$L$7,U1047))*INDEX(Parameter!$E$5:$E$7,U1047)*V1047/SUMIFS($V$7:$V$1576,$U$7:$U$1576,U1047),0),0)</f>
        <v>0</v>
      </c>
    </row>
    <row r="1048" customFormat="false" ht="15" hidden="false" customHeight="false" outlineLevel="0" collapsed="false">
      <c r="A1048" s="55" t="s">
        <v>1908</v>
      </c>
      <c r="B1048" s="55" t="s">
        <v>1573</v>
      </c>
      <c r="C1048" s="55" t="s">
        <v>160</v>
      </c>
      <c r="D1048" s="55" t="s">
        <v>178</v>
      </c>
      <c r="E1048" s="55" t="s">
        <v>210</v>
      </c>
      <c r="F1048" s="56" t="n">
        <v>0.83</v>
      </c>
      <c r="G1048" s="57" t="n">
        <f aca="false">MAX(0,IF(AND(Parameter!$B$21="Ja",ISNUMBER(W1048)),W1048,IF(Parameter!$B$20="Jahresanfang 2025 + Export",BJ1048+BI1048,BI1048)))</f>
        <v>0</v>
      </c>
      <c r="H1048" s="57" t="n">
        <f aca="false">G1048*F1048</f>
        <v>0</v>
      </c>
      <c r="I1048" s="57" t="n">
        <f aca="false">BL1048*Parameter!$B$18</f>
        <v>0</v>
      </c>
      <c r="J1048" s="58" t="n">
        <v>38.5</v>
      </c>
      <c r="K1048" s="59" t="n">
        <v>0</v>
      </c>
      <c r="L1048" s="57" t="n">
        <v>0</v>
      </c>
      <c r="M1048" s="57" t="n">
        <v>1</v>
      </c>
      <c r="N1048" s="60" t="n">
        <v>21</v>
      </c>
      <c r="O1048" s="55" t="s">
        <v>411</v>
      </c>
      <c r="P1048" s="57" t="n">
        <v>54</v>
      </c>
      <c r="Q1048" s="60" t="n">
        <f aca="false">IF(BR1048=1,0,IFERROR(VLOOKUP(BP1048,'Gebinde-Kategorie'!$A$5:$M$45,13,0)+0,0))</f>
        <v>132</v>
      </c>
      <c r="R1048" s="61"/>
      <c r="S1048" s="62"/>
      <c r="T1048" s="62"/>
      <c r="U1048" s="55"/>
      <c r="V1048" s="57"/>
      <c r="W1048" s="57"/>
      <c r="X1048" s="55" t="n">
        <f aca="false">IF(A1048="","",IF(AND(Parameter!$B$21="Ja",ISNUMBER(U1048)),U1048,IF(IFERROR(VLOOKUP(D1048,Parameter!$A$35:$C$64,2,0),"Nein")="2+3",IF(ISNUMBER(SEARCH("grosser Artikel",BM1048)),2,IFERROR(VLOOKUP(BP1048,Parameter!$F$35:$G$64,2,0),2)),IF(OR(IFERROR(VLOOKUP(D1048,Parameter!$A$35:$C$64,2,0),"Nein")="Nein",IFERROR(VLOOKUP(D1048,Parameter!$A$35:$C$64,2,0),"Nein")=""),"-",VLOOKUP(D1048,Parameter!$A$35:$C$64,2,0)))))</f>
        <v>3</v>
      </c>
      <c r="Y1048" s="62"/>
      <c r="Z1048" s="63"/>
      <c r="AA1048" s="57" t="n">
        <f aca="false">AP1048</f>
        <v>54</v>
      </c>
      <c r="AB1048" s="57" t="n">
        <f aca="false">MAX(AP1048,G1048)</f>
        <v>54</v>
      </c>
      <c r="AC1048" s="64"/>
      <c r="AD1048" s="57" t="n">
        <f aca="false">IF(LEFT(Cockpit!$C$5,1)="A",G1048,IF(BW1048=1,BX1048,IF(LEFT(Cockpit!$C$5,1)="B",AH1048,MAX(AH1048,G1048))))</f>
        <v>0</v>
      </c>
      <c r="AE1048" s="57" t="n">
        <f aca="false">IF(BR1048=1,0,ROUNDUP(AD1048/BQ1048,0))</f>
        <v>0</v>
      </c>
      <c r="AF1048" s="59" t="n">
        <f aca="false">IF(CD1048&gt;0,CD1048*MAX(1,AD1048/V1048),IF(BR1048=1,IF(AD1048&lt;=0,0,BS1048*MAX(1,IF(G1048&gt;0,AD1048/G1048,1))),IF(Q1048&gt;0,AE1048/Q1048,0))/MAX(0.1,N(Parameter!$M$21)))</f>
        <v>0</v>
      </c>
      <c r="AG1048" s="57" t="n">
        <f aca="false">AD1048*F1048</f>
        <v>0</v>
      </c>
      <c r="AH1048" s="57" t="n">
        <f aca="false">ROUNDUP(MAX(I1048/IF(BV1048&gt;0,BV1048,MAX(0.1,N(Cockpit!$C$6))),BY1048)/BQ1048,0)*BQ1048</f>
        <v>54</v>
      </c>
      <c r="AI1048" s="58" t="n">
        <f aca="false">IF(AF1048&gt;0,I1048/AF1048,-1)</f>
        <v>-1</v>
      </c>
      <c r="AJ1048" s="58" t="str">
        <f aca="false">IF(AND(OR(BU1048="L1",BU1048="L23"),AF1048&gt;0),SUMIFS($AF$7:$AF$1576,$BU$7:$BU$1576,BU1048,$AI$7:$AI$1576,"&gt;"&amp;AI1048)+SUMIFS($AF$7:$AF$1576,$BU$7:$BU$1576,BU1048,$AI$7:$AI$1576,AI1048,$BO$7:$BO$1576,"&lt;="&amp;BO1048),"")</f>
        <v/>
      </c>
      <c r="AK1048" s="65" t="n">
        <f aca="false">IF(AJ1048="",0,MAX(0,MIN(1,(IF(BU1048="L1",Parameter!$E$5,Parameter!$E$6+Parameter!$E$7)-(AJ1048-AF1048))/AF1048)))</f>
        <v>0</v>
      </c>
      <c r="AL1048" s="57" t="n">
        <f aca="false">IF(LEFT(Cockpit!$I$5,1)="A",G1048,IF(BW1048=1,BX1048,IF(LEFT(Cockpit!$I$5,1)="B",AP1048,MAX(AP1048,G1048))))</f>
        <v>54</v>
      </c>
      <c r="AM1048" s="57" t="n">
        <f aca="false">IF(BR1048=1,0,ROUNDUP(AL1048/BQ1048,0))</f>
        <v>1</v>
      </c>
      <c r="AN1048" s="59" t="n">
        <f aca="false">IF(CD1048&gt;0,CD1048*MAX(1,AL1048/V1048),IF(BR1048=1,IF(AL1048&lt;=0,0,BS1048*MAX(1,IF(G1048&gt;0,AL1048/G1048,1))),IF(Q1048&gt;0,AM1048/Q1048,0))/MAX(0.1,N(Parameter!$M$21)))</f>
        <v>0.00757575757575758</v>
      </c>
      <c r="AO1048" s="57" t="n">
        <f aca="false">AL1048*F1048</f>
        <v>44.82</v>
      </c>
      <c r="AP1048" s="57" t="n">
        <f aca="false">ROUNDUP(MAX(I1048/IF(BV1048&gt;0,BV1048,MAX(0.1,N(Cockpit!$I$6))),BY1048)/BQ1048,0)*BQ1048</f>
        <v>54</v>
      </c>
      <c r="AQ1048" s="58" t="n">
        <f aca="false">IF(AN1048&gt;0,I1048/AN1048,-1)</f>
        <v>0</v>
      </c>
      <c r="AR1048" s="58" t="n">
        <f aca="false">IF(AND(OR(BU1048="L1",BU1048="L23"),AN1048&gt;0),SUMIFS($AN$7:$AN$1576,$BU$7:$BU$1576,BU1048,$AQ$7:$AQ$1576,"&gt;"&amp;AQ1048)+SUMIFS($AN$7:$AN$1576,$BU$7:$BU$1576,BU1048,$AQ$7:$AQ$1576,AQ1048,$BO$7:$BO$1576,"&lt;="&amp;BO1048),"")</f>
        <v>133.1706963327</v>
      </c>
      <c r="AS1048" s="65" t="n">
        <f aca="false">IF(AR1048="",0,MAX(0,MIN(1,(IF(BU1048="L1",Parameter!$E$5,Parameter!$E$6+Parameter!$E$7)-(AR1048-AN1048))/AN1048)))</f>
        <v>0</v>
      </c>
      <c r="AT1048" s="57" t="n">
        <f aca="false">IF(LEFT(Cockpit!$O$5,1)="A",G1048,IF(BW1048=1,BX1048,IF(LEFT(Cockpit!$O$5,1)="B",AX1048,MAX(AX1048,G1048))))</f>
        <v>54</v>
      </c>
      <c r="AU1048" s="57" t="n">
        <f aca="false">IF(BR1048=1,0,ROUNDUP(AT1048/BQ1048,0))</f>
        <v>1</v>
      </c>
      <c r="AV1048" s="59" t="n">
        <f aca="false">IF(CD1048&gt;0,CD1048*MAX(1,AT1048/V1048),IF(BR1048=1,IF(AT1048&lt;=0,0,BS1048*MAX(1,IF(G1048&gt;0,AT1048/G1048,1))),IF(Q1048&gt;0,AU1048/Q1048,0))/MAX(0.1,N(Parameter!$M$21)))</f>
        <v>0.00757575757575758</v>
      </c>
      <c r="AW1048" s="57" t="n">
        <f aca="false">AT1048*F1048</f>
        <v>44.82</v>
      </c>
      <c r="AX1048" s="57" t="n">
        <f aca="false">ROUNDUP(MAX(I1048/IF(BV1048&gt;0,BV1048,MAX(0.1,N(Cockpit!$O$6))),BY1048)/BQ1048,0)*BQ1048</f>
        <v>54</v>
      </c>
      <c r="AY1048" s="58" t="n">
        <f aca="false">IF(AV1048&gt;0,I1048/AV1048,-1)</f>
        <v>0</v>
      </c>
      <c r="AZ1048" s="58" t="n">
        <f aca="false">IF(AND(OR(BU1048="L1",BU1048="L23"),AV1048&gt;0),SUMIFS($AV$7:$AV$1576,$BU$7:$BU$1576,BU1048,$AY$7:$AY$1576,"&gt;"&amp;AY1048)+SUMIFS($AV$7:$AV$1576,$BU$7:$BU$1576,BU1048,$AY$7:$AY$1576,AY1048,$BO$7:$BO$1576,"&lt;="&amp;BO1048),"")</f>
        <v>123.230246782251</v>
      </c>
      <c r="BA1048" s="65" t="n">
        <f aca="false">IF(AZ1048="",0,MAX(0,MIN(1,(IF(BU1048="L1",Parameter!$E$5,Parameter!$E$6+Parameter!$E$7)-(AZ1048-AV1048))/AV1048)))</f>
        <v>0</v>
      </c>
      <c r="BB1048" s="55" t="str">
        <f aca="false">IF(AF1048&lt;=0,"",IF(BU1048="Aussen","Aussenlager",IF(BU1048="-","Nicht im Lift",IF(AK1048&gt;=1,"Lift",IF(AK1048&lt;=0,"Aussenlager","teilweise")))))</f>
        <v/>
      </c>
      <c r="BC1048" s="55" t="str">
        <f aca="false">IF(AN1048&lt;=0,"",IF(BU1048="Aussen","Aussenlager",IF(BU1048="-","Nicht im Lift",IF(AS1048&gt;=1,"Lift",IF(AS1048&lt;=0,"Aussenlager","teilweise")))))</f>
        <v>Aussenlager</v>
      </c>
      <c r="BD1048" s="55" t="str">
        <f aca="false">IF(AV1048&lt;=0,"",IF(BU1048="Aussen","Aussenlager",IF(BU1048="-","Nicht im Lift",IF(BA1048&gt;=1,"Lift",IF(BA1048&lt;=0,"Aussenlager","teilweise")))))</f>
        <v>Aussenlager</v>
      </c>
      <c r="BE1048" s="55" t="str">
        <f aca="false">IF(A1048="","",IF(BN1048=1,"Neu; ","")&amp;IF(AND(BN1048=0,BI1048&lt;0),"negativer Bestand (Export "&amp;BI1048&amp;"); ","")&amp;IF(I1048&lt;=0,"Kein Verbrauch; ","")&amp;IF(CD1048&gt;0,"Lift "&amp;U1048&amp;" lt. Liftbericht (Fach "&amp;V1048&amp;" Stk); ",IF(BR1048=1,"Lose – Fläche geschätzt; ",""))&amp;IF(G1048&gt;AP1048,"Überbestand "&amp;ROUND(G1048-AP1048,0)&amp;" Stk / CHF "&amp;ROUND((G1048-AP1048)*F1048,0)&amp;"; ","")&amp;IF(AND(BW1048=1,BX1048&lt;BY1048),"MAX &lt; MB+LG; ","")&amp;IF(AND(CC1048&gt;0,CB1048*10&gt;CC1048),"zu hoch für Tablar; ","")&amp;IF(AND(BN1048=0,OR(BW1048=1,Y1048&lt;&gt;"",S1048&lt;&gt;"",T1048&lt;&gt;"",Z1048&lt;&gt;"")),"manuell übersteuert; ","")&amp;IF(AND(BR1048=0,Q1048=0),"Gebinde unbekannt / Stellmass fehlt; ","")&amp;IF(AND(BR1048=0,N(T1048)&lt;=0,N(P1048)&lt;=0),"Menge pro Gebinde fehlt (Ist = 1 Gebinde); ","")&amp;BM1048)</f>
        <v>negativer Bestand (Export -47); Kein Verbrauch; Überbestand</v>
      </c>
      <c r="BF1048" s="55"/>
      <c r="BG1048" s="55"/>
      <c r="BH1048" s="62"/>
      <c r="BI1048" s="57" t="n">
        <v>-47</v>
      </c>
      <c r="BJ1048" s="57" t="n">
        <v>47</v>
      </c>
      <c r="BK1048" s="56" t="n">
        <v>-142.41</v>
      </c>
      <c r="BL1048" s="57" t="n">
        <v>0</v>
      </c>
      <c r="BM1048" s="55" t="s">
        <v>382</v>
      </c>
      <c r="BN1048" s="60" t="n">
        <v>0</v>
      </c>
      <c r="BO1048" s="60" t="n">
        <v>1048</v>
      </c>
      <c r="BP1048" s="55" t="str">
        <f aca="false">IF(S1048&lt;&gt;"",UPPER(TRIM(S1048)),IF(O1048="","LOSE",O1048))</f>
        <v>S32</v>
      </c>
      <c r="BQ1048" s="57" t="n">
        <f aca="false">IF(BP1048="LOSE",1,IF(N(T1048)&gt;0,T1048,IF(N(P1048)&gt;0,P1048,MAX(1,G1048))))</f>
        <v>54</v>
      </c>
      <c r="BR1048" s="60" t="n">
        <f aca="false">IF(BP1048="LOSE",1,0)</f>
        <v>0</v>
      </c>
      <c r="BS1048" s="59" t="n">
        <f aca="false">IF(BR1048=0,0,IF(N(R1048)&gt;0,R1048,IFERROR(VLOOKUP(D1048,Parameter!$A$35:$C$64,3,0)+0,0)))</f>
        <v>0</v>
      </c>
      <c r="BT1048" s="55" t="n">
        <f aca="false">IF(Y1048&lt;&gt;"",Y1048,X1048)</f>
        <v>3</v>
      </c>
      <c r="BU1048" s="55" t="str">
        <f aca="false">IF(BT1048=1,"L1",IF(OR(BT1048=2,BT1048=3),"L23",IF(BT1048="Aussen","Aussen","-")))</f>
        <v>L23</v>
      </c>
      <c r="BV1048" s="66" t="n">
        <f aca="false">IF(N(Z1048)&gt;0,Z1048,0)</f>
        <v>0</v>
      </c>
      <c r="BW1048" s="60" t="n">
        <f aca="false">IF(ISNUMBER(AC1048),1,0)</f>
        <v>0</v>
      </c>
      <c r="BX1048" s="57" t="n">
        <f aca="false">N(AC1048)</f>
        <v>0</v>
      </c>
      <c r="BY1048" s="57" t="n">
        <f aca="false">N(L1048)+N(M1048)</f>
        <v>1</v>
      </c>
      <c r="BZ1048" s="57" t="n">
        <f aca="false">ROUNDUP(G1048/BQ1048,0)</f>
        <v>0</v>
      </c>
      <c r="CA1048" s="57" t="n">
        <f aca="false">ROUNDUP(BX1048/BQ1048,0)</f>
        <v>0</v>
      </c>
      <c r="CB1048" s="60" t="n">
        <f aca="false">IF(BR1048=1,0,IFERROR(VLOOKUP(BP1048,'Gebinde-Kategorie'!$A$5:$M$45,5,0)+0,0))</f>
        <v>8</v>
      </c>
      <c r="CC1048" s="60" t="n">
        <f aca="false">IFERROR(IF(OR(BT1048=1,BT1048=2,BT1048=3),N(INDEX(Parameter!$I$5:$I$7,BT1048)),0),0)</f>
        <v>0</v>
      </c>
      <c r="CD1048" s="59" t="n">
        <f aca="false">IF(AND(Parameter!$B$21="Ja",ISNUMBER(U1048),N(V1048)&gt;0),IFERROR(N(INDEX(Parameter!$L$5:$L$7,U1048))*INDEX(Parameter!$E$5:$E$7,U1048)*V1048/SUMIFS($V$7:$V$1576,$U$7:$U$1576,U1048),0),0)</f>
        <v>0</v>
      </c>
    </row>
    <row r="1049" customFormat="false" ht="15" hidden="false" customHeight="false" outlineLevel="0" collapsed="false">
      <c r="A1049" s="55" t="s">
        <v>1909</v>
      </c>
      <c r="B1049" s="55" t="s">
        <v>1790</v>
      </c>
      <c r="C1049" s="55" t="s">
        <v>160</v>
      </c>
      <c r="D1049" s="55" t="s">
        <v>178</v>
      </c>
      <c r="E1049" s="55" t="s">
        <v>210</v>
      </c>
      <c r="F1049" s="56" t="n">
        <v>59.9</v>
      </c>
      <c r="G1049" s="57" t="n">
        <f aca="false">MAX(0,IF(AND(Parameter!$B$21="Ja",ISNUMBER(W1049)),W1049,IF(Parameter!$B$20="Jahresanfang 2025 + Export",BJ1049+BI1049,BI1049)))</f>
        <v>0</v>
      </c>
      <c r="H1049" s="57" t="n">
        <f aca="false">G1049*F1049</f>
        <v>0</v>
      </c>
      <c r="I1049" s="57" t="n">
        <f aca="false">BL1049*Parameter!$B$18</f>
        <v>33</v>
      </c>
      <c r="J1049" s="58" t="n">
        <v>21</v>
      </c>
      <c r="K1049" s="59" t="n">
        <v>1.57142857142857</v>
      </c>
      <c r="L1049" s="57" t="n">
        <v>3</v>
      </c>
      <c r="M1049" s="57" t="n">
        <v>35</v>
      </c>
      <c r="N1049" s="60" t="n">
        <v>35</v>
      </c>
      <c r="O1049" s="55" t="s">
        <v>284</v>
      </c>
      <c r="P1049" s="57" t="n">
        <v>95</v>
      </c>
      <c r="Q1049" s="60" t="n">
        <f aca="false">IF(BR1049=1,0,IFERROR(VLOOKUP(BP1049,'Gebinde-Kategorie'!$A$5:$M$45,13,0)+0,0))</f>
        <v>12</v>
      </c>
      <c r="R1049" s="61"/>
      <c r="S1049" s="62"/>
      <c r="T1049" s="62"/>
      <c r="U1049" s="55"/>
      <c r="V1049" s="57"/>
      <c r="W1049" s="57"/>
      <c r="X1049" s="55" t="n">
        <f aca="false">IF(A1049="","",IF(AND(Parameter!$B$21="Ja",ISNUMBER(U1049)),U1049,IF(IFERROR(VLOOKUP(D1049,Parameter!$A$35:$C$64,2,0),"Nein")="2+3",IF(ISNUMBER(SEARCH("grosser Artikel",BM1049)),2,IFERROR(VLOOKUP(BP1049,Parameter!$F$35:$G$64,2,0),2)),IF(OR(IFERROR(VLOOKUP(D1049,Parameter!$A$35:$C$64,2,0),"Nein")="Nein",IFERROR(VLOOKUP(D1049,Parameter!$A$35:$C$64,2,0),"Nein")=""),"-",VLOOKUP(D1049,Parameter!$A$35:$C$64,2,0)))))</f>
        <v>2</v>
      </c>
      <c r="Y1049" s="62"/>
      <c r="Z1049" s="63"/>
      <c r="AA1049" s="57" t="n">
        <f aca="false">AP1049</f>
        <v>95</v>
      </c>
      <c r="AB1049" s="57" t="n">
        <f aca="false">MAX(AP1049,G1049)</f>
        <v>95</v>
      </c>
      <c r="AC1049" s="64"/>
      <c r="AD1049" s="57" t="n">
        <f aca="false">IF(LEFT(Cockpit!$C$5,1)="A",G1049,IF(BW1049=1,BX1049,IF(LEFT(Cockpit!$C$5,1)="B",AH1049,MAX(AH1049,G1049))))</f>
        <v>0</v>
      </c>
      <c r="AE1049" s="57" t="n">
        <f aca="false">IF(BR1049=1,0,ROUNDUP(AD1049/BQ1049,0))</f>
        <v>0</v>
      </c>
      <c r="AF1049" s="59" t="n">
        <f aca="false">IF(CD1049&gt;0,CD1049*MAX(1,AD1049/V1049),IF(BR1049=1,IF(AD1049&lt;=0,0,BS1049*MAX(1,IF(G1049&gt;0,AD1049/G1049,1))),IF(Q1049&gt;0,AE1049/Q1049,0))/MAX(0.1,N(Parameter!$M$21)))</f>
        <v>0</v>
      </c>
      <c r="AG1049" s="57" t="n">
        <f aca="false">AD1049*F1049</f>
        <v>0</v>
      </c>
      <c r="AH1049" s="57" t="n">
        <f aca="false">ROUNDUP(MAX(I1049/IF(BV1049&gt;0,BV1049,MAX(0.1,N(Cockpit!$C$6))),BY1049)/BQ1049,0)*BQ1049</f>
        <v>95</v>
      </c>
      <c r="AI1049" s="58" t="n">
        <f aca="false">IF(AF1049&gt;0,I1049/AF1049,-1)</f>
        <v>-1</v>
      </c>
      <c r="AJ1049" s="58" t="str">
        <f aca="false">IF(AND(OR(BU1049="L1",BU1049="L23"),AF1049&gt;0),SUMIFS($AF$7:$AF$1576,$BU$7:$BU$1576,BU1049,$AI$7:$AI$1576,"&gt;"&amp;AI1049)+SUMIFS($AF$7:$AF$1576,$BU$7:$BU$1576,BU1049,$AI$7:$AI$1576,AI1049,$BO$7:$BO$1576,"&lt;="&amp;BO1049),"")</f>
        <v/>
      </c>
      <c r="AK1049" s="65" t="n">
        <f aca="false">IF(AJ1049="",0,MAX(0,MIN(1,(IF(BU1049="L1",Parameter!$E$5,Parameter!$E$6+Parameter!$E$7)-(AJ1049-AF1049))/AF1049)))</f>
        <v>0</v>
      </c>
      <c r="AL1049" s="57" t="n">
        <f aca="false">IF(LEFT(Cockpit!$I$5,1)="A",G1049,IF(BW1049=1,BX1049,IF(LEFT(Cockpit!$I$5,1)="B",AP1049,MAX(AP1049,G1049))))</f>
        <v>95</v>
      </c>
      <c r="AM1049" s="57" t="n">
        <f aca="false">IF(BR1049=1,0,ROUNDUP(AL1049/BQ1049,0))</f>
        <v>1</v>
      </c>
      <c r="AN1049" s="59" t="n">
        <f aca="false">IF(CD1049&gt;0,CD1049*MAX(1,AL1049/V1049),IF(BR1049=1,IF(AL1049&lt;=0,0,BS1049*MAX(1,IF(G1049&gt;0,AL1049/G1049,1))),IF(Q1049&gt;0,AM1049/Q1049,0))/MAX(0.1,N(Parameter!$M$21)))</f>
        <v>0.0833333333333333</v>
      </c>
      <c r="AO1049" s="57" t="n">
        <f aca="false">AL1049*F1049</f>
        <v>5690.5</v>
      </c>
      <c r="AP1049" s="57" t="n">
        <f aca="false">ROUNDUP(MAX(I1049/IF(BV1049&gt;0,BV1049,MAX(0.1,N(Cockpit!$I$6))),BY1049)/BQ1049,0)*BQ1049</f>
        <v>95</v>
      </c>
      <c r="AQ1049" s="58" t="n">
        <f aca="false">IF(AN1049&gt;0,I1049/AN1049,-1)</f>
        <v>396</v>
      </c>
      <c r="AR1049" s="58" t="n">
        <f aca="false">IF(AND(OR(BU1049="L1",BU1049="L23"),AN1049&gt;0),SUMIFS($AN$7:$AN$1576,$BU$7:$BU$1576,BU1049,$AQ$7:$AQ$1576,"&gt;"&amp;AQ1049)+SUMIFS($AN$7:$AN$1576,$BU$7:$BU$1576,BU1049,$AQ$7:$AQ$1576,AQ1049,$BO$7:$BO$1576,"&lt;="&amp;BO1049),"")</f>
        <v>36.9632531360904</v>
      </c>
      <c r="AS1049" s="65" t="n">
        <f aca="false">IF(AR1049="",0,MAX(0,MIN(1,(IF(BU1049="L1",Parameter!$E$5,Parameter!$E$6+Parameter!$E$7)-(AR1049-AN1049))/AN1049)))</f>
        <v>1</v>
      </c>
      <c r="AT1049" s="57" t="n">
        <f aca="false">IF(LEFT(Cockpit!$O$5,1)="A",G1049,IF(BW1049=1,BX1049,IF(LEFT(Cockpit!$O$5,1)="B",AX1049,MAX(AX1049,G1049))))</f>
        <v>95</v>
      </c>
      <c r="AU1049" s="57" t="n">
        <f aca="false">IF(BR1049=1,0,ROUNDUP(AT1049/BQ1049,0))</f>
        <v>1</v>
      </c>
      <c r="AV1049" s="59" t="n">
        <f aca="false">IF(CD1049&gt;0,CD1049*MAX(1,AT1049/V1049),IF(BR1049=1,IF(AT1049&lt;=0,0,BS1049*MAX(1,IF(G1049&gt;0,AT1049/G1049,1))),IF(Q1049&gt;0,AU1049/Q1049,0))/MAX(0.1,N(Parameter!$M$21)))</f>
        <v>0.0833333333333333</v>
      </c>
      <c r="AW1049" s="57" t="n">
        <f aca="false">AT1049*F1049</f>
        <v>5690.5</v>
      </c>
      <c r="AX1049" s="57" t="n">
        <f aca="false">ROUNDUP(MAX(I1049/IF(BV1049&gt;0,BV1049,MAX(0.1,N(Cockpit!$O$6))),BY1049)/BQ1049,0)*BQ1049</f>
        <v>95</v>
      </c>
      <c r="AY1049" s="58" t="n">
        <f aca="false">IF(AV1049&gt;0,I1049/AV1049,-1)</f>
        <v>396</v>
      </c>
      <c r="AZ1049" s="58" t="n">
        <f aca="false">IF(AND(OR(BU1049="L1",BU1049="L23"),AV1049&gt;0),SUMIFS($AV$7:$AV$1576,$BU$7:$BU$1576,BU1049,$AY$7:$AY$1576,"&gt;"&amp;AY1049)+SUMIFS($AV$7:$AV$1576,$BU$7:$BU$1576,BU1049,$AY$7:$AY$1576,AY1049,$BO$7:$BO$1576,"&lt;="&amp;BO1049),"")</f>
        <v>36.1279983908356</v>
      </c>
      <c r="BA1049" s="65" t="n">
        <f aca="false">IF(AZ1049="",0,MAX(0,MIN(1,(IF(BU1049="L1",Parameter!$E$5,Parameter!$E$6+Parameter!$E$7)-(AZ1049-AV1049))/AV1049)))</f>
        <v>1</v>
      </c>
      <c r="BB1049" s="55" t="str">
        <f aca="false">IF(AF1049&lt;=0,"",IF(BU1049="Aussen","Aussenlager",IF(BU1049="-","Nicht im Lift",IF(AK1049&gt;=1,"Lift",IF(AK1049&lt;=0,"Aussenlager","teilweise")))))</f>
        <v/>
      </c>
      <c r="BC1049" s="55" t="str">
        <f aca="false">IF(AN1049&lt;=0,"",IF(BU1049="Aussen","Aussenlager",IF(BU1049="-","Nicht im Lift",IF(AS1049&gt;=1,"Lift",IF(AS1049&lt;=0,"Aussenlager","teilweise")))))</f>
        <v>Lift</v>
      </c>
      <c r="BD1049" s="55" t="str">
        <f aca="false">IF(AV1049&lt;=0,"",IF(BU1049="Aussen","Aussenlager",IF(BU1049="-","Nicht im Lift",IF(BA1049&gt;=1,"Lift",IF(BA1049&lt;=0,"Aussenlager","teilweise")))))</f>
        <v>Lift</v>
      </c>
      <c r="BE1049" s="55" t="str">
        <f aca="false">IF(A1049="","",IF(BN1049=1,"Neu; ","")&amp;IF(AND(BN1049=0,BI1049&lt;0),"negativer Bestand (Export "&amp;BI1049&amp;"); ","")&amp;IF(I1049&lt;=0,"Kein Verbrauch; ","")&amp;IF(CD1049&gt;0,"Lift "&amp;U1049&amp;" lt. Liftbericht (Fach "&amp;V1049&amp;" Stk); ",IF(BR1049=1,"Lose – Fläche geschätzt; ",""))&amp;IF(G1049&gt;AP1049,"Überbestand "&amp;ROUND(G1049-AP1049,0)&amp;" Stk / CHF "&amp;ROUND((G1049-AP1049)*F1049,0)&amp;"; ","")&amp;IF(AND(BW1049=1,BX1049&lt;BY1049),"MAX &lt; MB+LG; ","")&amp;IF(AND(CC1049&gt;0,CB1049*10&gt;CC1049),"zu hoch für Tablar; ","")&amp;IF(AND(BN1049=0,OR(BW1049=1,Y1049&lt;&gt;"",S1049&lt;&gt;"",T1049&lt;&gt;"",Z1049&lt;&gt;"")),"manuell übersteuert; ","")&amp;IF(AND(BR1049=0,Q1049=0),"Gebinde unbekannt / Stellmass fehlt; ","")&amp;IF(AND(BR1049=0,N(T1049)&lt;=0,N(P1049)&lt;=0),"Menge pro Gebinde fehlt (Ist = 1 Gebinde); ","")&amp;BM1049)</f>
        <v>negativer Bestand (Export -3); </v>
      </c>
      <c r="BF1049" s="55"/>
      <c r="BG1049" s="55"/>
      <c r="BH1049" s="62"/>
      <c r="BI1049" s="57" t="n">
        <v>-3</v>
      </c>
      <c r="BJ1049" s="57" t="n">
        <v>18</v>
      </c>
      <c r="BK1049" s="56" t="n">
        <v>-142.44</v>
      </c>
      <c r="BL1049" s="57" t="n">
        <v>33</v>
      </c>
      <c r="BM1049" s="55"/>
      <c r="BN1049" s="60" t="n">
        <v>0</v>
      </c>
      <c r="BO1049" s="60" t="n">
        <v>1049</v>
      </c>
      <c r="BP1049" s="55" t="str">
        <f aca="false">IF(S1049&lt;&gt;"",UPPER(TRIM(S1049)),IF(O1049="","LOSE",O1049))</f>
        <v>S62</v>
      </c>
      <c r="BQ1049" s="57" t="n">
        <f aca="false">IF(BP1049="LOSE",1,IF(N(T1049)&gt;0,T1049,IF(N(P1049)&gt;0,P1049,MAX(1,G1049))))</f>
        <v>95</v>
      </c>
      <c r="BR1049" s="60" t="n">
        <f aca="false">IF(BP1049="LOSE",1,0)</f>
        <v>0</v>
      </c>
      <c r="BS1049" s="59" t="n">
        <f aca="false">IF(BR1049=0,0,IF(N(R1049)&gt;0,R1049,IFERROR(VLOOKUP(D1049,Parameter!$A$35:$C$64,3,0)+0,0)))</f>
        <v>0</v>
      </c>
      <c r="BT1049" s="55" t="n">
        <f aca="false">IF(Y1049&lt;&gt;"",Y1049,X1049)</f>
        <v>2</v>
      </c>
      <c r="BU1049" s="55" t="str">
        <f aca="false">IF(BT1049=1,"L1",IF(OR(BT1049=2,BT1049=3),"L23",IF(BT1049="Aussen","Aussen","-")))</f>
        <v>L23</v>
      </c>
      <c r="BV1049" s="66" t="n">
        <f aca="false">IF(N(Z1049)&gt;0,Z1049,0)</f>
        <v>0</v>
      </c>
      <c r="BW1049" s="60" t="n">
        <f aca="false">IF(ISNUMBER(AC1049),1,0)</f>
        <v>0</v>
      </c>
      <c r="BX1049" s="57" t="n">
        <f aca="false">N(AC1049)</f>
        <v>0</v>
      </c>
      <c r="BY1049" s="57" t="n">
        <f aca="false">N(L1049)+N(M1049)</f>
        <v>38</v>
      </c>
      <c r="BZ1049" s="57" t="n">
        <f aca="false">ROUNDUP(G1049/BQ1049,0)</f>
        <v>0</v>
      </c>
      <c r="CA1049" s="57" t="n">
        <f aca="false">ROUNDUP(BX1049/BQ1049,0)</f>
        <v>0</v>
      </c>
      <c r="CB1049" s="60" t="n">
        <f aca="false">IF(BR1049=1,0,IFERROR(VLOOKUP(BP1049,'Gebinde-Kategorie'!$A$5:$M$45,5,0)+0,0))</f>
        <v>21</v>
      </c>
      <c r="CC1049" s="60" t="n">
        <f aca="false">IFERROR(IF(OR(BT1049=1,BT1049=2,BT1049=3),N(INDEX(Parameter!$I$5:$I$7,BT1049)),0),0)</f>
        <v>0</v>
      </c>
      <c r="CD1049" s="59" t="n">
        <f aca="false">IF(AND(Parameter!$B$21="Ja",ISNUMBER(U1049),N(V1049)&gt;0),IFERROR(N(INDEX(Parameter!$L$5:$L$7,U1049))*INDEX(Parameter!$E$5:$E$7,U1049)*V1049/SUMIFS($V$7:$V$1576,$U$7:$U$1576,U1049),0),0)</f>
        <v>0</v>
      </c>
    </row>
    <row r="1050" customFormat="false" ht="15" hidden="false" customHeight="false" outlineLevel="0" collapsed="false">
      <c r="A1050" s="55" t="s">
        <v>1910</v>
      </c>
      <c r="B1050" s="55" t="s">
        <v>358</v>
      </c>
      <c r="C1050" s="55" t="s">
        <v>446</v>
      </c>
      <c r="D1050" s="55" t="s">
        <v>178</v>
      </c>
      <c r="E1050" s="55" t="s">
        <v>210</v>
      </c>
      <c r="F1050" s="56" t="n">
        <v>14.31</v>
      </c>
      <c r="G1050" s="57" t="n">
        <f aca="false">MAX(0,IF(AND(Parameter!$B$21="Ja",ISNUMBER(W1050)),W1050,IF(Parameter!$B$20="Jahresanfang 2025 + Export",BJ1050+BI1050,BI1050)))</f>
        <v>0</v>
      </c>
      <c r="H1050" s="57" t="n">
        <f aca="false">G1050*F1050</f>
        <v>0</v>
      </c>
      <c r="I1050" s="57" t="n">
        <f aca="false">BL1050*Parameter!$B$18</f>
        <v>10</v>
      </c>
      <c r="J1050" s="58" t="n">
        <v>5</v>
      </c>
      <c r="K1050" s="59" t="n">
        <v>2</v>
      </c>
      <c r="L1050" s="57" t="n">
        <v>0</v>
      </c>
      <c r="M1050" s="57" t="n">
        <v>10</v>
      </c>
      <c r="N1050" s="60" t="n">
        <v>28</v>
      </c>
      <c r="O1050" s="55" t="s">
        <v>163</v>
      </c>
      <c r="P1050" s="57"/>
      <c r="Q1050" s="60" t="n">
        <f aca="false">IF(BR1050=1,0,IFERROR(VLOOKUP(BP1050,'Gebinde-Kategorie'!$A$5:$M$45,13,0)+0,0))</f>
        <v>0</v>
      </c>
      <c r="R1050" s="61"/>
      <c r="S1050" s="62"/>
      <c r="T1050" s="62"/>
      <c r="U1050" s="55"/>
      <c r="V1050" s="57"/>
      <c r="W1050" s="57"/>
      <c r="X1050" s="55" t="n">
        <f aca="false">IF(A1050="","",IF(AND(Parameter!$B$21="Ja",ISNUMBER(U1050)),U1050,IF(IFERROR(VLOOKUP(D1050,Parameter!$A$35:$C$64,2,0),"Nein")="2+3",IF(ISNUMBER(SEARCH("grosser Artikel",BM1050)),2,IFERROR(VLOOKUP(BP1050,Parameter!$F$35:$G$64,2,0),2)),IF(OR(IFERROR(VLOOKUP(D1050,Parameter!$A$35:$C$64,2,0),"Nein")="Nein",IFERROR(VLOOKUP(D1050,Parameter!$A$35:$C$64,2,0),"Nein")=""),"-",VLOOKUP(D1050,Parameter!$A$35:$C$64,2,0)))))</f>
        <v>2</v>
      </c>
      <c r="Y1050" s="62"/>
      <c r="Z1050" s="63"/>
      <c r="AA1050" s="57" t="n">
        <f aca="false">AP1050</f>
        <v>10</v>
      </c>
      <c r="AB1050" s="57" t="n">
        <f aca="false">MAX(AP1050,G1050)</f>
        <v>10</v>
      </c>
      <c r="AC1050" s="64"/>
      <c r="AD1050" s="57" t="n">
        <f aca="false">IF(LEFT(Cockpit!$C$5,1)="A",G1050,IF(BW1050=1,BX1050,IF(LEFT(Cockpit!$C$5,1)="B",AH1050,MAX(AH1050,G1050))))</f>
        <v>0</v>
      </c>
      <c r="AE1050" s="57" t="n">
        <f aca="false">IF(BR1050=1,0,ROUNDUP(AD1050/BQ1050,0))</f>
        <v>0</v>
      </c>
      <c r="AF1050" s="59" t="n">
        <f aca="false">IF(CD1050&gt;0,CD1050*MAX(1,AD1050/V1050),IF(BR1050=1,IF(AD1050&lt;=0,0,BS1050*MAX(1,IF(G1050&gt;0,AD1050/G1050,1))),IF(Q1050&gt;0,AE1050/Q1050,0))/MAX(0.1,N(Parameter!$M$21)))</f>
        <v>0</v>
      </c>
      <c r="AG1050" s="57" t="n">
        <f aca="false">AD1050*F1050</f>
        <v>0</v>
      </c>
      <c r="AH1050" s="57" t="n">
        <f aca="false">ROUNDUP(MAX(I1050/IF(BV1050&gt;0,BV1050,MAX(0.1,N(Cockpit!$C$6))),BY1050)/BQ1050,0)*BQ1050</f>
        <v>10</v>
      </c>
      <c r="AI1050" s="58" t="n">
        <f aca="false">IF(AF1050&gt;0,I1050/AF1050,-1)</f>
        <v>-1</v>
      </c>
      <c r="AJ1050" s="58" t="str">
        <f aca="false">IF(AND(OR(BU1050="L1",BU1050="L23"),AF1050&gt;0),SUMIFS($AF$7:$AF$1576,$BU$7:$BU$1576,BU1050,$AI$7:$AI$1576,"&gt;"&amp;AI1050)+SUMIFS($AF$7:$AF$1576,$BU$7:$BU$1576,BU1050,$AI$7:$AI$1576,AI1050,$BO$7:$BO$1576,"&lt;="&amp;BO1050),"")</f>
        <v/>
      </c>
      <c r="AK1050" s="65" t="n">
        <f aca="false">IF(AJ1050="",0,MAX(0,MIN(1,(IF(BU1050="L1",Parameter!$E$5,Parameter!$E$6+Parameter!$E$7)-(AJ1050-AF1050))/AF1050)))</f>
        <v>0</v>
      </c>
      <c r="AL1050" s="57" t="n">
        <f aca="false">IF(LEFT(Cockpit!$I$5,1)="A",G1050,IF(BW1050=1,BX1050,IF(LEFT(Cockpit!$I$5,1)="B",AP1050,MAX(AP1050,G1050))))</f>
        <v>10</v>
      </c>
      <c r="AM1050" s="57" t="n">
        <f aca="false">IF(BR1050=1,0,ROUNDUP(AL1050/BQ1050,0))</f>
        <v>0</v>
      </c>
      <c r="AN1050" s="59" t="n">
        <f aca="false">IF(CD1050&gt;0,CD1050*MAX(1,AL1050/V1050),IF(BR1050=1,IF(AL1050&lt;=0,0,BS1050*MAX(1,IF(G1050&gt;0,AL1050/G1050,1))),IF(Q1050&gt;0,AM1050/Q1050,0))/MAX(0.1,N(Parameter!$M$21)))</f>
        <v>0.03</v>
      </c>
      <c r="AO1050" s="57" t="n">
        <f aca="false">AL1050*F1050</f>
        <v>143.1</v>
      </c>
      <c r="AP1050" s="57" t="n">
        <f aca="false">ROUNDUP(MAX(I1050/IF(BV1050&gt;0,BV1050,MAX(0.1,N(Cockpit!$I$6))),BY1050)/BQ1050,0)*BQ1050</f>
        <v>10</v>
      </c>
      <c r="AQ1050" s="58" t="n">
        <f aca="false">IF(AN1050&gt;0,I1050/AN1050,-1)</f>
        <v>333.333333333333</v>
      </c>
      <c r="AR1050" s="58" t="n">
        <f aca="false">IF(AND(OR(BU1050="L1",BU1050="L23"),AN1050&gt;0),SUMIFS($AN$7:$AN$1576,$BU$7:$BU$1576,BU1050,$AQ$7:$AQ$1576,"&gt;"&amp;AQ1050)+SUMIFS($AN$7:$AN$1576,$BU$7:$BU$1576,BU1050,$AQ$7:$AQ$1576,AQ1050,$BO$7:$BO$1576,"&lt;="&amp;BO1050),"")</f>
        <v>41.6711086139459</v>
      </c>
      <c r="AS1050" s="65" t="n">
        <f aca="false">IF(AR1050="",0,MAX(0,MIN(1,(IF(BU1050="L1",Parameter!$E$5,Parameter!$E$6+Parameter!$E$7)-(AR1050-AN1050))/AN1050)))</f>
        <v>1</v>
      </c>
      <c r="AT1050" s="57" t="n">
        <f aca="false">IF(LEFT(Cockpit!$O$5,1)="A",G1050,IF(BW1050=1,BX1050,IF(LEFT(Cockpit!$O$5,1)="B",AX1050,MAX(AX1050,G1050))))</f>
        <v>10</v>
      </c>
      <c r="AU1050" s="57" t="n">
        <f aca="false">IF(BR1050=1,0,ROUNDUP(AT1050/BQ1050,0))</f>
        <v>0</v>
      </c>
      <c r="AV1050" s="59" t="n">
        <f aca="false">IF(CD1050&gt;0,CD1050*MAX(1,AT1050/V1050),IF(BR1050=1,IF(AT1050&lt;=0,0,BS1050*MAX(1,IF(G1050&gt;0,AT1050/G1050,1))),IF(Q1050&gt;0,AU1050/Q1050,0))/MAX(0.1,N(Parameter!$M$21)))</f>
        <v>0.03</v>
      </c>
      <c r="AW1050" s="57" t="n">
        <f aca="false">AT1050*F1050</f>
        <v>143.1</v>
      </c>
      <c r="AX1050" s="57" t="n">
        <f aca="false">ROUNDUP(MAX(I1050/IF(BV1050&gt;0,BV1050,MAX(0.1,N(Cockpit!$O$6))),BY1050)/BQ1050,0)*BQ1050</f>
        <v>10</v>
      </c>
      <c r="AY1050" s="58" t="n">
        <f aca="false">IF(AV1050&gt;0,I1050/AV1050,-1)</f>
        <v>333.333333333333</v>
      </c>
      <c r="AZ1050" s="58" t="n">
        <f aca="false">IF(AND(OR(BU1050="L1",BU1050="L23"),AV1050&gt;0),SUMIFS($AV$7:$AV$1576,$BU$7:$BU$1576,BU1050,$AY$7:$AY$1576,"&gt;"&amp;AY1050)+SUMIFS($AV$7:$AV$1576,$BU$7:$BU$1576,BU1050,$AY$7:$AY$1576,AY1050,$BO$7:$BO$1576,"&lt;="&amp;BO1050),"")</f>
        <v>38.4191872020244</v>
      </c>
      <c r="BA1050" s="65" t="n">
        <f aca="false">IF(AZ1050="",0,MAX(0,MIN(1,(IF(BU1050="L1",Parameter!$E$5,Parameter!$E$6+Parameter!$E$7)-(AZ1050-AV1050))/AV1050)))</f>
        <v>1</v>
      </c>
      <c r="BB1050" s="55" t="str">
        <f aca="false">IF(AF1050&lt;=0,"",IF(BU1050="Aussen","Aussenlager",IF(BU1050="-","Nicht im Lift",IF(AK1050&gt;=1,"Lift",IF(AK1050&lt;=0,"Aussenlager","teilweise")))))</f>
        <v/>
      </c>
      <c r="BC1050" s="55" t="str">
        <f aca="false">IF(AN1050&lt;=0,"",IF(BU1050="Aussen","Aussenlager",IF(BU1050="-","Nicht im Lift",IF(AS1050&gt;=1,"Lift",IF(AS1050&lt;=0,"Aussenlager","teilweise")))))</f>
        <v>Lift</v>
      </c>
      <c r="BD1050" s="55" t="str">
        <f aca="false">IF(AV1050&lt;=0,"",IF(BU1050="Aussen","Aussenlager",IF(BU1050="-","Nicht im Lift",IF(BA1050&gt;=1,"Lift",IF(BA1050&lt;=0,"Aussenlager","teilweise")))))</f>
        <v>Lift</v>
      </c>
      <c r="BE1050" s="55" t="str">
        <f aca="false">IF(A1050="","",IF(BN1050=1,"Neu; ","")&amp;IF(AND(BN1050=0,BI1050&lt;0),"negativer Bestand (Export "&amp;BI1050&amp;"); ","")&amp;IF(I1050&lt;=0,"Kein Verbrauch; ","")&amp;IF(CD1050&gt;0,"Lift "&amp;U1050&amp;" lt. Liftbericht (Fach "&amp;V1050&amp;" Stk); ",IF(BR1050=1,"Lose – Fläche geschätzt; ",""))&amp;IF(G1050&gt;AP1050,"Überbestand "&amp;ROUND(G1050-AP1050,0)&amp;" Stk / CHF "&amp;ROUND((G1050-AP1050)*F1050,0)&amp;"; ","")&amp;IF(AND(BW1050=1,BX1050&lt;BY1050),"MAX &lt; MB+LG; ","")&amp;IF(AND(CC1050&gt;0,CB1050*10&gt;CC1050),"zu hoch für Tablar; ","")&amp;IF(AND(BN1050=0,OR(BW1050=1,Y1050&lt;&gt;"",S1050&lt;&gt;"",T1050&lt;&gt;"",Z1050&lt;&gt;"")),"manuell übersteuert; ","")&amp;IF(AND(BR1050=0,Q1050=0),"Gebinde unbekannt / Stellmass fehlt; ","")&amp;IF(AND(BR1050=0,N(T1050)&lt;=0,N(P1050)&lt;=0),"Menge pro Gebinde fehlt (Ist = 1 Gebinde); ","")&amp;BM1050)</f>
        <v>negativer Bestand (Export -10); Lose – Fläche geschätzt; </v>
      </c>
      <c r="BF1050" s="55"/>
      <c r="BG1050" s="55"/>
      <c r="BH1050" s="62"/>
      <c r="BI1050" s="57" t="n">
        <v>-10</v>
      </c>
      <c r="BJ1050" s="57" t="n">
        <v>10</v>
      </c>
      <c r="BK1050" s="56" t="n">
        <v>-143.1</v>
      </c>
      <c r="BL1050" s="57" t="n">
        <v>10</v>
      </c>
      <c r="BM1050" s="55"/>
      <c r="BN1050" s="60" t="n">
        <v>0</v>
      </c>
      <c r="BO1050" s="60" t="n">
        <v>1050</v>
      </c>
      <c r="BP1050" s="55" t="str">
        <f aca="false">IF(S1050&lt;&gt;"",UPPER(TRIM(S1050)),IF(O1050="","LOSE",O1050))</f>
        <v>LOSE</v>
      </c>
      <c r="BQ1050" s="57" t="n">
        <f aca="false">IF(BP1050="LOSE",1,IF(N(T1050)&gt;0,T1050,IF(N(P1050)&gt;0,P1050,MAX(1,G1050))))</f>
        <v>1</v>
      </c>
      <c r="BR1050" s="60" t="n">
        <f aca="false">IF(BP1050="LOSE",1,0)</f>
        <v>1</v>
      </c>
      <c r="BS1050" s="59" t="n">
        <f aca="false">IF(BR1050=0,0,IF(N(R1050)&gt;0,R1050,IFERROR(VLOOKUP(D1050,Parameter!$A$35:$C$64,3,0)+0,0)))</f>
        <v>0.03</v>
      </c>
      <c r="BT1050" s="55" t="n">
        <f aca="false">IF(Y1050&lt;&gt;"",Y1050,X1050)</f>
        <v>2</v>
      </c>
      <c r="BU1050" s="55" t="str">
        <f aca="false">IF(BT1050=1,"L1",IF(OR(BT1050=2,BT1050=3),"L23",IF(BT1050="Aussen","Aussen","-")))</f>
        <v>L23</v>
      </c>
      <c r="BV1050" s="66" t="n">
        <f aca="false">IF(N(Z1050)&gt;0,Z1050,0)</f>
        <v>0</v>
      </c>
      <c r="BW1050" s="60" t="n">
        <f aca="false">IF(ISNUMBER(AC1050),1,0)</f>
        <v>0</v>
      </c>
      <c r="BX1050" s="57" t="n">
        <f aca="false">N(AC1050)</f>
        <v>0</v>
      </c>
      <c r="BY1050" s="57" t="n">
        <f aca="false">N(L1050)+N(M1050)</f>
        <v>10</v>
      </c>
      <c r="BZ1050" s="57" t="n">
        <f aca="false">ROUNDUP(G1050/BQ1050,0)</f>
        <v>0</v>
      </c>
      <c r="CA1050" s="57" t="n">
        <f aca="false">ROUNDUP(BX1050/BQ1050,0)</f>
        <v>0</v>
      </c>
      <c r="CB1050" s="60" t="n">
        <f aca="false">IF(BR1050=1,0,IFERROR(VLOOKUP(BP1050,'Gebinde-Kategorie'!$A$5:$M$45,5,0)+0,0))</f>
        <v>0</v>
      </c>
      <c r="CC1050" s="60" t="n">
        <f aca="false">IFERROR(IF(OR(BT1050=1,BT1050=2,BT1050=3),N(INDEX(Parameter!$I$5:$I$7,BT1050)),0),0)</f>
        <v>0</v>
      </c>
      <c r="CD1050" s="59" t="n">
        <f aca="false">IF(AND(Parameter!$B$21="Ja",ISNUMBER(U1050),N(V1050)&gt;0),IFERROR(N(INDEX(Parameter!$L$5:$L$7,U1050))*INDEX(Parameter!$E$5:$E$7,U1050)*V1050/SUMIFS($V$7:$V$1576,$U$7:$U$1576,U1050),0),0)</f>
        <v>0</v>
      </c>
    </row>
    <row r="1051" customFormat="false" ht="15" hidden="false" customHeight="false" outlineLevel="0" collapsed="false">
      <c r="A1051" s="55" t="s">
        <v>1911</v>
      </c>
      <c r="B1051" s="55" t="s">
        <v>744</v>
      </c>
      <c r="C1051" s="55" t="s">
        <v>160</v>
      </c>
      <c r="D1051" s="55" t="s">
        <v>178</v>
      </c>
      <c r="E1051" s="55" t="s">
        <v>210</v>
      </c>
      <c r="F1051" s="56" t="n">
        <v>144.89</v>
      </c>
      <c r="G1051" s="57" t="n">
        <f aca="false">MAX(0,IF(AND(Parameter!$B$21="Ja",ISNUMBER(W1051)),W1051,IF(Parameter!$B$20="Jahresanfang 2025 + Export",BJ1051+BI1051,BI1051)))</f>
        <v>0</v>
      </c>
      <c r="H1051" s="57" t="n">
        <f aca="false">G1051*F1051</f>
        <v>0</v>
      </c>
      <c r="I1051" s="57" t="n">
        <f aca="false">BL1051*Parameter!$B$18</f>
        <v>0</v>
      </c>
      <c r="J1051" s="58" t="n">
        <v>9</v>
      </c>
      <c r="K1051" s="59" t="n">
        <v>0</v>
      </c>
      <c r="L1051" s="57" t="n">
        <v>0</v>
      </c>
      <c r="M1051" s="57" t="n">
        <v>1</v>
      </c>
      <c r="N1051" s="60" t="n">
        <v>35</v>
      </c>
      <c r="O1051" s="55" t="s">
        <v>416</v>
      </c>
      <c r="P1051" s="57" t="n">
        <v>9</v>
      </c>
      <c r="Q1051" s="60" t="n">
        <f aca="false">IF(BR1051=1,0,IFERROR(VLOOKUP(BP1051,'Gebinde-Kategorie'!$A$5:$M$45,13,0)+0,0))</f>
        <v>198</v>
      </c>
      <c r="R1051" s="61"/>
      <c r="S1051" s="62"/>
      <c r="T1051" s="62"/>
      <c r="U1051" s="55"/>
      <c r="V1051" s="57"/>
      <c r="W1051" s="57"/>
      <c r="X1051" s="55" t="n">
        <f aca="false">IF(A1051="","",IF(AND(Parameter!$B$21="Ja",ISNUMBER(U1051)),U1051,IF(IFERROR(VLOOKUP(D1051,Parameter!$A$35:$C$64,2,0),"Nein")="2+3",IF(ISNUMBER(SEARCH("grosser Artikel",BM1051)),2,IFERROR(VLOOKUP(BP1051,Parameter!$F$35:$G$64,2,0),2)),IF(OR(IFERROR(VLOOKUP(D1051,Parameter!$A$35:$C$64,2,0),"Nein")="Nein",IFERROR(VLOOKUP(D1051,Parameter!$A$35:$C$64,2,0),"Nein")=""),"-",VLOOKUP(D1051,Parameter!$A$35:$C$64,2,0)))))</f>
        <v>3</v>
      </c>
      <c r="Y1051" s="62"/>
      <c r="Z1051" s="63"/>
      <c r="AA1051" s="57" t="n">
        <f aca="false">AP1051</f>
        <v>9</v>
      </c>
      <c r="AB1051" s="57" t="n">
        <f aca="false">MAX(AP1051,G1051)</f>
        <v>9</v>
      </c>
      <c r="AC1051" s="64"/>
      <c r="AD1051" s="57" t="n">
        <f aca="false">IF(LEFT(Cockpit!$C$5,1)="A",G1051,IF(BW1051=1,BX1051,IF(LEFT(Cockpit!$C$5,1)="B",AH1051,MAX(AH1051,G1051))))</f>
        <v>0</v>
      </c>
      <c r="AE1051" s="57" t="n">
        <f aca="false">IF(BR1051=1,0,ROUNDUP(AD1051/BQ1051,0))</f>
        <v>0</v>
      </c>
      <c r="AF1051" s="59" t="n">
        <f aca="false">IF(CD1051&gt;0,CD1051*MAX(1,AD1051/V1051),IF(BR1051=1,IF(AD1051&lt;=0,0,BS1051*MAX(1,IF(G1051&gt;0,AD1051/G1051,1))),IF(Q1051&gt;0,AE1051/Q1051,0))/MAX(0.1,N(Parameter!$M$21)))</f>
        <v>0</v>
      </c>
      <c r="AG1051" s="57" t="n">
        <f aca="false">AD1051*F1051</f>
        <v>0</v>
      </c>
      <c r="AH1051" s="57" t="n">
        <f aca="false">ROUNDUP(MAX(I1051/IF(BV1051&gt;0,BV1051,MAX(0.1,N(Cockpit!$C$6))),BY1051)/BQ1051,0)*BQ1051</f>
        <v>9</v>
      </c>
      <c r="AI1051" s="58" t="n">
        <f aca="false">IF(AF1051&gt;0,I1051/AF1051,-1)</f>
        <v>-1</v>
      </c>
      <c r="AJ1051" s="58" t="str">
        <f aca="false">IF(AND(OR(BU1051="L1",BU1051="L23"),AF1051&gt;0),SUMIFS($AF$7:$AF$1576,$BU$7:$BU$1576,BU1051,$AI$7:$AI$1576,"&gt;"&amp;AI1051)+SUMIFS($AF$7:$AF$1576,$BU$7:$BU$1576,BU1051,$AI$7:$AI$1576,AI1051,$BO$7:$BO$1576,"&lt;="&amp;BO1051),"")</f>
        <v/>
      </c>
      <c r="AK1051" s="65" t="n">
        <f aca="false">IF(AJ1051="",0,MAX(0,MIN(1,(IF(BU1051="L1",Parameter!$E$5,Parameter!$E$6+Parameter!$E$7)-(AJ1051-AF1051))/AF1051)))</f>
        <v>0</v>
      </c>
      <c r="AL1051" s="57" t="n">
        <f aca="false">IF(LEFT(Cockpit!$I$5,1)="A",G1051,IF(BW1051=1,BX1051,IF(LEFT(Cockpit!$I$5,1)="B",AP1051,MAX(AP1051,G1051))))</f>
        <v>9</v>
      </c>
      <c r="AM1051" s="57" t="n">
        <f aca="false">IF(BR1051=1,0,ROUNDUP(AL1051/BQ1051,0))</f>
        <v>1</v>
      </c>
      <c r="AN1051" s="59" t="n">
        <f aca="false">IF(CD1051&gt;0,CD1051*MAX(1,AL1051/V1051),IF(BR1051=1,IF(AL1051&lt;=0,0,BS1051*MAX(1,IF(G1051&gt;0,AL1051/G1051,1))),IF(Q1051&gt;0,AM1051/Q1051,0))/MAX(0.1,N(Parameter!$M$21)))</f>
        <v>0.00505050505050505</v>
      </c>
      <c r="AO1051" s="57" t="n">
        <f aca="false">AL1051*F1051</f>
        <v>1304.01</v>
      </c>
      <c r="AP1051" s="57" t="n">
        <f aca="false">ROUNDUP(MAX(I1051/IF(BV1051&gt;0,BV1051,MAX(0.1,N(Cockpit!$I$6))),BY1051)/BQ1051,0)*BQ1051</f>
        <v>9</v>
      </c>
      <c r="AQ1051" s="58" t="n">
        <f aca="false">IF(AN1051&gt;0,I1051/AN1051,-1)</f>
        <v>0</v>
      </c>
      <c r="AR1051" s="58" t="n">
        <f aca="false">IF(AND(OR(BU1051="L1",BU1051="L23"),AN1051&gt;0),SUMIFS($AN$7:$AN$1576,$BU$7:$BU$1576,BU1051,$AQ$7:$AQ$1576,"&gt;"&amp;AQ1051)+SUMIFS($AN$7:$AN$1576,$BU$7:$BU$1576,BU1051,$AQ$7:$AQ$1576,AQ1051,$BO$7:$BO$1576,"&lt;="&amp;BO1051),"")</f>
        <v>133.175746837751</v>
      </c>
      <c r="AS1051" s="65" t="n">
        <f aca="false">IF(AR1051="",0,MAX(0,MIN(1,(IF(BU1051="L1",Parameter!$E$5,Parameter!$E$6+Parameter!$E$7)-(AR1051-AN1051))/AN1051)))</f>
        <v>0</v>
      </c>
      <c r="AT1051" s="57" t="n">
        <f aca="false">IF(LEFT(Cockpit!$O$5,1)="A",G1051,IF(BW1051=1,BX1051,IF(LEFT(Cockpit!$O$5,1)="B",AX1051,MAX(AX1051,G1051))))</f>
        <v>9</v>
      </c>
      <c r="AU1051" s="57" t="n">
        <f aca="false">IF(BR1051=1,0,ROUNDUP(AT1051/BQ1051,0))</f>
        <v>1</v>
      </c>
      <c r="AV1051" s="59" t="n">
        <f aca="false">IF(CD1051&gt;0,CD1051*MAX(1,AT1051/V1051),IF(BR1051=1,IF(AT1051&lt;=0,0,BS1051*MAX(1,IF(G1051&gt;0,AT1051/G1051,1))),IF(Q1051&gt;0,AU1051/Q1051,0))/MAX(0.1,N(Parameter!$M$21)))</f>
        <v>0.00505050505050505</v>
      </c>
      <c r="AW1051" s="57" t="n">
        <f aca="false">AT1051*F1051</f>
        <v>1304.01</v>
      </c>
      <c r="AX1051" s="57" t="n">
        <f aca="false">ROUNDUP(MAX(I1051/IF(BV1051&gt;0,BV1051,MAX(0.1,N(Cockpit!$O$6))),BY1051)/BQ1051,0)*BQ1051</f>
        <v>9</v>
      </c>
      <c r="AY1051" s="58" t="n">
        <f aca="false">IF(AV1051&gt;0,I1051/AV1051,-1)</f>
        <v>0</v>
      </c>
      <c r="AZ1051" s="58" t="n">
        <f aca="false">IF(AND(OR(BU1051="L1",BU1051="L23"),AV1051&gt;0),SUMIFS($AV$7:$AV$1576,$BU$7:$BU$1576,BU1051,$AY$7:$AY$1576,"&gt;"&amp;AY1051)+SUMIFS($AV$7:$AV$1576,$BU$7:$BU$1576,BU1051,$AY$7:$AY$1576,AY1051,$BO$7:$BO$1576,"&lt;="&amp;BO1051),"")</f>
        <v>123.235297287301</v>
      </c>
      <c r="BA1051" s="65" t="n">
        <f aca="false">IF(AZ1051="",0,MAX(0,MIN(1,(IF(BU1051="L1",Parameter!$E$5,Parameter!$E$6+Parameter!$E$7)-(AZ1051-AV1051))/AV1051)))</f>
        <v>0</v>
      </c>
      <c r="BB1051" s="55" t="str">
        <f aca="false">IF(AF1051&lt;=0,"",IF(BU1051="Aussen","Aussenlager",IF(BU1051="-","Nicht im Lift",IF(AK1051&gt;=1,"Lift",IF(AK1051&lt;=0,"Aussenlager","teilweise")))))</f>
        <v/>
      </c>
      <c r="BC1051" s="55" t="str">
        <f aca="false">IF(AN1051&lt;=0,"",IF(BU1051="Aussen","Aussenlager",IF(BU1051="-","Nicht im Lift",IF(AS1051&gt;=1,"Lift",IF(AS1051&lt;=0,"Aussenlager","teilweise")))))</f>
        <v>Aussenlager</v>
      </c>
      <c r="BD1051" s="55" t="str">
        <f aca="false">IF(AV1051&lt;=0,"",IF(BU1051="Aussen","Aussenlager",IF(BU1051="-","Nicht im Lift",IF(BA1051&gt;=1,"Lift",IF(BA1051&lt;=0,"Aussenlager","teilweise")))))</f>
        <v>Aussenlager</v>
      </c>
      <c r="BE1051" s="55" t="str">
        <f aca="false">IF(A1051="","",IF(BN1051=1,"Neu; ","")&amp;IF(AND(BN1051=0,BI1051&lt;0),"negativer Bestand (Export "&amp;BI1051&amp;"); ","")&amp;IF(I1051&lt;=0,"Kein Verbrauch; ","")&amp;IF(CD1051&gt;0,"Lift "&amp;U1051&amp;" lt. Liftbericht (Fach "&amp;V1051&amp;" Stk); ",IF(BR1051=1,"Lose – Fläche geschätzt; ",""))&amp;IF(G1051&gt;AP1051,"Überbestand "&amp;ROUND(G1051-AP1051,0)&amp;" Stk / CHF "&amp;ROUND((G1051-AP1051)*F1051,0)&amp;"; ","")&amp;IF(AND(BW1051=1,BX1051&lt;BY1051),"MAX &lt; MB+LG; ","")&amp;IF(AND(CC1051&gt;0,CB1051*10&gt;CC1051),"zu hoch für Tablar; ","")&amp;IF(AND(BN1051=0,OR(BW1051=1,Y1051&lt;&gt;"",S1051&lt;&gt;"",T1051&lt;&gt;"",Z1051&lt;&gt;"")),"manuell übersteuert; ","")&amp;IF(AND(BR1051=0,Q1051=0),"Gebinde unbekannt / Stellmass fehlt; ","")&amp;IF(AND(BR1051=0,N(T1051)&lt;=0,N(P1051)&lt;=0),"Menge pro Gebinde fehlt (Ist = 1 Gebinde); ","")&amp;BM1051)</f>
        <v>negativer Bestand (Export -1); Kein Verbrauch; </v>
      </c>
      <c r="BF1051" s="55"/>
      <c r="BG1051" s="55"/>
      <c r="BH1051" s="62"/>
      <c r="BI1051" s="57" t="n">
        <v>-1</v>
      </c>
      <c r="BJ1051" s="57" t="n">
        <v>9</v>
      </c>
      <c r="BK1051" s="56" t="n">
        <v>-144.89</v>
      </c>
      <c r="BL1051" s="57" t="n">
        <v>0</v>
      </c>
      <c r="BM1051" s="55"/>
      <c r="BN1051" s="60" t="n">
        <v>0</v>
      </c>
      <c r="BO1051" s="60" t="n">
        <v>1051</v>
      </c>
      <c r="BP1051" s="55" t="str">
        <f aca="false">IF(S1051&lt;&gt;"",UPPER(TRIM(S1051)),IF(O1051="","LOSE",O1051))</f>
        <v>S22</v>
      </c>
      <c r="BQ1051" s="57" t="n">
        <f aca="false">IF(BP1051="LOSE",1,IF(N(T1051)&gt;0,T1051,IF(N(P1051)&gt;0,P1051,MAX(1,G1051))))</f>
        <v>9</v>
      </c>
      <c r="BR1051" s="60" t="n">
        <f aca="false">IF(BP1051="LOSE",1,0)</f>
        <v>0</v>
      </c>
      <c r="BS1051" s="59" t="n">
        <f aca="false">IF(BR1051=0,0,IF(N(R1051)&gt;0,R1051,IFERROR(VLOOKUP(D1051,Parameter!$A$35:$C$64,3,0)+0,0)))</f>
        <v>0</v>
      </c>
      <c r="BT1051" s="55" t="n">
        <f aca="false">IF(Y1051&lt;&gt;"",Y1051,X1051)</f>
        <v>3</v>
      </c>
      <c r="BU1051" s="55" t="str">
        <f aca="false">IF(BT1051=1,"L1",IF(OR(BT1051=2,BT1051=3),"L23",IF(BT1051="Aussen","Aussen","-")))</f>
        <v>L23</v>
      </c>
      <c r="BV1051" s="66" t="n">
        <f aca="false">IF(N(Z1051)&gt;0,Z1051,0)</f>
        <v>0</v>
      </c>
      <c r="BW1051" s="60" t="n">
        <f aca="false">IF(ISNUMBER(AC1051),1,0)</f>
        <v>0</v>
      </c>
      <c r="BX1051" s="57" t="n">
        <f aca="false">N(AC1051)</f>
        <v>0</v>
      </c>
      <c r="BY1051" s="57" t="n">
        <f aca="false">N(L1051)+N(M1051)</f>
        <v>1</v>
      </c>
      <c r="BZ1051" s="57" t="n">
        <f aca="false">ROUNDUP(G1051/BQ1051,0)</f>
        <v>0</v>
      </c>
      <c r="CA1051" s="57" t="n">
        <f aca="false">ROUNDUP(BX1051/BQ1051,0)</f>
        <v>0</v>
      </c>
      <c r="CB1051" s="60" t="n">
        <f aca="false">IF(BR1051=1,0,IFERROR(VLOOKUP(BP1051,'Gebinde-Kategorie'!$A$5:$M$45,5,0)+0,0))</f>
        <v>8</v>
      </c>
      <c r="CC1051" s="60" t="n">
        <f aca="false">IFERROR(IF(OR(BT1051=1,BT1051=2,BT1051=3),N(INDEX(Parameter!$I$5:$I$7,BT1051)),0),0)</f>
        <v>0</v>
      </c>
      <c r="CD1051" s="59" t="n">
        <f aca="false">IF(AND(Parameter!$B$21="Ja",ISNUMBER(U1051),N(V1051)&gt;0),IFERROR(N(INDEX(Parameter!$L$5:$L$7,U1051))*INDEX(Parameter!$E$5:$E$7,U1051)*V1051/SUMIFS($V$7:$V$1576,$U$7:$U$1576,U1051),0),0)</f>
        <v>0</v>
      </c>
    </row>
    <row r="1052" customFormat="false" ht="15" hidden="false" customHeight="false" outlineLevel="0" collapsed="false">
      <c r="A1052" s="55" t="s">
        <v>1912</v>
      </c>
      <c r="B1052" s="55" t="s">
        <v>1855</v>
      </c>
      <c r="C1052" s="55" t="s">
        <v>160</v>
      </c>
      <c r="D1052" s="55" t="s">
        <v>178</v>
      </c>
      <c r="E1052" s="55" t="s">
        <v>210</v>
      </c>
      <c r="F1052" s="56" t="n">
        <v>145.85</v>
      </c>
      <c r="G1052" s="57" t="n">
        <f aca="false">MAX(0,IF(AND(Parameter!$B$21="Ja",ISNUMBER(W1052)),W1052,IF(Parameter!$B$20="Jahresanfang 2025 + Export",BJ1052+BI1052,BI1052)))</f>
        <v>0</v>
      </c>
      <c r="H1052" s="57" t="n">
        <f aca="false">G1052*F1052</f>
        <v>0</v>
      </c>
      <c r="I1052" s="57" t="n">
        <f aca="false">BL1052*Parameter!$B$18</f>
        <v>0</v>
      </c>
      <c r="J1052" s="58" t="n">
        <v>9</v>
      </c>
      <c r="K1052" s="59" t="n">
        <v>0</v>
      </c>
      <c r="L1052" s="57" t="n">
        <v>0</v>
      </c>
      <c r="M1052" s="57" t="n">
        <v>1</v>
      </c>
      <c r="N1052" s="60" t="n">
        <v>42</v>
      </c>
      <c r="O1052" s="55" t="s">
        <v>293</v>
      </c>
      <c r="P1052" s="57" t="n">
        <v>3</v>
      </c>
      <c r="Q1052" s="60" t="n">
        <f aca="false">IF(BR1052=1,0,IFERROR(VLOOKUP(BP1052,'Gebinde-Kategorie'!$A$5:$M$45,13,0)+0,0))</f>
        <v>26</v>
      </c>
      <c r="R1052" s="61"/>
      <c r="S1052" s="62"/>
      <c r="T1052" s="62"/>
      <c r="U1052" s="55"/>
      <c r="V1052" s="57"/>
      <c r="W1052" s="57"/>
      <c r="X1052" s="55" t="n">
        <f aca="false">IF(A1052="","",IF(AND(Parameter!$B$21="Ja",ISNUMBER(U1052)),U1052,IF(IFERROR(VLOOKUP(D1052,Parameter!$A$35:$C$64,2,0),"Nein")="2+3",IF(ISNUMBER(SEARCH("grosser Artikel",BM1052)),2,IFERROR(VLOOKUP(BP1052,Parameter!$F$35:$G$64,2,0),2)),IF(OR(IFERROR(VLOOKUP(D1052,Parameter!$A$35:$C$64,2,0),"Nein")="Nein",IFERROR(VLOOKUP(D1052,Parameter!$A$35:$C$64,2,0),"Nein")=""),"-",VLOOKUP(D1052,Parameter!$A$35:$C$64,2,0)))))</f>
        <v>3</v>
      </c>
      <c r="Y1052" s="62"/>
      <c r="Z1052" s="63"/>
      <c r="AA1052" s="57" t="n">
        <f aca="false">AP1052</f>
        <v>3</v>
      </c>
      <c r="AB1052" s="57" t="n">
        <f aca="false">MAX(AP1052,G1052)</f>
        <v>3</v>
      </c>
      <c r="AC1052" s="64"/>
      <c r="AD1052" s="57" t="n">
        <f aca="false">IF(LEFT(Cockpit!$C$5,1)="A",G1052,IF(BW1052=1,BX1052,IF(LEFT(Cockpit!$C$5,1)="B",AH1052,MAX(AH1052,G1052))))</f>
        <v>0</v>
      </c>
      <c r="AE1052" s="57" t="n">
        <f aca="false">IF(BR1052=1,0,ROUNDUP(AD1052/BQ1052,0))</f>
        <v>0</v>
      </c>
      <c r="AF1052" s="59" t="n">
        <f aca="false">IF(CD1052&gt;0,CD1052*MAX(1,AD1052/V1052),IF(BR1052=1,IF(AD1052&lt;=0,0,BS1052*MAX(1,IF(G1052&gt;0,AD1052/G1052,1))),IF(Q1052&gt;0,AE1052/Q1052,0))/MAX(0.1,N(Parameter!$M$21)))</f>
        <v>0</v>
      </c>
      <c r="AG1052" s="57" t="n">
        <f aca="false">AD1052*F1052</f>
        <v>0</v>
      </c>
      <c r="AH1052" s="57" t="n">
        <f aca="false">ROUNDUP(MAX(I1052/IF(BV1052&gt;0,BV1052,MAX(0.1,N(Cockpit!$C$6))),BY1052)/BQ1052,0)*BQ1052</f>
        <v>3</v>
      </c>
      <c r="AI1052" s="58" t="n">
        <f aca="false">IF(AF1052&gt;0,I1052/AF1052,-1)</f>
        <v>-1</v>
      </c>
      <c r="AJ1052" s="58" t="str">
        <f aca="false">IF(AND(OR(BU1052="L1",BU1052="L23"),AF1052&gt;0),SUMIFS($AF$7:$AF$1576,$BU$7:$BU$1576,BU1052,$AI$7:$AI$1576,"&gt;"&amp;AI1052)+SUMIFS($AF$7:$AF$1576,$BU$7:$BU$1576,BU1052,$AI$7:$AI$1576,AI1052,$BO$7:$BO$1576,"&lt;="&amp;BO1052),"")</f>
        <v/>
      </c>
      <c r="AK1052" s="65" t="n">
        <f aca="false">IF(AJ1052="",0,MAX(0,MIN(1,(IF(BU1052="L1",Parameter!$E$5,Parameter!$E$6+Parameter!$E$7)-(AJ1052-AF1052))/AF1052)))</f>
        <v>0</v>
      </c>
      <c r="AL1052" s="57" t="n">
        <f aca="false">IF(LEFT(Cockpit!$I$5,1)="A",G1052,IF(BW1052=1,BX1052,IF(LEFT(Cockpit!$I$5,1)="B",AP1052,MAX(AP1052,G1052))))</f>
        <v>3</v>
      </c>
      <c r="AM1052" s="57" t="n">
        <f aca="false">IF(BR1052=1,0,ROUNDUP(AL1052/BQ1052,0))</f>
        <v>1</v>
      </c>
      <c r="AN1052" s="59" t="n">
        <f aca="false">IF(CD1052&gt;0,CD1052*MAX(1,AL1052/V1052),IF(BR1052=1,IF(AL1052&lt;=0,0,BS1052*MAX(1,IF(G1052&gt;0,AL1052/G1052,1))),IF(Q1052&gt;0,AM1052/Q1052,0))/MAX(0.1,N(Parameter!$M$21)))</f>
        <v>0.0384615384615385</v>
      </c>
      <c r="AO1052" s="57" t="n">
        <f aca="false">AL1052*F1052</f>
        <v>437.55</v>
      </c>
      <c r="AP1052" s="57" t="n">
        <f aca="false">ROUNDUP(MAX(I1052/IF(BV1052&gt;0,BV1052,MAX(0.1,N(Cockpit!$I$6))),BY1052)/BQ1052,0)*BQ1052</f>
        <v>3</v>
      </c>
      <c r="AQ1052" s="58" t="n">
        <f aca="false">IF(AN1052&gt;0,I1052/AN1052,-1)</f>
        <v>0</v>
      </c>
      <c r="AR1052" s="58" t="n">
        <f aca="false">IF(AND(OR(BU1052="L1",BU1052="L23"),AN1052&gt;0),SUMIFS($AN$7:$AN$1576,$BU$7:$BU$1576,BU1052,$AQ$7:$AQ$1576,"&gt;"&amp;AQ1052)+SUMIFS($AN$7:$AN$1576,$BU$7:$BU$1576,BU1052,$AQ$7:$AQ$1576,AQ1052,$BO$7:$BO$1576,"&lt;="&amp;BO1052),"")</f>
        <v>133.214208376212</v>
      </c>
      <c r="AS1052" s="65" t="n">
        <f aca="false">IF(AR1052="",0,MAX(0,MIN(1,(IF(BU1052="L1",Parameter!$E$5,Parameter!$E$6+Parameter!$E$7)-(AR1052-AN1052))/AN1052)))</f>
        <v>0</v>
      </c>
      <c r="AT1052" s="57" t="n">
        <f aca="false">IF(LEFT(Cockpit!$O$5,1)="A",G1052,IF(BW1052=1,BX1052,IF(LEFT(Cockpit!$O$5,1)="B",AX1052,MAX(AX1052,G1052))))</f>
        <v>3</v>
      </c>
      <c r="AU1052" s="57" t="n">
        <f aca="false">IF(BR1052=1,0,ROUNDUP(AT1052/BQ1052,0))</f>
        <v>1</v>
      </c>
      <c r="AV1052" s="59" t="n">
        <f aca="false">IF(CD1052&gt;0,CD1052*MAX(1,AT1052/V1052),IF(BR1052=1,IF(AT1052&lt;=0,0,BS1052*MAX(1,IF(G1052&gt;0,AT1052/G1052,1))),IF(Q1052&gt;0,AU1052/Q1052,0))/MAX(0.1,N(Parameter!$M$21)))</f>
        <v>0.0384615384615385</v>
      </c>
      <c r="AW1052" s="57" t="n">
        <f aca="false">AT1052*F1052</f>
        <v>437.55</v>
      </c>
      <c r="AX1052" s="57" t="n">
        <f aca="false">ROUNDUP(MAX(I1052/IF(BV1052&gt;0,BV1052,MAX(0.1,N(Cockpit!$O$6))),BY1052)/BQ1052,0)*BQ1052</f>
        <v>3</v>
      </c>
      <c r="AY1052" s="58" t="n">
        <f aca="false">IF(AV1052&gt;0,I1052/AV1052,-1)</f>
        <v>0</v>
      </c>
      <c r="AZ1052" s="58" t="n">
        <f aca="false">IF(AND(OR(BU1052="L1",BU1052="L23"),AV1052&gt;0),SUMIFS($AV$7:$AV$1576,$BU$7:$BU$1576,BU1052,$AY$7:$AY$1576,"&gt;"&amp;AY1052)+SUMIFS($AV$7:$AV$1576,$BU$7:$BU$1576,BU1052,$AY$7:$AY$1576,AY1052,$BO$7:$BO$1576,"&lt;="&amp;BO1052),"")</f>
        <v>123.273758825763</v>
      </c>
      <c r="BA1052" s="65" t="n">
        <f aca="false">IF(AZ1052="",0,MAX(0,MIN(1,(IF(BU1052="L1",Parameter!$E$5,Parameter!$E$6+Parameter!$E$7)-(AZ1052-AV1052))/AV1052)))</f>
        <v>0</v>
      </c>
      <c r="BB1052" s="55" t="str">
        <f aca="false">IF(AF1052&lt;=0,"",IF(BU1052="Aussen","Aussenlager",IF(BU1052="-","Nicht im Lift",IF(AK1052&gt;=1,"Lift",IF(AK1052&lt;=0,"Aussenlager","teilweise")))))</f>
        <v/>
      </c>
      <c r="BC1052" s="55" t="str">
        <f aca="false">IF(AN1052&lt;=0,"",IF(BU1052="Aussen","Aussenlager",IF(BU1052="-","Nicht im Lift",IF(AS1052&gt;=1,"Lift",IF(AS1052&lt;=0,"Aussenlager","teilweise")))))</f>
        <v>Aussenlager</v>
      </c>
      <c r="BD1052" s="55" t="str">
        <f aca="false">IF(AV1052&lt;=0,"",IF(BU1052="Aussen","Aussenlager",IF(BU1052="-","Nicht im Lift",IF(BA1052&gt;=1,"Lift",IF(BA1052&lt;=0,"Aussenlager","teilweise")))))</f>
        <v>Aussenlager</v>
      </c>
      <c r="BE1052" s="55" t="str">
        <f aca="false">IF(A1052="","",IF(BN1052=1,"Neu; ","")&amp;IF(AND(BN1052=0,BI1052&lt;0),"negativer Bestand (Export "&amp;BI1052&amp;"); ","")&amp;IF(I1052&lt;=0,"Kein Verbrauch; ","")&amp;IF(CD1052&gt;0,"Lift "&amp;U1052&amp;" lt. Liftbericht (Fach "&amp;V1052&amp;" Stk); ",IF(BR1052=1,"Lose – Fläche geschätzt; ",""))&amp;IF(G1052&gt;AP1052,"Überbestand "&amp;ROUND(G1052-AP1052,0)&amp;" Stk / CHF "&amp;ROUND((G1052-AP1052)*F1052,0)&amp;"; ","")&amp;IF(AND(BW1052=1,BX1052&lt;BY1052),"MAX &lt; MB+LG; ","")&amp;IF(AND(CC1052&gt;0,CB1052*10&gt;CC1052),"zu hoch für Tablar; ","")&amp;IF(AND(BN1052=0,OR(BW1052=1,Y1052&lt;&gt;"",S1052&lt;&gt;"",T1052&lt;&gt;"",Z1052&lt;&gt;"")),"manuell übersteuert; ","")&amp;IF(AND(BR1052=0,Q1052=0),"Gebinde unbekannt / Stellmass fehlt; ","")&amp;IF(AND(BR1052=0,N(T1052)&lt;=0,N(P1052)&lt;=0),"Menge pro Gebinde fehlt (Ist = 1 Gebinde); ","")&amp;BM1052)</f>
        <v>negativer Bestand (Export -1); Kein Verbrauch; </v>
      </c>
      <c r="BF1052" s="55"/>
      <c r="BG1052" s="55"/>
      <c r="BH1052" s="62"/>
      <c r="BI1052" s="57" t="n">
        <v>-1</v>
      </c>
      <c r="BJ1052" s="57" t="n">
        <v>9</v>
      </c>
      <c r="BK1052" s="56" t="n">
        <v>-145.85</v>
      </c>
      <c r="BL1052" s="57" t="n">
        <v>0</v>
      </c>
      <c r="BM1052" s="55"/>
      <c r="BN1052" s="60" t="n">
        <v>0</v>
      </c>
      <c r="BO1052" s="60" t="n">
        <v>1052</v>
      </c>
      <c r="BP1052" s="55" t="str">
        <f aca="false">IF(S1052&lt;&gt;"",UPPER(TRIM(S1052)),IF(O1052="","LOSE",O1052))</f>
        <v>S51</v>
      </c>
      <c r="BQ1052" s="57" t="n">
        <f aca="false">IF(BP1052="LOSE",1,IF(N(T1052)&gt;0,T1052,IF(N(P1052)&gt;0,P1052,MAX(1,G1052))))</f>
        <v>3</v>
      </c>
      <c r="BR1052" s="60" t="n">
        <f aca="false">IF(BP1052="LOSE",1,0)</f>
        <v>0</v>
      </c>
      <c r="BS1052" s="59" t="n">
        <f aca="false">IF(BR1052=0,0,IF(N(R1052)&gt;0,R1052,IFERROR(VLOOKUP(D1052,Parameter!$A$35:$C$64,3,0)+0,0)))</f>
        <v>0</v>
      </c>
      <c r="BT1052" s="55" t="n">
        <f aca="false">IF(Y1052&lt;&gt;"",Y1052,X1052)</f>
        <v>3</v>
      </c>
      <c r="BU1052" s="55" t="str">
        <f aca="false">IF(BT1052=1,"L1",IF(OR(BT1052=2,BT1052=3),"L23",IF(BT1052="Aussen","Aussen","-")))</f>
        <v>L23</v>
      </c>
      <c r="BV1052" s="66" t="n">
        <f aca="false">IF(N(Z1052)&gt;0,Z1052,0)</f>
        <v>0</v>
      </c>
      <c r="BW1052" s="60" t="n">
        <f aca="false">IF(ISNUMBER(AC1052),1,0)</f>
        <v>0</v>
      </c>
      <c r="BX1052" s="57" t="n">
        <f aca="false">N(AC1052)</f>
        <v>0</v>
      </c>
      <c r="BY1052" s="57" t="n">
        <f aca="false">N(L1052)+N(M1052)</f>
        <v>1</v>
      </c>
      <c r="BZ1052" s="57" t="n">
        <f aca="false">ROUNDUP(G1052/BQ1052,0)</f>
        <v>0</v>
      </c>
      <c r="CA1052" s="57" t="n">
        <f aca="false">ROUNDUP(BX1052/BQ1052,0)</f>
        <v>0</v>
      </c>
      <c r="CB1052" s="60" t="n">
        <f aca="false">IF(BR1052=1,0,IFERROR(VLOOKUP(BP1052,'Gebinde-Kategorie'!$A$5:$M$45,5,0)+0,0))</f>
        <v>11</v>
      </c>
      <c r="CC1052" s="60" t="n">
        <f aca="false">IFERROR(IF(OR(BT1052=1,BT1052=2,BT1052=3),N(INDEX(Parameter!$I$5:$I$7,BT1052)),0),0)</f>
        <v>0</v>
      </c>
      <c r="CD1052" s="59" t="n">
        <f aca="false">IF(AND(Parameter!$B$21="Ja",ISNUMBER(U1052),N(V1052)&gt;0),IFERROR(N(INDEX(Parameter!$L$5:$L$7,U1052))*INDEX(Parameter!$E$5:$E$7,U1052)*V1052/SUMIFS($V$7:$V$1576,$U$7:$U$1576,U1052),0),0)</f>
        <v>0</v>
      </c>
    </row>
    <row r="1053" customFormat="false" ht="15" hidden="false" customHeight="false" outlineLevel="0" collapsed="false">
      <c r="A1053" s="55" t="s">
        <v>1913</v>
      </c>
      <c r="B1053" s="55" t="s">
        <v>1541</v>
      </c>
      <c r="C1053" s="55" t="s">
        <v>160</v>
      </c>
      <c r="D1053" s="55" t="s">
        <v>168</v>
      </c>
      <c r="E1053" s="55" t="s">
        <v>210</v>
      </c>
      <c r="F1053" s="56" t="n">
        <v>4.63</v>
      </c>
      <c r="G1053" s="57" t="n">
        <f aca="false">MAX(0,IF(AND(Parameter!$B$21="Ja",ISNUMBER(W1053)),W1053,IF(Parameter!$B$20="Jahresanfang 2025 + Export",BJ1053+BI1053,BI1053)))</f>
        <v>0</v>
      </c>
      <c r="H1053" s="57" t="n">
        <f aca="false">G1053*F1053</f>
        <v>0</v>
      </c>
      <c r="I1053" s="57" t="n">
        <f aca="false">BL1053*Parameter!$B$18</f>
        <v>131</v>
      </c>
      <c r="J1053" s="58" t="n">
        <v>155</v>
      </c>
      <c r="K1053" s="59" t="n">
        <v>0.845161290322581</v>
      </c>
      <c r="L1053" s="57" t="n">
        <v>7</v>
      </c>
      <c r="M1053" s="57" t="n">
        <v>135</v>
      </c>
      <c r="N1053" s="60" t="n">
        <v>21</v>
      </c>
      <c r="O1053" s="55" t="s">
        <v>163</v>
      </c>
      <c r="P1053" s="57"/>
      <c r="Q1053" s="60" t="n">
        <f aca="false">IF(BR1053=1,0,IFERROR(VLOOKUP(BP1053,'Gebinde-Kategorie'!$A$5:$M$45,13,0)+0,0))</f>
        <v>0</v>
      </c>
      <c r="R1053" s="61"/>
      <c r="S1053" s="62"/>
      <c r="T1053" s="62"/>
      <c r="U1053" s="55"/>
      <c r="V1053" s="57"/>
      <c r="W1053" s="57"/>
      <c r="X1053" s="55" t="n">
        <f aca="false">IF(A1053="","",IF(AND(Parameter!$B$21="Ja",ISNUMBER(U1053)),U1053,IF(IFERROR(VLOOKUP(D1053,Parameter!$A$35:$C$64,2,0),"Nein")="2+3",IF(ISNUMBER(SEARCH("grosser Artikel",BM1053)),2,IFERROR(VLOOKUP(BP1053,Parameter!$F$35:$G$64,2,0),2)),IF(OR(IFERROR(VLOOKUP(D1053,Parameter!$A$35:$C$64,2,0),"Nein")="Nein",IFERROR(VLOOKUP(D1053,Parameter!$A$35:$C$64,2,0),"Nein")=""),"-",VLOOKUP(D1053,Parameter!$A$35:$C$64,2,0)))))</f>
        <v>2</v>
      </c>
      <c r="Y1053" s="62"/>
      <c r="Z1053" s="63"/>
      <c r="AA1053" s="57" t="n">
        <f aca="false">AP1053</f>
        <v>142</v>
      </c>
      <c r="AB1053" s="57" t="n">
        <f aca="false">MAX(AP1053,G1053)</f>
        <v>142</v>
      </c>
      <c r="AC1053" s="64"/>
      <c r="AD1053" s="57" t="n">
        <f aca="false">IF(LEFT(Cockpit!$C$5,1)="A",G1053,IF(BW1053=1,BX1053,IF(LEFT(Cockpit!$C$5,1)="B",AH1053,MAX(AH1053,G1053))))</f>
        <v>0</v>
      </c>
      <c r="AE1053" s="57" t="n">
        <f aca="false">IF(BR1053=1,0,ROUNDUP(AD1053/BQ1053,0))</f>
        <v>0</v>
      </c>
      <c r="AF1053" s="59" t="n">
        <f aca="false">IF(CD1053&gt;0,CD1053*MAX(1,AD1053/V1053),IF(BR1053=1,IF(AD1053&lt;=0,0,BS1053*MAX(1,IF(G1053&gt;0,AD1053/G1053,1))),IF(Q1053&gt;0,AE1053/Q1053,0))/MAX(0.1,N(Parameter!$M$21)))</f>
        <v>0</v>
      </c>
      <c r="AG1053" s="57" t="n">
        <f aca="false">AD1053*F1053</f>
        <v>0</v>
      </c>
      <c r="AH1053" s="57" t="n">
        <f aca="false">ROUNDUP(MAX(I1053/IF(BV1053&gt;0,BV1053,MAX(0.1,N(Cockpit!$C$6))),BY1053)/BQ1053,0)*BQ1053</f>
        <v>142</v>
      </c>
      <c r="AI1053" s="58" t="n">
        <f aca="false">IF(AF1053&gt;0,I1053/AF1053,-1)</f>
        <v>-1</v>
      </c>
      <c r="AJ1053" s="58" t="str">
        <f aca="false">IF(AND(OR(BU1053="L1",BU1053="L23"),AF1053&gt;0),SUMIFS($AF$7:$AF$1576,$BU$7:$BU$1576,BU1053,$AI$7:$AI$1576,"&gt;"&amp;AI1053)+SUMIFS($AF$7:$AF$1576,$BU$7:$BU$1576,BU1053,$AI$7:$AI$1576,AI1053,$BO$7:$BO$1576,"&lt;="&amp;BO1053),"")</f>
        <v/>
      </c>
      <c r="AK1053" s="65" t="n">
        <f aca="false">IF(AJ1053="",0,MAX(0,MIN(1,(IF(BU1053="L1",Parameter!$E$5,Parameter!$E$6+Parameter!$E$7)-(AJ1053-AF1053))/AF1053)))</f>
        <v>0</v>
      </c>
      <c r="AL1053" s="57" t="n">
        <f aca="false">IF(LEFT(Cockpit!$I$5,1)="A",G1053,IF(BW1053=1,BX1053,IF(LEFT(Cockpit!$I$5,1)="B",AP1053,MAX(AP1053,G1053))))</f>
        <v>142</v>
      </c>
      <c r="AM1053" s="57" t="n">
        <f aca="false">IF(BR1053=1,0,ROUNDUP(AL1053/BQ1053,0))</f>
        <v>0</v>
      </c>
      <c r="AN1053" s="59" t="n">
        <f aca="false">IF(CD1053&gt;0,CD1053*MAX(1,AL1053/V1053),IF(BR1053=1,IF(AL1053&lt;=0,0,BS1053*MAX(1,IF(G1053&gt;0,AL1053/G1053,1))),IF(Q1053&gt;0,AM1053/Q1053,0))/MAX(0.1,N(Parameter!$M$21)))</f>
        <v>0.15</v>
      </c>
      <c r="AO1053" s="57" t="n">
        <f aca="false">AL1053*F1053</f>
        <v>657.46</v>
      </c>
      <c r="AP1053" s="57" t="n">
        <f aca="false">ROUNDUP(MAX(I1053/IF(BV1053&gt;0,BV1053,MAX(0.1,N(Cockpit!$I$6))),BY1053)/BQ1053,0)*BQ1053</f>
        <v>142</v>
      </c>
      <c r="AQ1053" s="58" t="n">
        <f aca="false">IF(AN1053&gt;0,I1053/AN1053,-1)</f>
        <v>873.333333333333</v>
      </c>
      <c r="AR1053" s="58" t="n">
        <f aca="false">IF(AND(OR(BU1053="L1",BU1053="L23"),AN1053&gt;0),SUMIFS($AN$7:$AN$1576,$BU$7:$BU$1576,BU1053,$AQ$7:$AQ$1576,"&gt;"&amp;AQ1053)+SUMIFS($AN$7:$AN$1576,$BU$7:$BU$1576,BU1053,$AQ$7:$AQ$1576,AQ1053,$BO$7:$BO$1576,"&lt;="&amp;BO1053),"")</f>
        <v>25.018778721616</v>
      </c>
      <c r="AS1053" s="65" t="n">
        <f aca="false">IF(AR1053="",0,MAX(0,MIN(1,(IF(BU1053="L1",Parameter!$E$5,Parameter!$E$6+Parameter!$E$7)-(AR1053-AN1053))/AN1053)))</f>
        <v>1</v>
      </c>
      <c r="AT1053" s="57" t="n">
        <f aca="false">IF(LEFT(Cockpit!$O$5,1)="A",G1053,IF(BW1053=1,BX1053,IF(LEFT(Cockpit!$O$5,1)="B",AX1053,MAX(AX1053,G1053))))</f>
        <v>142</v>
      </c>
      <c r="AU1053" s="57" t="n">
        <f aca="false">IF(BR1053=1,0,ROUNDUP(AT1053/BQ1053,0))</f>
        <v>0</v>
      </c>
      <c r="AV1053" s="59" t="n">
        <f aca="false">IF(CD1053&gt;0,CD1053*MAX(1,AT1053/V1053),IF(BR1053=1,IF(AT1053&lt;=0,0,BS1053*MAX(1,IF(G1053&gt;0,AT1053/G1053,1))),IF(Q1053&gt;0,AU1053/Q1053,0))/MAX(0.1,N(Parameter!$M$21)))</f>
        <v>0.15</v>
      </c>
      <c r="AW1053" s="57" t="n">
        <f aca="false">AT1053*F1053</f>
        <v>657.46</v>
      </c>
      <c r="AX1053" s="57" t="n">
        <f aca="false">ROUNDUP(MAX(I1053/IF(BV1053&gt;0,BV1053,MAX(0.1,N(Cockpit!$O$6))),BY1053)/BQ1053,0)*BQ1053</f>
        <v>142</v>
      </c>
      <c r="AY1053" s="58" t="n">
        <f aca="false">IF(AV1053&gt;0,I1053/AV1053,-1)</f>
        <v>873.333333333333</v>
      </c>
      <c r="AZ1053" s="58" t="n">
        <f aca="false">IF(AND(OR(BU1053="L1",BU1053="L23"),AV1053&gt;0),SUMIFS($AV$7:$AV$1576,$BU$7:$BU$1576,BU1053,$AY$7:$AY$1576,"&gt;"&amp;AY1053)+SUMIFS($AV$7:$AV$1576,$BU$7:$BU$1576,BU1053,$AY$7:$AY$1576,AY1053,$BO$7:$BO$1576,"&lt;="&amp;BO1053),"")</f>
        <v>25.252461705299</v>
      </c>
      <c r="BA1053" s="65" t="n">
        <f aca="false">IF(AZ1053="",0,MAX(0,MIN(1,(IF(BU1053="L1",Parameter!$E$5,Parameter!$E$6+Parameter!$E$7)-(AZ1053-AV1053))/AV1053)))</f>
        <v>1</v>
      </c>
      <c r="BB1053" s="55" t="str">
        <f aca="false">IF(AF1053&lt;=0,"",IF(BU1053="Aussen","Aussenlager",IF(BU1053="-","Nicht im Lift",IF(AK1053&gt;=1,"Lift",IF(AK1053&lt;=0,"Aussenlager","teilweise")))))</f>
        <v/>
      </c>
      <c r="BC1053" s="55" t="str">
        <f aca="false">IF(AN1053&lt;=0,"",IF(BU1053="Aussen","Aussenlager",IF(BU1053="-","Nicht im Lift",IF(AS1053&gt;=1,"Lift",IF(AS1053&lt;=0,"Aussenlager","teilweise")))))</f>
        <v>Lift</v>
      </c>
      <c r="BD1053" s="55" t="str">
        <f aca="false">IF(AV1053&lt;=0,"",IF(BU1053="Aussen","Aussenlager",IF(BU1053="-","Nicht im Lift",IF(BA1053&gt;=1,"Lift",IF(BA1053&lt;=0,"Aussenlager","teilweise")))))</f>
        <v>Lift</v>
      </c>
      <c r="BE1053" s="55" t="str">
        <f aca="false">IF(A1053="","",IF(BN1053=1,"Neu; ","")&amp;IF(AND(BN1053=0,BI1053&lt;0),"negativer Bestand (Export "&amp;BI1053&amp;"); ","")&amp;IF(I1053&lt;=0,"Kein Verbrauch; ","")&amp;IF(CD1053&gt;0,"Lift "&amp;U1053&amp;" lt. Liftbericht (Fach "&amp;V1053&amp;" Stk); ",IF(BR1053=1,"Lose – Fläche geschätzt; ",""))&amp;IF(G1053&gt;AP1053,"Überbestand "&amp;ROUND(G1053-AP1053,0)&amp;" Stk / CHF "&amp;ROUND((G1053-AP1053)*F1053,0)&amp;"; ","")&amp;IF(AND(BW1053=1,BX1053&lt;BY1053),"MAX &lt; MB+LG; ","")&amp;IF(AND(CC1053&gt;0,CB1053*10&gt;CC1053),"zu hoch für Tablar; ","")&amp;IF(AND(BN1053=0,OR(BW1053=1,Y1053&lt;&gt;"",S1053&lt;&gt;"",T1053&lt;&gt;"",Z1053&lt;&gt;"")),"manuell übersteuert; ","")&amp;IF(AND(BR1053=0,Q1053=0),"Gebinde unbekannt / Stellmass fehlt; ","")&amp;IF(AND(BR1053=0,N(T1053)&lt;=0,N(P1053)&lt;=0),"Menge pro Gebinde fehlt (Ist = 1 Gebinde); ","")&amp;BM1053)</f>
        <v>negativer Bestand (Export -35); Lose – Fläche geschätzt; </v>
      </c>
      <c r="BF1053" s="55"/>
      <c r="BG1053" s="55"/>
      <c r="BH1053" s="62"/>
      <c r="BI1053" s="57" t="n">
        <v>-35</v>
      </c>
      <c r="BJ1053" s="57" t="n">
        <v>153</v>
      </c>
      <c r="BK1053" s="56" t="n">
        <v>-146.750000000001</v>
      </c>
      <c r="BL1053" s="57" t="n">
        <v>131</v>
      </c>
      <c r="BM1053" s="55"/>
      <c r="BN1053" s="60" t="n">
        <v>0</v>
      </c>
      <c r="BO1053" s="60" t="n">
        <v>1053</v>
      </c>
      <c r="BP1053" s="55" t="str">
        <f aca="false">IF(S1053&lt;&gt;"",UPPER(TRIM(S1053)),IF(O1053="","LOSE",O1053))</f>
        <v>LOSE</v>
      </c>
      <c r="BQ1053" s="57" t="n">
        <f aca="false">IF(BP1053="LOSE",1,IF(N(T1053)&gt;0,T1053,IF(N(P1053)&gt;0,P1053,MAX(1,G1053))))</f>
        <v>1</v>
      </c>
      <c r="BR1053" s="60" t="n">
        <f aca="false">IF(BP1053="LOSE",1,0)</f>
        <v>1</v>
      </c>
      <c r="BS1053" s="59" t="n">
        <f aca="false">IF(BR1053=0,0,IF(N(R1053)&gt;0,R1053,IFERROR(VLOOKUP(D1053,Parameter!$A$35:$C$64,3,0)+0,0)))</f>
        <v>0.15</v>
      </c>
      <c r="BT1053" s="55" t="n">
        <f aca="false">IF(Y1053&lt;&gt;"",Y1053,X1053)</f>
        <v>2</v>
      </c>
      <c r="BU1053" s="55" t="str">
        <f aca="false">IF(BT1053=1,"L1",IF(OR(BT1053=2,BT1053=3),"L23",IF(BT1053="Aussen","Aussen","-")))</f>
        <v>L23</v>
      </c>
      <c r="BV1053" s="66" t="n">
        <f aca="false">IF(N(Z1053)&gt;0,Z1053,0)</f>
        <v>0</v>
      </c>
      <c r="BW1053" s="60" t="n">
        <f aca="false">IF(ISNUMBER(AC1053),1,0)</f>
        <v>0</v>
      </c>
      <c r="BX1053" s="57" t="n">
        <f aca="false">N(AC1053)</f>
        <v>0</v>
      </c>
      <c r="BY1053" s="57" t="n">
        <f aca="false">N(L1053)+N(M1053)</f>
        <v>142</v>
      </c>
      <c r="BZ1053" s="57" t="n">
        <f aca="false">ROUNDUP(G1053/BQ1053,0)</f>
        <v>0</v>
      </c>
      <c r="CA1053" s="57" t="n">
        <f aca="false">ROUNDUP(BX1053/BQ1053,0)</f>
        <v>0</v>
      </c>
      <c r="CB1053" s="60" t="n">
        <f aca="false">IF(BR1053=1,0,IFERROR(VLOOKUP(BP1053,'Gebinde-Kategorie'!$A$5:$M$45,5,0)+0,0))</f>
        <v>0</v>
      </c>
      <c r="CC1053" s="60" t="n">
        <f aca="false">IFERROR(IF(OR(BT1053=1,BT1053=2,BT1053=3),N(INDEX(Parameter!$I$5:$I$7,BT1053)),0),0)</f>
        <v>0</v>
      </c>
      <c r="CD1053" s="59" t="n">
        <f aca="false">IF(AND(Parameter!$B$21="Ja",ISNUMBER(U1053),N(V1053)&gt;0),IFERROR(N(INDEX(Parameter!$L$5:$L$7,U1053))*INDEX(Parameter!$E$5:$E$7,U1053)*V1053/SUMIFS($V$7:$V$1576,$U$7:$U$1576,U1053),0),0)</f>
        <v>0</v>
      </c>
    </row>
    <row r="1054" customFormat="false" ht="15" hidden="false" customHeight="false" outlineLevel="0" collapsed="false">
      <c r="A1054" s="55" t="s">
        <v>1914</v>
      </c>
      <c r="B1054" s="55" t="s">
        <v>1915</v>
      </c>
      <c r="C1054" s="55" t="s">
        <v>160</v>
      </c>
      <c r="D1054" s="55" t="s">
        <v>178</v>
      </c>
      <c r="E1054" s="55" t="s">
        <v>210</v>
      </c>
      <c r="F1054" s="56" t="n">
        <v>23.75</v>
      </c>
      <c r="G1054" s="57" t="n">
        <f aca="false">MAX(0,IF(AND(Parameter!$B$21="Ja",ISNUMBER(W1054)),W1054,IF(Parameter!$B$20="Jahresanfang 2025 + Export",BJ1054+BI1054,BI1054)))</f>
        <v>0</v>
      </c>
      <c r="H1054" s="57" t="n">
        <f aca="false">G1054*F1054</f>
        <v>0</v>
      </c>
      <c r="I1054" s="57" t="n">
        <f aca="false">BL1054*Parameter!$B$18</f>
        <v>19</v>
      </c>
      <c r="J1054" s="58" t="n">
        <v>7</v>
      </c>
      <c r="K1054" s="59" t="n">
        <v>2.71428571428571</v>
      </c>
      <c r="L1054" s="57" t="n">
        <v>1</v>
      </c>
      <c r="M1054" s="57" t="n">
        <v>20</v>
      </c>
      <c r="N1054" s="60" t="n">
        <v>28</v>
      </c>
      <c r="O1054" s="55" t="s">
        <v>319</v>
      </c>
      <c r="P1054" s="57" t="n">
        <v>9</v>
      </c>
      <c r="Q1054" s="60" t="n">
        <f aca="false">IF(BR1054=1,0,IFERROR(VLOOKUP(BP1054,'Gebinde-Kategorie'!$A$5:$M$45,13,0)+0,0))</f>
        <v>52</v>
      </c>
      <c r="R1054" s="61"/>
      <c r="S1054" s="62"/>
      <c r="T1054" s="62"/>
      <c r="U1054" s="55"/>
      <c r="V1054" s="57"/>
      <c r="W1054" s="57"/>
      <c r="X1054" s="55" t="n">
        <f aca="false">IF(A1054="","",IF(AND(Parameter!$B$21="Ja",ISNUMBER(U1054)),U1054,IF(IFERROR(VLOOKUP(D1054,Parameter!$A$35:$C$64,2,0),"Nein")="2+3",IF(ISNUMBER(SEARCH("grosser Artikel",BM1054)),2,IFERROR(VLOOKUP(BP1054,Parameter!$F$35:$G$64,2,0),2)),IF(OR(IFERROR(VLOOKUP(D1054,Parameter!$A$35:$C$64,2,0),"Nein")="Nein",IFERROR(VLOOKUP(D1054,Parameter!$A$35:$C$64,2,0),"Nein")=""),"-",VLOOKUP(D1054,Parameter!$A$35:$C$64,2,0)))))</f>
        <v>3</v>
      </c>
      <c r="Y1054" s="62"/>
      <c r="Z1054" s="63"/>
      <c r="AA1054" s="57" t="n">
        <f aca="false">AP1054</f>
        <v>27</v>
      </c>
      <c r="AB1054" s="57" t="n">
        <f aca="false">MAX(AP1054,G1054)</f>
        <v>27</v>
      </c>
      <c r="AC1054" s="64"/>
      <c r="AD1054" s="57" t="n">
        <f aca="false">IF(LEFT(Cockpit!$C$5,1)="A",G1054,IF(BW1054=1,BX1054,IF(LEFT(Cockpit!$C$5,1)="B",AH1054,MAX(AH1054,G1054))))</f>
        <v>0</v>
      </c>
      <c r="AE1054" s="57" t="n">
        <f aca="false">IF(BR1054=1,0,ROUNDUP(AD1054/BQ1054,0))</f>
        <v>0</v>
      </c>
      <c r="AF1054" s="59" t="n">
        <f aca="false">IF(CD1054&gt;0,CD1054*MAX(1,AD1054/V1054),IF(BR1054=1,IF(AD1054&lt;=0,0,BS1054*MAX(1,IF(G1054&gt;0,AD1054/G1054,1))),IF(Q1054&gt;0,AE1054/Q1054,0))/MAX(0.1,N(Parameter!$M$21)))</f>
        <v>0</v>
      </c>
      <c r="AG1054" s="57" t="n">
        <f aca="false">AD1054*F1054</f>
        <v>0</v>
      </c>
      <c r="AH1054" s="57" t="n">
        <f aca="false">ROUNDUP(MAX(I1054/IF(BV1054&gt;0,BV1054,MAX(0.1,N(Cockpit!$C$6))),BY1054)/BQ1054,0)*BQ1054</f>
        <v>27</v>
      </c>
      <c r="AI1054" s="58" t="n">
        <f aca="false">IF(AF1054&gt;0,I1054/AF1054,-1)</f>
        <v>-1</v>
      </c>
      <c r="AJ1054" s="58" t="str">
        <f aca="false">IF(AND(OR(BU1054="L1",BU1054="L23"),AF1054&gt;0),SUMIFS($AF$7:$AF$1576,$BU$7:$BU$1576,BU1054,$AI$7:$AI$1576,"&gt;"&amp;AI1054)+SUMIFS($AF$7:$AF$1576,$BU$7:$BU$1576,BU1054,$AI$7:$AI$1576,AI1054,$BO$7:$BO$1576,"&lt;="&amp;BO1054),"")</f>
        <v/>
      </c>
      <c r="AK1054" s="65" t="n">
        <f aca="false">IF(AJ1054="",0,MAX(0,MIN(1,(IF(BU1054="L1",Parameter!$E$5,Parameter!$E$6+Parameter!$E$7)-(AJ1054-AF1054))/AF1054)))</f>
        <v>0</v>
      </c>
      <c r="AL1054" s="57" t="n">
        <f aca="false">IF(LEFT(Cockpit!$I$5,1)="A",G1054,IF(BW1054=1,BX1054,IF(LEFT(Cockpit!$I$5,1)="B",AP1054,MAX(AP1054,G1054))))</f>
        <v>27</v>
      </c>
      <c r="AM1054" s="57" t="n">
        <f aca="false">IF(BR1054=1,0,ROUNDUP(AL1054/BQ1054,0))</f>
        <v>3</v>
      </c>
      <c r="AN1054" s="59" t="n">
        <f aca="false">IF(CD1054&gt;0,CD1054*MAX(1,AL1054/V1054),IF(BR1054=1,IF(AL1054&lt;=0,0,BS1054*MAX(1,IF(G1054&gt;0,AL1054/G1054,1))),IF(Q1054&gt;0,AM1054/Q1054,0))/MAX(0.1,N(Parameter!$M$21)))</f>
        <v>0.0576923076923077</v>
      </c>
      <c r="AO1054" s="57" t="n">
        <f aca="false">AL1054*F1054</f>
        <v>641.25</v>
      </c>
      <c r="AP1054" s="57" t="n">
        <f aca="false">ROUNDUP(MAX(I1054/IF(BV1054&gt;0,BV1054,MAX(0.1,N(Cockpit!$I$6))),BY1054)/BQ1054,0)*BQ1054</f>
        <v>27</v>
      </c>
      <c r="AQ1054" s="58" t="n">
        <f aca="false">IF(AN1054&gt;0,I1054/AN1054,-1)</f>
        <v>329.333333333333</v>
      </c>
      <c r="AR1054" s="58" t="n">
        <f aca="false">IF(AND(OR(BU1054="L1",BU1054="L23"),AN1054&gt;0),SUMIFS($AN$7:$AN$1576,$BU$7:$BU$1576,BU1054,$AQ$7:$AQ$1576,"&gt;"&amp;AQ1054)+SUMIFS($AN$7:$AN$1576,$BU$7:$BU$1576,BU1054,$AQ$7:$AQ$1576,AQ1054,$BO$7:$BO$1576,"&lt;="&amp;BO1054),"")</f>
        <v>42.0142554670927</v>
      </c>
      <c r="AS1054" s="65" t="n">
        <f aca="false">IF(AR1054="",0,MAX(0,MIN(1,(IF(BU1054="L1",Parameter!$E$5,Parameter!$E$6+Parameter!$E$7)-(AR1054-AN1054))/AN1054)))</f>
        <v>1</v>
      </c>
      <c r="AT1054" s="57" t="n">
        <f aca="false">IF(LEFT(Cockpit!$O$5,1)="A",G1054,IF(BW1054=1,BX1054,IF(LEFT(Cockpit!$O$5,1)="B",AX1054,MAX(AX1054,G1054))))</f>
        <v>27</v>
      </c>
      <c r="AU1054" s="57" t="n">
        <f aca="false">IF(BR1054=1,0,ROUNDUP(AT1054/BQ1054,0))</f>
        <v>3</v>
      </c>
      <c r="AV1054" s="59" t="n">
        <f aca="false">IF(CD1054&gt;0,CD1054*MAX(1,AT1054/V1054),IF(BR1054=1,IF(AT1054&lt;=0,0,BS1054*MAX(1,IF(G1054&gt;0,AT1054/G1054,1))),IF(Q1054&gt;0,AU1054/Q1054,0))/MAX(0.1,N(Parameter!$M$21)))</f>
        <v>0.0576923076923077</v>
      </c>
      <c r="AW1054" s="57" t="n">
        <f aca="false">AT1054*F1054</f>
        <v>641.25</v>
      </c>
      <c r="AX1054" s="57" t="n">
        <f aca="false">ROUNDUP(MAX(I1054/IF(BV1054&gt;0,BV1054,MAX(0.1,N(Cockpit!$O$6))),BY1054)/BQ1054,0)*BQ1054</f>
        <v>27</v>
      </c>
      <c r="AY1054" s="58" t="n">
        <f aca="false">IF(AV1054&gt;0,I1054/AV1054,-1)</f>
        <v>329.333333333333</v>
      </c>
      <c r="AZ1054" s="58" t="n">
        <f aca="false">IF(AND(OR(BU1054="L1",BU1054="L23"),AV1054&gt;0),SUMIFS($AV$7:$AV$1576,$BU$7:$BU$1576,BU1054,$AY$7:$AY$1576,"&gt;"&amp;AY1054)+SUMIFS($AV$7:$AV$1576,$BU$7:$BU$1576,BU1054,$AY$7:$AY$1576,AY1054,$BO$7:$BO$1576,"&lt;="&amp;BO1054),"")</f>
        <v>38.7623340551713</v>
      </c>
      <c r="BA1054" s="65" t="n">
        <f aca="false">IF(AZ1054="",0,MAX(0,MIN(1,(IF(BU1054="L1",Parameter!$E$5,Parameter!$E$6+Parameter!$E$7)-(AZ1054-AV1054))/AV1054)))</f>
        <v>1</v>
      </c>
      <c r="BB1054" s="55" t="str">
        <f aca="false">IF(AF1054&lt;=0,"",IF(BU1054="Aussen","Aussenlager",IF(BU1054="-","Nicht im Lift",IF(AK1054&gt;=1,"Lift",IF(AK1054&lt;=0,"Aussenlager","teilweise")))))</f>
        <v/>
      </c>
      <c r="BC1054" s="55" t="str">
        <f aca="false">IF(AN1054&lt;=0,"",IF(BU1054="Aussen","Aussenlager",IF(BU1054="-","Nicht im Lift",IF(AS1054&gt;=1,"Lift",IF(AS1054&lt;=0,"Aussenlager","teilweise")))))</f>
        <v>Lift</v>
      </c>
      <c r="BD1054" s="55" t="str">
        <f aca="false">IF(AV1054&lt;=0,"",IF(BU1054="Aussen","Aussenlager",IF(BU1054="-","Nicht im Lift",IF(BA1054&gt;=1,"Lift",IF(BA1054&lt;=0,"Aussenlager","teilweise")))))</f>
        <v>Lift</v>
      </c>
      <c r="BE1054" s="55" t="str">
        <f aca="false">IF(A1054="","",IF(BN1054=1,"Neu; ","")&amp;IF(AND(BN1054=0,BI1054&lt;0),"negativer Bestand (Export "&amp;BI1054&amp;"); ","")&amp;IF(I1054&lt;=0,"Kein Verbrauch; ","")&amp;IF(CD1054&gt;0,"Lift "&amp;U1054&amp;" lt. Liftbericht (Fach "&amp;V1054&amp;" Stk); ",IF(BR1054=1,"Lose – Fläche geschätzt; ",""))&amp;IF(G1054&gt;AP1054,"Überbestand "&amp;ROUND(G1054-AP1054,0)&amp;" Stk / CHF "&amp;ROUND((G1054-AP1054)*F1054,0)&amp;"; ","")&amp;IF(AND(BW1054=1,BX1054&lt;BY1054),"MAX &lt; MB+LG; ","")&amp;IF(AND(CC1054&gt;0,CB1054*10&gt;CC1054),"zu hoch für Tablar; ","")&amp;IF(AND(BN1054=0,OR(BW1054=1,Y1054&lt;&gt;"",S1054&lt;&gt;"",T1054&lt;&gt;"",Z1054&lt;&gt;"")),"manuell übersteuert; ","")&amp;IF(AND(BR1054=0,Q1054=0),"Gebinde unbekannt / Stellmass fehlt; ","")&amp;IF(AND(BR1054=0,N(T1054)&lt;=0,N(P1054)&lt;=0),"Menge pro Gebinde fehlt (Ist = 1 Gebinde); ","")&amp;BM1054)</f>
        <v>negativer Bestand (Export -7); Neu</v>
      </c>
      <c r="BF1054" s="55"/>
      <c r="BG1054" s="55"/>
      <c r="BH1054" s="62"/>
      <c r="BI1054" s="57" t="n">
        <v>-7</v>
      </c>
      <c r="BJ1054" s="57" t="n">
        <v>9</v>
      </c>
      <c r="BK1054" s="56" t="n">
        <v>-146.81</v>
      </c>
      <c r="BL1054" s="57" t="n">
        <v>19</v>
      </c>
      <c r="BM1054" s="55" t="s">
        <v>615</v>
      </c>
      <c r="BN1054" s="60" t="n">
        <v>0</v>
      </c>
      <c r="BO1054" s="60" t="n">
        <v>1054</v>
      </c>
      <c r="BP1054" s="55" t="str">
        <f aca="false">IF(S1054&lt;&gt;"",UPPER(TRIM(S1054)),IF(O1054="","LOSE",O1054))</f>
        <v>S41</v>
      </c>
      <c r="BQ1054" s="57" t="n">
        <f aca="false">IF(BP1054="LOSE",1,IF(N(T1054)&gt;0,T1054,IF(N(P1054)&gt;0,P1054,MAX(1,G1054))))</f>
        <v>9</v>
      </c>
      <c r="BR1054" s="60" t="n">
        <f aca="false">IF(BP1054="LOSE",1,0)</f>
        <v>0</v>
      </c>
      <c r="BS1054" s="59" t="n">
        <f aca="false">IF(BR1054=0,0,IF(N(R1054)&gt;0,R1054,IFERROR(VLOOKUP(D1054,Parameter!$A$35:$C$64,3,0)+0,0)))</f>
        <v>0</v>
      </c>
      <c r="BT1054" s="55" t="n">
        <f aca="false">IF(Y1054&lt;&gt;"",Y1054,X1054)</f>
        <v>3</v>
      </c>
      <c r="BU1054" s="55" t="str">
        <f aca="false">IF(BT1054=1,"L1",IF(OR(BT1054=2,BT1054=3),"L23",IF(BT1054="Aussen","Aussen","-")))</f>
        <v>L23</v>
      </c>
      <c r="BV1054" s="66" t="n">
        <f aca="false">IF(N(Z1054)&gt;0,Z1054,0)</f>
        <v>0</v>
      </c>
      <c r="BW1054" s="60" t="n">
        <f aca="false">IF(ISNUMBER(AC1054),1,0)</f>
        <v>0</v>
      </c>
      <c r="BX1054" s="57" t="n">
        <f aca="false">N(AC1054)</f>
        <v>0</v>
      </c>
      <c r="BY1054" s="57" t="n">
        <f aca="false">N(L1054)+N(M1054)</f>
        <v>21</v>
      </c>
      <c r="BZ1054" s="57" t="n">
        <f aca="false">ROUNDUP(G1054/BQ1054,0)</f>
        <v>0</v>
      </c>
      <c r="CA1054" s="57" t="n">
        <f aca="false">ROUNDUP(BX1054/BQ1054,0)</f>
        <v>0</v>
      </c>
      <c r="CB1054" s="60" t="n">
        <f aca="false">IF(BR1054=1,0,IFERROR(VLOOKUP(BP1054,'Gebinde-Kategorie'!$A$5:$M$45,5,0)+0,0))</f>
        <v>11</v>
      </c>
      <c r="CC1054" s="60" t="n">
        <f aca="false">IFERROR(IF(OR(BT1054=1,BT1054=2,BT1054=3),N(INDEX(Parameter!$I$5:$I$7,BT1054)),0),0)</f>
        <v>0</v>
      </c>
      <c r="CD1054" s="59" t="n">
        <f aca="false">IF(AND(Parameter!$B$21="Ja",ISNUMBER(U1054),N(V1054)&gt;0),IFERROR(N(INDEX(Parameter!$L$5:$L$7,U1054))*INDEX(Parameter!$E$5:$E$7,U1054)*V1054/SUMIFS($V$7:$V$1576,$U$7:$U$1576,U1054),0),0)</f>
        <v>0</v>
      </c>
    </row>
    <row r="1055" customFormat="false" ht="15" hidden="false" customHeight="false" outlineLevel="0" collapsed="false">
      <c r="A1055" s="55" t="s">
        <v>1916</v>
      </c>
      <c r="B1055" s="55" t="s">
        <v>1917</v>
      </c>
      <c r="C1055" s="55" t="s">
        <v>446</v>
      </c>
      <c r="D1055" s="55" t="s">
        <v>168</v>
      </c>
      <c r="E1055" s="55" t="s">
        <v>210</v>
      </c>
      <c r="F1055" s="56" t="n">
        <v>147.86</v>
      </c>
      <c r="G1055" s="57" t="n">
        <f aca="false">MAX(0,IF(AND(Parameter!$B$21="Ja",ISNUMBER(W1055)),W1055,IF(Parameter!$B$20="Jahresanfang 2025 + Export",BJ1055+BI1055,BI1055)))</f>
        <v>0</v>
      </c>
      <c r="H1055" s="57" t="n">
        <f aca="false">G1055*F1055</f>
        <v>0</v>
      </c>
      <c r="I1055" s="57" t="n">
        <f aca="false">BL1055*Parameter!$B$18</f>
        <v>0</v>
      </c>
      <c r="J1055" s="58" t="n">
        <v>0.5</v>
      </c>
      <c r="K1055" s="59" t="n">
        <v>0</v>
      </c>
      <c r="L1055" s="57" t="n">
        <v>0</v>
      </c>
      <c r="M1055" s="57" t="n">
        <v>1</v>
      </c>
      <c r="N1055" s="60" t="n">
        <v>56</v>
      </c>
      <c r="O1055" s="55" t="s">
        <v>163</v>
      </c>
      <c r="P1055" s="57"/>
      <c r="Q1055" s="60" t="n">
        <f aca="false">IF(BR1055=1,0,IFERROR(VLOOKUP(BP1055,'Gebinde-Kategorie'!$A$5:$M$45,13,0)+0,0))</f>
        <v>0</v>
      </c>
      <c r="R1055" s="61"/>
      <c r="S1055" s="62"/>
      <c r="T1055" s="62"/>
      <c r="U1055" s="55"/>
      <c r="V1055" s="57"/>
      <c r="W1055" s="57"/>
      <c r="X1055" s="55" t="n">
        <f aca="false">IF(A1055="","",IF(AND(Parameter!$B$21="Ja",ISNUMBER(U1055)),U1055,IF(IFERROR(VLOOKUP(D1055,Parameter!$A$35:$C$64,2,0),"Nein")="2+3",IF(ISNUMBER(SEARCH("grosser Artikel",BM1055)),2,IFERROR(VLOOKUP(BP1055,Parameter!$F$35:$G$64,2,0),2)),IF(OR(IFERROR(VLOOKUP(D1055,Parameter!$A$35:$C$64,2,0),"Nein")="Nein",IFERROR(VLOOKUP(D1055,Parameter!$A$35:$C$64,2,0),"Nein")=""),"-",VLOOKUP(D1055,Parameter!$A$35:$C$64,2,0)))))</f>
        <v>2</v>
      </c>
      <c r="Y1055" s="62"/>
      <c r="Z1055" s="63"/>
      <c r="AA1055" s="57" t="n">
        <f aca="false">AP1055</f>
        <v>1</v>
      </c>
      <c r="AB1055" s="57" t="n">
        <f aca="false">MAX(AP1055,G1055)</f>
        <v>1</v>
      </c>
      <c r="AC1055" s="64"/>
      <c r="AD1055" s="57" t="n">
        <f aca="false">IF(LEFT(Cockpit!$C$5,1)="A",G1055,IF(BW1055=1,BX1055,IF(LEFT(Cockpit!$C$5,1)="B",AH1055,MAX(AH1055,G1055))))</f>
        <v>0</v>
      </c>
      <c r="AE1055" s="57" t="n">
        <f aca="false">IF(BR1055=1,0,ROUNDUP(AD1055/BQ1055,0))</f>
        <v>0</v>
      </c>
      <c r="AF1055" s="59" t="n">
        <f aca="false">IF(CD1055&gt;0,CD1055*MAX(1,AD1055/V1055),IF(BR1055=1,IF(AD1055&lt;=0,0,BS1055*MAX(1,IF(G1055&gt;0,AD1055/G1055,1))),IF(Q1055&gt;0,AE1055/Q1055,0))/MAX(0.1,N(Parameter!$M$21)))</f>
        <v>0</v>
      </c>
      <c r="AG1055" s="57" t="n">
        <f aca="false">AD1055*F1055</f>
        <v>0</v>
      </c>
      <c r="AH1055" s="57" t="n">
        <f aca="false">ROUNDUP(MAX(I1055/IF(BV1055&gt;0,BV1055,MAX(0.1,N(Cockpit!$C$6))),BY1055)/BQ1055,0)*BQ1055</f>
        <v>1</v>
      </c>
      <c r="AI1055" s="58" t="n">
        <f aca="false">IF(AF1055&gt;0,I1055/AF1055,-1)</f>
        <v>-1</v>
      </c>
      <c r="AJ1055" s="58" t="str">
        <f aca="false">IF(AND(OR(BU1055="L1",BU1055="L23"),AF1055&gt;0),SUMIFS($AF$7:$AF$1576,$BU$7:$BU$1576,BU1055,$AI$7:$AI$1576,"&gt;"&amp;AI1055)+SUMIFS($AF$7:$AF$1576,$BU$7:$BU$1576,BU1055,$AI$7:$AI$1576,AI1055,$BO$7:$BO$1576,"&lt;="&amp;BO1055),"")</f>
        <v/>
      </c>
      <c r="AK1055" s="65" t="n">
        <f aca="false">IF(AJ1055="",0,MAX(0,MIN(1,(IF(BU1055="L1",Parameter!$E$5,Parameter!$E$6+Parameter!$E$7)-(AJ1055-AF1055))/AF1055)))</f>
        <v>0</v>
      </c>
      <c r="AL1055" s="57" t="n">
        <f aca="false">IF(LEFT(Cockpit!$I$5,1)="A",G1055,IF(BW1055=1,BX1055,IF(LEFT(Cockpit!$I$5,1)="B",AP1055,MAX(AP1055,G1055))))</f>
        <v>1</v>
      </c>
      <c r="AM1055" s="57" t="n">
        <f aca="false">IF(BR1055=1,0,ROUNDUP(AL1055/BQ1055,0))</f>
        <v>0</v>
      </c>
      <c r="AN1055" s="59" t="n">
        <f aca="false">IF(CD1055&gt;0,CD1055*MAX(1,AL1055/V1055),IF(BR1055=1,IF(AL1055&lt;=0,0,BS1055*MAX(1,IF(G1055&gt;0,AL1055/G1055,1))),IF(Q1055&gt;0,AM1055/Q1055,0))/MAX(0.1,N(Parameter!$M$21)))</f>
        <v>0.15</v>
      </c>
      <c r="AO1055" s="57" t="n">
        <f aca="false">AL1055*F1055</f>
        <v>147.86</v>
      </c>
      <c r="AP1055" s="57" t="n">
        <f aca="false">ROUNDUP(MAX(I1055/IF(BV1055&gt;0,BV1055,MAX(0.1,N(Cockpit!$I$6))),BY1055)/BQ1055,0)*BQ1055</f>
        <v>1</v>
      </c>
      <c r="AQ1055" s="58" t="n">
        <f aca="false">IF(AN1055&gt;0,I1055/AN1055,-1)</f>
        <v>0</v>
      </c>
      <c r="AR1055" s="58" t="n">
        <f aca="false">IF(AND(OR(BU1055="L1",BU1055="L23"),AN1055&gt;0),SUMIFS($AN$7:$AN$1576,$BU$7:$BU$1576,BU1055,$AQ$7:$AQ$1576,"&gt;"&amp;AQ1055)+SUMIFS($AN$7:$AN$1576,$BU$7:$BU$1576,BU1055,$AQ$7:$AQ$1576,AQ1055,$BO$7:$BO$1576,"&lt;="&amp;BO1055),"")</f>
        <v>133.364208376212</v>
      </c>
      <c r="AS1055" s="65" t="n">
        <f aca="false">IF(AR1055="",0,MAX(0,MIN(1,(IF(BU1055="L1",Parameter!$E$5,Parameter!$E$6+Parameter!$E$7)-(AR1055-AN1055))/AN1055)))</f>
        <v>0</v>
      </c>
      <c r="AT1055" s="57" t="n">
        <f aca="false">IF(LEFT(Cockpit!$O$5,1)="A",G1055,IF(BW1055=1,BX1055,IF(LEFT(Cockpit!$O$5,1)="B",AX1055,MAX(AX1055,G1055))))</f>
        <v>1</v>
      </c>
      <c r="AU1055" s="57" t="n">
        <f aca="false">IF(BR1055=1,0,ROUNDUP(AT1055/BQ1055,0))</f>
        <v>0</v>
      </c>
      <c r="AV1055" s="59" t="n">
        <f aca="false">IF(CD1055&gt;0,CD1055*MAX(1,AT1055/V1055),IF(BR1055=1,IF(AT1055&lt;=0,0,BS1055*MAX(1,IF(G1055&gt;0,AT1055/G1055,1))),IF(Q1055&gt;0,AU1055/Q1055,0))/MAX(0.1,N(Parameter!$M$21)))</f>
        <v>0.15</v>
      </c>
      <c r="AW1055" s="57" t="n">
        <f aca="false">AT1055*F1055</f>
        <v>147.86</v>
      </c>
      <c r="AX1055" s="57" t="n">
        <f aca="false">ROUNDUP(MAX(I1055/IF(BV1055&gt;0,BV1055,MAX(0.1,N(Cockpit!$O$6))),BY1055)/BQ1055,0)*BQ1055</f>
        <v>1</v>
      </c>
      <c r="AY1055" s="58" t="n">
        <f aca="false">IF(AV1055&gt;0,I1055/AV1055,-1)</f>
        <v>0</v>
      </c>
      <c r="AZ1055" s="58" t="n">
        <f aca="false">IF(AND(OR(BU1055="L1",BU1055="L23"),AV1055&gt;0),SUMIFS($AV$7:$AV$1576,$BU$7:$BU$1576,BU1055,$AY$7:$AY$1576,"&gt;"&amp;AY1055)+SUMIFS($AV$7:$AV$1576,$BU$7:$BU$1576,BU1055,$AY$7:$AY$1576,AY1055,$BO$7:$BO$1576,"&lt;="&amp;BO1055),"")</f>
        <v>123.423758825763</v>
      </c>
      <c r="BA1055" s="65" t="n">
        <f aca="false">IF(AZ1055="",0,MAX(0,MIN(1,(IF(BU1055="L1",Parameter!$E$5,Parameter!$E$6+Parameter!$E$7)-(AZ1055-AV1055))/AV1055)))</f>
        <v>0</v>
      </c>
      <c r="BB1055" s="55" t="str">
        <f aca="false">IF(AF1055&lt;=0,"",IF(BU1055="Aussen","Aussenlager",IF(BU1055="-","Nicht im Lift",IF(AK1055&gt;=1,"Lift",IF(AK1055&lt;=0,"Aussenlager","teilweise")))))</f>
        <v/>
      </c>
      <c r="BC1055" s="55" t="str">
        <f aca="false">IF(AN1055&lt;=0,"",IF(BU1055="Aussen","Aussenlager",IF(BU1055="-","Nicht im Lift",IF(AS1055&gt;=1,"Lift",IF(AS1055&lt;=0,"Aussenlager","teilweise")))))</f>
        <v>Aussenlager</v>
      </c>
      <c r="BD1055" s="55" t="str">
        <f aca="false">IF(AV1055&lt;=0,"",IF(BU1055="Aussen","Aussenlager",IF(BU1055="-","Nicht im Lift",IF(BA1055&gt;=1,"Lift",IF(BA1055&lt;=0,"Aussenlager","teilweise")))))</f>
        <v>Aussenlager</v>
      </c>
      <c r="BE1055" s="55" t="str">
        <f aca="false">IF(A1055="","",IF(BN1055=1,"Neu; ","")&amp;IF(AND(BN1055=0,BI1055&lt;0),"negativer Bestand (Export "&amp;BI1055&amp;"); ","")&amp;IF(I1055&lt;=0,"Kein Verbrauch; ","")&amp;IF(CD1055&gt;0,"Lift "&amp;U1055&amp;" lt. Liftbericht (Fach "&amp;V1055&amp;" Stk); ",IF(BR1055=1,"Lose – Fläche geschätzt; ",""))&amp;IF(G1055&gt;AP1055,"Überbestand "&amp;ROUND(G1055-AP1055,0)&amp;" Stk / CHF "&amp;ROUND((G1055-AP1055)*F1055,0)&amp;"; ","")&amp;IF(AND(BW1055=1,BX1055&lt;BY1055),"MAX &lt; MB+LG; ","")&amp;IF(AND(CC1055&gt;0,CB1055*10&gt;CC1055),"zu hoch für Tablar; ","")&amp;IF(AND(BN1055=0,OR(BW1055=1,Y1055&lt;&gt;"",S1055&lt;&gt;"",T1055&lt;&gt;"",Z1055&lt;&gt;"")),"manuell übersteuert; ","")&amp;IF(AND(BR1055=0,Q1055=0),"Gebinde unbekannt / Stellmass fehlt; ","")&amp;IF(AND(BR1055=0,N(T1055)&lt;=0,N(P1055)&lt;=0),"Menge pro Gebinde fehlt (Ist = 1 Gebinde); ","")&amp;BM1055)</f>
        <v>negativer Bestand (Export -1); Kein Verbrauch; Lose – Fläche geschätzt; Neu</v>
      </c>
      <c r="BF1055" s="55"/>
      <c r="BG1055" s="55"/>
      <c r="BH1055" s="62"/>
      <c r="BI1055" s="57" t="n">
        <v>-1</v>
      </c>
      <c r="BJ1055" s="57" t="n">
        <v>1</v>
      </c>
      <c r="BK1055" s="56" t="n">
        <v>-147.86</v>
      </c>
      <c r="BL1055" s="57" t="n">
        <v>0</v>
      </c>
      <c r="BM1055" s="55" t="s">
        <v>615</v>
      </c>
      <c r="BN1055" s="60" t="n">
        <v>0</v>
      </c>
      <c r="BO1055" s="60" t="n">
        <v>1055</v>
      </c>
      <c r="BP1055" s="55" t="str">
        <f aca="false">IF(S1055&lt;&gt;"",UPPER(TRIM(S1055)),IF(O1055="","LOSE",O1055))</f>
        <v>LOSE</v>
      </c>
      <c r="BQ1055" s="57" t="n">
        <f aca="false">IF(BP1055="LOSE",1,IF(N(T1055)&gt;0,T1055,IF(N(P1055)&gt;0,P1055,MAX(1,G1055))))</f>
        <v>1</v>
      </c>
      <c r="BR1055" s="60" t="n">
        <f aca="false">IF(BP1055="LOSE",1,0)</f>
        <v>1</v>
      </c>
      <c r="BS1055" s="59" t="n">
        <f aca="false">IF(BR1055=0,0,IF(N(R1055)&gt;0,R1055,IFERROR(VLOOKUP(D1055,Parameter!$A$35:$C$64,3,0)+0,0)))</f>
        <v>0.15</v>
      </c>
      <c r="BT1055" s="55" t="n">
        <f aca="false">IF(Y1055&lt;&gt;"",Y1055,X1055)</f>
        <v>2</v>
      </c>
      <c r="BU1055" s="55" t="str">
        <f aca="false">IF(BT1055=1,"L1",IF(OR(BT1055=2,BT1055=3),"L23",IF(BT1055="Aussen","Aussen","-")))</f>
        <v>L23</v>
      </c>
      <c r="BV1055" s="66" t="n">
        <f aca="false">IF(N(Z1055)&gt;0,Z1055,0)</f>
        <v>0</v>
      </c>
      <c r="BW1055" s="60" t="n">
        <f aca="false">IF(ISNUMBER(AC1055),1,0)</f>
        <v>0</v>
      </c>
      <c r="BX1055" s="57" t="n">
        <f aca="false">N(AC1055)</f>
        <v>0</v>
      </c>
      <c r="BY1055" s="57" t="n">
        <f aca="false">N(L1055)+N(M1055)</f>
        <v>1</v>
      </c>
      <c r="BZ1055" s="57" t="n">
        <f aca="false">ROUNDUP(G1055/BQ1055,0)</f>
        <v>0</v>
      </c>
      <c r="CA1055" s="57" t="n">
        <f aca="false">ROUNDUP(BX1055/BQ1055,0)</f>
        <v>0</v>
      </c>
      <c r="CB1055" s="60" t="n">
        <f aca="false">IF(BR1055=1,0,IFERROR(VLOOKUP(BP1055,'Gebinde-Kategorie'!$A$5:$M$45,5,0)+0,0))</f>
        <v>0</v>
      </c>
      <c r="CC1055" s="60" t="n">
        <f aca="false">IFERROR(IF(OR(BT1055=1,BT1055=2,BT1055=3),N(INDEX(Parameter!$I$5:$I$7,BT1055)),0),0)</f>
        <v>0</v>
      </c>
      <c r="CD1055" s="59" t="n">
        <f aca="false">IF(AND(Parameter!$B$21="Ja",ISNUMBER(U1055),N(V1055)&gt;0),IFERROR(N(INDEX(Parameter!$L$5:$L$7,U1055))*INDEX(Parameter!$E$5:$E$7,U1055)*V1055/SUMIFS($V$7:$V$1576,$U$7:$U$1576,U1055),0),0)</f>
        <v>0</v>
      </c>
    </row>
    <row r="1056" customFormat="false" ht="15" hidden="false" customHeight="false" outlineLevel="0" collapsed="false">
      <c r="A1056" s="55" t="s">
        <v>1918</v>
      </c>
      <c r="B1056" s="55" t="s">
        <v>1919</v>
      </c>
      <c r="C1056" s="55" t="s">
        <v>160</v>
      </c>
      <c r="D1056" s="55" t="s">
        <v>178</v>
      </c>
      <c r="E1056" s="55" t="s">
        <v>210</v>
      </c>
      <c r="F1056" s="56" t="n">
        <v>147.96</v>
      </c>
      <c r="G1056" s="57" t="n">
        <f aca="false">MAX(0,IF(AND(Parameter!$B$21="Ja",ISNUMBER(W1056)),W1056,IF(Parameter!$B$20="Jahresanfang 2025 + Export",BJ1056+BI1056,BI1056)))</f>
        <v>0</v>
      </c>
      <c r="H1056" s="57" t="n">
        <f aca="false">G1056*F1056</f>
        <v>0</v>
      </c>
      <c r="I1056" s="57" t="n">
        <f aca="false">BL1056*Parameter!$B$18</f>
        <v>0</v>
      </c>
      <c r="J1056" s="58" t="n">
        <v>4.5</v>
      </c>
      <c r="K1056" s="59" t="n">
        <v>0</v>
      </c>
      <c r="L1056" s="57" t="n">
        <v>0</v>
      </c>
      <c r="M1056" s="57" t="n">
        <v>1</v>
      </c>
      <c r="N1056" s="60" t="n">
        <v>56</v>
      </c>
      <c r="O1056" s="55" t="s">
        <v>293</v>
      </c>
      <c r="P1056" s="57" t="n">
        <v>5</v>
      </c>
      <c r="Q1056" s="60" t="n">
        <f aca="false">IF(BR1056=1,0,IFERROR(VLOOKUP(BP1056,'Gebinde-Kategorie'!$A$5:$M$45,13,0)+0,0))</f>
        <v>26</v>
      </c>
      <c r="R1056" s="61"/>
      <c r="S1056" s="62"/>
      <c r="T1056" s="62"/>
      <c r="U1056" s="55"/>
      <c r="V1056" s="57"/>
      <c r="W1056" s="57"/>
      <c r="X1056" s="55" t="n">
        <f aca="false">IF(A1056="","",IF(AND(Parameter!$B$21="Ja",ISNUMBER(U1056)),U1056,IF(IFERROR(VLOOKUP(D1056,Parameter!$A$35:$C$64,2,0),"Nein")="2+3",IF(ISNUMBER(SEARCH("grosser Artikel",BM1056)),2,IFERROR(VLOOKUP(BP1056,Parameter!$F$35:$G$64,2,0),2)),IF(OR(IFERROR(VLOOKUP(D1056,Parameter!$A$35:$C$64,2,0),"Nein")="Nein",IFERROR(VLOOKUP(D1056,Parameter!$A$35:$C$64,2,0),"Nein")=""),"-",VLOOKUP(D1056,Parameter!$A$35:$C$64,2,0)))))</f>
        <v>3</v>
      </c>
      <c r="Y1056" s="62"/>
      <c r="Z1056" s="63"/>
      <c r="AA1056" s="57" t="n">
        <f aca="false">AP1056</f>
        <v>5</v>
      </c>
      <c r="AB1056" s="57" t="n">
        <f aca="false">MAX(AP1056,G1056)</f>
        <v>5</v>
      </c>
      <c r="AC1056" s="64"/>
      <c r="AD1056" s="57" t="n">
        <f aca="false">IF(LEFT(Cockpit!$C$5,1)="A",G1056,IF(BW1056=1,BX1056,IF(LEFT(Cockpit!$C$5,1)="B",AH1056,MAX(AH1056,G1056))))</f>
        <v>0</v>
      </c>
      <c r="AE1056" s="57" t="n">
        <f aca="false">IF(BR1056=1,0,ROUNDUP(AD1056/BQ1056,0))</f>
        <v>0</v>
      </c>
      <c r="AF1056" s="59" t="n">
        <f aca="false">IF(CD1056&gt;0,CD1056*MAX(1,AD1056/V1056),IF(BR1056=1,IF(AD1056&lt;=0,0,BS1056*MAX(1,IF(G1056&gt;0,AD1056/G1056,1))),IF(Q1056&gt;0,AE1056/Q1056,0))/MAX(0.1,N(Parameter!$M$21)))</f>
        <v>0</v>
      </c>
      <c r="AG1056" s="57" t="n">
        <f aca="false">AD1056*F1056</f>
        <v>0</v>
      </c>
      <c r="AH1056" s="57" t="n">
        <f aca="false">ROUNDUP(MAX(I1056/IF(BV1056&gt;0,BV1056,MAX(0.1,N(Cockpit!$C$6))),BY1056)/BQ1056,0)*BQ1056</f>
        <v>5</v>
      </c>
      <c r="AI1056" s="58" t="n">
        <f aca="false">IF(AF1056&gt;0,I1056/AF1056,-1)</f>
        <v>-1</v>
      </c>
      <c r="AJ1056" s="58" t="str">
        <f aca="false">IF(AND(OR(BU1056="L1",BU1056="L23"),AF1056&gt;0),SUMIFS($AF$7:$AF$1576,$BU$7:$BU$1576,BU1056,$AI$7:$AI$1576,"&gt;"&amp;AI1056)+SUMIFS($AF$7:$AF$1576,$BU$7:$BU$1576,BU1056,$AI$7:$AI$1576,AI1056,$BO$7:$BO$1576,"&lt;="&amp;BO1056),"")</f>
        <v/>
      </c>
      <c r="AK1056" s="65" t="n">
        <f aca="false">IF(AJ1056="",0,MAX(0,MIN(1,(IF(BU1056="L1",Parameter!$E$5,Parameter!$E$6+Parameter!$E$7)-(AJ1056-AF1056))/AF1056)))</f>
        <v>0</v>
      </c>
      <c r="AL1056" s="57" t="n">
        <f aca="false">IF(LEFT(Cockpit!$I$5,1)="A",G1056,IF(BW1056=1,BX1056,IF(LEFT(Cockpit!$I$5,1)="B",AP1056,MAX(AP1056,G1056))))</f>
        <v>5</v>
      </c>
      <c r="AM1056" s="57" t="n">
        <f aca="false">IF(BR1056=1,0,ROUNDUP(AL1056/BQ1056,0))</f>
        <v>1</v>
      </c>
      <c r="AN1056" s="59" t="n">
        <f aca="false">IF(CD1056&gt;0,CD1056*MAX(1,AL1056/V1056),IF(BR1056=1,IF(AL1056&lt;=0,0,BS1056*MAX(1,IF(G1056&gt;0,AL1056/G1056,1))),IF(Q1056&gt;0,AM1056/Q1056,0))/MAX(0.1,N(Parameter!$M$21)))</f>
        <v>0.0384615384615385</v>
      </c>
      <c r="AO1056" s="57" t="n">
        <f aca="false">AL1056*F1056</f>
        <v>739.8</v>
      </c>
      <c r="AP1056" s="57" t="n">
        <f aca="false">ROUNDUP(MAX(I1056/IF(BV1056&gt;0,BV1056,MAX(0.1,N(Cockpit!$I$6))),BY1056)/BQ1056,0)*BQ1056</f>
        <v>5</v>
      </c>
      <c r="AQ1056" s="58" t="n">
        <f aca="false">IF(AN1056&gt;0,I1056/AN1056,-1)</f>
        <v>0</v>
      </c>
      <c r="AR1056" s="58" t="n">
        <f aca="false">IF(AND(OR(BU1056="L1",BU1056="L23"),AN1056&gt;0),SUMIFS($AN$7:$AN$1576,$BU$7:$BU$1576,BU1056,$AQ$7:$AQ$1576,"&gt;"&amp;AQ1056)+SUMIFS($AN$7:$AN$1576,$BU$7:$BU$1576,BU1056,$AQ$7:$AQ$1576,AQ1056,$BO$7:$BO$1576,"&lt;="&amp;BO1056),"")</f>
        <v>133.402669914674</v>
      </c>
      <c r="AS1056" s="65" t="n">
        <f aca="false">IF(AR1056="",0,MAX(0,MIN(1,(IF(BU1056="L1",Parameter!$E$5,Parameter!$E$6+Parameter!$E$7)-(AR1056-AN1056))/AN1056)))</f>
        <v>0</v>
      </c>
      <c r="AT1056" s="57" t="n">
        <f aca="false">IF(LEFT(Cockpit!$O$5,1)="A",G1056,IF(BW1056=1,BX1056,IF(LEFT(Cockpit!$O$5,1)="B",AX1056,MAX(AX1056,G1056))))</f>
        <v>5</v>
      </c>
      <c r="AU1056" s="57" t="n">
        <f aca="false">IF(BR1056=1,0,ROUNDUP(AT1056/BQ1056,0))</f>
        <v>1</v>
      </c>
      <c r="AV1056" s="59" t="n">
        <f aca="false">IF(CD1056&gt;0,CD1056*MAX(1,AT1056/V1056),IF(BR1056=1,IF(AT1056&lt;=0,0,BS1056*MAX(1,IF(G1056&gt;0,AT1056/G1056,1))),IF(Q1056&gt;0,AU1056/Q1056,0))/MAX(0.1,N(Parameter!$M$21)))</f>
        <v>0.0384615384615385</v>
      </c>
      <c r="AW1056" s="57" t="n">
        <f aca="false">AT1056*F1056</f>
        <v>739.8</v>
      </c>
      <c r="AX1056" s="57" t="n">
        <f aca="false">ROUNDUP(MAX(I1056/IF(BV1056&gt;0,BV1056,MAX(0.1,N(Cockpit!$O$6))),BY1056)/BQ1056,0)*BQ1056</f>
        <v>5</v>
      </c>
      <c r="AY1056" s="58" t="n">
        <f aca="false">IF(AV1056&gt;0,I1056/AV1056,-1)</f>
        <v>0</v>
      </c>
      <c r="AZ1056" s="58" t="n">
        <f aca="false">IF(AND(OR(BU1056="L1",BU1056="L23"),AV1056&gt;0),SUMIFS($AV$7:$AV$1576,$BU$7:$BU$1576,BU1056,$AY$7:$AY$1576,"&gt;"&amp;AY1056)+SUMIFS($AV$7:$AV$1576,$BU$7:$BU$1576,BU1056,$AY$7:$AY$1576,AY1056,$BO$7:$BO$1576,"&lt;="&amp;BO1056),"")</f>
        <v>123.462220364224</v>
      </c>
      <c r="BA1056" s="65" t="n">
        <f aca="false">IF(AZ1056="",0,MAX(0,MIN(1,(IF(BU1056="L1",Parameter!$E$5,Parameter!$E$6+Parameter!$E$7)-(AZ1056-AV1056))/AV1056)))</f>
        <v>0</v>
      </c>
      <c r="BB1056" s="55" t="str">
        <f aca="false">IF(AF1056&lt;=0,"",IF(BU1056="Aussen","Aussenlager",IF(BU1056="-","Nicht im Lift",IF(AK1056&gt;=1,"Lift",IF(AK1056&lt;=0,"Aussenlager","teilweise")))))</f>
        <v/>
      </c>
      <c r="BC1056" s="55" t="str">
        <f aca="false">IF(AN1056&lt;=0,"",IF(BU1056="Aussen","Aussenlager",IF(BU1056="-","Nicht im Lift",IF(AS1056&gt;=1,"Lift",IF(AS1056&lt;=0,"Aussenlager","teilweise")))))</f>
        <v>Aussenlager</v>
      </c>
      <c r="BD1056" s="55" t="str">
        <f aca="false">IF(AV1056&lt;=0,"",IF(BU1056="Aussen","Aussenlager",IF(BU1056="-","Nicht im Lift",IF(BA1056&gt;=1,"Lift",IF(BA1056&lt;=0,"Aussenlager","teilweise")))))</f>
        <v>Aussenlager</v>
      </c>
      <c r="BE1056" s="55" t="str">
        <f aca="false">IF(A1056="","",IF(BN1056=1,"Neu; ","")&amp;IF(AND(BN1056=0,BI1056&lt;0),"negativer Bestand (Export "&amp;BI1056&amp;"); ","")&amp;IF(I1056&lt;=0,"Kein Verbrauch; ","")&amp;IF(CD1056&gt;0,"Lift "&amp;U1056&amp;" lt. Liftbericht (Fach "&amp;V1056&amp;" Stk); ",IF(BR1056=1,"Lose – Fläche geschätzt; ",""))&amp;IF(G1056&gt;AP1056,"Überbestand "&amp;ROUND(G1056-AP1056,0)&amp;" Stk / CHF "&amp;ROUND((G1056-AP1056)*F1056,0)&amp;"; ","")&amp;IF(AND(BW1056=1,BX1056&lt;BY1056),"MAX &lt; MB+LG; ","")&amp;IF(AND(CC1056&gt;0,CB1056*10&gt;CC1056),"zu hoch für Tablar; ","")&amp;IF(AND(BN1056=0,OR(BW1056=1,Y1056&lt;&gt;"",S1056&lt;&gt;"",T1056&lt;&gt;"",Z1056&lt;&gt;"")),"manuell übersteuert; ","")&amp;IF(AND(BR1056=0,Q1056=0),"Gebinde unbekannt / Stellmass fehlt; ","")&amp;IF(AND(BR1056=0,N(T1056)&lt;=0,N(P1056)&lt;=0),"Menge pro Gebinde fehlt (Ist = 1 Gebinde); ","")&amp;BM1056)</f>
        <v>negativer Bestand (Export -1); Kein Verbrauch; </v>
      </c>
      <c r="BF1056" s="55"/>
      <c r="BG1056" s="55"/>
      <c r="BH1056" s="62"/>
      <c r="BI1056" s="57" t="n">
        <v>-1</v>
      </c>
      <c r="BJ1056" s="57" t="n">
        <v>5</v>
      </c>
      <c r="BK1056" s="56" t="n">
        <v>-147.96</v>
      </c>
      <c r="BL1056" s="57" t="n">
        <v>0</v>
      </c>
      <c r="BM1056" s="55"/>
      <c r="BN1056" s="60" t="n">
        <v>0</v>
      </c>
      <c r="BO1056" s="60" t="n">
        <v>1056</v>
      </c>
      <c r="BP1056" s="55" t="str">
        <f aca="false">IF(S1056&lt;&gt;"",UPPER(TRIM(S1056)),IF(O1056="","LOSE",O1056))</f>
        <v>S51</v>
      </c>
      <c r="BQ1056" s="57" t="n">
        <f aca="false">IF(BP1056="LOSE",1,IF(N(T1056)&gt;0,T1056,IF(N(P1056)&gt;0,P1056,MAX(1,G1056))))</f>
        <v>5</v>
      </c>
      <c r="BR1056" s="60" t="n">
        <f aca="false">IF(BP1056="LOSE",1,0)</f>
        <v>0</v>
      </c>
      <c r="BS1056" s="59" t="n">
        <f aca="false">IF(BR1056=0,0,IF(N(R1056)&gt;0,R1056,IFERROR(VLOOKUP(D1056,Parameter!$A$35:$C$64,3,0)+0,0)))</f>
        <v>0</v>
      </c>
      <c r="BT1056" s="55" t="n">
        <f aca="false">IF(Y1056&lt;&gt;"",Y1056,X1056)</f>
        <v>3</v>
      </c>
      <c r="BU1056" s="55" t="str">
        <f aca="false">IF(BT1056=1,"L1",IF(OR(BT1056=2,BT1056=3),"L23",IF(BT1056="Aussen","Aussen","-")))</f>
        <v>L23</v>
      </c>
      <c r="BV1056" s="66" t="n">
        <f aca="false">IF(N(Z1056)&gt;0,Z1056,0)</f>
        <v>0</v>
      </c>
      <c r="BW1056" s="60" t="n">
        <f aca="false">IF(ISNUMBER(AC1056),1,0)</f>
        <v>0</v>
      </c>
      <c r="BX1056" s="57" t="n">
        <f aca="false">N(AC1056)</f>
        <v>0</v>
      </c>
      <c r="BY1056" s="57" t="n">
        <f aca="false">N(L1056)+N(M1056)</f>
        <v>1</v>
      </c>
      <c r="BZ1056" s="57" t="n">
        <f aca="false">ROUNDUP(G1056/BQ1056,0)</f>
        <v>0</v>
      </c>
      <c r="CA1056" s="57" t="n">
        <f aca="false">ROUNDUP(BX1056/BQ1056,0)</f>
        <v>0</v>
      </c>
      <c r="CB1056" s="60" t="n">
        <f aca="false">IF(BR1056=1,0,IFERROR(VLOOKUP(BP1056,'Gebinde-Kategorie'!$A$5:$M$45,5,0)+0,0))</f>
        <v>11</v>
      </c>
      <c r="CC1056" s="60" t="n">
        <f aca="false">IFERROR(IF(OR(BT1056=1,BT1056=2,BT1056=3),N(INDEX(Parameter!$I$5:$I$7,BT1056)),0),0)</f>
        <v>0</v>
      </c>
      <c r="CD1056" s="59" t="n">
        <f aca="false">IF(AND(Parameter!$B$21="Ja",ISNUMBER(U1056),N(V1056)&gt;0),IFERROR(N(INDEX(Parameter!$L$5:$L$7,U1056))*INDEX(Parameter!$E$5:$E$7,U1056)*V1056/SUMIFS($V$7:$V$1576,$U$7:$U$1576,U1056),0),0)</f>
        <v>0</v>
      </c>
    </row>
    <row r="1057" customFormat="false" ht="15" hidden="false" customHeight="false" outlineLevel="0" collapsed="false">
      <c r="A1057" s="55" t="s">
        <v>1920</v>
      </c>
      <c r="B1057" s="55" t="s">
        <v>706</v>
      </c>
      <c r="C1057" s="55" t="s">
        <v>160</v>
      </c>
      <c r="D1057" s="55" t="s">
        <v>168</v>
      </c>
      <c r="E1057" s="55" t="s">
        <v>210</v>
      </c>
      <c r="F1057" s="56" t="n">
        <v>75</v>
      </c>
      <c r="G1057" s="57" t="n">
        <f aca="false">MAX(0,IF(AND(Parameter!$B$21="Ja",ISNUMBER(W1057)),W1057,IF(Parameter!$B$20="Jahresanfang 2025 + Export",BJ1057+BI1057,BI1057)))</f>
        <v>0</v>
      </c>
      <c r="H1057" s="57" t="n">
        <f aca="false">G1057*F1057</f>
        <v>0</v>
      </c>
      <c r="I1057" s="57" t="n">
        <f aca="false">BL1057*Parameter!$B$18</f>
        <v>27</v>
      </c>
      <c r="J1057" s="58" t="n">
        <v>12.5</v>
      </c>
      <c r="K1057" s="59" t="n">
        <v>2.16</v>
      </c>
      <c r="L1057" s="57" t="n">
        <v>1</v>
      </c>
      <c r="M1057" s="57" t="n">
        <v>25</v>
      </c>
      <c r="N1057" s="60" t="n">
        <v>21</v>
      </c>
      <c r="O1057" s="55" t="s">
        <v>179</v>
      </c>
      <c r="P1057" s="57" t="n">
        <v>25</v>
      </c>
      <c r="Q1057" s="60" t="n">
        <f aca="false">IF(BR1057=1,0,IFERROR(VLOOKUP(BP1057,'Gebinde-Kategorie'!$A$5:$M$45,13,0)+0,0))</f>
        <v>12</v>
      </c>
      <c r="R1057" s="61"/>
      <c r="S1057" s="62"/>
      <c r="T1057" s="62"/>
      <c r="U1057" s="55"/>
      <c r="V1057" s="57"/>
      <c r="W1057" s="57"/>
      <c r="X1057" s="55" t="n">
        <f aca="false">IF(A1057="","",IF(AND(Parameter!$B$21="Ja",ISNUMBER(U1057)),U1057,IF(IFERROR(VLOOKUP(D1057,Parameter!$A$35:$C$64,2,0),"Nein")="2+3",IF(ISNUMBER(SEARCH("grosser Artikel",BM1057)),2,IFERROR(VLOOKUP(BP1057,Parameter!$F$35:$G$64,2,0),2)),IF(OR(IFERROR(VLOOKUP(D1057,Parameter!$A$35:$C$64,2,0),"Nein")="Nein",IFERROR(VLOOKUP(D1057,Parameter!$A$35:$C$64,2,0),"Nein")=""),"-",VLOOKUP(D1057,Parameter!$A$35:$C$64,2,0)))))</f>
        <v>2</v>
      </c>
      <c r="Y1057" s="62"/>
      <c r="Z1057" s="63"/>
      <c r="AA1057" s="57" t="n">
        <f aca="false">AP1057</f>
        <v>50</v>
      </c>
      <c r="AB1057" s="57" t="n">
        <f aca="false">MAX(AP1057,G1057)</f>
        <v>50</v>
      </c>
      <c r="AC1057" s="64"/>
      <c r="AD1057" s="57" t="n">
        <f aca="false">IF(LEFT(Cockpit!$C$5,1)="A",G1057,IF(BW1057=1,BX1057,IF(LEFT(Cockpit!$C$5,1)="B",AH1057,MAX(AH1057,G1057))))</f>
        <v>0</v>
      </c>
      <c r="AE1057" s="57" t="n">
        <f aca="false">IF(BR1057=1,0,ROUNDUP(AD1057/BQ1057,0))</f>
        <v>0</v>
      </c>
      <c r="AF1057" s="59" t="n">
        <f aca="false">IF(CD1057&gt;0,CD1057*MAX(1,AD1057/V1057),IF(BR1057=1,IF(AD1057&lt;=0,0,BS1057*MAX(1,IF(G1057&gt;0,AD1057/G1057,1))),IF(Q1057&gt;0,AE1057/Q1057,0))/MAX(0.1,N(Parameter!$M$21)))</f>
        <v>0</v>
      </c>
      <c r="AG1057" s="57" t="n">
        <f aca="false">AD1057*F1057</f>
        <v>0</v>
      </c>
      <c r="AH1057" s="57" t="n">
        <f aca="false">ROUNDUP(MAX(I1057/IF(BV1057&gt;0,BV1057,MAX(0.1,N(Cockpit!$C$6))),BY1057)/BQ1057,0)*BQ1057</f>
        <v>50</v>
      </c>
      <c r="AI1057" s="58" t="n">
        <f aca="false">IF(AF1057&gt;0,I1057/AF1057,-1)</f>
        <v>-1</v>
      </c>
      <c r="AJ1057" s="58" t="str">
        <f aca="false">IF(AND(OR(BU1057="L1",BU1057="L23"),AF1057&gt;0),SUMIFS($AF$7:$AF$1576,$BU$7:$BU$1576,BU1057,$AI$7:$AI$1576,"&gt;"&amp;AI1057)+SUMIFS($AF$7:$AF$1576,$BU$7:$BU$1576,BU1057,$AI$7:$AI$1576,AI1057,$BO$7:$BO$1576,"&lt;="&amp;BO1057),"")</f>
        <v/>
      </c>
      <c r="AK1057" s="65" t="n">
        <f aca="false">IF(AJ1057="",0,MAX(0,MIN(1,(IF(BU1057="L1",Parameter!$E$5,Parameter!$E$6+Parameter!$E$7)-(AJ1057-AF1057))/AF1057)))</f>
        <v>0</v>
      </c>
      <c r="AL1057" s="57" t="n">
        <f aca="false">IF(LEFT(Cockpit!$I$5,1)="A",G1057,IF(BW1057=1,BX1057,IF(LEFT(Cockpit!$I$5,1)="B",AP1057,MAX(AP1057,G1057))))</f>
        <v>50</v>
      </c>
      <c r="AM1057" s="57" t="n">
        <f aca="false">IF(BR1057=1,0,ROUNDUP(AL1057/BQ1057,0))</f>
        <v>2</v>
      </c>
      <c r="AN1057" s="59" t="n">
        <f aca="false">IF(CD1057&gt;0,CD1057*MAX(1,AL1057/V1057),IF(BR1057=1,IF(AL1057&lt;=0,0,BS1057*MAX(1,IF(G1057&gt;0,AL1057/G1057,1))),IF(Q1057&gt;0,AM1057/Q1057,0))/MAX(0.1,N(Parameter!$M$21)))</f>
        <v>0.166666666666667</v>
      </c>
      <c r="AO1057" s="57" t="n">
        <f aca="false">AL1057*F1057</f>
        <v>3750</v>
      </c>
      <c r="AP1057" s="57" t="n">
        <f aca="false">ROUNDUP(MAX(I1057/IF(BV1057&gt;0,BV1057,MAX(0.1,N(Cockpit!$I$6))),BY1057)/BQ1057,0)*BQ1057</f>
        <v>50</v>
      </c>
      <c r="AQ1057" s="58" t="n">
        <f aca="false">IF(AN1057&gt;0,I1057/AN1057,-1)</f>
        <v>162</v>
      </c>
      <c r="AR1057" s="58" t="n">
        <f aca="false">IF(AND(OR(BU1057="L1",BU1057="L23"),AN1057&gt;0),SUMIFS($AN$7:$AN$1576,$BU$7:$BU$1576,BU1057,$AQ$7:$AQ$1576,"&gt;"&amp;AQ1057)+SUMIFS($AN$7:$AN$1576,$BU$7:$BU$1576,BU1057,$AQ$7:$AQ$1576,AQ1057,$BO$7:$BO$1576,"&lt;="&amp;BO1057),"")</f>
        <v>53.5500559950672</v>
      </c>
      <c r="AS1057" s="65" t="n">
        <f aca="false">IF(AR1057="",0,MAX(0,MIN(1,(IF(BU1057="L1",Parameter!$E$5,Parameter!$E$6+Parameter!$E$7)-(AR1057-AN1057))/AN1057)))</f>
        <v>1</v>
      </c>
      <c r="AT1057" s="57" t="n">
        <f aca="false">IF(LEFT(Cockpit!$O$5,1)="A",G1057,IF(BW1057=1,BX1057,IF(LEFT(Cockpit!$O$5,1)="B",AX1057,MAX(AX1057,G1057))))</f>
        <v>50</v>
      </c>
      <c r="AU1057" s="57" t="n">
        <f aca="false">IF(BR1057=1,0,ROUNDUP(AT1057/BQ1057,0))</f>
        <v>2</v>
      </c>
      <c r="AV1057" s="59" t="n">
        <f aca="false">IF(CD1057&gt;0,CD1057*MAX(1,AT1057/V1057),IF(BR1057=1,IF(AT1057&lt;=0,0,BS1057*MAX(1,IF(G1057&gt;0,AT1057/G1057,1))),IF(Q1057&gt;0,AU1057/Q1057,0))/MAX(0.1,N(Parameter!$M$21)))</f>
        <v>0.166666666666667</v>
      </c>
      <c r="AW1057" s="57" t="n">
        <f aca="false">AT1057*F1057</f>
        <v>3750</v>
      </c>
      <c r="AX1057" s="57" t="n">
        <f aca="false">ROUNDUP(MAX(I1057/IF(BV1057&gt;0,BV1057,MAX(0.1,N(Cockpit!$O$6))),BY1057)/BQ1057,0)*BQ1057</f>
        <v>50</v>
      </c>
      <c r="AY1057" s="58" t="n">
        <f aca="false">IF(AV1057&gt;0,I1057/AV1057,-1)</f>
        <v>162</v>
      </c>
      <c r="AZ1057" s="58" t="n">
        <f aca="false">IF(AND(OR(BU1057="L1",BU1057="L23"),AV1057&gt;0),SUMIFS($AV$7:$AV$1576,$BU$7:$BU$1576,BU1057,$AY$7:$AY$1576,"&gt;"&amp;AY1057)+SUMIFS($AV$7:$AV$1576,$BU$7:$BU$1576,BU1057,$AY$7:$AY$1576,AY1057,$BO$7:$BO$1576,"&lt;="&amp;BO1057),"")</f>
        <v>49.3820306870418</v>
      </c>
      <c r="BA1057" s="65" t="n">
        <f aca="false">IF(AZ1057="",0,MAX(0,MIN(1,(IF(BU1057="L1",Parameter!$E$5,Parameter!$E$6+Parameter!$E$7)-(AZ1057-AV1057))/AV1057)))</f>
        <v>1</v>
      </c>
      <c r="BB1057" s="55" t="str">
        <f aca="false">IF(AF1057&lt;=0,"",IF(BU1057="Aussen","Aussenlager",IF(BU1057="-","Nicht im Lift",IF(AK1057&gt;=1,"Lift",IF(AK1057&lt;=0,"Aussenlager","teilweise")))))</f>
        <v/>
      </c>
      <c r="BC1057" s="55" t="str">
        <f aca="false">IF(AN1057&lt;=0,"",IF(BU1057="Aussen","Aussenlager",IF(BU1057="-","Nicht im Lift",IF(AS1057&gt;=1,"Lift",IF(AS1057&lt;=0,"Aussenlager","teilweise")))))</f>
        <v>Lift</v>
      </c>
      <c r="BD1057" s="55" t="str">
        <f aca="false">IF(AV1057&lt;=0,"",IF(BU1057="Aussen","Aussenlager",IF(BU1057="-","Nicht im Lift",IF(BA1057&gt;=1,"Lift",IF(BA1057&lt;=0,"Aussenlager","teilweise")))))</f>
        <v>Lift</v>
      </c>
      <c r="BE1057" s="55" t="str">
        <f aca="false">IF(A1057="","",IF(BN1057=1,"Neu; ","")&amp;IF(AND(BN1057=0,BI1057&lt;0),"negativer Bestand (Export "&amp;BI1057&amp;"); ","")&amp;IF(I1057&lt;=0,"Kein Verbrauch; ","")&amp;IF(CD1057&gt;0,"Lift "&amp;U1057&amp;" lt. Liftbericht (Fach "&amp;V1057&amp;" Stk); ",IF(BR1057=1,"Lose – Fläche geschätzt; ",""))&amp;IF(G1057&gt;AP1057,"Überbestand "&amp;ROUND(G1057-AP1057,0)&amp;" Stk / CHF "&amp;ROUND((G1057-AP1057)*F1057,0)&amp;"; ","")&amp;IF(AND(BW1057=1,BX1057&lt;BY1057),"MAX &lt; MB+LG; ","")&amp;IF(AND(CC1057&gt;0,CB1057*10&gt;CC1057),"zu hoch für Tablar; ","")&amp;IF(AND(BN1057=0,OR(BW1057=1,Y1057&lt;&gt;"",S1057&lt;&gt;"",T1057&lt;&gt;"",Z1057&lt;&gt;"")),"manuell übersteuert; ","")&amp;IF(AND(BR1057=0,Q1057=0),"Gebinde unbekannt / Stellmass fehlt; ","")&amp;IF(AND(BR1057=0,N(T1057)&lt;=0,N(P1057)&lt;=0),"Menge pro Gebinde fehlt (Ist = 1 Gebinde); ","")&amp;BM1057)</f>
        <v>negativer Bestand (Export -2); </v>
      </c>
      <c r="BF1057" s="55"/>
      <c r="BG1057" s="55"/>
      <c r="BH1057" s="62"/>
      <c r="BI1057" s="57" t="n">
        <v>-2</v>
      </c>
      <c r="BJ1057" s="57" t="n">
        <v>6</v>
      </c>
      <c r="BK1057" s="56" t="n">
        <v>-148.26</v>
      </c>
      <c r="BL1057" s="57" t="n">
        <v>27</v>
      </c>
      <c r="BM1057" s="55"/>
      <c r="BN1057" s="60" t="n">
        <v>0</v>
      </c>
      <c r="BO1057" s="60" t="n">
        <v>1057</v>
      </c>
      <c r="BP1057" s="55" t="str">
        <f aca="false">IF(S1057&lt;&gt;"",UPPER(TRIM(S1057)),IF(O1057="","LOSE",O1057))</f>
        <v>S61</v>
      </c>
      <c r="BQ1057" s="57" t="n">
        <f aca="false">IF(BP1057="LOSE",1,IF(N(T1057)&gt;0,T1057,IF(N(P1057)&gt;0,P1057,MAX(1,G1057))))</f>
        <v>25</v>
      </c>
      <c r="BR1057" s="60" t="n">
        <f aca="false">IF(BP1057="LOSE",1,0)</f>
        <v>0</v>
      </c>
      <c r="BS1057" s="59" t="n">
        <f aca="false">IF(BR1057=0,0,IF(N(R1057)&gt;0,R1057,IFERROR(VLOOKUP(D1057,Parameter!$A$35:$C$64,3,0)+0,0)))</f>
        <v>0</v>
      </c>
      <c r="BT1057" s="55" t="n">
        <f aca="false">IF(Y1057&lt;&gt;"",Y1057,X1057)</f>
        <v>2</v>
      </c>
      <c r="BU1057" s="55" t="str">
        <f aca="false">IF(BT1057=1,"L1",IF(OR(BT1057=2,BT1057=3),"L23",IF(BT1057="Aussen","Aussen","-")))</f>
        <v>L23</v>
      </c>
      <c r="BV1057" s="66" t="n">
        <f aca="false">IF(N(Z1057)&gt;0,Z1057,0)</f>
        <v>0</v>
      </c>
      <c r="BW1057" s="60" t="n">
        <f aca="false">IF(ISNUMBER(AC1057),1,0)</f>
        <v>0</v>
      </c>
      <c r="BX1057" s="57" t="n">
        <f aca="false">N(AC1057)</f>
        <v>0</v>
      </c>
      <c r="BY1057" s="57" t="n">
        <f aca="false">N(L1057)+N(M1057)</f>
        <v>26</v>
      </c>
      <c r="BZ1057" s="57" t="n">
        <f aca="false">ROUNDUP(G1057/BQ1057,0)</f>
        <v>0</v>
      </c>
      <c r="CA1057" s="57" t="n">
        <f aca="false">ROUNDUP(BX1057/BQ1057,0)</f>
        <v>0</v>
      </c>
      <c r="CB1057" s="60" t="n">
        <f aca="false">IF(BR1057=1,0,IFERROR(VLOOKUP(BP1057,'Gebinde-Kategorie'!$A$5:$M$45,5,0)+0,0))</f>
        <v>11</v>
      </c>
      <c r="CC1057" s="60" t="n">
        <f aca="false">IFERROR(IF(OR(BT1057=1,BT1057=2,BT1057=3),N(INDEX(Parameter!$I$5:$I$7,BT1057)),0),0)</f>
        <v>0</v>
      </c>
      <c r="CD1057" s="59" t="n">
        <f aca="false">IF(AND(Parameter!$B$21="Ja",ISNUMBER(U1057),N(V1057)&gt;0),IFERROR(N(INDEX(Parameter!$L$5:$L$7,U1057))*INDEX(Parameter!$E$5:$E$7,U1057)*V1057/SUMIFS($V$7:$V$1576,$U$7:$U$1576,U1057),0),0)</f>
        <v>0</v>
      </c>
    </row>
    <row r="1058" customFormat="false" ht="15" hidden="false" customHeight="false" outlineLevel="0" collapsed="false">
      <c r="A1058" s="55" t="s">
        <v>1921</v>
      </c>
      <c r="B1058" s="55" t="s">
        <v>1922</v>
      </c>
      <c r="C1058" s="55" t="s">
        <v>160</v>
      </c>
      <c r="D1058" s="55" t="s">
        <v>178</v>
      </c>
      <c r="E1058" s="55" t="s">
        <v>210</v>
      </c>
      <c r="F1058" s="56" t="n">
        <v>4.52</v>
      </c>
      <c r="G1058" s="57" t="n">
        <f aca="false">MAX(0,IF(AND(Parameter!$B$21="Ja",ISNUMBER(W1058)),W1058,IF(Parameter!$B$20="Jahresanfang 2025 + Export",BJ1058+BI1058,BI1058)))</f>
        <v>0</v>
      </c>
      <c r="H1058" s="57" t="n">
        <f aca="false">G1058*F1058</f>
        <v>0</v>
      </c>
      <c r="I1058" s="57" t="n">
        <f aca="false">BL1058*Parameter!$B$18</f>
        <v>93</v>
      </c>
      <c r="J1058" s="58" t="n">
        <v>82.5</v>
      </c>
      <c r="K1058" s="59" t="n">
        <v>1.12727272727273</v>
      </c>
      <c r="L1058" s="57" t="n">
        <v>7</v>
      </c>
      <c r="M1058" s="57" t="n">
        <v>95</v>
      </c>
      <c r="N1058" s="60" t="n">
        <v>28</v>
      </c>
      <c r="O1058" s="55" t="s">
        <v>391</v>
      </c>
      <c r="P1058" s="57" t="n">
        <v>55</v>
      </c>
      <c r="Q1058" s="60" t="n">
        <f aca="false">IF(BR1058=1,0,IFERROR(VLOOKUP(BP1058,'Gebinde-Kategorie'!$A$5:$M$45,13,0)+0,0))</f>
        <v>414</v>
      </c>
      <c r="R1058" s="61"/>
      <c r="S1058" s="62"/>
      <c r="T1058" s="62"/>
      <c r="U1058" s="55"/>
      <c r="V1058" s="57"/>
      <c r="W1058" s="57"/>
      <c r="X1058" s="55" t="n">
        <f aca="false">IF(A1058="","",IF(AND(Parameter!$B$21="Ja",ISNUMBER(U1058)),U1058,IF(IFERROR(VLOOKUP(D1058,Parameter!$A$35:$C$64,2,0),"Nein")="2+3",IF(ISNUMBER(SEARCH("grosser Artikel",BM1058)),2,IFERROR(VLOOKUP(BP1058,Parameter!$F$35:$G$64,2,0),2)),IF(OR(IFERROR(VLOOKUP(D1058,Parameter!$A$35:$C$64,2,0),"Nein")="Nein",IFERROR(VLOOKUP(D1058,Parameter!$A$35:$C$64,2,0),"Nein")=""),"-",VLOOKUP(D1058,Parameter!$A$35:$C$64,2,0)))))</f>
        <v>3</v>
      </c>
      <c r="Y1058" s="62"/>
      <c r="Z1058" s="63"/>
      <c r="AA1058" s="57" t="n">
        <f aca="false">AP1058</f>
        <v>110</v>
      </c>
      <c r="AB1058" s="57" t="n">
        <f aca="false">MAX(AP1058,G1058)</f>
        <v>110</v>
      </c>
      <c r="AC1058" s="64"/>
      <c r="AD1058" s="57" t="n">
        <f aca="false">IF(LEFT(Cockpit!$C$5,1)="A",G1058,IF(BW1058=1,BX1058,IF(LEFT(Cockpit!$C$5,1)="B",AH1058,MAX(AH1058,G1058))))</f>
        <v>0</v>
      </c>
      <c r="AE1058" s="57" t="n">
        <f aca="false">IF(BR1058=1,0,ROUNDUP(AD1058/BQ1058,0))</f>
        <v>0</v>
      </c>
      <c r="AF1058" s="59" t="n">
        <f aca="false">IF(CD1058&gt;0,CD1058*MAX(1,AD1058/V1058),IF(BR1058=1,IF(AD1058&lt;=0,0,BS1058*MAX(1,IF(G1058&gt;0,AD1058/G1058,1))),IF(Q1058&gt;0,AE1058/Q1058,0))/MAX(0.1,N(Parameter!$M$21)))</f>
        <v>0</v>
      </c>
      <c r="AG1058" s="57" t="n">
        <f aca="false">AD1058*F1058</f>
        <v>0</v>
      </c>
      <c r="AH1058" s="57" t="n">
        <f aca="false">ROUNDUP(MAX(I1058/IF(BV1058&gt;0,BV1058,MAX(0.1,N(Cockpit!$C$6))),BY1058)/BQ1058,0)*BQ1058</f>
        <v>110</v>
      </c>
      <c r="AI1058" s="58" t="n">
        <f aca="false">IF(AF1058&gt;0,I1058/AF1058,-1)</f>
        <v>-1</v>
      </c>
      <c r="AJ1058" s="58" t="str">
        <f aca="false">IF(AND(OR(BU1058="L1",BU1058="L23"),AF1058&gt;0),SUMIFS($AF$7:$AF$1576,$BU$7:$BU$1576,BU1058,$AI$7:$AI$1576,"&gt;"&amp;AI1058)+SUMIFS($AF$7:$AF$1576,$BU$7:$BU$1576,BU1058,$AI$7:$AI$1576,AI1058,$BO$7:$BO$1576,"&lt;="&amp;BO1058),"")</f>
        <v/>
      </c>
      <c r="AK1058" s="65" t="n">
        <f aca="false">IF(AJ1058="",0,MAX(0,MIN(1,(IF(BU1058="L1",Parameter!$E$5,Parameter!$E$6+Parameter!$E$7)-(AJ1058-AF1058))/AF1058)))</f>
        <v>0</v>
      </c>
      <c r="AL1058" s="57" t="n">
        <f aca="false">IF(LEFT(Cockpit!$I$5,1)="A",G1058,IF(BW1058=1,BX1058,IF(LEFT(Cockpit!$I$5,1)="B",AP1058,MAX(AP1058,G1058))))</f>
        <v>110</v>
      </c>
      <c r="AM1058" s="57" t="n">
        <f aca="false">IF(BR1058=1,0,ROUNDUP(AL1058/BQ1058,0))</f>
        <v>2</v>
      </c>
      <c r="AN1058" s="59" t="n">
        <f aca="false">IF(CD1058&gt;0,CD1058*MAX(1,AL1058/V1058),IF(BR1058=1,IF(AL1058&lt;=0,0,BS1058*MAX(1,IF(G1058&gt;0,AL1058/G1058,1))),IF(Q1058&gt;0,AM1058/Q1058,0))/MAX(0.1,N(Parameter!$M$21)))</f>
        <v>0.00483091787439614</v>
      </c>
      <c r="AO1058" s="57" t="n">
        <f aca="false">AL1058*F1058</f>
        <v>497.2</v>
      </c>
      <c r="AP1058" s="57" t="n">
        <f aca="false">ROUNDUP(MAX(I1058/IF(BV1058&gt;0,BV1058,MAX(0.1,N(Cockpit!$I$6))),BY1058)/BQ1058,0)*BQ1058</f>
        <v>110</v>
      </c>
      <c r="AQ1058" s="58" t="n">
        <f aca="false">IF(AN1058&gt;0,I1058/AN1058,-1)</f>
        <v>19251</v>
      </c>
      <c r="AR1058" s="58" t="n">
        <f aca="false">IF(AND(OR(BU1058="L1",BU1058="L23"),AN1058&gt;0),SUMIFS($AN$7:$AN$1576,$BU$7:$BU$1576,BU1058,$AQ$7:$AQ$1576,"&gt;"&amp;AQ1058)+SUMIFS($AN$7:$AN$1576,$BU$7:$BU$1576,BU1058,$AQ$7:$AQ$1576,AQ1058,$BO$7:$BO$1576,"&lt;="&amp;BO1058),"")</f>
        <v>4.03402891794196</v>
      </c>
      <c r="AS1058" s="65" t="n">
        <f aca="false">IF(AR1058="",0,MAX(0,MIN(1,(IF(BU1058="L1",Parameter!$E$5,Parameter!$E$6+Parameter!$E$7)-(AR1058-AN1058))/AN1058)))</f>
        <v>1</v>
      </c>
      <c r="AT1058" s="57" t="n">
        <f aca="false">IF(LEFT(Cockpit!$O$5,1)="A",G1058,IF(BW1058=1,BX1058,IF(LEFT(Cockpit!$O$5,1)="B",AX1058,MAX(AX1058,G1058))))</f>
        <v>110</v>
      </c>
      <c r="AU1058" s="57" t="n">
        <f aca="false">IF(BR1058=1,0,ROUNDUP(AT1058/BQ1058,0))</f>
        <v>2</v>
      </c>
      <c r="AV1058" s="59" t="n">
        <f aca="false">IF(CD1058&gt;0,CD1058*MAX(1,AT1058/V1058),IF(BR1058=1,IF(AT1058&lt;=0,0,BS1058*MAX(1,IF(G1058&gt;0,AT1058/G1058,1))),IF(Q1058&gt;0,AU1058/Q1058,0))/MAX(0.1,N(Parameter!$M$21)))</f>
        <v>0.00483091787439614</v>
      </c>
      <c r="AW1058" s="57" t="n">
        <f aca="false">AT1058*F1058</f>
        <v>497.2</v>
      </c>
      <c r="AX1058" s="57" t="n">
        <f aca="false">ROUNDUP(MAX(I1058/IF(BV1058&gt;0,BV1058,MAX(0.1,N(Cockpit!$O$6))),BY1058)/BQ1058,0)*BQ1058</f>
        <v>110</v>
      </c>
      <c r="AY1058" s="58" t="n">
        <f aca="false">IF(AV1058&gt;0,I1058/AV1058,-1)</f>
        <v>19251</v>
      </c>
      <c r="AZ1058" s="58" t="n">
        <f aca="false">IF(AND(OR(BU1058="L1",BU1058="L23"),AV1058&gt;0),SUMIFS($AV$7:$AV$1576,$BU$7:$BU$1576,BU1058,$AY$7:$AY$1576,"&gt;"&amp;AY1058)+SUMIFS($AV$7:$AV$1576,$BU$7:$BU$1576,BU1058,$AY$7:$AY$1576,AY1058,$BO$7:$BO$1576,"&lt;="&amp;BO1058),"")</f>
        <v>4.3766862605993</v>
      </c>
      <c r="BA1058" s="65" t="n">
        <f aca="false">IF(AZ1058="",0,MAX(0,MIN(1,(IF(BU1058="L1",Parameter!$E$5,Parameter!$E$6+Parameter!$E$7)-(AZ1058-AV1058))/AV1058)))</f>
        <v>1</v>
      </c>
      <c r="BB1058" s="55" t="str">
        <f aca="false">IF(AF1058&lt;=0,"",IF(BU1058="Aussen","Aussenlager",IF(BU1058="-","Nicht im Lift",IF(AK1058&gt;=1,"Lift",IF(AK1058&lt;=0,"Aussenlager","teilweise")))))</f>
        <v/>
      </c>
      <c r="BC1058" s="55" t="str">
        <f aca="false">IF(AN1058&lt;=0,"",IF(BU1058="Aussen","Aussenlager",IF(BU1058="-","Nicht im Lift",IF(AS1058&gt;=1,"Lift",IF(AS1058&lt;=0,"Aussenlager","teilweise")))))</f>
        <v>Lift</v>
      </c>
      <c r="BD1058" s="55" t="str">
        <f aca="false">IF(AV1058&lt;=0,"",IF(BU1058="Aussen","Aussenlager",IF(BU1058="-","Nicht im Lift",IF(BA1058&gt;=1,"Lift",IF(BA1058&lt;=0,"Aussenlager","teilweise")))))</f>
        <v>Lift</v>
      </c>
      <c r="BE1058" s="55" t="str">
        <f aca="false">IF(A1058="","",IF(BN1058=1,"Neu; ","")&amp;IF(AND(BN1058=0,BI1058&lt;0),"negativer Bestand (Export "&amp;BI1058&amp;"); ","")&amp;IF(I1058&lt;=0,"Kein Verbrauch; ","")&amp;IF(CD1058&gt;0,"Lift "&amp;U1058&amp;" lt. Liftbericht (Fach "&amp;V1058&amp;" Stk); ",IF(BR1058=1,"Lose – Fläche geschätzt; ",""))&amp;IF(G1058&gt;AP1058,"Überbestand "&amp;ROUND(G1058-AP1058,0)&amp;" Stk / CHF "&amp;ROUND((G1058-AP1058)*F1058,0)&amp;"; ","")&amp;IF(AND(BW1058=1,BX1058&lt;BY1058),"MAX &lt; MB+LG; ","")&amp;IF(AND(CC1058&gt;0,CB1058*10&gt;CC1058),"zu hoch für Tablar; ","")&amp;IF(AND(BN1058=0,OR(BW1058=1,Y1058&lt;&gt;"",S1058&lt;&gt;"",T1058&lt;&gt;"",Z1058&lt;&gt;"")),"manuell übersteuert; ","")&amp;IF(AND(BR1058=0,Q1058=0),"Gebinde unbekannt / Stellmass fehlt; ","")&amp;IF(AND(BR1058=0,N(T1058)&lt;=0,N(P1058)&lt;=0),"Menge pro Gebinde fehlt (Ist = 1 Gebinde); ","")&amp;BM1058)</f>
        <v>negativer Bestand (Export -39); </v>
      </c>
      <c r="BF1058" s="55"/>
      <c r="BG1058" s="55"/>
      <c r="BH1058" s="62"/>
      <c r="BI1058" s="57" t="n">
        <v>-39</v>
      </c>
      <c r="BJ1058" s="57" t="n">
        <v>81</v>
      </c>
      <c r="BK1058" s="56" t="n">
        <v>-152.79</v>
      </c>
      <c r="BL1058" s="57" t="n">
        <v>93</v>
      </c>
      <c r="BM1058" s="55"/>
      <c r="BN1058" s="60" t="n">
        <v>0</v>
      </c>
      <c r="BO1058" s="60" t="n">
        <v>1058</v>
      </c>
      <c r="BP1058" s="55" t="str">
        <f aca="false">IF(S1058&lt;&gt;"",UPPER(TRIM(S1058)),IF(O1058="","LOSE",O1058))</f>
        <v>S21</v>
      </c>
      <c r="BQ1058" s="57" t="n">
        <f aca="false">IF(BP1058="LOSE",1,IF(N(T1058)&gt;0,T1058,IF(N(P1058)&gt;0,P1058,MAX(1,G1058))))</f>
        <v>55</v>
      </c>
      <c r="BR1058" s="60" t="n">
        <f aca="false">IF(BP1058="LOSE",1,0)</f>
        <v>0</v>
      </c>
      <c r="BS1058" s="59" t="n">
        <f aca="false">IF(BR1058=0,0,IF(N(R1058)&gt;0,R1058,IFERROR(VLOOKUP(D1058,Parameter!$A$35:$C$64,3,0)+0,0)))</f>
        <v>0</v>
      </c>
      <c r="BT1058" s="55" t="n">
        <f aca="false">IF(Y1058&lt;&gt;"",Y1058,X1058)</f>
        <v>3</v>
      </c>
      <c r="BU1058" s="55" t="str">
        <f aca="false">IF(BT1058=1,"L1",IF(OR(BT1058=2,BT1058=3),"L23",IF(BT1058="Aussen","Aussen","-")))</f>
        <v>L23</v>
      </c>
      <c r="BV1058" s="66" t="n">
        <f aca="false">IF(N(Z1058)&gt;0,Z1058,0)</f>
        <v>0</v>
      </c>
      <c r="BW1058" s="60" t="n">
        <f aca="false">IF(ISNUMBER(AC1058),1,0)</f>
        <v>0</v>
      </c>
      <c r="BX1058" s="57" t="n">
        <f aca="false">N(AC1058)</f>
        <v>0</v>
      </c>
      <c r="BY1058" s="57" t="n">
        <f aca="false">N(L1058)+N(M1058)</f>
        <v>102</v>
      </c>
      <c r="BZ1058" s="57" t="n">
        <f aca="false">ROUNDUP(G1058/BQ1058,0)</f>
        <v>0</v>
      </c>
      <c r="CA1058" s="57" t="n">
        <f aca="false">ROUNDUP(BX1058/BQ1058,0)</f>
        <v>0</v>
      </c>
      <c r="CB1058" s="60" t="n">
        <f aca="false">IF(BR1058=1,0,IFERROR(VLOOKUP(BP1058,'Gebinde-Kategorie'!$A$5:$M$45,5,0)+0,0))</f>
        <v>8</v>
      </c>
      <c r="CC1058" s="60" t="n">
        <f aca="false">IFERROR(IF(OR(BT1058=1,BT1058=2,BT1058=3),N(INDEX(Parameter!$I$5:$I$7,BT1058)),0),0)</f>
        <v>0</v>
      </c>
      <c r="CD1058" s="59" t="n">
        <f aca="false">IF(AND(Parameter!$B$21="Ja",ISNUMBER(U1058),N(V1058)&gt;0),IFERROR(N(INDEX(Parameter!$L$5:$L$7,U1058))*INDEX(Parameter!$E$5:$E$7,U1058)*V1058/SUMIFS($V$7:$V$1576,$U$7:$U$1576,U1058),0),0)</f>
        <v>0</v>
      </c>
    </row>
    <row r="1059" customFormat="false" ht="15" hidden="false" customHeight="false" outlineLevel="0" collapsed="false">
      <c r="A1059" s="55" t="s">
        <v>1923</v>
      </c>
      <c r="B1059" s="55" t="s">
        <v>1112</v>
      </c>
      <c r="C1059" s="55" t="s">
        <v>160</v>
      </c>
      <c r="D1059" s="55" t="s">
        <v>178</v>
      </c>
      <c r="E1059" s="55" t="s">
        <v>210</v>
      </c>
      <c r="F1059" s="56" t="n">
        <v>4.18</v>
      </c>
      <c r="G1059" s="57" t="n">
        <f aca="false">MAX(0,IF(AND(Parameter!$B$21="Ja",ISNUMBER(W1059)),W1059,IF(Parameter!$B$20="Jahresanfang 2025 + Export",BJ1059+BI1059,BI1059)))</f>
        <v>0</v>
      </c>
      <c r="H1059" s="57" t="n">
        <f aca="false">G1059*F1059</f>
        <v>0</v>
      </c>
      <c r="I1059" s="57" t="n">
        <f aca="false">BL1059*Parameter!$B$18</f>
        <v>17</v>
      </c>
      <c r="J1059" s="58" t="n">
        <v>31</v>
      </c>
      <c r="K1059" s="59" t="n">
        <v>0.548387096774194</v>
      </c>
      <c r="L1059" s="57" t="n">
        <v>1</v>
      </c>
      <c r="M1059" s="57" t="n">
        <v>15</v>
      </c>
      <c r="N1059" s="60" t="n">
        <v>28</v>
      </c>
      <c r="O1059" s="55" t="s">
        <v>218</v>
      </c>
      <c r="P1059" s="57" t="n">
        <v>105</v>
      </c>
      <c r="Q1059" s="60" t="n">
        <f aca="false">IF(BR1059=1,0,IFERROR(VLOOKUP(BP1059,'Gebinde-Kategorie'!$A$5:$M$45,13,0)+0,0))</f>
        <v>12</v>
      </c>
      <c r="R1059" s="61"/>
      <c r="S1059" s="62"/>
      <c r="T1059" s="62"/>
      <c r="U1059" s="55"/>
      <c r="V1059" s="57"/>
      <c r="W1059" s="57"/>
      <c r="X1059" s="55" t="n">
        <f aca="false">IF(A1059="","",IF(AND(Parameter!$B$21="Ja",ISNUMBER(U1059)),U1059,IF(IFERROR(VLOOKUP(D1059,Parameter!$A$35:$C$64,2,0),"Nein")="2+3",IF(ISNUMBER(SEARCH("grosser Artikel",BM1059)),2,IFERROR(VLOOKUP(BP1059,Parameter!$F$35:$G$64,2,0),2)),IF(OR(IFERROR(VLOOKUP(D1059,Parameter!$A$35:$C$64,2,0),"Nein")="Nein",IFERROR(VLOOKUP(D1059,Parameter!$A$35:$C$64,2,0),"Nein")=""),"-",VLOOKUP(D1059,Parameter!$A$35:$C$64,2,0)))))</f>
        <v>2</v>
      </c>
      <c r="Y1059" s="62"/>
      <c r="Z1059" s="63"/>
      <c r="AA1059" s="57" t="n">
        <f aca="false">AP1059</f>
        <v>105</v>
      </c>
      <c r="AB1059" s="57" t="n">
        <f aca="false">MAX(AP1059,G1059)</f>
        <v>105</v>
      </c>
      <c r="AC1059" s="64"/>
      <c r="AD1059" s="57" t="n">
        <f aca="false">IF(LEFT(Cockpit!$C$5,1)="A",G1059,IF(BW1059=1,BX1059,IF(LEFT(Cockpit!$C$5,1)="B",AH1059,MAX(AH1059,G1059))))</f>
        <v>0</v>
      </c>
      <c r="AE1059" s="57" t="n">
        <f aca="false">IF(BR1059=1,0,ROUNDUP(AD1059/BQ1059,0))</f>
        <v>0</v>
      </c>
      <c r="AF1059" s="59" t="n">
        <f aca="false">IF(CD1059&gt;0,CD1059*MAX(1,AD1059/V1059),IF(BR1059=1,IF(AD1059&lt;=0,0,BS1059*MAX(1,IF(G1059&gt;0,AD1059/G1059,1))),IF(Q1059&gt;0,AE1059/Q1059,0))/MAX(0.1,N(Parameter!$M$21)))</f>
        <v>0</v>
      </c>
      <c r="AG1059" s="57" t="n">
        <f aca="false">AD1059*F1059</f>
        <v>0</v>
      </c>
      <c r="AH1059" s="57" t="n">
        <f aca="false">ROUNDUP(MAX(I1059/IF(BV1059&gt;0,BV1059,MAX(0.1,N(Cockpit!$C$6))),BY1059)/BQ1059,0)*BQ1059</f>
        <v>105</v>
      </c>
      <c r="AI1059" s="58" t="n">
        <f aca="false">IF(AF1059&gt;0,I1059/AF1059,-1)</f>
        <v>-1</v>
      </c>
      <c r="AJ1059" s="58" t="str">
        <f aca="false">IF(AND(OR(BU1059="L1",BU1059="L23"),AF1059&gt;0),SUMIFS($AF$7:$AF$1576,$BU$7:$BU$1576,BU1059,$AI$7:$AI$1576,"&gt;"&amp;AI1059)+SUMIFS($AF$7:$AF$1576,$BU$7:$BU$1576,BU1059,$AI$7:$AI$1576,AI1059,$BO$7:$BO$1576,"&lt;="&amp;BO1059),"")</f>
        <v/>
      </c>
      <c r="AK1059" s="65" t="n">
        <f aca="false">IF(AJ1059="",0,MAX(0,MIN(1,(IF(BU1059="L1",Parameter!$E$5,Parameter!$E$6+Parameter!$E$7)-(AJ1059-AF1059))/AF1059)))</f>
        <v>0</v>
      </c>
      <c r="AL1059" s="57" t="n">
        <f aca="false">IF(LEFT(Cockpit!$I$5,1)="A",G1059,IF(BW1059=1,BX1059,IF(LEFT(Cockpit!$I$5,1)="B",AP1059,MAX(AP1059,G1059))))</f>
        <v>105</v>
      </c>
      <c r="AM1059" s="57" t="n">
        <f aca="false">IF(BR1059=1,0,ROUNDUP(AL1059/BQ1059,0))</f>
        <v>1</v>
      </c>
      <c r="AN1059" s="59" t="n">
        <f aca="false">IF(CD1059&gt;0,CD1059*MAX(1,AL1059/V1059),IF(BR1059=1,IF(AL1059&lt;=0,0,BS1059*MAX(1,IF(G1059&gt;0,AL1059/G1059,1))),IF(Q1059&gt;0,AM1059/Q1059,0))/MAX(0.1,N(Parameter!$M$21)))</f>
        <v>0.0833333333333333</v>
      </c>
      <c r="AO1059" s="57" t="n">
        <f aca="false">AL1059*F1059</f>
        <v>438.9</v>
      </c>
      <c r="AP1059" s="57" t="n">
        <f aca="false">ROUNDUP(MAX(I1059/IF(BV1059&gt;0,BV1059,MAX(0.1,N(Cockpit!$I$6))),BY1059)/BQ1059,0)*BQ1059</f>
        <v>105</v>
      </c>
      <c r="AQ1059" s="58" t="n">
        <f aca="false">IF(AN1059&gt;0,I1059/AN1059,-1)</f>
        <v>204</v>
      </c>
      <c r="AR1059" s="58" t="n">
        <f aca="false">IF(AND(OR(BU1059="L1",BU1059="L23"),AN1059&gt;0),SUMIFS($AN$7:$AN$1576,$BU$7:$BU$1576,BU1059,$AQ$7:$AQ$1576,"&gt;"&amp;AQ1059)+SUMIFS($AN$7:$AN$1576,$BU$7:$BU$1576,BU1059,$AQ$7:$AQ$1576,AQ1059,$BO$7:$BO$1576,"&lt;="&amp;BO1059),"")</f>
        <v>50.799499884511</v>
      </c>
      <c r="AS1059" s="65" t="n">
        <f aca="false">IF(AR1059="",0,MAX(0,MIN(1,(IF(BU1059="L1",Parameter!$E$5,Parameter!$E$6+Parameter!$E$7)-(AR1059-AN1059))/AN1059)))</f>
        <v>1</v>
      </c>
      <c r="AT1059" s="57" t="n">
        <f aca="false">IF(LEFT(Cockpit!$O$5,1)="A",G1059,IF(BW1059=1,BX1059,IF(LEFT(Cockpit!$O$5,1)="B",AX1059,MAX(AX1059,G1059))))</f>
        <v>105</v>
      </c>
      <c r="AU1059" s="57" t="n">
        <f aca="false">IF(BR1059=1,0,ROUNDUP(AT1059/BQ1059,0))</f>
        <v>1</v>
      </c>
      <c r="AV1059" s="59" t="n">
        <f aca="false">IF(CD1059&gt;0,CD1059*MAX(1,AT1059/V1059),IF(BR1059=1,IF(AT1059&lt;=0,0,BS1059*MAX(1,IF(G1059&gt;0,AT1059/G1059,1))),IF(Q1059&gt;0,AU1059/Q1059,0))/MAX(0.1,N(Parameter!$M$21)))</f>
        <v>0.0833333333333333</v>
      </c>
      <c r="AW1059" s="57" t="n">
        <f aca="false">AT1059*F1059</f>
        <v>438.9</v>
      </c>
      <c r="AX1059" s="57" t="n">
        <f aca="false">ROUNDUP(MAX(I1059/IF(BV1059&gt;0,BV1059,MAX(0.1,N(Cockpit!$O$6))),BY1059)/BQ1059,0)*BQ1059</f>
        <v>105</v>
      </c>
      <c r="AY1059" s="58" t="n">
        <f aca="false">IF(AV1059&gt;0,I1059/AV1059,-1)</f>
        <v>204</v>
      </c>
      <c r="AZ1059" s="58" t="n">
        <f aca="false">IF(AND(OR(BU1059="L1",BU1059="L23"),AV1059&gt;0),SUMIFS($AV$7:$AV$1576,$BU$7:$BU$1576,BU1059,$AY$7:$AY$1576,"&gt;"&amp;AY1059)+SUMIFS($AV$7:$AV$1576,$BU$7:$BU$1576,BU1059,$AY$7:$AY$1576,AY1059,$BO$7:$BO$1576,"&lt;="&amp;BO1059),"")</f>
        <v>46.2457602907715</v>
      </c>
      <c r="BA1059" s="65" t="n">
        <f aca="false">IF(AZ1059="",0,MAX(0,MIN(1,(IF(BU1059="L1",Parameter!$E$5,Parameter!$E$6+Parameter!$E$7)-(AZ1059-AV1059))/AV1059)))</f>
        <v>1</v>
      </c>
      <c r="BB1059" s="55" t="str">
        <f aca="false">IF(AF1059&lt;=0,"",IF(BU1059="Aussen","Aussenlager",IF(BU1059="-","Nicht im Lift",IF(AK1059&gt;=1,"Lift",IF(AK1059&lt;=0,"Aussenlager","teilweise")))))</f>
        <v/>
      </c>
      <c r="BC1059" s="55" t="str">
        <f aca="false">IF(AN1059&lt;=0,"",IF(BU1059="Aussen","Aussenlager",IF(BU1059="-","Nicht im Lift",IF(AS1059&gt;=1,"Lift",IF(AS1059&lt;=0,"Aussenlager","teilweise")))))</f>
        <v>Lift</v>
      </c>
      <c r="BD1059" s="55" t="str">
        <f aca="false">IF(AV1059&lt;=0,"",IF(BU1059="Aussen","Aussenlager",IF(BU1059="-","Nicht im Lift",IF(BA1059&gt;=1,"Lift",IF(BA1059&lt;=0,"Aussenlager","teilweise")))))</f>
        <v>Lift</v>
      </c>
      <c r="BE1059" s="55" t="str">
        <f aca="false">IF(A1059="","",IF(BN1059=1,"Neu; ","")&amp;IF(AND(BN1059=0,BI1059&lt;0),"negativer Bestand (Export "&amp;BI1059&amp;"); ","")&amp;IF(I1059&lt;=0,"Kein Verbrauch; ","")&amp;IF(CD1059&gt;0,"Lift "&amp;U1059&amp;" lt. Liftbericht (Fach "&amp;V1059&amp;" Stk); ",IF(BR1059=1,"Lose – Fläche geschätzt; ",""))&amp;IF(G1059&gt;AP1059,"Überbestand "&amp;ROUND(G1059-AP1059,0)&amp;" Stk / CHF "&amp;ROUND((G1059-AP1059)*F1059,0)&amp;"; ","")&amp;IF(AND(BW1059=1,BX1059&lt;BY1059),"MAX &lt; MB+LG; ","")&amp;IF(AND(CC1059&gt;0,CB1059*10&gt;CC1059),"zu hoch für Tablar; ","")&amp;IF(AND(BN1059=0,OR(BW1059=1,Y1059&lt;&gt;"",S1059&lt;&gt;"",T1059&lt;&gt;"",Z1059&lt;&gt;"")),"manuell übersteuert; ","")&amp;IF(AND(BR1059=0,Q1059=0),"Gebinde unbekannt / Stellmass fehlt; ","")&amp;IF(AND(BR1059=0,N(T1059)&lt;=0,N(P1059)&lt;=0),"Menge pro Gebinde fehlt (Ist = 1 Gebinde); ","")&amp;BM1059)</f>
        <v>negativer Bestand (Export -37); Handlager</v>
      </c>
      <c r="BF1059" s="55"/>
      <c r="BG1059" s="55"/>
      <c r="BH1059" s="62"/>
      <c r="BI1059" s="57" t="n">
        <v>-37</v>
      </c>
      <c r="BJ1059" s="57" t="n">
        <v>42</v>
      </c>
      <c r="BK1059" s="56" t="n">
        <v>-154.66</v>
      </c>
      <c r="BL1059" s="57" t="n">
        <v>17</v>
      </c>
      <c r="BM1059" s="55" t="s">
        <v>884</v>
      </c>
      <c r="BN1059" s="60" t="n">
        <v>0</v>
      </c>
      <c r="BO1059" s="60" t="n">
        <v>1059</v>
      </c>
      <c r="BP1059" s="55" t="str">
        <f aca="false">IF(S1059&lt;&gt;"",UPPER(TRIM(S1059)),IF(O1059="","LOSE",O1059))</f>
        <v>S63</v>
      </c>
      <c r="BQ1059" s="57" t="n">
        <f aca="false">IF(BP1059="LOSE",1,IF(N(T1059)&gt;0,T1059,IF(N(P1059)&gt;0,P1059,MAX(1,G1059))))</f>
        <v>105</v>
      </c>
      <c r="BR1059" s="60" t="n">
        <f aca="false">IF(BP1059="LOSE",1,0)</f>
        <v>0</v>
      </c>
      <c r="BS1059" s="59" t="n">
        <f aca="false">IF(BR1059=0,0,IF(N(R1059)&gt;0,R1059,IFERROR(VLOOKUP(D1059,Parameter!$A$35:$C$64,3,0)+0,0)))</f>
        <v>0</v>
      </c>
      <c r="BT1059" s="55" t="n">
        <f aca="false">IF(Y1059&lt;&gt;"",Y1059,X1059)</f>
        <v>2</v>
      </c>
      <c r="BU1059" s="55" t="str">
        <f aca="false">IF(BT1059=1,"L1",IF(OR(BT1059=2,BT1059=3),"L23",IF(BT1059="Aussen","Aussen","-")))</f>
        <v>L23</v>
      </c>
      <c r="BV1059" s="66" t="n">
        <f aca="false">IF(N(Z1059)&gt;0,Z1059,0)</f>
        <v>0</v>
      </c>
      <c r="BW1059" s="60" t="n">
        <f aca="false">IF(ISNUMBER(AC1059),1,0)</f>
        <v>0</v>
      </c>
      <c r="BX1059" s="57" t="n">
        <f aca="false">N(AC1059)</f>
        <v>0</v>
      </c>
      <c r="BY1059" s="57" t="n">
        <f aca="false">N(L1059)+N(M1059)</f>
        <v>16</v>
      </c>
      <c r="BZ1059" s="57" t="n">
        <f aca="false">ROUNDUP(G1059/BQ1059,0)</f>
        <v>0</v>
      </c>
      <c r="CA1059" s="57" t="n">
        <f aca="false">ROUNDUP(BX1059/BQ1059,0)</f>
        <v>0</v>
      </c>
      <c r="CB1059" s="60" t="n">
        <f aca="false">IF(BR1059=1,0,IFERROR(VLOOKUP(BP1059,'Gebinde-Kategorie'!$A$5:$M$45,5,0)+0,0))</f>
        <v>31</v>
      </c>
      <c r="CC1059" s="60" t="n">
        <f aca="false">IFERROR(IF(OR(BT1059=1,BT1059=2,BT1059=3),N(INDEX(Parameter!$I$5:$I$7,BT1059)),0),0)</f>
        <v>0</v>
      </c>
      <c r="CD1059" s="59" t="n">
        <f aca="false">IF(AND(Parameter!$B$21="Ja",ISNUMBER(U1059),N(V1059)&gt;0),IFERROR(N(INDEX(Parameter!$L$5:$L$7,U1059))*INDEX(Parameter!$E$5:$E$7,U1059)*V1059/SUMIFS($V$7:$V$1576,$U$7:$U$1576,U1059),0),0)</f>
        <v>0</v>
      </c>
    </row>
    <row r="1060" customFormat="false" ht="15" hidden="false" customHeight="false" outlineLevel="0" collapsed="false">
      <c r="A1060" s="55" t="s">
        <v>1924</v>
      </c>
      <c r="B1060" s="55" t="s">
        <v>1154</v>
      </c>
      <c r="C1060" s="55" t="s">
        <v>160</v>
      </c>
      <c r="D1060" s="55" t="s">
        <v>178</v>
      </c>
      <c r="E1060" s="55" t="s">
        <v>210</v>
      </c>
      <c r="F1060" s="56" t="n">
        <v>30.05</v>
      </c>
      <c r="G1060" s="57" t="n">
        <f aca="false">MAX(0,IF(AND(Parameter!$B$21="Ja",ISNUMBER(W1060)),W1060,IF(Parameter!$B$20="Jahresanfang 2025 + Export",BJ1060+BI1060,BI1060)))</f>
        <v>0</v>
      </c>
      <c r="H1060" s="57" t="n">
        <f aca="false">G1060*F1060</f>
        <v>0</v>
      </c>
      <c r="I1060" s="57" t="n">
        <f aca="false">BL1060*Parameter!$B$18</f>
        <v>20</v>
      </c>
      <c r="J1060" s="58" t="n">
        <v>14.5</v>
      </c>
      <c r="K1060" s="59" t="n">
        <v>1.37931034482759</v>
      </c>
      <c r="L1060" s="57" t="n">
        <v>0</v>
      </c>
      <c r="M1060" s="57" t="n">
        <v>20</v>
      </c>
      <c r="N1060" s="60" t="n">
        <v>14</v>
      </c>
      <c r="O1060" s="55" t="s">
        <v>179</v>
      </c>
      <c r="P1060" s="57" t="n">
        <v>24</v>
      </c>
      <c r="Q1060" s="60" t="n">
        <f aca="false">IF(BR1060=1,0,IFERROR(VLOOKUP(BP1060,'Gebinde-Kategorie'!$A$5:$M$45,13,0)+0,0))</f>
        <v>12</v>
      </c>
      <c r="R1060" s="61"/>
      <c r="S1060" s="62"/>
      <c r="T1060" s="62"/>
      <c r="U1060" s="55"/>
      <c r="V1060" s="57"/>
      <c r="W1060" s="57"/>
      <c r="X1060" s="55" t="n">
        <f aca="false">IF(A1060="","",IF(AND(Parameter!$B$21="Ja",ISNUMBER(U1060)),U1060,IF(IFERROR(VLOOKUP(D1060,Parameter!$A$35:$C$64,2,0),"Nein")="2+3",IF(ISNUMBER(SEARCH("grosser Artikel",BM1060)),2,IFERROR(VLOOKUP(BP1060,Parameter!$F$35:$G$64,2,0),2)),IF(OR(IFERROR(VLOOKUP(D1060,Parameter!$A$35:$C$64,2,0),"Nein")="Nein",IFERROR(VLOOKUP(D1060,Parameter!$A$35:$C$64,2,0),"Nein")=""),"-",VLOOKUP(D1060,Parameter!$A$35:$C$64,2,0)))))</f>
        <v>2</v>
      </c>
      <c r="Y1060" s="62"/>
      <c r="Z1060" s="63"/>
      <c r="AA1060" s="57" t="n">
        <f aca="false">AP1060</f>
        <v>24</v>
      </c>
      <c r="AB1060" s="57" t="n">
        <f aca="false">MAX(AP1060,G1060)</f>
        <v>24</v>
      </c>
      <c r="AC1060" s="64"/>
      <c r="AD1060" s="57" t="n">
        <f aca="false">IF(LEFT(Cockpit!$C$5,1)="A",G1060,IF(BW1060=1,BX1060,IF(LEFT(Cockpit!$C$5,1)="B",AH1060,MAX(AH1060,G1060))))</f>
        <v>0</v>
      </c>
      <c r="AE1060" s="57" t="n">
        <f aca="false">IF(BR1060=1,0,ROUNDUP(AD1060/BQ1060,0))</f>
        <v>0</v>
      </c>
      <c r="AF1060" s="59" t="n">
        <f aca="false">IF(CD1060&gt;0,CD1060*MAX(1,AD1060/V1060),IF(BR1060=1,IF(AD1060&lt;=0,0,BS1060*MAX(1,IF(G1060&gt;0,AD1060/G1060,1))),IF(Q1060&gt;0,AE1060/Q1060,0))/MAX(0.1,N(Parameter!$M$21)))</f>
        <v>0</v>
      </c>
      <c r="AG1060" s="57" t="n">
        <f aca="false">AD1060*F1060</f>
        <v>0</v>
      </c>
      <c r="AH1060" s="57" t="n">
        <f aca="false">ROUNDUP(MAX(I1060/IF(BV1060&gt;0,BV1060,MAX(0.1,N(Cockpit!$C$6))),BY1060)/BQ1060,0)*BQ1060</f>
        <v>24</v>
      </c>
      <c r="AI1060" s="58" t="n">
        <f aca="false">IF(AF1060&gt;0,I1060/AF1060,-1)</f>
        <v>-1</v>
      </c>
      <c r="AJ1060" s="58" t="str">
        <f aca="false">IF(AND(OR(BU1060="L1",BU1060="L23"),AF1060&gt;0),SUMIFS($AF$7:$AF$1576,$BU$7:$BU$1576,BU1060,$AI$7:$AI$1576,"&gt;"&amp;AI1060)+SUMIFS($AF$7:$AF$1576,$BU$7:$BU$1576,BU1060,$AI$7:$AI$1576,AI1060,$BO$7:$BO$1576,"&lt;="&amp;BO1060),"")</f>
        <v/>
      </c>
      <c r="AK1060" s="65" t="n">
        <f aca="false">IF(AJ1060="",0,MAX(0,MIN(1,(IF(BU1060="L1",Parameter!$E$5,Parameter!$E$6+Parameter!$E$7)-(AJ1060-AF1060))/AF1060)))</f>
        <v>0</v>
      </c>
      <c r="AL1060" s="57" t="n">
        <f aca="false">IF(LEFT(Cockpit!$I$5,1)="A",G1060,IF(BW1060=1,BX1060,IF(LEFT(Cockpit!$I$5,1)="B",AP1060,MAX(AP1060,G1060))))</f>
        <v>24</v>
      </c>
      <c r="AM1060" s="57" t="n">
        <f aca="false">IF(BR1060=1,0,ROUNDUP(AL1060/BQ1060,0))</f>
        <v>1</v>
      </c>
      <c r="AN1060" s="59" t="n">
        <f aca="false">IF(CD1060&gt;0,CD1060*MAX(1,AL1060/V1060),IF(BR1060=1,IF(AL1060&lt;=0,0,BS1060*MAX(1,IF(G1060&gt;0,AL1060/G1060,1))),IF(Q1060&gt;0,AM1060/Q1060,0))/MAX(0.1,N(Parameter!$M$21)))</f>
        <v>0.0833333333333333</v>
      </c>
      <c r="AO1060" s="57" t="n">
        <f aca="false">AL1060*F1060</f>
        <v>721.2</v>
      </c>
      <c r="AP1060" s="57" t="n">
        <f aca="false">ROUNDUP(MAX(I1060/IF(BV1060&gt;0,BV1060,MAX(0.1,N(Cockpit!$I$6))),BY1060)/BQ1060,0)*BQ1060</f>
        <v>24</v>
      </c>
      <c r="AQ1060" s="58" t="n">
        <f aca="false">IF(AN1060&gt;0,I1060/AN1060,-1)</f>
        <v>240</v>
      </c>
      <c r="AR1060" s="58" t="n">
        <f aca="false">IF(AND(OR(BU1060="L1",BU1060="L23"),AN1060&gt;0),SUMIFS($AN$7:$AN$1576,$BU$7:$BU$1576,BU1060,$AQ$7:$AQ$1576,"&gt;"&amp;AQ1060)+SUMIFS($AN$7:$AN$1576,$BU$7:$BU$1576,BU1060,$AQ$7:$AQ$1576,AQ1060,$BO$7:$BO$1576,"&lt;="&amp;BO1060),"")</f>
        <v>46.1708755137128</v>
      </c>
      <c r="AS1060" s="65" t="n">
        <f aca="false">IF(AR1060="",0,MAX(0,MIN(1,(IF(BU1060="L1",Parameter!$E$5,Parameter!$E$6+Parameter!$E$7)-(AR1060-AN1060))/AN1060)))</f>
        <v>1</v>
      </c>
      <c r="AT1060" s="57" t="n">
        <f aca="false">IF(LEFT(Cockpit!$O$5,1)="A",G1060,IF(BW1060=1,BX1060,IF(LEFT(Cockpit!$O$5,1)="B",AX1060,MAX(AX1060,G1060))))</f>
        <v>24</v>
      </c>
      <c r="AU1060" s="57" t="n">
        <f aca="false">IF(BR1060=1,0,ROUNDUP(AT1060/BQ1060,0))</f>
        <v>1</v>
      </c>
      <c r="AV1060" s="59" t="n">
        <f aca="false">IF(CD1060&gt;0,CD1060*MAX(1,AT1060/V1060),IF(BR1060=1,IF(AT1060&lt;=0,0,BS1060*MAX(1,IF(G1060&gt;0,AT1060/G1060,1))),IF(Q1060&gt;0,AU1060/Q1060,0))/MAX(0.1,N(Parameter!$M$21)))</f>
        <v>0.0833333333333333</v>
      </c>
      <c r="AW1060" s="57" t="n">
        <f aca="false">AT1060*F1060</f>
        <v>721.2</v>
      </c>
      <c r="AX1060" s="57" t="n">
        <f aca="false">ROUNDUP(MAX(I1060/IF(BV1060&gt;0,BV1060,MAX(0.1,N(Cockpit!$O$6))),BY1060)/BQ1060,0)*BQ1060</f>
        <v>24</v>
      </c>
      <c r="AY1060" s="58" t="n">
        <f aca="false">IF(AV1060&gt;0,I1060/AV1060,-1)</f>
        <v>240</v>
      </c>
      <c r="AZ1060" s="58" t="n">
        <f aca="false">IF(AND(OR(BU1060="L1",BU1060="L23"),AV1060&gt;0),SUMIFS($AV$7:$AV$1576,$BU$7:$BU$1576,BU1060,$AY$7:$AY$1576,"&gt;"&amp;AY1060)+SUMIFS($AV$7:$AV$1576,$BU$7:$BU$1576,BU1060,$AY$7:$AY$1576,AY1060,$BO$7:$BO$1576,"&lt;="&amp;BO1060),"")</f>
        <v>43.2822874351247</v>
      </c>
      <c r="BA1060" s="65" t="n">
        <f aca="false">IF(AZ1060="",0,MAX(0,MIN(1,(IF(BU1060="L1",Parameter!$E$5,Parameter!$E$6+Parameter!$E$7)-(AZ1060-AV1060))/AV1060)))</f>
        <v>1</v>
      </c>
      <c r="BB1060" s="55" t="str">
        <f aca="false">IF(AF1060&lt;=0,"",IF(BU1060="Aussen","Aussenlager",IF(BU1060="-","Nicht im Lift",IF(AK1060&gt;=1,"Lift",IF(AK1060&lt;=0,"Aussenlager","teilweise")))))</f>
        <v/>
      </c>
      <c r="BC1060" s="55" t="str">
        <f aca="false">IF(AN1060&lt;=0,"",IF(BU1060="Aussen","Aussenlager",IF(BU1060="-","Nicht im Lift",IF(AS1060&gt;=1,"Lift",IF(AS1060&lt;=0,"Aussenlager","teilweise")))))</f>
        <v>Lift</v>
      </c>
      <c r="BD1060" s="55" t="str">
        <f aca="false">IF(AV1060&lt;=0,"",IF(BU1060="Aussen","Aussenlager",IF(BU1060="-","Nicht im Lift",IF(BA1060&gt;=1,"Lift",IF(BA1060&lt;=0,"Aussenlager","teilweise")))))</f>
        <v>Lift</v>
      </c>
      <c r="BE1060" s="55" t="str">
        <f aca="false">IF(A1060="","",IF(BN1060=1,"Neu; ","")&amp;IF(AND(BN1060=0,BI1060&lt;0),"negativer Bestand (Export "&amp;BI1060&amp;"); ","")&amp;IF(I1060&lt;=0,"Kein Verbrauch; ","")&amp;IF(CD1060&gt;0,"Lift "&amp;U1060&amp;" lt. Liftbericht (Fach "&amp;V1060&amp;" Stk); ",IF(BR1060=1,"Lose – Fläche geschätzt; ",""))&amp;IF(G1060&gt;AP1060,"Überbestand "&amp;ROUND(G1060-AP1060,0)&amp;" Stk / CHF "&amp;ROUND((G1060-AP1060)*F1060,0)&amp;"; ","")&amp;IF(AND(BW1060=1,BX1060&lt;BY1060),"MAX &lt; MB+LG; ","")&amp;IF(AND(CC1060&gt;0,CB1060*10&gt;CC1060),"zu hoch für Tablar; ","")&amp;IF(AND(BN1060=0,OR(BW1060=1,Y1060&lt;&gt;"",S1060&lt;&gt;"",T1060&lt;&gt;"",Z1060&lt;&gt;"")),"manuell übersteuert; ","")&amp;IF(AND(BR1060=0,Q1060=0),"Gebinde unbekannt / Stellmass fehlt; ","")&amp;IF(AND(BR1060=0,N(T1060)&lt;=0,N(P1060)&lt;=0),"Menge pro Gebinde fehlt (Ist = 1 Gebinde); ","")&amp;BM1060)</f>
        <v>negativer Bestand (Export -5); </v>
      </c>
      <c r="BF1060" s="55"/>
      <c r="BG1060" s="55"/>
      <c r="BH1060" s="62"/>
      <c r="BI1060" s="57" t="n">
        <v>-5</v>
      </c>
      <c r="BJ1060" s="57" t="n">
        <v>10</v>
      </c>
      <c r="BK1060" s="56" t="n">
        <v>-155.05</v>
      </c>
      <c r="BL1060" s="57" t="n">
        <v>20</v>
      </c>
      <c r="BM1060" s="55"/>
      <c r="BN1060" s="60" t="n">
        <v>0</v>
      </c>
      <c r="BO1060" s="60" t="n">
        <v>1060</v>
      </c>
      <c r="BP1060" s="55" t="str">
        <f aca="false">IF(S1060&lt;&gt;"",UPPER(TRIM(S1060)),IF(O1060="","LOSE",O1060))</f>
        <v>S61</v>
      </c>
      <c r="BQ1060" s="57" t="n">
        <f aca="false">IF(BP1060="LOSE",1,IF(N(T1060)&gt;0,T1060,IF(N(P1060)&gt;0,P1060,MAX(1,G1060))))</f>
        <v>24</v>
      </c>
      <c r="BR1060" s="60" t="n">
        <f aca="false">IF(BP1060="LOSE",1,0)</f>
        <v>0</v>
      </c>
      <c r="BS1060" s="59" t="n">
        <f aca="false">IF(BR1060=0,0,IF(N(R1060)&gt;0,R1060,IFERROR(VLOOKUP(D1060,Parameter!$A$35:$C$64,3,0)+0,0)))</f>
        <v>0</v>
      </c>
      <c r="BT1060" s="55" t="n">
        <f aca="false">IF(Y1060&lt;&gt;"",Y1060,X1060)</f>
        <v>2</v>
      </c>
      <c r="BU1060" s="55" t="str">
        <f aca="false">IF(BT1060=1,"L1",IF(OR(BT1060=2,BT1060=3),"L23",IF(BT1060="Aussen","Aussen","-")))</f>
        <v>L23</v>
      </c>
      <c r="BV1060" s="66" t="n">
        <f aca="false">IF(N(Z1060)&gt;0,Z1060,0)</f>
        <v>0</v>
      </c>
      <c r="BW1060" s="60" t="n">
        <f aca="false">IF(ISNUMBER(AC1060),1,0)</f>
        <v>0</v>
      </c>
      <c r="BX1060" s="57" t="n">
        <f aca="false">N(AC1060)</f>
        <v>0</v>
      </c>
      <c r="BY1060" s="57" t="n">
        <f aca="false">N(L1060)+N(M1060)</f>
        <v>20</v>
      </c>
      <c r="BZ1060" s="57" t="n">
        <f aca="false">ROUNDUP(G1060/BQ1060,0)</f>
        <v>0</v>
      </c>
      <c r="CA1060" s="57" t="n">
        <f aca="false">ROUNDUP(BX1060/BQ1060,0)</f>
        <v>0</v>
      </c>
      <c r="CB1060" s="60" t="n">
        <f aca="false">IF(BR1060=1,0,IFERROR(VLOOKUP(BP1060,'Gebinde-Kategorie'!$A$5:$M$45,5,0)+0,0))</f>
        <v>11</v>
      </c>
      <c r="CC1060" s="60" t="n">
        <f aca="false">IFERROR(IF(OR(BT1060=1,BT1060=2,BT1060=3),N(INDEX(Parameter!$I$5:$I$7,BT1060)),0),0)</f>
        <v>0</v>
      </c>
      <c r="CD1060" s="59" t="n">
        <f aca="false">IF(AND(Parameter!$B$21="Ja",ISNUMBER(U1060),N(V1060)&gt;0),IFERROR(N(INDEX(Parameter!$L$5:$L$7,U1060))*INDEX(Parameter!$E$5:$E$7,U1060)*V1060/SUMIFS($V$7:$V$1576,$U$7:$U$1576,U1060),0),0)</f>
        <v>0</v>
      </c>
    </row>
    <row r="1061" customFormat="false" ht="15" hidden="false" customHeight="false" outlineLevel="0" collapsed="false">
      <c r="A1061" s="55" t="s">
        <v>1925</v>
      </c>
      <c r="B1061" s="55" t="s">
        <v>1926</v>
      </c>
      <c r="C1061" s="55" t="s">
        <v>160</v>
      </c>
      <c r="D1061" s="55" t="s">
        <v>178</v>
      </c>
      <c r="E1061" s="55" t="s">
        <v>210</v>
      </c>
      <c r="F1061" s="56" t="n">
        <v>156.88</v>
      </c>
      <c r="G1061" s="57" t="n">
        <f aca="false">MAX(0,IF(AND(Parameter!$B$21="Ja",ISNUMBER(W1061)),W1061,IF(Parameter!$B$20="Jahresanfang 2025 + Export",BJ1061+BI1061,BI1061)))</f>
        <v>0</v>
      </c>
      <c r="H1061" s="57" t="n">
        <f aca="false">G1061*F1061</f>
        <v>0</v>
      </c>
      <c r="I1061" s="57" t="n">
        <f aca="false">BL1061*Parameter!$B$18</f>
        <v>1</v>
      </c>
      <c r="J1061" s="58" t="n">
        <v>6.5</v>
      </c>
      <c r="K1061" s="59" t="n">
        <v>0.153846153846154</v>
      </c>
      <c r="L1061" s="57" t="n">
        <v>0</v>
      </c>
      <c r="M1061" s="57" t="n">
        <v>1</v>
      </c>
      <c r="N1061" s="60" t="n">
        <v>21</v>
      </c>
      <c r="O1061" s="55" t="s">
        <v>319</v>
      </c>
      <c r="P1061" s="57" t="n">
        <v>6</v>
      </c>
      <c r="Q1061" s="60" t="n">
        <f aca="false">IF(BR1061=1,0,IFERROR(VLOOKUP(BP1061,'Gebinde-Kategorie'!$A$5:$M$45,13,0)+0,0))</f>
        <v>52</v>
      </c>
      <c r="R1061" s="61"/>
      <c r="S1061" s="62"/>
      <c r="T1061" s="62"/>
      <c r="U1061" s="55"/>
      <c r="V1061" s="57"/>
      <c r="W1061" s="57"/>
      <c r="X1061" s="55" t="n">
        <f aca="false">IF(A1061="","",IF(AND(Parameter!$B$21="Ja",ISNUMBER(U1061)),U1061,IF(IFERROR(VLOOKUP(D1061,Parameter!$A$35:$C$64,2,0),"Nein")="2+3",IF(ISNUMBER(SEARCH("grosser Artikel",BM1061)),2,IFERROR(VLOOKUP(BP1061,Parameter!$F$35:$G$64,2,0),2)),IF(OR(IFERROR(VLOOKUP(D1061,Parameter!$A$35:$C$64,2,0),"Nein")="Nein",IFERROR(VLOOKUP(D1061,Parameter!$A$35:$C$64,2,0),"Nein")=""),"-",VLOOKUP(D1061,Parameter!$A$35:$C$64,2,0)))))</f>
        <v>3</v>
      </c>
      <c r="Y1061" s="62"/>
      <c r="Z1061" s="63"/>
      <c r="AA1061" s="57" t="n">
        <f aca="false">AP1061</f>
        <v>6</v>
      </c>
      <c r="AB1061" s="57" t="n">
        <f aca="false">MAX(AP1061,G1061)</f>
        <v>6</v>
      </c>
      <c r="AC1061" s="64"/>
      <c r="AD1061" s="57" t="n">
        <f aca="false">IF(LEFT(Cockpit!$C$5,1)="A",G1061,IF(BW1061=1,BX1061,IF(LEFT(Cockpit!$C$5,1)="B",AH1061,MAX(AH1061,G1061))))</f>
        <v>0</v>
      </c>
      <c r="AE1061" s="57" t="n">
        <f aca="false">IF(BR1061=1,0,ROUNDUP(AD1061/BQ1061,0))</f>
        <v>0</v>
      </c>
      <c r="AF1061" s="59" t="n">
        <f aca="false">IF(CD1061&gt;0,CD1061*MAX(1,AD1061/V1061),IF(BR1061=1,IF(AD1061&lt;=0,0,BS1061*MAX(1,IF(G1061&gt;0,AD1061/G1061,1))),IF(Q1061&gt;0,AE1061/Q1061,0))/MAX(0.1,N(Parameter!$M$21)))</f>
        <v>0</v>
      </c>
      <c r="AG1061" s="57" t="n">
        <f aca="false">AD1061*F1061</f>
        <v>0</v>
      </c>
      <c r="AH1061" s="57" t="n">
        <f aca="false">ROUNDUP(MAX(I1061/IF(BV1061&gt;0,BV1061,MAX(0.1,N(Cockpit!$C$6))),BY1061)/BQ1061,0)*BQ1061</f>
        <v>6</v>
      </c>
      <c r="AI1061" s="58" t="n">
        <f aca="false">IF(AF1061&gt;0,I1061/AF1061,-1)</f>
        <v>-1</v>
      </c>
      <c r="AJ1061" s="58" t="str">
        <f aca="false">IF(AND(OR(BU1061="L1",BU1061="L23"),AF1061&gt;0),SUMIFS($AF$7:$AF$1576,$BU$7:$BU$1576,BU1061,$AI$7:$AI$1576,"&gt;"&amp;AI1061)+SUMIFS($AF$7:$AF$1576,$BU$7:$BU$1576,BU1061,$AI$7:$AI$1576,AI1061,$BO$7:$BO$1576,"&lt;="&amp;BO1061),"")</f>
        <v/>
      </c>
      <c r="AK1061" s="65" t="n">
        <f aca="false">IF(AJ1061="",0,MAX(0,MIN(1,(IF(BU1061="L1",Parameter!$E$5,Parameter!$E$6+Parameter!$E$7)-(AJ1061-AF1061))/AF1061)))</f>
        <v>0</v>
      </c>
      <c r="AL1061" s="57" t="n">
        <f aca="false">IF(LEFT(Cockpit!$I$5,1)="A",G1061,IF(BW1061=1,BX1061,IF(LEFT(Cockpit!$I$5,1)="B",AP1061,MAX(AP1061,G1061))))</f>
        <v>6</v>
      </c>
      <c r="AM1061" s="57" t="n">
        <f aca="false">IF(BR1061=1,0,ROUNDUP(AL1061/BQ1061,0))</f>
        <v>1</v>
      </c>
      <c r="AN1061" s="59" t="n">
        <f aca="false">IF(CD1061&gt;0,CD1061*MAX(1,AL1061/V1061),IF(BR1061=1,IF(AL1061&lt;=0,0,BS1061*MAX(1,IF(G1061&gt;0,AL1061/G1061,1))),IF(Q1061&gt;0,AM1061/Q1061,0))/MAX(0.1,N(Parameter!$M$21)))</f>
        <v>0.0192307692307692</v>
      </c>
      <c r="AO1061" s="57" t="n">
        <f aca="false">AL1061*F1061</f>
        <v>941.28</v>
      </c>
      <c r="AP1061" s="57" t="n">
        <f aca="false">ROUNDUP(MAX(I1061/IF(BV1061&gt;0,BV1061,MAX(0.1,N(Cockpit!$I$6))),BY1061)/BQ1061,0)*BQ1061</f>
        <v>6</v>
      </c>
      <c r="AQ1061" s="58" t="n">
        <f aca="false">IF(AN1061&gt;0,I1061/AN1061,-1)</f>
        <v>52</v>
      </c>
      <c r="AR1061" s="58" t="n">
        <f aca="false">IF(AND(OR(BU1061="L1",BU1061="L23"),AN1061&gt;0),SUMIFS($AN$7:$AN$1576,$BU$7:$BU$1576,BU1061,$AQ$7:$AQ$1576,"&gt;"&amp;AQ1061)+SUMIFS($AN$7:$AN$1576,$BU$7:$BU$1576,BU1061,$AQ$7:$AQ$1576,AQ1061,$BO$7:$BO$1576,"&lt;="&amp;BO1061),"")</f>
        <v>82.214485870747</v>
      </c>
      <c r="AS1061" s="65" t="n">
        <f aca="false">IF(AR1061="",0,MAX(0,MIN(1,(IF(BU1061="L1",Parameter!$E$5,Parameter!$E$6+Parameter!$E$7)-(AR1061-AN1061))/AN1061)))</f>
        <v>1</v>
      </c>
      <c r="AT1061" s="57" t="n">
        <f aca="false">IF(LEFT(Cockpit!$O$5,1)="A",G1061,IF(BW1061=1,BX1061,IF(LEFT(Cockpit!$O$5,1)="B",AX1061,MAX(AX1061,G1061))))</f>
        <v>6</v>
      </c>
      <c r="AU1061" s="57" t="n">
        <f aca="false">IF(BR1061=1,0,ROUNDUP(AT1061/BQ1061,0))</f>
        <v>1</v>
      </c>
      <c r="AV1061" s="59" t="n">
        <f aca="false">IF(CD1061&gt;0,CD1061*MAX(1,AT1061/V1061),IF(BR1061=1,IF(AT1061&lt;=0,0,BS1061*MAX(1,IF(G1061&gt;0,AT1061/G1061,1))),IF(Q1061&gt;0,AU1061/Q1061,0))/MAX(0.1,N(Parameter!$M$21)))</f>
        <v>0.0192307692307692</v>
      </c>
      <c r="AW1061" s="57" t="n">
        <f aca="false">AT1061*F1061</f>
        <v>941.28</v>
      </c>
      <c r="AX1061" s="57" t="n">
        <f aca="false">ROUNDUP(MAX(I1061/IF(BV1061&gt;0,BV1061,MAX(0.1,N(Cockpit!$O$6))),BY1061)/BQ1061,0)*BQ1061</f>
        <v>6</v>
      </c>
      <c r="AY1061" s="58" t="n">
        <f aca="false">IF(AV1061&gt;0,I1061/AV1061,-1)</f>
        <v>52</v>
      </c>
      <c r="AZ1061" s="58" t="n">
        <f aca="false">IF(AND(OR(BU1061="L1",BU1061="L23"),AV1061&gt;0),SUMIFS($AV$7:$AV$1576,$BU$7:$BU$1576,BU1061,$AY$7:$AY$1576,"&gt;"&amp;AY1061)+SUMIFS($AV$7:$AV$1576,$BU$7:$BU$1576,BU1061,$AY$7:$AY$1576,AY1061,$BO$7:$BO$1576,"&lt;="&amp;BO1061),"")</f>
        <v>78.6323696536308</v>
      </c>
      <c r="BA1061" s="65" t="n">
        <f aca="false">IF(AZ1061="",0,MAX(0,MIN(1,(IF(BU1061="L1",Parameter!$E$5,Parameter!$E$6+Parameter!$E$7)-(AZ1061-AV1061))/AV1061)))</f>
        <v>1</v>
      </c>
      <c r="BB1061" s="55" t="str">
        <f aca="false">IF(AF1061&lt;=0,"",IF(BU1061="Aussen","Aussenlager",IF(BU1061="-","Nicht im Lift",IF(AK1061&gt;=1,"Lift",IF(AK1061&lt;=0,"Aussenlager","teilweise")))))</f>
        <v/>
      </c>
      <c r="BC1061" s="55" t="str">
        <f aca="false">IF(AN1061&lt;=0,"",IF(BU1061="Aussen","Aussenlager",IF(BU1061="-","Nicht im Lift",IF(AS1061&gt;=1,"Lift",IF(AS1061&lt;=0,"Aussenlager","teilweise")))))</f>
        <v>Lift</v>
      </c>
      <c r="BD1061" s="55" t="str">
        <f aca="false">IF(AV1061&lt;=0,"",IF(BU1061="Aussen","Aussenlager",IF(BU1061="-","Nicht im Lift",IF(BA1061&gt;=1,"Lift",IF(BA1061&lt;=0,"Aussenlager","teilweise")))))</f>
        <v>Lift</v>
      </c>
      <c r="BE1061" s="55" t="str">
        <f aca="false">IF(A1061="","",IF(BN1061=1,"Neu; ","")&amp;IF(AND(BN1061=0,BI1061&lt;0),"negativer Bestand (Export "&amp;BI1061&amp;"); ","")&amp;IF(I1061&lt;=0,"Kein Verbrauch; ","")&amp;IF(CD1061&gt;0,"Lift "&amp;U1061&amp;" lt. Liftbericht (Fach "&amp;V1061&amp;" Stk); ",IF(BR1061=1,"Lose – Fläche geschätzt; ",""))&amp;IF(G1061&gt;AP1061,"Überbestand "&amp;ROUND(G1061-AP1061,0)&amp;" Stk / CHF "&amp;ROUND((G1061-AP1061)*F1061,0)&amp;"; ","")&amp;IF(AND(BW1061=1,BX1061&lt;BY1061),"MAX &lt; MB+LG; ","")&amp;IF(AND(CC1061&gt;0,CB1061*10&gt;CC1061),"zu hoch für Tablar; ","")&amp;IF(AND(BN1061=0,OR(BW1061=1,Y1061&lt;&gt;"",S1061&lt;&gt;"",T1061&lt;&gt;"",Z1061&lt;&gt;"")),"manuell übersteuert; ","")&amp;IF(AND(BR1061=0,Q1061=0),"Gebinde unbekannt / Stellmass fehlt; ","")&amp;IF(AND(BR1061=0,N(T1061)&lt;=0,N(P1061)&lt;=0),"Menge pro Gebinde fehlt (Ist = 1 Gebinde); ","")&amp;BM1061)</f>
        <v>negativer Bestand (Export -1); </v>
      </c>
      <c r="BF1061" s="55"/>
      <c r="BG1061" s="55"/>
      <c r="BH1061" s="62"/>
      <c r="BI1061" s="57" t="n">
        <v>-1</v>
      </c>
      <c r="BJ1061" s="57" t="n">
        <v>7</v>
      </c>
      <c r="BK1061" s="56" t="n">
        <v>-156.88</v>
      </c>
      <c r="BL1061" s="57" t="n">
        <v>1</v>
      </c>
      <c r="BM1061" s="55"/>
      <c r="BN1061" s="60" t="n">
        <v>0</v>
      </c>
      <c r="BO1061" s="60" t="n">
        <v>1061</v>
      </c>
      <c r="BP1061" s="55" t="str">
        <f aca="false">IF(S1061&lt;&gt;"",UPPER(TRIM(S1061)),IF(O1061="","LOSE",O1061))</f>
        <v>S41</v>
      </c>
      <c r="BQ1061" s="57" t="n">
        <f aca="false">IF(BP1061="LOSE",1,IF(N(T1061)&gt;0,T1061,IF(N(P1061)&gt;0,P1061,MAX(1,G1061))))</f>
        <v>6</v>
      </c>
      <c r="BR1061" s="60" t="n">
        <f aca="false">IF(BP1061="LOSE",1,0)</f>
        <v>0</v>
      </c>
      <c r="BS1061" s="59" t="n">
        <f aca="false">IF(BR1061=0,0,IF(N(R1061)&gt;0,R1061,IFERROR(VLOOKUP(D1061,Parameter!$A$35:$C$64,3,0)+0,0)))</f>
        <v>0</v>
      </c>
      <c r="BT1061" s="55" t="n">
        <f aca="false">IF(Y1061&lt;&gt;"",Y1061,X1061)</f>
        <v>3</v>
      </c>
      <c r="BU1061" s="55" t="str">
        <f aca="false">IF(BT1061=1,"L1",IF(OR(BT1061=2,BT1061=3),"L23",IF(BT1061="Aussen","Aussen","-")))</f>
        <v>L23</v>
      </c>
      <c r="BV1061" s="66" t="n">
        <f aca="false">IF(N(Z1061)&gt;0,Z1061,0)</f>
        <v>0</v>
      </c>
      <c r="BW1061" s="60" t="n">
        <f aca="false">IF(ISNUMBER(AC1061),1,0)</f>
        <v>0</v>
      </c>
      <c r="BX1061" s="57" t="n">
        <f aca="false">N(AC1061)</f>
        <v>0</v>
      </c>
      <c r="BY1061" s="57" t="n">
        <f aca="false">N(L1061)+N(M1061)</f>
        <v>1</v>
      </c>
      <c r="BZ1061" s="57" t="n">
        <f aca="false">ROUNDUP(G1061/BQ1061,0)</f>
        <v>0</v>
      </c>
      <c r="CA1061" s="57" t="n">
        <f aca="false">ROUNDUP(BX1061/BQ1061,0)</f>
        <v>0</v>
      </c>
      <c r="CB1061" s="60" t="n">
        <f aca="false">IF(BR1061=1,0,IFERROR(VLOOKUP(BP1061,'Gebinde-Kategorie'!$A$5:$M$45,5,0)+0,0))</f>
        <v>11</v>
      </c>
      <c r="CC1061" s="60" t="n">
        <f aca="false">IFERROR(IF(OR(BT1061=1,BT1061=2,BT1061=3),N(INDEX(Parameter!$I$5:$I$7,BT1061)),0),0)</f>
        <v>0</v>
      </c>
      <c r="CD1061" s="59" t="n">
        <f aca="false">IF(AND(Parameter!$B$21="Ja",ISNUMBER(U1061),N(V1061)&gt;0),IFERROR(N(INDEX(Parameter!$L$5:$L$7,U1061))*INDEX(Parameter!$E$5:$E$7,U1061)*V1061/SUMIFS($V$7:$V$1576,$U$7:$U$1576,U1061),0),0)</f>
        <v>0</v>
      </c>
    </row>
    <row r="1062" customFormat="false" ht="15" hidden="false" customHeight="false" outlineLevel="0" collapsed="false">
      <c r="A1062" s="55" t="s">
        <v>1927</v>
      </c>
      <c r="B1062" s="55" t="s">
        <v>738</v>
      </c>
      <c r="C1062" s="55" t="s">
        <v>160</v>
      </c>
      <c r="D1062" s="55" t="s">
        <v>178</v>
      </c>
      <c r="E1062" s="55" t="s">
        <v>210</v>
      </c>
      <c r="F1062" s="56" t="n">
        <v>157.08</v>
      </c>
      <c r="G1062" s="57" t="n">
        <f aca="false">MAX(0,IF(AND(Parameter!$B$21="Ja",ISNUMBER(W1062)),W1062,IF(Parameter!$B$20="Jahresanfang 2025 + Export",BJ1062+BI1062,BI1062)))</f>
        <v>0</v>
      </c>
      <c r="H1062" s="57" t="n">
        <f aca="false">G1062*F1062</f>
        <v>0</v>
      </c>
      <c r="I1062" s="57" t="n">
        <f aca="false">BL1062*Parameter!$B$18</f>
        <v>1</v>
      </c>
      <c r="J1062" s="58" t="n">
        <v>4.5</v>
      </c>
      <c r="K1062" s="59" t="n">
        <v>0.222222222222222</v>
      </c>
      <c r="L1062" s="57" t="n">
        <v>0</v>
      </c>
      <c r="M1062" s="57" t="n">
        <v>1</v>
      </c>
      <c r="N1062" s="60" t="n">
        <v>28</v>
      </c>
      <c r="O1062" s="55" t="s">
        <v>411</v>
      </c>
      <c r="P1062" s="57" t="n">
        <v>5</v>
      </c>
      <c r="Q1062" s="60" t="n">
        <f aca="false">IF(BR1062=1,0,IFERROR(VLOOKUP(BP1062,'Gebinde-Kategorie'!$A$5:$M$45,13,0)+0,0))</f>
        <v>132</v>
      </c>
      <c r="R1062" s="61"/>
      <c r="S1062" s="62"/>
      <c r="T1062" s="62"/>
      <c r="U1062" s="55"/>
      <c r="V1062" s="57"/>
      <c r="W1062" s="57"/>
      <c r="X1062" s="55" t="n">
        <f aca="false">IF(A1062="","",IF(AND(Parameter!$B$21="Ja",ISNUMBER(U1062)),U1062,IF(IFERROR(VLOOKUP(D1062,Parameter!$A$35:$C$64,2,0),"Nein")="2+3",IF(ISNUMBER(SEARCH("grosser Artikel",BM1062)),2,IFERROR(VLOOKUP(BP1062,Parameter!$F$35:$G$64,2,0),2)),IF(OR(IFERROR(VLOOKUP(D1062,Parameter!$A$35:$C$64,2,0),"Nein")="Nein",IFERROR(VLOOKUP(D1062,Parameter!$A$35:$C$64,2,0),"Nein")=""),"-",VLOOKUP(D1062,Parameter!$A$35:$C$64,2,0)))))</f>
        <v>3</v>
      </c>
      <c r="Y1062" s="62"/>
      <c r="Z1062" s="63"/>
      <c r="AA1062" s="57" t="n">
        <f aca="false">AP1062</f>
        <v>5</v>
      </c>
      <c r="AB1062" s="57" t="n">
        <f aca="false">MAX(AP1062,G1062)</f>
        <v>5</v>
      </c>
      <c r="AC1062" s="64"/>
      <c r="AD1062" s="57" t="n">
        <f aca="false">IF(LEFT(Cockpit!$C$5,1)="A",G1062,IF(BW1062=1,BX1062,IF(LEFT(Cockpit!$C$5,1)="B",AH1062,MAX(AH1062,G1062))))</f>
        <v>0</v>
      </c>
      <c r="AE1062" s="57" t="n">
        <f aca="false">IF(BR1062=1,0,ROUNDUP(AD1062/BQ1062,0))</f>
        <v>0</v>
      </c>
      <c r="AF1062" s="59" t="n">
        <f aca="false">IF(CD1062&gt;0,CD1062*MAX(1,AD1062/V1062),IF(BR1062=1,IF(AD1062&lt;=0,0,BS1062*MAX(1,IF(G1062&gt;0,AD1062/G1062,1))),IF(Q1062&gt;0,AE1062/Q1062,0))/MAX(0.1,N(Parameter!$M$21)))</f>
        <v>0</v>
      </c>
      <c r="AG1062" s="57" t="n">
        <f aca="false">AD1062*F1062</f>
        <v>0</v>
      </c>
      <c r="AH1062" s="57" t="n">
        <f aca="false">ROUNDUP(MAX(I1062/IF(BV1062&gt;0,BV1062,MAX(0.1,N(Cockpit!$C$6))),BY1062)/BQ1062,0)*BQ1062</f>
        <v>5</v>
      </c>
      <c r="AI1062" s="58" t="n">
        <f aca="false">IF(AF1062&gt;0,I1062/AF1062,-1)</f>
        <v>-1</v>
      </c>
      <c r="AJ1062" s="58" t="str">
        <f aca="false">IF(AND(OR(BU1062="L1",BU1062="L23"),AF1062&gt;0),SUMIFS($AF$7:$AF$1576,$BU$7:$BU$1576,BU1062,$AI$7:$AI$1576,"&gt;"&amp;AI1062)+SUMIFS($AF$7:$AF$1576,$BU$7:$BU$1576,BU1062,$AI$7:$AI$1576,AI1062,$BO$7:$BO$1576,"&lt;="&amp;BO1062),"")</f>
        <v/>
      </c>
      <c r="AK1062" s="65" t="n">
        <f aca="false">IF(AJ1062="",0,MAX(0,MIN(1,(IF(BU1062="L1",Parameter!$E$5,Parameter!$E$6+Parameter!$E$7)-(AJ1062-AF1062))/AF1062)))</f>
        <v>0</v>
      </c>
      <c r="AL1062" s="57" t="n">
        <f aca="false">IF(LEFT(Cockpit!$I$5,1)="A",G1062,IF(BW1062=1,BX1062,IF(LEFT(Cockpit!$I$5,1)="B",AP1062,MAX(AP1062,G1062))))</f>
        <v>5</v>
      </c>
      <c r="AM1062" s="57" t="n">
        <f aca="false">IF(BR1062=1,0,ROUNDUP(AL1062/BQ1062,0))</f>
        <v>1</v>
      </c>
      <c r="AN1062" s="59" t="n">
        <f aca="false">IF(CD1062&gt;0,CD1062*MAX(1,AL1062/V1062),IF(BR1062=1,IF(AL1062&lt;=0,0,BS1062*MAX(1,IF(G1062&gt;0,AL1062/G1062,1))),IF(Q1062&gt;0,AM1062/Q1062,0))/MAX(0.1,N(Parameter!$M$21)))</f>
        <v>0.00757575757575758</v>
      </c>
      <c r="AO1062" s="57" t="n">
        <f aca="false">AL1062*F1062</f>
        <v>785.4</v>
      </c>
      <c r="AP1062" s="57" t="n">
        <f aca="false">ROUNDUP(MAX(I1062/IF(BV1062&gt;0,BV1062,MAX(0.1,N(Cockpit!$I$6))),BY1062)/BQ1062,0)*BQ1062</f>
        <v>5</v>
      </c>
      <c r="AQ1062" s="58" t="n">
        <f aca="false">IF(AN1062&gt;0,I1062/AN1062,-1)</f>
        <v>132</v>
      </c>
      <c r="AR1062" s="58" t="n">
        <f aca="false">IF(AND(OR(BU1062="L1",BU1062="L23"),AN1062&gt;0),SUMIFS($AN$7:$AN$1576,$BU$7:$BU$1576,BU1062,$AQ$7:$AQ$1576,"&gt;"&amp;AQ1062)+SUMIFS($AN$7:$AN$1576,$BU$7:$BU$1576,BU1062,$AQ$7:$AQ$1576,AQ1062,$BO$7:$BO$1576,"&lt;="&amp;BO1062),"")</f>
        <v>60.2828298878411</v>
      </c>
      <c r="AS1062" s="65" t="n">
        <f aca="false">IF(AR1062="",0,MAX(0,MIN(1,(IF(BU1062="L1",Parameter!$E$5,Parameter!$E$6+Parameter!$E$7)-(AR1062-AN1062))/AN1062)))</f>
        <v>1</v>
      </c>
      <c r="AT1062" s="57" t="n">
        <f aca="false">IF(LEFT(Cockpit!$O$5,1)="A",G1062,IF(BW1062=1,BX1062,IF(LEFT(Cockpit!$O$5,1)="B",AX1062,MAX(AX1062,G1062))))</f>
        <v>5</v>
      </c>
      <c r="AU1062" s="57" t="n">
        <f aca="false">IF(BR1062=1,0,ROUNDUP(AT1062/BQ1062,0))</f>
        <v>1</v>
      </c>
      <c r="AV1062" s="59" t="n">
        <f aca="false">IF(CD1062&gt;0,CD1062*MAX(1,AT1062/V1062),IF(BR1062=1,IF(AT1062&lt;=0,0,BS1062*MAX(1,IF(G1062&gt;0,AT1062/G1062,1))),IF(Q1062&gt;0,AU1062/Q1062,0))/MAX(0.1,N(Parameter!$M$21)))</f>
        <v>0.00757575757575758</v>
      </c>
      <c r="AW1062" s="57" t="n">
        <f aca="false">AT1062*F1062</f>
        <v>785.4</v>
      </c>
      <c r="AX1062" s="57" t="n">
        <f aca="false">ROUNDUP(MAX(I1062/IF(BV1062&gt;0,BV1062,MAX(0.1,N(Cockpit!$O$6))),BY1062)/BQ1062,0)*BQ1062</f>
        <v>5</v>
      </c>
      <c r="AY1062" s="58" t="n">
        <f aca="false">IF(AV1062&gt;0,I1062/AV1062,-1)</f>
        <v>132</v>
      </c>
      <c r="AZ1062" s="58" t="n">
        <f aca="false">IF(AND(OR(BU1062="L1",BU1062="L23"),AV1062&gt;0),SUMIFS($AV$7:$AV$1576,$BU$7:$BU$1576,BU1062,$AY$7:$AY$1576,"&gt;"&amp;AY1062)+SUMIFS($AV$7:$AV$1576,$BU$7:$BU$1576,BU1062,$AY$7:$AY$1576,AY1062,$BO$7:$BO$1576,"&lt;="&amp;BO1062),"")</f>
        <v>54.9452970040582</v>
      </c>
      <c r="BA1062" s="65" t="n">
        <f aca="false">IF(AZ1062="",0,MAX(0,MIN(1,(IF(BU1062="L1",Parameter!$E$5,Parameter!$E$6+Parameter!$E$7)-(AZ1062-AV1062))/AV1062)))</f>
        <v>1</v>
      </c>
      <c r="BB1062" s="55" t="str">
        <f aca="false">IF(AF1062&lt;=0,"",IF(BU1062="Aussen","Aussenlager",IF(BU1062="-","Nicht im Lift",IF(AK1062&gt;=1,"Lift",IF(AK1062&lt;=0,"Aussenlager","teilweise")))))</f>
        <v/>
      </c>
      <c r="BC1062" s="55" t="str">
        <f aca="false">IF(AN1062&lt;=0,"",IF(BU1062="Aussen","Aussenlager",IF(BU1062="-","Nicht im Lift",IF(AS1062&gt;=1,"Lift",IF(AS1062&lt;=0,"Aussenlager","teilweise")))))</f>
        <v>Lift</v>
      </c>
      <c r="BD1062" s="55" t="str">
        <f aca="false">IF(AV1062&lt;=0,"",IF(BU1062="Aussen","Aussenlager",IF(BU1062="-","Nicht im Lift",IF(BA1062&gt;=1,"Lift",IF(BA1062&lt;=0,"Aussenlager","teilweise")))))</f>
        <v>Lift</v>
      </c>
      <c r="BE1062" s="55" t="str">
        <f aca="false">IF(A1062="","",IF(BN1062=1,"Neu; ","")&amp;IF(AND(BN1062=0,BI1062&lt;0),"negativer Bestand (Export "&amp;BI1062&amp;"); ","")&amp;IF(I1062&lt;=0,"Kein Verbrauch; ","")&amp;IF(CD1062&gt;0,"Lift "&amp;U1062&amp;" lt. Liftbericht (Fach "&amp;V1062&amp;" Stk); ",IF(BR1062=1,"Lose – Fläche geschätzt; ",""))&amp;IF(G1062&gt;AP1062,"Überbestand "&amp;ROUND(G1062-AP1062,0)&amp;" Stk / CHF "&amp;ROUND((G1062-AP1062)*F1062,0)&amp;"; ","")&amp;IF(AND(BW1062=1,BX1062&lt;BY1062),"MAX &lt; MB+LG; ","")&amp;IF(AND(CC1062&gt;0,CB1062*10&gt;CC1062),"zu hoch für Tablar; ","")&amp;IF(AND(BN1062=0,OR(BW1062=1,Y1062&lt;&gt;"",S1062&lt;&gt;"",T1062&lt;&gt;"",Z1062&lt;&gt;"")),"manuell übersteuert; ","")&amp;IF(AND(BR1062=0,Q1062=0),"Gebinde unbekannt / Stellmass fehlt; ","")&amp;IF(AND(BR1062=0,N(T1062)&lt;=0,N(P1062)&lt;=0),"Menge pro Gebinde fehlt (Ist = 1 Gebinde); ","")&amp;BM1062)</f>
        <v>negativer Bestand (Export -1); </v>
      </c>
      <c r="BF1062" s="55"/>
      <c r="BG1062" s="55"/>
      <c r="BH1062" s="62"/>
      <c r="BI1062" s="57" t="n">
        <v>-1</v>
      </c>
      <c r="BJ1062" s="57" t="n">
        <v>5</v>
      </c>
      <c r="BK1062" s="56" t="n">
        <v>-157.08</v>
      </c>
      <c r="BL1062" s="57" t="n">
        <v>1</v>
      </c>
      <c r="BM1062" s="55"/>
      <c r="BN1062" s="60" t="n">
        <v>0</v>
      </c>
      <c r="BO1062" s="60" t="n">
        <v>1062</v>
      </c>
      <c r="BP1062" s="55" t="str">
        <f aca="false">IF(S1062&lt;&gt;"",UPPER(TRIM(S1062)),IF(O1062="","LOSE",O1062))</f>
        <v>S32</v>
      </c>
      <c r="BQ1062" s="57" t="n">
        <f aca="false">IF(BP1062="LOSE",1,IF(N(T1062)&gt;0,T1062,IF(N(P1062)&gt;0,P1062,MAX(1,G1062))))</f>
        <v>5</v>
      </c>
      <c r="BR1062" s="60" t="n">
        <f aca="false">IF(BP1062="LOSE",1,0)</f>
        <v>0</v>
      </c>
      <c r="BS1062" s="59" t="n">
        <f aca="false">IF(BR1062=0,0,IF(N(R1062)&gt;0,R1062,IFERROR(VLOOKUP(D1062,Parameter!$A$35:$C$64,3,0)+0,0)))</f>
        <v>0</v>
      </c>
      <c r="BT1062" s="55" t="n">
        <f aca="false">IF(Y1062&lt;&gt;"",Y1062,X1062)</f>
        <v>3</v>
      </c>
      <c r="BU1062" s="55" t="str">
        <f aca="false">IF(BT1062=1,"L1",IF(OR(BT1062=2,BT1062=3),"L23",IF(BT1062="Aussen","Aussen","-")))</f>
        <v>L23</v>
      </c>
      <c r="BV1062" s="66" t="n">
        <f aca="false">IF(N(Z1062)&gt;0,Z1062,0)</f>
        <v>0</v>
      </c>
      <c r="BW1062" s="60" t="n">
        <f aca="false">IF(ISNUMBER(AC1062),1,0)</f>
        <v>0</v>
      </c>
      <c r="BX1062" s="57" t="n">
        <f aca="false">N(AC1062)</f>
        <v>0</v>
      </c>
      <c r="BY1062" s="57" t="n">
        <f aca="false">N(L1062)+N(M1062)</f>
        <v>1</v>
      </c>
      <c r="BZ1062" s="57" t="n">
        <f aca="false">ROUNDUP(G1062/BQ1062,0)</f>
        <v>0</v>
      </c>
      <c r="CA1062" s="57" t="n">
        <f aca="false">ROUNDUP(BX1062/BQ1062,0)</f>
        <v>0</v>
      </c>
      <c r="CB1062" s="60" t="n">
        <f aca="false">IF(BR1062=1,0,IFERROR(VLOOKUP(BP1062,'Gebinde-Kategorie'!$A$5:$M$45,5,0)+0,0))</f>
        <v>8</v>
      </c>
      <c r="CC1062" s="60" t="n">
        <f aca="false">IFERROR(IF(OR(BT1062=1,BT1062=2,BT1062=3),N(INDEX(Parameter!$I$5:$I$7,BT1062)),0),0)</f>
        <v>0</v>
      </c>
      <c r="CD1062" s="59" t="n">
        <f aca="false">IF(AND(Parameter!$B$21="Ja",ISNUMBER(U1062),N(V1062)&gt;0),IFERROR(N(INDEX(Parameter!$L$5:$L$7,U1062))*INDEX(Parameter!$E$5:$E$7,U1062)*V1062/SUMIFS($V$7:$V$1576,$U$7:$U$1576,U1062),0),0)</f>
        <v>0</v>
      </c>
    </row>
    <row r="1063" customFormat="false" ht="15" hidden="false" customHeight="false" outlineLevel="0" collapsed="false">
      <c r="A1063" s="55" t="s">
        <v>1928</v>
      </c>
      <c r="B1063" s="55" t="s">
        <v>1929</v>
      </c>
      <c r="C1063" s="55" t="s">
        <v>160</v>
      </c>
      <c r="D1063" s="55" t="s">
        <v>178</v>
      </c>
      <c r="E1063" s="55" t="s">
        <v>210</v>
      </c>
      <c r="F1063" s="56" t="n">
        <v>22.7</v>
      </c>
      <c r="G1063" s="57" t="n">
        <f aca="false">MAX(0,IF(AND(Parameter!$B$21="Ja",ISNUMBER(W1063)),W1063,IF(Parameter!$B$20="Jahresanfang 2025 + Export",BJ1063+BI1063,BI1063)))</f>
        <v>0</v>
      </c>
      <c r="H1063" s="57" t="n">
        <f aca="false">G1063*F1063</f>
        <v>0</v>
      </c>
      <c r="I1063" s="57" t="n">
        <f aca="false">BL1063*Parameter!$B$18</f>
        <v>4</v>
      </c>
      <c r="J1063" s="58" t="n">
        <v>13</v>
      </c>
      <c r="K1063" s="59" t="n">
        <v>0.307692307692308</v>
      </c>
      <c r="L1063" s="57" t="n">
        <v>0</v>
      </c>
      <c r="M1063" s="57" t="n">
        <v>5</v>
      </c>
      <c r="N1063" s="60" t="n">
        <v>35</v>
      </c>
      <c r="O1063" s="55" t="s">
        <v>411</v>
      </c>
      <c r="P1063" s="57" t="n">
        <v>9</v>
      </c>
      <c r="Q1063" s="60" t="n">
        <f aca="false">IF(BR1063=1,0,IFERROR(VLOOKUP(BP1063,'Gebinde-Kategorie'!$A$5:$M$45,13,0)+0,0))</f>
        <v>132</v>
      </c>
      <c r="R1063" s="61"/>
      <c r="S1063" s="62"/>
      <c r="T1063" s="62"/>
      <c r="U1063" s="55"/>
      <c r="V1063" s="57"/>
      <c r="W1063" s="57"/>
      <c r="X1063" s="55" t="n">
        <f aca="false">IF(A1063="","",IF(AND(Parameter!$B$21="Ja",ISNUMBER(U1063)),U1063,IF(IFERROR(VLOOKUP(D1063,Parameter!$A$35:$C$64,2,0),"Nein")="2+3",IF(ISNUMBER(SEARCH("grosser Artikel",BM1063)),2,IFERROR(VLOOKUP(BP1063,Parameter!$F$35:$G$64,2,0),2)),IF(OR(IFERROR(VLOOKUP(D1063,Parameter!$A$35:$C$64,2,0),"Nein")="Nein",IFERROR(VLOOKUP(D1063,Parameter!$A$35:$C$64,2,0),"Nein")=""),"-",VLOOKUP(D1063,Parameter!$A$35:$C$64,2,0)))))</f>
        <v>3</v>
      </c>
      <c r="Y1063" s="62"/>
      <c r="Z1063" s="63"/>
      <c r="AA1063" s="57" t="n">
        <f aca="false">AP1063</f>
        <v>9</v>
      </c>
      <c r="AB1063" s="57" t="n">
        <f aca="false">MAX(AP1063,G1063)</f>
        <v>9</v>
      </c>
      <c r="AC1063" s="64"/>
      <c r="AD1063" s="57" t="n">
        <f aca="false">IF(LEFT(Cockpit!$C$5,1)="A",G1063,IF(BW1063=1,BX1063,IF(LEFT(Cockpit!$C$5,1)="B",AH1063,MAX(AH1063,G1063))))</f>
        <v>0</v>
      </c>
      <c r="AE1063" s="57" t="n">
        <f aca="false">IF(BR1063=1,0,ROUNDUP(AD1063/BQ1063,0))</f>
        <v>0</v>
      </c>
      <c r="AF1063" s="59" t="n">
        <f aca="false">IF(CD1063&gt;0,CD1063*MAX(1,AD1063/V1063),IF(BR1063=1,IF(AD1063&lt;=0,0,BS1063*MAX(1,IF(G1063&gt;0,AD1063/G1063,1))),IF(Q1063&gt;0,AE1063/Q1063,0))/MAX(0.1,N(Parameter!$M$21)))</f>
        <v>0</v>
      </c>
      <c r="AG1063" s="57" t="n">
        <f aca="false">AD1063*F1063</f>
        <v>0</v>
      </c>
      <c r="AH1063" s="57" t="n">
        <f aca="false">ROUNDUP(MAX(I1063/IF(BV1063&gt;0,BV1063,MAX(0.1,N(Cockpit!$C$6))),BY1063)/BQ1063,0)*BQ1063</f>
        <v>9</v>
      </c>
      <c r="AI1063" s="58" t="n">
        <f aca="false">IF(AF1063&gt;0,I1063/AF1063,-1)</f>
        <v>-1</v>
      </c>
      <c r="AJ1063" s="58" t="str">
        <f aca="false">IF(AND(OR(BU1063="L1",BU1063="L23"),AF1063&gt;0),SUMIFS($AF$7:$AF$1576,$BU$7:$BU$1576,BU1063,$AI$7:$AI$1576,"&gt;"&amp;AI1063)+SUMIFS($AF$7:$AF$1576,$BU$7:$BU$1576,BU1063,$AI$7:$AI$1576,AI1063,$BO$7:$BO$1576,"&lt;="&amp;BO1063),"")</f>
        <v/>
      </c>
      <c r="AK1063" s="65" t="n">
        <f aca="false">IF(AJ1063="",0,MAX(0,MIN(1,(IF(BU1063="L1",Parameter!$E$5,Parameter!$E$6+Parameter!$E$7)-(AJ1063-AF1063))/AF1063)))</f>
        <v>0</v>
      </c>
      <c r="AL1063" s="57" t="n">
        <f aca="false">IF(LEFT(Cockpit!$I$5,1)="A",G1063,IF(BW1063=1,BX1063,IF(LEFT(Cockpit!$I$5,1)="B",AP1063,MAX(AP1063,G1063))))</f>
        <v>9</v>
      </c>
      <c r="AM1063" s="57" t="n">
        <f aca="false">IF(BR1063=1,0,ROUNDUP(AL1063/BQ1063,0))</f>
        <v>1</v>
      </c>
      <c r="AN1063" s="59" t="n">
        <f aca="false">IF(CD1063&gt;0,CD1063*MAX(1,AL1063/V1063),IF(BR1063=1,IF(AL1063&lt;=0,0,BS1063*MAX(1,IF(G1063&gt;0,AL1063/G1063,1))),IF(Q1063&gt;0,AM1063/Q1063,0))/MAX(0.1,N(Parameter!$M$21)))</f>
        <v>0.00757575757575758</v>
      </c>
      <c r="AO1063" s="57" t="n">
        <f aca="false">AL1063*F1063</f>
        <v>204.3</v>
      </c>
      <c r="AP1063" s="57" t="n">
        <f aca="false">ROUNDUP(MAX(I1063/IF(BV1063&gt;0,BV1063,MAX(0.1,N(Cockpit!$I$6))),BY1063)/BQ1063,0)*BQ1063</f>
        <v>9</v>
      </c>
      <c r="AQ1063" s="58" t="n">
        <f aca="false">IF(AN1063&gt;0,I1063/AN1063,-1)</f>
        <v>528</v>
      </c>
      <c r="AR1063" s="58" t="n">
        <f aca="false">IF(AND(OR(BU1063="L1",BU1063="L23"),AN1063&gt;0),SUMIFS($AN$7:$AN$1576,$BU$7:$BU$1576,BU1063,$AQ$7:$AQ$1576,"&gt;"&amp;AQ1063)+SUMIFS($AN$7:$AN$1576,$BU$7:$BU$1576,BU1063,$AQ$7:$AQ$1576,AQ1063,$BO$7:$BO$1576,"&lt;="&amp;BO1063),"")</f>
        <v>32.980168877354</v>
      </c>
      <c r="AS1063" s="65" t="n">
        <f aca="false">IF(AR1063="",0,MAX(0,MIN(1,(IF(BU1063="L1",Parameter!$E$5,Parameter!$E$6+Parameter!$E$7)-(AR1063-AN1063))/AN1063)))</f>
        <v>1</v>
      </c>
      <c r="AT1063" s="57" t="n">
        <f aca="false">IF(LEFT(Cockpit!$O$5,1)="A",G1063,IF(BW1063=1,BX1063,IF(LEFT(Cockpit!$O$5,1)="B",AX1063,MAX(AX1063,G1063))))</f>
        <v>9</v>
      </c>
      <c r="AU1063" s="57" t="n">
        <f aca="false">IF(BR1063=1,0,ROUNDUP(AT1063/BQ1063,0))</f>
        <v>1</v>
      </c>
      <c r="AV1063" s="59" t="n">
        <f aca="false">IF(CD1063&gt;0,CD1063*MAX(1,AT1063/V1063),IF(BR1063=1,IF(AT1063&lt;=0,0,BS1063*MAX(1,IF(G1063&gt;0,AT1063/G1063,1))),IF(Q1063&gt;0,AU1063/Q1063,0))/MAX(0.1,N(Parameter!$M$21)))</f>
        <v>0.00757575757575758</v>
      </c>
      <c r="AW1063" s="57" t="n">
        <f aca="false">AT1063*F1063</f>
        <v>204.3</v>
      </c>
      <c r="AX1063" s="57" t="n">
        <f aca="false">ROUNDUP(MAX(I1063/IF(BV1063&gt;0,BV1063,MAX(0.1,N(Cockpit!$O$6))),BY1063)/BQ1063,0)*BQ1063</f>
        <v>9</v>
      </c>
      <c r="AY1063" s="58" t="n">
        <f aca="false">IF(AV1063&gt;0,I1063/AV1063,-1)</f>
        <v>528</v>
      </c>
      <c r="AZ1063" s="58" t="n">
        <f aca="false">IF(AND(OR(BU1063="L1",BU1063="L23"),AV1063&gt;0),SUMIFS($AV$7:$AV$1576,$BU$7:$BU$1576,BU1063,$AY$7:$AY$1576,"&gt;"&amp;AY1063)+SUMIFS($AV$7:$AV$1576,$BU$7:$BU$1576,BU1063,$AY$7:$AY$1576,AY1063,$BO$7:$BO$1576,"&lt;="&amp;BO1063),"")</f>
        <v>31.0568555240406</v>
      </c>
      <c r="BA1063" s="65" t="n">
        <f aca="false">IF(AZ1063="",0,MAX(0,MIN(1,(IF(BU1063="L1",Parameter!$E$5,Parameter!$E$6+Parameter!$E$7)-(AZ1063-AV1063))/AV1063)))</f>
        <v>1</v>
      </c>
      <c r="BB1063" s="55" t="str">
        <f aca="false">IF(AF1063&lt;=0,"",IF(BU1063="Aussen","Aussenlager",IF(BU1063="-","Nicht im Lift",IF(AK1063&gt;=1,"Lift",IF(AK1063&lt;=0,"Aussenlager","teilweise")))))</f>
        <v/>
      </c>
      <c r="BC1063" s="55" t="str">
        <f aca="false">IF(AN1063&lt;=0,"",IF(BU1063="Aussen","Aussenlager",IF(BU1063="-","Nicht im Lift",IF(AS1063&gt;=1,"Lift",IF(AS1063&lt;=0,"Aussenlager","teilweise")))))</f>
        <v>Lift</v>
      </c>
      <c r="BD1063" s="55" t="str">
        <f aca="false">IF(AV1063&lt;=0,"",IF(BU1063="Aussen","Aussenlager",IF(BU1063="-","Nicht im Lift",IF(BA1063&gt;=1,"Lift",IF(BA1063&lt;=0,"Aussenlager","teilweise")))))</f>
        <v>Lift</v>
      </c>
      <c r="BE1063" s="55" t="str">
        <f aca="false">IF(A1063="","",IF(BN1063=1,"Neu; ","")&amp;IF(AND(BN1063=0,BI1063&lt;0),"negativer Bestand (Export "&amp;BI1063&amp;"); ","")&amp;IF(I1063&lt;=0,"Kein Verbrauch; ","")&amp;IF(CD1063&gt;0,"Lift "&amp;U1063&amp;" lt. Liftbericht (Fach "&amp;V1063&amp;" Stk); ",IF(BR1063=1,"Lose – Fläche geschätzt; ",""))&amp;IF(G1063&gt;AP1063,"Überbestand "&amp;ROUND(G1063-AP1063,0)&amp;" Stk / CHF "&amp;ROUND((G1063-AP1063)*F1063,0)&amp;"; ","")&amp;IF(AND(BW1063=1,BX1063&lt;BY1063),"MAX &lt; MB+LG; ","")&amp;IF(AND(CC1063&gt;0,CB1063*10&gt;CC1063),"zu hoch für Tablar; ","")&amp;IF(AND(BN1063=0,OR(BW1063=1,Y1063&lt;&gt;"",S1063&lt;&gt;"",T1063&lt;&gt;"",Z1063&lt;&gt;"")),"manuell übersteuert; ","")&amp;IF(AND(BR1063=0,Q1063=0),"Gebinde unbekannt / Stellmass fehlt; ","")&amp;IF(AND(BR1063=0,N(T1063)&lt;=0,N(P1063)&lt;=0),"Menge pro Gebinde fehlt (Ist = 1 Gebinde); ","")&amp;BM1063)</f>
        <v>negativer Bestand (Export -7); </v>
      </c>
      <c r="BF1063" s="55"/>
      <c r="BG1063" s="55"/>
      <c r="BH1063" s="62"/>
      <c r="BI1063" s="57" t="n">
        <v>-7</v>
      </c>
      <c r="BJ1063" s="57" t="n">
        <v>11</v>
      </c>
      <c r="BK1063" s="56" t="n">
        <v>-158.9</v>
      </c>
      <c r="BL1063" s="57" t="n">
        <v>4</v>
      </c>
      <c r="BM1063" s="55"/>
      <c r="BN1063" s="60" t="n">
        <v>0</v>
      </c>
      <c r="BO1063" s="60" t="n">
        <v>1063</v>
      </c>
      <c r="BP1063" s="55" t="str">
        <f aca="false">IF(S1063&lt;&gt;"",UPPER(TRIM(S1063)),IF(O1063="","LOSE",O1063))</f>
        <v>S32</v>
      </c>
      <c r="BQ1063" s="57" t="n">
        <f aca="false">IF(BP1063="LOSE",1,IF(N(T1063)&gt;0,T1063,IF(N(P1063)&gt;0,P1063,MAX(1,G1063))))</f>
        <v>9</v>
      </c>
      <c r="BR1063" s="60" t="n">
        <f aca="false">IF(BP1063="LOSE",1,0)</f>
        <v>0</v>
      </c>
      <c r="BS1063" s="59" t="n">
        <f aca="false">IF(BR1063=0,0,IF(N(R1063)&gt;0,R1063,IFERROR(VLOOKUP(D1063,Parameter!$A$35:$C$64,3,0)+0,0)))</f>
        <v>0</v>
      </c>
      <c r="BT1063" s="55" t="n">
        <f aca="false">IF(Y1063&lt;&gt;"",Y1063,X1063)</f>
        <v>3</v>
      </c>
      <c r="BU1063" s="55" t="str">
        <f aca="false">IF(BT1063=1,"L1",IF(OR(BT1063=2,BT1063=3),"L23",IF(BT1063="Aussen","Aussen","-")))</f>
        <v>L23</v>
      </c>
      <c r="BV1063" s="66" t="n">
        <f aca="false">IF(N(Z1063)&gt;0,Z1063,0)</f>
        <v>0</v>
      </c>
      <c r="BW1063" s="60" t="n">
        <f aca="false">IF(ISNUMBER(AC1063),1,0)</f>
        <v>0</v>
      </c>
      <c r="BX1063" s="57" t="n">
        <f aca="false">N(AC1063)</f>
        <v>0</v>
      </c>
      <c r="BY1063" s="57" t="n">
        <f aca="false">N(L1063)+N(M1063)</f>
        <v>5</v>
      </c>
      <c r="BZ1063" s="57" t="n">
        <f aca="false">ROUNDUP(G1063/BQ1063,0)</f>
        <v>0</v>
      </c>
      <c r="CA1063" s="57" t="n">
        <f aca="false">ROUNDUP(BX1063/BQ1063,0)</f>
        <v>0</v>
      </c>
      <c r="CB1063" s="60" t="n">
        <f aca="false">IF(BR1063=1,0,IFERROR(VLOOKUP(BP1063,'Gebinde-Kategorie'!$A$5:$M$45,5,0)+0,0))</f>
        <v>8</v>
      </c>
      <c r="CC1063" s="60" t="n">
        <f aca="false">IFERROR(IF(OR(BT1063=1,BT1063=2,BT1063=3),N(INDEX(Parameter!$I$5:$I$7,BT1063)),0),0)</f>
        <v>0</v>
      </c>
      <c r="CD1063" s="59" t="n">
        <f aca="false">IF(AND(Parameter!$B$21="Ja",ISNUMBER(U1063),N(V1063)&gt;0),IFERROR(N(INDEX(Parameter!$L$5:$L$7,U1063))*INDEX(Parameter!$E$5:$E$7,U1063)*V1063/SUMIFS($V$7:$V$1576,$U$7:$U$1576,U1063),0),0)</f>
        <v>0</v>
      </c>
    </row>
    <row r="1064" customFormat="false" ht="15" hidden="false" customHeight="false" outlineLevel="0" collapsed="false">
      <c r="A1064" s="55" t="s">
        <v>1930</v>
      </c>
      <c r="B1064" s="55" t="s">
        <v>1931</v>
      </c>
      <c r="C1064" s="55" t="s">
        <v>160</v>
      </c>
      <c r="D1064" s="55" t="s">
        <v>178</v>
      </c>
      <c r="E1064" s="55" t="s">
        <v>210</v>
      </c>
      <c r="F1064" s="56" t="n">
        <v>80.5</v>
      </c>
      <c r="G1064" s="57" t="n">
        <f aca="false">MAX(0,IF(AND(Parameter!$B$21="Ja",ISNUMBER(W1064)),W1064,IF(Parameter!$B$20="Jahresanfang 2025 + Export",BJ1064+BI1064,BI1064)))</f>
        <v>0</v>
      </c>
      <c r="H1064" s="57" t="n">
        <f aca="false">G1064*F1064</f>
        <v>0</v>
      </c>
      <c r="I1064" s="57" t="n">
        <f aca="false">BL1064*Parameter!$B$18</f>
        <v>2</v>
      </c>
      <c r="J1064" s="58" t="n">
        <v>8</v>
      </c>
      <c r="K1064" s="59" t="n">
        <v>0.25</v>
      </c>
      <c r="L1064" s="57" t="n">
        <v>0</v>
      </c>
      <c r="M1064" s="57" t="n">
        <v>1</v>
      </c>
      <c r="N1064" s="60" t="n">
        <v>35</v>
      </c>
      <c r="O1064" s="55" t="s">
        <v>391</v>
      </c>
      <c r="P1064" s="57" t="n">
        <v>7</v>
      </c>
      <c r="Q1064" s="60" t="n">
        <f aca="false">IF(BR1064=1,0,IFERROR(VLOOKUP(BP1064,'Gebinde-Kategorie'!$A$5:$M$45,13,0)+0,0))</f>
        <v>414</v>
      </c>
      <c r="R1064" s="61"/>
      <c r="S1064" s="62"/>
      <c r="T1064" s="62"/>
      <c r="U1064" s="55"/>
      <c r="V1064" s="57"/>
      <c r="W1064" s="57"/>
      <c r="X1064" s="55" t="n">
        <f aca="false">IF(A1064="","",IF(AND(Parameter!$B$21="Ja",ISNUMBER(U1064)),U1064,IF(IFERROR(VLOOKUP(D1064,Parameter!$A$35:$C$64,2,0),"Nein")="2+3",IF(ISNUMBER(SEARCH("grosser Artikel",BM1064)),2,IFERROR(VLOOKUP(BP1064,Parameter!$F$35:$G$64,2,0),2)),IF(OR(IFERROR(VLOOKUP(D1064,Parameter!$A$35:$C$64,2,0),"Nein")="Nein",IFERROR(VLOOKUP(D1064,Parameter!$A$35:$C$64,2,0),"Nein")=""),"-",VLOOKUP(D1064,Parameter!$A$35:$C$64,2,0)))))</f>
        <v>3</v>
      </c>
      <c r="Y1064" s="62"/>
      <c r="Z1064" s="63"/>
      <c r="AA1064" s="57" t="n">
        <f aca="false">AP1064</f>
        <v>7</v>
      </c>
      <c r="AB1064" s="57" t="n">
        <f aca="false">MAX(AP1064,G1064)</f>
        <v>7</v>
      </c>
      <c r="AC1064" s="64"/>
      <c r="AD1064" s="57" t="n">
        <f aca="false">IF(LEFT(Cockpit!$C$5,1)="A",G1064,IF(BW1064=1,BX1064,IF(LEFT(Cockpit!$C$5,1)="B",AH1064,MAX(AH1064,G1064))))</f>
        <v>0</v>
      </c>
      <c r="AE1064" s="57" t="n">
        <f aca="false">IF(BR1064=1,0,ROUNDUP(AD1064/BQ1064,0))</f>
        <v>0</v>
      </c>
      <c r="AF1064" s="59" t="n">
        <f aca="false">IF(CD1064&gt;0,CD1064*MAX(1,AD1064/V1064),IF(BR1064=1,IF(AD1064&lt;=0,0,BS1064*MAX(1,IF(G1064&gt;0,AD1064/G1064,1))),IF(Q1064&gt;0,AE1064/Q1064,0))/MAX(0.1,N(Parameter!$M$21)))</f>
        <v>0</v>
      </c>
      <c r="AG1064" s="57" t="n">
        <f aca="false">AD1064*F1064</f>
        <v>0</v>
      </c>
      <c r="AH1064" s="57" t="n">
        <f aca="false">ROUNDUP(MAX(I1064/IF(BV1064&gt;0,BV1064,MAX(0.1,N(Cockpit!$C$6))),BY1064)/BQ1064,0)*BQ1064</f>
        <v>7</v>
      </c>
      <c r="AI1064" s="58" t="n">
        <f aca="false">IF(AF1064&gt;0,I1064/AF1064,-1)</f>
        <v>-1</v>
      </c>
      <c r="AJ1064" s="58" t="str">
        <f aca="false">IF(AND(OR(BU1064="L1",BU1064="L23"),AF1064&gt;0),SUMIFS($AF$7:$AF$1576,$BU$7:$BU$1576,BU1064,$AI$7:$AI$1576,"&gt;"&amp;AI1064)+SUMIFS($AF$7:$AF$1576,$BU$7:$BU$1576,BU1064,$AI$7:$AI$1576,AI1064,$BO$7:$BO$1576,"&lt;="&amp;BO1064),"")</f>
        <v/>
      </c>
      <c r="AK1064" s="65" t="n">
        <f aca="false">IF(AJ1064="",0,MAX(0,MIN(1,(IF(BU1064="L1",Parameter!$E$5,Parameter!$E$6+Parameter!$E$7)-(AJ1064-AF1064))/AF1064)))</f>
        <v>0</v>
      </c>
      <c r="AL1064" s="57" t="n">
        <f aca="false">IF(LEFT(Cockpit!$I$5,1)="A",G1064,IF(BW1064=1,BX1064,IF(LEFT(Cockpit!$I$5,1)="B",AP1064,MAX(AP1064,G1064))))</f>
        <v>7</v>
      </c>
      <c r="AM1064" s="57" t="n">
        <f aca="false">IF(BR1064=1,0,ROUNDUP(AL1064/BQ1064,0))</f>
        <v>1</v>
      </c>
      <c r="AN1064" s="59" t="n">
        <f aca="false">IF(CD1064&gt;0,CD1064*MAX(1,AL1064/V1064),IF(BR1064=1,IF(AL1064&lt;=0,0,BS1064*MAX(1,IF(G1064&gt;0,AL1064/G1064,1))),IF(Q1064&gt;0,AM1064/Q1064,0))/MAX(0.1,N(Parameter!$M$21)))</f>
        <v>0.00241545893719807</v>
      </c>
      <c r="AO1064" s="57" t="n">
        <f aca="false">AL1064*F1064</f>
        <v>563.5</v>
      </c>
      <c r="AP1064" s="57" t="n">
        <f aca="false">ROUNDUP(MAX(I1064/IF(BV1064&gt;0,BV1064,MAX(0.1,N(Cockpit!$I$6))),BY1064)/BQ1064,0)*BQ1064</f>
        <v>7</v>
      </c>
      <c r="AQ1064" s="58" t="n">
        <f aca="false">IF(AN1064&gt;0,I1064/AN1064,-1)</f>
        <v>828</v>
      </c>
      <c r="AR1064" s="58" t="n">
        <f aca="false">IF(AND(OR(BU1064="L1",BU1064="L23"),AN1064&gt;0),SUMIFS($AN$7:$AN$1576,$BU$7:$BU$1576,BU1064,$AQ$7:$AQ$1576,"&gt;"&amp;AQ1064)+SUMIFS($AN$7:$AN$1576,$BU$7:$BU$1576,BU1064,$AQ$7:$AQ$1576,AQ1064,$BO$7:$BO$1576,"&lt;="&amp;BO1064),"")</f>
        <v>25.6223444795296</v>
      </c>
      <c r="AS1064" s="65" t="n">
        <f aca="false">IF(AR1064="",0,MAX(0,MIN(1,(IF(BU1064="L1",Parameter!$E$5,Parameter!$E$6+Parameter!$E$7)-(AR1064-AN1064))/AN1064)))</f>
        <v>1</v>
      </c>
      <c r="AT1064" s="57" t="n">
        <f aca="false">IF(LEFT(Cockpit!$O$5,1)="A",G1064,IF(BW1064=1,BX1064,IF(LEFT(Cockpit!$O$5,1)="B",AX1064,MAX(AX1064,G1064))))</f>
        <v>7</v>
      </c>
      <c r="AU1064" s="57" t="n">
        <f aca="false">IF(BR1064=1,0,ROUNDUP(AT1064/BQ1064,0))</f>
        <v>1</v>
      </c>
      <c r="AV1064" s="59" t="n">
        <f aca="false">IF(CD1064&gt;0,CD1064*MAX(1,AT1064/V1064),IF(BR1064=1,IF(AT1064&lt;=0,0,BS1064*MAX(1,IF(G1064&gt;0,AT1064/G1064,1))),IF(Q1064&gt;0,AU1064/Q1064,0))/MAX(0.1,N(Parameter!$M$21)))</f>
        <v>0.00241545893719807</v>
      </c>
      <c r="AW1064" s="57" t="n">
        <f aca="false">AT1064*F1064</f>
        <v>563.5</v>
      </c>
      <c r="AX1064" s="57" t="n">
        <f aca="false">ROUNDUP(MAX(I1064/IF(BV1064&gt;0,BV1064,MAX(0.1,N(Cockpit!$O$6))),BY1064)/BQ1064,0)*BQ1064</f>
        <v>7</v>
      </c>
      <c r="AY1064" s="58" t="n">
        <f aca="false">IF(AV1064&gt;0,I1064/AV1064,-1)</f>
        <v>828</v>
      </c>
      <c r="AZ1064" s="58" t="n">
        <f aca="false">IF(AND(OR(BU1064="L1",BU1064="L23"),AV1064&gt;0),SUMIFS($AV$7:$AV$1576,$BU$7:$BU$1576,BU1064,$AY$7:$AY$1576,"&gt;"&amp;AY1064)+SUMIFS($AV$7:$AV$1576,$BU$7:$BU$1576,BU1064,$AY$7:$AY$1576,AY1064,$BO$7:$BO$1576,"&lt;="&amp;BO1064),"")</f>
        <v>25.9393607965459</v>
      </c>
      <c r="BA1064" s="65" t="n">
        <f aca="false">IF(AZ1064="",0,MAX(0,MIN(1,(IF(BU1064="L1",Parameter!$E$5,Parameter!$E$6+Parameter!$E$7)-(AZ1064-AV1064))/AV1064)))</f>
        <v>1</v>
      </c>
      <c r="BB1064" s="55" t="str">
        <f aca="false">IF(AF1064&lt;=0,"",IF(BU1064="Aussen","Aussenlager",IF(BU1064="-","Nicht im Lift",IF(AK1064&gt;=1,"Lift",IF(AK1064&lt;=0,"Aussenlager","teilweise")))))</f>
        <v/>
      </c>
      <c r="BC1064" s="55" t="str">
        <f aca="false">IF(AN1064&lt;=0,"",IF(BU1064="Aussen","Aussenlager",IF(BU1064="-","Nicht im Lift",IF(AS1064&gt;=1,"Lift",IF(AS1064&lt;=0,"Aussenlager","teilweise")))))</f>
        <v>Lift</v>
      </c>
      <c r="BD1064" s="55" t="str">
        <f aca="false">IF(AV1064&lt;=0,"",IF(BU1064="Aussen","Aussenlager",IF(BU1064="-","Nicht im Lift",IF(BA1064&gt;=1,"Lift",IF(BA1064&lt;=0,"Aussenlager","teilweise")))))</f>
        <v>Lift</v>
      </c>
      <c r="BE1064" s="55" t="str">
        <f aca="false">IF(A1064="","",IF(BN1064=1,"Neu; ","")&amp;IF(AND(BN1064=0,BI1064&lt;0),"negativer Bestand (Export "&amp;BI1064&amp;"); ","")&amp;IF(I1064&lt;=0,"Kein Verbrauch; ","")&amp;IF(CD1064&gt;0,"Lift "&amp;U1064&amp;" lt. Liftbericht (Fach "&amp;V1064&amp;" Stk); ",IF(BR1064=1,"Lose – Fläche geschätzt; ",""))&amp;IF(G1064&gt;AP1064,"Überbestand "&amp;ROUND(G1064-AP1064,0)&amp;" Stk / CHF "&amp;ROUND((G1064-AP1064)*F1064,0)&amp;"; ","")&amp;IF(AND(BW1064=1,BX1064&lt;BY1064),"MAX &lt; MB+LG; ","")&amp;IF(AND(CC1064&gt;0,CB1064*10&gt;CC1064),"zu hoch für Tablar; ","")&amp;IF(AND(BN1064=0,OR(BW1064=1,Y1064&lt;&gt;"",S1064&lt;&gt;"",T1064&lt;&gt;"",Z1064&lt;&gt;"")),"manuell übersteuert; ","")&amp;IF(AND(BR1064=0,Q1064=0),"Gebinde unbekannt / Stellmass fehlt; ","")&amp;IF(AND(BR1064=0,N(T1064)&lt;=0,N(P1064)&lt;=0),"Menge pro Gebinde fehlt (Ist = 1 Gebinde); ","")&amp;BM1064)</f>
        <v>negativer Bestand (Export -2); </v>
      </c>
      <c r="BF1064" s="55"/>
      <c r="BG1064" s="55"/>
      <c r="BH1064" s="62"/>
      <c r="BI1064" s="57" t="n">
        <v>-2</v>
      </c>
      <c r="BJ1064" s="57" t="n">
        <v>9</v>
      </c>
      <c r="BK1064" s="56" t="n">
        <v>-161</v>
      </c>
      <c r="BL1064" s="57" t="n">
        <v>2</v>
      </c>
      <c r="BM1064" s="55"/>
      <c r="BN1064" s="60" t="n">
        <v>0</v>
      </c>
      <c r="BO1064" s="60" t="n">
        <v>1064</v>
      </c>
      <c r="BP1064" s="55" t="str">
        <f aca="false">IF(S1064&lt;&gt;"",UPPER(TRIM(S1064)),IF(O1064="","LOSE",O1064))</f>
        <v>S21</v>
      </c>
      <c r="BQ1064" s="57" t="n">
        <f aca="false">IF(BP1064="LOSE",1,IF(N(T1064)&gt;0,T1064,IF(N(P1064)&gt;0,P1064,MAX(1,G1064))))</f>
        <v>7</v>
      </c>
      <c r="BR1064" s="60" t="n">
        <f aca="false">IF(BP1064="LOSE",1,0)</f>
        <v>0</v>
      </c>
      <c r="BS1064" s="59" t="n">
        <f aca="false">IF(BR1064=0,0,IF(N(R1064)&gt;0,R1064,IFERROR(VLOOKUP(D1064,Parameter!$A$35:$C$64,3,0)+0,0)))</f>
        <v>0</v>
      </c>
      <c r="BT1064" s="55" t="n">
        <f aca="false">IF(Y1064&lt;&gt;"",Y1064,X1064)</f>
        <v>3</v>
      </c>
      <c r="BU1064" s="55" t="str">
        <f aca="false">IF(BT1064=1,"L1",IF(OR(BT1064=2,BT1064=3),"L23",IF(BT1064="Aussen","Aussen","-")))</f>
        <v>L23</v>
      </c>
      <c r="BV1064" s="66" t="n">
        <f aca="false">IF(N(Z1064)&gt;0,Z1064,0)</f>
        <v>0</v>
      </c>
      <c r="BW1064" s="60" t="n">
        <f aca="false">IF(ISNUMBER(AC1064),1,0)</f>
        <v>0</v>
      </c>
      <c r="BX1064" s="57" t="n">
        <f aca="false">N(AC1064)</f>
        <v>0</v>
      </c>
      <c r="BY1064" s="57" t="n">
        <f aca="false">N(L1064)+N(M1064)</f>
        <v>1</v>
      </c>
      <c r="BZ1064" s="57" t="n">
        <f aca="false">ROUNDUP(G1064/BQ1064,0)</f>
        <v>0</v>
      </c>
      <c r="CA1064" s="57" t="n">
        <f aca="false">ROUNDUP(BX1064/BQ1064,0)</f>
        <v>0</v>
      </c>
      <c r="CB1064" s="60" t="n">
        <f aca="false">IF(BR1064=1,0,IFERROR(VLOOKUP(BP1064,'Gebinde-Kategorie'!$A$5:$M$45,5,0)+0,0))</f>
        <v>8</v>
      </c>
      <c r="CC1064" s="60" t="n">
        <f aca="false">IFERROR(IF(OR(BT1064=1,BT1064=2,BT1064=3),N(INDEX(Parameter!$I$5:$I$7,BT1064)),0),0)</f>
        <v>0</v>
      </c>
      <c r="CD1064" s="59" t="n">
        <f aca="false">IF(AND(Parameter!$B$21="Ja",ISNUMBER(U1064),N(V1064)&gt;0),IFERROR(N(INDEX(Parameter!$L$5:$L$7,U1064))*INDEX(Parameter!$E$5:$E$7,U1064)*V1064/SUMIFS($V$7:$V$1576,$U$7:$U$1576,U1064),0),0)</f>
        <v>0</v>
      </c>
    </row>
    <row r="1065" customFormat="false" ht="15" hidden="false" customHeight="false" outlineLevel="0" collapsed="false">
      <c r="A1065" s="55" t="s">
        <v>1932</v>
      </c>
      <c r="B1065" s="55" t="s">
        <v>1933</v>
      </c>
      <c r="C1065" s="55" t="s">
        <v>160</v>
      </c>
      <c r="D1065" s="55" t="s">
        <v>178</v>
      </c>
      <c r="E1065" s="55" t="s">
        <v>210</v>
      </c>
      <c r="F1065" s="56" t="n">
        <v>3.69</v>
      </c>
      <c r="G1065" s="57" t="n">
        <f aca="false">MAX(0,IF(AND(Parameter!$B$21="Ja",ISNUMBER(W1065)),W1065,IF(Parameter!$B$20="Jahresanfang 2025 + Export",BJ1065+BI1065,BI1065)))</f>
        <v>0</v>
      </c>
      <c r="H1065" s="57" t="n">
        <f aca="false">G1065*F1065</f>
        <v>0</v>
      </c>
      <c r="I1065" s="57" t="n">
        <f aca="false">BL1065*Parameter!$B$18</f>
        <v>25</v>
      </c>
      <c r="J1065" s="58" t="n">
        <v>37</v>
      </c>
      <c r="K1065" s="59" t="n">
        <v>0.675675675675676</v>
      </c>
      <c r="L1065" s="57" t="n">
        <v>1</v>
      </c>
      <c r="M1065" s="57" t="n">
        <v>50</v>
      </c>
      <c r="N1065" s="60" t="n">
        <v>28</v>
      </c>
      <c r="O1065" s="55" t="s">
        <v>319</v>
      </c>
      <c r="P1065" s="57" t="n">
        <v>88</v>
      </c>
      <c r="Q1065" s="60" t="n">
        <f aca="false">IF(BR1065=1,0,IFERROR(VLOOKUP(BP1065,'Gebinde-Kategorie'!$A$5:$M$45,13,0)+0,0))</f>
        <v>52</v>
      </c>
      <c r="R1065" s="61"/>
      <c r="S1065" s="62"/>
      <c r="T1065" s="62"/>
      <c r="U1065" s="55"/>
      <c r="V1065" s="57"/>
      <c r="W1065" s="57"/>
      <c r="X1065" s="55" t="n">
        <f aca="false">IF(A1065="","",IF(AND(Parameter!$B$21="Ja",ISNUMBER(U1065)),U1065,IF(IFERROR(VLOOKUP(D1065,Parameter!$A$35:$C$64,2,0),"Nein")="2+3",IF(ISNUMBER(SEARCH("grosser Artikel",BM1065)),2,IFERROR(VLOOKUP(BP1065,Parameter!$F$35:$G$64,2,0),2)),IF(OR(IFERROR(VLOOKUP(D1065,Parameter!$A$35:$C$64,2,0),"Nein")="Nein",IFERROR(VLOOKUP(D1065,Parameter!$A$35:$C$64,2,0),"Nein")=""),"-",VLOOKUP(D1065,Parameter!$A$35:$C$64,2,0)))))</f>
        <v>3</v>
      </c>
      <c r="Y1065" s="62"/>
      <c r="Z1065" s="63"/>
      <c r="AA1065" s="57" t="n">
        <f aca="false">AP1065</f>
        <v>88</v>
      </c>
      <c r="AB1065" s="57" t="n">
        <f aca="false">MAX(AP1065,G1065)</f>
        <v>88</v>
      </c>
      <c r="AC1065" s="64"/>
      <c r="AD1065" s="57" t="n">
        <f aca="false">IF(LEFT(Cockpit!$C$5,1)="A",G1065,IF(BW1065=1,BX1065,IF(LEFT(Cockpit!$C$5,1)="B",AH1065,MAX(AH1065,G1065))))</f>
        <v>0</v>
      </c>
      <c r="AE1065" s="57" t="n">
        <f aca="false">IF(BR1065=1,0,ROUNDUP(AD1065/BQ1065,0))</f>
        <v>0</v>
      </c>
      <c r="AF1065" s="59" t="n">
        <f aca="false">IF(CD1065&gt;0,CD1065*MAX(1,AD1065/V1065),IF(BR1065=1,IF(AD1065&lt;=0,0,BS1065*MAX(1,IF(G1065&gt;0,AD1065/G1065,1))),IF(Q1065&gt;0,AE1065/Q1065,0))/MAX(0.1,N(Parameter!$M$21)))</f>
        <v>0</v>
      </c>
      <c r="AG1065" s="57" t="n">
        <f aca="false">AD1065*F1065</f>
        <v>0</v>
      </c>
      <c r="AH1065" s="57" t="n">
        <f aca="false">ROUNDUP(MAX(I1065/IF(BV1065&gt;0,BV1065,MAX(0.1,N(Cockpit!$C$6))),BY1065)/BQ1065,0)*BQ1065</f>
        <v>88</v>
      </c>
      <c r="AI1065" s="58" t="n">
        <f aca="false">IF(AF1065&gt;0,I1065/AF1065,-1)</f>
        <v>-1</v>
      </c>
      <c r="AJ1065" s="58" t="str">
        <f aca="false">IF(AND(OR(BU1065="L1",BU1065="L23"),AF1065&gt;0),SUMIFS($AF$7:$AF$1576,$BU$7:$BU$1576,BU1065,$AI$7:$AI$1576,"&gt;"&amp;AI1065)+SUMIFS($AF$7:$AF$1576,$BU$7:$BU$1576,BU1065,$AI$7:$AI$1576,AI1065,$BO$7:$BO$1576,"&lt;="&amp;BO1065),"")</f>
        <v/>
      </c>
      <c r="AK1065" s="65" t="n">
        <f aca="false">IF(AJ1065="",0,MAX(0,MIN(1,(IF(BU1065="L1",Parameter!$E$5,Parameter!$E$6+Parameter!$E$7)-(AJ1065-AF1065))/AF1065)))</f>
        <v>0</v>
      </c>
      <c r="AL1065" s="57" t="n">
        <f aca="false">IF(LEFT(Cockpit!$I$5,1)="A",G1065,IF(BW1065=1,BX1065,IF(LEFT(Cockpit!$I$5,1)="B",AP1065,MAX(AP1065,G1065))))</f>
        <v>88</v>
      </c>
      <c r="AM1065" s="57" t="n">
        <f aca="false">IF(BR1065=1,0,ROUNDUP(AL1065/BQ1065,0))</f>
        <v>1</v>
      </c>
      <c r="AN1065" s="59" t="n">
        <f aca="false">IF(CD1065&gt;0,CD1065*MAX(1,AL1065/V1065),IF(BR1065=1,IF(AL1065&lt;=0,0,BS1065*MAX(1,IF(G1065&gt;0,AL1065/G1065,1))),IF(Q1065&gt;0,AM1065/Q1065,0))/MAX(0.1,N(Parameter!$M$21)))</f>
        <v>0.0192307692307692</v>
      </c>
      <c r="AO1065" s="57" t="n">
        <f aca="false">AL1065*F1065</f>
        <v>324.72</v>
      </c>
      <c r="AP1065" s="57" t="n">
        <f aca="false">ROUNDUP(MAX(I1065/IF(BV1065&gt;0,BV1065,MAX(0.1,N(Cockpit!$I$6))),BY1065)/BQ1065,0)*BQ1065</f>
        <v>88</v>
      </c>
      <c r="AQ1065" s="58" t="n">
        <f aca="false">IF(AN1065&gt;0,I1065/AN1065,-1)</f>
        <v>1300</v>
      </c>
      <c r="AR1065" s="58" t="n">
        <f aca="false">IF(AND(OR(BU1065="L1",BU1065="L23"),AN1065&gt;0),SUMIFS($AN$7:$AN$1576,$BU$7:$BU$1576,BU1065,$AQ$7:$AQ$1576,"&gt;"&amp;AQ1065)+SUMIFS($AN$7:$AN$1576,$BU$7:$BU$1576,BU1065,$AQ$7:$AQ$1576,AQ1065,$BO$7:$BO$1576,"&lt;="&amp;BO1065),"")</f>
        <v>20.4036167338453</v>
      </c>
      <c r="AS1065" s="65" t="n">
        <f aca="false">IF(AR1065="",0,MAX(0,MIN(1,(IF(BU1065="L1",Parameter!$E$5,Parameter!$E$6+Parameter!$E$7)-(AR1065-AN1065))/AN1065)))</f>
        <v>1</v>
      </c>
      <c r="AT1065" s="57" t="n">
        <f aca="false">IF(LEFT(Cockpit!$O$5,1)="A",G1065,IF(BW1065=1,BX1065,IF(LEFT(Cockpit!$O$5,1)="B",AX1065,MAX(AX1065,G1065))))</f>
        <v>88</v>
      </c>
      <c r="AU1065" s="57" t="n">
        <f aca="false">IF(BR1065=1,0,ROUNDUP(AT1065/BQ1065,0))</f>
        <v>1</v>
      </c>
      <c r="AV1065" s="59" t="n">
        <f aca="false">IF(CD1065&gt;0,CD1065*MAX(1,AT1065/V1065),IF(BR1065=1,IF(AT1065&lt;=0,0,BS1065*MAX(1,IF(G1065&gt;0,AT1065/G1065,1))),IF(Q1065&gt;0,AU1065/Q1065,0))/MAX(0.1,N(Parameter!$M$21)))</f>
        <v>0.0192307692307692</v>
      </c>
      <c r="AW1065" s="57" t="n">
        <f aca="false">AT1065*F1065</f>
        <v>324.72</v>
      </c>
      <c r="AX1065" s="57" t="n">
        <f aca="false">ROUNDUP(MAX(I1065/IF(BV1065&gt;0,BV1065,MAX(0.1,N(Cockpit!$O$6))),BY1065)/BQ1065,0)*BQ1065</f>
        <v>88</v>
      </c>
      <c r="AY1065" s="58" t="n">
        <f aca="false">IF(AV1065&gt;0,I1065/AV1065,-1)</f>
        <v>1300</v>
      </c>
      <c r="AZ1065" s="58" t="n">
        <f aca="false">IF(AND(OR(BU1065="L1",BU1065="L23"),AV1065&gt;0),SUMIFS($AV$7:$AV$1576,$BU$7:$BU$1576,BU1065,$AY$7:$AY$1576,"&gt;"&amp;AY1065)+SUMIFS($AV$7:$AV$1576,$BU$7:$BU$1576,BU1065,$AY$7:$AY$1576,AY1065,$BO$7:$BO$1576,"&lt;="&amp;BO1065),"")</f>
        <v>19.4642227944513</v>
      </c>
      <c r="BA1065" s="65" t="n">
        <f aca="false">IF(AZ1065="",0,MAX(0,MIN(1,(IF(BU1065="L1",Parameter!$E$5,Parameter!$E$6+Parameter!$E$7)-(AZ1065-AV1065))/AV1065)))</f>
        <v>1</v>
      </c>
      <c r="BB1065" s="55" t="str">
        <f aca="false">IF(AF1065&lt;=0,"",IF(BU1065="Aussen","Aussenlager",IF(BU1065="-","Nicht im Lift",IF(AK1065&gt;=1,"Lift",IF(AK1065&lt;=0,"Aussenlager","teilweise")))))</f>
        <v/>
      </c>
      <c r="BC1065" s="55" t="str">
        <f aca="false">IF(AN1065&lt;=0,"",IF(BU1065="Aussen","Aussenlager",IF(BU1065="-","Nicht im Lift",IF(AS1065&gt;=1,"Lift",IF(AS1065&lt;=0,"Aussenlager","teilweise")))))</f>
        <v>Lift</v>
      </c>
      <c r="BD1065" s="55" t="str">
        <f aca="false">IF(AV1065&lt;=0,"",IF(BU1065="Aussen","Aussenlager",IF(BU1065="-","Nicht im Lift",IF(BA1065&gt;=1,"Lift",IF(BA1065&lt;=0,"Aussenlager","teilweise")))))</f>
        <v>Lift</v>
      </c>
      <c r="BE1065" s="55" t="str">
        <f aca="false">IF(A1065="","",IF(BN1065=1,"Neu; ","")&amp;IF(AND(BN1065=0,BI1065&lt;0),"negativer Bestand (Export "&amp;BI1065&amp;"); ","")&amp;IF(I1065&lt;=0,"Kein Verbrauch; ","")&amp;IF(CD1065&gt;0,"Lift "&amp;U1065&amp;" lt. Liftbericht (Fach "&amp;V1065&amp;" Stk); ",IF(BR1065=1,"Lose – Fläche geschätzt; ",""))&amp;IF(G1065&gt;AP1065,"Überbestand "&amp;ROUND(G1065-AP1065,0)&amp;" Stk / CHF "&amp;ROUND((G1065-AP1065)*F1065,0)&amp;"; ","")&amp;IF(AND(BW1065=1,BX1065&lt;BY1065),"MAX &lt; MB+LG; ","")&amp;IF(AND(CC1065&gt;0,CB1065*10&gt;CC1065),"zu hoch für Tablar; ","")&amp;IF(AND(BN1065=0,OR(BW1065=1,Y1065&lt;&gt;"",S1065&lt;&gt;"",T1065&lt;&gt;"",Z1065&lt;&gt;"")),"manuell übersteuert; ","")&amp;IF(AND(BR1065=0,Q1065=0),"Gebinde unbekannt / Stellmass fehlt; ","")&amp;IF(AND(BR1065=0,N(T1065)&lt;=0,N(P1065)&lt;=0),"Menge pro Gebinde fehlt (Ist = 1 Gebinde); ","")&amp;BM1065)</f>
        <v>negativer Bestand (Export -44); Neu</v>
      </c>
      <c r="BF1065" s="55"/>
      <c r="BG1065" s="55"/>
      <c r="BH1065" s="62"/>
      <c r="BI1065" s="57" t="n">
        <v>-44</v>
      </c>
      <c r="BJ1065" s="57" t="n">
        <v>50</v>
      </c>
      <c r="BK1065" s="56" t="n">
        <v>-162.36</v>
      </c>
      <c r="BL1065" s="57" t="n">
        <v>25</v>
      </c>
      <c r="BM1065" s="55" t="s">
        <v>615</v>
      </c>
      <c r="BN1065" s="60" t="n">
        <v>0</v>
      </c>
      <c r="BO1065" s="60" t="n">
        <v>1065</v>
      </c>
      <c r="BP1065" s="55" t="str">
        <f aca="false">IF(S1065&lt;&gt;"",UPPER(TRIM(S1065)),IF(O1065="","LOSE",O1065))</f>
        <v>S41</v>
      </c>
      <c r="BQ1065" s="57" t="n">
        <f aca="false">IF(BP1065="LOSE",1,IF(N(T1065)&gt;0,T1065,IF(N(P1065)&gt;0,P1065,MAX(1,G1065))))</f>
        <v>88</v>
      </c>
      <c r="BR1065" s="60" t="n">
        <f aca="false">IF(BP1065="LOSE",1,0)</f>
        <v>0</v>
      </c>
      <c r="BS1065" s="59" t="n">
        <f aca="false">IF(BR1065=0,0,IF(N(R1065)&gt;0,R1065,IFERROR(VLOOKUP(D1065,Parameter!$A$35:$C$64,3,0)+0,0)))</f>
        <v>0</v>
      </c>
      <c r="BT1065" s="55" t="n">
        <f aca="false">IF(Y1065&lt;&gt;"",Y1065,X1065)</f>
        <v>3</v>
      </c>
      <c r="BU1065" s="55" t="str">
        <f aca="false">IF(BT1065=1,"L1",IF(OR(BT1065=2,BT1065=3),"L23",IF(BT1065="Aussen","Aussen","-")))</f>
        <v>L23</v>
      </c>
      <c r="BV1065" s="66" t="n">
        <f aca="false">IF(N(Z1065)&gt;0,Z1065,0)</f>
        <v>0</v>
      </c>
      <c r="BW1065" s="60" t="n">
        <f aca="false">IF(ISNUMBER(AC1065),1,0)</f>
        <v>0</v>
      </c>
      <c r="BX1065" s="57" t="n">
        <f aca="false">N(AC1065)</f>
        <v>0</v>
      </c>
      <c r="BY1065" s="57" t="n">
        <f aca="false">N(L1065)+N(M1065)</f>
        <v>51</v>
      </c>
      <c r="BZ1065" s="57" t="n">
        <f aca="false">ROUNDUP(G1065/BQ1065,0)</f>
        <v>0</v>
      </c>
      <c r="CA1065" s="57" t="n">
        <f aca="false">ROUNDUP(BX1065/BQ1065,0)</f>
        <v>0</v>
      </c>
      <c r="CB1065" s="60" t="n">
        <f aca="false">IF(BR1065=1,0,IFERROR(VLOOKUP(BP1065,'Gebinde-Kategorie'!$A$5:$M$45,5,0)+0,0))</f>
        <v>11</v>
      </c>
      <c r="CC1065" s="60" t="n">
        <f aca="false">IFERROR(IF(OR(BT1065=1,BT1065=2,BT1065=3),N(INDEX(Parameter!$I$5:$I$7,BT1065)),0),0)</f>
        <v>0</v>
      </c>
      <c r="CD1065" s="59" t="n">
        <f aca="false">IF(AND(Parameter!$B$21="Ja",ISNUMBER(U1065),N(V1065)&gt;0),IFERROR(N(INDEX(Parameter!$L$5:$L$7,U1065))*INDEX(Parameter!$E$5:$E$7,U1065)*V1065/SUMIFS($V$7:$V$1576,$U$7:$U$1576,U1065),0),0)</f>
        <v>0</v>
      </c>
    </row>
    <row r="1066" customFormat="false" ht="15" hidden="false" customHeight="false" outlineLevel="0" collapsed="false">
      <c r="A1066" s="55" t="s">
        <v>1934</v>
      </c>
      <c r="B1066" s="55" t="s">
        <v>1935</v>
      </c>
      <c r="C1066" s="55" t="s">
        <v>446</v>
      </c>
      <c r="D1066" s="55" t="s">
        <v>178</v>
      </c>
      <c r="E1066" s="55" t="s">
        <v>210</v>
      </c>
      <c r="F1066" s="56" t="n">
        <v>20.45</v>
      </c>
      <c r="G1066" s="57" t="n">
        <f aca="false">MAX(0,IF(AND(Parameter!$B$21="Ja",ISNUMBER(W1066)),W1066,IF(Parameter!$B$20="Jahresanfang 2025 + Export",BJ1066+BI1066,BI1066)))</f>
        <v>0</v>
      </c>
      <c r="H1066" s="57" t="n">
        <f aca="false">G1066*F1066</f>
        <v>0</v>
      </c>
      <c r="I1066" s="57" t="n">
        <f aca="false">BL1066*Parameter!$B$18</f>
        <v>8</v>
      </c>
      <c r="J1066" s="58" t="n">
        <v>8</v>
      </c>
      <c r="K1066" s="59" t="n">
        <v>1</v>
      </c>
      <c r="L1066" s="57" t="n">
        <v>0</v>
      </c>
      <c r="M1066" s="57" t="n">
        <v>10</v>
      </c>
      <c r="N1066" s="60" t="n">
        <v>21</v>
      </c>
      <c r="O1066" s="55" t="s">
        <v>163</v>
      </c>
      <c r="P1066" s="57"/>
      <c r="Q1066" s="60" t="n">
        <f aca="false">IF(BR1066=1,0,IFERROR(VLOOKUP(BP1066,'Gebinde-Kategorie'!$A$5:$M$45,13,0)+0,0))</f>
        <v>0</v>
      </c>
      <c r="R1066" s="61"/>
      <c r="S1066" s="62"/>
      <c r="T1066" s="62"/>
      <c r="U1066" s="55"/>
      <c r="V1066" s="57"/>
      <c r="W1066" s="57"/>
      <c r="X1066" s="55" t="n">
        <f aca="false">IF(A1066="","",IF(AND(Parameter!$B$21="Ja",ISNUMBER(U1066)),U1066,IF(IFERROR(VLOOKUP(D1066,Parameter!$A$35:$C$64,2,0),"Nein")="2+3",IF(ISNUMBER(SEARCH("grosser Artikel",BM1066)),2,IFERROR(VLOOKUP(BP1066,Parameter!$F$35:$G$64,2,0),2)),IF(OR(IFERROR(VLOOKUP(D1066,Parameter!$A$35:$C$64,2,0),"Nein")="Nein",IFERROR(VLOOKUP(D1066,Parameter!$A$35:$C$64,2,0),"Nein")=""),"-",VLOOKUP(D1066,Parameter!$A$35:$C$64,2,0)))))</f>
        <v>2</v>
      </c>
      <c r="Y1066" s="62"/>
      <c r="Z1066" s="63"/>
      <c r="AA1066" s="57" t="n">
        <f aca="false">AP1066</f>
        <v>10</v>
      </c>
      <c r="AB1066" s="57" t="n">
        <f aca="false">MAX(AP1066,G1066)</f>
        <v>10</v>
      </c>
      <c r="AC1066" s="64"/>
      <c r="AD1066" s="57" t="n">
        <f aca="false">IF(LEFT(Cockpit!$C$5,1)="A",G1066,IF(BW1066=1,BX1066,IF(LEFT(Cockpit!$C$5,1)="B",AH1066,MAX(AH1066,G1066))))</f>
        <v>0</v>
      </c>
      <c r="AE1066" s="57" t="n">
        <f aca="false">IF(BR1066=1,0,ROUNDUP(AD1066/BQ1066,0))</f>
        <v>0</v>
      </c>
      <c r="AF1066" s="59" t="n">
        <f aca="false">IF(CD1066&gt;0,CD1066*MAX(1,AD1066/V1066),IF(BR1066=1,IF(AD1066&lt;=0,0,BS1066*MAX(1,IF(G1066&gt;0,AD1066/G1066,1))),IF(Q1066&gt;0,AE1066/Q1066,0))/MAX(0.1,N(Parameter!$M$21)))</f>
        <v>0</v>
      </c>
      <c r="AG1066" s="57" t="n">
        <f aca="false">AD1066*F1066</f>
        <v>0</v>
      </c>
      <c r="AH1066" s="57" t="n">
        <f aca="false">ROUNDUP(MAX(I1066/IF(BV1066&gt;0,BV1066,MAX(0.1,N(Cockpit!$C$6))),BY1066)/BQ1066,0)*BQ1066</f>
        <v>10</v>
      </c>
      <c r="AI1066" s="58" t="n">
        <f aca="false">IF(AF1066&gt;0,I1066/AF1066,-1)</f>
        <v>-1</v>
      </c>
      <c r="AJ1066" s="58" t="str">
        <f aca="false">IF(AND(OR(BU1066="L1",BU1066="L23"),AF1066&gt;0),SUMIFS($AF$7:$AF$1576,$BU$7:$BU$1576,BU1066,$AI$7:$AI$1576,"&gt;"&amp;AI1066)+SUMIFS($AF$7:$AF$1576,$BU$7:$BU$1576,BU1066,$AI$7:$AI$1576,AI1066,$BO$7:$BO$1576,"&lt;="&amp;BO1066),"")</f>
        <v/>
      </c>
      <c r="AK1066" s="65" t="n">
        <f aca="false">IF(AJ1066="",0,MAX(0,MIN(1,(IF(BU1066="L1",Parameter!$E$5,Parameter!$E$6+Parameter!$E$7)-(AJ1066-AF1066))/AF1066)))</f>
        <v>0</v>
      </c>
      <c r="AL1066" s="57" t="n">
        <f aca="false">IF(LEFT(Cockpit!$I$5,1)="A",G1066,IF(BW1066=1,BX1066,IF(LEFT(Cockpit!$I$5,1)="B",AP1066,MAX(AP1066,G1066))))</f>
        <v>10</v>
      </c>
      <c r="AM1066" s="57" t="n">
        <f aca="false">IF(BR1066=1,0,ROUNDUP(AL1066/BQ1066,0))</f>
        <v>0</v>
      </c>
      <c r="AN1066" s="59" t="n">
        <f aca="false">IF(CD1066&gt;0,CD1066*MAX(1,AL1066/V1066),IF(BR1066=1,IF(AL1066&lt;=0,0,BS1066*MAX(1,IF(G1066&gt;0,AL1066/G1066,1))),IF(Q1066&gt;0,AM1066/Q1066,0))/MAX(0.1,N(Parameter!$M$21)))</f>
        <v>0.03</v>
      </c>
      <c r="AO1066" s="57" t="n">
        <f aca="false">AL1066*F1066</f>
        <v>204.5</v>
      </c>
      <c r="AP1066" s="57" t="n">
        <f aca="false">ROUNDUP(MAX(I1066/IF(BV1066&gt;0,BV1066,MAX(0.1,N(Cockpit!$I$6))),BY1066)/BQ1066,0)*BQ1066</f>
        <v>10</v>
      </c>
      <c r="AQ1066" s="58" t="n">
        <f aca="false">IF(AN1066&gt;0,I1066/AN1066,-1)</f>
        <v>266.666666666667</v>
      </c>
      <c r="AR1066" s="58" t="n">
        <f aca="false">IF(AND(OR(BU1066="L1",BU1066="L23"),AN1066&gt;0),SUMIFS($AN$7:$AN$1576,$BU$7:$BU$1576,BU1066,$AQ$7:$AQ$1576,"&gt;"&amp;AQ1066)+SUMIFS($AN$7:$AN$1576,$BU$7:$BU$1576,BU1066,$AQ$7:$AQ$1576,AQ1066,$BO$7:$BO$1576,"&lt;="&amp;BO1066),"")</f>
        <v>45.1539990568363</v>
      </c>
      <c r="AS1066" s="65" t="n">
        <f aca="false">IF(AR1066="",0,MAX(0,MIN(1,(IF(BU1066="L1",Parameter!$E$5,Parameter!$E$6+Parameter!$E$7)-(AR1066-AN1066))/AN1066)))</f>
        <v>1</v>
      </c>
      <c r="AT1066" s="57" t="n">
        <f aca="false">IF(LEFT(Cockpit!$O$5,1)="A",G1066,IF(BW1066=1,BX1066,IF(LEFT(Cockpit!$O$5,1)="B",AX1066,MAX(AX1066,G1066))))</f>
        <v>10</v>
      </c>
      <c r="AU1066" s="57" t="n">
        <f aca="false">IF(BR1066=1,0,ROUNDUP(AT1066/BQ1066,0))</f>
        <v>0</v>
      </c>
      <c r="AV1066" s="59" t="n">
        <f aca="false">IF(CD1066&gt;0,CD1066*MAX(1,AT1066/V1066),IF(BR1066=1,IF(AT1066&lt;=0,0,BS1066*MAX(1,IF(G1066&gt;0,AT1066/G1066,1))),IF(Q1066&gt;0,AU1066/Q1066,0))/MAX(0.1,N(Parameter!$M$21)))</f>
        <v>0.03</v>
      </c>
      <c r="AW1066" s="57" t="n">
        <f aca="false">AT1066*F1066</f>
        <v>204.5</v>
      </c>
      <c r="AX1066" s="57" t="n">
        <f aca="false">ROUNDUP(MAX(I1066/IF(BV1066&gt;0,BV1066,MAX(0.1,N(Cockpit!$O$6))),BY1066)/BQ1066,0)*BQ1066</f>
        <v>10</v>
      </c>
      <c r="AY1066" s="58" t="n">
        <f aca="false">IF(AV1066&gt;0,I1066/AV1066,-1)</f>
        <v>266.666666666667</v>
      </c>
      <c r="AZ1066" s="58" t="n">
        <f aca="false">IF(AND(OR(BU1066="L1",BU1066="L23"),AV1066&gt;0),SUMIFS($AV$7:$AV$1576,$BU$7:$BU$1576,BU1066,$AY$7:$AY$1576,"&gt;"&amp;AY1066)+SUMIFS($AV$7:$AV$1576,$BU$7:$BU$1576,BU1066,$AY$7:$AY$1576,AY1066,$BO$7:$BO$1576,"&lt;="&amp;BO1066),"")</f>
        <v>41.4320776449149</v>
      </c>
      <c r="BA1066" s="65" t="n">
        <f aca="false">IF(AZ1066="",0,MAX(0,MIN(1,(IF(BU1066="L1",Parameter!$E$5,Parameter!$E$6+Parameter!$E$7)-(AZ1066-AV1066))/AV1066)))</f>
        <v>1</v>
      </c>
      <c r="BB1066" s="55" t="str">
        <f aca="false">IF(AF1066&lt;=0,"",IF(BU1066="Aussen","Aussenlager",IF(BU1066="-","Nicht im Lift",IF(AK1066&gt;=1,"Lift",IF(AK1066&lt;=0,"Aussenlager","teilweise")))))</f>
        <v/>
      </c>
      <c r="BC1066" s="55" t="str">
        <f aca="false">IF(AN1066&lt;=0,"",IF(BU1066="Aussen","Aussenlager",IF(BU1066="-","Nicht im Lift",IF(AS1066&gt;=1,"Lift",IF(AS1066&lt;=0,"Aussenlager","teilweise")))))</f>
        <v>Lift</v>
      </c>
      <c r="BD1066" s="55" t="str">
        <f aca="false">IF(AV1066&lt;=0,"",IF(BU1066="Aussen","Aussenlager",IF(BU1066="-","Nicht im Lift",IF(BA1066&gt;=1,"Lift",IF(BA1066&lt;=0,"Aussenlager","teilweise")))))</f>
        <v>Lift</v>
      </c>
      <c r="BE1066" s="55" t="str">
        <f aca="false">IF(A1066="","",IF(BN1066=1,"Neu; ","")&amp;IF(AND(BN1066=0,BI1066&lt;0),"negativer Bestand (Export "&amp;BI1066&amp;"); ","")&amp;IF(I1066&lt;=0,"Kein Verbrauch; ","")&amp;IF(CD1066&gt;0,"Lift "&amp;U1066&amp;" lt. Liftbericht (Fach "&amp;V1066&amp;" Stk); ",IF(BR1066=1,"Lose – Fläche geschätzt; ",""))&amp;IF(G1066&gt;AP1066,"Überbestand "&amp;ROUND(G1066-AP1066,0)&amp;" Stk / CHF "&amp;ROUND((G1066-AP1066)*F1066,0)&amp;"; ","")&amp;IF(AND(BW1066=1,BX1066&lt;BY1066),"MAX &lt; MB+LG; ","")&amp;IF(AND(CC1066&gt;0,CB1066*10&gt;CC1066),"zu hoch für Tablar; ","")&amp;IF(AND(BN1066=0,OR(BW1066=1,Y1066&lt;&gt;"",S1066&lt;&gt;"",T1066&lt;&gt;"",Z1066&lt;&gt;"")),"manuell übersteuert; ","")&amp;IF(AND(BR1066=0,Q1066=0),"Gebinde unbekannt / Stellmass fehlt; ","")&amp;IF(AND(BR1066=0,N(T1066)&lt;=0,N(P1066)&lt;=0),"Menge pro Gebinde fehlt (Ist = 1 Gebinde); ","")&amp;BM1066)</f>
        <v>negativer Bestand (Export -8); Lose – Fläche geschätzt; </v>
      </c>
      <c r="BF1066" s="55"/>
      <c r="BG1066" s="55"/>
      <c r="BH1066" s="62"/>
      <c r="BI1066" s="57" t="n">
        <v>-8</v>
      </c>
      <c r="BJ1066" s="57" t="n">
        <v>16</v>
      </c>
      <c r="BK1066" s="56" t="n">
        <v>-163.6</v>
      </c>
      <c r="BL1066" s="57" t="n">
        <v>8</v>
      </c>
      <c r="BM1066" s="55"/>
      <c r="BN1066" s="60" t="n">
        <v>0</v>
      </c>
      <c r="BO1066" s="60" t="n">
        <v>1066</v>
      </c>
      <c r="BP1066" s="55" t="str">
        <f aca="false">IF(S1066&lt;&gt;"",UPPER(TRIM(S1066)),IF(O1066="","LOSE",O1066))</f>
        <v>LOSE</v>
      </c>
      <c r="BQ1066" s="57" t="n">
        <f aca="false">IF(BP1066="LOSE",1,IF(N(T1066)&gt;0,T1066,IF(N(P1066)&gt;0,P1066,MAX(1,G1066))))</f>
        <v>1</v>
      </c>
      <c r="BR1066" s="60" t="n">
        <f aca="false">IF(BP1066="LOSE",1,0)</f>
        <v>1</v>
      </c>
      <c r="BS1066" s="59" t="n">
        <f aca="false">IF(BR1066=0,0,IF(N(R1066)&gt;0,R1066,IFERROR(VLOOKUP(D1066,Parameter!$A$35:$C$64,3,0)+0,0)))</f>
        <v>0.03</v>
      </c>
      <c r="BT1066" s="55" t="n">
        <f aca="false">IF(Y1066&lt;&gt;"",Y1066,X1066)</f>
        <v>2</v>
      </c>
      <c r="BU1066" s="55" t="str">
        <f aca="false">IF(BT1066=1,"L1",IF(OR(BT1066=2,BT1066=3),"L23",IF(BT1066="Aussen","Aussen","-")))</f>
        <v>L23</v>
      </c>
      <c r="BV1066" s="66" t="n">
        <f aca="false">IF(N(Z1066)&gt;0,Z1066,0)</f>
        <v>0</v>
      </c>
      <c r="BW1066" s="60" t="n">
        <f aca="false">IF(ISNUMBER(AC1066),1,0)</f>
        <v>0</v>
      </c>
      <c r="BX1066" s="57" t="n">
        <f aca="false">N(AC1066)</f>
        <v>0</v>
      </c>
      <c r="BY1066" s="57" t="n">
        <f aca="false">N(L1066)+N(M1066)</f>
        <v>10</v>
      </c>
      <c r="BZ1066" s="57" t="n">
        <f aca="false">ROUNDUP(G1066/BQ1066,0)</f>
        <v>0</v>
      </c>
      <c r="CA1066" s="57" t="n">
        <f aca="false">ROUNDUP(BX1066/BQ1066,0)</f>
        <v>0</v>
      </c>
      <c r="CB1066" s="60" t="n">
        <f aca="false">IF(BR1066=1,0,IFERROR(VLOOKUP(BP1066,'Gebinde-Kategorie'!$A$5:$M$45,5,0)+0,0))</f>
        <v>0</v>
      </c>
      <c r="CC1066" s="60" t="n">
        <f aca="false">IFERROR(IF(OR(BT1066=1,BT1066=2,BT1066=3),N(INDEX(Parameter!$I$5:$I$7,BT1066)),0),0)</f>
        <v>0</v>
      </c>
      <c r="CD1066" s="59" t="n">
        <f aca="false">IF(AND(Parameter!$B$21="Ja",ISNUMBER(U1066),N(V1066)&gt;0),IFERROR(N(INDEX(Parameter!$L$5:$L$7,U1066))*INDEX(Parameter!$E$5:$E$7,U1066)*V1066/SUMIFS($V$7:$V$1576,$U$7:$U$1576,U1066),0),0)</f>
        <v>0</v>
      </c>
    </row>
    <row r="1067" customFormat="false" ht="15" hidden="false" customHeight="false" outlineLevel="0" collapsed="false">
      <c r="A1067" s="55" t="s">
        <v>1936</v>
      </c>
      <c r="B1067" s="55" t="s">
        <v>1937</v>
      </c>
      <c r="C1067" s="55" t="s">
        <v>446</v>
      </c>
      <c r="D1067" s="55" t="s">
        <v>178</v>
      </c>
      <c r="E1067" s="55" t="s">
        <v>210</v>
      </c>
      <c r="F1067" s="56" t="n">
        <v>4.12</v>
      </c>
      <c r="G1067" s="57" t="n">
        <f aca="false">MAX(0,IF(AND(Parameter!$B$21="Ja",ISNUMBER(W1067)),W1067,IF(Parameter!$B$20="Jahresanfang 2025 + Export",BJ1067+BI1067,BI1067)))</f>
        <v>0</v>
      </c>
      <c r="H1067" s="57" t="n">
        <f aca="false">G1067*F1067</f>
        <v>0</v>
      </c>
      <c r="I1067" s="57" t="n">
        <f aca="false">BL1067*Parameter!$B$18</f>
        <v>0</v>
      </c>
      <c r="J1067" s="58" t="n">
        <v>40</v>
      </c>
      <c r="K1067" s="59" t="n">
        <v>0</v>
      </c>
      <c r="L1067" s="57" t="n">
        <v>0</v>
      </c>
      <c r="M1067" s="57" t="n">
        <v>1</v>
      </c>
      <c r="N1067" s="60" t="n">
        <v>42</v>
      </c>
      <c r="O1067" s="55" t="s">
        <v>163</v>
      </c>
      <c r="P1067" s="57"/>
      <c r="Q1067" s="60" t="n">
        <f aca="false">IF(BR1067=1,0,IFERROR(VLOOKUP(BP1067,'Gebinde-Kategorie'!$A$5:$M$45,13,0)+0,0))</f>
        <v>0</v>
      </c>
      <c r="R1067" s="61"/>
      <c r="S1067" s="62"/>
      <c r="T1067" s="62"/>
      <c r="U1067" s="55"/>
      <c r="V1067" s="57"/>
      <c r="W1067" s="57"/>
      <c r="X1067" s="55" t="n">
        <f aca="false">IF(A1067="","",IF(AND(Parameter!$B$21="Ja",ISNUMBER(U1067)),U1067,IF(IFERROR(VLOOKUP(D1067,Parameter!$A$35:$C$64,2,0),"Nein")="2+3",IF(ISNUMBER(SEARCH("grosser Artikel",BM1067)),2,IFERROR(VLOOKUP(BP1067,Parameter!$F$35:$G$64,2,0),2)),IF(OR(IFERROR(VLOOKUP(D1067,Parameter!$A$35:$C$64,2,0),"Nein")="Nein",IFERROR(VLOOKUP(D1067,Parameter!$A$35:$C$64,2,0),"Nein")=""),"-",VLOOKUP(D1067,Parameter!$A$35:$C$64,2,0)))))</f>
        <v>2</v>
      </c>
      <c r="Y1067" s="62"/>
      <c r="Z1067" s="63"/>
      <c r="AA1067" s="57" t="n">
        <f aca="false">AP1067</f>
        <v>1</v>
      </c>
      <c r="AB1067" s="57" t="n">
        <f aca="false">MAX(AP1067,G1067)</f>
        <v>1</v>
      </c>
      <c r="AC1067" s="64"/>
      <c r="AD1067" s="57" t="n">
        <f aca="false">IF(LEFT(Cockpit!$C$5,1)="A",G1067,IF(BW1067=1,BX1067,IF(LEFT(Cockpit!$C$5,1)="B",AH1067,MAX(AH1067,G1067))))</f>
        <v>0</v>
      </c>
      <c r="AE1067" s="57" t="n">
        <f aca="false">IF(BR1067=1,0,ROUNDUP(AD1067/BQ1067,0))</f>
        <v>0</v>
      </c>
      <c r="AF1067" s="59" t="n">
        <f aca="false">IF(CD1067&gt;0,CD1067*MAX(1,AD1067/V1067),IF(BR1067=1,IF(AD1067&lt;=0,0,BS1067*MAX(1,IF(G1067&gt;0,AD1067/G1067,1))),IF(Q1067&gt;0,AE1067/Q1067,0))/MAX(0.1,N(Parameter!$M$21)))</f>
        <v>0</v>
      </c>
      <c r="AG1067" s="57" t="n">
        <f aca="false">AD1067*F1067</f>
        <v>0</v>
      </c>
      <c r="AH1067" s="57" t="n">
        <f aca="false">ROUNDUP(MAX(I1067/IF(BV1067&gt;0,BV1067,MAX(0.1,N(Cockpit!$C$6))),BY1067)/BQ1067,0)*BQ1067</f>
        <v>1</v>
      </c>
      <c r="AI1067" s="58" t="n">
        <f aca="false">IF(AF1067&gt;0,I1067/AF1067,-1)</f>
        <v>-1</v>
      </c>
      <c r="AJ1067" s="58" t="str">
        <f aca="false">IF(AND(OR(BU1067="L1",BU1067="L23"),AF1067&gt;0),SUMIFS($AF$7:$AF$1576,$BU$7:$BU$1576,BU1067,$AI$7:$AI$1576,"&gt;"&amp;AI1067)+SUMIFS($AF$7:$AF$1576,$BU$7:$BU$1576,BU1067,$AI$7:$AI$1576,AI1067,$BO$7:$BO$1576,"&lt;="&amp;BO1067),"")</f>
        <v/>
      </c>
      <c r="AK1067" s="65" t="n">
        <f aca="false">IF(AJ1067="",0,MAX(0,MIN(1,(IF(BU1067="L1",Parameter!$E$5,Parameter!$E$6+Parameter!$E$7)-(AJ1067-AF1067))/AF1067)))</f>
        <v>0</v>
      </c>
      <c r="AL1067" s="57" t="n">
        <f aca="false">IF(LEFT(Cockpit!$I$5,1)="A",G1067,IF(BW1067=1,BX1067,IF(LEFT(Cockpit!$I$5,1)="B",AP1067,MAX(AP1067,G1067))))</f>
        <v>1</v>
      </c>
      <c r="AM1067" s="57" t="n">
        <f aca="false">IF(BR1067=1,0,ROUNDUP(AL1067/BQ1067,0))</f>
        <v>0</v>
      </c>
      <c r="AN1067" s="59" t="n">
        <f aca="false">IF(CD1067&gt;0,CD1067*MAX(1,AL1067/V1067),IF(BR1067=1,IF(AL1067&lt;=0,0,BS1067*MAX(1,IF(G1067&gt;0,AL1067/G1067,1))),IF(Q1067&gt;0,AM1067/Q1067,0))/MAX(0.1,N(Parameter!$M$21)))</f>
        <v>0.03</v>
      </c>
      <c r="AO1067" s="57" t="n">
        <f aca="false">AL1067*F1067</f>
        <v>4.12</v>
      </c>
      <c r="AP1067" s="57" t="n">
        <f aca="false">ROUNDUP(MAX(I1067/IF(BV1067&gt;0,BV1067,MAX(0.1,N(Cockpit!$I$6))),BY1067)/BQ1067,0)*BQ1067</f>
        <v>1</v>
      </c>
      <c r="AQ1067" s="58" t="n">
        <f aca="false">IF(AN1067&gt;0,I1067/AN1067,-1)</f>
        <v>0</v>
      </c>
      <c r="AR1067" s="58" t="n">
        <f aca="false">IF(AND(OR(BU1067="L1",BU1067="L23"),AN1067&gt;0),SUMIFS($AN$7:$AN$1576,$BU$7:$BU$1576,BU1067,$AQ$7:$AQ$1576,"&gt;"&amp;AQ1067)+SUMIFS($AN$7:$AN$1576,$BU$7:$BU$1576,BU1067,$AQ$7:$AQ$1576,AQ1067,$BO$7:$BO$1576,"&lt;="&amp;BO1067),"")</f>
        <v>133.432669914674</v>
      </c>
      <c r="AS1067" s="65" t="n">
        <f aca="false">IF(AR1067="",0,MAX(0,MIN(1,(IF(BU1067="L1",Parameter!$E$5,Parameter!$E$6+Parameter!$E$7)-(AR1067-AN1067))/AN1067)))</f>
        <v>0</v>
      </c>
      <c r="AT1067" s="57" t="n">
        <f aca="false">IF(LEFT(Cockpit!$O$5,1)="A",G1067,IF(BW1067=1,BX1067,IF(LEFT(Cockpit!$O$5,1)="B",AX1067,MAX(AX1067,G1067))))</f>
        <v>1</v>
      </c>
      <c r="AU1067" s="57" t="n">
        <f aca="false">IF(BR1067=1,0,ROUNDUP(AT1067/BQ1067,0))</f>
        <v>0</v>
      </c>
      <c r="AV1067" s="59" t="n">
        <f aca="false">IF(CD1067&gt;0,CD1067*MAX(1,AT1067/V1067),IF(BR1067=1,IF(AT1067&lt;=0,0,BS1067*MAX(1,IF(G1067&gt;0,AT1067/G1067,1))),IF(Q1067&gt;0,AU1067/Q1067,0))/MAX(0.1,N(Parameter!$M$21)))</f>
        <v>0.03</v>
      </c>
      <c r="AW1067" s="57" t="n">
        <f aca="false">AT1067*F1067</f>
        <v>4.12</v>
      </c>
      <c r="AX1067" s="57" t="n">
        <f aca="false">ROUNDUP(MAX(I1067/IF(BV1067&gt;0,BV1067,MAX(0.1,N(Cockpit!$O$6))),BY1067)/BQ1067,0)*BQ1067</f>
        <v>1</v>
      </c>
      <c r="AY1067" s="58" t="n">
        <f aca="false">IF(AV1067&gt;0,I1067/AV1067,-1)</f>
        <v>0</v>
      </c>
      <c r="AZ1067" s="58" t="n">
        <f aca="false">IF(AND(OR(BU1067="L1",BU1067="L23"),AV1067&gt;0),SUMIFS($AV$7:$AV$1576,$BU$7:$BU$1576,BU1067,$AY$7:$AY$1576,"&gt;"&amp;AY1067)+SUMIFS($AV$7:$AV$1576,$BU$7:$BU$1576,BU1067,$AY$7:$AY$1576,AY1067,$BO$7:$BO$1576,"&lt;="&amp;BO1067),"")</f>
        <v>123.492220364224</v>
      </c>
      <c r="BA1067" s="65" t="n">
        <f aca="false">IF(AZ1067="",0,MAX(0,MIN(1,(IF(BU1067="L1",Parameter!$E$5,Parameter!$E$6+Parameter!$E$7)-(AZ1067-AV1067))/AV1067)))</f>
        <v>0</v>
      </c>
      <c r="BB1067" s="55" t="str">
        <f aca="false">IF(AF1067&lt;=0,"",IF(BU1067="Aussen","Aussenlager",IF(BU1067="-","Nicht im Lift",IF(AK1067&gt;=1,"Lift",IF(AK1067&lt;=0,"Aussenlager","teilweise")))))</f>
        <v/>
      </c>
      <c r="BC1067" s="55" t="str">
        <f aca="false">IF(AN1067&lt;=0,"",IF(BU1067="Aussen","Aussenlager",IF(BU1067="-","Nicht im Lift",IF(AS1067&gt;=1,"Lift",IF(AS1067&lt;=0,"Aussenlager","teilweise")))))</f>
        <v>Aussenlager</v>
      </c>
      <c r="BD1067" s="55" t="str">
        <f aca="false">IF(AV1067&lt;=0,"",IF(BU1067="Aussen","Aussenlager",IF(BU1067="-","Nicht im Lift",IF(BA1067&gt;=1,"Lift",IF(BA1067&lt;=0,"Aussenlager","teilweise")))))</f>
        <v>Aussenlager</v>
      </c>
      <c r="BE1067" s="55" t="str">
        <f aca="false">IF(A1067="","",IF(BN1067=1,"Neu; ","")&amp;IF(AND(BN1067=0,BI1067&lt;0),"negativer Bestand (Export "&amp;BI1067&amp;"); ","")&amp;IF(I1067&lt;=0,"Kein Verbrauch; ","")&amp;IF(CD1067&gt;0,"Lift "&amp;U1067&amp;" lt. Liftbericht (Fach "&amp;V1067&amp;" Stk); ",IF(BR1067=1,"Lose – Fläche geschätzt; ",""))&amp;IF(G1067&gt;AP1067,"Überbestand "&amp;ROUND(G1067-AP1067,0)&amp;" Stk / CHF "&amp;ROUND((G1067-AP1067)*F1067,0)&amp;"; ","")&amp;IF(AND(BW1067=1,BX1067&lt;BY1067),"MAX &lt; MB+LG; ","")&amp;IF(AND(CC1067&gt;0,CB1067*10&gt;CC1067),"zu hoch für Tablar; ","")&amp;IF(AND(BN1067=0,OR(BW1067=1,Y1067&lt;&gt;"",S1067&lt;&gt;"",T1067&lt;&gt;"",Z1067&lt;&gt;"")),"manuell übersteuert; ","")&amp;IF(AND(BR1067=0,Q1067=0),"Gebinde unbekannt / Stellmass fehlt; ","")&amp;IF(AND(BR1067=0,N(T1067)&lt;=0,N(P1067)&lt;=0),"Menge pro Gebinde fehlt (Ist = 1 Gebinde); ","")&amp;BM1067)</f>
        <v>negativer Bestand (Export -40); Kein Verbrauch; Lose – Fläche geschätzt; </v>
      </c>
      <c r="BF1067" s="55"/>
      <c r="BG1067" s="55"/>
      <c r="BH1067" s="62"/>
      <c r="BI1067" s="57" t="n">
        <v>-40</v>
      </c>
      <c r="BJ1067" s="57" t="n">
        <v>40</v>
      </c>
      <c r="BK1067" s="56" t="n">
        <v>-164.8</v>
      </c>
      <c r="BL1067" s="57" t="n">
        <v>0</v>
      </c>
      <c r="BM1067" s="55"/>
      <c r="BN1067" s="60" t="n">
        <v>0</v>
      </c>
      <c r="BO1067" s="60" t="n">
        <v>1067</v>
      </c>
      <c r="BP1067" s="55" t="str">
        <f aca="false">IF(S1067&lt;&gt;"",UPPER(TRIM(S1067)),IF(O1067="","LOSE",O1067))</f>
        <v>LOSE</v>
      </c>
      <c r="BQ1067" s="57" t="n">
        <f aca="false">IF(BP1067="LOSE",1,IF(N(T1067)&gt;0,T1067,IF(N(P1067)&gt;0,P1067,MAX(1,G1067))))</f>
        <v>1</v>
      </c>
      <c r="BR1067" s="60" t="n">
        <f aca="false">IF(BP1067="LOSE",1,0)</f>
        <v>1</v>
      </c>
      <c r="BS1067" s="59" t="n">
        <f aca="false">IF(BR1067=0,0,IF(N(R1067)&gt;0,R1067,IFERROR(VLOOKUP(D1067,Parameter!$A$35:$C$64,3,0)+0,0)))</f>
        <v>0.03</v>
      </c>
      <c r="BT1067" s="55" t="n">
        <f aca="false">IF(Y1067&lt;&gt;"",Y1067,X1067)</f>
        <v>2</v>
      </c>
      <c r="BU1067" s="55" t="str">
        <f aca="false">IF(BT1067=1,"L1",IF(OR(BT1067=2,BT1067=3),"L23",IF(BT1067="Aussen","Aussen","-")))</f>
        <v>L23</v>
      </c>
      <c r="BV1067" s="66" t="n">
        <f aca="false">IF(N(Z1067)&gt;0,Z1067,0)</f>
        <v>0</v>
      </c>
      <c r="BW1067" s="60" t="n">
        <f aca="false">IF(ISNUMBER(AC1067),1,0)</f>
        <v>0</v>
      </c>
      <c r="BX1067" s="57" t="n">
        <f aca="false">N(AC1067)</f>
        <v>0</v>
      </c>
      <c r="BY1067" s="57" t="n">
        <f aca="false">N(L1067)+N(M1067)</f>
        <v>1</v>
      </c>
      <c r="BZ1067" s="57" t="n">
        <f aca="false">ROUNDUP(G1067/BQ1067,0)</f>
        <v>0</v>
      </c>
      <c r="CA1067" s="57" t="n">
        <f aca="false">ROUNDUP(BX1067/BQ1067,0)</f>
        <v>0</v>
      </c>
      <c r="CB1067" s="60" t="n">
        <f aca="false">IF(BR1067=1,0,IFERROR(VLOOKUP(BP1067,'Gebinde-Kategorie'!$A$5:$M$45,5,0)+0,0))</f>
        <v>0</v>
      </c>
      <c r="CC1067" s="60" t="n">
        <f aca="false">IFERROR(IF(OR(BT1067=1,BT1067=2,BT1067=3),N(INDEX(Parameter!$I$5:$I$7,BT1067)),0),0)</f>
        <v>0</v>
      </c>
      <c r="CD1067" s="59" t="n">
        <f aca="false">IF(AND(Parameter!$B$21="Ja",ISNUMBER(U1067),N(V1067)&gt;0),IFERROR(N(INDEX(Parameter!$L$5:$L$7,U1067))*INDEX(Parameter!$E$5:$E$7,U1067)*V1067/SUMIFS($V$7:$V$1576,$U$7:$U$1576,U1067),0),0)</f>
        <v>0</v>
      </c>
    </row>
    <row r="1068" customFormat="false" ht="15" hidden="false" customHeight="false" outlineLevel="0" collapsed="false">
      <c r="A1068" s="55" t="s">
        <v>1938</v>
      </c>
      <c r="B1068" s="55" t="s">
        <v>533</v>
      </c>
      <c r="C1068" s="55" t="s">
        <v>160</v>
      </c>
      <c r="D1068" s="55" t="s">
        <v>178</v>
      </c>
      <c r="E1068" s="55" t="s">
        <v>210</v>
      </c>
      <c r="F1068" s="56" t="n">
        <v>21.16</v>
      </c>
      <c r="G1068" s="57" t="n">
        <f aca="false">MAX(0,IF(AND(Parameter!$B$21="Ja",ISNUMBER(W1068)),W1068,IF(Parameter!$B$20="Jahresanfang 2025 + Export",BJ1068+BI1068,BI1068)))</f>
        <v>0</v>
      </c>
      <c r="H1068" s="57" t="n">
        <f aca="false">G1068*F1068</f>
        <v>0</v>
      </c>
      <c r="I1068" s="57" t="n">
        <f aca="false">BL1068*Parameter!$B$18</f>
        <v>14</v>
      </c>
      <c r="J1068" s="58" t="n">
        <v>9</v>
      </c>
      <c r="K1068" s="59" t="n">
        <v>1.55555555555556</v>
      </c>
      <c r="L1068" s="57" t="n">
        <v>0</v>
      </c>
      <c r="M1068" s="57" t="n">
        <v>15</v>
      </c>
      <c r="N1068" s="60" t="n">
        <v>21</v>
      </c>
      <c r="O1068" s="55" t="s">
        <v>411</v>
      </c>
      <c r="P1068" s="57" t="n">
        <v>24</v>
      </c>
      <c r="Q1068" s="60" t="n">
        <f aca="false">IF(BR1068=1,0,IFERROR(VLOOKUP(BP1068,'Gebinde-Kategorie'!$A$5:$M$45,13,0)+0,0))</f>
        <v>132</v>
      </c>
      <c r="R1068" s="61"/>
      <c r="S1068" s="62"/>
      <c r="T1068" s="62"/>
      <c r="U1068" s="55"/>
      <c r="V1068" s="57"/>
      <c r="W1068" s="57"/>
      <c r="X1068" s="55" t="n">
        <f aca="false">IF(A1068="","",IF(AND(Parameter!$B$21="Ja",ISNUMBER(U1068)),U1068,IF(IFERROR(VLOOKUP(D1068,Parameter!$A$35:$C$64,2,0),"Nein")="2+3",IF(ISNUMBER(SEARCH("grosser Artikel",BM1068)),2,IFERROR(VLOOKUP(BP1068,Parameter!$F$35:$G$64,2,0),2)),IF(OR(IFERROR(VLOOKUP(D1068,Parameter!$A$35:$C$64,2,0),"Nein")="Nein",IFERROR(VLOOKUP(D1068,Parameter!$A$35:$C$64,2,0),"Nein")=""),"-",VLOOKUP(D1068,Parameter!$A$35:$C$64,2,0)))))</f>
        <v>3</v>
      </c>
      <c r="Y1068" s="62"/>
      <c r="Z1068" s="63"/>
      <c r="AA1068" s="57" t="n">
        <f aca="false">AP1068</f>
        <v>24</v>
      </c>
      <c r="AB1068" s="57" t="n">
        <f aca="false">MAX(AP1068,G1068)</f>
        <v>24</v>
      </c>
      <c r="AC1068" s="64"/>
      <c r="AD1068" s="57" t="n">
        <f aca="false">IF(LEFT(Cockpit!$C$5,1)="A",G1068,IF(BW1068=1,BX1068,IF(LEFT(Cockpit!$C$5,1)="B",AH1068,MAX(AH1068,G1068))))</f>
        <v>0</v>
      </c>
      <c r="AE1068" s="57" t="n">
        <f aca="false">IF(BR1068=1,0,ROUNDUP(AD1068/BQ1068,0))</f>
        <v>0</v>
      </c>
      <c r="AF1068" s="59" t="n">
        <f aca="false">IF(CD1068&gt;0,CD1068*MAX(1,AD1068/V1068),IF(BR1068=1,IF(AD1068&lt;=0,0,BS1068*MAX(1,IF(G1068&gt;0,AD1068/G1068,1))),IF(Q1068&gt;0,AE1068/Q1068,0))/MAX(0.1,N(Parameter!$M$21)))</f>
        <v>0</v>
      </c>
      <c r="AG1068" s="57" t="n">
        <f aca="false">AD1068*F1068</f>
        <v>0</v>
      </c>
      <c r="AH1068" s="57" t="n">
        <f aca="false">ROUNDUP(MAX(I1068/IF(BV1068&gt;0,BV1068,MAX(0.1,N(Cockpit!$C$6))),BY1068)/BQ1068,0)*BQ1068</f>
        <v>24</v>
      </c>
      <c r="AI1068" s="58" t="n">
        <f aca="false">IF(AF1068&gt;0,I1068/AF1068,-1)</f>
        <v>-1</v>
      </c>
      <c r="AJ1068" s="58" t="str">
        <f aca="false">IF(AND(OR(BU1068="L1",BU1068="L23"),AF1068&gt;0),SUMIFS($AF$7:$AF$1576,$BU$7:$BU$1576,BU1068,$AI$7:$AI$1576,"&gt;"&amp;AI1068)+SUMIFS($AF$7:$AF$1576,$BU$7:$BU$1576,BU1068,$AI$7:$AI$1576,AI1068,$BO$7:$BO$1576,"&lt;="&amp;BO1068),"")</f>
        <v/>
      </c>
      <c r="AK1068" s="65" t="n">
        <f aca="false">IF(AJ1068="",0,MAX(0,MIN(1,(IF(BU1068="L1",Parameter!$E$5,Parameter!$E$6+Parameter!$E$7)-(AJ1068-AF1068))/AF1068)))</f>
        <v>0</v>
      </c>
      <c r="AL1068" s="57" t="n">
        <f aca="false">IF(LEFT(Cockpit!$I$5,1)="A",G1068,IF(BW1068=1,BX1068,IF(LEFT(Cockpit!$I$5,1)="B",AP1068,MAX(AP1068,G1068))))</f>
        <v>24</v>
      </c>
      <c r="AM1068" s="57" t="n">
        <f aca="false">IF(BR1068=1,0,ROUNDUP(AL1068/BQ1068,0))</f>
        <v>1</v>
      </c>
      <c r="AN1068" s="59" t="n">
        <f aca="false">IF(CD1068&gt;0,CD1068*MAX(1,AL1068/V1068),IF(BR1068=1,IF(AL1068&lt;=0,0,BS1068*MAX(1,IF(G1068&gt;0,AL1068/G1068,1))),IF(Q1068&gt;0,AM1068/Q1068,0))/MAX(0.1,N(Parameter!$M$21)))</f>
        <v>0.00757575757575758</v>
      </c>
      <c r="AO1068" s="57" t="n">
        <f aca="false">AL1068*F1068</f>
        <v>507.84</v>
      </c>
      <c r="AP1068" s="57" t="n">
        <f aca="false">ROUNDUP(MAX(I1068/IF(BV1068&gt;0,BV1068,MAX(0.1,N(Cockpit!$I$6))),BY1068)/BQ1068,0)*BQ1068</f>
        <v>24</v>
      </c>
      <c r="AQ1068" s="58" t="n">
        <f aca="false">IF(AN1068&gt;0,I1068/AN1068,-1)</f>
        <v>1848</v>
      </c>
      <c r="AR1068" s="58" t="n">
        <f aca="false">IF(AND(OR(BU1068="L1",BU1068="L23"),AN1068&gt;0),SUMIFS($AN$7:$AN$1576,$BU$7:$BU$1576,BU1068,$AQ$7:$AQ$1576,"&gt;"&amp;AQ1068)+SUMIFS($AN$7:$AN$1576,$BU$7:$BU$1576,BU1068,$AQ$7:$AQ$1576,AQ1068,$BO$7:$BO$1576,"&lt;="&amp;BO1068),"")</f>
        <v>17.662104622768</v>
      </c>
      <c r="AS1068" s="65" t="n">
        <f aca="false">IF(AR1068="",0,MAX(0,MIN(1,(IF(BU1068="L1",Parameter!$E$5,Parameter!$E$6+Parameter!$E$7)-(AR1068-AN1068))/AN1068)))</f>
        <v>1</v>
      </c>
      <c r="AT1068" s="57" t="n">
        <f aca="false">IF(LEFT(Cockpit!$O$5,1)="A",G1068,IF(BW1068=1,BX1068,IF(LEFT(Cockpit!$O$5,1)="B",AX1068,MAX(AX1068,G1068))))</f>
        <v>24</v>
      </c>
      <c r="AU1068" s="57" t="n">
        <f aca="false">IF(BR1068=1,0,ROUNDUP(AT1068/BQ1068,0))</f>
        <v>1</v>
      </c>
      <c r="AV1068" s="59" t="n">
        <f aca="false">IF(CD1068&gt;0,CD1068*MAX(1,AT1068/V1068),IF(BR1068=1,IF(AT1068&lt;=0,0,BS1068*MAX(1,IF(G1068&gt;0,AT1068/G1068,1))),IF(Q1068&gt;0,AU1068/Q1068,0))/MAX(0.1,N(Parameter!$M$21)))</f>
        <v>0.00757575757575758</v>
      </c>
      <c r="AW1068" s="57" t="n">
        <f aca="false">AT1068*F1068</f>
        <v>507.84</v>
      </c>
      <c r="AX1068" s="57" t="n">
        <f aca="false">ROUNDUP(MAX(I1068/IF(BV1068&gt;0,BV1068,MAX(0.1,N(Cockpit!$O$6))),BY1068)/BQ1068,0)*BQ1068</f>
        <v>24</v>
      </c>
      <c r="AY1068" s="58" t="n">
        <f aca="false">IF(AV1068&gt;0,I1068/AV1068,-1)</f>
        <v>1848</v>
      </c>
      <c r="AZ1068" s="58" t="n">
        <f aca="false">IF(AND(OR(BU1068="L1",BU1068="L23"),AV1068&gt;0),SUMIFS($AV$7:$AV$1576,$BU$7:$BU$1576,BU1068,$AY$7:$AY$1576,"&gt;"&amp;AY1068)+SUMIFS($AV$7:$AV$1576,$BU$7:$BU$1576,BU1068,$AY$7:$AY$1576,AY1068,$BO$7:$BO$1576,"&lt;="&amp;BO1068),"")</f>
        <v>16.6393773500407</v>
      </c>
      <c r="BA1068" s="65" t="n">
        <f aca="false">IF(AZ1068="",0,MAX(0,MIN(1,(IF(BU1068="L1",Parameter!$E$5,Parameter!$E$6+Parameter!$E$7)-(AZ1068-AV1068))/AV1068)))</f>
        <v>1</v>
      </c>
      <c r="BB1068" s="55" t="str">
        <f aca="false">IF(AF1068&lt;=0,"",IF(BU1068="Aussen","Aussenlager",IF(BU1068="-","Nicht im Lift",IF(AK1068&gt;=1,"Lift",IF(AK1068&lt;=0,"Aussenlager","teilweise")))))</f>
        <v/>
      </c>
      <c r="BC1068" s="55" t="str">
        <f aca="false">IF(AN1068&lt;=0,"",IF(BU1068="Aussen","Aussenlager",IF(BU1068="-","Nicht im Lift",IF(AS1068&gt;=1,"Lift",IF(AS1068&lt;=0,"Aussenlager","teilweise")))))</f>
        <v>Lift</v>
      </c>
      <c r="BD1068" s="55" t="str">
        <f aca="false">IF(AV1068&lt;=0,"",IF(BU1068="Aussen","Aussenlager",IF(BU1068="-","Nicht im Lift",IF(BA1068&gt;=1,"Lift",IF(BA1068&lt;=0,"Aussenlager","teilweise")))))</f>
        <v>Lift</v>
      </c>
      <c r="BE1068" s="55" t="str">
        <f aca="false">IF(A1068="","",IF(BN1068=1,"Neu; ","")&amp;IF(AND(BN1068=0,BI1068&lt;0),"negativer Bestand (Export "&amp;BI1068&amp;"); ","")&amp;IF(I1068&lt;=0,"Kein Verbrauch; ","")&amp;IF(CD1068&gt;0,"Lift "&amp;U1068&amp;" lt. Liftbericht (Fach "&amp;V1068&amp;" Stk); ",IF(BR1068=1,"Lose – Fläche geschätzt; ",""))&amp;IF(G1068&gt;AP1068,"Überbestand "&amp;ROUND(G1068-AP1068,0)&amp;" Stk / CHF "&amp;ROUND((G1068-AP1068)*F1068,0)&amp;"; ","")&amp;IF(AND(BW1068=1,BX1068&lt;BY1068),"MAX &lt; MB+LG; ","")&amp;IF(AND(CC1068&gt;0,CB1068*10&gt;CC1068),"zu hoch für Tablar; ","")&amp;IF(AND(BN1068=0,OR(BW1068=1,Y1068&lt;&gt;"",S1068&lt;&gt;"",T1068&lt;&gt;"",Z1068&lt;&gt;"")),"manuell übersteuert; ","")&amp;IF(AND(BR1068=0,Q1068=0),"Gebinde unbekannt / Stellmass fehlt; ","")&amp;IF(AND(BR1068=0,N(T1068)&lt;=0,N(P1068)&lt;=0),"Menge pro Gebinde fehlt (Ist = 1 Gebinde); ","")&amp;BM1068)</f>
        <v>negativer Bestand (Export -8); </v>
      </c>
      <c r="BF1068" s="55"/>
      <c r="BG1068" s="55"/>
      <c r="BH1068" s="62"/>
      <c r="BI1068" s="57" t="n">
        <v>-8</v>
      </c>
      <c r="BJ1068" s="57" t="n">
        <v>11</v>
      </c>
      <c r="BK1068" s="56" t="n">
        <v>-166.2</v>
      </c>
      <c r="BL1068" s="57" t="n">
        <v>14</v>
      </c>
      <c r="BM1068" s="55"/>
      <c r="BN1068" s="60" t="n">
        <v>0</v>
      </c>
      <c r="BO1068" s="60" t="n">
        <v>1068</v>
      </c>
      <c r="BP1068" s="55" t="str">
        <f aca="false">IF(S1068&lt;&gt;"",UPPER(TRIM(S1068)),IF(O1068="","LOSE",O1068))</f>
        <v>S32</v>
      </c>
      <c r="BQ1068" s="57" t="n">
        <f aca="false">IF(BP1068="LOSE",1,IF(N(T1068)&gt;0,T1068,IF(N(P1068)&gt;0,P1068,MAX(1,G1068))))</f>
        <v>24</v>
      </c>
      <c r="BR1068" s="60" t="n">
        <f aca="false">IF(BP1068="LOSE",1,0)</f>
        <v>0</v>
      </c>
      <c r="BS1068" s="59" t="n">
        <f aca="false">IF(BR1068=0,0,IF(N(R1068)&gt;0,R1068,IFERROR(VLOOKUP(D1068,Parameter!$A$35:$C$64,3,0)+0,0)))</f>
        <v>0</v>
      </c>
      <c r="BT1068" s="55" t="n">
        <f aca="false">IF(Y1068&lt;&gt;"",Y1068,X1068)</f>
        <v>3</v>
      </c>
      <c r="BU1068" s="55" t="str">
        <f aca="false">IF(BT1068=1,"L1",IF(OR(BT1068=2,BT1068=3),"L23",IF(BT1068="Aussen","Aussen","-")))</f>
        <v>L23</v>
      </c>
      <c r="BV1068" s="66" t="n">
        <f aca="false">IF(N(Z1068)&gt;0,Z1068,0)</f>
        <v>0</v>
      </c>
      <c r="BW1068" s="60" t="n">
        <f aca="false">IF(ISNUMBER(AC1068),1,0)</f>
        <v>0</v>
      </c>
      <c r="BX1068" s="57" t="n">
        <f aca="false">N(AC1068)</f>
        <v>0</v>
      </c>
      <c r="BY1068" s="57" t="n">
        <f aca="false">N(L1068)+N(M1068)</f>
        <v>15</v>
      </c>
      <c r="BZ1068" s="57" t="n">
        <f aca="false">ROUNDUP(G1068/BQ1068,0)</f>
        <v>0</v>
      </c>
      <c r="CA1068" s="57" t="n">
        <f aca="false">ROUNDUP(BX1068/BQ1068,0)</f>
        <v>0</v>
      </c>
      <c r="CB1068" s="60" t="n">
        <f aca="false">IF(BR1068=1,0,IFERROR(VLOOKUP(BP1068,'Gebinde-Kategorie'!$A$5:$M$45,5,0)+0,0))</f>
        <v>8</v>
      </c>
      <c r="CC1068" s="60" t="n">
        <f aca="false">IFERROR(IF(OR(BT1068=1,BT1068=2,BT1068=3),N(INDEX(Parameter!$I$5:$I$7,BT1068)),0),0)</f>
        <v>0</v>
      </c>
      <c r="CD1068" s="59" t="n">
        <f aca="false">IF(AND(Parameter!$B$21="Ja",ISNUMBER(U1068),N(V1068)&gt;0),IFERROR(N(INDEX(Parameter!$L$5:$L$7,U1068))*INDEX(Parameter!$E$5:$E$7,U1068)*V1068/SUMIFS($V$7:$V$1576,$U$7:$U$1576,U1068),0),0)</f>
        <v>0</v>
      </c>
    </row>
    <row r="1069" customFormat="false" ht="15" hidden="false" customHeight="false" outlineLevel="0" collapsed="false">
      <c r="A1069" s="55" t="s">
        <v>1939</v>
      </c>
      <c r="B1069" s="55" t="s">
        <v>1940</v>
      </c>
      <c r="C1069" s="55" t="s">
        <v>160</v>
      </c>
      <c r="D1069" s="55" t="s">
        <v>178</v>
      </c>
      <c r="E1069" s="55" t="s">
        <v>210</v>
      </c>
      <c r="F1069" s="56" t="n">
        <v>11.9</v>
      </c>
      <c r="G1069" s="57" t="n">
        <f aca="false">MAX(0,IF(AND(Parameter!$B$21="Ja",ISNUMBER(W1069)),W1069,IF(Parameter!$B$20="Jahresanfang 2025 + Export",BJ1069+BI1069,BI1069)))</f>
        <v>0</v>
      </c>
      <c r="H1069" s="57" t="n">
        <f aca="false">G1069*F1069</f>
        <v>0</v>
      </c>
      <c r="I1069" s="57" t="n">
        <f aca="false">BL1069*Parameter!$B$18</f>
        <v>3</v>
      </c>
      <c r="J1069" s="58" t="n">
        <v>169.5</v>
      </c>
      <c r="K1069" s="59" t="n">
        <v>0.0176991150442478</v>
      </c>
      <c r="L1069" s="57" t="n">
        <v>0</v>
      </c>
      <c r="M1069" s="57" t="n">
        <v>5</v>
      </c>
      <c r="N1069" s="60" t="n">
        <v>42</v>
      </c>
      <c r="O1069" s="55" t="s">
        <v>179</v>
      </c>
      <c r="P1069" s="57" t="n">
        <v>160</v>
      </c>
      <c r="Q1069" s="60" t="n">
        <f aca="false">IF(BR1069=1,0,IFERROR(VLOOKUP(BP1069,'Gebinde-Kategorie'!$A$5:$M$45,13,0)+0,0))</f>
        <v>12</v>
      </c>
      <c r="R1069" s="61"/>
      <c r="S1069" s="62"/>
      <c r="T1069" s="62"/>
      <c r="U1069" s="55"/>
      <c r="V1069" s="57"/>
      <c r="W1069" s="57"/>
      <c r="X1069" s="55" t="n">
        <f aca="false">IF(A1069="","",IF(AND(Parameter!$B$21="Ja",ISNUMBER(U1069)),U1069,IF(IFERROR(VLOOKUP(D1069,Parameter!$A$35:$C$64,2,0),"Nein")="2+3",IF(ISNUMBER(SEARCH("grosser Artikel",BM1069)),2,IFERROR(VLOOKUP(BP1069,Parameter!$F$35:$G$64,2,0),2)),IF(OR(IFERROR(VLOOKUP(D1069,Parameter!$A$35:$C$64,2,0),"Nein")="Nein",IFERROR(VLOOKUP(D1069,Parameter!$A$35:$C$64,2,0),"Nein")=""),"-",VLOOKUP(D1069,Parameter!$A$35:$C$64,2,0)))))</f>
        <v>2</v>
      </c>
      <c r="Y1069" s="62"/>
      <c r="Z1069" s="63"/>
      <c r="AA1069" s="57" t="n">
        <f aca="false">AP1069</f>
        <v>160</v>
      </c>
      <c r="AB1069" s="57" t="n">
        <f aca="false">MAX(AP1069,G1069)</f>
        <v>160</v>
      </c>
      <c r="AC1069" s="64"/>
      <c r="AD1069" s="57" t="n">
        <f aca="false">IF(LEFT(Cockpit!$C$5,1)="A",G1069,IF(BW1069=1,BX1069,IF(LEFT(Cockpit!$C$5,1)="B",AH1069,MAX(AH1069,G1069))))</f>
        <v>0</v>
      </c>
      <c r="AE1069" s="57" t="n">
        <f aca="false">IF(BR1069=1,0,ROUNDUP(AD1069/BQ1069,0))</f>
        <v>0</v>
      </c>
      <c r="AF1069" s="59" t="n">
        <f aca="false">IF(CD1069&gt;0,CD1069*MAX(1,AD1069/V1069),IF(BR1069=1,IF(AD1069&lt;=0,0,BS1069*MAX(1,IF(G1069&gt;0,AD1069/G1069,1))),IF(Q1069&gt;0,AE1069/Q1069,0))/MAX(0.1,N(Parameter!$M$21)))</f>
        <v>0</v>
      </c>
      <c r="AG1069" s="57" t="n">
        <f aca="false">AD1069*F1069</f>
        <v>0</v>
      </c>
      <c r="AH1069" s="57" t="n">
        <f aca="false">ROUNDUP(MAX(I1069/IF(BV1069&gt;0,BV1069,MAX(0.1,N(Cockpit!$C$6))),BY1069)/BQ1069,0)*BQ1069</f>
        <v>160</v>
      </c>
      <c r="AI1069" s="58" t="n">
        <f aca="false">IF(AF1069&gt;0,I1069/AF1069,-1)</f>
        <v>-1</v>
      </c>
      <c r="AJ1069" s="58" t="str">
        <f aca="false">IF(AND(OR(BU1069="L1",BU1069="L23"),AF1069&gt;0),SUMIFS($AF$7:$AF$1576,$BU$7:$BU$1576,BU1069,$AI$7:$AI$1576,"&gt;"&amp;AI1069)+SUMIFS($AF$7:$AF$1576,$BU$7:$BU$1576,BU1069,$AI$7:$AI$1576,AI1069,$BO$7:$BO$1576,"&lt;="&amp;BO1069),"")</f>
        <v/>
      </c>
      <c r="AK1069" s="65" t="n">
        <f aca="false">IF(AJ1069="",0,MAX(0,MIN(1,(IF(BU1069="L1",Parameter!$E$5,Parameter!$E$6+Parameter!$E$7)-(AJ1069-AF1069))/AF1069)))</f>
        <v>0</v>
      </c>
      <c r="AL1069" s="57" t="n">
        <f aca="false">IF(LEFT(Cockpit!$I$5,1)="A",G1069,IF(BW1069=1,BX1069,IF(LEFT(Cockpit!$I$5,1)="B",AP1069,MAX(AP1069,G1069))))</f>
        <v>160</v>
      </c>
      <c r="AM1069" s="57" t="n">
        <f aca="false">IF(BR1069=1,0,ROUNDUP(AL1069/BQ1069,0))</f>
        <v>1</v>
      </c>
      <c r="AN1069" s="59" t="n">
        <f aca="false">IF(CD1069&gt;0,CD1069*MAX(1,AL1069/V1069),IF(BR1069=1,IF(AL1069&lt;=0,0,BS1069*MAX(1,IF(G1069&gt;0,AL1069/G1069,1))),IF(Q1069&gt;0,AM1069/Q1069,0))/MAX(0.1,N(Parameter!$M$21)))</f>
        <v>0.0833333333333333</v>
      </c>
      <c r="AO1069" s="57" t="n">
        <f aca="false">AL1069*F1069</f>
        <v>1904</v>
      </c>
      <c r="AP1069" s="57" t="n">
        <f aca="false">ROUNDUP(MAX(I1069/IF(BV1069&gt;0,BV1069,MAX(0.1,N(Cockpit!$I$6))),BY1069)/BQ1069,0)*BQ1069</f>
        <v>160</v>
      </c>
      <c r="AQ1069" s="58" t="n">
        <f aca="false">IF(AN1069&gt;0,I1069/AN1069,-1)</f>
        <v>36</v>
      </c>
      <c r="AR1069" s="58" t="n">
        <f aca="false">IF(AND(OR(BU1069="L1",BU1069="L23"),AN1069&gt;0),SUMIFS($AN$7:$AN$1576,$BU$7:$BU$1576,BU1069,$AQ$7:$AQ$1576,"&gt;"&amp;AQ1069)+SUMIFS($AN$7:$AN$1576,$BU$7:$BU$1576,BU1069,$AQ$7:$AQ$1576,AQ1069,$BO$7:$BO$1576,"&lt;="&amp;BO1069),"")</f>
        <v>93.2991012553624</v>
      </c>
      <c r="AS1069" s="65" t="n">
        <f aca="false">IF(AR1069="",0,MAX(0,MIN(1,(IF(BU1069="L1",Parameter!$E$5,Parameter!$E$6+Parameter!$E$7)-(AR1069-AN1069))/AN1069)))</f>
        <v>1</v>
      </c>
      <c r="AT1069" s="57" t="n">
        <f aca="false">IF(LEFT(Cockpit!$O$5,1)="A",G1069,IF(BW1069=1,BX1069,IF(LEFT(Cockpit!$O$5,1)="B",AX1069,MAX(AX1069,G1069))))</f>
        <v>160</v>
      </c>
      <c r="AU1069" s="57" t="n">
        <f aca="false">IF(BR1069=1,0,ROUNDUP(AT1069/BQ1069,0))</f>
        <v>1</v>
      </c>
      <c r="AV1069" s="59" t="n">
        <f aca="false">IF(CD1069&gt;0,CD1069*MAX(1,AT1069/V1069),IF(BR1069=1,IF(AT1069&lt;=0,0,BS1069*MAX(1,IF(G1069&gt;0,AT1069/G1069,1))),IF(Q1069&gt;0,AU1069/Q1069,0))/MAX(0.1,N(Parameter!$M$21)))</f>
        <v>0.0833333333333333</v>
      </c>
      <c r="AW1069" s="57" t="n">
        <f aca="false">AT1069*F1069</f>
        <v>1904</v>
      </c>
      <c r="AX1069" s="57" t="n">
        <f aca="false">ROUNDUP(MAX(I1069/IF(BV1069&gt;0,BV1069,MAX(0.1,N(Cockpit!$O$6))),BY1069)/BQ1069,0)*BQ1069</f>
        <v>160</v>
      </c>
      <c r="AY1069" s="58" t="n">
        <f aca="false">IF(AV1069&gt;0,I1069/AV1069,-1)</f>
        <v>36</v>
      </c>
      <c r="AZ1069" s="58" t="n">
        <f aca="false">IF(AND(OR(BU1069="L1",BU1069="L23"),AV1069&gt;0),SUMIFS($AV$7:$AV$1576,$BU$7:$BU$1576,BU1069,$AY$7:$AY$1576,"&gt;"&amp;AY1069)+SUMIFS($AV$7:$AV$1576,$BU$7:$BU$1576,BU1069,$AY$7:$AY$1576,AY1069,$BO$7:$BO$1576,"&lt;="&amp;BO1069),"")</f>
        <v>85.0836517049129</v>
      </c>
      <c r="BA1069" s="65" t="n">
        <f aca="false">IF(AZ1069="",0,MAX(0,MIN(1,(IF(BU1069="L1",Parameter!$E$5,Parameter!$E$6+Parameter!$E$7)-(AZ1069-AV1069))/AV1069)))</f>
        <v>1</v>
      </c>
      <c r="BB1069" s="55" t="str">
        <f aca="false">IF(AF1069&lt;=0,"",IF(BU1069="Aussen","Aussenlager",IF(BU1069="-","Nicht im Lift",IF(AK1069&gt;=1,"Lift",IF(AK1069&lt;=0,"Aussenlager","teilweise")))))</f>
        <v/>
      </c>
      <c r="BC1069" s="55" t="str">
        <f aca="false">IF(AN1069&lt;=0,"",IF(BU1069="Aussen","Aussenlager",IF(BU1069="-","Nicht im Lift",IF(AS1069&gt;=1,"Lift",IF(AS1069&lt;=0,"Aussenlager","teilweise")))))</f>
        <v>Lift</v>
      </c>
      <c r="BD1069" s="55" t="str">
        <f aca="false">IF(AV1069&lt;=0,"",IF(BU1069="Aussen","Aussenlager",IF(BU1069="-","Nicht im Lift",IF(BA1069&gt;=1,"Lift",IF(BA1069&lt;=0,"Aussenlager","teilweise")))))</f>
        <v>Lift</v>
      </c>
      <c r="BE1069" s="55" t="str">
        <f aca="false">IF(A1069="","",IF(BN1069=1,"Neu; ","")&amp;IF(AND(BN1069=0,BI1069&lt;0),"negativer Bestand (Export "&amp;BI1069&amp;"); ","")&amp;IF(I1069&lt;=0,"Kein Verbrauch; ","")&amp;IF(CD1069&gt;0,"Lift "&amp;U1069&amp;" lt. Liftbericht (Fach "&amp;V1069&amp;" Stk); ",IF(BR1069=1,"Lose – Fläche geschätzt; ",""))&amp;IF(G1069&gt;AP1069,"Überbestand "&amp;ROUND(G1069-AP1069,0)&amp;" Stk / CHF "&amp;ROUND((G1069-AP1069)*F1069,0)&amp;"; ","")&amp;IF(AND(BW1069=1,BX1069&lt;BY1069),"MAX &lt; MB+LG; ","")&amp;IF(AND(CC1069&gt;0,CB1069*10&gt;CC1069),"zu hoch für Tablar; ","")&amp;IF(AND(BN1069=0,OR(BW1069=1,Y1069&lt;&gt;"",S1069&lt;&gt;"",T1069&lt;&gt;"",Z1069&lt;&gt;"")),"manuell übersteuert; ","")&amp;IF(AND(BR1069=0,Q1069=0),"Gebinde unbekannt / Stellmass fehlt; ","")&amp;IF(AND(BR1069=0,N(T1069)&lt;=0,N(P1069)&lt;=0),"Menge pro Gebinde fehlt (Ist = 1 Gebinde); ","")&amp;BM1069)</f>
        <v>negativer Bestand (Export -14); überbestand</v>
      </c>
      <c r="BF1069" s="55"/>
      <c r="BG1069" s="55"/>
      <c r="BH1069" s="62"/>
      <c r="BI1069" s="57" t="n">
        <v>-14</v>
      </c>
      <c r="BJ1069" s="57" t="n">
        <v>175</v>
      </c>
      <c r="BK1069" s="56" t="n">
        <v>-166.6</v>
      </c>
      <c r="BL1069" s="57" t="n">
        <v>3</v>
      </c>
      <c r="BM1069" s="55" t="s">
        <v>1239</v>
      </c>
      <c r="BN1069" s="60" t="n">
        <v>0</v>
      </c>
      <c r="BO1069" s="60" t="n">
        <v>1069</v>
      </c>
      <c r="BP1069" s="55" t="str">
        <f aca="false">IF(S1069&lt;&gt;"",UPPER(TRIM(S1069)),IF(O1069="","LOSE",O1069))</f>
        <v>S61</v>
      </c>
      <c r="BQ1069" s="57" t="n">
        <f aca="false">IF(BP1069="LOSE",1,IF(N(T1069)&gt;0,T1069,IF(N(P1069)&gt;0,P1069,MAX(1,G1069))))</f>
        <v>160</v>
      </c>
      <c r="BR1069" s="60" t="n">
        <f aca="false">IF(BP1069="LOSE",1,0)</f>
        <v>0</v>
      </c>
      <c r="BS1069" s="59" t="n">
        <f aca="false">IF(BR1069=0,0,IF(N(R1069)&gt;0,R1069,IFERROR(VLOOKUP(D1069,Parameter!$A$35:$C$64,3,0)+0,0)))</f>
        <v>0</v>
      </c>
      <c r="BT1069" s="55" t="n">
        <f aca="false">IF(Y1069&lt;&gt;"",Y1069,X1069)</f>
        <v>2</v>
      </c>
      <c r="BU1069" s="55" t="str">
        <f aca="false">IF(BT1069=1,"L1",IF(OR(BT1069=2,BT1069=3),"L23",IF(BT1069="Aussen","Aussen","-")))</f>
        <v>L23</v>
      </c>
      <c r="BV1069" s="66" t="n">
        <f aca="false">IF(N(Z1069)&gt;0,Z1069,0)</f>
        <v>0</v>
      </c>
      <c r="BW1069" s="60" t="n">
        <f aca="false">IF(ISNUMBER(AC1069),1,0)</f>
        <v>0</v>
      </c>
      <c r="BX1069" s="57" t="n">
        <f aca="false">N(AC1069)</f>
        <v>0</v>
      </c>
      <c r="BY1069" s="57" t="n">
        <f aca="false">N(L1069)+N(M1069)</f>
        <v>5</v>
      </c>
      <c r="BZ1069" s="57" t="n">
        <f aca="false">ROUNDUP(G1069/BQ1069,0)</f>
        <v>0</v>
      </c>
      <c r="CA1069" s="57" t="n">
        <f aca="false">ROUNDUP(BX1069/BQ1069,0)</f>
        <v>0</v>
      </c>
      <c r="CB1069" s="60" t="n">
        <f aca="false">IF(BR1069=1,0,IFERROR(VLOOKUP(BP1069,'Gebinde-Kategorie'!$A$5:$M$45,5,0)+0,0))</f>
        <v>11</v>
      </c>
      <c r="CC1069" s="60" t="n">
        <f aca="false">IFERROR(IF(OR(BT1069=1,BT1069=2,BT1069=3),N(INDEX(Parameter!$I$5:$I$7,BT1069)),0),0)</f>
        <v>0</v>
      </c>
      <c r="CD1069" s="59" t="n">
        <f aca="false">IF(AND(Parameter!$B$21="Ja",ISNUMBER(U1069),N(V1069)&gt;0),IFERROR(N(INDEX(Parameter!$L$5:$L$7,U1069))*INDEX(Parameter!$E$5:$E$7,U1069)*V1069/SUMIFS($V$7:$V$1576,$U$7:$U$1576,U1069),0),0)</f>
        <v>0</v>
      </c>
    </row>
    <row r="1070" customFormat="false" ht="15" hidden="false" customHeight="false" outlineLevel="0" collapsed="false">
      <c r="A1070" s="55" t="s">
        <v>1941</v>
      </c>
      <c r="B1070" s="55" t="s">
        <v>1942</v>
      </c>
      <c r="C1070" s="55" t="s">
        <v>160</v>
      </c>
      <c r="D1070" s="55" t="s">
        <v>178</v>
      </c>
      <c r="E1070" s="55" t="s">
        <v>210</v>
      </c>
      <c r="F1070" s="56" t="n">
        <v>33.39</v>
      </c>
      <c r="G1070" s="57" t="n">
        <f aca="false">MAX(0,IF(AND(Parameter!$B$21="Ja",ISNUMBER(W1070)),W1070,IF(Parameter!$B$20="Jahresanfang 2025 + Export",BJ1070+BI1070,BI1070)))</f>
        <v>0</v>
      </c>
      <c r="H1070" s="57" t="n">
        <f aca="false">G1070*F1070</f>
        <v>0</v>
      </c>
      <c r="I1070" s="57" t="n">
        <f aca="false">BL1070*Parameter!$B$18</f>
        <v>0.25</v>
      </c>
      <c r="J1070" s="58" t="n">
        <v>37.875</v>
      </c>
      <c r="K1070" s="59" t="n">
        <v>0.0066006600660066</v>
      </c>
      <c r="L1070" s="57" t="n">
        <v>0</v>
      </c>
      <c r="M1070" s="57" t="n">
        <v>1</v>
      </c>
      <c r="N1070" s="60" t="n">
        <v>14</v>
      </c>
      <c r="O1070" s="55" t="s">
        <v>319</v>
      </c>
      <c r="P1070" s="57" t="n">
        <v>40</v>
      </c>
      <c r="Q1070" s="60" t="n">
        <f aca="false">IF(BR1070=1,0,IFERROR(VLOOKUP(BP1070,'Gebinde-Kategorie'!$A$5:$M$45,13,0)+0,0))</f>
        <v>52</v>
      </c>
      <c r="R1070" s="61"/>
      <c r="S1070" s="62"/>
      <c r="T1070" s="62"/>
      <c r="U1070" s="55"/>
      <c r="V1070" s="57"/>
      <c r="W1070" s="57"/>
      <c r="X1070" s="55" t="n">
        <f aca="false">IF(A1070="","",IF(AND(Parameter!$B$21="Ja",ISNUMBER(U1070)),U1070,IF(IFERROR(VLOOKUP(D1070,Parameter!$A$35:$C$64,2,0),"Nein")="2+3",IF(ISNUMBER(SEARCH("grosser Artikel",BM1070)),2,IFERROR(VLOOKUP(BP1070,Parameter!$F$35:$G$64,2,0),2)),IF(OR(IFERROR(VLOOKUP(D1070,Parameter!$A$35:$C$64,2,0),"Nein")="Nein",IFERROR(VLOOKUP(D1070,Parameter!$A$35:$C$64,2,0),"Nein")=""),"-",VLOOKUP(D1070,Parameter!$A$35:$C$64,2,0)))))</f>
        <v>3</v>
      </c>
      <c r="Y1070" s="62"/>
      <c r="Z1070" s="63"/>
      <c r="AA1070" s="57" t="n">
        <f aca="false">AP1070</f>
        <v>40</v>
      </c>
      <c r="AB1070" s="57" t="n">
        <f aca="false">MAX(AP1070,G1070)</f>
        <v>40</v>
      </c>
      <c r="AC1070" s="64"/>
      <c r="AD1070" s="57" t="n">
        <f aca="false">IF(LEFT(Cockpit!$C$5,1)="A",G1070,IF(BW1070=1,BX1070,IF(LEFT(Cockpit!$C$5,1)="B",AH1070,MAX(AH1070,G1070))))</f>
        <v>0</v>
      </c>
      <c r="AE1070" s="57" t="n">
        <f aca="false">IF(BR1070=1,0,ROUNDUP(AD1070/BQ1070,0))</f>
        <v>0</v>
      </c>
      <c r="AF1070" s="59" t="n">
        <f aca="false">IF(CD1070&gt;0,CD1070*MAX(1,AD1070/V1070),IF(BR1070=1,IF(AD1070&lt;=0,0,BS1070*MAX(1,IF(G1070&gt;0,AD1070/G1070,1))),IF(Q1070&gt;0,AE1070/Q1070,0))/MAX(0.1,N(Parameter!$M$21)))</f>
        <v>0</v>
      </c>
      <c r="AG1070" s="57" t="n">
        <f aca="false">AD1070*F1070</f>
        <v>0</v>
      </c>
      <c r="AH1070" s="57" t="n">
        <f aca="false">ROUNDUP(MAX(I1070/IF(BV1070&gt;0,BV1070,MAX(0.1,N(Cockpit!$C$6))),BY1070)/BQ1070,0)*BQ1070</f>
        <v>40</v>
      </c>
      <c r="AI1070" s="58" t="n">
        <f aca="false">IF(AF1070&gt;0,I1070/AF1070,-1)</f>
        <v>-1</v>
      </c>
      <c r="AJ1070" s="58" t="str">
        <f aca="false">IF(AND(OR(BU1070="L1",BU1070="L23"),AF1070&gt;0),SUMIFS($AF$7:$AF$1576,$BU$7:$BU$1576,BU1070,$AI$7:$AI$1576,"&gt;"&amp;AI1070)+SUMIFS($AF$7:$AF$1576,$BU$7:$BU$1576,BU1070,$AI$7:$AI$1576,AI1070,$BO$7:$BO$1576,"&lt;="&amp;BO1070),"")</f>
        <v/>
      </c>
      <c r="AK1070" s="65" t="n">
        <f aca="false">IF(AJ1070="",0,MAX(0,MIN(1,(IF(BU1070="L1",Parameter!$E$5,Parameter!$E$6+Parameter!$E$7)-(AJ1070-AF1070))/AF1070)))</f>
        <v>0</v>
      </c>
      <c r="AL1070" s="57" t="n">
        <f aca="false">IF(LEFT(Cockpit!$I$5,1)="A",G1070,IF(BW1070=1,BX1070,IF(LEFT(Cockpit!$I$5,1)="B",AP1070,MAX(AP1070,G1070))))</f>
        <v>40</v>
      </c>
      <c r="AM1070" s="57" t="n">
        <f aca="false">IF(BR1070=1,0,ROUNDUP(AL1070/BQ1070,0))</f>
        <v>1</v>
      </c>
      <c r="AN1070" s="59" t="n">
        <f aca="false">IF(CD1070&gt;0,CD1070*MAX(1,AL1070/V1070),IF(BR1070=1,IF(AL1070&lt;=0,0,BS1070*MAX(1,IF(G1070&gt;0,AL1070/G1070,1))),IF(Q1070&gt;0,AM1070/Q1070,0))/MAX(0.1,N(Parameter!$M$21)))</f>
        <v>0.0192307692307692</v>
      </c>
      <c r="AO1070" s="57" t="n">
        <f aca="false">AL1070*F1070</f>
        <v>1335.6</v>
      </c>
      <c r="AP1070" s="57" t="n">
        <f aca="false">ROUNDUP(MAX(I1070/IF(BV1070&gt;0,BV1070,MAX(0.1,N(Cockpit!$I$6))),BY1070)/BQ1070,0)*BQ1070</f>
        <v>40</v>
      </c>
      <c r="AQ1070" s="58" t="n">
        <f aca="false">IF(AN1070&gt;0,I1070/AN1070,-1)</f>
        <v>13</v>
      </c>
      <c r="AR1070" s="58" t="n">
        <f aca="false">IF(AND(OR(BU1070="L1",BU1070="L23"),AN1070&gt;0),SUMIFS($AN$7:$AN$1576,$BU$7:$BU$1576,BU1070,$AQ$7:$AQ$1576,"&gt;"&amp;AQ1070)+SUMIFS($AN$7:$AN$1576,$BU$7:$BU$1576,BU1070,$AQ$7:$AQ$1576,AQ1070,$BO$7:$BO$1576,"&lt;="&amp;BO1070),"")</f>
        <v>106.937306383568</v>
      </c>
      <c r="AS1070" s="65" t="n">
        <f aca="false">IF(AR1070="",0,MAX(0,MIN(1,(IF(BU1070="L1",Parameter!$E$5,Parameter!$E$6+Parameter!$E$7)-(AR1070-AN1070))/AN1070)))</f>
        <v>0</v>
      </c>
      <c r="AT1070" s="57" t="n">
        <f aca="false">IF(LEFT(Cockpit!$O$5,1)="A",G1070,IF(BW1070=1,BX1070,IF(LEFT(Cockpit!$O$5,1)="B",AX1070,MAX(AX1070,G1070))))</f>
        <v>40</v>
      </c>
      <c r="AU1070" s="57" t="n">
        <f aca="false">IF(BR1070=1,0,ROUNDUP(AT1070/BQ1070,0))</f>
        <v>1</v>
      </c>
      <c r="AV1070" s="59" t="n">
        <f aca="false">IF(CD1070&gt;0,CD1070*MAX(1,AT1070/V1070),IF(BR1070=1,IF(AT1070&lt;=0,0,BS1070*MAX(1,IF(G1070&gt;0,AT1070/G1070,1))),IF(Q1070&gt;0,AU1070/Q1070,0))/MAX(0.1,N(Parameter!$M$21)))</f>
        <v>0.0192307692307692</v>
      </c>
      <c r="AW1070" s="57" t="n">
        <f aca="false">AT1070*F1070</f>
        <v>1335.6</v>
      </c>
      <c r="AX1070" s="57" t="n">
        <f aca="false">ROUNDUP(MAX(I1070/IF(BV1070&gt;0,BV1070,MAX(0.1,N(Cockpit!$O$6))),BY1070)/BQ1070,0)*BQ1070</f>
        <v>40</v>
      </c>
      <c r="AY1070" s="58" t="n">
        <f aca="false">IF(AV1070&gt;0,I1070/AV1070,-1)</f>
        <v>13</v>
      </c>
      <c r="AZ1070" s="58" t="n">
        <f aca="false">IF(AND(OR(BU1070="L1",BU1070="L23"),AV1070&gt;0),SUMIFS($AV$7:$AV$1576,$BU$7:$BU$1576,BU1070,$AY$7:$AY$1576,"&gt;"&amp;AY1070)+SUMIFS($AV$7:$AV$1576,$BU$7:$BU$1576,BU1070,$AY$7:$AY$1576,AY1070,$BO$7:$BO$1576,"&lt;="&amp;BO1070),"")</f>
        <v>96.996856833118</v>
      </c>
      <c r="BA1070" s="65" t="n">
        <f aca="false">IF(AZ1070="",0,MAX(0,MIN(1,(IF(BU1070="L1",Parameter!$E$5,Parameter!$E$6+Parameter!$E$7)-(AZ1070-AV1070))/AV1070)))</f>
        <v>1</v>
      </c>
      <c r="BB1070" s="55" t="str">
        <f aca="false">IF(AF1070&lt;=0,"",IF(BU1070="Aussen","Aussenlager",IF(BU1070="-","Nicht im Lift",IF(AK1070&gt;=1,"Lift",IF(AK1070&lt;=0,"Aussenlager","teilweise")))))</f>
        <v/>
      </c>
      <c r="BC1070" s="55" t="str">
        <f aca="false">IF(AN1070&lt;=0,"",IF(BU1070="Aussen","Aussenlager",IF(BU1070="-","Nicht im Lift",IF(AS1070&gt;=1,"Lift",IF(AS1070&lt;=0,"Aussenlager","teilweise")))))</f>
        <v>Aussenlager</v>
      </c>
      <c r="BD1070" s="55" t="str">
        <f aca="false">IF(AV1070&lt;=0,"",IF(BU1070="Aussen","Aussenlager",IF(BU1070="-","Nicht im Lift",IF(BA1070&gt;=1,"Lift",IF(BA1070&lt;=0,"Aussenlager","teilweise")))))</f>
        <v>Lift</v>
      </c>
      <c r="BE1070" s="55" t="str">
        <f aca="false">IF(A1070="","",IF(BN1070=1,"Neu; ","")&amp;IF(AND(BN1070=0,BI1070&lt;0),"negativer Bestand (Export "&amp;BI1070&amp;"); ","")&amp;IF(I1070&lt;=0,"Kein Verbrauch; ","")&amp;IF(CD1070&gt;0,"Lift "&amp;U1070&amp;" lt. Liftbericht (Fach "&amp;V1070&amp;" Stk); ",IF(BR1070=1,"Lose – Fläche geschätzt; ",""))&amp;IF(G1070&gt;AP1070,"Überbestand "&amp;ROUND(G1070-AP1070,0)&amp;" Stk / CHF "&amp;ROUND((G1070-AP1070)*F1070,0)&amp;"; ","")&amp;IF(AND(BW1070=1,BX1070&lt;BY1070),"MAX &lt; MB+LG; ","")&amp;IF(AND(CC1070&gt;0,CB1070*10&gt;CC1070),"zu hoch für Tablar; ","")&amp;IF(AND(BN1070=0,OR(BW1070=1,Y1070&lt;&gt;"",S1070&lt;&gt;"",T1070&lt;&gt;"",Z1070&lt;&gt;"")),"manuell übersteuert; ","")&amp;IF(AND(BR1070=0,Q1070=0),"Gebinde unbekannt / Stellmass fehlt; ","")&amp;IF(AND(BR1070=0,N(T1070)&lt;=0,N(P1070)&lt;=0),"Menge pro Gebinde fehlt (Ist = 1 Gebinde); ","")&amp;BM1070)</f>
        <v>negativer Bestand (Export -5); Verb.Lager</v>
      </c>
      <c r="BF1070" s="55"/>
      <c r="BG1070" s="55"/>
      <c r="BH1070" s="62"/>
      <c r="BI1070" s="57" t="n">
        <v>-5</v>
      </c>
      <c r="BJ1070" s="57" t="n">
        <v>38</v>
      </c>
      <c r="BK1070" s="56" t="n">
        <v>-166.95</v>
      </c>
      <c r="BL1070" s="57" t="n">
        <v>0.25</v>
      </c>
      <c r="BM1070" s="55" t="s">
        <v>1019</v>
      </c>
      <c r="BN1070" s="60" t="n">
        <v>0</v>
      </c>
      <c r="BO1070" s="60" t="n">
        <v>1070</v>
      </c>
      <c r="BP1070" s="55" t="str">
        <f aca="false">IF(S1070&lt;&gt;"",UPPER(TRIM(S1070)),IF(O1070="","LOSE",O1070))</f>
        <v>S41</v>
      </c>
      <c r="BQ1070" s="57" t="n">
        <f aca="false">IF(BP1070="LOSE",1,IF(N(T1070)&gt;0,T1070,IF(N(P1070)&gt;0,P1070,MAX(1,G1070))))</f>
        <v>40</v>
      </c>
      <c r="BR1070" s="60" t="n">
        <f aca="false">IF(BP1070="LOSE",1,0)</f>
        <v>0</v>
      </c>
      <c r="BS1070" s="59" t="n">
        <f aca="false">IF(BR1070=0,0,IF(N(R1070)&gt;0,R1070,IFERROR(VLOOKUP(D1070,Parameter!$A$35:$C$64,3,0)+0,0)))</f>
        <v>0</v>
      </c>
      <c r="BT1070" s="55" t="n">
        <f aca="false">IF(Y1070&lt;&gt;"",Y1070,X1070)</f>
        <v>3</v>
      </c>
      <c r="BU1070" s="55" t="str">
        <f aca="false">IF(BT1070=1,"L1",IF(OR(BT1070=2,BT1070=3),"L23",IF(BT1070="Aussen","Aussen","-")))</f>
        <v>L23</v>
      </c>
      <c r="BV1070" s="66" t="n">
        <f aca="false">IF(N(Z1070)&gt;0,Z1070,0)</f>
        <v>0</v>
      </c>
      <c r="BW1070" s="60" t="n">
        <f aca="false">IF(ISNUMBER(AC1070),1,0)</f>
        <v>0</v>
      </c>
      <c r="BX1070" s="57" t="n">
        <f aca="false">N(AC1070)</f>
        <v>0</v>
      </c>
      <c r="BY1070" s="57" t="n">
        <f aca="false">N(L1070)+N(M1070)</f>
        <v>1</v>
      </c>
      <c r="BZ1070" s="57" t="n">
        <f aca="false">ROUNDUP(G1070/BQ1070,0)</f>
        <v>0</v>
      </c>
      <c r="CA1070" s="57" t="n">
        <f aca="false">ROUNDUP(BX1070/BQ1070,0)</f>
        <v>0</v>
      </c>
      <c r="CB1070" s="60" t="n">
        <f aca="false">IF(BR1070=1,0,IFERROR(VLOOKUP(BP1070,'Gebinde-Kategorie'!$A$5:$M$45,5,0)+0,0))</f>
        <v>11</v>
      </c>
      <c r="CC1070" s="60" t="n">
        <f aca="false">IFERROR(IF(OR(BT1070=1,BT1070=2,BT1070=3),N(INDEX(Parameter!$I$5:$I$7,BT1070)),0),0)</f>
        <v>0</v>
      </c>
      <c r="CD1070" s="59" t="n">
        <f aca="false">IF(AND(Parameter!$B$21="Ja",ISNUMBER(U1070),N(V1070)&gt;0),IFERROR(N(INDEX(Parameter!$L$5:$L$7,U1070))*INDEX(Parameter!$E$5:$E$7,U1070)*V1070/SUMIFS($V$7:$V$1576,$U$7:$U$1576,U1070),0),0)</f>
        <v>0</v>
      </c>
    </row>
    <row r="1071" customFormat="false" ht="15" hidden="false" customHeight="false" outlineLevel="0" collapsed="false">
      <c r="A1071" s="55" t="s">
        <v>1943</v>
      </c>
      <c r="B1071" s="55" t="s">
        <v>1944</v>
      </c>
      <c r="C1071" s="55" t="s">
        <v>160</v>
      </c>
      <c r="D1071" s="55" t="s">
        <v>168</v>
      </c>
      <c r="E1071" s="55" t="s">
        <v>210</v>
      </c>
      <c r="F1071" s="56" t="n">
        <v>14.64</v>
      </c>
      <c r="G1071" s="57" t="n">
        <f aca="false">MAX(0,IF(AND(Parameter!$B$21="Ja",ISNUMBER(W1071)),W1071,IF(Parameter!$B$20="Jahresanfang 2025 + Export",BJ1071+BI1071,BI1071)))</f>
        <v>0</v>
      </c>
      <c r="H1071" s="57" t="n">
        <f aca="false">G1071*F1071</f>
        <v>0</v>
      </c>
      <c r="I1071" s="57" t="n">
        <f aca="false">BL1071*Parameter!$B$18</f>
        <v>98</v>
      </c>
      <c r="J1071" s="58" t="n">
        <v>28.5</v>
      </c>
      <c r="K1071" s="59" t="n">
        <v>3.43859649122807</v>
      </c>
      <c r="L1071" s="57" t="n">
        <v>5</v>
      </c>
      <c r="M1071" s="57" t="n">
        <v>25</v>
      </c>
      <c r="N1071" s="60" t="n">
        <v>21</v>
      </c>
      <c r="O1071" s="55" t="s">
        <v>163</v>
      </c>
      <c r="P1071" s="57"/>
      <c r="Q1071" s="60" t="n">
        <f aca="false">IF(BR1071=1,0,IFERROR(VLOOKUP(BP1071,'Gebinde-Kategorie'!$A$5:$M$45,13,0)+0,0))</f>
        <v>0</v>
      </c>
      <c r="R1071" s="61"/>
      <c r="S1071" s="62"/>
      <c r="T1071" s="62"/>
      <c r="U1071" s="55"/>
      <c r="V1071" s="57"/>
      <c r="W1071" s="57"/>
      <c r="X1071" s="55" t="n">
        <f aca="false">IF(A1071="","",IF(AND(Parameter!$B$21="Ja",ISNUMBER(U1071)),U1071,IF(IFERROR(VLOOKUP(D1071,Parameter!$A$35:$C$64,2,0),"Nein")="2+3",IF(ISNUMBER(SEARCH("grosser Artikel",BM1071)),2,IFERROR(VLOOKUP(BP1071,Parameter!$F$35:$G$64,2,0),2)),IF(OR(IFERROR(VLOOKUP(D1071,Parameter!$A$35:$C$64,2,0),"Nein")="Nein",IFERROR(VLOOKUP(D1071,Parameter!$A$35:$C$64,2,0),"Nein")=""),"-",VLOOKUP(D1071,Parameter!$A$35:$C$64,2,0)))))</f>
        <v>2</v>
      </c>
      <c r="Y1071" s="62"/>
      <c r="Z1071" s="63"/>
      <c r="AA1071" s="57" t="n">
        <f aca="false">AP1071</f>
        <v>49</v>
      </c>
      <c r="AB1071" s="57" t="n">
        <f aca="false">MAX(AP1071,G1071)</f>
        <v>49</v>
      </c>
      <c r="AC1071" s="64"/>
      <c r="AD1071" s="57" t="n">
        <f aca="false">IF(LEFT(Cockpit!$C$5,1)="A",G1071,IF(BW1071=1,BX1071,IF(LEFT(Cockpit!$C$5,1)="B",AH1071,MAX(AH1071,G1071))))</f>
        <v>0</v>
      </c>
      <c r="AE1071" s="57" t="n">
        <f aca="false">IF(BR1071=1,0,ROUNDUP(AD1071/BQ1071,0))</f>
        <v>0</v>
      </c>
      <c r="AF1071" s="59" t="n">
        <f aca="false">IF(CD1071&gt;0,CD1071*MAX(1,AD1071/V1071),IF(BR1071=1,IF(AD1071&lt;=0,0,BS1071*MAX(1,IF(G1071&gt;0,AD1071/G1071,1))),IF(Q1071&gt;0,AE1071/Q1071,0))/MAX(0.1,N(Parameter!$M$21)))</f>
        <v>0</v>
      </c>
      <c r="AG1071" s="57" t="n">
        <f aca="false">AD1071*F1071</f>
        <v>0</v>
      </c>
      <c r="AH1071" s="57" t="n">
        <f aca="false">ROUNDUP(MAX(I1071/IF(BV1071&gt;0,BV1071,MAX(0.1,N(Cockpit!$C$6))),BY1071)/BQ1071,0)*BQ1071</f>
        <v>49</v>
      </c>
      <c r="AI1071" s="58" t="n">
        <f aca="false">IF(AF1071&gt;0,I1071/AF1071,-1)</f>
        <v>-1</v>
      </c>
      <c r="AJ1071" s="58" t="str">
        <f aca="false">IF(AND(OR(BU1071="L1",BU1071="L23"),AF1071&gt;0),SUMIFS($AF$7:$AF$1576,$BU$7:$BU$1576,BU1071,$AI$7:$AI$1576,"&gt;"&amp;AI1071)+SUMIFS($AF$7:$AF$1576,$BU$7:$BU$1576,BU1071,$AI$7:$AI$1576,AI1071,$BO$7:$BO$1576,"&lt;="&amp;BO1071),"")</f>
        <v/>
      </c>
      <c r="AK1071" s="65" t="n">
        <f aca="false">IF(AJ1071="",0,MAX(0,MIN(1,(IF(BU1071="L1",Parameter!$E$5,Parameter!$E$6+Parameter!$E$7)-(AJ1071-AF1071))/AF1071)))</f>
        <v>0</v>
      </c>
      <c r="AL1071" s="57" t="n">
        <f aca="false">IF(LEFT(Cockpit!$I$5,1)="A",G1071,IF(BW1071=1,BX1071,IF(LEFT(Cockpit!$I$5,1)="B",AP1071,MAX(AP1071,G1071))))</f>
        <v>49</v>
      </c>
      <c r="AM1071" s="57" t="n">
        <f aca="false">IF(BR1071=1,0,ROUNDUP(AL1071/BQ1071,0))</f>
        <v>0</v>
      </c>
      <c r="AN1071" s="59" t="n">
        <f aca="false">IF(CD1071&gt;0,CD1071*MAX(1,AL1071/V1071),IF(BR1071=1,IF(AL1071&lt;=0,0,BS1071*MAX(1,IF(G1071&gt;0,AL1071/G1071,1))),IF(Q1071&gt;0,AM1071/Q1071,0))/MAX(0.1,N(Parameter!$M$21)))</f>
        <v>0.15</v>
      </c>
      <c r="AO1071" s="57" t="n">
        <f aca="false">AL1071*F1071</f>
        <v>717.36</v>
      </c>
      <c r="AP1071" s="57" t="n">
        <f aca="false">ROUNDUP(MAX(I1071/IF(BV1071&gt;0,BV1071,MAX(0.1,N(Cockpit!$I$6))),BY1071)/BQ1071,0)*BQ1071</f>
        <v>49</v>
      </c>
      <c r="AQ1071" s="58" t="n">
        <f aca="false">IF(AN1071&gt;0,I1071/AN1071,-1)</f>
        <v>653.333333333333</v>
      </c>
      <c r="AR1071" s="58" t="n">
        <f aca="false">IF(AND(OR(BU1071="L1",BU1071="L23"),AN1071&gt;0),SUMIFS($AN$7:$AN$1576,$BU$7:$BU$1576,BU1071,$AQ$7:$AQ$1576,"&gt;"&amp;AQ1071)+SUMIFS($AN$7:$AN$1576,$BU$7:$BU$1576,BU1071,$AQ$7:$AQ$1576,AQ1071,$BO$7:$BO$1576,"&lt;="&amp;BO1071),"")</f>
        <v>29.96523492242</v>
      </c>
      <c r="AS1071" s="65" t="n">
        <f aca="false">IF(AR1071="",0,MAX(0,MIN(1,(IF(BU1071="L1",Parameter!$E$5,Parameter!$E$6+Parameter!$E$7)-(AR1071-AN1071))/AN1071)))</f>
        <v>1</v>
      </c>
      <c r="AT1071" s="57" t="n">
        <f aca="false">IF(LEFT(Cockpit!$O$5,1)="A",G1071,IF(BW1071=1,BX1071,IF(LEFT(Cockpit!$O$5,1)="B",AX1071,MAX(AX1071,G1071))))</f>
        <v>33</v>
      </c>
      <c r="AU1071" s="57" t="n">
        <f aca="false">IF(BR1071=1,0,ROUNDUP(AT1071/BQ1071,0))</f>
        <v>0</v>
      </c>
      <c r="AV1071" s="59" t="n">
        <f aca="false">IF(CD1071&gt;0,CD1071*MAX(1,AT1071/V1071),IF(BR1071=1,IF(AT1071&lt;=0,0,BS1071*MAX(1,IF(G1071&gt;0,AT1071/G1071,1))),IF(Q1071&gt;0,AU1071/Q1071,0))/MAX(0.1,N(Parameter!$M$21)))</f>
        <v>0.15</v>
      </c>
      <c r="AW1071" s="57" t="n">
        <f aca="false">AT1071*F1071</f>
        <v>483.12</v>
      </c>
      <c r="AX1071" s="57" t="n">
        <f aca="false">ROUNDUP(MAX(I1071/IF(BV1071&gt;0,BV1071,MAX(0.1,N(Cockpit!$O$6))),BY1071)/BQ1071,0)*BQ1071</f>
        <v>33</v>
      </c>
      <c r="AY1071" s="58" t="n">
        <f aca="false">IF(AV1071&gt;0,I1071/AV1071,-1)</f>
        <v>653.333333333333</v>
      </c>
      <c r="AZ1071" s="58" t="n">
        <f aca="false">IF(AND(OR(BU1071="L1",BU1071="L23"),AV1071&gt;0),SUMIFS($AV$7:$AV$1576,$BU$7:$BU$1576,BU1071,$AY$7:$AY$1576,"&gt;"&amp;AY1071)+SUMIFS($AV$7:$AV$1576,$BU$7:$BU$1576,BU1071,$AY$7:$AY$1576,AY1071,$BO$7:$BO$1576,"&lt;="&amp;BO1071),"")</f>
        <v>29.676536953722</v>
      </c>
      <c r="BA1071" s="65" t="n">
        <f aca="false">IF(AZ1071="",0,MAX(0,MIN(1,(IF(BU1071="L1",Parameter!$E$5,Parameter!$E$6+Parameter!$E$7)-(AZ1071-AV1071))/AV1071)))</f>
        <v>1</v>
      </c>
      <c r="BB1071" s="55" t="str">
        <f aca="false">IF(AF1071&lt;=0,"",IF(BU1071="Aussen","Aussenlager",IF(BU1071="-","Nicht im Lift",IF(AK1071&gt;=1,"Lift",IF(AK1071&lt;=0,"Aussenlager","teilweise")))))</f>
        <v/>
      </c>
      <c r="BC1071" s="55" t="str">
        <f aca="false">IF(AN1071&lt;=0,"",IF(BU1071="Aussen","Aussenlager",IF(BU1071="-","Nicht im Lift",IF(AS1071&gt;=1,"Lift",IF(AS1071&lt;=0,"Aussenlager","teilweise")))))</f>
        <v>Lift</v>
      </c>
      <c r="BD1071" s="55" t="str">
        <f aca="false">IF(AV1071&lt;=0,"",IF(BU1071="Aussen","Aussenlager",IF(BU1071="-","Nicht im Lift",IF(BA1071&gt;=1,"Lift",IF(BA1071&lt;=0,"Aussenlager","teilweise")))))</f>
        <v>Lift</v>
      </c>
      <c r="BE1071" s="55" t="str">
        <f aca="false">IF(A1071="","",IF(BN1071=1,"Neu; ","")&amp;IF(AND(BN1071=0,BI1071&lt;0),"negativer Bestand (Export "&amp;BI1071&amp;"); ","")&amp;IF(I1071&lt;=0,"Kein Verbrauch; ","")&amp;IF(CD1071&gt;0,"Lift "&amp;U1071&amp;" lt. Liftbericht (Fach "&amp;V1071&amp;" Stk); ",IF(BR1071=1,"Lose – Fläche geschätzt; ",""))&amp;IF(G1071&gt;AP1071,"Überbestand "&amp;ROUND(G1071-AP1071,0)&amp;" Stk / CHF "&amp;ROUND((G1071-AP1071)*F1071,0)&amp;"; ","")&amp;IF(AND(BW1071=1,BX1071&lt;BY1071),"MAX &lt; MB+LG; ","")&amp;IF(AND(CC1071&gt;0,CB1071*10&gt;CC1071),"zu hoch für Tablar; ","")&amp;IF(AND(BN1071=0,OR(BW1071=1,Y1071&lt;&gt;"",S1071&lt;&gt;"",T1071&lt;&gt;"",Z1071&lt;&gt;"")),"manuell übersteuert; ","")&amp;IF(AND(BR1071=0,Q1071=0),"Gebinde unbekannt / Stellmass fehlt; ","")&amp;IF(AND(BR1071=0,N(T1071)&lt;=0,N(P1071)&lt;=0),"Menge pro Gebinde fehlt (Ist = 1 Gebinde); ","")&amp;BM1071)</f>
        <v>negativer Bestand (Export -11); Lose – Fläche geschätzt; grosser Artikel &amp; nicht im KTL</v>
      </c>
      <c r="BF1071" s="55"/>
      <c r="BG1071" s="55"/>
      <c r="BH1071" s="62"/>
      <c r="BI1071" s="57" t="n">
        <v>-11</v>
      </c>
      <c r="BJ1071" s="57" t="n">
        <v>29</v>
      </c>
      <c r="BK1071" s="56" t="n">
        <v>-167.13</v>
      </c>
      <c r="BL1071" s="57" t="n">
        <v>98</v>
      </c>
      <c r="BM1071" s="55" t="s">
        <v>253</v>
      </c>
      <c r="BN1071" s="60" t="n">
        <v>0</v>
      </c>
      <c r="BO1071" s="60" t="n">
        <v>1071</v>
      </c>
      <c r="BP1071" s="55" t="str">
        <f aca="false">IF(S1071&lt;&gt;"",UPPER(TRIM(S1071)),IF(O1071="","LOSE",O1071))</f>
        <v>LOSE</v>
      </c>
      <c r="BQ1071" s="57" t="n">
        <f aca="false">IF(BP1071="LOSE",1,IF(N(T1071)&gt;0,T1071,IF(N(P1071)&gt;0,P1071,MAX(1,G1071))))</f>
        <v>1</v>
      </c>
      <c r="BR1071" s="60" t="n">
        <f aca="false">IF(BP1071="LOSE",1,0)</f>
        <v>1</v>
      </c>
      <c r="BS1071" s="59" t="n">
        <f aca="false">IF(BR1071=0,0,IF(N(R1071)&gt;0,R1071,IFERROR(VLOOKUP(D1071,Parameter!$A$35:$C$64,3,0)+0,0)))</f>
        <v>0.15</v>
      </c>
      <c r="BT1071" s="55" t="n">
        <f aca="false">IF(Y1071&lt;&gt;"",Y1071,X1071)</f>
        <v>2</v>
      </c>
      <c r="BU1071" s="55" t="str">
        <f aca="false">IF(BT1071=1,"L1",IF(OR(BT1071=2,BT1071=3),"L23",IF(BT1071="Aussen","Aussen","-")))</f>
        <v>L23</v>
      </c>
      <c r="BV1071" s="66" t="n">
        <f aca="false">IF(N(Z1071)&gt;0,Z1071,0)</f>
        <v>0</v>
      </c>
      <c r="BW1071" s="60" t="n">
        <f aca="false">IF(ISNUMBER(AC1071),1,0)</f>
        <v>0</v>
      </c>
      <c r="BX1071" s="57" t="n">
        <f aca="false">N(AC1071)</f>
        <v>0</v>
      </c>
      <c r="BY1071" s="57" t="n">
        <f aca="false">N(L1071)+N(M1071)</f>
        <v>30</v>
      </c>
      <c r="BZ1071" s="57" t="n">
        <f aca="false">ROUNDUP(G1071/BQ1071,0)</f>
        <v>0</v>
      </c>
      <c r="CA1071" s="57" t="n">
        <f aca="false">ROUNDUP(BX1071/BQ1071,0)</f>
        <v>0</v>
      </c>
      <c r="CB1071" s="60" t="n">
        <f aca="false">IF(BR1071=1,0,IFERROR(VLOOKUP(BP1071,'Gebinde-Kategorie'!$A$5:$M$45,5,0)+0,0))</f>
        <v>0</v>
      </c>
      <c r="CC1071" s="60" t="n">
        <f aca="false">IFERROR(IF(OR(BT1071=1,BT1071=2,BT1071=3),N(INDEX(Parameter!$I$5:$I$7,BT1071)),0),0)</f>
        <v>0</v>
      </c>
      <c r="CD1071" s="59" t="n">
        <f aca="false">IF(AND(Parameter!$B$21="Ja",ISNUMBER(U1071),N(V1071)&gt;0),IFERROR(N(INDEX(Parameter!$L$5:$L$7,U1071))*INDEX(Parameter!$E$5:$E$7,U1071)*V1071/SUMIFS($V$7:$V$1576,$U$7:$U$1576,U1071),0),0)</f>
        <v>0</v>
      </c>
    </row>
    <row r="1072" customFormat="false" ht="15" hidden="false" customHeight="false" outlineLevel="0" collapsed="false">
      <c r="A1072" s="55" t="s">
        <v>1945</v>
      </c>
      <c r="B1072" s="55" t="s">
        <v>1946</v>
      </c>
      <c r="C1072" s="55" t="s">
        <v>160</v>
      </c>
      <c r="D1072" s="55" t="s">
        <v>168</v>
      </c>
      <c r="E1072" s="55" t="s">
        <v>210</v>
      </c>
      <c r="F1072" s="56" t="n">
        <v>168</v>
      </c>
      <c r="G1072" s="57" t="n">
        <f aca="false">MAX(0,IF(AND(Parameter!$B$21="Ja",ISNUMBER(W1072)),W1072,IF(Parameter!$B$20="Jahresanfang 2025 + Export",BJ1072+BI1072,BI1072)))</f>
        <v>0</v>
      </c>
      <c r="H1072" s="57" t="n">
        <f aca="false">G1072*F1072</f>
        <v>0</v>
      </c>
      <c r="I1072" s="57" t="n">
        <f aca="false">BL1072*Parameter!$B$18</f>
        <v>1</v>
      </c>
      <c r="J1072" s="58" t="n">
        <v>23.5</v>
      </c>
      <c r="K1072" s="59" t="n">
        <v>0.0425531914893617</v>
      </c>
      <c r="L1072" s="57" t="n">
        <v>0</v>
      </c>
      <c r="M1072" s="57" t="n">
        <v>1</v>
      </c>
      <c r="N1072" s="60" t="n">
        <v>14</v>
      </c>
      <c r="O1072" s="55" t="s">
        <v>163</v>
      </c>
      <c r="P1072" s="57"/>
      <c r="Q1072" s="60" t="n">
        <f aca="false">IF(BR1072=1,0,IFERROR(VLOOKUP(BP1072,'Gebinde-Kategorie'!$A$5:$M$45,13,0)+0,0))</f>
        <v>0</v>
      </c>
      <c r="R1072" s="61"/>
      <c r="S1072" s="62"/>
      <c r="T1072" s="62"/>
      <c r="U1072" s="55"/>
      <c r="V1072" s="57"/>
      <c r="W1072" s="57"/>
      <c r="X1072" s="55" t="n">
        <f aca="false">IF(A1072="","",IF(AND(Parameter!$B$21="Ja",ISNUMBER(U1072)),U1072,IF(IFERROR(VLOOKUP(D1072,Parameter!$A$35:$C$64,2,0),"Nein")="2+3",IF(ISNUMBER(SEARCH("grosser Artikel",BM1072)),2,IFERROR(VLOOKUP(BP1072,Parameter!$F$35:$G$64,2,0),2)),IF(OR(IFERROR(VLOOKUP(D1072,Parameter!$A$35:$C$64,2,0),"Nein")="Nein",IFERROR(VLOOKUP(D1072,Parameter!$A$35:$C$64,2,0),"Nein")=""),"-",VLOOKUP(D1072,Parameter!$A$35:$C$64,2,0)))))</f>
        <v>2</v>
      </c>
      <c r="Y1072" s="62"/>
      <c r="Z1072" s="63"/>
      <c r="AA1072" s="57" t="n">
        <f aca="false">AP1072</f>
        <v>1</v>
      </c>
      <c r="AB1072" s="57" t="n">
        <f aca="false">MAX(AP1072,G1072)</f>
        <v>1</v>
      </c>
      <c r="AC1072" s="64"/>
      <c r="AD1072" s="57" t="n">
        <f aca="false">IF(LEFT(Cockpit!$C$5,1)="A",G1072,IF(BW1072=1,BX1072,IF(LEFT(Cockpit!$C$5,1)="B",AH1072,MAX(AH1072,G1072))))</f>
        <v>0</v>
      </c>
      <c r="AE1072" s="57" t="n">
        <f aca="false">IF(BR1072=1,0,ROUNDUP(AD1072/BQ1072,0))</f>
        <v>0</v>
      </c>
      <c r="AF1072" s="59" t="n">
        <f aca="false">IF(CD1072&gt;0,CD1072*MAX(1,AD1072/V1072),IF(BR1072=1,IF(AD1072&lt;=0,0,BS1072*MAX(1,IF(G1072&gt;0,AD1072/G1072,1))),IF(Q1072&gt;0,AE1072/Q1072,0))/MAX(0.1,N(Parameter!$M$21)))</f>
        <v>0</v>
      </c>
      <c r="AG1072" s="57" t="n">
        <f aca="false">AD1072*F1072</f>
        <v>0</v>
      </c>
      <c r="AH1072" s="57" t="n">
        <f aca="false">ROUNDUP(MAX(I1072/IF(BV1072&gt;0,BV1072,MAX(0.1,N(Cockpit!$C$6))),BY1072)/BQ1072,0)*BQ1072</f>
        <v>1</v>
      </c>
      <c r="AI1072" s="58" t="n">
        <f aca="false">IF(AF1072&gt;0,I1072/AF1072,-1)</f>
        <v>-1</v>
      </c>
      <c r="AJ1072" s="58" t="str">
        <f aca="false">IF(AND(OR(BU1072="L1",BU1072="L23"),AF1072&gt;0),SUMIFS($AF$7:$AF$1576,$BU$7:$BU$1576,BU1072,$AI$7:$AI$1576,"&gt;"&amp;AI1072)+SUMIFS($AF$7:$AF$1576,$BU$7:$BU$1576,BU1072,$AI$7:$AI$1576,AI1072,$BO$7:$BO$1576,"&lt;="&amp;BO1072),"")</f>
        <v/>
      </c>
      <c r="AK1072" s="65" t="n">
        <f aca="false">IF(AJ1072="",0,MAX(0,MIN(1,(IF(BU1072="L1",Parameter!$E$5,Parameter!$E$6+Parameter!$E$7)-(AJ1072-AF1072))/AF1072)))</f>
        <v>0</v>
      </c>
      <c r="AL1072" s="57" t="n">
        <f aca="false">IF(LEFT(Cockpit!$I$5,1)="A",G1072,IF(BW1072=1,BX1072,IF(LEFT(Cockpit!$I$5,1)="B",AP1072,MAX(AP1072,G1072))))</f>
        <v>1</v>
      </c>
      <c r="AM1072" s="57" t="n">
        <f aca="false">IF(BR1072=1,0,ROUNDUP(AL1072/BQ1072,0))</f>
        <v>0</v>
      </c>
      <c r="AN1072" s="59" t="n">
        <f aca="false">IF(CD1072&gt;0,CD1072*MAX(1,AL1072/V1072),IF(BR1072=1,IF(AL1072&lt;=0,0,BS1072*MAX(1,IF(G1072&gt;0,AL1072/G1072,1))),IF(Q1072&gt;0,AM1072/Q1072,0))/MAX(0.1,N(Parameter!$M$21)))</f>
        <v>0.15</v>
      </c>
      <c r="AO1072" s="57" t="n">
        <f aca="false">AL1072*F1072</f>
        <v>168</v>
      </c>
      <c r="AP1072" s="57" t="n">
        <f aca="false">ROUNDUP(MAX(I1072/IF(BV1072&gt;0,BV1072,MAX(0.1,N(Cockpit!$I$6))),BY1072)/BQ1072,0)*BQ1072</f>
        <v>1</v>
      </c>
      <c r="AQ1072" s="58" t="n">
        <f aca="false">IF(AN1072&gt;0,I1072/AN1072,-1)</f>
        <v>6.66666666666667</v>
      </c>
      <c r="AR1072" s="58" t="n">
        <f aca="false">IF(AND(OR(BU1072="L1",BU1072="L23"),AN1072&gt;0),SUMIFS($AN$7:$AN$1576,$BU$7:$BU$1576,BU1072,$AQ$7:$AQ$1576,"&gt;"&amp;AQ1072)+SUMIFS($AN$7:$AN$1576,$BU$7:$BU$1576,BU1072,$AQ$7:$AQ$1576,AQ1072,$BO$7:$BO$1576,"&lt;="&amp;BO1072),"")</f>
        <v>110.992434588696</v>
      </c>
      <c r="AS1072" s="65" t="n">
        <f aca="false">IF(AR1072="",0,MAX(0,MIN(1,(IF(BU1072="L1",Parameter!$E$5,Parameter!$E$6+Parameter!$E$7)-(AR1072-AN1072))/AN1072)))</f>
        <v>0</v>
      </c>
      <c r="AT1072" s="57" t="n">
        <f aca="false">IF(LEFT(Cockpit!$O$5,1)="A",G1072,IF(BW1072=1,BX1072,IF(LEFT(Cockpit!$O$5,1)="B",AX1072,MAX(AX1072,G1072))))</f>
        <v>1</v>
      </c>
      <c r="AU1072" s="57" t="n">
        <f aca="false">IF(BR1072=1,0,ROUNDUP(AT1072/BQ1072,0))</f>
        <v>0</v>
      </c>
      <c r="AV1072" s="59" t="n">
        <f aca="false">IF(CD1072&gt;0,CD1072*MAX(1,AT1072/V1072),IF(BR1072=1,IF(AT1072&lt;=0,0,BS1072*MAX(1,IF(G1072&gt;0,AT1072/G1072,1))),IF(Q1072&gt;0,AU1072/Q1072,0))/MAX(0.1,N(Parameter!$M$21)))</f>
        <v>0.15</v>
      </c>
      <c r="AW1072" s="57" t="n">
        <f aca="false">AT1072*F1072</f>
        <v>168</v>
      </c>
      <c r="AX1072" s="57" t="n">
        <f aca="false">ROUNDUP(MAX(I1072/IF(BV1072&gt;0,BV1072,MAX(0.1,N(Cockpit!$O$6))),BY1072)/BQ1072,0)*BQ1072</f>
        <v>1</v>
      </c>
      <c r="AY1072" s="58" t="n">
        <f aca="false">IF(AV1072&gt;0,I1072/AV1072,-1)</f>
        <v>6.66666666666667</v>
      </c>
      <c r="AZ1072" s="58" t="n">
        <f aca="false">IF(AND(OR(BU1072="L1",BU1072="L23"),AV1072&gt;0),SUMIFS($AV$7:$AV$1576,$BU$7:$BU$1576,BU1072,$AY$7:$AY$1576,"&gt;"&amp;AY1072)+SUMIFS($AV$7:$AV$1576,$BU$7:$BU$1576,BU1072,$AY$7:$AY$1576,AY1072,$BO$7:$BO$1576,"&lt;="&amp;BO1072),"")</f>
        <v>101.051985038246</v>
      </c>
      <c r="BA1072" s="65" t="n">
        <f aca="false">IF(AZ1072="",0,MAX(0,MIN(1,(IF(BU1072="L1",Parameter!$E$5,Parameter!$E$6+Parameter!$E$7)-(AZ1072-AV1072))/AV1072)))</f>
        <v>0</v>
      </c>
      <c r="BB1072" s="55" t="str">
        <f aca="false">IF(AF1072&lt;=0,"",IF(BU1072="Aussen","Aussenlager",IF(BU1072="-","Nicht im Lift",IF(AK1072&gt;=1,"Lift",IF(AK1072&lt;=0,"Aussenlager","teilweise")))))</f>
        <v/>
      </c>
      <c r="BC1072" s="55" t="str">
        <f aca="false">IF(AN1072&lt;=0,"",IF(BU1072="Aussen","Aussenlager",IF(BU1072="-","Nicht im Lift",IF(AS1072&gt;=1,"Lift",IF(AS1072&lt;=0,"Aussenlager","teilweise")))))</f>
        <v>Aussenlager</v>
      </c>
      <c r="BD1072" s="55" t="str">
        <f aca="false">IF(AV1072&lt;=0,"",IF(BU1072="Aussen","Aussenlager",IF(BU1072="-","Nicht im Lift",IF(BA1072&gt;=1,"Lift",IF(BA1072&lt;=0,"Aussenlager","teilweise")))))</f>
        <v>Aussenlager</v>
      </c>
      <c r="BE1072" s="55" t="str">
        <f aca="false">IF(A1072="","",IF(BN1072=1,"Neu; ","")&amp;IF(AND(BN1072=0,BI1072&lt;0),"negativer Bestand (Export "&amp;BI1072&amp;"); ","")&amp;IF(I1072&lt;=0,"Kein Verbrauch; ","")&amp;IF(CD1072&gt;0,"Lift "&amp;U1072&amp;" lt. Liftbericht (Fach "&amp;V1072&amp;" Stk); ",IF(BR1072=1,"Lose – Fläche geschätzt; ",""))&amp;IF(G1072&gt;AP1072,"Überbestand "&amp;ROUND(G1072-AP1072,0)&amp;" Stk / CHF "&amp;ROUND((G1072-AP1072)*F1072,0)&amp;"; ","")&amp;IF(AND(BW1072=1,BX1072&lt;BY1072),"MAX &lt; MB+LG; ","")&amp;IF(AND(CC1072&gt;0,CB1072*10&gt;CC1072),"zu hoch für Tablar; ","")&amp;IF(AND(BN1072=0,OR(BW1072=1,Y1072&lt;&gt;"",S1072&lt;&gt;"",T1072&lt;&gt;"",Z1072&lt;&gt;"")),"manuell übersteuert; ","")&amp;IF(AND(BR1072=0,Q1072=0),"Gebinde unbekannt / Stellmass fehlt; ","")&amp;IF(AND(BR1072=0,N(T1072)&lt;=0,N(P1072)&lt;=0),"Menge pro Gebinde fehlt (Ist = 1 Gebinde); ","")&amp;BM1072)</f>
        <v>negativer Bestand (Export -1); Lose – Fläche geschätzt; Überbestand; grosser Artikel &amp; nicht im KTL</v>
      </c>
      <c r="BF1072" s="55"/>
      <c r="BG1072" s="55"/>
      <c r="BH1072" s="62"/>
      <c r="BI1072" s="57" t="n">
        <v>-1</v>
      </c>
      <c r="BJ1072" s="57" t="n">
        <v>24</v>
      </c>
      <c r="BK1072" s="56" t="n">
        <v>-168</v>
      </c>
      <c r="BL1072" s="57" t="n">
        <v>1</v>
      </c>
      <c r="BM1072" s="55" t="s">
        <v>350</v>
      </c>
      <c r="BN1072" s="60" t="n">
        <v>0</v>
      </c>
      <c r="BO1072" s="60" t="n">
        <v>1072</v>
      </c>
      <c r="BP1072" s="55" t="str">
        <f aca="false">IF(S1072&lt;&gt;"",UPPER(TRIM(S1072)),IF(O1072="","LOSE",O1072))</f>
        <v>LOSE</v>
      </c>
      <c r="BQ1072" s="57" t="n">
        <f aca="false">IF(BP1072="LOSE",1,IF(N(T1072)&gt;0,T1072,IF(N(P1072)&gt;0,P1072,MAX(1,G1072))))</f>
        <v>1</v>
      </c>
      <c r="BR1072" s="60" t="n">
        <f aca="false">IF(BP1072="LOSE",1,0)</f>
        <v>1</v>
      </c>
      <c r="BS1072" s="59" t="n">
        <f aca="false">IF(BR1072=0,0,IF(N(R1072)&gt;0,R1072,IFERROR(VLOOKUP(D1072,Parameter!$A$35:$C$64,3,0)+0,0)))</f>
        <v>0.15</v>
      </c>
      <c r="BT1072" s="55" t="n">
        <f aca="false">IF(Y1072&lt;&gt;"",Y1072,X1072)</f>
        <v>2</v>
      </c>
      <c r="BU1072" s="55" t="str">
        <f aca="false">IF(BT1072=1,"L1",IF(OR(BT1072=2,BT1072=3),"L23",IF(BT1072="Aussen","Aussen","-")))</f>
        <v>L23</v>
      </c>
      <c r="BV1072" s="66" t="n">
        <f aca="false">IF(N(Z1072)&gt;0,Z1072,0)</f>
        <v>0</v>
      </c>
      <c r="BW1072" s="60" t="n">
        <f aca="false">IF(ISNUMBER(AC1072),1,0)</f>
        <v>0</v>
      </c>
      <c r="BX1072" s="57" t="n">
        <f aca="false">N(AC1072)</f>
        <v>0</v>
      </c>
      <c r="BY1072" s="57" t="n">
        <f aca="false">N(L1072)+N(M1072)</f>
        <v>1</v>
      </c>
      <c r="BZ1072" s="57" t="n">
        <f aca="false">ROUNDUP(G1072/BQ1072,0)</f>
        <v>0</v>
      </c>
      <c r="CA1072" s="57" t="n">
        <f aca="false">ROUNDUP(BX1072/BQ1072,0)</f>
        <v>0</v>
      </c>
      <c r="CB1072" s="60" t="n">
        <f aca="false">IF(BR1072=1,0,IFERROR(VLOOKUP(BP1072,'Gebinde-Kategorie'!$A$5:$M$45,5,0)+0,0))</f>
        <v>0</v>
      </c>
      <c r="CC1072" s="60" t="n">
        <f aca="false">IFERROR(IF(OR(BT1072=1,BT1072=2,BT1072=3),N(INDEX(Parameter!$I$5:$I$7,BT1072)),0),0)</f>
        <v>0</v>
      </c>
      <c r="CD1072" s="59" t="n">
        <f aca="false">IF(AND(Parameter!$B$21="Ja",ISNUMBER(U1072),N(V1072)&gt;0),IFERROR(N(INDEX(Parameter!$L$5:$L$7,U1072))*INDEX(Parameter!$E$5:$E$7,U1072)*V1072/SUMIFS($V$7:$V$1576,$U$7:$U$1576,U1072),0),0)</f>
        <v>0</v>
      </c>
    </row>
    <row r="1073" customFormat="false" ht="15" hidden="false" customHeight="false" outlineLevel="0" collapsed="false">
      <c r="A1073" s="55" t="s">
        <v>1947</v>
      </c>
      <c r="B1073" s="55" t="s">
        <v>362</v>
      </c>
      <c r="C1073" s="55" t="s">
        <v>160</v>
      </c>
      <c r="D1073" s="55" t="s">
        <v>168</v>
      </c>
      <c r="E1073" s="55" t="s">
        <v>210</v>
      </c>
      <c r="F1073" s="56" t="n">
        <v>168</v>
      </c>
      <c r="G1073" s="57" t="n">
        <f aca="false">MAX(0,IF(AND(Parameter!$B$21="Ja",ISNUMBER(W1073)),W1073,IF(Parameter!$B$20="Jahresanfang 2025 + Export",BJ1073+BI1073,BI1073)))</f>
        <v>0</v>
      </c>
      <c r="H1073" s="57" t="n">
        <f aca="false">G1073*F1073</f>
        <v>0</v>
      </c>
      <c r="I1073" s="57" t="n">
        <f aca="false">BL1073*Parameter!$B$18</f>
        <v>1</v>
      </c>
      <c r="J1073" s="58" t="n">
        <v>11.5</v>
      </c>
      <c r="K1073" s="59" t="n">
        <v>0.0869565217391304</v>
      </c>
      <c r="L1073" s="57" t="n">
        <v>0</v>
      </c>
      <c r="M1073" s="57" t="n">
        <v>1</v>
      </c>
      <c r="N1073" s="60" t="n">
        <v>84</v>
      </c>
      <c r="O1073" s="55" t="s">
        <v>169</v>
      </c>
      <c r="P1073" s="57" t="n">
        <v>15</v>
      </c>
      <c r="Q1073" s="60" t="n">
        <f aca="false">IF(BR1073=1,0,IFERROR(VLOOKUP(BP1073,'Gebinde-Kategorie'!$A$5:$M$45,13,0)+0,0))</f>
        <v>6</v>
      </c>
      <c r="R1073" s="61"/>
      <c r="S1073" s="62"/>
      <c r="T1073" s="62"/>
      <c r="U1073" s="55"/>
      <c r="V1073" s="57"/>
      <c r="W1073" s="57"/>
      <c r="X1073" s="55" t="n">
        <f aca="false">IF(A1073="","",IF(AND(Parameter!$B$21="Ja",ISNUMBER(U1073)),U1073,IF(IFERROR(VLOOKUP(D1073,Parameter!$A$35:$C$64,2,0),"Nein")="2+3",IF(ISNUMBER(SEARCH("grosser Artikel",BM1073)),2,IFERROR(VLOOKUP(BP1073,Parameter!$F$35:$G$64,2,0),2)),IF(OR(IFERROR(VLOOKUP(D1073,Parameter!$A$35:$C$64,2,0),"Nein")="Nein",IFERROR(VLOOKUP(D1073,Parameter!$A$35:$C$64,2,0),"Nein")=""),"-",VLOOKUP(D1073,Parameter!$A$35:$C$64,2,0)))))</f>
        <v>2</v>
      </c>
      <c r="Y1073" s="62"/>
      <c r="Z1073" s="63"/>
      <c r="AA1073" s="57" t="n">
        <f aca="false">AP1073</f>
        <v>15</v>
      </c>
      <c r="AB1073" s="57" t="n">
        <f aca="false">MAX(AP1073,G1073)</f>
        <v>15</v>
      </c>
      <c r="AC1073" s="64"/>
      <c r="AD1073" s="57" t="n">
        <f aca="false">IF(LEFT(Cockpit!$C$5,1)="A",G1073,IF(BW1073=1,BX1073,IF(LEFT(Cockpit!$C$5,1)="B",AH1073,MAX(AH1073,G1073))))</f>
        <v>0</v>
      </c>
      <c r="AE1073" s="57" t="n">
        <f aca="false">IF(BR1073=1,0,ROUNDUP(AD1073/BQ1073,0))</f>
        <v>0</v>
      </c>
      <c r="AF1073" s="59" t="n">
        <f aca="false">IF(CD1073&gt;0,CD1073*MAX(1,AD1073/V1073),IF(BR1073=1,IF(AD1073&lt;=0,0,BS1073*MAX(1,IF(G1073&gt;0,AD1073/G1073,1))),IF(Q1073&gt;0,AE1073/Q1073,0))/MAX(0.1,N(Parameter!$M$21)))</f>
        <v>0</v>
      </c>
      <c r="AG1073" s="57" t="n">
        <f aca="false">AD1073*F1073</f>
        <v>0</v>
      </c>
      <c r="AH1073" s="57" t="n">
        <f aca="false">ROUNDUP(MAX(I1073/IF(BV1073&gt;0,BV1073,MAX(0.1,N(Cockpit!$C$6))),BY1073)/BQ1073,0)*BQ1073</f>
        <v>15</v>
      </c>
      <c r="AI1073" s="58" t="n">
        <f aca="false">IF(AF1073&gt;0,I1073/AF1073,-1)</f>
        <v>-1</v>
      </c>
      <c r="AJ1073" s="58" t="str">
        <f aca="false">IF(AND(OR(BU1073="L1",BU1073="L23"),AF1073&gt;0),SUMIFS($AF$7:$AF$1576,$BU$7:$BU$1576,BU1073,$AI$7:$AI$1576,"&gt;"&amp;AI1073)+SUMIFS($AF$7:$AF$1576,$BU$7:$BU$1576,BU1073,$AI$7:$AI$1576,AI1073,$BO$7:$BO$1576,"&lt;="&amp;BO1073),"")</f>
        <v/>
      </c>
      <c r="AK1073" s="65" t="n">
        <f aca="false">IF(AJ1073="",0,MAX(0,MIN(1,(IF(BU1073="L1",Parameter!$E$5,Parameter!$E$6+Parameter!$E$7)-(AJ1073-AF1073))/AF1073)))</f>
        <v>0</v>
      </c>
      <c r="AL1073" s="57" t="n">
        <f aca="false">IF(LEFT(Cockpit!$I$5,1)="A",G1073,IF(BW1073=1,BX1073,IF(LEFT(Cockpit!$I$5,1)="B",AP1073,MAX(AP1073,G1073))))</f>
        <v>15</v>
      </c>
      <c r="AM1073" s="57" t="n">
        <f aca="false">IF(BR1073=1,0,ROUNDUP(AL1073/BQ1073,0))</f>
        <v>1</v>
      </c>
      <c r="AN1073" s="59" t="n">
        <f aca="false">IF(CD1073&gt;0,CD1073*MAX(1,AL1073/V1073),IF(BR1073=1,IF(AL1073&lt;=0,0,BS1073*MAX(1,IF(G1073&gt;0,AL1073/G1073,1))),IF(Q1073&gt;0,AM1073/Q1073,0))/MAX(0.1,N(Parameter!$M$21)))</f>
        <v>0.166666666666667</v>
      </c>
      <c r="AO1073" s="57" t="n">
        <f aca="false">AL1073*F1073</f>
        <v>2520</v>
      </c>
      <c r="AP1073" s="57" t="n">
        <f aca="false">ROUNDUP(MAX(I1073/IF(BV1073&gt;0,BV1073,MAX(0.1,N(Cockpit!$I$6))),BY1073)/BQ1073,0)*BQ1073</f>
        <v>15</v>
      </c>
      <c r="AQ1073" s="58" t="n">
        <f aca="false">IF(AN1073&gt;0,I1073/AN1073,-1)</f>
        <v>6</v>
      </c>
      <c r="AR1073" s="58" t="n">
        <f aca="false">IF(AND(OR(BU1073="L1",BU1073="L23"),AN1073&gt;0),SUMIFS($AN$7:$AN$1576,$BU$7:$BU$1576,BU1073,$AQ$7:$AQ$1576,"&gt;"&amp;AQ1073)+SUMIFS($AN$7:$AN$1576,$BU$7:$BU$1576,BU1073,$AQ$7:$AQ$1576,AQ1073,$BO$7:$BO$1576,"&lt;="&amp;BO1073),"")</f>
        <v>112.459101255362</v>
      </c>
      <c r="AS1073" s="65" t="n">
        <f aca="false">IF(AR1073="",0,MAX(0,MIN(1,(IF(BU1073="L1",Parameter!$E$5,Parameter!$E$6+Parameter!$E$7)-(AR1073-AN1073))/AN1073)))</f>
        <v>0</v>
      </c>
      <c r="AT1073" s="57" t="n">
        <f aca="false">IF(LEFT(Cockpit!$O$5,1)="A",G1073,IF(BW1073=1,BX1073,IF(LEFT(Cockpit!$O$5,1)="B",AX1073,MAX(AX1073,G1073))))</f>
        <v>15</v>
      </c>
      <c r="AU1073" s="57" t="n">
        <f aca="false">IF(BR1073=1,0,ROUNDUP(AT1073/BQ1073,0))</f>
        <v>1</v>
      </c>
      <c r="AV1073" s="59" t="n">
        <f aca="false">IF(CD1073&gt;0,CD1073*MAX(1,AT1073/V1073),IF(BR1073=1,IF(AT1073&lt;=0,0,BS1073*MAX(1,IF(G1073&gt;0,AT1073/G1073,1))),IF(Q1073&gt;0,AU1073/Q1073,0))/MAX(0.1,N(Parameter!$M$21)))</f>
        <v>0.166666666666667</v>
      </c>
      <c r="AW1073" s="57" t="n">
        <f aca="false">AT1073*F1073</f>
        <v>2520</v>
      </c>
      <c r="AX1073" s="57" t="n">
        <f aca="false">ROUNDUP(MAX(I1073/IF(BV1073&gt;0,BV1073,MAX(0.1,N(Cockpit!$O$6))),BY1073)/BQ1073,0)*BQ1073</f>
        <v>15</v>
      </c>
      <c r="AY1073" s="58" t="n">
        <f aca="false">IF(AV1073&gt;0,I1073/AV1073,-1)</f>
        <v>6</v>
      </c>
      <c r="AZ1073" s="58" t="n">
        <f aca="false">IF(AND(OR(BU1073="L1",BU1073="L23"),AV1073&gt;0),SUMIFS($AV$7:$AV$1576,$BU$7:$BU$1576,BU1073,$AY$7:$AY$1576,"&gt;"&amp;AY1073)+SUMIFS($AV$7:$AV$1576,$BU$7:$BU$1576,BU1073,$AY$7:$AY$1576,AY1073,$BO$7:$BO$1576,"&lt;="&amp;BO1073),"")</f>
        <v>102.518651704913</v>
      </c>
      <c r="BA1073" s="65" t="n">
        <f aca="false">IF(AZ1073="",0,MAX(0,MIN(1,(IF(BU1073="L1",Parameter!$E$5,Parameter!$E$6+Parameter!$E$7)-(AZ1073-AV1073))/AV1073)))</f>
        <v>0</v>
      </c>
      <c r="BB1073" s="55" t="str">
        <f aca="false">IF(AF1073&lt;=0,"",IF(BU1073="Aussen","Aussenlager",IF(BU1073="-","Nicht im Lift",IF(AK1073&gt;=1,"Lift",IF(AK1073&lt;=0,"Aussenlager","teilweise")))))</f>
        <v/>
      </c>
      <c r="BC1073" s="55" t="str">
        <f aca="false">IF(AN1073&lt;=0,"",IF(BU1073="Aussen","Aussenlager",IF(BU1073="-","Nicht im Lift",IF(AS1073&gt;=1,"Lift",IF(AS1073&lt;=0,"Aussenlager","teilweise")))))</f>
        <v>Aussenlager</v>
      </c>
      <c r="BD1073" s="55" t="str">
        <f aca="false">IF(AV1073&lt;=0,"",IF(BU1073="Aussen","Aussenlager",IF(BU1073="-","Nicht im Lift",IF(BA1073&gt;=1,"Lift",IF(BA1073&lt;=0,"Aussenlager","teilweise")))))</f>
        <v>Aussenlager</v>
      </c>
      <c r="BE1073" s="55" t="str">
        <f aca="false">IF(A1073="","",IF(BN1073=1,"Neu; ","")&amp;IF(AND(BN1073=0,BI1073&lt;0),"negativer Bestand (Export "&amp;BI1073&amp;"); ","")&amp;IF(I1073&lt;=0,"Kein Verbrauch; ","")&amp;IF(CD1073&gt;0,"Lift "&amp;U1073&amp;" lt. Liftbericht (Fach "&amp;V1073&amp;" Stk); ",IF(BR1073=1,"Lose – Fläche geschätzt; ",""))&amp;IF(G1073&gt;AP1073,"Überbestand "&amp;ROUND(G1073-AP1073,0)&amp;" Stk / CHF "&amp;ROUND((G1073-AP1073)*F1073,0)&amp;"; ","")&amp;IF(AND(BW1073=1,BX1073&lt;BY1073),"MAX &lt; MB+LG; ","")&amp;IF(AND(CC1073&gt;0,CB1073*10&gt;CC1073),"zu hoch für Tablar; ","")&amp;IF(AND(BN1073=0,OR(BW1073=1,Y1073&lt;&gt;"",S1073&lt;&gt;"",T1073&lt;&gt;"",Z1073&lt;&gt;"")),"manuell übersteuert; ","")&amp;IF(AND(BR1073=0,Q1073=0),"Gebinde unbekannt / Stellmass fehlt; ","")&amp;IF(AND(BR1073=0,N(T1073)&lt;=0,N(P1073)&lt;=0),"Menge pro Gebinde fehlt (Ist = 1 Gebinde); ","")&amp;BM1073)</f>
        <v>negativer Bestand (Export -1); grosser Artikel &amp; nicht im KTL</v>
      </c>
      <c r="BF1073" s="55"/>
      <c r="BG1073" s="55"/>
      <c r="BH1073" s="62"/>
      <c r="BI1073" s="57" t="n">
        <v>-1</v>
      </c>
      <c r="BJ1073" s="57" t="n">
        <v>12</v>
      </c>
      <c r="BK1073" s="56" t="n">
        <v>-168</v>
      </c>
      <c r="BL1073" s="57" t="n">
        <v>1</v>
      </c>
      <c r="BM1073" s="55" t="s">
        <v>253</v>
      </c>
      <c r="BN1073" s="60" t="n">
        <v>0</v>
      </c>
      <c r="BO1073" s="60" t="n">
        <v>1073</v>
      </c>
      <c r="BP1073" s="55" t="str">
        <f aca="false">IF(S1073&lt;&gt;"",UPPER(TRIM(S1073)),IF(O1073="","LOSE",O1073))</f>
        <v>S71</v>
      </c>
      <c r="BQ1073" s="57" t="n">
        <f aca="false">IF(BP1073="LOSE",1,IF(N(T1073)&gt;0,T1073,IF(N(P1073)&gt;0,P1073,MAX(1,G1073))))</f>
        <v>15</v>
      </c>
      <c r="BR1073" s="60" t="n">
        <f aca="false">IF(BP1073="LOSE",1,0)</f>
        <v>0</v>
      </c>
      <c r="BS1073" s="59" t="n">
        <f aca="false">IF(BR1073=0,0,IF(N(R1073)&gt;0,R1073,IFERROR(VLOOKUP(D1073,Parameter!$A$35:$C$64,3,0)+0,0)))</f>
        <v>0</v>
      </c>
      <c r="BT1073" s="55" t="n">
        <f aca="false">IF(Y1073&lt;&gt;"",Y1073,X1073)</f>
        <v>2</v>
      </c>
      <c r="BU1073" s="55" t="str">
        <f aca="false">IF(BT1073=1,"L1",IF(OR(BT1073=2,BT1073=3),"L23",IF(BT1073="Aussen","Aussen","-")))</f>
        <v>L23</v>
      </c>
      <c r="BV1073" s="66" t="n">
        <f aca="false">IF(N(Z1073)&gt;0,Z1073,0)</f>
        <v>0</v>
      </c>
      <c r="BW1073" s="60" t="n">
        <f aca="false">IF(ISNUMBER(AC1073),1,0)</f>
        <v>0</v>
      </c>
      <c r="BX1073" s="57" t="n">
        <f aca="false">N(AC1073)</f>
        <v>0</v>
      </c>
      <c r="BY1073" s="57" t="n">
        <f aca="false">N(L1073)+N(M1073)</f>
        <v>1</v>
      </c>
      <c r="BZ1073" s="57" t="n">
        <f aca="false">ROUNDUP(G1073/BQ1073,0)</f>
        <v>0</v>
      </c>
      <c r="CA1073" s="57" t="n">
        <f aca="false">ROUNDUP(BX1073/BQ1073,0)</f>
        <v>0</v>
      </c>
      <c r="CB1073" s="60" t="n">
        <f aca="false">IF(BR1073=1,0,IFERROR(VLOOKUP(BP1073,'Gebinde-Kategorie'!$A$5:$M$45,5,0)+0,0))</f>
        <v>20</v>
      </c>
      <c r="CC1073" s="60" t="n">
        <f aca="false">IFERROR(IF(OR(BT1073=1,BT1073=2,BT1073=3),N(INDEX(Parameter!$I$5:$I$7,BT1073)),0),0)</f>
        <v>0</v>
      </c>
      <c r="CD1073" s="59" t="n">
        <f aca="false">IF(AND(Parameter!$B$21="Ja",ISNUMBER(U1073),N(V1073)&gt;0),IFERROR(N(INDEX(Parameter!$L$5:$L$7,U1073))*INDEX(Parameter!$E$5:$E$7,U1073)*V1073/SUMIFS($V$7:$V$1576,$U$7:$U$1576,U1073),0),0)</f>
        <v>0</v>
      </c>
    </row>
    <row r="1074" customFormat="false" ht="15" hidden="false" customHeight="false" outlineLevel="0" collapsed="false">
      <c r="A1074" s="55" t="s">
        <v>1948</v>
      </c>
      <c r="B1074" s="55" t="s">
        <v>338</v>
      </c>
      <c r="C1074" s="55" t="s">
        <v>160</v>
      </c>
      <c r="D1074" s="55" t="s">
        <v>168</v>
      </c>
      <c r="E1074" s="55" t="s">
        <v>210</v>
      </c>
      <c r="F1074" s="56" t="n">
        <v>43.8</v>
      </c>
      <c r="G1074" s="57" t="n">
        <f aca="false">MAX(0,IF(AND(Parameter!$B$21="Ja",ISNUMBER(W1074)),W1074,IF(Parameter!$B$20="Jahresanfang 2025 + Export",BJ1074+BI1074,BI1074)))</f>
        <v>0</v>
      </c>
      <c r="H1074" s="57" t="n">
        <f aca="false">G1074*F1074</f>
        <v>0</v>
      </c>
      <c r="I1074" s="57" t="n">
        <f aca="false">BL1074*Parameter!$B$18</f>
        <v>4</v>
      </c>
      <c r="J1074" s="58" t="n">
        <v>30</v>
      </c>
      <c r="K1074" s="59" t="n">
        <v>0.133333333333333</v>
      </c>
      <c r="L1074" s="57" t="n">
        <v>0</v>
      </c>
      <c r="M1074" s="57" t="n">
        <v>5</v>
      </c>
      <c r="N1074" s="60" t="n">
        <v>70</v>
      </c>
      <c r="O1074" s="55" t="s">
        <v>218</v>
      </c>
      <c r="P1074" s="57" t="n">
        <v>30</v>
      </c>
      <c r="Q1074" s="60" t="n">
        <f aca="false">IF(BR1074=1,0,IFERROR(VLOOKUP(BP1074,'Gebinde-Kategorie'!$A$5:$M$45,13,0)+0,0))</f>
        <v>12</v>
      </c>
      <c r="R1074" s="61"/>
      <c r="S1074" s="62"/>
      <c r="T1074" s="62"/>
      <c r="U1074" s="55"/>
      <c r="V1074" s="57"/>
      <c r="W1074" s="57"/>
      <c r="X1074" s="55" t="n">
        <f aca="false">IF(A1074="","",IF(AND(Parameter!$B$21="Ja",ISNUMBER(U1074)),U1074,IF(IFERROR(VLOOKUP(D1074,Parameter!$A$35:$C$64,2,0),"Nein")="2+3",IF(ISNUMBER(SEARCH("grosser Artikel",BM1074)),2,IFERROR(VLOOKUP(BP1074,Parameter!$F$35:$G$64,2,0),2)),IF(OR(IFERROR(VLOOKUP(D1074,Parameter!$A$35:$C$64,2,0),"Nein")="Nein",IFERROR(VLOOKUP(D1074,Parameter!$A$35:$C$64,2,0),"Nein")=""),"-",VLOOKUP(D1074,Parameter!$A$35:$C$64,2,0)))))</f>
        <v>2</v>
      </c>
      <c r="Y1074" s="62"/>
      <c r="Z1074" s="63"/>
      <c r="AA1074" s="57" t="n">
        <f aca="false">AP1074</f>
        <v>30</v>
      </c>
      <c r="AB1074" s="57" t="n">
        <f aca="false">MAX(AP1074,G1074)</f>
        <v>30</v>
      </c>
      <c r="AC1074" s="64"/>
      <c r="AD1074" s="57" t="n">
        <f aca="false">IF(LEFT(Cockpit!$C$5,1)="A",G1074,IF(BW1074=1,BX1074,IF(LEFT(Cockpit!$C$5,1)="B",AH1074,MAX(AH1074,G1074))))</f>
        <v>0</v>
      </c>
      <c r="AE1074" s="57" t="n">
        <f aca="false">IF(BR1074=1,0,ROUNDUP(AD1074/BQ1074,0))</f>
        <v>0</v>
      </c>
      <c r="AF1074" s="59" t="n">
        <f aca="false">IF(CD1074&gt;0,CD1074*MAX(1,AD1074/V1074),IF(BR1074=1,IF(AD1074&lt;=0,0,BS1074*MAX(1,IF(G1074&gt;0,AD1074/G1074,1))),IF(Q1074&gt;0,AE1074/Q1074,0))/MAX(0.1,N(Parameter!$M$21)))</f>
        <v>0</v>
      </c>
      <c r="AG1074" s="57" t="n">
        <f aca="false">AD1074*F1074</f>
        <v>0</v>
      </c>
      <c r="AH1074" s="57" t="n">
        <f aca="false">ROUNDUP(MAX(I1074/IF(BV1074&gt;0,BV1074,MAX(0.1,N(Cockpit!$C$6))),BY1074)/BQ1074,0)*BQ1074</f>
        <v>30</v>
      </c>
      <c r="AI1074" s="58" t="n">
        <f aca="false">IF(AF1074&gt;0,I1074/AF1074,-1)</f>
        <v>-1</v>
      </c>
      <c r="AJ1074" s="58" t="str">
        <f aca="false">IF(AND(OR(BU1074="L1",BU1074="L23"),AF1074&gt;0),SUMIFS($AF$7:$AF$1576,$BU$7:$BU$1576,BU1074,$AI$7:$AI$1576,"&gt;"&amp;AI1074)+SUMIFS($AF$7:$AF$1576,$BU$7:$BU$1576,BU1074,$AI$7:$AI$1576,AI1074,$BO$7:$BO$1576,"&lt;="&amp;BO1074),"")</f>
        <v/>
      </c>
      <c r="AK1074" s="65" t="n">
        <f aca="false">IF(AJ1074="",0,MAX(0,MIN(1,(IF(BU1074="L1",Parameter!$E$5,Parameter!$E$6+Parameter!$E$7)-(AJ1074-AF1074))/AF1074)))</f>
        <v>0</v>
      </c>
      <c r="AL1074" s="57" t="n">
        <f aca="false">IF(LEFT(Cockpit!$I$5,1)="A",G1074,IF(BW1074=1,BX1074,IF(LEFT(Cockpit!$I$5,1)="B",AP1074,MAX(AP1074,G1074))))</f>
        <v>30</v>
      </c>
      <c r="AM1074" s="57" t="n">
        <f aca="false">IF(BR1074=1,0,ROUNDUP(AL1074/BQ1074,0))</f>
        <v>1</v>
      </c>
      <c r="AN1074" s="59" t="n">
        <f aca="false">IF(CD1074&gt;0,CD1074*MAX(1,AL1074/V1074),IF(BR1074=1,IF(AL1074&lt;=0,0,BS1074*MAX(1,IF(G1074&gt;0,AL1074/G1074,1))),IF(Q1074&gt;0,AM1074/Q1074,0))/MAX(0.1,N(Parameter!$M$21)))</f>
        <v>0.0833333333333333</v>
      </c>
      <c r="AO1074" s="57" t="n">
        <f aca="false">AL1074*F1074</f>
        <v>1314</v>
      </c>
      <c r="AP1074" s="57" t="n">
        <f aca="false">ROUNDUP(MAX(I1074/IF(BV1074&gt;0,BV1074,MAX(0.1,N(Cockpit!$I$6))),BY1074)/BQ1074,0)*BQ1074</f>
        <v>30</v>
      </c>
      <c r="AQ1074" s="58" t="n">
        <f aca="false">IF(AN1074&gt;0,I1074/AN1074,-1)</f>
        <v>48</v>
      </c>
      <c r="AR1074" s="58" t="n">
        <f aca="false">IF(AND(OR(BU1074="L1",BU1074="L23"),AN1074&gt;0),SUMIFS($AN$7:$AN$1576,$BU$7:$BU$1576,BU1074,$AQ$7:$AQ$1576,"&gt;"&amp;AQ1074)+SUMIFS($AN$7:$AN$1576,$BU$7:$BU$1576,BU1074,$AQ$7:$AQ$1576,AQ1074,$BO$7:$BO$1576,"&lt;="&amp;BO1074),"")</f>
        <v>84.0535884348496</v>
      </c>
      <c r="AS1074" s="65" t="n">
        <f aca="false">IF(AR1074="",0,MAX(0,MIN(1,(IF(BU1074="L1",Parameter!$E$5,Parameter!$E$6+Parameter!$E$7)-(AR1074-AN1074))/AN1074)))</f>
        <v>1</v>
      </c>
      <c r="AT1074" s="57" t="n">
        <f aca="false">IF(LEFT(Cockpit!$O$5,1)="A",G1074,IF(BW1074=1,BX1074,IF(LEFT(Cockpit!$O$5,1)="B",AX1074,MAX(AX1074,G1074))))</f>
        <v>30</v>
      </c>
      <c r="AU1074" s="57" t="n">
        <f aca="false">IF(BR1074=1,0,ROUNDUP(AT1074/BQ1074,0))</f>
        <v>1</v>
      </c>
      <c r="AV1074" s="59" t="n">
        <f aca="false">IF(CD1074&gt;0,CD1074*MAX(1,AT1074/V1074),IF(BR1074=1,IF(AT1074&lt;=0,0,BS1074*MAX(1,IF(G1074&gt;0,AT1074/G1074,1))),IF(Q1074&gt;0,AU1074/Q1074,0))/MAX(0.1,N(Parameter!$M$21)))</f>
        <v>0.0833333333333333</v>
      </c>
      <c r="AW1074" s="57" t="n">
        <f aca="false">AT1074*F1074</f>
        <v>1314</v>
      </c>
      <c r="AX1074" s="57" t="n">
        <f aca="false">ROUNDUP(MAX(I1074/IF(BV1074&gt;0,BV1074,MAX(0.1,N(Cockpit!$O$6))),BY1074)/BQ1074,0)*BQ1074</f>
        <v>30</v>
      </c>
      <c r="AY1074" s="58" t="n">
        <f aca="false">IF(AV1074&gt;0,I1074/AV1074,-1)</f>
        <v>48</v>
      </c>
      <c r="AZ1074" s="58" t="n">
        <f aca="false">IF(AND(OR(BU1074="L1",BU1074="L23"),AV1074&gt;0),SUMIFS($AV$7:$AV$1576,$BU$7:$BU$1576,BU1074,$AY$7:$AY$1576,"&gt;"&amp;AY1074)+SUMIFS($AV$7:$AV$1576,$BU$7:$BU$1576,BU1074,$AY$7:$AY$1576,AY1074,$BO$7:$BO$1576,"&lt;="&amp;BO1074),"")</f>
        <v>79.9464722177334</v>
      </c>
      <c r="BA1074" s="65" t="n">
        <f aca="false">IF(AZ1074="",0,MAX(0,MIN(1,(IF(BU1074="L1",Parameter!$E$5,Parameter!$E$6+Parameter!$E$7)-(AZ1074-AV1074))/AV1074)))</f>
        <v>1</v>
      </c>
      <c r="BB1074" s="55" t="str">
        <f aca="false">IF(AF1074&lt;=0,"",IF(BU1074="Aussen","Aussenlager",IF(BU1074="-","Nicht im Lift",IF(AK1074&gt;=1,"Lift",IF(AK1074&lt;=0,"Aussenlager","teilweise")))))</f>
        <v/>
      </c>
      <c r="BC1074" s="55" t="str">
        <f aca="false">IF(AN1074&lt;=0,"",IF(BU1074="Aussen","Aussenlager",IF(BU1074="-","Nicht im Lift",IF(AS1074&gt;=1,"Lift",IF(AS1074&lt;=0,"Aussenlager","teilweise")))))</f>
        <v>Lift</v>
      </c>
      <c r="BD1074" s="55" t="str">
        <f aca="false">IF(AV1074&lt;=0,"",IF(BU1074="Aussen","Aussenlager",IF(BU1074="-","Nicht im Lift",IF(BA1074&gt;=1,"Lift",IF(BA1074&lt;=0,"Aussenlager","teilweise")))))</f>
        <v>Lift</v>
      </c>
      <c r="BE1074" s="55" t="str">
        <f aca="false">IF(A1074="","",IF(BN1074=1,"Neu; ","")&amp;IF(AND(BN1074=0,BI1074&lt;0),"negativer Bestand (Export "&amp;BI1074&amp;"); ","")&amp;IF(I1074&lt;=0,"Kein Verbrauch; ","")&amp;IF(CD1074&gt;0,"Lift "&amp;U1074&amp;" lt. Liftbericht (Fach "&amp;V1074&amp;" Stk); ",IF(BR1074=1,"Lose – Fläche geschätzt; ",""))&amp;IF(G1074&gt;AP1074,"Überbestand "&amp;ROUND(G1074-AP1074,0)&amp;" Stk / CHF "&amp;ROUND((G1074-AP1074)*F1074,0)&amp;"; ","")&amp;IF(AND(BW1074=1,BX1074&lt;BY1074),"MAX &lt; MB+LG; ","")&amp;IF(AND(CC1074&gt;0,CB1074*10&gt;CC1074),"zu hoch für Tablar; ","")&amp;IF(AND(BN1074=0,OR(BW1074=1,Y1074&lt;&gt;"",S1074&lt;&gt;"",T1074&lt;&gt;"",Z1074&lt;&gt;"")),"manuell übersteuert; ","")&amp;IF(AND(BR1074=0,Q1074=0),"Gebinde unbekannt / Stellmass fehlt; ","")&amp;IF(AND(BR1074=0,N(T1074)&lt;=0,N(P1074)&lt;=0),"Menge pro Gebinde fehlt (Ist = 1 Gebinde); ","")&amp;BM1074)</f>
        <v>negativer Bestand (Export -4); Überbestand</v>
      </c>
      <c r="BF1074" s="55"/>
      <c r="BG1074" s="55"/>
      <c r="BH1074" s="62"/>
      <c r="BI1074" s="57" t="n">
        <v>-4</v>
      </c>
      <c r="BJ1074" s="57" t="n">
        <v>32</v>
      </c>
      <c r="BK1074" s="56" t="n">
        <v>-175.2</v>
      </c>
      <c r="BL1074" s="57" t="n">
        <v>4</v>
      </c>
      <c r="BM1074" s="55" t="s">
        <v>382</v>
      </c>
      <c r="BN1074" s="60" t="n">
        <v>0</v>
      </c>
      <c r="BO1074" s="60" t="n">
        <v>1074</v>
      </c>
      <c r="BP1074" s="55" t="str">
        <f aca="false">IF(S1074&lt;&gt;"",UPPER(TRIM(S1074)),IF(O1074="","LOSE",O1074))</f>
        <v>S63</v>
      </c>
      <c r="BQ1074" s="57" t="n">
        <f aca="false">IF(BP1074="LOSE",1,IF(N(T1074)&gt;0,T1074,IF(N(P1074)&gt;0,P1074,MAX(1,G1074))))</f>
        <v>30</v>
      </c>
      <c r="BR1074" s="60" t="n">
        <f aca="false">IF(BP1074="LOSE",1,0)</f>
        <v>0</v>
      </c>
      <c r="BS1074" s="59" t="n">
        <f aca="false">IF(BR1074=0,0,IF(N(R1074)&gt;0,R1074,IFERROR(VLOOKUP(D1074,Parameter!$A$35:$C$64,3,0)+0,0)))</f>
        <v>0</v>
      </c>
      <c r="BT1074" s="55" t="n">
        <f aca="false">IF(Y1074&lt;&gt;"",Y1074,X1074)</f>
        <v>2</v>
      </c>
      <c r="BU1074" s="55" t="str">
        <f aca="false">IF(BT1074=1,"L1",IF(OR(BT1074=2,BT1074=3),"L23",IF(BT1074="Aussen","Aussen","-")))</f>
        <v>L23</v>
      </c>
      <c r="BV1074" s="66" t="n">
        <f aca="false">IF(N(Z1074)&gt;0,Z1074,0)</f>
        <v>0</v>
      </c>
      <c r="BW1074" s="60" t="n">
        <f aca="false">IF(ISNUMBER(AC1074),1,0)</f>
        <v>0</v>
      </c>
      <c r="BX1074" s="57" t="n">
        <f aca="false">N(AC1074)</f>
        <v>0</v>
      </c>
      <c r="BY1074" s="57" t="n">
        <f aca="false">N(L1074)+N(M1074)</f>
        <v>5</v>
      </c>
      <c r="BZ1074" s="57" t="n">
        <f aca="false">ROUNDUP(G1074/BQ1074,0)</f>
        <v>0</v>
      </c>
      <c r="CA1074" s="57" t="n">
        <f aca="false">ROUNDUP(BX1074/BQ1074,0)</f>
        <v>0</v>
      </c>
      <c r="CB1074" s="60" t="n">
        <f aca="false">IF(BR1074=1,0,IFERROR(VLOOKUP(BP1074,'Gebinde-Kategorie'!$A$5:$M$45,5,0)+0,0))</f>
        <v>31</v>
      </c>
      <c r="CC1074" s="60" t="n">
        <f aca="false">IFERROR(IF(OR(BT1074=1,BT1074=2,BT1074=3),N(INDEX(Parameter!$I$5:$I$7,BT1074)),0),0)</f>
        <v>0</v>
      </c>
      <c r="CD1074" s="59" t="n">
        <f aca="false">IF(AND(Parameter!$B$21="Ja",ISNUMBER(U1074),N(V1074)&gt;0),IFERROR(N(INDEX(Parameter!$L$5:$L$7,U1074))*INDEX(Parameter!$E$5:$E$7,U1074)*V1074/SUMIFS($V$7:$V$1576,$U$7:$U$1576,U1074),0),0)</f>
        <v>0</v>
      </c>
    </row>
    <row r="1075" customFormat="false" ht="15" hidden="false" customHeight="false" outlineLevel="0" collapsed="false">
      <c r="A1075" s="55" t="s">
        <v>1949</v>
      </c>
      <c r="B1075" s="55" t="s">
        <v>1950</v>
      </c>
      <c r="C1075" s="55" t="s">
        <v>160</v>
      </c>
      <c r="D1075" s="55" t="s">
        <v>178</v>
      </c>
      <c r="E1075" s="55" t="s">
        <v>210</v>
      </c>
      <c r="F1075" s="56" t="n">
        <v>111.1</v>
      </c>
      <c r="G1075" s="57" t="n">
        <f aca="false">MAX(0,IF(AND(Parameter!$B$21="Ja",ISNUMBER(W1075)),W1075,IF(Parameter!$B$20="Jahresanfang 2025 + Export",BJ1075+BI1075,BI1075)))</f>
        <v>0</v>
      </c>
      <c r="H1075" s="57" t="n">
        <f aca="false">G1075*F1075</f>
        <v>0</v>
      </c>
      <c r="I1075" s="57" t="n">
        <f aca="false">BL1075*Parameter!$B$18</f>
        <v>2</v>
      </c>
      <c r="J1075" s="58" t="n">
        <v>3</v>
      </c>
      <c r="K1075" s="59" t="n">
        <v>0.666666666666667</v>
      </c>
      <c r="L1075" s="57" t="n">
        <v>0</v>
      </c>
      <c r="M1075" s="57" t="n">
        <v>1</v>
      </c>
      <c r="N1075" s="60" t="n">
        <v>28</v>
      </c>
      <c r="O1075" s="55" t="s">
        <v>411</v>
      </c>
      <c r="P1075" s="57" t="n">
        <v>3</v>
      </c>
      <c r="Q1075" s="60" t="n">
        <f aca="false">IF(BR1075=1,0,IFERROR(VLOOKUP(BP1075,'Gebinde-Kategorie'!$A$5:$M$45,13,0)+0,0))</f>
        <v>132</v>
      </c>
      <c r="R1075" s="61"/>
      <c r="S1075" s="62"/>
      <c r="T1075" s="62"/>
      <c r="U1075" s="55"/>
      <c r="V1075" s="57"/>
      <c r="W1075" s="57"/>
      <c r="X1075" s="55" t="n">
        <f aca="false">IF(A1075="","",IF(AND(Parameter!$B$21="Ja",ISNUMBER(U1075)),U1075,IF(IFERROR(VLOOKUP(D1075,Parameter!$A$35:$C$64,2,0),"Nein")="2+3",IF(ISNUMBER(SEARCH("grosser Artikel",BM1075)),2,IFERROR(VLOOKUP(BP1075,Parameter!$F$35:$G$64,2,0),2)),IF(OR(IFERROR(VLOOKUP(D1075,Parameter!$A$35:$C$64,2,0),"Nein")="Nein",IFERROR(VLOOKUP(D1075,Parameter!$A$35:$C$64,2,0),"Nein")=""),"-",VLOOKUP(D1075,Parameter!$A$35:$C$64,2,0)))))</f>
        <v>3</v>
      </c>
      <c r="Y1075" s="62"/>
      <c r="Z1075" s="63"/>
      <c r="AA1075" s="57" t="n">
        <f aca="false">AP1075</f>
        <v>3</v>
      </c>
      <c r="AB1075" s="57" t="n">
        <f aca="false">MAX(AP1075,G1075)</f>
        <v>3</v>
      </c>
      <c r="AC1075" s="64"/>
      <c r="AD1075" s="57" t="n">
        <f aca="false">IF(LEFT(Cockpit!$C$5,1)="A",G1075,IF(BW1075=1,BX1075,IF(LEFT(Cockpit!$C$5,1)="B",AH1075,MAX(AH1075,G1075))))</f>
        <v>0</v>
      </c>
      <c r="AE1075" s="57" t="n">
        <f aca="false">IF(BR1075=1,0,ROUNDUP(AD1075/BQ1075,0))</f>
        <v>0</v>
      </c>
      <c r="AF1075" s="59" t="n">
        <f aca="false">IF(CD1075&gt;0,CD1075*MAX(1,AD1075/V1075),IF(BR1075=1,IF(AD1075&lt;=0,0,BS1075*MAX(1,IF(G1075&gt;0,AD1075/G1075,1))),IF(Q1075&gt;0,AE1075/Q1075,0))/MAX(0.1,N(Parameter!$M$21)))</f>
        <v>0</v>
      </c>
      <c r="AG1075" s="57" t="n">
        <f aca="false">AD1075*F1075</f>
        <v>0</v>
      </c>
      <c r="AH1075" s="57" t="n">
        <f aca="false">ROUNDUP(MAX(I1075/IF(BV1075&gt;0,BV1075,MAX(0.1,N(Cockpit!$C$6))),BY1075)/BQ1075,0)*BQ1075</f>
        <v>3</v>
      </c>
      <c r="AI1075" s="58" t="n">
        <f aca="false">IF(AF1075&gt;0,I1075/AF1075,-1)</f>
        <v>-1</v>
      </c>
      <c r="AJ1075" s="58" t="str">
        <f aca="false">IF(AND(OR(BU1075="L1",BU1075="L23"),AF1075&gt;0),SUMIFS($AF$7:$AF$1576,$BU$7:$BU$1576,BU1075,$AI$7:$AI$1576,"&gt;"&amp;AI1075)+SUMIFS($AF$7:$AF$1576,$BU$7:$BU$1576,BU1075,$AI$7:$AI$1576,AI1075,$BO$7:$BO$1576,"&lt;="&amp;BO1075),"")</f>
        <v/>
      </c>
      <c r="AK1075" s="65" t="n">
        <f aca="false">IF(AJ1075="",0,MAX(0,MIN(1,(IF(BU1075="L1",Parameter!$E$5,Parameter!$E$6+Parameter!$E$7)-(AJ1075-AF1075))/AF1075)))</f>
        <v>0</v>
      </c>
      <c r="AL1075" s="57" t="n">
        <f aca="false">IF(LEFT(Cockpit!$I$5,1)="A",G1075,IF(BW1075=1,BX1075,IF(LEFT(Cockpit!$I$5,1)="B",AP1075,MAX(AP1075,G1075))))</f>
        <v>3</v>
      </c>
      <c r="AM1075" s="57" t="n">
        <f aca="false">IF(BR1075=1,0,ROUNDUP(AL1075/BQ1075,0))</f>
        <v>1</v>
      </c>
      <c r="AN1075" s="59" t="n">
        <f aca="false">IF(CD1075&gt;0,CD1075*MAX(1,AL1075/V1075),IF(BR1075=1,IF(AL1075&lt;=0,0,BS1075*MAX(1,IF(G1075&gt;0,AL1075/G1075,1))),IF(Q1075&gt;0,AM1075/Q1075,0))/MAX(0.1,N(Parameter!$M$21)))</f>
        <v>0.00757575757575758</v>
      </c>
      <c r="AO1075" s="57" t="n">
        <f aca="false">AL1075*F1075</f>
        <v>333.3</v>
      </c>
      <c r="AP1075" s="57" t="n">
        <f aca="false">ROUNDUP(MAX(I1075/IF(BV1075&gt;0,BV1075,MAX(0.1,N(Cockpit!$I$6))),BY1075)/BQ1075,0)*BQ1075</f>
        <v>3</v>
      </c>
      <c r="AQ1075" s="58" t="n">
        <f aca="false">IF(AN1075&gt;0,I1075/AN1075,-1)</f>
        <v>264</v>
      </c>
      <c r="AR1075" s="58" t="n">
        <f aca="false">IF(AND(OR(BU1075="L1",BU1075="L23"),AN1075&gt;0),SUMIFS($AN$7:$AN$1576,$BU$7:$BU$1576,BU1075,$AQ$7:$AQ$1576,"&gt;"&amp;AQ1075)+SUMIFS($AN$7:$AN$1576,$BU$7:$BU$1576,BU1075,$AQ$7:$AQ$1576,AQ1075,$BO$7:$BO$1576,"&lt;="&amp;BO1075),"")</f>
        <v>45.380665723503</v>
      </c>
      <c r="AS1075" s="65" t="n">
        <f aca="false">IF(AR1075="",0,MAX(0,MIN(1,(IF(BU1075="L1",Parameter!$E$5,Parameter!$E$6+Parameter!$E$7)-(AR1075-AN1075))/AN1075)))</f>
        <v>1</v>
      </c>
      <c r="AT1075" s="57" t="n">
        <f aca="false">IF(LEFT(Cockpit!$O$5,1)="A",G1075,IF(BW1075=1,BX1075,IF(LEFT(Cockpit!$O$5,1)="B",AX1075,MAX(AX1075,G1075))))</f>
        <v>3</v>
      </c>
      <c r="AU1075" s="57" t="n">
        <f aca="false">IF(BR1075=1,0,ROUNDUP(AT1075/BQ1075,0))</f>
        <v>1</v>
      </c>
      <c r="AV1075" s="59" t="n">
        <f aca="false">IF(CD1075&gt;0,CD1075*MAX(1,AT1075/V1075),IF(BR1075=1,IF(AT1075&lt;=0,0,BS1075*MAX(1,IF(G1075&gt;0,AT1075/G1075,1))),IF(Q1075&gt;0,AU1075/Q1075,0))/MAX(0.1,N(Parameter!$M$21)))</f>
        <v>0.00757575757575758</v>
      </c>
      <c r="AW1075" s="57" t="n">
        <f aca="false">AT1075*F1075</f>
        <v>333.3</v>
      </c>
      <c r="AX1075" s="57" t="n">
        <f aca="false">ROUNDUP(MAX(I1075/IF(BV1075&gt;0,BV1075,MAX(0.1,N(Cockpit!$O$6))),BY1075)/BQ1075,0)*BQ1075</f>
        <v>3</v>
      </c>
      <c r="AY1075" s="58" t="n">
        <f aca="false">IF(AV1075&gt;0,I1075/AV1075,-1)</f>
        <v>264</v>
      </c>
      <c r="AZ1075" s="58" t="n">
        <f aca="false">IF(AND(OR(BU1075="L1",BU1075="L23"),AV1075&gt;0),SUMIFS($AV$7:$AV$1576,$BU$7:$BU$1576,BU1075,$AY$7:$AY$1576,"&gt;"&amp;AY1075)+SUMIFS($AV$7:$AV$1576,$BU$7:$BU$1576,BU1075,$AY$7:$AY$1576,AY1075,$BO$7:$BO$1576,"&lt;="&amp;BO1075),"")</f>
        <v>41.6587443115816</v>
      </c>
      <c r="BA1075" s="65" t="n">
        <f aca="false">IF(AZ1075="",0,MAX(0,MIN(1,(IF(BU1075="L1",Parameter!$E$5,Parameter!$E$6+Parameter!$E$7)-(AZ1075-AV1075))/AV1075)))</f>
        <v>1</v>
      </c>
      <c r="BB1075" s="55" t="str">
        <f aca="false">IF(AF1075&lt;=0,"",IF(BU1075="Aussen","Aussenlager",IF(BU1075="-","Nicht im Lift",IF(AK1075&gt;=1,"Lift",IF(AK1075&lt;=0,"Aussenlager","teilweise")))))</f>
        <v/>
      </c>
      <c r="BC1075" s="55" t="str">
        <f aca="false">IF(AN1075&lt;=0,"",IF(BU1075="Aussen","Aussenlager",IF(BU1075="-","Nicht im Lift",IF(AS1075&gt;=1,"Lift",IF(AS1075&lt;=0,"Aussenlager","teilweise")))))</f>
        <v>Lift</v>
      </c>
      <c r="BD1075" s="55" t="str">
        <f aca="false">IF(AV1075&lt;=0,"",IF(BU1075="Aussen","Aussenlager",IF(BU1075="-","Nicht im Lift",IF(BA1075&gt;=1,"Lift",IF(BA1075&lt;=0,"Aussenlager","teilweise")))))</f>
        <v>Lift</v>
      </c>
      <c r="BE1075" s="55" t="str">
        <f aca="false">IF(A1075="","",IF(BN1075=1,"Neu; ","")&amp;IF(AND(BN1075=0,BI1075&lt;0),"negativer Bestand (Export "&amp;BI1075&amp;"); ","")&amp;IF(I1075&lt;=0,"Kein Verbrauch; ","")&amp;IF(CD1075&gt;0,"Lift "&amp;U1075&amp;" lt. Liftbericht (Fach "&amp;V1075&amp;" Stk); ",IF(BR1075=1,"Lose – Fläche geschätzt; ",""))&amp;IF(G1075&gt;AP1075,"Überbestand "&amp;ROUND(G1075-AP1075,0)&amp;" Stk / CHF "&amp;ROUND((G1075-AP1075)*F1075,0)&amp;"; ","")&amp;IF(AND(BW1075=1,BX1075&lt;BY1075),"MAX &lt; MB+LG; ","")&amp;IF(AND(CC1075&gt;0,CB1075*10&gt;CC1075),"zu hoch für Tablar; ","")&amp;IF(AND(BN1075=0,OR(BW1075=1,Y1075&lt;&gt;"",S1075&lt;&gt;"",T1075&lt;&gt;"",Z1075&lt;&gt;"")),"manuell übersteuert; ","")&amp;IF(AND(BR1075=0,Q1075=0),"Gebinde unbekannt / Stellmass fehlt; ","")&amp;IF(AND(BR1075=0,N(T1075)&lt;=0,N(P1075)&lt;=0),"Menge pro Gebinde fehlt (Ist = 1 Gebinde); ","")&amp;BM1075)</f>
        <v>negativer Bestand (Export -2); Neu</v>
      </c>
      <c r="BF1075" s="55"/>
      <c r="BG1075" s="55"/>
      <c r="BH1075" s="62"/>
      <c r="BI1075" s="57" t="n">
        <v>-2</v>
      </c>
      <c r="BJ1075" s="57" t="n">
        <v>4</v>
      </c>
      <c r="BK1075" s="56" t="n">
        <v>-175.52</v>
      </c>
      <c r="BL1075" s="57" t="n">
        <v>2</v>
      </c>
      <c r="BM1075" s="55" t="s">
        <v>615</v>
      </c>
      <c r="BN1075" s="60" t="n">
        <v>0</v>
      </c>
      <c r="BO1075" s="60" t="n">
        <v>1075</v>
      </c>
      <c r="BP1075" s="55" t="str">
        <f aca="false">IF(S1075&lt;&gt;"",UPPER(TRIM(S1075)),IF(O1075="","LOSE",O1075))</f>
        <v>S32</v>
      </c>
      <c r="BQ1075" s="57" t="n">
        <f aca="false">IF(BP1075="LOSE",1,IF(N(T1075)&gt;0,T1075,IF(N(P1075)&gt;0,P1075,MAX(1,G1075))))</f>
        <v>3</v>
      </c>
      <c r="BR1075" s="60" t="n">
        <f aca="false">IF(BP1075="LOSE",1,0)</f>
        <v>0</v>
      </c>
      <c r="BS1075" s="59" t="n">
        <f aca="false">IF(BR1075=0,0,IF(N(R1075)&gt;0,R1075,IFERROR(VLOOKUP(D1075,Parameter!$A$35:$C$64,3,0)+0,0)))</f>
        <v>0</v>
      </c>
      <c r="BT1075" s="55" t="n">
        <f aca="false">IF(Y1075&lt;&gt;"",Y1075,X1075)</f>
        <v>3</v>
      </c>
      <c r="BU1075" s="55" t="str">
        <f aca="false">IF(BT1075=1,"L1",IF(OR(BT1075=2,BT1075=3),"L23",IF(BT1075="Aussen","Aussen","-")))</f>
        <v>L23</v>
      </c>
      <c r="BV1075" s="66" t="n">
        <f aca="false">IF(N(Z1075)&gt;0,Z1075,0)</f>
        <v>0</v>
      </c>
      <c r="BW1075" s="60" t="n">
        <f aca="false">IF(ISNUMBER(AC1075),1,0)</f>
        <v>0</v>
      </c>
      <c r="BX1075" s="57" t="n">
        <f aca="false">N(AC1075)</f>
        <v>0</v>
      </c>
      <c r="BY1075" s="57" t="n">
        <f aca="false">N(L1075)+N(M1075)</f>
        <v>1</v>
      </c>
      <c r="BZ1075" s="57" t="n">
        <f aca="false">ROUNDUP(G1075/BQ1075,0)</f>
        <v>0</v>
      </c>
      <c r="CA1075" s="57" t="n">
        <f aca="false">ROUNDUP(BX1075/BQ1075,0)</f>
        <v>0</v>
      </c>
      <c r="CB1075" s="60" t="n">
        <f aca="false">IF(BR1075=1,0,IFERROR(VLOOKUP(BP1075,'Gebinde-Kategorie'!$A$5:$M$45,5,0)+0,0))</f>
        <v>8</v>
      </c>
      <c r="CC1075" s="60" t="n">
        <f aca="false">IFERROR(IF(OR(BT1075=1,BT1075=2,BT1075=3),N(INDEX(Parameter!$I$5:$I$7,BT1075)),0),0)</f>
        <v>0</v>
      </c>
      <c r="CD1075" s="59" t="n">
        <f aca="false">IF(AND(Parameter!$B$21="Ja",ISNUMBER(U1075),N(V1075)&gt;0),IFERROR(N(INDEX(Parameter!$L$5:$L$7,U1075))*INDEX(Parameter!$E$5:$E$7,U1075)*V1075/SUMIFS($V$7:$V$1576,$U$7:$U$1576,U1075),0),0)</f>
        <v>0</v>
      </c>
    </row>
    <row r="1076" customFormat="false" ht="15" hidden="false" customHeight="false" outlineLevel="0" collapsed="false">
      <c r="A1076" s="55" t="s">
        <v>1951</v>
      </c>
      <c r="B1076" s="55" t="s">
        <v>1899</v>
      </c>
      <c r="C1076" s="55" t="s">
        <v>446</v>
      </c>
      <c r="D1076" s="55" t="s">
        <v>178</v>
      </c>
      <c r="E1076" s="55" t="s">
        <v>210</v>
      </c>
      <c r="F1076" s="56" t="n">
        <v>6.84</v>
      </c>
      <c r="G1076" s="57" t="n">
        <f aca="false">MAX(0,IF(AND(Parameter!$B$21="Ja",ISNUMBER(W1076)),W1076,IF(Parameter!$B$20="Jahresanfang 2025 + Export",BJ1076+BI1076,BI1076)))</f>
        <v>0</v>
      </c>
      <c r="H1076" s="57" t="n">
        <f aca="false">G1076*F1076</f>
        <v>0</v>
      </c>
      <c r="I1076" s="57" t="n">
        <f aca="false">BL1076*Parameter!$B$18</f>
        <v>26</v>
      </c>
      <c r="J1076" s="58" t="n">
        <v>26</v>
      </c>
      <c r="K1076" s="59" t="n">
        <v>1</v>
      </c>
      <c r="L1076" s="57" t="n">
        <v>1</v>
      </c>
      <c r="M1076" s="57" t="n">
        <v>25</v>
      </c>
      <c r="N1076" s="60" t="n">
        <v>21</v>
      </c>
      <c r="O1076" s="55" t="s">
        <v>411</v>
      </c>
      <c r="P1076" s="57" t="n">
        <v>13</v>
      </c>
      <c r="Q1076" s="60" t="n">
        <f aca="false">IF(BR1076=1,0,IFERROR(VLOOKUP(BP1076,'Gebinde-Kategorie'!$A$5:$M$45,13,0)+0,0))</f>
        <v>132</v>
      </c>
      <c r="R1076" s="61"/>
      <c r="S1076" s="62"/>
      <c r="T1076" s="62"/>
      <c r="U1076" s="55"/>
      <c r="V1076" s="57"/>
      <c r="W1076" s="57"/>
      <c r="X1076" s="55" t="n">
        <f aca="false">IF(A1076="","",IF(AND(Parameter!$B$21="Ja",ISNUMBER(U1076)),U1076,IF(IFERROR(VLOOKUP(D1076,Parameter!$A$35:$C$64,2,0),"Nein")="2+3",IF(ISNUMBER(SEARCH("grosser Artikel",BM1076)),2,IFERROR(VLOOKUP(BP1076,Parameter!$F$35:$G$64,2,0),2)),IF(OR(IFERROR(VLOOKUP(D1076,Parameter!$A$35:$C$64,2,0),"Nein")="Nein",IFERROR(VLOOKUP(D1076,Parameter!$A$35:$C$64,2,0),"Nein")=""),"-",VLOOKUP(D1076,Parameter!$A$35:$C$64,2,0)))))</f>
        <v>3</v>
      </c>
      <c r="Y1076" s="62"/>
      <c r="Z1076" s="63"/>
      <c r="AA1076" s="57" t="n">
        <f aca="false">AP1076</f>
        <v>26</v>
      </c>
      <c r="AB1076" s="57" t="n">
        <f aca="false">MAX(AP1076,G1076)</f>
        <v>26</v>
      </c>
      <c r="AC1076" s="64"/>
      <c r="AD1076" s="57" t="n">
        <f aca="false">IF(LEFT(Cockpit!$C$5,1)="A",G1076,IF(BW1076=1,BX1076,IF(LEFT(Cockpit!$C$5,1)="B",AH1076,MAX(AH1076,G1076))))</f>
        <v>0</v>
      </c>
      <c r="AE1076" s="57" t="n">
        <f aca="false">IF(BR1076=1,0,ROUNDUP(AD1076/BQ1076,0))</f>
        <v>0</v>
      </c>
      <c r="AF1076" s="59" t="n">
        <f aca="false">IF(CD1076&gt;0,CD1076*MAX(1,AD1076/V1076),IF(BR1076=1,IF(AD1076&lt;=0,0,BS1076*MAX(1,IF(G1076&gt;0,AD1076/G1076,1))),IF(Q1076&gt;0,AE1076/Q1076,0))/MAX(0.1,N(Parameter!$M$21)))</f>
        <v>0</v>
      </c>
      <c r="AG1076" s="57" t="n">
        <f aca="false">AD1076*F1076</f>
        <v>0</v>
      </c>
      <c r="AH1076" s="57" t="n">
        <f aca="false">ROUNDUP(MAX(I1076/IF(BV1076&gt;0,BV1076,MAX(0.1,N(Cockpit!$C$6))),BY1076)/BQ1076,0)*BQ1076</f>
        <v>26</v>
      </c>
      <c r="AI1076" s="58" t="n">
        <f aca="false">IF(AF1076&gt;0,I1076/AF1076,-1)</f>
        <v>-1</v>
      </c>
      <c r="AJ1076" s="58" t="str">
        <f aca="false">IF(AND(OR(BU1076="L1",BU1076="L23"),AF1076&gt;0),SUMIFS($AF$7:$AF$1576,$BU$7:$BU$1576,BU1076,$AI$7:$AI$1576,"&gt;"&amp;AI1076)+SUMIFS($AF$7:$AF$1576,$BU$7:$BU$1576,BU1076,$AI$7:$AI$1576,AI1076,$BO$7:$BO$1576,"&lt;="&amp;BO1076),"")</f>
        <v/>
      </c>
      <c r="AK1076" s="65" t="n">
        <f aca="false">IF(AJ1076="",0,MAX(0,MIN(1,(IF(BU1076="L1",Parameter!$E$5,Parameter!$E$6+Parameter!$E$7)-(AJ1076-AF1076))/AF1076)))</f>
        <v>0</v>
      </c>
      <c r="AL1076" s="57" t="n">
        <f aca="false">IF(LEFT(Cockpit!$I$5,1)="A",G1076,IF(BW1076=1,BX1076,IF(LEFT(Cockpit!$I$5,1)="B",AP1076,MAX(AP1076,G1076))))</f>
        <v>26</v>
      </c>
      <c r="AM1076" s="57" t="n">
        <f aca="false">IF(BR1076=1,0,ROUNDUP(AL1076/BQ1076,0))</f>
        <v>2</v>
      </c>
      <c r="AN1076" s="59" t="n">
        <f aca="false">IF(CD1076&gt;0,CD1076*MAX(1,AL1076/V1076),IF(BR1076=1,IF(AL1076&lt;=0,0,BS1076*MAX(1,IF(G1076&gt;0,AL1076/G1076,1))),IF(Q1076&gt;0,AM1076/Q1076,0))/MAX(0.1,N(Parameter!$M$21)))</f>
        <v>0.0151515151515152</v>
      </c>
      <c r="AO1076" s="57" t="n">
        <f aca="false">AL1076*F1076</f>
        <v>177.84</v>
      </c>
      <c r="AP1076" s="57" t="n">
        <f aca="false">ROUNDUP(MAX(I1076/IF(BV1076&gt;0,BV1076,MAX(0.1,N(Cockpit!$I$6))),BY1076)/BQ1076,0)*BQ1076</f>
        <v>26</v>
      </c>
      <c r="AQ1076" s="58" t="n">
        <f aca="false">IF(AN1076&gt;0,I1076/AN1076,-1)</f>
        <v>1716</v>
      </c>
      <c r="AR1076" s="58" t="n">
        <f aca="false">IF(AND(OR(BU1076="L1",BU1076="L23"),AN1076&gt;0),SUMIFS($AN$7:$AN$1576,$BU$7:$BU$1576,BU1076,$AQ$7:$AQ$1576,"&gt;"&amp;AQ1076)+SUMIFS($AN$7:$AN$1576,$BU$7:$BU$1576,BU1076,$AQ$7:$AQ$1576,AQ1076,$BO$7:$BO$1576,"&lt;="&amp;BO1076),"")</f>
        <v>18.243689704353</v>
      </c>
      <c r="AS1076" s="65" t="n">
        <f aca="false">IF(AR1076="",0,MAX(0,MIN(1,(IF(BU1076="L1",Parameter!$E$5,Parameter!$E$6+Parameter!$E$7)-(AR1076-AN1076))/AN1076)))</f>
        <v>1</v>
      </c>
      <c r="AT1076" s="57" t="n">
        <f aca="false">IF(LEFT(Cockpit!$O$5,1)="A",G1076,IF(BW1076=1,BX1076,IF(LEFT(Cockpit!$O$5,1)="B",AX1076,MAX(AX1076,G1076))))</f>
        <v>26</v>
      </c>
      <c r="AU1076" s="57" t="n">
        <f aca="false">IF(BR1076=1,0,ROUNDUP(AT1076/BQ1076,0))</f>
        <v>2</v>
      </c>
      <c r="AV1076" s="59" t="n">
        <f aca="false">IF(CD1076&gt;0,CD1076*MAX(1,AT1076/V1076),IF(BR1076=1,IF(AT1076&lt;=0,0,BS1076*MAX(1,IF(G1076&gt;0,AT1076/G1076,1))),IF(Q1076&gt;0,AU1076/Q1076,0))/MAX(0.1,N(Parameter!$M$21)))</f>
        <v>0.0151515151515152</v>
      </c>
      <c r="AW1076" s="57" t="n">
        <f aca="false">AT1076*F1076</f>
        <v>177.84</v>
      </c>
      <c r="AX1076" s="57" t="n">
        <f aca="false">ROUNDUP(MAX(I1076/IF(BV1076&gt;0,BV1076,MAX(0.1,N(Cockpit!$O$6))),BY1076)/BQ1076,0)*BQ1076</f>
        <v>26</v>
      </c>
      <c r="AY1076" s="58" t="n">
        <f aca="false">IF(AV1076&gt;0,I1076/AV1076,-1)</f>
        <v>1716</v>
      </c>
      <c r="AZ1076" s="58" t="n">
        <f aca="false">IF(AND(OR(BU1076="L1",BU1076="L23"),AV1076&gt;0),SUMIFS($AV$7:$AV$1576,$BU$7:$BU$1576,BU1076,$AY$7:$AY$1576,"&gt;"&amp;AY1076)+SUMIFS($AV$7:$AV$1576,$BU$7:$BU$1576,BU1076,$AY$7:$AY$1576,AY1076,$BO$7:$BO$1576,"&lt;="&amp;BO1076),"")</f>
        <v>17.2209624316258</v>
      </c>
      <c r="BA1076" s="65" t="n">
        <f aca="false">IF(AZ1076="",0,MAX(0,MIN(1,(IF(BU1076="L1",Parameter!$E$5,Parameter!$E$6+Parameter!$E$7)-(AZ1076-AV1076))/AV1076)))</f>
        <v>1</v>
      </c>
      <c r="BB1076" s="55" t="str">
        <f aca="false">IF(AF1076&lt;=0,"",IF(BU1076="Aussen","Aussenlager",IF(BU1076="-","Nicht im Lift",IF(AK1076&gt;=1,"Lift",IF(AK1076&lt;=0,"Aussenlager","teilweise")))))</f>
        <v/>
      </c>
      <c r="BC1076" s="55" t="str">
        <f aca="false">IF(AN1076&lt;=0,"",IF(BU1076="Aussen","Aussenlager",IF(BU1076="-","Nicht im Lift",IF(AS1076&gt;=1,"Lift",IF(AS1076&lt;=0,"Aussenlager","teilweise")))))</f>
        <v>Lift</v>
      </c>
      <c r="BD1076" s="55" t="str">
        <f aca="false">IF(AV1076&lt;=0,"",IF(BU1076="Aussen","Aussenlager",IF(BU1076="-","Nicht im Lift",IF(BA1076&gt;=1,"Lift",IF(BA1076&lt;=0,"Aussenlager","teilweise")))))</f>
        <v>Lift</v>
      </c>
      <c r="BE1076" s="55" t="str">
        <f aca="false">IF(A1076="","",IF(BN1076=1,"Neu; ","")&amp;IF(AND(BN1076=0,BI1076&lt;0),"negativer Bestand (Export "&amp;BI1076&amp;"); ","")&amp;IF(I1076&lt;=0,"Kein Verbrauch; ","")&amp;IF(CD1076&gt;0,"Lift "&amp;U1076&amp;" lt. Liftbericht (Fach "&amp;V1076&amp;" Stk); ",IF(BR1076=1,"Lose – Fläche geschätzt; ",""))&amp;IF(G1076&gt;AP1076,"Überbestand "&amp;ROUND(G1076-AP1076,0)&amp;" Stk / CHF "&amp;ROUND((G1076-AP1076)*F1076,0)&amp;"; ","")&amp;IF(AND(BW1076=1,BX1076&lt;BY1076),"MAX &lt; MB+LG; ","")&amp;IF(AND(CC1076&gt;0,CB1076*10&gt;CC1076),"zu hoch für Tablar; ","")&amp;IF(AND(BN1076=0,OR(BW1076=1,Y1076&lt;&gt;"",S1076&lt;&gt;"",T1076&lt;&gt;"",Z1076&lt;&gt;"")),"manuell übersteuert; ","")&amp;IF(AND(BR1076=0,Q1076=0),"Gebinde unbekannt / Stellmass fehlt; ","")&amp;IF(AND(BR1076=0,N(T1076)&lt;=0,N(P1076)&lt;=0),"Menge pro Gebinde fehlt (Ist = 1 Gebinde); ","")&amp;BM1076)</f>
        <v>negativer Bestand (Export -26); </v>
      </c>
      <c r="BF1076" s="55"/>
      <c r="BG1076" s="55"/>
      <c r="BH1076" s="62"/>
      <c r="BI1076" s="57" t="n">
        <v>-26</v>
      </c>
      <c r="BJ1076" s="57" t="n">
        <v>52</v>
      </c>
      <c r="BK1076" s="56" t="n">
        <v>-177.84</v>
      </c>
      <c r="BL1076" s="57" t="n">
        <v>26</v>
      </c>
      <c r="BM1076" s="55"/>
      <c r="BN1076" s="60" t="n">
        <v>0</v>
      </c>
      <c r="BO1076" s="60" t="n">
        <v>1076</v>
      </c>
      <c r="BP1076" s="55" t="str">
        <f aca="false">IF(S1076&lt;&gt;"",UPPER(TRIM(S1076)),IF(O1076="","LOSE",O1076))</f>
        <v>S32</v>
      </c>
      <c r="BQ1076" s="57" t="n">
        <f aca="false">IF(BP1076="LOSE",1,IF(N(T1076)&gt;0,T1076,IF(N(P1076)&gt;0,P1076,MAX(1,G1076))))</f>
        <v>13</v>
      </c>
      <c r="BR1076" s="60" t="n">
        <f aca="false">IF(BP1076="LOSE",1,0)</f>
        <v>0</v>
      </c>
      <c r="BS1076" s="59" t="n">
        <f aca="false">IF(BR1076=0,0,IF(N(R1076)&gt;0,R1076,IFERROR(VLOOKUP(D1076,Parameter!$A$35:$C$64,3,0)+0,0)))</f>
        <v>0</v>
      </c>
      <c r="BT1076" s="55" t="n">
        <f aca="false">IF(Y1076&lt;&gt;"",Y1076,X1076)</f>
        <v>3</v>
      </c>
      <c r="BU1076" s="55" t="str">
        <f aca="false">IF(BT1076=1,"L1",IF(OR(BT1076=2,BT1076=3),"L23",IF(BT1076="Aussen","Aussen","-")))</f>
        <v>L23</v>
      </c>
      <c r="BV1076" s="66" t="n">
        <f aca="false">IF(N(Z1076)&gt;0,Z1076,0)</f>
        <v>0</v>
      </c>
      <c r="BW1076" s="60" t="n">
        <f aca="false">IF(ISNUMBER(AC1076),1,0)</f>
        <v>0</v>
      </c>
      <c r="BX1076" s="57" t="n">
        <f aca="false">N(AC1076)</f>
        <v>0</v>
      </c>
      <c r="BY1076" s="57" t="n">
        <f aca="false">N(L1076)+N(M1076)</f>
        <v>26</v>
      </c>
      <c r="BZ1076" s="57" t="n">
        <f aca="false">ROUNDUP(G1076/BQ1076,0)</f>
        <v>0</v>
      </c>
      <c r="CA1076" s="57" t="n">
        <f aca="false">ROUNDUP(BX1076/BQ1076,0)</f>
        <v>0</v>
      </c>
      <c r="CB1076" s="60" t="n">
        <f aca="false">IF(BR1076=1,0,IFERROR(VLOOKUP(BP1076,'Gebinde-Kategorie'!$A$5:$M$45,5,0)+0,0))</f>
        <v>8</v>
      </c>
      <c r="CC1076" s="60" t="n">
        <f aca="false">IFERROR(IF(OR(BT1076=1,BT1076=2,BT1076=3),N(INDEX(Parameter!$I$5:$I$7,BT1076)),0),0)</f>
        <v>0</v>
      </c>
      <c r="CD1076" s="59" t="n">
        <f aca="false">IF(AND(Parameter!$B$21="Ja",ISNUMBER(U1076),N(V1076)&gt;0),IFERROR(N(INDEX(Parameter!$L$5:$L$7,U1076))*INDEX(Parameter!$E$5:$E$7,U1076)*V1076/SUMIFS($V$7:$V$1576,$U$7:$U$1576,U1076),0),0)</f>
        <v>0</v>
      </c>
    </row>
    <row r="1077" customFormat="false" ht="15" hidden="false" customHeight="false" outlineLevel="0" collapsed="false">
      <c r="A1077" s="55" t="s">
        <v>1952</v>
      </c>
      <c r="B1077" s="55" t="s">
        <v>1953</v>
      </c>
      <c r="C1077" s="55" t="s">
        <v>160</v>
      </c>
      <c r="D1077" s="55" t="s">
        <v>178</v>
      </c>
      <c r="E1077" s="55" t="s">
        <v>210</v>
      </c>
      <c r="F1077" s="56" t="n">
        <v>12.9</v>
      </c>
      <c r="G1077" s="57" t="n">
        <f aca="false">MAX(0,IF(AND(Parameter!$B$21="Ja",ISNUMBER(W1077)),W1077,IF(Parameter!$B$20="Jahresanfang 2025 + Export",BJ1077+BI1077,BI1077)))</f>
        <v>0</v>
      </c>
      <c r="H1077" s="57" t="n">
        <f aca="false">G1077*F1077</f>
        <v>0</v>
      </c>
      <c r="I1077" s="57" t="n">
        <f aca="false">BL1077*Parameter!$B$18</f>
        <v>8</v>
      </c>
      <c r="J1077" s="58" t="n">
        <v>23</v>
      </c>
      <c r="K1077" s="59" t="n">
        <v>0.347826086956522</v>
      </c>
      <c r="L1077" s="57" t="n">
        <v>0</v>
      </c>
      <c r="M1077" s="57" t="n">
        <v>10</v>
      </c>
      <c r="N1077" s="60" t="n">
        <v>28</v>
      </c>
      <c r="O1077" s="55" t="s">
        <v>391</v>
      </c>
      <c r="P1077" s="57" t="n">
        <v>29</v>
      </c>
      <c r="Q1077" s="60" t="n">
        <f aca="false">IF(BR1077=1,0,IFERROR(VLOOKUP(BP1077,'Gebinde-Kategorie'!$A$5:$M$45,13,0)+0,0))</f>
        <v>414</v>
      </c>
      <c r="R1077" s="61"/>
      <c r="S1077" s="62"/>
      <c r="T1077" s="62"/>
      <c r="U1077" s="55"/>
      <c r="V1077" s="57"/>
      <c r="W1077" s="57"/>
      <c r="X1077" s="55" t="n">
        <f aca="false">IF(A1077="","",IF(AND(Parameter!$B$21="Ja",ISNUMBER(U1077)),U1077,IF(IFERROR(VLOOKUP(D1077,Parameter!$A$35:$C$64,2,0),"Nein")="2+3",IF(ISNUMBER(SEARCH("grosser Artikel",BM1077)),2,IFERROR(VLOOKUP(BP1077,Parameter!$F$35:$G$64,2,0),2)),IF(OR(IFERROR(VLOOKUP(D1077,Parameter!$A$35:$C$64,2,0),"Nein")="Nein",IFERROR(VLOOKUP(D1077,Parameter!$A$35:$C$64,2,0),"Nein")=""),"-",VLOOKUP(D1077,Parameter!$A$35:$C$64,2,0)))))</f>
        <v>3</v>
      </c>
      <c r="Y1077" s="62"/>
      <c r="Z1077" s="63"/>
      <c r="AA1077" s="57" t="n">
        <f aca="false">AP1077</f>
        <v>29</v>
      </c>
      <c r="AB1077" s="57" t="n">
        <f aca="false">MAX(AP1077,G1077)</f>
        <v>29</v>
      </c>
      <c r="AC1077" s="64"/>
      <c r="AD1077" s="57" t="n">
        <f aca="false">IF(LEFT(Cockpit!$C$5,1)="A",G1077,IF(BW1077=1,BX1077,IF(LEFT(Cockpit!$C$5,1)="B",AH1077,MAX(AH1077,G1077))))</f>
        <v>0</v>
      </c>
      <c r="AE1077" s="57" t="n">
        <f aca="false">IF(BR1077=1,0,ROUNDUP(AD1077/BQ1077,0))</f>
        <v>0</v>
      </c>
      <c r="AF1077" s="59" t="n">
        <f aca="false">IF(CD1077&gt;0,CD1077*MAX(1,AD1077/V1077),IF(BR1077=1,IF(AD1077&lt;=0,0,BS1077*MAX(1,IF(G1077&gt;0,AD1077/G1077,1))),IF(Q1077&gt;0,AE1077/Q1077,0))/MAX(0.1,N(Parameter!$M$21)))</f>
        <v>0</v>
      </c>
      <c r="AG1077" s="57" t="n">
        <f aca="false">AD1077*F1077</f>
        <v>0</v>
      </c>
      <c r="AH1077" s="57" t="n">
        <f aca="false">ROUNDUP(MAX(I1077/IF(BV1077&gt;0,BV1077,MAX(0.1,N(Cockpit!$C$6))),BY1077)/BQ1077,0)*BQ1077</f>
        <v>29</v>
      </c>
      <c r="AI1077" s="58" t="n">
        <f aca="false">IF(AF1077&gt;0,I1077/AF1077,-1)</f>
        <v>-1</v>
      </c>
      <c r="AJ1077" s="58" t="str">
        <f aca="false">IF(AND(OR(BU1077="L1",BU1077="L23"),AF1077&gt;0),SUMIFS($AF$7:$AF$1576,$BU$7:$BU$1576,BU1077,$AI$7:$AI$1576,"&gt;"&amp;AI1077)+SUMIFS($AF$7:$AF$1576,$BU$7:$BU$1576,BU1077,$AI$7:$AI$1576,AI1077,$BO$7:$BO$1576,"&lt;="&amp;BO1077),"")</f>
        <v/>
      </c>
      <c r="AK1077" s="65" t="n">
        <f aca="false">IF(AJ1077="",0,MAX(0,MIN(1,(IF(BU1077="L1",Parameter!$E$5,Parameter!$E$6+Parameter!$E$7)-(AJ1077-AF1077))/AF1077)))</f>
        <v>0</v>
      </c>
      <c r="AL1077" s="57" t="n">
        <f aca="false">IF(LEFT(Cockpit!$I$5,1)="A",G1077,IF(BW1077=1,BX1077,IF(LEFT(Cockpit!$I$5,1)="B",AP1077,MAX(AP1077,G1077))))</f>
        <v>29</v>
      </c>
      <c r="AM1077" s="57" t="n">
        <f aca="false">IF(BR1077=1,0,ROUNDUP(AL1077/BQ1077,0))</f>
        <v>1</v>
      </c>
      <c r="AN1077" s="59" t="n">
        <f aca="false">IF(CD1077&gt;0,CD1077*MAX(1,AL1077/V1077),IF(BR1077=1,IF(AL1077&lt;=0,0,BS1077*MAX(1,IF(G1077&gt;0,AL1077/G1077,1))),IF(Q1077&gt;0,AM1077/Q1077,0))/MAX(0.1,N(Parameter!$M$21)))</f>
        <v>0.00241545893719807</v>
      </c>
      <c r="AO1077" s="57" t="n">
        <f aca="false">AL1077*F1077</f>
        <v>374.1</v>
      </c>
      <c r="AP1077" s="57" t="n">
        <f aca="false">ROUNDUP(MAX(I1077/IF(BV1077&gt;0,BV1077,MAX(0.1,N(Cockpit!$I$6))),BY1077)/BQ1077,0)*BQ1077</f>
        <v>29</v>
      </c>
      <c r="AQ1077" s="58" t="n">
        <f aca="false">IF(AN1077&gt;0,I1077/AN1077,-1)</f>
        <v>3312</v>
      </c>
      <c r="AR1077" s="58" t="n">
        <f aca="false">IF(AND(OR(BU1077="L1",BU1077="L23"),AN1077&gt;0),SUMIFS($AN$7:$AN$1576,$BU$7:$BU$1576,BU1077,$AQ$7:$AQ$1576,"&gt;"&amp;AQ1077)+SUMIFS($AN$7:$AN$1576,$BU$7:$BU$1576,BU1077,$AQ$7:$AQ$1576,AQ1077,$BO$7:$BO$1576,"&lt;="&amp;BO1077),"")</f>
        <v>13.9684341508733</v>
      </c>
      <c r="AS1077" s="65" t="n">
        <f aca="false">IF(AR1077="",0,MAX(0,MIN(1,(IF(BU1077="L1",Parameter!$E$5,Parameter!$E$6+Parameter!$E$7)-(AR1077-AN1077))/AN1077)))</f>
        <v>1</v>
      </c>
      <c r="AT1077" s="57" t="n">
        <f aca="false">IF(LEFT(Cockpit!$O$5,1)="A",G1077,IF(BW1077=1,BX1077,IF(LEFT(Cockpit!$O$5,1)="B",AX1077,MAX(AX1077,G1077))))</f>
        <v>29</v>
      </c>
      <c r="AU1077" s="57" t="n">
        <f aca="false">IF(BR1077=1,0,ROUNDUP(AT1077/BQ1077,0))</f>
        <v>1</v>
      </c>
      <c r="AV1077" s="59" t="n">
        <f aca="false">IF(CD1077&gt;0,CD1077*MAX(1,AT1077/V1077),IF(BR1077=1,IF(AT1077&lt;=0,0,BS1077*MAX(1,IF(G1077&gt;0,AT1077/G1077,1))),IF(Q1077&gt;0,AU1077/Q1077,0))/MAX(0.1,N(Parameter!$M$21)))</f>
        <v>0.00241545893719807</v>
      </c>
      <c r="AW1077" s="57" t="n">
        <f aca="false">AT1077*F1077</f>
        <v>374.1</v>
      </c>
      <c r="AX1077" s="57" t="n">
        <f aca="false">ROUNDUP(MAX(I1077/IF(BV1077&gt;0,BV1077,MAX(0.1,N(Cockpit!$O$6))),BY1077)/BQ1077,0)*BQ1077</f>
        <v>29</v>
      </c>
      <c r="AY1077" s="58" t="n">
        <f aca="false">IF(AV1077&gt;0,I1077/AV1077,-1)</f>
        <v>3312</v>
      </c>
      <c r="AZ1077" s="58" t="n">
        <f aca="false">IF(AND(OR(BU1077="L1",BU1077="L23"),AV1077&gt;0),SUMIFS($AV$7:$AV$1576,$BU$7:$BU$1576,BU1077,$AY$7:$AY$1576,"&gt;"&amp;AY1077)+SUMIFS($AV$7:$AV$1576,$BU$7:$BU$1576,BU1077,$AY$7:$AY$1576,AY1077,$BO$7:$BO$1576,"&lt;="&amp;BO1077),"")</f>
        <v>12.6892966217358</v>
      </c>
      <c r="BA1077" s="65" t="n">
        <f aca="false">IF(AZ1077="",0,MAX(0,MIN(1,(IF(BU1077="L1",Parameter!$E$5,Parameter!$E$6+Parameter!$E$7)-(AZ1077-AV1077))/AV1077)))</f>
        <v>1</v>
      </c>
      <c r="BB1077" s="55" t="str">
        <f aca="false">IF(AF1077&lt;=0,"",IF(BU1077="Aussen","Aussenlager",IF(BU1077="-","Nicht im Lift",IF(AK1077&gt;=1,"Lift",IF(AK1077&lt;=0,"Aussenlager","teilweise")))))</f>
        <v/>
      </c>
      <c r="BC1077" s="55" t="str">
        <f aca="false">IF(AN1077&lt;=0,"",IF(BU1077="Aussen","Aussenlager",IF(BU1077="-","Nicht im Lift",IF(AS1077&gt;=1,"Lift",IF(AS1077&lt;=0,"Aussenlager","teilweise")))))</f>
        <v>Lift</v>
      </c>
      <c r="BD1077" s="55" t="str">
        <f aca="false">IF(AV1077&lt;=0,"",IF(BU1077="Aussen","Aussenlager",IF(BU1077="-","Nicht im Lift",IF(BA1077&gt;=1,"Lift",IF(BA1077&lt;=0,"Aussenlager","teilweise")))))</f>
        <v>Lift</v>
      </c>
      <c r="BE1077" s="55" t="str">
        <f aca="false">IF(A1077="","",IF(BN1077=1,"Neu; ","")&amp;IF(AND(BN1077=0,BI1077&lt;0),"negativer Bestand (Export "&amp;BI1077&amp;"); ","")&amp;IF(I1077&lt;=0,"Kein Verbrauch; ","")&amp;IF(CD1077&gt;0,"Lift "&amp;U1077&amp;" lt. Liftbericht (Fach "&amp;V1077&amp;" Stk); ",IF(BR1077=1,"Lose – Fläche geschätzt; ",""))&amp;IF(G1077&gt;AP1077,"Überbestand "&amp;ROUND(G1077-AP1077,0)&amp;" Stk / CHF "&amp;ROUND((G1077-AP1077)*F1077,0)&amp;"; ","")&amp;IF(AND(BW1077=1,BX1077&lt;BY1077),"MAX &lt; MB+LG; ","")&amp;IF(AND(CC1077&gt;0,CB1077*10&gt;CC1077),"zu hoch für Tablar; ","")&amp;IF(AND(BN1077=0,OR(BW1077=1,Y1077&lt;&gt;"",S1077&lt;&gt;"",T1077&lt;&gt;"",Z1077&lt;&gt;"")),"manuell übersteuert; ","")&amp;IF(AND(BR1077=0,Q1077=0),"Gebinde unbekannt / Stellmass fehlt; ","")&amp;IF(AND(BR1077=0,N(T1077)&lt;=0,N(P1077)&lt;=0),"Menge pro Gebinde fehlt (Ist = 1 Gebinde); ","")&amp;BM1077)</f>
        <v>negativer Bestand (Export -14); </v>
      </c>
      <c r="BF1077" s="55"/>
      <c r="BG1077" s="55"/>
      <c r="BH1077" s="62"/>
      <c r="BI1077" s="57" t="n">
        <v>-14</v>
      </c>
      <c r="BJ1077" s="57" t="n">
        <v>27</v>
      </c>
      <c r="BK1077" s="56" t="n">
        <v>-180.6</v>
      </c>
      <c r="BL1077" s="57" t="n">
        <v>8</v>
      </c>
      <c r="BM1077" s="55"/>
      <c r="BN1077" s="60" t="n">
        <v>0</v>
      </c>
      <c r="BO1077" s="60" t="n">
        <v>1077</v>
      </c>
      <c r="BP1077" s="55" t="str">
        <f aca="false">IF(S1077&lt;&gt;"",UPPER(TRIM(S1077)),IF(O1077="","LOSE",O1077))</f>
        <v>S21</v>
      </c>
      <c r="BQ1077" s="57" t="n">
        <f aca="false">IF(BP1077="LOSE",1,IF(N(T1077)&gt;0,T1077,IF(N(P1077)&gt;0,P1077,MAX(1,G1077))))</f>
        <v>29</v>
      </c>
      <c r="BR1077" s="60" t="n">
        <f aca="false">IF(BP1077="LOSE",1,0)</f>
        <v>0</v>
      </c>
      <c r="BS1077" s="59" t="n">
        <f aca="false">IF(BR1077=0,0,IF(N(R1077)&gt;0,R1077,IFERROR(VLOOKUP(D1077,Parameter!$A$35:$C$64,3,0)+0,0)))</f>
        <v>0</v>
      </c>
      <c r="BT1077" s="55" t="n">
        <f aca="false">IF(Y1077&lt;&gt;"",Y1077,X1077)</f>
        <v>3</v>
      </c>
      <c r="BU1077" s="55" t="str">
        <f aca="false">IF(BT1077=1,"L1",IF(OR(BT1077=2,BT1077=3),"L23",IF(BT1077="Aussen","Aussen","-")))</f>
        <v>L23</v>
      </c>
      <c r="BV1077" s="66" t="n">
        <f aca="false">IF(N(Z1077)&gt;0,Z1077,0)</f>
        <v>0</v>
      </c>
      <c r="BW1077" s="60" t="n">
        <f aca="false">IF(ISNUMBER(AC1077),1,0)</f>
        <v>0</v>
      </c>
      <c r="BX1077" s="57" t="n">
        <f aca="false">N(AC1077)</f>
        <v>0</v>
      </c>
      <c r="BY1077" s="57" t="n">
        <f aca="false">N(L1077)+N(M1077)</f>
        <v>10</v>
      </c>
      <c r="BZ1077" s="57" t="n">
        <f aca="false">ROUNDUP(G1077/BQ1077,0)</f>
        <v>0</v>
      </c>
      <c r="CA1077" s="57" t="n">
        <f aca="false">ROUNDUP(BX1077/BQ1077,0)</f>
        <v>0</v>
      </c>
      <c r="CB1077" s="60" t="n">
        <f aca="false">IF(BR1077=1,0,IFERROR(VLOOKUP(BP1077,'Gebinde-Kategorie'!$A$5:$M$45,5,0)+0,0))</f>
        <v>8</v>
      </c>
      <c r="CC1077" s="60" t="n">
        <f aca="false">IFERROR(IF(OR(BT1077=1,BT1077=2,BT1077=3),N(INDEX(Parameter!$I$5:$I$7,BT1077)),0),0)</f>
        <v>0</v>
      </c>
      <c r="CD1077" s="59" t="n">
        <f aca="false">IF(AND(Parameter!$B$21="Ja",ISNUMBER(U1077),N(V1077)&gt;0),IFERROR(N(INDEX(Parameter!$L$5:$L$7,U1077))*INDEX(Parameter!$E$5:$E$7,U1077)*V1077/SUMIFS($V$7:$V$1576,$U$7:$U$1576,U1077),0),0)</f>
        <v>0</v>
      </c>
    </row>
    <row r="1078" customFormat="false" ht="15" hidden="false" customHeight="false" outlineLevel="0" collapsed="false">
      <c r="A1078" s="55" t="s">
        <v>1954</v>
      </c>
      <c r="B1078" s="55" t="s">
        <v>1955</v>
      </c>
      <c r="C1078" s="55" t="s">
        <v>160</v>
      </c>
      <c r="D1078" s="55" t="s">
        <v>178</v>
      </c>
      <c r="E1078" s="55" t="s">
        <v>210</v>
      </c>
      <c r="F1078" s="56" t="n">
        <v>8.9</v>
      </c>
      <c r="G1078" s="57" t="n">
        <f aca="false">MAX(0,IF(AND(Parameter!$B$21="Ja",ISNUMBER(W1078)),W1078,IF(Parameter!$B$20="Jahresanfang 2025 + Export",BJ1078+BI1078,BI1078)))</f>
        <v>0</v>
      </c>
      <c r="H1078" s="57" t="n">
        <f aca="false">G1078*F1078</f>
        <v>0</v>
      </c>
      <c r="I1078" s="57" t="n">
        <f aca="false">BL1078*Parameter!$B$18</f>
        <v>23</v>
      </c>
      <c r="J1078" s="58" t="n">
        <v>34</v>
      </c>
      <c r="K1078" s="59" t="n">
        <v>0.676470588235294</v>
      </c>
      <c r="L1078" s="57" t="n">
        <v>1</v>
      </c>
      <c r="M1078" s="57" t="n">
        <v>25</v>
      </c>
      <c r="N1078" s="60" t="n">
        <v>28</v>
      </c>
      <c r="O1078" s="55" t="s">
        <v>465</v>
      </c>
      <c r="P1078" s="57" t="n">
        <v>27</v>
      </c>
      <c r="Q1078" s="60" t="n">
        <f aca="false">IF(BR1078=1,0,IFERROR(VLOOKUP(BP1078,'Gebinde-Kategorie'!$A$5:$M$45,13,0)+0,0))</f>
        <v>66</v>
      </c>
      <c r="R1078" s="61"/>
      <c r="S1078" s="62"/>
      <c r="T1078" s="62"/>
      <c r="U1078" s="55"/>
      <c r="V1078" s="57"/>
      <c r="W1078" s="57"/>
      <c r="X1078" s="55" t="n">
        <f aca="false">IF(A1078="","",IF(AND(Parameter!$B$21="Ja",ISNUMBER(U1078)),U1078,IF(IFERROR(VLOOKUP(D1078,Parameter!$A$35:$C$64,2,0),"Nein")="2+3",IF(ISNUMBER(SEARCH("grosser Artikel",BM1078)),2,IFERROR(VLOOKUP(BP1078,Parameter!$F$35:$G$64,2,0),2)),IF(OR(IFERROR(VLOOKUP(D1078,Parameter!$A$35:$C$64,2,0),"Nein")="Nein",IFERROR(VLOOKUP(D1078,Parameter!$A$35:$C$64,2,0),"Nein")=""),"-",VLOOKUP(D1078,Parameter!$A$35:$C$64,2,0)))))</f>
        <v>3</v>
      </c>
      <c r="Y1078" s="62"/>
      <c r="Z1078" s="63"/>
      <c r="AA1078" s="57" t="n">
        <f aca="false">AP1078</f>
        <v>27</v>
      </c>
      <c r="AB1078" s="57" t="n">
        <f aca="false">MAX(AP1078,G1078)</f>
        <v>27</v>
      </c>
      <c r="AC1078" s="64"/>
      <c r="AD1078" s="57" t="n">
        <f aca="false">IF(LEFT(Cockpit!$C$5,1)="A",G1078,IF(BW1078=1,BX1078,IF(LEFT(Cockpit!$C$5,1)="B",AH1078,MAX(AH1078,G1078))))</f>
        <v>0</v>
      </c>
      <c r="AE1078" s="57" t="n">
        <f aca="false">IF(BR1078=1,0,ROUNDUP(AD1078/BQ1078,0))</f>
        <v>0</v>
      </c>
      <c r="AF1078" s="59" t="n">
        <f aca="false">IF(CD1078&gt;0,CD1078*MAX(1,AD1078/V1078),IF(BR1078=1,IF(AD1078&lt;=0,0,BS1078*MAX(1,IF(G1078&gt;0,AD1078/G1078,1))),IF(Q1078&gt;0,AE1078/Q1078,0))/MAX(0.1,N(Parameter!$M$21)))</f>
        <v>0</v>
      </c>
      <c r="AG1078" s="57" t="n">
        <f aca="false">AD1078*F1078</f>
        <v>0</v>
      </c>
      <c r="AH1078" s="57" t="n">
        <f aca="false">ROUNDUP(MAX(I1078/IF(BV1078&gt;0,BV1078,MAX(0.1,N(Cockpit!$C$6))),BY1078)/BQ1078,0)*BQ1078</f>
        <v>27</v>
      </c>
      <c r="AI1078" s="58" t="n">
        <f aca="false">IF(AF1078&gt;0,I1078/AF1078,-1)</f>
        <v>-1</v>
      </c>
      <c r="AJ1078" s="58" t="str">
        <f aca="false">IF(AND(OR(BU1078="L1",BU1078="L23"),AF1078&gt;0),SUMIFS($AF$7:$AF$1576,$BU$7:$BU$1576,BU1078,$AI$7:$AI$1576,"&gt;"&amp;AI1078)+SUMIFS($AF$7:$AF$1576,$BU$7:$BU$1576,BU1078,$AI$7:$AI$1576,AI1078,$BO$7:$BO$1576,"&lt;="&amp;BO1078),"")</f>
        <v/>
      </c>
      <c r="AK1078" s="65" t="n">
        <f aca="false">IF(AJ1078="",0,MAX(0,MIN(1,(IF(BU1078="L1",Parameter!$E$5,Parameter!$E$6+Parameter!$E$7)-(AJ1078-AF1078))/AF1078)))</f>
        <v>0</v>
      </c>
      <c r="AL1078" s="57" t="n">
        <f aca="false">IF(LEFT(Cockpit!$I$5,1)="A",G1078,IF(BW1078=1,BX1078,IF(LEFT(Cockpit!$I$5,1)="B",AP1078,MAX(AP1078,G1078))))</f>
        <v>27</v>
      </c>
      <c r="AM1078" s="57" t="n">
        <f aca="false">IF(BR1078=1,0,ROUNDUP(AL1078/BQ1078,0))</f>
        <v>1</v>
      </c>
      <c r="AN1078" s="59" t="n">
        <f aca="false">IF(CD1078&gt;0,CD1078*MAX(1,AL1078/V1078),IF(BR1078=1,IF(AL1078&lt;=0,0,BS1078*MAX(1,IF(G1078&gt;0,AL1078/G1078,1))),IF(Q1078&gt;0,AM1078/Q1078,0))/MAX(0.1,N(Parameter!$M$21)))</f>
        <v>0.0151515151515152</v>
      </c>
      <c r="AO1078" s="57" t="n">
        <f aca="false">AL1078*F1078</f>
        <v>240.3</v>
      </c>
      <c r="AP1078" s="57" t="n">
        <f aca="false">ROUNDUP(MAX(I1078/IF(BV1078&gt;0,BV1078,MAX(0.1,N(Cockpit!$I$6))),BY1078)/BQ1078,0)*BQ1078</f>
        <v>27</v>
      </c>
      <c r="AQ1078" s="58" t="n">
        <f aca="false">IF(AN1078&gt;0,I1078/AN1078,-1)</f>
        <v>1518</v>
      </c>
      <c r="AR1078" s="58" t="n">
        <f aca="false">IF(AND(OR(BU1078="L1",BU1078="L23"),AN1078&gt;0),SUMIFS($AN$7:$AN$1576,$BU$7:$BU$1576,BU1078,$AQ$7:$AQ$1576,"&gt;"&amp;AQ1078)+SUMIFS($AN$7:$AN$1576,$BU$7:$BU$1576,BU1078,$AQ$7:$AQ$1576,AQ1078,$BO$7:$BO$1576,"&lt;="&amp;BO1078),"")</f>
        <v>18.9397472699758</v>
      </c>
      <c r="AS1078" s="65" t="n">
        <f aca="false">IF(AR1078="",0,MAX(0,MIN(1,(IF(BU1078="L1",Parameter!$E$5,Parameter!$E$6+Parameter!$E$7)-(AR1078-AN1078))/AN1078)))</f>
        <v>1</v>
      </c>
      <c r="AT1078" s="57" t="n">
        <f aca="false">IF(LEFT(Cockpit!$O$5,1)="A",G1078,IF(BW1078=1,BX1078,IF(LEFT(Cockpit!$O$5,1)="B",AX1078,MAX(AX1078,G1078))))</f>
        <v>27</v>
      </c>
      <c r="AU1078" s="57" t="n">
        <f aca="false">IF(BR1078=1,0,ROUNDUP(AT1078/BQ1078,0))</f>
        <v>1</v>
      </c>
      <c r="AV1078" s="59" t="n">
        <f aca="false">IF(CD1078&gt;0,CD1078*MAX(1,AT1078/V1078),IF(BR1078=1,IF(AT1078&lt;=0,0,BS1078*MAX(1,IF(G1078&gt;0,AT1078/G1078,1))),IF(Q1078&gt;0,AU1078/Q1078,0))/MAX(0.1,N(Parameter!$M$21)))</f>
        <v>0.0151515151515152</v>
      </c>
      <c r="AW1078" s="57" t="n">
        <f aca="false">AT1078*F1078</f>
        <v>240.3</v>
      </c>
      <c r="AX1078" s="57" t="n">
        <f aca="false">ROUNDUP(MAX(I1078/IF(BV1078&gt;0,BV1078,MAX(0.1,N(Cockpit!$O$6))),BY1078)/BQ1078,0)*BQ1078</f>
        <v>27</v>
      </c>
      <c r="AY1078" s="58" t="n">
        <f aca="false">IF(AV1078&gt;0,I1078/AV1078,-1)</f>
        <v>1518</v>
      </c>
      <c r="AZ1078" s="58" t="n">
        <f aca="false">IF(AND(OR(BU1078="L1",BU1078="L23"),AV1078&gt;0),SUMIFS($AV$7:$AV$1576,$BU$7:$BU$1576,BU1078,$AY$7:$AY$1576,"&gt;"&amp;AY1078)+SUMIFS($AV$7:$AV$1576,$BU$7:$BU$1576,BU1078,$AY$7:$AY$1576,AY1078,$BO$7:$BO$1576,"&lt;="&amp;BO1078),"")</f>
        <v>17.9170199972486</v>
      </c>
      <c r="BA1078" s="65" t="n">
        <f aca="false">IF(AZ1078="",0,MAX(0,MIN(1,(IF(BU1078="L1",Parameter!$E$5,Parameter!$E$6+Parameter!$E$7)-(AZ1078-AV1078))/AV1078)))</f>
        <v>1</v>
      </c>
      <c r="BB1078" s="55" t="str">
        <f aca="false">IF(AF1078&lt;=0,"",IF(BU1078="Aussen","Aussenlager",IF(BU1078="-","Nicht im Lift",IF(AK1078&gt;=1,"Lift",IF(AK1078&lt;=0,"Aussenlager","teilweise")))))</f>
        <v/>
      </c>
      <c r="BC1078" s="55" t="str">
        <f aca="false">IF(AN1078&lt;=0,"",IF(BU1078="Aussen","Aussenlager",IF(BU1078="-","Nicht im Lift",IF(AS1078&gt;=1,"Lift",IF(AS1078&lt;=0,"Aussenlager","teilweise")))))</f>
        <v>Lift</v>
      </c>
      <c r="BD1078" s="55" t="str">
        <f aca="false">IF(AV1078&lt;=0,"",IF(BU1078="Aussen","Aussenlager",IF(BU1078="-","Nicht im Lift",IF(BA1078&gt;=1,"Lift",IF(BA1078&lt;=0,"Aussenlager","teilweise")))))</f>
        <v>Lift</v>
      </c>
      <c r="BE1078" s="55" t="str">
        <f aca="false">IF(A1078="","",IF(BN1078=1,"Neu; ","")&amp;IF(AND(BN1078=0,BI1078&lt;0),"negativer Bestand (Export "&amp;BI1078&amp;"); ","")&amp;IF(I1078&lt;=0,"Kein Verbrauch; ","")&amp;IF(CD1078&gt;0,"Lift "&amp;U1078&amp;" lt. Liftbericht (Fach "&amp;V1078&amp;" Stk); ",IF(BR1078=1,"Lose – Fläche geschätzt; ",""))&amp;IF(G1078&gt;AP1078,"Überbestand "&amp;ROUND(G1078-AP1078,0)&amp;" Stk / CHF "&amp;ROUND((G1078-AP1078)*F1078,0)&amp;"; ","")&amp;IF(AND(BW1078=1,BX1078&lt;BY1078),"MAX &lt; MB+LG; ","")&amp;IF(AND(CC1078&gt;0,CB1078*10&gt;CC1078),"zu hoch für Tablar; ","")&amp;IF(AND(BN1078=0,OR(BW1078=1,Y1078&lt;&gt;"",S1078&lt;&gt;"",T1078&lt;&gt;"",Z1078&lt;&gt;"")),"manuell übersteuert; ","")&amp;IF(AND(BR1078=0,Q1078=0),"Gebinde unbekannt / Stellmass fehlt; ","")&amp;IF(AND(BR1078=0,N(T1078)&lt;=0,N(P1078)&lt;=0),"Menge pro Gebinde fehlt (Ist = 1 Gebinde); ","")&amp;BM1078)</f>
        <v>negativer Bestand (Export -17); </v>
      </c>
      <c r="BF1078" s="55"/>
      <c r="BG1078" s="55"/>
      <c r="BH1078" s="62"/>
      <c r="BI1078" s="57" t="n">
        <v>-17</v>
      </c>
      <c r="BJ1078" s="57" t="n">
        <v>30</v>
      </c>
      <c r="BK1078" s="56" t="n">
        <v>-182.2</v>
      </c>
      <c r="BL1078" s="57" t="n">
        <v>23</v>
      </c>
      <c r="BM1078" s="55"/>
      <c r="BN1078" s="60" t="n">
        <v>0</v>
      </c>
      <c r="BO1078" s="60" t="n">
        <v>1078</v>
      </c>
      <c r="BP1078" s="55" t="str">
        <f aca="false">IF(S1078&lt;&gt;"",UPPER(TRIM(S1078)),IF(O1078="","LOSE",O1078))</f>
        <v>S33</v>
      </c>
      <c r="BQ1078" s="57" t="n">
        <f aca="false">IF(BP1078="LOSE",1,IF(N(T1078)&gt;0,T1078,IF(N(P1078)&gt;0,P1078,MAX(1,G1078))))</f>
        <v>27</v>
      </c>
      <c r="BR1078" s="60" t="n">
        <f aca="false">IF(BP1078="LOSE",1,0)</f>
        <v>0</v>
      </c>
      <c r="BS1078" s="59" t="n">
        <f aca="false">IF(BR1078=0,0,IF(N(R1078)&gt;0,R1078,IFERROR(VLOOKUP(D1078,Parameter!$A$35:$C$64,3,0)+0,0)))</f>
        <v>0</v>
      </c>
      <c r="BT1078" s="55" t="n">
        <f aca="false">IF(Y1078&lt;&gt;"",Y1078,X1078)</f>
        <v>3</v>
      </c>
      <c r="BU1078" s="55" t="str">
        <f aca="false">IF(BT1078=1,"L1",IF(OR(BT1078=2,BT1078=3),"L23",IF(BT1078="Aussen","Aussen","-")))</f>
        <v>L23</v>
      </c>
      <c r="BV1078" s="66" t="n">
        <f aca="false">IF(N(Z1078)&gt;0,Z1078,0)</f>
        <v>0</v>
      </c>
      <c r="BW1078" s="60" t="n">
        <f aca="false">IF(ISNUMBER(AC1078),1,0)</f>
        <v>0</v>
      </c>
      <c r="BX1078" s="57" t="n">
        <f aca="false">N(AC1078)</f>
        <v>0</v>
      </c>
      <c r="BY1078" s="57" t="n">
        <f aca="false">N(L1078)+N(M1078)</f>
        <v>26</v>
      </c>
      <c r="BZ1078" s="57" t="n">
        <f aca="false">ROUNDUP(G1078/BQ1078,0)</f>
        <v>0</v>
      </c>
      <c r="CA1078" s="57" t="n">
        <f aca="false">ROUNDUP(BX1078/BQ1078,0)</f>
        <v>0</v>
      </c>
      <c r="CB1078" s="60" t="n">
        <f aca="false">IF(BR1078=1,0,IFERROR(VLOOKUP(BP1078,'Gebinde-Kategorie'!$A$5:$M$45,5,0)+0,0))</f>
        <v>8</v>
      </c>
      <c r="CC1078" s="60" t="n">
        <f aca="false">IFERROR(IF(OR(BT1078=1,BT1078=2,BT1078=3),N(INDEX(Parameter!$I$5:$I$7,BT1078)),0),0)</f>
        <v>0</v>
      </c>
      <c r="CD1078" s="59" t="n">
        <f aca="false">IF(AND(Parameter!$B$21="Ja",ISNUMBER(U1078),N(V1078)&gt;0),IFERROR(N(INDEX(Parameter!$L$5:$L$7,U1078))*INDEX(Parameter!$E$5:$E$7,U1078)*V1078/SUMIFS($V$7:$V$1576,$U$7:$U$1576,U1078),0),0)</f>
        <v>0</v>
      </c>
    </row>
    <row r="1079" customFormat="false" ht="15" hidden="false" customHeight="false" outlineLevel="0" collapsed="false">
      <c r="A1079" s="55" t="s">
        <v>1956</v>
      </c>
      <c r="B1079" s="55" t="s">
        <v>397</v>
      </c>
      <c r="C1079" s="55" t="s">
        <v>160</v>
      </c>
      <c r="D1079" s="55" t="s">
        <v>178</v>
      </c>
      <c r="E1079" s="55" t="s">
        <v>210</v>
      </c>
      <c r="F1079" s="56" t="n">
        <v>0.03</v>
      </c>
      <c r="G1079" s="57" t="n">
        <f aca="false">MAX(0,IF(AND(Parameter!$B$21="Ja",ISNUMBER(W1079)),W1079,IF(Parameter!$B$20="Jahresanfang 2025 + Export",BJ1079+BI1079,BI1079)))</f>
        <v>0</v>
      </c>
      <c r="H1079" s="57" t="n">
        <f aca="false">G1079*F1079</f>
        <v>0</v>
      </c>
      <c r="I1079" s="57" t="n">
        <f aca="false">BL1079*Parameter!$B$18</f>
        <v>6186</v>
      </c>
      <c r="J1079" s="58" t="n">
        <v>5410.5</v>
      </c>
      <c r="K1079" s="59" t="n">
        <v>1.14333240920433</v>
      </c>
      <c r="L1079" s="57" t="n">
        <v>360</v>
      </c>
      <c r="M1079" s="57" t="n">
        <v>2000</v>
      </c>
      <c r="N1079" s="60" t="n">
        <v>21</v>
      </c>
      <c r="O1079" s="55" t="s">
        <v>465</v>
      </c>
      <c r="P1079" s="57" t="n">
        <v>5992</v>
      </c>
      <c r="Q1079" s="60" t="n">
        <f aca="false">IF(BR1079=1,0,IFERROR(VLOOKUP(BP1079,'Gebinde-Kategorie'!$A$5:$M$45,13,0)+0,0))</f>
        <v>66</v>
      </c>
      <c r="R1079" s="61"/>
      <c r="S1079" s="62"/>
      <c r="T1079" s="62"/>
      <c r="U1079" s="55"/>
      <c r="V1079" s="57"/>
      <c r="W1079" s="57"/>
      <c r="X1079" s="55" t="n">
        <f aca="false">IF(A1079="","",IF(AND(Parameter!$B$21="Ja",ISNUMBER(U1079)),U1079,IF(IFERROR(VLOOKUP(D1079,Parameter!$A$35:$C$64,2,0),"Nein")="2+3",IF(ISNUMBER(SEARCH("grosser Artikel",BM1079)),2,IFERROR(VLOOKUP(BP1079,Parameter!$F$35:$G$64,2,0),2)),IF(OR(IFERROR(VLOOKUP(D1079,Parameter!$A$35:$C$64,2,0),"Nein")="Nein",IFERROR(VLOOKUP(D1079,Parameter!$A$35:$C$64,2,0),"Nein")=""),"-",VLOOKUP(D1079,Parameter!$A$35:$C$64,2,0)))))</f>
        <v>3</v>
      </c>
      <c r="Y1079" s="62"/>
      <c r="Z1079" s="63"/>
      <c r="AA1079" s="57" t="n">
        <f aca="false">AP1079</f>
        <v>5992</v>
      </c>
      <c r="AB1079" s="57" t="n">
        <f aca="false">MAX(AP1079,G1079)</f>
        <v>5992</v>
      </c>
      <c r="AC1079" s="64"/>
      <c r="AD1079" s="57" t="n">
        <f aca="false">IF(LEFT(Cockpit!$C$5,1)="A",G1079,IF(BW1079=1,BX1079,IF(LEFT(Cockpit!$C$5,1)="B",AH1079,MAX(AH1079,G1079))))</f>
        <v>0</v>
      </c>
      <c r="AE1079" s="57" t="n">
        <f aca="false">IF(BR1079=1,0,ROUNDUP(AD1079/BQ1079,0))</f>
        <v>0</v>
      </c>
      <c r="AF1079" s="59" t="n">
        <f aca="false">IF(CD1079&gt;0,CD1079*MAX(1,AD1079/V1079),IF(BR1079=1,IF(AD1079&lt;=0,0,BS1079*MAX(1,IF(G1079&gt;0,AD1079/G1079,1))),IF(Q1079&gt;0,AE1079/Q1079,0))/MAX(0.1,N(Parameter!$M$21)))</f>
        <v>0</v>
      </c>
      <c r="AG1079" s="57" t="n">
        <f aca="false">AD1079*F1079</f>
        <v>0</v>
      </c>
      <c r="AH1079" s="57" t="n">
        <f aca="false">ROUNDUP(MAX(I1079/IF(BV1079&gt;0,BV1079,MAX(0.1,N(Cockpit!$C$6))),BY1079)/BQ1079,0)*BQ1079</f>
        <v>5992</v>
      </c>
      <c r="AI1079" s="58" t="n">
        <f aca="false">IF(AF1079&gt;0,I1079/AF1079,-1)</f>
        <v>-1</v>
      </c>
      <c r="AJ1079" s="58" t="str">
        <f aca="false">IF(AND(OR(BU1079="L1",BU1079="L23"),AF1079&gt;0),SUMIFS($AF$7:$AF$1576,$BU$7:$BU$1576,BU1079,$AI$7:$AI$1576,"&gt;"&amp;AI1079)+SUMIFS($AF$7:$AF$1576,$BU$7:$BU$1576,BU1079,$AI$7:$AI$1576,AI1079,$BO$7:$BO$1576,"&lt;="&amp;BO1079),"")</f>
        <v/>
      </c>
      <c r="AK1079" s="65" t="n">
        <f aca="false">IF(AJ1079="",0,MAX(0,MIN(1,(IF(BU1079="L1",Parameter!$E$5,Parameter!$E$6+Parameter!$E$7)-(AJ1079-AF1079))/AF1079)))</f>
        <v>0</v>
      </c>
      <c r="AL1079" s="57" t="n">
        <f aca="false">IF(LEFT(Cockpit!$I$5,1)="A",G1079,IF(BW1079=1,BX1079,IF(LEFT(Cockpit!$I$5,1)="B",AP1079,MAX(AP1079,G1079))))</f>
        <v>5992</v>
      </c>
      <c r="AM1079" s="57" t="n">
        <f aca="false">IF(BR1079=1,0,ROUNDUP(AL1079/BQ1079,0))</f>
        <v>1</v>
      </c>
      <c r="AN1079" s="59" t="n">
        <f aca="false">IF(CD1079&gt;0,CD1079*MAX(1,AL1079/V1079),IF(BR1079=1,IF(AL1079&lt;=0,0,BS1079*MAX(1,IF(G1079&gt;0,AL1079/G1079,1))),IF(Q1079&gt;0,AM1079/Q1079,0))/MAX(0.1,N(Parameter!$M$21)))</f>
        <v>0.0151515151515152</v>
      </c>
      <c r="AO1079" s="57" t="n">
        <f aca="false">AL1079*F1079</f>
        <v>179.76</v>
      </c>
      <c r="AP1079" s="57" t="n">
        <f aca="false">ROUNDUP(MAX(I1079/IF(BV1079&gt;0,BV1079,MAX(0.1,N(Cockpit!$I$6))),BY1079)/BQ1079,0)*BQ1079</f>
        <v>5992</v>
      </c>
      <c r="AQ1079" s="58" t="n">
        <f aca="false">IF(AN1079&gt;0,I1079/AN1079,-1)</f>
        <v>408276</v>
      </c>
      <c r="AR1079" s="58" t="n">
        <f aca="false">IF(AND(OR(BU1079="L1",BU1079="L23"),AN1079&gt;0),SUMIFS($AN$7:$AN$1576,$BU$7:$BU$1576,BU1079,$AQ$7:$AQ$1576,"&gt;"&amp;AQ1079)+SUMIFS($AN$7:$AN$1576,$BU$7:$BU$1576,BU1079,$AQ$7:$AQ$1576,AQ1079,$BO$7:$BO$1576,"&lt;="&amp;BO1079),"")</f>
        <v>0.0151515151515152</v>
      </c>
      <c r="AS1079" s="65" t="n">
        <f aca="false">IF(AR1079="",0,MAX(0,MIN(1,(IF(BU1079="L1",Parameter!$E$5,Parameter!$E$6+Parameter!$E$7)-(AR1079-AN1079))/AN1079)))</f>
        <v>1</v>
      </c>
      <c r="AT1079" s="57" t="n">
        <f aca="false">IF(LEFT(Cockpit!$O$5,1)="A",G1079,IF(BW1079=1,BX1079,IF(LEFT(Cockpit!$O$5,1)="B",AX1079,MAX(AX1079,G1079))))</f>
        <v>5992</v>
      </c>
      <c r="AU1079" s="57" t="n">
        <f aca="false">IF(BR1079=1,0,ROUNDUP(AT1079/BQ1079,0))</f>
        <v>1</v>
      </c>
      <c r="AV1079" s="59" t="n">
        <f aca="false">IF(CD1079&gt;0,CD1079*MAX(1,AT1079/V1079),IF(BR1079=1,IF(AT1079&lt;=0,0,BS1079*MAX(1,IF(G1079&gt;0,AT1079/G1079,1))),IF(Q1079&gt;0,AU1079/Q1079,0))/MAX(0.1,N(Parameter!$M$21)))</f>
        <v>0.0151515151515152</v>
      </c>
      <c r="AW1079" s="57" t="n">
        <f aca="false">AT1079*F1079</f>
        <v>179.76</v>
      </c>
      <c r="AX1079" s="57" t="n">
        <f aca="false">ROUNDUP(MAX(I1079/IF(BV1079&gt;0,BV1079,MAX(0.1,N(Cockpit!$O$6))),BY1079)/BQ1079,0)*BQ1079</f>
        <v>5992</v>
      </c>
      <c r="AY1079" s="58" t="n">
        <f aca="false">IF(AV1079&gt;0,I1079/AV1079,-1)</f>
        <v>408276</v>
      </c>
      <c r="AZ1079" s="58" t="n">
        <f aca="false">IF(AND(OR(BU1079="L1",BU1079="L23"),AV1079&gt;0),SUMIFS($AV$7:$AV$1576,$BU$7:$BU$1576,BU1079,$AY$7:$AY$1576,"&gt;"&amp;AY1079)+SUMIFS($AV$7:$AV$1576,$BU$7:$BU$1576,BU1079,$AY$7:$AY$1576,AY1079,$BO$7:$BO$1576,"&lt;="&amp;BO1079),"")</f>
        <v>0.0151515151515152</v>
      </c>
      <c r="BA1079" s="65" t="n">
        <f aca="false">IF(AZ1079="",0,MAX(0,MIN(1,(IF(BU1079="L1",Parameter!$E$5,Parameter!$E$6+Parameter!$E$7)-(AZ1079-AV1079))/AV1079)))</f>
        <v>1</v>
      </c>
      <c r="BB1079" s="55" t="str">
        <f aca="false">IF(AF1079&lt;=0,"",IF(BU1079="Aussen","Aussenlager",IF(BU1079="-","Nicht im Lift",IF(AK1079&gt;=1,"Lift",IF(AK1079&lt;=0,"Aussenlager","teilweise")))))</f>
        <v/>
      </c>
      <c r="BC1079" s="55" t="str">
        <f aca="false">IF(AN1079&lt;=0,"",IF(BU1079="Aussen","Aussenlager",IF(BU1079="-","Nicht im Lift",IF(AS1079&gt;=1,"Lift",IF(AS1079&lt;=0,"Aussenlager","teilweise")))))</f>
        <v>Lift</v>
      </c>
      <c r="BD1079" s="55" t="str">
        <f aca="false">IF(AV1079&lt;=0,"",IF(BU1079="Aussen","Aussenlager",IF(BU1079="-","Nicht im Lift",IF(BA1079&gt;=1,"Lift",IF(BA1079&lt;=0,"Aussenlager","teilweise")))))</f>
        <v>Lift</v>
      </c>
      <c r="BE1079" s="55" t="str">
        <f aca="false">IF(A1079="","",IF(BN1079=1,"Neu; ","")&amp;IF(AND(BN1079=0,BI1079&lt;0),"negativer Bestand (Export "&amp;BI1079&amp;"); ","")&amp;IF(I1079&lt;=0,"Kein Verbrauch; ","")&amp;IF(CD1079&gt;0,"Lift "&amp;U1079&amp;" lt. Liftbericht (Fach "&amp;V1079&amp;" Stk); ",IF(BR1079=1,"Lose – Fläche geschätzt; ",""))&amp;IF(G1079&gt;AP1079,"Überbestand "&amp;ROUND(G1079-AP1079,0)&amp;" Stk / CHF "&amp;ROUND((G1079-AP1079)*F1079,0)&amp;"; ","")&amp;IF(AND(BW1079=1,BX1079&lt;BY1079),"MAX &lt; MB+LG; ","")&amp;IF(AND(CC1079&gt;0,CB1079*10&gt;CC1079),"zu hoch für Tablar; ","")&amp;IF(AND(BN1079=0,OR(BW1079=1,Y1079&lt;&gt;"",S1079&lt;&gt;"",T1079&lt;&gt;"",Z1079&lt;&gt;"")),"manuell übersteuert; ","")&amp;IF(AND(BR1079=0,Q1079=0),"Gebinde unbekannt / Stellmass fehlt; ","")&amp;IF(AND(BR1079=0,N(T1079)&lt;=0,N(P1079)&lt;=0),"Menge pro Gebinde fehlt (Ist = 1 Gebinde); ","")&amp;BM1079)</f>
        <v>negativer Bestand (Export -6097); </v>
      </c>
      <c r="BF1079" s="55"/>
      <c r="BG1079" s="55"/>
      <c r="BH1079" s="62"/>
      <c r="BI1079" s="57" t="n">
        <v>-6097</v>
      </c>
      <c r="BJ1079" s="57" t="n">
        <v>7658</v>
      </c>
      <c r="BK1079" s="56" t="n">
        <v>-182.91</v>
      </c>
      <c r="BL1079" s="57" t="n">
        <v>6186</v>
      </c>
      <c r="BM1079" s="55"/>
      <c r="BN1079" s="60" t="n">
        <v>0</v>
      </c>
      <c r="BO1079" s="60" t="n">
        <v>1079</v>
      </c>
      <c r="BP1079" s="55" t="str">
        <f aca="false">IF(S1079&lt;&gt;"",UPPER(TRIM(S1079)),IF(O1079="","LOSE",O1079))</f>
        <v>S33</v>
      </c>
      <c r="BQ1079" s="57" t="n">
        <f aca="false">IF(BP1079="LOSE",1,IF(N(T1079)&gt;0,T1079,IF(N(P1079)&gt;0,P1079,MAX(1,G1079))))</f>
        <v>5992</v>
      </c>
      <c r="BR1079" s="60" t="n">
        <f aca="false">IF(BP1079="LOSE",1,0)</f>
        <v>0</v>
      </c>
      <c r="BS1079" s="59" t="n">
        <f aca="false">IF(BR1079=0,0,IF(N(R1079)&gt;0,R1079,IFERROR(VLOOKUP(D1079,Parameter!$A$35:$C$64,3,0)+0,0)))</f>
        <v>0</v>
      </c>
      <c r="BT1079" s="55" t="n">
        <f aca="false">IF(Y1079&lt;&gt;"",Y1079,X1079)</f>
        <v>3</v>
      </c>
      <c r="BU1079" s="55" t="str">
        <f aca="false">IF(BT1079=1,"L1",IF(OR(BT1079=2,BT1079=3),"L23",IF(BT1079="Aussen","Aussen","-")))</f>
        <v>L23</v>
      </c>
      <c r="BV1079" s="66" t="n">
        <f aca="false">IF(N(Z1079)&gt;0,Z1079,0)</f>
        <v>0</v>
      </c>
      <c r="BW1079" s="60" t="n">
        <f aca="false">IF(ISNUMBER(AC1079),1,0)</f>
        <v>0</v>
      </c>
      <c r="BX1079" s="57" t="n">
        <f aca="false">N(AC1079)</f>
        <v>0</v>
      </c>
      <c r="BY1079" s="57" t="n">
        <f aca="false">N(L1079)+N(M1079)</f>
        <v>2360</v>
      </c>
      <c r="BZ1079" s="57" t="n">
        <f aca="false">ROUNDUP(G1079/BQ1079,0)</f>
        <v>0</v>
      </c>
      <c r="CA1079" s="57" t="n">
        <f aca="false">ROUNDUP(BX1079/BQ1079,0)</f>
        <v>0</v>
      </c>
      <c r="CB1079" s="60" t="n">
        <f aca="false">IF(BR1079=1,0,IFERROR(VLOOKUP(BP1079,'Gebinde-Kategorie'!$A$5:$M$45,5,0)+0,0))</f>
        <v>8</v>
      </c>
      <c r="CC1079" s="60" t="n">
        <f aca="false">IFERROR(IF(OR(BT1079=1,BT1079=2,BT1079=3),N(INDEX(Parameter!$I$5:$I$7,BT1079)),0),0)</f>
        <v>0</v>
      </c>
      <c r="CD1079" s="59" t="n">
        <f aca="false">IF(AND(Parameter!$B$21="Ja",ISNUMBER(U1079),N(V1079)&gt;0),IFERROR(N(INDEX(Parameter!$L$5:$L$7,U1079))*INDEX(Parameter!$E$5:$E$7,U1079)*V1079/SUMIFS($V$7:$V$1576,$U$7:$U$1576,U1079),0),0)</f>
        <v>0</v>
      </c>
    </row>
    <row r="1080" customFormat="false" ht="15" hidden="false" customHeight="false" outlineLevel="0" collapsed="false">
      <c r="A1080" s="55" t="s">
        <v>1957</v>
      </c>
      <c r="B1080" s="55" t="s">
        <v>1903</v>
      </c>
      <c r="C1080" s="55" t="s">
        <v>160</v>
      </c>
      <c r="D1080" s="55" t="s">
        <v>178</v>
      </c>
      <c r="E1080" s="55" t="s">
        <v>210</v>
      </c>
      <c r="F1080" s="56" t="n">
        <v>45.83</v>
      </c>
      <c r="G1080" s="57" t="n">
        <f aca="false">MAX(0,IF(AND(Parameter!$B$21="Ja",ISNUMBER(W1080)),W1080,IF(Parameter!$B$20="Jahresanfang 2025 + Export",BJ1080+BI1080,BI1080)))</f>
        <v>0</v>
      </c>
      <c r="H1080" s="57" t="n">
        <f aca="false">G1080*F1080</f>
        <v>0</v>
      </c>
      <c r="I1080" s="57" t="n">
        <f aca="false">BL1080*Parameter!$B$18</f>
        <v>1</v>
      </c>
      <c r="J1080" s="58" t="n">
        <v>6.5</v>
      </c>
      <c r="K1080" s="59" t="n">
        <v>0.153846153846154</v>
      </c>
      <c r="L1080" s="57" t="n">
        <v>0</v>
      </c>
      <c r="M1080" s="57" t="n">
        <v>1</v>
      </c>
      <c r="N1080" s="60" t="n">
        <v>28</v>
      </c>
      <c r="O1080" s="55" t="s">
        <v>411</v>
      </c>
      <c r="P1080" s="57" t="n">
        <v>7</v>
      </c>
      <c r="Q1080" s="60" t="n">
        <f aca="false">IF(BR1080=1,0,IFERROR(VLOOKUP(BP1080,'Gebinde-Kategorie'!$A$5:$M$45,13,0)+0,0))</f>
        <v>132</v>
      </c>
      <c r="R1080" s="61"/>
      <c r="S1080" s="62"/>
      <c r="T1080" s="62"/>
      <c r="U1080" s="55"/>
      <c r="V1080" s="57"/>
      <c r="W1080" s="57"/>
      <c r="X1080" s="55" t="n">
        <f aca="false">IF(A1080="","",IF(AND(Parameter!$B$21="Ja",ISNUMBER(U1080)),U1080,IF(IFERROR(VLOOKUP(D1080,Parameter!$A$35:$C$64,2,0),"Nein")="2+3",IF(ISNUMBER(SEARCH("grosser Artikel",BM1080)),2,IFERROR(VLOOKUP(BP1080,Parameter!$F$35:$G$64,2,0),2)),IF(OR(IFERROR(VLOOKUP(D1080,Parameter!$A$35:$C$64,2,0),"Nein")="Nein",IFERROR(VLOOKUP(D1080,Parameter!$A$35:$C$64,2,0),"Nein")=""),"-",VLOOKUP(D1080,Parameter!$A$35:$C$64,2,0)))))</f>
        <v>3</v>
      </c>
      <c r="Y1080" s="62"/>
      <c r="Z1080" s="63"/>
      <c r="AA1080" s="57" t="n">
        <f aca="false">AP1080</f>
        <v>7</v>
      </c>
      <c r="AB1080" s="57" t="n">
        <f aca="false">MAX(AP1080,G1080)</f>
        <v>7</v>
      </c>
      <c r="AC1080" s="64"/>
      <c r="AD1080" s="57" t="n">
        <f aca="false">IF(LEFT(Cockpit!$C$5,1)="A",G1080,IF(BW1080=1,BX1080,IF(LEFT(Cockpit!$C$5,1)="B",AH1080,MAX(AH1080,G1080))))</f>
        <v>0</v>
      </c>
      <c r="AE1080" s="57" t="n">
        <f aca="false">IF(BR1080=1,0,ROUNDUP(AD1080/BQ1080,0))</f>
        <v>0</v>
      </c>
      <c r="AF1080" s="59" t="n">
        <f aca="false">IF(CD1080&gt;0,CD1080*MAX(1,AD1080/V1080),IF(BR1080=1,IF(AD1080&lt;=0,0,BS1080*MAX(1,IF(G1080&gt;0,AD1080/G1080,1))),IF(Q1080&gt;0,AE1080/Q1080,0))/MAX(0.1,N(Parameter!$M$21)))</f>
        <v>0</v>
      </c>
      <c r="AG1080" s="57" t="n">
        <f aca="false">AD1080*F1080</f>
        <v>0</v>
      </c>
      <c r="AH1080" s="57" t="n">
        <f aca="false">ROUNDUP(MAX(I1080/IF(BV1080&gt;0,BV1080,MAX(0.1,N(Cockpit!$C$6))),BY1080)/BQ1080,0)*BQ1080</f>
        <v>7</v>
      </c>
      <c r="AI1080" s="58" t="n">
        <f aca="false">IF(AF1080&gt;0,I1080/AF1080,-1)</f>
        <v>-1</v>
      </c>
      <c r="AJ1080" s="58" t="str">
        <f aca="false">IF(AND(OR(BU1080="L1",BU1080="L23"),AF1080&gt;0),SUMIFS($AF$7:$AF$1576,$BU$7:$BU$1576,BU1080,$AI$7:$AI$1576,"&gt;"&amp;AI1080)+SUMIFS($AF$7:$AF$1576,$BU$7:$BU$1576,BU1080,$AI$7:$AI$1576,AI1080,$BO$7:$BO$1576,"&lt;="&amp;BO1080),"")</f>
        <v/>
      </c>
      <c r="AK1080" s="65" t="n">
        <f aca="false">IF(AJ1080="",0,MAX(0,MIN(1,(IF(BU1080="L1",Parameter!$E$5,Parameter!$E$6+Parameter!$E$7)-(AJ1080-AF1080))/AF1080)))</f>
        <v>0</v>
      </c>
      <c r="AL1080" s="57" t="n">
        <f aca="false">IF(LEFT(Cockpit!$I$5,1)="A",G1080,IF(BW1080=1,BX1080,IF(LEFT(Cockpit!$I$5,1)="B",AP1080,MAX(AP1080,G1080))))</f>
        <v>7</v>
      </c>
      <c r="AM1080" s="57" t="n">
        <f aca="false">IF(BR1080=1,0,ROUNDUP(AL1080/BQ1080,0))</f>
        <v>1</v>
      </c>
      <c r="AN1080" s="59" t="n">
        <f aca="false">IF(CD1080&gt;0,CD1080*MAX(1,AL1080/V1080),IF(BR1080=1,IF(AL1080&lt;=0,0,BS1080*MAX(1,IF(G1080&gt;0,AL1080/G1080,1))),IF(Q1080&gt;0,AM1080/Q1080,0))/MAX(0.1,N(Parameter!$M$21)))</f>
        <v>0.00757575757575758</v>
      </c>
      <c r="AO1080" s="57" t="n">
        <f aca="false">AL1080*F1080</f>
        <v>320.81</v>
      </c>
      <c r="AP1080" s="57" t="n">
        <f aca="false">ROUNDUP(MAX(I1080/IF(BV1080&gt;0,BV1080,MAX(0.1,N(Cockpit!$I$6))),BY1080)/BQ1080,0)*BQ1080</f>
        <v>7</v>
      </c>
      <c r="AQ1080" s="58" t="n">
        <f aca="false">IF(AN1080&gt;0,I1080/AN1080,-1)</f>
        <v>132</v>
      </c>
      <c r="AR1080" s="58" t="n">
        <f aca="false">IF(AND(OR(BU1080="L1",BU1080="L23"),AN1080&gt;0),SUMIFS($AN$7:$AN$1576,$BU$7:$BU$1576,BU1080,$AQ$7:$AQ$1576,"&gt;"&amp;AQ1080)+SUMIFS($AN$7:$AN$1576,$BU$7:$BU$1576,BU1080,$AQ$7:$AQ$1576,AQ1080,$BO$7:$BO$1576,"&lt;="&amp;BO1080),"")</f>
        <v>60.2904056454168</v>
      </c>
      <c r="AS1080" s="65" t="n">
        <f aca="false">IF(AR1080="",0,MAX(0,MIN(1,(IF(BU1080="L1",Parameter!$E$5,Parameter!$E$6+Parameter!$E$7)-(AR1080-AN1080))/AN1080)))</f>
        <v>1</v>
      </c>
      <c r="AT1080" s="57" t="n">
        <f aca="false">IF(LEFT(Cockpit!$O$5,1)="A",G1080,IF(BW1080=1,BX1080,IF(LEFT(Cockpit!$O$5,1)="B",AX1080,MAX(AX1080,G1080))))</f>
        <v>7</v>
      </c>
      <c r="AU1080" s="57" t="n">
        <f aca="false">IF(BR1080=1,0,ROUNDUP(AT1080/BQ1080,0))</f>
        <v>1</v>
      </c>
      <c r="AV1080" s="59" t="n">
        <f aca="false">IF(CD1080&gt;0,CD1080*MAX(1,AT1080/V1080),IF(BR1080=1,IF(AT1080&lt;=0,0,BS1080*MAX(1,IF(G1080&gt;0,AT1080/G1080,1))),IF(Q1080&gt;0,AU1080/Q1080,0))/MAX(0.1,N(Parameter!$M$21)))</f>
        <v>0.00757575757575758</v>
      </c>
      <c r="AW1080" s="57" t="n">
        <f aca="false">AT1080*F1080</f>
        <v>320.81</v>
      </c>
      <c r="AX1080" s="57" t="n">
        <f aca="false">ROUNDUP(MAX(I1080/IF(BV1080&gt;0,BV1080,MAX(0.1,N(Cockpit!$O$6))),BY1080)/BQ1080,0)*BQ1080</f>
        <v>7</v>
      </c>
      <c r="AY1080" s="58" t="n">
        <f aca="false">IF(AV1080&gt;0,I1080/AV1080,-1)</f>
        <v>132</v>
      </c>
      <c r="AZ1080" s="58" t="n">
        <f aca="false">IF(AND(OR(BU1080="L1",BU1080="L23"),AV1080&gt;0),SUMIFS($AV$7:$AV$1576,$BU$7:$BU$1576,BU1080,$AY$7:$AY$1576,"&gt;"&amp;AY1080)+SUMIFS($AV$7:$AV$1576,$BU$7:$BU$1576,BU1080,$AY$7:$AY$1576,AY1080,$BO$7:$BO$1576,"&lt;="&amp;BO1080),"")</f>
        <v>54.9528727616339</v>
      </c>
      <c r="BA1080" s="65" t="n">
        <f aca="false">IF(AZ1080="",0,MAX(0,MIN(1,(IF(BU1080="L1",Parameter!$E$5,Parameter!$E$6+Parameter!$E$7)-(AZ1080-AV1080))/AV1080)))</f>
        <v>1</v>
      </c>
      <c r="BB1080" s="55" t="str">
        <f aca="false">IF(AF1080&lt;=0,"",IF(BU1080="Aussen","Aussenlager",IF(BU1080="-","Nicht im Lift",IF(AK1080&gt;=1,"Lift",IF(AK1080&lt;=0,"Aussenlager","teilweise")))))</f>
        <v/>
      </c>
      <c r="BC1080" s="55" t="str">
        <f aca="false">IF(AN1080&lt;=0,"",IF(BU1080="Aussen","Aussenlager",IF(BU1080="-","Nicht im Lift",IF(AS1080&gt;=1,"Lift",IF(AS1080&lt;=0,"Aussenlager","teilweise")))))</f>
        <v>Lift</v>
      </c>
      <c r="BD1080" s="55" t="str">
        <f aca="false">IF(AV1080&lt;=0,"",IF(BU1080="Aussen","Aussenlager",IF(BU1080="-","Nicht im Lift",IF(BA1080&gt;=1,"Lift",IF(BA1080&lt;=0,"Aussenlager","teilweise")))))</f>
        <v>Lift</v>
      </c>
      <c r="BE1080" s="55" t="str">
        <f aca="false">IF(A1080="","",IF(BN1080=1,"Neu; ","")&amp;IF(AND(BN1080=0,BI1080&lt;0),"negativer Bestand (Export "&amp;BI1080&amp;"); ","")&amp;IF(I1080&lt;=0,"Kein Verbrauch; ","")&amp;IF(CD1080&gt;0,"Lift "&amp;U1080&amp;" lt. Liftbericht (Fach "&amp;V1080&amp;" Stk); ",IF(BR1080=1,"Lose – Fläche geschätzt; ",""))&amp;IF(G1080&gt;AP1080,"Überbestand "&amp;ROUND(G1080-AP1080,0)&amp;" Stk / CHF "&amp;ROUND((G1080-AP1080)*F1080,0)&amp;"; ","")&amp;IF(AND(BW1080=1,BX1080&lt;BY1080),"MAX &lt; MB+LG; ","")&amp;IF(AND(CC1080&gt;0,CB1080*10&gt;CC1080),"zu hoch für Tablar; ","")&amp;IF(AND(BN1080=0,OR(BW1080=1,Y1080&lt;&gt;"",S1080&lt;&gt;"",T1080&lt;&gt;"",Z1080&lt;&gt;"")),"manuell übersteuert; ","")&amp;IF(AND(BR1080=0,Q1080=0),"Gebinde unbekannt / Stellmass fehlt; ","")&amp;IF(AND(BR1080=0,N(T1080)&lt;=0,N(P1080)&lt;=0),"Menge pro Gebinde fehlt (Ist = 1 Gebinde); ","")&amp;BM1080)</f>
        <v>negativer Bestand (Export -4); </v>
      </c>
      <c r="BF1080" s="55"/>
      <c r="BG1080" s="55"/>
      <c r="BH1080" s="62"/>
      <c r="BI1080" s="57" t="n">
        <v>-4</v>
      </c>
      <c r="BJ1080" s="57" t="n">
        <v>7</v>
      </c>
      <c r="BK1080" s="56" t="n">
        <v>-183.32</v>
      </c>
      <c r="BL1080" s="57" t="n">
        <v>1</v>
      </c>
      <c r="BM1080" s="55"/>
      <c r="BN1080" s="60" t="n">
        <v>0</v>
      </c>
      <c r="BO1080" s="60" t="n">
        <v>1080</v>
      </c>
      <c r="BP1080" s="55" t="str">
        <f aca="false">IF(S1080&lt;&gt;"",UPPER(TRIM(S1080)),IF(O1080="","LOSE",O1080))</f>
        <v>S32</v>
      </c>
      <c r="BQ1080" s="57" t="n">
        <f aca="false">IF(BP1080="LOSE",1,IF(N(T1080)&gt;0,T1080,IF(N(P1080)&gt;0,P1080,MAX(1,G1080))))</f>
        <v>7</v>
      </c>
      <c r="BR1080" s="60" t="n">
        <f aca="false">IF(BP1080="LOSE",1,0)</f>
        <v>0</v>
      </c>
      <c r="BS1080" s="59" t="n">
        <f aca="false">IF(BR1080=0,0,IF(N(R1080)&gt;0,R1080,IFERROR(VLOOKUP(D1080,Parameter!$A$35:$C$64,3,0)+0,0)))</f>
        <v>0</v>
      </c>
      <c r="BT1080" s="55" t="n">
        <f aca="false">IF(Y1080&lt;&gt;"",Y1080,X1080)</f>
        <v>3</v>
      </c>
      <c r="BU1080" s="55" t="str">
        <f aca="false">IF(BT1080=1,"L1",IF(OR(BT1080=2,BT1080=3),"L23",IF(BT1080="Aussen","Aussen","-")))</f>
        <v>L23</v>
      </c>
      <c r="BV1080" s="66" t="n">
        <f aca="false">IF(N(Z1080)&gt;0,Z1080,0)</f>
        <v>0</v>
      </c>
      <c r="BW1080" s="60" t="n">
        <f aca="false">IF(ISNUMBER(AC1080),1,0)</f>
        <v>0</v>
      </c>
      <c r="BX1080" s="57" t="n">
        <f aca="false">N(AC1080)</f>
        <v>0</v>
      </c>
      <c r="BY1080" s="57" t="n">
        <f aca="false">N(L1080)+N(M1080)</f>
        <v>1</v>
      </c>
      <c r="BZ1080" s="57" t="n">
        <f aca="false">ROUNDUP(G1080/BQ1080,0)</f>
        <v>0</v>
      </c>
      <c r="CA1080" s="57" t="n">
        <f aca="false">ROUNDUP(BX1080/BQ1080,0)</f>
        <v>0</v>
      </c>
      <c r="CB1080" s="60" t="n">
        <f aca="false">IF(BR1080=1,0,IFERROR(VLOOKUP(BP1080,'Gebinde-Kategorie'!$A$5:$M$45,5,0)+0,0))</f>
        <v>8</v>
      </c>
      <c r="CC1080" s="60" t="n">
        <f aca="false">IFERROR(IF(OR(BT1080=1,BT1080=2,BT1080=3),N(INDEX(Parameter!$I$5:$I$7,BT1080)),0),0)</f>
        <v>0</v>
      </c>
      <c r="CD1080" s="59" t="n">
        <f aca="false">IF(AND(Parameter!$B$21="Ja",ISNUMBER(U1080),N(V1080)&gt;0),IFERROR(N(INDEX(Parameter!$L$5:$L$7,U1080))*INDEX(Parameter!$E$5:$E$7,U1080)*V1080/SUMIFS($V$7:$V$1576,$U$7:$U$1576,U1080),0),0)</f>
        <v>0</v>
      </c>
    </row>
    <row r="1081" customFormat="false" ht="15" hidden="false" customHeight="false" outlineLevel="0" collapsed="false">
      <c r="A1081" s="55" t="s">
        <v>1958</v>
      </c>
      <c r="B1081" s="55" t="s">
        <v>484</v>
      </c>
      <c r="C1081" s="55" t="s">
        <v>160</v>
      </c>
      <c r="D1081" s="55" t="s">
        <v>178</v>
      </c>
      <c r="E1081" s="55" t="s">
        <v>210</v>
      </c>
      <c r="F1081" s="56" t="n">
        <v>3.55</v>
      </c>
      <c r="G1081" s="57" t="n">
        <f aca="false">MAX(0,IF(AND(Parameter!$B$21="Ja",ISNUMBER(W1081)),W1081,IF(Parameter!$B$20="Jahresanfang 2025 + Export",BJ1081+BI1081,BI1081)))</f>
        <v>0</v>
      </c>
      <c r="H1081" s="57" t="n">
        <f aca="false">G1081*F1081</f>
        <v>0</v>
      </c>
      <c r="I1081" s="57" t="n">
        <f aca="false">BL1081*Parameter!$B$18</f>
        <v>549</v>
      </c>
      <c r="J1081" s="58" t="n">
        <v>249.5</v>
      </c>
      <c r="K1081" s="59" t="n">
        <v>2.20040080160321</v>
      </c>
      <c r="L1081" s="57" t="n">
        <v>21</v>
      </c>
      <c r="M1081" s="57" t="n">
        <v>100</v>
      </c>
      <c r="N1081" s="60" t="n">
        <v>14</v>
      </c>
      <c r="O1081" s="55" t="s">
        <v>465</v>
      </c>
      <c r="P1081" s="57" t="n">
        <v>716</v>
      </c>
      <c r="Q1081" s="60" t="n">
        <f aca="false">IF(BR1081=1,0,IFERROR(VLOOKUP(BP1081,'Gebinde-Kategorie'!$A$5:$M$45,13,0)+0,0))</f>
        <v>66</v>
      </c>
      <c r="R1081" s="61"/>
      <c r="S1081" s="62"/>
      <c r="T1081" s="62"/>
      <c r="U1081" s="55"/>
      <c r="V1081" s="57"/>
      <c r="W1081" s="57"/>
      <c r="X1081" s="55" t="n">
        <f aca="false">IF(A1081="","",IF(AND(Parameter!$B$21="Ja",ISNUMBER(U1081)),U1081,IF(IFERROR(VLOOKUP(D1081,Parameter!$A$35:$C$64,2,0),"Nein")="2+3",IF(ISNUMBER(SEARCH("grosser Artikel",BM1081)),2,IFERROR(VLOOKUP(BP1081,Parameter!$F$35:$G$64,2,0),2)),IF(OR(IFERROR(VLOOKUP(D1081,Parameter!$A$35:$C$64,2,0),"Nein")="Nein",IFERROR(VLOOKUP(D1081,Parameter!$A$35:$C$64,2,0),"Nein")=""),"-",VLOOKUP(D1081,Parameter!$A$35:$C$64,2,0)))))</f>
        <v>3</v>
      </c>
      <c r="Y1081" s="62"/>
      <c r="Z1081" s="63"/>
      <c r="AA1081" s="57" t="n">
        <f aca="false">AP1081</f>
        <v>716</v>
      </c>
      <c r="AB1081" s="57" t="n">
        <f aca="false">MAX(AP1081,G1081)</f>
        <v>716</v>
      </c>
      <c r="AC1081" s="64"/>
      <c r="AD1081" s="57" t="n">
        <f aca="false">IF(LEFT(Cockpit!$C$5,1)="A",G1081,IF(BW1081=1,BX1081,IF(LEFT(Cockpit!$C$5,1)="B",AH1081,MAX(AH1081,G1081))))</f>
        <v>0</v>
      </c>
      <c r="AE1081" s="57" t="n">
        <f aca="false">IF(BR1081=1,0,ROUNDUP(AD1081/BQ1081,0))</f>
        <v>0</v>
      </c>
      <c r="AF1081" s="59" t="n">
        <f aca="false">IF(CD1081&gt;0,CD1081*MAX(1,AD1081/V1081),IF(BR1081=1,IF(AD1081&lt;=0,0,BS1081*MAX(1,IF(G1081&gt;0,AD1081/G1081,1))),IF(Q1081&gt;0,AE1081/Q1081,0))/MAX(0.1,N(Parameter!$M$21)))</f>
        <v>0</v>
      </c>
      <c r="AG1081" s="57" t="n">
        <f aca="false">AD1081*F1081</f>
        <v>0</v>
      </c>
      <c r="AH1081" s="57" t="n">
        <f aca="false">ROUNDUP(MAX(I1081/IF(BV1081&gt;0,BV1081,MAX(0.1,N(Cockpit!$C$6))),BY1081)/BQ1081,0)*BQ1081</f>
        <v>716</v>
      </c>
      <c r="AI1081" s="58" t="n">
        <f aca="false">IF(AF1081&gt;0,I1081/AF1081,-1)</f>
        <v>-1</v>
      </c>
      <c r="AJ1081" s="58" t="str">
        <f aca="false">IF(AND(OR(BU1081="L1",BU1081="L23"),AF1081&gt;0),SUMIFS($AF$7:$AF$1576,$BU$7:$BU$1576,BU1081,$AI$7:$AI$1576,"&gt;"&amp;AI1081)+SUMIFS($AF$7:$AF$1576,$BU$7:$BU$1576,BU1081,$AI$7:$AI$1576,AI1081,$BO$7:$BO$1576,"&lt;="&amp;BO1081),"")</f>
        <v/>
      </c>
      <c r="AK1081" s="65" t="n">
        <f aca="false">IF(AJ1081="",0,MAX(0,MIN(1,(IF(BU1081="L1",Parameter!$E$5,Parameter!$E$6+Parameter!$E$7)-(AJ1081-AF1081))/AF1081)))</f>
        <v>0</v>
      </c>
      <c r="AL1081" s="57" t="n">
        <f aca="false">IF(LEFT(Cockpit!$I$5,1)="A",G1081,IF(BW1081=1,BX1081,IF(LEFT(Cockpit!$I$5,1)="B",AP1081,MAX(AP1081,G1081))))</f>
        <v>716</v>
      </c>
      <c r="AM1081" s="57" t="n">
        <f aca="false">IF(BR1081=1,0,ROUNDUP(AL1081/BQ1081,0))</f>
        <v>1</v>
      </c>
      <c r="AN1081" s="59" t="n">
        <f aca="false">IF(CD1081&gt;0,CD1081*MAX(1,AL1081/V1081),IF(BR1081=1,IF(AL1081&lt;=0,0,BS1081*MAX(1,IF(G1081&gt;0,AL1081/G1081,1))),IF(Q1081&gt;0,AM1081/Q1081,0))/MAX(0.1,N(Parameter!$M$21)))</f>
        <v>0.0151515151515152</v>
      </c>
      <c r="AO1081" s="57" t="n">
        <f aca="false">AL1081*F1081</f>
        <v>2541.8</v>
      </c>
      <c r="AP1081" s="57" t="n">
        <f aca="false">ROUNDUP(MAX(I1081/IF(BV1081&gt;0,BV1081,MAX(0.1,N(Cockpit!$I$6))),BY1081)/BQ1081,0)*BQ1081</f>
        <v>716</v>
      </c>
      <c r="AQ1081" s="58" t="n">
        <f aca="false">IF(AN1081&gt;0,I1081/AN1081,-1)</f>
        <v>36234</v>
      </c>
      <c r="AR1081" s="58" t="n">
        <f aca="false">IF(AND(OR(BU1081="L1",BU1081="L23"),AN1081&gt;0),SUMIFS($AN$7:$AN$1576,$BU$7:$BU$1576,BU1081,$AQ$7:$AQ$1576,"&gt;"&amp;AQ1081)+SUMIFS($AN$7:$AN$1576,$BU$7:$BU$1576,BU1081,$AQ$7:$AQ$1576,AQ1081,$BO$7:$BO$1576,"&lt;="&amp;BO1081),"")</f>
        <v>1.91844295800818</v>
      </c>
      <c r="AS1081" s="65" t="n">
        <f aca="false">IF(AR1081="",0,MAX(0,MIN(1,(IF(BU1081="L1",Parameter!$E$5,Parameter!$E$6+Parameter!$E$7)-(AR1081-AN1081))/AN1081)))</f>
        <v>1</v>
      </c>
      <c r="AT1081" s="57" t="n">
        <f aca="false">IF(LEFT(Cockpit!$O$5,1)="A",G1081,IF(BW1081=1,BX1081,IF(LEFT(Cockpit!$O$5,1)="B",AX1081,MAX(AX1081,G1081))))</f>
        <v>716</v>
      </c>
      <c r="AU1081" s="57" t="n">
        <f aca="false">IF(BR1081=1,0,ROUNDUP(AT1081/BQ1081,0))</f>
        <v>1</v>
      </c>
      <c r="AV1081" s="59" t="n">
        <f aca="false">IF(CD1081&gt;0,CD1081*MAX(1,AT1081/V1081),IF(BR1081=1,IF(AT1081&lt;=0,0,BS1081*MAX(1,IF(G1081&gt;0,AT1081/G1081,1))),IF(Q1081&gt;0,AU1081/Q1081,0))/MAX(0.1,N(Parameter!$M$21)))</f>
        <v>0.0151515151515152</v>
      </c>
      <c r="AW1081" s="57" t="n">
        <f aca="false">AT1081*F1081</f>
        <v>2541.8</v>
      </c>
      <c r="AX1081" s="57" t="n">
        <f aca="false">ROUNDUP(MAX(I1081/IF(BV1081&gt;0,BV1081,MAX(0.1,N(Cockpit!$O$6))),BY1081)/BQ1081,0)*BQ1081</f>
        <v>716</v>
      </c>
      <c r="AY1081" s="58" t="n">
        <f aca="false">IF(AV1081&gt;0,I1081/AV1081,-1)</f>
        <v>36234</v>
      </c>
      <c r="AZ1081" s="58" t="n">
        <f aca="false">IF(AND(OR(BU1081="L1",BU1081="L23"),AV1081&gt;0),SUMIFS($AV$7:$AV$1576,$BU$7:$BU$1576,BU1081,$AY$7:$AY$1576,"&gt;"&amp;AY1081)+SUMIFS($AV$7:$AV$1576,$BU$7:$BU$1576,BU1081,$AY$7:$AY$1576,AY1081,$BO$7:$BO$1576,"&lt;="&amp;BO1081),"")</f>
        <v>2.22496976453498</v>
      </c>
      <c r="BA1081" s="65" t="n">
        <f aca="false">IF(AZ1081="",0,MAX(0,MIN(1,(IF(BU1081="L1",Parameter!$E$5,Parameter!$E$6+Parameter!$E$7)-(AZ1081-AV1081))/AV1081)))</f>
        <v>1</v>
      </c>
      <c r="BB1081" s="55" t="str">
        <f aca="false">IF(AF1081&lt;=0,"",IF(BU1081="Aussen","Aussenlager",IF(BU1081="-","Nicht im Lift",IF(AK1081&gt;=1,"Lift",IF(AK1081&lt;=0,"Aussenlager","teilweise")))))</f>
        <v/>
      </c>
      <c r="BC1081" s="55" t="str">
        <f aca="false">IF(AN1081&lt;=0,"",IF(BU1081="Aussen","Aussenlager",IF(BU1081="-","Nicht im Lift",IF(AS1081&gt;=1,"Lift",IF(AS1081&lt;=0,"Aussenlager","teilweise")))))</f>
        <v>Lift</v>
      </c>
      <c r="BD1081" s="55" t="str">
        <f aca="false">IF(AV1081&lt;=0,"",IF(BU1081="Aussen","Aussenlager",IF(BU1081="-","Nicht im Lift",IF(BA1081&gt;=1,"Lift",IF(BA1081&lt;=0,"Aussenlager","teilweise")))))</f>
        <v>Lift</v>
      </c>
      <c r="BE1081" s="55" t="str">
        <f aca="false">IF(A1081="","",IF(BN1081=1,"Neu; ","")&amp;IF(AND(BN1081=0,BI1081&lt;0),"negativer Bestand (Export "&amp;BI1081&amp;"); ","")&amp;IF(I1081&lt;=0,"Kein Verbrauch; ","")&amp;IF(CD1081&gt;0,"Lift "&amp;U1081&amp;" lt. Liftbericht (Fach "&amp;V1081&amp;" Stk); ",IF(BR1081=1,"Lose – Fläche geschätzt; ",""))&amp;IF(G1081&gt;AP1081,"Überbestand "&amp;ROUND(G1081-AP1081,0)&amp;" Stk / CHF "&amp;ROUND((G1081-AP1081)*F1081,0)&amp;"; ","")&amp;IF(AND(BW1081=1,BX1081&lt;BY1081),"MAX &lt; MB+LG; ","")&amp;IF(AND(CC1081&gt;0,CB1081*10&gt;CC1081),"zu hoch für Tablar; ","")&amp;IF(AND(BN1081=0,OR(BW1081=1,Y1081&lt;&gt;"",S1081&lt;&gt;"",T1081&lt;&gt;"",Z1081&lt;&gt;"")),"manuell übersteuert; ","")&amp;IF(AND(BR1081=0,Q1081=0),"Gebinde unbekannt / Stellmass fehlt; ","")&amp;IF(AND(BR1081=0,N(T1081)&lt;=0,N(P1081)&lt;=0),"Menge pro Gebinde fehlt (Ist = 1 Gebinde); ","")&amp;BM1081)</f>
        <v>negativer Bestand (Export -66); </v>
      </c>
      <c r="BF1081" s="55"/>
      <c r="BG1081" s="55"/>
      <c r="BH1081" s="62"/>
      <c r="BI1081" s="57" t="n">
        <v>-66</v>
      </c>
      <c r="BJ1081" s="57" t="n">
        <v>228</v>
      </c>
      <c r="BK1081" s="56" t="n">
        <v>-186.46</v>
      </c>
      <c r="BL1081" s="57" t="n">
        <v>549</v>
      </c>
      <c r="BM1081" s="55"/>
      <c r="BN1081" s="60" t="n">
        <v>0</v>
      </c>
      <c r="BO1081" s="60" t="n">
        <v>1081</v>
      </c>
      <c r="BP1081" s="55" t="str">
        <f aca="false">IF(S1081&lt;&gt;"",UPPER(TRIM(S1081)),IF(O1081="","LOSE",O1081))</f>
        <v>S33</v>
      </c>
      <c r="BQ1081" s="57" t="n">
        <f aca="false">IF(BP1081="LOSE",1,IF(N(T1081)&gt;0,T1081,IF(N(P1081)&gt;0,P1081,MAX(1,G1081))))</f>
        <v>716</v>
      </c>
      <c r="BR1081" s="60" t="n">
        <f aca="false">IF(BP1081="LOSE",1,0)</f>
        <v>0</v>
      </c>
      <c r="BS1081" s="59" t="n">
        <f aca="false">IF(BR1081=0,0,IF(N(R1081)&gt;0,R1081,IFERROR(VLOOKUP(D1081,Parameter!$A$35:$C$64,3,0)+0,0)))</f>
        <v>0</v>
      </c>
      <c r="BT1081" s="55" t="n">
        <f aca="false">IF(Y1081&lt;&gt;"",Y1081,X1081)</f>
        <v>3</v>
      </c>
      <c r="BU1081" s="55" t="str">
        <f aca="false">IF(BT1081=1,"L1",IF(OR(BT1081=2,BT1081=3),"L23",IF(BT1081="Aussen","Aussen","-")))</f>
        <v>L23</v>
      </c>
      <c r="BV1081" s="66" t="n">
        <f aca="false">IF(N(Z1081)&gt;0,Z1081,0)</f>
        <v>0</v>
      </c>
      <c r="BW1081" s="60" t="n">
        <f aca="false">IF(ISNUMBER(AC1081),1,0)</f>
        <v>0</v>
      </c>
      <c r="BX1081" s="57" t="n">
        <f aca="false">N(AC1081)</f>
        <v>0</v>
      </c>
      <c r="BY1081" s="57" t="n">
        <f aca="false">N(L1081)+N(M1081)</f>
        <v>121</v>
      </c>
      <c r="BZ1081" s="57" t="n">
        <f aca="false">ROUNDUP(G1081/BQ1081,0)</f>
        <v>0</v>
      </c>
      <c r="CA1081" s="57" t="n">
        <f aca="false">ROUNDUP(BX1081/BQ1081,0)</f>
        <v>0</v>
      </c>
      <c r="CB1081" s="60" t="n">
        <f aca="false">IF(BR1081=1,0,IFERROR(VLOOKUP(BP1081,'Gebinde-Kategorie'!$A$5:$M$45,5,0)+0,0))</f>
        <v>8</v>
      </c>
      <c r="CC1081" s="60" t="n">
        <f aca="false">IFERROR(IF(OR(BT1081=1,BT1081=2,BT1081=3),N(INDEX(Parameter!$I$5:$I$7,BT1081)),0),0)</f>
        <v>0</v>
      </c>
      <c r="CD1081" s="59" t="n">
        <f aca="false">IF(AND(Parameter!$B$21="Ja",ISNUMBER(U1081),N(V1081)&gt;0),IFERROR(N(INDEX(Parameter!$L$5:$L$7,U1081))*INDEX(Parameter!$E$5:$E$7,U1081)*V1081/SUMIFS($V$7:$V$1576,$U$7:$U$1576,U1081),0),0)</f>
        <v>0</v>
      </c>
    </row>
    <row r="1082" customFormat="false" ht="15" hidden="false" customHeight="false" outlineLevel="0" collapsed="false">
      <c r="A1082" s="55" t="s">
        <v>1959</v>
      </c>
      <c r="B1082" s="55" t="s">
        <v>397</v>
      </c>
      <c r="C1082" s="55" t="s">
        <v>160</v>
      </c>
      <c r="D1082" s="55" t="s">
        <v>178</v>
      </c>
      <c r="E1082" s="55" t="s">
        <v>210</v>
      </c>
      <c r="F1082" s="56" t="n">
        <v>0.55</v>
      </c>
      <c r="G1082" s="57" t="n">
        <f aca="false">MAX(0,IF(AND(Parameter!$B$21="Ja",ISNUMBER(W1082)),W1082,IF(Parameter!$B$20="Jahresanfang 2025 + Export",BJ1082+BI1082,BI1082)))</f>
        <v>0</v>
      </c>
      <c r="H1082" s="57" t="n">
        <f aca="false">G1082*F1082</f>
        <v>0</v>
      </c>
      <c r="I1082" s="57" t="n">
        <f aca="false">BL1082*Parameter!$B$18</f>
        <v>1860</v>
      </c>
      <c r="J1082" s="58" t="n">
        <v>1638.5</v>
      </c>
      <c r="K1082" s="59" t="n">
        <v>1.13518462007934</v>
      </c>
      <c r="L1082" s="57" t="n">
        <v>109</v>
      </c>
      <c r="M1082" s="57" t="n">
        <v>1900</v>
      </c>
      <c r="N1082" s="60" t="n">
        <v>21</v>
      </c>
      <c r="O1082" s="55" t="s">
        <v>293</v>
      </c>
      <c r="P1082" s="57" t="n">
        <v>989</v>
      </c>
      <c r="Q1082" s="60" t="n">
        <f aca="false">IF(BR1082=1,0,IFERROR(VLOOKUP(BP1082,'Gebinde-Kategorie'!$A$5:$M$45,13,0)+0,0))</f>
        <v>26</v>
      </c>
      <c r="R1082" s="61"/>
      <c r="S1082" s="62"/>
      <c r="T1082" s="62"/>
      <c r="U1082" s="55"/>
      <c r="V1082" s="57"/>
      <c r="W1082" s="57"/>
      <c r="X1082" s="55" t="n">
        <f aca="false">IF(A1082="","",IF(AND(Parameter!$B$21="Ja",ISNUMBER(U1082)),U1082,IF(IFERROR(VLOOKUP(D1082,Parameter!$A$35:$C$64,2,0),"Nein")="2+3",IF(ISNUMBER(SEARCH("grosser Artikel",BM1082)),2,IFERROR(VLOOKUP(BP1082,Parameter!$F$35:$G$64,2,0),2)),IF(OR(IFERROR(VLOOKUP(D1082,Parameter!$A$35:$C$64,2,0),"Nein")="Nein",IFERROR(VLOOKUP(D1082,Parameter!$A$35:$C$64,2,0),"Nein")=""),"-",VLOOKUP(D1082,Parameter!$A$35:$C$64,2,0)))))</f>
        <v>3</v>
      </c>
      <c r="Y1082" s="62"/>
      <c r="Z1082" s="63"/>
      <c r="AA1082" s="57" t="n">
        <f aca="false">AP1082</f>
        <v>2967</v>
      </c>
      <c r="AB1082" s="57" t="n">
        <f aca="false">MAX(AP1082,G1082)</f>
        <v>2967</v>
      </c>
      <c r="AC1082" s="64"/>
      <c r="AD1082" s="57" t="n">
        <f aca="false">IF(LEFT(Cockpit!$C$5,1)="A",G1082,IF(BW1082=1,BX1082,IF(LEFT(Cockpit!$C$5,1)="B",AH1082,MAX(AH1082,G1082))))</f>
        <v>0</v>
      </c>
      <c r="AE1082" s="57" t="n">
        <f aca="false">IF(BR1082=1,0,ROUNDUP(AD1082/BQ1082,0))</f>
        <v>0</v>
      </c>
      <c r="AF1082" s="59" t="n">
        <f aca="false">IF(CD1082&gt;0,CD1082*MAX(1,AD1082/V1082),IF(BR1082=1,IF(AD1082&lt;=0,0,BS1082*MAX(1,IF(G1082&gt;0,AD1082/G1082,1))),IF(Q1082&gt;0,AE1082/Q1082,0))/MAX(0.1,N(Parameter!$M$21)))</f>
        <v>0</v>
      </c>
      <c r="AG1082" s="57" t="n">
        <f aca="false">AD1082*F1082</f>
        <v>0</v>
      </c>
      <c r="AH1082" s="57" t="n">
        <f aca="false">ROUNDUP(MAX(I1082/IF(BV1082&gt;0,BV1082,MAX(0.1,N(Cockpit!$C$6))),BY1082)/BQ1082,0)*BQ1082</f>
        <v>2967</v>
      </c>
      <c r="AI1082" s="58" t="n">
        <f aca="false">IF(AF1082&gt;0,I1082/AF1082,-1)</f>
        <v>-1</v>
      </c>
      <c r="AJ1082" s="58" t="str">
        <f aca="false">IF(AND(OR(BU1082="L1",BU1082="L23"),AF1082&gt;0),SUMIFS($AF$7:$AF$1576,$BU$7:$BU$1576,BU1082,$AI$7:$AI$1576,"&gt;"&amp;AI1082)+SUMIFS($AF$7:$AF$1576,$BU$7:$BU$1576,BU1082,$AI$7:$AI$1576,AI1082,$BO$7:$BO$1576,"&lt;="&amp;BO1082),"")</f>
        <v/>
      </c>
      <c r="AK1082" s="65" t="n">
        <f aca="false">IF(AJ1082="",0,MAX(0,MIN(1,(IF(BU1082="L1",Parameter!$E$5,Parameter!$E$6+Parameter!$E$7)-(AJ1082-AF1082))/AF1082)))</f>
        <v>0</v>
      </c>
      <c r="AL1082" s="57" t="n">
        <f aca="false">IF(LEFT(Cockpit!$I$5,1)="A",G1082,IF(BW1082=1,BX1082,IF(LEFT(Cockpit!$I$5,1)="B",AP1082,MAX(AP1082,G1082))))</f>
        <v>2967</v>
      </c>
      <c r="AM1082" s="57" t="n">
        <f aca="false">IF(BR1082=1,0,ROUNDUP(AL1082/BQ1082,0))</f>
        <v>3</v>
      </c>
      <c r="AN1082" s="59" t="n">
        <f aca="false">IF(CD1082&gt;0,CD1082*MAX(1,AL1082/V1082),IF(BR1082=1,IF(AL1082&lt;=0,0,BS1082*MAX(1,IF(G1082&gt;0,AL1082/G1082,1))),IF(Q1082&gt;0,AM1082/Q1082,0))/MAX(0.1,N(Parameter!$M$21)))</f>
        <v>0.115384615384615</v>
      </c>
      <c r="AO1082" s="57" t="n">
        <f aca="false">AL1082*F1082</f>
        <v>1631.85</v>
      </c>
      <c r="AP1082" s="57" t="n">
        <f aca="false">ROUNDUP(MAX(I1082/IF(BV1082&gt;0,BV1082,MAX(0.1,N(Cockpit!$I$6))),BY1082)/BQ1082,0)*BQ1082</f>
        <v>2967</v>
      </c>
      <c r="AQ1082" s="58" t="n">
        <f aca="false">IF(AN1082&gt;0,I1082/AN1082,-1)</f>
        <v>16120</v>
      </c>
      <c r="AR1082" s="58" t="n">
        <f aca="false">IF(AND(OR(BU1082="L1",BU1082="L23"),AN1082&gt;0),SUMIFS($AN$7:$AN$1576,$BU$7:$BU$1576,BU1082,$AQ$7:$AQ$1576,"&gt;"&amp;AQ1082)+SUMIFS($AN$7:$AN$1576,$BU$7:$BU$1576,BU1082,$AQ$7:$AQ$1576,AQ1082,$BO$7:$BO$1576,"&lt;="&amp;BO1082),"")</f>
        <v>5.56186581534408</v>
      </c>
      <c r="AS1082" s="65" t="n">
        <f aca="false">IF(AR1082="",0,MAX(0,MIN(1,(IF(BU1082="L1",Parameter!$E$5,Parameter!$E$6+Parameter!$E$7)-(AR1082-AN1082))/AN1082)))</f>
        <v>1</v>
      </c>
      <c r="AT1082" s="57" t="n">
        <f aca="false">IF(LEFT(Cockpit!$O$5,1)="A",G1082,IF(BW1082=1,BX1082,IF(LEFT(Cockpit!$O$5,1)="B",AX1082,MAX(AX1082,G1082))))</f>
        <v>2967</v>
      </c>
      <c r="AU1082" s="57" t="n">
        <f aca="false">IF(BR1082=1,0,ROUNDUP(AT1082/BQ1082,0))</f>
        <v>3</v>
      </c>
      <c r="AV1082" s="59" t="n">
        <f aca="false">IF(CD1082&gt;0,CD1082*MAX(1,AT1082/V1082),IF(BR1082=1,IF(AT1082&lt;=0,0,BS1082*MAX(1,IF(G1082&gt;0,AT1082/G1082,1))),IF(Q1082&gt;0,AU1082/Q1082,0))/MAX(0.1,N(Parameter!$M$21)))</f>
        <v>0.115384615384615</v>
      </c>
      <c r="AW1082" s="57" t="n">
        <f aca="false">AT1082*F1082</f>
        <v>1631.85</v>
      </c>
      <c r="AX1082" s="57" t="n">
        <f aca="false">ROUNDUP(MAX(I1082/IF(BV1082&gt;0,BV1082,MAX(0.1,N(Cockpit!$O$6))),BY1082)/BQ1082,0)*BQ1082</f>
        <v>2967</v>
      </c>
      <c r="AY1082" s="58" t="n">
        <f aca="false">IF(AV1082&gt;0,I1082/AV1082,-1)</f>
        <v>16120</v>
      </c>
      <c r="AZ1082" s="58" t="n">
        <f aca="false">IF(AND(OR(BU1082="L1",BU1082="L23"),AV1082&gt;0),SUMIFS($AV$7:$AV$1576,$BU$7:$BU$1576,BU1082,$AY$7:$AY$1576,"&gt;"&amp;AY1082)+SUMIFS($AV$7:$AV$1576,$BU$7:$BU$1576,BU1082,$AY$7:$AY$1576,AY1082,$BO$7:$BO$1576,"&lt;="&amp;BO1082),"")</f>
        <v>4.94298469646296</v>
      </c>
      <c r="BA1082" s="65" t="n">
        <f aca="false">IF(AZ1082="",0,MAX(0,MIN(1,(IF(BU1082="L1",Parameter!$E$5,Parameter!$E$6+Parameter!$E$7)-(AZ1082-AV1082))/AV1082)))</f>
        <v>1</v>
      </c>
      <c r="BB1082" s="55" t="str">
        <f aca="false">IF(AF1082&lt;=0,"",IF(BU1082="Aussen","Aussenlager",IF(BU1082="-","Nicht im Lift",IF(AK1082&gt;=1,"Lift",IF(AK1082&lt;=0,"Aussenlager","teilweise")))))</f>
        <v/>
      </c>
      <c r="BC1082" s="55" t="str">
        <f aca="false">IF(AN1082&lt;=0,"",IF(BU1082="Aussen","Aussenlager",IF(BU1082="-","Nicht im Lift",IF(AS1082&gt;=1,"Lift",IF(AS1082&lt;=0,"Aussenlager","teilweise")))))</f>
        <v>Lift</v>
      </c>
      <c r="BD1082" s="55" t="str">
        <f aca="false">IF(AV1082&lt;=0,"",IF(BU1082="Aussen","Aussenlager",IF(BU1082="-","Nicht im Lift",IF(BA1082&gt;=1,"Lift",IF(BA1082&lt;=0,"Aussenlager","teilweise")))))</f>
        <v>Lift</v>
      </c>
      <c r="BE1082" s="55" t="str">
        <f aca="false">IF(A1082="","",IF(BN1082=1,"Neu; ","")&amp;IF(AND(BN1082=0,BI1082&lt;0),"negativer Bestand (Export "&amp;BI1082&amp;"); ","")&amp;IF(I1082&lt;=0,"Kein Verbrauch; ","")&amp;IF(CD1082&gt;0,"Lift "&amp;U1082&amp;" lt. Liftbericht (Fach "&amp;V1082&amp;" Stk); ",IF(BR1082=1,"Lose – Fläche geschätzt; ",""))&amp;IF(G1082&gt;AP1082,"Überbestand "&amp;ROUND(G1082-AP1082,0)&amp;" Stk / CHF "&amp;ROUND((G1082-AP1082)*F1082,0)&amp;"; ","")&amp;IF(AND(BW1082=1,BX1082&lt;BY1082),"MAX &lt; MB+LG; ","")&amp;IF(AND(CC1082&gt;0,CB1082*10&gt;CC1082),"zu hoch für Tablar; ","")&amp;IF(AND(BN1082=0,OR(BW1082=1,Y1082&lt;&gt;"",S1082&lt;&gt;"",T1082&lt;&gt;"",Z1082&lt;&gt;"")),"manuell übersteuert; ","")&amp;IF(AND(BR1082=0,Q1082=0),"Gebinde unbekannt / Stellmass fehlt; ","")&amp;IF(AND(BR1082=0,N(T1082)&lt;=0,N(P1082)&lt;=0),"Menge pro Gebinde fehlt (Ist = 1 Gebinde); ","")&amp;BM1082)</f>
        <v>negativer Bestand (Export -375); </v>
      </c>
      <c r="BF1082" s="55"/>
      <c r="BG1082" s="55"/>
      <c r="BH1082" s="62"/>
      <c r="BI1082" s="57" t="n">
        <v>-375</v>
      </c>
      <c r="BJ1082" s="57" t="n">
        <v>1868</v>
      </c>
      <c r="BK1082" s="56" t="n">
        <v>-187.569999999999</v>
      </c>
      <c r="BL1082" s="57" t="n">
        <v>1860</v>
      </c>
      <c r="BM1082" s="55"/>
      <c r="BN1082" s="60" t="n">
        <v>0</v>
      </c>
      <c r="BO1082" s="60" t="n">
        <v>1082</v>
      </c>
      <c r="BP1082" s="55" t="str">
        <f aca="false">IF(S1082&lt;&gt;"",UPPER(TRIM(S1082)),IF(O1082="","LOSE",O1082))</f>
        <v>S51</v>
      </c>
      <c r="BQ1082" s="57" t="n">
        <f aca="false">IF(BP1082="LOSE",1,IF(N(T1082)&gt;0,T1082,IF(N(P1082)&gt;0,P1082,MAX(1,G1082))))</f>
        <v>989</v>
      </c>
      <c r="BR1082" s="60" t="n">
        <f aca="false">IF(BP1082="LOSE",1,0)</f>
        <v>0</v>
      </c>
      <c r="BS1082" s="59" t="n">
        <f aca="false">IF(BR1082=0,0,IF(N(R1082)&gt;0,R1082,IFERROR(VLOOKUP(D1082,Parameter!$A$35:$C$64,3,0)+0,0)))</f>
        <v>0</v>
      </c>
      <c r="BT1082" s="55" t="n">
        <f aca="false">IF(Y1082&lt;&gt;"",Y1082,X1082)</f>
        <v>3</v>
      </c>
      <c r="BU1082" s="55" t="str">
        <f aca="false">IF(BT1082=1,"L1",IF(OR(BT1082=2,BT1082=3),"L23",IF(BT1082="Aussen","Aussen","-")))</f>
        <v>L23</v>
      </c>
      <c r="BV1082" s="66" t="n">
        <f aca="false">IF(N(Z1082)&gt;0,Z1082,0)</f>
        <v>0</v>
      </c>
      <c r="BW1082" s="60" t="n">
        <f aca="false">IF(ISNUMBER(AC1082),1,0)</f>
        <v>0</v>
      </c>
      <c r="BX1082" s="57" t="n">
        <f aca="false">N(AC1082)</f>
        <v>0</v>
      </c>
      <c r="BY1082" s="57" t="n">
        <f aca="false">N(L1082)+N(M1082)</f>
        <v>2009</v>
      </c>
      <c r="BZ1082" s="57" t="n">
        <f aca="false">ROUNDUP(G1082/BQ1082,0)</f>
        <v>0</v>
      </c>
      <c r="CA1082" s="57" t="n">
        <f aca="false">ROUNDUP(BX1082/BQ1082,0)</f>
        <v>0</v>
      </c>
      <c r="CB1082" s="60" t="n">
        <f aca="false">IF(BR1082=1,0,IFERROR(VLOOKUP(BP1082,'Gebinde-Kategorie'!$A$5:$M$45,5,0)+0,0))</f>
        <v>11</v>
      </c>
      <c r="CC1082" s="60" t="n">
        <f aca="false">IFERROR(IF(OR(BT1082=1,BT1082=2,BT1082=3),N(INDEX(Parameter!$I$5:$I$7,BT1082)),0),0)</f>
        <v>0</v>
      </c>
      <c r="CD1082" s="59" t="n">
        <f aca="false">IF(AND(Parameter!$B$21="Ja",ISNUMBER(U1082),N(V1082)&gt;0),IFERROR(N(INDEX(Parameter!$L$5:$L$7,U1082))*INDEX(Parameter!$E$5:$E$7,U1082)*V1082/SUMIFS($V$7:$V$1576,$U$7:$U$1576,U1082),0),0)</f>
        <v>0</v>
      </c>
    </row>
    <row r="1083" customFormat="false" ht="15" hidden="false" customHeight="false" outlineLevel="0" collapsed="false">
      <c r="A1083" s="55" t="s">
        <v>1960</v>
      </c>
      <c r="B1083" s="55" t="s">
        <v>478</v>
      </c>
      <c r="C1083" s="55" t="s">
        <v>160</v>
      </c>
      <c r="D1083" s="55" t="s">
        <v>178</v>
      </c>
      <c r="E1083" s="55" t="s">
        <v>210</v>
      </c>
      <c r="F1083" s="56" t="n">
        <v>8.23</v>
      </c>
      <c r="G1083" s="57" t="n">
        <f aca="false">MAX(0,IF(AND(Parameter!$B$21="Ja",ISNUMBER(W1083)),W1083,IF(Parameter!$B$20="Jahresanfang 2025 + Export",BJ1083+BI1083,BI1083)))</f>
        <v>0</v>
      </c>
      <c r="H1083" s="57" t="n">
        <f aca="false">G1083*F1083</f>
        <v>0</v>
      </c>
      <c r="I1083" s="57" t="n">
        <f aca="false">BL1083*Parameter!$B$18</f>
        <v>507</v>
      </c>
      <c r="J1083" s="58" t="n">
        <v>213</v>
      </c>
      <c r="K1083" s="59" t="n">
        <v>2.38028169014085</v>
      </c>
      <c r="L1083" s="57" t="n">
        <v>10</v>
      </c>
      <c r="M1083" s="57" t="n">
        <v>360</v>
      </c>
      <c r="N1083" s="60" t="n">
        <v>7</v>
      </c>
      <c r="O1083" s="55" t="s">
        <v>319</v>
      </c>
      <c r="P1083" s="57" t="n">
        <v>309</v>
      </c>
      <c r="Q1083" s="60" t="n">
        <f aca="false">IF(BR1083=1,0,IFERROR(VLOOKUP(BP1083,'Gebinde-Kategorie'!$A$5:$M$45,13,0)+0,0))</f>
        <v>52</v>
      </c>
      <c r="R1083" s="61"/>
      <c r="S1083" s="62"/>
      <c r="T1083" s="62"/>
      <c r="U1083" s="55"/>
      <c r="V1083" s="57"/>
      <c r="W1083" s="57"/>
      <c r="X1083" s="55" t="n">
        <f aca="false">IF(A1083="","",IF(AND(Parameter!$B$21="Ja",ISNUMBER(U1083)),U1083,IF(IFERROR(VLOOKUP(D1083,Parameter!$A$35:$C$64,2,0),"Nein")="2+3",IF(ISNUMBER(SEARCH("grosser Artikel",BM1083)),2,IFERROR(VLOOKUP(BP1083,Parameter!$F$35:$G$64,2,0),2)),IF(OR(IFERROR(VLOOKUP(D1083,Parameter!$A$35:$C$64,2,0),"Nein")="Nein",IFERROR(VLOOKUP(D1083,Parameter!$A$35:$C$64,2,0),"Nein")=""),"-",VLOOKUP(D1083,Parameter!$A$35:$C$64,2,0)))))</f>
        <v>3</v>
      </c>
      <c r="Y1083" s="62"/>
      <c r="Z1083" s="63"/>
      <c r="AA1083" s="57" t="n">
        <f aca="false">AP1083</f>
        <v>618</v>
      </c>
      <c r="AB1083" s="57" t="n">
        <f aca="false">MAX(AP1083,G1083)</f>
        <v>618</v>
      </c>
      <c r="AC1083" s="64"/>
      <c r="AD1083" s="57" t="n">
        <f aca="false">IF(LEFT(Cockpit!$C$5,1)="A",G1083,IF(BW1083=1,BX1083,IF(LEFT(Cockpit!$C$5,1)="B",AH1083,MAX(AH1083,G1083))))</f>
        <v>0</v>
      </c>
      <c r="AE1083" s="57" t="n">
        <f aca="false">IF(BR1083=1,0,ROUNDUP(AD1083/BQ1083,0))</f>
        <v>0</v>
      </c>
      <c r="AF1083" s="59" t="n">
        <f aca="false">IF(CD1083&gt;0,CD1083*MAX(1,AD1083/V1083),IF(BR1083=1,IF(AD1083&lt;=0,0,BS1083*MAX(1,IF(G1083&gt;0,AD1083/G1083,1))),IF(Q1083&gt;0,AE1083/Q1083,0))/MAX(0.1,N(Parameter!$M$21)))</f>
        <v>0</v>
      </c>
      <c r="AG1083" s="57" t="n">
        <f aca="false">AD1083*F1083</f>
        <v>0</v>
      </c>
      <c r="AH1083" s="57" t="n">
        <f aca="false">ROUNDUP(MAX(I1083/IF(BV1083&gt;0,BV1083,MAX(0.1,N(Cockpit!$C$6))),BY1083)/BQ1083,0)*BQ1083</f>
        <v>618</v>
      </c>
      <c r="AI1083" s="58" t="n">
        <f aca="false">IF(AF1083&gt;0,I1083/AF1083,-1)</f>
        <v>-1</v>
      </c>
      <c r="AJ1083" s="58" t="str">
        <f aca="false">IF(AND(OR(BU1083="L1",BU1083="L23"),AF1083&gt;0),SUMIFS($AF$7:$AF$1576,$BU$7:$BU$1576,BU1083,$AI$7:$AI$1576,"&gt;"&amp;AI1083)+SUMIFS($AF$7:$AF$1576,$BU$7:$BU$1576,BU1083,$AI$7:$AI$1576,AI1083,$BO$7:$BO$1576,"&lt;="&amp;BO1083),"")</f>
        <v/>
      </c>
      <c r="AK1083" s="65" t="n">
        <f aca="false">IF(AJ1083="",0,MAX(0,MIN(1,(IF(BU1083="L1",Parameter!$E$5,Parameter!$E$6+Parameter!$E$7)-(AJ1083-AF1083))/AF1083)))</f>
        <v>0</v>
      </c>
      <c r="AL1083" s="57" t="n">
        <f aca="false">IF(LEFT(Cockpit!$I$5,1)="A",G1083,IF(BW1083=1,BX1083,IF(LEFT(Cockpit!$I$5,1)="B",AP1083,MAX(AP1083,G1083))))</f>
        <v>618</v>
      </c>
      <c r="AM1083" s="57" t="n">
        <f aca="false">IF(BR1083=1,0,ROUNDUP(AL1083/BQ1083,0))</f>
        <v>2</v>
      </c>
      <c r="AN1083" s="59" t="n">
        <f aca="false">IF(CD1083&gt;0,CD1083*MAX(1,AL1083/V1083),IF(BR1083=1,IF(AL1083&lt;=0,0,BS1083*MAX(1,IF(G1083&gt;0,AL1083/G1083,1))),IF(Q1083&gt;0,AM1083/Q1083,0))/MAX(0.1,N(Parameter!$M$21)))</f>
        <v>0.0384615384615385</v>
      </c>
      <c r="AO1083" s="57" t="n">
        <f aca="false">AL1083*F1083</f>
        <v>5086.14</v>
      </c>
      <c r="AP1083" s="57" t="n">
        <f aca="false">ROUNDUP(MAX(I1083/IF(BV1083&gt;0,BV1083,MAX(0.1,N(Cockpit!$I$6))),BY1083)/BQ1083,0)*BQ1083</f>
        <v>618</v>
      </c>
      <c r="AQ1083" s="58" t="n">
        <f aca="false">IF(AN1083&gt;0,I1083/AN1083,-1)</f>
        <v>13182</v>
      </c>
      <c r="AR1083" s="58" t="n">
        <f aca="false">IF(AND(OR(BU1083="L1",BU1083="L23"),AN1083&gt;0),SUMIFS($AN$7:$AN$1576,$BU$7:$BU$1576,BU1083,$AQ$7:$AQ$1576,"&gt;"&amp;AQ1083)+SUMIFS($AN$7:$AN$1576,$BU$7:$BU$1576,BU1083,$AQ$7:$AQ$1576,AQ1083,$BO$7:$BO$1576,"&lt;="&amp;BO1083),"")</f>
        <v>6.10954156954157</v>
      </c>
      <c r="AS1083" s="65" t="n">
        <f aca="false">IF(AR1083="",0,MAX(0,MIN(1,(IF(BU1083="L1",Parameter!$E$5,Parameter!$E$6+Parameter!$E$7)-(AR1083-AN1083))/AN1083)))</f>
        <v>1</v>
      </c>
      <c r="AT1083" s="57" t="n">
        <f aca="false">IF(LEFT(Cockpit!$O$5,1)="A",G1083,IF(BW1083=1,BX1083,IF(LEFT(Cockpit!$O$5,1)="B",AX1083,MAX(AX1083,G1083))))</f>
        <v>618</v>
      </c>
      <c r="AU1083" s="57" t="n">
        <f aca="false">IF(BR1083=1,0,ROUNDUP(AT1083/BQ1083,0))</f>
        <v>2</v>
      </c>
      <c r="AV1083" s="59" t="n">
        <f aca="false">IF(CD1083&gt;0,CD1083*MAX(1,AT1083/V1083),IF(BR1083=1,IF(AT1083&lt;=0,0,BS1083*MAX(1,IF(G1083&gt;0,AT1083/G1083,1))),IF(Q1083&gt;0,AU1083/Q1083,0))/MAX(0.1,N(Parameter!$M$21)))</f>
        <v>0.0384615384615385</v>
      </c>
      <c r="AW1083" s="57" t="n">
        <f aca="false">AT1083*F1083</f>
        <v>5086.14</v>
      </c>
      <c r="AX1083" s="57" t="n">
        <f aca="false">ROUNDUP(MAX(I1083/IF(BV1083&gt;0,BV1083,MAX(0.1,N(Cockpit!$O$6))),BY1083)/BQ1083,0)*BQ1083</f>
        <v>618</v>
      </c>
      <c r="AY1083" s="58" t="n">
        <f aca="false">IF(AV1083&gt;0,I1083/AV1083,-1)</f>
        <v>13182</v>
      </c>
      <c r="AZ1083" s="58" t="n">
        <f aca="false">IF(AND(OR(BU1083="L1",BU1083="L23"),AV1083&gt;0),SUMIFS($AV$7:$AV$1576,$BU$7:$BU$1576,BU1083,$AY$7:$AY$1576,"&gt;"&amp;AY1083)+SUMIFS($AV$7:$AV$1576,$BU$7:$BU$1576,BU1083,$AY$7:$AY$1576,AY1083,$BO$7:$BO$1576,"&lt;="&amp;BO1083),"")</f>
        <v>5.65732711732712</v>
      </c>
      <c r="BA1083" s="65" t="n">
        <f aca="false">IF(AZ1083="",0,MAX(0,MIN(1,(IF(BU1083="L1",Parameter!$E$5,Parameter!$E$6+Parameter!$E$7)-(AZ1083-AV1083))/AV1083)))</f>
        <v>1</v>
      </c>
      <c r="BB1083" s="55" t="str">
        <f aca="false">IF(AF1083&lt;=0,"",IF(BU1083="Aussen","Aussenlager",IF(BU1083="-","Nicht im Lift",IF(AK1083&gt;=1,"Lift",IF(AK1083&lt;=0,"Aussenlager","teilweise")))))</f>
        <v/>
      </c>
      <c r="BC1083" s="55" t="str">
        <f aca="false">IF(AN1083&lt;=0,"",IF(BU1083="Aussen","Aussenlager",IF(BU1083="-","Nicht im Lift",IF(AS1083&gt;=1,"Lift",IF(AS1083&lt;=0,"Aussenlager","teilweise")))))</f>
        <v>Lift</v>
      </c>
      <c r="BD1083" s="55" t="str">
        <f aca="false">IF(AV1083&lt;=0,"",IF(BU1083="Aussen","Aussenlager",IF(BU1083="-","Nicht im Lift",IF(BA1083&gt;=1,"Lift",IF(BA1083&lt;=0,"Aussenlager","teilweise")))))</f>
        <v>Lift</v>
      </c>
      <c r="BE1083" s="55" t="str">
        <f aca="false">IF(A1083="","",IF(BN1083=1,"Neu; ","")&amp;IF(AND(BN1083=0,BI1083&lt;0),"negativer Bestand (Export "&amp;BI1083&amp;"); ","")&amp;IF(I1083&lt;=0,"Kein Verbrauch; ","")&amp;IF(CD1083&gt;0,"Lift "&amp;U1083&amp;" lt. Liftbericht (Fach "&amp;V1083&amp;" Stk); ",IF(BR1083=1,"Lose – Fläche geschätzt; ",""))&amp;IF(G1083&gt;AP1083,"Überbestand "&amp;ROUND(G1083-AP1083,0)&amp;" Stk / CHF "&amp;ROUND((G1083-AP1083)*F1083,0)&amp;"; ","")&amp;IF(AND(BW1083=1,BX1083&lt;BY1083),"MAX &lt; MB+LG; ","")&amp;IF(AND(CC1083&gt;0,CB1083*10&gt;CC1083),"zu hoch für Tablar; ","")&amp;IF(AND(BN1083=0,OR(BW1083=1,Y1083&lt;&gt;"",S1083&lt;&gt;"",T1083&lt;&gt;"",Z1083&lt;&gt;"")),"manuell übersteuert; ","")&amp;IF(AND(BR1083=0,Q1083=0),"Gebinde unbekannt / Stellmass fehlt; ","")&amp;IF(AND(BR1083=0,N(T1083)&lt;=0,N(P1083)&lt;=0),"Menge pro Gebinde fehlt (Ist = 1 Gebinde); ","")&amp;BM1083)</f>
        <v>negativer Bestand (Export -23); </v>
      </c>
      <c r="BF1083" s="55"/>
      <c r="BG1083" s="55"/>
      <c r="BH1083" s="62"/>
      <c r="BI1083" s="57" t="n">
        <v>-23</v>
      </c>
      <c r="BJ1083" s="57" t="n">
        <v>162</v>
      </c>
      <c r="BK1083" s="56" t="n">
        <v>-187.750000000003</v>
      </c>
      <c r="BL1083" s="57" t="n">
        <v>507</v>
      </c>
      <c r="BM1083" s="55"/>
      <c r="BN1083" s="60" t="n">
        <v>0</v>
      </c>
      <c r="BO1083" s="60" t="n">
        <v>1083</v>
      </c>
      <c r="BP1083" s="55" t="str">
        <f aca="false">IF(S1083&lt;&gt;"",UPPER(TRIM(S1083)),IF(O1083="","LOSE",O1083))</f>
        <v>S41</v>
      </c>
      <c r="BQ1083" s="57" t="n">
        <f aca="false">IF(BP1083="LOSE",1,IF(N(T1083)&gt;0,T1083,IF(N(P1083)&gt;0,P1083,MAX(1,G1083))))</f>
        <v>309</v>
      </c>
      <c r="BR1083" s="60" t="n">
        <f aca="false">IF(BP1083="LOSE",1,0)</f>
        <v>0</v>
      </c>
      <c r="BS1083" s="59" t="n">
        <f aca="false">IF(BR1083=0,0,IF(N(R1083)&gt;0,R1083,IFERROR(VLOOKUP(D1083,Parameter!$A$35:$C$64,3,0)+0,0)))</f>
        <v>0</v>
      </c>
      <c r="BT1083" s="55" t="n">
        <f aca="false">IF(Y1083&lt;&gt;"",Y1083,X1083)</f>
        <v>3</v>
      </c>
      <c r="BU1083" s="55" t="str">
        <f aca="false">IF(BT1083=1,"L1",IF(OR(BT1083=2,BT1083=3),"L23",IF(BT1083="Aussen","Aussen","-")))</f>
        <v>L23</v>
      </c>
      <c r="BV1083" s="66" t="n">
        <f aca="false">IF(N(Z1083)&gt;0,Z1083,0)</f>
        <v>0</v>
      </c>
      <c r="BW1083" s="60" t="n">
        <f aca="false">IF(ISNUMBER(AC1083),1,0)</f>
        <v>0</v>
      </c>
      <c r="BX1083" s="57" t="n">
        <f aca="false">N(AC1083)</f>
        <v>0</v>
      </c>
      <c r="BY1083" s="57" t="n">
        <f aca="false">N(L1083)+N(M1083)</f>
        <v>370</v>
      </c>
      <c r="BZ1083" s="57" t="n">
        <f aca="false">ROUNDUP(G1083/BQ1083,0)</f>
        <v>0</v>
      </c>
      <c r="CA1083" s="57" t="n">
        <f aca="false">ROUNDUP(BX1083/BQ1083,0)</f>
        <v>0</v>
      </c>
      <c r="CB1083" s="60" t="n">
        <f aca="false">IF(BR1083=1,0,IFERROR(VLOOKUP(BP1083,'Gebinde-Kategorie'!$A$5:$M$45,5,0)+0,0))</f>
        <v>11</v>
      </c>
      <c r="CC1083" s="60" t="n">
        <f aca="false">IFERROR(IF(OR(BT1083=1,BT1083=2,BT1083=3),N(INDEX(Parameter!$I$5:$I$7,BT1083)),0),0)</f>
        <v>0</v>
      </c>
      <c r="CD1083" s="59" t="n">
        <f aca="false">IF(AND(Parameter!$B$21="Ja",ISNUMBER(U1083),N(V1083)&gt;0),IFERROR(N(INDEX(Parameter!$L$5:$L$7,U1083))*INDEX(Parameter!$E$5:$E$7,U1083)*V1083/SUMIFS($V$7:$V$1576,$U$7:$U$1576,U1083),0),0)</f>
        <v>0</v>
      </c>
    </row>
    <row r="1084" customFormat="false" ht="15" hidden="false" customHeight="false" outlineLevel="0" collapsed="false">
      <c r="A1084" s="55" t="s">
        <v>1961</v>
      </c>
      <c r="B1084" s="55" t="s">
        <v>490</v>
      </c>
      <c r="C1084" s="55" t="s">
        <v>160</v>
      </c>
      <c r="D1084" s="55" t="s">
        <v>178</v>
      </c>
      <c r="E1084" s="55" t="s">
        <v>210</v>
      </c>
      <c r="F1084" s="56" t="n">
        <v>13.2</v>
      </c>
      <c r="G1084" s="57" t="n">
        <f aca="false">MAX(0,IF(AND(Parameter!$B$21="Ja",ISNUMBER(W1084)),W1084,IF(Parameter!$B$20="Jahresanfang 2025 + Export",BJ1084+BI1084,BI1084)))</f>
        <v>2</v>
      </c>
      <c r="H1084" s="57" t="n">
        <f aca="false">G1084*F1084</f>
        <v>26.4</v>
      </c>
      <c r="I1084" s="57" t="n">
        <f aca="false">BL1084*Parameter!$B$18</f>
        <v>10</v>
      </c>
      <c r="J1084" s="58" t="n">
        <v>8.5</v>
      </c>
      <c r="K1084" s="59" t="n">
        <v>1.17647058823529</v>
      </c>
      <c r="L1084" s="57" t="n">
        <v>0</v>
      </c>
      <c r="M1084" s="57" t="n">
        <v>10</v>
      </c>
      <c r="N1084" s="60" t="n">
        <v>28</v>
      </c>
      <c r="O1084" s="55" t="s">
        <v>416</v>
      </c>
      <c r="P1084" s="57" t="n">
        <v>8</v>
      </c>
      <c r="Q1084" s="60" t="n">
        <f aca="false">IF(BR1084=1,0,IFERROR(VLOOKUP(BP1084,'Gebinde-Kategorie'!$A$5:$M$45,13,0)+0,0))</f>
        <v>198</v>
      </c>
      <c r="R1084" s="61"/>
      <c r="S1084" s="62"/>
      <c r="T1084" s="62"/>
      <c r="U1084" s="55"/>
      <c r="V1084" s="57"/>
      <c r="W1084" s="57"/>
      <c r="X1084" s="55" t="n">
        <f aca="false">IF(A1084="","",IF(AND(Parameter!$B$21="Ja",ISNUMBER(U1084)),U1084,IF(IFERROR(VLOOKUP(D1084,Parameter!$A$35:$C$64,2,0),"Nein")="2+3",IF(ISNUMBER(SEARCH("grosser Artikel",BM1084)),2,IFERROR(VLOOKUP(BP1084,Parameter!$F$35:$G$64,2,0),2)),IF(OR(IFERROR(VLOOKUP(D1084,Parameter!$A$35:$C$64,2,0),"Nein")="Nein",IFERROR(VLOOKUP(D1084,Parameter!$A$35:$C$64,2,0),"Nein")=""),"-",VLOOKUP(D1084,Parameter!$A$35:$C$64,2,0)))))</f>
        <v>3</v>
      </c>
      <c r="Y1084" s="62"/>
      <c r="Z1084" s="63"/>
      <c r="AA1084" s="57" t="n">
        <f aca="false">AP1084</f>
        <v>16</v>
      </c>
      <c r="AB1084" s="57" t="n">
        <f aca="false">MAX(AP1084,G1084)</f>
        <v>16</v>
      </c>
      <c r="AC1084" s="64"/>
      <c r="AD1084" s="57" t="n">
        <f aca="false">IF(LEFT(Cockpit!$C$5,1)="A",G1084,IF(BW1084=1,BX1084,IF(LEFT(Cockpit!$C$5,1)="B",AH1084,MAX(AH1084,G1084))))</f>
        <v>2</v>
      </c>
      <c r="AE1084" s="57" t="n">
        <f aca="false">IF(BR1084=1,0,ROUNDUP(AD1084/BQ1084,0))</f>
        <v>1</v>
      </c>
      <c r="AF1084" s="59" t="n">
        <f aca="false">IF(CD1084&gt;0,CD1084*MAX(1,AD1084/V1084),IF(BR1084=1,IF(AD1084&lt;=0,0,BS1084*MAX(1,IF(G1084&gt;0,AD1084/G1084,1))),IF(Q1084&gt;0,AE1084/Q1084,0))/MAX(0.1,N(Parameter!$M$21)))</f>
        <v>0.00505050505050505</v>
      </c>
      <c r="AG1084" s="57" t="n">
        <f aca="false">AD1084*F1084</f>
        <v>26.4</v>
      </c>
      <c r="AH1084" s="57" t="n">
        <f aca="false">ROUNDUP(MAX(I1084/IF(BV1084&gt;0,BV1084,MAX(0.1,N(Cockpit!$C$6))),BY1084)/BQ1084,0)*BQ1084</f>
        <v>16</v>
      </c>
      <c r="AI1084" s="58" t="n">
        <f aca="false">IF(AF1084&gt;0,I1084/AF1084,-1)</f>
        <v>1980</v>
      </c>
      <c r="AJ1084" s="58" t="n">
        <f aca="false">IF(AND(OR(BU1084="L1",BU1084="L23"),AF1084&gt;0),SUMIFS($AF$7:$AF$1576,$BU$7:$BU$1576,BU1084,$AI$7:$AI$1576,"&gt;"&amp;AI1084)+SUMIFS($AF$7:$AF$1576,$BU$7:$BU$1576,BU1084,$AI$7:$AI$1576,AI1084,$BO$7:$BO$1576,"&lt;="&amp;BO1084),"")</f>
        <v>6.56785547785548</v>
      </c>
      <c r="AK1084" s="65" t="n">
        <f aca="false">IF(AJ1084="",0,MAX(0,MIN(1,(IF(BU1084="L1",Parameter!$E$5,Parameter!$E$6+Parameter!$E$7)-(AJ1084-AF1084))/AF1084)))</f>
        <v>1</v>
      </c>
      <c r="AL1084" s="57" t="n">
        <f aca="false">IF(LEFT(Cockpit!$I$5,1)="A",G1084,IF(BW1084=1,BX1084,IF(LEFT(Cockpit!$I$5,1)="B",AP1084,MAX(AP1084,G1084))))</f>
        <v>16</v>
      </c>
      <c r="AM1084" s="57" t="n">
        <f aca="false">IF(BR1084=1,0,ROUNDUP(AL1084/BQ1084,0))</f>
        <v>2</v>
      </c>
      <c r="AN1084" s="59" t="n">
        <f aca="false">IF(CD1084&gt;0,CD1084*MAX(1,AL1084/V1084),IF(BR1084=1,IF(AL1084&lt;=0,0,BS1084*MAX(1,IF(G1084&gt;0,AL1084/G1084,1))),IF(Q1084&gt;0,AM1084/Q1084,0))/MAX(0.1,N(Parameter!$M$21)))</f>
        <v>0.0101010101010101</v>
      </c>
      <c r="AO1084" s="57" t="n">
        <f aca="false">AL1084*F1084</f>
        <v>211.2</v>
      </c>
      <c r="AP1084" s="57" t="n">
        <f aca="false">ROUNDUP(MAX(I1084/IF(BV1084&gt;0,BV1084,MAX(0.1,N(Cockpit!$I$6))),BY1084)/BQ1084,0)*BQ1084</f>
        <v>16</v>
      </c>
      <c r="AQ1084" s="58" t="n">
        <f aca="false">IF(AN1084&gt;0,I1084/AN1084,-1)</f>
        <v>990</v>
      </c>
      <c r="AR1084" s="58" t="n">
        <f aca="false">IF(AND(OR(BU1084="L1",BU1084="L23"),AN1084&gt;0),SUMIFS($AN$7:$AN$1576,$BU$7:$BU$1576,BU1084,$AQ$7:$AQ$1576,"&gt;"&amp;AQ1084)+SUMIFS($AN$7:$AN$1576,$BU$7:$BU$1576,BU1084,$AQ$7:$AQ$1576,AQ1084,$BO$7:$BO$1576,"&lt;="&amp;BO1084),"")</f>
        <v>22.9360514488887</v>
      </c>
      <c r="AS1084" s="65" t="n">
        <f aca="false">IF(AR1084="",0,MAX(0,MIN(1,(IF(BU1084="L1",Parameter!$E$5,Parameter!$E$6+Parameter!$E$7)-(AR1084-AN1084))/AN1084)))</f>
        <v>1</v>
      </c>
      <c r="AT1084" s="57" t="n">
        <f aca="false">IF(LEFT(Cockpit!$O$5,1)="A",G1084,IF(BW1084=1,BX1084,IF(LEFT(Cockpit!$O$5,1)="B",AX1084,MAX(AX1084,G1084))))</f>
        <v>16</v>
      </c>
      <c r="AU1084" s="57" t="n">
        <f aca="false">IF(BR1084=1,0,ROUNDUP(AT1084/BQ1084,0))</f>
        <v>2</v>
      </c>
      <c r="AV1084" s="59" t="n">
        <f aca="false">IF(CD1084&gt;0,CD1084*MAX(1,AT1084/V1084),IF(BR1084=1,IF(AT1084&lt;=0,0,BS1084*MAX(1,IF(G1084&gt;0,AT1084/G1084,1))),IF(Q1084&gt;0,AU1084/Q1084,0))/MAX(0.1,N(Parameter!$M$21)))</f>
        <v>0.0101010101010101</v>
      </c>
      <c r="AW1084" s="57" t="n">
        <f aca="false">AT1084*F1084</f>
        <v>211.2</v>
      </c>
      <c r="AX1084" s="57" t="n">
        <f aca="false">ROUNDUP(MAX(I1084/IF(BV1084&gt;0,BV1084,MAX(0.1,N(Cockpit!$O$6))),BY1084)/BQ1084,0)*BQ1084</f>
        <v>16</v>
      </c>
      <c r="AY1084" s="58" t="n">
        <f aca="false">IF(AV1084&gt;0,I1084/AV1084,-1)</f>
        <v>990</v>
      </c>
      <c r="AZ1084" s="58" t="n">
        <f aca="false">IF(AND(OR(BU1084="L1",BU1084="L23"),AV1084&gt;0),SUMIFS($AV$7:$AV$1576,$BU$7:$BU$1576,BU1084,$AY$7:$AY$1576,"&gt;"&amp;AY1084)+SUMIFS($AV$7:$AV$1576,$BU$7:$BU$1576,BU1084,$AY$7:$AY$1576,AY1084,$BO$7:$BO$1576,"&lt;="&amp;BO1084),"")</f>
        <v>22.1697344325717</v>
      </c>
      <c r="BA1084" s="65" t="n">
        <f aca="false">IF(AZ1084="",0,MAX(0,MIN(1,(IF(BU1084="L1",Parameter!$E$5,Parameter!$E$6+Parameter!$E$7)-(AZ1084-AV1084))/AV1084)))</f>
        <v>1</v>
      </c>
      <c r="BB1084" s="55" t="str">
        <f aca="false">IF(AF1084&lt;=0,"",IF(BU1084="Aussen","Aussenlager",IF(BU1084="-","Nicht im Lift",IF(AK1084&gt;=1,"Lift",IF(AK1084&lt;=0,"Aussenlager","teilweise")))))</f>
        <v>Lift</v>
      </c>
      <c r="BC1084" s="55" t="str">
        <f aca="false">IF(AN1084&lt;=0,"",IF(BU1084="Aussen","Aussenlager",IF(BU1084="-","Nicht im Lift",IF(AS1084&gt;=1,"Lift",IF(AS1084&lt;=0,"Aussenlager","teilweise")))))</f>
        <v>Lift</v>
      </c>
      <c r="BD1084" s="55" t="str">
        <f aca="false">IF(AV1084&lt;=0,"",IF(BU1084="Aussen","Aussenlager",IF(BU1084="-","Nicht im Lift",IF(BA1084&gt;=1,"Lift",IF(BA1084&lt;=0,"Aussenlager","teilweise")))))</f>
        <v>Lift</v>
      </c>
      <c r="BE1084" s="55" t="str">
        <f aca="false">IF(A1084="","",IF(BN1084=1,"Neu; ","")&amp;IF(AND(BN1084=0,BI1084&lt;0),"negativer Bestand (Export "&amp;BI1084&amp;"); ","")&amp;IF(I1084&lt;=0,"Kein Verbrauch; ","")&amp;IF(CD1084&gt;0,"Lift "&amp;U1084&amp;" lt. Liftbericht (Fach "&amp;V1084&amp;" Stk); ",IF(BR1084=1,"Lose – Fläche geschätzt; ",""))&amp;IF(G1084&gt;AP1084,"Überbestand "&amp;ROUND(G1084-AP1084,0)&amp;" Stk / CHF "&amp;ROUND((G1084-AP1084)*F1084,0)&amp;"; ","")&amp;IF(AND(BW1084=1,BX1084&lt;BY1084),"MAX &lt; MB+LG; ","")&amp;IF(AND(CC1084&gt;0,CB1084*10&gt;CC1084),"zu hoch für Tablar; ","")&amp;IF(AND(BN1084=0,OR(BW1084=1,Y1084&lt;&gt;"",S1084&lt;&gt;"",T1084&lt;&gt;"",Z1084&lt;&gt;"")),"manuell übersteuert; ","")&amp;IF(AND(BR1084=0,Q1084=0),"Gebinde unbekannt / Stellmass fehlt; ","")&amp;IF(AND(BR1084=0,N(T1084)&lt;=0,N(P1084)&lt;=0),"Menge pro Gebinde fehlt (Ist = 1 Gebinde); ","")&amp;BM1084)</f>
        <v/>
      </c>
      <c r="BF1084" s="55"/>
      <c r="BG1084" s="55"/>
      <c r="BH1084" s="62"/>
      <c r="BI1084" s="57" t="n">
        <v>2</v>
      </c>
      <c r="BJ1084" s="57" t="n">
        <v>6</v>
      </c>
      <c r="BK1084" s="56" t="n">
        <v>-188.4</v>
      </c>
      <c r="BL1084" s="57" t="n">
        <v>10</v>
      </c>
      <c r="BM1084" s="55"/>
      <c r="BN1084" s="60" t="n">
        <v>0</v>
      </c>
      <c r="BO1084" s="60" t="n">
        <v>1084</v>
      </c>
      <c r="BP1084" s="55" t="str">
        <f aca="false">IF(S1084&lt;&gt;"",UPPER(TRIM(S1084)),IF(O1084="","LOSE",O1084))</f>
        <v>S22</v>
      </c>
      <c r="BQ1084" s="57" t="n">
        <f aca="false">IF(BP1084="LOSE",1,IF(N(T1084)&gt;0,T1084,IF(N(P1084)&gt;0,P1084,MAX(1,G1084))))</f>
        <v>8</v>
      </c>
      <c r="BR1084" s="60" t="n">
        <f aca="false">IF(BP1084="LOSE",1,0)</f>
        <v>0</v>
      </c>
      <c r="BS1084" s="59" t="n">
        <f aca="false">IF(BR1084=0,0,IF(N(R1084)&gt;0,R1084,IFERROR(VLOOKUP(D1084,Parameter!$A$35:$C$64,3,0)+0,0)))</f>
        <v>0</v>
      </c>
      <c r="BT1084" s="55" t="n">
        <f aca="false">IF(Y1084&lt;&gt;"",Y1084,X1084)</f>
        <v>3</v>
      </c>
      <c r="BU1084" s="55" t="str">
        <f aca="false">IF(BT1084=1,"L1",IF(OR(BT1084=2,BT1084=3),"L23",IF(BT1084="Aussen","Aussen","-")))</f>
        <v>L23</v>
      </c>
      <c r="BV1084" s="66" t="n">
        <f aca="false">IF(N(Z1084)&gt;0,Z1084,0)</f>
        <v>0</v>
      </c>
      <c r="BW1084" s="60" t="n">
        <f aca="false">IF(ISNUMBER(AC1084),1,0)</f>
        <v>0</v>
      </c>
      <c r="BX1084" s="57" t="n">
        <f aca="false">N(AC1084)</f>
        <v>0</v>
      </c>
      <c r="BY1084" s="57" t="n">
        <f aca="false">N(L1084)+N(M1084)</f>
        <v>10</v>
      </c>
      <c r="BZ1084" s="57" t="n">
        <f aca="false">ROUNDUP(G1084/BQ1084,0)</f>
        <v>1</v>
      </c>
      <c r="CA1084" s="57" t="n">
        <f aca="false">ROUNDUP(BX1084/BQ1084,0)</f>
        <v>0</v>
      </c>
      <c r="CB1084" s="60" t="n">
        <f aca="false">IF(BR1084=1,0,IFERROR(VLOOKUP(BP1084,'Gebinde-Kategorie'!$A$5:$M$45,5,0)+0,0))</f>
        <v>8</v>
      </c>
      <c r="CC1084" s="60" t="n">
        <f aca="false">IFERROR(IF(OR(BT1084=1,BT1084=2,BT1084=3),N(INDEX(Parameter!$I$5:$I$7,BT1084)),0),0)</f>
        <v>0</v>
      </c>
      <c r="CD1084" s="59" t="n">
        <f aca="false">IF(AND(Parameter!$B$21="Ja",ISNUMBER(U1084),N(V1084)&gt;0),IFERROR(N(INDEX(Parameter!$L$5:$L$7,U1084))*INDEX(Parameter!$E$5:$E$7,U1084)*V1084/SUMIFS($V$7:$V$1576,$U$7:$U$1576,U1084),0),0)</f>
        <v>0</v>
      </c>
    </row>
    <row r="1085" customFormat="false" ht="15" hidden="false" customHeight="false" outlineLevel="0" collapsed="false">
      <c r="A1085" s="55" t="s">
        <v>1962</v>
      </c>
      <c r="B1085" s="55" t="s">
        <v>1963</v>
      </c>
      <c r="C1085" s="55" t="s">
        <v>160</v>
      </c>
      <c r="D1085" s="55" t="s">
        <v>178</v>
      </c>
      <c r="E1085" s="55" t="s">
        <v>210</v>
      </c>
      <c r="F1085" s="56" t="n">
        <v>7.08</v>
      </c>
      <c r="G1085" s="57" t="n">
        <f aca="false">MAX(0,IF(AND(Parameter!$B$21="Ja",ISNUMBER(W1085)),W1085,IF(Parameter!$B$20="Jahresanfang 2025 + Export",BJ1085+BI1085,BI1085)))</f>
        <v>0</v>
      </c>
      <c r="H1085" s="57" t="n">
        <f aca="false">G1085*F1085</f>
        <v>0</v>
      </c>
      <c r="I1085" s="57" t="n">
        <f aca="false">BL1085*Parameter!$B$18</f>
        <v>129</v>
      </c>
      <c r="J1085" s="58" t="n">
        <v>91</v>
      </c>
      <c r="K1085" s="59" t="n">
        <v>1.41758241758242</v>
      </c>
      <c r="L1085" s="57" t="n">
        <v>7</v>
      </c>
      <c r="M1085" s="57" t="n">
        <v>130</v>
      </c>
      <c r="N1085" s="60" t="n">
        <v>21</v>
      </c>
      <c r="O1085" s="55" t="s">
        <v>411</v>
      </c>
      <c r="P1085" s="57" t="n">
        <v>113</v>
      </c>
      <c r="Q1085" s="60" t="n">
        <f aca="false">IF(BR1085=1,0,IFERROR(VLOOKUP(BP1085,'Gebinde-Kategorie'!$A$5:$M$45,13,0)+0,0))</f>
        <v>132</v>
      </c>
      <c r="R1085" s="61"/>
      <c r="S1085" s="62"/>
      <c r="T1085" s="62"/>
      <c r="U1085" s="55"/>
      <c r="V1085" s="57"/>
      <c r="W1085" s="57"/>
      <c r="X1085" s="55" t="n">
        <f aca="false">IF(A1085="","",IF(AND(Parameter!$B$21="Ja",ISNUMBER(U1085)),U1085,IF(IFERROR(VLOOKUP(D1085,Parameter!$A$35:$C$64,2,0),"Nein")="2+3",IF(ISNUMBER(SEARCH("grosser Artikel",BM1085)),2,IFERROR(VLOOKUP(BP1085,Parameter!$F$35:$G$64,2,0),2)),IF(OR(IFERROR(VLOOKUP(D1085,Parameter!$A$35:$C$64,2,0),"Nein")="Nein",IFERROR(VLOOKUP(D1085,Parameter!$A$35:$C$64,2,0),"Nein")=""),"-",VLOOKUP(D1085,Parameter!$A$35:$C$64,2,0)))))</f>
        <v>3</v>
      </c>
      <c r="Y1085" s="62"/>
      <c r="Z1085" s="63"/>
      <c r="AA1085" s="57" t="n">
        <f aca="false">AP1085</f>
        <v>226</v>
      </c>
      <c r="AB1085" s="57" t="n">
        <f aca="false">MAX(AP1085,G1085)</f>
        <v>226</v>
      </c>
      <c r="AC1085" s="64"/>
      <c r="AD1085" s="57" t="n">
        <f aca="false">IF(LEFT(Cockpit!$C$5,1)="A",G1085,IF(BW1085=1,BX1085,IF(LEFT(Cockpit!$C$5,1)="B",AH1085,MAX(AH1085,G1085))))</f>
        <v>0</v>
      </c>
      <c r="AE1085" s="57" t="n">
        <f aca="false">IF(BR1085=1,0,ROUNDUP(AD1085/BQ1085,0))</f>
        <v>0</v>
      </c>
      <c r="AF1085" s="59" t="n">
        <f aca="false">IF(CD1085&gt;0,CD1085*MAX(1,AD1085/V1085),IF(BR1085=1,IF(AD1085&lt;=0,0,BS1085*MAX(1,IF(G1085&gt;0,AD1085/G1085,1))),IF(Q1085&gt;0,AE1085/Q1085,0))/MAX(0.1,N(Parameter!$M$21)))</f>
        <v>0</v>
      </c>
      <c r="AG1085" s="57" t="n">
        <f aca="false">AD1085*F1085</f>
        <v>0</v>
      </c>
      <c r="AH1085" s="57" t="n">
        <f aca="false">ROUNDUP(MAX(I1085/IF(BV1085&gt;0,BV1085,MAX(0.1,N(Cockpit!$C$6))),BY1085)/BQ1085,0)*BQ1085</f>
        <v>226</v>
      </c>
      <c r="AI1085" s="58" t="n">
        <f aca="false">IF(AF1085&gt;0,I1085/AF1085,-1)</f>
        <v>-1</v>
      </c>
      <c r="AJ1085" s="58" t="str">
        <f aca="false">IF(AND(OR(BU1085="L1",BU1085="L23"),AF1085&gt;0),SUMIFS($AF$7:$AF$1576,$BU$7:$BU$1576,BU1085,$AI$7:$AI$1576,"&gt;"&amp;AI1085)+SUMIFS($AF$7:$AF$1576,$BU$7:$BU$1576,BU1085,$AI$7:$AI$1576,AI1085,$BO$7:$BO$1576,"&lt;="&amp;BO1085),"")</f>
        <v/>
      </c>
      <c r="AK1085" s="65" t="n">
        <f aca="false">IF(AJ1085="",0,MAX(0,MIN(1,(IF(BU1085="L1",Parameter!$E$5,Parameter!$E$6+Parameter!$E$7)-(AJ1085-AF1085))/AF1085)))</f>
        <v>0</v>
      </c>
      <c r="AL1085" s="57" t="n">
        <f aca="false">IF(LEFT(Cockpit!$I$5,1)="A",G1085,IF(BW1085=1,BX1085,IF(LEFT(Cockpit!$I$5,1)="B",AP1085,MAX(AP1085,G1085))))</f>
        <v>226</v>
      </c>
      <c r="AM1085" s="57" t="n">
        <f aca="false">IF(BR1085=1,0,ROUNDUP(AL1085/BQ1085,0))</f>
        <v>2</v>
      </c>
      <c r="AN1085" s="59" t="n">
        <f aca="false">IF(CD1085&gt;0,CD1085*MAX(1,AL1085/V1085),IF(BR1085=1,IF(AL1085&lt;=0,0,BS1085*MAX(1,IF(G1085&gt;0,AL1085/G1085,1))),IF(Q1085&gt;0,AM1085/Q1085,0))/MAX(0.1,N(Parameter!$M$21)))</f>
        <v>0.0151515151515152</v>
      </c>
      <c r="AO1085" s="57" t="n">
        <f aca="false">AL1085*F1085</f>
        <v>1600.08</v>
      </c>
      <c r="AP1085" s="57" t="n">
        <f aca="false">ROUNDUP(MAX(I1085/IF(BV1085&gt;0,BV1085,MAX(0.1,N(Cockpit!$I$6))),BY1085)/BQ1085,0)*BQ1085</f>
        <v>226</v>
      </c>
      <c r="AQ1085" s="58" t="n">
        <f aca="false">IF(AN1085&gt;0,I1085/AN1085,-1)</f>
        <v>8514</v>
      </c>
      <c r="AR1085" s="58" t="n">
        <f aca="false">IF(AND(OR(BU1085="L1",BU1085="L23"),AN1085&gt;0),SUMIFS($AN$7:$AN$1576,$BU$7:$BU$1576,BU1085,$AQ$7:$AQ$1576,"&gt;"&amp;AQ1085)+SUMIFS($AN$7:$AN$1576,$BU$7:$BU$1576,BU1085,$AQ$7:$AQ$1576,AQ1085,$BO$7:$BO$1576,"&lt;="&amp;BO1085),"")</f>
        <v>7.89134894091416</v>
      </c>
      <c r="AS1085" s="65" t="n">
        <f aca="false">IF(AR1085="",0,MAX(0,MIN(1,(IF(BU1085="L1",Parameter!$E$5,Parameter!$E$6+Parameter!$E$7)-(AR1085-AN1085))/AN1085)))</f>
        <v>1</v>
      </c>
      <c r="AT1085" s="57" t="n">
        <f aca="false">IF(LEFT(Cockpit!$O$5,1)="A",G1085,IF(BW1085=1,BX1085,IF(LEFT(Cockpit!$O$5,1)="B",AX1085,MAX(AX1085,G1085))))</f>
        <v>226</v>
      </c>
      <c r="AU1085" s="57" t="n">
        <f aca="false">IF(BR1085=1,0,ROUNDUP(AT1085/BQ1085,0))</f>
        <v>2</v>
      </c>
      <c r="AV1085" s="59" t="n">
        <f aca="false">IF(CD1085&gt;0,CD1085*MAX(1,AT1085/V1085),IF(BR1085=1,IF(AT1085&lt;=0,0,BS1085*MAX(1,IF(G1085&gt;0,AT1085/G1085,1))),IF(Q1085&gt;0,AU1085/Q1085,0))/MAX(0.1,N(Parameter!$M$21)))</f>
        <v>0.0151515151515152</v>
      </c>
      <c r="AW1085" s="57" t="n">
        <f aca="false">AT1085*F1085</f>
        <v>1600.08</v>
      </c>
      <c r="AX1085" s="57" t="n">
        <f aca="false">ROUNDUP(MAX(I1085/IF(BV1085&gt;0,BV1085,MAX(0.1,N(Cockpit!$O$6))),BY1085)/BQ1085,0)*BQ1085</f>
        <v>226</v>
      </c>
      <c r="AY1085" s="58" t="n">
        <f aca="false">IF(AV1085&gt;0,I1085/AV1085,-1)</f>
        <v>8514</v>
      </c>
      <c r="AZ1085" s="58" t="n">
        <f aca="false">IF(AND(OR(BU1085="L1",BU1085="L23"),AV1085&gt;0),SUMIFS($AV$7:$AV$1576,$BU$7:$BU$1576,BU1085,$AY$7:$AY$1576,"&gt;"&amp;AY1085)+SUMIFS($AV$7:$AV$1576,$BU$7:$BU$1576,BU1085,$AY$7:$AY$1576,AY1085,$BO$7:$BO$1576,"&lt;="&amp;BO1085),"")</f>
        <v>7.90708320664843</v>
      </c>
      <c r="BA1085" s="65" t="n">
        <f aca="false">IF(AZ1085="",0,MAX(0,MIN(1,(IF(BU1085="L1",Parameter!$E$5,Parameter!$E$6+Parameter!$E$7)-(AZ1085-AV1085))/AV1085)))</f>
        <v>1</v>
      </c>
      <c r="BB1085" s="55" t="str">
        <f aca="false">IF(AF1085&lt;=0,"",IF(BU1085="Aussen","Aussenlager",IF(BU1085="-","Nicht im Lift",IF(AK1085&gt;=1,"Lift",IF(AK1085&lt;=0,"Aussenlager","teilweise")))))</f>
        <v/>
      </c>
      <c r="BC1085" s="55" t="str">
        <f aca="false">IF(AN1085&lt;=0,"",IF(BU1085="Aussen","Aussenlager",IF(BU1085="-","Nicht im Lift",IF(AS1085&gt;=1,"Lift",IF(AS1085&lt;=0,"Aussenlager","teilweise")))))</f>
        <v>Lift</v>
      </c>
      <c r="BD1085" s="55" t="str">
        <f aca="false">IF(AV1085&lt;=0,"",IF(BU1085="Aussen","Aussenlager",IF(BU1085="-","Nicht im Lift",IF(BA1085&gt;=1,"Lift",IF(BA1085&lt;=0,"Aussenlager","teilweise")))))</f>
        <v>Lift</v>
      </c>
      <c r="BE1085" s="55" t="str">
        <f aca="false">IF(A1085="","",IF(BN1085=1,"Neu; ","")&amp;IF(AND(BN1085=0,BI1085&lt;0),"negativer Bestand (Export "&amp;BI1085&amp;"); ","")&amp;IF(I1085&lt;=0,"Kein Verbrauch; ","")&amp;IF(CD1085&gt;0,"Lift "&amp;U1085&amp;" lt. Liftbericht (Fach "&amp;V1085&amp;" Stk); ",IF(BR1085=1,"Lose – Fläche geschätzt; ",""))&amp;IF(G1085&gt;AP1085,"Überbestand "&amp;ROUND(G1085-AP1085,0)&amp;" Stk / CHF "&amp;ROUND((G1085-AP1085)*F1085,0)&amp;"; ","")&amp;IF(AND(BW1085=1,BX1085&lt;BY1085),"MAX &lt; MB+LG; ","")&amp;IF(AND(CC1085&gt;0,CB1085*10&gt;CC1085),"zu hoch für Tablar; ","")&amp;IF(AND(BN1085=0,OR(BW1085=1,Y1085&lt;&gt;"",S1085&lt;&gt;"",T1085&lt;&gt;"",Z1085&lt;&gt;"")),"manuell übersteuert; ","")&amp;IF(AND(BR1085=0,Q1085=0),"Gebinde unbekannt / Stellmass fehlt; ","")&amp;IF(AND(BR1085=0,N(T1085)&lt;=0,N(P1085)&lt;=0),"Menge pro Gebinde fehlt (Ist = 1 Gebinde); ","")&amp;BM1085)</f>
        <v>negativer Bestand (Export -22); </v>
      </c>
      <c r="BF1085" s="55"/>
      <c r="BG1085" s="55"/>
      <c r="BH1085" s="62"/>
      <c r="BI1085" s="57" t="n">
        <v>-22</v>
      </c>
      <c r="BJ1085" s="57" t="n">
        <v>103</v>
      </c>
      <c r="BK1085" s="56" t="n">
        <v>-188.719999999999</v>
      </c>
      <c r="BL1085" s="57" t="n">
        <v>129</v>
      </c>
      <c r="BM1085" s="55"/>
      <c r="BN1085" s="60" t="n">
        <v>0</v>
      </c>
      <c r="BO1085" s="60" t="n">
        <v>1085</v>
      </c>
      <c r="BP1085" s="55" t="str">
        <f aca="false">IF(S1085&lt;&gt;"",UPPER(TRIM(S1085)),IF(O1085="","LOSE",O1085))</f>
        <v>S32</v>
      </c>
      <c r="BQ1085" s="57" t="n">
        <f aca="false">IF(BP1085="LOSE",1,IF(N(T1085)&gt;0,T1085,IF(N(P1085)&gt;0,P1085,MAX(1,G1085))))</f>
        <v>113</v>
      </c>
      <c r="BR1085" s="60" t="n">
        <f aca="false">IF(BP1085="LOSE",1,0)</f>
        <v>0</v>
      </c>
      <c r="BS1085" s="59" t="n">
        <f aca="false">IF(BR1085=0,0,IF(N(R1085)&gt;0,R1085,IFERROR(VLOOKUP(D1085,Parameter!$A$35:$C$64,3,0)+0,0)))</f>
        <v>0</v>
      </c>
      <c r="BT1085" s="55" t="n">
        <f aca="false">IF(Y1085&lt;&gt;"",Y1085,X1085)</f>
        <v>3</v>
      </c>
      <c r="BU1085" s="55" t="str">
        <f aca="false">IF(BT1085=1,"L1",IF(OR(BT1085=2,BT1085=3),"L23",IF(BT1085="Aussen","Aussen","-")))</f>
        <v>L23</v>
      </c>
      <c r="BV1085" s="66" t="n">
        <f aca="false">IF(N(Z1085)&gt;0,Z1085,0)</f>
        <v>0</v>
      </c>
      <c r="BW1085" s="60" t="n">
        <f aca="false">IF(ISNUMBER(AC1085),1,0)</f>
        <v>0</v>
      </c>
      <c r="BX1085" s="57" t="n">
        <f aca="false">N(AC1085)</f>
        <v>0</v>
      </c>
      <c r="BY1085" s="57" t="n">
        <f aca="false">N(L1085)+N(M1085)</f>
        <v>137</v>
      </c>
      <c r="BZ1085" s="57" t="n">
        <f aca="false">ROUNDUP(G1085/BQ1085,0)</f>
        <v>0</v>
      </c>
      <c r="CA1085" s="57" t="n">
        <f aca="false">ROUNDUP(BX1085/BQ1085,0)</f>
        <v>0</v>
      </c>
      <c r="CB1085" s="60" t="n">
        <f aca="false">IF(BR1085=1,0,IFERROR(VLOOKUP(BP1085,'Gebinde-Kategorie'!$A$5:$M$45,5,0)+0,0))</f>
        <v>8</v>
      </c>
      <c r="CC1085" s="60" t="n">
        <f aca="false">IFERROR(IF(OR(BT1085=1,BT1085=2,BT1085=3),N(INDEX(Parameter!$I$5:$I$7,BT1085)),0),0)</f>
        <v>0</v>
      </c>
      <c r="CD1085" s="59" t="n">
        <f aca="false">IF(AND(Parameter!$B$21="Ja",ISNUMBER(U1085),N(V1085)&gt;0),IFERROR(N(INDEX(Parameter!$L$5:$L$7,U1085))*INDEX(Parameter!$E$5:$E$7,U1085)*V1085/SUMIFS($V$7:$V$1576,$U$7:$U$1576,U1085),0),0)</f>
        <v>0</v>
      </c>
    </row>
    <row r="1086" customFormat="false" ht="15" hidden="false" customHeight="false" outlineLevel="0" collapsed="false">
      <c r="A1086" s="55" t="s">
        <v>1964</v>
      </c>
      <c r="B1086" s="55" t="s">
        <v>1965</v>
      </c>
      <c r="C1086" s="55" t="s">
        <v>446</v>
      </c>
      <c r="D1086" s="55" t="s">
        <v>178</v>
      </c>
      <c r="E1086" s="55" t="s">
        <v>210</v>
      </c>
      <c r="F1086" s="56" t="n">
        <v>190.8</v>
      </c>
      <c r="G1086" s="57" t="n">
        <f aca="false">MAX(0,IF(AND(Parameter!$B$21="Ja",ISNUMBER(W1086)),W1086,IF(Parameter!$B$20="Jahresanfang 2025 + Export",BJ1086+BI1086,BI1086)))</f>
        <v>0</v>
      </c>
      <c r="H1086" s="57" t="n">
        <f aca="false">G1086*F1086</f>
        <v>0</v>
      </c>
      <c r="I1086" s="57" t="n">
        <f aca="false">BL1086*Parameter!$B$18</f>
        <v>0</v>
      </c>
      <c r="J1086" s="58" t="n">
        <v>1</v>
      </c>
      <c r="K1086" s="59" t="n">
        <v>0</v>
      </c>
      <c r="L1086" s="57" t="n">
        <v>0</v>
      </c>
      <c r="M1086" s="57" t="n">
        <v>1</v>
      </c>
      <c r="N1086" s="60" t="n">
        <v>42</v>
      </c>
      <c r="O1086" s="55" t="s">
        <v>163</v>
      </c>
      <c r="P1086" s="57"/>
      <c r="Q1086" s="60" t="n">
        <f aca="false">IF(BR1086=1,0,IFERROR(VLOOKUP(BP1086,'Gebinde-Kategorie'!$A$5:$M$45,13,0)+0,0))</f>
        <v>0</v>
      </c>
      <c r="R1086" s="61"/>
      <c r="S1086" s="62"/>
      <c r="T1086" s="62"/>
      <c r="U1086" s="55"/>
      <c r="V1086" s="57"/>
      <c r="W1086" s="57"/>
      <c r="X1086" s="55" t="n">
        <f aca="false">IF(A1086="","",IF(AND(Parameter!$B$21="Ja",ISNUMBER(U1086)),U1086,IF(IFERROR(VLOOKUP(D1086,Parameter!$A$35:$C$64,2,0),"Nein")="2+3",IF(ISNUMBER(SEARCH("grosser Artikel",BM1086)),2,IFERROR(VLOOKUP(BP1086,Parameter!$F$35:$G$64,2,0),2)),IF(OR(IFERROR(VLOOKUP(D1086,Parameter!$A$35:$C$64,2,0),"Nein")="Nein",IFERROR(VLOOKUP(D1086,Parameter!$A$35:$C$64,2,0),"Nein")=""),"-",VLOOKUP(D1086,Parameter!$A$35:$C$64,2,0)))))</f>
        <v>2</v>
      </c>
      <c r="Y1086" s="62"/>
      <c r="Z1086" s="63"/>
      <c r="AA1086" s="57" t="n">
        <f aca="false">AP1086</f>
        <v>1</v>
      </c>
      <c r="AB1086" s="57" t="n">
        <f aca="false">MAX(AP1086,G1086)</f>
        <v>1</v>
      </c>
      <c r="AC1086" s="64"/>
      <c r="AD1086" s="57" t="n">
        <f aca="false">IF(LEFT(Cockpit!$C$5,1)="A",G1086,IF(BW1086=1,BX1086,IF(LEFT(Cockpit!$C$5,1)="B",AH1086,MAX(AH1086,G1086))))</f>
        <v>0</v>
      </c>
      <c r="AE1086" s="57" t="n">
        <f aca="false">IF(BR1086=1,0,ROUNDUP(AD1086/BQ1086,0))</f>
        <v>0</v>
      </c>
      <c r="AF1086" s="59" t="n">
        <f aca="false">IF(CD1086&gt;0,CD1086*MAX(1,AD1086/V1086),IF(BR1086=1,IF(AD1086&lt;=0,0,BS1086*MAX(1,IF(G1086&gt;0,AD1086/G1086,1))),IF(Q1086&gt;0,AE1086/Q1086,0))/MAX(0.1,N(Parameter!$M$21)))</f>
        <v>0</v>
      </c>
      <c r="AG1086" s="57" t="n">
        <f aca="false">AD1086*F1086</f>
        <v>0</v>
      </c>
      <c r="AH1086" s="57" t="n">
        <f aca="false">ROUNDUP(MAX(I1086/IF(BV1086&gt;0,BV1086,MAX(0.1,N(Cockpit!$C$6))),BY1086)/BQ1086,0)*BQ1086</f>
        <v>1</v>
      </c>
      <c r="AI1086" s="58" t="n">
        <f aca="false">IF(AF1086&gt;0,I1086/AF1086,-1)</f>
        <v>-1</v>
      </c>
      <c r="AJ1086" s="58" t="str">
        <f aca="false">IF(AND(OR(BU1086="L1",BU1086="L23"),AF1086&gt;0),SUMIFS($AF$7:$AF$1576,$BU$7:$BU$1576,BU1086,$AI$7:$AI$1576,"&gt;"&amp;AI1086)+SUMIFS($AF$7:$AF$1576,$BU$7:$BU$1576,BU1086,$AI$7:$AI$1576,AI1086,$BO$7:$BO$1576,"&lt;="&amp;BO1086),"")</f>
        <v/>
      </c>
      <c r="AK1086" s="65" t="n">
        <f aca="false">IF(AJ1086="",0,MAX(0,MIN(1,(IF(BU1086="L1",Parameter!$E$5,Parameter!$E$6+Parameter!$E$7)-(AJ1086-AF1086))/AF1086)))</f>
        <v>0</v>
      </c>
      <c r="AL1086" s="57" t="n">
        <f aca="false">IF(LEFT(Cockpit!$I$5,1)="A",G1086,IF(BW1086=1,BX1086,IF(LEFT(Cockpit!$I$5,1)="B",AP1086,MAX(AP1086,G1086))))</f>
        <v>1</v>
      </c>
      <c r="AM1086" s="57" t="n">
        <f aca="false">IF(BR1086=1,0,ROUNDUP(AL1086/BQ1086,0))</f>
        <v>0</v>
      </c>
      <c r="AN1086" s="59" t="n">
        <f aca="false">IF(CD1086&gt;0,CD1086*MAX(1,AL1086/V1086),IF(BR1086=1,IF(AL1086&lt;=0,0,BS1086*MAX(1,IF(G1086&gt;0,AL1086/G1086,1))),IF(Q1086&gt;0,AM1086/Q1086,0))/MAX(0.1,N(Parameter!$M$21)))</f>
        <v>0.03</v>
      </c>
      <c r="AO1086" s="57" t="n">
        <f aca="false">AL1086*F1086</f>
        <v>190.8</v>
      </c>
      <c r="AP1086" s="57" t="n">
        <f aca="false">ROUNDUP(MAX(I1086/IF(BV1086&gt;0,BV1086,MAX(0.1,N(Cockpit!$I$6))),BY1086)/BQ1086,0)*BQ1086</f>
        <v>1</v>
      </c>
      <c r="AQ1086" s="58" t="n">
        <f aca="false">IF(AN1086&gt;0,I1086/AN1086,-1)</f>
        <v>0</v>
      </c>
      <c r="AR1086" s="58" t="n">
        <f aca="false">IF(AND(OR(BU1086="L1",BU1086="L23"),AN1086&gt;0),SUMIFS($AN$7:$AN$1576,$BU$7:$BU$1576,BU1086,$AQ$7:$AQ$1576,"&gt;"&amp;AQ1086)+SUMIFS($AN$7:$AN$1576,$BU$7:$BU$1576,BU1086,$AQ$7:$AQ$1576,AQ1086,$BO$7:$BO$1576,"&lt;="&amp;BO1086),"")</f>
        <v>133.462669914674</v>
      </c>
      <c r="AS1086" s="65" t="n">
        <f aca="false">IF(AR1086="",0,MAX(0,MIN(1,(IF(BU1086="L1",Parameter!$E$5,Parameter!$E$6+Parameter!$E$7)-(AR1086-AN1086))/AN1086)))</f>
        <v>0</v>
      </c>
      <c r="AT1086" s="57" t="n">
        <f aca="false">IF(LEFT(Cockpit!$O$5,1)="A",G1086,IF(BW1086=1,BX1086,IF(LEFT(Cockpit!$O$5,1)="B",AX1086,MAX(AX1086,G1086))))</f>
        <v>1</v>
      </c>
      <c r="AU1086" s="57" t="n">
        <f aca="false">IF(BR1086=1,0,ROUNDUP(AT1086/BQ1086,0))</f>
        <v>0</v>
      </c>
      <c r="AV1086" s="59" t="n">
        <f aca="false">IF(CD1086&gt;0,CD1086*MAX(1,AT1086/V1086),IF(BR1086=1,IF(AT1086&lt;=0,0,BS1086*MAX(1,IF(G1086&gt;0,AT1086/G1086,1))),IF(Q1086&gt;0,AU1086/Q1086,0))/MAX(0.1,N(Parameter!$M$21)))</f>
        <v>0.03</v>
      </c>
      <c r="AW1086" s="57" t="n">
        <f aca="false">AT1086*F1086</f>
        <v>190.8</v>
      </c>
      <c r="AX1086" s="57" t="n">
        <f aca="false">ROUNDUP(MAX(I1086/IF(BV1086&gt;0,BV1086,MAX(0.1,N(Cockpit!$O$6))),BY1086)/BQ1086,0)*BQ1086</f>
        <v>1</v>
      </c>
      <c r="AY1086" s="58" t="n">
        <f aca="false">IF(AV1086&gt;0,I1086/AV1086,-1)</f>
        <v>0</v>
      </c>
      <c r="AZ1086" s="58" t="n">
        <f aca="false">IF(AND(OR(BU1086="L1",BU1086="L23"),AV1086&gt;0),SUMIFS($AV$7:$AV$1576,$BU$7:$BU$1576,BU1086,$AY$7:$AY$1576,"&gt;"&amp;AY1086)+SUMIFS($AV$7:$AV$1576,$BU$7:$BU$1576,BU1086,$AY$7:$AY$1576,AY1086,$BO$7:$BO$1576,"&lt;="&amp;BO1086),"")</f>
        <v>123.522220364224</v>
      </c>
      <c r="BA1086" s="65" t="n">
        <f aca="false">IF(AZ1086="",0,MAX(0,MIN(1,(IF(BU1086="L1",Parameter!$E$5,Parameter!$E$6+Parameter!$E$7)-(AZ1086-AV1086))/AV1086)))</f>
        <v>0</v>
      </c>
      <c r="BB1086" s="55" t="str">
        <f aca="false">IF(AF1086&lt;=0,"",IF(BU1086="Aussen","Aussenlager",IF(BU1086="-","Nicht im Lift",IF(AK1086&gt;=1,"Lift",IF(AK1086&lt;=0,"Aussenlager","teilweise")))))</f>
        <v/>
      </c>
      <c r="BC1086" s="55" t="str">
        <f aca="false">IF(AN1086&lt;=0,"",IF(BU1086="Aussen","Aussenlager",IF(BU1086="-","Nicht im Lift",IF(AS1086&gt;=1,"Lift",IF(AS1086&lt;=0,"Aussenlager","teilweise")))))</f>
        <v>Aussenlager</v>
      </c>
      <c r="BD1086" s="55" t="str">
        <f aca="false">IF(AV1086&lt;=0,"",IF(BU1086="Aussen","Aussenlager",IF(BU1086="-","Nicht im Lift",IF(BA1086&gt;=1,"Lift",IF(BA1086&lt;=0,"Aussenlager","teilweise")))))</f>
        <v>Aussenlager</v>
      </c>
      <c r="BE1086" s="55" t="str">
        <f aca="false">IF(A1086="","",IF(BN1086=1,"Neu; ","")&amp;IF(AND(BN1086=0,BI1086&lt;0),"negativer Bestand (Export "&amp;BI1086&amp;"); ","")&amp;IF(I1086&lt;=0,"Kein Verbrauch; ","")&amp;IF(CD1086&gt;0,"Lift "&amp;U1086&amp;" lt. Liftbericht (Fach "&amp;V1086&amp;" Stk); ",IF(BR1086=1,"Lose – Fläche geschätzt; ",""))&amp;IF(G1086&gt;AP1086,"Überbestand "&amp;ROUND(G1086-AP1086,0)&amp;" Stk / CHF "&amp;ROUND((G1086-AP1086)*F1086,0)&amp;"; ","")&amp;IF(AND(BW1086=1,BX1086&lt;BY1086),"MAX &lt; MB+LG; ","")&amp;IF(AND(CC1086&gt;0,CB1086*10&gt;CC1086),"zu hoch für Tablar; ","")&amp;IF(AND(BN1086=0,OR(BW1086=1,Y1086&lt;&gt;"",S1086&lt;&gt;"",T1086&lt;&gt;"",Z1086&lt;&gt;"")),"manuell übersteuert; ","")&amp;IF(AND(BR1086=0,Q1086=0),"Gebinde unbekannt / Stellmass fehlt; ","")&amp;IF(AND(BR1086=0,N(T1086)&lt;=0,N(P1086)&lt;=0),"Menge pro Gebinde fehlt (Ist = 1 Gebinde); ","")&amp;BM1086)</f>
        <v>negativer Bestand (Export -1); Kein Verbrauch; Lose – Fläche geschätzt; </v>
      </c>
      <c r="BF1086" s="55"/>
      <c r="BG1086" s="55"/>
      <c r="BH1086" s="62"/>
      <c r="BI1086" s="57" t="n">
        <v>-1</v>
      </c>
      <c r="BJ1086" s="57" t="n">
        <v>1</v>
      </c>
      <c r="BK1086" s="56" t="n">
        <v>-190.8</v>
      </c>
      <c r="BL1086" s="57" t="n">
        <v>0</v>
      </c>
      <c r="BM1086" s="55"/>
      <c r="BN1086" s="60" t="n">
        <v>0</v>
      </c>
      <c r="BO1086" s="60" t="n">
        <v>1086</v>
      </c>
      <c r="BP1086" s="55" t="str">
        <f aca="false">IF(S1086&lt;&gt;"",UPPER(TRIM(S1086)),IF(O1086="","LOSE",O1086))</f>
        <v>LOSE</v>
      </c>
      <c r="BQ1086" s="57" t="n">
        <f aca="false">IF(BP1086="LOSE",1,IF(N(T1086)&gt;0,T1086,IF(N(P1086)&gt;0,P1086,MAX(1,G1086))))</f>
        <v>1</v>
      </c>
      <c r="BR1086" s="60" t="n">
        <f aca="false">IF(BP1086="LOSE",1,0)</f>
        <v>1</v>
      </c>
      <c r="BS1086" s="59" t="n">
        <f aca="false">IF(BR1086=0,0,IF(N(R1086)&gt;0,R1086,IFERROR(VLOOKUP(D1086,Parameter!$A$35:$C$64,3,0)+0,0)))</f>
        <v>0.03</v>
      </c>
      <c r="BT1086" s="55" t="n">
        <f aca="false">IF(Y1086&lt;&gt;"",Y1086,X1086)</f>
        <v>2</v>
      </c>
      <c r="BU1086" s="55" t="str">
        <f aca="false">IF(BT1086=1,"L1",IF(OR(BT1086=2,BT1086=3),"L23",IF(BT1086="Aussen","Aussen","-")))</f>
        <v>L23</v>
      </c>
      <c r="BV1086" s="66" t="n">
        <f aca="false">IF(N(Z1086)&gt;0,Z1086,0)</f>
        <v>0</v>
      </c>
      <c r="BW1086" s="60" t="n">
        <f aca="false">IF(ISNUMBER(AC1086),1,0)</f>
        <v>0</v>
      </c>
      <c r="BX1086" s="57" t="n">
        <f aca="false">N(AC1086)</f>
        <v>0</v>
      </c>
      <c r="BY1086" s="57" t="n">
        <f aca="false">N(L1086)+N(M1086)</f>
        <v>1</v>
      </c>
      <c r="BZ1086" s="57" t="n">
        <f aca="false">ROUNDUP(G1086/BQ1086,0)</f>
        <v>0</v>
      </c>
      <c r="CA1086" s="57" t="n">
        <f aca="false">ROUNDUP(BX1086/BQ1086,0)</f>
        <v>0</v>
      </c>
      <c r="CB1086" s="60" t="n">
        <f aca="false">IF(BR1086=1,0,IFERROR(VLOOKUP(BP1086,'Gebinde-Kategorie'!$A$5:$M$45,5,0)+0,0))</f>
        <v>0</v>
      </c>
      <c r="CC1086" s="60" t="n">
        <f aca="false">IFERROR(IF(OR(BT1086=1,BT1086=2,BT1086=3),N(INDEX(Parameter!$I$5:$I$7,BT1086)),0),0)</f>
        <v>0</v>
      </c>
      <c r="CD1086" s="59" t="n">
        <f aca="false">IF(AND(Parameter!$B$21="Ja",ISNUMBER(U1086),N(V1086)&gt;0),IFERROR(N(INDEX(Parameter!$L$5:$L$7,U1086))*INDEX(Parameter!$E$5:$E$7,U1086)*V1086/SUMIFS($V$7:$V$1576,$U$7:$U$1576,U1086),0),0)</f>
        <v>0</v>
      </c>
    </row>
    <row r="1087" customFormat="false" ht="15" hidden="false" customHeight="false" outlineLevel="0" collapsed="false">
      <c r="A1087" s="55" t="s">
        <v>1966</v>
      </c>
      <c r="B1087" s="55" t="s">
        <v>713</v>
      </c>
      <c r="C1087" s="55" t="s">
        <v>160</v>
      </c>
      <c r="D1087" s="55" t="s">
        <v>178</v>
      </c>
      <c r="E1087" s="55" t="s">
        <v>210</v>
      </c>
      <c r="F1087" s="56" t="n">
        <v>36.34</v>
      </c>
      <c r="G1087" s="57" t="n">
        <f aca="false">MAX(0,IF(AND(Parameter!$B$21="Ja",ISNUMBER(W1087)),W1087,IF(Parameter!$B$20="Jahresanfang 2025 + Export",BJ1087+BI1087,BI1087)))</f>
        <v>0</v>
      </c>
      <c r="H1087" s="57" t="n">
        <f aca="false">G1087*F1087</f>
        <v>0</v>
      </c>
      <c r="I1087" s="57" t="n">
        <f aca="false">BL1087*Parameter!$B$18</f>
        <v>12</v>
      </c>
      <c r="J1087" s="58" t="n">
        <v>10</v>
      </c>
      <c r="K1087" s="59" t="n">
        <v>1.2</v>
      </c>
      <c r="L1087" s="57" t="n">
        <v>0</v>
      </c>
      <c r="M1087" s="57" t="n">
        <v>10</v>
      </c>
      <c r="N1087" s="60" t="n">
        <v>14</v>
      </c>
      <c r="O1087" s="55" t="s">
        <v>319</v>
      </c>
      <c r="P1087" s="57" t="n">
        <v>25</v>
      </c>
      <c r="Q1087" s="60" t="n">
        <f aca="false">IF(BR1087=1,0,IFERROR(VLOOKUP(BP1087,'Gebinde-Kategorie'!$A$5:$M$45,13,0)+0,0))</f>
        <v>52</v>
      </c>
      <c r="R1087" s="61"/>
      <c r="S1087" s="62"/>
      <c r="T1087" s="62"/>
      <c r="U1087" s="55"/>
      <c r="V1087" s="57"/>
      <c r="W1087" s="57"/>
      <c r="X1087" s="55" t="n">
        <f aca="false">IF(A1087="","",IF(AND(Parameter!$B$21="Ja",ISNUMBER(U1087)),U1087,IF(IFERROR(VLOOKUP(D1087,Parameter!$A$35:$C$64,2,0),"Nein")="2+3",IF(ISNUMBER(SEARCH("grosser Artikel",BM1087)),2,IFERROR(VLOOKUP(BP1087,Parameter!$F$35:$G$64,2,0),2)),IF(OR(IFERROR(VLOOKUP(D1087,Parameter!$A$35:$C$64,2,0),"Nein")="Nein",IFERROR(VLOOKUP(D1087,Parameter!$A$35:$C$64,2,0),"Nein")=""),"-",VLOOKUP(D1087,Parameter!$A$35:$C$64,2,0)))))</f>
        <v>3</v>
      </c>
      <c r="Y1087" s="62"/>
      <c r="Z1087" s="63"/>
      <c r="AA1087" s="57" t="n">
        <f aca="false">AP1087</f>
        <v>25</v>
      </c>
      <c r="AB1087" s="57" t="n">
        <f aca="false">MAX(AP1087,G1087)</f>
        <v>25</v>
      </c>
      <c r="AC1087" s="64"/>
      <c r="AD1087" s="57" t="n">
        <f aca="false">IF(LEFT(Cockpit!$C$5,1)="A",G1087,IF(BW1087=1,BX1087,IF(LEFT(Cockpit!$C$5,1)="B",AH1087,MAX(AH1087,G1087))))</f>
        <v>0</v>
      </c>
      <c r="AE1087" s="57" t="n">
        <f aca="false">IF(BR1087=1,0,ROUNDUP(AD1087/BQ1087,0))</f>
        <v>0</v>
      </c>
      <c r="AF1087" s="59" t="n">
        <f aca="false">IF(CD1087&gt;0,CD1087*MAX(1,AD1087/V1087),IF(BR1087=1,IF(AD1087&lt;=0,0,BS1087*MAX(1,IF(G1087&gt;0,AD1087/G1087,1))),IF(Q1087&gt;0,AE1087/Q1087,0))/MAX(0.1,N(Parameter!$M$21)))</f>
        <v>0</v>
      </c>
      <c r="AG1087" s="57" t="n">
        <f aca="false">AD1087*F1087</f>
        <v>0</v>
      </c>
      <c r="AH1087" s="57" t="n">
        <f aca="false">ROUNDUP(MAX(I1087/IF(BV1087&gt;0,BV1087,MAX(0.1,N(Cockpit!$C$6))),BY1087)/BQ1087,0)*BQ1087</f>
        <v>25</v>
      </c>
      <c r="AI1087" s="58" t="n">
        <f aca="false">IF(AF1087&gt;0,I1087/AF1087,-1)</f>
        <v>-1</v>
      </c>
      <c r="AJ1087" s="58" t="str">
        <f aca="false">IF(AND(OR(BU1087="L1",BU1087="L23"),AF1087&gt;0),SUMIFS($AF$7:$AF$1576,$BU$7:$BU$1576,BU1087,$AI$7:$AI$1576,"&gt;"&amp;AI1087)+SUMIFS($AF$7:$AF$1576,$BU$7:$BU$1576,BU1087,$AI$7:$AI$1576,AI1087,$BO$7:$BO$1576,"&lt;="&amp;BO1087),"")</f>
        <v/>
      </c>
      <c r="AK1087" s="65" t="n">
        <f aca="false">IF(AJ1087="",0,MAX(0,MIN(1,(IF(BU1087="L1",Parameter!$E$5,Parameter!$E$6+Parameter!$E$7)-(AJ1087-AF1087))/AF1087)))</f>
        <v>0</v>
      </c>
      <c r="AL1087" s="57" t="n">
        <f aca="false">IF(LEFT(Cockpit!$I$5,1)="A",G1087,IF(BW1087=1,BX1087,IF(LEFT(Cockpit!$I$5,1)="B",AP1087,MAX(AP1087,G1087))))</f>
        <v>25</v>
      </c>
      <c r="AM1087" s="57" t="n">
        <f aca="false">IF(BR1087=1,0,ROUNDUP(AL1087/BQ1087,0))</f>
        <v>1</v>
      </c>
      <c r="AN1087" s="59" t="n">
        <f aca="false">IF(CD1087&gt;0,CD1087*MAX(1,AL1087/V1087),IF(BR1087=1,IF(AL1087&lt;=0,0,BS1087*MAX(1,IF(G1087&gt;0,AL1087/G1087,1))),IF(Q1087&gt;0,AM1087/Q1087,0))/MAX(0.1,N(Parameter!$M$21)))</f>
        <v>0.0192307692307692</v>
      </c>
      <c r="AO1087" s="57" t="n">
        <f aca="false">AL1087*F1087</f>
        <v>908.5</v>
      </c>
      <c r="AP1087" s="57" t="n">
        <f aca="false">ROUNDUP(MAX(I1087/IF(BV1087&gt;0,BV1087,MAX(0.1,N(Cockpit!$I$6))),BY1087)/BQ1087,0)*BQ1087</f>
        <v>25</v>
      </c>
      <c r="AQ1087" s="58" t="n">
        <f aca="false">IF(AN1087&gt;0,I1087/AN1087,-1)</f>
        <v>624</v>
      </c>
      <c r="AR1087" s="58" t="n">
        <f aca="false">IF(AND(OR(BU1087="L1",BU1087="L23"),AN1087&gt;0),SUMIFS($AN$7:$AN$1576,$BU$7:$BU$1576,BU1087,$AQ$7:$AQ$1576,"&gt;"&amp;AQ1087)+SUMIFS($AN$7:$AN$1576,$BU$7:$BU$1576,BU1087,$AQ$7:$AQ$1576,AQ1087,$BO$7:$BO$1576,"&lt;="&amp;BO1087),"")</f>
        <v>30.8609225681076</v>
      </c>
      <c r="AS1087" s="65" t="n">
        <f aca="false">IF(AR1087="",0,MAX(0,MIN(1,(IF(BU1087="L1",Parameter!$E$5,Parameter!$E$6+Parameter!$E$7)-(AR1087-AN1087))/AN1087)))</f>
        <v>1</v>
      </c>
      <c r="AT1087" s="57" t="n">
        <f aca="false">IF(LEFT(Cockpit!$O$5,1)="A",G1087,IF(BW1087=1,BX1087,IF(LEFT(Cockpit!$O$5,1)="B",AX1087,MAX(AX1087,G1087))))</f>
        <v>25</v>
      </c>
      <c r="AU1087" s="57" t="n">
        <f aca="false">IF(BR1087=1,0,ROUNDUP(AT1087/BQ1087,0))</f>
        <v>1</v>
      </c>
      <c r="AV1087" s="59" t="n">
        <f aca="false">IF(CD1087&gt;0,CD1087*MAX(1,AT1087/V1087),IF(BR1087=1,IF(AT1087&lt;=0,0,BS1087*MAX(1,IF(G1087&gt;0,AT1087/G1087,1))),IF(Q1087&gt;0,AU1087/Q1087,0))/MAX(0.1,N(Parameter!$M$21)))</f>
        <v>0.0192307692307692</v>
      </c>
      <c r="AW1087" s="57" t="n">
        <f aca="false">AT1087*F1087</f>
        <v>908.5</v>
      </c>
      <c r="AX1087" s="57" t="n">
        <f aca="false">ROUNDUP(MAX(I1087/IF(BV1087&gt;0,BV1087,MAX(0.1,N(Cockpit!$O$6))),BY1087)/BQ1087,0)*BQ1087</f>
        <v>25</v>
      </c>
      <c r="AY1087" s="58" t="n">
        <f aca="false">IF(AV1087&gt;0,I1087/AV1087,-1)</f>
        <v>624</v>
      </c>
      <c r="AZ1087" s="58" t="n">
        <f aca="false">IF(AND(OR(BU1087="L1",BU1087="L23"),AV1087&gt;0),SUMIFS($AV$7:$AV$1576,$BU$7:$BU$1576,BU1087,$AY$7:$AY$1576,"&gt;"&amp;AY1087)+SUMIFS($AV$7:$AV$1576,$BU$7:$BU$1576,BU1087,$AY$7:$AY$1576,AY1087,$BO$7:$BO$1576,"&lt;="&amp;BO1087),"")</f>
        <v>30.0722245994097</v>
      </c>
      <c r="BA1087" s="65" t="n">
        <f aca="false">IF(AZ1087="",0,MAX(0,MIN(1,(IF(BU1087="L1",Parameter!$E$5,Parameter!$E$6+Parameter!$E$7)-(AZ1087-AV1087))/AV1087)))</f>
        <v>1</v>
      </c>
      <c r="BB1087" s="55" t="str">
        <f aca="false">IF(AF1087&lt;=0,"",IF(BU1087="Aussen","Aussenlager",IF(BU1087="-","Nicht im Lift",IF(AK1087&gt;=1,"Lift",IF(AK1087&lt;=0,"Aussenlager","teilweise")))))</f>
        <v/>
      </c>
      <c r="BC1087" s="55" t="str">
        <f aca="false">IF(AN1087&lt;=0,"",IF(BU1087="Aussen","Aussenlager",IF(BU1087="-","Nicht im Lift",IF(AS1087&gt;=1,"Lift",IF(AS1087&lt;=0,"Aussenlager","teilweise")))))</f>
        <v>Lift</v>
      </c>
      <c r="BD1087" s="55" t="str">
        <f aca="false">IF(AV1087&lt;=0,"",IF(BU1087="Aussen","Aussenlager",IF(BU1087="-","Nicht im Lift",IF(BA1087&gt;=1,"Lift",IF(BA1087&lt;=0,"Aussenlager","teilweise")))))</f>
        <v>Lift</v>
      </c>
      <c r="BE1087" s="55" t="str">
        <f aca="false">IF(A1087="","",IF(BN1087=1,"Neu; ","")&amp;IF(AND(BN1087=0,BI1087&lt;0),"negativer Bestand (Export "&amp;BI1087&amp;"); ","")&amp;IF(I1087&lt;=0,"Kein Verbrauch; ","")&amp;IF(CD1087&gt;0,"Lift "&amp;U1087&amp;" lt. Liftbericht (Fach "&amp;V1087&amp;" Stk); ",IF(BR1087=1,"Lose – Fläche geschätzt; ",""))&amp;IF(G1087&gt;AP1087,"Überbestand "&amp;ROUND(G1087-AP1087,0)&amp;" Stk / CHF "&amp;ROUND((G1087-AP1087)*F1087,0)&amp;"; ","")&amp;IF(AND(BW1087=1,BX1087&lt;BY1087),"MAX &lt; MB+LG; ","")&amp;IF(AND(CC1087&gt;0,CB1087*10&gt;CC1087),"zu hoch für Tablar; ","")&amp;IF(AND(BN1087=0,OR(BW1087=1,Y1087&lt;&gt;"",S1087&lt;&gt;"",T1087&lt;&gt;"",Z1087&lt;&gt;"")),"manuell übersteuert; ","")&amp;IF(AND(BR1087=0,Q1087=0),"Gebinde unbekannt / Stellmass fehlt; ","")&amp;IF(AND(BR1087=0,N(T1087)&lt;=0,N(P1087)&lt;=0),"Menge pro Gebinde fehlt (Ist = 1 Gebinde); ","")&amp;BM1087)</f>
        <v>negativer Bestand (Export -5); </v>
      </c>
      <c r="BF1087" s="55"/>
      <c r="BG1087" s="55"/>
      <c r="BH1087" s="62"/>
      <c r="BI1087" s="57" t="n">
        <v>-5</v>
      </c>
      <c r="BJ1087" s="57" t="n">
        <v>11</v>
      </c>
      <c r="BK1087" s="56" t="n">
        <v>-191.82</v>
      </c>
      <c r="BL1087" s="57" t="n">
        <v>12</v>
      </c>
      <c r="BM1087" s="55"/>
      <c r="BN1087" s="60" t="n">
        <v>0</v>
      </c>
      <c r="BO1087" s="60" t="n">
        <v>1087</v>
      </c>
      <c r="BP1087" s="55" t="str">
        <f aca="false">IF(S1087&lt;&gt;"",UPPER(TRIM(S1087)),IF(O1087="","LOSE",O1087))</f>
        <v>S41</v>
      </c>
      <c r="BQ1087" s="57" t="n">
        <f aca="false">IF(BP1087="LOSE",1,IF(N(T1087)&gt;0,T1087,IF(N(P1087)&gt;0,P1087,MAX(1,G1087))))</f>
        <v>25</v>
      </c>
      <c r="BR1087" s="60" t="n">
        <f aca="false">IF(BP1087="LOSE",1,0)</f>
        <v>0</v>
      </c>
      <c r="BS1087" s="59" t="n">
        <f aca="false">IF(BR1087=0,0,IF(N(R1087)&gt;0,R1087,IFERROR(VLOOKUP(D1087,Parameter!$A$35:$C$64,3,0)+0,0)))</f>
        <v>0</v>
      </c>
      <c r="BT1087" s="55" t="n">
        <f aca="false">IF(Y1087&lt;&gt;"",Y1087,X1087)</f>
        <v>3</v>
      </c>
      <c r="BU1087" s="55" t="str">
        <f aca="false">IF(BT1087=1,"L1",IF(OR(BT1087=2,BT1087=3),"L23",IF(BT1087="Aussen","Aussen","-")))</f>
        <v>L23</v>
      </c>
      <c r="BV1087" s="66" t="n">
        <f aca="false">IF(N(Z1087)&gt;0,Z1087,0)</f>
        <v>0</v>
      </c>
      <c r="BW1087" s="60" t="n">
        <f aca="false">IF(ISNUMBER(AC1087),1,0)</f>
        <v>0</v>
      </c>
      <c r="BX1087" s="57" t="n">
        <f aca="false">N(AC1087)</f>
        <v>0</v>
      </c>
      <c r="BY1087" s="57" t="n">
        <f aca="false">N(L1087)+N(M1087)</f>
        <v>10</v>
      </c>
      <c r="BZ1087" s="57" t="n">
        <f aca="false">ROUNDUP(G1087/BQ1087,0)</f>
        <v>0</v>
      </c>
      <c r="CA1087" s="57" t="n">
        <f aca="false">ROUNDUP(BX1087/BQ1087,0)</f>
        <v>0</v>
      </c>
      <c r="CB1087" s="60" t="n">
        <f aca="false">IF(BR1087=1,0,IFERROR(VLOOKUP(BP1087,'Gebinde-Kategorie'!$A$5:$M$45,5,0)+0,0))</f>
        <v>11</v>
      </c>
      <c r="CC1087" s="60" t="n">
        <f aca="false">IFERROR(IF(OR(BT1087=1,BT1087=2,BT1087=3),N(INDEX(Parameter!$I$5:$I$7,BT1087)),0),0)</f>
        <v>0</v>
      </c>
      <c r="CD1087" s="59" t="n">
        <f aca="false">IF(AND(Parameter!$B$21="Ja",ISNUMBER(U1087),N(V1087)&gt;0),IFERROR(N(INDEX(Parameter!$L$5:$L$7,U1087))*INDEX(Parameter!$E$5:$E$7,U1087)*V1087/SUMIFS($V$7:$V$1576,$U$7:$U$1576,U1087),0),0)</f>
        <v>0</v>
      </c>
    </row>
    <row r="1088" customFormat="false" ht="15" hidden="false" customHeight="false" outlineLevel="0" collapsed="false">
      <c r="A1088" s="55" t="s">
        <v>1967</v>
      </c>
      <c r="B1088" s="55" t="s">
        <v>1968</v>
      </c>
      <c r="C1088" s="55" t="s">
        <v>160</v>
      </c>
      <c r="D1088" s="55" t="s">
        <v>168</v>
      </c>
      <c r="E1088" s="55" t="s">
        <v>210</v>
      </c>
      <c r="F1088" s="56" t="n">
        <v>16</v>
      </c>
      <c r="G1088" s="57" t="n">
        <f aca="false">MAX(0,IF(AND(Parameter!$B$21="Ja",ISNUMBER(W1088)),W1088,IF(Parameter!$B$20="Jahresanfang 2025 + Export",BJ1088+BI1088,BI1088)))</f>
        <v>0</v>
      </c>
      <c r="H1088" s="57" t="n">
        <f aca="false">G1088*F1088</f>
        <v>0</v>
      </c>
      <c r="I1088" s="57" t="n">
        <f aca="false">BL1088*Parameter!$B$18</f>
        <v>130</v>
      </c>
      <c r="J1088" s="58" t="n">
        <v>50.5</v>
      </c>
      <c r="K1088" s="59" t="n">
        <v>2.57425742574257</v>
      </c>
      <c r="L1088" s="57" t="n">
        <v>7</v>
      </c>
      <c r="M1088" s="57" t="n">
        <v>15</v>
      </c>
      <c r="N1088" s="60" t="n">
        <v>21</v>
      </c>
      <c r="O1088" s="55" t="s">
        <v>163</v>
      </c>
      <c r="P1088" s="57"/>
      <c r="Q1088" s="60" t="n">
        <f aca="false">IF(BR1088=1,0,IFERROR(VLOOKUP(BP1088,'Gebinde-Kategorie'!$A$5:$M$45,13,0)+0,0))</f>
        <v>0</v>
      </c>
      <c r="R1088" s="61"/>
      <c r="S1088" s="62"/>
      <c r="T1088" s="62"/>
      <c r="U1088" s="55"/>
      <c r="V1088" s="57"/>
      <c r="W1088" s="57"/>
      <c r="X1088" s="55" t="n">
        <f aca="false">IF(A1088="","",IF(AND(Parameter!$B$21="Ja",ISNUMBER(U1088)),U1088,IF(IFERROR(VLOOKUP(D1088,Parameter!$A$35:$C$64,2,0),"Nein")="2+3",IF(ISNUMBER(SEARCH("grosser Artikel",BM1088)),2,IFERROR(VLOOKUP(BP1088,Parameter!$F$35:$G$64,2,0),2)),IF(OR(IFERROR(VLOOKUP(D1088,Parameter!$A$35:$C$64,2,0),"Nein")="Nein",IFERROR(VLOOKUP(D1088,Parameter!$A$35:$C$64,2,0),"Nein")=""),"-",VLOOKUP(D1088,Parameter!$A$35:$C$64,2,0)))))</f>
        <v>2</v>
      </c>
      <c r="Y1088" s="62"/>
      <c r="Z1088" s="63"/>
      <c r="AA1088" s="57" t="n">
        <f aca="false">AP1088</f>
        <v>65</v>
      </c>
      <c r="AB1088" s="57" t="n">
        <f aca="false">MAX(AP1088,G1088)</f>
        <v>65</v>
      </c>
      <c r="AC1088" s="64"/>
      <c r="AD1088" s="57" t="n">
        <f aca="false">IF(LEFT(Cockpit!$C$5,1)="A",G1088,IF(BW1088=1,BX1088,IF(LEFT(Cockpit!$C$5,1)="B",AH1088,MAX(AH1088,G1088))))</f>
        <v>0</v>
      </c>
      <c r="AE1088" s="57" t="n">
        <f aca="false">IF(BR1088=1,0,ROUNDUP(AD1088/BQ1088,0))</f>
        <v>0</v>
      </c>
      <c r="AF1088" s="59" t="n">
        <f aca="false">IF(CD1088&gt;0,CD1088*MAX(1,AD1088/V1088),IF(BR1088=1,IF(AD1088&lt;=0,0,BS1088*MAX(1,IF(G1088&gt;0,AD1088/G1088,1))),IF(Q1088&gt;0,AE1088/Q1088,0))/MAX(0.1,N(Parameter!$M$21)))</f>
        <v>0</v>
      </c>
      <c r="AG1088" s="57" t="n">
        <f aca="false">AD1088*F1088</f>
        <v>0</v>
      </c>
      <c r="AH1088" s="57" t="n">
        <f aca="false">ROUNDUP(MAX(I1088/IF(BV1088&gt;0,BV1088,MAX(0.1,N(Cockpit!$C$6))),BY1088)/BQ1088,0)*BQ1088</f>
        <v>65</v>
      </c>
      <c r="AI1088" s="58" t="n">
        <f aca="false">IF(AF1088&gt;0,I1088/AF1088,-1)</f>
        <v>-1</v>
      </c>
      <c r="AJ1088" s="58" t="str">
        <f aca="false">IF(AND(OR(BU1088="L1",BU1088="L23"),AF1088&gt;0),SUMIFS($AF$7:$AF$1576,$BU$7:$BU$1576,BU1088,$AI$7:$AI$1576,"&gt;"&amp;AI1088)+SUMIFS($AF$7:$AF$1576,$BU$7:$BU$1576,BU1088,$AI$7:$AI$1576,AI1088,$BO$7:$BO$1576,"&lt;="&amp;BO1088),"")</f>
        <v/>
      </c>
      <c r="AK1088" s="65" t="n">
        <f aca="false">IF(AJ1088="",0,MAX(0,MIN(1,(IF(BU1088="L1",Parameter!$E$5,Parameter!$E$6+Parameter!$E$7)-(AJ1088-AF1088))/AF1088)))</f>
        <v>0</v>
      </c>
      <c r="AL1088" s="57" t="n">
        <f aca="false">IF(LEFT(Cockpit!$I$5,1)="A",G1088,IF(BW1088=1,BX1088,IF(LEFT(Cockpit!$I$5,1)="B",AP1088,MAX(AP1088,G1088))))</f>
        <v>65</v>
      </c>
      <c r="AM1088" s="57" t="n">
        <f aca="false">IF(BR1088=1,0,ROUNDUP(AL1088/BQ1088,0))</f>
        <v>0</v>
      </c>
      <c r="AN1088" s="59" t="n">
        <f aca="false">IF(CD1088&gt;0,CD1088*MAX(1,AL1088/V1088),IF(BR1088=1,IF(AL1088&lt;=0,0,BS1088*MAX(1,IF(G1088&gt;0,AL1088/G1088,1))),IF(Q1088&gt;0,AM1088/Q1088,0))/MAX(0.1,N(Parameter!$M$21)))</f>
        <v>0.15</v>
      </c>
      <c r="AO1088" s="57" t="n">
        <f aca="false">AL1088*F1088</f>
        <v>1040</v>
      </c>
      <c r="AP1088" s="57" t="n">
        <f aca="false">ROUNDUP(MAX(I1088/IF(BV1088&gt;0,BV1088,MAX(0.1,N(Cockpit!$I$6))),BY1088)/BQ1088,0)*BQ1088</f>
        <v>65</v>
      </c>
      <c r="AQ1088" s="58" t="n">
        <f aca="false">IF(AN1088&gt;0,I1088/AN1088,-1)</f>
        <v>866.666666666667</v>
      </c>
      <c r="AR1088" s="58" t="n">
        <f aca="false">IF(AND(OR(BU1088="L1",BU1088="L23"),AN1088&gt;0),SUMIFS($AN$7:$AN$1576,$BU$7:$BU$1576,BU1088,$AQ$7:$AQ$1576,"&gt;"&amp;AQ1088)+SUMIFS($AN$7:$AN$1576,$BU$7:$BU$1576,BU1088,$AQ$7:$AQ$1576,AQ1088,$BO$7:$BO$1576,"&lt;="&amp;BO1088),"")</f>
        <v>25.3354453882826</v>
      </c>
      <c r="AS1088" s="65" t="n">
        <f aca="false">IF(AR1088="",0,MAX(0,MIN(1,(IF(BU1088="L1",Parameter!$E$5,Parameter!$E$6+Parameter!$E$7)-(AR1088-AN1088))/AN1088)))</f>
        <v>1</v>
      </c>
      <c r="AT1088" s="57" t="n">
        <f aca="false">IF(LEFT(Cockpit!$O$5,1)="A",G1088,IF(BW1088=1,BX1088,IF(LEFT(Cockpit!$O$5,1)="B",AX1088,MAX(AX1088,G1088))))</f>
        <v>44</v>
      </c>
      <c r="AU1088" s="57" t="n">
        <f aca="false">IF(BR1088=1,0,ROUNDUP(AT1088/BQ1088,0))</f>
        <v>0</v>
      </c>
      <c r="AV1088" s="59" t="n">
        <f aca="false">IF(CD1088&gt;0,CD1088*MAX(1,AT1088/V1088),IF(BR1088=1,IF(AT1088&lt;=0,0,BS1088*MAX(1,IF(G1088&gt;0,AT1088/G1088,1))),IF(Q1088&gt;0,AU1088/Q1088,0))/MAX(0.1,N(Parameter!$M$21)))</f>
        <v>0.15</v>
      </c>
      <c r="AW1088" s="57" t="n">
        <f aca="false">AT1088*F1088</f>
        <v>704</v>
      </c>
      <c r="AX1088" s="57" t="n">
        <f aca="false">ROUNDUP(MAX(I1088/IF(BV1088&gt;0,BV1088,MAX(0.1,N(Cockpit!$O$6))),BY1088)/BQ1088,0)*BQ1088</f>
        <v>44</v>
      </c>
      <c r="AY1088" s="58" t="n">
        <f aca="false">IF(AV1088&gt;0,I1088/AV1088,-1)</f>
        <v>866.666666666667</v>
      </c>
      <c r="AZ1088" s="58" t="n">
        <f aca="false">IF(AND(OR(BU1088="L1",BU1088="L23"),AV1088&gt;0),SUMIFS($AV$7:$AV$1576,$BU$7:$BU$1576,BU1088,$AY$7:$AY$1576,"&gt;"&amp;AY1088)+SUMIFS($AV$7:$AV$1576,$BU$7:$BU$1576,BU1088,$AY$7:$AY$1576,AY1088,$BO$7:$BO$1576,"&lt;="&amp;BO1088),"")</f>
        <v>25.5691283719656</v>
      </c>
      <c r="BA1088" s="65" t="n">
        <f aca="false">IF(AZ1088="",0,MAX(0,MIN(1,(IF(BU1088="L1",Parameter!$E$5,Parameter!$E$6+Parameter!$E$7)-(AZ1088-AV1088))/AV1088)))</f>
        <v>1</v>
      </c>
      <c r="BB1088" s="55" t="str">
        <f aca="false">IF(AF1088&lt;=0,"",IF(BU1088="Aussen","Aussenlager",IF(BU1088="-","Nicht im Lift",IF(AK1088&gt;=1,"Lift",IF(AK1088&lt;=0,"Aussenlager","teilweise")))))</f>
        <v/>
      </c>
      <c r="BC1088" s="55" t="str">
        <f aca="false">IF(AN1088&lt;=0,"",IF(BU1088="Aussen","Aussenlager",IF(BU1088="-","Nicht im Lift",IF(AS1088&gt;=1,"Lift",IF(AS1088&lt;=0,"Aussenlager","teilweise")))))</f>
        <v>Lift</v>
      </c>
      <c r="BD1088" s="55" t="str">
        <f aca="false">IF(AV1088&lt;=0,"",IF(BU1088="Aussen","Aussenlager",IF(BU1088="-","Nicht im Lift",IF(BA1088&gt;=1,"Lift",IF(BA1088&lt;=0,"Aussenlager","teilweise")))))</f>
        <v>Lift</v>
      </c>
      <c r="BE1088" s="55" t="str">
        <f aca="false">IF(A1088="","",IF(BN1088=1,"Neu; ","")&amp;IF(AND(BN1088=0,BI1088&lt;0),"negativer Bestand (Export "&amp;BI1088&amp;"); ","")&amp;IF(I1088&lt;=0,"Kein Verbrauch; ","")&amp;IF(CD1088&gt;0,"Lift "&amp;U1088&amp;" lt. Liftbericht (Fach "&amp;V1088&amp;" Stk); ",IF(BR1088=1,"Lose – Fläche geschätzt; ",""))&amp;IF(G1088&gt;AP1088,"Überbestand "&amp;ROUND(G1088-AP1088,0)&amp;" Stk / CHF "&amp;ROUND((G1088-AP1088)*F1088,0)&amp;"; ","")&amp;IF(AND(BW1088=1,BX1088&lt;BY1088),"MAX &lt; MB+LG; ","")&amp;IF(AND(CC1088&gt;0,CB1088*10&gt;CC1088),"zu hoch für Tablar; ","")&amp;IF(AND(BN1088=0,OR(BW1088=1,Y1088&lt;&gt;"",S1088&lt;&gt;"",T1088&lt;&gt;"",Z1088&lt;&gt;"")),"manuell übersteuert; ","")&amp;IF(AND(BR1088=0,Q1088=0),"Gebinde unbekannt / Stellmass fehlt; ","")&amp;IF(AND(BR1088=0,N(T1088)&lt;=0,N(P1088)&lt;=0),"Menge pro Gebinde fehlt (Ist = 1 Gebinde); ","")&amp;BM1088)</f>
        <v>negativer Bestand (Export -13); Lose – Fläche geschätzt; </v>
      </c>
      <c r="BF1088" s="55"/>
      <c r="BG1088" s="55"/>
      <c r="BH1088" s="62"/>
      <c r="BI1088" s="57" t="n">
        <v>-13</v>
      </c>
      <c r="BJ1088" s="57" t="n">
        <v>11</v>
      </c>
      <c r="BK1088" s="56" t="n">
        <v>-193.480000000001</v>
      </c>
      <c r="BL1088" s="57" t="n">
        <v>130</v>
      </c>
      <c r="BM1088" s="55"/>
      <c r="BN1088" s="60" t="n">
        <v>0</v>
      </c>
      <c r="BO1088" s="60" t="n">
        <v>1088</v>
      </c>
      <c r="BP1088" s="55" t="str">
        <f aca="false">IF(S1088&lt;&gt;"",UPPER(TRIM(S1088)),IF(O1088="","LOSE",O1088))</f>
        <v>LOSE</v>
      </c>
      <c r="BQ1088" s="57" t="n">
        <f aca="false">IF(BP1088="LOSE",1,IF(N(T1088)&gt;0,T1088,IF(N(P1088)&gt;0,P1088,MAX(1,G1088))))</f>
        <v>1</v>
      </c>
      <c r="BR1088" s="60" t="n">
        <f aca="false">IF(BP1088="LOSE",1,0)</f>
        <v>1</v>
      </c>
      <c r="BS1088" s="59" t="n">
        <f aca="false">IF(BR1088=0,0,IF(N(R1088)&gt;0,R1088,IFERROR(VLOOKUP(D1088,Parameter!$A$35:$C$64,3,0)+0,0)))</f>
        <v>0.15</v>
      </c>
      <c r="BT1088" s="55" t="n">
        <f aca="false">IF(Y1088&lt;&gt;"",Y1088,X1088)</f>
        <v>2</v>
      </c>
      <c r="BU1088" s="55" t="str">
        <f aca="false">IF(BT1088=1,"L1",IF(OR(BT1088=2,BT1088=3),"L23",IF(BT1088="Aussen","Aussen","-")))</f>
        <v>L23</v>
      </c>
      <c r="BV1088" s="66" t="n">
        <f aca="false">IF(N(Z1088)&gt;0,Z1088,0)</f>
        <v>0</v>
      </c>
      <c r="BW1088" s="60" t="n">
        <f aca="false">IF(ISNUMBER(AC1088),1,0)</f>
        <v>0</v>
      </c>
      <c r="BX1088" s="57" t="n">
        <f aca="false">N(AC1088)</f>
        <v>0</v>
      </c>
      <c r="BY1088" s="57" t="n">
        <f aca="false">N(L1088)+N(M1088)</f>
        <v>22</v>
      </c>
      <c r="BZ1088" s="57" t="n">
        <f aca="false">ROUNDUP(G1088/BQ1088,0)</f>
        <v>0</v>
      </c>
      <c r="CA1088" s="57" t="n">
        <f aca="false">ROUNDUP(BX1088/BQ1088,0)</f>
        <v>0</v>
      </c>
      <c r="CB1088" s="60" t="n">
        <f aca="false">IF(BR1088=1,0,IFERROR(VLOOKUP(BP1088,'Gebinde-Kategorie'!$A$5:$M$45,5,0)+0,0))</f>
        <v>0</v>
      </c>
      <c r="CC1088" s="60" t="n">
        <f aca="false">IFERROR(IF(OR(BT1088=1,BT1088=2,BT1088=3),N(INDEX(Parameter!$I$5:$I$7,BT1088)),0),0)</f>
        <v>0</v>
      </c>
      <c r="CD1088" s="59" t="n">
        <f aca="false">IF(AND(Parameter!$B$21="Ja",ISNUMBER(U1088),N(V1088)&gt;0),IFERROR(N(INDEX(Parameter!$L$5:$L$7,U1088))*INDEX(Parameter!$E$5:$E$7,U1088)*V1088/SUMIFS($V$7:$V$1576,$U$7:$U$1576,U1088),0),0)</f>
        <v>0</v>
      </c>
    </row>
    <row r="1089" customFormat="false" ht="15" hidden="false" customHeight="false" outlineLevel="0" collapsed="false">
      <c r="A1089" s="55" t="s">
        <v>1969</v>
      </c>
      <c r="B1089" s="55" t="s">
        <v>430</v>
      </c>
      <c r="C1089" s="55" t="s">
        <v>160</v>
      </c>
      <c r="D1089" s="55" t="s">
        <v>178</v>
      </c>
      <c r="E1089" s="55" t="s">
        <v>210</v>
      </c>
      <c r="F1089" s="56" t="n">
        <v>40.16</v>
      </c>
      <c r="G1089" s="57" t="n">
        <f aca="false">MAX(0,IF(AND(Parameter!$B$21="Ja",ISNUMBER(W1089)),W1089,IF(Parameter!$B$20="Jahresanfang 2025 + Export",BJ1089+BI1089,BI1089)))</f>
        <v>0</v>
      </c>
      <c r="H1089" s="57" t="n">
        <f aca="false">G1089*F1089</f>
        <v>0</v>
      </c>
      <c r="I1089" s="57" t="n">
        <f aca="false">BL1089*Parameter!$B$18</f>
        <v>23</v>
      </c>
      <c r="J1089" s="58" t="n">
        <v>22.5</v>
      </c>
      <c r="K1089" s="59" t="n">
        <v>1.02222222222222</v>
      </c>
      <c r="L1089" s="57" t="n">
        <v>1</v>
      </c>
      <c r="M1089" s="57" t="n">
        <v>25</v>
      </c>
      <c r="N1089" s="60" t="n">
        <v>21</v>
      </c>
      <c r="O1089" s="55" t="s">
        <v>225</v>
      </c>
      <c r="P1089" s="57" t="n">
        <v>48</v>
      </c>
      <c r="Q1089" s="60" t="n">
        <f aca="false">IF(BR1089=1,0,IFERROR(VLOOKUP(BP1089,'Gebinde-Kategorie'!$A$5:$M$45,13,0)+0,0))</f>
        <v>26</v>
      </c>
      <c r="R1089" s="61"/>
      <c r="S1089" s="62"/>
      <c r="T1089" s="62"/>
      <c r="U1089" s="55"/>
      <c r="V1089" s="57"/>
      <c r="W1089" s="57"/>
      <c r="X1089" s="55" t="n">
        <f aca="false">IF(A1089="","",IF(AND(Parameter!$B$21="Ja",ISNUMBER(U1089)),U1089,IF(IFERROR(VLOOKUP(D1089,Parameter!$A$35:$C$64,2,0),"Nein")="2+3",IF(ISNUMBER(SEARCH("grosser Artikel",BM1089)),2,IFERROR(VLOOKUP(BP1089,Parameter!$F$35:$G$64,2,0),2)),IF(OR(IFERROR(VLOOKUP(D1089,Parameter!$A$35:$C$64,2,0),"Nein")="Nein",IFERROR(VLOOKUP(D1089,Parameter!$A$35:$C$64,2,0),"Nein")=""),"-",VLOOKUP(D1089,Parameter!$A$35:$C$64,2,0)))))</f>
        <v>3</v>
      </c>
      <c r="Y1089" s="62"/>
      <c r="Z1089" s="63"/>
      <c r="AA1089" s="57" t="n">
        <f aca="false">AP1089</f>
        <v>48</v>
      </c>
      <c r="AB1089" s="57" t="n">
        <f aca="false">MAX(AP1089,G1089)</f>
        <v>48</v>
      </c>
      <c r="AC1089" s="64"/>
      <c r="AD1089" s="57" t="n">
        <f aca="false">IF(LEFT(Cockpit!$C$5,1)="A",G1089,IF(BW1089=1,BX1089,IF(LEFT(Cockpit!$C$5,1)="B",AH1089,MAX(AH1089,G1089))))</f>
        <v>0</v>
      </c>
      <c r="AE1089" s="57" t="n">
        <f aca="false">IF(BR1089=1,0,ROUNDUP(AD1089/BQ1089,0))</f>
        <v>0</v>
      </c>
      <c r="AF1089" s="59" t="n">
        <f aca="false">IF(CD1089&gt;0,CD1089*MAX(1,AD1089/V1089),IF(BR1089=1,IF(AD1089&lt;=0,0,BS1089*MAX(1,IF(G1089&gt;0,AD1089/G1089,1))),IF(Q1089&gt;0,AE1089/Q1089,0))/MAX(0.1,N(Parameter!$M$21)))</f>
        <v>0</v>
      </c>
      <c r="AG1089" s="57" t="n">
        <f aca="false">AD1089*F1089</f>
        <v>0</v>
      </c>
      <c r="AH1089" s="57" t="n">
        <f aca="false">ROUNDUP(MAX(I1089/IF(BV1089&gt;0,BV1089,MAX(0.1,N(Cockpit!$C$6))),BY1089)/BQ1089,0)*BQ1089</f>
        <v>48</v>
      </c>
      <c r="AI1089" s="58" t="n">
        <f aca="false">IF(AF1089&gt;0,I1089/AF1089,-1)</f>
        <v>-1</v>
      </c>
      <c r="AJ1089" s="58" t="str">
        <f aca="false">IF(AND(OR(BU1089="L1",BU1089="L23"),AF1089&gt;0),SUMIFS($AF$7:$AF$1576,$BU$7:$BU$1576,BU1089,$AI$7:$AI$1576,"&gt;"&amp;AI1089)+SUMIFS($AF$7:$AF$1576,$BU$7:$BU$1576,BU1089,$AI$7:$AI$1576,AI1089,$BO$7:$BO$1576,"&lt;="&amp;BO1089),"")</f>
        <v/>
      </c>
      <c r="AK1089" s="65" t="n">
        <f aca="false">IF(AJ1089="",0,MAX(0,MIN(1,(IF(BU1089="L1",Parameter!$E$5,Parameter!$E$6+Parameter!$E$7)-(AJ1089-AF1089))/AF1089)))</f>
        <v>0</v>
      </c>
      <c r="AL1089" s="57" t="n">
        <f aca="false">IF(LEFT(Cockpit!$I$5,1)="A",G1089,IF(BW1089=1,BX1089,IF(LEFT(Cockpit!$I$5,1)="B",AP1089,MAX(AP1089,G1089))))</f>
        <v>48</v>
      </c>
      <c r="AM1089" s="57" t="n">
        <f aca="false">IF(BR1089=1,0,ROUNDUP(AL1089/BQ1089,0))</f>
        <v>1</v>
      </c>
      <c r="AN1089" s="59" t="n">
        <f aca="false">IF(CD1089&gt;0,CD1089*MAX(1,AL1089/V1089),IF(BR1089=1,IF(AL1089&lt;=0,0,BS1089*MAX(1,IF(G1089&gt;0,AL1089/G1089,1))),IF(Q1089&gt;0,AM1089/Q1089,0))/MAX(0.1,N(Parameter!$M$21)))</f>
        <v>0.0384615384615385</v>
      </c>
      <c r="AO1089" s="57" t="n">
        <f aca="false">AL1089*F1089</f>
        <v>1927.68</v>
      </c>
      <c r="AP1089" s="57" t="n">
        <f aca="false">ROUNDUP(MAX(I1089/IF(BV1089&gt;0,BV1089,MAX(0.1,N(Cockpit!$I$6))),BY1089)/BQ1089,0)*BQ1089</f>
        <v>48</v>
      </c>
      <c r="AQ1089" s="58" t="n">
        <f aca="false">IF(AN1089&gt;0,I1089/AN1089,-1)</f>
        <v>598</v>
      </c>
      <c r="AR1089" s="58" t="n">
        <f aca="false">IF(AND(OR(BU1089="L1",BU1089="L23"),AN1089&gt;0),SUMIFS($AN$7:$AN$1576,$BU$7:$BU$1576,BU1089,$AQ$7:$AQ$1576,"&gt;"&amp;AQ1089)+SUMIFS($AN$7:$AN$1576,$BU$7:$BU$1576,BU1089,$AQ$7:$AQ$1576,AQ1089,$BO$7:$BO$1576,"&lt;="&amp;BO1089),"")</f>
        <v>31.1024610296461</v>
      </c>
      <c r="AS1089" s="65" t="n">
        <f aca="false">IF(AR1089="",0,MAX(0,MIN(1,(IF(BU1089="L1",Parameter!$E$5,Parameter!$E$6+Parameter!$E$7)-(AR1089-AN1089))/AN1089)))</f>
        <v>1</v>
      </c>
      <c r="AT1089" s="57" t="n">
        <f aca="false">IF(LEFT(Cockpit!$O$5,1)="A",G1089,IF(BW1089=1,BX1089,IF(LEFT(Cockpit!$O$5,1)="B",AX1089,MAX(AX1089,G1089))))</f>
        <v>48</v>
      </c>
      <c r="AU1089" s="57" t="n">
        <f aca="false">IF(BR1089=1,0,ROUNDUP(AT1089/BQ1089,0))</f>
        <v>1</v>
      </c>
      <c r="AV1089" s="59" t="n">
        <f aca="false">IF(CD1089&gt;0,CD1089*MAX(1,AT1089/V1089),IF(BR1089=1,IF(AT1089&lt;=0,0,BS1089*MAX(1,IF(G1089&gt;0,AT1089/G1089,1))),IF(Q1089&gt;0,AU1089/Q1089,0))/MAX(0.1,N(Parameter!$M$21)))</f>
        <v>0.0384615384615385</v>
      </c>
      <c r="AW1089" s="57" t="n">
        <f aca="false">AT1089*F1089</f>
        <v>1927.68</v>
      </c>
      <c r="AX1089" s="57" t="n">
        <f aca="false">ROUNDUP(MAX(I1089/IF(BV1089&gt;0,BV1089,MAX(0.1,N(Cockpit!$O$6))),BY1089)/BQ1089,0)*BQ1089</f>
        <v>48</v>
      </c>
      <c r="AY1089" s="58" t="n">
        <f aca="false">IF(AV1089&gt;0,I1089/AV1089,-1)</f>
        <v>598</v>
      </c>
      <c r="AZ1089" s="58" t="n">
        <f aca="false">IF(AND(OR(BU1089="L1",BU1089="L23"),AV1089&gt;0),SUMIFS($AV$7:$AV$1576,$BU$7:$BU$1576,BU1089,$AY$7:$AY$1576,"&gt;"&amp;AY1089)+SUMIFS($AV$7:$AV$1576,$BU$7:$BU$1576,BU1089,$AY$7:$AY$1576,AY1089,$BO$7:$BO$1576,"&lt;="&amp;BO1089),"")</f>
        <v>30.3137630609481</v>
      </c>
      <c r="BA1089" s="65" t="n">
        <f aca="false">IF(AZ1089="",0,MAX(0,MIN(1,(IF(BU1089="L1",Parameter!$E$5,Parameter!$E$6+Parameter!$E$7)-(AZ1089-AV1089))/AV1089)))</f>
        <v>1</v>
      </c>
      <c r="BB1089" s="55" t="str">
        <f aca="false">IF(AF1089&lt;=0,"",IF(BU1089="Aussen","Aussenlager",IF(BU1089="-","Nicht im Lift",IF(AK1089&gt;=1,"Lift",IF(AK1089&lt;=0,"Aussenlager","teilweise")))))</f>
        <v/>
      </c>
      <c r="BC1089" s="55" t="str">
        <f aca="false">IF(AN1089&lt;=0,"",IF(BU1089="Aussen","Aussenlager",IF(BU1089="-","Nicht im Lift",IF(AS1089&gt;=1,"Lift",IF(AS1089&lt;=0,"Aussenlager","teilweise")))))</f>
        <v>Lift</v>
      </c>
      <c r="BD1089" s="55" t="str">
        <f aca="false">IF(AV1089&lt;=0,"",IF(BU1089="Aussen","Aussenlager",IF(BU1089="-","Nicht im Lift",IF(BA1089&gt;=1,"Lift",IF(BA1089&lt;=0,"Aussenlager","teilweise")))))</f>
        <v>Lift</v>
      </c>
      <c r="BE1089" s="55" t="str">
        <f aca="false">IF(A1089="","",IF(BN1089=1,"Neu; ","")&amp;IF(AND(BN1089=0,BI1089&lt;0),"negativer Bestand (Export "&amp;BI1089&amp;"); ","")&amp;IF(I1089&lt;=0,"Kein Verbrauch; ","")&amp;IF(CD1089&gt;0,"Lift "&amp;U1089&amp;" lt. Liftbericht (Fach "&amp;V1089&amp;" Stk); ",IF(BR1089=1,"Lose – Fläche geschätzt; ",""))&amp;IF(G1089&gt;AP1089,"Überbestand "&amp;ROUND(G1089-AP1089,0)&amp;" Stk / CHF "&amp;ROUND((G1089-AP1089)*F1089,0)&amp;"; ","")&amp;IF(AND(BW1089=1,BX1089&lt;BY1089),"MAX &lt; MB+LG; ","")&amp;IF(AND(CC1089&gt;0,CB1089*10&gt;CC1089),"zu hoch für Tablar; ","")&amp;IF(AND(BN1089=0,OR(BW1089=1,Y1089&lt;&gt;"",S1089&lt;&gt;"",T1089&lt;&gt;"",Z1089&lt;&gt;"")),"manuell übersteuert; ","")&amp;IF(AND(BR1089=0,Q1089=0),"Gebinde unbekannt / Stellmass fehlt; ","")&amp;IF(AND(BR1089=0,N(T1089)&lt;=0,N(P1089)&lt;=0),"Menge pro Gebinde fehlt (Ist = 1 Gebinde); ","")&amp;BM1089)</f>
        <v>negativer Bestand (Export -5); SPGr</v>
      </c>
      <c r="BF1089" s="55"/>
      <c r="BG1089" s="55"/>
      <c r="BH1089" s="62"/>
      <c r="BI1089" s="57" t="n">
        <v>-5</v>
      </c>
      <c r="BJ1089" s="57" t="n">
        <v>26</v>
      </c>
      <c r="BK1089" s="56" t="n">
        <v>-193.54</v>
      </c>
      <c r="BL1089" s="57" t="n">
        <v>23</v>
      </c>
      <c r="BM1089" s="55" t="s">
        <v>1970</v>
      </c>
      <c r="BN1089" s="60" t="n">
        <v>0</v>
      </c>
      <c r="BO1089" s="60" t="n">
        <v>1089</v>
      </c>
      <c r="BP1089" s="55" t="str">
        <f aca="false">IF(S1089&lt;&gt;"",UPPER(TRIM(S1089)),IF(O1089="","LOSE",O1089))</f>
        <v>S52</v>
      </c>
      <c r="BQ1089" s="57" t="n">
        <f aca="false">IF(BP1089="LOSE",1,IF(N(T1089)&gt;0,T1089,IF(N(P1089)&gt;0,P1089,MAX(1,G1089))))</f>
        <v>48</v>
      </c>
      <c r="BR1089" s="60" t="n">
        <f aca="false">IF(BP1089="LOSE",1,0)</f>
        <v>0</v>
      </c>
      <c r="BS1089" s="59" t="n">
        <f aca="false">IF(BR1089=0,0,IF(N(R1089)&gt;0,R1089,IFERROR(VLOOKUP(D1089,Parameter!$A$35:$C$64,3,0)+0,0)))</f>
        <v>0</v>
      </c>
      <c r="BT1089" s="55" t="n">
        <f aca="false">IF(Y1089&lt;&gt;"",Y1089,X1089)</f>
        <v>3</v>
      </c>
      <c r="BU1089" s="55" t="str">
        <f aca="false">IF(BT1089=1,"L1",IF(OR(BT1089=2,BT1089=3),"L23",IF(BT1089="Aussen","Aussen","-")))</f>
        <v>L23</v>
      </c>
      <c r="BV1089" s="66" t="n">
        <f aca="false">IF(N(Z1089)&gt;0,Z1089,0)</f>
        <v>0</v>
      </c>
      <c r="BW1089" s="60" t="n">
        <f aca="false">IF(ISNUMBER(AC1089),1,0)</f>
        <v>0</v>
      </c>
      <c r="BX1089" s="57" t="n">
        <f aca="false">N(AC1089)</f>
        <v>0</v>
      </c>
      <c r="BY1089" s="57" t="n">
        <f aca="false">N(L1089)+N(M1089)</f>
        <v>26</v>
      </c>
      <c r="BZ1089" s="57" t="n">
        <f aca="false">ROUNDUP(G1089/BQ1089,0)</f>
        <v>0</v>
      </c>
      <c r="CA1089" s="57" t="n">
        <f aca="false">ROUNDUP(BX1089/BQ1089,0)</f>
        <v>0</v>
      </c>
      <c r="CB1089" s="60" t="n">
        <f aca="false">IF(BR1089=1,0,IFERROR(VLOOKUP(BP1089,'Gebinde-Kategorie'!$A$5:$M$45,5,0)+0,0))</f>
        <v>21</v>
      </c>
      <c r="CC1089" s="60" t="n">
        <f aca="false">IFERROR(IF(OR(BT1089=1,BT1089=2,BT1089=3),N(INDEX(Parameter!$I$5:$I$7,BT1089)),0),0)</f>
        <v>0</v>
      </c>
      <c r="CD1089" s="59" t="n">
        <f aca="false">IF(AND(Parameter!$B$21="Ja",ISNUMBER(U1089),N(V1089)&gt;0),IFERROR(N(INDEX(Parameter!$L$5:$L$7,U1089))*INDEX(Parameter!$E$5:$E$7,U1089)*V1089/SUMIFS($V$7:$V$1576,$U$7:$U$1576,U1089),0),0)</f>
        <v>0</v>
      </c>
    </row>
    <row r="1090" customFormat="false" ht="15" hidden="false" customHeight="false" outlineLevel="0" collapsed="false">
      <c r="A1090" s="55" t="s">
        <v>1971</v>
      </c>
      <c r="B1090" s="55" t="s">
        <v>1730</v>
      </c>
      <c r="C1090" s="55" t="s">
        <v>160</v>
      </c>
      <c r="D1090" s="55" t="s">
        <v>178</v>
      </c>
      <c r="E1090" s="55" t="s">
        <v>210</v>
      </c>
      <c r="F1090" s="56" t="n">
        <v>6.33</v>
      </c>
      <c r="G1090" s="57" t="n">
        <f aca="false">MAX(0,IF(AND(Parameter!$B$21="Ja",ISNUMBER(W1090)),W1090,IF(Parameter!$B$20="Jahresanfang 2025 + Export",BJ1090+BI1090,BI1090)))</f>
        <v>0</v>
      </c>
      <c r="H1090" s="57" t="n">
        <f aca="false">G1090*F1090</f>
        <v>0</v>
      </c>
      <c r="I1090" s="57" t="n">
        <f aca="false">BL1090*Parameter!$B$18</f>
        <v>26</v>
      </c>
      <c r="J1090" s="58" t="n">
        <v>66</v>
      </c>
      <c r="K1090" s="59" t="n">
        <v>0.393939393939394</v>
      </c>
      <c r="L1090" s="57" t="n">
        <v>1</v>
      </c>
      <c r="M1090" s="57" t="n">
        <v>25</v>
      </c>
      <c r="N1090" s="60" t="n">
        <v>14</v>
      </c>
      <c r="O1090" s="55" t="s">
        <v>391</v>
      </c>
      <c r="P1090" s="57" t="n">
        <v>46</v>
      </c>
      <c r="Q1090" s="60" t="n">
        <f aca="false">IF(BR1090=1,0,IFERROR(VLOOKUP(BP1090,'Gebinde-Kategorie'!$A$5:$M$45,13,0)+0,0))</f>
        <v>414</v>
      </c>
      <c r="R1090" s="61"/>
      <c r="S1090" s="62"/>
      <c r="T1090" s="62"/>
      <c r="U1090" s="55"/>
      <c r="V1090" s="57"/>
      <c r="W1090" s="57"/>
      <c r="X1090" s="55" t="n">
        <f aca="false">IF(A1090="","",IF(AND(Parameter!$B$21="Ja",ISNUMBER(U1090)),U1090,IF(IFERROR(VLOOKUP(D1090,Parameter!$A$35:$C$64,2,0),"Nein")="2+3",IF(ISNUMBER(SEARCH("grosser Artikel",BM1090)),2,IFERROR(VLOOKUP(BP1090,Parameter!$F$35:$G$64,2,0),2)),IF(OR(IFERROR(VLOOKUP(D1090,Parameter!$A$35:$C$64,2,0),"Nein")="Nein",IFERROR(VLOOKUP(D1090,Parameter!$A$35:$C$64,2,0),"Nein")=""),"-",VLOOKUP(D1090,Parameter!$A$35:$C$64,2,0)))))</f>
        <v>3</v>
      </c>
      <c r="Y1090" s="62"/>
      <c r="Z1090" s="63"/>
      <c r="AA1090" s="57" t="n">
        <f aca="false">AP1090</f>
        <v>46</v>
      </c>
      <c r="AB1090" s="57" t="n">
        <f aca="false">MAX(AP1090,G1090)</f>
        <v>46</v>
      </c>
      <c r="AC1090" s="64"/>
      <c r="AD1090" s="57" t="n">
        <f aca="false">IF(LEFT(Cockpit!$C$5,1)="A",G1090,IF(BW1090=1,BX1090,IF(LEFT(Cockpit!$C$5,1)="B",AH1090,MAX(AH1090,G1090))))</f>
        <v>0</v>
      </c>
      <c r="AE1090" s="57" t="n">
        <f aca="false">IF(BR1090=1,0,ROUNDUP(AD1090/BQ1090,0))</f>
        <v>0</v>
      </c>
      <c r="AF1090" s="59" t="n">
        <f aca="false">IF(CD1090&gt;0,CD1090*MAX(1,AD1090/V1090),IF(BR1090=1,IF(AD1090&lt;=0,0,BS1090*MAX(1,IF(G1090&gt;0,AD1090/G1090,1))),IF(Q1090&gt;0,AE1090/Q1090,0))/MAX(0.1,N(Parameter!$M$21)))</f>
        <v>0</v>
      </c>
      <c r="AG1090" s="57" t="n">
        <f aca="false">AD1090*F1090</f>
        <v>0</v>
      </c>
      <c r="AH1090" s="57" t="n">
        <f aca="false">ROUNDUP(MAX(I1090/IF(BV1090&gt;0,BV1090,MAX(0.1,N(Cockpit!$C$6))),BY1090)/BQ1090,0)*BQ1090</f>
        <v>46</v>
      </c>
      <c r="AI1090" s="58" t="n">
        <f aca="false">IF(AF1090&gt;0,I1090/AF1090,-1)</f>
        <v>-1</v>
      </c>
      <c r="AJ1090" s="58" t="str">
        <f aca="false">IF(AND(OR(BU1090="L1",BU1090="L23"),AF1090&gt;0),SUMIFS($AF$7:$AF$1576,$BU$7:$BU$1576,BU1090,$AI$7:$AI$1576,"&gt;"&amp;AI1090)+SUMIFS($AF$7:$AF$1576,$BU$7:$BU$1576,BU1090,$AI$7:$AI$1576,AI1090,$BO$7:$BO$1576,"&lt;="&amp;BO1090),"")</f>
        <v/>
      </c>
      <c r="AK1090" s="65" t="n">
        <f aca="false">IF(AJ1090="",0,MAX(0,MIN(1,(IF(BU1090="L1",Parameter!$E$5,Parameter!$E$6+Parameter!$E$7)-(AJ1090-AF1090))/AF1090)))</f>
        <v>0</v>
      </c>
      <c r="AL1090" s="57" t="n">
        <f aca="false">IF(LEFT(Cockpit!$I$5,1)="A",G1090,IF(BW1090=1,BX1090,IF(LEFT(Cockpit!$I$5,1)="B",AP1090,MAX(AP1090,G1090))))</f>
        <v>46</v>
      </c>
      <c r="AM1090" s="57" t="n">
        <f aca="false">IF(BR1090=1,0,ROUNDUP(AL1090/BQ1090,0))</f>
        <v>1</v>
      </c>
      <c r="AN1090" s="59" t="n">
        <f aca="false">IF(CD1090&gt;0,CD1090*MAX(1,AL1090/V1090),IF(BR1090=1,IF(AL1090&lt;=0,0,BS1090*MAX(1,IF(G1090&gt;0,AL1090/G1090,1))),IF(Q1090&gt;0,AM1090/Q1090,0))/MAX(0.1,N(Parameter!$M$21)))</f>
        <v>0.00241545893719807</v>
      </c>
      <c r="AO1090" s="57" t="n">
        <f aca="false">AL1090*F1090</f>
        <v>291.18</v>
      </c>
      <c r="AP1090" s="57" t="n">
        <f aca="false">ROUNDUP(MAX(I1090/IF(BV1090&gt;0,BV1090,MAX(0.1,N(Cockpit!$I$6))),BY1090)/BQ1090,0)*BQ1090</f>
        <v>46</v>
      </c>
      <c r="AQ1090" s="58" t="n">
        <f aca="false">IF(AN1090&gt;0,I1090/AN1090,-1)</f>
        <v>10764</v>
      </c>
      <c r="AR1090" s="58" t="n">
        <f aca="false">IF(AND(OR(BU1090="L1",BU1090="L23"),AN1090&gt;0),SUMIFS($AN$7:$AN$1576,$BU$7:$BU$1576,BU1090,$AQ$7:$AQ$1576,"&gt;"&amp;AQ1090)+SUMIFS($AN$7:$AN$1576,$BU$7:$BU$1576,BU1090,$AQ$7:$AQ$1576,AQ1090,$BO$7:$BO$1576,"&lt;="&amp;BO1090),"")</f>
        <v>6.96441235093409</v>
      </c>
      <c r="AS1090" s="65" t="n">
        <f aca="false">IF(AR1090="",0,MAX(0,MIN(1,(IF(BU1090="L1",Parameter!$E$5,Parameter!$E$6+Parameter!$E$7)-(AR1090-AN1090))/AN1090)))</f>
        <v>1</v>
      </c>
      <c r="AT1090" s="57" t="n">
        <f aca="false">IF(LEFT(Cockpit!$O$5,1)="A",G1090,IF(BW1090=1,BX1090,IF(LEFT(Cockpit!$O$5,1)="B",AX1090,MAX(AX1090,G1090))))</f>
        <v>46</v>
      </c>
      <c r="AU1090" s="57" t="n">
        <f aca="false">IF(BR1090=1,0,ROUNDUP(AT1090/BQ1090,0))</f>
        <v>1</v>
      </c>
      <c r="AV1090" s="59" t="n">
        <f aca="false">IF(CD1090&gt;0,CD1090*MAX(1,AT1090/V1090),IF(BR1090=1,IF(AT1090&lt;=0,0,BS1090*MAX(1,IF(G1090&gt;0,AT1090/G1090,1))),IF(Q1090&gt;0,AU1090/Q1090,0))/MAX(0.1,N(Parameter!$M$21)))</f>
        <v>0.00241545893719807</v>
      </c>
      <c r="AW1090" s="57" t="n">
        <f aca="false">AT1090*F1090</f>
        <v>291.18</v>
      </c>
      <c r="AX1090" s="57" t="n">
        <f aca="false">ROUNDUP(MAX(I1090/IF(BV1090&gt;0,BV1090,MAX(0.1,N(Cockpit!$O$6))),BY1090)/BQ1090,0)*BQ1090</f>
        <v>46</v>
      </c>
      <c r="AY1090" s="58" t="n">
        <f aca="false">IF(AV1090&gt;0,I1090/AV1090,-1)</f>
        <v>10764</v>
      </c>
      <c r="AZ1090" s="58" t="n">
        <f aca="false">IF(AND(OR(BU1090="L1",BU1090="L23"),AV1090&gt;0),SUMIFS($AV$7:$AV$1576,$BU$7:$BU$1576,BU1090,$AY$7:$AY$1576,"&gt;"&amp;AY1090)+SUMIFS($AV$7:$AV$1576,$BU$7:$BU$1576,BU1090,$AY$7:$AY$1576,AY1090,$BO$7:$BO$1576,"&lt;="&amp;BO1090),"")</f>
        <v>6.66604405256579</v>
      </c>
      <c r="BA1090" s="65" t="n">
        <f aca="false">IF(AZ1090="",0,MAX(0,MIN(1,(IF(BU1090="L1",Parameter!$E$5,Parameter!$E$6+Parameter!$E$7)-(AZ1090-AV1090))/AV1090)))</f>
        <v>1</v>
      </c>
      <c r="BB1090" s="55" t="str">
        <f aca="false">IF(AF1090&lt;=0,"",IF(BU1090="Aussen","Aussenlager",IF(BU1090="-","Nicht im Lift",IF(AK1090&gt;=1,"Lift",IF(AK1090&lt;=0,"Aussenlager","teilweise")))))</f>
        <v/>
      </c>
      <c r="BC1090" s="55" t="str">
        <f aca="false">IF(AN1090&lt;=0,"",IF(BU1090="Aussen","Aussenlager",IF(BU1090="-","Nicht im Lift",IF(AS1090&gt;=1,"Lift",IF(AS1090&lt;=0,"Aussenlager","teilweise")))))</f>
        <v>Lift</v>
      </c>
      <c r="BD1090" s="55" t="str">
        <f aca="false">IF(AV1090&lt;=0,"",IF(BU1090="Aussen","Aussenlager",IF(BU1090="-","Nicht im Lift",IF(BA1090&gt;=1,"Lift",IF(BA1090&lt;=0,"Aussenlager","teilweise")))))</f>
        <v>Lift</v>
      </c>
      <c r="BE1090" s="55" t="str">
        <f aca="false">IF(A1090="","",IF(BN1090=1,"Neu; ","")&amp;IF(AND(BN1090=0,BI1090&lt;0),"negativer Bestand (Export "&amp;BI1090&amp;"); ","")&amp;IF(I1090&lt;=0,"Kein Verbrauch; ","")&amp;IF(CD1090&gt;0,"Lift "&amp;U1090&amp;" lt. Liftbericht (Fach "&amp;V1090&amp;" Stk); ",IF(BR1090=1,"Lose – Fläche geschätzt; ",""))&amp;IF(G1090&gt;AP1090,"Überbestand "&amp;ROUND(G1090-AP1090,0)&amp;" Stk / CHF "&amp;ROUND((G1090-AP1090)*F1090,0)&amp;"; ","")&amp;IF(AND(BW1090=1,BX1090&lt;BY1090),"MAX &lt; MB+LG; ","")&amp;IF(AND(CC1090&gt;0,CB1090*10&gt;CC1090),"zu hoch für Tablar; ","")&amp;IF(AND(BN1090=0,OR(BW1090=1,Y1090&lt;&gt;"",S1090&lt;&gt;"",T1090&lt;&gt;"",Z1090&lt;&gt;"")),"manuell übersteuert; ","")&amp;IF(AND(BR1090=0,Q1090=0),"Gebinde unbekannt / Stellmass fehlt; ","")&amp;IF(AND(BR1090=0,N(T1090)&lt;=0,N(P1090)&lt;=0),"Menge pro Gebinde fehlt (Ist = 1 Gebinde); ","")&amp;BM1090)</f>
        <v>negativer Bestand (Export -31); </v>
      </c>
      <c r="BF1090" s="55"/>
      <c r="BG1090" s="55"/>
      <c r="BH1090" s="62"/>
      <c r="BI1090" s="57" t="n">
        <v>-31</v>
      </c>
      <c r="BJ1090" s="57" t="n">
        <v>79</v>
      </c>
      <c r="BK1090" s="56" t="n">
        <v>-196.23</v>
      </c>
      <c r="BL1090" s="57" t="n">
        <v>26</v>
      </c>
      <c r="BM1090" s="55"/>
      <c r="BN1090" s="60" t="n">
        <v>0</v>
      </c>
      <c r="BO1090" s="60" t="n">
        <v>1090</v>
      </c>
      <c r="BP1090" s="55" t="str">
        <f aca="false">IF(S1090&lt;&gt;"",UPPER(TRIM(S1090)),IF(O1090="","LOSE",O1090))</f>
        <v>S21</v>
      </c>
      <c r="BQ1090" s="57" t="n">
        <f aca="false">IF(BP1090="LOSE",1,IF(N(T1090)&gt;0,T1090,IF(N(P1090)&gt;0,P1090,MAX(1,G1090))))</f>
        <v>46</v>
      </c>
      <c r="BR1090" s="60" t="n">
        <f aca="false">IF(BP1090="LOSE",1,0)</f>
        <v>0</v>
      </c>
      <c r="BS1090" s="59" t="n">
        <f aca="false">IF(BR1090=0,0,IF(N(R1090)&gt;0,R1090,IFERROR(VLOOKUP(D1090,Parameter!$A$35:$C$64,3,0)+0,0)))</f>
        <v>0</v>
      </c>
      <c r="BT1090" s="55" t="n">
        <f aca="false">IF(Y1090&lt;&gt;"",Y1090,X1090)</f>
        <v>3</v>
      </c>
      <c r="BU1090" s="55" t="str">
        <f aca="false">IF(BT1090=1,"L1",IF(OR(BT1090=2,BT1090=3),"L23",IF(BT1090="Aussen","Aussen","-")))</f>
        <v>L23</v>
      </c>
      <c r="BV1090" s="66" t="n">
        <f aca="false">IF(N(Z1090)&gt;0,Z1090,0)</f>
        <v>0</v>
      </c>
      <c r="BW1090" s="60" t="n">
        <f aca="false">IF(ISNUMBER(AC1090),1,0)</f>
        <v>0</v>
      </c>
      <c r="BX1090" s="57" t="n">
        <f aca="false">N(AC1090)</f>
        <v>0</v>
      </c>
      <c r="BY1090" s="57" t="n">
        <f aca="false">N(L1090)+N(M1090)</f>
        <v>26</v>
      </c>
      <c r="BZ1090" s="57" t="n">
        <f aca="false">ROUNDUP(G1090/BQ1090,0)</f>
        <v>0</v>
      </c>
      <c r="CA1090" s="57" t="n">
        <f aca="false">ROUNDUP(BX1090/BQ1090,0)</f>
        <v>0</v>
      </c>
      <c r="CB1090" s="60" t="n">
        <f aca="false">IF(BR1090=1,0,IFERROR(VLOOKUP(BP1090,'Gebinde-Kategorie'!$A$5:$M$45,5,0)+0,0))</f>
        <v>8</v>
      </c>
      <c r="CC1090" s="60" t="n">
        <f aca="false">IFERROR(IF(OR(BT1090=1,BT1090=2,BT1090=3),N(INDEX(Parameter!$I$5:$I$7,BT1090)),0),0)</f>
        <v>0</v>
      </c>
      <c r="CD1090" s="59" t="n">
        <f aca="false">IF(AND(Parameter!$B$21="Ja",ISNUMBER(U1090),N(V1090)&gt;0),IFERROR(N(INDEX(Parameter!$L$5:$L$7,U1090))*INDEX(Parameter!$E$5:$E$7,U1090)*V1090/SUMIFS($V$7:$V$1576,$U$7:$U$1576,U1090),0),0)</f>
        <v>0</v>
      </c>
    </row>
    <row r="1091" customFormat="false" ht="15" hidden="false" customHeight="false" outlineLevel="0" collapsed="false">
      <c r="A1091" s="55" t="s">
        <v>1972</v>
      </c>
      <c r="B1091" s="55" t="s">
        <v>1973</v>
      </c>
      <c r="C1091" s="55" t="s">
        <v>160</v>
      </c>
      <c r="D1091" s="55" t="s">
        <v>178</v>
      </c>
      <c r="E1091" s="55" t="s">
        <v>210</v>
      </c>
      <c r="F1091" s="56" t="n">
        <v>6.34</v>
      </c>
      <c r="G1091" s="57" t="n">
        <f aca="false">MAX(0,IF(AND(Parameter!$B$21="Ja",ISNUMBER(W1091)),W1091,IF(Parameter!$B$20="Jahresanfang 2025 + Export",BJ1091+BI1091,BI1091)))</f>
        <v>0</v>
      </c>
      <c r="H1091" s="57" t="n">
        <f aca="false">G1091*F1091</f>
        <v>0</v>
      </c>
      <c r="I1091" s="57" t="n">
        <f aca="false">BL1091*Parameter!$B$18</f>
        <v>12</v>
      </c>
      <c r="J1091" s="58" t="n">
        <v>108</v>
      </c>
      <c r="K1091" s="59" t="n">
        <v>0.111111111111111</v>
      </c>
      <c r="L1091" s="57" t="n">
        <v>0</v>
      </c>
      <c r="M1091" s="57" t="n">
        <v>10</v>
      </c>
      <c r="N1091" s="60" t="n">
        <v>21</v>
      </c>
      <c r="O1091" s="55" t="s">
        <v>163</v>
      </c>
      <c r="P1091" s="57"/>
      <c r="Q1091" s="60" t="n">
        <f aca="false">IF(BR1091=1,0,IFERROR(VLOOKUP(BP1091,'Gebinde-Kategorie'!$A$5:$M$45,13,0)+0,0))</f>
        <v>0</v>
      </c>
      <c r="R1091" s="61"/>
      <c r="S1091" s="62"/>
      <c r="T1091" s="62"/>
      <c r="U1091" s="55"/>
      <c r="V1091" s="57"/>
      <c r="W1091" s="57"/>
      <c r="X1091" s="55" t="n">
        <f aca="false">IF(A1091="","",IF(AND(Parameter!$B$21="Ja",ISNUMBER(U1091)),U1091,IF(IFERROR(VLOOKUP(D1091,Parameter!$A$35:$C$64,2,0),"Nein")="2+3",IF(ISNUMBER(SEARCH("grosser Artikel",BM1091)),2,IFERROR(VLOOKUP(BP1091,Parameter!$F$35:$G$64,2,0),2)),IF(OR(IFERROR(VLOOKUP(D1091,Parameter!$A$35:$C$64,2,0),"Nein")="Nein",IFERROR(VLOOKUP(D1091,Parameter!$A$35:$C$64,2,0),"Nein")=""),"-",VLOOKUP(D1091,Parameter!$A$35:$C$64,2,0)))))</f>
        <v>2</v>
      </c>
      <c r="Y1091" s="62"/>
      <c r="Z1091" s="63"/>
      <c r="AA1091" s="57" t="n">
        <f aca="false">AP1091</f>
        <v>10</v>
      </c>
      <c r="AB1091" s="57" t="n">
        <f aca="false">MAX(AP1091,G1091)</f>
        <v>10</v>
      </c>
      <c r="AC1091" s="64"/>
      <c r="AD1091" s="57" t="n">
        <f aca="false">IF(LEFT(Cockpit!$C$5,1)="A",G1091,IF(BW1091=1,BX1091,IF(LEFT(Cockpit!$C$5,1)="B",AH1091,MAX(AH1091,G1091))))</f>
        <v>0</v>
      </c>
      <c r="AE1091" s="57" t="n">
        <f aca="false">IF(BR1091=1,0,ROUNDUP(AD1091/BQ1091,0))</f>
        <v>0</v>
      </c>
      <c r="AF1091" s="59" t="n">
        <f aca="false">IF(CD1091&gt;0,CD1091*MAX(1,AD1091/V1091),IF(BR1091=1,IF(AD1091&lt;=0,0,BS1091*MAX(1,IF(G1091&gt;0,AD1091/G1091,1))),IF(Q1091&gt;0,AE1091/Q1091,0))/MAX(0.1,N(Parameter!$M$21)))</f>
        <v>0</v>
      </c>
      <c r="AG1091" s="57" t="n">
        <f aca="false">AD1091*F1091</f>
        <v>0</v>
      </c>
      <c r="AH1091" s="57" t="n">
        <f aca="false">ROUNDUP(MAX(I1091/IF(BV1091&gt;0,BV1091,MAX(0.1,N(Cockpit!$C$6))),BY1091)/BQ1091,0)*BQ1091</f>
        <v>10</v>
      </c>
      <c r="AI1091" s="58" t="n">
        <f aca="false">IF(AF1091&gt;0,I1091/AF1091,-1)</f>
        <v>-1</v>
      </c>
      <c r="AJ1091" s="58" t="str">
        <f aca="false">IF(AND(OR(BU1091="L1",BU1091="L23"),AF1091&gt;0),SUMIFS($AF$7:$AF$1576,$BU$7:$BU$1576,BU1091,$AI$7:$AI$1576,"&gt;"&amp;AI1091)+SUMIFS($AF$7:$AF$1576,$BU$7:$BU$1576,BU1091,$AI$7:$AI$1576,AI1091,$BO$7:$BO$1576,"&lt;="&amp;BO1091),"")</f>
        <v/>
      </c>
      <c r="AK1091" s="65" t="n">
        <f aca="false">IF(AJ1091="",0,MAX(0,MIN(1,(IF(BU1091="L1",Parameter!$E$5,Parameter!$E$6+Parameter!$E$7)-(AJ1091-AF1091))/AF1091)))</f>
        <v>0</v>
      </c>
      <c r="AL1091" s="57" t="n">
        <f aca="false">IF(LEFT(Cockpit!$I$5,1)="A",G1091,IF(BW1091=1,BX1091,IF(LEFT(Cockpit!$I$5,1)="B",AP1091,MAX(AP1091,G1091))))</f>
        <v>10</v>
      </c>
      <c r="AM1091" s="57" t="n">
        <f aca="false">IF(BR1091=1,0,ROUNDUP(AL1091/BQ1091,0))</f>
        <v>0</v>
      </c>
      <c r="AN1091" s="59" t="n">
        <f aca="false">IF(CD1091&gt;0,CD1091*MAX(1,AL1091/V1091),IF(BR1091=1,IF(AL1091&lt;=0,0,BS1091*MAX(1,IF(G1091&gt;0,AL1091/G1091,1))),IF(Q1091&gt;0,AM1091/Q1091,0))/MAX(0.1,N(Parameter!$M$21)))</f>
        <v>0.03</v>
      </c>
      <c r="AO1091" s="57" t="n">
        <f aca="false">AL1091*F1091</f>
        <v>63.4</v>
      </c>
      <c r="AP1091" s="57" t="n">
        <f aca="false">ROUNDUP(MAX(I1091/IF(BV1091&gt;0,BV1091,MAX(0.1,N(Cockpit!$I$6))),BY1091)/BQ1091,0)*BQ1091</f>
        <v>10</v>
      </c>
      <c r="AQ1091" s="58" t="n">
        <f aca="false">IF(AN1091&gt;0,I1091/AN1091,-1)</f>
        <v>400</v>
      </c>
      <c r="AR1091" s="58" t="n">
        <f aca="false">IF(AND(OR(BU1091="L1",BU1091="L23"),AN1091&gt;0),SUMIFS($AN$7:$AN$1576,$BU$7:$BU$1576,BU1091,$AQ$7:$AQ$1576,"&gt;"&amp;AQ1091)+SUMIFS($AN$7:$AN$1576,$BU$7:$BU$1576,BU1091,$AQ$7:$AQ$1576,AQ1091,$BO$7:$BO$1576,"&lt;="&amp;BO1091),"")</f>
        <v>36.6706268734641</v>
      </c>
      <c r="AS1091" s="65" t="n">
        <f aca="false">IF(AR1091="",0,MAX(0,MIN(1,(IF(BU1091="L1",Parameter!$E$5,Parameter!$E$6+Parameter!$E$7)-(AR1091-AN1091))/AN1091)))</f>
        <v>1</v>
      </c>
      <c r="AT1091" s="57" t="n">
        <f aca="false">IF(LEFT(Cockpit!$O$5,1)="A",G1091,IF(BW1091=1,BX1091,IF(LEFT(Cockpit!$O$5,1)="B",AX1091,MAX(AX1091,G1091))))</f>
        <v>10</v>
      </c>
      <c r="AU1091" s="57" t="n">
        <f aca="false">IF(BR1091=1,0,ROUNDUP(AT1091/BQ1091,0))</f>
        <v>0</v>
      </c>
      <c r="AV1091" s="59" t="n">
        <f aca="false">IF(CD1091&gt;0,CD1091*MAX(1,AT1091/V1091),IF(BR1091=1,IF(AT1091&lt;=0,0,BS1091*MAX(1,IF(G1091&gt;0,AT1091/G1091,1))),IF(Q1091&gt;0,AU1091/Q1091,0))/MAX(0.1,N(Parameter!$M$21)))</f>
        <v>0.03</v>
      </c>
      <c r="AW1091" s="57" t="n">
        <f aca="false">AT1091*F1091</f>
        <v>63.4</v>
      </c>
      <c r="AX1091" s="57" t="n">
        <f aca="false">ROUNDUP(MAX(I1091/IF(BV1091&gt;0,BV1091,MAX(0.1,N(Cockpit!$O$6))),BY1091)/BQ1091,0)*BQ1091</f>
        <v>10</v>
      </c>
      <c r="AY1091" s="58" t="n">
        <f aca="false">IF(AV1091&gt;0,I1091/AV1091,-1)</f>
        <v>400</v>
      </c>
      <c r="AZ1091" s="58" t="n">
        <f aca="false">IF(AND(OR(BU1091="L1",BU1091="L23"),AV1091&gt;0),SUMIFS($AV$7:$AV$1576,$BU$7:$BU$1576,BU1091,$AY$7:$AY$1576,"&gt;"&amp;AY1091)+SUMIFS($AV$7:$AV$1576,$BU$7:$BU$1576,BU1091,$AY$7:$AY$1576,AY1091,$BO$7:$BO$1576,"&lt;="&amp;BO1091),"")</f>
        <v>35.8353721282094</v>
      </c>
      <c r="BA1091" s="65" t="n">
        <f aca="false">IF(AZ1091="",0,MAX(0,MIN(1,(IF(BU1091="L1",Parameter!$E$5,Parameter!$E$6+Parameter!$E$7)-(AZ1091-AV1091))/AV1091)))</f>
        <v>1</v>
      </c>
      <c r="BB1091" s="55" t="str">
        <f aca="false">IF(AF1091&lt;=0,"",IF(BU1091="Aussen","Aussenlager",IF(BU1091="-","Nicht im Lift",IF(AK1091&gt;=1,"Lift",IF(AK1091&lt;=0,"Aussenlager","teilweise")))))</f>
        <v/>
      </c>
      <c r="BC1091" s="55" t="str">
        <f aca="false">IF(AN1091&lt;=0,"",IF(BU1091="Aussen","Aussenlager",IF(BU1091="-","Nicht im Lift",IF(AS1091&gt;=1,"Lift",IF(AS1091&lt;=0,"Aussenlager","teilweise")))))</f>
        <v>Lift</v>
      </c>
      <c r="BD1091" s="55" t="str">
        <f aca="false">IF(AV1091&lt;=0,"",IF(BU1091="Aussen","Aussenlager",IF(BU1091="-","Nicht im Lift",IF(BA1091&gt;=1,"Lift",IF(BA1091&lt;=0,"Aussenlager","teilweise")))))</f>
        <v>Lift</v>
      </c>
      <c r="BE1091" s="55" t="str">
        <f aca="false">IF(A1091="","",IF(BN1091=1,"Neu; ","")&amp;IF(AND(BN1091=0,BI1091&lt;0),"negativer Bestand (Export "&amp;BI1091&amp;"); ","")&amp;IF(I1091&lt;=0,"Kein Verbrauch; ","")&amp;IF(CD1091&gt;0,"Lift "&amp;U1091&amp;" lt. Liftbericht (Fach "&amp;V1091&amp;" Stk); ",IF(BR1091=1,"Lose – Fläche geschätzt; ",""))&amp;IF(G1091&gt;AP1091,"Überbestand "&amp;ROUND(G1091-AP1091,0)&amp;" Stk / CHF "&amp;ROUND((G1091-AP1091)*F1091,0)&amp;"; ","")&amp;IF(AND(BW1091=1,BX1091&lt;BY1091),"MAX &lt; MB+LG; ","")&amp;IF(AND(CC1091&gt;0,CB1091*10&gt;CC1091),"zu hoch für Tablar; ","")&amp;IF(AND(BN1091=0,OR(BW1091=1,Y1091&lt;&gt;"",S1091&lt;&gt;"",T1091&lt;&gt;"",Z1091&lt;&gt;"")),"manuell übersteuert; ","")&amp;IF(AND(BR1091=0,Q1091=0),"Gebinde unbekannt / Stellmass fehlt; ","")&amp;IF(AND(BR1091=0,N(T1091)&lt;=0,N(P1091)&lt;=0),"Menge pro Gebinde fehlt (Ist = 1 Gebinde); ","")&amp;BM1091)</f>
        <v>negativer Bestand (Export -31); Lose – Fläche geschätzt; </v>
      </c>
      <c r="BF1091" s="55"/>
      <c r="BG1091" s="55"/>
      <c r="BH1091" s="62"/>
      <c r="BI1091" s="57" t="n">
        <v>-31</v>
      </c>
      <c r="BJ1091" s="57" t="n">
        <v>117</v>
      </c>
      <c r="BK1091" s="56" t="n">
        <v>-196.54</v>
      </c>
      <c r="BL1091" s="57" t="n">
        <v>12</v>
      </c>
      <c r="BM1091" s="55"/>
      <c r="BN1091" s="60" t="n">
        <v>0</v>
      </c>
      <c r="BO1091" s="60" t="n">
        <v>1091</v>
      </c>
      <c r="BP1091" s="55" t="str">
        <f aca="false">IF(S1091&lt;&gt;"",UPPER(TRIM(S1091)),IF(O1091="","LOSE",O1091))</f>
        <v>LOSE</v>
      </c>
      <c r="BQ1091" s="57" t="n">
        <f aca="false">IF(BP1091="LOSE",1,IF(N(T1091)&gt;0,T1091,IF(N(P1091)&gt;0,P1091,MAX(1,G1091))))</f>
        <v>1</v>
      </c>
      <c r="BR1091" s="60" t="n">
        <f aca="false">IF(BP1091="LOSE",1,0)</f>
        <v>1</v>
      </c>
      <c r="BS1091" s="59" t="n">
        <f aca="false">IF(BR1091=0,0,IF(N(R1091)&gt;0,R1091,IFERROR(VLOOKUP(D1091,Parameter!$A$35:$C$64,3,0)+0,0)))</f>
        <v>0.03</v>
      </c>
      <c r="BT1091" s="55" t="n">
        <f aca="false">IF(Y1091&lt;&gt;"",Y1091,X1091)</f>
        <v>2</v>
      </c>
      <c r="BU1091" s="55" t="str">
        <f aca="false">IF(BT1091=1,"L1",IF(OR(BT1091=2,BT1091=3),"L23",IF(BT1091="Aussen","Aussen","-")))</f>
        <v>L23</v>
      </c>
      <c r="BV1091" s="66" t="n">
        <f aca="false">IF(N(Z1091)&gt;0,Z1091,0)</f>
        <v>0</v>
      </c>
      <c r="BW1091" s="60" t="n">
        <f aca="false">IF(ISNUMBER(AC1091),1,0)</f>
        <v>0</v>
      </c>
      <c r="BX1091" s="57" t="n">
        <f aca="false">N(AC1091)</f>
        <v>0</v>
      </c>
      <c r="BY1091" s="57" t="n">
        <f aca="false">N(L1091)+N(M1091)</f>
        <v>10</v>
      </c>
      <c r="BZ1091" s="57" t="n">
        <f aca="false">ROUNDUP(G1091/BQ1091,0)</f>
        <v>0</v>
      </c>
      <c r="CA1091" s="57" t="n">
        <f aca="false">ROUNDUP(BX1091/BQ1091,0)</f>
        <v>0</v>
      </c>
      <c r="CB1091" s="60" t="n">
        <f aca="false">IF(BR1091=1,0,IFERROR(VLOOKUP(BP1091,'Gebinde-Kategorie'!$A$5:$M$45,5,0)+0,0))</f>
        <v>0</v>
      </c>
      <c r="CC1091" s="60" t="n">
        <f aca="false">IFERROR(IF(OR(BT1091=1,BT1091=2,BT1091=3),N(INDEX(Parameter!$I$5:$I$7,BT1091)),0),0)</f>
        <v>0</v>
      </c>
      <c r="CD1091" s="59" t="n">
        <f aca="false">IF(AND(Parameter!$B$21="Ja",ISNUMBER(U1091),N(V1091)&gt;0),IFERROR(N(INDEX(Parameter!$L$5:$L$7,U1091))*INDEX(Parameter!$E$5:$E$7,U1091)*V1091/SUMIFS($V$7:$V$1576,$U$7:$U$1576,U1091),0),0)</f>
        <v>0</v>
      </c>
    </row>
    <row r="1092" customFormat="false" ht="15" hidden="false" customHeight="false" outlineLevel="0" collapsed="false">
      <c r="A1092" s="55" t="s">
        <v>1974</v>
      </c>
      <c r="B1092" s="55" t="s">
        <v>844</v>
      </c>
      <c r="C1092" s="55" t="s">
        <v>160</v>
      </c>
      <c r="D1092" s="55" t="s">
        <v>178</v>
      </c>
      <c r="E1092" s="55" t="s">
        <v>210</v>
      </c>
      <c r="F1092" s="56" t="n">
        <v>0.27</v>
      </c>
      <c r="G1092" s="57" t="n">
        <f aca="false">MAX(0,IF(AND(Parameter!$B$21="Ja",ISNUMBER(W1092)),W1092,IF(Parameter!$B$20="Jahresanfang 2025 + Export",BJ1092+BI1092,BI1092)))</f>
        <v>0</v>
      </c>
      <c r="H1092" s="57" t="n">
        <f aca="false">G1092*F1092</f>
        <v>0</v>
      </c>
      <c r="I1092" s="57" t="n">
        <f aca="false">BL1092*Parameter!$B$18</f>
        <v>735</v>
      </c>
      <c r="J1092" s="58" t="n">
        <v>367.5</v>
      </c>
      <c r="K1092" s="59" t="n">
        <v>2</v>
      </c>
      <c r="L1092" s="57" t="n">
        <v>0</v>
      </c>
      <c r="M1092" s="57" t="n">
        <v>100</v>
      </c>
      <c r="N1092" s="60" t="n">
        <v>14</v>
      </c>
      <c r="O1092" s="55" t="s">
        <v>163</v>
      </c>
      <c r="P1092" s="57"/>
      <c r="Q1092" s="60" t="n">
        <f aca="false">IF(BR1092=1,0,IFERROR(VLOOKUP(BP1092,'Gebinde-Kategorie'!$A$5:$M$45,13,0)+0,0))</f>
        <v>0</v>
      </c>
      <c r="R1092" s="61"/>
      <c r="S1092" s="62"/>
      <c r="T1092" s="62"/>
      <c r="U1092" s="55"/>
      <c r="V1092" s="57"/>
      <c r="W1092" s="57"/>
      <c r="X1092" s="55" t="n">
        <f aca="false">IF(A1092="","",IF(AND(Parameter!$B$21="Ja",ISNUMBER(U1092)),U1092,IF(IFERROR(VLOOKUP(D1092,Parameter!$A$35:$C$64,2,0),"Nein")="2+3",IF(ISNUMBER(SEARCH("grosser Artikel",BM1092)),2,IFERROR(VLOOKUP(BP1092,Parameter!$F$35:$G$64,2,0),2)),IF(OR(IFERROR(VLOOKUP(D1092,Parameter!$A$35:$C$64,2,0),"Nein")="Nein",IFERROR(VLOOKUP(D1092,Parameter!$A$35:$C$64,2,0),"Nein")=""),"-",VLOOKUP(D1092,Parameter!$A$35:$C$64,2,0)))))</f>
        <v>2</v>
      </c>
      <c r="Y1092" s="62"/>
      <c r="Z1092" s="63"/>
      <c r="AA1092" s="57" t="n">
        <f aca="false">AP1092</f>
        <v>368</v>
      </c>
      <c r="AB1092" s="57" t="n">
        <f aca="false">MAX(AP1092,G1092)</f>
        <v>368</v>
      </c>
      <c r="AC1092" s="64"/>
      <c r="AD1092" s="57" t="n">
        <f aca="false">IF(LEFT(Cockpit!$C$5,1)="A",G1092,IF(BW1092=1,BX1092,IF(LEFT(Cockpit!$C$5,1)="B",AH1092,MAX(AH1092,G1092))))</f>
        <v>0</v>
      </c>
      <c r="AE1092" s="57" t="n">
        <f aca="false">IF(BR1092=1,0,ROUNDUP(AD1092/BQ1092,0))</f>
        <v>0</v>
      </c>
      <c r="AF1092" s="59" t="n">
        <f aca="false">IF(CD1092&gt;0,CD1092*MAX(1,AD1092/V1092),IF(BR1092=1,IF(AD1092&lt;=0,0,BS1092*MAX(1,IF(G1092&gt;0,AD1092/G1092,1))),IF(Q1092&gt;0,AE1092/Q1092,0))/MAX(0.1,N(Parameter!$M$21)))</f>
        <v>0</v>
      </c>
      <c r="AG1092" s="57" t="n">
        <f aca="false">AD1092*F1092</f>
        <v>0</v>
      </c>
      <c r="AH1092" s="57" t="n">
        <f aca="false">ROUNDUP(MAX(I1092/IF(BV1092&gt;0,BV1092,MAX(0.1,N(Cockpit!$C$6))),BY1092)/BQ1092,0)*BQ1092</f>
        <v>368</v>
      </c>
      <c r="AI1092" s="58" t="n">
        <f aca="false">IF(AF1092&gt;0,I1092/AF1092,-1)</f>
        <v>-1</v>
      </c>
      <c r="AJ1092" s="58" t="str">
        <f aca="false">IF(AND(OR(BU1092="L1",BU1092="L23"),AF1092&gt;0),SUMIFS($AF$7:$AF$1576,$BU$7:$BU$1576,BU1092,$AI$7:$AI$1576,"&gt;"&amp;AI1092)+SUMIFS($AF$7:$AF$1576,$BU$7:$BU$1576,BU1092,$AI$7:$AI$1576,AI1092,$BO$7:$BO$1576,"&lt;="&amp;BO1092),"")</f>
        <v/>
      </c>
      <c r="AK1092" s="65" t="n">
        <f aca="false">IF(AJ1092="",0,MAX(0,MIN(1,(IF(BU1092="L1",Parameter!$E$5,Parameter!$E$6+Parameter!$E$7)-(AJ1092-AF1092))/AF1092)))</f>
        <v>0</v>
      </c>
      <c r="AL1092" s="57" t="n">
        <f aca="false">IF(LEFT(Cockpit!$I$5,1)="A",G1092,IF(BW1092=1,BX1092,IF(LEFT(Cockpit!$I$5,1)="B",AP1092,MAX(AP1092,G1092))))</f>
        <v>368</v>
      </c>
      <c r="AM1092" s="57" t="n">
        <f aca="false">IF(BR1092=1,0,ROUNDUP(AL1092/BQ1092,0))</f>
        <v>0</v>
      </c>
      <c r="AN1092" s="59" t="n">
        <f aca="false">IF(CD1092&gt;0,CD1092*MAX(1,AL1092/V1092),IF(BR1092=1,IF(AL1092&lt;=0,0,BS1092*MAX(1,IF(G1092&gt;0,AL1092/G1092,1))),IF(Q1092&gt;0,AM1092/Q1092,0))/MAX(0.1,N(Parameter!$M$21)))</f>
        <v>0.03</v>
      </c>
      <c r="AO1092" s="57" t="n">
        <f aca="false">AL1092*F1092</f>
        <v>99.36</v>
      </c>
      <c r="AP1092" s="57" t="n">
        <f aca="false">ROUNDUP(MAX(I1092/IF(BV1092&gt;0,BV1092,MAX(0.1,N(Cockpit!$I$6))),BY1092)/BQ1092,0)*BQ1092</f>
        <v>368</v>
      </c>
      <c r="AQ1092" s="58" t="n">
        <f aca="false">IF(AN1092&gt;0,I1092/AN1092,-1)</f>
        <v>24500</v>
      </c>
      <c r="AR1092" s="58" t="n">
        <f aca="false">IF(AND(OR(BU1092="L1",BU1092="L23"),AN1092&gt;0),SUMIFS($AN$7:$AN$1576,$BU$7:$BU$1576,BU1092,$AQ$7:$AQ$1576,"&gt;"&amp;AQ1092)+SUMIFS($AN$7:$AN$1576,$BU$7:$BU$1576,BU1092,$AQ$7:$AQ$1576,AQ1092,$BO$7:$BO$1576,"&lt;="&amp;BO1092),"")</f>
        <v>3.35207898381811</v>
      </c>
      <c r="AS1092" s="65" t="n">
        <f aca="false">IF(AR1092="",0,MAX(0,MIN(1,(IF(BU1092="L1",Parameter!$E$5,Parameter!$E$6+Parameter!$E$7)-(AR1092-AN1092))/AN1092)))</f>
        <v>1</v>
      </c>
      <c r="AT1092" s="57" t="n">
        <f aca="false">IF(LEFT(Cockpit!$O$5,1)="A",G1092,IF(BW1092=1,BX1092,IF(LEFT(Cockpit!$O$5,1)="B",AX1092,MAX(AX1092,G1092))))</f>
        <v>245</v>
      </c>
      <c r="AU1092" s="57" t="n">
        <f aca="false">IF(BR1092=1,0,ROUNDUP(AT1092/BQ1092,0))</f>
        <v>0</v>
      </c>
      <c r="AV1092" s="59" t="n">
        <f aca="false">IF(CD1092&gt;0,CD1092*MAX(1,AT1092/V1092),IF(BR1092=1,IF(AT1092&lt;=0,0,BS1092*MAX(1,IF(G1092&gt;0,AT1092/G1092,1))),IF(Q1092&gt;0,AU1092/Q1092,0))/MAX(0.1,N(Parameter!$M$21)))</f>
        <v>0.03</v>
      </c>
      <c r="AW1092" s="57" t="n">
        <f aca="false">AT1092*F1092</f>
        <v>66.15</v>
      </c>
      <c r="AX1092" s="57" t="n">
        <f aca="false">ROUNDUP(MAX(I1092/IF(BV1092&gt;0,BV1092,MAX(0.1,N(Cockpit!$O$6))),BY1092)/BQ1092,0)*BQ1092</f>
        <v>245</v>
      </c>
      <c r="AY1092" s="58" t="n">
        <f aca="false">IF(AV1092&gt;0,I1092/AV1092,-1)</f>
        <v>24500</v>
      </c>
      <c r="AZ1092" s="58" t="n">
        <f aca="false">IF(AND(OR(BU1092="L1",BU1092="L23"),AV1092&gt;0),SUMIFS($AV$7:$AV$1576,$BU$7:$BU$1576,BU1092,$AY$7:$AY$1576,"&gt;"&amp;AY1092)+SUMIFS($AV$7:$AV$1576,$BU$7:$BU$1576,BU1092,$AY$7:$AY$1576,AY1092,$BO$7:$BO$1576,"&lt;="&amp;BO1092),"")</f>
        <v>3.70988784162697</v>
      </c>
      <c r="BA1092" s="65" t="n">
        <f aca="false">IF(AZ1092="",0,MAX(0,MIN(1,(IF(BU1092="L1",Parameter!$E$5,Parameter!$E$6+Parameter!$E$7)-(AZ1092-AV1092))/AV1092)))</f>
        <v>1</v>
      </c>
      <c r="BB1092" s="55" t="str">
        <f aca="false">IF(AF1092&lt;=0,"",IF(BU1092="Aussen","Aussenlager",IF(BU1092="-","Nicht im Lift",IF(AK1092&gt;=1,"Lift",IF(AK1092&lt;=0,"Aussenlager","teilweise")))))</f>
        <v/>
      </c>
      <c r="BC1092" s="55" t="str">
        <f aca="false">IF(AN1092&lt;=0,"",IF(BU1092="Aussen","Aussenlager",IF(BU1092="-","Nicht im Lift",IF(AS1092&gt;=1,"Lift",IF(AS1092&lt;=0,"Aussenlager","teilweise")))))</f>
        <v>Lift</v>
      </c>
      <c r="BD1092" s="55" t="str">
        <f aca="false">IF(AV1092&lt;=0,"",IF(BU1092="Aussen","Aussenlager",IF(BU1092="-","Nicht im Lift",IF(BA1092&gt;=1,"Lift",IF(BA1092&lt;=0,"Aussenlager","teilweise")))))</f>
        <v>Lift</v>
      </c>
      <c r="BE1092" s="55" t="str">
        <f aca="false">IF(A1092="","",IF(BN1092=1,"Neu; ","")&amp;IF(AND(BN1092=0,BI1092&lt;0),"negativer Bestand (Export "&amp;BI1092&amp;"); ","")&amp;IF(I1092&lt;=0,"Kein Verbrauch; ","")&amp;IF(CD1092&gt;0,"Lift "&amp;U1092&amp;" lt. Liftbericht (Fach "&amp;V1092&amp;" Stk); ",IF(BR1092=1,"Lose – Fläche geschätzt; ",""))&amp;IF(G1092&gt;AP1092,"Überbestand "&amp;ROUND(G1092-AP1092,0)&amp;" Stk / CHF "&amp;ROUND((G1092-AP1092)*F1092,0)&amp;"; ","")&amp;IF(AND(BW1092=1,BX1092&lt;BY1092),"MAX &lt; MB+LG; ","")&amp;IF(AND(CC1092&gt;0,CB1092*10&gt;CC1092),"zu hoch für Tablar; ","")&amp;IF(AND(BN1092=0,OR(BW1092=1,Y1092&lt;&gt;"",S1092&lt;&gt;"",T1092&lt;&gt;"",Z1092&lt;&gt;"")),"manuell übersteuert; ","")&amp;IF(AND(BR1092=0,Q1092=0),"Gebinde unbekannt / Stellmass fehlt; ","")&amp;IF(AND(BR1092=0,N(T1092)&lt;=0,N(P1092)&lt;=0),"Menge pro Gebinde fehlt (Ist = 1 Gebinde); ","")&amp;BM1092)</f>
        <v>negativer Bestand (Export -735); Lose – Fläche geschätzt; </v>
      </c>
      <c r="BF1092" s="55"/>
      <c r="BG1092" s="55"/>
      <c r="BH1092" s="62"/>
      <c r="BI1092" s="57" t="n">
        <v>-735</v>
      </c>
      <c r="BJ1092" s="57" t="n">
        <v>735</v>
      </c>
      <c r="BK1092" s="56" t="n">
        <v>-198.45</v>
      </c>
      <c r="BL1092" s="57" t="n">
        <v>735</v>
      </c>
      <c r="BM1092" s="55"/>
      <c r="BN1092" s="60" t="n">
        <v>0</v>
      </c>
      <c r="BO1092" s="60" t="n">
        <v>1092</v>
      </c>
      <c r="BP1092" s="55" t="str">
        <f aca="false">IF(S1092&lt;&gt;"",UPPER(TRIM(S1092)),IF(O1092="","LOSE",O1092))</f>
        <v>LOSE</v>
      </c>
      <c r="BQ1092" s="57" t="n">
        <f aca="false">IF(BP1092="LOSE",1,IF(N(T1092)&gt;0,T1092,IF(N(P1092)&gt;0,P1092,MAX(1,G1092))))</f>
        <v>1</v>
      </c>
      <c r="BR1092" s="60" t="n">
        <f aca="false">IF(BP1092="LOSE",1,0)</f>
        <v>1</v>
      </c>
      <c r="BS1092" s="59" t="n">
        <f aca="false">IF(BR1092=0,0,IF(N(R1092)&gt;0,R1092,IFERROR(VLOOKUP(D1092,Parameter!$A$35:$C$64,3,0)+0,0)))</f>
        <v>0.03</v>
      </c>
      <c r="BT1092" s="55" t="n">
        <f aca="false">IF(Y1092&lt;&gt;"",Y1092,X1092)</f>
        <v>2</v>
      </c>
      <c r="BU1092" s="55" t="str">
        <f aca="false">IF(BT1092=1,"L1",IF(OR(BT1092=2,BT1092=3),"L23",IF(BT1092="Aussen","Aussen","-")))</f>
        <v>L23</v>
      </c>
      <c r="BV1092" s="66" t="n">
        <f aca="false">IF(N(Z1092)&gt;0,Z1092,0)</f>
        <v>0</v>
      </c>
      <c r="BW1092" s="60" t="n">
        <f aca="false">IF(ISNUMBER(AC1092),1,0)</f>
        <v>0</v>
      </c>
      <c r="BX1092" s="57" t="n">
        <f aca="false">N(AC1092)</f>
        <v>0</v>
      </c>
      <c r="BY1092" s="57" t="n">
        <f aca="false">N(L1092)+N(M1092)</f>
        <v>100</v>
      </c>
      <c r="BZ1092" s="57" t="n">
        <f aca="false">ROUNDUP(G1092/BQ1092,0)</f>
        <v>0</v>
      </c>
      <c r="CA1092" s="57" t="n">
        <f aca="false">ROUNDUP(BX1092/BQ1092,0)</f>
        <v>0</v>
      </c>
      <c r="CB1092" s="60" t="n">
        <f aca="false">IF(BR1092=1,0,IFERROR(VLOOKUP(BP1092,'Gebinde-Kategorie'!$A$5:$M$45,5,0)+0,0))</f>
        <v>0</v>
      </c>
      <c r="CC1092" s="60" t="n">
        <f aca="false">IFERROR(IF(OR(BT1092=1,BT1092=2,BT1092=3),N(INDEX(Parameter!$I$5:$I$7,BT1092)),0),0)</f>
        <v>0</v>
      </c>
      <c r="CD1092" s="59" t="n">
        <f aca="false">IF(AND(Parameter!$B$21="Ja",ISNUMBER(U1092),N(V1092)&gt;0),IFERROR(N(INDEX(Parameter!$L$5:$L$7,U1092))*INDEX(Parameter!$E$5:$E$7,U1092)*V1092/SUMIFS($V$7:$V$1576,$U$7:$U$1576,U1092),0),0)</f>
        <v>0</v>
      </c>
    </row>
    <row r="1093" customFormat="false" ht="15" hidden="false" customHeight="false" outlineLevel="0" collapsed="false">
      <c r="A1093" s="55" t="s">
        <v>1975</v>
      </c>
      <c r="B1093" s="55" t="s">
        <v>1976</v>
      </c>
      <c r="C1093" s="55" t="s">
        <v>160</v>
      </c>
      <c r="D1093" s="55" t="s">
        <v>178</v>
      </c>
      <c r="E1093" s="55" t="s">
        <v>210</v>
      </c>
      <c r="F1093" s="56" t="n">
        <v>74.34</v>
      </c>
      <c r="G1093" s="57" t="n">
        <f aca="false">MAX(0,IF(AND(Parameter!$B$21="Ja",ISNUMBER(W1093)),W1093,IF(Parameter!$B$20="Jahresanfang 2025 + Export",BJ1093+BI1093,BI1093)))</f>
        <v>0</v>
      </c>
      <c r="H1093" s="57" t="n">
        <f aca="false">G1093*F1093</f>
        <v>0</v>
      </c>
      <c r="I1093" s="57" t="n">
        <f aca="false">BL1093*Parameter!$B$18</f>
        <v>4</v>
      </c>
      <c r="J1093" s="58" t="n">
        <v>5</v>
      </c>
      <c r="K1093" s="59" t="n">
        <v>0.8</v>
      </c>
      <c r="L1093" s="57" t="n">
        <v>0</v>
      </c>
      <c r="M1093" s="57" t="n">
        <v>5</v>
      </c>
      <c r="N1093" s="60" t="n">
        <v>21</v>
      </c>
      <c r="O1093" s="55" t="s">
        <v>411</v>
      </c>
      <c r="P1093" s="57" t="n">
        <v>4</v>
      </c>
      <c r="Q1093" s="60" t="n">
        <f aca="false">IF(BR1093=1,0,IFERROR(VLOOKUP(BP1093,'Gebinde-Kategorie'!$A$5:$M$45,13,0)+0,0))</f>
        <v>132</v>
      </c>
      <c r="R1093" s="61"/>
      <c r="S1093" s="62"/>
      <c r="T1093" s="62"/>
      <c r="U1093" s="55"/>
      <c r="V1093" s="57"/>
      <c r="W1093" s="57"/>
      <c r="X1093" s="55" t="n">
        <f aca="false">IF(A1093="","",IF(AND(Parameter!$B$21="Ja",ISNUMBER(U1093)),U1093,IF(IFERROR(VLOOKUP(D1093,Parameter!$A$35:$C$64,2,0),"Nein")="2+3",IF(ISNUMBER(SEARCH("grosser Artikel",BM1093)),2,IFERROR(VLOOKUP(BP1093,Parameter!$F$35:$G$64,2,0),2)),IF(OR(IFERROR(VLOOKUP(D1093,Parameter!$A$35:$C$64,2,0),"Nein")="Nein",IFERROR(VLOOKUP(D1093,Parameter!$A$35:$C$64,2,0),"Nein")=""),"-",VLOOKUP(D1093,Parameter!$A$35:$C$64,2,0)))))</f>
        <v>3</v>
      </c>
      <c r="Y1093" s="62"/>
      <c r="Z1093" s="63"/>
      <c r="AA1093" s="57" t="n">
        <f aca="false">AP1093</f>
        <v>8</v>
      </c>
      <c r="AB1093" s="57" t="n">
        <f aca="false">MAX(AP1093,G1093)</f>
        <v>8</v>
      </c>
      <c r="AC1093" s="64"/>
      <c r="AD1093" s="57" t="n">
        <f aca="false">IF(LEFT(Cockpit!$C$5,1)="A",G1093,IF(BW1093=1,BX1093,IF(LEFT(Cockpit!$C$5,1)="B",AH1093,MAX(AH1093,G1093))))</f>
        <v>0</v>
      </c>
      <c r="AE1093" s="57" t="n">
        <f aca="false">IF(BR1093=1,0,ROUNDUP(AD1093/BQ1093,0))</f>
        <v>0</v>
      </c>
      <c r="AF1093" s="59" t="n">
        <f aca="false">IF(CD1093&gt;0,CD1093*MAX(1,AD1093/V1093),IF(BR1093=1,IF(AD1093&lt;=0,0,BS1093*MAX(1,IF(G1093&gt;0,AD1093/G1093,1))),IF(Q1093&gt;0,AE1093/Q1093,0))/MAX(0.1,N(Parameter!$M$21)))</f>
        <v>0</v>
      </c>
      <c r="AG1093" s="57" t="n">
        <f aca="false">AD1093*F1093</f>
        <v>0</v>
      </c>
      <c r="AH1093" s="57" t="n">
        <f aca="false">ROUNDUP(MAX(I1093/IF(BV1093&gt;0,BV1093,MAX(0.1,N(Cockpit!$C$6))),BY1093)/BQ1093,0)*BQ1093</f>
        <v>8</v>
      </c>
      <c r="AI1093" s="58" t="n">
        <f aca="false">IF(AF1093&gt;0,I1093/AF1093,-1)</f>
        <v>-1</v>
      </c>
      <c r="AJ1093" s="58" t="str">
        <f aca="false">IF(AND(OR(BU1093="L1",BU1093="L23"),AF1093&gt;0),SUMIFS($AF$7:$AF$1576,$BU$7:$BU$1576,BU1093,$AI$7:$AI$1576,"&gt;"&amp;AI1093)+SUMIFS($AF$7:$AF$1576,$BU$7:$BU$1576,BU1093,$AI$7:$AI$1576,AI1093,$BO$7:$BO$1576,"&lt;="&amp;BO1093),"")</f>
        <v/>
      </c>
      <c r="AK1093" s="65" t="n">
        <f aca="false">IF(AJ1093="",0,MAX(0,MIN(1,(IF(BU1093="L1",Parameter!$E$5,Parameter!$E$6+Parameter!$E$7)-(AJ1093-AF1093))/AF1093)))</f>
        <v>0</v>
      </c>
      <c r="AL1093" s="57" t="n">
        <f aca="false">IF(LEFT(Cockpit!$I$5,1)="A",G1093,IF(BW1093=1,BX1093,IF(LEFT(Cockpit!$I$5,1)="B",AP1093,MAX(AP1093,G1093))))</f>
        <v>8</v>
      </c>
      <c r="AM1093" s="57" t="n">
        <f aca="false">IF(BR1093=1,0,ROUNDUP(AL1093/BQ1093,0))</f>
        <v>2</v>
      </c>
      <c r="AN1093" s="59" t="n">
        <f aca="false">IF(CD1093&gt;0,CD1093*MAX(1,AL1093/V1093),IF(BR1093=1,IF(AL1093&lt;=0,0,BS1093*MAX(1,IF(G1093&gt;0,AL1093/G1093,1))),IF(Q1093&gt;0,AM1093/Q1093,0))/MAX(0.1,N(Parameter!$M$21)))</f>
        <v>0.0151515151515152</v>
      </c>
      <c r="AO1093" s="57" t="n">
        <f aca="false">AL1093*F1093</f>
        <v>594.72</v>
      </c>
      <c r="AP1093" s="57" t="n">
        <f aca="false">ROUNDUP(MAX(I1093/IF(BV1093&gt;0,BV1093,MAX(0.1,N(Cockpit!$I$6))),BY1093)/BQ1093,0)*BQ1093</f>
        <v>8</v>
      </c>
      <c r="AQ1093" s="58" t="n">
        <f aca="false">IF(AN1093&gt;0,I1093/AN1093,-1)</f>
        <v>264</v>
      </c>
      <c r="AR1093" s="58" t="n">
        <f aca="false">IF(AND(OR(BU1093="L1",BU1093="L23"),AN1093&gt;0),SUMIFS($AN$7:$AN$1576,$BU$7:$BU$1576,BU1093,$AQ$7:$AQ$1576,"&gt;"&amp;AQ1093)+SUMIFS($AN$7:$AN$1576,$BU$7:$BU$1576,BU1093,$AQ$7:$AQ$1576,AQ1093,$BO$7:$BO$1576,"&lt;="&amp;BO1093),"")</f>
        <v>45.3958172386545</v>
      </c>
      <c r="AS1093" s="65" t="n">
        <f aca="false">IF(AR1093="",0,MAX(0,MIN(1,(IF(BU1093="L1",Parameter!$E$5,Parameter!$E$6+Parameter!$E$7)-(AR1093-AN1093))/AN1093)))</f>
        <v>1</v>
      </c>
      <c r="AT1093" s="57" t="n">
        <f aca="false">IF(LEFT(Cockpit!$O$5,1)="A",G1093,IF(BW1093=1,BX1093,IF(LEFT(Cockpit!$O$5,1)="B",AX1093,MAX(AX1093,G1093))))</f>
        <v>8</v>
      </c>
      <c r="AU1093" s="57" t="n">
        <f aca="false">IF(BR1093=1,0,ROUNDUP(AT1093/BQ1093,0))</f>
        <v>2</v>
      </c>
      <c r="AV1093" s="59" t="n">
        <f aca="false">IF(CD1093&gt;0,CD1093*MAX(1,AT1093/V1093),IF(BR1093=1,IF(AT1093&lt;=0,0,BS1093*MAX(1,IF(G1093&gt;0,AT1093/G1093,1))),IF(Q1093&gt;0,AU1093/Q1093,0))/MAX(0.1,N(Parameter!$M$21)))</f>
        <v>0.0151515151515152</v>
      </c>
      <c r="AW1093" s="57" t="n">
        <f aca="false">AT1093*F1093</f>
        <v>594.72</v>
      </c>
      <c r="AX1093" s="57" t="n">
        <f aca="false">ROUNDUP(MAX(I1093/IF(BV1093&gt;0,BV1093,MAX(0.1,N(Cockpit!$O$6))),BY1093)/BQ1093,0)*BQ1093</f>
        <v>8</v>
      </c>
      <c r="AY1093" s="58" t="n">
        <f aca="false">IF(AV1093&gt;0,I1093/AV1093,-1)</f>
        <v>264</v>
      </c>
      <c r="AZ1093" s="58" t="n">
        <f aca="false">IF(AND(OR(BU1093="L1",BU1093="L23"),AV1093&gt;0),SUMIFS($AV$7:$AV$1576,$BU$7:$BU$1576,BU1093,$AY$7:$AY$1576,"&gt;"&amp;AY1093)+SUMIFS($AV$7:$AV$1576,$BU$7:$BU$1576,BU1093,$AY$7:$AY$1576,AY1093,$BO$7:$BO$1576,"&lt;="&amp;BO1093),"")</f>
        <v>41.6738958267331</v>
      </c>
      <c r="BA1093" s="65" t="n">
        <f aca="false">IF(AZ1093="",0,MAX(0,MIN(1,(IF(BU1093="L1",Parameter!$E$5,Parameter!$E$6+Parameter!$E$7)-(AZ1093-AV1093))/AV1093)))</f>
        <v>1</v>
      </c>
      <c r="BB1093" s="55" t="str">
        <f aca="false">IF(AF1093&lt;=0,"",IF(BU1093="Aussen","Aussenlager",IF(BU1093="-","Nicht im Lift",IF(AK1093&gt;=1,"Lift",IF(AK1093&lt;=0,"Aussenlager","teilweise")))))</f>
        <v/>
      </c>
      <c r="BC1093" s="55" t="str">
        <f aca="false">IF(AN1093&lt;=0,"",IF(BU1093="Aussen","Aussenlager",IF(BU1093="-","Nicht im Lift",IF(AS1093&gt;=1,"Lift",IF(AS1093&lt;=0,"Aussenlager","teilweise")))))</f>
        <v>Lift</v>
      </c>
      <c r="BD1093" s="55" t="str">
        <f aca="false">IF(AV1093&lt;=0,"",IF(BU1093="Aussen","Aussenlager",IF(BU1093="-","Nicht im Lift",IF(BA1093&gt;=1,"Lift",IF(BA1093&lt;=0,"Aussenlager","teilweise")))))</f>
        <v>Lift</v>
      </c>
      <c r="BE1093" s="55" t="str">
        <f aca="false">IF(A1093="","",IF(BN1093=1,"Neu; ","")&amp;IF(AND(BN1093=0,BI1093&lt;0),"negativer Bestand (Export "&amp;BI1093&amp;"); ","")&amp;IF(I1093&lt;=0,"Kein Verbrauch; ","")&amp;IF(CD1093&gt;0,"Lift "&amp;U1093&amp;" lt. Liftbericht (Fach "&amp;V1093&amp;" Stk); ",IF(BR1093=1,"Lose – Fläche geschätzt; ",""))&amp;IF(G1093&gt;AP1093,"Überbestand "&amp;ROUND(G1093-AP1093,0)&amp;" Stk / CHF "&amp;ROUND((G1093-AP1093)*F1093,0)&amp;"; ","")&amp;IF(AND(BW1093=1,BX1093&lt;BY1093),"MAX &lt; MB+LG; ","")&amp;IF(AND(CC1093&gt;0,CB1093*10&gt;CC1093),"zu hoch für Tablar; ","")&amp;IF(AND(BN1093=0,OR(BW1093=1,Y1093&lt;&gt;"",S1093&lt;&gt;"",T1093&lt;&gt;"",Z1093&lt;&gt;"")),"manuell übersteuert; ","")&amp;IF(AND(BR1093=0,Q1093=0),"Gebinde unbekannt / Stellmass fehlt; ","")&amp;IF(AND(BR1093=0,N(T1093)&lt;=0,N(P1093)&lt;=0),"Menge pro Gebinde fehlt (Ist = 1 Gebinde); ","")&amp;BM1093)</f>
        <v>negativer Bestand (Export -3); Neu</v>
      </c>
      <c r="BF1093" s="55"/>
      <c r="BG1093" s="55"/>
      <c r="BH1093" s="62"/>
      <c r="BI1093" s="57" t="n">
        <v>-3</v>
      </c>
      <c r="BJ1093" s="57" t="n">
        <v>7</v>
      </c>
      <c r="BK1093" s="56" t="n">
        <v>-199.43</v>
      </c>
      <c r="BL1093" s="57" t="n">
        <v>4</v>
      </c>
      <c r="BM1093" s="55" t="s">
        <v>615</v>
      </c>
      <c r="BN1093" s="60" t="n">
        <v>0</v>
      </c>
      <c r="BO1093" s="60" t="n">
        <v>1093</v>
      </c>
      <c r="BP1093" s="55" t="str">
        <f aca="false">IF(S1093&lt;&gt;"",UPPER(TRIM(S1093)),IF(O1093="","LOSE",O1093))</f>
        <v>S32</v>
      </c>
      <c r="BQ1093" s="57" t="n">
        <f aca="false">IF(BP1093="LOSE",1,IF(N(T1093)&gt;0,T1093,IF(N(P1093)&gt;0,P1093,MAX(1,G1093))))</f>
        <v>4</v>
      </c>
      <c r="BR1093" s="60" t="n">
        <f aca="false">IF(BP1093="LOSE",1,0)</f>
        <v>0</v>
      </c>
      <c r="BS1093" s="59" t="n">
        <f aca="false">IF(BR1093=0,0,IF(N(R1093)&gt;0,R1093,IFERROR(VLOOKUP(D1093,Parameter!$A$35:$C$64,3,0)+0,0)))</f>
        <v>0</v>
      </c>
      <c r="BT1093" s="55" t="n">
        <f aca="false">IF(Y1093&lt;&gt;"",Y1093,X1093)</f>
        <v>3</v>
      </c>
      <c r="BU1093" s="55" t="str">
        <f aca="false">IF(BT1093=1,"L1",IF(OR(BT1093=2,BT1093=3),"L23",IF(BT1093="Aussen","Aussen","-")))</f>
        <v>L23</v>
      </c>
      <c r="BV1093" s="66" t="n">
        <f aca="false">IF(N(Z1093)&gt;0,Z1093,0)</f>
        <v>0</v>
      </c>
      <c r="BW1093" s="60" t="n">
        <f aca="false">IF(ISNUMBER(AC1093),1,0)</f>
        <v>0</v>
      </c>
      <c r="BX1093" s="57" t="n">
        <f aca="false">N(AC1093)</f>
        <v>0</v>
      </c>
      <c r="BY1093" s="57" t="n">
        <f aca="false">N(L1093)+N(M1093)</f>
        <v>5</v>
      </c>
      <c r="BZ1093" s="57" t="n">
        <f aca="false">ROUNDUP(G1093/BQ1093,0)</f>
        <v>0</v>
      </c>
      <c r="CA1093" s="57" t="n">
        <f aca="false">ROUNDUP(BX1093/BQ1093,0)</f>
        <v>0</v>
      </c>
      <c r="CB1093" s="60" t="n">
        <f aca="false">IF(BR1093=1,0,IFERROR(VLOOKUP(BP1093,'Gebinde-Kategorie'!$A$5:$M$45,5,0)+0,0))</f>
        <v>8</v>
      </c>
      <c r="CC1093" s="60" t="n">
        <f aca="false">IFERROR(IF(OR(BT1093=1,BT1093=2,BT1093=3),N(INDEX(Parameter!$I$5:$I$7,BT1093)),0),0)</f>
        <v>0</v>
      </c>
      <c r="CD1093" s="59" t="n">
        <f aca="false">IF(AND(Parameter!$B$21="Ja",ISNUMBER(U1093),N(V1093)&gt;0),IFERROR(N(INDEX(Parameter!$L$5:$L$7,U1093))*INDEX(Parameter!$E$5:$E$7,U1093)*V1093/SUMIFS($V$7:$V$1576,$U$7:$U$1576,U1093),0),0)</f>
        <v>0</v>
      </c>
    </row>
    <row r="1094" customFormat="false" ht="15" hidden="false" customHeight="false" outlineLevel="0" collapsed="false">
      <c r="A1094" s="55" t="s">
        <v>1977</v>
      </c>
      <c r="B1094" s="55" t="s">
        <v>1978</v>
      </c>
      <c r="C1094" s="55" t="s">
        <v>160</v>
      </c>
      <c r="D1094" s="55" t="s">
        <v>178</v>
      </c>
      <c r="E1094" s="55" t="s">
        <v>210</v>
      </c>
      <c r="F1094" s="56" t="n">
        <v>17.26</v>
      </c>
      <c r="G1094" s="57" t="n">
        <f aca="false">MAX(0,IF(AND(Parameter!$B$21="Ja",ISNUMBER(W1094)),W1094,IF(Parameter!$B$20="Jahresanfang 2025 + Export",BJ1094+BI1094,BI1094)))</f>
        <v>0</v>
      </c>
      <c r="H1094" s="57" t="n">
        <f aca="false">G1094*F1094</f>
        <v>0</v>
      </c>
      <c r="I1094" s="57" t="n">
        <f aca="false">BL1094*Parameter!$B$18</f>
        <v>33</v>
      </c>
      <c r="J1094" s="58" t="n">
        <v>33</v>
      </c>
      <c r="K1094" s="59" t="n">
        <v>1</v>
      </c>
      <c r="L1094" s="57" t="n">
        <v>2</v>
      </c>
      <c r="M1094" s="57" t="n">
        <v>35</v>
      </c>
      <c r="N1094" s="60" t="n">
        <v>21</v>
      </c>
      <c r="O1094" s="55" t="s">
        <v>293</v>
      </c>
      <c r="P1094" s="57" t="n">
        <v>48</v>
      </c>
      <c r="Q1094" s="60" t="n">
        <f aca="false">IF(BR1094=1,0,IFERROR(VLOOKUP(BP1094,'Gebinde-Kategorie'!$A$5:$M$45,13,0)+0,0))</f>
        <v>26</v>
      </c>
      <c r="R1094" s="61"/>
      <c r="S1094" s="62"/>
      <c r="T1094" s="62"/>
      <c r="U1094" s="55"/>
      <c r="V1094" s="57"/>
      <c r="W1094" s="57"/>
      <c r="X1094" s="55" t="n">
        <f aca="false">IF(A1094="","",IF(AND(Parameter!$B$21="Ja",ISNUMBER(U1094)),U1094,IF(IFERROR(VLOOKUP(D1094,Parameter!$A$35:$C$64,2,0),"Nein")="2+3",IF(ISNUMBER(SEARCH("grosser Artikel",BM1094)),2,IFERROR(VLOOKUP(BP1094,Parameter!$F$35:$G$64,2,0),2)),IF(OR(IFERROR(VLOOKUP(D1094,Parameter!$A$35:$C$64,2,0),"Nein")="Nein",IFERROR(VLOOKUP(D1094,Parameter!$A$35:$C$64,2,0),"Nein")=""),"-",VLOOKUP(D1094,Parameter!$A$35:$C$64,2,0)))))</f>
        <v>3</v>
      </c>
      <c r="Y1094" s="62"/>
      <c r="Z1094" s="63"/>
      <c r="AA1094" s="57" t="n">
        <f aca="false">AP1094</f>
        <v>48</v>
      </c>
      <c r="AB1094" s="57" t="n">
        <f aca="false">MAX(AP1094,G1094)</f>
        <v>48</v>
      </c>
      <c r="AC1094" s="64"/>
      <c r="AD1094" s="57" t="n">
        <f aca="false">IF(LEFT(Cockpit!$C$5,1)="A",G1094,IF(BW1094=1,BX1094,IF(LEFT(Cockpit!$C$5,1)="B",AH1094,MAX(AH1094,G1094))))</f>
        <v>0</v>
      </c>
      <c r="AE1094" s="57" t="n">
        <f aca="false">IF(BR1094=1,0,ROUNDUP(AD1094/BQ1094,0))</f>
        <v>0</v>
      </c>
      <c r="AF1094" s="59" t="n">
        <f aca="false">IF(CD1094&gt;0,CD1094*MAX(1,AD1094/V1094),IF(BR1094=1,IF(AD1094&lt;=0,0,BS1094*MAX(1,IF(G1094&gt;0,AD1094/G1094,1))),IF(Q1094&gt;0,AE1094/Q1094,0))/MAX(0.1,N(Parameter!$M$21)))</f>
        <v>0</v>
      </c>
      <c r="AG1094" s="57" t="n">
        <f aca="false">AD1094*F1094</f>
        <v>0</v>
      </c>
      <c r="AH1094" s="57" t="n">
        <f aca="false">ROUNDUP(MAX(I1094/IF(BV1094&gt;0,BV1094,MAX(0.1,N(Cockpit!$C$6))),BY1094)/BQ1094,0)*BQ1094</f>
        <v>48</v>
      </c>
      <c r="AI1094" s="58" t="n">
        <f aca="false">IF(AF1094&gt;0,I1094/AF1094,-1)</f>
        <v>-1</v>
      </c>
      <c r="AJ1094" s="58" t="str">
        <f aca="false">IF(AND(OR(BU1094="L1",BU1094="L23"),AF1094&gt;0),SUMIFS($AF$7:$AF$1576,$BU$7:$BU$1576,BU1094,$AI$7:$AI$1576,"&gt;"&amp;AI1094)+SUMIFS($AF$7:$AF$1576,$BU$7:$BU$1576,BU1094,$AI$7:$AI$1576,AI1094,$BO$7:$BO$1576,"&lt;="&amp;BO1094),"")</f>
        <v/>
      </c>
      <c r="AK1094" s="65" t="n">
        <f aca="false">IF(AJ1094="",0,MAX(0,MIN(1,(IF(BU1094="L1",Parameter!$E$5,Parameter!$E$6+Parameter!$E$7)-(AJ1094-AF1094))/AF1094)))</f>
        <v>0</v>
      </c>
      <c r="AL1094" s="57" t="n">
        <f aca="false">IF(LEFT(Cockpit!$I$5,1)="A",G1094,IF(BW1094=1,BX1094,IF(LEFT(Cockpit!$I$5,1)="B",AP1094,MAX(AP1094,G1094))))</f>
        <v>48</v>
      </c>
      <c r="AM1094" s="57" t="n">
        <f aca="false">IF(BR1094=1,0,ROUNDUP(AL1094/BQ1094,0))</f>
        <v>1</v>
      </c>
      <c r="AN1094" s="59" t="n">
        <f aca="false">IF(CD1094&gt;0,CD1094*MAX(1,AL1094/V1094),IF(BR1094=1,IF(AL1094&lt;=0,0,BS1094*MAX(1,IF(G1094&gt;0,AL1094/G1094,1))),IF(Q1094&gt;0,AM1094/Q1094,0))/MAX(0.1,N(Parameter!$M$21)))</f>
        <v>0.0384615384615385</v>
      </c>
      <c r="AO1094" s="57" t="n">
        <f aca="false">AL1094*F1094</f>
        <v>828.48</v>
      </c>
      <c r="AP1094" s="57" t="n">
        <f aca="false">ROUNDUP(MAX(I1094/IF(BV1094&gt;0,BV1094,MAX(0.1,N(Cockpit!$I$6))),BY1094)/BQ1094,0)*BQ1094</f>
        <v>48</v>
      </c>
      <c r="AQ1094" s="58" t="n">
        <f aca="false">IF(AN1094&gt;0,I1094/AN1094,-1)</f>
        <v>858</v>
      </c>
      <c r="AR1094" s="58" t="n">
        <f aca="false">IF(AND(OR(BU1094="L1",BU1094="L23"),AN1094&gt;0),SUMIFS($AN$7:$AN$1576,$BU$7:$BU$1576,BU1094,$AQ$7:$AQ$1576,"&gt;"&amp;AQ1094)+SUMIFS($AN$7:$AN$1576,$BU$7:$BU$1576,BU1094,$AQ$7:$AQ$1576,AQ1094,$BO$7:$BO$1576,"&lt;="&amp;BO1094),"")</f>
        <v>25.5644663673036</v>
      </c>
      <c r="AS1094" s="65" t="n">
        <f aca="false">IF(AR1094="",0,MAX(0,MIN(1,(IF(BU1094="L1",Parameter!$E$5,Parameter!$E$6+Parameter!$E$7)-(AR1094-AN1094))/AN1094)))</f>
        <v>1</v>
      </c>
      <c r="AT1094" s="57" t="n">
        <f aca="false">IF(LEFT(Cockpit!$O$5,1)="A",G1094,IF(BW1094=1,BX1094,IF(LEFT(Cockpit!$O$5,1)="B",AX1094,MAX(AX1094,G1094))))</f>
        <v>48</v>
      </c>
      <c r="AU1094" s="57" t="n">
        <f aca="false">IF(BR1094=1,0,ROUNDUP(AT1094/BQ1094,0))</f>
        <v>1</v>
      </c>
      <c r="AV1094" s="59" t="n">
        <f aca="false">IF(CD1094&gt;0,CD1094*MAX(1,AT1094/V1094),IF(BR1094=1,IF(AT1094&lt;=0,0,BS1094*MAX(1,IF(G1094&gt;0,AT1094/G1094,1))),IF(Q1094&gt;0,AU1094/Q1094,0))/MAX(0.1,N(Parameter!$M$21)))</f>
        <v>0.0384615384615385</v>
      </c>
      <c r="AW1094" s="57" t="n">
        <f aca="false">AT1094*F1094</f>
        <v>828.48</v>
      </c>
      <c r="AX1094" s="57" t="n">
        <f aca="false">ROUNDUP(MAX(I1094/IF(BV1094&gt;0,BV1094,MAX(0.1,N(Cockpit!$O$6))),BY1094)/BQ1094,0)*BQ1094</f>
        <v>48</v>
      </c>
      <c r="AY1094" s="58" t="n">
        <f aca="false">IF(AV1094&gt;0,I1094/AV1094,-1)</f>
        <v>858</v>
      </c>
      <c r="AZ1094" s="58" t="n">
        <f aca="false">IF(AND(OR(BU1094="L1",BU1094="L23"),AV1094&gt;0),SUMIFS($AV$7:$AV$1576,$BU$7:$BU$1576,BU1094,$AY$7:$AY$1576,"&gt;"&amp;AY1094)+SUMIFS($AV$7:$AV$1576,$BU$7:$BU$1576,BU1094,$AY$7:$AY$1576,AY1094,$BO$7:$BO$1576,"&lt;="&amp;BO1094),"")</f>
        <v>25.7981493509866</v>
      </c>
      <c r="BA1094" s="65" t="n">
        <f aca="false">IF(AZ1094="",0,MAX(0,MIN(1,(IF(BU1094="L1",Parameter!$E$5,Parameter!$E$6+Parameter!$E$7)-(AZ1094-AV1094))/AV1094)))</f>
        <v>1</v>
      </c>
      <c r="BB1094" s="55" t="str">
        <f aca="false">IF(AF1094&lt;=0,"",IF(BU1094="Aussen","Aussenlager",IF(BU1094="-","Nicht im Lift",IF(AK1094&gt;=1,"Lift",IF(AK1094&lt;=0,"Aussenlager","teilweise")))))</f>
        <v/>
      </c>
      <c r="BC1094" s="55" t="str">
        <f aca="false">IF(AN1094&lt;=0,"",IF(BU1094="Aussen","Aussenlager",IF(BU1094="-","Nicht im Lift",IF(AS1094&gt;=1,"Lift",IF(AS1094&lt;=0,"Aussenlager","teilweise")))))</f>
        <v>Lift</v>
      </c>
      <c r="BD1094" s="55" t="str">
        <f aca="false">IF(AV1094&lt;=0,"",IF(BU1094="Aussen","Aussenlager",IF(BU1094="-","Nicht im Lift",IF(BA1094&gt;=1,"Lift",IF(BA1094&lt;=0,"Aussenlager","teilweise")))))</f>
        <v>Lift</v>
      </c>
      <c r="BE1094" s="55" t="str">
        <f aca="false">IF(A1094="","",IF(BN1094=1,"Neu; ","")&amp;IF(AND(BN1094=0,BI1094&lt;0),"negativer Bestand (Export "&amp;BI1094&amp;"); ","")&amp;IF(I1094&lt;=0,"Kein Verbrauch; ","")&amp;IF(CD1094&gt;0,"Lift "&amp;U1094&amp;" lt. Liftbericht (Fach "&amp;V1094&amp;" Stk); ",IF(BR1094=1,"Lose – Fläche geschätzt; ",""))&amp;IF(G1094&gt;AP1094,"Überbestand "&amp;ROUND(G1094-AP1094,0)&amp;" Stk / CHF "&amp;ROUND((G1094-AP1094)*F1094,0)&amp;"; ","")&amp;IF(AND(BW1094=1,BX1094&lt;BY1094),"MAX &lt; MB+LG; ","")&amp;IF(AND(CC1094&gt;0,CB1094*10&gt;CC1094),"zu hoch für Tablar; ","")&amp;IF(AND(BN1094=0,OR(BW1094=1,Y1094&lt;&gt;"",S1094&lt;&gt;"",T1094&lt;&gt;"",Z1094&lt;&gt;"")),"manuell übersteuert; ","")&amp;IF(AND(BR1094=0,Q1094=0),"Gebinde unbekannt / Stellmass fehlt; ","")&amp;IF(AND(BR1094=0,N(T1094)&lt;=0,N(P1094)&lt;=0),"Menge pro Gebinde fehlt (Ist = 1 Gebinde); ","")&amp;BM1094)</f>
        <v>negativer Bestand (Export -8); </v>
      </c>
      <c r="BF1094" s="55"/>
      <c r="BG1094" s="55"/>
      <c r="BH1094" s="62"/>
      <c r="BI1094" s="57" t="n">
        <v>-8</v>
      </c>
      <c r="BJ1094" s="57" t="n">
        <v>20</v>
      </c>
      <c r="BK1094" s="56" t="n">
        <v>-202.08</v>
      </c>
      <c r="BL1094" s="57" t="n">
        <v>33</v>
      </c>
      <c r="BM1094" s="55"/>
      <c r="BN1094" s="60" t="n">
        <v>0</v>
      </c>
      <c r="BO1094" s="60" t="n">
        <v>1094</v>
      </c>
      <c r="BP1094" s="55" t="str">
        <f aca="false">IF(S1094&lt;&gt;"",UPPER(TRIM(S1094)),IF(O1094="","LOSE",O1094))</f>
        <v>S51</v>
      </c>
      <c r="BQ1094" s="57" t="n">
        <f aca="false">IF(BP1094="LOSE",1,IF(N(T1094)&gt;0,T1094,IF(N(P1094)&gt;0,P1094,MAX(1,G1094))))</f>
        <v>48</v>
      </c>
      <c r="BR1094" s="60" t="n">
        <f aca="false">IF(BP1094="LOSE",1,0)</f>
        <v>0</v>
      </c>
      <c r="BS1094" s="59" t="n">
        <f aca="false">IF(BR1094=0,0,IF(N(R1094)&gt;0,R1094,IFERROR(VLOOKUP(D1094,Parameter!$A$35:$C$64,3,0)+0,0)))</f>
        <v>0</v>
      </c>
      <c r="BT1094" s="55" t="n">
        <f aca="false">IF(Y1094&lt;&gt;"",Y1094,X1094)</f>
        <v>3</v>
      </c>
      <c r="BU1094" s="55" t="str">
        <f aca="false">IF(BT1094=1,"L1",IF(OR(BT1094=2,BT1094=3),"L23",IF(BT1094="Aussen","Aussen","-")))</f>
        <v>L23</v>
      </c>
      <c r="BV1094" s="66" t="n">
        <f aca="false">IF(N(Z1094)&gt;0,Z1094,0)</f>
        <v>0</v>
      </c>
      <c r="BW1094" s="60" t="n">
        <f aca="false">IF(ISNUMBER(AC1094),1,0)</f>
        <v>0</v>
      </c>
      <c r="BX1094" s="57" t="n">
        <f aca="false">N(AC1094)</f>
        <v>0</v>
      </c>
      <c r="BY1094" s="57" t="n">
        <f aca="false">N(L1094)+N(M1094)</f>
        <v>37</v>
      </c>
      <c r="BZ1094" s="57" t="n">
        <f aca="false">ROUNDUP(G1094/BQ1094,0)</f>
        <v>0</v>
      </c>
      <c r="CA1094" s="57" t="n">
        <f aca="false">ROUNDUP(BX1094/BQ1094,0)</f>
        <v>0</v>
      </c>
      <c r="CB1094" s="60" t="n">
        <f aca="false">IF(BR1094=1,0,IFERROR(VLOOKUP(BP1094,'Gebinde-Kategorie'!$A$5:$M$45,5,0)+0,0))</f>
        <v>11</v>
      </c>
      <c r="CC1094" s="60" t="n">
        <f aca="false">IFERROR(IF(OR(BT1094=1,BT1094=2,BT1094=3),N(INDEX(Parameter!$I$5:$I$7,BT1094)),0),0)</f>
        <v>0</v>
      </c>
      <c r="CD1094" s="59" t="n">
        <f aca="false">IF(AND(Parameter!$B$21="Ja",ISNUMBER(U1094),N(V1094)&gt;0),IFERROR(N(INDEX(Parameter!$L$5:$L$7,U1094))*INDEX(Parameter!$E$5:$E$7,U1094)*V1094/SUMIFS($V$7:$V$1576,$U$7:$U$1576,U1094),0),0)</f>
        <v>0</v>
      </c>
    </row>
    <row r="1095" customFormat="false" ht="15" hidden="false" customHeight="false" outlineLevel="0" collapsed="false">
      <c r="A1095" s="55" t="s">
        <v>1979</v>
      </c>
      <c r="B1095" s="55" t="s">
        <v>1980</v>
      </c>
      <c r="C1095" s="55" t="s">
        <v>160</v>
      </c>
      <c r="D1095" s="55" t="s">
        <v>168</v>
      </c>
      <c r="E1095" s="55" t="s">
        <v>210</v>
      </c>
      <c r="F1095" s="56" t="n">
        <v>17.05</v>
      </c>
      <c r="G1095" s="57" t="n">
        <f aca="false">MAX(0,IF(AND(Parameter!$B$21="Ja",ISNUMBER(W1095)),W1095,IF(Parameter!$B$20="Jahresanfang 2025 + Export",BJ1095+BI1095,BI1095)))</f>
        <v>0</v>
      </c>
      <c r="H1095" s="57" t="n">
        <f aca="false">G1095*F1095</f>
        <v>0</v>
      </c>
      <c r="I1095" s="57" t="n">
        <f aca="false">BL1095*Parameter!$B$18</f>
        <v>139.027</v>
      </c>
      <c r="J1095" s="58" t="n">
        <v>51.8520000000001</v>
      </c>
      <c r="K1095" s="59" t="n">
        <v>2.68122733935045</v>
      </c>
      <c r="L1095" s="57" t="n">
        <v>8</v>
      </c>
      <c r="M1095" s="57" t="n">
        <v>50</v>
      </c>
      <c r="N1095" s="60" t="n">
        <v>21</v>
      </c>
      <c r="O1095" s="55" t="s">
        <v>163</v>
      </c>
      <c r="P1095" s="57"/>
      <c r="Q1095" s="60" t="n">
        <f aca="false">IF(BR1095=1,0,IFERROR(VLOOKUP(BP1095,'Gebinde-Kategorie'!$A$5:$M$45,13,0)+0,0))</f>
        <v>0</v>
      </c>
      <c r="R1095" s="61"/>
      <c r="S1095" s="62"/>
      <c r="T1095" s="62"/>
      <c r="U1095" s="55"/>
      <c r="V1095" s="57"/>
      <c r="W1095" s="57"/>
      <c r="X1095" s="55" t="n">
        <f aca="false">IF(A1095="","",IF(AND(Parameter!$B$21="Ja",ISNUMBER(U1095)),U1095,IF(IFERROR(VLOOKUP(D1095,Parameter!$A$35:$C$64,2,0),"Nein")="2+3",IF(ISNUMBER(SEARCH("grosser Artikel",BM1095)),2,IFERROR(VLOOKUP(BP1095,Parameter!$F$35:$G$64,2,0),2)),IF(OR(IFERROR(VLOOKUP(D1095,Parameter!$A$35:$C$64,2,0),"Nein")="Nein",IFERROR(VLOOKUP(D1095,Parameter!$A$35:$C$64,2,0),"Nein")=""),"-",VLOOKUP(D1095,Parameter!$A$35:$C$64,2,0)))))</f>
        <v>2</v>
      </c>
      <c r="Y1095" s="62"/>
      <c r="Z1095" s="63"/>
      <c r="AA1095" s="57" t="n">
        <f aca="false">AP1095</f>
        <v>70</v>
      </c>
      <c r="AB1095" s="57" t="n">
        <f aca="false">MAX(AP1095,G1095)</f>
        <v>70</v>
      </c>
      <c r="AC1095" s="64"/>
      <c r="AD1095" s="57" t="n">
        <f aca="false">IF(LEFT(Cockpit!$C$5,1)="A",G1095,IF(BW1095=1,BX1095,IF(LEFT(Cockpit!$C$5,1)="B",AH1095,MAX(AH1095,G1095))))</f>
        <v>0</v>
      </c>
      <c r="AE1095" s="57" t="n">
        <f aca="false">IF(BR1095=1,0,ROUNDUP(AD1095/BQ1095,0))</f>
        <v>0</v>
      </c>
      <c r="AF1095" s="59" t="n">
        <f aca="false">IF(CD1095&gt;0,CD1095*MAX(1,AD1095/V1095),IF(BR1095=1,IF(AD1095&lt;=0,0,BS1095*MAX(1,IF(G1095&gt;0,AD1095/G1095,1))),IF(Q1095&gt;0,AE1095/Q1095,0))/MAX(0.1,N(Parameter!$M$21)))</f>
        <v>0</v>
      </c>
      <c r="AG1095" s="57" t="n">
        <f aca="false">AD1095*F1095</f>
        <v>0</v>
      </c>
      <c r="AH1095" s="57" t="n">
        <f aca="false">ROUNDUP(MAX(I1095/IF(BV1095&gt;0,BV1095,MAX(0.1,N(Cockpit!$C$6))),BY1095)/BQ1095,0)*BQ1095</f>
        <v>70</v>
      </c>
      <c r="AI1095" s="58" t="n">
        <f aca="false">IF(AF1095&gt;0,I1095/AF1095,-1)</f>
        <v>-1</v>
      </c>
      <c r="AJ1095" s="58" t="str">
        <f aca="false">IF(AND(OR(BU1095="L1",BU1095="L23"),AF1095&gt;0),SUMIFS($AF$7:$AF$1576,$BU$7:$BU$1576,BU1095,$AI$7:$AI$1576,"&gt;"&amp;AI1095)+SUMIFS($AF$7:$AF$1576,$BU$7:$BU$1576,BU1095,$AI$7:$AI$1576,AI1095,$BO$7:$BO$1576,"&lt;="&amp;BO1095),"")</f>
        <v/>
      </c>
      <c r="AK1095" s="65" t="n">
        <f aca="false">IF(AJ1095="",0,MAX(0,MIN(1,(IF(BU1095="L1",Parameter!$E$5,Parameter!$E$6+Parameter!$E$7)-(AJ1095-AF1095))/AF1095)))</f>
        <v>0</v>
      </c>
      <c r="AL1095" s="57" t="n">
        <f aca="false">IF(LEFT(Cockpit!$I$5,1)="A",G1095,IF(BW1095=1,BX1095,IF(LEFT(Cockpit!$I$5,1)="B",AP1095,MAX(AP1095,G1095))))</f>
        <v>70</v>
      </c>
      <c r="AM1095" s="57" t="n">
        <f aca="false">IF(BR1095=1,0,ROUNDUP(AL1095/BQ1095,0))</f>
        <v>0</v>
      </c>
      <c r="AN1095" s="59" t="n">
        <f aca="false">IF(CD1095&gt;0,CD1095*MAX(1,AL1095/V1095),IF(BR1095=1,IF(AL1095&lt;=0,0,BS1095*MAX(1,IF(G1095&gt;0,AL1095/G1095,1))),IF(Q1095&gt;0,AM1095/Q1095,0))/MAX(0.1,N(Parameter!$M$21)))</f>
        <v>0.15</v>
      </c>
      <c r="AO1095" s="57" t="n">
        <f aca="false">AL1095*F1095</f>
        <v>1193.5</v>
      </c>
      <c r="AP1095" s="57" t="n">
        <f aca="false">ROUNDUP(MAX(I1095/IF(BV1095&gt;0,BV1095,MAX(0.1,N(Cockpit!$I$6))),BY1095)/BQ1095,0)*BQ1095</f>
        <v>70</v>
      </c>
      <c r="AQ1095" s="58" t="n">
        <f aca="false">IF(AN1095&gt;0,I1095/AN1095,-1)</f>
        <v>926.846666666667</v>
      </c>
      <c r="AR1095" s="58" t="n">
        <f aca="false">IF(AND(OR(BU1095="L1",BU1095="L23"),AN1095&gt;0),SUMIFS($AN$7:$AN$1576,$BU$7:$BU$1576,BU1095,$AQ$7:$AQ$1576,"&gt;"&amp;AQ1095)+SUMIFS($AN$7:$AN$1576,$BU$7:$BU$1576,BU1095,$AQ$7:$AQ$1576,AQ1095,$BO$7:$BO$1576,"&lt;="&amp;BO1095),"")</f>
        <v>24.1083591411964</v>
      </c>
      <c r="AS1095" s="65" t="n">
        <f aca="false">IF(AR1095="",0,MAX(0,MIN(1,(IF(BU1095="L1",Parameter!$E$5,Parameter!$E$6+Parameter!$E$7)-(AR1095-AN1095))/AN1095)))</f>
        <v>1</v>
      </c>
      <c r="AT1095" s="57" t="n">
        <f aca="false">IF(LEFT(Cockpit!$O$5,1)="A",G1095,IF(BW1095=1,BX1095,IF(LEFT(Cockpit!$O$5,1)="B",AX1095,MAX(AX1095,G1095))))</f>
        <v>58</v>
      </c>
      <c r="AU1095" s="57" t="n">
        <f aca="false">IF(BR1095=1,0,ROUNDUP(AT1095/BQ1095,0))</f>
        <v>0</v>
      </c>
      <c r="AV1095" s="59" t="n">
        <f aca="false">IF(CD1095&gt;0,CD1095*MAX(1,AT1095/V1095),IF(BR1095=1,IF(AT1095&lt;=0,0,BS1095*MAX(1,IF(G1095&gt;0,AT1095/G1095,1))),IF(Q1095&gt;0,AU1095/Q1095,0))/MAX(0.1,N(Parameter!$M$21)))</f>
        <v>0.15</v>
      </c>
      <c r="AW1095" s="57" t="n">
        <f aca="false">AT1095*F1095</f>
        <v>988.9</v>
      </c>
      <c r="AX1095" s="57" t="n">
        <f aca="false">ROUNDUP(MAX(I1095/IF(BV1095&gt;0,BV1095,MAX(0.1,N(Cockpit!$O$6))),BY1095)/BQ1095,0)*BQ1095</f>
        <v>58</v>
      </c>
      <c r="AY1095" s="58" t="n">
        <f aca="false">IF(AV1095&gt;0,I1095/AV1095,-1)</f>
        <v>926.846666666667</v>
      </c>
      <c r="AZ1095" s="58" t="n">
        <f aca="false">IF(AND(OR(BU1095="L1",BU1095="L23"),AV1095&gt;0),SUMIFS($AV$7:$AV$1576,$BU$7:$BU$1576,BU1095,$AY$7:$AY$1576,"&gt;"&amp;AY1095)+SUMIFS($AV$7:$AV$1576,$BU$7:$BU$1576,BU1095,$AY$7:$AY$1576,AY1095,$BO$7:$BO$1576,"&lt;="&amp;BO1095),"")</f>
        <v>23.3420421248794</v>
      </c>
      <c r="BA1095" s="65" t="n">
        <f aca="false">IF(AZ1095="",0,MAX(0,MIN(1,(IF(BU1095="L1",Parameter!$E$5,Parameter!$E$6+Parameter!$E$7)-(AZ1095-AV1095))/AV1095)))</f>
        <v>1</v>
      </c>
      <c r="BB1095" s="55" t="str">
        <f aca="false">IF(AF1095&lt;=0,"",IF(BU1095="Aussen","Aussenlager",IF(BU1095="-","Nicht im Lift",IF(AK1095&gt;=1,"Lift",IF(AK1095&lt;=0,"Aussenlager","teilweise")))))</f>
        <v/>
      </c>
      <c r="BC1095" s="55" t="str">
        <f aca="false">IF(AN1095&lt;=0,"",IF(BU1095="Aussen","Aussenlager",IF(BU1095="-","Nicht im Lift",IF(AS1095&gt;=1,"Lift",IF(AS1095&lt;=0,"Aussenlager","teilweise")))))</f>
        <v>Lift</v>
      </c>
      <c r="BD1095" s="55" t="str">
        <f aca="false">IF(AV1095&lt;=0,"",IF(BU1095="Aussen","Aussenlager",IF(BU1095="-","Nicht im Lift",IF(BA1095&gt;=1,"Lift",IF(BA1095&lt;=0,"Aussenlager","teilweise")))))</f>
        <v>Lift</v>
      </c>
      <c r="BE1095" s="55" t="str">
        <f aca="false">IF(A1095="","",IF(BN1095=1,"Neu; ","")&amp;IF(AND(BN1095=0,BI1095&lt;0),"negativer Bestand (Export "&amp;BI1095&amp;"); ","")&amp;IF(I1095&lt;=0,"Kein Verbrauch; ","")&amp;IF(CD1095&gt;0,"Lift "&amp;U1095&amp;" lt. Liftbericht (Fach "&amp;V1095&amp;" Stk); ",IF(BR1095=1,"Lose – Fläche geschätzt; ",""))&amp;IF(G1095&gt;AP1095,"Überbestand "&amp;ROUND(G1095-AP1095,0)&amp;" Stk / CHF "&amp;ROUND((G1095-AP1095)*F1095,0)&amp;"; ","")&amp;IF(AND(BW1095=1,BX1095&lt;BY1095),"MAX &lt; MB+LG; ","")&amp;IF(AND(CC1095&gt;0,CB1095*10&gt;CC1095),"zu hoch für Tablar; ","")&amp;IF(AND(BN1095=0,OR(BW1095=1,Y1095&lt;&gt;"",S1095&lt;&gt;"",T1095&lt;&gt;"",Z1095&lt;&gt;"")),"manuell übersteuert; ","")&amp;IF(AND(BR1095=0,Q1095=0),"Gebinde unbekannt / Stellmass fehlt; ","")&amp;IF(AND(BR1095=0,N(T1095)&lt;=0,N(P1095)&lt;=0),"Menge pro Gebinde fehlt (Ist = 1 Gebinde); ","")&amp;BM1095)</f>
        <v>negativer Bestand (Export -9.07999999999997); Lose – Fläche geschätzt; </v>
      </c>
      <c r="BF1095" s="55"/>
      <c r="BG1095" s="55"/>
      <c r="BH1095" s="62"/>
      <c r="BI1095" s="57" t="n">
        <v>-9.07999999999997</v>
      </c>
      <c r="BJ1095" s="57" t="n">
        <v>41.2040000000001</v>
      </c>
      <c r="BK1095" s="56" t="n">
        <v>-202.62</v>
      </c>
      <c r="BL1095" s="57" t="n">
        <v>139.027</v>
      </c>
      <c r="BM1095" s="55"/>
      <c r="BN1095" s="60" t="n">
        <v>0</v>
      </c>
      <c r="BO1095" s="60" t="n">
        <v>1095</v>
      </c>
      <c r="BP1095" s="55" t="str">
        <f aca="false">IF(S1095&lt;&gt;"",UPPER(TRIM(S1095)),IF(O1095="","LOSE",O1095))</f>
        <v>LOSE</v>
      </c>
      <c r="BQ1095" s="57" t="n">
        <f aca="false">IF(BP1095="LOSE",1,IF(N(T1095)&gt;0,T1095,IF(N(P1095)&gt;0,P1095,MAX(1,G1095))))</f>
        <v>1</v>
      </c>
      <c r="BR1095" s="60" t="n">
        <f aca="false">IF(BP1095="LOSE",1,0)</f>
        <v>1</v>
      </c>
      <c r="BS1095" s="59" t="n">
        <f aca="false">IF(BR1095=0,0,IF(N(R1095)&gt;0,R1095,IFERROR(VLOOKUP(D1095,Parameter!$A$35:$C$64,3,0)+0,0)))</f>
        <v>0.15</v>
      </c>
      <c r="BT1095" s="55" t="n">
        <f aca="false">IF(Y1095&lt;&gt;"",Y1095,X1095)</f>
        <v>2</v>
      </c>
      <c r="BU1095" s="55" t="str">
        <f aca="false">IF(BT1095=1,"L1",IF(OR(BT1095=2,BT1095=3),"L23",IF(BT1095="Aussen","Aussen","-")))</f>
        <v>L23</v>
      </c>
      <c r="BV1095" s="66" t="n">
        <f aca="false">IF(N(Z1095)&gt;0,Z1095,0)</f>
        <v>0</v>
      </c>
      <c r="BW1095" s="60" t="n">
        <f aca="false">IF(ISNUMBER(AC1095),1,0)</f>
        <v>0</v>
      </c>
      <c r="BX1095" s="57" t="n">
        <f aca="false">N(AC1095)</f>
        <v>0</v>
      </c>
      <c r="BY1095" s="57" t="n">
        <f aca="false">N(L1095)+N(M1095)</f>
        <v>58</v>
      </c>
      <c r="BZ1095" s="57" t="n">
        <f aca="false">ROUNDUP(G1095/BQ1095,0)</f>
        <v>0</v>
      </c>
      <c r="CA1095" s="57" t="n">
        <f aca="false">ROUNDUP(BX1095/BQ1095,0)</f>
        <v>0</v>
      </c>
      <c r="CB1095" s="60" t="n">
        <f aca="false">IF(BR1095=1,0,IFERROR(VLOOKUP(BP1095,'Gebinde-Kategorie'!$A$5:$M$45,5,0)+0,0))</f>
        <v>0</v>
      </c>
      <c r="CC1095" s="60" t="n">
        <f aca="false">IFERROR(IF(OR(BT1095=1,BT1095=2,BT1095=3),N(INDEX(Parameter!$I$5:$I$7,BT1095)),0),0)</f>
        <v>0</v>
      </c>
      <c r="CD1095" s="59" t="n">
        <f aca="false">IF(AND(Parameter!$B$21="Ja",ISNUMBER(U1095),N(V1095)&gt;0),IFERROR(N(INDEX(Parameter!$L$5:$L$7,U1095))*INDEX(Parameter!$E$5:$E$7,U1095)*V1095/SUMIFS($V$7:$V$1576,$U$7:$U$1576,U1095),0),0)</f>
        <v>0</v>
      </c>
    </row>
    <row r="1096" customFormat="false" ht="15" hidden="false" customHeight="false" outlineLevel="0" collapsed="false">
      <c r="A1096" s="55" t="s">
        <v>1981</v>
      </c>
      <c r="B1096" s="55" t="s">
        <v>1982</v>
      </c>
      <c r="C1096" s="55" t="s">
        <v>160</v>
      </c>
      <c r="D1096" s="55" t="s">
        <v>178</v>
      </c>
      <c r="E1096" s="55" t="s">
        <v>210</v>
      </c>
      <c r="F1096" s="56" t="n">
        <v>101.62</v>
      </c>
      <c r="G1096" s="57" t="n">
        <f aca="false">MAX(0,IF(AND(Parameter!$B$21="Ja",ISNUMBER(W1096)),W1096,IF(Parameter!$B$20="Jahresanfang 2025 + Export",BJ1096+BI1096,BI1096)))</f>
        <v>0</v>
      </c>
      <c r="H1096" s="57" t="n">
        <f aca="false">G1096*F1096</f>
        <v>0</v>
      </c>
      <c r="I1096" s="57" t="n">
        <f aca="false">BL1096*Parameter!$B$18</f>
        <v>2</v>
      </c>
      <c r="J1096" s="58" t="n">
        <v>10</v>
      </c>
      <c r="K1096" s="59" t="n">
        <v>0.2</v>
      </c>
      <c r="L1096" s="57" t="n">
        <v>0</v>
      </c>
      <c r="M1096" s="57" t="n">
        <v>1</v>
      </c>
      <c r="N1096" s="60" t="n">
        <v>21</v>
      </c>
      <c r="O1096" s="55" t="s">
        <v>319</v>
      </c>
      <c r="P1096" s="57" t="n">
        <v>16</v>
      </c>
      <c r="Q1096" s="60" t="n">
        <f aca="false">IF(BR1096=1,0,IFERROR(VLOOKUP(BP1096,'Gebinde-Kategorie'!$A$5:$M$45,13,0)+0,0))</f>
        <v>52</v>
      </c>
      <c r="R1096" s="61"/>
      <c r="S1096" s="62"/>
      <c r="T1096" s="62"/>
      <c r="U1096" s="55"/>
      <c r="V1096" s="57"/>
      <c r="W1096" s="57"/>
      <c r="X1096" s="55" t="n">
        <f aca="false">IF(A1096="","",IF(AND(Parameter!$B$21="Ja",ISNUMBER(U1096)),U1096,IF(IFERROR(VLOOKUP(D1096,Parameter!$A$35:$C$64,2,0),"Nein")="2+3",IF(ISNUMBER(SEARCH("grosser Artikel",BM1096)),2,IFERROR(VLOOKUP(BP1096,Parameter!$F$35:$G$64,2,0),2)),IF(OR(IFERROR(VLOOKUP(D1096,Parameter!$A$35:$C$64,2,0),"Nein")="Nein",IFERROR(VLOOKUP(D1096,Parameter!$A$35:$C$64,2,0),"Nein")=""),"-",VLOOKUP(D1096,Parameter!$A$35:$C$64,2,0)))))</f>
        <v>3</v>
      </c>
      <c r="Y1096" s="62"/>
      <c r="Z1096" s="63"/>
      <c r="AA1096" s="57" t="n">
        <f aca="false">AP1096</f>
        <v>16</v>
      </c>
      <c r="AB1096" s="57" t="n">
        <f aca="false">MAX(AP1096,G1096)</f>
        <v>16</v>
      </c>
      <c r="AC1096" s="64"/>
      <c r="AD1096" s="57" t="n">
        <f aca="false">IF(LEFT(Cockpit!$C$5,1)="A",G1096,IF(BW1096=1,BX1096,IF(LEFT(Cockpit!$C$5,1)="B",AH1096,MAX(AH1096,G1096))))</f>
        <v>0</v>
      </c>
      <c r="AE1096" s="57" t="n">
        <f aca="false">IF(BR1096=1,0,ROUNDUP(AD1096/BQ1096,0))</f>
        <v>0</v>
      </c>
      <c r="AF1096" s="59" t="n">
        <f aca="false">IF(CD1096&gt;0,CD1096*MAX(1,AD1096/V1096),IF(BR1096=1,IF(AD1096&lt;=0,0,BS1096*MAX(1,IF(G1096&gt;0,AD1096/G1096,1))),IF(Q1096&gt;0,AE1096/Q1096,0))/MAX(0.1,N(Parameter!$M$21)))</f>
        <v>0</v>
      </c>
      <c r="AG1096" s="57" t="n">
        <f aca="false">AD1096*F1096</f>
        <v>0</v>
      </c>
      <c r="AH1096" s="57" t="n">
        <f aca="false">ROUNDUP(MAX(I1096/IF(BV1096&gt;0,BV1096,MAX(0.1,N(Cockpit!$C$6))),BY1096)/BQ1096,0)*BQ1096</f>
        <v>16</v>
      </c>
      <c r="AI1096" s="58" t="n">
        <f aca="false">IF(AF1096&gt;0,I1096/AF1096,-1)</f>
        <v>-1</v>
      </c>
      <c r="AJ1096" s="58" t="str">
        <f aca="false">IF(AND(OR(BU1096="L1",BU1096="L23"),AF1096&gt;0),SUMIFS($AF$7:$AF$1576,$BU$7:$BU$1576,BU1096,$AI$7:$AI$1576,"&gt;"&amp;AI1096)+SUMIFS($AF$7:$AF$1576,$BU$7:$BU$1576,BU1096,$AI$7:$AI$1576,AI1096,$BO$7:$BO$1576,"&lt;="&amp;BO1096),"")</f>
        <v/>
      </c>
      <c r="AK1096" s="65" t="n">
        <f aca="false">IF(AJ1096="",0,MAX(0,MIN(1,(IF(BU1096="L1",Parameter!$E$5,Parameter!$E$6+Parameter!$E$7)-(AJ1096-AF1096))/AF1096)))</f>
        <v>0</v>
      </c>
      <c r="AL1096" s="57" t="n">
        <f aca="false">IF(LEFT(Cockpit!$I$5,1)="A",G1096,IF(BW1096=1,BX1096,IF(LEFT(Cockpit!$I$5,1)="B",AP1096,MAX(AP1096,G1096))))</f>
        <v>16</v>
      </c>
      <c r="AM1096" s="57" t="n">
        <f aca="false">IF(BR1096=1,0,ROUNDUP(AL1096/BQ1096,0))</f>
        <v>1</v>
      </c>
      <c r="AN1096" s="59" t="n">
        <f aca="false">IF(CD1096&gt;0,CD1096*MAX(1,AL1096/V1096),IF(BR1096=1,IF(AL1096&lt;=0,0,BS1096*MAX(1,IF(G1096&gt;0,AL1096/G1096,1))),IF(Q1096&gt;0,AM1096/Q1096,0))/MAX(0.1,N(Parameter!$M$21)))</f>
        <v>0.0192307692307692</v>
      </c>
      <c r="AO1096" s="57" t="n">
        <f aca="false">AL1096*F1096</f>
        <v>1625.92</v>
      </c>
      <c r="AP1096" s="57" t="n">
        <f aca="false">ROUNDUP(MAX(I1096/IF(BV1096&gt;0,BV1096,MAX(0.1,N(Cockpit!$I$6))),BY1096)/BQ1096,0)*BQ1096</f>
        <v>16</v>
      </c>
      <c r="AQ1096" s="58" t="n">
        <f aca="false">IF(AN1096&gt;0,I1096/AN1096,-1)</f>
        <v>104</v>
      </c>
      <c r="AR1096" s="58" t="n">
        <f aca="false">IF(AND(OR(BU1096="L1",BU1096="L23"),AN1096&gt;0),SUMIFS($AN$7:$AN$1576,$BU$7:$BU$1576,BU1096,$AQ$7:$AQ$1576,"&gt;"&amp;AQ1096)+SUMIFS($AN$7:$AN$1576,$BU$7:$BU$1576,BU1096,$AQ$7:$AQ$1576,AQ1096,$BO$7:$BO$1576,"&lt;="&amp;BO1096),"")</f>
        <v>68.6957523820135</v>
      </c>
      <c r="AS1096" s="65" t="n">
        <f aca="false">IF(AR1096="",0,MAX(0,MIN(1,(IF(BU1096="L1",Parameter!$E$5,Parameter!$E$6+Parameter!$E$7)-(AR1096-AN1096))/AN1096)))</f>
        <v>1</v>
      </c>
      <c r="AT1096" s="57" t="n">
        <f aca="false">IF(LEFT(Cockpit!$O$5,1)="A",G1096,IF(BW1096=1,BX1096,IF(LEFT(Cockpit!$O$5,1)="B",AX1096,MAX(AX1096,G1096))))</f>
        <v>16</v>
      </c>
      <c r="AU1096" s="57" t="n">
        <f aca="false">IF(BR1096=1,0,ROUNDUP(AT1096/BQ1096,0))</f>
        <v>1</v>
      </c>
      <c r="AV1096" s="59" t="n">
        <f aca="false">IF(CD1096&gt;0,CD1096*MAX(1,AT1096/V1096),IF(BR1096=1,IF(AT1096&lt;=0,0,BS1096*MAX(1,IF(G1096&gt;0,AT1096/G1096,1))),IF(Q1096&gt;0,AU1096/Q1096,0))/MAX(0.1,N(Parameter!$M$21)))</f>
        <v>0.0192307692307692</v>
      </c>
      <c r="AW1096" s="57" t="n">
        <f aca="false">AT1096*F1096</f>
        <v>1625.92</v>
      </c>
      <c r="AX1096" s="57" t="n">
        <f aca="false">ROUNDUP(MAX(I1096/IF(BV1096&gt;0,BV1096,MAX(0.1,N(Cockpit!$O$6))),BY1096)/BQ1096,0)*BQ1096</f>
        <v>16</v>
      </c>
      <c r="AY1096" s="58" t="n">
        <f aca="false">IF(AV1096&gt;0,I1096/AV1096,-1)</f>
        <v>104</v>
      </c>
      <c r="AZ1096" s="58" t="n">
        <f aca="false">IF(AND(OR(BU1096="L1",BU1096="L23"),AV1096&gt;0),SUMIFS($AV$7:$AV$1576,$BU$7:$BU$1576,BU1096,$AY$7:$AY$1576,"&gt;"&amp;AY1096)+SUMIFS($AV$7:$AV$1576,$BU$7:$BU$1576,BU1096,$AY$7:$AY$1576,AY1096,$BO$7:$BO$1576,"&lt;="&amp;BO1096),"")</f>
        <v>63.2561361648973</v>
      </c>
      <c r="BA1096" s="65" t="n">
        <f aca="false">IF(AZ1096="",0,MAX(0,MIN(1,(IF(BU1096="L1",Parameter!$E$5,Parameter!$E$6+Parameter!$E$7)-(AZ1096-AV1096))/AV1096)))</f>
        <v>1</v>
      </c>
      <c r="BB1096" s="55" t="str">
        <f aca="false">IF(AF1096&lt;=0,"",IF(BU1096="Aussen","Aussenlager",IF(BU1096="-","Nicht im Lift",IF(AK1096&gt;=1,"Lift",IF(AK1096&lt;=0,"Aussenlager","teilweise")))))</f>
        <v/>
      </c>
      <c r="BC1096" s="55" t="str">
        <f aca="false">IF(AN1096&lt;=0,"",IF(BU1096="Aussen","Aussenlager",IF(BU1096="-","Nicht im Lift",IF(AS1096&gt;=1,"Lift",IF(AS1096&lt;=0,"Aussenlager","teilweise")))))</f>
        <v>Lift</v>
      </c>
      <c r="BD1096" s="55" t="str">
        <f aca="false">IF(AV1096&lt;=0,"",IF(BU1096="Aussen","Aussenlager",IF(BU1096="-","Nicht im Lift",IF(BA1096&gt;=1,"Lift",IF(BA1096&lt;=0,"Aussenlager","teilweise")))))</f>
        <v>Lift</v>
      </c>
      <c r="BE1096" s="55" t="str">
        <f aca="false">IF(A1096="","",IF(BN1096=1,"Neu; ","")&amp;IF(AND(BN1096=0,BI1096&lt;0),"negativer Bestand (Export "&amp;BI1096&amp;"); ","")&amp;IF(I1096&lt;=0,"Kein Verbrauch; ","")&amp;IF(CD1096&gt;0,"Lift "&amp;U1096&amp;" lt. Liftbericht (Fach "&amp;V1096&amp;" Stk); ",IF(BR1096=1,"Lose – Fläche geschätzt; ",""))&amp;IF(G1096&gt;AP1096,"Überbestand "&amp;ROUND(G1096-AP1096,0)&amp;" Stk / CHF "&amp;ROUND((G1096-AP1096)*F1096,0)&amp;"; ","")&amp;IF(AND(BW1096=1,BX1096&lt;BY1096),"MAX &lt; MB+LG; ","")&amp;IF(AND(CC1096&gt;0,CB1096*10&gt;CC1096),"zu hoch für Tablar; ","")&amp;IF(AND(BN1096=0,OR(BW1096=1,Y1096&lt;&gt;"",S1096&lt;&gt;"",T1096&lt;&gt;"",Z1096&lt;&gt;"")),"manuell übersteuert; ","")&amp;IF(AND(BR1096=0,Q1096=0),"Gebinde unbekannt / Stellmass fehlt; ","")&amp;IF(AND(BR1096=0,N(T1096)&lt;=0,N(P1096)&lt;=0),"Menge pro Gebinde fehlt (Ist = 1 Gebinde); ","")&amp;BM1096)</f>
        <v>negativer Bestand (Export -2); </v>
      </c>
      <c r="BF1096" s="55"/>
      <c r="BG1096" s="55"/>
      <c r="BH1096" s="62"/>
      <c r="BI1096" s="57" t="n">
        <v>-2</v>
      </c>
      <c r="BJ1096" s="57" t="n">
        <v>11</v>
      </c>
      <c r="BK1096" s="56" t="n">
        <v>-203.24</v>
      </c>
      <c r="BL1096" s="57" t="n">
        <v>2</v>
      </c>
      <c r="BM1096" s="55"/>
      <c r="BN1096" s="60" t="n">
        <v>0</v>
      </c>
      <c r="BO1096" s="60" t="n">
        <v>1096</v>
      </c>
      <c r="BP1096" s="55" t="str">
        <f aca="false">IF(S1096&lt;&gt;"",UPPER(TRIM(S1096)),IF(O1096="","LOSE",O1096))</f>
        <v>S41</v>
      </c>
      <c r="BQ1096" s="57" t="n">
        <f aca="false">IF(BP1096="LOSE",1,IF(N(T1096)&gt;0,T1096,IF(N(P1096)&gt;0,P1096,MAX(1,G1096))))</f>
        <v>16</v>
      </c>
      <c r="BR1096" s="60" t="n">
        <f aca="false">IF(BP1096="LOSE",1,0)</f>
        <v>0</v>
      </c>
      <c r="BS1096" s="59" t="n">
        <f aca="false">IF(BR1096=0,0,IF(N(R1096)&gt;0,R1096,IFERROR(VLOOKUP(D1096,Parameter!$A$35:$C$64,3,0)+0,0)))</f>
        <v>0</v>
      </c>
      <c r="BT1096" s="55" t="n">
        <f aca="false">IF(Y1096&lt;&gt;"",Y1096,X1096)</f>
        <v>3</v>
      </c>
      <c r="BU1096" s="55" t="str">
        <f aca="false">IF(BT1096=1,"L1",IF(OR(BT1096=2,BT1096=3),"L23",IF(BT1096="Aussen","Aussen","-")))</f>
        <v>L23</v>
      </c>
      <c r="BV1096" s="66" t="n">
        <f aca="false">IF(N(Z1096)&gt;0,Z1096,0)</f>
        <v>0</v>
      </c>
      <c r="BW1096" s="60" t="n">
        <f aca="false">IF(ISNUMBER(AC1096),1,0)</f>
        <v>0</v>
      </c>
      <c r="BX1096" s="57" t="n">
        <f aca="false">N(AC1096)</f>
        <v>0</v>
      </c>
      <c r="BY1096" s="57" t="n">
        <f aca="false">N(L1096)+N(M1096)</f>
        <v>1</v>
      </c>
      <c r="BZ1096" s="57" t="n">
        <f aca="false">ROUNDUP(G1096/BQ1096,0)</f>
        <v>0</v>
      </c>
      <c r="CA1096" s="57" t="n">
        <f aca="false">ROUNDUP(BX1096/BQ1096,0)</f>
        <v>0</v>
      </c>
      <c r="CB1096" s="60" t="n">
        <f aca="false">IF(BR1096=1,0,IFERROR(VLOOKUP(BP1096,'Gebinde-Kategorie'!$A$5:$M$45,5,0)+0,0))</f>
        <v>11</v>
      </c>
      <c r="CC1096" s="60" t="n">
        <f aca="false">IFERROR(IF(OR(BT1096=1,BT1096=2,BT1096=3),N(INDEX(Parameter!$I$5:$I$7,BT1096)),0),0)</f>
        <v>0</v>
      </c>
      <c r="CD1096" s="59" t="n">
        <f aca="false">IF(AND(Parameter!$B$21="Ja",ISNUMBER(U1096),N(V1096)&gt;0),IFERROR(N(INDEX(Parameter!$L$5:$L$7,U1096))*INDEX(Parameter!$E$5:$E$7,U1096)*V1096/SUMIFS($V$7:$V$1576,$U$7:$U$1576,U1096),0),0)</f>
        <v>0</v>
      </c>
    </row>
    <row r="1097" customFormat="false" ht="15" hidden="false" customHeight="false" outlineLevel="0" collapsed="false">
      <c r="A1097" s="55" t="s">
        <v>1983</v>
      </c>
      <c r="B1097" s="55" t="s">
        <v>1984</v>
      </c>
      <c r="C1097" s="55" t="s">
        <v>160</v>
      </c>
      <c r="D1097" s="55" t="s">
        <v>168</v>
      </c>
      <c r="E1097" s="55" t="s">
        <v>210</v>
      </c>
      <c r="F1097" s="56" t="n">
        <v>205.4</v>
      </c>
      <c r="G1097" s="57" t="n">
        <f aca="false">MAX(0,IF(AND(Parameter!$B$21="Ja",ISNUMBER(W1097)),W1097,IF(Parameter!$B$20="Jahresanfang 2025 + Export",BJ1097+BI1097,BI1097)))</f>
        <v>0</v>
      </c>
      <c r="H1097" s="57" t="n">
        <f aca="false">G1097*F1097</f>
        <v>0</v>
      </c>
      <c r="I1097" s="57" t="n">
        <f aca="false">BL1097*Parameter!$B$18</f>
        <v>0</v>
      </c>
      <c r="J1097" s="58" t="n">
        <v>22.5</v>
      </c>
      <c r="K1097" s="59" t="n">
        <v>0</v>
      </c>
      <c r="L1097" s="57" t="n">
        <v>0</v>
      </c>
      <c r="M1097" s="57" t="n">
        <v>1</v>
      </c>
      <c r="N1097" s="60" t="n">
        <v>28</v>
      </c>
      <c r="O1097" s="55" t="s">
        <v>169</v>
      </c>
      <c r="P1097" s="57" t="n">
        <v>24</v>
      </c>
      <c r="Q1097" s="60" t="n">
        <f aca="false">IF(BR1097=1,0,IFERROR(VLOOKUP(BP1097,'Gebinde-Kategorie'!$A$5:$M$45,13,0)+0,0))</f>
        <v>6</v>
      </c>
      <c r="R1097" s="61"/>
      <c r="S1097" s="62"/>
      <c r="T1097" s="62"/>
      <c r="U1097" s="55"/>
      <c r="V1097" s="57"/>
      <c r="W1097" s="57"/>
      <c r="X1097" s="55" t="n">
        <f aca="false">IF(A1097="","",IF(AND(Parameter!$B$21="Ja",ISNUMBER(U1097)),U1097,IF(IFERROR(VLOOKUP(D1097,Parameter!$A$35:$C$64,2,0),"Nein")="2+3",IF(ISNUMBER(SEARCH("grosser Artikel",BM1097)),2,IFERROR(VLOOKUP(BP1097,Parameter!$F$35:$G$64,2,0),2)),IF(OR(IFERROR(VLOOKUP(D1097,Parameter!$A$35:$C$64,2,0),"Nein")="Nein",IFERROR(VLOOKUP(D1097,Parameter!$A$35:$C$64,2,0),"Nein")=""),"-",VLOOKUP(D1097,Parameter!$A$35:$C$64,2,0)))))</f>
        <v>2</v>
      </c>
      <c r="Y1097" s="62"/>
      <c r="Z1097" s="63"/>
      <c r="AA1097" s="57" t="n">
        <f aca="false">AP1097</f>
        <v>24</v>
      </c>
      <c r="AB1097" s="57" t="n">
        <f aca="false">MAX(AP1097,G1097)</f>
        <v>24</v>
      </c>
      <c r="AC1097" s="64"/>
      <c r="AD1097" s="57" t="n">
        <f aca="false">IF(LEFT(Cockpit!$C$5,1)="A",G1097,IF(BW1097=1,BX1097,IF(LEFT(Cockpit!$C$5,1)="B",AH1097,MAX(AH1097,G1097))))</f>
        <v>0</v>
      </c>
      <c r="AE1097" s="57" t="n">
        <f aca="false">IF(BR1097=1,0,ROUNDUP(AD1097/BQ1097,0))</f>
        <v>0</v>
      </c>
      <c r="AF1097" s="59" t="n">
        <f aca="false">IF(CD1097&gt;0,CD1097*MAX(1,AD1097/V1097),IF(BR1097=1,IF(AD1097&lt;=0,0,BS1097*MAX(1,IF(G1097&gt;0,AD1097/G1097,1))),IF(Q1097&gt;0,AE1097/Q1097,0))/MAX(0.1,N(Parameter!$M$21)))</f>
        <v>0</v>
      </c>
      <c r="AG1097" s="57" t="n">
        <f aca="false">AD1097*F1097</f>
        <v>0</v>
      </c>
      <c r="AH1097" s="57" t="n">
        <f aca="false">ROUNDUP(MAX(I1097/IF(BV1097&gt;0,BV1097,MAX(0.1,N(Cockpit!$C$6))),BY1097)/BQ1097,0)*BQ1097</f>
        <v>24</v>
      </c>
      <c r="AI1097" s="58" t="n">
        <f aca="false">IF(AF1097&gt;0,I1097/AF1097,-1)</f>
        <v>-1</v>
      </c>
      <c r="AJ1097" s="58" t="str">
        <f aca="false">IF(AND(OR(BU1097="L1",BU1097="L23"),AF1097&gt;0),SUMIFS($AF$7:$AF$1576,$BU$7:$BU$1576,BU1097,$AI$7:$AI$1576,"&gt;"&amp;AI1097)+SUMIFS($AF$7:$AF$1576,$BU$7:$BU$1576,BU1097,$AI$7:$AI$1576,AI1097,$BO$7:$BO$1576,"&lt;="&amp;BO1097),"")</f>
        <v/>
      </c>
      <c r="AK1097" s="65" t="n">
        <f aca="false">IF(AJ1097="",0,MAX(0,MIN(1,(IF(BU1097="L1",Parameter!$E$5,Parameter!$E$6+Parameter!$E$7)-(AJ1097-AF1097))/AF1097)))</f>
        <v>0</v>
      </c>
      <c r="AL1097" s="57" t="n">
        <f aca="false">IF(LEFT(Cockpit!$I$5,1)="A",G1097,IF(BW1097=1,BX1097,IF(LEFT(Cockpit!$I$5,1)="B",AP1097,MAX(AP1097,G1097))))</f>
        <v>24</v>
      </c>
      <c r="AM1097" s="57" t="n">
        <f aca="false">IF(BR1097=1,0,ROUNDUP(AL1097/BQ1097,0))</f>
        <v>1</v>
      </c>
      <c r="AN1097" s="59" t="n">
        <f aca="false">IF(CD1097&gt;0,CD1097*MAX(1,AL1097/V1097),IF(BR1097=1,IF(AL1097&lt;=0,0,BS1097*MAX(1,IF(G1097&gt;0,AL1097/G1097,1))),IF(Q1097&gt;0,AM1097/Q1097,0))/MAX(0.1,N(Parameter!$M$21)))</f>
        <v>0.166666666666667</v>
      </c>
      <c r="AO1097" s="57" t="n">
        <f aca="false">AL1097*F1097</f>
        <v>4929.6</v>
      </c>
      <c r="AP1097" s="57" t="n">
        <f aca="false">ROUNDUP(MAX(I1097/IF(BV1097&gt;0,BV1097,MAX(0.1,N(Cockpit!$I$6))),BY1097)/BQ1097,0)*BQ1097</f>
        <v>24</v>
      </c>
      <c r="AQ1097" s="58" t="n">
        <f aca="false">IF(AN1097&gt;0,I1097/AN1097,-1)</f>
        <v>0</v>
      </c>
      <c r="AR1097" s="58" t="n">
        <f aca="false">IF(AND(OR(BU1097="L1",BU1097="L23"),AN1097&gt;0),SUMIFS($AN$7:$AN$1576,$BU$7:$BU$1576,BU1097,$AQ$7:$AQ$1576,"&gt;"&amp;AQ1097)+SUMIFS($AN$7:$AN$1576,$BU$7:$BU$1576,BU1097,$AQ$7:$AQ$1576,AQ1097,$BO$7:$BO$1576,"&lt;="&amp;BO1097),"")</f>
        <v>133.629336581341</v>
      </c>
      <c r="AS1097" s="65" t="n">
        <f aca="false">IF(AR1097="",0,MAX(0,MIN(1,(IF(BU1097="L1",Parameter!$E$5,Parameter!$E$6+Parameter!$E$7)-(AR1097-AN1097))/AN1097)))</f>
        <v>0</v>
      </c>
      <c r="AT1097" s="57" t="n">
        <f aca="false">IF(LEFT(Cockpit!$O$5,1)="A",G1097,IF(BW1097=1,BX1097,IF(LEFT(Cockpit!$O$5,1)="B",AX1097,MAX(AX1097,G1097))))</f>
        <v>24</v>
      </c>
      <c r="AU1097" s="57" t="n">
        <f aca="false">IF(BR1097=1,0,ROUNDUP(AT1097/BQ1097,0))</f>
        <v>1</v>
      </c>
      <c r="AV1097" s="59" t="n">
        <f aca="false">IF(CD1097&gt;0,CD1097*MAX(1,AT1097/V1097),IF(BR1097=1,IF(AT1097&lt;=0,0,BS1097*MAX(1,IF(G1097&gt;0,AT1097/G1097,1))),IF(Q1097&gt;0,AU1097/Q1097,0))/MAX(0.1,N(Parameter!$M$21)))</f>
        <v>0.166666666666667</v>
      </c>
      <c r="AW1097" s="57" t="n">
        <f aca="false">AT1097*F1097</f>
        <v>4929.6</v>
      </c>
      <c r="AX1097" s="57" t="n">
        <f aca="false">ROUNDUP(MAX(I1097/IF(BV1097&gt;0,BV1097,MAX(0.1,N(Cockpit!$O$6))),BY1097)/BQ1097,0)*BQ1097</f>
        <v>24</v>
      </c>
      <c r="AY1097" s="58" t="n">
        <f aca="false">IF(AV1097&gt;0,I1097/AV1097,-1)</f>
        <v>0</v>
      </c>
      <c r="AZ1097" s="58" t="n">
        <f aca="false">IF(AND(OR(BU1097="L1",BU1097="L23"),AV1097&gt;0),SUMIFS($AV$7:$AV$1576,$BU$7:$BU$1576,BU1097,$AY$7:$AY$1576,"&gt;"&amp;AY1097)+SUMIFS($AV$7:$AV$1576,$BU$7:$BU$1576,BU1097,$AY$7:$AY$1576,AY1097,$BO$7:$BO$1576,"&lt;="&amp;BO1097),"")</f>
        <v>123.688887030891</v>
      </c>
      <c r="BA1097" s="65" t="n">
        <f aca="false">IF(AZ1097="",0,MAX(0,MIN(1,(IF(BU1097="L1",Parameter!$E$5,Parameter!$E$6+Parameter!$E$7)-(AZ1097-AV1097))/AV1097)))</f>
        <v>0</v>
      </c>
      <c r="BB1097" s="55" t="str">
        <f aca="false">IF(AF1097&lt;=0,"",IF(BU1097="Aussen","Aussenlager",IF(BU1097="-","Nicht im Lift",IF(AK1097&gt;=1,"Lift",IF(AK1097&lt;=0,"Aussenlager","teilweise")))))</f>
        <v/>
      </c>
      <c r="BC1097" s="55" t="str">
        <f aca="false">IF(AN1097&lt;=0,"",IF(BU1097="Aussen","Aussenlager",IF(BU1097="-","Nicht im Lift",IF(AS1097&gt;=1,"Lift",IF(AS1097&lt;=0,"Aussenlager","teilweise")))))</f>
        <v>Aussenlager</v>
      </c>
      <c r="BD1097" s="55" t="str">
        <f aca="false">IF(AV1097&lt;=0,"",IF(BU1097="Aussen","Aussenlager",IF(BU1097="-","Nicht im Lift",IF(BA1097&gt;=1,"Lift",IF(BA1097&lt;=0,"Aussenlager","teilweise")))))</f>
        <v>Aussenlager</v>
      </c>
      <c r="BE1097" s="55" t="str">
        <f aca="false">IF(A1097="","",IF(BN1097=1,"Neu; ","")&amp;IF(AND(BN1097=0,BI1097&lt;0),"negativer Bestand (Export "&amp;BI1097&amp;"); ","")&amp;IF(I1097&lt;=0,"Kein Verbrauch; ","")&amp;IF(CD1097&gt;0,"Lift "&amp;U1097&amp;" lt. Liftbericht (Fach "&amp;V1097&amp;" Stk); ",IF(BR1097=1,"Lose – Fläche geschätzt; ",""))&amp;IF(G1097&gt;AP1097,"Überbestand "&amp;ROUND(G1097-AP1097,0)&amp;" Stk / CHF "&amp;ROUND((G1097-AP1097)*F1097,0)&amp;"; ","")&amp;IF(AND(BW1097=1,BX1097&lt;BY1097),"MAX &lt; MB+LG; ","")&amp;IF(AND(CC1097&gt;0,CB1097*10&gt;CC1097),"zu hoch für Tablar; ","")&amp;IF(AND(BN1097=0,OR(BW1097=1,Y1097&lt;&gt;"",S1097&lt;&gt;"",T1097&lt;&gt;"",Z1097&lt;&gt;"")),"manuell übersteuert; ","")&amp;IF(AND(BR1097=0,Q1097=0),"Gebinde unbekannt / Stellmass fehlt; ","")&amp;IF(AND(BR1097=0,N(T1097)&lt;=0,N(P1097)&lt;=0),"Menge pro Gebinde fehlt (Ist = 1 Gebinde); ","")&amp;BM1097)</f>
        <v>negativer Bestand (Export -1); Kein Verbrauch; </v>
      </c>
      <c r="BF1097" s="55"/>
      <c r="BG1097" s="55"/>
      <c r="BH1097" s="62"/>
      <c r="BI1097" s="57" t="n">
        <v>-1</v>
      </c>
      <c r="BJ1097" s="57" t="n">
        <v>23</v>
      </c>
      <c r="BK1097" s="56" t="n">
        <v>-205.4</v>
      </c>
      <c r="BL1097" s="57" t="n">
        <v>0</v>
      </c>
      <c r="BM1097" s="55"/>
      <c r="BN1097" s="60" t="n">
        <v>0</v>
      </c>
      <c r="BO1097" s="60" t="n">
        <v>1097</v>
      </c>
      <c r="BP1097" s="55" t="str">
        <f aca="false">IF(S1097&lt;&gt;"",UPPER(TRIM(S1097)),IF(O1097="","LOSE",O1097))</f>
        <v>S71</v>
      </c>
      <c r="BQ1097" s="57" t="n">
        <f aca="false">IF(BP1097="LOSE",1,IF(N(T1097)&gt;0,T1097,IF(N(P1097)&gt;0,P1097,MAX(1,G1097))))</f>
        <v>24</v>
      </c>
      <c r="BR1097" s="60" t="n">
        <f aca="false">IF(BP1097="LOSE",1,0)</f>
        <v>0</v>
      </c>
      <c r="BS1097" s="59" t="n">
        <f aca="false">IF(BR1097=0,0,IF(N(R1097)&gt;0,R1097,IFERROR(VLOOKUP(D1097,Parameter!$A$35:$C$64,3,0)+0,0)))</f>
        <v>0</v>
      </c>
      <c r="BT1097" s="55" t="n">
        <f aca="false">IF(Y1097&lt;&gt;"",Y1097,X1097)</f>
        <v>2</v>
      </c>
      <c r="BU1097" s="55" t="str">
        <f aca="false">IF(BT1097=1,"L1",IF(OR(BT1097=2,BT1097=3),"L23",IF(BT1097="Aussen","Aussen","-")))</f>
        <v>L23</v>
      </c>
      <c r="BV1097" s="66" t="n">
        <f aca="false">IF(N(Z1097)&gt;0,Z1097,0)</f>
        <v>0</v>
      </c>
      <c r="BW1097" s="60" t="n">
        <f aca="false">IF(ISNUMBER(AC1097),1,0)</f>
        <v>0</v>
      </c>
      <c r="BX1097" s="57" t="n">
        <f aca="false">N(AC1097)</f>
        <v>0</v>
      </c>
      <c r="BY1097" s="57" t="n">
        <f aca="false">N(L1097)+N(M1097)</f>
        <v>1</v>
      </c>
      <c r="BZ1097" s="57" t="n">
        <f aca="false">ROUNDUP(G1097/BQ1097,0)</f>
        <v>0</v>
      </c>
      <c r="CA1097" s="57" t="n">
        <f aca="false">ROUNDUP(BX1097/BQ1097,0)</f>
        <v>0</v>
      </c>
      <c r="CB1097" s="60" t="n">
        <f aca="false">IF(BR1097=1,0,IFERROR(VLOOKUP(BP1097,'Gebinde-Kategorie'!$A$5:$M$45,5,0)+0,0))</f>
        <v>20</v>
      </c>
      <c r="CC1097" s="60" t="n">
        <f aca="false">IFERROR(IF(OR(BT1097=1,BT1097=2,BT1097=3),N(INDEX(Parameter!$I$5:$I$7,BT1097)),0),0)</f>
        <v>0</v>
      </c>
      <c r="CD1097" s="59" t="n">
        <f aca="false">IF(AND(Parameter!$B$21="Ja",ISNUMBER(U1097),N(V1097)&gt;0),IFERROR(N(INDEX(Parameter!$L$5:$L$7,U1097))*INDEX(Parameter!$E$5:$E$7,U1097)*V1097/SUMIFS($V$7:$V$1576,$U$7:$U$1576,U1097),0),0)</f>
        <v>0</v>
      </c>
    </row>
    <row r="1098" customFormat="false" ht="15" hidden="false" customHeight="false" outlineLevel="0" collapsed="false">
      <c r="A1098" s="55" t="s">
        <v>1985</v>
      </c>
      <c r="B1098" s="55" t="s">
        <v>496</v>
      </c>
      <c r="C1098" s="55" t="s">
        <v>160</v>
      </c>
      <c r="D1098" s="55" t="s">
        <v>178</v>
      </c>
      <c r="E1098" s="55" t="s">
        <v>210</v>
      </c>
      <c r="F1098" s="56" t="n">
        <v>1.85</v>
      </c>
      <c r="G1098" s="57" t="n">
        <f aca="false">MAX(0,IF(AND(Parameter!$B$21="Ja",ISNUMBER(W1098)),W1098,IF(Parameter!$B$20="Jahresanfang 2025 + Export",BJ1098+BI1098,BI1098)))</f>
        <v>0</v>
      </c>
      <c r="H1098" s="57" t="n">
        <f aca="false">G1098*F1098</f>
        <v>0</v>
      </c>
      <c r="I1098" s="57" t="n">
        <f aca="false">BL1098*Parameter!$B$18</f>
        <v>260</v>
      </c>
      <c r="J1098" s="58" t="n">
        <v>409.5</v>
      </c>
      <c r="K1098" s="59" t="n">
        <v>0.634920634920635</v>
      </c>
      <c r="L1098" s="57" t="n">
        <v>15</v>
      </c>
      <c r="M1098" s="57" t="n">
        <v>260</v>
      </c>
      <c r="N1098" s="60" t="n">
        <v>21</v>
      </c>
      <c r="O1098" s="55" t="s">
        <v>225</v>
      </c>
      <c r="P1098" s="57" t="n">
        <v>832</v>
      </c>
      <c r="Q1098" s="60" t="n">
        <f aca="false">IF(BR1098=1,0,IFERROR(VLOOKUP(BP1098,'Gebinde-Kategorie'!$A$5:$M$45,13,0)+0,0))</f>
        <v>26</v>
      </c>
      <c r="R1098" s="61"/>
      <c r="S1098" s="62"/>
      <c r="T1098" s="62"/>
      <c r="U1098" s="55"/>
      <c r="V1098" s="57"/>
      <c r="W1098" s="57"/>
      <c r="X1098" s="55" t="n">
        <f aca="false">IF(A1098="","",IF(AND(Parameter!$B$21="Ja",ISNUMBER(U1098)),U1098,IF(IFERROR(VLOOKUP(D1098,Parameter!$A$35:$C$64,2,0),"Nein")="2+3",IF(ISNUMBER(SEARCH("grosser Artikel",BM1098)),2,IFERROR(VLOOKUP(BP1098,Parameter!$F$35:$G$64,2,0),2)),IF(OR(IFERROR(VLOOKUP(D1098,Parameter!$A$35:$C$64,2,0),"Nein")="Nein",IFERROR(VLOOKUP(D1098,Parameter!$A$35:$C$64,2,0),"Nein")=""),"-",VLOOKUP(D1098,Parameter!$A$35:$C$64,2,0)))))</f>
        <v>3</v>
      </c>
      <c r="Y1098" s="62"/>
      <c r="Z1098" s="63"/>
      <c r="AA1098" s="57" t="n">
        <f aca="false">AP1098</f>
        <v>832</v>
      </c>
      <c r="AB1098" s="57" t="n">
        <f aca="false">MAX(AP1098,G1098)</f>
        <v>832</v>
      </c>
      <c r="AC1098" s="64"/>
      <c r="AD1098" s="57" t="n">
        <f aca="false">IF(LEFT(Cockpit!$C$5,1)="A",G1098,IF(BW1098=1,BX1098,IF(LEFT(Cockpit!$C$5,1)="B",AH1098,MAX(AH1098,G1098))))</f>
        <v>0</v>
      </c>
      <c r="AE1098" s="57" t="n">
        <f aca="false">IF(BR1098=1,0,ROUNDUP(AD1098/BQ1098,0))</f>
        <v>0</v>
      </c>
      <c r="AF1098" s="59" t="n">
        <f aca="false">IF(CD1098&gt;0,CD1098*MAX(1,AD1098/V1098),IF(BR1098=1,IF(AD1098&lt;=0,0,BS1098*MAX(1,IF(G1098&gt;0,AD1098/G1098,1))),IF(Q1098&gt;0,AE1098/Q1098,0))/MAX(0.1,N(Parameter!$M$21)))</f>
        <v>0</v>
      </c>
      <c r="AG1098" s="57" t="n">
        <f aca="false">AD1098*F1098</f>
        <v>0</v>
      </c>
      <c r="AH1098" s="57" t="n">
        <f aca="false">ROUNDUP(MAX(I1098/IF(BV1098&gt;0,BV1098,MAX(0.1,N(Cockpit!$C$6))),BY1098)/BQ1098,0)*BQ1098</f>
        <v>832</v>
      </c>
      <c r="AI1098" s="58" t="n">
        <f aca="false">IF(AF1098&gt;0,I1098/AF1098,-1)</f>
        <v>-1</v>
      </c>
      <c r="AJ1098" s="58" t="str">
        <f aca="false">IF(AND(OR(BU1098="L1",BU1098="L23"),AF1098&gt;0),SUMIFS($AF$7:$AF$1576,$BU$7:$BU$1576,BU1098,$AI$7:$AI$1576,"&gt;"&amp;AI1098)+SUMIFS($AF$7:$AF$1576,$BU$7:$BU$1576,BU1098,$AI$7:$AI$1576,AI1098,$BO$7:$BO$1576,"&lt;="&amp;BO1098),"")</f>
        <v/>
      </c>
      <c r="AK1098" s="65" t="n">
        <f aca="false">IF(AJ1098="",0,MAX(0,MIN(1,(IF(BU1098="L1",Parameter!$E$5,Parameter!$E$6+Parameter!$E$7)-(AJ1098-AF1098))/AF1098)))</f>
        <v>0</v>
      </c>
      <c r="AL1098" s="57" t="n">
        <f aca="false">IF(LEFT(Cockpit!$I$5,1)="A",G1098,IF(BW1098=1,BX1098,IF(LEFT(Cockpit!$I$5,1)="B",AP1098,MAX(AP1098,G1098))))</f>
        <v>832</v>
      </c>
      <c r="AM1098" s="57" t="n">
        <f aca="false">IF(BR1098=1,0,ROUNDUP(AL1098/BQ1098,0))</f>
        <v>1</v>
      </c>
      <c r="AN1098" s="59" t="n">
        <f aca="false">IF(CD1098&gt;0,CD1098*MAX(1,AL1098/V1098),IF(BR1098=1,IF(AL1098&lt;=0,0,BS1098*MAX(1,IF(G1098&gt;0,AL1098/G1098,1))),IF(Q1098&gt;0,AM1098/Q1098,0))/MAX(0.1,N(Parameter!$M$21)))</f>
        <v>0.0384615384615385</v>
      </c>
      <c r="AO1098" s="57" t="n">
        <f aca="false">AL1098*F1098</f>
        <v>1539.2</v>
      </c>
      <c r="AP1098" s="57" t="n">
        <f aca="false">ROUNDUP(MAX(I1098/IF(BV1098&gt;0,BV1098,MAX(0.1,N(Cockpit!$I$6))),BY1098)/BQ1098,0)*BQ1098</f>
        <v>832</v>
      </c>
      <c r="AQ1098" s="58" t="n">
        <f aca="false">IF(AN1098&gt;0,I1098/AN1098,-1)</f>
        <v>6760</v>
      </c>
      <c r="AR1098" s="58" t="n">
        <f aca="false">IF(AND(OR(BU1098="L1",BU1098="L23"),AN1098&gt;0),SUMIFS($AN$7:$AN$1576,$BU$7:$BU$1576,BU1098,$AQ$7:$AQ$1576,"&gt;"&amp;AQ1098)+SUMIFS($AN$7:$AN$1576,$BU$7:$BU$1576,BU1098,$AQ$7:$AQ$1576,AQ1098,$BO$7:$BO$1576,"&lt;="&amp;BO1098),"")</f>
        <v>9.00629539542583</v>
      </c>
      <c r="AS1098" s="65" t="n">
        <f aca="false">IF(AR1098="",0,MAX(0,MIN(1,(IF(BU1098="L1",Parameter!$E$5,Parameter!$E$6+Parameter!$E$7)-(AR1098-AN1098))/AN1098)))</f>
        <v>1</v>
      </c>
      <c r="AT1098" s="57" t="n">
        <f aca="false">IF(LEFT(Cockpit!$O$5,1)="A",G1098,IF(BW1098=1,BX1098,IF(LEFT(Cockpit!$O$5,1)="B",AX1098,MAX(AX1098,G1098))))</f>
        <v>832</v>
      </c>
      <c r="AU1098" s="57" t="n">
        <f aca="false">IF(BR1098=1,0,ROUNDUP(AT1098/BQ1098,0))</f>
        <v>1</v>
      </c>
      <c r="AV1098" s="59" t="n">
        <f aca="false">IF(CD1098&gt;0,CD1098*MAX(1,AT1098/V1098),IF(BR1098=1,IF(AT1098&lt;=0,0,BS1098*MAX(1,IF(G1098&gt;0,AT1098/G1098,1))),IF(Q1098&gt;0,AU1098/Q1098,0))/MAX(0.1,N(Parameter!$M$21)))</f>
        <v>0.0384615384615385</v>
      </c>
      <c r="AW1098" s="57" t="n">
        <f aca="false">AT1098*F1098</f>
        <v>1539.2</v>
      </c>
      <c r="AX1098" s="57" t="n">
        <f aca="false">ROUNDUP(MAX(I1098/IF(BV1098&gt;0,BV1098,MAX(0.1,N(Cockpit!$O$6))),BY1098)/BQ1098,0)*BQ1098</f>
        <v>832</v>
      </c>
      <c r="AY1098" s="58" t="n">
        <f aca="false">IF(AV1098&gt;0,I1098/AV1098,-1)</f>
        <v>6760</v>
      </c>
      <c r="AZ1098" s="58" t="n">
        <f aca="false">IF(AND(OR(BU1098="L1",BU1098="L23"),AV1098&gt;0),SUMIFS($AV$7:$AV$1576,$BU$7:$BU$1576,BU1098,$AY$7:$AY$1576,"&gt;"&amp;AY1098)+SUMIFS($AV$7:$AV$1576,$BU$7:$BU$1576,BU1098,$AY$7:$AY$1576,AY1098,$BO$7:$BO$1576,"&lt;="&amp;BO1098),"")</f>
        <v>9.0220296611601</v>
      </c>
      <c r="BA1098" s="65" t="n">
        <f aca="false">IF(AZ1098="",0,MAX(0,MIN(1,(IF(BU1098="L1",Parameter!$E$5,Parameter!$E$6+Parameter!$E$7)-(AZ1098-AV1098))/AV1098)))</f>
        <v>1</v>
      </c>
      <c r="BB1098" s="55" t="str">
        <f aca="false">IF(AF1098&lt;=0,"",IF(BU1098="Aussen","Aussenlager",IF(BU1098="-","Nicht im Lift",IF(AK1098&gt;=1,"Lift",IF(AK1098&lt;=0,"Aussenlager","teilweise")))))</f>
        <v/>
      </c>
      <c r="BC1098" s="55" t="str">
        <f aca="false">IF(AN1098&lt;=0,"",IF(BU1098="Aussen","Aussenlager",IF(BU1098="-","Nicht im Lift",IF(AS1098&gt;=1,"Lift",IF(AS1098&lt;=0,"Aussenlager","teilweise")))))</f>
        <v>Lift</v>
      </c>
      <c r="BD1098" s="55" t="str">
        <f aca="false">IF(AV1098&lt;=0,"",IF(BU1098="Aussen","Aussenlager",IF(BU1098="-","Nicht im Lift",IF(BA1098&gt;=1,"Lift",IF(BA1098&lt;=0,"Aussenlager","teilweise")))))</f>
        <v>Lift</v>
      </c>
      <c r="BE1098" s="55" t="str">
        <f aca="false">IF(A1098="","",IF(BN1098=1,"Neu; ","")&amp;IF(AND(BN1098=0,BI1098&lt;0),"negativer Bestand (Export "&amp;BI1098&amp;"); ","")&amp;IF(I1098&lt;=0,"Kein Verbrauch; ","")&amp;IF(CD1098&gt;0,"Lift "&amp;U1098&amp;" lt. Liftbericht (Fach "&amp;V1098&amp;" Stk); ",IF(BR1098=1,"Lose – Fläche geschätzt; ",""))&amp;IF(G1098&gt;AP1098,"Überbestand "&amp;ROUND(G1098-AP1098,0)&amp;" Stk / CHF "&amp;ROUND((G1098-AP1098)*F1098,0)&amp;"; ","")&amp;IF(AND(BW1098=1,BX1098&lt;BY1098),"MAX &lt; MB+LG; ","")&amp;IF(AND(CC1098&gt;0,CB1098*10&gt;CC1098),"zu hoch für Tablar; ","")&amp;IF(AND(BN1098=0,OR(BW1098=1,Y1098&lt;&gt;"",S1098&lt;&gt;"",T1098&lt;&gt;"",Z1098&lt;&gt;"")),"manuell übersteuert; ","")&amp;IF(AND(BR1098=0,Q1098=0),"Gebinde unbekannt / Stellmass fehlt; ","")&amp;IF(AND(BR1098=0,N(T1098)&lt;=0,N(P1098)&lt;=0),"Menge pro Gebinde fehlt (Ist = 1 Gebinde); ","")&amp;BM1098)</f>
        <v>negativer Bestand (Export -30); </v>
      </c>
      <c r="BF1098" s="55"/>
      <c r="BG1098" s="55"/>
      <c r="BH1098" s="62"/>
      <c r="BI1098" s="57" t="n">
        <v>-30</v>
      </c>
      <c r="BJ1098" s="57" t="n">
        <v>352</v>
      </c>
      <c r="BK1098" s="56" t="n">
        <v>-207.150000000001</v>
      </c>
      <c r="BL1098" s="57" t="n">
        <v>260</v>
      </c>
      <c r="BM1098" s="55"/>
      <c r="BN1098" s="60" t="n">
        <v>0</v>
      </c>
      <c r="BO1098" s="60" t="n">
        <v>1098</v>
      </c>
      <c r="BP1098" s="55" t="str">
        <f aca="false">IF(S1098&lt;&gt;"",UPPER(TRIM(S1098)),IF(O1098="","LOSE",O1098))</f>
        <v>S52</v>
      </c>
      <c r="BQ1098" s="57" t="n">
        <f aca="false">IF(BP1098="LOSE",1,IF(N(T1098)&gt;0,T1098,IF(N(P1098)&gt;0,P1098,MAX(1,G1098))))</f>
        <v>832</v>
      </c>
      <c r="BR1098" s="60" t="n">
        <f aca="false">IF(BP1098="LOSE",1,0)</f>
        <v>0</v>
      </c>
      <c r="BS1098" s="59" t="n">
        <f aca="false">IF(BR1098=0,0,IF(N(R1098)&gt;0,R1098,IFERROR(VLOOKUP(D1098,Parameter!$A$35:$C$64,3,0)+0,0)))</f>
        <v>0</v>
      </c>
      <c r="BT1098" s="55" t="n">
        <f aca="false">IF(Y1098&lt;&gt;"",Y1098,X1098)</f>
        <v>3</v>
      </c>
      <c r="BU1098" s="55" t="str">
        <f aca="false">IF(BT1098=1,"L1",IF(OR(BT1098=2,BT1098=3),"L23",IF(BT1098="Aussen","Aussen","-")))</f>
        <v>L23</v>
      </c>
      <c r="BV1098" s="66" t="n">
        <f aca="false">IF(N(Z1098)&gt;0,Z1098,0)</f>
        <v>0</v>
      </c>
      <c r="BW1098" s="60" t="n">
        <f aca="false">IF(ISNUMBER(AC1098),1,0)</f>
        <v>0</v>
      </c>
      <c r="BX1098" s="57" t="n">
        <f aca="false">N(AC1098)</f>
        <v>0</v>
      </c>
      <c r="BY1098" s="57" t="n">
        <f aca="false">N(L1098)+N(M1098)</f>
        <v>275</v>
      </c>
      <c r="BZ1098" s="57" t="n">
        <f aca="false">ROUNDUP(G1098/BQ1098,0)</f>
        <v>0</v>
      </c>
      <c r="CA1098" s="57" t="n">
        <f aca="false">ROUNDUP(BX1098/BQ1098,0)</f>
        <v>0</v>
      </c>
      <c r="CB1098" s="60" t="n">
        <f aca="false">IF(BR1098=1,0,IFERROR(VLOOKUP(BP1098,'Gebinde-Kategorie'!$A$5:$M$45,5,0)+0,0))</f>
        <v>21</v>
      </c>
      <c r="CC1098" s="60" t="n">
        <f aca="false">IFERROR(IF(OR(BT1098=1,BT1098=2,BT1098=3),N(INDEX(Parameter!$I$5:$I$7,BT1098)),0),0)</f>
        <v>0</v>
      </c>
      <c r="CD1098" s="59" t="n">
        <f aca="false">IF(AND(Parameter!$B$21="Ja",ISNUMBER(U1098),N(V1098)&gt;0),IFERROR(N(INDEX(Parameter!$L$5:$L$7,U1098))*INDEX(Parameter!$E$5:$E$7,U1098)*V1098/SUMIFS($V$7:$V$1576,$U$7:$U$1576,U1098),0),0)</f>
        <v>0</v>
      </c>
    </row>
    <row r="1099" customFormat="false" ht="15" hidden="false" customHeight="false" outlineLevel="0" collapsed="false">
      <c r="A1099" s="55" t="s">
        <v>1986</v>
      </c>
      <c r="B1099" s="55" t="s">
        <v>1987</v>
      </c>
      <c r="C1099" s="55" t="s">
        <v>160</v>
      </c>
      <c r="D1099" s="55" t="s">
        <v>168</v>
      </c>
      <c r="E1099" s="55" t="s">
        <v>210</v>
      </c>
      <c r="F1099" s="56" t="n">
        <v>166.37</v>
      </c>
      <c r="G1099" s="57" t="n">
        <f aca="false">MAX(0,IF(AND(Parameter!$B$21="Ja",ISNUMBER(W1099)),W1099,IF(Parameter!$B$20="Jahresanfang 2025 + Export",BJ1099+BI1099,BI1099)))</f>
        <v>0</v>
      </c>
      <c r="H1099" s="57" t="n">
        <f aca="false">G1099*F1099</f>
        <v>0</v>
      </c>
      <c r="I1099" s="57" t="n">
        <f aca="false">BL1099*Parameter!$B$18</f>
        <v>16</v>
      </c>
      <c r="J1099" s="58" t="n">
        <v>10.5</v>
      </c>
      <c r="K1099" s="59" t="n">
        <v>1.52380952380952</v>
      </c>
      <c r="L1099" s="57" t="n">
        <v>1</v>
      </c>
      <c r="M1099" s="57" t="n">
        <v>15</v>
      </c>
      <c r="N1099" s="60" t="n">
        <v>35</v>
      </c>
      <c r="O1099" s="55" t="s">
        <v>169</v>
      </c>
      <c r="P1099" s="57" t="n">
        <v>20</v>
      </c>
      <c r="Q1099" s="60" t="n">
        <f aca="false">IF(BR1099=1,0,IFERROR(VLOOKUP(BP1099,'Gebinde-Kategorie'!$A$5:$M$45,13,0)+0,0))</f>
        <v>6</v>
      </c>
      <c r="R1099" s="61"/>
      <c r="S1099" s="62"/>
      <c r="T1099" s="62"/>
      <c r="U1099" s="55"/>
      <c r="V1099" s="57"/>
      <c r="W1099" s="57"/>
      <c r="X1099" s="55" t="n">
        <f aca="false">IF(A1099="","",IF(AND(Parameter!$B$21="Ja",ISNUMBER(U1099)),U1099,IF(IFERROR(VLOOKUP(D1099,Parameter!$A$35:$C$64,2,0),"Nein")="2+3",IF(ISNUMBER(SEARCH("grosser Artikel",BM1099)),2,IFERROR(VLOOKUP(BP1099,Parameter!$F$35:$G$64,2,0),2)),IF(OR(IFERROR(VLOOKUP(D1099,Parameter!$A$35:$C$64,2,0),"Nein")="Nein",IFERROR(VLOOKUP(D1099,Parameter!$A$35:$C$64,2,0),"Nein")=""),"-",VLOOKUP(D1099,Parameter!$A$35:$C$64,2,0)))))</f>
        <v>2</v>
      </c>
      <c r="Y1099" s="62"/>
      <c r="Z1099" s="63"/>
      <c r="AA1099" s="57" t="n">
        <f aca="false">AP1099</f>
        <v>20</v>
      </c>
      <c r="AB1099" s="57" t="n">
        <f aca="false">MAX(AP1099,G1099)</f>
        <v>20</v>
      </c>
      <c r="AC1099" s="64"/>
      <c r="AD1099" s="57" t="n">
        <f aca="false">IF(LEFT(Cockpit!$C$5,1)="A",G1099,IF(BW1099=1,BX1099,IF(LEFT(Cockpit!$C$5,1)="B",AH1099,MAX(AH1099,G1099))))</f>
        <v>0</v>
      </c>
      <c r="AE1099" s="57" t="n">
        <f aca="false">IF(BR1099=1,0,ROUNDUP(AD1099/BQ1099,0))</f>
        <v>0</v>
      </c>
      <c r="AF1099" s="59" t="n">
        <f aca="false">IF(CD1099&gt;0,CD1099*MAX(1,AD1099/V1099),IF(BR1099=1,IF(AD1099&lt;=0,0,BS1099*MAX(1,IF(G1099&gt;0,AD1099/G1099,1))),IF(Q1099&gt;0,AE1099/Q1099,0))/MAX(0.1,N(Parameter!$M$21)))</f>
        <v>0</v>
      </c>
      <c r="AG1099" s="57" t="n">
        <f aca="false">AD1099*F1099</f>
        <v>0</v>
      </c>
      <c r="AH1099" s="57" t="n">
        <f aca="false">ROUNDUP(MAX(I1099/IF(BV1099&gt;0,BV1099,MAX(0.1,N(Cockpit!$C$6))),BY1099)/BQ1099,0)*BQ1099</f>
        <v>20</v>
      </c>
      <c r="AI1099" s="58" t="n">
        <f aca="false">IF(AF1099&gt;0,I1099/AF1099,-1)</f>
        <v>-1</v>
      </c>
      <c r="AJ1099" s="58" t="str">
        <f aca="false">IF(AND(OR(BU1099="L1",BU1099="L23"),AF1099&gt;0),SUMIFS($AF$7:$AF$1576,$BU$7:$BU$1576,BU1099,$AI$7:$AI$1576,"&gt;"&amp;AI1099)+SUMIFS($AF$7:$AF$1576,$BU$7:$BU$1576,BU1099,$AI$7:$AI$1576,AI1099,$BO$7:$BO$1576,"&lt;="&amp;BO1099),"")</f>
        <v/>
      </c>
      <c r="AK1099" s="65" t="n">
        <f aca="false">IF(AJ1099="",0,MAX(0,MIN(1,(IF(BU1099="L1",Parameter!$E$5,Parameter!$E$6+Parameter!$E$7)-(AJ1099-AF1099))/AF1099)))</f>
        <v>0</v>
      </c>
      <c r="AL1099" s="57" t="n">
        <f aca="false">IF(LEFT(Cockpit!$I$5,1)="A",G1099,IF(BW1099=1,BX1099,IF(LEFT(Cockpit!$I$5,1)="B",AP1099,MAX(AP1099,G1099))))</f>
        <v>20</v>
      </c>
      <c r="AM1099" s="57" t="n">
        <f aca="false">IF(BR1099=1,0,ROUNDUP(AL1099/BQ1099,0))</f>
        <v>1</v>
      </c>
      <c r="AN1099" s="59" t="n">
        <f aca="false">IF(CD1099&gt;0,CD1099*MAX(1,AL1099/V1099),IF(BR1099=1,IF(AL1099&lt;=0,0,BS1099*MAX(1,IF(G1099&gt;0,AL1099/G1099,1))),IF(Q1099&gt;0,AM1099/Q1099,0))/MAX(0.1,N(Parameter!$M$21)))</f>
        <v>0.166666666666667</v>
      </c>
      <c r="AO1099" s="57" t="n">
        <f aca="false">AL1099*F1099</f>
        <v>3327.4</v>
      </c>
      <c r="AP1099" s="57" t="n">
        <f aca="false">ROUNDUP(MAX(I1099/IF(BV1099&gt;0,BV1099,MAX(0.1,N(Cockpit!$I$6))),BY1099)/BQ1099,0)*BQ1099</f>
        <v>20</v>
      </c>
      <c r="AQ1099" s="58" t="n">
        <f aca="false">IF(AN1099&gt;0,I1099/AN1099,-1)</f>
        <v>96</v>
      </c>
      <c r="AR1099" s="58" t="n">
        <f aca="false">IF(AND(OR(BU1099="L1",BU1099="L23"),AN1099&gt;0),SUMIFS($AN$7:$AN$1576,$BU$7:$BU$1576,BU1099,$AQ$7:$AQ$1576,"&gt;"&amp;AQ1099)+SUMIFS($AN$7:$AN$1576,$BU$7:$BU$1576,BU1099,$AQ$7:$AQ$1576,AQ1099,$BO$7:$BO$1576,"&lt;="&amp;BO1099),"")</f>
        <v>69.7936467099079</v>
      </c>
      <c r="AS1099" s="65" t="n">
        <f aca="false">IF(AR1099="",0,MAX(0,MIN(1,(IF(BU1099="L1",Parameter!$E$5,Parameter!$E$6+Parameter!$E$7)-(AR1099-AN1099))/AN1099)))</f>
        <v>1</v>
      </c>
      <c r="AT1099" s="57" t="n">
        <f aca="false">IF(LEFT(Cockpit!$O$5,1)="A",G1099,IF(BW1099=1,BX1099,IF(LEFT(Cockpit!$O$5,1)="B",AX1099,MAX(AX1099,G1099))))</f>
        <v>20</v>
      </c>
      <c r="AU1099" s="57" t="n">
        <f aca="false">IF(BR1099=1,0,ROUNDUP(AT1099/BQ1099,0))</f>
        <v>1</v>
      </c>
      <c r="AV1099" s="59" t="n">
        <f aca="false">IF(CD1099&gt;0,CD1099*MAX(1,AT1099/V1099),IF(BR1099=1,IF(AT1099&lt;=0,0,BS1099*MAX(1,IF(G1099&gt;0,AT1099/G1099,1))),IF(Q1099&gt;0,AU1099/Q1099,0))/MAX(0.1,N(Parameter!$M$21)))</f>
        <v>0.166666666666667</v>
      </c>
      <c r="AW1099" s="57" t="n">
        <f aca="false">AT1099*F1099</f>
        <v>3327.4</v>
      </c>
      <c r="AX1099" s="57" t="n">
        <f aca="false">ROUNDUP(MAX(I1099/IF(BV1099&gt;0,BV1099,MAX(0.1,N(Cockpit!$O$6))),BY1099)/BQ1099,0)*BQ1099</f>
        <v>20</v>
      </c>
      <c r="AY1099" s="58" t="n">
        <f aca="false">IF(AV1099&gt;0,I1099/AV1099,-1)</f>
        <v>96</v>
      </c>
      <c r="AZ1099" s="58" t="n">
        <f aca="false">IF(AND(OR(BU1099="L1",BU1099="L23"),AV1099&gt;0),SUMIFS($AV$7:$AV$1576,$BU$7:$BU$1576,BU1099,$AY$7:$AY$1576,"&gt;"&amp;AY1099)+SUMIFS($AV$7:$AV$1576,$BU$7:$BU$1576,BU1099,$AY$7:$AY$1576,AY1099,$BO$7:$BO$1576,"&lt;="&amp;BO1099),"")</f>
        <v>64.3540304927917</v>
      </c>
      <c r="BA1099" s="65" t="n">
        <f aca="false">IF(AZ1099="",0,MAX(0,MIN(1,(IF(BU1099="L1",Parameter!$E$5,Parameter!$E$6+Parameter!$E$7)-(AZ1099-AV1099))/AV1099)))</f>
        <v>1</v>
      </c>
      <c r="BB1099" s="55" t="str">
        <f aca="false">IF(AF1099&lt;=0,"",IF(BU1099="Aussen","Aussenlager",IF(BU1099="-","Nicht im Lift",IF(AK1099&gt;=1,"Lift",IF(AK1099&lt;=0,"Aussenlager","teilweise")))))</f>
        <v/>
      </c>
      <c r="BC1099" s="55" t="str">
        <f aca="false">IF(AN1099&lt;=0,"",IF(BU1099="Aussen","Aussenlager",IF(BU1099="-","Nicht im Lift",IF(AS1099&gt;=1,"Lift",IF(AS1099&lt;=0,"Aussenlager","teilweise")))))</f>
        <v>Lift</v>
      </c>
      <c r="BD1099" s="55" t="str">
        <f aca="false">IF(AV1099&lt;=0,"",IF(BU1099="Aussen","Aussenlager",IF(BU1099="-","Nicht im Lift",IF(BA1099&gt;=1,"Lift",IF(BA1099&lt;=0,"Aussenlager","teilweise")))))</f>
        <v>Lift</v>
      </c>
      <c r="BE1099" s="55" t="str">
        <f aca="false">IF(A1099="","",IF(BN1099=1,"Neu; ","")&amp;IF(AND(BN1099=0,BI1099&lt;0),"negativer Bestand (Export "&amp;BI1099&amp;"); ","")&amp;IF(I1099&lt;=0,"Kein Verbrauch; ","")&amp;IF(CD1099&gt;0,"Lift "&amp;U1099&amp;" lt. Liftbericht (Fach "&amp;V1099&amp;" Stk); ",IF(BR1099=1,"Lose – Fläche geschätzt; ",""))&amp;IF(G1099&gt;AP1099,"Überbestand "&amp;ROUND(G1099-AP1099,0)&amp;" Stk / CHF "&amp;ROUND((G1099-AP1099)*F1099,0)&amp;"; ","")&amp;IF(AND(BW1099=1,BX1099&lt;BY1099),"MAX &lt; MB+LG; ","")&amp;IF(AND(CC1099&gt;0,CB1099*10&gt;CC1099),"zu hoch für Tablar; ","")&amp;IF(AND(BN1099=0,OR(BW1099=1,Y1099&lt;&gt;"",S1099&lt;&gt;"",T1099&lt;&gt;"",Z1099&lt;&gt;"")),"manuell übersteuert; ","")&amp;IF(AND(BR1099=0,Q1099=0),"Gebinde unbekannt / Stellmass fehlt; ","")&amp;IF(AND(BR1099=0,N(T1099)&lt;=0,N(P1099)&lt;=0),"Menge pro Gebinde fehlt (Ist = 1 Gebinde); ","")&amp;BM1099)</f>
        <v>negativer Bestand (Export -2); </v>
      </c>
      <c r="BF1099" s="55"/>
      <c r="BG1099" s="55"/>
      <c r="BH1099" s="62"/>
      <c r="BI1099" s="57" t="n">
        <v>-2</v>
      </c>
      <c r="BJ1099" s="57" t="n">
        <v>11</v>
      </c>
      <c r="BK1099" s="56" t="n">
        <v>-212.29</v>
      </c>
      <c r="BL1099" s="57" t="n">
        <v>16</v>
      </c>
      <c r="BM1099" s="55"/>
      <c r="BN1099" s="60" t="n">
        <v>0</v>
      </c>
      <c r="BO1099" s="60" t="n">
        <v>1099</v>
      </c>
      <c r="BP1099" s="55" t="str">
        <f aca="false">IF(S1099&lt;&gt;"",UPPER(TRIM(S1099)),IF(O1099="","LOSE",O1099))</f>
        <v>S71</v>
      </c>
      <c r="BQ1099" s="57" t="n">
        <f aca="false">IF(BP1099="LOSE",1,IF(N(T1099)&gt;0,T1099,IF(N(P1099)&gt;0,P1099,MAX(1,G1099))))</f>
        <v>20</v>
      </c>
      <c r="BR1099" s="60" t="n">
        <f aca="false">IF(BP1099="LOSE",1,0)</f>
        <v>0</v>
      </c>
      <c r="BS1099" s="59" t="n">
        <f aca="false">IF(BR1099=0,0,IF(N(R1099)&gt;0,R1099,IFERROR(VLOOKUP(D1099,Parameter!$A$35:$C$64,3,0)+0,0)))</f>
        <v>0</v>
      </c>
      <c r="BT1099" s="55" t="n">
        <f aca="false">IF(Y1099&lt;&gt;"",Y1099,X1099)</f>
        <v>2</v>
      </c>
      <c r="BU1099" s="55" t="str">
        <f aca="false">IF(BT1099=1,"L1",IF(OR(BT1099=2,BT1099=3),"L23",IF(BT1099="Aussen","Aussen","-")))</f>
        <v>L23</v>
      </c>
      <c r="BV1099" s="66" t="n">
        <f aca="false">IF(N(Z1099)&gt;0,Z1099,0)</f>
        <v>0</v>
      </c>
      <c r="BW1099" s="60" t="n">
        <f aca="false">IF(ISNUMBER(AC1099),1,0)</f>
        <v>0</v>
      </c>
      <c r="BX1099" s="57" t="n">
        <f aca="false">N(AC1099)</f>
        <v>0</v>
      </c>
      <c r="BY1099" s="57" t="n">
        <f aca="false">N(L1099)+N(M1099)</f>
        <v>16</v>
      </c>
      <c r="BZ1099" s="57" t="n">
        <f aca="false">ROUNDUP(G1099/BQ1099,0)</f>
        <v>0</v>
      </c>
      <c r="CA1099" s="57" t="n">
        <f aca="false">ROUNDUP(BX1099/BQ1099,0)</f>
        <v>0</v>
      </c>
      <c r="CB1099" s="60" t="n">
        <f aca="false">IF(BR1099=1,0,IFERROR(VLOOKUP(BP1099,'Gebinde-Kategorie'!$A$5:$M$45,5,0)+0,0))</f>
        <v>20</v>
      </c>
      <c r="CC1099" s="60" t="n">
        <f aca="false">IFERROR(IF(OR(BT1099=1,BT1099=2,BT1099=3),N(INDEX(Parameter!$I$5:$I$7,BT1099)),0),0)</f>
        <v>0</v>
      </c>
      <c r="CD1099" s="59" t="n">
        <f aca="false">IF(AND(Parameter!$B$21="Ja",ISNUMBER(U1099),N(V1099)&gt;0),IFERROR(N(INDEX(Parameter!$L$5:$L$7,U1099))*INDEX(Parameter!$E$5:$E$7,U1099)*V1099/SUMIFS($V$7:$V$1576,$U$7:$U$1576,U1099),0),0)</f>
        <v>0</v>
      </c>
    </row>
    <row r="1100" customFormat="false" ht="15" hidden="false" customHeight="false" outlineLevel="0" collapsed="false">
      <c r="A1100" s="55" t="s">
        <v>1988</v>
      </c>
      <c r="B1100" s="55" t="s">
        <v>1989</v>
      </c>
      <c r="C1100" s="55" t="s">
        <v>160</v>
      </c>
      <c r="D1100" s="55" t="s">
        <v>178</v>
      </c>
      <c r="E1100" s="55" t="s">
        <v>210</v>
      </c>
      <c r="F1100" s="56" t="n">
        <v>106.83</v>
      </c>
      <c r="G1100" s="57" t="n">
        <f aca="false">MAX(0,IF(AND(Parameter!$B$21="Ja",ISNUMBER(W1100)),W1100,IF(Parameter!$B$20="Jahresanfang 2025 + Export",BJ1100+BI1100,BI1100)))</f>
        <v>0</v>
      </c>
      <c r="H1100" s="57" t="n">
        <f aca="false">G1100*F1100</f>
        <v>0</v>
      </c>
      <c r="I1100" s="57" t="n">
        <f aca="false">BL1100*Parameter!$B$18</f>
        <v>0</v>
      </c>
      <c r="J1100" s="58" t="n">
        <v>2</v>
      </c>
      <c r="K1100" s="59" t="n">
        <v>0</v>
      </c>
      <c r="L1100" s="57" t="n">
        <v>0</v>
      </c>
      <c r="M1100" s="57" t="n">
        <v>1</v>
      </c>
      <c r="N1100" s="60" t="n">
        <v>21</v>
      </c>
      <c r="O1100" s="55" t="s">
        <v>416</v>
      </c>
      <c r="P1100" s="57" t="n">
        <v>5</v>
      </c>
      <c r="Q1100" s="60" t="n">
        <f aca="false">IF(BR1100=1,0,IFERROR(VLOOKUP(BP1100,'Gebinde-Kategorie'!$A$5:$M$45,13,0)+0,0))</f>
        <v>198</v>
      </c>
      <c r="R1100" s="61"/>
      <c r="S1100" s="62"/>
      <c r="T1100" s="62"/>
      <c r="U1100" s="55"/>
      <c r="V1100" s="57"/>
      <c r="W1100" s="57"/>
      <c r="X1100" s="55" t="n">
        <f aca="false">IF(A1100="","",IF(AND(Parameter!$B$21="Ja",ISNUMBER(U1100)),U1100,IF(IFERROR(VLOOKUP(D1100,Parameter!$A$35:$C$64,2,0),"Nein")="2+3",IF(ISNUMBER(SEARCH("grosser Artikel",BM1100)),2,IFERROR(VLOOKUP(BP1100,Parameter!$F$35:$G$64,2,0),2)),IF(OR(IFERROR(VLOOKUP(D1100,Parameter!$A$35:$C$64,2,0),"Nein")="Nein",IFERROR(VLOOKUP(D1100,Parameter!$A$35:$C$64,2,0),"Nein")=""),"-",VLOOKUP(D1100,Parameter!$A$35:$C$64,2,0)))))</f>
        <v>3</v>
      </c>
      <c r="Y1100" s="62"/>
      <c r="Z1100" s="63"/>
      <c r="AA1100" s="57" t="n">
        <f aca="false">AP1100</f>
        <v>5</v>
      </c>
      <c r="AB1100" s="57" t="n">
        <f aca="false">MAX(AP1100,G1100)</f>
        <v>5</v>
      </c>
      <c r="AC1100" s="64"/>
      <c r="AD1100" s="57" t="n">
        <f aca="false">IF(LEFT(Cockpit!$C$5,1)="A",G1100,IF(BW1100=1,BX1100,IF(LEFT(Cockpit!$C$5,1)="B",AH1100,MAX(AH1100,G1100))))</f>
        <v>0</v>
      </c>
      <c r="AE1100" s="57" t="n">
        <f aca="false">IF(BR1100=1,0,ROUNDUP(AD1100/BQ1100,0))</f>
        <v>0</v>
      </c>
      <c r="AF1100" s="59" t="n">
        <f aca="false">IF(CD1100&gt;0,CD1100*MAX(1,AD1100/V1100),IF(BR1100=1,IF(AD1100&lt;=0,0,BS1100*MAX(1,IF(G1100&gt;0,AD1100/G1100,1))),IF(Q1100&gt;0,AE1100/Q1100,0))/MAX(0.1,N(Parameter!$M$21)))</f>
        <v>0</v>
      </c>
      <c r="AG1100" s="57" t="n">
        <f aca="false">AD1100*F1100</f>
        <v>0</v>
      </c>
      <c r="AH1100" s="57" t="n">
        <f aca="false">ROUNDUP(MAX(I1100/IF(BV1100&gt;0,BV1100,MAX(0.1,N(Cockpit!$C$6))),BY1100)/BQ1100,0)*BQ1100</f>
        <v>5</v>
      </c>
      <c r="AI1100" s="58" t="n">
        <f aca="false">IF(AF1100&gt;0,I1100/AF1100,-1)</f>
        <v>-1</v>
      </c>
      <c r="AJ1100" s="58" t="str">
        <f aca="false">IF(AND(OR(BU1100="L1",BU1100="L23"),AF1100&gt;0),SUMIFS($AF$7:$AF$1576,$BU$7:$BU$1576,BU1100,$AI$7:$AI$1576,"&gt;"&amp;AI1100)+SUMIFS($AF$7:$AF$1576,$BU$7:$BU$1576,BU1100,$AI$7:$AI$1576,AI1100,$BO$7:$BO$1576,"&lt;="&amp;BO1100),"")</f>
        <v/>
      </c>
      <c r="AK1100" s="65" t="n">
        <f aca="false">IF(AJ1100="",0,MAX(0,MIN(1,(IF(BU1100="L1",Parameter!$E$5,Parameter!$E$6+Parameter!$E$7)-(AJ1100-AF1100))/AF1100)))</f>
        <v>0</v>
      </c>
      <c r="AL1100" s="57" t="n">
        <f aca="false">IF(LEFT(Cockpit!$I$5,1)="A",G1100,IF(BW1100=1,BX1100,IF(LEFT(Cockpit!$I$5,1)="B",AP1100,MAX(AP1100,G1100))))</f>
        <v>5</v>
      </c>
      <c r="AM1100" s="57" t="n">
        <f aca="false">IF(BR1100=1,0,ROUNDUP(AL1100/BQ1100,0))</f>
        <v>1</v>
      </c>
      <c r="AN1100" s="59" t="n">
        <f aca="false">IF(CD1100&gt;0,CD1100*MAX(1,AL1100/V1100),IF(BR1100=1,IF(AL1100&lt;=0,0,BS1100*MAX(1,IF(G1100&gt;0,AL1100/G1100,1))),IF(Q1100&gt;0,AM1100/Q1100,0))/MAX(0.1,N(Parameter!$M$21)))</f>
        <v>0.00505050505050505</v>
      </c>
      <c r="AO1100" s="57" t="n">
        <f aca="false">AL1100*F1100</f>
        <v>534.15</v>
      </c>
      <c r="AP1100" s="57" t="n">
        <f aca="false">ROUNDUP(MAX(I1100/IF(BV1100&gt;0,BV1100,MAX(0.1,N(Cockpit!$I$6))),BY1100)/BQ1100,0)*BQ1100</f>
        <v>5</v>
      </c>
      <c r="AQ1100" s="58" t="n">
        <f aca="false">IF(AN1100&gt;0,I1100/AN1100,-1)</f>
        <v>0</v>
      </c>
      <c r="AR1100" s="58" t="n">
        <f aca="false">IF(AND(OR(BU1100="L1",BU1100="L23"),AN1100&gt;0),SUMIFS($AN$7:$AN$1576,$BU$7:$BU$1576,BU1100,$AQ$7:$AQ$1576,"&gt;"&amp;AQ1100)+SUMIFS($AN$7:$AN$1576,$BU$7:$BU$1576,BU1100,$AQ$7:$AQ$1576,AQ1100,$BO$7:$BO$1576,"&lt;="&amp;BO1100),"")</f>
        <v>133.634387086391</v>
      </c>
      <c r="AS1100" s="65" t="n">
        <f aca="false">IF(AR1100="",0,MAX(0,MIN(1,(IF(BU1100="L1",Parameter!$E$5,Parameter!$E$6+Parameter!$E$7)-(AR1100-AN1100))/AN1100)))</f>
        <v>0</v>
      </c>
      <c r="AT1100" s="57" t="n">
        <f aca="false">IF(LEFT(Cockpit!$O$5,1)="A",G1100,IF(BW1100=1,BX1100,IF(LEFT(Cockpit!$O$5,1)="B",AX1100,MAX(AX1100,G1100))))</f>
        <v>5</v>
      </c>
      <c r="AU1100" s="57" t="n">
        <f aca="false">IF(BR1100=1,0,ROUNDUP(AT1100/BQ1100,0))</f>
        <v>1</v>
      </c>
      <c r="AV1100" s="59" t="n">
        <f aca="false">IF(CD1100&gt;0,CD1100*MAX(1,AT1100/V1100),IF(BR1100=1,IF(AT1100&lt;=0,0,BS1100*MAX(1,IF(G1100&gt;0,AT1100/G1100,1))),IF(Q1100&gt;0,AU1100/Q1100,0))/MAX(0.1,N(Parameter!$M$21)))</f>
        <v>0.00505050505050505</v>
      </c>
      <c r="AW1100" s="57" t="n">
        <f aca="false">AT1100*F1100</f>
        <v>534.15</v>
      </c>
      <c r="AX1100" s="57" t="n">
        <f aca="false">ROUNDUP(MAX(I1100/IF(BV1100&gt;0,BV1100,MAX(0.1,N(Cockpit!$O$6))),BY1100)/BQ1100,0)*BQ1100</f>
        <v>5</v>
      </c>
      <c r="AY1100" s="58" t="n">
        <f aca="false">IF(AV1100&gt;0,I1100/AV1100,-1)</f>
        <v>0</v>
      </c>
      <c r="AZ1100" s="58" t="n">
        <f aca="false">IF(AND(OR(BU1100="L1",BU1100="L23"),AV1100&gt;0),SUMIFS($AV$7:$AV$1576,$BU$7:$BU$1576,BU1100,$AY$7:$AY$1576,"&gt;"&amp;AY1100)+SUMIFS($AV$7:$AV$1576,$BU$7:$BU$1576,BU1100,$AY$7:$AY$1576,AY1100,$BO$7:$BO$1576,"&lt;="&amp;BO1100),"")</f>
        <v>123.693937535942</v>
      </c>
      <c r="BA1100" s="65" t="n">
        <f aca="false">IF(AZ1100="",0,MAX(0,MIN(1,(IF(BU1100="L1",Parameter!$E$5,Parameter!$E$6+Parameter!$E$7)-(AZ1100-AV1100))/AV1100)))</f>
        <v>0</v>
      </c>
      <c r="BB1100" s="55" t="str">
        <f aca="false">IF(AF1100&lt;=0,"",IF(BU1100="Aussen","Aussenlager",IF(BU1100="-","Nicht im Lift",IF(AK1100&gt;=1,"Lift",IF(AK1100&lt;=0,"Aussenlager","teilweise")))))</f>
        <v/>
      </c>
      <c r="BC1100" s="55" t="str">
        <f aca="false">IF(AN1100&lt;=0,"",IF(BU1100="Aussen","Aussenlager",IF(BU1100="-","Nicht im Lift",IF(AS1100&gt;=1,"Lift",IF(AS1100&lt;=0,"Aussenlager","teilweise")))))</f>
        <v>Aussenlager</v>
      </c>
      <c r="BD1100" s="55" t="str">
        <f aca="false">IF(AV1100&lt;=0,"",IF(BU1100="Aussen","Aussenlager",IF(BU1100="-","Nicht im Lift",IF(BA1100&gt;=1,"Lift",IF(BA1100&lt;=0,"Aussenlager","teilweise")))))</f>
        <v>Aussenlager</v>
      </c>
      <c r="BE1100" s="55" t="str">
        <f aca="false">IF(A1100="","",IF(BN1100=1,"Neu; ","")&amp;IF(AND(BN1100=0,BI1100&lt;0),"negativer Bestand (Export "&amp;BI1100&amp;"); ","")&amp;IF(I1100&lt;=0,"Kein Verbrauch; ","")&amp;IF(CD1100&gt;0,"Lift "&amp;U1100&amp;" lt. Liftbericht (Fach "&amp;V1100&amp;" Stk); ",IF(BR1100=1,"Lose – Fläche geschätzt; ",""))&amp;IF(G1100&gt;AP1100,"Überbestand "&amp;ROUND(G1100-AP1100,0)&amp;" Stk / CHF "&amp;ROUND((G1100-AP1100)*F1100,0)&amp;"; ","")&amp;IF(AND(BW1100=1,BX1100&lt;BY1100),"MAX &lt; MB+LG; ","")&amp;IF(AND(CC1100&gt;0,CB1100*10&gt;CC1100),"zu hoch für Tablar; ","")&amp;IF(AND(BN1100=0,OR(BW1100=1,Y1100&lt;&gt;"",S1100&lt;&gt;"",T1100&lt;&gt;"",Z1100&lt;&gt;"")),"manuell übersteuert; ","")&amp;IF(AND(BR1100=0,Q1100=0),"Gebinde unbekannt / Stellmass fehlt; ","")&amp;IF(AND(BR1100=0,N(T1100)&lt;=0,N(P1100)&lt;=0),"Menge pro Gebinde fehlt (Ist = 1 Gebinde); ","")&amp;BM1100)</f>
        <v>negativer Bestand (Export -2); Kein Verbrauch; </v>
      </c>
      <c r="BF1100" s="55"/>
      <c r="BG1100" s="55"/>
      <c r="BH1100" s="62"/>
      <c r="BI1100" s="57" t="n">
        <v>-2</v>
      </c>
      <c r="BJ1100" s="57" t="n">
        <v>3</v>
      </c>
      <c r="BK1100" s="56" t="n">
        <v>-213.66</v>
      </c>
      <c r="BL1100" s="57" t="n">
        <v>0</v>
      </c>
      <c r="BM1100" s="55"/>
      <c r="BN1100" s="60" t="n">
        <v>0</v>
      </c>
      <c r="BO1100" s="60" t="n">
        <v>1100</v>
      </c>
      <c r="BP1100" s="55" t="str">
        <f aca="false">IF(S1100&lt;&gt;"",UPPER(TRIM(S1100)),IF(O1100="","LOSE",O1100))</f>
        <v>S22</v>
      </c>
      <c r="BQ1100" s="57" t="n">
        <f aca="false">IF(BP1100="LOSE",1,IF(N(T1100)&gt;0,T1100,IF(N(P1100)&gt;0,P1100,MAX(1,G1100))))</f>
        <v>5</v>
      </c>
      <c r="BR1100" s="60" t="n">
        <f aca="false">IF(BP1100="LOSE",1,0)</f>
        <v>0</v>
      </c>
      <c r="BS1100" s="59" t="n">
        <f aca="false">IF(BR1100=0,0,IF(N(R1100)&gt;0,R1100,IFERROR(VLOOKUP(D1100,Parameter!$A$35:$C$64,3,0)+0,0)))</f>
        <v>0</v>
      </c>
      <c r="BT1100" s="55" t="n">
        <f aca="false">IF(Y1100&lt;&gt;"",Y1100,X1100)</f>
        <v>3</v>
      </c>
      <c r="BU1100" s="55" t="str">
        <f aca="false">IF(BT1100=1,"L1",IF(OR(BT1100=2,BT1100=3),"L23",IF(BT1100="Aussen","Aussen","-")))</f>
        <v>L23</v>
      </c>
      <c r="BV1100" s="66" t="n">
        <f aca="false">IF(N(Z1100)&gt;0,Z1100,0)</f>
        <v>0</v>
      </c>
      <c r="BW1100" s="60" t="n">
        <f aca="false">IF(ISNUMBER(AC1100),1,0)</f>
        <v>0</v>
      </c>
      <c r="BX1100" s="57" t="n">
        <f aca="false">N(AC1100)</f>
        <v>0</v>
      </c>
      <c r="BY1100" s="57" t="n">
        <f aca="false">N(L1100)+N(M1100)</f>
        <v>1</v>
      </c>
      <c r="BZ1100" s="57" t="n">
        <f aca="false">ROUNDUP(G1100/BQ1100,0)</f>
        <v>0</v>
      </c>
      <c r="CA1100" s="57" t="n">
        <f aca="false">ROUNDUP(BX1100/BQ1100,0)</f>
        <v>0</v>
      </c>
      <c r="CB1100" s="60" t="n">
        <f aca="false">IF(BR1100=1,0,IFERROR(VLOOKUP(BP1100,'Gebinde-Kategorie'!$A$5:$M$45,5,0)+0,0))</f>
        <v>8</v>
      </c>
      <c r="CC1100" s="60" t="n">
        <f aca="false">IFERROR(IF(OR(BT1100=1,BT1100=2,BT1100=3),N(INDEX(Parameter!$I$5:$I$7,BT1100)),0),0)</f>
        <v>0</v>
      </c>
      <c r="CD1100" s="59" t="n">
        <f aca="false">IF(AND(Parameter!$B$21="Ja",ISNUMBER(U1100),N(V1100)&gt;0),IFERROR(N(INDEX(Parameter!$L$5:$L$7,U1100))*INDEX(Parameter!$E$5:$E$7,U1100)*V1100/SUMIFS($V$7:$V$1576,$U$7:$U$1576,U1100),0),0)</f>
        <v>0</v>
      </c>
    </row>
    <row r="1101" customFormat="false" ht="15" hidden="false" customHeight="false" outlineLevel="0" collapsed="false">
      <c r="A1101" s="55" t="s">
        <v>1990</v>
      </c>
      <c r="B1101" s="55" t="s">
        <v>395</v>
      </c>
      <c r="C1101" s="55" t="s">
        <v>160</v>
      </c>
      <c r="D1101" s="55" t="s">
        <v>178</v>
      </c>
      <c r="E1101" s="55" t="s">
        <v>210</v>
      </c>
      <c r="F1101" s="56" t="n">
        <v>2.3</v>
      </c>
      <c r="G1101" s="57" t="n">
        <f aca="false">MAX(0,IF(AND(Parameter!$B$21="Ja",ISNUMBER(W1101)),W1101,IF(Parameter!$B$20="Jahresanfang 2025 + Export",BJ1101+BI1101,BI1101)))</f>
        <v>0</v>
      </c>
      <c r="H1101" s="57" t="n">
        <f aca="false">G1101*F1101</f>
        <v>0</v>
      </c>
      <c r="I1101" s="57" t="n">
        <f aca="false">BL1101*Parameter!$B$18</f>
        <v>48</v>
      </c>
      <c r="J1101" s="58" t="n">
        <v>2381.5</v>
      </c>
      <c r="K1101" s="59" t="n">
        <v>0.0201553642662188</v>
      </c>
      <c r="L1101" s="57" t="n">
        <v>2</v>
      </c>
      <c r="M1101" s="57" t="n">
        <v>50</v>
      </c>
      <c r="N1101" s="60" t="n">
        <v>21</v>
      </c>
      <c r="O1101" s="55" t="s">
        <v>218</v>
      </c>
      <c r="P1101" s="57" t="n">
        <v>400</v>
      </c>
      <c r="Q1101" s="60" t="n">
        <f aca="false">IF(BR1101=1,0,IFERROR(VLOOKUP(BP1101,'Gebinde-Kategorie'!$A$5:$M$45,13,0)+0,0))</f>
        <v>12</v>
      </c>
      <c r="R1101" s="61"/>
      <c r="S1101" s="62"/>
      <c r="T1101" s="62"/>
      <c r="U1101" s="55"/>
      <c r="V1101" s="57"/>
      <c r="W1101" s="57"/>
      <c r="X1101" s="55" t="n">
        <f aca="false">IF(A1101="","",IF(AND(Parameter!$B$21="Ja",ISNUMBER(U1101)),U1101,IF(IFERROR(VLOOKUP(D1101,Parameter!$A$35:$C$64,2,0),"Nein")="2+3",IF(ISNUMBER(SEARCH("grosser Artikel",BM1101)),2,IFERROR(VLOOKUP(BP1101,Parameter!$F$35:$G$64,2,0),2)),IF(OR(IFERROR(VLOOKUP(D1101,Parameter!$A$35:$C$64,2,0),"Nein")="Nein",IFERROR(VLOOKUP(D1101,Parameter!$A$35:$C$64,2,0),"Nein")=""),"-",VLOOKUP(D1101,Parameter!$A$35:$C$64,2,0)))))</f>
        <v>2</v>
      </c>
      <c r="Y1101" s="62"/>
      <c r="Z1101" s="63"/>
      <c r="AA1101" s="57" t="n">
        <f aca="false">AP1101</f>
        <v>400</v>
      </c>
      <c r="AB1101" s="57" t="n">
        <f aca="false">MAX(AP1101,G1101)</f>
        <v>400</v>
      </c>
      <c r="AC1101" s="64"/>
      <c r="AD1101" s="57" t="n">
        <f aca="false">IF(LEFT(Cockpit!$C$5,1)="A",G1101,IF(BW1101=1,BX1101,IF(LEFT(Cockpit!$C$5,1)="B",AH1101,MAX(AH1101,G1101))))</f>
        <v>0</v>
      </c>
      <c r="AE1101" s="57" t="n">
        <f aca="false">IF(BR1101=1,0,ROUNDUP(AD1101/BQ1101,0))</f>
        <v>0</v>
      </c>
      <c r="AF1101" s="59" t="n">
        <f aca="false">IF(CD1101&gt;0,CD1101*MAX(1,AD1101/V1101),IF(BR1101=1,IF(AD1101&lt;=0,0,BS1101*MAX(1,IF(G1101&gt;0,AD1101/G1101,1))),IF(Q1101&gt;0,AE1101/Q1101,0))/MAX(0.1,N(Parameter!$M$21)))</f>
        <v>0</v>
      </c>
      <c r="AG1101" s="57" t="n">
        <f aca="false">AD1101*F1101</f>
        <v>0</v>
      </c>
      <c r="AH1101" s="57" t="n">
        <f aca="false">ROUNDUP(MAX(I1101/IF(BV1101&gt;0,BV1101,MAX(0.1,N(Cockpit!$C$6))),BY1101)/BQ1101,0)*BQ1101</f>
        <v>400</v>
      </c>
      <c r="AI1101" s="58" t="n">
        <f aca="false">IF(AF1101&gt;0,I1101/AF1101,-1)</f>
        <v>-1</v>
      </c>
      <c r="AJ1101" s="58" t="str">
        <f aca="false">IF(AND(OR(BU1101="L1",BU1101="L23"),AF1101&gt;0),SUMIFS($AF$7:$AF$1576,$BU$7:$BU$1576,BU1101,$AI$7:$AI$1576,"&gt;"&amp;AI1101)+SUMIFS($AF$7:$AF$1576,$BU$7:$BU$1576,BU1101,$AI$7:$AI$1576,AI1101,$BO$7:$BO$1576,"&lt;="&amp;BO1101),"")</f>
        <v/>
      </c>
      <c r="AK1101" s="65" t="n">
        <f aca="false">IF(AJ1101="",0,MAX(0,MIN(1,(IF(BU1101="L1",Parameter!$E$5,Parameter!$E$6+Parameter!$E$7)-(AJ1101-AF1101))/AF1101)))</f>
        <v>0</v>
      </c>
      <c r="AL1101" s="57" t="n">
        <f aca="false">IF(LEFT(Cockpit!$I$5,1)="A",G1101,IF(BW1101=1,BX1101,IF(LEFT(Cockpit!$I$5,1)="B",AP1101,MAX(AP1101,G1101))))</f>
        <v>400</v>
      </c>
      <c r="AM1101" s="57" t="n">
        <f aca="false">IF(BR1101=1,0,ROUNDUP(AL1101/BQ1101,0))</f>
        <v>1</v>
      </c>
      <c r="AN1101" s="59" t="n">
        <f aca="false">IF(CD1101&gt;0,CD1101*MAX(1,AL1101/V1101),IF(BR1101=1,IF(AL1101&lt;=0,0,BS1101*MAX(1,IF(G1101&gt;0,AL1101/G1101,1))),IF(Q1101&gt;0,AM1101/Q1101,0))/MAX(0.1,N(Parameter!$M$21)))</f>
        <v>0.0833333333333333</v>
      </c>
      <c r="AO1101" s="57" t="n">
        <f aca="false">AL1101*F1101</f>
        <v>920</v>
      </c>
      <c r="AP1101" s="57" t="n">
        <f aca="false">ROUNDUP(MAX(I1101/IF(BV1101&gt;0,BV1101,MAX(0.1,N(Cockpit!$I$6))),BY1101)/BQ1101,0)*BQ1101</f>
        <v>400</v>
      </c>
      <c r="AQ1101" s="58" t="n">
        <f aca="false">IF(AN1101&gt;0,I1101/AN1101,-1)</f>
        <v>576</v>
      </c>
      <c r="AR1101" s="58" t="n">
        <f aca="false">IF(AND(OR(BU1101="L1",BU1101="L23"),AN1101&gt;0),SUMIFS($AN$7:$AN$1576,$BU$7:$BU$1576,BU1101,$AQ$7:$AQ$1576,"&gt;"&amp;AQ1101)+SUMIFS($AN$7:$AN$1576,$BU$7:$BU$1576,BU1101,$AQ$7:$AQ$1576,AQ1101,$BO$7:$BO$1576,"&lt;="&amp;BO1101),"")</f>
        <v>31.721147898333</v>
      </c>
      <c r="AS1101" s="65" t="n">
        <f aca="false">IF(AR1101="",0,MAX(0,MIN(1,(IF(BU1101="L1",Parameter!$E$5,Parameter!$E$6+Parameter!$E$7)-(AR1101-AN1101))/AN1101)))</f>
        <v>1</v>
      </c>
      <c r="AT1101" s="57" t="n">
        <f aca="false">IF(LEFT(Cockpit!$O$5,1)="A",G1101,IF(BW1101=1,BX1101,IF(LEFT(Cockpit!$O$5,1)="B",AX1101,MAX(AX1101,G1101))))</f>
        <v>400</v>
      </c>
      <c r="AU1101" s="57" t="n">
        <f aca="false">IF(BR1101=1,0,ROUNDUP(AT1101/BQ1101,0))</f>
        <v>1</v>
      </c>
      <c r="AV1101" s="59" t="n">
        <f aca="false">IF(CD1101&gt;0,CD1101*MAX(1,AT1101/V1101),IF(BR1101=1,IF(AT1101&lt;=0,0,BS1101*MAX(1,IF(G1101&gt;0,AT1101/G1101,1))),IF(Q1101&gt;0,AU1101/Q1101,0))/MAX(0.1,N(Parameter!$M$21)))</f>
        <v>0.0833333333333333</v>
      </c>
      <c r="AW1101" s="57" t="n">
        <f aca="false">AT1101*F1101</f>
        <v>920</v>
      </c>
      <c r="AX1101" s="57" t="n">
        <f aca="false">ROUNDUP(MAX(I1101/IF(BV1101&gt;0,BV1101,MAX(0.1,N(Cockpit!$O$6))),BY1101)/BQ1101,0)*BQ1101</f>
        <v>400</v>
      </c>
      <c r="AY1101" s="58" t="n">
        <f aca="false">IF(AV1101&gt;0,I1101/AV1101,-1)</f>
        <v>576</v>
      </c>
      <c r="AZ1101" s="58" t="n">
        <f aca="false">IF(AND(OR(BU1101="L1",BU1101="L23"),AV1101&gt;0),SUMIFS($AV$7:$AV$1576,$BU$7:$BU$1576,BU1101,$AY$7:$AY$1576,"&gt;"&amp;AY1101)+SUMIFS($AV$7:$AV$1576,$BU$7:$BU$1576,BU1101,$AY$7:$AY$1576,AY1101,$BO$7:$BO$1576,"&lt;="&amp;BO1101),"")</f>
        <v>30.631167878353</v>
      </c>
      <c r="BA1101" s="65" t="n">
        <f aca="false">IF(AZ1101="",0,MAX(0,MIN(1,(IF(BU1101="L1",Parameter!$E$5,Parameter!$E$6+Parameter!$E$7)-(AZ1101-AV1101))/AV1101)))</f>
        <v>1</v>
      </c>
      <c r="BB1101" s="55" t="str">
        <f aca="false">IF(AF1101&lt;=0,"",IF(BU1101="Aussen","Aussenlager",IF(BU1101="-","Nicht im Lift",IF(AK1101&gt;=1,"Lift",IF(AK1101&lt;=0,"Aussenlager","teilweise")))))</f>
        <v/>
      </c>
      <c r="BC1101" s="55" t="str">
        <f aca="false">IF(AN1101&lt;=0,"",IF(BU1101="Aussen","Aussenlager",IF(BU1101="-","Nicht im Lift",IF(AS1101&gt;=1,"Lift",IF(AS1101&lt;=0,"Aussenlager","teilweise")))))</f>
        <v>Lift</v>
      </c>
      <c r="BD1101" s="55" t="str">
        <f aca="false">IF(AV1101&lt;=0,"",IF(BU1101="Aussen","Aussenlager",IF(BU1101="-","Nicht im Lift",IF(BA1101&gt;=1,"Lift",IF(BA1101&lt;=0,"Aussenlager","teilweise")))))</f>
        <v>Lift</v>
      </c>
      <c r="BE1101" s="55" t="str">
        <f aca="false">IF(A1101="","",IF(BN1101=1,"Neu; ","")&amp;IF(AND(BN1101=0,BI1101&lt;0),"negativer Bestand (Export "&amp;BI1101&amp;"); ","")&amp;IF(I1101&lt;=0,"Kein Verbrauch; ","")&amp;IF(CD1101&gt;0,"Lift "&amp;U1101&amp;" lt. Liftbericht (Fach "&amp;V1101&amp;" Stk); ",IF(BR1101=1,"Lose – Fläche geschätzt; ",""))&amp;IF(G1101&gt;AP1101,"Überbestand "&amp;ROUND(G1101-AP1101,0)&amp;" Stk / CHF "&amp;ROUND((G1101-AP1101)*F1101,0)&amp;"; ","")&amp;IF(AND(BW1101=1,BX1101&lt;BY1101),"MAX &lt; MB+LG; ","")&amp;IF(AND(CC1101&gt;0,CB1101*10&gt;CC1101),"zu hoch für Tablar; ","")&amp;IF(AND(BN1101=0,OR(BW1101=1,Y1101&lt;&gt;"",S1101&lt;&gt;"",T1101&lt;&gt;"",Z1101&lt;&gt;"")),"manuell übersteuert; ","")&amp;IF(AND(BR1101=0,Q1101=0),"Gebinde unbekannt / Stellmass fehlt; ","")&amp;IF(AND(BR1101=0,N(T1101)&lt;=0,N(P1101)&lt;=0),"Menge pro Gebinde fehlt (Ist = 1 Gebinde); ","")&amp;BM1101)</f>
        <v>negativer Bestand (Export -93); </v>
      </c>
      <c r="BF1101" s="55"/>
      <c r="BG1101" s="55"/>
      <c r="BH1101" s="62"/>
      <c r="BI1101" s="57" t="n">
        <v>-93</v>
      </c>
      <c r="BJ1101" s="57" t="n">
        <v>2400</v>
      </c>
      <c r="BK1101" s="56" t="n">
        <v>-213.9</v>
      </c>
      <c r="BL1101" s="57" t="n">
        <v>48</v>
      </c>
      <c r="BM1101" s="55"/>
      <c r="BN1101" s="60" t="n">
        <v>0</v>
      </c>
      <c r="BO1101" s="60" t="n">
        <v>1101</v>
      </c>
      <c r="BP1101" s="55" t="str">
        <f aca="false">IF(S1101&lt;&gt;"",UPPER(TRIM(S1101)),IF(O1101="","LOSE",O1101))</f>
        <v>S63</v>
      </c>
      <c r="BQ1101" s="57" t="n">
        <f aca="false">IF(BP1101="LOSE",1,IF(N(T1101)&gt;0,T1101,IF(N(P1101)&gt;0,P1101,MAX(1,G1101))))</f>
        <v>400</v>
      </c>
      <c r="BR1101" s="60" t="n">
        <f aca="false">IF(BP1101="LOSE",1,0)</f>
        <v>0</v>
      </c>
      <c r="BS1101" s="59" t="n">
        <f aca="false">IF(BR1101=0,0,IF(N(R1101)&gt;0,R1101,IFERROR(VLOOKUP(D1101,Parameter!$A$35:$C$64,3,0)+0,0)))</f>
        <v>0</v>
      </c>
      <c r="BT1101" s="55" t="n">
        <f aca="false">IF(Y1101&lt;&gt;"",Y1101,X1101)</f>
        <v>2</v>
      </c>
      <c r="BU1101" s="55" t="str">
        <f aca="false">IF(BT1101=1,"L1",IF(OR(BT1101=2,BT1101=3),"L23",IF(BT1101="Aussen","Aussen","-")))</f>
        <v>L23</v>
      </c>
      <c r="BV1101" s="66" t="n">
        <f aca="false">IF(N(Z1101)&gt;0,Z1101,0)</f>
        <v>0</v>
      </c>
      <c r="BW1101" s="60" t="n">
        <f aca="false">IF(ISNUMBER(AC1101),1,0)</f>
        <v>0</v>
      </c>
      <c r="BX1101" s="57" t="n">
        <f aca="false">N(AC1101)</f>
        <v>0</v>
      </c>
      <c r="BY1101" s="57" t="n">
        <f aca="false">N(L1101)+N(M1101)</f>
        <v>52</v>
      </c>
      <c r="BZ1101" s="57" t="n">
        <f aca="false">ROUNDUP(G1101/BQ1101,0)</f>
        <v>0</v>
      </c>
      <c r="CA1101" s="57" t="n">
        <f aca="false">ROUNDUP(BX1101/BQ1101,0)</f>
        <v>0</v>
      </c>
      <c r="CB1101" s="60" t="n">
        <f aca="false">IF(BR1101=1,0,IFERROR(VLOOKUP(BP1101,'Gebinde-Kategorie'!$A$5:$M$45,5,0)+0,0))</f>
        <v>31</v>
      </c>
      <c r="CC1101" s="60" t="n">
        <f aca="false">IFERROR(IF(OR(BT1101=1,BT1101=2,BT1101=3),N(INDEX(Parameter!$I$5:$I$7,BT1101)),0),0)</f>
        <v>0</v>
      </c>
      <c r="CD1101" s="59" t="n">
        <f aca="false">IF(AND(Parameter!$B$21="Ja",ISNUMBER(U1101),N(V1101)&gt;0),IFERROR(N(INDEX(Parameter!$L$5:$L$7,U1101))*INDEX(Parameter!$E$5:$E$7,U1101)*V1101/SUMIFS($V$7:$V$1576,$U$7:$U$1576,U1101),0),0)</f>
        <v>0</v>
      </c>
    </row>
    <row r="1102" customFormat="false" ht="15" hidden="false" customHeight="false" outlineLevel="0" collapsed="false">
      <c r="A1102" s="55" t="s">
        <v>1991</v>
      </c>
      <c r="B1102" s="55" t="s">
        <v>1992</v>
      </c>
      <c r="C1102" s="55" t="s">
        <v>160</v>
      </c>
      <c r="D1102" s="55" t="s">
        <v>178</v>
      </c>
      <c r="E1102" s="55" t="s">
        <v>210</v>
      </c>
      <c r="F1102" s="56" t="n">
        <v>71.61</v>
      </c>
      <c r="G1102" s="57" t="n">
        <f aca="false">MAX(0,IF(AND(Parameter!$B$21="Ja",ISNUMBER(W1102)),W1102,IF(Parameter!$B$20="Jahresanfang 2025 + Export",BJ1102+BI1102,BI1102)))</f>
        <v>0</v>
      </c>
      <c r="H1102" s="57" t="n">
        <f aca="false">G1102*F1102</f>
        <v>0</v>
      </c>
      <c r="I1102" s="57" t="n">
        <f aca="false">BL1102*Parameter!$B$18</f>
        <v>2</v>
      </c>
      <c r="J1102" s="58" t="n">
        <v>60</v>
      </c>
      <c r="K1102" s="59" t="n">
        <v>0.0333333333333333</v>
      </c>
      <c r="L1102" s="57" t="n">
        <v>0</v>
      </c>
      <c r="M1102" s="57" t="n">
        <v>1</v>
      </c>
      <c r="N1102" s="60" t="n">
        <v>63</v>
      </c>
      <c r="O1102" s="55" t="s">
        <v>225</v>
      </c>
      <c r="P1102" s="57" t="n">
        <v>60</v>
      </c>
      <c r="Q1102" s="60" t="n">
        <f aca="false">IF(BR1102=1,0,IFERROR(VLOOKUP(BP1102,'Gebinde-Kategorie'!$A$5:$M$45,13,0)+0,0))</f>
        <v>26</v>
      </c>
      <c r="R1102" s="61"/>
      <c r="S1102" s="62"/>
      <c r="T1102" s="62"/>
      <c r="U1102" s="55"/>
      <c r="V1102" s="57"/>
      <c r="W1102" s="57"/>
      <c r="X1102" s="55" t="n">
        <f aca="false">IF(A1102="","",IF(AND(Parameter!$B$21="Ja",ISNUMBER(U1102)),U1102,IF(IFERROR(VLOOKUP(D1102,Parameter!$A$35:$C$64,2,0),"Nein")="2+3",IF(ISNUMBER(SEARCH("grosser Artikel",BM1102)),2,IFERROR(VLOOKUP(BP1102,Parameter!$F$35:$G$64,2,0),2)),IF(OR(IFERROR(VLOOKUP(D1102,Parameter!$A$35:$C$64,2,0),"Nein")="Nein",IFERROR(VLOOKUP(D1102,Parameter!$A$35:$C$64,2,0),"Nein")=""),"-",VLOOKUP(D1102,Parameter!$A$35:$C$64,2,0)))))</f>
        <v>3</v>
      </c>
      <c r="Y1102" s="62"/>
      <c r="Z1102" s="63"/>
      <c r="AA1102" s="57" t="n">
        <f aca="false">AP1102</f>
        <v>60</v>
      </c>
      <c r="AB1102" s="57" t="n">
        <f aca="false">MAX(AP1102,G1102)</f>
        <v>60</v>
      </c>
      <c r="AC1102" s="64"/>
      <c r="AD1102" s="57" t="n">
        <f aca="false">IF(LEFT(Cockpit!$C$5,1)="A",G1102,IF(BW1102=1,BX1102,IF(LEFT(Cockpit!$C$5,1)="B",AH1102,MAX(AH1102,G1102))))</f>
        <v>0</v>
      </c>
      <c r="AE1102" s="57" t="n">
        <f aca="false">IF(BR1102=1,0,ROUNDUP(AD1102/BQ1102,0))</f>
        <v>0</v>
      </c>
      <c r="AF1102" s="59" t="n">
        <f aca="false">IF(CD1102&gt;0,CD1102*MAX(1,AD1102/V1102),IF(BR1102=1,IF(AD1102&lt;=0,0,BS1102*MAX(1,IF(G1102&gt;0,AD1102/G1102,1))),IF(Q1102&gt;0,AE1102/Q1102,0))/MAX(0.1,N(Parameter!$M$21)))</f>
        <v>0</v>
      </c>
      <c r="AG1102" s="57" t="n">
        <f aca="false">AD1102*F1102</f>
        <v>0</v>
      </c>
      <c r="AH1102" s="57" t="n">
        <f aca="false">ROUNDUP(MAX(I1102/IF(BV1102&gt;0,BV1102,MAX(0.1,N(Cockpit!$C$6))),BY1102)/BQ1102,0)*BQ1102</f>
        <v>60</v>
      </c>
      <c r="AI1102" s="58" t="n">
        <f aca="false">IF(AF1102&gt;0,I1102/AF1102,-1)</f>
        <v>-1</v>
      </c>
      <c r="AJ1102" s="58" t="str">
        <f aca="false">IF(AND(OR(BU1102="L1",BU1102="L23"),AF1102&gt;0),SUMIFS($AF$7:$AF$1576,$BU$7:$BU$1576,BU1102,$AI$7:$AI$1576,"&gt;"&amp;AI1102)+SUMIFS($AF$7:$AF$1576,$BU$7:$BU$1576,BU1102,$AI$7:$AI$1576,AI1102,$BO$7:$BO$1576,"&lt;="&amp;BO1102),"")</f>
        <v/>
      </c>
      <c r="AK1102" s="65" t="n">
        <f aca="false">IF(AJ1102="",0,MAX(0,MIN(1,(IF(BU1102="L1",Parameter!$E$5,Parameter!$E$6+Parameter!$E$7)-(AJ1102-AF1102))/AF1102)))</f>
        <v>0</v>
      </c>
      <c r="AL1102" s="57" t="n">
        <f aca="false">IF(LEFT(Cockpit!$I$5,1)="A",G1102,IF(BW1102=1,BX1102,IF(LEFT(Cockpit!$I$5,1)="B",AP1102,MAX(AP1102,G1102))))</f>
        <v>60</v>
      </c>
      <c r="AM1102" s="57" t="n">
        <f aca="false">IF(BR1102=1,0,ROUNDUP(AL1102/BQ1102,0))</f>
        <v>1</v>
      </c>
      <c r="AN1102" s="59" t="n">
        <f aca="false">IF(CD1102&gt;0,CD1102*MAX(1,AL1102/V1102),IF(BR1102=1,IF(AL1102&lt;=0,0,BS1102*MAX(1,IF(G1102&gt;0,AL1102/G1102,1))),IF(Q1102&gt;0,AM1102/Q1102,0))/MAX(0.1,N(Parameter!$M$21)))</f>
        <v>0.0384615384615385</v>
      </c>
      <c r="AO1102" s="57" t="n">
        <f aca="false">AL1102*F1102</f>
        <v>4296.6</v>
      </c>
      <c r="AP1102" s="57" t="n">
        <f aca="false">ROUNDUP(MAX(I1102/IF(BV1102&gt;0,BV1102,MAX(0.1,N(Cockpit!$I$6))),BY1102)/BQ1102,0)*BQ1102</f>
        <v>60</v>
      </c>
      <c r="AQ1102" s="58" t="n">
        <f aca="false">IF(AN1102&gt;0,I1102/AN1102,-1)</f>
        <v>52</v>
      </c>
      <c r="AR1102" s="58" t="n">
        <f aca="false">IF(AND(OR(BU1102="L1",BU1102="L23"),AN1102&gt;0),SUMIFS($AN$7:$AN$1576,$BU$7:$BU$1576,BU1102,$AQ$7:$AQ$1576,"&gt;"&amp;AQ1102)+SUMIFS($AN$7:$AN$1576,$BU$7:$BU$1576,BU1102,$AQ$7:$AQ$1576,AQ1102,$BO$7:$BO$1576,"&lt;="&amp;BO1102),"")</f>
        <v>82.2529474092086</v>
      </c>
      <c r="AS1102" s="65" t="n">
        <f aca="false">IF(AR1102="",0,MAX(0,MIN(1,(IF(BU1102="L1",Parameter!$E$5,Parameter!$E$6+Parameter!$E$7)-(AR1102-AN1102))/AN1102)))</f>
        <v>1</v>
      </c>
      <c r="AT1102" s="57" t="n">
        <f aca="false">IF(LEFT(Cockpit!$O$5,1)="A",G1102,IF(BW1102=1,BX1102,IF(LEFT(Cockpit!$O$5,1)="B",AX1102,MAX(AX1102,G1102))))</f>
        <v>60</v>
      </c>
      <c r="AU1102" s="57" t="n">
        <f aca="false">IF(BR1102=1,0,ROUNDUP(AT1102/BQ1102,0))</f>
        <v>1</v>
      </c>
      <c r="AV1102" s="59" t="n">
        <f aca="false">IF(CD1102&gt;0,CD1102*MAX(1,AT1102/V1102),IF(BR1102=1,IF(AT1102&lt;=0,0,BS1102*MAX(1,IF(G1102&gt;0,AT1102/G1102,1))),IF(Q1102&gt;0,AU1102/Q1102,0))/MAX(0.1,N(Parameter!$M$21)))</f>
        <v>0.0384615384615385</v>
      </c>
      <c r="AW1102" s="57" t="n">
        <f aca="false">AT1102*F1102</f>
        <v>4296.6</v>
      </c>
      <c r="AX1102" s="57" t="n">
        <f aca="false">ROUNDUP(MAX(I1102/IF(BV1102&gt;0,BV1102,MAX(0.1,N(Cockpit!$O$6))),BY1102)/BQ1102,0)*BQ1102</f>
        <v>60</v>
      </c>
      <c r="AY1102" s="58" t="n">
        <f aca="false">IF(AV1102&gt;0,I1102/AV1102,-1)</f>
        <v>52</v>
      </c>
      <c r="AZ1102" s="58" t="n">
        <f aca="false">IF(AND(OR(BU1102="L1",BU1102="L23"),AV1102&gt;0),SUMIFS($AV$7:$AV$1576,$BU$7:$BU$1576,BU1102,$AY$7:$AY$1576,"&gt;"&amp;AY1102)+SUMIFS($AV$7:$AV$1576,$BU$7:$BU$1576,BU1102,$AY$7:$AY$1576,AY1102,$BO$7:$BO$1576,"&lt;="&amp;BO1102),"")</f>
        <v>78.6708311920924</v>
      </c>
      <c r="BA1102" s="65" t="n">
        <f aca="false">IF(AZ1102="",0,MAX(0,MIN(1,(IF(BU1102="L1",Parameter!$E$5,Parameter!$E$6+Parameter!$E$7)-(AZ1102-AV1102))/AV1102)))</f>
        <v>1</v>
      </c>
      <c r="BB1102" s="55" t="str">
        <f aca="false">IF(AF1102&lt;=0,"",IF(BU1102="Aussen","Aussenlager",IF(BU1102="-","Nicht im Lift",IF(AK1102&gt;=1,"Lift",IF(AK1102&lt;=0,"Aussenlager","teilweise")))))</f>
        <v/>
      </c>
      <c r="BC1102" s="55" t="str">
        <f aca="false">IF(AN1102&lt;=0,"",IF(BU1102="Aussen","Aussenlager",IF(BU1102="-","Nicht im Lift",IF(AS1102&gt;=1,"Lift",IF(AS1102&lt;=0,"Aussenlager","teilweise")))))</f>
        <v>Lift</v>
      </c>
      <c r="BD1102" s="55" t="str">
        <f aca="false">IF(AV1102&lt;=0,"",IF(BU1102="Aussen","Aussenlager",IF(BU1102="-","Nicht im Lift",IF(BA1102&gt;=1,"Lift",IF(BA1102&lt;=0,"Aussenlager","teilweise")))))</f>
        <v>Lift</v>
      </c>
      <c r="BE1102" s="55" t="str">
        <f aca="false">IF(A1102="","",IF(BN1102=1,"Neu; ","")&amp;IF(AND(BN1102=0,BI1102&lt;0),"negativer Bestand (Export "&amp;BI1102&amp;"); ","")&amp;IF(I1102&lt;=0,"Kein Verbrauch; ","")&amp;IF(CD1102&gt;0,"Lift "&amp;U1102&amp;" lt. Liftbericht (Fach "&amp;V1102&amp;" Stk); ",IF(BR1102=1,"Lose – Fläche geschätzt; ",""))&amp;IF(G1102&gt;AP1102,"Überbestand "&amp;ROUND(G1102-AP1102,0)&amp;" Stk / CHF "&amp;ROUND((G1102-AP1102)*F1102,0)&amp;"; ","")&amp;IF(AND(BW1102=1,BX1102&lt;BY1102),"MAX &lt; MB+LG; ","")&amp;IF(AND(CC1102&gt;0,CB1102*10&gt;CC1102),"zu hoch für Tablar; ","")&amp;IF(AND(BN1102=0,OR(BW1102=1,Y1102&lt;&gt;"",S1102&lt;&gt;"",T1102&lt;&gt;"",Z1102&lt;&gt;"")),"manuell übersteuert; ","")&amp;IF(AND(BR1102=0,Q1102=0),"Gebinde unbekannt / Stellmass fehlt; ","")&amp;IF(AND(BR1102=0,N(T1102)&lt;=0,N(P1102)&lt;=0),"Menge pro Gebinde fehlt (Ist = 1 Gebinde); ","")&amp;BM1102)</f>
        <v>negativer Bestand (Export -3); i.o</v>
      </c>
      <c r="BF1102" s="55"/>
      <c r="BG1102" s="55"/>
      <c r="BH1102" s="62"/>
      <c r="BI1102" s="57" t="n">
        <v>-3</v>
      </c>
      <c r="BJ1102" s="57" t="n">
        <v>61</v>
      </c>
      <c r="BK1102" s="56" t="n">
        <v>-214.83</v>
      </c>
      <c r="BL1102" s="57" t="n">
        <v>2</v>
      </c>
      <c r="BM1102" s="55" t="s">
        <v>525</v>
      </c>
      <c r="BN1102" s="60" t="n">
        <v>0</v>
      </c>
      <c r="BO1102" s="60" t="n">
        <v>1102</v>
      </c>
      <c r="BP1102" s="55" t="str">
        <f aca="false">IF(S1102&lt;&gt;"",UPPER(TRIM(S1102)),IF(O1102="","LOSE",O1102))</f>
        <v>S52</v>
      </c>
      <c r="BQ1102" s="57" t="n">
        <f aca="false">IF(BP1102="LOSE",1,IF(N(T1102)&gt;0,T1102,IF(N(P1102)&gt;0,P1102,MAX(1,G1102))))</f>
        <v>60</v>
      </c>
      <c r="BR1102" s="60" t="n">
        <f aca="false">IF(BP1102="LOSE",1,0)</f>
        <v>0</v>
      </c>
      <c r="BS1102" s="59" t="n">
        <f aca="false">IF(BR1102=0,0,IF(N(R1102)&gt;0,R1102,IFERROR(VLOOKUP(D1102,Parameter!$A$35:$C$64,3,0)+0,0)))</f>
        <v>0</v>
      </c>
      <c r="BT1102" s="55" t="n">
        <f aca="false">IF(Y1102&lt;&gt;"",Y1102,X1102)</f>
        <v>3</v>
      </c>
      <c r="BU1102" s="55" t="str">
        <f aca="false">IF(BT1102=1,"L1",IF(OR(BT1102=2,BT1102=3),"L23",IF(BT1102="Aussen","Aussen","-")))</f>
        <v>L23</v>
      </c>
      <c r="BV1102" s="66" t="n">
        <f aca="false">IF(N(Z1102)&gt;0,Z1102,0)</f>
        <v>0</v>
      </c>
      <c r="BW1102" s="60" t="n">
        <f aca="false">IF(ISNUMBER(AC1102),1,0)</f>
        <v>0</v>
      </c>
      <c r="BX1102" s="57" t="n">
        <f aca="false">N(AC1102)</f>
        <v>0</v>
      </c>
      <c r="BY1102" s="57" t="n">
        <f aca="false">N(L1102)+N(M1102)</f>
        <v>1</v>
      </c>
      <c r="BZ1102" s="57" t="n">
        <f aca="false">ROUNDUP(G1102/BQ1102,0)</f>
        <v>0</v>
      </c>
      <c r="CA1102" s="57" t="n">
        <f aca="false">ROUNDUP(BX1102/BQ1102,0)</f>
        <v>0</v>
      </c>
      <c r="CB1102" s="60" t="n">
        <f aca="false">IF(BR1102=1,0,IFERROR(VLOOKUP(BP1102,'Gebinde-Kategorie'!$A$5:$M$45,5,0)+0,0))</f>
        <v>21</v>
      </c>
      <c r="CC1102" s="60" t="n">
        <f aca="false">IFERROR(IF(OR(BT1102=1,BT1102=2,BT1102=3),N(INDEX(Parameter!$I$5:$I$7,BT1102)),0),0)</f>
        <v>0</v>
      </c>
      <c r="CD1102" s="59" t="n">
        <f aca="false">IF(AND(Parameter!$B$21="Ja",ISNUMBER(U1102),N(V1102)&gt;0),IFERROR(N(INDEX(Parameter!$L$5:$L$7,U1102))*INDEX(Parameter!$E$5:$E$7,U1102)*V1102/SUMIFS($V$7:$V$1576,$U$7:$U$1576,U1102),0),0)</f>
        <v>0</v>
      </c>
    </row>
    <row r="1103" customFormat="false" ht="15" hidden="false" customHeight="false" outlineLevel="0" collapsed="false">
      <c r="A1103" s="55" t="s">
        <v>1993</v>
      </c>
      <c r="B1103" s="55" t="s">
        <v>738</v>
      </c>
      <c r="C1103" s="55" t="s">
        <v>160</v>
      </c>
      <c r="D1103" s="55" t="s">
        <v>178</v>
      </c>
      <c r="E1103" s="55" t="s">
        <v>210</v>
      </c>
      <c r="F1103" s="56" t="n">
        <v>83.58</v>
      </c>
      <c r="G1103" s="57" t="n">
        <f aca="false">MAX(0,IF(AND(Parameter!$B$21="Ja",ISNUMBER(W1103)),W1103,IF(Parameter!$B$20="Jahresanfang 2025 + Export",BJ1103+BI1103,BI1103)))</f>
        <v>0</v>
      </c>
      <c r="H1103" s="57" t="n">
        <f aca="false">G1103*F1103</f>
        <v>0</v>
      </c>
      <c r="I1103" s="57" t="n">
        <f aca="false">BL1103*Parameter!$B$18</f>
        <v>1</v>
      </c>
      <c r="J1103" s="58" t="n">
        <v>4.5</v>
      </c>
      <c r="K1103" s="59" t="n">
        <v>0.222222222222222</v>
      </c>
      <c r="L1103" s="57" t="n">
        <v>0</v>
      </c>
      <c r="M1103" s="57" t="n">
        <v>1</v>
      </c>
      <c r="N1103" s="60" t="n">
        <v>35</v>
      </c>
      <c r="O1103" s="55" t="s">
        <v>163</v>
      </c>
      <c r="P1103" s="57"/>
      <c r="Q1103" s="60" t="n">
        <f aca="false">IF(BR1103=1,0,IFERROR(VLOOKUP(BP1103,'Gebinde-Kategorie'!$A$5:$M$45,13,0)+0,0))</f>
        <v>0</v>
      </c>
      <c r="R1103" s="61"/>
      <c r="S1103" s="62"/>
      <c r="T1103" s="62"/>
      <c r="U1103" s="55"/>
      <c r="V1103" s="57"/>
      <c r="W1103" s="57"/>
      <c r="X1103" s="55" t="n">
        <f aca="false">IF(A1103="","",IF(AND(Parameter!$B$21="Ja",ISNUMBER(U1103)),U1103,IF(IFERROR(VLOOKUP(D1103,Parameter!$A$35:$C$64,2,0),"Nein")="2+3",IF(ISNUMBER(SEARCH("grosser Artikel",BM1103)),2,IFERROR(VLOOKUP(BP1103,Parameter!$F$35:$G$64,2,0),2)),IF(OR(IFERROR(VLOOKUP(D1103,Parameter!$A$35:$C$64,2,0),"Nein")="Nein",IFERROR(VLOOKUP(D1103,Parameter!$A$35:$C$64,2,0),"Nein")=""),"-",VLOOKUP(D1103,Parameter!$A$35:$C$64,2,0)))))</f>
        <v>2</v>
      </c>
      <c r="Y1103" s="62"/>
      <c r="Z1103" s="63"/>
      <c r="AA1103" s="57" t="n">
        <f aca="false">AP1103</f>
        <v>1</v>
      </c>
      <c r="AB1103" s="57" t="n">
        <f aca="false">MAX(AP1103,G1103)</f>
        <v>1</v>
      </c>
      <c r="AC1103" s="64"/>
      <c r="AD1103" s="57" t="n">
        <f aca="false">IF(LEFT(Cockpit!$C$5,1)="A",G1103,IF(BW1103=1,BX1103,IF(LEFT(Cockpit!$C$5,1)="B",AH1103,MAX(AH1103,G1103))))</f>
        <v>0</v>
      </c>
      <c r="AE1103" s="57" t="n">
        <f aca="false">IF(BR1103=1,0,ROUNDUP(AD1103/BQ1103,0))</f>
        <v>0</v>
      </c>
      <c r="AF1103" s="59" t="n">
        <f aca="false">IF(CD1103&gt;0,CD1103*MAX(1,AD1103/V1103),IF(BR1103=1,IF(AD1103&lt;=0,0,BS1103*MAX(1,IF(G1103&gt;0,AD1103/G1103,1))),IF(Q1103&gt;0,AE1103/Q1103,0))/MAX(0.1,N(Parameter!$M$21)))</f>
        <v>0</v>
      </c>
      <c r="AG1103" s="57" t="n">
        <f aca="false">AD1103*F1103</f>
        <v>0</v>
      </c>
      <c r="AH1103" s="57" t="n">
        <f aca="false">ROUNDUP(MAX(I1103/IF(BV1103&gt;0,BV1103,MAX(0.1,N(Cockpit!$C$6))),BY1103)/BQ1103,0)*BQ1103</f>
        <v>1</v>
      </c>
      <c r="AI1103" s="58" t="n">
        <f aca="false">IF(AF1103&gt;0,I1103/AF1103,-1)</f>
        <v>-1</v>
      </c>
      <c r="AJ1103" s="58" t="str">
        <f aca="false">IF(AND(OR(BU1103="L1",BU1103="L23"),AF1103&gt;0),SUMIFS($AF$7:$AF$1576,$BU$7:$BU$1576,BU1103,$AI$7:$AI$1576,"&gt;"&amp;AI1103)+SUMIFS($AF$7:$AF$1576,$BU$7:$BU$1576,BU1103,$AI$7:$AI$1576,AI1103,$BO$7:$BO$1576,"&lt;="&amp;BO1103),"")</f>
        <v/>
      </c>
      <c r="AK1103" s="65" t="n">
        <f aca="false">IF(AJ1103="",0,MAX(0,MIN(1,(IF(BU1103="L1",Parameter!$E$5,Parameter!$E$6+Parameter!$E$7)-(AJ1103-AF1103))/AF1103)))</f>
        <v>0</v>
      </c>
      <c r="AL1103" s="57" t="n">
        <f aca="false">IF(LEFT(Cockpit!$I$5,1)="A",G1103,IF(BW1103=1,BX1103,IF(LEFT(Cockpit!$I$5,1)="B",AP1103,MAX(AP1103,G1103))))</f>
        <v>1</v>
      </c>
      <c r="AM1103" s="57" t="n">
        <f aca="false">IF(BR1103=1,0,ROUNDUP(AL1103/BQ1103,0))</f>
        <v>0</v>
      </c>
      <c r="AN1103" s="59" t="n">
        <f aca="false">IF(CD1103&gt;0,CD1103*MAX(1,AL1103/V1103),IF(BR1103=1,IF(AL1103&lt;=0,0,BS1103*MAX(1,IF(G1103&gt;0,AL1103/G1103,1))),IF(Q1103&gt;0,AM1103/Q1103,0))/MAX(0.1,N(Parameter!$M$21)))</f>
        <v>0.03</v>
      </c>
      <c r="AO1103" s="57" t="n">
        <f aca="false">AL1103*F1103</f>
        <v>83.58</v>
      </c>
      <c r="AP1103" s="57" t="n">
        <f aca="false">ROUNDUP(MAX(I1103/IF(BV1103&gt;0,BV1103,MAX(0.1,N(Cockpit!$I$6))),BY1103)/BQ1103,0)*BQ1103</f>
        <v>1</v>
      </c>
      <c r="AQ1103" s="58" t="n">
        <f aca="false">IF(AN1103&gt;0,I1103/AN1103,-1)</f>
        <v>33.3333333333333</v>
      </c>
      <c r="AR1103" s="58" t="n">
        <f aca="false">IF(AND(OR(BU1103="L1",BU1103="L23"),AN1103&gt;0),SUMIFS($AN$7:$AN$1576,$BU$7:$BU$1576,BU1103,$AQ$7:$AQ$1576,"&gt;"&amp;AQ1103)+SUMIFS($AN$7:$AN$1576,$BU$7:$BU$1576,BU1103,$AQ$7:$AQ$1576,AQ1103,$BO$7:$BO$1576,"&lt;="&amp;BO1103),"")</f>
        <v>94.3374345886957</v>
      </c>
      <c r="AS1103" s="65" t="n">
        <f aca="false">IF(AR1103="",0,MAX(0,MIN(1,(IF(BU1103="L1",Parameter!$E$5,Parameter!$E$6+Parameter!$E$7)-(AR1103-AN1103))/AN1103)))</f>
        <v>1</v>
      </c>
      <c r="AT1103" s="57" t="n">
        <f aca="false">IF(LEFT(Cockpit!$O$5,1)="A",G1103,IF(BW1103=1,BX1103,IF(LEFT(Cockpit!$O$5,1)="B",AX1103,MAX(AX1103,G1103))))</f>
        <v>1</v>
      </c>
      <c r="AU1103" s="57" t="n">
        <f aca="false">IF(BR1103=1,0,ROUNDUP(AT1103/BQ1103,0))</f>
        <v>0</v>
      </c>
      <c r="AV1103" s="59" t="n">
        <f aca="false">IF(CD1103&gt;0,CD1103*MAX(1,AT1103/V1103),IF(BR1103=1,IF(AT1103&lt;=0,0,BS1103*MAX(1,IF(G1103&gt;0,AT1103/G1103,1))),IF(Q1103&gt;0,AU1103/Q1103,0))/MAX(0.1,N(Parameter!$M$21)))</f>
        <v>0.03</v>
      </c>
      <c r="AW1103" s="57" t="n">
        <f aca="false">AT1103*F1103</f>
        <v>83.58</v>
      </c>
      <c r="AX1103" s="57" t="n">
        <f aca="false">ROUNDUP(MAX(I1103/IF(BV1103&gt;0,BV1103,MAX(0.1,N(Cockpit!$O$6))),BY1103)/BQ1103,0)*BQ1103</f>
        <v>1</v>
      </c>
      <c r="AY1103" s="58" t="n">
        <f aca="false">IF(AV1103&gt;0,I1103/AV1103,-1)</f>
        <v>33.3333333333333</v>
      </c>
      <c r="AZ1103" s="58" t="n">
        <f aca="false">IF(AND(OR(BU1103="L1",BU1103="L23"),AV1103&gt;0),SUMIFS($AV$7:$AV$1576,$BU$7:$BU$1576,BU1103,$AY$7:$AY$1576,"&gt;"&amp;AY1103)+SUMIFS($AV$7:$AV$1576,$BU$7:$BU$1576,BU1103,$AY$7:$AY$1576,AY1103,$BO$7:$BO$1576,"&lt;="&amp;BO1103),"")</f>
        <v>86.1219850382462</v>
      </c>
      <c r="BA1103" s="65" t="n">
        <f aca="false">IF(AZ1103="",0,MAX(0,MIN(1,(IF(BU1103="L1",Parameter!$E$5,Parameter!$E$6+Parameter!$E$7)-(AZ1103-AV1103))/AV1103)))</f>
        <v>1</v>
      </c>
      <c r="BB1103" s="55" t="str">
        <f aca="false">IF(AF1103&lt;=0,"",IF(BU1103="Aussen","Aussenlager",IF(BU1103="-","Nicht im Lift",IF(AK1103&gt;=1,"Lift",IF(AK1103&lt;=0,"Aussenlager","teilweise")))))</f>
        <v/>
      </c>
      <c r="BC1103" s="55" t="str">
        <f aca="false">IF(AN1103&lt;=0,"",IF(BU1103="Aussen","Aussenlager",IF(BU1103="-","Nicht im Lift",IF(AS1103&gt;=1,"Lift",IF(AS1103&lt;=0,"Aussenlager","teilweise")))))</f>
        <v>Lift</v>
      </c>
      <c r="BD1103" s="55" t="str">
        <f aca="false">IF(AV1103&lt;=0,"",IF(BU1103="Aussen","Aussenlager",IF(BU1103="-","Nicht im Lift",IF(BA1103&gt;=1,"Lift",IF(BA1103&lt;=0,"Aussenlager","teilweise")))))</f>
        <v>Lift</v>
      </c>
      <c r="BE1103" s="55" t="str">
        <f aca="false">IF(A1103="","",IF(BN1103=1,"Neu; ","")&amp;IF(AND(BN1103=0,BI1103&lt;0),"negativer Bestand (Export "&amp;BI1103&amp;"); ","")&amp;IF(I1103&lt;=0,"Kein Verbrauch; ","")&amp;IF(CD1103&gt;0,"Lift "&amp;U1103&amp;" lt. Liftbericht (Fach "&amp;V1103&amp;" Stk); ",IF(BR1103=1,"Lose – Fläche geschätzt; ",""))&amp;IF(G1103&gt;AP1103,"Überbestand "&amp;ROUND(G1103-AP1103,0)&amp;" Stk / CHF "&amp;ROUND((G1103-AP1103)*F1103,0)&amp;"; ","")&amp;IF(AND(BW1103=1,BX1103&lt;BY1103),"MAX &lt; MB+LG; ","")&amp;IF(AND(CC1103&gt;0,CB1103*10&gt;CC1103),"zu hoch für Tablar; ","")&amp;IF(AND(BN1103=0,OR(BW1103=1,Y1103&lt;&gt;"",S1103&lt;&gt;"",T1103&lt;&gt;"",Z1103&lt;&gt;"")),"manuell übersteuert; ","")&amp;IF(AND(BR1103=0,Q1103=0),"Gebinde unbekannt / Stellmass fehlt; ","")&amp;IF(AND(BR1103=0,N(T1103)&lt;=0,N(P1103)&lt;=0),"Menge pro Gebinde fehlt (Ist = 1 Gebinde); ","")&amp;BM1103)</f>
        <v>negativer Bestand (Export -3); Lose – Fläche geschätzt; </v>
      </c>
      <c r="BF1103" s="55"/>
      <c r="BG1103" s="55"/>
      <c r="BH1103" s="62"/>
      <c r="BI1103" s="57" t="n">
        <v>-3</v>
      </c>
      <c r="BJ1103" s="57" t="n">
        <v>5</v>
      </c>
      <c r="BK1103" s="56" t="n">
        <v>-216.39</v>
      </c>
      <c r="BL1103" s="57" t="n">
        <v>1</v>
      </c>
      <c r="BM1103" s="55"/>
      <c r="BN1103" s="60" t="n">
        <v>0</v>
      </c>
      <c r="BO1103" s="60" t="n">
        <v>1103</v>
      </c>
      <c r="BP1103" s="55" t="str">
        <f aca="false">IF(S1103&lt;&gt;"",UPPER(TRIM(S1103)),IF(O1103="","LOSE",O1103))</f>
        <v>LOSE</v>
      </c>
      <c r="BQ1103" s="57" t="n">
        <f aca="false">IF(BP1103="LOSE",1,IF(N(T1103)&gt;0,T1103,IF(N(P1103)&gt;0,P1103,MAX(1,G1103))))</f>
        <v>1</v>
      </c>
      <c r="BR1103" s="60" t="n">
        <f aca="false">IF(BP1103="LOSE",1,0)</f>
        <v>1</v>
      </c>
      <c r="BS1103" s="59" t="n">
        <f aca="false">IF(BR1103=0,0,IF(N(R1103)&gt;0,R1103,IFERROR(VLOOKUP(D1103,Parameter!$A$35:$C$64,3,0)+0,0)))</f>
        <v>0.03</v>
      </c>
      <c r="BT1103" s="55" t="n">
        <f aca="false">IF(Y1103&lt;&gt;"",Y1103,X1103)</f>
        <v>2</v>
      </c>
      <c r="BU1103" s="55" t="str">
        <f aca="false">IF(BT1103=1,"L1",IF(OR(BT1103=2,BT1103=3),"L23",IF(BT1103="Aussen","Aussen","-")))</f>
        <v>L23</v>
      </c>
      <c r="BV1103" s="66" t="n">
        <f aca="false">IF(N(Z1103)&gt;0,Z1103,0)</f>
        <v>0</v>
      </c>
      <c r="BW1103" s="60" t="n">
        <f aca="false">IF(ISNUMBER(AC1103),1,0)</f>
        <v>0</v>
      </c>
      <c r="BX1103" s="57" t="n">
        <f aca="false">N(AC1103)</f>
        <v>0</v>
      </c>
      <c r="BY1103" s="57" t="n">
        <f aca="false">N(L1103)+N(M1103)</f>
        <v>1</v>
      </c>
      <c r="BZ1103" s="57" t="n">
        <f aca="false">ROUNDUP(G1103/BQ1103,0)</f>
        <v>0</v>
      </c>
      <c r="CA1103" s="57" t="n">
        <f aca="false">ROUNDUP(BX1103/BQ1103,0)</f>
        <v>0</v>
      </c>
      <c r="CB1103" s="60" t="n">
        <f aca="false">IF(BR1103=1,0,IFERROR(VLOOKUP(BP1103,'Gebinde-Kategorie'!$A$5:$M$45,5,0)+0,0))</f>
        <v>0</v>
      </c>
      <c r="CC1103" s="60" t="n">
        <f aca="false">IFERROR(IF(OR(BT1103=1,BT1103=2,BT1103=3),N(INDEX(Parameter!$I$5:$I$7,BT1103)),0),0)</f>
        <v>0</v>
      </c>
      <c r="CD1103" s="59" t="n">
        <f aca="false">IF(AND(Parameter!$B$21="Ja",ISNUMBER(U1103),N(V1103)&gt;0),IFERROR(N(INDEX(Parameter!$L$5:$L$7,U1103))*INDEX(Parameter!$E$5:$E$7,U1103)*V1103/SUMIFS($V$7:$V$1576,$U$7:$U$1576,U1103),0),0)</f>
        <v>0</v>
      </c>
    </row>
    <row r="1104" customFormat="false" ht="15" hidden="false" customHeight="false" outlineLevel="0" collapsed="false">
      <c r="A1104" s="55" t="s">
        <v>1994</v>
      </c>
      <c r="B1104" s="55" t="s">
        <v>1733</v>
      </c>
      <c r="C1104" s="55" t="s">
        <v>160</v>
      </c>
      <c r="D1104" s="55" t="s">
        <v>178</v>
      </c>
      <c r="E1104" s="55" t="s">
        <v>210</v>
      </c>
      <c r="F1104" s="56" t="n">
        <v>18.24</v>
      </c>
      <c r="G1104" s="57" t="n">
        <f aca="false">MAX(0,IF(AND(Parameter!$B$21="Ja",ISNUMBER(W1104)),W1104,IF(Parameter!$B$20="Jahresanfang 2025 + Export",BJ1104+BI1104,BI1104)))</f>
        <v>0</v>
      </c>
      <c r="H1104" s="57" t="n">
        <f aca="false">G1104*F1104</f>
        <v>0</v>
      </c>
      <c r="I1104" s="57" t="n">
        <f aca="false">BL1104*Parameter!$B$18</f>
        <v>20</v>
      </c>
      <c r="J1104" s="58" t="n">
        <v>25</v>
      </c>
      <c r="K1104" s="59" t="n">
        <v>0.8</v>
      </c>
      <c r="L1104" s="57" t="n">
        <v>2</v>
      </c>
      <c r="M1104" s="57" t="n">
        <v>20</v>
      </c>
      <c r="N1104" s="60" t="n">
        <v>49</v>
      </c>
      <c r="O1104" s="55" t="s">
        <v>411</v>
      </c>
      <c r="P1104" s="57" t="n">
        <v>30</v>
      </c>
      <c r="Q1104" s="60" t="n">
        <f aca="false">IF(BR1104=1,0,IFERROR(VLOOKUP(BP1104,'Gebinde-Kategorie'!$A$5:$M$45,13,0)+0,0))</f>
        <v>132</v>
      </c>
      <c r="R1104" s="61"/>
      <c r="S1104" s="62"/>
      <c r="T1104" s="62"/>
      <c r="U1104" s="55"/>
      <c r="V1104" s="57"/>
      <c r="W1104" s="57"/>
      <c r="X1104" s="55" t="n">
        <f aca="false">IF(A1104="","",IF(AND(Parameter!$B$21="Ja",ISNUMBER(U1104)),U1104,IF(IFERROR(VLOOKUP(D1104,Parameter!$A$35:$C$64,2,0),"Nein")="2+3",IF(ISNUMBER(SEARCH("grosser Artikel",BM1104)),2,IFERROR(VLOOKUP(BP1104,Parameter!$F$35:$G$64,2,0),2)),IF(OR(IFERROR(VLOOKUP(D1104,Parameter!$A$35:$C$64,2,0),"Nein")="Nein",IFERROR(VLOOKUP(D1104,Parameter!$A$35:$C$64,2,0),"Nein")=""),"-",VLOOKUP(D1104,Parameter!$A$35:$C$64,2,0)))))</f>
        <v>3</v>
      </c>
      <c r="Y1104" s="62"/>
      <c r="Z1104" s="63"/>
      <c r="AA1104" s="57" t="n">
        <f aca="false">AP1104</f>
        <v>30</v>
      </c>
      <c r="AB1104" s="57" t="n">
        <f aca="false">MAX(AP1104,G1104)</f>
        <v>30</v>
      </c>
      <c r="AC1104" s="64"/>
      <c r="AD1104" s="57" t="n">
        <f aca="false">IF(LEFT(Cockpit!$C$5,1)="A",G1104,IF(BW1104=1,BX1104,IF(LEFT(Cockpit!$C$5,1)="B",AH1104,MAX(AH1104,G1104))))</f>
        <v>0</v>
      </c>
      <c r="AE1104" s="57" t="n">
        <f aca="false">IF(BR1104=1,0,ROUNDUP(AD1104/BQ1104,0))</f>
        <v>0</v>
      </c>
      <c r="AF1104" s="59" t="n">
        <f aca="false">IF(CD1104&gt;0,CD1104*MAX(1,AD1104/V1104),IF(BR1104=1,IF(AD1104&lt;=0,0,BS1104*MAX(1,IF(G1104&gt;0,AD1104/G1104,1))),IF(Q1104&gt;0,AE1104/Q1104,0))/MAX(0.1,N(Parameter!$M$21)))</f>
        <v>0</v>
      </c>
      <c r="AG1104" s="57" t="n">
        <f aca="false">AD1104*F1104</f>
        <v>0</v>
      </c>
      <c r="AH1104" s="57" t="n">
        <f aca="false">ROUNDUP(MAX(I1104/IF(BV1104&gt;0,BV1104,MAX(0.1,N(Cockpit!$C$6))),BY1104)/BQ1104,0)*BQ1104</f>
        <v>30</v>
      </c>
      <c r="AI1104" s="58" t="n">
        <f aca="false">IF(AF1104&gt;0,I1104/AF1104,-1)</f>
        <v>-1</v>
      </c>
      <c r="AJ1104" s="58" t="str">
        <f aca="false">IF(AND(OR(BU1104="L1",BU1104="L23"),AF1104&gt;0),SUMIFS($AF$7:$AF$1576,$BU$7:$BU$1576,BU1104,$AI$7:$AI$1576,"&gt;"&amp;AI1104)+SUMIFS($AF$7:$AF$1576,$BU$7:$BU$1576,BU1104,$AI$7:$AI$1576,AI1104,$BO$7:$BO$1576,"&lt;="&amp;BO1104),"")</f>
        <v/>
      </c>
      <c r="AK1104" s="65" t="n">
        <f aca="false">IF(AJ1104="",0,MAX(0,MIN(1,(IF(BU1104="L1",Parameter!$E$5,Parameter!$E$6+Parameter!$E$7)-(AJ1104-AF1104))/AF1104)))</f>
        <v>0</v>
      </c>
      <c r="AL1104" s="57" t="n">
        <f aca="false">IF(LEFT(Cockpit!$I$5,1)="A",G1104,IF(BW1104=1,BX1104,IF(LEFT(Cockpit!$I$5,1)="B",AP1104,MAX(AP1104,G1104))))</f>
        <v>30</v>
      </c>
      <c r="AM1104" s="57" t="n">
        <f aca="false">IF(BR1104=1,0,ROUNDUP(AL1104/BQ1104,0))</f>
        <v>1</v>
      </c>
      <c r="AN1104" s="59" t="n">
        <f aca="false">IF(CD1104&gt;0,CD1104*MAX(1,AL1104/V1104),IF(BR1104=1,IF(AL1104&lt;=0,0,BS1104*MAX(1,IF(G1104&gt;0,AL1104/G1104,1))),IF(Q1104&gt;0,AM1104/Q1104,0))/MAX(0.1,N(Parameter!$M$21)))</f>
        <v>0.00757575757575758</v>
      </c>
      <c r="AO1104" s="57" t="n">
        <f aca="false">AL1104*F1104</f>
        <v>547.2</v>
      </c>
      <c r="AP1104" s="57" t="n">
        <f aca="false">ROUNDUP(MAX(I1104/IF(BV1104&gt;0,BV1104,MAX(0.1,N(Cockpit!$I$6))),BY1104)/BQ1104,0)*BQ1104</f>
        <v>30</v>
      </c>
      <c r="AQ1104" s="58" t="n">
        <f aca="false">IF(AN1104&gt;0,I1104/AN1104,-1)</f>
        <v>2640</v>
      </c>
      <c r="AR1104" s="58" t="n">
        <f aca="false">IF(AND(OR(BU1104="L1",BU1104="L23"),AN1104&gt;0),SUMIFS($AN$7:$AN$1576,$BU$7:$BU$1576,BU1104,$AQ$7:$AQ$1576,"&gt;"&amp;AQ1104)+SUMIFS($AN$7:$AN$1576,$BU$7:$BU$1576,BU1104,$AQ$7:$AQ$1576,AQ1104,$BO$7:$BO$1576,"&lt;="&amp;BO1104),"")</f>
        <v>14.947359174979</v>
      </c>
      <c r="AS1104" s="65" t="n">
        <f aca="false">IF(AR1104="",0,MAX(0,MIN(1,(IF(BU1104="L1",Parameter!$E$5,Parameter!$E$6+Parameter!$E$7)-(AR1104-AN1104))/AN1104)))</f>
        <v>1</v>
      </c>
      <c r="AT1104" s="57" t="n">
        <f aca="false">IF(LEFT(Cockpit!$O$5,1)="A",G1104,IF(BW1104=1,BX1104,IF(LEFT(Cockpit!$O$5,1)="B",AX1104,MAX(AX1104,G1104))))</f>
        <v>30</v>
      </c>
      <c r="AU1104" s="57" t="n">
        <f aca="false">IF(BR1104=1,0,ROUNDUP(AT1104/BQ1104,0))</f>
        <v>1</v>
      </c>
      <c r="AV1104" s="59" t="n">
        <f aca="false">IF(CD1104&gt;0,CD1104*MAX(1,AT1104/V1104),IF(BR1104=1,IF(AT1104&lt;=0,0,BS1104*MAX(1,IF(G1104&gt;0,AT1104/G1104,1))),IF(Q1104&gt;0,AU1104/Q1104,0))/MAX(0.1,N(Parameter!$M$21)))</f>
        <v>0.00757575757575758</v>
      </c>
      <c r="AW1104" s="57" t="n">
        <f aca="false">AT1104*F1104</f>
        <v>547.2</v>
      </c>
      <c r="AX1104" s="57" t="n">
        <f aca="false">ROUNDUP(MAX(I1104/IF(BV1104&gt;0,BV1104,MAX(0.1,N(Cockpit!$O$6))),BY1104)/BQ1104,0)*BQ1104</f>
        <v>30</v>
      </c>
      <c r="AY1104" s="58" t="n">
        <f aca="false">IF(AV1104&gt;0,I1104/AV1104,-1)</f>
        <v>2640</v>
      </c>
      <c r="AZ1104" s="58" t="n">
        <f aca="false">IF(AND(OR(BU1104="L1",BU1104="L23"),AV1104&gt;0),SUMIFS($AV$7:$AV$1576,$BU$7:$BU$1576,BU1104,$AY$7:$AY$1576,"&gt;"&amp;AY1104)+SUMIFS($AV$7:$AV$1576,$BU$7:$BU$1576,BU1104,$AY$7:$AY$1576,AY1104,$BO$7:$BO$1576,"&lt;="&amp;BO1104),"")</f>
        <v>13.7515549791748</v>
      </c>
      <c r="BA1104" s="65" t="n">
        <f aca="false">IF(AZ1104="",0,MAX(0,MIN(1,(IF(BU1104="L1",Parameter!$E$5,Parameter!$E$6+Parameter!$E$7)-(AZ1104-AV1104))/AV1104)))</f>
        <v>1</v>
      </c>
      <c r="BB1104" s="55" t="str">
        <f aca="false">IF(AF1104&lt;=0,"",IF(BU1104="Aussen","Aussenlager",IF(BU1104="-","Nicht im Lift",IF(AK1104&gt;=1,"Lift",IF(AK1104&lt;=0,"Aussenlager","teilweise")))))</f>
        <v/>
      </c>
      <c r="BC1104" s="55" t="str">
        <f aca="false">IF(AN1104&lt;=0,"",IF(BU1104="Aussen","Aussenlager",IF(BU1104="-","Nicht im Lift",IF(AS1104&gt;=1,"Lift",IF(AS1104&lt;=0,"Aussenlager","teilweise")))))</f>
        <v>Lift</v>
      </c>
      <c r="BD1104" s="55" t="str">
        <f aca="false">IF(AV1104&lt;=0,"",IF(BU1104="Aussen","Aussenlager",IF(BU1104="-","Nicht im Lift",IF(BA1104&gt;=1,"Lift",IF(BA1104&lt;=0,"Aussenlager","teilweise")))))</f>
        <v>Lift</v>
      </c>
      <c r="BE1104" s="55" t="str">
        <f aca="false">IF(A1104="","",IF(BN1104=1,"Neu; ","")&amp;IF(AND(BN1104=0,BI1104&lt;0),"negativer Bestand (Export "&amp;BI1104&amp;"); ","")&amp;IF(I1104&lt;=0,"Kein Verbrauch; ","")&amp;IF(CD1104&gt;0,"Lift "&amp;U1104&amp;" lt. Liftbericht (Fach "&amp;V1104&amp;" Stk); ",IF(BR1104=1,"Lose – Fläche geschätzt; ",""))&amp;IF(G1104&gt;AP1104,"Überbestand "&amp;ROUND(G1104-AP1104,0)&amp;" Stk / CHF "&amp;ROUND((G1104-AP1104)*F1104,0)&amp;"; ","")&amp;IF(AND(BW1104=1,BX1104&lt;BY1104),"MAX &lt; MB+LG; ","")&amp;IF(AND(CC1104&gt;0,CB1104*10&gt;CC1104),"zu hoch für Tablar; ","")&amp;IF(AND(BN1104=0,OR(BW1104=1,Y1104&lt;&gt;"",S1104&lt;&gt;"",T1104&lt;&gt;"",Z1104&lt;&gt;"")),"manuell übersteuert; ","")&amp;IF(AND(BR1104=0,Q1104=0),"Gebinde unbekannt / Stellmass fehlt; ","")&amp;IF(AND(BR1104=0,N(T1104)&lt;=0,N(P1104)&lt;=0),"Menge pro Gebinde fehlt (Ist = 1 Gebinde); ","")&amp;BM1104)</f>
        <v>negativer Bestand (Export -12); </v>
      </c>
      <c r="BF1104" s="55"/>
      <c r="BG1104" s="55"/>
      <c r="BH1104" s="62"/>
      <c r="BI1104" s="57" t="n">
        <v>-12</v>
      </c>
      <c r="BJ1104" s="57" t="n">
        <v>34</v>
      </c>
      <c r="BK1104" s="56" t="n">
        <v>-218.54</v>
      </c>
      <c r="BL1104" s="57" t="n">
        <v>20</v>
      </c>
      <c r="BM1104" s="55"/>
      <c r="BN1104" s="60" t="n">
        <v>0</v>
      </c>
      <c r="BO1104" s="60" t="n">
        <v>1104</v>
      </c>
      <c r="BP1104" s="55" t="str">
        <f aca="false">IF(S1104&lt;&gt;"",UPPER(TRIM(S1104)),IF(O1104="","LOSE",O1104))</f>
        <v>S32</v>
      </c>
      <c r="BQ1104" s="57" t="n">
        <f aca="false">IF(BP1104="LOSE",1,IF(N(T1104)&gt;0,T1104,IF(N(P1104)&gt;0,P1104,MAX(1,G1104))))</f>
        <v>30</v>
      </c>
      <c r="BR1104" s="60" t="n">
        <f aca="false">IF(BP1104="LOSE",1,0)</f>
        <v>0</v>
      </c>
      <c r="BS1104" s="59" t="n">
        <f aca="false">IF(BR1104=0,0,IF(N(R1104)&gt;0,R1104,IFERROR(VLOOKUP(D1104,Parameter!$A$35:$C$64,3,0)+0,0)))</f>
        <v>0</v>
      </c>
      <c r="BT1104" s="55" t="n">
        <f aca="false">IF(Y1104&lt;&gt;"",Y1104,X1104)</f>
        <v>3</v>
      </c>
      <c r="BU1104" s="55" t="str">
        <f aca="false">IF(BT1104=1,"L1",IF(OR(BT1104=2,BT1104=3),"L23",IF(BT1104="Aussen","Aussen","-")))</f>
        <v>L23</v>
      </c>
      <c r="BV1104" s="66" t="n">
        <f aca="false">IF(N(Z1104)&gt;0,Z1104,0)</f>
        <v>0</v>
      </c>
      <c r="BW1104" s="60" t="n">
        <f aca="false">IF(ISNUMBER(AC1104),1,0)</f>
        <v>0</v>
      </c>
      <c r="BX1104" s="57" t="n">
        <f aca="false">N(AC1104)</f>
        <v>0</v>
      </c>
      <c r="BY1104" s="57" t="n">
        <f aca="false">N(L1104)+N(M1104)</f>
        <v>22</v>
      </c>
      <c r="BZ1104" s="57" t="n">
        <f aca="false">ROUNDUP(G1104/BQ1104,0)</f>
        <v>0</v>
      </c>
      <c r="CA1104" s="57" t="n">
        <f aca="false">ROUNDUP(BX1104/BQ1104,0)</f>
        <v>0</v>
      </c>
      <c r="CB1104" s="60" t="n">
        <f aca="false">IF(BR1104=1,0,IFERROR(VLOOKUP(BP1104,'Gebinde-Kategorie'!$A$5:$M$45,5,0)+0,0))</f>
        <v>8</v>
      </c>
      <c r="CC1104" s="60" t="n">
        <f aca="false">IFERROR(IF(OR(BT1104=1,BT1104=2,BT1104=3),N(INDEX(Parameter!$I$5:$I$7,BT1104)),0),0)</f>
        <v>0</v>
      </c>
      <c r="CD1104" s="59" t="n">
        <f aca="false">IF(AND(Parameter!$B$21="Ja",ISNUMBER(U1104),N(V1104)&gt;0),IFERROR(N(INDEX(Parameter!$L$5:$L$7,U1104))*INDEX(Parameter!$E$5:$E$7,U1104)*V1104/SUMIFS($V$7:$V$1576,$U$7:$U$1576,U1104),0),0)</f>
        <v>0</v>
      </c>
    </row>
    <row r="1105" customFormat="false" ht="15" hidden="false" customHeight="false" outlineLevel="0" collapsed="false">
      <c r="A1105" s="55" t="s">
        <v>1995</v>
      </c>
      <c r="B1105" s="55" t="s">
        <v>486</v>
      </c>
      <c r="C1105" s="55" t="s">
        <v>160</v>
      </c>
      <c r="D1105" s="55" t="s">
        <v>178</v>
      </c>
      <c r="E1105" s="55" t="s">
        <v>210</v>
      </c>
      <c r="F1105" s="56" t="n">
        <v>37</v>
      </c>
      <c r="G1105" s="57" t="n">
        <f aca="false">MAX(0,IF(AND(Parameter!$B$21="Ja",ISNUMBER(W1105)),W1105,IF(Parameter!$B$20="Jahresanfang 2025 + Export",BJ1105+BI1105,BI1105)))</f>
        <v>0</v>
      </c>
      <c r="H1105" s="57" t="n">
        <f aca="false">G1105*F1105</f>
        <v>0</v>
      </c>
      <c r="I1105" s="57" t="n">
        <f aca="false">BL1105*Parameter!$B$18</f>
        <v>20</v>
      </c>
      <c r="J1105" s="58" t="n">
        <v>14</v>
      </c>
      <c r="K1105" s="59" t="n">
        <v>1.42857142857143</v>
      </c>
      <c r="L1105" s="57" t="n">
        <v>1</v>
      </c>
      <c r="M1105" s="57" t="n">
        <v>20</v>
      </c>
      <c r="N1105" s="60" t="n">
        <v>35</v>
      </c>
      <c r="O1105" s="55" t="s">
        <v>411</v>
      </c>
      <c r="P1105" s="57" t="n">
        <v>19</v>
      </c>
      <c r="Q1105" s="60" t="n">
        <f aca="false">IF(BR1105=1,0,IFERROR(VLOOKUP(BP1105,'Gebinde-Kategorie'!$A$5:$M$45,13,0)+0,0))</f>
        <v>132</v>
      </c>
      <c r="R1105" s="61"/>
      <c r="S1105" s="62"/>
      <c r="T1105" s="62"/>
      <c r="U1105" s="55"/>
      <c r="V1105" s="57"/>
      <c r="W1105" s="57"/>
      <c r="X1105" s="55" t="n">
        <f aca="false">IF(A1105="","",IF(AND(Parameter!$B$21="Ja",ISNUMBER(U1105)),U1105,IF(IFERROR(VLOOKUP(D1105,Parameter!$A$35:$C$64,2,0),"Nein")="2+3",IF(ISNUMBER(SEARCH("grosser Artikel",BM1105)),2,IFERROR(VLOOKUP(BP1105,Parameter!$F$35:$G$64,2,0),2)),IF(OR(IFERROR(VLOOKUP(D1105,Parameter!$A$35:$C$64,2,0),"Nein")="Nein",IFERROR(VLOOKUP(D1105,Parameter!$A$35:$C$64,2,0),"Nein")=""),"-",VLOOKUP(D1105,Parameter!$A$35:$C$64,2,0)))))</f>
        <v>3</v>
      </c>
      <c r="Y1105" s="62"/>
      <c r="Z1105" s="63"/>
      <c r="AA1105" s="57" t="n">
        <f aca="false">AP1105</f>
        <v>38</v>
      </c>
      <c r="AB1105" s="57" t="n">
        <f aca="false">MAX(AP1105,G1105)</f>
        <v>38</v>
      </c>
      <c r="AC1105" s="64"/>
      <c r="AD1105" s="57" t="n">
        <f aca="false">IF(LEFT(Cockpit!$C$5,1)="A",G1105,IF(BW1105=1,BX1105,IF(LEFT(Cockpit!$C$5,1)="B",AH1105,MAX(AH1105,G1105))))</f>
        <v>0</v>
      </c>
      <c r="AE1105" s="57" t="n">
        <f aca="false">IF(BR1105=1,0,ROUNDUP(AD1105/BQ1105,0))</f>
        <v>0</v>
      </c>
      <c r="AF1105" s="59" t="n">
        <f aca="false">IF(CD1105&gt;0,CD1105*MAX(1,AD1105/V1105),IF(BR1105=1,IF(AD1105&lt;=0,0,BS1105*MAX(1,IF(G1105&gt;0,AD1105/G1105,1))),IF(Q1105&gt;0,AE1105/Q1105,0))/MAX(0.1,N(Parameter!$M$21)))</f>
        <v>0</v>
      </c>
      <c r="AG1105" s="57" t="n">
        <f aca="false">AD1105*F1105</f>
        <v>0</v>
      </c>
      <c r="AH1105" s="57" t="n">
        <f aca="false">ROUNDUP(MAX(I1105/IF(BV1105&gt;0,BV1105,MAX(0.1,N(Cockpit!$C$6))),BY1105)/BQ1105,0)*BQ1105</f>
        <v>38</v>
      </c>
      <c r="AI1105" s="58" t="n">
        <f aca="false">IF(AF1105&gt;0,I1105/AF1105,-1)</f>
        <v>-1</v>
      </c>
      <c r="AJ1105" s="58" t="str">
        <f aca="false">IF(AND(OR(BU1105="L1",BU1105="L23"),AF1105&gt;0),SUMIFS($AF$7:$AF$1576,$BU$7:$BU$1576,BU1105,$AI$7:$AI$1576,"&gt;"&amp;AI1105)+SUMIFS($AF$7:$AF$1576,$BU$7:$BU$1576,BU1105,$AI$7:$AI$1576,AI1105,$BO$7:$BO$1576,"&lt;="&amp;BO1105),"")</f>
        <v/>
      </c>
      <c r="AK1105" s="65" t="n">
        <f aca="false">IF(AJ1105="",0,MAX(0,MIN(1,(IF(BU1105="L1",Parameter!$E$5,Parameter!$E$6+Parameter!$E$7)-(AJ1105-AF1105))/AF1105)))</f>
        <v>0</v>
      </c>
      <c r="AL1105" s="57" t="n">
        <f aca="false">IF(LEFT(Cockpit!$I$5,1)="A",G1105,IF(BW1105=1,BX1105,IF(LEFT(Cockpit!$I$5,1)="B",AP1105,MAX(AP1105,G1105))))</f>
        <v>38</v>
      </c>
      <c r="AM1105" s="57" t="n">
        <f aca="false">IF(BR1105=1,0,ROUNDUP(AL1105/BQ1105,0))</f>
        <v>2</v>
      </c>
      <c r="AN1105" s="59" t="n">
        <f aca="false">IF(CD1105&gt;0,CD1105*MAX(1,AL1105/V1105),IF(BR1105=1,IF(AL1105&lt;=0,0,BS1105*MAX(1,IF(G1105&gt;0,AL1105/G1105,1))),IF(Q1105&gt;0,AM1105/Q1105,0))/MAX(0.1,N(Parameter!$M$21)))</f>
        <v>0.0151515151515152</v>
      </c>
      <c r="AO1105" s="57" t="n">
        <f aca="false">AL1105*F1105</f>
        <v>1406</v>
      </c>
      <c r="AP1105" s="57" t="n">
        <f aca="false">ROUNDUP(MAX(I1105/IF(BV1105&gt;0,BV1105,MAX(0.1,N(Cockpit!$I$6))),BY1105)/BQ1105,0)*BQ1105</f>
        <v>38</v>
      </c>
      <c r="AQ1105" s="58" t="n">
        <f aca="false">IF(AN1105&gt;0,I1105/AN1105,-1)</f>
        <v>1320</v>
      </c>
      <c r="AR1105" s="58" t="n">
        <f aca="false">IF(AND(OR(BU1105="L1",BU1105="L23"),AN1105&gt;0),SUMIFS($AN$7:$AN$1576,$BU$7:$BU$1576,BU1105,$AQ$7:$AQ$1576,"&gt;"&amp;AQ1105)+SUMIFS($AN$7:$AN$1576,$BU$7:$BU$1576,BU1105,$AQ$7:$AQ$1576,AQ1105,$BO$7:$BO$1576,"&lt;="&amp;BO1105),"")</f>
        <v>20.2538498340784</v>
      </c>
      <c r="AS1105" s="65" t="n">
        <f aca="false">IF(AR1105="",0,MAX(0,MIN(1,(IF(BU1105="L1",Parameter!$E$5,Parameter!$E$6+Parameter!$E$7)-(AR1105-AN1105))/AN1105)))</f>
        <v>1</v>
      </c>
      <c r="AT1105" s="57" t="n">
        <f aca="false">IF(LEFT(Cockpit!$O$5,1)="A",G1105,IF(BW1105=1,BX1105,IF(LEFT(Cockpit!$O$5,1)="B",AX1105,MAX(AX1105,G1105))))</f>
        <v>38</v>
      </c>
      <c r="AU1105" s="57" t="n">
        <f aca="false">IF(BR1105=1,0,ROUNDUP(AT1105/BQ1105,0))</f>
        <v>2</v>
      </c>
      <c r="AV1105" s="59" t="n">
        <f aca="false">IF(CD1105&gt;0,CD1105*MAX(1,AT1105/V1105),IF(BR1105=1,IF(AT1105&lt;=0,0,BS1105*MAX(1,IF(G1105&gt;0,AT1105/G1105,1))),IF(Q1105&gt;0,AU1105/Q1105,0))/MAX(0.1,N(Parameter!$M$21)))</f>
        <v>0.0151515151515152</v>
      </c>
      <c r="AW1105" s="57" t="n">
        <f aca="false">AT1105*F1105</f>
        <v>1406</v>
      </c>
      <c r="AX1105" s="57" t="n">
        <f aca="false">ROUNDUP(MAX(I1105/IF(BV1105&gt;0,BV1105,MAX(0.1,N(Cockpit!$O$6))),BY1105)/BQ1105,0)*BQ1105</f>
        <v>38</v>
      </c>
      <c r="AY1105" s="58" t="n">
        <f aca="false">IF(AV1105&gt;0,I1105/AV1105,-1)</f>
        <v>1320</v>
      </c>
      <c r="AZ1105" s="58" t="n">
        <f aca="false">IF(AND(OR(BU1105="L1",BU1105="L23"),AV1105&gt;0),SUMIFS($AV$7:$AV$1576,$BU$7:$BU$1576,BU1105,$AY$7:$AY$1576,"&gt;"&amp;AY1105)+SUMIFS($AV$7:$AV$1576,$BU$7:$BU$1576,BU1105,$AY$7:$AY$1576,AY1105,$BO$7:$BO$1576,"&lt;="&amp;BO1105),"")</f>
        <v>19.3144558946844</v>
      </c>
      <c r="BA1105" s="65" t="n">
        <f aca="false">IF(AZ1105="",0,MAX(0,MIN(1,(IF(BU1105="L1",Parameter!$E$5,Parameter!$E$6+Parameter!$E$7)-(AZ1105-AV1105))/AV1105)))</f>
        <v>1</v>
      </c>
      <c r="BB1105" s="55" t="str">
        <f aca="false">IF(AF1105&lt;=0,"",IF(BU1105="Aussen","Aussenlager",IF(BU1105="-","Nicht im Lift",IF(AK1105&gt;=1,"Lift",IF(AK1105&lt;=0,"Aussenlager","teilweise")))))</f>
        <v/>
      </c>
      <c r="BC1105" s="55" t="str">
        <f aca="false">IF(AN1105&lt;=0,"",IF(BU1105="Aussen","Aussenlager",IF(BU1105="-","Nicht im Lift",IF(AS1105&gt;=1,"Lift",IF(AS1105&lt;=0,"Aussenlager","teilweise")))))</f>
        <v>Lift</v>
      </c>
      <c r="BD1105" s="55" t="str">
        <f aca="false">IF(AV1105&lt;=0,"",IF(BU1105="Aussen","Aussenlager",IF(BU1105="-","Nicht im Lift",IF(BA1105&gt;=1,"Lift",IF(BA1105&lt;=0,"Aussenlager","teilweise")))))</f>
        <v>Lift</v>
      </c>
      <c r="BE1105" s="55" t="str">
        <f aca="false">IF(A1105="","",IF(BN1105=1,"Neu; ","")&amp;IF(AND(BN1105=0,BI1105&lt;0),"negativer Bestand (Export "&amp;BI1105&amp;"); ","")&amp;IF(I1105&lt;=0,"Kein Verbrauch; ","")&amp;IF(CD1105&gt;0,"Lift "&amp;U1105&amp;" lt. Liftbericht (Fach "&amp;V1105&amp;" Stk); ",IF(BR1105=1,"Lose – Fläche geschätzt; ",""))&amp;IF(G1105&gt;AP1105,"Überbestand "&amp;ROUND(G1105-AP1105,0)&amp;" Stk / CHF "&amp;ROUND((G1105-AP1105)*F1105,0)&amp;"; ","")&amp;IF(AND(BW1105=1,BX1105&lt;BY1105),"MAX &lt; MB+LG; ","")&amp;IF(AND(CC1105&gt;0,CB1105*10&gt;CC1105),"zu hoch für Tablar; ","")&amp;IF(AND(BN1105=0,OR(BW1105=1,Y1105&lt;&gt;"",S1105&lt;&gt;"",T1105&lt;&gt;"",Z1105&lt;&gt;"")),"manuell übersteuert; ","")&amp;IF(AND(BR1105=0,Q1105=0),"Gebinde unbekannt / Stellmass fehlt; ","")&amp;IF(AND(BR1105=0,N(T1105)&lt;=0,N(P1105)&lt;=0),"Menge pro Gebinde fehlt (Ist = 1 Gebinde); ","")&amp;BM1105)</f>
        <v>negativer Bestand (Export -6); </v>
      </c>
      <c r="BF1105" s="55"/>
      <c r="BG1105" s="55"/>
      <c r="BH1105" s="62"/>
      <c r="BI1105" s="57" t="n">
        <v>-6</v>
      </c>
      <c r="BJ1105" s="57" t="n">
        <v>14</v>
      </c>
      <c r="BK1105" s="56" t="n">
        <v>-222</v>
      </c>
      <c r="BL1105" s="57" t="n">
        <v>20</v>
      </c>
      <c r="BM1105" s="55"/>
      <c r="BN1105" s="60" t="n">
        <v>0</v>
      </c>
      <c r="BO1105" s="60" t="n">
        <v>1105</v>
      </c>
      <c r="BP1105" s="55" t="str">
        <f aca="false">IF(S1105&lt;&gt;"",UPPER(TRIM(S1105)),IF(O1105="","LOSE",O1105))</f>
        <v>S32</v>
      </c>
      <c r="BQ1105" s="57" t="n">
        <f aca="false">IF(BP1105="LOSE",1,IF(N(T1105)&gt;0,T1105,IF(N(P1105)&gt;0,P1105,MAX(1,G1105))))</f>
        <v>19</v>
      </c>
      <c r="BR1105" s="60" t="n">
        <f aca="false">IF(BP1105="LOSE",1,0)</f>
        <v>0</v>
      </c>
      <c r="BS1105" s="59" t="n">
        <f aca="false">IF(BR1105=0,0,IF(N(R1105)&gt;0,R1105,IFERROR(VLOOKUP(D1105,Parameter!$A$35:$C$64,3,0)+0,0)))</f>
        <v>0</v>
      </c>
      <c r="BT1105" s="55" t="n">
        <f aca="false">IF(Y1105&lt;&gt;"",Y1105,X1105)</f>
        <v>3</v>
      </c>
      <c r="BU1105" s="55" t="str">
        <f aca="false">IF(BT1105=1,"L1",IF(OR(BT1105=2,BT1105=3),"L23",IF(BT1105="Aussen","Aussen","-")))</f>
        <v>L23</v>
      </c>
      <c r="BV1105" s="66" t="n">
        <f aca="false">IF(N(Z1105)&gt;0,Z1105,0)</f>
        <v>0</v>
      </c>
      <c r="BW1105" s="60" t="n">
        <f aca="false">IF(ISNUMBER(AC1105),1,0)</f>
        <v>0</v>
      </c>
      <c r="BX1105" s="57" t="n">
        <f aca="false">N(AC1105)</f>
        <v>0</v>
      </c>
      <c r="BY1105" s="57" t="n">
        <f aca="false">N(L1105)+N(M1105)</f>
        <v>21</v>
      </c>
      <c r="BZ1105" s="57" t="n">
        <f aca="false">ROUNDUP(G1105/BQ1105,0)</f>
        <v>0</v>
      </c>
      <c r="CA1105" s="57" t="n">
        <f aca="false">ROUNDUP(BX1105/BQ1105,0)</f>
        <v>0</v>
      </c>
      <c r="CB1105" s="60" t="n">
        <f aca="false">IF(BR1105=1,0,IFERROR(VLOOKUP(BP1105,'Gebinde-Kategorie'!$A$5:$M$45,5,0)+0,0))</f>
        <v>8</v>
      </c>
      <c r="CC1105" s="60" t="n">
        <f aca="false">IFERROR(IF(OR(BT1105=1,BT1105=2,BT1105=3),N(INDEX(Parameter!$I$5:$I$7,BT1105)),0),0)</f>
        <v>0</v>
      </c>
      <c r="CD1105" s="59" t="n">
        <f aca="false">IF(AND(Parameter!$B$21="Ja",ISNUMBER(U1105),N(V1105)&gt;0),IFERROR(N(INDEX(Parameter!$L$5:$L$7,U1105))*INDEX(Parameter!$E$5:$E$7,U1105)*V1105/SUMIFS($V$7:$V$1576,$U$7:$U$1576,U1105),0),0)</f>
        <v>0</v>
      </c>
    </row>
    <row r="1106" customFormat="false" ht="15" hidden="false" customHeight="false" outlineLevel="0" collapsed="false">
      <c r="A1106" s="55" t="s">
        <v>1996</v>
      </c>
      <c r="B1106" s="55" t="s">
        <v>533</v>
      </c>
      <c r="C1106" s="55" t="s">
        <v>160</v>
      </c>
      <c r="D1106" s="55" t="s">
        <v>178</v>
      </c>
      <c r="E1106" s="55" t="s">
        <v>210</v>
      </c>
      <c r="F1106" s="56" t="n">
        <v>16.05</v>
      </c>
      <c r="G1106" s="57" t="n">
        <f aca="false">MAX(0,IF(AND(Parameter!$B$21="Ja",ISNUMBER(W1106)),W1106,IF(Parameter!$B$20="Jahresanfang 2025 + Export",BJ1106+BI1106,BI1106)))</f>
        <v>0</v>
      </c>
      <c r="H1106" s="57" t="n">
        <f aca="false">G1106*F1106</f>
        <v>0</v>
      </c>
      <c r="I1106" s="57" t="n">
        <f aca="false">BL1106*Parameter!$B$18</f>
        <v>0</v>
      </c>
      <c r="J1106" s="58" t="n">
        <v>32</v>
      </c>
      <c r="K1106" s="59" t="n">
        <v>0</v>
      </c>
      <c r="L1106" s="57" t="n">
        <v>2</v>
      </c>
      <c r="M1106" s="57" t="n">
        <v>1</v>
      </c>
      <c r="N1106" s="60" t="n">
        <v>28</v>
      </c>
      <c r="O1106" s="55" t="s">
        <v>411</v>
      </c>
      <c r="P1106" s="57" t="n">
        <v>39</v>
      </c>
      <c r="Q1106" s="60" t="n">
        <f aca="false">IF(BR1106=1,0,IFERROR(VLOOKUP(BP1106,'Gebinde-Kategorie'!$A$5:$M$45,13,0)+0,0))</f>
        <v>132</v>
      </c>
      <c r="R1106" s="61"/>
      <c r="S1106" s="62"/>
      <c r="T1106" s="62"/>
      <c r="U1106" s="55"/>
      <c r="V1106" s="57"/>
      <c r="W1106" s="57"/>
      <c r="X1106" s="55" t="n">
        <f aca="false">IF(A1106="","",IF(AND(Parameter!$B$21="Ja",ISNUMBER(U1106)),U1106,IF(IFERROR(VLOOKUP(D1106,Parameter!$A$35:$C$64,2,0),"Nein")="2+3",IF(ISNUMBER(SEARCH("grosser Artikel",BM1106)),2,IFERROR(VLOOKUP(BP1106,Parameter!$F$35:$G$64,2,0),2)),IF(OR(IFERROR(VLOOKUP(D1106,Parameter!$A$35:$C$64,2,0),"Nein")="Nein",IFERROR(VLOOKUP(D1106,Parameter!$A$35:$C$64,2,0),"Nein")=""),"-",VLOOKUP(D1106,Parameter!$A$35:$C$64,2,0)))))</f>
        <v>3</v>
      </c>
      <c r="Y1106" s="62"/>
      <c r="Z1106" s="63"/>
      <c r="AA1106" s="57" t="n">
        <f aca="false">AP1106</f>
        <v>39</v>
      </c>
      <c r="AB1106" s="57" t="n">
        <f aca="false">MAX(AP1106,G1106)</f>
        <v>39</v>
      </c>
      <c r="AC1106" s="64"/>
      <c r="AD1106" s="57" t="n">
        <f aca="false">IF(LEFT(Cockpit!$C$5,1)="A",G1106,IF(BW1106=1,BX1106,IF(LEFT(Cockpit!$C$5,1)="B",AH1106,MAX(AH1106,G1106))))</f>
        <v>0</v>
      </c>
      <c r="AE1106" s="57" t="n">
        <f aca="false">IF(BR1106=1,0,ROUNDUP(AD1106/BQ1106,0))</f>
        <v>0</v>
      </c>
      <c r="AF1106" s="59" t="n">
        <f aca="false">IF(CD1106&gt;0,CD1106*MAX(1,AD1106/V1106),IF(BR1106=1,IF(AD1106&lt;=0,0,BS1106*MAX(1,IF(G1106&gt;0,AD1106/G1106,1))),IF(Q1106&gt;0,AE1106/Q1106,0))/MAX(0.1,N(Parameter!$M$21)))</f>
        <v>0</v>
      </c>
      <c r="AG1106" s="57" t="n">
        <f aca="false">AD1106*F1106</f>
        <v>0</v>
      </c>
      <c r="AH1106" s="57" t="n">
        <f aca="false">ROUNDUP(MAX(I1106/IF(BV1106&gt;0,BV1106,MAX(0.1,N(Cockpit!$C$6))),BY1106)/BQ1106,0)*BQ1106</f>
        <v>39</v>
      </c>
      <c r="AI1106" s="58" t="n">
        <f aca="false">IF(AF1106&gt;0,I1106/AF1106,-1)</f>
        <v>-1</v>
      </c>
      <c r="AJ1106" s="58" t="str">
        <f aca="false">IF(AND(OR(BU1106="L1",BU1106="L23"),AF1106&gt;0),SUMIFS($AF$7:$AF$1576,$BU$7:$BU$1576,BU1106,$AI$7:$AI$1576,"&gt;"&amp;AI1106)+SUMIFS($AF$7:$AF$1576,$BU$7:$BU$1576,BU1106,$AI$7:$AI$1576,AI1106,$BO$7:$BO$1576,"&lt;="&amp;BO1106),"")</f>
        <v/>
      </c>
      <c r="AK1106" s="65" t="n">
        <f aca="false">IF(AJ1106="",0,MAX(0,MIN(1,(IF(BU1106="L1",Parameter!$E$5,Parameter!$E$6+Parameter!$E$7)-(AJ1106-AF1106))/AF1106)))</f>
        <v>0</v>
      </c>
      <c r="AL1106" s="57" t="n">
        <f aca="false">IF(LEFT(Cockpit!$I$5,1)="A",G1106,IF(BW1106=1,BX1106,IF(LEFT(Cockpit!$I$5,1)="B",AP1106,MAX(AP1106,G1106))))</f>
        <v>39</v>
      </c>
      <c r="AM1106" s="57" t="n">
        <f aca="false">IF(BR1106=1,0,ROUNDUP(AL1106/BQ1106,0))</f>
        <v>1</v>
      </c>
      <c r="AN1106" s="59" t="n">
        <f aca="false">IF(CD1106&gt;0,CD1106*MAX(1,AL1106/V1106),IF(BR1106=1,IF(AL1106&lt;=0,0,BS1106*MAX(1,IF(G1106&gt;0,AL1106/G1106,1))),IF(Q1106&gt;0,AM1106/Q1106,0))/MAX(0.1,N(Parameter!$M$21)))</f>
        <v>0.00757575757575758</v>
      </c>
      <c r="AO1106" s="57" t="n">
        <f aca="false">AL1106*F1106</f>
        <v>625.95</v>
      </c>
      <c r="AP1106" s="57" t="n">
        <f aca="false">ROUNDUP(MAX(I1106/IF(BV1106&gt;0,BV1106,MAX(0.1,N(Cockpit!$I$6))),BY1106)/BQ1106,0)*BQ1106</f>
        <v>39</v>
      </c>
      <c r="AQ1106" s="58" t="n">
        <f aca="false">IF(AN1106&gt;0,I1106/AN1106,-1)</f>
        <v>0</v>
      </c>
      <c r="AR1106" s="58" t="n">
        <f aca="false">IF(AND(OR(BU1106="L1",BU1106="L23"),AN1106&gt;0),SUMIFS($AN$7:$AN$1576,$BU$7:$BU$1576,BU1106,$AQ$7:$AQ$1576,"&gt;"&amp;AQ1106)+SUMIFS($AN$7:$AN$1576,$BU$7:$BU$1576,BU1106,$AQ$7:$AQ$1576,AQ1106,$BO$7:$BO$1576,"&lt;="&amp;BO1106),"")</f>
        <v>133.641962843967</v>
      </c>
      <c r="AS1106" s="65" t="n">
        <f aca="false">IF(AR1106="",0,MAX(0,MIN(1,(IF(BU1106="L1",Parameter!$E$5,Parameter!$E$6+Parameter!$E$7)-(AR1106-AN1106))/AN1106)))</f>
        <v>0</v>
      </c>
      <c r="AT1106" s="57" t="n">
        <f aca="false">IF(LEFT(Cockpit!$O$5,1)="A",G1106,IF(BW1106=1,BX1106,IF(LEFT(Cockpit!$O$5,1)="B",AX1106,MAX(AX1106,G1106))))</f>
        <v>39</v>
      </c>
      <c r="AU1106" s="57" t="n">
        <f aca="false">IF(BR1106=1,0,ROUNDUP(AT1106/BQ1106,0))</f>
        <v>1</v>
      </c>
      <c r="AV1106" s="59" t="n">
        <f aca="false">IF(CD1106&gt;0,CD1106*MAX(1,AT1106/V1106),IF(BR1106=1,IF(AT1106&lt;=0,0,BS1106*MAX(1,IF(G1106&gt;0,AT1106/G1106,1))),IF(Q1106&gt;0,AU1106/Q1106,0))/MAX(0.1,N(Parameter!$M$21)))</f>
        <v>0.00757575757575758</v>
      </c>
      <c r="AW1106" s="57" t="n">
        <f aca="false">AT1106*F1106</f>
        <v>625.95</v>
      </c>
      <c r="AX1106" s="57" t="n">
        <f aca="false">ROUNDUP(MAX(I1106/IF(BV1106&gt;0,BV1106,MAX(0.1,N(Cockpit!$O$6))),BY1106)/BQ1106,0)*BQ1106</f>
        <v>39</v>
      </c>
      <c r="AY1106" s="58" t="n">
        <f aca="false">IF(AV1106&gt;0,I1106/AV1106,-1)</f>
        <v>0</v>
      </c>
      <c r="AZ1106" s="58" t="n">
        <f aca="false">IF(AND(OR(BU1106="L1",BU1106="L23"),AV1106&gt;0),SUMIFS($AV$7:$AV$1576,$BU$7:$BU$1576,BU1106,$AY$7:$AY$1576,"&gt;"&amp;AY1106)+SUMIFS($AV$7:$AV$1576,$BU$7:$BU$1576,BU1106,$AY$7:$AY$1576,AY1106,$BO$7:$BO$1576,"&lt;="&amp;BO1106),"")</f>
        <v>123.701513293517</v>
      </c>
      <c r="BA1106" s="65" t="n">
        <f aca="false">IF(AZ1106="",0,MAX(0,MIN(1,(IF(BU1106="L1",Parameter!$E$5,Parameter!$E$6+Parameter!$E$7)-(AZ1106-AV1106))/AV1106)))</f>
        <v>0</v>
      </c>
      <c r="BB1106" s="55" t="str">
        <f aca="false">IF(AF1106&lt;=0,"",IF(BU1106="Aussen","Aussenlager",IF(BU1106="-","Nicht im Lift",IF(AK1106&gt;=1,"Lift",IF(AK1106&lt;=0,"Aussenlager","teilweise")))))</f>
        <v/>
      </c>
      <c r="BC1106" s="55" t="str">
        <f aca="false">IF(AN1106&lt;=0,"",IF(BU1106="Aussen","Aussenlager",IF(BU1106="-","Nicht im Lift",IF(AS1106&gt;=1,"Lift",IF(AS1106&lt;=0,"Aussenlager","teilweise")))))</f>
        <v>Aussenlager</v>
      </c>
      <c r="BD1106" s="55" t="str">
        <f aca="false">IF(AV1106&lt;=0,"",IF(BU1106="Aussen","Aussenlager",IF(BU1106="-","Nicht im Lift",IF(BA1106&gt;=1,"Lift",IF(BA1106&lt;=0,"Aussenlager","teilweise")))))</f>
        <v>Aussenlager</v>
      </c>
      <c r="BE1106" s="55" t="str">
        <f aca="false">IF(A1106="","",IF(BN1106=1,"Neu; ","")&amp;IF(AND(BN1106=0,BI1106&lt;0),"negativer Bestand (Export "&amp;BI1106&amp;"); ","")&amp;IF(I1106&lt;=0,"Kein Verbrauch; ","")&amp;IF(CD1106&gt;0,"Lift "&amp;U1106&amp;" lt. Liftbericht (Fach "&amp;V1106&amp;" Stk); ",IF(BR1106=1,"Lose – Fläche geschätzt; ",""))&amp;IF(G1106&gt;AP1106,"Überbestand "&amp;ROUND(G1106-AP1106,0)&amp;" Stk / CHF "&amp;ROUND((G1106-AP1106)*F1106,0)&amp;"; ","")&amp;IF(AND(BW1106=1,BX1106&lt;BY1106),"MAX &lt; MB+LG; ","")&amp;IF(AND(CC1106&gt;0,CB1106*10&gt;CC1106),"zu hoch für Tablar; ","")&amp;IF(AND(BN1106=0,OR(BW1106=1,Y1106&lt;&gt;"",S1106&lt;&gt;"",T1106&lt;&gt;"",Z1106&lt;&gt;"")),"manuell übersteuert; ","")&amp;IF(AND(BR1106=0,Q1106=0),"Gebinde unbekannt / Stellmass fehlt; ","")&amp;IF(AND(BR1106=0,N(T1106)&lt;=0,N(P1106)&lt;=0),"Menge pro Gebinde fehlt (Ist = 1 Gebinde); ","")&amp;BM1106)</f>
        <v>negativer Bestand (Export -14); Kein Verbrauch; Neu</v>
      </c>
      <c r="BF1106" s="55"/>
      <c r="BG1106" s="55"/>
      <c r="BH1106" s="62"/>
      <c r="BI1106" s="57" t="n">
        <v>-14</v>
      </c>
      <c r="BJ1106" s="57" t="n">
        <v>39</v>
      </c>
      <c r="BK1106" s="56" t="n">
        <v>-224.7</v>
      </c>
      <c r="BL1106" s="57" t="n">
        <v>0</v>
      </c>
      <c r="BM1106" s="55" t="s">
        <v>615</v>
      </c>
      <c r="BN1106" s="60" t="n">
        <v>0</v>
      </c>
      <c r="BO1106" s="60" t="n">
        <v>1106</v>
      </c>
      <c r="BP1106" s="55" t="str">
        <f aca="false">IF(S1106&lt;&gt;"",UPPER(TRIM(S1106)),IF(O1106="","LOSE",O1106))</f>
        <v>S32</v>
      </c>
      <c r="BQ1106" s="57" t="n">
        <f aca="false">IF(BP1106="LOSE",1,IF(N(T1106)&gt;0,T1106,IF(N(P1106)&gt;0,P1106,MAX(1,G1106))))</f>
        <v>39</v>
      </c>
      <c r="BR1106" s="60" t="n">
        <f aca="false">IF(BP1106="LOSE",1,0)</f>
        <v>0</v>
      </c>
      <c r="BS1106" s="59" t="n">
        <f aca="false">IF(BR1106=0,0,IF(N(R1106)&gt;0,R1106,IFERROR(VLOOKUP(D1106,Parameter!$A$35:$C$64,3,0)+0,0)))</f>
        <v>0</v>
      </c>
      <c r="BT1106" s="55" t="n">
        <f aca="false">IF(Y1106&lt;&gt;"",Y1106,X1106)</f>
        <v>3</v>
      </c>
      <c r="BU1106" s="55" t="str">
        <f aca="false">IF(BT1106=1,"L1",IF(OR(BT1106=2,BT1106=3),"L23",IF(BT1106="Aussen","Aussen","-")))</f>
        <v>L23</v>
      </c>
      <c r="BV1106" s="66" t="n">
        <f aca="false">IF(N(Z1106)&gt;0,Z1106,0)</f>
        <v>0</v>
      </c>
      <c r="BW1106" s="60" t="n">
        <f aca="false">IF(ISNUMBER(AC1106),1,0)</f>
        <v>0</v>
      </c>
      <c r="BX1106" s="57" t="n">
        <f aca="false">N(AC1106)</f>
        <v>0</v>
      </c>
      <c r="BY1106" s="57" t="n">
        <f aca="false">N(L1106)+N(M1106)</f>
        <v>3</v>
      </c>
      <c r="BZ1106" s="57" t="n">
        <f aca="false">ROUNDUP(G1106/BQ1106,0)</f>
        <v>0</v>
      </c>
      <c r="CA1106" s="57" t="n">
        <f aca="false">ROUNDUP(BX1106/BQ1106,0)</f>
        <v>0</v>
      </c>
      <c r="CB1106" s="60" t="n">
        <f aca="false">IF(BR1106=1,0,IFERROR(VLOOKUP(BP1106,'Gebinde-Kategorie'!$A$5:$M$45,5,0)+0,0))</f>
        <v>8</v>
      </c>
      <c r="CC1106" s="60" t="n">
        <f aca="false">IFERROR(IF(OR(BT1106=1,BT1106=2,BT1106=3),N(INDEX(Parameter!$I$5:$I$7,BT1106)),0),0)</f>
        <v>0</v>
      </c>
      <c r="CD1106" s="59" t="n">
        <f aca="false">IF(AND(Parameter!$B$21="Ja",ISNUMBER(U1106),N(V1106)&gt;0),IFERROR(N(INDEX(Parameter!$L$5:$L$7,U1106))*INDEX(Parameter!$E$5:$E$7,U1106)*V1106/SUMIFS($V$7:$V$1576,$U$7:$U$1576,U1106),0),0)</f>
        <v>0</v>
      </c>
    </row>
    <row r="1107" customFormat="false" ht="15" hidden="false" customHeight="false" outlineLevel="0" collapsed="false">
      <c r="A1107" s="55" t="s">
        <v>1997</v>
      </c>
      <c r="B1107" s="55" t="s">
        <v>1998</v>
      </c>
      <c r="C1107" s="55" t="s">
        <v>160</v>
      </c>
      <c r="D1107" s="55" t="s">
        <v>178</v>
      </c>
      <c r="E1107" s="55" t="s">
        <v>210</v>
      </c>
      <c r="F1107" s="56" t="n">
        <v>225.71</v>
      </c>
      <c r="G1107" s="57" t="n">
        <f aca="false">MAX(0,IF(AND(Parameter!$B$21="Ja",ISNUMBER(W1107)),W1107,IF(Parameter!$B$20="Jahresanfang 2025 + Export",BJ1107+BI1107,BI1107)))</f>
        <v>0</v>
      </c>
      <c r="H1107" s="57" t="n">
        <f aca="false">G1107*F1107</f>
        <v>0</v>
      </c>
      <c r="I1107" s="57" t="n">
        <f aca="false">BL1107*Parameter!$B$18</f>
        <v>1</v>
      </c>
      <c r="J1107" s="58" t="n">
        <v>6.5</v>
      </c>
      <c r="K1107" s="59" t="n">
        <v>0.153846153846154</v>
      </c>
      <c r="L1107" s="57" t="n">
        <v>0</v>
      </c>
      <c r="M1107" s="57" t="n">
        <v>1</v>
      </c>
      <c r="N1107" s="60" t="n">
        <v>28</v>
      </c>
      <c r="O1107" s="55" t="s">
        <v>319</v>
      </c>
      <c r="P1107" s="57" t="n">
        <v>7</v>
      </c>
      <c r="Q1107" s="60" t="n">
        <f aca="false">IF(BR1107=1,0,IFERROR(VLOOKUP(BP1107,'Gebinde-Kategorie'!$A$5:$M$45,13,0)+0,0))</f>
        <v>52</v>
      </c>
      <c r="R1107" s="61"/>
      <c r="S1107" s="62"/>
      <c r="T1107" s="62"/>
      <c r="U1107" s="55"/>
      <c r="V1107" s="57"/>
      <c r="W1107" s="57"/>
      <c r="X1107" s="55" t="n">
        <f aca="false">IF(A1107="","",IF(AND(Parameter!$B$21="Ja",ISNUMBER(U1107)),U1107,IF(IFERROR(VLOOKUP(D1107,Parameter!$A$35:$C$64,2,0),"Nein")="2+3",IF(ISNUMBER(SEARCH("grosser Artikel",BM1107)),2,IFERROR(VLOOKUP(BP1107,Parameter!$F$35:$G$64,2,0),2)),IF(OR(IFERROR(VLOOKUP(D1107,Parameter!$A$35:$C$64,2,0),"Nein")="Nein",IFERROR(VLOOKUP(D1107,Parameter!$A$35:$C$64,2,0),"Nein")=""),"-",VLOOKUP(D1107,Parameter!$A$35:$C$64,2,0)))))</f>
        <v>3</v>
      </c>
      <c r="Y1107" s="62"/>
      <c r="Z1107" s="63"/>
      <c r="AA1107" s="57" t="n">
        <f aca="false">AP1107</f>
        <v>7</v>
      </c>
      <c r="AB1107" s="57" t="n">
        <f aca="false">MAX(AP1107,G1107)</f>
        <v>7</v>
      </c>
      <c r="AC1107" s="64"/>
      <c r="AD1107" s="57" t="n">
        <f aca="false">IF(LEFT(Cockpit!$C$5,1)="A",G1107,IF(BW1107=1,BX1107,IF(LEFT(Cockpit!$C$5,1)="B",AH1107,MAX(AH1107,G1107))))</f>
        <v>0</v>
      </c>
      <c r="AE1107" s="57" t="n">
        <f aca="false">IF(BR1107=1,0,ROUNDUP(AD1107/BQ1107,0))</f>
        <v>0</v>
      </c>
      <c r="AF1107" s="59" t="n">
        <f aca="false">IF(CD1107&gt;0,CD1107*MAX(1,AD1107/V1107),IF(BR1107=1,IF(AD1107&lt;=0,0,BS1107*MAX(1,IF(G1107&gt;0,AD1107/G1107,1))),IF(Q1107&gt;0,AE1107/Q1107,0))/MAX(0.1,N(Parameter!$M$21)))</f>
        <v>0</v>
      </c>
      <c r="AG1107" s="57" t="n">
        <f aca="false">AD1107*F1107</f>
        <v>0</v>
      </c>
      <c r="AH1107" s="57" t="n">
        <f aca="false">ROUNDUP(MAX(I1107/IF(BV1107&gt;0,BV1107,MAX(0.1,N(Cockpit!$C$6))),BY1107)/BQ1107,0)*BQ1107</f>
        <v>7</v>
      </c>
      <c r="AI1107" s="58" t="n">
        <f aca="false">IF(AF1107&gt;0,I1107/AF1107,-1)</f>
        <v>-1</v>
      </c>
      <c r="AJ1107" s="58" t="str">
        <f aca="false">IF(AND(OR(BU1107="L1",BU1107="L23"),AF1107&gt;0),SUMIFS($AF$7:$AF$1576,$BU$7:$BU$1576,BU1107,$AI$7:$AI$1576,"&gt;"&amp;AI1107)+SUMIFS($AF$7:$AF$1576,$BU$7:$BU$1576,BU1107,$AI$7:$AI$1576,AI1107,$BO$7:$BO$1576,"&lt;="&amp;BO1107),"")</f>
        <v/>
      </c>
      <c r="AK1107" s="65" t="n">
        <f aca="false">IF(AJ1107="",0,MAX(0,MIN(1,(IF(BU1107="L1",Parameter!$E$5,Parameter!$E$6+Parameter!$E$7)-(AJ1107-AF1107))/AF1107)))</f>
        <v>0</v>
      </c>
      <c r="AL1107" s="57" t="n">
        <f aca="false">IF(LEFT(Cockpit!$I$5,1)="A",G1107,IF(BW1107=1,BX1107,IF(LEFT(Cockpit!$I$5,1)="B",AP1107,MAX(AP1107,G1107))))</f>
        <v>7</v>
      </c>
      <c r="AM1107" s="57" t="n">
        <f aca="false">IF(BR1107=1,0,ROUNDUP(AL1107/BQ1107,0))</f>
        <v>1</v>
      </c>
      <c r="AN1107" s="59" t="n">
        <f aca="false">IF(CD1107&gt;0,CD1107*MAX(1,AL1107/V1107),IF(BR1107=1,IF(AL1107&lt;=0,0,BS1107*MAX(1,IF(G1107&gt;0,AL1107/G1107,1))),IF(Q1107&gt;0,AM1107/Q1107,0))/MAX(0.1,N(Parameter!$M$21)))</f>
        <v>0.0192307692307692</v>
      </c>
      <c r="AO1107" s="57" t="n">
        <f aca="false">AL1107*F1107</f>
        <v>1579.97</v>
      </c>
      <c r="AP1107" s="57" t="n">
        <f aca="false">ROUNDUP(MAX(I1107/IF(BV1107&gt;0,BV1107,MAX(0.1,N(Cockpit!$I$6))),BY1107)/BQ1107,0)*BQ1107</f>
        <v>7</v>
      </c>
      <c r="AQ1107" s="58" t="n">
        <f aca="false">IF(AN1107&gt;0,I1107/AN1107,-1)</f>
        <v>52</v>
      </c>
      <c r="AR1107" s="58" t="n">
        <f aca="false">IF(AND(OR(BU1107="L1",BU1107="L23"),AN1107&gt;0),SUMIFS($AN$7:$AN$1576,$BU$7:$BU$1576,BU1107,$AQ$7:$AQ$1576,"&gt;"&amp;AQ1107)+SUMIFS($AN$7:$AN$1576,$BU$7:$BU$1576,BU1107,$AQ$7:$AQ$1576,AQ1107,$BO$7:$BO$1576,"&lt;="&amp;BO1107),"")</f>
        <v>82.2721781784393</v>
      </c>
      <c r="AS1107" s="65" t="n">
        <f aca="false">IF(AR1107="",0,MAX(0,MIN(1,(IF(BU1107="L1",Parameter!$E$5,Parameter!$E$6+Parameter!$E$7)-(AR1107-AN1107))/AN1107)))</f>
        <v>1</v>
      </c>
      <c r="AT1107" s="57" t="n">
        <f aca="false">IF(LEFT(Cockpit!$O$5,1)="A",G1107,IF(BW1107=1,BX1107,IF(LEFT(Cockpit!$O$5,1)="B",AX1107,MAX(AX1107,G1107))))</f>
        <v>7</v>
      </c>
      <c r="AU1107" s="57" t="n">
        <f aca="false">IF(BR1107=1,0,ROUNDUP(AT1107/BQ1107,0))</f>
        <v>1</v>
      </c>
      <c r="AV1107" s="59" t="n">
        <f aca="false">IF(CD1107&gt;0,CD1107*MAX(1,AT1107/V1107),IF(BR1107=1,IF(AT1107&lt;=0,0,BS1107*MAX(1,IF(G1107&gt;0,AT1107/G1107,1))),IF(Q1107&gt;0,AU1107/Q1107,0))/MAX(0.1,N(Parameter!$M$21)))</f>
        <v>0.0192307692307692</v>
      </c>
      <c r="AW1107" s="57" t="n">
        <f aca="false">AT1107*F1107</f>
        <v>1579.97</v>
      </c>
      <c r="AX1107" s="57" t="n">
        <f aca="false">ROUNDUP(MAX(I1107/IF(BV1107&gt;0,BV1107,MAX(0.1,N(Cockpit!$O$6))),BY1107)/BQ1107,0)*BQ1107</f>
        <v>7</v>
      </c>
      <c r="AY1107" s="58" t="n">
        <f aca="false">IF(AV1107&gt;0,I1107/AV1107,-1)</f>
        <v>52</v>
      </c>
      <c r="AZ1107" s="58" t="n">
        <f aca="false">IF(AND(OR(BU1107="L1",BU1107="L23"),AV1107&gt;0),SUMIFS($AV$7:$AV$1576,$BU$7:$BU$1576,BU1107,$AY$7:$AY$1576,"&gt;"&amp;AY1107)+SUMIFS($AV$7:$AV$1576,$BU$7:$BU$1576,BU1107,$AY$7:$AY$1576,AY1107,$BO$7:$BO$1576,"&lt;="&amp;BO1107),"")</f>
        <v>78.6900619613231</v>
      </c>
      <c r="BA1107" s="65" t="n">
        <f aca="false">IF(AZ1107="",0,MAX(0,MIN(1,(IF(BU1107="L1",Parameter!$E$5,Parameter!$E$6+Parameter!$E$7)-(AZ1107-AV1107))/AV1107)))</f>
        <v>1</v>
      </c>
      <c r="BB1107" s="55" t="str">
        <f aca="false">IF(AF1107&lt;=0,"",IF(BU1107="Aussen","Aussenlager",IF(BU1107="-","Nicht im Lift",IF(AK1107&gt;=1,"Lift",IF(AK1107&lt;=0,"Aussenlager","teilweise")))))</f>
        <v/>
      </c>
      <c r="BC1107" s="55" t="str">
        <f aca="false">IF(AN1107&lt;=0,"",IF(BU1107="Aussen","Aussenlager",IF(BU1107="-","Nicht im Lift",IF(AS1107&gt;=1,"Lift",IF(AS1107&lt;=0,"Aussenlager","teilweise")))))</f>
        <v>Lift</v>
      </c>
      <c r="BD1107" s="55" t="str">
        <f aca="false">IF(AV1107&lt;=0,"",IF(BU1107="Aussen","Aussenlager",IF(BU1107="-","Nicht im Lift",IF(BA1107&gt;=1,"Lift",IF(BA1107&lt;=0,"Aussenlager","teilweise")))))</f>
        <v>Lift</v>
      </c>
      <c r="BE1107" s="55" t="str">
        <f aca="false">IF(A1107="","",IF(BN1107=1,"Neu; ","")&amp;IF(AND(BN1107=0,BI1107&lt;0),"negativer Bestand (Export "&amp;BI1107&amp;"); ","")&amp;IF(I1107&lt;=0,"Kein Verbrauch; ","")&amp;IF(CD1107&gt;0,"Lift "&amp;U1107&amp;" lt. Liftbericht (Fach "&amp;V1107&amp;" Stk); ",IF(BR1107=1,"Lose – Fläche geschätzt; ",""))&amp;IF(G1107&gt;AP1107,"Überbestand "&amp;ROUND(G1107-AP1107,0)&amp;" Stk / CHF "&amp;ROUND((G1107-AP1107)*F1107,0)&amp;"; ","")&amp;IF(AND(BW1107=1,BX1107&lt;BY1107),"MAX &lt; MB+LG; ","")&amp;IF(AND(CC1107&gt;0,CB1107*10&gt;CC1107),"zu hoch für Tablar; ","")&amp;IF(AND(BN1107=0,OR(BW1107=1,Y1107&lt;&gt;"",S1107&lt;&gt;"",T1107&lt;&gt;"",Z1107&lt;&gt;"")),"manuell übersteuert; ","")&amp;IF(AND(BR1107=0,Q1107=0),"Gebinde unbekannt / Stellmass fehlt; ","")&amp;IF(AND(BR1107=0,N(T1107)&lt;=0,N(P1107)&lt;=0),"Menge pro Gebinde fehlt (Ist = 1 Gebinde); ","")&amp;BM1107)</f>
        <v>negativer Bestand (Export -1); Überbestand</v>
      </c>
      <c r="BF1107" s="55"/>
      <c r="BG1107" s="55"/>
      <c r="BH1107" s="62"/>
      <c r="BI1107" s="57" t="n">
        <v>-1</v>
      </c>
      <c r="BJ1107" s="57" t="n">
        <v>7</v>
      </c>
      <c r="BK1107" s="56" t="n">
        <v>-225.71</v>
      </c>
      <c r="BL1107" s="57" t="n">
        <v>1</v>
      </c>
      <c r="BM1107" s="55" t="s">
        <v>382</v>
      </c>
      <c r="BN1107" s="60" t="n">
        <v>0</v>
      </c>
      <c r="BO1107" s="60" t="n">
        <v>1107</v>
      </c>
      <c r="BP1107" s="55" t="str">
        <f aca="false">IF(S1107&lt;&gt;"",UPPER(TRIM(S1107)),IF(O1107="","LOSE",O1107))</f>
        <v>S41</v>
      </c>
      <c r="BQ1107" s="57" t="n">
        <f aca="false">IF(BP1107="LOSE",1,IF(N(T1107)&gt;0,T1107,IF(N(P1107)&gt;0,P1107,MAX(1,G1107))))</f>
        <v>7</v>
      </c>
      <c r="BR1107" s="60" t="n">
        <f aca="false">IF(BP1107="LOSE",1,0)</f>
        <v>0</v>
      </c>
      <c r="BS1107" s="59" t="n">
        <f aca="false">IF(BR1107=0,0,IF(N(R1107)&gt;0,R1107,IFERROR(VLOOKUP(D1107,Parameter!$A$35:$C$64,3,0)+0,0)))</f>
        <v>0</v>
      </c>
      <c r="BT1107" s="55" t="n">
        <f aca="false">IF(Y1107&lt;&gt;"",Y1107,X1107)</f>
        <v>3</v>
      </c>
      <c r="BU1107" s="55" t="str">
        <f aca="false">IF(BT1107=1,"L1",IF(OR(BT1107=2,BT1107=3),"L23",IF(BT1107="Aussen","Aussen","-")))</f>
        <v>L23</v>
      </c>
      <c r="BV1107" s="66" t="n">
        <f aca="false">IF(N(Z1107)&gt;0,Z1107,0)</f>
        <v>0</v>
      </c>
      <c r="BW1107" s="60" t="n">
        <f aca="false">IF(ISNUMBER(AC1107),1,0)</f>
        <v>0</v>
      </c>
      <c r="BX1107" s="57" t="n">
        <f aca="false">N(AC1107)</f>
        <v>0</v>
      </c>
      <c r="BY1107" s="57" t="n">
        <f aca="false">N(L1107)+N(M1107)</f>
        <v>1</v>
      </c>
      <c r="BZ1107" s="57" t="n">
        <f aca="false">ROUNDUP(G1107/BQ1107,0)</f>
        <v>0</v>
      </c>
      <c r="CA1107" s="57" t="n">
        <f aca="false">ROUNDUP(BX1107/BQ1107,0)</f>
        <v>0</v>
      </c>
      <c r="CB1107" s="60" t="n">
        <f aca="false">IF(BR1107=1,0,IFERROR(VLOOKUP(BP1107,'Gebinde-Kategorie'!$A$5:$M$45,5,0)+0,0))</f>
        <v>11</v>
      </c>
      <c r="CC1107" s="60" t="n">
        <f aca="false">IFERROR(IF(OR(BT1107=1,BT1107=2,BT1107=3),N(INDEX(Parameter!$I$5:$I$7,BT1107)),0),0)</f>
        <v>0</v>
      </c>
      <c r="CD1107" s="59" t="n">
        <f aca="false">IF(AND(Parameter!$B$21="Ja",ISNUMBER(U1107),N(V1107)&gt;0),IFERROR(N(INDEX(Parameter!$L$5:$L$7,U1107))*INDEX(Parameter!$E$5:$E$7,U1107)*V1107/SUMIFS($V$7:$V$1576,$U$7:$U$1576,U1107),0),0)</f>
        <v>0</v>
      </c>
    </row>
    <row r="1108" customFormat="false" ht="15" hidden="false" customHeight="false" outlineLevel="0" collapsed="false">
      <c r="A1108" s="55" t="s">
        <v>1999</v>
      </c>
      <c r="B1108" s="55" t="s">
        <v>2000</v>
      </c>
      <c r="C1108" s="55" t="s">
        <v>160</v>
      </c>
      <c r="D1108" s="55" t="s">
        <v>168</v>
      </c>
      <c r="E1108" s="55" t="s">
        <v>210</v>
      </c>
      <c r="F1108" s="56" t="n">
        <v>225.73</v>
      </c>
      <c r="G1108" s="57" t="n">
        <f aca="false">MAX(0,IF(AND(Parameter!$B$21="Ja",ISNUMBER(W1108)),W1108,IF(Parameter!$B$20="Jahresanfang 2025 + Export",BJ1108+BI1108,BI1108)))</f>
        <v>0</v>
      </c>
      <c r="H1108" s="57" t="n">
        <f aca="false">G1108*F1108</f>
        <v>0</v>
      </c>
      <c r="I1108" s="57" t="n">
        <f aca="false">BL1108*Parameter!$B$18</f>
        <v>1</v>
      </c>
      <c r="J1108" s="58" t="n">
        <v>14.5</v>
      </c>
      <c r="K1108" s="59" t="n">
        <v>0.0689655172413793</v>
      </c>
      <c r="L1108" s="57" t="n">
        <v>0</v>
      </c>
      <c r="M1108" s="57" t="n">
        <v>1</v>
      </c>
      <c r="N1108" s="60" t="n">
        <v>21</v>
      </c>
      <c r="O1108" s="55" t="s">
        <v>169</v>
      </c>
      <c r="P1108" s="57" t="n">
        <v>24</v>
      </c>
      <c r="Q1108" s="60" t="n">
        <f aca="false">IF(BR1108=1,0,IFERROR(VLOOKUP(BP1108,'Gebinde-Kategorie'!$A$5:$M$45,13,0)+0,0))</f>
        <v>6</v>
      </c>
      <c r="R1108" s="61"/>
      <c r="S1108" s="62"/>
      <c r="T1108" s="62"/>
      <c r="U1108" s="55"/>
      <c r="V1108" s="57"/>
      <c r="W1108" s="57"/>
      <c r="X1108" s="55" t="n">
        <f aca="false">IF(A1108="","",IF(AND(Parameter!$B$21="Ja",ISNUMBER(U1108)),U1108,IF(IFERROR(VLOOKUP(D1108,Parameter!$A$35:$C$64,2,0),"Nein")="2+3",IF(ISNUMBER(SEARCH("grosser Artikel",BM1108)),2,IFERROR(VLOOKUP(BP1108,Parameter!$F$35:$G$64,2,0),2)),IF(OR(IFERROR(VLOOKUP(D1108,Parameter!$A$35:$C$64,2,0),"Nein")="Nein",IFERROR(VLOOKUP(D1108,Parameter!$A$35:$C$64,2,0),"Nein")=""),"-",VLOOKUP(D1108,Parameter!$A$35:$C$64,2,0)))))</f>
        <v>2</v>
      </c>
      <c r="Y1108" s="62"/>
      <c r="Z1108" s="63"/>
      <c r="AA1108" s="57" t="n">
        <f aca="false">AP1108</f>
        <v>24</v>
      </c>
      <c r="AB1108" s="57" t="n">
        <f aca="false">MAX(AP1108,G1108)</f>
        <v>24</v>
      </c>
      <c r="AC1108" s="64"/>
      <c r="AD1108" s="57" t="n">
        <f aca="false">IF(LEFT(Cockpit!$C$5,1)="A",G1108,IF(BW1108=1,BX1108,IF(LEFT(Cockpit!$C$5,1)="B",AH1108,MAX(AH1108,G1108))))</f>
        <v>0</v>
      </c>
      <c r="AE1108" s="57" t="n">
        <f aca="false">IF(BR1108=1,0,ROUNDUP(AD1108/BQ1108,0))</f>
        <v>0</v>
      </c>
      <c r="AF1108" s="59" t="n">
        <f aca="false">IF(CD1108&gt;0,CD1108*MAX(1,AD1108/V1108),IF(BR1108=1,IF(AD1108&lt;=0,0,BS1108*MAX(1,IF(G1108&gt;0,AD1108/G1108,1))),IF(Q1108&gt;0,AE1108/Q1108,0))/MAX(0.1,N(Parameter!$M$21)))</f>
        <v>0</v>
      </c>
      <c r="AG1108" s="57" t="n">
        <f aca="false">AD1108*F1108</f>
        <v>0</v>
      </c>
      <c r="AH1108" s="57" t="n">
        <f aca="false">ROUNDUP(MAX(I1108/IF(BV1108&gt;0,BV1108,MAX(0.1,N(Cockpit!$C$6))),BY1108)/BQ1108,0)*BQ1108</f>
        <v>24</v>
      </c>
      <c r="AI1108" s="58" t="n">
        <f aca="false">IF(AF1108&gt;0,I1108/AF1108,-1)</f>
        <v>-1</v>
      </c>
      <c r="AJ1108" s="58" t="str">
        <f aca="false">IF(AND(OR(BU1108="L1",BU1108="L23"),AF1108&gt;0),SUMIFS($AF$7:$AF$1576,$BU$7:$BU$1576,BU1108,$AI$7:$AI$1576,"&gt;"&amp;AI1108)+SUMIFS($AF$7:$AF$1576,$BU$7:$BU$1576,BU1108,$AI$7:$AI$1576,AI1108,$BO$7:$BO$1576,"&lt;="&amp;BO1108),"")</f>
        <v/>
      </c>
      <c r="AK1108" s="65" t="n">
        <f aca="false">IF(AJ1108="",0,MAX(0,MIN(1,(IF(BU1108="L1",Parameter!$E$5,Parameter!$E$6+Parameter!$E$7)-(AJ1108-AF1108))/AF1108)))</f>
        <v>0</v>
      </c>
      <c r="AL1108" s="57" t="n">
        <f aca="false">IF(LEFT(Cockpit!$I$5,1)="A",G1108,IF(BW1108=1,BX1108,IF(LEFT(Cockpit!$I$5,1)="B",AP1108,MAX(AP1108,G1108))))</f>
        <v>24</v>
      </c>
      <c r="AM1108" s="57" t="n">
        <f aca="false">IF(BR1108=1,0,ROUNDUP(AL1108/BQ1108,0))</f>
        <v>1</v>
      </c>
      <c r="AN1108" s="59" t="n">
        <f aca="false">IF(CD1108&gt;0,CD1108*MAX(1,AL1108/V1108),IF(BR1108=1,IF(AL1108&lt;=0,0,BS1108*MAX(1,IF(G1108&gt;0,AL1108/G1108,1))),IF(Q1108&gt;0,AM1108/Q1108,0))/MAX(0.1,N(Parameter!$M$21)))</f>
        <v>0.166666666666667</v>
      </c>
      <c r="AO1108" s="57" t="n">
        <f aca="false">AL1108*F1108</f>
        <v>5417.52</v>
      </c>
      <c r="AP1108" s="57" t="n">
        <f aca="false">ROUNDUP(MAX(I1108/IF(BV1108&gt;0,BV1108,MAX(0.1,N(Cockpit!$I$6))),BY1108)/BQ1108,0)*BQ1108</f>
        <v>24</v>
      </c>
      <c r="AQ1108" s="58" t="n">
        <f aca="false">IF(AN1108&gt;0,I1108/AN1108,-1)</f>
        <v>6</v>
      </c>
      <c r="AR1108" s="58" t="n">
        <f aca="false">IF(AND(OR(BU1108="L1",BU1108="L23"),AN1108&gt;0),SUMIFS($AN$7:$AN$1576,$BU$7:$BU$1576,BU1108,$AQ$7:$AQ$1576,"&gt;"&amp;AQ1108)+SUMIFS($AN$7:$AN$1576,$BU$7:$BU$1576,BU1108,$AQ$7:$AQ$1576,AQ1108,$BO$7:$BO$1576,"&lt;="&amp;BO1108),"")</f>
        <v>112.625767922029</v>
      </c>
      <c r="AS1108" s="65" t="n">
        <f aca="false">IF(AR1108="",0,MAX(0,MIN(1,(IF(BU1108="L1",Parameter!$E$5,Parameter!$E$6+Parameter!$E$7)-(AR1108-AN1108))/AN1108)))</f>
        <v>0</v>
      </c>
      <c r="AT1108" s="57" t="n">
        <f aca="false">IF(LEFT(Cockpit!$O$5,1)="A",G1108,IF(BW1108=1,BX1108,IF(LEFT(Cockpit!$O$5,1)="B",AX1108,MAX(AX1108,G1108))))</f>
        <v>24</v>
      </c>
      <c r="AU1108" s="57" t="n">
        <f aca="false">IF(BR1108=1,0,ROUNDUP(AT1108/BQ1108,0))</f>
        <v>1</v>
      </c>
      <c r="AV1108" s="59" t="n">
        <f aca="false">IF(CD1108&gt;0,CD1108*MAX(1,AT1108/V1108),IF(BR1108=1,IF(AT1108&lt;=0,0,BS1108*MAX(1,IF(G1108&gt;0,AT1108/G1108,1))),IF(Q1108&gt;0,AU1108/Q1108,0))/MAX(0.1,N(Parameter!$M$21)))</f>
        <v>0.166666666666667</v>
      </c>
      <c r="AW1108" s="57" t="n">
        <f aca="false">AT1108*F1108</f>
        <v>5417.52</v>
      </c>
      <c r="AX1108" s="57" t="n">
        <f aca="false">ROUNDUP(MAX(I1108/IF(BV1108&gt;0,BV1108,MAX(0.1,N(Cockpit!$O$6))),BY1108)/BQ1108,0)*BQ1108</f>
        <v>24</v>
      </c>
      <c r="AY1108" s="58" t="n">
        <f aca="false">IF(AV1108&gt;0,I1108/AV1108,-1)</f>
        <v>6</v>
      </c>
      <c r="AZ1108" s="58" t="n">
        <f aca="false">IF(AND(OR(BU1108="L1",BU1108="L23"),AV1108&gt;0),SUMIFS($AV$7:$AV$1576,$BU$7:$BU$1576,BU1108,$AY$7:$AY$1576,"&gt;"&amp;AY1108)+SUMIFS($AV$7:$AV$1576,$BU$7:$BU$1576,BU1108,$AY$7:$AY$1576,AY1108,$BO$7:$BO$1576,"&lt;="&amp;BO1108),"")</f>
        <v>102.68531837158</v>
      </c>
      <c r="BA1108" s="65" t="n">
        <f aca="false">IF(AZ1108="",0,MAX(0,MIN(1,(IF(BU1108="L1",Parameter!$E$5,Parameter!$E$6+Parameter!$E$7)-(AZ1108-AV1108))/AV1108)))</f>
        <v>0</v>
      </c>
      <c r="BB1108" s="55" t="str">
        <f aca="false">IF(AF1108&lt;=0,"",IF(BU1108="Aussen","Aussenlager",IF(BU1108="-","Nicht im Lift",IF(AK1108&gt;=1,"Lift",IF(AK1108&lt;=0,"Aussenlager","teilweise")))))</f>
        <v/>
      </c>
      <c r="BC1108" s="55" t="str">
        <f aca="false">IF(AN1108&lt;=0,"",IF(BU1108="Aussen","Aussenlager",IF(BU1108="-","Nicht im Lift",IF(AS1108&gt;=1,"Lift",IF(AS1108&lt;=0,"Aussenlager","teilweise")))))</f>
        <v>Aussenlager</v>
      </c>
      <c r="BD1108" s="55" t="str">
        <f aca="false">IF(AV1108&lt;=0,"",IF(BU1108="Aussen","Aussenlager",IF(BU1108="-","Nicht im Lift",IF(BA1108&gt;=1,"Lift",IF(BA1108&lt;=0,"Aussenlager","teilweise")))))</f>
        <v>Aussenlager</v>
      </c>
      <c r="BE1108" s="55" t="str">
        <f aca="false">IF(A1108="","",IF(BN1108=1,"Neu; ","")&amp;IF(AND(BN1108=0,BI1108&lt;0),"negativer Bestand (Export "&amp;BI1108&amp;"); ","")&amp;IF(I1108&lt;=0,"Kein Verbrauch; ","")&amp;IF(CD1108&gt;0,"Lift "&amp;U1108&amp;" lt. Liftbericht (Fach "&amp;V1108&amp;" Stk); ",IF(BR1108=1,"Lose – Fläche geschätzt; ",""))&amp;IF(G1108&gt;AP1108,"Überbestand "&amp;ROUND(G1108-AP1108,0)&amp;" Stk / CHF "&amp;ROUND((G1108-AP1108)*F1108,0)&amp;"; ","")&amp;IF(AND(BW1108=1,BX1108&lt;BY1108),"MAX &lt; MB+LG; ","")&amp;IF(AND(CC1108&gt;0,CB1108*10&gt;CC1108),"zu hoch für Tablar; ","")&amp;IF(AND(BN1108=0,OR(BW1108=1,Y1108&lt;&gt;"",S1108&lt;&gt;"",T1108&lt;&gt;"",Z1108&lt;&gt;"")),"manuell übersteuert; ","")&amp;IF(AND(BR1108=0,Q1108=0),"Gebinde unbekannt / Stellmass fehlt; ","")&amp;IF(AND(BR1108=0,N(T1108)&lt;=0,N(P1108)&lt;=0),"Menge pro Gebinde fehlt (Ist = 1 Gebinde); ","")&amp;BM1108)</f>
        <v>negativer Bestand (Export -1); nicht im KTL vorhanden</v>
      </c>
      <c r="BF1108" s="55"/>
      <c r="BG1108" s="55"/>
      <c r="BH1108" s="62"/>
      <c r="BI1108" s="57" t="n">
        <v>-1</v>
      </c>
      <c r="BJ1108" s="57" t="n">
        <v>15</v>
      </c>
      <c r="BK1108" s="56" t="n">
        <v>-225.73</v>
      </c>
      <c r="BL1108" s="57" t="n">
        <v>1</v>
      </c>
      <c r="BM1108" s="55" t="s">
        <v>222</v>
      </c>
      <c r="BN1108" s="60" t="n">
        <v>0</v>
      </c>
      <c r="BO1108" s="60" t="n">
        <v>1108</v>
      </c>
      <c r="BP1108" s="55" t="str">
        <f aca="false">IF(S1108&lt;&gt;"",UPPER(TRIM(S1108)),IF(O1108="","LOSE",O1108))</f>
        <v>S71</v>
      </c>
      <c r="BQ1108" s="57" t="n">
        <f aca="false">IF(BP1108="LOSE",1,IF(N(T1108)&gt;0,T1108,IF(N(P1108)&gt;0,P1108,MAX(1,G1108))))</f>
        <v>24</v>
      </c>
      <c r="BR1108" s="60" t="n">
        <f aca="false">IF(BP1108="LOSE",1,0)</f>
        <v>0</v>
      </c>
      <c r="BS1108" s="59" t="n">
        <f aca="false">IF(BR1108=0,0,IF(N(R1108)&gt;0,R1108,IFERROR(VLOOKUP(D1108,Parameter!$A$35:$C$64,3,0)+0,0)))</f>
        <v>0</v>
      </c>
      <c r="BT1108" s="55" t="n">
        <f aca="false">IF(Y1108&lt;&gt;"",Y1108,X1108)</f>
        <v>2</v>
      </c>
      <c r="BU1108" s="55" t="str">
        <f aca="false">IF(BT1108=1,"L1",IF(OR(BT1108=2,BT1108=3),"L23",IF(BT1108="Aussen","Aussen","-")))</f>
        <v>L23</v>
      </c>
      <c r="BV1108" s="66" t="n">
        <f aca="false">IF(N(Z1108)&gt;0,Z1108,0)</f>
        <v>0</v>
      </c>
      <c r="BW1108" s="60" t="n">
        <f aca="false">IF(ISNUMBER(AC1108),1,0)</f>
        <v>0</v>
      </c>
      <c r="BX1108" s="57" t="n">
        <f aca="false">N(AC1108)</f>
        <v>0</v>
      </c>
      <c r="BY1108" s="57" t="n">
        <f aca="false">N(L1108)+N(M1108)</f>
        <v>1</v>
      </c>
      <c r="BZ1108" s="57" t="n">
        <f aca="false">ROUNDUP(G1108/BQ1108,0)</f>
        <v>0</v>
      </c>
      <c r="CA1108" s="57" t="n">
        <f aca="false">ROUNDUP(BX1108/BQ1108,0)</f>
        <v>0</v>
      </c>
      <c r="CB1108" s="60" t="n">
        <f aca="false">IF(BR1108=1,0,IFERROR(VLOOKUP(BP1108,'Gebinde-Kategorie'!$A$5:$M$45,5,0)+0,0))</f>
        <v>20</v>
      </c>
      <c r="CC1108" s="60" t="n">
        <f aca="false">IFERROR(IF(OR(BT1108=1,BT1108=2,BT1108=3),N(INDEX(Parameter!$I$5:$I$7,BT1108)),0),0)</f>
        <v>0</v>
      </c>
      <c r="CD1108" s="59" t="n">
        <f aca="false">IF(AND(Parameter!$B$21="Ja",ISNUMBER(U1108),N(V1108)&gt;0),IFERROR(N(INDEX(Parameter!$L$5:$L$7,U1108))*INDEX(Parameter!$E$5:$E$7,U1108)*V1108/SUMIFS($V$7:$V$1576,$U$7:$U$1576,U1108),0),0)</f>
        <v>0</v>
      </c>
    </row>
    <row r="1109" customFormat="false" ht="15" hidden="false" customHeight="false" outlineLevel="0" collapsed="false">
      <c r="A1109" s="55" t="s">
        <v>2001</v>
      </c>
      <c r="B1109" s="55" t="s">
        <v>773</v>
      </c>
      <c r="C1109" s="55" t="s">
        <v>160</v>
      </c>
      <c r="D1109" s="55" t="s">
        <v>168</v>
      </c>
      <c r="E1109" s="55" t="s">
        <v>210</v>
      </c>
      <c r="F1109" s="56" t="n">
        <v>256.99</v>
      </c>
      <c r="G1109" s="57" t="n">
        <f aca="false">MAX(0,IF(AND(Parameter!$B$21="Ja",ISNUMBER(W1109)),W1109,IF(Parameter!$B$20="Jahresanfang 2025 + Export",BJ1109+BI1109,BI1109)))</f>
        <v>0</v>
      </c>
      <c r="H1109" s="57" t="n">
        <f aca="false">G1109*F1109</f>
        <v>0</v>
      </c>
      <c r="I1109" s="57" t="n">
        <f aca="false">BL1109*Parameter!$B$18</f>
        <v>3</v>
      </c>
      <c r="J1109" s="58" t="n">
        <v>6</v>
      </c>
      <c r="K1109" s="59" t="n">
        <v>0.5</v>
      </c>
      <c r="L1109" s="57" t="n">
        <v>0</v>
      </c>
      <c r="M1109" s="57" t="n">
        <v>5</v>
      </c>
      <c r="N1109" s="60" t="n">
        <v>103</v>
      </c>
      <c r="O1109" s="55" t="s">
        <v>225</v>
      </c>
      <c r="P1109" s="57" t="n">
        <v>4</v>
      </c>
      <c r="Q1109" s="60" t="n">
        <f aca="false">IF(BR1109=1,0,IFERROR(VLOOKUP(BP1109,'Gebinde-Kategorie'!$A$5:$M$45,13,0)+0,0))</f>
        <v>26</v>
      </c>
      <c r="R1109" s="61"/>
      <c r="S1109" s="62"/>
      <c r="T1109" s="62"/>
      <c r="U1109" s="55"/>
      <c r="V1109" s="57"/>
      <c r="W1109" s="57"/>
      <c r="X1109" s="55" t="n">
        <f aca="false">IF(A1109="","",IF(AND(Parameter!$B$21="Ja",ISNUMBER(U1109)),U1109,IF(IFERROR(VLOOKUP(D1109,Parameter!$A$35:$C$64,2,0),"Nein")="2+3",IF(ISNUMBER(SEARCH("grosser Artikel",BM1109)),2,IFERROR(VLOOKUP(BP1109,Parameter!$F$35:$G$64,2,0),2)),IF(OR(IFERROR(VLOOKUP(D1109,Parameter!$A$35:$C$64,2,0),"Nein")="Nein",IFERROR(VLOOKUP(D1109,Parameter!$A$35:$C$64,2,0),"Nein")=""),"-",VLOOKUP(D1109,Parameter!$A$35:$C$64,2,0)))))</f>
        <v>3</v>
      </c>
      <c r="Y1109" s="62"/>
      <c r="Z1109" s="63"/>
      <c r="AA1109" s="57" t="n">
        <f aca="false">AP1109</f>
        <v>8</v>
      </c>
      <c r="AB1109" s="57" t="n">
        <f aca="false">MAX(AP1109,G1109)</f>
        <v>8</v>
      </c>
      <c r="AC1109" s="64"/>
      <c r="AD1109" s="57" t="n">
        <f aca="false">IF(LEFT(Cockpit!$C$5,1)="A",G1109,IF(BW1109=1,BX1109,IF(LEFT(Cockpit!$C$5,1)="B",AH1109,MAX(AH1109,G1109))))</f>
        <v>0</v>
      </c>
      <c r="AE1109" s="57" t="n">
        <f aca="false">IF(BR1109=1,0,ROUNDUP(AD1109/BQ1109,0))</f>
        <v>0</v>
      </c>
      <c r="AF1109" s="59" t="n">
        <f aca="false">IF(CD1109&gt;0,CD1109*MAX(1,AD1109/V1109),IF(BR1109=1,IF(AD1109&lt;=0,0,BS1109*MAX(1,IF(G1109&gt;0,AD1109/G1109,1))),IF(Q1109&gt;0,AE1109/Q1109,0))/MAX(0.1,N(Parameter!$M$21)))</f>
        <v>0</v>
      </c>
      <c r="AG1109" s="57" t="n">
        <f aca="false">AD1109*F1109</f>
        <v>0</v>
      </c>
      <c r="AH1109" s="57" t="n">
        <f aca="false">ROUNDUP(MAX(I1109/IF(BV1109&gt;0,BV1109,MAX(0.1,N(Cockpit!$C$6))),BY1109)/BQ1109,0)*BQ1109</f>
        <v>8</v>
      </c>
      <c r="AI1109" s="58" t="n">
        <f aca="false">IF(AF1109&gt;0,I1109/AF1109,-1)</f>
        <v>-1</v>
      </c>
      <c r="AJ1109" s="58" t="str">
        <f aca="false">IF(AND(OR(BU1109="L1",BU1109="L23"),AF1109&gt;0),SUMIFS($AF$7:$AF$1576,$BU$7:$BU$1576,BU1109,$AI$7:$AI$1576,"&gt;"&amp;AI1109)+SUMIFS($AF$7:$AF$1576,$BU$7:$BU$1576,BU1109,$AI$7:$AI$1576,AI1109,$BO$7:$BO$1576,"&lt;="&amp;BO1109),"")</f>
        <v/>
      </c>
      <c r="AK1109" s="65" t="n">
        <f aca="false">IF(AJ1109="",0,MAX(0,MIN(1,(IF(BU1109="L1",Parameter!$E$5,Parameter!$E$6+Parameter!$E$7)-(AJ1109-AF1109))/AF1109)))</f>
        <v>0</v>
      </c>
      <c r="AL1109" s="57" t="n">
        <f aca="false">IF(LEFT(Cockpit!$I$5,1)="A",G1109,IF(BW1109=1,BX1109,IF(LEFT(Cockpit!$I$5,1)="B",AP1109,MAX(AP1109,G1109))))</f>
        <v>8</v>
      </c>
      <c r="AM1109" s="57" t="n">
        <f aca="false">IF(BR1109=1,0,ROUNDUP(AL1109/BQ1109,0))</f>
        <v>2</v>
      </c>
      <c r="AN1109" s="59" t="n">
        <f aca="false">IF(CD1109&gt;0,CD1109*MAX(1,AL1109/V1109),IF(BR1109=1,IF(AL1109&lt;=0,0,BS1109*MAX(1,IF(G1109&gt;0,AL1109/G1109,1))),IF(Q1109&gt;0,AM1109/Q1109,0))/MAX(0.1,N(Parameter!$M$21)))</f>
        <v>0.0769230769230769</v>
      </c>
      <c r="AO1109" s="57" t="n">
        <f aca="false">AL1109*F1109</f>
        <v>2055.92</v>
      </c>
      <c r="AP1109" s="57" t="n">
        <f aca="false">ROUNDUP(MAX(I1109/IF(BV1109&gt;0,BV1109,MAX(0.1,N(Cockpit!$I$6))),BY1109)/BQ1109,0)*BQ1109</f>
        <v>8</v>
      </c>
      <c r="AQ1109" s="58" t="n">
        <f aca="false">IF(AN1109&gt;0,I1109/AN1109,-1)</f>
        <v>39</v>
      </c>
      <c r="AR1109" s="58" t="n">
        <f aca="false">IF(AND(OR(BU1109="L1",BU1109="L23"),AN1109&gt;0),SUMIFS($AN$7:$AN$1576,$BU$7:$BU$1576,BU1109,$AQ$7:$AQ$1576,"&gt;"&amp;AQ1109)+SUMIFS($AN$7:$AN$1576,$BU$7:$BU$1576,BU1109,$AQ$7:$AQ$1576,AQ1109,$BO$7:$BO$1576,"&lt;="&amp;BO1109),"")</f>
        <v>90.1055115117727</v>
      </c>
      <c r="AS1109" s="65" t="n">
        <f aca="false">IF(AR1109="",0,MAX(0,MIN(1,(IF(BU1109="L1",Parameter!$E$5,Parameter!$E$6+Parameter!$E$7)-(AR1109-AN1109))/AN1109)))</f>
        <v>1</v>
      </c>
      <c r="AT1109" s="57" t="n">
        <f aca="false">IF(LEFT(Cockpit!$O$5,1)="A",G1109,IF(BW1109=1,BX1109,IF(LEFT(Cockpit!$O$5,1)="B",AX1109,MAX(AX1109,G1109))))</f>
        <v>8</v>
      </c>
      <c r="AU1109" s="57" t="n">
        <f aca="false">IF(BR1109=1,0,ROUNDUP(AT1109/BQ1109,0))</f>
        <v>2</v>
      </c>
      <c r="AV1109" s="59" t="n">
        <f aca="false">IF(CD1109&gt;0,CD1109*MAX(1,AT1109/V1109),IF(BR1109=1,IF(AT1109&lt;=0,0,BS1109*MAX(1,IF(G1109&gt;0,AT1109/G1109,1))),IF(Q1109&gt;0,AU1109/Q1109,0))/MAX(0.1,N(Parameter!$M$21)))</f>
        <v>0.0769230769230769</v>
      </c>
      <c r="AW1109" s="57" t="n">
        <f aca="false">AT1109*F1109</f>
        <v>2055.92</v>
      </c>
      <c r="AX1109" s="57" t="n">
        <f aca="false">ROUNDUP(MAX(I1109/IF(BV1109&gt;0,BV1109,MAX(0.1,N(Cockpit!$O$6))),BY1109)/BQ1109,0)*BQ1109</f>
        <v>8</v>
      </c>
      <c r="AY1109" s="58" t="n">
        <f aca="false">IF(AV1109&gt;0,I1109/AV1109,-1)</f>
        <v>39</v>
      </c>
      <c r="AZ1109" s="58" t="n">
        <f aca="false">IF(AND(OR(BU1109="L1",BU1109="L23"),AV1109&gt;0),SUMIFS($AV$7:$AV$1576,$BU$7:$BU$1576,BU1109,$AY$7:$AY$1576,"&gt;"&amp;AY1109)+SUMIFS($AV$7:$AV$1576,$BU$7:$BU$1576,BU1109,$AY$7:$AY$1576,AY1109,$BO$7:$BO$1576,"&lt;="&amp;BO1109),"")</f>
        <v>81.8150619613231</v>
      </c>
      <c r="BA1109" s="65" t="n">
        <f aca="false">IF(AZ1109="",0,MAX(0,MIN(1,(IF(BU1109="L1",Parameter!$E$5,Parameter!$E$6+Parameter!$E$7)-(AZ1109-AV1109))/AV1109)))</f>
        <v>1</v>
      </c>
      <c r="BB1109" s="55" t="str">
        <f aca="false">IF(AF1109&lt;=0,"",IF(BU1109="Aussen","Aussenlager",IF(BU1109="-","Nicht im Lift",IF(AK1109&gt;=1,"Lift",IF(AK1109&lt;=0,"Aussenlager","teilweise")))))</f>
        <v/>
      </c>
      <c r="BC1109" s="55" t="str">
        <f aca="false">IF(AN1109&lt;=0,"",IF(BU1109="Aussen","Aussenlager",IF(BU1109="-","Nicht im Lift",IF(AS1109&gt;=1,"Lift",IF(AS1109&lt;=0,"Aussenlager","teilweise")))))</f>
        <v>Lift</v>
      </c>
      <c r="BD1109" s="55" t="str">
        <f aca="false">IF(AV1109&lt;=0,"",IF(BU1109="Aussen","Aussenlager",IF(BU1109="-","Nicht im Lift",IF(BA1109&gt;=1,"Lift",IF(BA1109&lt;=0,"Aussenlager","teilweise")))))</f>
        <v>Lift</v>
      </c>
      <c r="BE1109" s="55" t="str">
        <f aca="false">IF(A1109="","",IF(BN1109=1,"Neu; ","")&amp;IF(AND(BN1109=0,BI1109&lt;0),"negativer Bestand (Export "&amp;BI1109&amp;"); ","")&amp;IF(I1109&lt;=0,"Kein Verbrauch; ","")&amp;IF(CD1109&gt;0,"Lift "&amp;U1109&amp;" lt. Liftbericht (Fach "&amp;V1109&amp;" Stk); ",IF(BR1109=1,"Lose – Fläche geschätzt; ",""))&amp;IF(G1109&gt;AP1109,"Überbestand "&amp;ROUND(G1109-AP1109,0)&amp;" Stk / CHF "&amp;ROUND((G1109-AP1109)*F1109,0)&amp;"; ","")&amp;IF(AND(BW1109=1,BX1109&lt;BY1109),"MAX &lt; MB+LG; ","")&amp;IF(AND(CC1109&gt;0,CB1109*10&gt;CC1109),"zu hoch für Tablar; ","")&amp;IF(AND(BN1109=0,OR(BW1109=1,Y1109&lt;&gt;"",S1109&lt;&gt;"",T1109&lt;&gt;"",Z1109&lt;&gt;"")),"manuell übersteuert; ","")&amp;IF(AND(BR1109=0,Q1109=0),"Gebinde unbekannt / Stellmass fehlt; ","")&amp;IF(AND(BR1109=0,N(T1109)&lt;=0,N(P1109)&lt;=0),"Menge pro Gebinde fehlt (Ist = 1 Gebinde); ","")&amp;BM1109)</f>
        <v>negativer Bestand (Export -1); </v>
      </c>
      <c r="BF1109" s="55"/>
      <c r="BG1109" s="55"/>
      <c r="BH1109" s="62"/>
      <c r="BI1109" s="57" t="n">
        <v>-1</v>
      </c>
      <c r="BJ1109" s="57" t="n">
        <v>1</v>
      </c>
      <c r="BK1109" s="56" t="n">
        <v>-227.999999999999</v>
      </c>
      <c r="BL1109" s="57" t="n">
        <v>3</v>
      </c>
      <c r="BM1109" s="55"/>
      <c r="BN1109" s="60" t="n">
        <v>0</v>
      </c>
      <c r="BO1109" s="60" t="n">
        <v>1109</v>
      </c>
      <c r="BP1109" s="55" t="str">
        <f aca="false">IF(S1109&lt;&gt;"",UPPER(TRIM(S1109)),IF(O1109="","LOSE",O1109))</f>
        <v>S52</v>
      </c>
      <c r="BQ1109" s="57" t="n">
        <f aca="false">IF(BP1109="LOSE",1,IF(N(T1109)&gt;0,T1109,IF(N(P1109)&gt;0,P1109,MAX(1,G1109))))</f>
        <v>4</v>
      </c>
      <c r="BR1109" s="60" t="n">
        <f aca="false">IF(BP1109="LOSE",1,0)</f>
        <v>0</v>
      </c>
      <c r="BS1109" s="59" t="n">
        <f aca="false">IF(BR1109=0,0,IF(N(R1109)&gt;0,R1109,IFERROR(VLOOKUP(D1109,Parameter!$A$35:$C$64,3,0)+0,0)))</f>
        <v>0</v>
      </c>
      <c r="BT1109" s="55" t="n">
        <f aca="false">IF(Y1109&lt;&gt;"",Y1109,X1109)</f>
        <v>3</v>
      </c>
      <c r="BU1109" s="55" t="str">
        <f aca="false">IF(BT1109=1,"L1",IF(OR(BT1109=2,BT1109=3),"L23",IF(BT1109="Aussen","Aussen","-")))</f>
        <v>L23</v>
      </c>
      <c r="BV1109" s="66" t="n">
        <f aca="false">IF(N(Z1109)&gt;0,Z1109,0)</f>
        <v>0</v>
      </c>
      <c r="BW1109" s="60" t="n">
        <f aca="false">IF(ISNUMBER(AC1109),1,0)</f>
        <v>0</v>
      </c>
      <c r="BX1109" s="57" t="n">
        <f aca="false">N(AC1109)</f>
        <v>0</v>
      </c>
      <c r="BY1109" s="57" t="n">
        <f aca="false">N(L1109)+N(M1109)</f>
        <v>5</v>
      </c>
      <c r="BZ1109" s="57" t="n">
        <f aca="false">ROUNDUP(G1109/BQ1109,0)</f>
        <v>0</v>
      </c>
      <c r="CA1109" s="57" t="n">
        <f aca="false">ROUNDUP(BX1109/BQ1109,0)</f>
        <v>0</v>
      </c>
      <c r="CB1109" s="60" t="n">
        <f aca="false">IF(BR1109=1,0,IFERROR(VLOOKUP(BP1109,'Gebinde-Kategorie'!$A$5:$M$45,5,0)+0,0))</f>
        <v>21</v>
      </c>
      <c r="CC1109" s="60" t="n">
        <f aca="false">IFERROR(IF(OR(BT1109=1,BT1109=2,BT1109=3),N(INDEX(Parameter!$I$5:$I$7,BT1109)),0),0)</f>
        <v>0</v>
      </c>
      <c r="CD1109" s="59" t="n">
        <f aca="false">IF(AND(Parameter!$B$21="Ja",ISNUMBER(U1109),N(V1109)&gt;0),IFERROR(N(INDEX(Parameter!$L$5:$L$7,U1109))*INDEX(Parameter!$E$5:$E$7,U1109)*V1109/SUMIFS($V$7:$V$1576,$U$7:$U$1576,U1109),0),0)</f>
        <v>0</v>
      </c>
    </row>
    <row r="1110" customFormat="false" ht="15" hidden="false" customHeight="false" outlineLevel="0" collapsed="false">
      <c r="A1110" s="55" t="s">
        <v>2002</v>
      </c>
      <c r="B1110" s="55" t="s">
        <v>2003</v>
      </c>
      <c r="C1110" s="55" t="s">
        <v>160</v>
      </c>
      <c r="D1110" s="55" t="s">
        <v>178</v>
      </c>
      <c r="E1110" s="55" t="s">
        <v>210</v>
      </c>
      <c r="F1110" s="56" t="n">
        <v>45.6</v>
      </c>
      <c r="G1110" s="57" t="n">
        <f aca="false">MAX(0,IF(AND(Parameter!$B$21="Ja",ISNUMBER(W1110)),W1110,IF(Parameter!$B$20="Jahresanfang 2025 + Export",BJ1110+BI1110,BI1110)))</f>
        <v>0</v>
      </c>
      <c r="H1110" s="57" t="n">
        <f aca="false">G1110*F1110</f>
        <v>0</v>
      </c>
      <c r="I1110" s="57" t="n">
        <f aca="false">BL1110*Parameter!$B$18</f>
        <v>0</v>
      </c>
      <c r="J1110" s="58" t="n">
        <v>2.5</v>
      </c>
      <c r="K1110" s="59" t="n">
        <v>0</v>
      </c>
      <c r="L1110" s="57" t="n">
        <v>0</v>
      </c>
      <c r="M1110" s="57" t="n">
        <v>1</v>
      </c>
      <c r="N1110" s="60" t="n">
        <v>21</v>
      </c>
      <c r="O1110" s="55" t="s">
        <v>163</v>
      </c>
      <c r="P1110" s="57"/>
      <c r="Q1110" s="60" t="n">
        <f aca="false">IF(BR1110=1,0,IFERROR(VLOOKUP(BP1110,'Gebinde-Kategorie'!$A$5:$M$45,13,0)+0,0))</f>
        <v>0</v>
      </c>
      <c r="R1110" s="61"/>
      <c r="S1110" s="62"/>
      <c r="T1110" s="62"/>
      <c r="U1110" s="55"/>
      <c r="V1110" s="57"/>
      <c r="W1110" s="57"/>
      <c r="X1110" s="55" t="n">
        <f aca="false">IF(A1110="","",IF(AND(Parameter!$B$21="Ja",ISNUMBER(U1110)),U1110,IF(IFERROR(VLOOKUP(D1110,Parameter!$A$35:$C$64,2,0),"Nein")="2+3",IF(ISNUMBER(SEARCH("grosser Artikel",BM1110)),2,IFERROR(VLOOKUP(BP1110,Parameter!$F$35:$G$64,2,0),2)),IF(OR(IFERROR(VLOOKUP(D1110,Parameter!$A$35:$C$64,2,0),"Nein")="Nein",IFERROR(VLOOKUP(D1110,Parameter!$A$35:$C$64,2,0),"Nein")=""),"-",VLOOKUP(D1110,Parameter!$A$35:$C$64,2,0)))))</f>
        <v>2</v>
      </c>
      <c r="Y1110" s="62"/>
      <c r="Z1110" s="63"/>
      <c r="AA1110" s="57" t="n">
        <f aca="false">AP1110</f>
        <v>1</v>
      </c>
      <c r="AB1110" s="57" t="n">
        <f aca="false">MAX(AP1110,G1110)</f>
        <v>1</v>
      </c>
      <c r="AC1110" s="64"/>
      <c r="AD1110" s="57" t="n">
        <f aca="false">IF(LEFT(Cockpit!$C$5,1)="A",G1110,IF(BW1110=1,BX1110,IF(LEFT(Cockpit!$C$5,1)="B",AH1110,MAX(AH1110,G1110))))</f>
        <v>0</v>
      </c>
      <c r="AE1110" s="57" t="n">
        <f aca="false">IF(BR1110=1,0,ROUNDUP(AD1110/BQ1110,0))</f>
        <v>0</v>
      </c>
      <c r="AF1110" s="59" t="n">
        <f aca="false">IF(CD1110&gt;0,CD1110*MAX(1,AD1110/V1110),IF(BR1110=1,IF(AD1110&lt;=0,0,BS1110*MAX(1,IF(G1110&gt;0,AD1110/G1110,1))),IF(Q1110&gt;0,AE1110/Q1110,0))/MAX(0.1,N(Parameter!$M$21)))</f>
        <v>0</v>
      </c>
      <c r="AG1110" s="57" t="n">
        <f aca="false">AD1110*F1110</f>
        <v>0</v>
      </c>
      <c r="AH1110" s="57" t="n">
        <f aca="false">ROUNDUP(MAX(I1110/IF(BV1110&gt;0,BV1110,MAX(0.1,N(Cockpit!$C$6))),BY1110)/BQ1110,0)*BQ1110</f>
        <v>1</v>
      </c>
      <c r="AI1110" s="58" t="n">
        <f aca="false">IF(AF1110&gt;0,I1110/AF1110,-1)</f>
        <v>-1</v>
      </c>
      <c r="AJ1110" s="58" t="str">
        <f aca="false">IF(AND(OR(BU1110="L1",BU1110="L23"),AF1110&gt;0),SUMIFS($AF$7:$AF$1576,$BU$7:$BU$1576,BU1110,$AI$7:$AI$1576,"&gt;"&amp;AI1110)+SUMIFS($AF$7:$AF$1576,$BU$7:$BU$1576,BU1110,$AI$7:$AI$1576,AI1110,$BO$7:$BO$1576,"&lt;="&amp;BO1110),"")</f>
        <v/>
      </c>
      <c r="AK1110" s="65" t="n">
        <f aca="false">IF(AJ1110="",0,MAX(0,MIN(1,(IF(BU1110="L1",Parameter!$E$5,Parameter!$E$6+Parameter!$E$7)-(AJ1110-AF1110))/AF1110)))</f>
        <v>0</v>
      </c>
      <c r="AL1110" s="57" t="n">
        <f aca="false">IF(LEFT(Cockpit!$I$5,1)="A",G1110,IF(BW1110=1,BX1110,IF(LEFT(Cockpit!$I$5,1)="B",AP1110,MAX(AP1110,G1110))))</f>
        <v>1</v>
      </c>
      <c r="AM1110" s="57" t="n">
        <f aca="false">IF(BR1110=1,0,ROUNDUP(AL1110/BQ1110,0))</f>
        <v>0</v>
      </c>
      <c r="AN1110" s="59" t="n">
        <f aca="false">IF(CD1110&gt;0,CD1110*MAX(1,AL1110/V1110),IF(BR1110=1,IF(AL1110&lt;=0,0,BS1110*MAX(1,IF(G1110&gt;0,AL1110/G1110,1))),IF(Q1110&gt;0,AM1110/Q1110,0))/MAX(0.1,N(Parameter!$M$21)))</f>
        <v>0.03</v>
      </c>
      <c r="AO1110" s="57" t="n">
        <f aca="false">AL1110*F1110</f>
        <v>45.6</v>
      </c>
      <c r="AP1110" s="57" t="n">
        <f aca="false">ROUNDUP(MAX(I1110/IF(BV1110&gt;0,BV1110,MAX(0.1,N(Cockpit!$I$6))),BY1110)/BQ1110,0)*BQ1110</f>
        <v>1</v>
      </c>
      <c r="AQ1110" s="58" t="n">
        <f aca="false">IF(AN1110&gt;0,I1110/AN1110,-1)</f>
        <v>0</v>
      </c>
      <c r="AR1110" s="58" t="n">
        <f aca="false">IF(AND(OR(BU1110="L1",BU1110="L23"),AN1110&gt;0),SUMIFS($AN$7:$AN$1576,$BU$7:$BU$1576,BU1110,$AQ$7:$AQ$1576,"&gt;"&amp;AQ1110)+SUMIFS($AN$7:$AN$1576,$BU$7:$BU$1576,BU1110,$AQ$7:$AQ$1576,AQ1110,$BO$7:$BO$1576,"&lt;="&amp;BO1110),"")</f>
        <v>133.671962843967</v>
      </c>
      <c r="AS1110" s="65" t="n">
        <f aca="false">IF(AR1110="",0,MAX(0,MIN(1,(IF(BU1110="L1",Parameter!$E$5,Parameter!$E$6+Parameter!$E$7)-(AR1110-AN1110))/AN1110)))</f>
        <v>0</v>
      </c>
      <c r="AT1110" s="57" t="n">
        <f aca="false">IF(LEFT(Cockpit!$O$5,1)="A",G1110,IF(BW1110=1,BX1110,IF(LEFT(Cockpit!$O$5,1)="B",AX1110,MAX(AX1110,G1110))))</f>
        <v>1</v>
      </c>
      <c r="AU1110" s="57" t="n">
        <f aca="false">IF(BR1110=1,0,ROUNDUP(AT1110/BQ1110,0))</f>
        <v>0</v>
      </c>
      <c r="AV1110" s="59" t="n">
        <f aca="false">IF(CD1110&gt;0,CD1110*MAX(1,AT1110/V1110),IF(BR1110=1,IF(AT1110&lt;=0,0,BS1110*MAX(1,IF(G1110&gt;0,AT1110/G1110,1))),IF(Q1110&gt;0,AU1110/Q1110,0))/MAX(0.1,N(Parameter!$M$21)))</f>
        <v>0.03</v>
      </c>
      <c r="AW1110" s="57" t="n">
        <f aca="false">AT1110*F1110</f>
        <v>45.6</v>
      </c>
      <c r="AX1110" s="57" t="n">
        <f aca="false">ROUNDUP(MAX(I1110/IF(BV1110&gt;0,BV1110,MAX(0.1,N(Cockpit!$O$6))),BY1110)/BQ1110,0)*BQ1110</f>
        <v>1</v>
      </c>
      <c r="AY1110" s="58" t="n">
        <f aca="false">IF(AV1110&gt;0,I1110/AV1110,-1)</f>
        <v>0</v>
      </c>
      <c r="AZ1110" s="58" t="n">
        <f aca="false">IF(AND(OR(BU1110="L1",BU1110="L23"),AV1110&gt;0),SUMIFS($AV$7:$AV$1576,$BU$7:$BU$1576,BU1110,$AY$7:$AY$1576,"&gt;"&amp;AY1110)+SUMIFS($AV$7:$AV$1576,$BU$7:$BU$1576,BU1110,$AY$7:$AY$1576,AY1110,$BO$7:$BO$1576,"&lt;="&amp;BO1110),"")</f>
        <v>123.731513293517</v>
      </c>
      <c r="BA1110" s="65" t="n">
        <f aca="false">IF(AZ1110="",0,MAX(0,MIN(1,(IF(BU1110="L1",Parameter!$E$5,Parameter!$E$6+Parameter!$E$7)-(AZ1110-AV1110))/AV1110)))</f>
        <v>0</v>
      </c>
      <c r="BB1110" s="55" t="str">
        <f aca="false">IF(AF1110&lt;=0,"",IF(BU1110="Aussen","Aussenlager",IF(BU1110="-","Nicht im Lift",IF(AK1110&gt;=1,"Lift",IF(AK1110&lt;=0,"Aussenlager","teilweise")))))</f>
        <v/>
      </c>
      <c r="BC1110" s="55" t="str">
        <f aca="false">IF(AN1110&lt;=0,"",IF(BU1110="Aussen","Aussenlager",IF(BU1110="-","Nicht im Lift",IF(AS1110&gt;=1,"Lift",IF(AS1110&lt;=0,"Aussenlager","teilweise")))))</f>
        <v>Aussenlager</v>
      </c>
      <c r="BD1110" s="55" t="str">
        <f aca="false">IF(AV1110&lt;=0,"",IF(BU1110="Aussen","Aussenlager",IF(BU1110="-","Nicht im Lift",IF(BA1110&gt;=1,"Lift",IF(BA1110&lt;=0,"Aussenlager","teilweise")))))</f>
        <v>Aussenlager</v>
      </c>
      <c r="BE1110" s="55" t="str">
        <f aca="false">IF(A1110="","",IF(BN1110=1,"Neu; ","")&amp;IF(AND(BN1110=0,BI1110&lt;0),"negativer Bestand (Export "&amp;BI1110&amp;"); ","")&amp;IF(I1110&lt;=0,"Kein Verbrauch; ","")&amp;IF(CD1110&gt;0,"Lift "&amp;U1110&amp;" lt. Liftbericht (Fach "&amp;V1110&amp;" Stk); ",IF(BR1110=1,"Lose – Fläche geschätzt; ",""))&amp;IF(G1110&gt;AP1110,"Überbestand "&amp;ROUND(G1110-AP1110,0)&amp;" Stk / CHF "&amp;ROUND((G1110-AP1110)*F1110,0)&amp;"; ","")&amp;IF(AND(BW1110=1,BX1110&lt;BY1110),"MAX &lt; MB+LG; ","")&amp;IF(AND(CC1110&gt;0,CB1110*10&gt;CC1110),"zu hoch für Tablar; ","")&amp;IF(AND(BN1110=0,OR(BW1110=1,Y1110&lt;&gt;"",S1110&lt;&gt;"",T1110&lt;&gt;"",Z1110&lt;&gt;"")),"manuell übersteuert; ","")&amp;IF(AND(BR1110=0,Q1110=0),"Gebinde unbekannt / Stellmass fehlt; ","")&amp;IF(AND(BR1110=0,N(T1110)&lt;=0,N(P1110)&lt;=0),"Menge pro Gebinde fehlt (Ist = 1 Gebinde); ","")&amp;BM1110)</f>
        <v>negativer Bestand (Export -5); Kein Verbrauch; Lose – Fläche geschätzt; </v>
      </c>
      <c r="BF1110" s="55"/>
      <c r="BG1110" s="55"/>
      <c r="BH1110" s="62"/>
      <c r="BI1110" s="57" t="n">
        <v>-5</v>
      </c>
      <c r="BJ1110" s="57" t="n">
        <v>5</v>
      </c>
      <c r="BK1110" s="56" t="n">
        <v>-228</v>
      </c>
      <c r="BL1110" s="57" t="n">
        <v>0</v>
      </c>
      <c r="BM1110" s="55"/>
      <c r="BN1110" s="60" t="n">
        <v>0</v>
      </c>
      <c r="BO1110" s="60" t="n">
        <v>1110</v>
      </c>
      <c r="BP1110" s="55" t="str">
        <f aca="false">IF(S1110&lt;&gt;"",UPPER(TRIM(S1110)),IF(O1110="","LOSE",O1110))</f>
        <v>LOSE</v>
      </c>
      <c r="BQ1110" s="57" t="n">
        <f aca="false">IF(BP1110="LOSE",1,IF(N(T1110)&gt;0,T1110,IF(N(P1110)&gt;0,P1110,MAX(1,G1110))))</f>
        <v>1</v>
      </c>
      <c r="BR1110" s="60" t="n">
        <f aca="false">IF(BP1110="LOSE",1,0)</f>
        <v>1</v>
      </c>
      <c r="BS1110" s="59" t="n">
        <f aca="false">IF(BR1110=0,0,IF(N(R1110)&gt;0,R1110,IFERROR(VLOOKUP(D1110,Parameter!$A$35:$C$64,3,0)+0,0)))</f>
        <v>0.03</v>
      </c>
      <c r="BT1110" s="55" t="n">
        <f aca="false">IF(Y1110&lt;&gt;"",Y1110,X1110)</f>
        <v>2</v>
      </c>
      <c r="BU1110" s="55" t="str">
        <f aca="false">IF(BT1110=1,"L1",IF(OR(BT1110=2,BT1110=3),"L23",IF(BT1110="Aussen","Aussen","-")))</f>
        <v>L23</v>
      </c>
      <c r="BV1110" s="66" t="n">
        <f aca="false">IF(N(Z1110)&gt;0,Z1110,0)</f>
        <v>0</v>
      </c>
      <c r="BW1110" s="60" t="n">
        <f aca="false">IF(ISNUMBER(AC1110),1,0)</f>
        <v>0</v>
      </c>
      <c r="BX1110" s="57" t="n">
        <f aca="false">N(AC1110)</f>
        <v>0</v>
      </c>
      <c r="BY1110" s="57" t="n">
        <f aca="false">N(L1110)+N(M1110)</f>
        <v>1</v>
      </c>
      <c r="BZ1110" s="57" t="n">
        <f aca="false">ROUNDUP(G1110/BQ1110,0)</f>
        <v>0</v>
      </c>
      <c r="CA1110" s="57" t="n">
        <f aca="false">ROUNDUP(BX1110/BQ1110,0)</f>
        <v>0</v>
      </c>
      <c r="CB1110" s="60" t="n">
        <f aca="false">IF(BR1110=1,0,IFERROR(VLOOKUP(BP1110,'Gebinde-Kategorie'!$A$5:$M$45,5,0)+0,0))</f>
        <v>0</v>
      </c>
      <c r="CC1110" s="60" t="n">
        <f aca="false">IFERROR(IF(OR(BT1110=1,BT1110=2,BT1110=3),N(INDEX(Parameter!$I$5:$I$7,BT1110)),0),0)</f>
        <v>0</v>
      </c>
      <c r="CD1110" s="59" t="n">
        <f aca="false">IF(AND(Parameter!$B$21="Ja",ISNUMBER(U1110),N(V1110)&gt;0),IFERROR(N(INDEX(Parameter!$L$5:$L$7,U1110))*INDEX(Parameter!$E$5:$E$7,U1110)*V1110/SUMIFS($V$7:$V$1576,$U$7:$U$1576,U1110),0),0)</f>
        <v>0</v>
      </c>
    </row>
    <row r="1111" customFormat="false" ht="15" hidden="false" customHeight="false" outlineLevel="0" collapsed="false">
      <c r="A1111" s="55" t="s">
        <v>2004</v>
      </c>
      <c r="B1111" s="55" t="s">
        <v>744</v>
      </c>
      <c r="C1111" s="55" t="s">
        <v>160</v>
      </c>
      <c r="D1111" s="55" t="s">
        <v>178</v>
      </c>
      <c r="E1111" s="55" t="s">
        <v>210</v>
      </c>
      <c r="F1111" s="56" t="n">
        <v>114.73</v>
      </c>
      <c r="G1111" s="57" t="n">
        <f aca="false">MAX(0,IF(AND(Parameter!$B$21="Ja",ISNUMBER(W1111)),W1111,IF(Parameter!$B$20="Jahresanfang 2025 + Export",BJ1111+BI1111,BI1111)))</f>
        <v>0</v>
      </c>
      <c r="H1111" s="57" t="n">
        <f aca="false">G1111*F1111</f>
        <v>0</v>
      </c>
      <c r="I1111" s="57" t="n">
        <f aca="false">BL1111*Parameter!$B$18</f>
        <v>1</v>
      </c>
      <c r="J1111" s="58" t="n">
        <v>5.5</v>
      </c>
      <c r="K1111" s="59" t="n">
        <v>0.181818181818182</v>
      </c>
      <c r="L1111" s="57" t="n">
        <v>0</v>
      </c>
      <c r="M1111" s="57" t="n">
        <v>1</v>
      </c>
      <c r="N1111" s="60" t="n">
        <v>35</v>
      </c>
      <c r="O1111" s="55" t="s">
        <v>416</v>
      </c>
      <c r="P1111" s="57" t="n">
        <v>5</v>
      </c>
      <c r="Q1111" s="60" t="n">
        <f aca="false">IF(BR1111=1,0,IFERROR(VLOOKUP(BP1111,'Gebinde-Kategorie'!$A$5:$M$45,13,0)+0,0))</f>
        <v>198</v>
      </c>
      <c r="R1111" s="61"/>
      <c r="S1111" s="62"/>
      <c r="T1111" s="62"/>
      <c r="U1111" s="55"/>
      <c r="V1111" s="57"/>
      <c r="W1111" s="57"/>
      <c r="X1111" s="55" t="n">
        <f aca="false">IF(A1111="","",IF(AND(Parameter!$B$21="Ja",ISNUMBER(U1111)),U1111,IF(IFERROR(VLOOKUP(D1111,Parameter!$A$35:$C$64,2,0),"Nein")="2+3",IF(ISNUMBER(SEARCH("grosser Artikel",BM1111)),2,IFERROR(VLOOKUP(BP1111,Parameter!$F$35:$G$64,2,0),2)),IF(OR(IFERROR(VLOOKUP(D1111,Parameter!$A$35:$C$64,2,0),"Nein")="Nein",IFERROR(VLOOKUP(D1111,Parameter!$A$35:$C$64,2,0),"Nein")=""),"-",VLOOKUP(D1111,Parameter!$A$35:$C$64,2,0)))))</f>
        <v>3</v>
      </c>
      <c r="Y1111" s="62"/>
      <c r="Z1111" s="63"/>
      <c r="AA1111" s="57" t="n">
        <f aca="false">AP1111</f>
        <v>5</v>
      </c>
      <c r="AB1111" s="57" t="n">
        <f aca="false">MAX(AP1111,G1111)</f>
        <v>5</v>
      </c>
      <c r="AC1111" s="64"/>
      <c r="AD1111" s="57" t="n">
        <f aca="false">IF(LEFT(Cockpit!$C$5,1)="A",G1111,IF(BW1111=1,BX1111,IF(LEFT(Cockpit!$C$5,1)="B",AH1111,MAX(AH1111,G1111))))</f>
        <v>0</v>
      </c>
      <c r="AE1111" s="57" t="n">
        <f aca="false">IF(BR1111=1,0,ROUNDUP(AD1111/BQ1111,0))</f>
        <v>0</v>
      </c>
      <c r="AF1111" s="59" t="n">
        <f aca="false">IF(CD1111&gt;0,CD1111*MAX(1,AD1111/V1111),IF(BR1111=1,IF(AD1111&lt;=0,0,BS1111*MAX(1,IF(G1111&gt;0,AD1111/G1111,1))),IF(Q1111&gt;0,AE1111/Q1111,0))/MAX(0.1,N(Parameter!$M$21)))</f>
        <v>0</v>
      </c>
      <c r="AG1111" s="57" t="n">
        <f aca="false">AD1111*F1111</f>
        <v>0</v>
      </c>
      <c r="AH1111" s="57" t="n">
        <f aca="false">ROUNDUP(MAX(I1111/IF(BV1111&gt;0,BV1111,MAX(0.1,N(Cockpit!$C$6))),BY1111)/BQ1111,0)*BQ1111</f>
        <v>5</v>
      </c>
      <c r="AI1111" s="58" t="n">
        <f aca="false">IF(AF1111&gt;0,I1111/AF1111,-1)</f>
        <v>-1</v>
      </c>
      <c r="AJ1111" s="58" t="str">
        <f aca="false">IF(AND(OR(BU1111="L1",BU1111="L23"),AF1111&gt;0),SUMIFS($AF$7:$AF$1576,$BU$7:$BU$1576,BU1111,$AI$7:$AI$1576,"&gt;"&amp;AI1111)+SUMIFS($AF$7:$AF$1576,$BU$7:$BU$1576,BU1111,$AI$7:$AI$1576,AI1111,$BO$7:$BO$1576,"&lt;="&amp;BO1111),"")</f>
        <v/>
      </c>
      <c r="AK1111" s="65" t="n">
        <f aca="false">IF(AJ1111="",0,MAX(0,MIN(1,(IF(BU1111="L1",Parameter!$E$5,Parameter!$E$6+Parameter!$E$7)-(AJ1111-AF1111))/AF1111)))</f>
        <v>0</v>
      </c>
      <c r="AL1111" s="57" t="n">
        <f aca="false">IF(LEFT(Cockpit!$I$5,1)="A",G1111,IF(BW1111=1,BX1111,IF(LEFT(Cockpit!$I$5,1)="B",AP1111,MAX(AP1111,G1111))))</f>
        <v>5</v>
      </c>
      <c r="AM1111" s="57" t="n">
        <f aca="false">IF(BR1111=1,0,ROUNDUP(AL1111/BQ1111,0))</f>
        <v>1</v>
      </c>
      <c r="AN1111" s="59" t="n">
        <f aca="false">IF(CD1111&gt;0,CD1111*MAX(1,AL1111/V1111),IF(BR1111=1,IF(AL1111&lt;=0,0,BS1111*MAX(1,IF(G1111&gt;0,AL1111/G1111,1))),IF(Q1111&gt;0,AM1111/Q1111,0))/MAX(0.1,N(Parameter!$M$21)))</f>
        <v>0.00505050505050505</v>
      </c>
      <c r="AO1111" s="57" t="n">
        <f aca="false">AL1111*F1111</f>
        <v>573.65</v>
      </c>
      <c r="AP1111" s="57" t="n">
        <f aca="false">ROUNDUP(MAX(I1111/IF(BV1111&gt;0,BV1111,MAX(0.1,N(Cockpit!$I$6))),BY1111)/BQ1111,0)*BQ1111</f>
        <v>5</v>
      </c>
      <c r="AQ1111" s="58" t="n">
        <f aca="false">IF(AN1111&gt;0,I1111/AN1111,-1)</f>
        <v>198</v>
      </c>
      <c r="AR1111" s="58" t="n">
        <f aca="false">IF(AND(OR(BU1111="L1",BU1111="L23"),AN1111&gt;0),SUMIFS($AN$7:$AN$1576,$BU$7:$BU$1576,BU1111,$AQ$7:$AQ$1576,"&gt;"&amp;AQ1111)+SUMIFS($AN$7:$AN$1576,$BU$7:$BU$1576,BU1111,$AQ$7:$AQ$1576,AQ1111,$BO$7:$BO$1576,"&lt;="&amp;BO1111),"")</f>
        <v>50.9201059451171</v>
      </c>
      <c r="AS1111" s="65" t="n">
        <f aca="false">IF(AR1111="",0,MAX(0,MIN(1,(IF(BU1111="L1",Parameter!$E$5,Parameter!$E$6+Parameter!$E$7)-(AR1111-AN1111))/AN1111)))</f>
        <v>1</v>
      </c>
      <c r="AT1111" s="57" t="n">
        <f aca="false">IF(LEFT(Cockpit!$O$5,1)="A",G1111,IF(BW1111=1,BX1111,IF(LEFT(Cockpit!$O$5,1)="B",AX1111,MAX(AX1111,G1111))))</f>
        <v>5</v>
      </c>
      <c r="AU1111" s="57" t="n">
        <f aca="false">IF(BR1111=1,0,ROUNDUP(AT1111/BQ1111,0))</f>
        <v>1</v>
      </c>
      <c r="AV1111" s="59" t="n">
        <f aca="false">IF(CD1111&gt;0,CD1111*MAX(1,AT1111/V1111),IF(BR1111=1,IF(AT1111&lt;=0,0,BS1111*MAX(1,IF(G1111&gt;0,AT1111/G1111,1))),IF(Q1111&gt;0,AU1111/Q1111,0))/MAX(0.1,N(Parameter!$M$21)))</f>
        <v>0.00505050505050505</v>
      </c>
      <c r="AW1111" s="57" t="n">
        <f aca="false">AT1111*F1111</f>
        <v>573.65</v>
      </c>
      <c r="AX1111" s="57" t="n">
        <f aca="false">ROUNDUP(MAX(I1111/IF(BV1111&gt;0,BV1111,MAX(0.1,N(Cockpit!$O$6))),BY1111)/BQ1111,0)*BQ1111</f>
        <v>5</v>
      </c>
      <c r="AY1111" s="58" t="n">
        <f aca="false">IF(AV1111&gt;0,I1111/AV1111,-1)</f>
        <v>198</v>
      </c>
      <c r="AZ1111" s="58" t="n">
        <f aca="false">IF(AND(OR(BU1111="L1",BU1111="L23"),AV1111&gt;0),SUMIFS($AV$7:$AV$1576,$BU$7:$BU$1576,BU1111,$AY$7:$AY$1576,"&gt;"&amp;AY1111)+SUMIFS($AV$7:$AV$1576,$BU$7:$BU$1576,BU1111,$AY$7:$AY$1576,AY1111,$BO$7:$BO$1576,"&lt;="&amp;BO1111),"")</f>
        <v>47.1163663513775</v>
      </c>
      <c r="BA1111" s="65" t="n">
        <f aca="false">IF(AZ1111="",0,MAX(0,MIN(1,(IF(BU1111="L1",Parameter!$E$5,Parameter!$E$6+Parameter!$E$7)-(AZ1111-AV1111))/AV1111)))</f>
        <v>1</v>
      </c>
      <c r="BB1111" s="55" t="str">
        <f aca="false">IF(AF1111&lt;=0,"",IF(BU1111="Aussen","Aussenlager",IF(BU1111="-","Nicht im Lift",IF(AK1111&gt;=1,"Lift",IF(AK1111&lt;=0,"Aussenlager","teilweise")))))</f>
        <v/>
      </c>
      <c r="BC1111" s="55" t="str">
        <f aca="false">IF(AN1111&lt;=0,"",IF(BU1111="Aussen","Aussenlager",IF(BU1111="-","Nicht im Lift",IF(AS1111&gt;=1,"Lift",IF(AS1111&lt;=0,"Aussenlager","teilweise")))))</f>
        <v>Lift</v>
      </c>
      <c r="BD1111" s="55" t="str">
        <f aca="false">IF(AV1111&lt;=0,"",IF(BU1111="Aussen","Aussenlager",IF(BU1111="-","Nicht im Lift",IF(BA1111&gt;=1,"Lift",IF(BA1111&lt;=0,"Aussenlager","teilweise")))))</f>
        <v>Lift</v>
      </c>
      <c r="BE1111" s="55" t="str">
        <f aca="false">IF(A1111="","",IF(BN1111=1,"Neu; ","")&amp;IF(AND(BN1111=0,BI1111&lt;0),"negativer Bestand (Export "&amp;BI1111&amp;"); ","")&amp;IF(I1111&lt;=0,"Kein Verbrauch; ","")&amp;IF(CD1111&gt;0,"Lift "&amp;U1111&amp;" lt. Liftbericht (Fach "&amp;V1111&amp;" Stk); ",IF(BR1111=1,"Lose – Fläche geschätzt; ",""))&amp;IF(G1111&gt;AP1111,"Überbestand "&amp;ROUND(G1111-AP1111,0)&amp;" Stk / CHF "&amp;ROUND((G1111-AP1111)*F1111,0)&amp;"; ","")&amp;IF(AND(BW1111=1,BX1111&lt;BY1111),"MAX &lt; MB+LG; ","")&amp;IF(AND(CC1111&gt;0,CB1111*10&gt;CC1111),"zu hoch für Tablar; ","")&amp;IF(AND(BN1111=0,OR(BW1111=1,Y1111&lt;&gt;"",S1111&lt;&gt;"",T1111&lt;&gt;"",Z1111&lt;&gt;"")),"manuell übersteuert; ","")&amp;IF(AND(BR1111=0,Q1111=0),"Gebinde unbekannt / Stellmass fehlt; ","")&amp;IF(AND(BR1111=0,N(T1111)&lt;=0,N(P1111)&lt;=0),"Menge pro Gebinde fehlt (Ist = 1 Gebinde); ","")&amp;BM1111)</f>
        <v>negativer Bestand (Export -2); </v>
      </c>
      <c r="BF1111" s="55"/>
      <c r="BG1111" s="55"/>
      <c r="BH1111" s="62"/>
      <c r="BI1111" s="57" t="n">
        <v>-2</v>
      </c>
      <c r="BJ1111" s="57" t="n">
        <v>6</v>
      </c>
      <c r="BK1111" s="56" t="n">
        <v>-229.46</v>
      </c>
      <c r="BL1111" s="57" t="n">
        <v>1</v>
      </c>
      <c r="BM1111" s="55"/>
      <c r="BN1111" s="60" t="n">
        <v>0</v>
      </c>
      <c r="BO1111" s="60" t="n">
        <v>1111</v>
      </c>
      <c r="BP1111" s="55" t="str">
        <f aca="false">IF(S1111&lt;&gt;"",UPPER(TRIM(S1111)),IF(O1111="","LOSE",O1111))</f>
        <v>S22</v>
      </c>
      <c r="BQ1111" s="57" t="n">
        <f aca="false">IF(BP1111="LOSE",1,IF(N(T1111)&gt;0,T1111,IF(N(P1111)&gt;0,P1111,MAX(1,G1111))))</f>
        <v>5</v>
      </c>
      <c r="BR1111" s="60" t="n">
        <f aca="false">IF(BP1111="LOSE",1,0)</f>
        <v>0</v>
      </c>
      <c r="BS1111" s="59" t="n">
        <f aca="false">IF(BR1111=0,0,IF(N(R1111)&gt;0,R1111,IFERROR(VLOOKUP(D1111,Parameter!$A$35:$C$64,3,0)+0,0)))</f>
        <v>0</v>
      </c>
      <c r="BT1111" s="55" t="n">
        <f aca="false">IF(Y1111&lt;&gt;"",Y1111,X1111)</f>
        <v>3</v>
      </c>
      <c r="BU1111" s="55" t="str">
        <f aca="false">IF(BT1111=1,"L1",IF(OR(BT1111=2,BT1111=3),"L23",IF(BT1111="Aussen","Aussen","-")))</f>
        <v>L23</v>
      </c>
      <c r="BV1111" s="66" t="n">
        <f aca="false">IF(N(Z1111)&gt;0,Z1111,0)</f>
        <v>0</v>
      </c>
      <c r="BW1111" s="60" t="n">
        <f aca="false">IF(ISNUMBER(AC1111),1,0)</f>
        <v>0</v>
      </c>
      <c r="BX1111" s="57" t="n">
        <f aca="false">N(AC1111)</f>
        <v>0</v>
      </c>
      <c r="BY1111" s="57" t="n">
        <f aca="false">N(L1111)+N(M1111)</f>
        <v>1</v>
      </c>
      <c r="BZ1111" s="57" t="n">
        <f aca="false">ROUNDUP(G1111/BQ1111,0)</f>
        <v>0</v>
      </c>
      <c r="CA1111" s="57" t="n">
        <f aca="false">ROUNDUP(BX1111/BQ1111,0)</f>
        <v>0</v>
      </c>
      <c r="CB1111" s="60" t="n">
        <f aca="false">IF(BR1111=1,0,IFERROR(VLOOKUP(BP1111,'Gebinde-Kategorie'!$A$5:$M$45,5,0)+0,0))</f>
        <v>8</v>
      </c>
      <c r="CC1111" s="60" t="n">
        <f aca="false">IFERROR(IF(OR(BT1111=1,BT1111=2,BT1111=3),N(INDEX(Parameter!$I$5:$I$7,BT1111)),0),0)</f>
        <v>0</v>
      </c>
      <c r="CD1111" s="59" t="n">
        <f aca="false">IF(AND(Parameter!$B$21="Ja",ISNUMBER(U1111),N(V1111)&gt;0),IFERROR(N(INDEX(Parameter!$L$5:$L$7,U1111))*INDEX(Parameter!$E$5:$E$7,U1111)*V1111/SUMIFS($V$7:$V$1576,$U$7:$U$1576,U1111),0),0)</f>
        <v>0</v>
      </c>
    </row>
    <row r="1112" customFormat="false" ht="15" hidden="false" customHeight="false" outlineLevel="0" collapsed="false">
      <c r="A1112" s="55" t="s">
        <v>2005</v>
      </c>
      <c r="B1112" s="55" t="s">
        <v>2006</v>
      </c>
      <c r="C1112" s="55" t="s">
        <v>160</v>
      </c>
      <c r="D1112" s="55" t="s">
        <v>178</v>
      </c>
      <c r="E1112" s="55" t="s">
        <v>210</v>
      </c>
      <c r="F1112" s="56" t="n">
        <v>21.01</v>
      </c>
      <c r="G1112" s="57" t="n">
        <f aca="false">MAX(0,IF(AND(Parameter!$B$21="Ja",ISNUMBER(W1112)),W1112,IF(Parameter!$B$20="Jahresanfang 2025 + Export",BJ1112+BI1112,BI1112)))</f>
        <v>0</v>
      </c>
      <c r="H1112" s="57" t="n">
        <f aca="false">G1112*F1112</f>
        <v>0</v>
      </c>
      <c r="I1112" s="57" t="n">
        <f aca="false">BL1112*Parameter!$B$18</f>
        <v>6</v>
      </c>
      <c r="J1112" s="58" t="n">
        <v>25</v>
      </c>
      <c r="K1112" s="59" t="n">
        <v>0.24</v>
      </c>
      <c r="L1112" s="57" t="n">
        <v>0</v>
      </c>
      <c r="M1112" s="57" t="n">
        <v>5</v>
      </c>
      <c r="N1112" s="60" t="n">
        <v>14</v>
      </c>
      <c r="O1112" s="55" t="s">
        <v>411</v>
      </c>
      <c r="P1112" s="57" t="n">
        <v>20</v>
      </c>
      <c r="Q1112" s="60" t="n">
        <f aca="false">IF(BR1112=1,0,IFERROR(VLOOKUP(BP1112,'Gebinde-Kategorie'!$A$5:$M$45,13,0)+0,0))</f>
        <v>132</v>
      </c>
      <c r="R1112" s="61"/>
      <c r="S1112" s="62"/>
      <c r="T1112" s="62"/>
      <c r="U1112" s="55"/>
      <c r="V1112" s="57"/>
      <c r="W1112" s="57"/>
      <c r="X1112" s="55" t="n">
        <f aca="false">IF(A1112="","",IF(AND(Parameter!$B$21="Ja",ISNUMBER(U1112)),U1112,IF(IFERROR(VLOOKUP(D1112,Parameter!$A$35:$C$64,2,0),"Nein")="2+3",IF(ISNUMBER(SEARCH("grosser Artikel",BM1112)),2,IFERROR(VLOOKUP(BP1112,Parameter!$F$35:$G$64,2,0),2)),IF(OR(IFERROR(VLOOKUP(D1112,Parameter!$A$35:$C$64,2,0),"Nein")="Nein",IFERROR(VLOOKUP(D1112,Parameter!$A$35:$C$64,2,0),"Nein")=""),"-",VLOOKUP(D1112,Parameter!$A$35:$C$64,2,0)))))</f>
        <v>3</v>
      </c>
      <c r="Y1112" s="62"/>
      <c r="Z1112" s="63"/>
      <c r="AA1112" s="57" t="n">
        <f aca="false">AP1112</f>
        <v>20</v>
      </c>
      <c r="AB1112" s="57" t="n">
        <f aca="false">MAX(AP1112,G1112)</f>
        <v>20</v>
      </c>
      <c r="AC1112" s="64"/>
      <c r="AD1112" s="57" t="n">
        <f aca="false">IF(LEFT(Cockpit!$C$5,1)="A",G1112,IF(BW1112=1,BX1112,IF(LEFT(Cockpit!$C$5,1)="B",AH1112,MAX(AH1112,G1112))))</f>
        <v>0</v>
      </c>
      <c r="AE1112" s="57" t="n">
        <f aca="false">IF(BR1112=1,0,ROUNDUP(AD1112/BQ1112,0))</f>
        <v>0</v>
      </c>
      <c r="AF1112" s="59" t="n">
        <f aca="false">IF(CD1112&gt;0,CD1112*MAX(1,AD1112/V1112),IF(BR1112=1,IF(AD1112&lt;=0,0,BS1112*MAX(1,IF(G1112&gt;0,AD1112/G1112,1))),IF(Q1112&gt;0,AE1112/Q1112,0))/MAX(0.1,N(Parameter!$M$21)))</f>
        <v>0</v>
      </c>
      <c r="AG1112" s="57" t="n">
        <f aca="false">AD1112*F1112</f>
        <v>0</v>
      </c>
      <c r="AH1112" s="57" t="n">
        <f aca="false">ROUNDUP(MAX(I1112/IF(BV1112&gt;0,BV1112,MAX(0.1,N(Cockpit!$C$6))),BY1112)/BQ1112,0)*BQ1112</f>
        <v>20</v>
      </c>
      <c r="AI1112" s="58" t="n">
        <f aca="false">IF(AF1112&gt;0,I1112/AF1112,-1)</f>
        <v>-1</v>
      </c>
      <c r="AJ1112" s="58" t="str">
        <f aca="false">IF(AND(OR(BU1112="L1",BU1112="L23"),AF1112&gt;0),SUMIFS($AF$7:$AF$1576,$BU$7:$BU$1576,BU1112,$AI$7:$AI$1576,"&gt;"&amp;AI1112)+SUMIFS($AF$7:$AF$1576,$BU$7:$BU$1576,BU1112,$AI$7:$AI$1576,AI1112,$BO$7:$BO$1576,"&lt;="&amp;BO1112),"")</f>
        <v/>
      </c>
      <c r="AK1112" s="65" t="n">
        <f aca="false">IF(AJ1112="",0,MAX(0,MIN(1,(IF(BU1112="L1",Parameter!$E$5,Parameter!$E$6+Parameter!$E$7)-(AJ1112-AF1112))/AF1112)))</f>
        <v>0</v>
      </c>
      <c r="AL1112" s="57" t="n">
        <f aca="false">IF(LEFT(Cockpit!$I$5,1)="A",G1112,IF(BW1112=1,BX1112,IF(LEFT(Cockpit!$I$5,1)="B",AP1112,MAX(AP1112,G1112))))</f>
        <v>20</v>
      </c>
      <c r="AM1112" s="57" t="n">
        <f aca="false">IF(BR1112=1,0,ROUNDUP(AL1112/BQ1112,0))</f>
        <v>1</v>
      </c>
      <c r="AN1112" s="59" t="n">
        <f aca="false">IF(CD1112&gt;0,CD1112*MAX(1,AL1112/V1112),IF(BR1112=1,IF(AL1112&lt;=0,0,BS1112*MAX(1,IF(G1112&gt;0,AL1112/G1112,1))),IF(Q1112&gt;0,AM1112/Q1112,0))/MAX(0.1,N(Parameter!$M$21)))</f>
        <v>0.00757575757575758</v>
      </c>
      <c r="AO1112" s="57" t="n">
        <f aca="false">AL1112*F1112</f>
        <v>420.2</v>
      </c>
      <c r="AP1112" s="57" t="n">
        <f aca="false">ROUNDUP(MAX(I1112/IF(BV1112&gt;0,BV1112,MAX(0.1,N(Cockpit!$I$6))),BY1112)/BQ1112,0)*BQ1112</f>
        <v>20</v>
      </c>
      <c r="AQ1112" s="58" t="n">
        <f aca="false">IF(AN1112&gt;0,I1112/AN1112,-1)</f>
        <v>792</v>
      </c>
      <c r="AR1112" s="58" t="n">
        <f aca="false">IF(AND(OR(BU1112="L1",BU1112="L23"),AN1112&gt;0),SUMIFS($AN$7:$AN$1576,$BU$7:$BU$1576,BU1112,$AQ$7:$AQ$1576,"&gt;"&amp;AQ1112)+SUMIFS($AN$7:$AN$1576,$BU$7:$BU$1576,BU1112,$AQ$7:$AQ$1576,AQ1112,$BO$7:$BO$1576,"&lt;="&amp;BO1112),"")</f>
        <v>26.2528806100657</v>
      </c>
      <c r="AS1112" s="65" t="n">
        <f aca="false">IF(AR1112="",0,MAX(0,MIN(1,(IF(BU1112="L1",Parameter!$E$5,Parameter!$E$6+Parameter!$E$7)-(AR1112-AN1112))/AN1112)))</f>
        <v>1</v>
      </c>
      <c r="AT1112" s="57" t="n">
        <f aca="false">IF(LEFT(Cockpit!$O$5,1)="A",G1112,IF(BW1112=1,BX1112,IF(LEFT(Cockpit!$O$5,1)="B",AX1112,MAX(AX1112,G1112))))</f>
        <v>20</v>
      </c>
      <c r="AU1112" s="57" t="n">
        <f aca="false">IF(BR1112=1,0,ROUNDUP(AT1112/BQ1112,0))</f>
        <v>1</v>
      </c>
      <c r="AV1112" s="59" t="n">
        <f aca="false">IF(CD1112&gt;0,CD1112*MAX(1,AT1112/V1112),IF(BR1112=1,IF(AT1112&lt;=0,0,BS1112*MAX(1,IF(G1112&gt;0,AT1112/G1112,1))),IF(Q1112&gt;0,AU1112/Q1112,0))/MAX(0.1,N(Parameter!$M$21)))</f>
        <v>0.00757575757575758</v>
      </c>
      <c r="AW1112" s="57" t="n">
        <f aca="false">AT1112*F1112</f>
        <v>420.2</v>
      </c>
      <c r="AX1112" s="57" t="n">
        <f aca="false">ROUNDUP(MAX(I1112/IF(BV1112&gt;0,BV1112,MAX(0.1,N(Cockpit!$O$6))),BY1112)/BQ1112,0)*BQ1112</f>
        <v>20</v>
      </c>
      <c r="AY1112" s="58" t="n">
        <f aca="false">IF(AV1112&gt;0,I1112/AV1112,-1)</f>
        <v>792</v>
      </c>
      <c r="AZ1112" s="58" t="n">
        <f aca="false">IF(AND(OR(BU1112="L1",BU1112="L23"),AV1112&gt;0),SUMIFS($AV$7:$AV$1576,$BU$7:$BU$1576,BU1112,$AY$7:$AY$1576,"&gt;"&amp;AY1112)+SUMIFS($AV$7:$AV$1576,$BU$7:$BU$1576,BU1112,$AY$7:$AY$1576,AY1112,$BO$7:$BO$1576,"&lt;="&amp;BO1112),"")</f>
        <v>26.1532302604153</v>
      </c>
      <c r="BA1112" s="65" t="n">
        <f aca="false">IF(AZ1112="",0,MAX(0,MIN(1,(IF(BU1112="L1",Parameter!$E$5,Parameter!$E$6+Parameter!$E$7)-(AZ1112-AV1112))/AV1112)))</f>
        <v>1</v>
      </c>
      <c r="BB1112" s="55" t="str">
        <f aca="false">IF(AF1112&lt;=0,"",IF(BU1112="Aussen","Aussenlager",IF(BU1112="-","Nicht im Lift",IF(AK1112&gt;=1,"Lift",IF(AK1112&lt;=0,"Aussenlager","teilweise")))))</f>
        <v/>
      </c>
      <c r="BC1112" s="55" t="str">
        <f aca="false">IF(AN1112&lt;=0,"",IF(BU1112="Aussen","Aussenlager",IF(BU1112="-","Nicht im Lift",IF(AS1112&gt;=1,"Lift",IF(AS1112&lt;=0,"Aussenlager","teilweise")))))</f>
        <v>Lift</v>
      </c>
      <c r="BD1112" s="55" t="str">
        <f aca="false">IF(AV1112&lt;=0,"",IF(BU1112="Aussen","Aussenlager",IF(BU1112="-","Nicht im Lift",IF(BA1112&gt;=1,"Lift",IF(BA1112&lt;=0,"Aussenlager","teilweise")))))</f>
        <v>Lift</v>
      </c>
      <c r="BE1112" s="55" t="str">
        <f aca="false">IF(A1112="","",IF(BN1112=1,"Neu; ","")&amp;IF(AND(BN1112=0,BI1112&lt;0),"negativer Bestand (Export "&amp;BI1112&amp;"); ","")&amp;IF(I1112&lt;=0,"Kein Verbrauch; ","")&amp;IF(CD1112&gt;0,"Lift "&amp;U1112&amp;" lt. Liftbericht (Fach "&amp;V1112&amp;" Stk); ",IF(BR1112=1,"Lose – Fläche geschätzt; ",""))&amp;IF(G1112&gt;AP1112,"Überbestand "&amp;ROUND(G1112-AP1112,0)&amp;" Stk / CHF "&amp;ROUND((G1112-AP1112)*F1112,0)&amp;"; ","")&amp;IF(AND(BW1112=1,BX1112&lt;BY1112),"MAX &lt; MB+LG; ","")&amp;IF(AND(CC1112&gt;0,CB1112*10&gt;CC1112),"zu hoch für Tablar; ","")&amp;IF(AND(BN1112=0,OR(BW1112=1,Y1112&lt;&gt;"",S1112&lt;&gt;"",T1112&lt;&gt;"",Z1112&lt;&gt;"")),"manuell übersteuert; ","")&amp;IF(AND(BR1112=0,Q1112=0),"Gebinde unbekannt / Stellmass fehlt; ","")&amp;IF(AND(BR1112=0,N(T1112)&lt;=0,N(P1112)&lt;=0),"Menge pro Gebinde fehlt (Ist = 1 Gebinde); ","")&amp;BM1112)</f>
        <v>negativer Bestand (Export -11); </v>
      </c>
      <c r="BF1112" s="55"/>
      <c r="BG1112" s="55"/>
      <c r="BH1112" s="62"/>
      <c r="BI1112" s="57" t="n">
        <v>-11</v>
      </c>
      <c r="BJ1112" s="57" t="n">
        <v>28</v>
      </c>
      <c r="BK1112" s="56" t="n">
        <v>-231.11</v>
      </c>
      <c r="BL1112" s="57" t="n">
        <v>6</v>
      </c>
      <c r="BM1112" s="55"/>
      <c r="BN1112" s="60" t="n">
        <v>0</v>
      </c>
      <c r="BO1112" s="60" t="n">
        <v>1112</v>
      </c>
      <c r="BP1112" s="55" t="str">
        <f aca="false">IF(S1112&lt;&gt;"",UPPER(TRIM(S1112)),IF(O1112="","LOSE",O1112))</f>
        <v>S32</v>
      </c>
      <c r="BQ1112" s="57" t="n">
        <f aca="false">IF(BP1112="LOSE",1,IF(N(T1112)&gt;0,T1112,IF(N(P1112)&gt;0,P1112,MAX(1,G1112))))</f>
        <v>20</v>
      </c>
      <c r="BR1112" s="60" t="n">
        <f aca="false">IF(BP1112="LOSE",1,0)</f>
        <v>0</v>
      </c>
      <c r="BS1112" s="59" t="n">
        <f aca="false">IF(BR1112=0,0,IF(N(R1112)&gt;0,R1112,IFERROR(VLOOKUP(D1112,Parameter!$A$35:$C$64,3,0)+0,0)))</f>
        <v>0</v>
      </c>
      <c r="BT1112" s="55" t="n">
        <f aca="false">IF(Y1112&lt;&gt;"",Y1112,X1112)</f>
        <v>3</v>
      </c>
      <c r="BU1112" s="55" t="str">
        <f aca="false">IF(BT1112=1,"L1",IF(OR(BT1112=2,BT1112=3),"L23",IF(BT1112="Aussen","Aussen","-")))</f>
        <v>L23</v>
      </c>
      <c r="BV1112" s="66" t="n">
        <f aca="false">IF(N(Z1112)&gt;0,Z1112,0)</f>
        <v>0</v>
      </c>
      <c r="BW1112" s="60" t="n">
        <f aca="false">IF(ISNUMBER(AC1112),1,0)</f>
        <v>0</v>
      </c>
      <c r="BX1112" s="57" t="n">
        <f aca="false">N(AC1112)</f>
        <v>0</v>
      </c>
      <c r="BY1112" s="57" t="n">
        <f aca="false">N(L1112)+N(M1112)</f>
        <v>5</v>
      </c>
      <c r="BZ1112" s="57" t="n">
        <f aca="false">ROUNDUP(G1112/BQ1112,0)</f>
        <v>0</v>
      </c>
      <c r="CA1112" s="57" t="n">
        <f aca="false">ROUNDUP(BX1112/BQ1112,0)</f>
        <v>0</v>
      </c>
      <c r="CB1112" s="60" t="n">
        <f aca="false">IF(BR1112=1,0,IFERROR(VLOOKUP(BP1112,'Gebinde-Kategorie'!$A$5:$M$45,5,0)+0,0))</f>
        <v>8</v>
      </c>
      <c r="CC1112" s="60" t="n">
        <f aca="false">IFERROR(IF(OR(BT1112=1,BT1112=2,BT1112=3),N(INDEX(Parameter!$I$5:$I$7,BT1112)),0),0)</f>
        <v>0</v>
      </c>
      <c r="CD1112" s="59" t="n">
        <f aca="false">IF(AND(Parameter!$B$21="Ja",ISNUMBER(U1112),N(V1112)&gt;0),IFERROR(N(INDEX(Parameter!$L$5:$L$7,U1112))*INDEX(Parameter!$E$5:$E$7,U1112)*V1112/SUMIFS($V$7:$V$1576,$U$7:$U$1576,U1112),0),0)</f>
        <v>0</v>
      </c>
    </row>
    <row r="1113" customFormat="false" ht="15" hidden="false" customHeight="false" outlineLevel="0" collapsed="false">
      <c r="A1113" s="55" t="s">
        <v>2007</v>
      </c>
      <c r="B1113" s="55" t="s">
        <v>578</v>
      </c>
      <c r="C1113" s="55" t="s">
        <v>160</v>
      </c>
      <c r="D1113" s="55" t="s">
        <v>178</v>
      </c>
      <c r="E1113" s="55" t="s">
        <v>210</v>
      </c>
      <c r="F1113" s="56" t="n">
        <v>21.05</v>
      </c>
      <c r="G1113" s="57" t="n">
        <f aca="false">MAX(0,IF(AND(Parameter!$B$21="Ja",ISNUMBER(W1113)),W1113,IF(Parameter!$B$20="Jahresanfang 2025 + Export",BJ1113+BI1113,BI1113)))</f>
        <v>0</v>
      </c>
      <c r="H1113" s="57" t="n">
        <f aca="false">G1113*F1113</f>
        <v>0</v>
      </c>
      <c r="I1113" s="57" t="n">
        <f aca="false">BL1113*Parameter!$B$18</f>
        <v>3</v>
      </c>
      <c r="J1113" s="58" t="n">
        <v>76</v>
      </c>
      <c r="K1113" s="59" t="n">
        <v>0.0394736842105263</v>
      </c>
      <c r="L1113" s="57" t="n">
        <v>0</v>
      </c>
      <c r="M1113" s="57" t="n">
        <v>5</v>
      </c>
      <c r="N1113" s="60" t="n">
        <v>35</v>
      </c>
      <c r="O1113" s="55" t="s">
        <v>391</v>
      </c>
      <c r="P1113" s="57" t="n">
        <v>100</v>
      </c>
      <c r="Q1113" s="60" t="n">
        <f aca="false">IF(BR1113=1,0,IFERROR(VLOOKUP(BP1113,'Gebinde-Kategorie'!$A$5:$M$45,13,0)+0,0))</f>
        <v>414</v>
      </c>
      <c r="R1113" s="61"/>
      <c r="S1113" s="62"/>
      <c r="T1113" s="62"/>
      <c r="U1113" s="55"/>
      <c r="V1113" s="57"/>
      <c r="W1113" s="57"/>
      <c r="X1113" s="55" t="n">
        <f aca="false">IF(A1113="","",IF(AND(Parameter!$B$21="Ja",ISNUMBER(U1113)),U1113,IF(IFERROR(VLOOKUP(D1113,Parameter!$A$35:$C$64,2,0),"Nein")="2+3",IF(ISNUMBER(SEARCH("grosser Artikel",BM1113)),2,IFERROR(VLOOKUP(BP1113,Parameter!$F$35:$G$64,2,0),2)),IF(OR(IFERROR(VLOOKUP(D1113,Parameter!$A$35:$C$64,2,0),"Nein")="Nein",IFERROR(VLOOKUP(D1113,Parameter!$A$35:$C$64,2,0),"Nein")=""),"-",VLOOKUP(D1113,Parameter!$A$35:$C$64,2,0)))))</f>
        <v>3</v>
      </c>
      <c r="Y1113" s="62"/>
      <c r="Z1113" s="63"/>
      <c r="AA1113" s="57" t="n">
        <f aca="false">AP1113</f>
        <v>100</v>
      </c>
      <c r="AB1113" s="57" t="n">
        <f aca="false">MAX(AP1113,G1113)</f>
        <v>100</v>
      </c>
      <c r="AC1113" s="64"/>
      <c r="AD1113" s="57" t="n">
        <f aca="false">IF(LEFT(Cockpit!$C$5,1)="A",G1113,IF(BW1113=1,BX1113,IF(LEFT(Cockpit!$C$5,1)="B",AH1113,MAX(AH1113,G1113))))</f>
        <v>0</v>
      </c>
      <c r="AE1113" s="57" t="n">
        <f aca="false">IF(BR1113=1,0,ROUNDUP(AD1113/BQ1113,0))</f>
        <v>0</v>
      </c>
      <c r="AF1113" s="59" t="n">
        <f aca="false">IF(CD1113&gt;0,CD1113*MAX(1,AD1113/V1113),IF(BR1113=1,IF(AD1113&lt;=0,0,BS1113*MAX(1,IF(G1113&gt;0,AD1113/G1113,1))),IF(Q1113&gt;0,AE1113/Q1113,0))/MAX(0.1,N(Parameter!$M$21)))</f>
        <v>0</v>
      </c>
      <c r="AG1113" s="57" t="n">
        <f aca="false">AD1113*F1113</f>
        <v>0</v>
      </c>
      <c r="AH1113" s="57" t="n">
        <f aca="false">ROUNDUP(MAX(I1113/IF(BV1113&gt;0,BV1113,MAX(0.1,N(Cockpit!$C$6))),BY1113)/BQ1113,0)*BQ1113</f>
        <v>100</v>
      </c>
      <c r="AI1113" s="58" t="n">
        <f aca="false">IF(AF1113&gt;0,I1113/AF1113,-1)</f>
        <v>-1</v>
      </c>
      <c r="AJ1113" s="58" t="str">
        <f aca="false">IF(AND(OR(BU1113="L1",BU1113="L23"),AF1113&gt;0),SUMIFS($AF$7:$AF$1576,$BU$7:$BU$1576,BU1113,$AI$7:$AI$1576,"&gt;"&amp;AI1113)+SUMIFS($AF$7:$AF$1576,$BU$7:$BU$1576,BU1113,$AI$7:$AI$1576,AI1113,$BO$7:$BO$1576,"&lt;="&amp;BO1113),"")</f>
        <v/>
      </c>
      <c r="AK1113" s="65" t="n">
        <f aca="false">IF(AJ1113="",0,MAX(0,MIN(1,(IF(BU1113="L1",Parameter!$E$5,Parameter!$E$6+Parameter!$E$7)-(AJ1113-AF1113))/AF1113)))</f>
        <v>0</v>
      </c>
      <c r="AL1113" s="57" t="n">
        <f aca="false">IF(LEFT(Cockpit!$I$5,1)="A",G1113,IF(BW1113=1,BX1113,IF(LEFT(Cockpit!$I$5,1)="B",AP1113,MAX(AP1113,G1113))))</f>
        <v>100</v>
      </c>
      <c r="AM1113" s="57" t="n">
        <f aca="false">IF(BR1113=1,0,ROUNDUP(AL1113/BQ1113,0))</f>
        <v>1</v>
      </c>
      <c r="AN1113" s="59" t="n">
        <f aca="false">IF(CD1113&gt;0,CD1113*MAX(1,AL1113/V1113),IF(BR1113=1,IF(AL1113&lt;=0,0,BS1113*MAX(1,IF(G1113&gt;0,AL1113/G1113,1))),IF(Q1113&gt;0,AM1113/Q1113,0))/MAX(0.1,N(Parameter!$M$21)))</f>
        <v>0.00241545893719807</v>
      </c>
      <c r="AO1113" s="57" t="n">
        <f aca="false">AL1113*F1113</f>
        <v>2105</v>
      </c>
      <c r="AP1113" s="57" t="n">
        <f aca="false">ROUNDUP(MAX(I1113/IF(BV1113&gt;0,BV1113,MAX(0.1,N(Cockpit!$I$6))),BY1113)/BQ1113,0)*BQ1113</f>
        <v>100</v>
      </c>
      <c r="AQ1113" s="58" t="n">
        <f aca="false">IF(AN1113&gt;0,I1113/AN1113,-1)</f>
        <v>1242</v>
      </c>
      <c r="AR1113" s="58" t="n">
        <f aca="false">IF(AND(OR(BU1113="L1",BU1113="L23"),AN1113&gt;0),SUMIFS($AN$7:$AN$1576,$BU$7:$BU$1576,BU1113,$AQ$7:$AQ$1576,"&gt;"&amp;AQ1113)+SUMIFS($AN$7:$AN$1576,$BU$7:$BU$1576,BU1113,$AQ$7:$AQ$1576,AQ1113,$BO$7:$BO$1576,"&lt;="&amp;BO1113),"")</f>
        <v>20.7339400337338</v>
      </c>
      <c r="AS1113" s="65" t="n">
        <f aca="false">IF(AR1113="",0,MAX(0,MIN(1,(IF(BU1113="L1",Parameter!$E$5,Parameter!$E$6+Parameter!$E$7)-(AR1113-AN1113))/AN1113)))</f>
        <v>1</v>
      </c>
      <c r="AT1113" s="57" t="n">
        <f aca="false">IF(LEFT(Cockpit!$O$5,1)="A",G1113,IF(BW1113=1,BX1113,IF(LEFT(Cockpit!$O$5,1)="B",AX1113,MAX(AX1113,G1113))))</f>
        <v>100</v>
      </c>
      <c r="AU1113" s="57" t="n">
        <f aca="false">IF(BR1113=1,0,ROUNDUP(AT1113/BQ1113,0))</f>
        <v>1</v>
      </c>
      <c r="AV1113" s="59" t="n">
        <f aca="false">IF(CD1113&gt;0,CD1113*MAX(1,AT1113/V1113),IF(BR1113=1,IF(AT1113&lt;=0,0,BS1113*MAX(1,IF(G1113&gt;0,AT1113/G1113,1))),IF(Q1113&gt;0,AU1113/Q1113,0))/MAX(0.1,N(Parameter!$M$21)))</f>
        <v>0.00241545893719807</v>
      </c>
      <c r="AW1113" s="57" t="n">
        <f aca="false">AT1113*F1113</f>
        <v>2105</v>
      </c>
      <c r="AX1113" s="57" t="n">
        <f aca="false">ROUNDUP(MAX(I1113/IF(BV1113&gt;0,BV1113,MAX(0.1,N(Cockpit!$O$6))),BY1113)/BQ1113,0)*BQ1113</f>
        <v>100</v>
      </c>
      <c r="AY1113" s="58" t="n">
        <f aca="false">IF(AV1113&gt;0,I1113/AV1113,-1)</f>
        <v>1242</v>
      </c>
      <c r="AZ1113" s="58" t="n">
        <f aca="false">IF(AND(OR(BU1113="L1",BU1113="L23"),AV1113&gt;0),SUMIFS($AV$7:$AV$1576,$BU$7:$BU$1576,BU1113,$AY$7:$AY$1576,"&gt;"&amp;AY1113)+SUMIFS($AV$7:$AV$1576,$BU$7:$BU$1576,BU1113,$AY$7:$AY$1576,AY1113,$BO$7:$BO$1576,"&lt;="&amp;BO1113),"")</f>
        <v>19.7945460943399</v>
      </c>
      <c r="BA1113" s="65" t="n">
        <f aca="false">IF(AZ1113="",0,MAX(0,MIN(1,(IF(BU1113="L1",Parameter!$E$5,Parameter!$E$6+Parameter!$E$7)-(AZ1113-AV1113))/AV1113)))</f>
        <v>1</v>
      </c>
      <c r="BB1113" s="55" t="str">
        <f aca="false">IF(AF1113&lt;=0,"",IF(BU1113="Aussen","Aussenlager",IF(BU1113="-","Nicht im Lift",IF(AK1113&gt;=1,"Lift",IF(AK1113&lt;=0,"Aussenlager","teilweise")))))</f>
        <v/>
      </c>
      <c r="BC1113" s="55" t="str">
        <f aca="false">IF(AN1113&lt;=0,"",IF(BU1113="Aussen","Aussenlager",IF(BU1113="-","Nicht im Lift",IF(AS1113&gt;=1,"Lift",IF(AS1113&lt;=0,"Aussenlager","teilweise")))))</f>
        <v>Lift</v>
      </c>
      <c r="BD1113" s="55" t="str">
        <f aca="false">IF(AV1113&lt;=0,"",IF(BU1113="Aussen","Aussenlager",IF(BU1113="-","Nicht im Lift",IF(BA1113&gt;=1,"Lift",IF(BA1113&lt;=0,"Aussenlager","teilweise")))))</f>
        <v>Lift</v>
      </c>
      <c r="BE1113" s="55" t="str">
        <f aca="false">IF(A1113="","",IF(BN1113=1,"Neu; ","")&amp;IF(AND(BN1113=0,BI1113&lt;0),"negativer Bestand (Export "&amp;BI1113&amp;"); ","")&amp;IF(I1113&lt;=0,"Kein Verbrauch; ","")&amp;IF(CD1113&gt;0,"Lift "&amp;U1113&amp;" lt. Liftbericht (Fach "&amp;V1113&amp;" Stk); ",IF(BR1113=1,"Lose – Fläche geschätzt; ",""))&amp;IF(G1113&gt;AP1113,"Überbestand "&amp;ROUND(G1113-AP1113,0)&amp;" Stk / CHF "&amp;ROUND((G1113-AP1113)*F1113,0)&amp;"; ","")&amp;IF(AND(BW1113=1,BX1113&lt;BY1113),"MAX &lt; MB+LG; ","")&amp;IF(AND(CC1113&gt;0,CB1113*10&gt;CC1113),"zu hoch für Tablar; ","")&amp;IF(AND(BN1113=0,OR(BW1113=1,Y1113&lt;&gt;"",S1113&lt;&gt;"",T1113&lt;&gt;"",Z1113&lt;&gt;"")),"manuell übersteuert; ","")&amp;IF(AND(BR1113=0,Q1113=0),"Gebinde unbekannt / Stellmass fehlt; ","")&amp;IF(AND(BR1113=0,N(T1113)&lt;=0,N(P1113)&lt;=0),"Menge pro Gebinde fehlt (Ist = 1 Gebinde); ","")&amp;BM1113)</f>
        <v>negativer Bestand (Export -11); Überbestand</v>
      </c>
      <c r="BF1113" s="55"/>
      <c r="BG1113" s="55"/>
      <c r="BH1113" s="62"/>
      <c r="BI1113" s="57" t="n">
        <v>-11</v>
      </c>
      <c r="BJ1113" s="57" t="n">
        <v>78</v>
      </c>
      <c r="BK1113" s="56" t="n">
        <v>-231.55</v>
      </c>
      <c r="BL1113" s="57" t="n">
        <v>3</v>
      </c>
      <c r="BM1113" s="55" t="s">
        <v>382</v>
      </c>
      <c r="BN1113" s="60" t="n">
        <v>0</v>
      </c>
      <c r="BO1113" s="60" t="n">
        <v>1113</v>
      </c>
      <c r="BP1113" s="55" t="str">
        <f aca="false">IF(S1113&lt;&gt;"",UPPER(TRIM(S1113)),IF(O1113="","LOSE",O1113))</f>
        <v>S21</v>
      </c>
      <c r="BQ1113" s="57" t="n">
        <f aca="false">IF(BP1113="LOSE",1,IF(N(T1113)&gt;0,T1113,IF(N(P1113)&gt;0,P1113,MAX(1,G1113))))</f>
        <v>100</v>
      </c>
      <c r="BR1113" s="60" t="n">
        <f aca="false">IF(BP1113="LOSE",1,0)</f>
        <v>0</v>
      </c>
      <c r="BS1113" s="59" t="n">
        <f aca="false">IF(BR1113=0,0,IF(N(R1113)&gt;0,R1113,IFERROR(VLOOKUP(D1113,Parameter!$A$35:$C$64,3,0)+0,0)))</f>
        <v>0</v>
      </c>
      <c r="BT1113" s="55" t="n">
        <f aca="false">IF(Y1113&lt;&gt;"",Y1113,X1113)</f>
        <v>3</v>
      </c>
      <c r="BU1113" s="55" t="str">
        <f aca="false">IF(BT1113=1,"L1",IF(OR(BT1113=2,BT1113=3),"L23",IF(BT1113="Aussen","Aussen","-")))</f>
        <v>L23</v>
      </c>
      <c r="BV1113" s="66" t="n">
        <f aca="false">IF(N(Z1113)&gt;0,Z1113,0)</f>
        <v>0</v>
      </c>
      <c r="BW1113" s="60" t="n">
        <f aca="false">IF(ISNUMBER(AC1113),1,0)</f>
        <v>0</v>
      </c>
      <c r="BX1113" s="57" t="n">
        <f aca="false">N(AC1113)</f>
        <v>0</v>
      </c>
      <c r="BY1113" s="57" t="n">
        <f aca="false">N(L1113)+N(M1113)</f>
        <v>5</v>
      </c>
      <c r="BZ1113" s="57" t="n">
        <f aca="false">ROUNDUP(G1113/BQ1113,0)</f>
        <v>0</v>
      </c>
      <c r="CA1113" s="57" t="n">
        <f aca="false">ROUNDUP(BX1113/BQ1113,0)</f>
        <v>0</v>
      </c>
      <c r="CB1113" s="60" t="n">
        <f aca="false">IF(BR1113=1,0,IFERROR(VLOOKUP(BP1113,'Gebinde-Kategorie'!$A$5:$M$45,5,0)+0,0))</f>
        <v>8</v>
      </c>
      <c r="CC1113" s="60" t="n">
        <f aca="false">IFERROR(IF(OR(BT1113=1,BT1113=2,BT1113=3),N(INDEX(Parameter!$I$5:$I$7,BT1113)),0),0)</f>
        <v>0</v>
      </c>
      <c r="CD1113" s="59" t="n">
        <f aca="false">IF(AND(Parameter!$B$21="Ja",ISNUMBER(U1113),N(V1113)&gt;0),IFERROR(N(INDEX(Parameter!$L$5:$L$7,U1113))*INDEX(Parameter!$E$5:$E$7,U1113)*V1113/SUMIFS($V$7:$V$1576,$U$7:$U$1576,U1113),0),0)</f>
        <v>0</v>
      </c>
    </row>
    <row r="1114" customFormat="false" ht="15" hidden="false" customHeight="false" outlineLevel="0" collapsed="false">
      <c r="A1114" s="55" t="s">
        <v>2008</v>
      </c>
      <c r="B1114" s="55" t="s">
        <v>2009</v>
      </c>
      <c r="C1114" s="55" t="s">
        <v>160</v>
      </c>
      <c r="D1114" s="55" t="s">
        <v>178</v>
      </c>
      <c r="E1114" s="55" t="s">
        <v>210</v>
      </c>
      <c r="F1114" s="56" t="n">
        <v>116.54</v>
      </c>
      <c r="G1114" s="57" t="n">
        <f aca="false">MAX(0,IF(AND(Parameter!$B$21="Ja",ISNUMBER(W1114)),W1114,IF(Parameter!$B$20="Jahresanfang 2025 + Export",BJ1114+BI1114,BI1114)))</f>
        <v>0</v>
      </c>
      <c r="H1114" s="57" t="n">
        <f aca="false">G1114*F1114</f>
        <v>0</v>
      </c>
      <c r="I1114" s="57" t="n">
        <f aca="false">BL1114*Parameter!$B$18</f>
        <v>0</v>
      </c>
      <c r="J1114" s="58" t="n">
        <v>10</v>
      </c>
      <c r="K1114" s="59" t="n">
        <v>0</v>
      </c>
      <c r="L1114" s="57" t="n">
        <v>0</v>
      </c>
      <c r="M1114" s="57" t="n">
        <v>1</v>
      </c>
      <c r="N1114" s="60" t="n">
        <v>28</v>
      </c>
      <c r="O1114" s="55" t="s">
        <v>293</v>
      </c>
      <c r="P1114" s="57" t="n">
        <v>8</v>
      </c>
      <c r="Q1114" s="60" t="n">
        <f aca="false">IF(BR1114=1,0,IFERROR(VLOOKUP(BP1114,'Gebinde-Kategorie'!$A$5:$M$45,13,0)+0,0))</f>
        <v>26</v>
      </c>
      <c r="R1114" s="61"/>
      <c r="S1114" s="62"/>
      <c r="T1114" s="62"/>
      <c r="U1114" s="55"/>
      <c r="V1114" s="57"/>
      <c r="W1114" s="57"/>
      <c r="X1114" s="55" t="n">
        <f aca="false">IF(A1114="","",IF(AND(Parameter!$B$21="Ja",ISNUMBER(U1114)),U1114,IF(IFERROR(VLOOKUP(D1114,Parameter!$A$35:$C$64,2,0),"Nein")="2+3",IF(ISNUMBER(SEARCH("grosser Artikel",BM1114)),2,IFERROR(VLOOKUP(BP1114,Parameter!$F$35:$G$64,2,0),2)),IF(OR(IFERROR(VLOOKUP(D1114,Parameter!$A$35:$C$64,2,0),"Nein")="Nein",IFERROR(VLOOKUP(D1114,Parameter!$A$35:$C$64,2,0),"Nein")=""),"-",VLOOKUP(D1114,Parameter!$A$35:$C$64,2,0)))))</f>
        <v>3</v>
      </c>
      <c r="Y1114" s="62"/>
      <c r="Z1114" s="63"/>
      <c r="AA1114" s="57" t="n">
        <f aca="false">AP1114</f>
        <v>8</v>
      </c>
      <c r="AB1114" s="57" t="n">
        <f aca="false">MAX(AP1114,G1114)</f>
        <v>8</v>
      </c>
      <c r="AC1114" s="64"/>
      <c r="AD1114" s="57" t="n">
        <f aca="false">IF(LEFT(Cockpit!$C$5,1)="A",G1114,IF(BW1114=1,BX1114,IF(LEFT(Cockpit!$C$5,1)="B",AH1114,MAX(AH1114,G1114))))</f>
        <v>0</v>
      </c>
      <c r="AE1114" s="57" t="n">
        <f aca="false">IF(BR1114=1,0,ROUNDUP(AD1114/BQ1114,0))</f>
        <v>0</v>
      </c>
      <c r="AF1114" s="59" t="n">
        <f aca="false">IF(CD1114&gt;0,CD1114*MAX(1,AD1114/V1114),IF(BR1114=1,IF(AD1114&lt;=0,0,BS1114*MAX(1,IF(G1114&gt;0,AD1114/G1114,1))),IF(Q1114&gt;0,AE1114/Q1114,0))/MAX(0.1,N(Parameter!$M$21)))</f>
        <v>0</v>
      </c>
      <c r="AG1114" s="57" t="n">
        <f aca="false">AD1114*F1114</f>
        <v>0</v>
      </c>
      <c r="AH1114" s="57" t="n">
        <f aca="false">ROUNDUP(MAX(I1114/IF(BV1114&gt;0,BV1114,MAX(0.1,N(Cockpit!$C$6))),BY1114)/BQ1114,0)*BQ1114</f>
        <v>8</v>
      </c>
      <c r="AI1114" s="58" t="n">
        <f aca="false">IF(AF1114&gt;0,I1114/AF1114,-1)</f>
        <v>-1</v>
      </c>
      <c r="AJ1114" s="58" t="str">
        <f aca="false">IF(AND(OR(BU1114="L1",BU1114="L23"),AF1114&gt;0),SUMIFS($AF$7:$AF$1576,$BU$7:$BU$1576,BU1114,$AI$7:$AI$1576,"&gt;"&amp;AI1114)+SUMIFS($AF$7:$AF$1576,$BU$7:$BU$1576,BU1114,$AI$7:$AI$1576,AI1114,$BO$7:$BO$1576,"&lt;="&amp;BO1114),"")</f>
        <v/>
      </c>
      <c r="AK1114" s="65" t="n">
        <f aca="false">IF(AJ1114="",0,MAX(0,MIN(1,(IF(BU1114="L1",Parameter!$E$5,Parameter!$E$6+Parameter!$E$7)-(AJ1114-AF1114))/AF1114)))</f>
        <v>0</v>
      </c>
      <c r="AL1114" s="57" t="n">
        <f aca="false">IF(LEFT(Cockpit!$I$5,1)="A",G1114,IF(BW1114=1,BX1114,IF(LEFT(Cockpit!$I$5,1)="B",AP1114,MAX(AP1114,G1114))))</f>
        <v>8</v>
      </c>
      <c r="AM1114" s="57" t="n">
        <f aca="false">IF(BR1114=1,0,ROUNDUP(AL1114/BQ1114,0))</f>
        <v>1</v>
      </c>
      <c r="AN1114" s="59" t="n">
        <f aca="false">IF(CD1114&gt;0,CD1114*MAX(1,AL1114/V1114),IF(BR1114=1,IF(AL1114&lt;=0,0,BS1114*MAX(1,IF(G1114&gt;0,AL1114/G1114,1))),IF(Q1114&gt;0,AM1114/Q1114,0))/MAX(0.1,N(Parameter!$M$21)))</f>
        <v>0.0384615384615385</v>
      </c>
      <c r="AO1114" s="57" t="n">
        <f aca="false">AL1114*F1114</f>
        <v>932.32</v>
      </c>
      <c r="AP1114" s="57" t="n">
        <f aca="false">ROUNDUP(MAX(I1114/IF(BV1114&gt;0,BV1114,MAX(0.1,N(Cockpit!$I$6))),BY1114)/BQ1114,0)*BQ1114</f>
        <v>8</v>
      </c>
      <c r="AQ1114" s="58" t="n">
        <f aca="false">IF(AN1114&gt;0,I1114/AN1114,-1)</f>
        <v>0</v>
      </c>
      <c r="AR1114" s="58" t="n">
        <f aca="false">IF(AND(OR(BU1114="L1",BU1114="L23"),AN1114&gt;0),SUMIFS($AN$7:$AN$1576,$BU$7:$BU$1576,BU1114,$AQ$7:$AQ$1576,"&gt;"&amp;AQ1114)+SUMIFS($AN$7:$AN$1576,$BU$7:$BU$1576,BU1114,$AQ$7:$AQ$1576,AQ1114,$BO$7:$BO$1576,"&lt;="&amp;BO1114),"")</f>
        <v>133.710424382428</v>
      </c>
      <c r="AS1114" s="65" t="n">
        <f aca="false">IF(AR1114="",0,MAX(0,MIN(1,(IF(BU1114="L1",Parameter!$E$5,Parameter!$E$6+Parameter!$E$7)-(AR1114-AN1114))/AN1114)))</f>
        <v>0</v>
      </c>
      <c r="AT1114" s="57" t="n">
        <f aca="false">IF(LEFT(Cockpit!$O$5,1)="A",G1114,IF(BW1114=1,BX1114,IF(LEFT(Cockpit!$O$5,1)="B",AX1114,MAX(AX1114,G1114))))</f>
        <v>8</v>
      </c>
      <c r="AU1114" s="57" t="n">
        <f aca="false">IF(BR1114=1,0,ROUNDUP(AT1114/BQ1114,0))</f>
        <v>1</v>
      </c>
      <c r="AV1114" s="59" t="n">
        <f aca="false">IF(CD1114&gt;0,CD1114*MAX(1,AT1114/V1114),IF(BR1114=1,IF(AT1114&lt;=0,0,BS1114*MAX(1,IF(G1114&gt;0,AT1114/G1114,1))),IF(Q1114&gt;0,AU1114/Q1114,0))/MAX(0.1,N(Parameter!$M$21)))</f>
        <v>0.0384615384615385</v>
      </c>
      <c r="AW1114" s="57" t="n">
        <f aca="false">AT1114*F1114</f>
        <v>932.32</v>
      </c>
      <c r="AX1114" s="57" t="n">
        <f aca="false">ROUNDUP(MAX(I1114/IF(BV1114&gt;0,BV1114,MAX(0.1,N(Cockpit!$O$6))),BY1114)/BQ1114,0)*BQ1114</f>
        <v>8</v>
      </c>
      <c r="AY1114" s="58" t="n">
        <f aca="false">IF(AV1114&gt;0,I1114/AV1114,-1)</f>
        <v>0</v>
      </c>
      <c r="AZ1114" s="58" t="n">
        <f aca="false">IF(AND(OR(BU1114="L1",BU1114="L23"),AV1114&gt;0),SUMIFS($AV$7:$AV$1576,$BU$7:$BU$1576,BU1114,$AY$7:$AY$1576,"&gt;"&amp;AY1114)+SUMIFS($AV$7:$AV$1576,$BU$7:$BU$1576,BU1114,$AY$7:$AY$1576,AY1114,$BO$7:$BO$1576,"&lt;="&amp;BO1114),"")</f>
        <v>123.769974831979</v>
      </c>
      <c r="BA1114" s="65" t="n">
        <f aca="false">IF(AZ1114="",0,MAX(0,MIN(1,(IF(BU1114="L1",Parameter!$E$5,Parameter!$E$6+Parameter!$E$7)-(AZ1114-AV1114))/AV1114)))</f>
        <v>0</v>
      </c>
      <c r="BB1114" s="55" t="str">
        <f aca="false">IF(AF1114&lt;=0,"",IF(BU1114="Aussen","Aussenlager",IF(BU1114="-","Nicht im Lift",IF(AK1114&gt;=1,"Lift",IF(AK1114&lt;=0,"Aussenlager","teilweise")))))</f>
        <v/>
      </c>
      <c r="BC1114" s="55" t="str">
        <f aca="false">IF(AN1114&lt;=0,"",IF(BU1114="Aussen","Aussenlager",IF(BU1114="-","Nicht im Lift",IF(AS1114&gt;=1,"Lift",IF(AS1114&lt;=0,"Aussenlager","teilweise")))))</f>
        <v>Aussenlager</v>
      </c>
      <c r="BD1114" s="55" t="str">
        <f aca="false">IF(AV1114&lt;=0,"",IF(BU1114="Aussen","Aussenlager",IF(BU1114="-","Nicht im Lift",IF(BA1114&gt;=1,"Lift",IF(BA1114&lt;=0,"Aussenlager","teilweise")))))</f>
        <v>Aussenlager</v>
      </c>
      <c r="BE1114" s="55" t="str">
        <f aca="false">IF(A1114="","",IF(BN1114=1,"Neu; ","")&amp;IF(AND(BN1114=0,BI1114&lt;0),"negativer Bestand (Export "&amp;BI1114&amp;"); ","")&amp;IF(I1114&lt;=0,"Kein Verbrauch; ","")&amp;IF(CD1114&gt;0,"Lift "&amp;U1114&amp;" lt. Liftbericht (Fach "&amp;V1114&amp;" Stk); ",IF(BR1114=1,"Lose – Fläche geschätzt; ",""))&amp;IF(G1114&gt;AP1114,"Überbestand "&amp;ROUND(G1114-AP1114,0)&amp;" Stk / CHF "&amp;ROUND((G1114-AP1114)*F1114,0)&amp;"; ","")&amp;IF(AND(BW1114=1,BX1114&lt;BY1114),"MAX &lt; MB+LG; ","")&amp;IF(AND(CC1114&gt;0,CB1114*10&gt;CC1114),"zu hoch für Tablar; ","")&amp;IF(AND(BN1114=0,OR(BW1114=1,Y1114&lt;&gt;"",S1114&lt;&gt;"",T1114&lt;&gt;"",Z1114&lt;&gt;"")),"manuell übersteuert; ","")&amp;IF(AND(BR1114=0,Q1114=0),"Gebinde unbekannt / Stellmass fehlt; ","")&amp;IF(AND(BR1114=0,N(T1114)&lt;=0,N(P1114)&lt;=0),"Menge pro Gebinde fehlt (Ist = 1 Gebinde); ","")&amp;BM1114)</f>
        <v>negativer Bestand (Export -2); Kein Verbrauch; Verb.Lager</v>
      </c>
      <c r="BF1114" s="55"/>
      <c r="BG1114" s="55"/>
      <c r="BH1114" s="62"/>
      <c r="BI1114" s="57" t="n">
        <v>-2</v>
      </c>
      <c r="BJ1114" s="57" t="n">
        <v>10</v>
      </c>
      <c r="BK1114" s="56" t="n">
        <v>-233.08</v>
      </c>
      <c r="BL1114" s="57" t="n">
        <v>0</v>
      </c>
      <c r="BM1114" s="55" t="s">
        <v>1019</v>
      </c>
      <c r="BN1114" s="60" t="n">
        <v>0</v>
      </c>
      <c r="BO1114" s="60" t="n">
        <v>1114</v>
      </c>
      <c r="BP1114" s="55" t="str">
        <f aca="false">IF(S1114&lt;&gt;"",UPPER(TRIM(S1114)),IF(O1114="","LOSE",O1114))</f>
        <v>S51</v>
      </c>
      <c r="BQ1114" s="57" t="n">
        <f aca="false">IF(BP1114="LOSE",1,IF(N(T1114)&gt;0,T1114,IF(N(P1114)&gt;0,P1114,MAX(1,G1114))))</f>
        <v>8</v>
      </c>
      <c r="BR1114" s="60" t="n">
        <f aca="false">IF(BP1114="LOSE",1,0)</f>
        <v>0</v>
      </c>
      <c r="BS1114" s="59" t="n">
        <f aca="false">IF(BR1114=0,0,IF(N(R1114)&gt;0,R1114,IFERROR(VLOOKUP(D1114,Parameter!$A$35:$C$64,3,0)+0,0)))</f>
        <v>0</v>
      </c>
      <c r="BT1114" s="55" t="n">
        <f aca="false">IF(Y1114&lt;&gt;"",Y1114,X1114)</f>
        <v>3</v>
      </c>
      <c r="BU1114" s="55" t="str">
        <f aca="false">IF(BT1114=1,"L1",IF(OR(BT1114=2,BT1114=3),"L23",IF(BT1114="Aussen","Aussen","-")))</f>
        <v>L23</v>
      </c>
      <c r="BV1114" s="66" t="n">
        <f aca="false">IF(N(Z1114)&gt;0,Z1114,0)</f>
        <v>0</v>
      </c>
      <c r="BW1114" s="60" t="n">
        <f aca="false">IF(ISNUMBER(AC1114),1,0)</f>
        <v>0</v>
      </c>
      <c r="BX1114" s="57" t="n">
        <f aca="false">N(AC1114)</f>
        <v>0</v>
      </c>
      <c r="BY1114" s="57" t="n">
        <f aca="false">N(L1114)+N(M1114)</f>
        <v>1</v>
      </c>
      <c r="BZ1114" s="57" t="n">
        <f aca="false">ROUNDUP(G1114/BQ1114,0)</f>
        <v>0</v>
      </c>
      <c r="CA1114" s="57" t="n">
        <f aca="false">ROUNDUP(BX1114/BQ1114,0)</f>
        <v>0</v>
      </c>
      <c r="CB1114" s="60" t="n">
        <f aca="false">IF(BR1114=1,0,IFERROR(VLOOKUP(BP1114,'Gebinde-Kategorie'!$A$5:$M$45,5,0)+0,0))</f>
        <v>11</v>
      </c>
      <c r="CC1114" s="60" t="n">
        <f aca="false">IFERROR(IF(OR(BT1114=1,BT1114=2,BT1114=3),N(INDEX(Parameter!$I$5:$I$7,BT1114)),0),0)</f>
        <v>0</v>
      </c>
      <c r="CD1114" s="59" t="n">
        <f aca="false">IF(AND(Parameter!$B$21="Ja",ISNUMBER(U1114),N(V1114)&gt;0),IFERROR(N(INDEX(Parameter!$L$5:$L$7,U1114))*INDEX(Parameter!$E$5:$E$7,U1114)*V1114/SUMIFS($V$7:$V$1576,$U$7:$U$1576,U1114),0),0)</f>
        <v>0</v>
      </c>
    </row>
    <row r="1115" customFormat="false" ht="15" hidden="false" customHeight="false" outlineLevel="0" collapsed="false">
      <c r="A1115" s="55" t="s">
        <v>2010</v>
      </c>
      <c r="B1115" s="55" t="s">
        <v>2011</v>
      </c>
      <c r="C1115" s="55" t="s">
        <v>160</v>
      </c>
      <c r="D1115" s="55" t="s">
        <v>168</v>
      </c>
      <c r="E1115" s="55" t="s">
        <v>210</v>
      </c>
      <c r="F1115" s="56" t="n">
        <v>12.3</v>
      </c>
      <c r="G1115" s="57" t="n">
        <f aca="false">MAX(0,IF(AND(Parameter!$B$21="Ja",ISNUMBER(W1115)),W1115,IF(Parameter!$B$20="Jahresanfang 2025 + Export",BJ1115+BI1115,BI1115)))</f>
        <v>0</v>
      </c>
      <c r="H1115" s="57" t="n">
        <f aca="false">G1115*F1115</f>
        <v>0</v>
      </c>
      <c r="I1115" s="57" t="n">
        <f aca="false">BL1115*Parameter!$B$18</f>
        <v>0</v>
      </c>
      <c r="J1115" s="58" t="n">
        <v>9.5</v>
      </c>
      <c r="K1115" s="59" t="n">
        <v>0</v>
      </c>
      <c r="L1115" s="57" t="n">
        <v>0</v>
      </c>
      <c r="M1115" s="57" t="n">
        <v>1</v>
      </c>
      <c r="N1115" s="60" t="n">
        <v>42</v>
      </c>
      <c r="O1115" s="55" t="s">
        <v>163</v>
      </c>
      <c r="P1115" s="57"/>
      <c r="Q1115" s="60" t="n">
        <f aca="false">IF(BR1115=1,0,IFERROR(VLOOKUP(BP1115,'Gebinde-Kategorie'!$A$5:$M$45,13,0)+0,0))</f>
        <v>0</v>
      </c>
      <c r="R1115" s="61"/>
      <c r="S1115" s="62"/>
      <c r="T1115" s="62"/>
      <c r="U1115" s="55"/>
      <c r="V1115" s="57"/>
      <c r="W1115" s="57"/>
      <c r="X1115" s="55" t="n">
        <f aca="false">IF(A1115="","",IF(AND(Parameter!$B$21="Ja",ISNUMBER(U1115)),U1115,IF(IFERROR(VLOOKUP(D1115,Parameter!$A$35:$C$64,2,0),"Nein")="2+3",IF(ISNUMBER(SEARCH("grosser Artikel",BM1115)),2,IFERROR(VLOOKUP(BP1115,Parameter!$F$35:$G$64,2,0),2)),IF(OR(IFERROR(VLOOKUP(D1115,Parameter!$A$35:$C$64,2,0),"Nein")="Nein",IFERROR(VLOOKUP(D1115,Parameter!$A$35:$C$64,2,0),"Nein")=""),"-",VLOOKUP(D1115,Parameter!$A$35:$C$64,2,0)))))</f>
        <v>2</v>
      </c>
      <c r="Y1115" s="62"/>
      <c r="Z1115" s="63"/>
      <c r="AA1115" s="57" t="n">
        <f aca="false">AP1115</f>
        <v>1</v>
      </c>
      <c r="AB1115" s="57" t="n">
        <f aca="false">MAX(AP1115,G1115)</f>
        <v>1</v>
      </c>
      <c r="AC1115" s="64"/>
      <c r="AD1115" s="57" t="n">
        <f aca="false">IF(LEFT(Cockpit!$C$5,1)="A",G1115,IF(BW1115=1,BX1115,IF(LEFT(Cockpit!$C$5,1)="B",AH1115,MAX(AH1115,G1115))))</f>
        <v>0</v>
      </c>
      <c r="AE1115" s="57" t="n">
        <f aca="false">IF(BR1115=1,0,ROUNDUP(AD1115/BQ1115,0))</f>
        <v>0</v>
      </c>
      <c r="AF1115" s="59" t="n">
        <f aca="false">IF(CD1115&gt;0,CD1115*MAX(1,AD1115/V1115),IF(BR1115=1,IF(AD1115&lt;=0,0,BS1115*MAX(1,IF(G1115&gt;0,AD1115/G1115,1))),IF(Q1115&gt;0,AE1115/Q1115,0))/MAX(0.1,N(Parameter!$M$21)))</f>
        <v>0</v>
      </c>
      <c r="AG1115" s="57" t="n">
        <f aca="false">AD1115*F1115</f>
        <v>0</v>
      </c>
      <c r="AH1115" s="57" t="n">
        <f aca="false">ROUNDUP(MAX(I1115/IF(BV1115&gt;0,BV1115,MAX(0.1,N(Cockpit!$C$6))),BY1115)/BQ1115,0)*BQ1115</f>
        <v>1</v>
      </c>
      <c r="AI1115" s="58" t="n">
        <f aca="false">IF(AF1115&gt;0,I1115/AF1115,-1)</f>
        <v>-1</v>
      </c>
      <c r="AJ1115" s="58" t="str">
        <f aca="false">IF(AND(OR(BU1115="L1",BU1115="L23"),AF1115&gt;0),SUMIFS($AF$7:$AF$1576,$BU$7:$BU$1576,BU1115,$AI$7:$AI$1576,"&gt;"&amp;AI1115)+SUMIFS($AF$7:$AF$1576,$BU$7:$BU$1576,BU1115,$AI$7:$AI$1576,AI1115,$BO$7:$BO$1576,"&lt;="&amp;BO1115),"")</f>
        <v/>
      </c>
      <c r="AK1115" s="65" t="n">
        <f aca="false">IF(AJ1115="",0,MAX(0,MIN(1,(IF(BU1115="L1",Parameter!$E$5,Parameter!$E$6+Parameter!$E$7)-(AJ1115-AF1115))/AF1115)))</f>
        <v>0</v>
      </c>
      <c r="AL1115" s="57" t="n">
        <f aca="false">IF(LEFT(Cockpit!$I$5,1)="A",G1115,IF(BW1115=1,BX1115,IF(LEFT(Cockpit!$I$5,1)="B",AP1115,MAX(AP1115,G1115))))</f>
        <v>1</v>
      </c>
      <c r="AM1115" s="57" t="n">
        <f aca="false">IF(BR1115=1,0,ROUNDUP(AL1115/BQ1115,0))</f>
        <v>0</v>
      </c>
      <c r="AN1115" s="59" t="n">
        <f aca="false">IF(CD1115&gt;0,CD1115*MAX(1,AL1115/V1115),IF(BR1115=1,IF(AL1115&lt;=0,0,BS1115*MAX(1,IF(G1115&gt;0,AL1115/G1115,1))),IF(Q1115&gt;0,AM1115/Q1115,0))/MAX(0.1,N(Parameter!$M$21)))</f>
        <v>0.15</v>
      </c>
      <c r="AO1115" s="57" t="n">
        <f aca="false">AL1115*F1115</f>
        <v>12.3</v>
      </c>
      <c r="AP1115" s="57" t="n">
        <f aca="false">ROUNDUP(MAX(I1115/IF(BV1115&gt;0,BV1115,MAX(0.1,N(Cockpit!$I$6))),BY1115)/BQ1115,0)*BQ1115</f>
        <v>1</v>
      </c>
      <c r="AQ1115" s="58" t="n">
        <f aca="false">IF(AN1115&gt;0,I1115/AN1115,-1)</f>
        <v>0</v>
      </c>
      <c r="AR1115" s="58" t="n">
        <f aca="false">IF(AND(OR(BU1115="L1",BU1115="L23"),AN1115&gt;0),SUMIFS($AN$7:$AN$1576,$BU$7:$BU$1576,BU1115,$AQ$7:$AQ$1576,"&gt;"&amp;AQ1115)+SUMIFS($AN$7:$AN$1576,$BU$7:$BU$1576,BU1115,$AQ$7:$AQ$1576,AQ1115,$BO$7:$BO$1576,"&lt;="&amp;BO1115),"")</f>
        <v>133.860424382428</v>
      </c>
      <c r="AS1115" s="65" t="n">
        <f aca="false">IF(AR1115="",0,MAX(0,MIN(1,(IF(BU1115="L1",Parameter!$E$5,Parameter!$E$6+Parameter!$E$7)-(AR1115-AN1115))/AN1115)))</f>
        <v>0</v>
      </c>
      <c r="AT1115" s="57" t="n">
        <f aca="false">IF(LEFT(Cockpit!$O$5,1)="A",G1115,IF(BW1115=1,BX1115,IF(LEFT(Cockpit!$O$5,1)="B",AX1115,MAX(AX1115,G1115))))</f>
        <v>1</v>
      </c>
      <c r="AU1115" s="57" t="n">
        <f aca="false">IF(BR1115=1,0,ROUNDUP(AT1115/BQ1115,0))</f>
        <v>0</v>
      </c>
      <c r="AV1115" s="59" t="n">
        <f aca="false">IF(CD1115&gt;0,CD1115*MAX(1,AT1115/V1115),IF(BR1115=1,IF(AT1115&lt;=0,0,BS1115*MAX(1,IF(G1115&gt;0,AT1115/G1115,1))),IF(Q1115&gt;0,AU1115/Q1115,0))/MAX(0.1,N(Parameter!$M$21)))</f>
        <v>0.15</v>
      </c>
      <c r="AW1115" s="57" t="n">
        <f aca="false">AT1115*F1115</f>
        <v>12.3</v>
      </c>
      <c r="AX1115" s="57" t="n">
        <f aca="false">ROUNDUP(MAX(I1115/IF(BV1115&gt;0,BV1115,MAX(0.1,N(Cockpit!$O$6))),BY1115)/BQ1115,0)*BQ1115</f>
        <v>1</v>
      </c>
      <c r="AY1115" s="58" t="n">
        <f aca="false">IF(AV1115&gt;0,I1115/AV1115,-1)</f>
        <v>0</v>
      </c>
      <c r="AZ1115" s="58" t="n">
        <f aca="false">IF(AND(OR(BU1115="L1",BU1115="L23"),AV1115&gt;0),SUMIFS($AV$7:$AV$1576,$BU$7:$BU$1576,BU1115,$AY$7:$AY$1576,"&gt;"&amp;AY1115)+SUMIFS($AV$7:$AV$1576,$BU$7:$BU$1576,BU1115,$AY$7:$AY$1576,AY1115,$BO$7:$BO$1576,"&lt;="&amp;BO1115),"")</f>
        <v>123.919974831979</v>
      </c>
      <c r="BA1115" s="65" t="n">
        <f aca="false">IF(AZ1115="",0,MAX(0,MIN(1,(IF(BU1115="L1",Parameter!$E$5,Parameter!$E$6+Parameter!$E$7)-(AZ1115-AV1115))/AV1115)))</f>
        <v>0</v>
      </c>
      <c r="BB1115" s="55" t="str">
        <f aca="false">IF(AF1115&lt;=0,"",IF(BU1115="Aussen","Aussenlager",IF(BU1115="-","Nicht im Lift",IF(AK1115&gt;=1,"Lift",IF(AK1115&lt;=0,"Aussenlager","teilweise")))))</f>
        <v/>
      </c>
      <c r="BC1115" s="55" t="str">
        <f aca="false">IF(AN1115&lt;=0,"",IF(BU1115="Aussen","Aussenlager",IF(BU1115="-","Nicht im Lift",IF(AS1115&gt;=1,"Lift",IF(AS1115&lt;=0,"Aussenlager","teilweise")))))</f>
        <v>Aussenlager</v>
      </c>
      <c r="BD1115" s="55" t="str">
        <f aca="false">IF(AV1115&lt;=0,"",IF(BU1115="Aussen","Aussenlager",IF(BU1115="-","Nicht im Lift",IF(BA1115&gt;=1,"Lift",IF(BA1115&lt;=0,"Aussenlager","teilweise")))))</f>
        <v>Aussenlager</v>
      </c>
      <c r="BE1115" s="55" t="str">
        <f aca="false">IF(A1115="","",IF(BN1115=1,"Neu; ","")&amp;IF(AND(BN1115=0,BI1115&lt;0),"negativer Bestand (Export "&amp;BI1115&amp;"); ","")&amp;IF(I1115&lt;=0,"Kein Verbrauch; ","")&amp;IF(CD1115&gt;0,"Lift "&amp;U1115&amp;" lt. Liftbericht (Fach "&amp;V1115&amp;" Stk); ",IF(BR1115=1,"Lose – Fläche geschätzt; ",""))&amp;IF(G1115&gt;AP1115,"Überbestand "&amp;ROUND(G1115-AP1115,0)&amp;" Stk / CHF "&amp;ROUND((G1115-AP1115)*F1115,0)&amp;"; ","")&amp;IF(AND(BW1115=1,BX1115&lt;BY1115),"MAX &lt; MB+LG; ","")&amp;IF(AND(CC1115&gt;0,CB1115*10&gt;CC1115),"zu hoch für Tablar; ","")&amp;IF(AND(BN1115=0,OR(BW1115=1,Y1115&lt;&gt;"",S1115&lt;&gt;"",T1115&lt;&gt;"",Z1115&lt;&gt;"")),"manuell übersteuert; ","")&amp;IF(AND(BR1115=0,Q1115=0),"Gebinde unbekannt / Stellmass fehlt; ","")&amp;IF(AND(BR1115=0,N(T1115)&lt;=0,N(P1115)&lt;=0),"Menge pro Gebinde fehlt (Ist = 1 Gebinde); ","")&amp;BM1115)</f>
        <v>negativer Bestand (Export -19); Kein Verbrauch; Lose – Fläche geschätzt; </v>
      </c>
      <c r="BF1115" s="55"/>
      <c r="BG1115" s="55"/>
      <c r="BH1115" s="62"/>
      <c r="BI1115" s="57" t="n">
        <v>-19</v>
      </c>
      <c r="BJ1115" s="57" t="n">
        <v>19</v>
      </c>
      <c r="BK1115" s="56" t="n">
        <v>-233.7</v>
      </c>
      <c r="BL1115" s="57" t="n">
        <v>0</v>
      </c>
      <c r="BM1115" s="55"/>
      <c r="BN1115" s="60" t="n">
        <v>0</v>
      </c>
      <c r="BO1115" s="60" t="n">
        <v>1115</v>
      </c>
      <c r="BP1115" s="55" t="str">
        <f aca="false">IF(S1115&lt;&gt;"",UPPER(TRIM(S1115)),IF(O1115="","LOSE",O1115))</f>
        <v>LOSE</v>
      </c>
      <c r="BQ1115" s="57" t="n">
        <f aca="false">IF(BP1115="LOSE",1,IF(N(T1115)&gt;0,T1115,IF(N(P1115)&gt;0,P1115,MAX(1,G1115))))</f>
        <v>1</v>
      </c>
      <c r="BR1115" s="60" t="n">
        <f aca="false">IF(BP1115="LOSE",1,0)</f>
        <v>1</v>
      </c>
      <c r="BS1115" s="59" t="n">
        <f aca="false">IF(BR1115=0,0,IF(N(R1115)&gt;0,R1115,IFERROR(VLOOKUP(D1115,Parameter!$A$35:$C$64,3,0)+0,0)))</f>
        <v>0.15</v>
      </c>
      <c r="BT1115" s="55" t="n">
        <f aca="false">IF(Y1115&lt;&gt;"",Y1115,X1115)</f>
        <v>2</v>
      </c>
      <c r="BU1115" s="55" t="str">
        <f aca="false">IF(BT1115=1,"L1",IF(OR(BT1115=2,BT1115=3),"L23",IF(BT1115="Aussen","Aussen","-")))</f>
        <v>L23</v>
      </c>
      <c r="BV1115" s="66" t="n">
        <f aca="false">IF(N(Z1115)&gt;0,Z1115,0)</f>
        <v>0</v>
      </c>
      <c r="BW1115" s="60" t="n">
        <f aca="false">IF(ISNUMBER(AC1115),1,0)</f>
        <v>0</v>
      </c>
      <c r="BX1115" s="57" t="n">
        <f aca="false">N(AC1115)</f>
        <v>0</v>
      </c>
      <c r="BY1115" s="57" t="n">
        <f aca="false">N(L1115)+N(M1115)</f>
        <v>1</v>
      </c>
      <c r="BZ1115" s="57" t="n">
        <f aca="false">ROUNDUP(G1115/BQ1115,0)</f>
        <v>0</v>
      </c>
      <c r="CA1115" s="57" t="n">
        <f aca="false">ROUNDUP(BX1115/BQ1115,0)</f>
        <v>0</v>
      </c>
      <c r="CB1115" s="60" t="n">
        <f aca="false">IF(BR1115=1,0,IFERROR(VLOOKUP(BP1115,'Gebinde-Kategorie'!$A$5:$M$45,5,0)+0,0))</f>
        <v>0</v>
      </c>
      <c r="CC1115" s="60" t="n">
        <f aca="false">IFERROR(IF(OR(BT1115=1,BT1115=2,BT1115=3),N(INDEX(Parameter!$I$5:$I$7,BT1115)),0),0)</f>
        <v>0</v>
      </c>
      <c r="CD1115" s="59" t="n">
        <f aca="false">IF(AND(Parameter!$B$21="Ja",ISNUMBER(U1115),N(V1115)&gt;0),IFERROR(N(INDEX(Parameter!$L$5:$L$7,U1115))*INDEX(Parameter!$E$5:$E$7,U1115)*V1115/SUMIFS($V$7:$V$1576,$U$7:$U$1576,U1115),0),0)</f>
        <v>0</v>
      </c>
    </row>
    <row r="1116" customFormat="false" ht="15" hidden="false" customHeight="false" outlineLevel="0" collapsed="false">
      <c r="A1116" s="55" t="s">
        <v>2012</v>
      </c>
      <c r="B1116" s="55" t="s">
        <v>2013</v>
      </c>
      <c r="C1116" s="55" t="s">
        <v>160</v>
      </c>
      <c r="D1116" s="55" t="s">
        <v>168</v>
      </c>
      <c r="E1116" s="55" t="s">
        <v>210</v>
      </c>
      <c r="F1116" s="56" t="n">
        <v>46.91</v>
      </c>
      <c r="G1116" s="57" t="n">
        <f aca="false">MAX(0,IF(AND(Parameter!$B$21="Ja",ISNUMBER(W1116)),W1116,IF(Parameter!$B$20="Jahresanfang 2025 + Export",BJ1116+BI1116,BI1116)))</f>
        <v>0</v>
      </c>
      <c r="H1116" s="57" t="n">
        <f aca="false">G1116*F1116</f>
        <v>0</v>
      </c>
      <c r="I1116" s="57" t="n">
        <f aca="false">BL1116*Parameter!$B$18</f>
        <v>4</v>
      </c>
      <c r="J1116" s="58" t="n">
        <v>40.5</v>
      </c>
      <c r="K1116" s="59" t="n">
        <v>0.0987654320987654</v>
      </c>
      <c r="L1116" s="57" t="n">
        <v>0</v>
      </c>
      <c r="M1116" s="57" t="n">
        <v>5</v>
      </c>
      <c r="N1116" s="60" t="n">
        <v>21</v>
      </c>
      <c r="O1116" s="55" t="s">
        <v>163</v>
      </c>
      <c r="P1116" s="57"/>
      <c r="Q1116" s="60" t="n">
        <f aca="false">IF(BR1116=1,0,IFERROR(VLOOKUP(BP1116,'Gebinde-Kategorie'!$A$5:$M$45,13,0)+0,0))</f>
        <v>0</v>
      </c>
      <c r="R1116" s="61"/>
      <c r="S1116" s="62"/>
      <c r="T1116" s="62"/>
      <c r="U1116" s="55"/>
      <c r="V1116" s="57"/>
      <c r="W1116" s="57"/>
      <c r="X1116" s="55" t="n">
        <f aca="false">IF(A1116="","",IF(AND(Parameter!$B$21="Ja",ISNUMBER(U1116)),U1116,IF(IFERROR(VLOOKUP(D1116,Parameter!$A$35:$C$64,2,0),"Nein")="2+3",IF(ISNUMBER(SEARCH("grosser Artikel",BM1116)),2,IFERROR(VLOOKUP(BP1116,Parameter!$F$35:$G$64,2,0),2)),IF(OR(IFERROR(VLOOKUP(D1116,Parameter!$A$35:$C$64,2,0),"Nein")="Nein",IFERROR(VLOOKUP(D1116,Parameter!$A$35:$C$64,2,0),"Nein")=""),"-",VLOOKUP(D1116,Parameter!$A$35:$C$64,2,0)))))</f>
        <v>2</v>
      </c>
      <c r="Y1116" s="62"/>
      <c r="Z1116" s="63"/>
      <c r="AA1116" s="57" t="n">
        <f aca="false">AP1116</f>
        <v>5</v>
      </c>
      <c r="AB1116" s="57" t="n">
        <f aca="false">MAX(AP1116,G1116)</f>
        <v>5</v>
      </c>
      <c r="AC1116" s="64"/>
      <c r="AD1116" s="57" t="n">
        <f aca="false">IF(LEFT(Cockpit!$C$5,1)="A",G1116,IF(BW1116=1,BX1116,IF(LEFT(Cockpit!$C$5,1)="B",AH1116,MAX(AH1116,G1116))))</f>
        <v>0</v>
      </c>
      <c r="AE1116" s="57" t="n">
        <f aca="false">IF(BR1116=1,0,ROUNDUP(AD1116/BQ1116,0))</f>
        <v>0</v>
      </c>
      <c r="AF1116" s="59" t="n">
        <f aca="false">IF(CD1116&gt;0,CD1116*MAX(1,AD1116/V1116),IF(BR1116=1,IF(AD1116&lt;=0,0,BS1116*MAX(1,IF(G1116&gt;0,AD1116/G1116,1))),IF(Q1116&gt;0,AE1116/Q1116,0))/MAX(0.1,N(Parameter!$M$21)))</f>
        <v>0</v>
      </c>
      <c r="AG1116" s="57" t="n">
        <f aca="false">AD1116*F1116</f>
        <v>0</v>
      </c>
      <c r="AH1116" s="57" t="n">
        <f aca="false">ROUNDUP(MAX(I1116/IF(BV1116&gt;0,BV1116,MAX(0.1,N(Cockpit!$C$6))),BY1116)/BQ1116,0)*BQ1116</f>
        <v>5</v>
      </c>
      <c r="AI1116" s="58" t="n">
        <f aca="false">IF(AF1116&gt;0,I1116/AF1116,-1)</f>
        <v>-1</v>
      </c>
      <c r="AJ1116" s="58" t="str">
        <f aca="false">IF(AND(OR(BU1116="L1",BU1116="L23"),AF1116&gt;0),SUMIFS($AF$7:$AF$1576,$BU$7:$BU$1576,BU1116,$AI$7:$AI$1576,"&gt;"&amp;AI1116)+SUMIFS($AF$7:$AF$1576,$BU$7:$BU$1576,BU1116,$AI$7:$AI$1576,AI1116,$BO$7:$BO$1576,"&lt;="&amp;BO1116),"")</f>
        <v/>
      </c>
      <c r="AK1116" s="65" t="n">
        <f aca="false">IF(AJ1116="",0,MAX(0,MIN(1,(IF(BU1116="L1",Parameter!$E$5,Parameter!$E$6+Parameter!$E$7)-(AJ1116-AF1116))/AF1116)))</f>
        <v>0</v>
      </c>
      <c r="AL1116" s="57" t="n">
        <f aca="false">IF(LEFT(Cockpit!$I$5,1)="A",G1116,IF(BW1116=1,BX1116,IF(LEFT(Cockpit!$I$5,1)="B",AP1116,MAX(AP1116,G1116))))</f>
        <v>5</v>
      </c>
      <c r="AM1116" s="57" t="n">
        <f aca="false">IF(BR1116=1,0,ROUNDUP(AL1116/BQ1116,0))</f>
        <v>0</v>
      </c>
      <c r="AN1116" s="59" t="n">
        <f aca="false">IF(CD1116&gt;0,CD1116*MAX(1,AL1116/V1116),IF(BR1116=1,IF(AL1116&lt;=0,0,BS1116*MAX(1,IF(G1116&gt;0,AL1116/G1116,1))),IF(Q1116&gt;0,AM1116/Q1116,0))/MAX(0.1,N(Parameter!$M$21)))</f>
        <v>0.15</v>
      </c>
      <c r="AO1116" s="57" t="n">
        <f aca="false">AL1116*F1116</f>
        <v>234.55</v>
      </c>
      <c r="AP1116" s="57" t="n">
        <f aca="false">ROUNDUP(MAX(I1116/IF(BV1116&gt;0,BV1116,MAX(0.1,N(Cockpit!$I$6))),BY1116)/BQ1116,0)*BQ1116</f>
        <v>5</v>
      </c>
      <c r="AQ1116" s="58" t="n">
        <f aca="false">IF(AN1116&gt;0,I1116/AN1116,-1)</f>
        <v>26.6666666666667</v>
      </c>
      <c r="AR1116" s="58" t="n">
        <f aca="false">IF(AND(OR(BU1116="L1",BU1116="L23"),AN1116&gt;0),SUMIFS($AN$7:$AN$1576,$BU$7:$BU$1576,BU1116,$AQ$7:$AQ$1576,"&gt;"&amp;AQ1116)+SUMIFS($AN$7:$AN$1576,$BU$7:$BU$1576,BU1116,$AQ$7:$AQ$1576,AQ1116,$BO$7:$BO$1576,"&lt;="&amp;BO1116),"")</f>
        <v>96.8924345886957</v>
      </c>
      <c r="AS1116" s="65" t="n">
        <f aca="false">IF(AR1116="",0,MAX(0,MIN(1,(IF(BU1116="L1",Parameter!$E$5,Parameter!$E$6+Parameter!$E$7)-(AR1116-AN1116))/AN1116)))</f>
        <v>1</v>
      </c>
      <c r="AT1116" s="57" t="n">
        <f aca="false">IF(LEFT(Cockpit!$O$5,1)="A",G1116,IF(BW1116=1,BX1116,IF(LEFT(Cockpit!$O$5,1)="B",AX1116,MAX(AX1116,G1116))))</f>
        <v>5</v>
      </c>
      <c r="AU1116" s="57" t="n">
        <f aca="false">IF(BR1116=1,0,ROUNDUP(AT1116/BQ1116,0))</f>
        <v>0</v>
      </c>
      <c r="AV1116" s="59" t="n">
        <f aca="false">IF(CD1116&gt;0,CD1116*MAX(1,AT1116/V1116),IF(BR1116=1,IF(AT1116&lt;=0,0,BS1116*MAX(1,IF(G1116&gt;0,AT1116/G1116,1))),IF(Q1116&gt;0,AU1116/Q1116,0))/MAX(0.1,N(Parameter!$M$21)))</f>
        <v>0.15</v>
      </c>
      <c r="AW1116" s="57" t="n">
        <f aca="false">AT1116*F1116</f>
        <v>234.55</v>
      </c>
      <c r="AX1116" s="57" t="n">
        <f aca="false">ROUNDUP(MAX(I1116/IF(BV1116&gt;0,BV1116,MAX(0.1,N(Cockpit!$O$6))),BY1116)/BQ1116,0)*BQ1116</f>
        <v>5</v>
      </c>
      <c r="AY1116" s="58" t="n">
        <f aca="false">IF(AV1116&gt;0,I1116/AV1116,-1)</f>
        <v>26.6666666666667</v>
      </c>
      <c r="AZ1116" s="58" t="n">
        <f aca="false">IF(AND(OR(BU1116="L1",BU1116="L23"),AV1116&gt;0),SUMIFS($AV$7:$AV$1576,$BU$7:$BU$1576,BU1116,$AY$7:$AY$1576,"&gt;"&amp;AY1116)+SUMIFS($AV$7:$AV$1576,$BU$7:$BU$1576,BU1116,$AY$7:$AY$1576,AY1116,$BO$7:$BO$1576,"&lt;="&amp;BO1116),"")</f>
        <v>87.7019850382462</v>
      </c>
      <c r="BA1116" s="65" t="n">
        <f aca="false">IF(AZ1116="",0,MAX(0,MIN(1,(IF(BU1116="L1",Parameter!$E$5,Parameter!$E$6+Parameter!$E$7)-(AZ1116-AV1116))/AV1116)))</f>
        <v>1</v>
      </c>
      <c r="BB1116" s="55" t="str">
        <f aca="false">IF(AF1116&lt;=0,"",IF(BU1116="Aussen","Aussenlager",IF(BU1116="-","Nicht im Lift",IF(AK1116&gt;=1,"Lift",IF(AK1116&lt;=0,"Aussenlager","teilweise")))))</f>
        <v/>
      </c>
      <c r="BC1116" s="55" t="str">
        <f aca="false">IF(AN1116&lt;=0,"",IF(BU1116="Aussen","Aussenlager",IF(BU1116="-","Nicht im Lift",IF(AS1116&gt;=1,"Lift",IF(AS1116&lt;=0,"Aussenlager","teilweise")))))</f>
        <v>Lift</v>
      </c>
      <c r="BD1116" s="55" t="str">
        <f aca="false">IF(AV1116&lt;=0,"",IF(BU1116="Aussen","Aussenlager",IF(BU1116="-","Nicht im Lift",IF(BA1116&gt;=1,"Lift",IF(BA1116&lt;=0,"Aussenlager","teilweise")))))</f>
        <v>Lift</v>
      </c>
      <c r="BE1116" s="55" t="str">
        <f aca="false">IF(A1116="","",IF(BN1116=1,"Neu; ","")&amp;IF(AND(BN1116=0,BI1116&lt;0),"negativer Bestand (Export "&amp;BI1116&amp;"); ","")&amp;IF(I1116&lt;=0,"Kein Verbrauch; ","")&amp;IF(CD1116&gt;0,"Lift "&amp;U1116&amp;" lt. Liftbericht (Fach "&amp;V1116&amp;" Stk); ",IF(BR1116=1,"Lose – Fläche geschätzt; ",""))&amp;IF(G1116&gt;AP1116,"Überbestand "&amp;ROUND(G1116-AP1116,0)&amp;" Stk / CHF "&amp;ROUND((G1116-AP1116)*F1116,0)&amp;"; ","")&amp;IF(AND(BW1116=1,BX1116&lt;BY1116),"MAX &lt; MB+LG; ","")&amp;IF(AND(CC1116&gt;0,CB1116*10&gt;CC1116),"zu hoch für Tablar; ","")&amp;IF(AND(BN1116=0,OR(BW1116=1,Y1116&lt;&gt;"",S1116&lt;&gt;"",T1116&lt;&gt;"",Z1116&lt;&gt;"")),"manuell übersteuert; ","")&amp;IF(AND(BR1116=0,Q1116=0),"Gebinde unbekannt / Stellmass fehlt; ","")&amp;IF(AND(BR1116=0,N(T1116)&lt;=0,N(P1116)&lt;=0),"Menge pro Gebinde fehlt (Ist = 1 Gebinde); ","")&amp;BM1116)</f>
        <v>negativer Bestand (Export -5); Lose – Fläche geschätzt; </v>
      </c>
      <c r="BF1116" s="55"/>
      <c r="BG1116" s="55"/>
      <c r="BH1116" s="62"/>
      <c r="BI1116" s="57" t="n">
        <v>-5</v>
      </c>
      <c r="BJ1116" s="57" t="n">
        <v>43</v>
      </c>
      <c r="BK1116" s="56" t="n">
        <v>-234.55</v>
      </c>
      <c r="BL1116" s="57" t="n">
        <v>4</v>
      </c>
      <c r="BM1116" s="55"/>
      <c r="BN1116" s="60" t="n">
        <v>0</v>
      </c>
      <c r="BO1116" s="60" t="n">
        <v>1116</v>
      </c>
      <c r="BP1116" s="55" t="str">
        <f aca="false">IF(S1116&lt;&gt;"",UPPER(TRIM(S1116)),IF(O1116="","LOSE",O1116))</f>
        <v>LOSE</v>
      </c>
      <c r="BQ1116" s="57" t="n">
        <f aca="false">IF(BP1116="LOSE",1,IF(N(T1116)&gt;0,T1116,IF(N(P1116)&gt;0,P1116,MAX(1,G1116))))</f>
        <v>1</v>
      </c>
      <c r="BR1116" s="60" t="n">
        <f aca="false">IF(BP1116="LOSE",1,0)</f>
        <v>1</v>
      </c>
      <c r="BS1116" s="59" t="n">
        <f aca="false">IF(BR1116=0,0,IF(N(R1116)&gt;0,R1116,IFERROR(VLOOKUP(D1116,Parameter!$A$35:$C$64,3,0)+0,0)))</f>
        <v>0.15</v>
      </c>
      <c r="BT1116" s="55" t="n">
        <f aca="false">IF(Y1116&lt;&gt;"",Y1116,X1116)</f>
        <v>2</v>
      </c>
      <c r="BU1116" s="55" t="str">
        <f aca="false">IF(BT1116=1,"L1",IF(OR(BT1116=2,BT1116=3),"L23",IF(BT1116="Aussen","Aussen","-")))</f>
        <v>L23</v>
      </c>
      <c r="BV1116" s="66" t="n">
        <f aca="false">IF(N(Z1116)&gt;0,Z1116,0)</f>
        <v>0</v>
      </c>
      <c r="BW1116" s="60" t="n">
        <f aca="false">IF(ISNUMBER(AC1116),1,0)</f>
        <v>0</v>
      </c>
      <c r="BX1116" s="57" t="n">
        <f aca="false">N(AC1116)</f>
        <v>0</v>
      </c>
      <c r="BY1116" s="57" t="n">
        <f aca="false">N(L1116)+N(M1116)</f>
        <v>5</v>
      </c>
      <c r="BZ1116" s="57" t="n">
        <f aca="false">ROUNDUP(G1116/BQ1116,0)</f>
        <v>0</v>
      </c>
      <c r="CA1116" s="57" t="n">
        <f aca="false">ROUNDUP(BX1116/BQ1116,0)</f>
        <v>0</v>
      </c>
      <c r="CB1116" s="60" t="n">
        <f aca="false">IF(BR1116=1,0,IFERROR(VLOOKUP(BP1116,'Gebinde-Kategorie'!$A$5:$M$45,5,0)+0,0))</f>
        <v>0</v>
      </c>
      <c r="CC1116" s="60" t="n">
        <f aca="false">IFERROR(IF(OR(BT1116=1,BT1116=2,BT1116=3),N(INDEX(Parameter!$I$5:$I$7,BT1116)),0),0)</f>
        <v>0</v>
      </c>
      <c r="CD1116" s="59" t="n">
        <f aca="false">IF(AND(Parameter!$B$21="Ja",ISNUMBER(U1116),N(V1116)&gt;0),IFERROR(N(INDEX(Parameter!$L$5:$L$7,U1116))*INDEX(Parameter!$E$5:$E$7,U1116)*V1116/SUMIFS($V$7:$V$1576,$U$7:$U$1576,U1116),0),0)</f>
        <v>0</v>
      </c>
    </row>
    <row r="1117" customFormat="false" ht="15" hidden="false" customHeight="false" outlineLevel="0" collapsed="false">
      <c r="A1117" s="55" t="s">
        <v>2014</v>
      </c>
      <c r="B1117" s="55" t="s">
        <v>1013</v>
      </c>
      <c r="C1117" s="55" t="s">
        <v>160</v>
      </c>
      <c r="D1117" s="55" t="s">
        <v>168</v>
      </c>
      <c r="E1117" s="55" t="s">
        <v>210</v>
      </c>
      <c r="F1117" s="56" t="n">
        <v>11.8</v>
      </c>
      <c r="G1117" s="57" t="n">
        <f aca="false">MAX(0,IF(AND(Parameter!$B$21="Ja",ISNUMBER(W1117)),W1117,IF(Parameter!$B$20="Jahresanfang 2025 + Export",BJ1117+BI1117,BI1117)))</f>
        <v>0</v>
      </c>
      <c r="H1117" s="57" t="n">
        <f aca="false">G1117*F1117</f>
        <v>0</v>
      </c>
      <c r="I1117" s="57" t="n">
        <f aca="false">BL1117*Parameter!$B$18</f>
        <v>141</v>
      </c>
      <c r="J1117" s="58" t="n">
        <v>15.5</v>
      </c>
      <c r="K1117" s="59" t="n">
        <v>9.09677419354839</v>
      </c>
      <c r="L1117" s="57" t="n">
        <v>10</v>
      </c>
      <c r="M1117" s="57" t="n">
        <v>15</v>
      </c>
      <c r="N1117" s="60" t="n">
        <v>21</v>
      </c>
      <c r="O1117" s="55" t="s">
        <v>163</v>
      </c>
      <c r="P1117" s="57"/>
      <c r="Q1117" s="60" t="n">
        <f aca="false">IF(BR1117=1,0,IFERROR(VLOOKUP(BP1117,'Gebinde-Kategorie'!$A$5:$M$45,13,0)+0,0))</f>
        <v>0</v>
      </c>
      <c r="R1117" s="61"/>
      <c r="S1117" s="62"/>
      <c r="T1117" s="62"/>
      <c r="U1117" s="55"/>
      <c r="V1117" s="57"/>
      <c r="W1117" s="57"/>
      <c r="X1117" s="55" t="n">
        <f aca="false">IF(A1117="","",IF(AND(Parameter!$B$21="Ja",ISNUMBER(U1117)),U1117,IF(IFERROR(VLOOKUP(D1117,Parameter!$A$35:$C$64,2,0),"Nein")="2+3",IF(ISNUMBER(SEARCH("grosser Artikel",BM1117)),2,IFERROR(VLOOKUP(BP1117,Parameter!$F$35:$G$64,2,0),2)),IF(OR(IFERROR(VLOOKUP(D1117,Parameter!$A$35:$C$64,2,0),"Nein")="Nein",IFERROR(VLOOKUP(D1117,Parameter!$A$35:$C$64,2,0),"Nein")=""),"-",VLOOKUP(D1117,Parameter!$A$35:$C$64,2,0)))))</f>
        <v>2</v>
      </c>
      <c r="Y1117" s="62"/>
      <c r="Z1117" s="63"/>
      <c r="AA1117" s="57" t="n">
        <f aca="false">AP1117</f>
        <v>71</v>
      </c>
      <c r="AB1117" s="57" t="n">
        <f aca="false">MAX(AP1117,G1117)</f>
        <v>71</v>
      </c>
      <c r="AC1117" s="64"/>
      <c r="AD1117" s="57" t="n">
        <f aca="false">IF(LEFT(Cockpit!$C$5,1)="A",G1117,IF(BW1117=1,BX1117,IF(LEFT(Cockpit!$C$5,1)="B",AH1117,MAX(AH1117,G1117))))</f>
        <v>0</v>
      </c>
      <c r="AE1117" s="57" t="n">
        <f aca="false">IF(BR1117=1,0,ROUNDUP(AD1117/BQ1117,0))</f>
        <v>0</v>
      </c>
      <c r="AF1117" s="59" t="n">
        <f aca="false">IF(CD1117&gt;0,CD1117*MAX(1,AD1117/V1117),IF(BR1117=1,IF(AD1117&lt;=0,0,BS1117*MAX(1,IF(G1117&gt;0,AD1117/G1117,1))),IF(Q1117&gt;0,AE1117/Q1117,0))/MAX(0.1,N(Parameter!$M$21)))</f>
        <v>0</v>
      </c>
      <c r="AG1117" s="57" t="n">
        <f aca="false">AD1117*F1117</f>
        <v>0</v>
      </c>
      <c r="AH1117" s="57" t="n">
        <f aca="false">ROUNDUP(MAX(I1117/IF(BV1117&gt;0,BV1117,MAX(0.1,N(Cockpit!$C$6))),BY1117)/BQ1117,0)*BQ1117</f>
        <v>71</v>
      </c>
      <c r="AI1117" s="58" t="n">
        <f aca="false">IF(AF1117&gt;0,I1117/AF1117,-1)</f>
        <v>-1</v>
      </c>
      <c r="AJ1117" s="58" t="str">
        <f aca="false">IF(AND(OR(BU1117="L1",BU1117="L23"),AF1117&gt;0),SUMIFS($AF$7:$AF$1576,$BU$7:$BU$1576,BU1117,$AI$7:$AI$1576,"&gt;"&amp;AI1117)+SUMIFS($AF$7:$AF$1576,$BU$7:$BU$1576,BU1117,$AI$7:$AI$1576,AI1117,$BO$7:$BO$1576,"&lt;="&amp;BO1117),"")</f>
        <v/>
      </c>
      <c r="AK1117" s="65" t="n">
        <f aca="false">IF(AJ1117="",0,MAX(0,MIN(1,(IF(BU1117="L1",Parameter!$E$5,Parameter!$E$6+Parameter!$E$7)-(AJ1117-AF1117))/AF1117)))</f>
        <v>0</v>
      </c>
      <c r="AL1117" s="57" t="n">
        <f aca="false">IF(LEFT(Cockpit!$I$5,1)="A",G1117,IF(BW1117=1,BX1117,IF(LEFT(Cockpit!$I$5,1)="B",AP1117,MAX(AP1117,G1117))))</f>
        <v>71</v>
      </c>
      <c r="AM1117" s="57" t="n">
        <f aca="false">IF(BR1117=1,0,ROUNDUP(AL1117/BQ1117,0))</f>
        <v>0</v>
      </c>
      <c r="AN1117" s="59" t="n">
        <f aca="false">IF(CD1117&gt;0,CD1117*MAX(1,AL1117/V1117),IF(BR1117=1,IF(AL1117&lt;=0,0,BS1117*MAX(1,IF(G1117&gt;0,AL1117/G1117,1))),IF(Q1117&gt;0,AM1117/Q1117,0))/MAX(0.1,N(Parameter!$M$21)))</f>
        <v>0.15</v>
      </c>
      <c r="AO1117" s="57" t="n">
        <f aca="false">AL1117*F1117</f>
        <v>837.8</v>
      </c>
      <c r="AP1117" s="57" t="n">
        <f aca="false">ROUNDUP(MAX(I1117/IF(BV1117&gt;0,BV1117,MAX(0.1,N(Cockpit!$I$6))),BY1117)/BQ1117,0)*BQ1117</f>
        <v>71</v>
      </c>
      <c r="AQ1117" s="58" t="n">
        <f aca="false">IF(AN1117&gt;0,I1117/AN1117,-1)</f>
        <v>940</v>
      </c>
      <c r="AR1117" s="58" t="n">
        <f aca="false">IF(AND(OR(BU1117="L1",BU1117="L23"),AN1117&gt;0),SUMIFS($AN$7:$AN$1576,$BU$7:$BU$1576,BU1117,$AQ$7:$AQ$1576,"&gt;"&amp;AQ1117)+SUMIFS($AN$7:$AN$1576,$BU$7:$BU$1576,BU1117,$AQ$7:$AQ$1576,AQ1117,$BO$7:$BO$1576,"&lt;="&amp;BO1117),"")</f>
        <v>23.6250258078631</v>
      </c>
      <c r="AS1117" s="65" t="n">
        <f aca="false">IF(AR1117="",0,MAX(0,MIN(1,(IF(BU1117="L1",Parameter!$E$5,Parameter!$E$6+Parameter!$E$7)-(AR1117-AN1117))/AN1117)))</f>
        <v>1</v>
      </c>
      <c r="AT1117" s="57" t="n">
        <f aca="false">IF(LEFT(Cockpit!$O$5,1)="A",G1117,IF(BW1117=1,BX1117,IF(LEFT(Cockpit!$O$5,1)="B",AX1117,MAX(AX1117,G1117))))</f>
        <v>47</v>
      </c>
      <c r="AU1117" s="57" t="n">
        <f aca="false">IF(BR1117=1,0,ROUNDUP(AT1117/BQ1117,0))</f>
        <v>0</v>
      </c>
      <c r="AV1117" s="59" t="n">
        <f aca="false">IF(CD1117&gt;0,CD1117*MAX(1,AT1117/V1117),IF(BR1117=1,IF(AT1117&lt;=0,0,BS1117*MAX(1,IF(G1117&gt;0,AT1117/G1117,1))),IF(Q1117&gt;0,AU1117/Q1117,0))/MAX(0.1,N(Parameter!$M$21)))</f>
        <v>0.15</v>
      </c>
      <c r="AW1117" s="57" t="n">
        <f aca="false">AT1117*F1117</f>
        <v>554.6</v>
      </c>
      <c r="AX1117" s="57" t="n">
        <f aca="false">ROUNDUP(MAX(I1117/IF(BV1117&gt;0,BV1117,MAX(0.1,N(Cockpit!$O$6))),BY1117)/BQ1117,0)*BQ1117</f>
        <v>47</v>
      </c>
      <c r="AY1117" s="58" t="n">
        <f aca="false">IF(AV1117&gt;0,I1117/AV1117,-1)</f>
        <v>940</v>
      </c>
      <c r="AZ1117" s="58" t="n">
        <f aca="false">IF(AND(OR(BU1117="L1",BU1117="L23"),AV1117&gt;0),SUMIFS($AV$7:$AV$1576,$BU$7:$BU$1576,BU1117,$AY$7:$AY$1576,"&gt;"&amp;AY1117)+SUMIFS($AV$7:$AV$1576,$BU$7:$BU$1576,BU1117,$AY$7:$AY$1576,AY1117,$BO$7:$BO$1576,"&lt;="&amp;BO1117),"")</f>
        <v>23.1920421248794</v>
      </c>
      <c r="BA1117" s="65" t="n">
        <f aca="false">IF(AZ1117="",0,MAX(0,MIN(1,(IF(BU1117="L1",Parameter!$E$5,Parameter!$E$6+Parameter!$E$7)-(AZ1117-AV1117))/AV1117)))</f>
        <v>1</v>
      </c>
      <c r="BB1117" s="55" t="str">
        <f aca="false">IF(AF1117&lt;=0,"",IF(BU1117="Aussen","Aussenlager",IF(BU1117="-","Nicht im Lift",IF(AK1117&gt;=1,"Lift",IF(AK1117&lt;=0,"Aussenlager","teilweise")))))</f>
        <v/>
      </c>
      <c r="BC1117" s="55" t="str">
        <f aca="false">IF(AN1117&lt;=0,"",IF(BU1117="Aussen","Aussenlager",IF(BU1117="-","Nicht im Lift",IF(AS1117&gt;=1,"Lift",IF(AS1117&lt;=0,"Aussenlager","teilweise")))))</f>
        <v>Lift</v>
      </c>
      <c r="BD1117" s="55" t="str">
        <f aca="false">IF(AV1117&lt;=0,"",IF(BU1117="Aussen","Aussenlager",IF(BU1117="-","Nicht im Lift",IF(BA1117&gt;=1,"Lift",IF(BA1117&lt;=0,"Aussenlager","teilweise")))))</f>
        <v>Lift</v>
      </c>
      <c r="BE1117" s="55" t="str">
        <f aca="false">IF(A1117="","",IF(BN1117=1,"Neu; ","")&amp;IF(AND(BN1117=0,BI1117&lt;0),"negativer Bestand (Export "&amp;BI1117&amp;"); ","")&amp;IF(I1117&lt;=0,"Kein Verbrauch; ","")&amp;IF(CD1117&gt;0,"Lift "&amp;U1117&amp;" lt. Liftbericht (Fach "&amp;V1117&amp;" Stk); ",IF(BR1117=1,"Lose – Fläche geschätzt; ",""))&amp;IF(G1117&gt;AP1117,"Überbestand "&amp;ROUND(G1117-AP1117,0)&amp;" Stk / CHF "&amp;ROUND((G1117-AP1117)*F1117,0)&amp;"; ","")&amp;IF(AND(BW1117=1,BX1117&lt;BY1117),"MAX &lt; MB+LG; ","")&amp;IF(AND(CC1117&gt;0,CB1117*10&gt;CC1117),"zu hoch für Tablar; ","")&amp;IF(AND(BN1117=0,OR(BW1117=1,Y1117&lt;&gt;"",S1117&lt;&gt;"",T1117&lt;&gt;"",Z1117&lt;&gt;"")),"manuell übersteuert; ","")&amp;IF(AND(BR1117=0,Q1117=0),"Gebinde unbekannt / Stellmass fehlt; ","")&amp;IF(AND(BR1117=0,N(T1117)&lt;=0,N(P1117)&lt;=0),"Menge pro Gebinde fehlt (Ist = 1 Gebinde); ","")&amp;BM1117)</f>
        <v>negativer Bestand (Export -22); Lose – Fläche geschätzt; </v>
      </c>
      <c r="BF1117" s="55"/>
      <c r="BG1117" s="55"/>
      <c r="BH1117" s="62"/>
      <c r="BI1117" s="57" t="n">
        <v>-22</v>
      </c>
      <c r="BJ1117" s="57" t="n">
        <v>25</v>
      </c>
      <c r="BK1117" s="56" t="n">
        <v>-235.35</v>
      </c>
      <c r="BL1117" s="57" t="n">
        <v>141</v>
      </c>
      <c r="BM1117" s="55"/>
      <c r="BN1117" s="60" t="n">
        <v>0</v>
      </c>
      <c r="BO1117" s="60" t="n">
        <v>1117</v>
      </c>
      <c r="BP1117" s="55" t="str">
        <f aca="false">IF(S1117&lt;&gt;"",UPPER(TRIM(S1117)),IF(O1117="","LOSE",O1117))</f>
        <v>LOSE</v>
      </c>
      <c r="BQ1117" s="57" t="n">
        <f aca="false">IF(BP1117="LOSE",1,IF(N(T1117)&gt;0,T1117,IF(N(P1117)&gt;0,P1117,MAX(1,G1117))))</f>
        <v>1</v>
      </c>
      <c r="BR1117" s="60" t="n">
        <f aca="false">IF(BP1117="LOSE",1,0)</f>
        <v>1</v>
      </c>
      <c r="BS1117" s="59" t="n">
        <f aca="false">IF(BR1117=0,0,IF(N(R1117)&gt;0,R1117,IFERROR(VLOOKUP(D1117,Parameter!$A$35:$C$64,3,0)+0,0)))</f>
        <v>0.15</v>
      </c>
      <c r="BT1117" s="55" t="n">
        <f aca="false">IF(Y1117&lt;&gt;"",Y1117,X1117)</f>
        <v>2</v>
      </c>
      <c r="BU1117" s="55" t="str">
        <f aca="false">IF(BT1117=1,"L1",IF(OR(BT1117=2,BT1117=3),"L23",IF(BT1117="Aussen","Aussen","-")))</f>
        <v>L23</v>
      </c>
      <c r="BV1117" s="66" t="n">
        <f aca="false">IF(N(Z1117)&gt;0,Z1117,0)</f>
        <v>0</v>
      </c>
      <c r="BW1117" s="60" t="n">
        <f aca="false">IF(ISNUMBER(AC1117),1,0)</f>
        <v>0</v>
      </c>
      <c r="BX1117" s="57" t="n">
        <f aca="false">N(AC1117)</f>
        <v>0</v>
      </c>
      <c r="BY1117" s="57" t="n">
        <f aca="false">N(L1117)+N(M1117)</f>
        <v>25</v>
      </c>
      <c r="BZ1117" s="57" t="n">
        <f aca="false">ROUNDUP(G1117/BQ1117,0)</f>
        <v>0</v>
      </c>
      <c r="CA1117" s="57" t="n">
        <f aca="false">ROUNDUP(BX1117/BQ1117,0)</f>
        <v>0</v>
      </c>
      <c r="CB1117" s="60" t="n">
        <f aca="false">IF(BR1117=1,0,IFERROR(VLOOKUP(BP1117,'Gebinde-Kategorie'!$A$5:$M$45,5,0)+0,0))</f>
        <v>0</v>
      </c>
      <c r="CC1117" s="60" t="n">
        <f aca="false">IFERROR(IF(OR(BT1117=1,BT1117=2,BT1117=3),N(INDEX(Parameter!$I$5:$I$7,BT1117)),0),0)</f>
        <v>0</v>
      </c>
      <c r="CD1117" s="59" t="n">
        <f aca="false">IF(AND(Parameter!$B$21="Ja",ISNUMBER(U1117),N(V1117)&gt;0),IFERROR(N(INDEX(Parameter!$L$5:$L$7,U1117))*INDEX(Parameter!$E$5:$E$7,U1117)*V1117/SUMIFS($V$7:$V$1576,$U$7:$U$1576,U1117),0),0)</f>
        <v>0</v>
      </c>
    </row>
    <row r="1118" customFormat="false" ht="15" hidden="false" customHeight="false" outlineLevel="0" collapsed="false">
      <c r="A1118" s="55" t="s">
        <v>2015</v>
      </c>
      <c r="B1118" s="55" t="s">
        <v>1998</v>
      </c>
      <c r="C1118" s="55" t="s">
        <v>160</v>
      </c>
      <c r="D1118" s="55" t="s">
        <v>178</v>
      </c>
      <c r="E1118" s="55" t="s">
        <v>210</v>
      </c>
      <c r="F1118" s="56" t="n">
        <v>237.52</v>
      </c>
      <c r="G1118" s="57" t="n">
        <f aca="false">MAX(0,IF(AND(Parameter!$B$21="Ja",ISNUMBER(W1118)),W1118,IF(Parameter!$B$20="Jahresanfang 2025 + Export",BJ1118+BI1118,BI1118)))</f>
        <v>0</v>
      </c>
      <c r="H1118" s="57" t="n">
        <f aca="false">G1118*F1118</f>
        <v>0</v>
      </c>
      <c r="I1118" s="57" t="n">
        <f aca="false">BL1118*Parameter!$B$18</f>
        <v>1</v>
      </c>
      <c r="J1118" s="58" t="n">
        <v>6.5</v>
      </c>
      <c r="K1118" s="59" t="n">
        <v>0.153846153846154</v>
      </c>
      <c r="L1118" s="57" t="n">
        <v>0</v>
      </c>
      <c r="M1118" s="57" t="n">
        <v>1</v>
      </c>
      <c r="N1118" s="60" t="n">
        <v>28</v>
      </c>
      <c r="O1118" s="55" t="s">
        <v>465</v>
      </c>
      <c r="P1118" s="57" t="n">
        <v>7</v>
      </c>
      <c r="Q1118" s="60" t="n">
        <f aca="false">IF(BR1118=1,0,IFERROR(VLOOKUP(BP1118,'Gebinde-Kategorie'!$A$5:$M$45,13,0)+0,0))</f>
        <v>66</v>
      </c>
      <c r="R1118" s="61"/>
      <c r="S1118" s="62"/>
      <c r="T1118" s="62"/>
      <c r="U1118" s="55"/>
      <c r="V1118" s="57"/>
      <c r="W1118" s="57"/>
      <c r="X1118" s="55" t="n">
        <f aca="false">IF(A1118="","",IF(AND(Parameter!$B$21="Ja",ISNUMBER(U1118)),U1118,IF(IFERROR(VLOOKUP(D1118,Parameter!$A$35:$C$64,2,0),"Nein")="2+3",IF(ISNUMBER(SEARCH("grosser Artikel",BM1118)),2,IFERROR(VLOOKUP(BP1118,Parameter!$F$35:$G$64,2,0),2)),IF(OR(IFERROR(VLOOKUP(D1118,Parameter!$A$35:$C$64,2,0),"Nein")="Nein",IFERROR(VLOOKUP(D1118,Parameter!$A$35:$C$64,2,0),"Nein")=""),"-",VLOOKUP(D1118,Parameter!$A$35:$C$64,2,0)))))</f>
        <v>3</v>
      </c>
      <c r="Y1118" s="62"/>
      <c r="Z1118" s="63"/>
      <c r="AA1118" s="57" t="n">
        <f aca="false">AP1118</f>
        <v>7</v>
      </c>
      <c r="AB1118" s="57" t="n">
        <f aca="false">MAX(AP1118,G1118)</f>
        <v>7</v>
      </c>
      <c r="AC1118" s="64"/>
      <c r="AD1118" s="57" t="n">
        <f aca="false">IF(LEFT(Cockpit!$C$5,1)="A",G1118,IF(BW1118=1,BX1118,IF(LEFT(Cockpit!$C$5,1)="B",AH1118,MAX(AH1118,G1118))))</f>
        <v>0</v>
      </c>
      <c r="AE1118" s="57" t="n">
        <f aca="false">IF(BR1118=1,0,ROUNDUP(AD1118/BQ1118,0))</f>
        <v>0</v>
      </c>
      <c r="AF1118" s="59" t="n">
        <f aca="false">IF(CD1118&gt;0,CD1118*MAX(1,AD1118/V1118),IF(BR1118=1,IF(AD1118&lt;=0,0,BS1118*MAX(1,IF(G1118&gt;0,AD1118/G1118,1))),IF(Q1118&gt;0,AE1118/Q1118,0))/MAX(0.1,N(Parameter!$M$21)))</f>
        <v>0</v>
      </c>
      <c r="AG1118" s="57" t="n">
        <f aca="false">AD1118*F1118</f>
        <v>0</v>
      </c>
      <c r="AH1118" s="57" t="n">
        <f aca="false">ROUNDUP(MAX(I1118/IF(BV1118&gt;0,BV1118,MAX(0.1,N(Cockpit!$C$6))),BY1118)/BQ1118,0)*BQ1118</f>
        <v>7</v>
      </c>
      <c r="AI1118" s="58" t="n">
        <f aca="false">IF(AF1118&gt;0,I1118/AF1118,-1)</f>
        <v>-1</v>
      </c>
      <c r="AJ1118" s="58" t="str">
        <f aca="false">IF(AND(OR(BU1118="L1",BU1118="L23"),AF1118&gt;0),SUMIFS($AF$7:$AF$1576,$BU$7:$BU$1576,BU1118,$AI$7:$AI$1576,"&gt;"&amp;AI1118)+SUMIFS($AF$7:$AF$1576,$BU$7:$BU$1576,BU1118,$AI$7:$AI$1576,AI1118,$BO$7:$BO$1576,"&lt;="&amp;BO1118),"")</f>
        <v/>
      </c>
      <c r="AK1118" s="65" t="n">
        <f aca="false">IF(AJ1118="",0,MAX(0,MIN(1,(IF(BU1118="L1",Parameter!$E$5,Parameter!$E$6+Parameter!$E$7)-(AJ1118-AF1118))/AF1118)))</f>
        <v>0</v>
      </c>
      <c r="AL1118" s="57" t="n">
        <f aca="false">IF(LEFT(Cockpit!$I$5,1)="A",G1118,IF(BW1118=1,BX1118,IF(LEFT(Cockpit!$I$5,1)="B",AP1118,MAX(AP1118,G1118))))</f>
        <v>7</v>
      </c>
      <c r="AM1118" s="57" t="n">
        <f aca="false">IF(BR1118=1,0,ROUNDUP(AL1118/BQ1118,0))</f>
        <v>1</v>
      </c>
      <c r="AN1118" s="59" t="n">
        <f aca="false">IF(CD1118&gt;0,CD1118*MAX(1,AL1118/V1118),IF(BR1118=1,IF(AL1118&lt;=0,0,BS1118*MAX(1,IF(G1118&gt;0,AL1118/G1118,1))),IF(Q1118&gt;0,AM1118/Q1118,0))/MAX(0.1,N(Parameter!$M$21)))</f>
        <v>0.0151515151515152</v>
      </c>
      <c r="AO1118" s="57" t="n">
        <f aca="false">AL1118*F1118</f>
        <v>1662.64</v>
      </c>
      <c r="AP1118" s="57" t="n">
        <f aca="false">ROUNDUP(MAX(I1118/IF(BV1118&gt;0,BV1118,MAX(0.1,N(Cockpit!$I$6))),BY1118)/BQ1118,0)*BQ1118</f>
        <v>7</v>
      </c>
      <c r="AQ1118" s="58" t="n">
        <f aca="false">IF(AN1118&gt;0,I1118/AN1118,-1)</f>
        <v>66</v>
      </c>
      <c r="AR1118" s="58" t="n">
        <f aca="false">IF(AND(OR(BU1118="L1",BU1118="L23"),AN1118&gt;0),SUMIFS($AN$7:$AN$1576,$BU$7:$BU$1576,BU1118,$AQ$7:$AQ$1576,"&gt;"&amp;AQ1118)+SUMIFS($AN$7:$AN$1576,$BU$7:$BU$1576,BU1118,$AQ$7:$AQ$1576,AQ1118,$BO$7:$BO$1576,"&lt;="&amp;BO1118),"")</f>
        <v>76.303203819465</v>
      </c>
      <c r="AS1118" s="65" t="n">
        <f aca="false">IF(AR1118="",0,MAX(0,MIN(1,(IF(BU1118="L1",Parameter!$E$5,Parameter!$E$6+Parameter!$E$7)-(AR1118-AN1118))/AN1118)))</f>
        <v>1</v>
      </c>
      <c r="AT1118" s="57" t="n">
        <f aca="false">IF(LEFT(Cockpit!$O$5,1)="A",G1118,IF(BW1118=1,BX1118,IF(LEFT(Cockpit!$O$5,1)="B",AX1118,MAX(AX1118,G1118))))</f>
        <v>7</v>
      </c>
      <c r="AU1118" s="57" t="n">
        <f aca="false">IF(BR1118=1,0,ROUNDUP(AT1118/BQ1118,0))</f>
        <v>1</v>
      </c>
      <c r="AV1118" s="59" t="n">
        <f aca="false">IF(CD1118&gt;0,CD1118*MAX(1,AT1118/V1118),IF(BR1118=1,IF(AT1118&lt;=0,0,BS1118*MAX(1,IF(G1118&gt;0,AT1118/G1118,1))),IF(Q1118&gt;0,AU1118/Q1118,0))/MAX(0.1,N(Parameter!$M$21)))</f>
        <v>0.0151515151515152</v>
      </c>
      <c r="AW1118" s="57" t="n">
        <f aca="false">AT1118*F1118</f>
        <v>1662.64</v>
      </c>
      <c r="AX1118" s="57" t="n">
        <f aca="false">ROUNDUP(MAX(I1118/IF(BV1118&gt;0,BV1118,MAX(0.1,N(Cockpit!$O$6))),BY1118)/BQ1118,0)*BQ1118</f>
        <v>7</v>
      </c>
      <c r="AY1118" s="58" t="n">
        <f aca="false">IF(AV1118&gt;0,I1118/AV1118,-1)</f>
        <v>66</v>
      </c>
      <c r="AZ1118" s="58" t="n">
        <f aca="false">IF(AND(OR(BU1118="L1",BU1118="L23"),AV1118&gt;0),SUMIFS($AV$7:$AV$1576,$BU$7:$BU$1576,BU1118,$AY$7:$AY$1576,"&gt;"&amp;AY1118)+SUMIFS($AV$7:$AV$1576,$BU$7:$BU$1576,BU1118,$AY$7:$AY$1576,AY1118,$BO$7:$BO$1576,"&lt;="&amp;BO1118),"")</f>
        <v>75.0144209356821</v>
      </c>
      <c r="BA1118" s="65" t="n">
        <f aca="false">IF(AZ1118="",0,MAX(0,MIN(1,(IF(BU1118="L1",Parameter!$E$5,Parameter!$E$6+Parameter!$E$7)-(AZ1118-AV1118))/AV1118)))</f>
        <v>1</v>
      </c>
      <c r="BB1118" s="55" t="str">
        <f aca="false">IF(AF1118&lt;=0,"",IF(BU1118="Aussen","Aussenlager",IF(BU1118="-","Nicht im Lift",IF(AK1118&gt;=1,"Lift",IF(AK1118&lt;=0,"Aussenlager","teilweise")))))</f>
        <v/>
      </c>
      <c r="BC1118" s="55" t="str">
        <f aca="false">IF(AN1118&lt;=0,"",IF(BU1118="Aussen","Aussenlager",IF(BU1118="-","Nicht im Lift",IF(AS1118&gt;=1,"Lift",IF(AS1118&lt;=0,"Aussenlager","teilweise")))))</f>
        <v>Lift</v>
      </c>
      <c r="BD1118" s="55" t="str">
        <f aca="false">IF(AV1118&lt;=0,"",IF(BU1118="Aussen","Aussenlager",IF(BU1118="-","Nicht im Lift",IF(BA1118&gt;=1,"Lift",IF(BA1118&lt;=0,"Aussenlager","teilweise")))))</f>
        <v>Lift</v>
      </c>
      <c r="BE1118" s="55" t="str">
        <f aca="false">IF(A1118="","",IF(BN1118=1,"Neu; ","")&amp;IF(AND(BN1118=0,BI1118&lt;0),"negativer Bestand (Export "&amp;BI1118&amp;"); ","")&amp;IF(I1118&lt;=0,"Kein Verbrauch; ","")&amp;IF(CD1118&gt;0,"Lift "&amp;U1118&amp;" lt. Liftbericht (Fach "&amp;V1118&amp;" Stk); ",IF(BR1118=1,"Lose – Fläche geschätzt; ",""))&amp;IF(G1118&gt;AP1118,"Überbestand "&amp;ROUND(G1118-AP1118,0)&amp;" Stk / CHF "&amp;ROUND((G1118-AP1118)*F1118,0)&amp;"; ","")&amp;IF(AND(BW1118=1,BX1118&lt;BY1118),"MAX &lt; MB+LG; ","")&amp;IF(AND(CC1118&gt;0,CB1118*10&gt;CC1118),"zu hoch für Tablar; ","")&amp;IF(AND(BN1118=0,OR(BW1118=1,Y1118&lt;&gt;"",S1118&lt;&gt;"",T1118&lt;&gt;"",Z1118&lt;&gt;"")),"manuell übersteuert; ","")&amp;IF(AND(BR1118=0,Q1118=0),"Gebinde unbekannt / Stellmass fehlt; ","")&amp;IF(AND(BR1118=0,N(T1118)&lt;=0,N(P1118)&lt;=0),"Menge pro Gebinde fehlt (Ist = 1 Gebinde); ","")&amp;BM1118)</f>
        <v>negativer Bestand (Export -1); Überbestand</v>
      </c>
      <c r="BF1118" s="55"/>
      <c r="BG1118" s="55"/>
      <c r="BH1118" s="62"/>
      <c r="BI1118" s="57" t="n">
        <v>-1</v>
      </c>
      <c r="BJ1118" s="57" t="n">
        <v>7</v>
      </c>
      <c r="BK1118" s="56" t="n">
        <v>-237.52</v>
      </c>
      <c r="BL1118" s="57" t="n">
        <v>1</v>
      </c>
      <c r="BM1118" s="55" t="s">
        <v>382</v>
      </c>
      <c r="BN1118" s="60" t="n">
        <v>0</v>
      </c>
      <c r="BO1118" s="60" t="n">
        <v>1118</v>
      </c>
      <c r="BP1118" s="55" t="str">
        <f aca="false">IF(S1118&lt;&gt;"",UPPER(TRIM(S1118)),IF(O1118="","LOSE",O1118))</f>
        <v>S33</v>
      </c>
      <c r="BQ1118" s="57" t="n">
        <f aca="false">IF(BP1118="LOSE",1,IF(N(T1118)&gt;0,T1118,IF(N(P1118)&gt;0,P1118,MAX(1,G1118))))</f>
        <v>7</v>
      </c>
      <c r="BR1118" s="60" t="n">
        <f aca="false">IF(BP1118="LOSE",1,0)</f>
        <v>0</v>
      </c>
      <c r="BS1118" s="59" t="n">
        <f aca="false">IF(BR1118=0,0,IF(N(R1118)&gt;0,R1118,IFERROR(VLOOKUP(D1118,Parameter!$A$35:$C$64,3,0)+0,0)))</f>
        <v>0</v>
      </c>
      <c r="BT1118" s="55" t="n">
        <f aca="false">IF(Y1118&lt;&gt;"",Y1118,X1118)</f>
        <v>3</v>
      </c>
      <c r="BU1118" s="55" t="str">
        <f aca="false">IF(BT1118=1,"L1",IF(OR(BT1118=2,BT1118=3),"L23",IF(BT1118="Aussen","Aussen","-")))</f>
        <v>L23</v>
      </c>
      <c r="BV1118" s="66" t="n">
        <f aca="false">IF(N(Z1118)&gt;0,Z1118,0)</f>
        <v>0</v>
      </c>
      <c r="BW1118" s="60" t="n">
        <f aca="false">IF(ISNUMBER(AC1118),1,0)</f>
        <v>0</v>
      </c>
      <c r="BX1118" s="57" t="n">
        <f aca="false">N(AC1118)</f>
        <v>0</v>
      </c>
      <c r="BY1118" s="57" t="n">
        <f aca="false">N(L1118)+N(M1118)</f>
        <v>1</v>
      </c>
      <c r="BZ1118" s="57" t="n">
        <f aca="false">ROUNDUP(G1118/BQ1118,0)</f>
        <v>0</v>
      </c>
      <c r="CA1118" s="57" t="n">
        <f aca="false">ROUNDUP(BX1118/BQ1118,0)</f>
        <v>0</v>
      </c>
      <c r="CB1118" s="60" t="n">
        <f aca="false">IF(BR1118=1,0,IFERROR(VLOOKUP(BP1118,'Gebinde-Kategorie'!$A$5:$M$45,5,0)+0,0))</f>
        <v>8</v>
      </c>
      <c r="CC1118" s="60" t="n">
        <f aca="false">IFERROR(IF(OR(BT1118=1,BT1118=2,BT1118=3),N(INDEX(Parameter!$I$5:$I$7,BT1118)),0),0)</f>
        <v>0</v>
      </c>
      <c r="CD1118" s="59" t="n">
        <f aca="false">IF(AND(Parameter!$B$21="Ja",ISNUMBER(U1118),N(V1118)&gt;0),IFERROR(N(INDEX(Parameter!$L$5:$L$7,U1118))*INDEX(Parameter!$E$5:$E$7,U1118)*V1118/SUMIFS($V$7:$V$1576,$U$7:$U$1576,U1118),0),0)</f>
        <v>0</v>
      </c>
    </row>
    <row r="1119" customFormat="false" ht="15" hidden="false" customHeight="false" outlineLevel="0" collapsed="false">
      <c r="A1119" s="55" t="s">
        <v>2016</v>
      </c>
      <c r="B1119" s="55" t="s">
        <v>472</v>
      </c>
      <c r="C1119" s="55" t="s">
        <v>160</v>
      </c>
      <c r="D1119" s="55" t="s">
        <v>178</v>
      </c>
      <c r="E1119" s="55" t="s">
        <v>210</v>
      </c>
      <c r="F1119" s="56" t="n">
        <v>71.63</v>
      </c>
      <c r="G1119" s="57" t="n">
        <f aca="false">MAX(0,IF(AND(Parameter!$B$21="Ja",ISNUMBER(W1119)),W1119,IF(Parameter!$B$20="Jahresanfang 2025 + Export",BJ1119+BI1119,BI1119)))</f>
        <v>0</v>
      </c>
      <c r="H1119" s="57" t="n">
        <f aca="false">G1119*F1119</f>
        <v>0</v>
      </c>
      <c r="I1119" s="57" t="n">
        <f aca="false">BL1119*Parameter!$B$18</f>
        <v>13</v>
      </c>
      <c r="J1119" s="58" t="n">
        <v>7.5</v>
      </c>
      <c r="K1119" s="59" t="n">
        <v>1.73333333333333</v>
      </c>
      <c r="L1119" s="57" t="n">
        <v>0</v>
      </c>
      <c r="M1119" s="57" t="n">
        <v>15</v>
      </c>
      <c r="N1119" s="60" t="n">
        <v>14</v>
      </c>
      <c r="O1119" s="55" t="s">
        <v>293</v>
      </c>
      <c r="P1119" s="57" t="n">
        <v>37</v>
      </c>
      <c r="Q1119" s="60" t="n">
        <f aca="false">IF(BR1119=1,0,IFERROR(VLOOKUP(BP1119,'Gebinde-Kategorie'!$A$5:$M$45,13,0)+0,0))</f>
        <v>26</v>
      </c>
      <c r="R1119" s="61"/>
      <c r="S1119" s="62"/>
      <c r="T1119" s="62"/>
      <c r="U1119" s="55"/>
      <c r="V1119" s="57"/>
      <c r="W1119" s="57"/>
      <c r="X1119" s="55" t="n">
        <f aca="false">IF(A1119="","",IF(AND(Parameter!$B$21="Ja",ISNUMBER(U1119)),U1119,IF(IFERROR(VLOOKUP(D1119,Parameter!$A$35:$C$64,2,0),"Nein")="2+3",IF(ISNUMBER(SEARCH("grosser Artikel",BM1119)),2,IFERROR(VLOOKUP(BP1119,Parameter!$F$35:$G$64,2,0),2)),IF(OR(IFERROR(VLOOKUP(D1119,Parameter!$A$35:$C$64,2,0),"Nein")="Nein",IFERROR(VLOOKUP(D1119,Parameter!$A$35:$C$64,2,0),"Nein")=""),"-",VLOOKUP(D1119,Parameter!$A$35:$C$64,2,0)))))</f>
        <v>3</v>
      </c>
      <c r="Y1119" s="62"/>
      <c r="Z1119" s="63"/>
      <c r="AA1119" s="57" t="n">
        <f aca="false">AP1119</f>
        <v>37</v>
      </c>
      <c r="AB1119" s="57" t="n">
        <f aca="false">MAX(AP1119,G1119)</f>
        <v>37</v>
      </c>
      <c r="AC1119" s="64"/>
      <c r="AD1119" s="57" t="n">
        <f aca="false">IF(LEFT(Cockpit!$C$5,1)="A",G1119,IF(BW1119=1,BX1119,IF(LEFT(Cockpit!$C$5,1)="B",AH1119,MAX(AH1119,G1119))))</f>
        <v>0</v>
      </c>
      <c r="AE1119" s="57" t="n">
        <f aca="false">IF(BR1119=1,0,ROUNDUP(AD1119/BQ1119,0))</f>
        <v>0</v>
      </c>
      <c r="AF1119" s="59" t="n">
        <f aca="false">IF(CD1119&gt;0,CD1119*MAX(1,AD1119/V1119),IF(BR1119=1,IF(AD1119&lt;=0,0,BS1119*MAX(1,IF(G1119&gt;0,AD1119/G1119,1))),IF(Q1119&gt;0,AE1119/Q1119,0))/MAX(0.1,N(Parameter!$M$21)))</f>
        <v>0</v>
      </c>
      <c r="AG1119" s="57" t="n">
        <f aca="false">AD1119*F1119</f>
        <v>0</v>
      </c>
      <c r="AH1119" s="57" t="n">
        <f aca="false">ROUNDUP(MAX(I1119/IF(BV1119&gt;0,BV1119,MAX(0.1,N(Cockpit!$C$6))),BY1119)/BQ1119,0)*BQ1119</f>
        <v>37</v>
      </c>
      <c r="AI1119" s="58" t="n">
        <f aca="false">IF(AF1119&gt;0,I1119/AF1119,-1)</f>
        <v>-1</v>
      </c>
      <c r="AJ1119" s="58" t="str">
        <f aca="false">IF(AND(OR(BU1119="L1",BU1119="L23"),AF1119&gt;0),SUMIFS($AF$7:$AF$1576,$BU$7:$BU$1576,BU1119,$AI$7:$AI$1576,"&gt;"&amp;AI1119)+SUMIFS($AF$7:$AF$1576,$BU$7:$BU$1576,BU1119,$AI$7:$AI$1576,AI1119,$BO$7:$BO$1576,"&lt;="&amp;BO1119),"")</f>
        <v/>
      </c>
      <c r="AK1119" s="65" t="n">
        <f aca="false">IF(AJ1119="",0,MAX(0,MIN(1,(IF(BU1119="L1",Parameter!$E$5,Parameter!$E$6+Parameter!$E$7)-(AJ1119-AF1119))/AF1119)))</f>
        <v>0</v>
      </c>
      <c r="AL1119" s="57" t="n">
        <f aca="false">IF(LEFT(Cockpit!$I$5,1)="A",G1119,IF(BW1119=1,BX1119,IF(LEFT(Cockpit!$I$5,1)="B",AP1119,MAX(AP1119,G1119))))</f>
        <v>37</v>
      </c>
      <c r="AM1119" s="57" t="n">
        <f aca="false">IF(BR1119=1,0,ROUNDUP(AL1119/BQ1119,0))</f>
        <v>1</v>
      </c>
      <c r="AN1119" s="59" t="n">
        <f aca="false">IF(CD1119&gt;0,CD1119*MAX(1,AL1119/V1119),IF(BR1119=1,IF(AL1119&lt;=0,0,BS1119*MAX(1,IF(G1119&gt;0,AL1119/G1119,1))),IF(Q1119&gt;0,AM1119/Q1119,0))/MAX(0.1,N(Parameter!$M$21)))</f>
        <v>0.0384615384615385</v>
      </c>
      <c r="AO1119" s="57" t="n">
        <f aca="false">AL1119*F1119</f>
        <v>2650.31</v>
      </c>
      <c r="AP1119" s="57" t="n">
        <f aca="false">ROUNDUP(MAX(I1119/IF(BV1119&gt;0,BV1119,MAX(0.1,N(Cockpit!$I$6))),BY1119)/BQ1119,0)*BQ1119</f>
        <v>37</v>
      </c>
      <c r="AQ1119" s="58" t="n">
        <f aca="false">IF(AN1119&gt;0,I1119/AN1119,-1)</f>
        <v>338</v>
      </c>
      <c r="AR1119" s="58" t="n">
        <f aca="false">IF(AND(OR(BU1119="L1",BU1119="L23"),AN1119&gt;0),SUMIFS($AN$7:$AN$1576,$BU$7:$BU$1576,BU1119,$AQ$7:$AQ$1576,"&gt;"&amp;AQ1119)+SUMIFS($AN$7:$AN$1576,$BU$7:$BU$1576,BU1119,$AQ$7:$AQ$1576,AQ1119,$BO$7:$BO$1576,"&lt;="&amp;BO1119),"")</f>
        <v>41.4911086139459</v>
      </c>
      <c r="AS1119" s="65" t="n">
        <f aca="false">IF(AR1119="",0,MAX(0,MIN(1,(IF(BU1119="L1",Parameter!$E$5,Parameter!$E$6+Parameter!$E$7)-(AR1119-AN1119))/AN1119)))</f>
        <v>1</v>
      </c>
      <c r="AT1119" s="57" t="n">
        <f aca="false">IF(LEFT(Cockpit!$O$5,1)="A",G1119,IF(BW1119=1,BX1119,IF(LEFT(Cockpit!$O$5,1)="B",AX1119,MAX(AX1119,G1119))))</f>
        <v>37</v>
      </c>
      <c r="AU1119" s="57" t="n">
        <f aca="false">IF(BR1119=1,0,ROUNDUP(AT1119/BQ1119,0))</f>
        <v>1</v>
      </c>
      <c r="AV1119" s="59" t="n">
        <f aca="false">IF(CD1119&gt;0,CD1119*MAX(1,AT1119/V1119),IF(BR1119=1,IF(AT1119&lt;=0,0,BS1119*MAX(1,IF(G1119&gt;0,AT1119/G1119,1))),IF(Q1119&gt;0,AU1119/Q1119,0))/MAX(0.1,N(Parameter!$M$21)))</f>
        <v>0.0384615384615385</v>
      </c>
      <c r="AW1119" s="57" t="n">
        <f aca="false">AT1119*F1119</f>
        <v>2650.31</v>
      </c>
      <c r="AX1119" s="57" t="n">
        <f aca="false">ROUNDUP(MAX(I1119/IF(BV1119&gt;0,BV1119,MAX(0.1,N(Cockpit!$O$6))),BY1119)/BQ1119,0)*BQ1119</f>
        <v>37</v>
      </c>
      <c r="AY1119" s="58" t="n">
        <f aca="false">IF(AV1119&gt;0,I1119/AV1119,-1)</f>
        <v>338</v>
      </c>
      <c r="AZ1119" s="58" t="n">
        <f aca="false">IF(AND(OR(BU1119="L1",BU1119="L23"),AV1119&gt;0),SUMIFS($AV$7:$AV$1576,$BU$7:$BU$1576,BU1119,$AY$7:$AY$1576,"&gt;"&amp;AY1119)+SUMIFS($AV$7:$AV$1576,$BU$7:$BU$1576,BU1119,$AY$7:$AY$1576,AY1119,$BO$7:$BO$1576,"&lt;="&amp;BO1119),"")</f>
        <v>38.2391872020244</v>
      </c>
      <c r="BA1119" s="65" t="n">
        <f aca="false">IF(AZ1119="",0,MAX(0,MIN(1,(IF(BU1119="L1",Parameter!$E$5,Parameter!$E$6+Parameter!$E$7)-(AZ1119-AV1119))/AV1119)))</f>
        <v>1</v>
      </c>
      <c r="BB1119" s="55" t="str">
        <f aca="false">IF(AF1119&lt;=0,"",IF(BU1119="Aussen","Aussenlager",IF(BU1119="-","Nicht im Lift",IF(AK1119&gt;=1,"Lift",IF(AK1119&lt;=0,"Aussenlager","teilweise")))))</f>
        <v/>
      </c>
      <c r="BC1119" s="55" t="str">
        <f aca="false">IF(AN1119&lt;=0,"",IF(BU1119="Aussen","Aussenlager",IF(BU1119="-","Nicht im Lift",IF(AS1119&gt;=1,"Lift",IF(AS1119&lt;=0,"Aussenlager","teilweise")))))</f>
        <v>Lift</v>
      </c>
      <c r="BD1119" s="55" t="str">
        <f aca="false">IF(AV1119&lt;=0,"",IF(BU1119="Aussen","Aussenlager",IF(BU1119="-","Nicht im Lift",IF(BA1119&gt;=1,"Lift",IF(BA1119&lt;=0,"Aussenlager","teilweise")))))</f>
        <v>Lift</v>
      </c>
      <c r="BE1119" s="55" t="str">
        <f aca="false">IF(A1119="","",IF(BN1119=1,"Neu; ","")&amp;IF(AND(BN1119=0,BI1119&lt;0),"negativer Bestand (Export "&amp;BI1119&amp;"); ","")&amp;IF(I1119&lt;=0,"Kein Verbrauch; ","")&amp;IF(CD1119&gt;0,"Lift "&amp;U1119&amp;" lt. Liftbericht (Fach "&amp;V1119&amp;" Stk); ",IF(BR1119=1,"Lose – Fläche geschätzt; ",""))&amp;IF(G1119&gt;AP1119,"Überbestand "&amp;ROUND(G1119-AP1119,0)&amp;" Stk / CHF "&amp;ROUND((G1119-AP1119)*F1119,0)&amp;"; ","")&amp;IF(AND(BW1119=1,BX1119&lt;BY1119),"MAX &lt; MB+LG; ","")&amp;IF(AND(CC1119&gt;0,CB1119*10&gt;CC1119),"zu hoch für Tablar; ","")&amp;IF(AND(BN1119=0,OR(BW1119=1,Y1119&lt;&gt;"",S1119&lt;&gt;"",T1119&lt;&gt;"",Z1119&lt;&gt;"")),"manuell übersteuert; ","")&amp;IF(AND(BR1119=0,Q1119=0),"Gebinde unbekannt / Stellmass fehlt; ","")&amp;IF(AND(BR1119=0,N(T1119)&lt;=0,N(P1119)&lt;=0),"Menge pro Gebinde fehlt (Ist = 1 Gebinde); ","")&amp;BM1119)</f>
        <v>negativer Bestand (Export -4); Überbestand</v>
      </c>
      <c r="BF1119" s="55"/>
      <c r="BG1119" s="55"/>
      <c r="BH1119" s="62"/>
      <c r="BI1119" s="57" t="n">
        <v>-4</v>
      </c>
      <c r="BJ1119" s="57" t="n">
        <v>9</v>
      </c>
      <c r="BK1119" s="56" t="n">
        <v>-239.45</v>
      </c>
      <c r="BL1119" s="57" t="n">
        <v>13</v>
      </c>
      <c r="BM1119" s="55" t="s">
        <v>382</v>
      </c>
      <c r="BN1119" s="60" t="n">
        <v>0</v>
      </c>
      <c r="BO1119" s="60" t="n">
        <v>1119</v>
      </c>
      <c r="BP1119" s="55" t="str">
        <f aca="false">IF(S1119&lt;&gt;"",UPPER(TRIM(S1119)),IF(O1119="","LOSE",O1119))</f>
        <v>S51</v>
      </c>
      <c r="BQ1119" s="57" t="n">
        <f aca="false">IF(BP1119="LOSE",1,IF(N(T1119)&gt;0,T1119,IF(N(P1119)&gt;0,P1119,MAX(1,G1119))))</f>
        <v>37</v>
      </c>
      <c r="BR1119" s="60" t="n">
        <f aca="false">IF(BP1119="LOSE",1,0)</f>
        <v>0</v>
      </c>
      <c r="BS1119" s="59" t="n">
        <f aca="false">IF(BR1119=0,0,IF(N(R1119)&gt;0,R1119,IFERROR(VLOOKUP(D1119,Parameter!$A$35:$C$64,3,0)+0,0)))</f>
        <v>0</v>
      </c>
      <c r="BT1119" s="55" t="n">
        <f aca="false">IF(Y1119&lt;&gt;"",Y1119,X1119)</f>
        <v>3</v>
      </c>
      <c r="BU1119" s="55" t="str">
        <f aca="false">IF(BT1119=1,"L1",IF(OR(BT1119=2,BT1119=3),"L23",IF(BT1119="Aussen","Aussen","-")))</f>
        <v>L23</v>
      </c>
      <c r="BV1119" s="66" t="n">
        <f aca="false">IF(N(Z1119)&gt;0,Z1119,0)</f>
        <v>0</v>
      </c>
      <c r="BW1119" s="60" t="n">
        <f aca="false">IF(ISNUMBER(AC1119),1,0)</f>
        <v>0</v>
      </c>
      <c r="BX1119" s="57" t="n">
        <f aca="false">N(AC1119)</f>
        <v>0</v>
      </c>
      <c r="BY1119" s="57" t="n">
        <f aca="false">N(L1119)+N(M1119)</f>
        <v>15</v>
      </c>
      <c r="BZ1119" s="57" t="n">
        <f aca="false">ROUNDUP(G1119/BQ1119,0)</f>
        <v>0</v>
      </c>
      <c r="CA1119" s="57" t="n">
        <f aca="false">ROUNDUP(BX1119/BQ1119,0)</f>
        <v>0</v>
      </c>
      <c r="CB1119" s="60" t="n">
        <f aca="false">IF(BR1119=1,0,IFERROR(VLOOKUP(BP1119,'Gebinde-Kategorie'!$A$5:$M$45,5,0)+0,0))</f>
        <v>11</v>
      </c>
      <c r="CC1119" s="60" t="n">
        <f aca="false">IFERROR(IF(OR(BT1119=1,BT1119=2,BT1119=3),N(INDEX(Parameter!$I$5:$I$7,BT1119)),0),0)</f>
        <v>0</v>
      </c>
      <c r="CD1119" s="59" t="n">
        <f aca="false">IF(AND(Parameter!$B$21="Ja",ISNUMBER(U1119),N(V1119)&gt;0),IFERROR(N(INDEX(Parameter!$L$5:$L$7,U1119))*INDEX(Parameter!$E$5:$E$7,U1119)*V1119/SUMIFS($V$7:$V$1576,$U$7:$U$1576,U1119),0),0)</f>
        <v>0</v>
      </c>
    </row>
    <row r="1120" customFormat="false" ht="15" hidden="false" customHeight="false" outlineLevel="0" collapsed="false">
      <c r="A1120" s="55" t="s">
        <v>2017</v>
      </c>
      <c r="B1120" s="55" t="s">
        <v>2018</v>
      </c>
      <c r="C1120" s="55" t="s">
        <v>160</v>
      </c>
      <c r="D1120" s="55" t="s">
        <v>178</v>
      </c>
      <c r="E1120" s="55" t="s">
        <v>210</v>
      </c>
      <c r="F1120" s="56" t="n">
        <v>58.79</v>
      </c>
      <c r="G1120" s="57" t="n">
        <f aca="false">MAX(0,IF(AND(Parameter!$B$21="Ja",ISNUMBER(W1120)),W1120,IF(Parameter!$B$20="Jahresanfang 2025 + Export",BJ1120+BI1120,BI1120)))</f>
        <v>0</v>
      </c>
      <c r="H1120" s="57" t="n">
        <f aca="false">G1120*F1120</f>
        <v>0</v>
      </c>
      <c r="I1120" s="57" t="n">
        <f aca="false">BL1120*Parameter!$B$18</f>
        <v>7</v>
      </c>
      <c r="J1120" s="58" t="n">
        <v>10.5</v>
      </c>
      <c r="K1120" s="59" t="n">
        <v>0.666666666666667</v>
      </c>
      <c r="L1120" s="57" t="n">
        <v>0</v>
      </c>
      <c r="M1120" s="57" t="n">
        <v>5</v>
      </c>
      <c r="N1120" s="60" t="n">
        <v>28</v>
      </c>
      <c r="O1120" s="55" t="s">
        <v>225</v>
      </c>
      <c r="P1120" s="57" t="n">
        <v>18</v>
      </c>
      <c r="Q1120" s="60" t="n">
        <f aca="false">IF(BR1120=1,0,IFERROR(VLOOKUP(BP1120,'Gebinde-Kategorie'!$A$5:$M$45,13,0)+0,0))</f>
        <v>26</v>
      </c>
      <c r="R1120" s="61"/>
      <c r="S1120" s="62"/>
      <c r="T1120" s="62"/>
      <c r="U1120" s="55"/>
      <c r="V1120" s="57"/>
      <c r="W1120" s="57"/>
      <c r="X1120" s="55" t="n">
        <f aca="false">IF(A1120="","",IF(AND(Parameter!$B$21="Ja",ISNUMBER(U1120)),U1120,IF(IFERROR(VLOOKUP(D1120,Parameter!$A$35:$C$64,2,0),"Nein")="2+3",IF(ISNUMBER(SEARCH("grosser Artikel",BM1120)),2,IFERROR(VLOOKUP(BP1120,Parameter!$F$35:$G$64,2,0),2)),IF(OR(IFERROR(VLOOKUP(D1120,Parameter!$A$35:$C$64,2,0),"Nein")="Nein",IFERROR(VLOOKUP(D1120,Parameter!$A$35:$C$64,2,0),"Nein")=""),"-",VLOOKUP(D1120,Parameter!$A$35:$C$64,2,0)))))</f>
        <v>3</v>
      </c>
      <c r="Y1120" s="62"/>
      <c r="Z1120" s="63"/>
      <c r="AA1120" s="57" t="n">
        <f aca="false">AP1120</f>
        <v>18</v>
      </c>
      <c r="AB1120" s="57" t="n">
        <f aca="false">MAX(AP1120,G1120)</f>
        <v>18</v>
      </c>
      <c r="AC1120" s="64"/>
      <c r="AD1120" s="57" t="n">
        <f aca="false">IF(LEFT(Cockpit!$C$5,1)="A",G1120,IF(BW1120=1,BX1120,IF(LEFT(Cockpit!$C$5,1)="B",AH1120,MAX(AH1120,G1120))))</f>
        <v>0</v>
      </c>
      <c r="AE1120" s="57" t="n">
        <f aca="false">IF(BR1120=1,0,ROUNDUP(AD1120/BQ1120,0))</f>
        <v>0</v>
      </c>
      <c r="AF1120" s="59" t="n">
        <f aca="false">IF(CD1120&gt;0,CD1120*MAX(1,AD1120/V1120),IF(BR1120=1,IF(AD1120&lt;=0,0,BS1120*MAX(1,IF(G1120&gt;0,AD1120/G1120,1))),IF(Q1120&gt;0,AE1120/Q1120,0))/MAX(0.1,N(Parameter!$M$21)))</f>
        <v>0</v>
      </c>
      <c r="AG1120" s="57" t="n">
        <f aca="false">AD1120*F1120</f>
        <v>0</v>
      </c>
      <c r="AH1120" s="57" t="n">
        <f aca="false">ROUNDUP(MAX(I1120/IF(BV1120&gt;0,BV1120,MAX(0.1,N(Cockpit!$C$6))),BY1120)/BQ1120,0)*BQ1120</f>
        <v>18</v>
      </c>
      <c r="AI1120" s="58" t="n">
        <f aca="false">IF(AF1120&gt;0,I1120/AF1120,-1)</f>
        <v>-1</v>
      </c>
      <c r="AJ1120" s="58" t="str">
        <f aca="false">IF(AND(OR(BU1120="L1",BU1120="L23"),AF1120&gt;0),SUMIFS($AF$7:$AF$1576,$BU$7:$BU$1576,BU1120,$AI$7:$AI$1576,"&gt;"&amp;AI1120)+SUMIFS($AF$7:$AF$1576,$BU$7:$BU$1576,BU1120,$AI$7:$AI$1576,AI1120,$BO$7:$BO$1576,"&lt;="&amp;BO1120),"")</f>
        <v/>
      </c>
      <c r="AK1120" s="65" t="n">
        <f aca="false">IF(AJ1120="",0,MAX(0,MIN(1,(IF(BU1120="L1",Parameter!$E$5,Parameter!$E$6+Parameter!$E$7)-(AJ1120-AF1120))/AF1120)))</f>
        <v>0</v>
      </c>
      <c r="AL1120" s="57" t="n">
        <f aca="false">IF(LEFT(Cockpit!$I$5,1)="A",G1120,IF(BW1120=1,BX1120,IF(LEFT(Cockpit!$I$5,1)="B",AP1120,MAX(AP1120,G1120))))</f>
        <v>18</v>
      </c>
      <c r="AM1120" s="57" t="n">
        <f aca="false">IF(BR1120=1,0,ROUNDUP(AL1120/BQ1120,0))</f>
        <v>1</v>
      </c>
      <c r="AN1120" s="59" t="n">
        <f aca="false">IF(CD1120&gt;0,CD1120*MAX(1,AL1120/V1120),IF(BR1120=1,IF(AL1120&lt;=0,0,BS1120*MAX(1,IF(G1120&gt;0,AL1120/G1120,1))),IF(Q1120&gt;0,AM1120/Q1120,0))/MAX(0.1,N(Parameter!$M$21)))</f>
        <v>0.0384615384615385</v>
      </c>
      <c r="AO1120" s="57" t="n">
        <f aca="false">AL1120*F1120</f>
        <v>1058.22</v>
      </c>
      <c r="AP1120" s="57" t="n">
        <f aca="false">ROUNDUP(MAX(I1120/IF(BV1120&gt;0,BV1120,MAX(0.1,N(Cockpit!$I$6))),BY1120)/BQ1120,0)*BQ1120</f>
        <v>18</v>
      </c>
      <c r="AQ1120" s="58" t="n">
        <f aca="false">IF(AN1120&gt;0,I1120/AN1120,-1)</f>
        <v>182</v>
      </c>
      <c r="AR1120" s="58" t="n">
        <f aca="false">IF(AND(OR(BU1120="L1",BU1120="L23"),AN1120&gt;0),SUMIFS($AN$7:$AN$1576,$BU$7:$BU$1576,BU1120,$AQ$7:$AQ$1576,"&gt;"&amp;AQ1120)+SUMIFS($AN$7:$AN$1576,$BU$7:$BU$1576,BU1120,$AQ$7:$AQ$1576,AQ1120,$BO$7:$BO$1576,"&lt;="&amp;BO1120),"")</f>
        <v>52.4033893284005</v>
      </c>
      <c r="AS1120" s="65" t="n">
        <f aca="false">IF(AR1120="",0,MAX(0,MIN(1,(IF(BU1120="L1",Parameter!$E$5,Parameter!$E$6+Parameter!$E$7)-(AR1120-AN1120))/AN1120)))</f>
        <v>1</v>
      </c>
      <c r="AT1120" s="57" t="n">
        <f aca="false">IF(LEFT(Cockpit!$O$5,1)="A",G1120,IF(BW1120=1,BX1120,IF(LEFT(Cockpit!$O$5,1)="B",AX1120,MAX(AX1120,G1120))))</f>
        <v>18</v>
      </c>
      <c r="AU1120" s="57" t="n">
        <f aca="false">IF(BR1120=1,0,ROUNDUP(AT1120/BQ1120,0))</f>
        <v>1</v>
      </c>
      <c r="AV1120" s="59" t="n">
        <f aca="false">IF(CD1120&gt;0,CD1120*MAX(1,AT1120/V1120),IF(BR1120=1,IF(AT1120&lt;=0,0,BS1120*MAX(1,IF(G1120&gt;0,AT1120/G1120,1))),IF(Q1120&gt;0,AU1120/Q1120,0))/MAX(0.1,N(Parameter!$M$21)))</f>
        <v>0.0384615384615385</v>
      </c>
      <c r="AW1120" s="57" t="n">
        <f aca="false">AT1120*F1120</f>
        <v>1058.22</v>
      </c>
      <c r="AX1120" s="57" t="n">
        <f aca="false">ROUNDUP(MAX(I1120/IF(BV1120&gt;0,BV1120,MAX(0.1,N(Cockpit!$O$6))),BY1120)/BQ1120,0)*BQ1120</f>
        <v>18</v>
      </c>
      <c r="AY1120" s="58" t="n">
        <f aca="false">IF(AV1120&gt;0,I1120/AV1120,-1)</f>
        <v>182</v>
      </c>
      <c r="AZ1120" s="58" t="n">
        <f aca="false">IF(AND(OR(BU1120="L1",BU1120="L23"),AV1120&gt;0),SUMIFS($AV$7:$AV$1576,$BU$7:$BU$1576,BU1120,$AY$7:$AY$1576,"&gt;"&amp;AY1120)+SUMIFS($AV$7:$AV$1576,$BU$7:$BU$1576,BU1120,$AY$7:$AY$1576,AY1120,$BO$7:$BO$1576,"&lt;="&amp;BO1120),"")</f>
        <v>48.2853640203752</v>
      </c>
      <c r="BA1120" s="65" t="n">
        <f aca="false">IF(AZ1120="",0,MAX(0,MIN(1,(IF(BU1120="L1",Parameter!$E$5,Parameter!$E$6+Parameter!$E$7)-(AZ1120-AV1120))/AV1120)))</f>
        <v>1</v>
      </c>
      <c r="BB1120" s="55" t="str">
        <f aca="false">IF(AF1120&lt;=0,"",IF(BU1120="Aussen","Aussenlager",IF(BU1120="-","Nicht im Lift",IF(AK1120&gt;=1,"Lift",IF(AK1120&lt;=0,"Aussenlager","teilweise")))))</f>
        <v/>
      </c>
      <c r="BC1120" s="55" t="str">
        <f aca="false">IF(AN1120&lt;=0,"",IF(BU1120="Aussen","Aussenlager",IF(BU1120="-","Nicht im Lift",IF(AS1120&gt;=1,"Lift",IF(AS1120&lt;=0,"Aussenlager","teilweise")))))</f>
        <v>Lift</v>
      </c>
      <c r="BD1120" s="55" t="str">
        <f aca="false">IF(AV1120&lt;=0,"",IF(BU1120="Aussen","Aussenlager",IF(BU1120="-","Nicht im Lift",IF(BA1120&gt;=1,"Lift",IF(BA1120&lt;=0,"Aussenlager","teilweise")))))</f>
        <v>Lift</v>
      </c>
      <c r="BE1120" s="55" t="str">
        <f aca="false">IF(A1120="","",IF(BN1120=1,"Neu; ","")&amp;IF(AND(BN1120=0,BI1120&lt;0),"negativer Bestand (Export "&amp;BI1120&amp;"); ","")&amp;IF(I1120&lt;=0,"Kein Verbrauch; ","")&amp;IF(CD1120&gt;0,"Lift "&amp;U1120&amp;" lt. Liftbericht (Fach "&amp;V1120&amp;" Stk); ",IF(BR1120=1,"Lose – Fläche geschätzt; ",""))&amp;IF(G1120&gt;AP1120,"Überbestand "&amp;ROUND(G1120-AP1120,0)&amp;" Stk / CHF "&amp;ROUND((G1120-AP1120)*F1120,0)&amp;"; ","")&amp;IF(AND(BW1120=1,BX1120&lt;BY1120),"MAX &lt; MB+LG; ","")&amp;IF(AND(CC1120&gt;0,CB1120*10&gt;CC1120),"zu hoch für Tablar; ","")&amp;IF(AND(BN1120=0,OR(BW1120=1,Y1120&lt;&gt;"",S1120&lt;&gt;"",T1120&lt;&gt;"",Z1120&lt;&gt;"")),"manuell übersteuert; ","")&amp;IF(AND(BR1120=0,Q1120=0),"Gebinde unbekannt / Stellmass fehlt; ","")&amp;IF(AND(BR1120=0,N(T1120)&lt;=0,N(P1120)&lt;=0),"Menge pro Gebinde fehlt (Ist = 1 Gebinde); ","")&amp;BM1120)</f>
        <v>negativer Bestand (Export -4); Neu</v>
      </c>
      <c r="BF1120" s="55"/>
      <c r="BG1120" s="55"/>
      <c r="BH1120" s="62"/>
      <c r="BI1120" s="57" t="n">
        <v>-4</v>
      </c>
      <c r="BJ1120" s="57" t="n">
        <v>10</v>
      </c>
      <c r="BK1120" s="56" t="n">
        <v>-241.06</v>
      </c>
      <c r="BL1120" s="57" t="n">
        <v>7</v>
      </c>
      <c r="BM1120" s="55" t="s">
        <v>615</v>
      </c>
      <c r="BN1120" s="60" t="n">
        <v>0</v>
      </c>
      <c r="BO1120" s="60" t="n">
        <v>1120</v>
      </c>
      <c r="BP1120" s="55" t="str">
        <f aca="false">IF(S1120&lt;&gt;"",UPPER(TRIM(S1120)),IF(O1120="","LOSE",O1120))</f>
        <v>S52</v>
      </c>
      <c r="BQ1120" s="57" t="n">
        <f aca="false">IF(BP1120="LOSE",1,IF(N(T1120)&gt;0,T1120,IF(N(P1120)&gt;0,P1120,MAX(1,G1120))))</f>
        <v>18</v>
      </c>
      <c r="BR1120" s="60" t="n">
        <f aca="false">IF(BP1120="LOSE",1,0)</f>
        <v>0</v>
      </c>
      <c r="BS1120" s="59" t="n">
        <f aca="false">IF(BR1120=0,0,IF(N(R1120)&gt;0,R1120,IFERROR(VLOOKUP(D1120,Parameter!$A$35:$C$64,3,0)+0,0)))</f>
        <v>0</v>
      </c>
      <c r="BT1120" s="55" t="n">
        <f aca="false">IF(Y1120&lt;&gt;"",Y1120,X1120)</f>
        <v>3</v>
      </c>
      <c r="BU1120" s="55" t="str">
        <f aca="false">IF(BT1120=1,"L1",IF(OR(BT1120=2,BT1120=3),"L23",IF(BT1120="Aussen","Aussen","-")))</f>
        <v>L23</v>
      </c>
      <c r="BV1120" s="66" t="n">
        <f aca="false">IF(N(Z1120)&gt;0,Z1120,0)</f>
        <v>0</v>
      </c>
      <c r="BW1120" s="60" t="n">
        <f aca="false">IF(ISNUMBER(AC1120),1,0)</f>
        <v>0</v>
      </c>
      <c r="BX1120" s="57" t="n">
        <f aca="false">N(AC1120)</f>
        <v>0</v>
      </c>
      <c r="BY1120" s="57" t="n">
        <f aca="false">N(L1120)+N(M1120)</f>
        <v>5</v>
      </c>
      <c r="BZ1120" s="57" t="n">
        <f aca="false">ROUNDUP(G1120/BQ1120,0)</f>
        <v>0</v>
      </c>
      <c r="CA1120" s="57" t="n">
        <f aca="false">ROUNDUP(BX1120/BQ1120,0)</f>
        <v>0</v>
      </c>
      <c r="CB1120" s="60" t="n">
        <f aca="false">IF(BR1120=1,0,IFERROR(VLOOKUP(BP1120,'Gebinde-Kategorie'!$A$5:$M$45,5,0)+0,0))</f>
        <v>21</v>
      </c>
      <c r="CC1120" s="60" t="n">
        <f aca="false">IFERROR(IF(OR(BT1120=1,BT1120=2,BT1120=3),N(INDEX(Parameter!$I$5:$I$7,BT1120)),0),0)</f>
        <v>0</v>
      </c>
      <c r="CD1120" s="59" t="n">
        <f aca="false">IF(AND(Parameter!$B$21="Ja",ISNUMBER(U1120),N(V1120)&gt;0),IFERROR(N(INDEX(Parameter!$L$5:$L$7,U1120))*INDEX(Parameter!$E$5:$E$7,U1120)*V1120/SUMIFS($V$7:$V$1576,$U$7:$U$1576,U1120),0),0)</f>
        <v>0</v>
      </c>
    </row>
    <row r="1121" customFormat="false" ht="15" hidden="false" customHeight="false" outlineLevel="0" collapsed="false">
      <c r="A1121" s="55" t="s">
        <v>2019</v>
      </c>
      <c r="B1121" s="55" t="s">
        <v>395</v>
      </c>
      <c r="C1121" s="55" t="s">
        <v>160</v>
      </c>
      <c r="D1121" s="55" t="s">
        <v>168</v>
      </c>
      <c r="E1121" s="55" t="s">
        <v>210</v>
      </c>
      <c r="F1121" s="56" t="n">
        <v>0.32</v>
      </c>
      <c r="G1121" s="57" t="n">
        <f aca="false">MAX(0,IF(AND(Parameter!$B$21="Ja",ISNUMBER(W1121)),W1121,IF(Parameter!$B$20="Jahresanfang 2025 + Export",BJ1121+BI1121,BI1121)))</f>
        <v>0</v>
      </c>
      <c r="H1121" s="57" t="n">
        <f aca="false">G1121*F1121</f>
        <v>0</v>
      </c>
      <c r="I1121" s="57" t="n">
        <f aca="false">BL1121*Parameter!$B$18</f>
        <v>3771</v>
      </c>
      <c r="J1121" s="58" t="n">
        <v>2367</v>
      </c>
      <c r="K1121" s="59" t="n">
        <v>1.59315589353612</v>
      </c>
      <c r="L1121" s="57" t="n">
        <v>219</v>
      </c>
      <c r="M1121" s="57" t="n">
        <v>500</v>
      </c>
      <c r="N1121" s="60" t="n">
        <v>21</v>
      </c>
      <c r="O1121" s="55" t="s">
        <v>169</v>
      </c>
      <c r="P1121" s="57" t="n">
        <v>1000</v>
      </c>
      <c r="Q1121" s="60" t="n">
        <f aca="false">IF(BR1121=1,0,IFERROR(VLOOKUP(BP1121,'Gebinde-Kategorie'!$A$5:$M$45,13,0)+0,0))</f>
        <v>6</v>
      </c>
      <c r="R1121" s="61"/>
      <c r="S1121" s="62"/>
      <c r="T1121" s="62"/>
      <c r="U1121" s="55"/>
      <c r="V1121" s="57"/>
      <c r="W1121" s="57"/>
      <c r="X1121" s="55" t="n">
        <f aca="false">IF(A1121="","",IF(AND(Parameter!$B$21="Ja",ISNUMBER(U1121)),U1121,IF(IFERROR(VLOOKUP(D1121,Parameter!$A$35:$C$64,2,0),"Nein")="2+3",IF(ISNUMBER(SEARCH("grosser Artikel",BM1121)),2,IFERROR(VLOOKUP(BP1121,Parameter!$F$35:$G$64,2,0),2)),IF(OR(IFERROR(VLOOKUP(D1121,Parameter!$A$35:$C$64,2,0),"Nein")="Nein",IFERROR(VLOOKUP(D1121,Parameter!$A$35:$C$64,2,0),"Nein")=""),"-",VLOOKUP(D1121,Parameter!$A$35:$C$64,2,0)))))</f>
        <v>2</v>
      </c>
      <c r="Y1121" s="62"/>
      <c r="Z1121" s="63"/>
      <c r="AA1121" s="57" t="n">
        <f aca="false">AP1121</f>
        <v>2000</v>
      </c>
      <c r="AB1121" s="57" t="n">
        <f aca="false">MAX(AP1121,G1121)</f>
        <v>2000</v>
      </c>
      <c r="AC1121" s="64"/>
      <c r="AD1121" s="57" t="n">
        <f aca="false">IF(LEFT(Cockpit!$C$5,1)="A",G1121,IF(BW1121=1,BX1121,IF(LEFT(Cockpit!$C$5,1)="B",AH1121,MAX(AH1121,G1121))))</f>
        <v>0</v>
      </c>
      <c r="AE1121" s="57" t="n">
        <f aca="false">IF(BR1121=1,0,ROUNDUP(AD1121/BQ1121,0))</f>
        <v>0</v>
      </c>
      <c r="AF1121" s="59" t="n">
        <f aca="false">IF(CD1121&gt;0,CD1121*MAX(1,AD1121/V1121),IF(BR1121=1,IF(AD1121&lt;=0,0,BS1121*MAX(1,IF(G1121&gt;0,AD1121/G1121,1))),IF(Q1121&gt;0,AE1121/Q1121,0))/MAX(0.1,N(Parameter!$M$21)))</f>
        <v>0</v>
      </c>
      <c r="AG1121" s="57" t="n">
        <f aca="false">AD1121*F1121</f>
        <v>0</v>
      </c>
      <c r="AH1121" s="57" t="n">
        <f aca="false">ROUNDUP(MAX(I1121/IF(BV1121&gt;0,BV1121,MAX(0.1,N(Cockpit!$C$6))),BY1121)/BQ1121,0)*BQ1121</f>
        <v>2000</v>
      </c>
      <c r="AI1121" s="58" t="n">
        <f aca="false">IF(AF1121&gt;0,I1121/AF1121,-1)</f>
        <v>-1</v>
      </c>
      <c r="AJ1121" s="58" t="str">
        <f aca="false">IF(AND(OR(BU1121="L1",BU1121="L23"),AF1121&gt;0),SUMIFS($AF$7:$AF$1576,$BU$7:$BU$1576,BU1121,$AI$7:$AI$1576,"&gt;"&amp;AI1121)+SUMIFS($AF$7:$AF$1576,$BU$7:$BU$1576,BU1121,$AI$7:$AI$1576,AI1121,$BO$7:$BO$1576,"&lt;="&amp;BO1121),"")</f>
        <v/>
      </c>
      <c r="AK1121" s="65" t="n">
        <f aca="false">IF(AJ1121="",0,MAX(0,MIN(1,(IF(BU1121="L1",Parameter!$E$5,Parameter!$E$6+Parameter!$E$7)-(AJ1121-AF1121))/AF1121)))</f>
        <v>0</v>
      </c>
      <c r="AL1121" s="57" t="n">
        <f aca="false">IF(LEFT(Cockpit!$I$5,1)="A",G1121,IF(BW1121=1,BX1121,IF(LEFT(Cockpit!$I$5,1)="B",AP1121,MAX(AP1121,G1121))))</f>
        <v>2000</v>
      </c>
      <c r="AM1121" s="57" t="n">
        <f aca="false">IF(BR1121=1,0,ROUNDUP(AL1121/BQ1121,0))</f>
        <v>2</v>
      </c>
      <c r="AN1121" s="59" t="n">
        <f aca="false">IF(CD1121&gt;0,CD1121*MAX(1,AL1121/V1121),IF(BR1121=1,IF(AL1121&lt;=0,0,BS1121*MAX(1,IF(G1121&gt;0,AL1121/G1121,1))),IF(Q1121&gt;0,AM1121/Q1121,0))/MAX(0.1,N(Parameter!$M$21)))</f>
        <v>0.333333333333333</v>
      </c>
      <c r="AO1121" s="57" t="n">
        <f aca="false">AL1121*F1121</f>
        <v>640</v>
      </c>
      <c r="AP1121" s="57" t="n">
        <f aca="false">ROUNDUP(MAX(I1121/IF(BV1121&gt;0,BV1121,MAX(0.1,N(Cockpit!$I$6))),BY1121)/BQ1121,0)*BQ1121</f>
        <v>2000</v>
      </c>
      <c r="AQ1121" s="58" t="n">
        <f aca="false">IF(AN1121&gt;0,I1121/AN1121,-1)</f>
        <v>11313</v>
      </c>
      <c r="AR1121" s="58" t="n">
        <f aca="false">IF(AND(OR(BU1121="L1",BU1121="L23"),AN1121&gt;0),SUMIFS($AN$7:$AN$1576,$BU$7:$BU$1576,BU1121,$AQ$7:$AQ$1576,"&gt;"&amp;AQ1121)+SUMIFS($AN$7:$AN$1576,$BU$7:$BU$1576,BU1121,$AQ$7:$AQ$1576,AQ1121,$BO$7:$BO$1576,"&lt;="&amp;BO1121),"")</f>
        <v>6.77310023310023</v>
      </c>
      <c r="AS1121" s="65" t="n">
        <f aca="false">IF(AR1121="",0,MAX(0,MIN(1,(IF(BU1121="L1",Parameter!$E$5,Parameter!$E$6+Parameter!$E$7)-(AR1121-AN1121))/AN1121)))</f>
        <v>1</v>
      </c>
      <c r="AT1121" s="57" t="n">
        <f aca="false">IF(LEFT(Cockpit!$O$5,1)="A",G1121,IF(BW1121=1,BX1121,IF(LEFT(Cockpit!$O$5,1)="B",AX1121,MAX(AX1121,G1121))))</f>
        <v>2000</v>
      </c>
      <c r="AU1121" s="57" t="n">
        <f aca="false">IF(BR1121=1,0,ROUNDUP(AT1121/BQ1121,0))</f>
        <v>2</v>
      </c>
      <c r="AV1121" s="59" t="n">
        <f aca="false">IF(CD1121&gt;0,CD1121*MAX(1,AT1121/V1121),IF(BR1121=1,IF(AT1121&lt;=0,0,BS1121*MAX(1,IF(G1121&gt;0,AT1121/G1121,1))),IF(Q1121&gt;0,AU1121/Q1121,0))/MAX(0.1,N(Parameter!$M$21)))</f>
        <v>0.333333333333333</v>
      </c>
      <c r="AW1121" s="57" t="n">
        <f aca="false">AT1121*F1121</f>
        <v>640</v>
      </c>
      <c r="AX1121" s="57" t="n">
        <f aca="false">ROUNDUP(MAX(I1121/IF(BV1121&gt;0,BV1121,MAX(0.1,N(Cockpit!$O$6))),BY1121)/BQ1121,0)*BQ1121</f>
        <v>2000</v>
      </c>
      <c r="AY1121" s="58" t="n">
        <f aca="false">IF(AV1121&gt;0,I1121/AV1121,-1)</f>
        <v>11313</v>
      </c>
      <c r="AZ1121" s="58" t="n">
        <f aca="false">IF(AND(OR(BU1121="L1",BU1121="L23"),AV1121&gt;0),SUMIFS($AV$7:$AV$1576,$BU$7:$BU$1576,BU1121,$AY$7:$AY$1576,"&gt;"&amp;AY1121)+SUMIFS($AV$7:$AV$1576,$BU$7:$BU$1576,BU1121,$AY$7:$AY$1576,AY1121,$BO$7:$BO$1576,"&lt;="&amp;BO1121),"")</f>
        <v>6.47473193473194</v>
      </c>
      <c r="BA1121" s="65" t="n">
        <f aca="false">IF(AZ1121="",0,MAX(0,MIN(1,(IF(BU1121="L1",Parameter!$E$5,Parameter!$E$6+Parameter!$E$7)-(AZ1121-AV1121))/AV1121)))</f>
        <v>1</v>
      </c>
      <c r="BB1121" s="55" t="str">
        <f aca="false">IF(AF1121&lt;=0,"",IF(BU1121="Aussen","Aussenlager",IF(BU1121="-","Nicht im Lift",IF(AK1121&gt;=1,"Lift",IF(AK1121&lt;=0,"Aussenlager","teilweise")))))</f>
        <v/>
      </c>
      <c r="BC1121" s="55" t="str">
        <f aca="false">IF(AN1121&lt;=0,"",IF(BU1121="Aussen","Aussenlager",IF(BU1121="-","Nicht im Lift",IF(AS1121&gt;=1,"Lift",IF(AS1121&lt;=0,"Aussenlager","teilweise")))))</f>
        <v>Lift</v>
      </c>
      <c r="BD1121" s="55" t="str">
        <f aca="false">IF(AV1121&lt;=0,"",IF(BU1121="Aussen","Aussenlager",IF(BU1121="-","Nicht im Lift",IF(BA1121&gt;=1,"Lift",IF(BA1121&lt;=0,"Aussenlager","teilweise")))))</f>
        <v>Lift</v>
      </c>
      <c r="BE1121" s="55" t="str">
        <f aca="false">IF(A1121="","",IF(BN1121=1,"Neu; ","")&amp;IF(AND(BN1121=0,BI1121&lt;0),"negativer Bestand (Export "&amp;BI1121&amp;"); ","")&amp;IF(I1121&lt;=0,"Kein Verbrauch; ","")&amp;IF(CD1121&gt;0,"Lift "&amp;U1121&amp;" lt. Liftbericht (Fach "&amp;V1121&amp;" Stk); ",IF(BR1121=1,"Lose – Fläche geschätzt; ",""))&amp;IF(G1121&gt;AP1121,"Überbestand "&amp;ROUND(G1121-AP1121,0)&amp;" Stk / CHF "&amp;ROUND((G1121-AP1121)*F1121,0)&amp;"; ","")&amp;IF(AND(BW1121=1,BX1121&lt;BY1121),"MAX &lt; MB+LG; ","")&amp;IF(AND(CC1121&gt;0,CB1121*10&gt;CC1121),"zu hoch für Tablar; ","")&amp;IF(AND(BN1121=0,OR(BW1121=1,Y1121&lt;&gt;"",S1121&lt;&gt;"",T1121&lt;&gt;"",Z1121&lt;&gt;"")),"manuell übersteuert; ","")&amp;IF(AND(BR1121=0,Q1121=0),"Gebinde unbekannt / Stellmass fehlt; ","")&amp;IF(AND(BR1121=0,N(T1121)&lt;=0,N(P1121)&lt;=0),"Menge pro Gebinde fehlt (Ist = 1 Gebinde); ","")&amp;BM1121)</f>
        <v>negativer Bestand (Export -809); </v>
      </c>
      <c r="BF1121" s="55"/>
      <c r="BG1121" s="55"/>
      <c r="BH1121" s="62"/>
      <c r="BI1121" s="57" t="n">
        <v>-809</v>
      </c>
      <c r="BJ1121" s="57" t="n">
        <v>1793</v>
      </c>
      <c r="BK1121" s="56" t="n">
        <v>-241.2</v>
      </c>
      <c r="BL1121" s="57" t="n">
        <v>3771</v>
      </c>
      <c r="BM1121" s="55"/>
      <c r="BN1121" s="60" t="n">
        <v>0</v>
      </c>
      <c r="BO1121" s="60" t="n">
        <v>1121</v>
      </c>
      <c r="BP1121" s="55" t="str">
        <f aca="false">IF(S1121&lt;&gt;"",UPPER(TRIM(S1121)),IF(O1121="","LOSE",O1121))</f>
        <v>S71</v>
      </c>
      <c r="BQ1121" s="57" t="n">
        <f aca="false">IF(BP1121="LOSE",1,IF(N(T1121)&gt;0,T1121,IF(N(P1121)&gt;0,P1121,MAX(1,G1121))))</f>
        <v>1000</v>
      </c>
      <c r="BR1121" s="60" t="n">
        <f aca="false">IF(BP1121="LOSE",1,0)</f>
        <v>0</v>
      </c>
      <c r="BS1121" s="59" t="n">
        <f aca="false">IF(BR1121=0,0,IF(N(R1121)&gt;0,R1121,IFERROR(VLOOKUP(D1121,Parameter!$A$35:$C$64,3,0)+0,0)))</f>
        <v>0</v>
      </c>
      <c r="BT1121" s="55" t="n">
        <f aca="false">IF(Y1121&lt;&gt;"",Y1121,X1121)</f>
        <v>2</v>
      </c>
      <c r="BU1121" s="55" t="str">
        <f aca="false">IF(BT1121=1,"L1",IF(OR(BT1121=2,BT1121=3),"L23",IF(BT1121="Aussen","Aussen","-")))</f>
        <v>L23</v>
      </c>
      <c r="BV1121" s="66" t="n">
        <f aca="false">IF(N(Z1121)&gt;0,Z1121,0)</f>
        <v>0</v>
      </c>
      <c r="BW1121" s="60" t="n">
        <f aca="false">IF(ISNUMBER(AC1121),1,0)</f>
        <v>0</v>
      </c>
      <c r="BX1121" s="57" t="n">
        <f aca="false">N(AC1121)</f>
        <v>0</v>
      </c>
      <c r="BY1121" s="57" t="n">
        <f aca="false">N(L1121)+N(M1121)</f>
        <v>719</v>
      </c>
      <c r="BZ1121" s="57" t="n">
        <f aca="false">ROUNDUP(G1121/BQ1121,0)</f>
        <v>0</v>
      </c>
      <c r="CA1121" s="57" t="n">
        <f aca="false">ROUNDUP(BX1121/BQ1121,0)</f>
        <v>0</v>
      </c>
      <c r="CB1121" s="60" t="n">
        <f aca="false">IF(BR1121=1,0,IFERROR(VLOOKUP(BP1121,'Gebinde-Kategorie'!$A$5:$M$45,5,0)+0,0))</f>
        <v>20</v>
      </c>
      <c r="CC1121" s="60" t="n">
        <f aca="false">IFERROR(IF(OR(BT1121=1,BT1121=2,BT1121=3),N(INDEX(Parameter!$I$5:$I$7,BT1121)),0),0)</f>
        <v>0</v>
      </c>
      <c r="CD1121" s="59" t="n">
        <f aca="false">IF(AND(Parameter!$B$21="Ja",ISNUMBER(U1121),N(V1121)&gt;0),IFERROR(N(INDEX(Parameter!$L$5:$L$7,U1121))*INDEX(Parameter!$E$5:$E$7,U1121)*V1121/SUMIFS($V$7:$V$1576,$U$7:$U$1576,U1121),0),0)</f>
        <v>0</v>
      </c>
    </row>
    <row r="1122" customFormat="false" ht="15" hidden="false" customHeight="false" outlineLevel="0" collapsed="false">
      <c r="A1122" s="55" t="s">
        <v>2020</v>
      </c>
      <c r="B1122" s="55" t="s">
        <v>2021</v>
      </c>
      <c r="C1122" s="55" t="s">
        <v>160</v>
      </c>
      <c r="D1122" s="55" t="s">
        <v>178</v>
      </c>
      <c r="E1122" s="55" t="s">
        <v>210</v>
      </c>
      <c r="F1122" s="56" t="n">
        <v>20.38</v>
      </c>
      <c r="G1122" s="57" t="n">
        <f aca="false">MAX(0,IF(AND(Parameter!$B$21="Ja",ISNUMBER(W1122)),W1122,IF(Parameter!$B$20="Jahresanfang 2025 + Export",BJ1122+BI1122,BI1122)))</f>
        <v>0</v>
      </c>
      <c r="H1122" s="57" t="n">
        <f aca="false">G1122*F1122</f>
        <v>0</v>
      </c>
      <c r="I1122" s="57" t="n">
        <f aca="false">BL1122*Parameter!$B$18</f>
        <v>8</v>
      </c>
      <c r="J1122" s="58" t="n">
        <v>82</v>
      </c>
      <c r="K1122" s="59" t="n">
        <v>0.0975609756097561</v>
      </c>
      <c r="L1122" s="57" t="n">
        <v>0</v>
      </c>
      <c r="M1122" s="57" t="n">
        <v>10</v>
      </c>
      <c r="N1122" s="60" t="n">
        <v>28</v>
      </c>
      <c r="O1122" s="55" t="s">
        <v>319</v>
      </c>
      <c r="P1122" s="57" t="n">
        <v>94</v>
      </c>
      <c r="Q1122" s="60" t="n">
        <f aca="false">IF(BR1122=1,0,IFERROR(VLOOKUP(BP1122,'Gebinde-Kategorie'!$A$5:$M$45,13,0)+0,0))</f>
        <v>52</v>
      </c>
      <c r="R1122" s="61"/>
      <c r="S1122" s="62"/>
      <c r="T1122" s="62"/>
      <c r="U1122" s="55"/>
      <c r="V1122" s="57"/>
      <c r="W1122" s="57"/>
      <c r="X1122" s="55" t="n">
        <f aca="false">IF(A1122="","",IF(AND(Parameter!$B$21="Ja",ISNUMBER(U1122)),U1122,IF(IFERROR(VLOOKUP(D1122,Parameter!$A$35:$C$64,2,0),"Nein")="2+3",IF(ISNUMBER(SEARCH("grosser Artikel",BM1122)),2,IFERROR(VLOOKUP(BP1122,Parameter!$F$35:$G$64,2,0),2)),IF(OR(IFERROR(VLOOKUP(D1122,Parameter!$A$35:$C$64,2,0),"Nein")="Nein",IFERROR(VLOOKUP(D1122,Parameter!$A$35:$C$64,2,0),"Nein")=""),"-",VLOOKUP(D1122,Parameter!$A$35:$C$64,2,0)))))</f>
        <v>3</v>
      </c>
      <c r="Y1122" s="62"/>
      <c r="Z1122" s="63"/>
      <c r="AA1122" s="57" t="n">
        <f aca="false">AP1122</f>
        <v>94</v>
      </c>
      <c r="AB1122" s="57" t="n">
        <f aca="false">MAX(AP1122,G1122)</f>
        <v>94</v>
      </c>
      <c r="AC1122" s="64"/>
      <c r="AD1122" s="57" t="n">
        <f aca="false">IF(LEFT(Cockpit!$C$5,1)="A",G1122,IF(BW1122=1,BX1122,IF(LEFT(Cockpit!$C$5,1)="B",AH1122,MAX(AH1122,G1122))))</f>
        <v>0</v>
      </c>
      <c r="AE1122" s="57" t="n">
        <f aca="false">IF(BR1122=1,0,ROUNDUP(AD1122/BQ1122,0))</f>
        <v>0</v>
      </c>
      <c r="AF1122" s="59" t="n">
        <f aca="false">IF(CD1122&gt;0,CD1122*MAX(1,AD1122/V1122),IF(BR1122=1,IF(AD1122&lt;=0,0,BS1122*MAX(1,IF(G1122&gt;0,AD1122/G1122,1))),IF(Q1122&gt;0,AE1122/Q1122,0))/MAX(0.1,N(Parameter!$M$21)))</f>
        <v>0</v>
      </c>
      <c r="AG1122" s="57" t="n">
        <f aca="false">AD1122*F1122</f>
        <v>0</v>
      </c>
      <c r="AH1122" s="57" t="n">
        <f aca="false">ROUNDUP(MAX(I1122/IF(BV1122&gt;0,BV1122,MAX(0.1,N(Cockpit!$C$6))),BY1122)/BQ1122,0)*BQ1122</f>
        <v>94</v>
      </c>
      <c r="AI1122" s="58" t="n">
        <f aca="false">IF(AF1122&gt;0,I1122/AF1122,-1)</f>
        <v>-1</v>
      </c>
      <c r="AJ1122" s="58" t="str">
        <f aca="false">IF(AND(OR(BU1122="L1",BU1122="L23"),AF1122&gt;0),SUMIFS($AF$7:$AF$1576,$BU$7:$BU$1576,BU1122,$AI$7:$AI$1576,"&gt;"&amp;AI1122)+SUMIFS($AF$7:$AF$1576,$BU$7:$BU$1576,BU1122,$AI$7:$AI$1576,AI1122,$BO$7:$BO$1576,"&lt;="&amp;BO1122),"")</f>
        <v/>
      </c>
      <c r="AK1122" s="65" t="n">
        <f aca="false">IF(AJ1122="",0,MAX(0,MIN(1,(IF(BU1122="L1",Parameter!$E$5,Parameter!$E$6+Parameter!$E$7)-(AJ1122-AF1122))/AF1122)))</f>
        <v>0</v>
      </c>
      <c r="AL1122" s="57" t="n">
        <f aca="false">IF(LEFT(Cockpit!$I$5,1)="A",G1122,IF(BW1122=1,BX1122,IF(LEFT(Cockpit!$I$5,1)="B",AP1122,MAX(AP1122,G1122))))</f>
        <v>94</v>
      </c>
      <c r="AM1122" s="57" t="n">
        <f aca="false">IF(BR1122=1,0,ROUNDUP(AL1122/BQ1122,0))</f>
        <v>1</v>
      </c>
      <c r="AN1122" s="59" t="n">
        <f aca="false">IF(CD1122&gt;0,CD1122*MAX(1,AL1122/V1122),IF(BR1122=1,IF(AL1122&lt;=0,0,BS1122*MAX(1,IF(G1122&gt;0,AL1122/G1122,1))),IF(Q1122&gt;0,AM1122/Q1122,0))/MAX(0.1,N(Parameter!$M$21)))</f>
        <v>0.0192307692307692</v>
      </c>
      <c r="AO1122" s="57" t="n">
        <f aca="false">AL1122*F1122</f>
        <v>1915.72</v>
      </c>
      <c r="AP1122" s="57" t="n">
        <f aca="false">ROUNDUP(MAX(I1122/IF(BV1122&gt;0,BV1122,MAX(0.1,N(Cockpit!$I$6))),BY1122)/BQ1122,0)*BQ1122</f>
        <v>94</v>
      </c>
      <c r="AQ1122" s="58" t="n">
        <f aca="false">IF(AN1122&gt;0,I1122/AN1122,-1)</f>
        <v>416</v>
      </c>
      <c r="AR1122" s="58" t="n">
        <f aca="false">IF(AND(OR(BU1122="L1",BU1122="L23"),AN1122&gt;0),SUMIFS($AN$7:$AN$1576,$BU$7:$BU$1576,BU1122,$AQ$7:$AQ$1576,"&gt;"&amp;AQ1122)+SUMIFS($AN$7:$AN$1576,$BU$7:$BU$1576,BU1122,$AQ$7:$AQ$1576,AQ1122,$BO$7:$BO$1576,"&lt;="&amp;BO1122),"")</f>
        <v>36.2411545583396</v>
      </c>
      <c r="AS1122" s="65" t="n">
        <f aca="false">IF(AR1122="",0,MAX(0,MIN(1,(IF(BU1122="L1",Parameter!$E$5,Parameter!$E$6+Parameter!$E$7)-(AR1122-AN1122))/AN1122)))</f>
        <v>1</v>
      </c>
      <c r="AT1122" s="57" t="n">
        <f aca="false">IF(LEFT(Cockpit!$O$5,1)="A",G1122,IF(BW1122=1,BX1122,IF(LEFT(Cockpit!$O$5,1)="B",AX1122,MAX(AX1122,G1122))))</f>
        <v>94</v>
      </c>
      <c r="AU1122" s="57" t="n">
        <f aca="false">IF(BR1122=1,0,ROUNDUP(AT1122/BQ1122,0))</f>
        <v>1</v>
      </c>
      <c r="AV1122" s="59" t="n">
        <f aca="false">IF(CD1122&gt;0,CD1122*MAX(1,AT1122/V1122),IF(BR1122=1,IF(AT1122&lt;=0,0,BS1122*MAX(1,IF(G1122&gt;0,AT1122/G1122,1))),IF(Q1122&gt;0,AU1122/Q1122,0))/MAX(0.1,N(Parameter!$M$21)))</f>
        <v>0.0192307692307692</v>
      </c>
      <c r="AW1122" s="57" t="n">
        <f aca="false">AT1122*F1122</f>
        <v>1915.72</v>
      </c>
      <c r="AX1122" s="57" t="n">
        <f aca="false">ROUNDUP(MAX(I1122/IF(BV1122&gt;0,BV1122,MAX(0.1,N(Cockpit!$O$6))),BY1122)/BQ1122,0)*BQ1122</f>
        <v>94</v>
      </c>
      <c r="AY1122" s="58" t="n">
        <f aca="false">IF(AV1122&gt;0,I1122/AV1122,-1)</f>
        <v>416</v>
      </c>
      <c r="AZ1122" s="58" t="n">
        <f aca="false">IF(AND(OR(BU1122="L1",BU1122="L23"),AV1122&gt;0),SUMIFS($AV$7:$AV$1576,$BU$7:$BU$1576,BU1122,$AY$7:$AY$1576,"&gt;"&amp;AY1122)+SUMIFS($AV$7:$AV$1576,$BU$7:$BU$1576,BU1122,$AY$7:$AY$1576,AY1122,$BO$7:$BO$1576,"&lt;="&amp;BO1122),"")</f>
        <v>35.5725664797516</v>
      </c>
      <c r="BA1122" s="65" t="n">
        <f aca="false">IF(AZ1122="",0,MAX(0,MIN(1,(IF(BU1122="L1",Parameter!$E$5,Parameter!$E$6+Parameter!$E$7)-(AZ1122-AV1122))/AV1122)))</f>
        <v>1</v>
      </c>
      <c r="BB1122" s="55" t="str">
        <f aca="false">IF(AF1122&lt;=0,"",IF(BU1122="Aussen","Aussenlager",IF(BU1122="-","Nicht im Lift",IF(AK1122&gt;=1,"Lift",IF(AK1122&lt;=0,"Aussenlager","teilweise")))))</f>
        <v/>
      </c>
      <c r="BC1122" s="55" t="str">
        <f aca="false">IF(AN1122&lt;=0,"",IF(BU1122="Aussen","Aussenlager",IF(BU1122="-","Nicht im Lift",IF(AS1122&gt;=1,"Lift",IF(AS1122&lt;=0,"Aussenlager","teilweise")))))</f>
        <v>Lift</v>
      </c>
      <c r="BD1122" s="55" t="str">
        <f aca="false">IF(AV1122&lt;=0,"",IF(BU1122="Aussen","Aussenlager",IF(BU1122="-","Nicht im Lift",IF(BA1122&gt;=1,"Lift",IF(BA1122&lt;=0,"Aussenlager","teilweise")))))</f>
        <v>Lift</v>
      </c>
      <c r="BE1122" s="55" t="str">
        <f aca="false">IF(A1122="","",IF(BN1122=1,"Neu; ","")&amp;IF(AND(BN1122=0,BI1122&lt;0),"negativer Bestand (Export "&amp;BI1122&amp;"); ","")&amp;IF(I1122&lt;=0,"Kein Verbrauch; ","")&amp;IF(CD1122&gt;0,"Lift "&amp;U1122&amp;" lt. Liftbericht (Fach "&amp;V1122&amp;" Stk); ",IF(BR1122=1,"Lose – Fläche geschätzt; ",""))&amp;IF(G1122&gt;AP1122,"Überbestand "&amp;ROUND(G1122-AP1122,0)&amp;" Stk / CHF "&amp;ROUND((G1122-AP1122)*F1122,0)&amp;"; ","")&amp;IF(AND(BW1122=1,BX1122&lt;BY1122),"MAX &lt; MB+LG; ","")&amp;IF(AND(CC1122&gt;0,CB1122*10&gt;CC1122),"zu hoch für Tablar; ","")&amp;IF(AND(BN1122=0,OR(BW1122=1,Y1122&lt;&gt;"",S1122&lt;&gt;"",T1122&lt;&gt;"",Z1122&lt;&gt;"")),"manuell übersteuert; ","")&amp;IF(AND(BR1122=0,Q1122=0),"Gebinde unbekannt / Stellmass fehlt; ","")&amp;IF(AND(BR1122=0,N(T1122)&lt;=0,N(P1122)&lt;=0),"Menge pro Gebinde fehlt (Ist = 1 Gebinde); ","")&amp;BM1122)</f>
        <v>negativer Bestand (Export -12); </v>
      </c>
      <c r="BF1122" s="55"/>
      <c r="BG1122" s="55"/>
      <c r="BH1122" s="62"/>
      <c r="BI1122" s="57" t="n">
        <v>-12</v>
      </c>
      <c r="BJ1122" s="57" t="n">
        <v>86</v>
      </c>
      <c r="BK1122" s="56" t="n">
        <v>-244.56</v>
      </c>
      <c r="BL1122" s="57" t="n">
        <v>8</v>
      </c>
      <c r="BM1122" s="55"/>
      <c r="BN1122" s="60" t="n">
        <v>0</v>
      </c>
      <c r="BO1122" s="60" t="n">
        <v>1122</v>
      </c>
      <c r="BP1122" s="55" t="str">
        <f aca="false">IF(S1122&lt;&gt;"",UPPER(TRIM(S1122)),IF(O1122="","LOSE",O1122))</f>
        <v>S41</v>
      </c>
      <c r="BQ1122" s="57" t="n">
        <f aca="false">IF(BP1122="LOSE",1,IF(N(T1122)&gt;0,T1122,IF(N(P1122)&gt;0,P1122,MAX(1,G1122))))</f>
        <v>94</v>
      </c>
      <c r="BR1122" s="60" t="n">
        <f aca="false">IF(BP1122="LOSE",1,0)</f>
        <v>0</v>
      </c>
      <c r="BS1122" s="59" t="n">
        <f aca="false">IF(BR1122=0,0,IF(N(R1122)&gt;0,R1122,IFERROR(VLOOKUP(D1122,Parameter!$A$35:$C$64,3,0)+0,0)))</f>
        <v>0</v>
      </c>
      <c r="BT1122" s="55" t="n">
        <f aca="false">IF(Y1122&lt;&gt;"",Y1122,X1122)</f>
        <v>3</v>
      </c>
      <c r="BU1122" s="55" t="str">
        <f aca="false">IF(BT1122=1,"L1",IF(OR(BT1122=2,BT1122=3),"L23",IF(BT1122="Aussen","Aussen","-")))</f>
        <v>L23</v>
      </c>
      <c r="BV1122" s="66" t="n">
        <f aca="false">IF(N(Z1122)&gt;0,Z1122,0)</f>
        <v>0</v>
      </c>
      <c r="BW1122" s="60" t="n">
        <f aca="false">IF(ISNUMBER(AC1122),1,0)</f>
        <v>0</v>
      </c>
      <c r="BX1122" s="57" t="n">
        <f aca="false">N(AC1122)</f>
        <v>0</v>
      </c>
      <c r="BY1122" s="57" t="n">
        <f aca="false">N(L1122)+N(M1122)</f>
        <v>10</v>
      </c>
      <c r="BZ1122" s="57" t="n">
        <f aca="false">ROUNDUP(G1122/BQ1122,0)</f>
        <v>0</v>
      </c>
      <c r="CA1122" s="57" t="n">
        <f aca="false">ROUNDUP(BX1122/BQ1122,0)</f>
        <v>0</v>
      </c>
      <c r="CB1122" s="60" t="n">
        <f aca="false">IF(BR1122=1,0,IFERROR(VLOOKUP(BP1122,'Gebinde-Kategorie'!$A$5:$M$45,5,0)+0,0))</f>
        <v>11</v>
      </c>
      <c r="CC1122" s="60" t="n">
        <f aca="false">IFERROR(IF(OR(BT1122=1,BT1122=2,BT1122=3),N(INDEX(Parameter!$I$5:$I$7,BT1122)),0),0)</f>
        <v>0</v>
      </c>
      <c r="CD1122" s="59" t="n">
        <f aca="false">IF(AND(Parameter!$B$21="Ja",ISNUMBER(U1122),N(V1122)&gt;0),IFERROR(N(INDEX(Parameter!$L$5:$L$7,U1122))*INDEX(Parameter!$E$5:$E$7,U1122)*V1122/SUMIFS($V$7:$V$1576,$U$7:$U$1576,U1122),0),0)</f>
        <v>0</v>
      </c>
    </row>
    <row r="1123" customFormat="false" ht="15" hidden="false" customHeight="false" outlineLevel="0" collapsed="false">
      <c r="A1123" s="55" t="s">
        <v>2022</v>
      </c>
      <c r="B1123" s="55" t="s">
        <v>2023</v>
      </c>
      <c r="C1123" s="55" t="s">
        <v>160</v>
      </c>
      <c r="D1123" s="55" t="s">
        <v>178</v>
      </c>
      <c r="E1123" s="55" t="s">
        <v>210</v>
      </c>
      <c r="F1123" s="56" t="n">
        <v>35.15</v>
      </c>
      <c r="G1123" s="57" t="n">
        <f aca="false">MAX(0,IF(AND(Parameter!$B$21="Ja",ISNUMBER(W1123)),W1123,IF(Parameter!$B$20="Jahresanfang 2025 + Export",BJ1123+BI1123,BI1123)))</f>
        <v>0</v>
      </c>
      <c r="H1123" s="57" t="n">
        <f aca="false">G1123*F1123</f>
        <v>0</v>
      </c>
      <c r="I1123" s="57" t="n">
        <f aca="false">BL1123*Parameter!$B$18</f>
        <v>3</v>
      </c>
      <c r="J1123" s="58" t="n">
        <v>150</v>
      </c>
      <c r="K1123" s="59" t="n">
        <v>0.02</v>
      </c>
      <c r="L1123" s="57" t="n">
        <v>0</v>
      </c>
      <c r="M1123" s="57" t="n">
        <v>5</v>
      </c>
      <c r="N1123" s="60" t="n">
        <v>28</v>
      </c>
      <c r="O1123" s="55" t="s">
        <v>225</v>
      </c>
      <c r="P1123" s="57" t="n">
        <v>30</v>
      </c>
      <c r="Q1123" s="60" t="n">
        <f aca="false">IF(BR1123=1,0,IFERROR(VLOOKUP(BP1123,'Gebinde-Kategorie'!$A$5:$M$45,13,0)+0,0))</f>
        <v>26</v>
      </c>
      <c r="R1123" s="61"/>
      <c r="S1123" s="62"/>
      <c r="T1123" s="62"/>
      <c r="U1123" s="55"/>
      <c r="V1123" s="57"/>
      <c r="W1123" s="57"/>
      <c r="X1123" s="55" t="n">
        <f aca="false">IF(A1123="","",IF(AND(Parameter!$B$21="Ja",ISNUMBER(U1123)),U1123,IF(IFERROR(VLOOKUP(D1123,Parameter!$A$35:$C$64,2,0),"Nein")="2+3",IF(ISNUMBER(SEARCH("grosser Artikel",BM1123)),2,IFERROR(VLOOKUP(BP1123,Parameter!$F$35:$G$64,2,0),2)),IF(OR(IFERROR(VLOOKUP(D1123,Parameter!$A$35:$C$64,2,0),"Nein")="Nein",IFERROR(VLOOKUP(D1123,Parameter!$A$35:$C$64,2,0),"Nein")=""),"-",VLOOKUP(D1123,Parameter!$A$35:$C$64,2,0)))))</f>
        <v>3</v>
      </c>
      <c r="Y1123" s="62"/>
      <c r="Z1123" s="63"/>
      <c r="AA1123" s="57" t="n">
        <f aca="false">AP1123</f>
        <v>30</v>
      </c>
      <c r="AB1123" s="57" t="n">
        <f aca="false">MAX(AP1123,G1123)</f>
        <v>30</v>
      </c>
      <c r="AC1123" s="64"/>
      <c r="AD1123" s="57" t="n">
        <f aca="false">IF(LEFT(Cockpit!$C$5,1)="A",G1123,IF(BW1123=1,BX1123,IF(LEFT(Cockpit!$C$5,1)="B",AH1123,MAX(AH1123,G1123))))</f>
        <v>0</v>
      </c>
      <c r="AE1123" s="57" t="n">
        <f aca="false">IF(BR1123=1,0,ROUNDUP(AD1123/BQ1123,0))</f>
        <v>0</v>
      </c>
      <c r="AF1123" s="59" t="n">
        <f aca="false">IF(CD1123&gt;0,CD1123*MAX(1,AD1123/V1123),IF(BR1123=1,IF(AD1123&lt;=0,0,BS1123*MAX(1,IF(G1123&gt;0,AD1123/G1123,1))),IF(Q1123&gt;0,AE1123/Q1123,0))/MAX(0.1,N(Parameter!$M$21)))</f>
        <v>0</v>
      </c>
      <c r="AG1123" s="57" t="n">
        <f aca="false">AD1123*F1123</f>
        <v>0</v>
      </c>
      <c r="AH1123" s="57" t="n">
        <f aca="false">ROUNDUP(MAX(I1123/IF(BV1123&gt;0,BV1123,MAX(0.1,N(Cockpit!$C$6))),BY1123)/BQ1123,0)*BQ1123</f>
        <v>30</v>
      </c>
      <c r="AI1123" s="58" t="n">
        <f aca="false">IF(AF1123&gt;0,I1123/AF1123,-1)</f>
        <v>-1</v>
      </c>
      <c r="AJ1123" s="58" t="str">
        <f aca="false">IF(AND(OR(BU1123="L1",BU1123="L23"),AF1123&gt;0),SUMIFS($AF$7:$AF$1576,$BU$7:$BU$1576,BU1123,$AI$7:$AI$1576,"&gt;"&amp;AI1123)+SUMIFS($AF$7:$AF$1576,$BU$7:$BU$1576,BU1123,$AI$7:$AI$1576,AI1123,$BO$7:$BO$1576,"&lt;="&amp;BO1123),"")</f>
        <v/>
      </c>
      <c r="AK1123" s="65" t="n">
        <f aca="false">IF(AJ1123="",0,MAX(0,MIN(1,(IF(BU1123="L1",Parameter!$E$5,Parameter!$E$6+Parameter!$E$7)-(AJ1123-AF1123))/AF1123)))</f>
        <v>0</v>
      </c>
      <c r="AL1123" s="57" t="n">
        <f aca="false">IF(LEFT(Cockpit!$I$5,1)="A",G1123,IF(BW1123=1,BX1123,IF(LEFT(Cockpit!$I$5,1)="B",AP1123,MAX(AP1123,G1123))))</f>
        <v>30</v>
      </c>
      <c r="AM1123" s="57" t="n">
        <f aca="false">IF(BR1123=1,0,ROUNDUP(AL1123/BQ1123,0))</f>
        <v>1</v>
      </c>
      <c r="AN1123" s="59" t="n">
        <f aca="false">IF(CD1123&gt;0,CD1123*MAX(1,AL1123/V1123),IF(BR1123=1,IF(AL1123&lt;=0,0,BS1123*MAX(1,IF(G1123&gt;0,AL1123/G1123,1))),IF(Q1123&gt;0,AM1123/Q1123,0))/MAX(0.1,N(Parameter!$M$21)))</f>
        <v>0.0384615384615385</v>
      </c>
      <c r="AO1123" s="57" t="n">
        <f aca="false">AL1123*F1123</f>
        <v>1054.5</v>
      </c>
      <c r="AP1123" s="57" t="n">
        <f aca="false">ROUNDUP(MAX(I1123/IF(BV1123&gt;0,BV1123,MAX(0.1,N(Cockpit!$I$6))),BY1123)/BQ1123,0)*BQ1123</f>
        <v>30</v>
      </c>
      <c r="AQ1123" s="58" t="n">
        <f aca="false">IF(AN1123&gt;0,I1123/AN1123,-1)</f>
        <v>78</v>
      </c>
      <c r="AR1123" s="58" t="n">
        <f aca="false">IF(AND(OR(BU1123="L1",BU1123="L23"),AN1123&gt;0),SUMIFS($AN$7:$AN$1576,$BU$7:$BU$1576,BU1123,$AQ$7:$AQ$1576,"&gt;"&amp;AQ1123)+SUMIFS($AN$7:$AN$1576,$BU$7:$BU$1576,BU1123,$AQ$7:$AQ$1576,AQ1123,$BO$7:$BO$1576,"&lt;="&amp;BO1123),"")</f>
        <v>74.6571665234277</v>
      </c>
      <c r="AS1123" s="65" t="n">
        <f aca="false">IF(AR1123="",0,MAX(0,MIN(1,(IF(BU1123="L1",Parameter!$E$5,Parameter!$E$6+Parameter!$E$7)-(AR1123-AN1123))/AN1123)))</f>
        <v>1</v>
      </c>
      <c r="AT1123" s="57" t="n">
        <f aca="false">IF(LEFT(Cockpit!$O$5,1)="A",G1123,IF(BW1123=1,BX1123,IF(LEFT(Cockpit!$O$5,1)="B",AX1123,MAX(AX1123,G1123))))</f>
        <v>30</v>
      </c>
      <c r="AU1123" s="57" t="n">
        <f aca="false">IF(BR1123=1,0,ROUNDUP(AT1123/BQ1123,0))</f>
        <v>1</v>
      </c>
      <c r="AV1123" s="59" t="n">
        <f aca="false">IF(CD1123&gt;0,CD1123*MAX(1,AT1123/V1123),IF(BR1123=1,IF(AT1123&lt;=0,0,BS1123*MAX(1,IF(G1123&gt;0,AT1123/G1123,1))),IF(Q1123&gt;0,AU1123/Q1123,0))/MAX(0.1,N(Parameter!$M$21)))</f>
        <v>0.0384615384615385</v>
      </c>
      <c r="AW1123" s="57" t="n">
        <f aca="false">AT1123*F1123</f>
        <v>1054.5</v>
      </c>
      <c r="AX1123" s="57" t="n">
        <f aca="false">ROUNDUP(MAX(I1123/IF(BV1123&gt;0,BV1123,MAX(0.1,N(Cockpit!$O$6))),BY1123)/BQ1123,0)*BQ1123</f>
        <v>30</v>
      </c>
      <c r="AY1123" s="58" t="n">
        <f aca="false">IF(AV1123&gt;0,I1123/AV1123,-1)</f>
        <v>78</v>
      </c>
      <c r="AZ1123" s="58" t="n">
        <f aca="false">IF(AND(OR(BU1123="L1",BU1123="L23"),AV1123&gt;0),SUMIFS($AV$7:$AV$1576,$BU$7:$BU$1576,BU1123,$AY$7:$AY$1576,"&gt;"&amp;AY1123)+SUMIFS($AV$7:$AV$1576,$BU$7:$BU$1576,BU1123,$AY$7:$AY$1576,AY1123,$BO$7:$BO$1576,"&lt;="&amp;BO1123),"")</f>
        <v>68.8300503063115</v>
      </c>
      <c r="BA1123" s="65" t="n">
        <f aca="false">IF(AZ1123="",0,MAX(0,MIN(1,(IF(BU1123="L1",Parameter!$E$5,Parameter!$E$6+Parameter!$E$7)-(AZ1123-AV1123))/AV1123)))</f>
        <v>1</v>
      </c>
      <c r="BB1123" s="55" t="str">
        <f aca="false">IF(AF1123&lt;=0,"",IF(BU1123="Aussen","Aussenlager",IF(BU1123="-","Nicht im Lift",IF(AK1123&gt;=1,"Lift",IF(AK1123&lt;=0,"Aussenlager","teilweise")))))</f>
        <v/>
      </c>
      <c r="BC1123" s="55" t="str">
        <f aca="false">IF(AN1123&lt;=0,"",IF(BU1123="Aussen","Aussenlager",IF(BU1123="-","Nicht im Lift",IF(AS1123&gt;=1,"Lift",IF(AS1123&lt;=0,"Aussenlager","teilweise")))))</f>
        <v>Lift</v>
      </c>
      <c r="BD1123" s="55" t="str">
        <f aca="false">IF(AV1123&lt;=0,"",IF(BU1123="Aussen","Aussenlager",IF(BU1123="-","Nicht im Lift",IF(BA1123&gt;=1,"Lift",IF(BA1123&lt;=0,"Aussenlager","teilweise")))))</f>
        <v>Lift</v>
      </c>
      <c r="BE1123" s="55" t="str">
        <f aca="false">IF(A1123="","",IF(BN1123=1,"Neu; ","")&amp;IF(AND(BN1123=0,BI1123&lt;0),"negativer Bestand (Export "&amp;BI1123&amp;"); ","")&amp;IF(I1123&lt;=0,"Kein Verbrauch; ","")&amp;IF(CD1123&gt;0,"Lift "&amp;U1123&amp;" lt. Liftbericht (Fach "&amp;V1123&amp;" Stk); ",IF(BR1123=1,"Lose – Fläche geschätzt; ",""))&amp;IF(G1123&gt;AP1123,"Überbestand "&amp;ROUND(G1123-AP1123,0)&amp;" Stk / CHF "&amp;ROUND((G1123-AP1123)*F1123,0)&amp;"; ","")&amp;IF(AND(BW1123=1,BX1123&lt;BY1123),"MAX &lt; MB+LG; ","")&amp;IF(AND(CC1123&gt;0,CB1123*10&gt;CC1123),"zu hoch für Tablar; ","")&amp;IF(AND(BN1123=0,OR(BW1123=1,Y1123&lt;&gt;"",S1123&lt;&gt;"",T1123&lt;&gt;"",Z1123&lt;&gt;"")),"manuell übersteuert; ","")&amp;IF(AND(BR1123=0,Q1123=0),"Gebinde unbekannt / Stellmass fehlt; ","")&amp;IF(AND(BR1123=0,N(T1123)&lt;=0,N(P1123)&lt;=0),"Menge pro Gebinde fehlt (Ist = 1 Gebinde); ","")&amp;BM1123)</f>
        <v>negativer Bestand (Export -7); Überbestand</v>
      </c>
      <c r="BF1123" s="55"/>
      <c r="BG1123" s="55"/>
      <c r="BH1123" s="62"/>
      <c r="BI1123" s="57" t="n">
        <v>-7</v>
      </c>
      <c r="BJ1123" s="57" t="n">
        <v>152</v>
      </c>
      <c r="BK1123" s="56" t="n">
        <v>-246.05</v>
      </c>
      <c r="BL1123" s="57" t="n">
        <v>3</v>
      </c>
      <c r="BM1123" s="55" t="s">
        <v>382</v>
      </c>
      <c r="BN1123" s="60" t="n">
        <v>0</v>
      </c>
      <c r="BO1123" s="60" t="n">
        <v>1123</v>
      </c>
      <c r="BP1123" s="55" t="str">
        <f aca="false">IF(S1123&lt;&gt;"",UPPER(TRIM(S1123)),IF(O1123="","LOSE",O1123))</f>
        <v>S52</v>
      </c>
      <c r="BQ1123" s="57" t="n">
        <f aca="false">IF(BP1123="LOSE",1,IF(N(T1123)&gt;0,T1123,IF(N(P1123)&gt;0,P1123,MAX(1,G1123))))</f>
        <v>30</v>
      </c>
      <c r="BR1123" s="60" t="n">
        <f aca="false">IF(BP1123="LOSE",1,0)</f>
        <v>0</v>
      </c>
      <c r="BS1123" s="59" t="n">
        <f aca="false">IF(BR1123=0,0,IF(N(R1123)&gt;0,R1123,IFERROR(VLOOKUP(D1123,Parameter!$A$35:$C$64,3,0)+0,0)))</f>
        <v>0</v>
      </c>
      <c r="BT1123" s="55" t="n">
        <f aca="false">IF(Y1123&lt;&gt;"",Y1123,X1123)</f>
        <v>3</v>
      </c>
      <c r="BU1123" s="55" t="str">
        <f aca="false">IF(BT1123=1,"L1",IF(OR(BT1123=2,BT1123=3),"L23",IF(BT1123="Aussen","Aussen","-")))</f>
        <v>L23</v>
      </c>
      <c r="BV1123" s="66" t="n">
        <f aca="false">IF(N(Z1123)&gt;0,Z1123,0)</f>
        <v>0</v>
      </c>
      <c r="BW1123" s="60" t="n">
        <f aca="false">IF(ISNUMBER(AC1123),1,0)</f>
        <v>0</v>
      </c>
      <c r="BX1123" s="57" t="n">
        <f aca="false">N(AC1123)</f>
        <v>0</v>
      </c>
      <c r="BY1123" s="57" t="n">
        <f aca="false">N(L1123)+N(M1123)</f>
        <v>5</v>
      </c>
      <c r="BZ1123" s="57" t="n">
        <f aca="false">ROUNDUP(G1123/BQ1123,0)</f>
        <v>0</v>
      </c>
      <c r="CA1123" s="57" t="n">
        <f aca="false">ROUNDUP(BX1123/BQ1123,0)</f>
        <v>0</v>
      </c>
      <c r="CB1123" s="60" t="n">
        <f aca="false">IF(BR1123=1,0,IFERROR(VLOOKUP(BP1123,'Gebinde-Kategorie'!$A$5:$M$45,5,0)+0,0))</f>
        <v>21</v>
      </c>
      <c r="CC1123" s="60" t="n">
        <f aca="false">IFERROR(IF(OR(BT1123=1,BT1123=2,BT1123=3),N(INDEX(Parameter!$I$5:$I$7,BT1123)),0),0)</f>
        <v>0</v>
      </c>
      <c r="CD1123" s="59" t="n">
        <f aca="false">IF(AND(Parameter!$B$21="Ja",ISNUMBER(U1123),N(V1123)&gt;0),IFERROR(N(INDEX(Parameter!$L$5:$L$7,U1123))*INDEX(Parameter!$E$5:$E$7,U1123)*V1123/SUMIFS($V$7:$V$1576,$U$7:$U$1576,U1123),0),0)</f>
        <v>0</v>
      </c>
    </row>
    <row r="1124" customFormat="false" ht="15" hidden="false" customHeight="false" outlineLevel="0" collapsed="false">
      <c r="A1124" s="55" t="s">
        <v>2024</v>
      </c>
      <c r="B1124" s="55" t="s">
        <v>2025</v>
      </c>
      <c r="C1124" s="55" t="s">
        <v>160</v>
      </c>
      <c r="D1124" s="55" t="s">
        <v>178</v>
      </c>
      <c r="E1124" s="55" t="s">
        <v>210</v>
      </c>
      <c r="F1124" s="56" t="n">
        <v>90.32</v>
      </c>
      <c r="G1124" s="57" t="n">
        <f aca="false">MAX(0,IF(AND(Parameter!$B$21="Ja",ISNUMBER(W1124)),W1124,IF(Parameter!$B$20="Jahresanfang 2025 + Export",BJ1124+BI1124,BI1124)))</f>
        <v>0</v>
      </c>
      <c r="H1124" s="57" t="n">
        <f aca="false">G1124*F1124</f>
        <v>0</v>
      </c>
      <c r="I1124" s="57" t="n">
        <f aca="false">BL1124*Parameter!$B$18</f>
        <v>58</v>
      </c>
      <c r="J1124" s="58" t="n">
        <v>30.5</v>
      </c>
      <c r="K1124" s="59" t="n">
        <v>1.9016393442623</v>
      </c>
      <c r="L1124" s="57" t="n">
        <v>5</v>
      </c>
      <c r="M1124" s="57" t="n">
        <v>40</v>
      </c>
      <c r="N1124" s="60" t="n">
        <v>28</v>
      </c>
      <c r="O1124" s="55" t="s">
        <v>225</v>
      </c>
      <c r="P1124" s="57" t="n">
        <v>30</v>
      </c>
      <c r="Q1124" s="60" t="n">
        <f aca="false">IF(BR1124=1,0,IFERROR(VLOOKUP(BP1124,'Gebinde-Kategorie'!$A$5:$M$45,13,0)+0,0))</f>
        <v>26</v>
      </c>
      <c r="R1124" s="61"/>
      <c r="S1124" s="62"/>
      <c r="T1124" s="62"/>
      <c r="U1124" s="55"/>
      <c r="V1124" s="57"/>
      <c r="W1124" s="57"/>
      <c r="X1124" s="55" t="n">
        <f aca="false">IF(A1124="","",IF(AND(Parameter!$B$21="Ja",ISNUMBER(U1124)),U1124,IF(IFERROR(VLOOKUP(D1124,Parameter!$A$35:$C$64,2,0),"Nein")="2+3",IF(ISNUMBER(SEARCH("grosser Artikel",BM1124)),2,IFERROR(VLOOKUP(BP1124,Parameter!$F$35:$G$64,2,0),2)),IF(OR(IFERROR(VLOOKUP(D1124,Parameter!$A$35:$C$64,2,0),"Nein")="Nein",IFERROR(VLOOKUP(D1124,Parameter!$A$35:$C$64,2,0),"Nein")=""),"-",VLOOKUP(D1124,Parameter!$A$35:$C$64,2,0)))))</f>
        <v>3</v>
      </c>
      <c r="Y1124" s="62"/>
      <c r="Z1124" s="63"/>
      <c r="AA1124" s="57" t="n">
        <f aca="false">AP1124</f>
        <v>60</v>
      </c>
      <c r="AB1124" s="57" t="n">
        <f aca="false">MAX(AP1124,G1124)</f>
        <v>60</v>
      </c>
      <c r="AC1124" s="64"/>
      <c r="AD1124" s="57" t="n">
        <f aca="false">IF(LEFT(Cockpit!$C$5,1)="A",G1124,IF(BW1124=1,BX1124,IF(LEFT(Cockpit!$C$5,1)="B",AH1124,MAX(AH1124,G1124))))</f>
        <v>0</v>
      </c>
      <c r="AE1124" s="57" t="n">
        <f aca="false">IF(BR1124=1,0,ROUNDUP(AD1124/BQ1124,0))</f>
        <v>0</v>
      </c>
      <c r="AF1124" s="59" t="n">
        <f aca="false">IF(CD1124&gt;0,CD1124*MAX(1,AD1124/V1124),IF(BR1124=1,IF(AD1124&lt;=0,0,BS1124*MAX(1,IF(G1124&gt;0,AD1124/G1124,1))),IF(Q1124&gt;0,AE1124/Q1124,0))/MAX(0.1,N(Parameter!$M$21)))</f>
        <v>0</v>
      </c>
      <c r="AG1124" s="57" t="n">
        <f aca="false">AD1124*F1124</f>
        <v>0</v>
      </c>
      <c r="AH1124" s="57" t="n">
        <f aca="false">ROUNDUP(MAX(I1124/IF(BV1124&gt;0,BV1124,MAX(0.1,N(Cockpit!$C$6))),BY1124)/BQ1124,0)*BQ1124</f>
        <v>60</v>
      </c>
      <c r="AI1124" s="58" t="n">
        <f aca="false">IF(AF1124&gt;0,I1124/AF1124,-1)</f>
        <v>-1</v>
      </c>
      <c r="AJ1124" s="58" t="str">
        <f aca="false">IF(AND(OR(BU1124="L1",BU1124="L23"),AF1124&gt;0),SUMIFS($AF$7:$AF$1576,$BU$7:$BU$1576,BU1124,$AI$7:$AI$1576,"&gt;"&amp;AI1124)+SUMIFS($AF$7:$AF$1576,$BU$7:$BU$1576,BU1124,$AI$7:$AI$1576,AI1124,$BO$7:$BO$1576,"&lt;="&amp;BO1124),"")</f>
        <v/>
      </c>
      <c r="AK1124" s="65" t="n">
        <f aca="false">IF(AJ1124="",0,MAX(0,MIN(1,(IF(BU1124="L1",Parameter!$E$5,Parameter!$E$6+Parameter!$E$7)-(AJ1124-AF1124))/AF1124)))</f>
        <v>0</v>
      </c>
      <c r="AL1124" s="57" t="n">
        <f aca="false">IF(LEFT(Cockpit!$I$5,1)="A",G1124,IF(BW1124=1,BX1124,IF(LEFT(Cockpit!$I$5,1)="B",AP1124,MAX(AP1124,G1124))))</f>
        <v>60</v>
      </c>
      <c r="AM1124" s="57" t="n">
        <f aca="false">IF(BR1124=1,0,ROUNDUP(AL1124/BQ1124,0))</f>
        <v>2</v>
      </c>
      <c r="AN1124" s="59" t="n">
        <f aca="false">IF(CD1124&gt;0,CD1124*MAX(1,AL1124/V1124),IF(BR1124=1,IF(AL1124&lt;=0,0,BS1124*MAX(1,IF(G1124&gt;0,AL1124/G1124,1))),IF(Q1124&gt;0,AM1124/Q1124,0))/MAX(0.1,N(Parameter!$M$21)))</f>
        <v>0.0769230769230769</v>
      </c>
      <c r="AO1124" s="57" t="n">
        <f aca="false">AL1124*F1124</f>
        <v>5419.2</v>
      </c>
      <c r="AP1124" s="57" t="n">
        <f aca="false">ROUNDUP(MAX(I1124/IF(BV1124&gt;0,BV1124,MAX(0.1,N(Cockpit!$I$6))),BY1124)/BQ1124,0)*BQ1124</f>
        <v>60</v>
      </c>
      <c r="AQ1124" s="58" t="n">
        <f aca="false">IF(AN1124&gt;0,I1124/AN1124,-1)</f>
        <v>754</v>
      </c>
      <c r="AR1124" s="58" t="n">
        <f aca="false">IF(AND(OR(BU1124="L1",BU1124="L23"),AN1124&gt;0),SUMIFS($AN$7:$AN$1576,$BU$7:$BU$1576,BU1124,$AQ$7:$AQ$1576,"&gt;"&amp;AQ1124)+SUMIFS($AN$7:$AN$1576,$BU$7:$BU$1576,BU1124,$AQ$7:$AQ$1576,AQ1124,$BO$7:$BO$1576,"&lt;="&amp;BO1124),"")</f>
        <v>26.9078922650773</v>
      </c>
      <c r="AS1124" s="65" t="n">
        <f aca="false">IF(AR1124="",0,MAX(0,MIN(1,(IF(BU1124="L1",Parameter!$E$5,Parameter!$E$6+Parameter!$E$7)-(AR1124-AN1124))/AN1124)))</f>
        <v>1</v>
      </c>
      <c r="AT1124" s="57" t="n">
        <f aca="false">IF(LEFT(Cockpit!$O$5,1)="A",G1124,IF(BW1124=1,BX1124,IF(LEFT(Cockpit!$O$5,1)="B",AX1124,MAX(AX1124,G1124))))</f>
        <v>60</v>
      </c>
      <c r="AU1124" s="57" t="n">
        <f aca="false">IF(BR1124=1,0,ROUNDUP(AT1124/BQ1124,0))</f>
        <v>2</v>
      </c>
      <c r="AV1124" s="59" t="n">
        <f aca="false">IF(CD1124&gt;0,CD1124*MAX(1,AT1124/V1124),IF(BR1124=1,IF(AT1124&lt;=0,0,BS1124*MAX(1,IF(G1124&gt;0,AT1124/G1124,1))),IF(Q1124&gt;0,AU1124/Q1124,0))/MAX(0.1,N(Parameter!$M$21)))</f>
        <v>0.0769230769230769</v>
      </c>
      <c r="AW1124" s="57" t="n">
        <f aca="false">AT1124*F1124</f>
        <v>5419.2</v>
      </c>
      <c r="AX1124" s="57" t="n">
        <f aca="false">ROUNDUP(MAX(I1124/IF(BV1124&gt;0,BV1124,MAX(0.1,N(Cockpit!$O$6))),BY1124)/BQ1124,0)*BQ1124</f>
        <v>60</v>
      </c>
      <c r="AY1124" s="58" t="n">
        <f aca="false">IF(AV1124&gt;0,I1124/AV1124,-1)</f>
        <v>754</v>
      </c>
      <c r="AZ1124" s="58" t="n">
        <f aca="false">IF(AND(OR(BU1124="L1",BU1124="L23"),AV1124&gt;0),SUMIFS($AV$7:$AV$1576,$BU$7:$BU$1576,BU1124,$AY$7:$AY$1576,"&gt;"&amp;AY1124)+SUMIFS($AV$7:$AV$1576,$BU$7:$BU$1576,BU1124,$AY$7:$AY$1576,AY1124,$BO$7:$BO$1576,"&lt;="&amp;BO1124),"")</f>
        <v>26.9749085820937</v>
      </c>
      <c r="BA1124" s="65" t="n">
        <f aca="false">IF(AZ1124="",0,MAX(0,MIN(1,(IF(BU1124="L1",Parameter!$E$5,Parameter!$E$6+Parameter!$E$7)-(AZ1124-AV1124))/AV1124)))</f>
        <v>1</v>
      </c>
      <c r="BB1124" s="55" t="str">
        <f aca="false">IF(AF1124&lt;=0,"",IF(BU1124="Aussen","Aussenlager",IF(BU1124="-","Nicht im Lift",IF(AK1124&gt;=1,"Lift",IF(AK1124&lt;=0,"Aussenlager","teilweise")))))</f>
        <v/>
      </c>
      <c r="BC1124" s="55" t="str">
        <f aca="false">IF(AN1124&lt;=0,"",IF(BU1124="Aussen","Aussenlager",IF(BU1124="-","Nicht im Lift",IF(AS1124&gt;=1,"Lift",IF(AS1124&lt;=0,"Aussenlager","teilweise")))))</f>
        <v>Lift</v>
      </c>
      <c r="BD1124" s="55" t="str">
        <f aca="false">IF(AV1124&lt;=0,"",IF(BU1124="Aussen","Aussenlager",IF(BU1124="-","Nicht im Lift",IF(BA1124&gt;=1,"Lift",IF(BA1124&lt;=0,"Aussenlager","teilweise")))))</f>
        <v>Lift</v>
      </c>
      <c r="BE1124" s="55" t="str">
        <f aca="false">IF(A1124="","",IF(BN1124=1,"Neu; ","")&amp;IF(AND(BN1124=0,BI1124&lt;0),"negativer Bestand (Export "&amp;BI1124&amp;"); ","")&amp;IF(I1124&lt;=0,"Kein Verbrauch; ","")&amp;IF(CD1124&gt;0,"Lift "&amp;U1124&amp;" lt. Liftbericht (Fach "&amp;V1124&amp;" Stk); ",IF(BR1124=1,"Lose – Fläche geschätzt; ",""))&amp;IF(G1124&gt;AP1124,"Überbestand "&amp;ROUND(G1124-AP1124,0)&amp;" Stk / CHF "&amp;ROUND((G1124-AP1124)*F1124,0)&amp;"; ","")&amp;IF(AND(BW1124=1,BX1124&lt;BY1124),"MAX &lt; MB+LG; ","")&amp;IF(AND(CC1124&gt;0,CB1124*10&gt;CC1124),"zu hoch für Tablar; ","")&amp;IF(AND(BN1124=0,OR(BW1124=1,Y1124&lt;&gt;"",S1124&lt;&gt;"",T1124&lt;&gt;"",Z1124&lt;&gt;"")),"manuell übersteuert; ","")&amp;IF(AND(BR1124=0,Q1124=0),"Gebinde unbekannt / Stellmass fehlt; ","")&amp;IF(AND(BR1124=0,N(T1124)&lt;=0,N(P1124)&lt;=0),"Menge pro Gebinde fehlt (Ist = 1 Gebinde); ","")&amp;BM1124)</f>
        <v>negativer Bestand (Export -2); </v>
      </c>
      <c r="BF1124" s="55"/>
      <c r="BG1124" s="55"/>
      <c r="BH1124" s="62"/>
      <c r="BI1124" s="57" t="n">
        <v>-2</v>
      </c>
      <c r="BJ1124" s="57" t="n">
        <v>38</v>
      </c>
      <c r="BK1124" s="56" t="n">
        <v>-246.380000000003</v>
      </c>
      <c r="BL1124" s="57" t="n">
        <v>58</v>
      </c>
      <c r="BM1124" s="55"/>
      <c r="BN1124" s="60" t="n">
        <v>0</v>
      </c>
      <c r="BO1124" s="60" t="n">
        <v>1124</v>
      </c>
      <c r="BP1124" s="55" t="str">
        <f aca="false">IF(S1124&lt;&gt;"",UPPER(TRIM(S1124)),IF(O1124="","LOSE",O1124))</f>
        <v>S52</v>
      </c>
      <c r="BQ1124" s="57" t="n">
        <f aca="false">IF(BP1124="LOSE",1,IF(N(T1124)&gt;0,T1124,IF(N(P1124)&gt;0,P1124,MAX(1,G1124))))</f>
        <v>30</v>
      </c>
      <c r="BR1124" s="60" t="n">
        <f aca="false">IF(BP1124="LOSE",1,0)</f>
        <v>0</v>
      </c>
      <c r="BS1124" s="59" t="n">
        <f aca="false">IF(BR1124=0,0,IF(N(R1124)&gt;0,R1124,IFERROR(VLOOKUP(D1124,Parameter!$A$35:$C$64,3,0)+0,0)))</f>
        <v>0</v>
      </c>
      <c r="BT1124" s="55" t="n">
        <f aca="false">IF(Y1124&lt;&gt;"",Y1124,X1124)</f>
        <v>3</v>
      </c>
      <c r="BU1124" s="55" t="str">
        <f aca="false">IF(BT1124=1,"L1",IF(OR(BT1124=2,BT1124=3),"L23",IF(BT1124="Aussen","Aussen","-")))</f>
        <v>L23</v>
      </c>
      <c r="BV1124" s="66" t="n">
        <f aca="false">IF(N(Z1124)&gt;0,Z1124,0)</f>
        <v>0</v>
      </c>
      <c r="BW1124" s="60" t="n">
        <f aca="false">IF(ISNUMBER(AC1124),1,0)</f>
        <v>0</v>
      </c>
      <c r="BX1124" s="57" t="n">
        <f aca="false">N(AC1124)</f>
        <v>0</v>
      </c>
      <c r="BY1124" s="57" t="n">
        <f aca="false">N(L1124)+N(M1124)</f>
        <v>45</v>
      </c>
      <c r="BZ1124" s="57" t="n">
        <f aca="false">ROUNDUP(G1124/BQ1124,0)</f>
        <v>0</v>
      </c>
      <c r="CA1124" s="57" t="n">
        <f aca="false">ROUNDUP(BX1124/BQ1124,0)</f>
        <v>0</v>
      </c>
      <c r="CB1124" s="60" t="n">
        <f aca="false">IF(BR1124=1,0,IFERROR(VLOOKUP(BP1124,'Gebinde-Kategorie'!$A$5:$M$45,5,0)+0,0))</f>
        <v>21</v>
      </c>
      <c r="CC1124" s="60" t="n">
        <f aca="false">IFERROR(IF(OR(BT1124=1,BT1124=2,BT1124=3),N(INDEX(Parameter!$I$5:$I$7,BT1124)),0),0)</f>
        <v>0</v>
      </c>
      <c r="CD1124" s="59" t="n">
        <f aca="false">IF(AND(Parameter!$B$21="Ja",ISNUMBER(U1124),N(V1124)&gt;0),IFERROR(N(INDEX(Parameter!$L$5:$L$7,U1124))*INDEX(Parameter!$E$5:$E$7,U1124)*V1124/SUMIFS($V$7:$V$1576,$U$7:$U$1576,U1124),0),0)</f>
        <v>0</v>
      </c>
    </row>
    <row r="1125" customFormat="false" ht="15" hidden="false" customHeight="false" outlineLevel="0" collapsed="false">
      <c r="A1125" s="55" t="s">
        <v>2026</v>
      </c>
      <c r="B1125" s="55" t="s">
        <v>738</v>
      </c>
      <c r="C1125" s="55" t="s">
        <v>160</v>
      </c>
      <c r="D1125" s="55" t="s">
        <v>178</v>
      </c>
      <c r="E1125" s="55" t="s">
        <v>210</v>
      </c>
      <c r="F1125" s="56" t="n">
        <v>123.42</v>
      </c>
      <c r="G1125" s="57" t="n">
        <f aca="false">MAX(0,IF(AND(Parameter!$B$21="Ja",ISNUMBER(W1125)),W1125,IF(Parameter!$B$20="Jahresanfang 2025 + Export",BJ1125+BI1125,BI1125)))</f>
        <v>0</v>
      </c>
      <c r="H1125" s="57" t="n">
        <f aca="false">G1125*F1125</f>
        <v>0</v>
      </c>
      <c r="I1125" s="57" t="n">
        <f aca="false">BL1125*Parameter!$B$18</f>
        <v>2</v>
      </c>
      <c r="J1125" s="58" t="n">
        <v>3</v>
      </c>
      <c r="K1125" s="59" t="n">
        <v>0.666666666666667</v>
      </c>
      <c r="L1125" s="57" t="n">
        <v>0</v>
      </c>
      <c r="M1125" s="57" t="n">
        <v>1</v>
      </c>
      <c r="N1125" s="60" t="n">
        <v>28</v>
      </c>
      <c r="O1125" s="55" t="s">
        <v>411</v>
      </c>
      <c r="P1125" s="57" t="n">
        <v>5</v>
      </c>
      <c r="Q1125" s="60" t="n">
        <f aca="false">IF(BR1125=1,0,IFERROR(VLOOKUP(BP1125,'Gebinde-Kategorie'!$A$5:$M$45,13,0)+0,0))</f>
        <v>132</v>
      </c>
      <c r="R1125" s="61"/>
      <c r="S1125" s="62"/>
      <c r="T1125" s="62"/>
      <c r="U1125" s="55"/>
      <c r="V1125" s="57"/>
      <c r="W1125" s="57"/>
      <c r="X1125" s="55" t="n">
        <f aca="false">IF(A1125="","",IF(AND(Parameter!$B$21="Ja",ISNUMBER(U1125)),U1125,IF(IFERROR(VLOOKUP(D1125,Parameter!$A$35:$C$64,2,0),"Nein")="2+3",IF(ISNUMBER(SEARCH("grosser Artikel",BM1125)),2,IFERROR(VLOOKUP(BP1125,Parameter!$F$35:$G$64,2,0),2)),IF(OR(IFERROR(VLOOKUP(D1125,Parameter!$A$35:$C$64,2,0),"Nein")="Nein",IFERROR(VLOOKUP(D1125,Parameter!$A$35:$C$64,2,0),"Nein")=""),"-",VLOOKUP(D1125,Parameter!$A$35:$C$64,2,0)))))</f>
        <v>3</v>
      </c>
      <c r="Y1125" s="62"/>
      <c r="Z1125" s="63"/>
      <c r="AA1125" s="57" t="n">
        <f aca="false">AP1125</f>
        <v>5</v>
      </c>
      <c r="AB1125" s="57" t="n">
        <f aca="false">MAX(AP1125,G1125)</f>
        <v>5</v>
      </c>
      <c r="AC1125" s="64"/>
      <c r="AD1125" s="57" t="n">
        <f aca="false">IF(LEFT(Cockpit!$C$5,1)="A",G1125,IF(BW1125=1,BX1125,IF(LEFT(Cockpit!$C$5,1)="B",AH1125,MAX(AH1125,G1125))))</f>
        <v>0</v>
      </c>
      <c r="AE1125" s="57" t="n">
        <f aca="false">IF(BR1125=1,0,ROUNDUP(AD1125/BQ1125,0))</f>
        <v>0</v>
      </c>
      <c r="AF1125" s="59" t="n">
        <f aca="false">IF(CD1125&gt;0,CD1125*MAX(1,AD1125/V1125),IF(BR1125=1,IF(AD1125&lt;=0,0,BS1125*MAX(1,IF(G1125&gt;0,AD1125/G1125,1))),IF(Q1125&gt;0,AE1125/Q1125,0))/MAX(0.1,N(Parameter!$M$21)))</f>
        <v>0</v>
      </c>
      <c r="AG1125" s="57" t="n">
        <f aca="false">AD1125*F1125</f>
        <v>0</v>
      </c>
      <c r="AH1125" s="57" t="n">
        <f aca="false">ROUNDUP(MAX(I1125/IF(BV1125&gt;0,BV1125,MAX(0.1,N(Cockpit!$C$6))),BY1125)/BQ1125,0)*BQ1125</f>
        <v>5</v>
      </c>
      <c r="AI1125" s="58" t="n">
        <f aca="false">IF(AF1125&gt;0,I1125/AF1125,-1)</f>
        <v>-1</v>
      </c>
      <c r="AJ1125" s="58" t="str">
        <f aca="false">IF(AND(OR(BU1125="L1",BU1125="L23"),AF1125&gt;0),SUMIFS($AF$7:$AF$1576,$BU$7:$BU$1576,BU1125,$AI$7:$AI$1576,"&gt;"&amp;AI1125)+SUMIFS($AF$7:$AF$1576,$BU$7:$BU$1576,BU1125,$AI$7:$AI$1576,AI1125,$BO$7:$BO$1576,"&lt;="&amp;BO1125),"")</f>
        <v/>
      </c>
      <c r="AK1125" s="65" t="n">
        <f aca="false">IF(AJ1125="",0,MAX(0,MIN(1,(IF(BU1125="L1",Parameter!$E$5,Parameter!$E$6+Parameter!$E$7)-(AJ1125-AF1125))/AF1125)))</f>
        <v>0</v>
      </c>
      <c r="AL1125" s="57" t="n">
        <f aca="false">IF(LEFT(Cockpit!$I$5,1)="A",G1125,IF(BW1125=1,BX1125,IF(LEFT(Cockpit!$I$5,1)="B",AP1125,MAX(AP1125,G1125))))</f>
        <v>5</v>
      </c>
      <c r="AM1125" s="57" t="n">
        <f aca="false">IF(BR1125=1,0,ROUNDUP(AL1125/BQ1125,0))</f>
        <v>1</v>
      </c>
      <c r="AN1125" s="59" t="n">
        <f aca="false">IF(CD1125&gt;0,CD1125*MAX(1,AL1125/V1125),IF(BR1125=1,IF(AL1125&lt;=0,0,BS1125*MAX(1,IF(G1125&gt;0,AL1125/G1125,1))),IF(Q1125&gt;0,AM1125/Q1125,0))/MAX(0.1,N(Parameter!$M$21)))</f>
        <v>0.00757575757575758</v>
      </c>
      <c r="AO1125" s="57" t="n">
        <f aca="false">AL1125*F1125</f>
        <v>617.1</v>
      </c>
      <c r="AP1125" s="57" t="n">
        <f aca="false">ROUNDUP(MAX(I1125/IF(BV1125&gt;0,BV1125,MAX(0.1,N(Cockpit!$I$6))),BY1125)/BQ1125,0)*BQ1125</f>
        <v>5</v>
      </c>
      <c r="AQ1125" s="58" t="n">
        <f aca="false">IF(AN1125&gt;0,I1125/AN1125,-1)</f>
        <v>264</v>
      </c>
      <c r="AR1125" s="58" t="n">
        <f aca="false">IF(AND(OR(BU1125="L1",BU1125="L23"),AN1125&gt;0),SUMIFS($AN$7:$AN$1576,$BU$7:$BU$1576,BU1125,$AQ$7:$AQ$1576,"&gt;"&amp;AQ1125)+SUMIFS($AN$7:$AN$1576,$BU$7:$BU$1576,BU1125,$AQ$7:$AQ$1576,AQ1125,$BO$7:$BO$1576,"&lt;="&amp;BO1125),"")</f>
        <v>45.4033929962302</v>
      </c>
      <c r="AS1125" s="65" t="n">
        <f aca="false">IF(AR1125="",0,MAX(0,MIN(1,(IF(BU1125="L1",Parameter!$E$5,Parameter!$E$6+Parameter!$E$7)-(AR1125-AN1125))/AN1125)))</f>
        <v>1</v>
      </c>
      <c r="AT1125" s="57" t="n">
        <f aca="false">IF(LEFT(Cockpit!$O$5,1)="A",G1125,IF(BW1125=1,BX1125,IF(LEFT(Cockpit!$O$5,1)="B",AX1125,MAX(AX1125,G1125))))</f>
        <v>5</v>
      </c>
      <c r="AU1125" s="57" t="n">
        <f aca="false">IF(BR1125=1,0,ROUNDUP(AT1125/BQ1125,0))</f>
        <v>1</v>
      </c>
      <c r="AV1125" s="59" t="n">
        <f aca="false">IF(CD1125&gt;0,CD1125*MAX(1,AT1125/V1125),IF(BR1125=1,IF(AT1125&lt;=0,0,BS1125*MAX(1,IF(G1125&gt;0,AT1125/G1125,1))),IF(Q1125&gt;0,AU1125/Q1125,0))/MAX(0.1,N(Parameter!$M$21)))</f>
        <v>0.00757575757575758</v>
      </c>
      <c r="AW1125" s="57" t="n">
        <f aca="false">AT1125*F1125</f>
        <v>617.1</v>
      </c>
      <c r="AX1125" s="57" t="n">
        <f aca="false">ROUNDUP(MAX(I1125/IF(BV1125&gt;0,BV1125,MAX(0.1,N(Cockpit!$O$6))),BY1125)/BQ1125,0)*BQ1125</f>
        <v>5</v>
      </c>
      <c r="AY1125" s="58" t="n">
        <f aca="false">IF(AV1125&gt;0,I1125/AV1125,-1)</f>
        <v>264</v>
      </c>
      <c r="AZ1125" s="58" t="n">
        <f aca="false">IF(AND(OR(BU1125="L1",BU1125="L23"),AV1125&gt;0),SUMIFS($AV$7:$AV$1576,$BU$7:$BU$1576,BU1125,$AY$7:$AY$1576,"&gt;"&amp;AY1125)+SUMIFS($AV$7:$AV$1576,$BU$7:$BU$1576,BU1125,$AY$7:$AY$1576,AY1125,$BO$7:$BO$1576,"&lt;="&amp;BO1125),"")</f>
        <v>41.6814715843088</v>
      </c>
      <c r="BA1125" s="65" t="n">
        <f aca="false">IF(AZ1125="",0,MAX(0,MIN(1,(IF(BU1125="L1",Parameter!$E$5,Parameter!$E$6+Parameter!$E$7)-(AZ1125-AV1125))/AV1125)))</f>
        <v>1</v>
      </c>
      <c r="BB1125" s="55" t="str">
        <f aca="false">IF(AF1125&lt;=0,"",IF(BU1125="Aussen","Aussenlager",IF(BU1125="-","Nicht im Lift",IF(AK1125&gt;=1,"Lift",IF(AK1125&lt;=0,"Aussenlager","teilweise")))))</f>
        <v/>
      </c>
      <c r="BC1125" s="55" t="str">
        <f aca="false">IF(AN1125&lt;=0,"",IF(BU1125="Aussen","Aussenlager",IF(BU1125="-","Nicht im Lift",IF(AS1125&gt;=1,"Lift",IF(AS1125&lt;=0,"Aussenlager","teilweise")))))</f>
        <v>Lift</v>
      </c>
      <c r="BD1125" s="55" t="str">
        <f aca="false">IF(AV1125&lt;=0,"",IF(BU1125="Aussen","Aussenlager",IF(BU1125="-","Nicht im Lift",IF(BA1125&gt;=1,"Lift",IF(BA1125&lt;=0,"Aussenlager","teilweise")))))</f>
        <v>Lift</v>
      </c>
      <c r="BE1125" s="55" t="str">
        <f aca="false">IF(A1125="","",IF(BN1125=1,"Neu; ","")&amp;IF(AND(BN1125=0,BI1125&lt;0),"negativer Bestand (Export "&amp;BI1125&amp;"); ","")&amp;IF(I1125&lt;=0,"Kein Verbrauch; ","")&amp;IF(CD1125&gt;0,"Lift "&amp;U1125&amp;" lt. Liftbericht (Fach "&amp;V1125&amp;" Stk); ",IF(BR1125=1,"Lose – Fläche geschätzt; ",""))&amp;IF(G1125&gt;AP1125,"Überbestand "&amp;ROUND(G1125-AP1125,0)&amp;" Stk / CHF "&amp;ROUND((G1125-AP1125)*F1125,0)&amp;"; ","")&amp;IF(AND(BW1125=1,BX1125&lt;BY1125),"MAX &lt; MB+LG; ","")&amp;IF(AND(CC1125&gt;0,CB1125*10&gt;CC1125),"zu hoch für Tablar; ","")&amp;IF(AND(BN1125=0,OR(BW1125=1,Y1125&lt;&gt;"",S1125&lt;&gt;"",T1125&lt;&gt;"",Z1125&lt;&gt;"")),"manuell übersteuert; ","")&amp;IF(AND(BR1125=0,Q1125=0),"Gebinde unbekannt / Stellmass fehlt; ","")&amp;IF(AND(BR1125=0,N(T1125)&lt;=0,N(P1125)&lt;=0),"Menge pro Gebinde fehlt (Ist = 1 Gebinde); ","")&amp;BM1125)</f>
        <v>negativer Bestand (Export -2); </v>
      </c>
      <c r="BF1125" s="55"/>
      <c r="BG1125" s="55"/>
      <c r="BH1125" s="62"/>
      <c r="BI1125" s="57" t="n">
        <v>-2</v>
      </c>
      <c r="BJ1125" s="57" t="n">
        <v>4</v>
      </c>
      <c r="BK1125" s="56" t="n">
        <v>-246.84</v>
      </c>
      <c r="BL1125" s="57" t="n">
        <v>2</v>
      </c>
      <c r="BM1125" s="55"/>
      <c r="BN1125" s="60" t="n">
        <v>0</v>
      </c>
      <c r="BO1125" s="60" t="n">
        <v>1125</v>
      </c>
      <c r="BP1125" s="55" t="str">
        <f aca="false">IF(S1125&lt;&gt;"",UPPER(TRIM(S1125)),IF(O1125="","LOSE",O1125))</f>
        <v>S32</v>
      </c>
      <c r="BQ1125" s="57" t="n">
        <f aca="false">IF(BP1125="LOSE",1,IF(N(T1125)&gt;0,T1125,IF(N(P1125)&gt;0,P1125,MAX(1,G1125))))</f>
        <v>5</v>
      </c>
      <c r="BR1125" s="60" t="n">
        <f aca="false">IF(BP1125="LOSE",1,0)</f>
        <v>0</v>
      </c>
      <c r="BS1125" s="59" t="n">
        <f aca="false">IF(BR1125=0,0,IF(N(R1125)&gt;0,R1125,IFERROR(VLOOKUP(D1125,Parameter!$A$35:$C$64,3,0)+0,0)))</f>
        <v>0</v>
      </c>
      <c r="BT1125" s="55" t="n">
        <f aca="false">IF(Y1125&lt;&gt;"",Y1125,X1125)</f>
        <v>3</v>
      </c>
      <c r="BU1125" s="55" t="str">
        <f aca="false">IF(BT1125=1,"L1",IF(OR(BT1125=2,BT1125=3),"L23",IF(BT1125="Aussen","Aussen","-")))</f>
        <v>L23</v>
      </c>
      <c r="BV1125" s="66" t="n">
        <f aca="false">IF(N(Z1125)&gt;0,Z1125,0)</f>
        <v>0</v>
      </c>
      <c r="BW1125" s="60" t="n">
        <f aca="false">IF(ISNUMBER(AC1125),1,0)</f>
        <v>0</v>
      </c>
      <c r="BX1125" s="57" t="n">
        <f aca="false">N(AC1125)</f>
        <v>0</v>
      </c>
      <c r="BY1125" s="57" t="n">
        <f aca="false">N(L1125)+N(M1125)</f>
        <v>1</v>
      </c>
      <c r="BZ1125" s="57" t="n">
        <f aca="false">ROUNDUP(G1125/BQ1125,0)</f>
        <v>0</v>
      </c>
      <c r="CA1125" s="57" t="n">
        <f aca="false">ROUNDUP(BX1125/BQ1125,0)</f>
        <v>0</v>
      </c>
      <c r="CB1125" s="60" t="n">
        <f aca="false">IF(BR1125=1,0,IFERROR(VLOOKUP(BP1125,'Gebinde-Kategorie'!$A$5:$M$45,5,0)+0,0))</f>
        <v>8</v>
      </c>
      <c r="CC1125" s="60" t="n">
        <f aca="false">IFERROR(IF(OR(BT1125=1,BT1125=2,BT1125=3),N(INDEX(Parameter!$I$5:$I$7,BT1125)),0),0)</f>
        <v>0</v>
      </c>
      <c r="CD1125" s="59" t="n">
        <f aca="false">IF(AND(Parameter!$B$21="Ja",ISNUMBER(U1125),N(V1125)&gt;0),IFERROR(N(INDEX(Parameter!$L$5:$L$7,U1125))*INDEX(Parameter!$E$5:$E$7,U1125)*V1125/SUMIFS($V$7:$V$1576,$U$7:$U$1576,U1125),0),0)</f>
        <v>0</v>
      </c>
    </row>
    <row r="1126" customFormat="false" ht="15" hidden="false" customHeight="false" outlineLevel="0" collapsed="false">
      <c r="A1126" s="55" t="s">
        <v>2027</v>
      </c>
      <c r="B1126" s="55" t="s">
        <v>2028</v>
      </c>
      <c r="C1126" s="55" t="s">
        <v>160</v>
      </c>
      <c r="D1126" s="55" t="s">
        <v>178</v>
      </c>
      <c r="E1126" s="55" t="s">
        <v>210</v>
      </c>
      <c r="F1126" s="56" t="n">
        <v>82.88</v>
      </c>
      <c r="G1126" s="57" t="n">
        <f aca="false">MAX(0,IF(AND(Parameter!$B$21="Ja",ISNUMBER(W1126)),W1126,IF(Parameter!$B$20="Jahresanfang 2025 + Export",BJ1126+BI1126,BI1126)))</f>
        <v>0</v>
      </c>
      <c r="H1126" s="57" t="n">
        <f aca="false">G1126*F1126</f>
        <v>0</v>
      </c>
      <c r="I1126" s="57" t="n">
        <f aca="false">BL1126*Parameter!$B$18</f>
        <v>0</v>
      </c>
      <c r="J1126" s="58" t="n">
        <v>17</v>
      </c>
      <c r="K1126" s="59" t="n">
        <v>0</v>
      </c>
      <c r="L1126" s="57" t="n">
        <v>0</v>
      </c>
      <c r="M1126" s="57" t="n">
        <v>1</v>
      </c>
      <c r="N1126" s="60" t="n">
        <v>28</v>
      </c>
      <c r="O1126" s="55" t="s">
        <v>411</v>
      </c>
      <c r="P1126" s="57" t="n">
        <v>18</v>
      </c>
      <c r="Q1126" s="60" t="n">
        <f aca="false">IF(BR1126=1,0,IFERROR(VLOOKUP(BP1126,'Gebinde-Kategorie'!$A$5:$M$45,13,0)+0,0))</f>
        <v>132</v>
      </c>
      <c r="R1126" s="61"/>
      <c r="S1126" s="62"/>
      <c r="T1126" s="62"/>
      <c r="U1126" s="55"/>
      <c r="V1126" s="57"/>
      <c r="W1126" s="57"/>
      <c r="X1126" s="55" t="n">
        <f aca="false">IF(A1126="","",IF(AND(Parameter!$B$21="Ja",ISNUMBER(U1126)),U1126,IF(IFERROR(VLOOKUP(D1126,Parameter!$A$35:$C$64,2,0),"Nein")="2+3",IF(ISNUMBER(SEARCH("grosser Artikel",BM1126)),2,IFERROR(VLOOKUP(BP1126,Parameter!$F$35:$G$64,2,0),2)),IF(OR(IFERROR(VLOOKUP(D1126,Parameter!$A$35:$C$64,2,0),"Nein")="Nein",IFERROR(VLOOKUP(D1126,Parameter!$A$35:$C$64,2,0),"Nein")=""),"-",VLOOKUP(D1126,Parameter!$A$35:$C$64,2,0)))))</f>
        <v>3</v>
      </c>
      <c r="Y1126" s="62"/>
      <c r="Z1126" s="63"/>
      <c r="AA1126" s="57" t="n">
        <f aca="false">AP1126</f>
        <v>18</v>
      </c>
      <c r="AB1126" s="57" t="n">
        <f aca="false">MAX(AP1126,G1126)</f>
        <v>18</v>
      </c>
      <c r="AC1126" s="64"/>
      <c r="AD1126" s="57" t="n">
        <f aca="false">IF(LEFT(Cockpit!$C$5,1)="A",G1126,IF(BW1126=1,BX1126,IF(LEFT(Cockpit!$C$5,1)="B",AH1126,MAX(AH1126,G1126))))</f>
        <v>0</v>
      </c>
      <c r="AE1126" s="57" t="n">
        <f aca="false">IF(BR1126=1,0,ROUNDUP(AD1126/BQ1126,0))</f>
        <v>0</v>
      </c>
      <c r="AF1126" s="59" t="n">
        <f aca="false">IF(CD1126&gt;0,CD1126*MAX(1,AD1126/V1126),IF(BR1126=1,IF(AD1126&lt;=0,0,BS1126*MAX(1,IF(G1126&gt;0,AD1126/G1126,1))),IF(Q1126&gt;0,AE1126/Q1126,0))/MAX(0.1,N(Parameter!$M$21)))</f>
        <v>0</v>
      </c>
      <c r="AG1126" s="57" t="n">
        <f aca="false">AD1126*F1126</f>
        <v>0</v>
      </c>
      <c r="AH1126" s="57" t="n">
        <f aca="false">ROUNDUP(MAX(I1126/IF(BV1126&gt;0,BV1126,MAX(0.1,N(Cockpit!$C$6))),BY1126)/BQ1126,0)*BQ1126</f>
        <v>18</v>
      </c>
      <c r="AI1126" s="58" t="n">
        <f aca="false">IF(AF1126&gt;0,I1126/AF1126,-1)</f>
        <v>-1</v>
      </c>
      <c r="AJ1126" s="58" t="str">
        <f aca="false">IF(AND(OR(BU1126="L1",BU1126="L23"),AF1126&gt;0),SUMIFS($AF$7:$AF$1576,$BU$7:$BU$1576,BU1126,$AI$7:$AI$1576,"&gt;"&amp;AI1126)+SUMIFS($AF$7:$AF$1576,$BU$7:$BU$1576,BU1126,$AI$7:$AI$1576,AI1126,$BO$7:$BO$1576,"&lt;="&amp;BO1126),"")</f>
        <v/>
      </c>
      <c r="AK1126" s="65" t="n">
        <f aca="false">IF(AJ1126="",0,MAX(0,MIN(1,(IF(BU1126="L1",Parameter!$E$5,Parameter!$E$6+Parameter!$E$7)-(AJ1126-AF1126))/AF1126)))</f>
        <v>0</v>
      </c>
      <c r="AL1126" s="57" t="n">
        <f aca="false">IF(LEFT(Cockpit!$I$5,1)="A",G1126,IF(BW1126=1,BX1126,IF(LEFT(Cockpit!$I$5,1)="B",AP1126,MAX(AP1126,G1126))))</f>
        <v>18</v>
      </c>
      <c r="AM1126" s="57" t="n">
        <f aca="false">IF(BR1126=1,0,ROUNDUP(AL1126/BQ1126,0))</f>
        <v>1</v>
      </c>
      <c r="AN1126" s="59" t="n">
        <f aca="false">IF(CD1126&gt;0,CD1126*MAX(1,AL1126/V1126),IF(BR1126=1,IF(AL1126&lt;=0,0,BS1126*MAX(1,IF(G1126&gt;0,AL1126/G1126,1))),IF(Q1126&gt;0,AM1126/Q1126,0))/MAX(0.1,N(Parameter!$M$21)))</f>
        <v>0.00757575757575758</v>
      </c>
      <c r="AO1126" s="57" t="n">
        <f aca="false">AL1126*F1126</f>
        <v>1491.84</v>
      </c>
      <c r="AP1126" s="57" t="n">
        <f aca="false">ROUNDUP(MAX(I1126/IF(BV1126&gt;0,BV1126,MAX(0.1,N(Cockpit!$I$6))),BY1126)/BQ1126,0)*BQ1126</f>
        <v>18</v>
      </c>
      <c r="AQ1126" s="58" t="n">
        <f aca="false">IF(AN1126&gt;0,I1126/AN1126,-1)</f>
        <v>0</v>
      </c>
      <c r="AR1126" s="58" t="n">
        <f aca="false">IF(AND(OR(BU1126="L1",BU1126="L23"),AN1126&gt;0),SUMIFS($AN$7:$AN$1576,$BU$7:$BU$1576,BU1126,$AQ$7:$AQ$1576,"&gt;"&amp;AQ1126)+SUMIFS($AN$7:$AN$1576,$BU$7:$BU$1576,BU1126,$AQ$7:$AQ$1576,AQ1126,$BO$7:$BO$1576,"&lt;="&amp;BO1126),"")</f>
        <v>133.868000140004</v>
      </c>
      <c r="AS1126" s="65" t="n">
        <f aca="false">IF(AR1126="",0,MAX(0,MIN(1,(IF(BU1126="L1",Parameter!$E$5,Parameter!$E$6+Parameter!$E$7)-(AR1126-AN1126))/AN1126)))</f>
        <v>0</v>
      </c>
      <c r="AT1126" s="57" t="n">
        <f aca="false">IF(LEFT(Cockpit!$O$5,1)="A",G1126,IF(BW1126=1,BX1126,IF(LEFT(Cockpit!$O$5,1)="B",AX1126,MAX(AX1126,G1126))))</f>
        <v>18</v>
      </c>
      <c r="AU1126" s="57" t="n">
        <f aca="false">IF(BR1126=1,0,ROUNDUP(AT1126/BQ1126,0))</f>
        <v>1</v>
      </c>
      <c r="AV1126" s="59" t="n">
        <f aca="false">IF(CD1126&gt;0,CD1126*MAX(1,AT1126/V1126),IF(BR1126=1,IF(AT1126&lt;=0,0,BS1126*MAX(1,IF(G1126&gt;0,AT1126/G1126,1))),IF(Q1126&gt;0,AU1126/Q1126,0))/MAX(0.1,N(Parameter!$M$21)))</f>
        <v>0.00757575757575758</v>
      </c>
      <c r="AW1126" s="57" t="n">
        <f aca="false">AT1126*F1126</f>
        <v>1491.84</v>
      </c>
      <c r="AX1126" s="57" t="n">
        <f aca="false">ROUNDUP(MAX(I1126/IF(BV1126&gt;0,BV1126,MAX(0.1,N(Cockpit!$O$6))),BY1126)/BQ1126,0)*BQ1126</f>
        <v>18</v>
      </c>
      <c r="AY1126" s="58" t="n">
        <f aca="false">IF(AV1126&gt;0,I1126/AV1126,-1)</f>
        <v>0</v>
      </c>
      <c r="AZ1126" s="58" t="n">
        <f aca="false">IF(AND(OR(BU1126="L1",BU1126="L23"),AV1126&gt;0),SUMIFS($AV$7:$AV$1576,$BU$7:$BU$1576,BU1126,$AY$7:$AY$1576,"&gt;"&amp;AY1126)+SUMIFS($AV$7:$AV$1576,$BU$7:$BU$1576,BU1126,$AY$7:$AY$1576,AY1126,$BO$7:$BO$1576,"&lt;="&amp;BO1126),"")</f>
        <v>123.927550589555</v>
      </c>
      <c r="BA1126" s="65" t="n">
        <f aca="false">IF(AZ1126="",0,MAX(0,MIN(1,(IF(BU1126="L1",Parameter!$E$5,Parameter!$E$6+Parameter!$E$7)-(AZ1126-AV1126))/AV1126)))</f>
        <v>0</v>
      </c>
      <c r="BB1126" s="55" t="str">
        <f aca="false">IF(AF1126&lt;=0,"",IF(BU1126="Aussen","Aussenlager",IF(BU1126="-","Nicht im Lift",IF(AK1126&gt;=1,"Lift",IF(AK1126&lt;=0,"Aussenlager","teilweise")))))</f>
        <v/>
      </c>
      <c r="BC1126" s="55" t="str">
        <f aca="false">IF(AN1126&lt;=0,"",IF(BU1126="Aussen","Aussenlager",IF(BU1126="-","Nicht im Lift",IF(AS1126&gt;=1,"Lift",IF(AS1126&lt;=0,"Aussenlager","teilweise")))))</f>
        <v>Aussenlager</v>
      </c>
      <c r="BD1126" s="55" t="str">
        <f aca="false">IF(AV1126&lt;=0,"",IF(BU1126="Aussen","Aussenlager",IF(BU1126="-","Nicht im Lift",IF(BA1126&gt;=1,"Lift",IF(BA1126&lt;=0,"Aussenlager","teilweise")))))</f>
        <v>Aussenlager</v>
      </c>
      <c r="BE1126" s="55" t="str">
        <f aca="false">IF(A1126="","",IF(BN1126=1,"Neu; ","")&amp;IF(AND(BN1126=0,BI1126&lt;0),"negativer Bestand (Export "&amp;BI1126&amp;"); ","")&amp;IF(I1126&lt;=0,"Kein Verbrauch; ","")&amp;IF(CD1126&gt;0,"Lift "&amp;U1126&amp;" lt. Liftbericht (Fach "&amp;V1126&amp;" Stk); ",IF(BR1126=1,"Lose – Fläche geschätzt; ",""))&amp;IF(G1126&gt;AP1126,"Überbestand "&amp;ROUND(G1126-AP1126,0)&amp;" Stk / CHF "&amp;ROUND((G1126-AP1126)*F1126,0)&amp;"; ","")&amp;IF(AND(BW1126=1,BX1126&lt;BY1126),"MAX &lt; MB+LG; ","")&amp;IF(AND(CC1126&gt;0,CB1126*10&gt;CC1126),"zu hoch für Tablar; ","")&amp;IF(AND(BN1126=0,OR(BW1126=1,Y1126&lt;&gt;"",S1126&lt;&gt;"",T1126&lt;&gt;"",Z1126&lt;&gt;"")),"manuell übersteuert; ","")&amp;IF(AND(BR1126=0,Q1126=0),"Gebinde unbekannt / Stellmass fehlt; ","")&amp;IF(AND(BR1126=0,N(T1126)&lt;=0,N(P1126)&lt;=0),"Menge pro Gebinde fehlt (Ist = 1 Gebinde); ","")&amp;BM1126)</f>
        <v>negativer Bestand (Export -3); Kein Verbrauch; </v>
      </c>
      <c r="BF1126" s="55"/>
      <c r="BG1126" s="55"/>
      <c r="BH1126" s="62"/>
      <c r="BI1126" s="57" t="n">
        <v>-3</v>
      </c>
      <c r="BJ1126" s="57" t="n">
        <v>17</v>
      </c>
      <c r="BK1126" s="56" t="n">
        <v>-248.64</v>
      </c>
      <c r="BL1126" s="57" t="n">
        <v>0</v>
      </c>
      <c r="BM1126" s="55"/>
      <c r="BN1126" s="60" t="n">
        <v>0</v>
      </c>
      <c r="BO1126" s="60" t="n">
        <v>1126</v>
      </c>
      <c r="BP1126" s="55" t="str">
        <f aca="false">IF(S1126&lt;&gt;"",UPPER(TRIM(S1126)),IF(O1126="","LOSE",O1126))</f>
        <v>S32</v>
      </c>
      <c r="BQ1126" s="57" t="n">
        <f aca="false">IF(BP1126="LOSE",1,IF(N(T1126)&gt;0,T1126,IF(N(P1126)&gt;0,P1126,MAX(1,G1126))))</f>
        <v>18</v>
      </c>
      <c r="BR1126" s="60" t="n">
        <f aca="false">IF(BP1126="LOSE",1,0)</f>
        <v>0</v>
      </c>
      <c r="BS1126" s="59" t="n">
        <f aca="false">IF(BR1126=0,0,IF(N(R1126)&gt;0,R1126,IFERROR(VLOOKUP(D1126,Parameter!$A$35:$C$64,3,0)+0,0)))</f>
        <v>0</v>
      </c>
      <c r="BT1126" s="55" t="n">
        <f aca="false">IF(Y1126&lt;&gt;"",Y1126,X1126)</f>
        <v>3</v>
      </c>
      <c r="BU1126" s="55" t="str">
        <f aca="false">IF(BT1126=1,"L1",IF(OR(BT1126=2,BT1126=3),"L23",IF(BT1126="Aussen","Aussen","-")))</f>
        <v>L23</v>
      </c>
      <c r="BV1126" s="66" t="n">
        <f aca="false">IF(N(Z1126)&gt;0,Z1126,0)</f>
        <v>0</v>
      </c>
      <c r="BW1126" s="60" t="n">
        <f aca="false">IF(ISNUMBER(AC1126),1,0)</f>
        <v>0</v>
      </c>
      <c r="BX1126" s="57" t="n">
        <f aca="false">N(AC1126)</f>
        <v>0</v>
      </c>
      <c r="BY1126" s="57" t="n">
        <f aca="false">N(L1126)+N(M1126)</f>
        <v>1</v>
      </c>
      <c r="BZ1126" s="57" t="n">
        <f aca="false">ROUNDUP(G1126/BQ1126,0)</f>
        <v>0</v>
      </c>
      <c r="CA1126" s="57" t="n">
        <f aca="false">ROUNDUP(BX1126/BQ1126,0)</f>
        <v>0</v>
      </c>
      <c r="CB1126" s="60" t="n">
        <f aca="false">IF(BR1126=1,0,IFERROR(VLOOKUP(BP1126,'Gebinde-Kategorie'!$A$5:$M$45,5,0)+0,0))</f>
        <v>8</v>
      </c>
      <c r="CC1126" s="60" t="n">
        <f aca="false">IFERROR(IF(OR(BT1126=1,BT1126=2,BT1126=3),N(INDEX(Parameter!$I$5:$I$7,BT1126)),0),0)</f>
        <v>0</v>
      </c>
      <c r="CD1126" s="59" t="n">
        <f aca="false">IF(AND(Parameter!$B$21="Ja",ISNUMBER(U1126),N(V1126)&gt;0),IFERROR(N(INDEX(Parameter!$L$5:$L$7,U1126))*INDEX(Parameter!$E$5:$E$7,U1126)*V1126/SUMIFS($V$7:$V$1576,$U$7:$U$1576,U1126),0),0)</f>
        <v>0</v>
      </c>
    </row>
    <row r="1127" customFormat="false" ht="15" hidden="false" customHeight="false" outlineLevel="0" collapsed="false">
      <c r="A1127" s="55" t="s">
        <v>2029</v>
      </c>
      <c r="B1127" s="55" t="s">
        <v>738</v>
      </c>
      <c r="C1127" s="55" t="s">
        <v>160</v>
      </c>
      <c r="D1127" s="55" t="s">
        <v>178</v>
      </c>
      <c r="E1127" s="55" t="s">
        <v>210</v>
      </c>
      <c r="F1127" s="56" t="n">
        <v>64.13</v>
      </c>
      <c r="G1127" s="57" t="n">
        <f aca="false">MAX(0,IF(AND(Parameter!$B$21="Ja",ISNUMBER(W1127)),W1127,IF(Parameter!$B$20="Jahresanfang 2025 + Export",BJ1127+BI1127,BI1127)))</f>
        <v>0</v>
      </c>
      <c r="H1127" s="57" t="n">
        <f aca="false">G1127*F1127</f>
        <v>0</v>
      </c>
      <c r="I1127" s="57" t="n">
        <f aca="false">BL1127*Parameter!$B$18</f>
        <v>7</v>
      </c>
      <c r="J1127" s="58" t="n">
        <v>11.5</v>
      </c>
      <c r="K1127" s="59" t="n">
        <v>0.608695652173913</v>
      </c>
      <c r="L1127" s="57" t="n">
        <v>0</v>
      </c>
      <c r="M1127" s="57" t="n">
        <v>5</v>
      </c>
      <c r="N1127" s="60" t="n">
        <v>35</v>
      </c>
      <c r="O1127" s="55" t="s">
        <v>411</v>
      </c>
      <c r="P1127" s="57" t="n">
        <v>12</v>
      </c>
      <c r="Q1127" s="60" t="n">
        <f aca="false">IF(BR1127=1,0,IFERROR(VLOOKUP(BP1127,'Gebinde-Kategorie'!$A$5:$M$45,13,0)+0,0))</f>
        <v>132</v>
      </c>
      <c r="R1127" s="61"/>
      <c r="S1127" s="62"/>
      <c r="T1127" s="62"/>
      <c r="U1127" s="55"/>
      <c r="V1127" s="57"/>
      <c r="W1127" s="57"/>
      <c r="X1127" s="55" t="n">
        <f aca="false">IF(A1127="","",IF(AND(Parameter!$B$21="Ja",ISNUMBER(U1127)),U1127,IF(IFERROR(VLOOKUP(D1127,Parameter!$A$35:$C$64,2,0),"Nein")="2+3",IF(ISNUMBER(SEARCH("grosser Artikel",BM1127)),2,IFERROR(VLOOKUP(BP1127,Parameter!$F$35:$G$64,2,0),2)),IF(OR(IFERROR(VLOOKUP(D1127,Parameter!$A$35:$C$64,2,0),"Nein")="Nein",IFERROR(VLOOKUP(D1127,Parameter!$A$35:$C$64,2,0),"Nein")=""),"-",VLOOKUP(D1127,Parameter!$A$35:$C$64,2,0)))))</f>
        <v>3</v>
      </c>
      <c r="Y1127" s="62"/>
      <c r="Z1127" s="63"/>
      <c r="AA1127" s="57" t="n">
        <f aca="false">AP1127</f>
        <v>12</v>
      </c>
      <c r="AB1127" s="57" t="n">
        <f aca="false">MAX(AP1127,G1127)</f>
        <v>12</v>
      </c>
      <c r="AC1127" s="64"/>
      <c r="AD1127" s="57" t="n">
        <f aca="false">IF(LEFT(Cockpit!$C$5,1)="A",G1127,IF(BW1127=1,BX1127,IF(LEFT(Cockpit!$C$5,1)="B",AH1127,MAX(AH1127,G1127))))</f>
        <v>0</v>
      </c>
      <c r="AE1127" s="57" t="n">
        <f aca="false">IF(BR1127=1,0,ROUNDUP(AD1127/BQ1127,0))</f>
        <v>0</v>
      </c>
      <c r="AF1127" s="59" t="n">
        <f aca="false">IF(CD1127&gt;0,CD1127*MAX(1,AD1127/V1127),IF(BR1127=1,IF(AD1127&lt;=0,0,BS1127*MAX(1,IF(G1127&gt;0,AD1127/G1127,1))),IF(Q1127&gt;0,AE1127/Q1127,0))/MAX(0.1,N(Parameter!$M$21)))</f>
        <v>0</v>
      </c>
      <c r="AG1127" s="57" t="n">
        <f aca="false">AD1127*F1127</f>
        <v>0</v>
      </c>
      <c r="AH1127" s="57" t="n">
        <f aca="false">ROUNDUP(MAX(I1127/IF(BV1127&gt;0,BV1127,MAX(0.1,N(Cockpit!$C$6))),BY1127)/BQ1127,0)*BQ1127</f>
        <v>12</v>
      </c>
      <c r="AI1127" s="58" t="n">
        <f aca="false">IF(AF1127&gt;0,I1127/AF1127,-1)</f>
        <v>-1</v>
      </c>
      <c r="AJ1127" s="58" t="str">
        <f aca="false">IF(AND(OR(BU1127="L1",BU1127="L23"),AF1127&gt;0),SUMIFS($AF$7:$AF$1576,$BU$7:$BU$1576,BU1127,$AI$7:$AI$1576,"&gt;"&amp;AI1127)+SUMIFS($AF$7:$AF$1576,$BU$7:$BU$1576,BU1127,$AI$7:$AI$1576,AI1127,$BO$7:$BO$1576,"&lt;="&amp;BO1127),"")</f>
        <v/>
      </c>
      <c r="AK1127" s="65" t="n">
        <f aca="false">IF(AJ1127="",0,MAX(0,MIN(1,(IF(BU1127="L1",Parameter!$E$5,Parameter!$E$6+Parameter!$E$7)-(AJ1127-AF1127))/AF1127)))</f>
        <v>0</v>
      </c>
      <c r="AL1127" s="57" t="n">
        <f aca="false">IF(LEFT(Cockpit!$I$5,1)="A",G1127,IF(BW1127=1,BX1127,IF(LEFT(Cockpit!$I$5,1)="B",AP1127,MAX(AP1127,G1127))))</f>
        <v>12</v>
      </c>
      <c r="AM1127" s="57" t="n">
        <f aca="false">IF(BR1127=1,0,ROUNDUP(AL1127/BQ1127,0))</f>
        <v>1</v>
      </c>
      <c r="AN1127" s="59" t="n">
        <f aca="false">IF(CD1127&gt;0,CD1127*MAX(1,AL1127/V1127),IF(BR1127=1,IF(AL1127&lt;=0,0,BS1127*MAX(1,IF(G1127&gt;0,AL1127/G1127,1))),IF(Q1127&gt;0,AM1127/Q1127,0))/MAX(0.1,N(Parameter!$M$21)))</f>
        <v>0.00757575757575758</v>
      </c>
      <c r="AO1127" s="57" t="n">
        <f aca="false">AL1127*F1127</f>
        <v>769.56</v>
      </c>
      <c r="AP1127" s="57" t="n">
        <f aca="false">ROUNDUP(MAX(I1127/IF(BV1127&gt;0,BV1127,MAX(0.1,N(Cockpit!$I$6))),BY1127)/BQ1127,0)*BQ1127</f>
        <v>12</v>
      </c>
      <c r="AQ1127" s="58" t="n">
        <f aca="false">IF(AN1127&gt;0,I1127/AN1127,-1)</f>
        <v>924</v>
      </c>
      <c r="AR1127" s="58" t="n">
        <f aca="false">IF(AND(OR(BU1127="L1",BU1127="L23"),AN1127&gt;0),SUMIFS($AN$7:$AN$1576,$BU$7:$BU$1576,BU1127,$AQ$7:$AQ$1576,"&gt;"&amp;AQ1127)+SUMIFS($AN$7:$AN$1576,$BU$7:$BU$1576,BU1127,$AQ$7:$AQ$1576,AQ1127,$BO$7:$BO$1576,"&lt;="&amp;BO1127),"")</f>
        <v>24.1310864139237</v>
      </c>
      <c r="AS1127" s="65" t="n">
        <f aca="false">IF(AR1127="",0,MAX(0,MIN(1,(IF(BU1127="L1",Parameter!$E$5,Parameter!$E$6+Parameter!$E$7)-(AR1127-AN1127))/AN1127)))</f>
        <v>1</v>
      </c>
      <c r="AT1127" s="57" t="n">
        <f aca="false">IF(LEFT(Cockpit!$O$5,1)="A",G1127,IF(BW1127=1,BX1127,IF(LEFT(Cockpit!$O$5,1)="B",AX1127,MAX(AX1127,G1127))))</f>
        <v>12</v>
      </c>
      <c r="AU1127" s="57" t="n">
        <f aca="false">IF(BR1127=1,0,ROUNDUP(AT1127/BQ1127,0))</f>
        <v>1</v>
      </c>
      <c r="AV1127" s="59" t="n">
        <f aca="false">IF(CD1127&gt;0,CD1127*MAX(1,AT1127/V1127),IF(BR1127=1,IF(AT1127&lt;=0,0,BS1127*MAX(1,IF(G1127&gt;0,AT1127/G1127,1))),IF(Q1127&gt;0,AU1127/Q1127,0))/MAX(0.1,N(Parameter!$M$21)))</f>
        <v>0.00757575757575758</v>
      </c>
      <c r="AW1127" s="57" t="n">
        <f aca="false">AT1127*F1127</f>
        <v>769.56</v>
      </c>
      <c r="AX1127" s="57" t="n">
        <f aca="false">ROUNDUP(MAX(I1127/IF(BV1127&gt;0,BV1127,MAX(0.1,N(Cockpit!$O$6))),BY1127)/BQ1127,0)*BQ1127</f>
        <v>12</v>
      </c>
      <c r="AY1127" s="58" t="n">
        <f aca="false">IF(AV1127&gt;0,I1127/AV1127,-1)</f>
        <v>924</v>
      </c>
      <c r="AZ1127" s="58" t="n">
        <f aca="false">IF(AND(OR(BU1127="L1",BU1127="L23"),AV1127&gt;0),SUMIFS($AV$7:$AV$1576,$BU$7:$BU$1576,BU1127,$AY$7:$AY$1576,"&gt;"&amp;AY1127)+SUMIFS($AV$7:$AV$1576,$BU$7:$BU$1576,BU1127,$AY$7:$AY$1576,AY1127,$BO$7:$BO$1576,"&lt;="&amp;BO1127),"")</f>
        <v>23.3647693976066</v>
      </c>
      <c r="BA1127" s="65" t="n">
        <f aca="false">IF(AZ1127="",0,MAX(0,MIN(1,(IF(BU1127="L1",Parameter!$E$5,Parameter!$E$6+Parameter!$E$7)-(AZ1127-AV1127))/AV1127)))</f>
        <v>1</v>
      </c>
      <c r="BB1127" s="55" t="str">
        <f aca="false">IF(AF1127&lt;=0,"",IF(BU1127="Aussen","Aussenlager",IF(BU1127="-","Nicht im Lift",IF(AK1127&gt;=1,"Lift",IF(AK1127&lt;=0,"Aussenlager","teilweise")))))</f>
        <v/>
      </c>
      <c r="BC1127" s="55" t="str">
        <f aca="false">IF(AN1127&lt;=0,"",IF(BU1127="Aussen","Aussenlager",IF(BU1127="-","Nicht im Lift",IF(AS1127&gt;=1,"Lift",IF(AS1127&lt;=0,"Aussenlager","teilweise")))))</f>
        <v>Lift</v>
      </c>
      <c r="BD1127" s="55" t="str">
        <f aca="false">IF(AV1127&lt;=0,"",IF(BU1127="Aussen","Aussenlager",IF(BU1127="-","Nicht im Lift",IF(BA1127&gt;=1,"Lift",IF(BA1127&lt;=0,"Aussenlager","teilweise")))))</f>
        <v>Lift</v>
      </c>
      <c r="BE1127" s="55" t="str">
        <f aca="false">IF(A1127="","",IF(BN1127=1,"Neu; ","")&amp;IF(AND(BN1127=0,BI1127&lt;0),"negativer Bestand (Export "&amp;BI1127&amp;"); ","")&amp;IF(I1127&lt;=0,"Kein Verbrauch; ","")&amp;IF(CD1127&gt;0,"Lift "&amp;U1127&amp;" lt. Liftbericht (Fach "&amp;V1127&amp;" Stk); ",IF(BR1127=1,"Lose – Fläche geschätzt; ",""))&amp;IF(G1127&gt;AP1127,"Überbestand "&amp;ROUND(G1127-AP1127,0)&amp;" Stk / CHF "&amp;ROUND((G1127-AP1127)*F1127,0)&amp;"; ","")&amp;IF(AND(BW1127=1,BX1127&lt;BY1127),"MAX &lt; MB+LG; ","")&amp;IF(AND(CC1127&gt;0,CB1127*10&gt;CC1127),"zu hoch für Tablar; ","")&amp;IF(AND(BN1127=0,OR(BW1127=1,Y1127&lt;&gt;"",S1127&lt;&gt;"",T1127&lt;&gt;"",Z1127&lt;&gt;"")),"manuell übersteuert; ","")&amp;IF(AND(BR1127=0,Q1127=0),"Gebinde unbekannt / Stellmass fehlt; ","")&amp;IF(AND(BR1127=0,N(T1127)&lt;=0,N(P1127)&lt;=0),"Menge pro Gebinde fehlt (Ist = 1 Gebinde); ","")&amp;BM1127)</f>
        <v>negativer Bestand (Export -4); </v>
      </c>
      <c r="BF1127" s="55"/>
      <c r="BG1127" s="55"/>
      <c r="BH1127" s="62"/>
      <c r="BI1127" s="57" t="n">
        <v>-4</v>
      </c>
      <c r="BJ1127" s="57" t="n">
        <v>10</v>
      </c>
      <c r="BK1127" s="56" t="n">
        <v>-249.82</v>
      </c>
      <c r="BL1127" s="57" t="n">
        <v>7</v>
      </c>
      <c r="BM1127" s="55"/>
      <c r="BN1127" s="60" t="n">
        <v>0</v>
      </c>
      <c r="BO1127" s="60" t="n">
        <v>1127</v>
      </c>
      <c r="BP1127" s="55" t="str">
        <f aca="false">IF(S1127&lt;&gt;"",UPPER(TRIM(S1127)),IF(O1127="","LOSE",O1127))</f>
        <v>S32</v>
      </c>
      <c r="BQ1127" s="57" t="n">
        <f aca="false">IF(BP1127="LOSE",1,IF(N(T1127)&gt;0,T1127,IF(N(P1127)&gt;0,P1127,MAX(1,G1127))))</f>
        <v>12</v>
      </c>
      <c r="BR1127" s="60" t="n">
        <f aca="false">IF(BP1127="LOSE",1,0)</f>
        <v>0</v>
      </c>
      <c r="BS1127" s="59" t="n">
        <f aca="false">IF(BR1127=0,0,IF(N(R1127)&gt;0,R1127,IFERROR(VLOOKUP(D1127,Parameter!$A$35:$C$64,3,0)+0,0)))</f>
        <v>0</v>
      </c>
      <c r="BT1127" s="55" t="n">
        <f aca="false">IF(Y1127&lt;&gt;"",Y1127,X1127)</f>
        <v>3</v>
      </c>
      <c r="BU1127" s="55" t="str">
        <f aca="false">IF(BT1127=1,"L1",IF(OR(BT1127=2,BT1127=3),"L23",IF(BT1127="Aussen","Aussen","-")))</f>
        <v>L23</v>
      </c>
      <c r="BV1127" s="66" t="n">
        <f aca="false">IF(N(Z1127)&gt;0,Z1127,0)</f>
        <v>0</v>
      </c>
      <c r="BW1127" s="60" t="n">
        <f aca="false">IF(ISNUMBER(AC1127),1,0)</f>
        <v>0</v>
      </c>
      <c r="BX1127" s="57" t="n">
        <f aca="false">N(AC1127)</f>
        <v>0</v>
      </c>
      <c r="BY1127" s="57" t="n">
        <f aca="false">N(L1127)+N(M1127)</f>
        <v>5</v>
      </c>
      <c r="BZ1127" s="57" t="n">
        <f aca="false">ROUNDUP(G1127/BQ1127,0)</f>
        <v>0</v>
      </c>
      <c r="CA1127" s="57" t="n">
        <f aca="false">ROUNDUP(BX1127/BQ1127,0)</f>
        <v>0</v>
      </c>
      <c r="CB1127" s="60" t="n">
        <f aca="false">IF(BR1127=1,0,IFERROR(VLOOKUP(BP1127,'Gebinde-Kategorie'!$A$5:$M$45,5,0)+0,0))</f>
        <v>8</v>
      </c>
      <c r="CC1127" s="60" t="n">
        <f aca="false">IFERROR(IF(OR(BT1127=1,BT1127=2,BT1127=3),N(INDEX(Parameter!$I$5:$I$7,BT1127)),0),0)</f>
        <v>0</v>
      </c>
      <c r="CD1127" s="59" t="n">
        <f aca="false">IF(AND(Parameter!$B$21="Ja",ISNUMBER(U1127),N(V1127)&gt;0),IFERROR(N(INDEX(Parameter!$L$5:$L$7,U1127))*INDEX(Parameter!$E$5:$E$7,U1127)*V1127/SUMIFS($V$7:$V$1576,$U$7:$U$1576,U1127),0),0)</f>
        <v>0</v>
      </c>
    </row>
    <row r="1128" customFormat="false" ht="15" hidden="false" customHeight="false" outlineLevel="0" collapsed="false">
      <c r="A1128" s="55" t="s">
        <v>2030</v>
      </c>
      <c r="B1128" s="55" t="s">
        <v>421</v>
      </c>
      <c r="C1128" s="55" t="s">
        <v>160</v>
      </c>
      <c r="D1128" s="55" t="s">
        <v>178</v>
      </c>
      <c r="E1128" s="55" t="s">
        <v>210</v>
      </c>
      <c r="F1128" s="56" t="n">
        <v>63.5</v>
      </c>
      <c r="G1128" s="57" t="n">
        <f aca="false">MAX(0,IF(AND(Parameter!$B$21="Ja",ISNUMBER(W1128)),W1128,IF(Parameter!$B$20="Jahresanfang 2025 + Export",BJ1128+BI1128,BI1128)))</f>
        <v>0</v>
      </c>
      <c r="H1128" s="57" t="n">
        <f aca="false">G1128*F1128</f>
        <v>0</v>
      </c>
      <c r="I1128" s="57" t="n">
        <f aca="false">BL1128*Parameter!$B$18</f>
        <v>0</v>
      </c>
      <c r="J1128" s="58" t="n">
        <v>46</v>
      </c>
      <c r="K1128" s="59" t="n">
        <v>0</v>
      </c>
      <c r="L1128" s="57" t="n">
        <v>0</v>
      </c>
      <c r="M1128" s="57" t="n">
        <v>1</v>
      </c>
      <c r="N1128" s="60" t="n">
        <v>70</v>
      </c>
      <c r="O1128" s="55" t="s">
        <v>225</v>
      </c>
      <c r="P1128" s="57" t="n">
        <v>45</v>
      </c>
      <c r="Q1128" s="60" t="n">
        <f aca="false">IF(BR1128=1,0,IFERROR(VLOOKUP(BP1128,'Gebinde-Kategorie'!$A$5:$M$45,13,0)+0,0))</f>
        <v>26</v>
      </c>
      <c r="R1128" s="61"/>
      <c r="S1128" s="62"/>
      <c r="T1128" s="62"/>
      <c r="U1128" s="55"/>
      <c r="V1128" s="57"/>
      <c r="W1128" s="57"/>
      <c r="X1128" s="55" t="n">
        <f aca="false">IF(A1128="","",IF(AND(Parameter!$B$21="Ja",ISNUMBER(U1128)),U1128,IF(IFERROR(VLOOKUP(D1128,Parameter!$A$35:$C$64,2,0),"Nein")="2+3",IF(ISNUMBER(SEARCH("grosser Artikel",BM1128)),2,IFERROR(VLOOKUP(BP1128,Parameter!$F$35:$G$64,2,0),2)),IF(OR(IFERROR(VLOOKUP(D1128,Parameter!$A$35:$C$64,2,0),"Nein")="Nein",IFERROR(VLOOKUP(D1128,Parameter!$A$35:$C$64,2,0),"Nein")=""),"-",VLOOKUP(D1128,Parameter!$A$35:$C$64,2,0)))))</f>
        <v>3</v>
      </c>
      <c r="Y1128" s="62"/>
      <c r="Z1128" s="63"/>
      <c r="AA1128" s="57" t="n">
        <f aca="false">AP1128</f>
        <v>45</v>
      </c>
      <c r="AB1128" s="57" t="n">
        <f aca="false">MAX(AP1128,G1128)</f>
        <v>45</v>
      </c>
      <c r="AC1128" s="64"/>
      <c r="AD1128" s="57" t="n">
        <f aca="false">IF(LEFT(Cockpit!$C$5,1)="A",G1128,IF(BW1128=1,BX1128,IF(LEFT(Cockpit!$C$5,1)="B",AH1128,MAX(AH1128,G1128))))</f>
        <v>0</v>
      </c>
      <c r="AE1128" s="57" t="n">
        <f aca="false">IF(BR1128=1,0,ROUNDUP(AD1128/BQ1128,0))</f>
        <v>0</v>
      </c>
      <c r="AF1128" s="59" t="n">
        <f aca="false">IF(CD1128&gt;0,CD1128*MAX(1,AD1128/V1128),IF(BR1128=1,IF(AD1128&lt;=0,0,BS1128*MAX(1,IF(G1128&gt;0,AD1128/G1128,1))),IF(Q1128&gt;0,AE1128/Q1128,0))/MAX(0.1,N(Parameter!$M$21)))</f>
        <v>0</v>
      </c>
      <c r="AG1128" s="57" t="n">
        <f aca="false">AD1128*F1128</f>
        <v>0</v>
      </c>
      <c r="AH1128" s="57" t="n">
        <f aca="false">ROUNDUP(MAX(I1128/IF(BV1128&gt;0,BV1128,MAX(0.1,N(Cockpit!$C$6))),BY1128)/BQ1128,0)*BQ1128</f>
        <v>45</v>
      </c>
      <c r="AI1128" s="58" t="n">
        <f aca="false">IF(AF1128&gt;0,I1128/AF1128,-1)</f>
        <v>-1</v>
      </c>
      <c r="AJ1128" s="58" t="str">
        <f aca="false">IF(AND(OR(BU1128="L1",BU1128="L23"),AF1128&gt;0),SUMIFS($AF$7:$AF$1576,$BU$7:$BU$1576,BU1128,$AI$7:$AI$1576,"&gt;"&amp;AI1128)+SUMIFS($AF$7:$AF$1576,$BU$7:$BU$1576,BU1128,$AI$7:$AI$1576,AI1128,$BO$7:$BO$1576,"&lt;="&amp;BO1128),"")</f>
        <v/>
      </c>
      <c r="AK1128" s="65" t="n">
        <f aca="false">IF(AJ1128="",0,MAX(0,MIN(1,(IF(BU1128="L1",Parameter!$E$5,Parameter!$E$6+Parameter!$E$7)-(AJ1128-AF1128))/AF1128)))</f>
        <v>0</v>
      </c>
      <c r="AL1128" s="57" t="n">
        <f aca="false">IF(LEFT(Cockpit!$I$5,1)="A",G1128,IF(BW1128=1,BX1128,IF(LEFT(Cockpit!$I$5,1)="B",AP1128,MAX(AP1128,G1128))))</f>
        <v>45</v>
      </c>
      <c r="AM1128" s="57" t="n">
        <f aca="false">IF(BR1128=1,0,ROUNDUP(AL1128/BQ1128,0))</f>
        <v>1</v>
      </c>
      <c r="AN1128" s="59" t="n">
        <f aca="false">IF(CD1128&gt;0,CD1128*MAX(1,AL1128/V1128),IF(BR1128=1,IF(AL1128&lt;=0,0,BS1128*MAX(1,IF(G1128&gt;0,AL1128/G1128,1))),IF(Q1128&gt;0,AM1128/Q1128,0))/MAX(0.1,N(Parameter!$M$21)))</f>
        <v>0.0384615384615385</v>
      </c>
      <c r="AO1128" s="57" t="n">
        <f aca="false">AL1128*F1128</f>
        <v>2857.5</v>
      </c>
      <c r="AP1128" s="57" t="n">
        <f aca="false">ROUNDUP(MAX(I1128/IF(BV1128&gt;0,BV1128,MAX(0.1,N(Cockpit!$I$6))),BY1128)/BQ1128,0)*BQ1128</f>
        <v>45</v>
      </c>
      <c r="AQ1128" s="58" t="n">
        <f aca="false">IF(AN1128&gt;0,I1128/AN1128,-1)</f>
        <v>0</v>
      </c>
      <c r="AR1128" s="58" t="n">
        <f aca="false">IF(AND(OR(BU1128="L1",BU1128="L23"),AN1128&gt;0),SUMIFS($AN$7:$AN$1576,$BU$7:$BU$1576,BU1128,$AQ$7:$AQ$1576,"&gt;"&amp;AQ1128)+SUMIFS($AN$7:$AN$1576,$BU$7:$BU$1576,BU1128,$AQ$7:$AQ$1576,AQ1128,$BO$7:$BO$1576,"&lt;="&amp;BO1128),"")</f>
        <v>133.906461678466</v>
      </c>
      <c r="AS1128" s="65" t="n">
        <f aca="false">IF(AR1128="",0,MAX(0,MIN(1,(IF(BU1128="L1",Parameter!$E$5,Parameter!$E$6+Parameter!$E$7)-(AR1128-AN1128))/AN1128)))</f>
        <v>0</v>
      </c>
      <c r="AT1128" s="57" t="n">
        <f aca="false">IF(LEFT(Cockpit!$O$5,1)="A",G1128,IF(BW1128=1,BX1128,IF(LEFT(Cockpit!$O$5,1)="B",AX1128,MAX(AX1128,G1128))))</f>
        <v>45</v>
      </c>
      <c r="AU1128" s="57" t="n">
        <f aca="false">IF(BR1128=1,0,ROUNDUP(AT1128/BQ1128,0))</f>
        <v>1</v>
      </c>
      <c r="AV1128" s="59" t="n">
        <f aca="false">IF(CD1128&gt;0,CD1128*MAX(1,AT1128/V1128),IF(BR1128=1,IF(AT1128&lt;=0,0,BS1128*MAX(1,IF(G1128&gt;0,AT1128/G1128,1))),IF(Q1128&gt;0,AU1128/Q1128,0))/MAX(0.1,N(Parameter!$M$21)))</f>
        <v>0.0384615384615385</v>
      </c>
      <c r="AW1128" s="57" t="n">
        <f aca="false">AT1128*F1128</f>
        <v>2857.5</v>
      </c>
      <c r="AX1128" s="57" t="n">
        <f aca="false">ROUNDUP(MAX(I1128/IF(BV1128&gt;0,BV1128,MAX(0.1,N(Cockpit!$O$6))),BY1128)/BQ1128,0)*BQ1128</f>
        <v>45</v>
      </c>
      <c r="AY1128" s="58" t="n">
        <f aca="false">IF(AV1128&gt;0,I1128/AV1128,-1)</f>
        <v>0</v>
      </c>
      <c r="AZ1128" s="58" t="n">
        <f aca="false">IF(AND(OR(BU1128="L1",BU1128="L23"),AV1128&gt;0),SUMIFS($AV$7:$AV$1576,$BU$7:$BU$1576,BU1128,$AY$7:$AY$1576,"&gt;"&amp;AY1128)+SUMIFS($AV$7:$AV$1576,$BU$7:$BU$1576,BU1128,$AY$7:$AY$1576,AY1128,$BO$7:$BO$1576,"&lt;="&amp;BO1128),"")</f>
        <v>123.966012128016</v>
      </c>
      <c r="BA1128" s="65" t="n">
        <f aca="false">IF(AZ1128="",0,MAX(0,MIN(1,(IF(BU1128="L1",Parameter!$E$5,Parameter!$E$6+Parameter!$E$7)-(AZ1128-AV1128))/AV1128)))</f>
        <v>0</v>
      </c>
      <c r="BB1128" s="55" t="str">
        <f aca="false">IF(AF1128&lt;=0,"",IF(BU1128="Aussen","Aussenlager",IF(BU1128="-","Nicht im Lift",IF(AK1128&gt;=1,"Lift",IF(AK1128&lt;=0,"Aussenlager","teilweise")))))</f>
        <v/>
      </c>
      <c r="BC1128" s="55" t="str">
        <f aca="false">IF(AN1128&lt;=0,"",IF(BU1128="Aussen","Aussenlager",IF(BU1128="-","Nicht im Lift",IF(AS1128&gt;=1,"Lift",IF(AS1128&lt;=0,"Aussenlager","teilweise")))))</f>
        <v>Aussenlager</v>
      </c>
      <c r="BD1128" s="55" t="str">
        <f aca="false">IF(AV1128&lt;=0,"",IF(BU1128="Aussen","Aussenlager",IF(BU1128="-","Nicht im Lift",IF(BA1128&gt;=1,"Lift",IF(BA1128&lt;=0,"Aussenlager","teilweise")))))</f>
        <v>Aussenlager</v>
      </c>
      <c r="BE1128" s="55" t="str">
        <f aca="false">IF(A1128="","",IF(BN1128=1,"Neu; ","")&amp;IF(AND(BN1128=0,BI1128&lt;0),"negativer Bestand (Export "&amp;BI1128&amp;"); ","")&amp;IF(I1128&lt;=0,"Kein Verbrauch; ","")&amp;IF(CD1128&gt;0,"Lift "&amp;U1128&amp;" lt. Liftbericht (Fach "&amp;V1128&amp;" Stk); ",IF(BR1128=1,"Lose – Fläche geschätzt; ",""))&amp;IF(G1128&gt;AP1128,"Überbestand "&amp;ROUND(G1128-AP1128,0)&amp;" Stk / CHF "&amp;ROUND((G1128-AP1128)*F1128,0)&amp;"; ","")&amp;IF(AND(BW1128=1,BX1128&lt;BY1128),"MAX &lt; MB+LG; ","")&amp;IF(AND(CC1128&gt;0,CB1128*10&gt;CC1128),"zu hoch für Tablar; ","")&amp;IF(AND(BN1128=0,OR(BW1128=1,Y1128&lt;&gt;"",S1128&lt;&gt;"",T1128&lt;&gt;"",Z1128&lt;&gt;"")),"manuell übersteuert; ","")&amp;IF(AND(BR1128=0,Q1128=0),"Gebinde unbekannt / Stellmass fehlt; ","")&amp;IF(AND(BR1128=0,N(T1128)&lt;=0,N(P1128)&lt;=0),"Menge pro Gebinde fehlt (Ist = 1 Gebinde); ","")&amp;BM1128)</f>
        <v>negativer Bestand (Export -4); Kein Verbrauch; </v>
      </c>
      <c r="BF1128" s="55"/>
      <c r="BG1128" s="55"/>
      <c r="BH1128" s="62"/>
      <c r="BI1128" s="57" t="n">
        <v>-4</v>
      </c>
      <c r="BJ1128" s="57" t="n">
        <v>46</v>
      </c>
      <c r="BK1128" s="56" t="n">
        <v>-254</v>
      </c>
      <c r="BL1128" s="57" t="n">
        <v>0</v>
      </c>
      <c r="BM1128" s="55"/>
      <c r="BN1128" s="60" t="n">
        <v>0</v>
      </c>
      <c r="BO1128" s="60" t="n">
        <v>1128</v>
      </c>
      <c r="BP1128" s="55" t="str">
        <f aca="false">IF(S1128&lt;&gt;"",UPPER(TRIM(S1128)),IF(O1128="","LOSE",O1128))</f>
        <v>S52</v>
      </c>
      <c r="BQ1128" s="57" t="n">
        <f aca="false">IF(BP1128="LOSE",1,IF(N(T1128)&gt;0,T1128,IF(N(P1128)&gt;0,P1128,MAX(1,G1128))))</f>
        <v>45</v>
      </c>
      <c r="BR1128" s="60" t="n">
        <f aca="false">IF(BP1128="LOSE",1,0)</f>
        <v>0</v>
      </c>
      <c r="BS1128" s="59" t="n">
        <f aca="false">IF(BR1128=0,0,IF(N(R1128)&gt;0,R1128,IFERROR(VLOOKUP(D1128,Parameter!$A$35:$C$64,3,0)+0,0)))</f>
        <v>0</v>
      </c>
      <c r="BT1128" s="55" t="n">
        <f aca="false">IF(Y1128&lt;&gt;"",Y1128,X1128)</f>
        <v>3</v>
      </c>
      <c r="BU1128" s="55" t="str">
        <f aca="false">IF(BT1128=1,"L1",IF(OR(BT1128=2,BT1128=3),"L23",IF(BT1128="Aussen","Aussen","-")))</f>
        <v>L23</v>
      </c>
      <c r="BV1128" s="66" t="n">
        <f aca="false">IF(N(Z1128)&gt;0,Z1128,0)</f>
        <v>0</v>
      </c>
      <c r="BW1128" s="60" t="n">
        <f aca="false">IF(ISNUMBER(AC1128),1,0)</f>
        <v>0</v>
      </c>
      <c r="BX1128" s="57" t="n">
        <f aca="false">N(AC1128)</f>
        <v>0</v>
      </c>
      <c r="BY1128" s="57" t="n">
        <f aca="false">N(L1128)+N(M1128)</f>
        <v>1</v>
      </c>
      <c r="BZ1128" s="57" t="n">
        <f aca="false">ROUNDUP(G1128/BQ1128,0)</f>
        <v>0</v>
      </c>
      <c r="CA1128" s="57" t="n">
        <f aca="false">ROUNDUP(BX1128/BQ1128,0)</f>
        <v>0</v>
      </c>
      <c r="CB1128" s="60" t="n">
        <f aca="false">IF(BR1128=1,0,IFERROR(VLOOKUP(BP1128,'Gebinde-Kategorie'!$A$5:$M$45,5,0)+0,0))</f>
        <v>21</v>
      </c>
      <c r="CC1128" s="60" t="n">
        <f aca="false">IFERROR(IF(OR(BT1128=1,BT1128=2,BT1128=3),N(INDEX(Parameter!$I$5:$I$7,BT1128)),0),0)</f>
        <v>0</v>
      </c>
      <c r="CD1128" s="59" t="n">
        <f aca="false">IF(AND(Parameter!$B$21="Ja",ISNUMBER(U1128),N(V1128)&gt;0),IFERROR(N(INDEX(Parameter!$L$5:$L$7,U1128))*INDEX(Parameter!$E$5:$E$7,U1128)*V1128/SUMIFS($V$7:$V$1576,$U$7:$U$1576,U1128),0),0)</f>
        <v>0</v>
      </c>
    </row>
    <row r="1129" customFormat="false" ht="15" hidden="false" customHeight="false" outlineLevel="0" collapsed="false">
      <c r="A1129" s="55" t="s">
        <v>2031</v>
      </c>
      <c r="B1129" s="55" t="s">
        <v>2032</v>
      </c>
      <c r="C1129" s="55" t="s">
        <v>446</v>
      </c>
      <c r="D1129" s="55" t="s">
        <v>178</v>
      </c>
      <c r="E1129" s="55" t="s">
        <v>210</v>
      </c>
      <c r="F1129" s="56" t="n">
        <v>14.14</v>
      </c>
      <c r="G1129" s="57" t="n">
        <f aca="false">MAX(0,IF(AND(Parameter!$B$21="Ja",ISNUMBER(W1129)),W1129,IF(Parameter!$B$20="Jahresanfang 2025 + Export",BJ1129+BI1129,BI1129)))</f>
        <v>0</v>
      </c>
      <c r="H1129" s="57" t="n">
        <f aca="false">G1129*F1129</f>
        <v>0</v>
      </c>
      <c r="I1129" s="57" t="n">
        <f aca="false">BL1129*Parameter!$B$18</f>
        <v>18</v>
      </c>
      <c r="J1129" s="58" t="n">
        <v>18</v>
      </c>
      <c r="K1129" s="59" t="n">
        <v>1</v>
      </c>
      <c r="L1129" s="57" t="n">
        <v>2</v>
      </c>
      <c r="M1129" s="57" t="n">
        <v>20</v>
      </c>
      <c r="N1129" s="60" t="n">
        <v>56</v>
      </c>
      <c r="O1129" s="55" t="s">
        <v>163</v>
      </c>
      <c r="P1129" s="57"/>
      <c r="Q1129" s="60" t="n">
        <f aca="false">IF(BR1129=1,0,IFERROR(VLOOKUP(BP1129,'Gebinde-Kategorie'!$A$5:$M$45,13,0)+0,0))</f>
        <v>0</v>
      </c>
      <c r="R1129" s="61"/>
      <c r="S1129" s="62"/>
      <c r="T1129" s="62"/>
      <c r="U1129" s="55"/>
      <c r="V1129" s="57"/>
      <c r="W1129" s="57"/>
      <c r="X1129" s="55" t="n">
        <f aca="false">IF(A1129="","",IF(AND(Parameter!$B$21="Ja",ISNUMBER(U1129)),U1129,IF(IFERROR(VLOOKUP(D1129,Parameter!$A$35:$C$64,2,0),"Nein")="2+3",IF(ISNUMBER(SEARCH("grosser Artikel",BM1129)),2,IFERROR(VLOOKUP(BP1129,Parameter!$F$35:$G$64,2,0),2)),IF(OR(IFERROR(VLOOKUP(D1129,Parameter!$A$35:$C$64,2,0),"Nein")="Nein",IFERROR(VLOOKUP(D1129,Parameter!$A$35:$C$64,2,0),"Nein")=""),"-",VLOOKUP(D1129,Parameter!$A$35:$C$64,2,0)))))</f>
        <v>2</v>
      </c>
      <c r="Y1129" s="62"/>
      <c r="Z1129" s="63"/>
      <c r="AA1129" s="57" t="n">
        <f aca="false">AP1129</f>
        <v>22</v>
      </c>
      <c r="AB1129" s="57" t="n">
        <f aca="false">MAX(AP1129,G1129)</f>
        <v>22</v>
      </c>
      <c r="AC1129" s="64"/>
      <c r="AD1129" s="57" t="n">
        <f aca="false">IF(LEFT(Cockpit!$C$5,1)="A",G1129,IF(BW1129=1,BX1129,IF(LEFT(Cockpit!$C$5,1)="B",AH1129,MAX(AH1129,G1129))))</f>
        <v>0</v>
      </c>
      <c r="AE1129" s="57" t="n">
        <f aca="false">IF(BR1129=1,0,ROUNDUP(AD1129/BQ1129,0))</f>
        <v>0</v>
      </c>
      <c r="AF1129" s="59" t="n">
        <f aca="false">IF(CD1129&gt;0,CD1129*MAX(1,AD1129/V1129),IF(BR1129=1,IF(AD1129&lt;=0,0,BS1129*MAX(1,IF(G1129&gt;0,AD1129/G1129,1))),IF(Q1129&gt;0,AE1129/Q1129,0))/MAX(0.1,N(Parameter!$M$21)))</f>
        <v>0</v>
      </c>
      <c r="AG1129" s="57" t="n">
        <f aca="false">AD1129*F1129</f>
        <v>0</v>
      </c>
      <c r="AH1129" s="57" t="n">
        <f aca="false">ROUNDUP(MAX(I1129/IF(BV1129&gt;0,BV1129,MAX(0.1,N(Cockpit!$C$6))),BY1129)/BQ1129,0)*BQ1129</f>
        <v>22</v>
      </c>
      <c r="AI1129" s="58" t="n">
        <f aca="false">IF(AF1129&gt;0,I1129/AF1129,-1)</f>
        <v>-1</v>
      </c>
      <c r="AJ1129" s="58" t="str">
        <f aca="false">IF(AND(OR(BU1129="L1",BU1129="L23"),AF1129&gt;0),SUMIFS($AF$7:$AF$1576,$BU$7:$BU$1576,BU1129,$AI$7:$AI$1576,"&gt;"&amp;AI1129)+SUMIFS($AF$7:$AF$1576,$BU$7:$BU$1576,BU1129,$AI$7:$AI$1576,AI1129,$BO$7:$BO$1576,"&lt;="&amp;BO1129),"")</f>
        <v/>
      </c>
      <c r="AK1129" s="65" t="n">
        <f aca="false">IF(AJ1129="",0,MAX(0,MIN(1,(IF(BU1129="L1",Parameter!$E$5,Parameter!$E$6+Parameter!$E$7)-(AJ1129-AF1129))/AF1129)))</f>
        <v>0</v>
      </c>
      <c r="AL1129" s="57" t="n">
        <f aca="false">IF(LEFT(Cockpit!$I$5,1)="A",G1129,IF(BW1129=1,BX1129,IF(LEFT(Cockpit!$I$5,1)="B",AP1129,MAX(AP1129,G1129))))</f>
        <v>22</v>
      </c>
      <c r="AM1129" s="57" t="n">
        <f aca="false">IF(BR1129=1,0,ROUNDUP(AL1129/BQ1129,0))</f>
        <v>0</v>
      </c>
      <c r="AN1129" s="59" t="n">
        <f aca="false">IF(CD1129&gt;0,CD1129*MAX(1,AL1129/V1129),IF(BR1129=1,IF(AL1129&lt;=0,0,BS1129*MAX(1,IF(G1129&gt;0,AL1129/G1129,1))),IF(Q1129&gt;0,AM1129/Q1129,0))/MAX(0.1,N(Parameter!$M$21)))</f>
        <v>0.03</v>
      </c>
      <c r="AO1129" s="57" t="n">
        <f aca="false">AL1129*F1129</f>
        <v>311.08</v>
      </c>
      <c r="AP1129" s="57" t="n">
        <f aca="false">ROUNDUP(MAX(I1129/IF(BV1129&gt;0,BV1129,MAX(0.1,N(Cockpit!$I$6))),BY1129)/BQ1129,0)*BQ1129</f>
        <v>22</v>
      </c>
      <c r="AQ1129" s="58" t="n">
        <f aca="false">IF(AN1129&gt;0,I1129/AN1129,-1)</f>
        <v>600</v>
      </c>
      <c r="AR1129" s="58" t="n">
        <f aca="false">IF(AND(OR(BU1129="L1",BU1129="L23"),AN1129&gt;0),SUMIFS($AN$7:$AN$1576,$BU$7:$BU$1576,BU1129,$AQ$7:$AQ$1576,"&gt;"&amp;AQ1129)+SUMIFS($AN$7:$AN$1576,$BU$7:$BU$1576,BU1129,$AQ$7:$AQ$1576,AQ1129,$BO$7:$BO$1576,"&lt;="&amp;BO1129),"")</f>
        <v>30.9486148757999</v>
      </c>
      <c r="AS1129" s="65" t="n">
        <f aca="false">IF(AR1129="",0,MAX(0,MIN(1,(IF(BU1129="L1",Parameter!$E$5,Parameter!$E$6+Parameter!$E$7)-(AR1129-AN1129))/AN1129)))</f>
        <v>1</v>
      </c>
      <c r="AT1129" s="57" t="n">
        <f aca="false">IF(LEFT(Cockpit!$O$5,1)="A",G1129,IF(BW1129=1,BX1129,IF(LEFT(Cockpit!$O$5,1)="B",AX1129,MAX(AX1129,G1129))))</f>
        <v>22</v>
      </c>
      <c r="AU1129" s="57" t="n">
        <f aca="false">IF(BR1129=1,0,ROUNDUP(AT1129/BQ1129,0))</f>
        <v>0</v>
      </c>
      <c r="AV1129" s="59" t="n">
        <f aca="false">IF(CD1129&gt;0,CD1129*MAX(1,AT1129/V1129),IF(BR1129=1,IF(AT1129&lt;=0,0,BS1129*MAX(1,IF(G1129&gt;0,AT1129/G1129,1))),IF(Q1129&gt;0,AU1129/Q1129,0))/MAX(0.1,N(Parameter!$M$21)))</f>
        <v>0.03</v>
      </c>
      <c r="AW1129" s="57" t="n">
        <f aca="false">AT1129*F1129</f>
        <v>311.08</v>
      </c>
      <c r="AX1129" s="57" t="n">
        <f aca="false">ROUNDUP(MAX(I1129/IF(BV1129&gt;0,BV1129,MAX(0.1,N(Cockpit!$O$6))),BY1129)/BQ1129,0)*BQ1129</f>
        <v>22</v>
      </c>
      <c r="AY1129" s="58" t="n">
        <f aca="false">IF(AV1129&gt;0,I1129/AV1129,-1)</f>
        <v>600</v>
      </c>
      <c r="AZ1129" s="58" t="n">
        <f aca="false">IF(AND(OR(BU1129="L1",BU1129="L23"),AV1129&gt;0),SUMIFS($AV$7:$AV$1576,$BU$7:$BU$1576,BU1129,$AY$7:$AY$1576,"&gt;"&amp;AY1129)+SUMIFS($AV$7:$AV$1576,$BU$7:$BU$1576,BU1129,$AY$7:$AY$1576,AY1129,$BO$7:$BO$1576,"&lt;="&amp;BO1129),"")</f>
        <v>30.159916907102</v>
      </c>
      <c r="BA1129" s="65" t="n">
        <f aca="false">IF(AZ1129="",0,MAX(0,MIN(1,(IF(BU1129="L1",Parameter!$E$5,Parameter!$E$6+Parameter!$E$7)-(AZ1129-AV1129))/AV1129)))</f>
        <v>1</v>
      </c>
      <c r="BB1129" s="55" t="str">
        <f aca="false">IF(AF1129&lt;=0,"",IF(BU1129="Aussen","Aussenlager",IF(BU1129="-","Nicht im Lift",IF(AK1129&gt;=1,"Lift",IF(AK1129&lt;=0,"Aussenlager","teilweise")))))</f>
        <v/>
      </c>
      <c r="BC1129" s="55" t="str">
        <f aca="false">IF(AN1129&lt;=0,"",IF(BU1129="Aussen","Aussenlager",IF(BU1129="-","Nicht im Lift",IF(AS1129&gt;=1,"Lift",IF(AS1129&lt;=0,"Aussenlager","teilweise")))))</f>
        <v>Lift</v>
      </c>
      <c r="BD1129" s="55" t="str">
        <f aca="false">IF(AV1129&lt;=0,"",IF(BU1129="Aussen","Aussenlager",IF(BU1129="-","Nicht im Lift",IF(BA1129&gt;=1,"Lift",IF(BA1129&lt;=0,"Aussenlager","teilweise")))))</f>
        <v>Lift</v>
      </c>
      <c r="BE1129" s="55" t="str">
        <f aca="false">IF(A1129="","",IF(BN1129=1,"Neu; ","")&amp;IF(AND(BN1129=0,BI1129&lt;0),"negativer Bestand (Export "&amp;BI1129&amp;"); ","")&amp;IF(I1129&lt;=0,"Kein Verbrauch; ","")&amp;IF(CD1129&gt;0,"Lift "&amp;U1129&amp;" lt. Liftbericht (Fach "&amp;V1129&amp;" Stk); ",IF(BR1129=1,"Lose – Fläche geschätzt; ",""))&amp;IF(G1129&gt;AP1129,"Überbestand "&amp;ROUND(G1129-AP1129,0)&amp;" Stk / CHF "&amp;ROUND((G1129-AP1129)*F1129,0)&amp;"; ","")&amp;IF(AND(BW1129=1,BX1129&lt;BY1129),"MAX &lt; MB+LG; ","")&amp;IF(AND(CC1129&gt;0,CB1129*10&gt;CC1129),"zu hoch für Tablar; ","")&amp;IF(AND(BN1129=0,OR(BW1129=1,Y1129&lt;&gt;"",S1129&lt;&gt;"",T1129&lt;&gt;"",Z1129&lt;&gt;"")),"manuell übersteuert; ","")&amp;IF(AND(BR1129=0,Q1129=0),"Gebinde unbekannt / Stellmass fehlt; ","")&amp;IF(AND(BR1129=0,N(T1129)&lt;=0,N(P1129)&lt;=0),"Menge pro Gebinde fehlt (Ist = 1 Gebinde); ","")&amp;BM1129)</f>
        <v>negativer Bestand (Export -18); Lose – Fläche geschätzt; </v>
      </c>
      <c r="BF1129" s="55"/>
      <c r="BG1129" s="55"/>
      <c r="BH1129" s="62"/>
      <c r="BI1129" s="57" t="n">
        <v>-18</v>
      </c>
      <c r="BJ1129" s="57" t="n">
        <v>36</v>
      </c>
      <c r="BK1129" s="56" t="n">
        <v>-254.52</v>
      </c>
      <c r="BL1129" s="57" t="n">
        <v>18</v>
      </c>
      <c r="BM1129" s="55"/>
      <c r="BN1129" s="60" t="n">
        <v>0</v>
      </c>
      <c r="BO1129" s="60" t="n">
        <v>1129</v>
      </c>
      <c r="BP1129" s="55" t="str">
        <f aca="false">IF(S1129&lt;&gt;"",UPPER(TRIM(S1129)),IF(O1129="","LOSE",O1129))</f>
        <v>LOSE</v>
      </c>
      <c r="BQ1129" s="57" t="n">
        <f aca="false">IF(BP1129="LOSE",1,IF(N(T1129)&gt;0,T1129,IF(N(P1129)&gt;0,P1129,MAX(1,G1129))))</f>
        <v>1</v>
      </c>
      <c r="BR1129" s="60" t="n">
        <f aca="false">IF(BP1129="LOSE",1,0)</f>
        <v>1</v>
      </c>
      <c r="BS1129" s="59" t="n">
        <f aca="false">IF(BR1129=0,0,IF(N(R1129)&gt;0,R1129,IFERROR(VLOOKUP(D1129,Parameter!$A$35:$C$64,3,0)+0,0)))</f>
        <v>0.03</v>
      </c>
      <c r="BT1129" s="55" t="n">
        <f aca="false">IF(Y1129&lt;&gt;"",Y1129,X1129)</f>
        <v>2</v>
      </c>
      <c r="BU1129" s="55" t="str">
        <f aca="false">IF(BT1129=1,"L1",IF(OR(BT1129=2,BT1129=3),"L23",IF(BT1129="Aussen","Aussen","-")))</f>
        <v>L23</v>
      </c>
      <c r="BV1129" s="66" t="n">
        <f aca="false">IF(N(Z1129)&gt;0,Z1129,0)</f>
        <v>0</v>
      </c>
      <c r="BW1129" s="60" t="n">
        <f aca="false">IF(ISNUMBER(AC1129),1,0)</f>
        <v>0</v>
      </c>
      <c r="BX1129" s="57" t="n">
        <f aca="false">N(AC1129)</f>
        <v>0</v>
      </c>
      <c r="BY1129" s="57" t="n">
        <f aca="false">N(L1129)+N(M1129)</f>
        <v>22</v>
      </c>
      <c r="BZ1129" s="57" t="n">
        <f aca="false">ROUNDUP(G1129/BQ1129,0)</f>
        <v>0</v>
      </c>
      <c r="CA1129" s="57" t="n">
        <f aca="false">ROUNDUP(BX1129/BQ1129,0)</f>
        <v>0</v>
      </c>
      <c r="CB1129" s="60" t="n">
        <f aca="false">IF(BR1129=1,0,IFERROR(VLOOKUP(BP1129,'Gebinde-Kategorie'!$A$5:$M$45,5,0)+0,0))</f>
        <v>0</v>
      </c>
      <c r="CC1129" s="60" t="n">
        <f aca="false">IFERROR(IF(OR(BT1129=1,BT1129=2,BT1129=3),N(INDEX(Parameter!$I$5:$I$7,BT1129)),0),0)</f>
        <v>0</v>
      </c>
      <c r="CD1129" s="59" t="n">
        <f aca="false">IF(AND(Parameter!$B$21="Ja",ISNUMBER(U1129),N(V1129)&gt;0),IFERROR(N(INDEX(Parameter!$L$5:$L$7,U1129))*INDEX(Parameter!$E$5:$E$7,U1129)*V1129/SUMIFS($V$7:$V$1576,$U$7:$U$1576,U1129),0),0)</f>
        <v>0</v>
      </c>
    </row>
    <row r="1130" customFormat="false" ht="15" hidden="false" customHeight="false" outlineLevel="0" collapsed="false">
      <c r="A1130" s="55" t="s">
        <v>2033</v>
      </c>
      <c r="B1130" s="55" t="s">
        <v>2034</v>
      </c>
      <c r="C1130" s="55" t="s">
        <v>446</v>
      </c>
      <c r="D1130" s="55" t="s">
        <v>178</v>
      </c>
      <c r="E1130" s="55" t="s">
        <v>210</v>
      </c>
      <c r="F1130" s="56" t="n">
        <v>31.9</v>
      </c>
      <c r="G1130" s="57" t="n">
        <f aca="false">MAX(0,IF(AND(Parameter!$B$21="Ja",ISNUMBER(W1130)),W1130,IF(Parameter!$B$20="Jahresanfang 2025 + Export",BJ1130+BI1130,BI1130)))</f>
        <v>0</v>
      </c>
      <c r="H1130" s="57" t="n">
        <f aca="false">G1130*F1130</f>
        <v>0</v>
      </c>
      <c r="I1130" s="57" t="n">
        <f aca="false">BL1130*Parameter!$B$18</f>
        <v>8</v>
      </c>
      <c r="J1130" s="58" t="n">
        <v>8</v>
      </c>
      <c r="K1130" s="59" t="n">
        <v>1</v>
      </c>
      <c r="L1130" s="57" t="n">
        <v>0</v>
      </c>
      <c r="M1130" s="57" t="n">
        <v>10</v>
      </c>
      <c r="N1130" s="60" t="n">
        <v>21</v>
      </c>
      <c r="O1130" s="55" t="s">
        <v>163</v>
      </c>
      <c r="P1130" s="57"/>
      <c r="Q1130" s="60" t="n">
        <f aca="false">IF(BR1130=1,0,IFERROR(VLOOKUP(BP1130,'Gebinde-Kategorie'!$A$5:$M$45,13,0)+0,0))</f>
        <v>0</v>
      </c>
      <c r="R1130" s="61"/>
      <c r="S1130" s="62"/>
      <c r="T1130" s="62"/>
      <c r="U1130" s="55"/>
      <c r="V1130" s="57"/>
      <c r="W1130" s="57"/>
      <c r="X1130" s="55" t="n">
        <f aca="false">IF(A1130="","",IF(AND(Parameter!$B$21="Ja",ISNUMBER(U1130)),U1130,IF(IFERROR(VLOOKUP(D1130,Parameter!$A$35:$C$64,2,0),"Nein")="2+3",IF(ISNUMBER(SEARCH("grosser Artikel",BM1130)),2,IFERROR(VLOOKUP(BP1130,Parameter!$F$35:$G$64,2,0),2)),IF(OR(IFERROR(VLOOKUP(D1130,Parameter!$A$35:$C$64,2,0),"Nein")="Nein",IFERROR(VLOOKUP(D1130,Parameter!$A$35:$C$64,2,0),"Nein")=""),"-",VLOOKUP(D1130,Parameter!$A$35:$C$64,2,0)))))</f>
        <v>2</v>
      </c>
      <c r="Y1130" s="62"/>
      <c r="Z1130" s="63"/>
      <c r="AA1130" s="57" t="n">
        <f aca="false">AP1130</f>
        <v>10</v>
      </c>
      <c r="AB1130" s="57" t="n">
        <f aca="false">MAX(AP1130,G1130)</f>
        <v>10</v>
      </c>
      <c r="AC1130" s="64"/>
      <c r="AD1130" s="57" t="n">
        <f aca="false">IF(LEFT(Cockpit!$C$5,1)="A",G1130,IF(BW1130=1,BX1130,IF(LEFT(Cockpit!$C$5,1)="B",AH1130,MAX(AH1130,G1130))))</f>
        <v>0</v>
      </c>
      <c r="AE1130" s="57" t="n">
        <f aca="false">IF(BR1130=1,0,ROUNDUP(AD1130/BQ1130,0))</f>
        <v>0</v>
      </c>
      <c r="AF1130" s="59" t="n">
        <f aca="false">IF(CD1130&gt;0,CD1130*MAX(1,AD1130/V1130),IF(BR1130=1,IF(AD1130&lt;=0,0,BS1130*MAX(1,IF(G1130&gt;0,AD1130/G1130,1))),IF(Q1130&gt;0,AE1130/Q1130,0))/MAX(0.1,N(Parameter!$M$21)))</f>
        <v>0</v>
      </c>
      <c r="AG1130" s="57" t="n">
        <f aca="false">AD1130*F1130</f>
        <v>0</v>
      </c>
      <c r="AH1130" s="57" t="n">
        <f aca="false">ROUNDUP(MAX(I1130/IF(BV1130&gt;0,BV1130,MAX(0.1,N(Cockpit!$C$6))),BY1130)/BQ1130,0)*BQ1130</f>
        <v>10</v>
      </c>
      <c r="AI1130" s="58" t="n">
        <f aca="false">IF(AF1130&gt;0,I1130/AF1130,-1)</f>
        <v>-1</v>
      </c>
      <c r="AJ1130" s="58" t="str">
        <f aca="false">IF(AND(OR(BU1130="L1",BU1130="L23"),AF1130&gt;0),SUMIFS($AF$7:$AF$1576,$BU$7:$BU$1576,BU1130,$AI$7:$AI$1576,"&gt;"&amp;AI1130)+SUMIFS($AF$7:$AF$1576,$BU$7:$BU$1576,BU1130,$AI$7:$AI$1576,AI1130,$BO$7:$BO$1576,"&lt;="&amp;BO1130),"")</f>
        <v/>
      </c>
      <c r="AK1130" s="65" t="n">
        <f aca="false">IF(AJ1130="",0,MAX(0,MIN(1,(IF(BU1130="L1",Parameter!$E$5,Parameter!$E$6+Parameter!$E$7)-(AJ1130-AF1130))/AF1130)))</f>
        <v>0</v>
      </c>
      <c r="AL1130" s="57" t="n">
        <f aca="false">IF(LEFT(Cockpit!$I$5,1)="A",G1130,IF(BW1130=1,BX1130,IF(LEFT(Cockpit!$I$5,1)="B",AP1130,MAX(AP1130,G1130))))</f>
        <v>10</v>
      </c>
      <c r="AM1130" s="57" t="n">
        <f aca="false">IF(BR1130=1,0,ROUNDUP(AL1130/BQ1130,0))</f>
        <v>0</v>
      </c>
      <c r="AN1130" s="59" t="n">
        <f aca="false">IF(CD1130&gt;0,CD1130*MAX(1,AL1130/V1130),IF(BR1130=1,IF(AL1130&lt;=0,0,BS1130*MAX(1,IF(G1130&gt;0,AL1130/G1130,1))),IF(Q1130&gt;0,AM1130/Q1130,0))/MAX(0.1,N(Parameter!$M$21)))</f>
        <v>0.03</v>
      </c>
      <c r="AO1130" s="57" t="n">
        <f aca="false">AL1130*F1130</f>
        <v>319</v>
      </c>
      <c r="AP1130" s="57" t="n">
        <f aca="false">ROUNDUP(MAX(I1130/IF(BV1130&gt;0,BV1130,MAX(0.1,N(Cockpit!$I$6))),BY1130)/BQ1130,0)*BQ1130</f>
        <v>10</v>
      </c>
      <c r="AQ1130" s="58" t="n">
        <f aca="false">IF(AN1130&gt;0,I1130/AN1130,-1)</f>
        <v>266.666666666667</v>
      </c>
      <c r="AR1130" s="58" t="n">
        <f aca="false">IF(AND(OR(BU1130="L1",BU1130="L23"),AN1130&gt;0),SUMIFS($AN$7:$AN$1576,$BU$7:$BU$1576,BU1130,$AQ$7:$AQ$1576,"&gt;"&amp;AQ1130)+SUMIFS($AN$7:$AN$1576,$BU$7:$BU$1576,BU1130,$AQ$7:$AQ$1576,AQ1130,$BO$7:$BO$1576,"&lt;="&amp;BO1130),"")</f>
        <v>45.1839990568363</v>
      </c>
      <c r="AS1130" s="65" t="n">
        <f aca="false">IF(AR1130="",0,MAX(0,MIN(1,(IF(BU1130="L1",Parameter!$E$5,Parameter!$E$6+Parameter!$E$7)-(AR1130-AN1130))/AN1130)))</f>
        <v>1</v>
      </c>
      <c r="AT1130" s="57" t="n">
        <f aca="false">IF(LEFT(Cockpit!$O$5,1)="A",G1130,IF(BW1130=1,BX1130,IF(LEFT(Cockpit!$O$5,1)="B",AX1130,MAX(AX1130,G1130))))</f>
        <v>10</v>
      </c>
      <c r="AU1130" s="57" t="n">
        <f aca="false">IF(BR1130=1,0,ROUNDUP(AT1130/BQ1130,0))</f>
        <v>0</v>
      </c>
      <c r="AV1130" s="59" t="n">
        <f aca="false">IF(CD1130&gt;0,CD1130*MAX(1,AT1130/V1130),IF(BR1130=1,IF(AT1130&lt;=0,0,BS1130*MAX(1,IF(G1130&gt;0,AT1130/G1130,1))),IF(Q1130&gt;0,AU1130/Q1130,0))/MAX(0.1,N(Parameter!$M$21)))</f>
        <v>0.03</v>
      </c>
      <c r="AW1130" s="57" t="n">
        <f aca="false">AT1130*F1130</f>
        <v>319</v>
      </c>
      <c r="AX1130" s="57" t="n">
        <f aca="false">ROUNDUP(MAX(I1130/IF(BV1130&gt;0,BV1130,MAX(0.1,N(Cockpit!$O$6))),BY1130)/BQ1130,0)*BQ1130</f>
        <v>10</v>
      </c>
      <c r="AY1130" s="58" t="n">
        <f aca="false">IF(AV1130&gt;0,I1130/AV1130,-1)</f>
        <v>266.666666666667</v>
      </c>
      <c r="AZ1130" s="58" t="n">
        <f aca="false">IF(AND(OR(BU1130="L1",BU1130="L23"),AV1130&gt;0),SUMIFS($AV$7:$AV$1576,$BU$7:$BU$1576,BU1130,$AY$7:$AY$1576,"&gt;"&amp;AY1130)+SUMIFS($AV$7:$AV$1576,$BU$7:$BU$1576,BU1130,$AY$7:$AY$1576,AY1130,$BO$7:$BO$1576,"&lt;="&amp;BO1130),"")</f>
        <v>41.4620776449149</v>
      </c>
      <c r="BA1130" s="65" t="n">
        <f aca="false">IF(AZ1130="",0,MAX(0,MIN(1,(IF(BU1130="L1",Parameter!$E$5,Parameter!$E$6+Parameter!$E$7)-(AZ1130-AV1130))/AV1130)))</f>
        <v>1</v>
      </c>
      <c r="BB1130" s="55" t="str">
        <f aca="false">IF(AF1130&lt;=0,"",IF(BU1130="Aussen","Aussenlager",IF(BU1130="-","Nicht im Lift",IF(AK1130&gt;=1,"Lift",IF(AK1130&lt;=0,"Aussenlager","teilweise")))))</f>
        <v/>
      </c>
      <c r="BC1130" s="55" t="str">
        <f aca="false">IF(AN1130&lt;=0,"",IF(BU1130="Aussen","Aussenlager",IF(BU1130="-","Nicht im Lift",IF(AS1130&gt;=1,"Lift",IF(AS1130&lt;=0,"Aussenlager","teilweise")))))</f>
        <v>Lift</v>
      </c>
      <c r="BD1130" s="55" t="str">
        <f aca="false">IF(AV1130&lt;=0,"",IF(BU1130="Aussen","Aussenlager",IF(BU1130="-","Nicht im Lift",IF(BA1130&gt;=1,"Lift",IF(BA1130&lt;=0,"Aussenlager","teilweise")))))</f>
        <v>Lift</v>
      </c>
      <c r="BE1130" s="55" t="str">
        <f aca="false">IF(A1130="","",IF(BN1130=1,"Neu; ","")&amp;IF(AND(BN1130=0,BI1130&lt;0),"negativer Bestand (Export "&amp;BI1130&amp;"); ","")&amp;IF(I1130&lt;=0,"Kein Verbrauch; ","")&amp;IF(CD1130&gt;0,"Lift "&amp;U1130&amp;" lt. Liftbericht (Fach "&amp;V1130&amp;" Stk); ",IF(BR1130=1,"Lose – Fläche geschätzt; ",""))&amp;IF(G1130&gt;AP1130,"Überbestand "&amp;ROUND(G1130-AP1130,0)&amp;" Stk / CHF "&amp;ROUND((G1130-AP1130)*F1130,0)&amp;"; ","")&amp;IF(AND(BW1130=1,BX1130&lt;BY1130),"MAX &lt; MB+LG; ","")&amp;IF(AND(CC1130&gt;0,CB1130*10&gt;CC1130),"zu hoch für Tablar; ","")&amp;IF(AND(BN1130=0,OR(BW1130=1,Y1130&lt;&gt;"",S1130&lt;&gt;"",T1130&lt;&gt;"",Z1130&lt;&gt;"")),"manuell übersteuert; ","")&amp;IF(AND(BR1130=0,Q1130=0),"Gebinde unbekannt / Stellmass fehlt; ","")&amp;IF(AND(BR1130=0,N(T1130)&lt;=0,N(P1130)&lt;=0),"Menge pro Gebinde fehlt (Ist = 1 Gebinde); ","")&amp;BM1130)</f>
        <v>negativer Bestand (Export -8); Lose – Fläche geschätzt; </v>
      </c>
      <c r="BF1130" s="55"/>
      <c r="BG1130" s="55"/>
      <c r="BH1130" s="62"/>
      <c r="BI1130" s="57" t="n">
        <v>-8</v>
      </c>
      <c r="BJ1130" s="57" t="n">
        <v>16</v>
      </c>
      <c r="BK1130" s="56" t="n">
        <v>-255.2</v>
      </c>
      <c r="BL1130" s="57" t="n">
        <v>8</v>
      </c>
      <c r="BM1130" s="55"/>
      <c r="BN1130" s="60" t="n">
        <v>0</v>
      </c>
      <c r="BO1130" s="60" t="n">
        <v>1130</v>
      </c>
      <c r="BP1130" s="55" t="str">
        <f aca="false">IF(S1130&lt;&gt;"",UPPER(TRIM(S1130)),IF(O1130="","LOSE",O1130))</f>
        <v>LOSE</v>
      </c>
      <c r="BQ1130" s="57" t="n">
        <f aca="false">IF(BP1130="LOSE",1,IF(N(T1130)&gt;0,T1130,IF(N(P1130)&gt;0,P1130,MAX(1,G1130))))</f>
        <v>1</v>
      </c>
      <c r="BR1130" s="60" t="n">
        <f aca="false">IF(BP1130="LOSE",1,0)</f>
        <v>1</v>
      </c>
      <c r="BS1130" s="59" t="n">
        <f aca="false">IF(BR1130=0,0,IF(N(R1130)&gt;0,R1130,IFERROR(VLOOKUP(D1130,Parameter!$A$35:$C$64,3,0)+0,0)))</f>
        <v>0.03</v>
      </c>
      <c r="BT1130" s="55" t="n">
        <f aca="false">IF(Y1130&lt;&gt;"",Y1130,X1130)</f>
        <v>2</v>
      </c>
      <c r="BU1130" s="55" t="str">
        <f aca="false">IF(BT1130=1,"L1",IF(OR(BT1130=2,BT1130=3),"L23",IF(BT1130="Aussen","Aussen","-")))</f>
        <v>L23</v>
      </c>
      <c r="BV1130" s="66" t="n">
        <f aca="false">IF(N(Z1130)&gt;0,Z1130,0)</f>
        <v>0</v>
      </c>
      <c r="BW1130" s="60" t="n">
        <f aca="false">IF(ISNUMBER(AC1130),1,0)</f>
        <v>0</v>
      </c>
      <c r="BX1130" s="57" t="n">
        <f aca="false">N(AC1130)</f>
        <v>0</v>
      </c>
      <c r="BY1130" s="57" t="n">
        <f aca="false">N(L1130)+N(M1130)</f>
        <v>10</v>
      </c>
      <c r="BZ1130" s="57" t="n">
        <f aca="false">ROUNDUP(G1130/BQ1130,0)</f>
        <v>0</v>
      </c>
      <c r="CA1130" s="57" t="n">
        <f aca="false">ROUNDUP(BX1130/BQ1130,0)</f>
        <v>0</v>
      </c>
      <c r="CB1130" s="60" t="n">
        <f aca="false">IF(BR1130=1,0,IFERROR(VLOOKUP(BP1130,'Gebinde-Kategorie'!$A$5:$M$45,5,0)+0,0))</f>
        <v>0</v>
      </c>
      <c r="CC1130" s="60" t="n">
        <f aca="false">IFERROR(IF(OR(BT1130=1,BT1130=2,BT1130=3),N(INDEX(Parameter!$I$5:$I$7,BT1130)),0),0)</f>
        <v>0</v>
      </c>
      <c r="CD1130" s="59" t="n">
        <f aca="false">IF(AND(Parameter!$B$21="Ja",ISNUMBER(U1130),N(V1130)&gt;0),IFERROR(N(INDEX(Parameter!$L$5:$L$7,U1130))*INDEX(Parameter!$E$5:$E$7,U1130)*V1130/SUMIFS($V$7:$V$1576,$U$7:$U$1576,U1130),0),0)</f>
        <v>0</v>
      </c>
    </row>
    <row r="1131" customFormat="false" ht="15" hidden="false" customHeight="false" outlineLevel="0" collapsed="false">
      <c r="A1131" s="55" t="s">
        <v>2035</v>
      </c>
      <c r="B1131" s="55" t="s">
        <v>288</v>
      </c>
      <c r="C1131" s="55" t="s">
        <v>160</v>
      </c>
      <c r="D1131" s="55" t="s">
        <v>168</v>
      </c>
      <c r="E1131" s="55" t="s">
        <v>210</v>
      </c>
      <c r="F1131" s="56" t="n">
        <v>257.72</v>
      </c>
      <c r="G1131" s="57" t="n">
        <f aca="false">MAX(0,IF(AND(Parameter!$B$21="Ja",ISNUMBER(W1131)),W1131,IF(Parameter!$B$20="Jahresanfang 2025 + Export",BJ1131+BI1131,BI1131)))</f>
        <v>0</v>
      </c>
      <c r="H1131" s="57" t="n">
        <f aca="false">G1131*F1131</f>
        <v>0</v>
      </c>
      <c r="I1131" s="57" t="n">
        <f aca="false">BL1131*Parameter!$B$18</f>
        <v>0</v>
      </c>
      <c r="J1131" s="58" t="n">
        <v>0.5</v>
      </c>
      <c r="K1131" s="59" t="n">
        <v>0</v>
      </c>
      <c r="L1131" s="57" t="n">
        <v>0</v>
      </c>
      <c r="M1131" s="57" t="n">
        <v>1</v>
      </c>
      <c r="N1131" s="60" t="n">
        <v>70</v>
      </c>
      <c r="O1131" s="55" t="s">
        <v>163</v>
      </c>
      <c r="P1131" s="57"/>
      <c r="Q1131" s="60" t="n">
        <f aca="false">IF(BR1131=1,0,IFERROR(VLOOKUP(BP1131,'Gebinde-Kategorie'!$A$5:$M$45,13,0)+0,0))</f>
        <v>0</v>
      </c>
      <c r="R1131" s="61"/>
      <c r="S1131" s="62"/>
      <c r="T1131" s="62"/>
      <c r="U1131" s="55"/>
      <c r="V1131" s="57"/>
      <c r="W1131" s="57"/>
      <c r="X1131" s="55" t="n">
        <f aca="false">IF(A1131="","",IF(AND(Parameter!$B$21="Ja",ISNUMBER(U1131)),U1131,IF(IFERROR(VLOOKUP(D1131,Parameter!$A$35:$C$64,2,0),"Nein")="2+3",IF(ISNUMBER(SEARCH("grosser Artikel",BM1131)),2,IFERROR(VLOOKUP(BP1131,Parameter!$F$35:$G$64,2,0),2)),IF(OR(IFERROR(VLOOKUP(D1131,Parameter!$A$35:$C$64,2,0),"Nein")="Nein",IFERROR(VLOOKUP(D1131,Parameter!$A$35:$C$64,2,0),"Nein")=""),"-",VLOOKUP(D1131,Parameter!$A$35:$C$64,2,0)))))</f>
        <v>2</v>
      </c>
      <c r="Y1131" s="62"/>
      <c r="Z1131" s="63"/>
      <c r="AA1131" s="57" t="n">
        <f aca="false">AP1131</f>
        <v>1</v>
      </c>
      <c r="AB1131" s="57" t="n">
        <f aca="false">MAX(AP1131,G1131)</f>
        <v>1</v>
      </c>
      <c r="AC1131" s="64"/>
      <c r="AD1131" s="57" t="n">
        <f aca="false">IF(LEFT(Cockpit!$C$5,1)="A",G1131,IF(BW1131=1,BX1131,IF(LEFT(Cockpit!$C$5,1)="B",AH1131,MAX(AH1131,G1131))))</f>
        <v>0</v>
      </c>
      <c r="AE1131" s="57" t="n">
        <f aca="false">IF(BR1131=1,0,ROUNDUP(AD1131/BQ1131,0))</f>
        <v>0</v>
      </c>
      <c r="AF1131" s="59" t="n">
        <f aca="false">IF(CD1131&gt;0,CD1131*MAX(1,AD1131/V1131),IF(BR1131=1,IF(AD1131&lt;=0,0,BS1131*MAX(1,IF(G1131&gt;0,AD1131/G1131,1))),IF(Q1131&gt;0,AE1131/Q1131,0))/MAX(0.1,N(Parameter!$M$21)))</f>
        <v>0</v>
      </c>
      <c r="AG1131" s="57" t="n">
        <f aca="false">AD1131*F1131</f>
        <v>0</v>
      </c>
      <c r="AH1131" s="57" t="n">
        <f aca="false">ROUNDUP(MAX(I1131/IF(BV1131&gt;0,BV1131,MAX(0.1,N(Cockpit!$C$6))),BY1131)/BQ1131,0)*BQ1131</f>
        <v>1</v>
      </c>
      <c r="AI1131" s="58" t="n">
        <f aca="false">IF(AF1131&gt;0,I1131/AF1131,-1)</f>
        <v>-1</v>
      </c>
      <c r="AJ1131" s="58" t="str">
        <f aca="false">IF(AND(OR(BU1131="L1",BU1131="L23"),AF1131&gt;0),SUMIFS($AF$7:$AF$1576,$BU$7:$BU$1576,BU1131,$AI$7:$AI$1576,"&gt;"&amp;AI1131)+SUMIFS($AF$7:$AF$1576,$BU$7:$BU$1576,BU1131,$AI$7:$AI$1576,AI1131,$BO$7:$BO$1576,"&lt;="&amp;BO1131),"")</f>
        <v/>
      </c>
      <c r="AK1131" s="65" t="n">
        <f aca="false">IF(AJ1131="",0,MAX(0,MIN(1,(IF(BU1131="L1",Parameter!$E$5,Parameter!$E$6+Parameter!$E$7)-(AJ1131-AF1131))/AF1131)))</f>
        <v>0</v>
      </c>
      <c r="AL1131" s="57" t="n">
        <f aca="false">IF(LEFT(Cockpit!$I$5,1)="A",G1131,IF(BW1131=1,BX1131,IF(LEFT(Cockpit!$I$5,1)="B",AP1131,MAX(AP1131,G1131))))</f>
        <v>1</v>
      </c>
      <c r="AM1131" s="57" t="n">
        <f aca="false">IF(BR1131=1,0,ROUNDUP(AL1131/BQ1131,0))</f>
        <v>0</v>
      </c>
      <c r="AN1131" s="59" t="n">
        <f aca="false">IF(CD1131&gt;0,CD1131*MAX(1,AL1131/V1131),IF(BR1131=1,IF(AL1131&lt;=0,0,BS1131*MAX(1,IF(G1131&gt;0,AL1131/G1131,1))),IF(Q1131&gt;0,AM1131/Q1131,0))/MAX(0.1,N(Parameter!$M$21)))</f>
        <v>0.15</v>
      </c>
      <c r="AO1131" s="57" t="n">
        <f aca="false">AL1131*F1131</f>
        <v>257.72</v>
      </c>
      <c r="AP1131" s="57" t="n">
        <f aca="false">ROUNDUP(MAX(I1131/IF(BV1131&gt;0,BV1131,MAX(0.1,N(Cockpit!$I$6))),BY1131)/BQ1131,0)*BQ1131</f>
        <v>1</v>
      </c>
      <c r="AQ1131" s="58" t="n">
        <f aca="false">IF(AN1131&gt;0,I1131/AN1131,-1)</f>
        <v>0</v>
      </c>
      <c r="AR1131" s="58" t="n">
        <f aca="false">IF(AND(OR(BU1131="L1",BU1131="L23"),AN1131&gt;0),SUMIFS($AN$7:$AN$1576,$BU$7:$BU$1576,BU1131,$AQ$7:$AQ$1576,"&gt;"&amp;AQ1131)+SUMIFS($AN$7:$AN$1576,$BU$7:$BU$1576,BU1131,$AQ$7:$AQ$1576,AQ1131,$BO$7:$BO$1576,"&lt;="&amp;BO1131),"")</f>
        <v>134.056461678466</v>
      </c>
      <c r="AS1131" s="65" t="n">
        <f aca="false">IF(AR1131="",0,MAX(0,MIN(1,(IF(BU1131="L1",Parameter!$E$5,Parameter!$E$6+Parameter!$E$7)-(AR1131-AN1131))/AN1131)))</f>
        <v>0</v>
      </c>
      <c r="AT1131" s="57" t="n">
        <f aca="false">IF(LEFT(Cockpit!$O$5,1)="A",G1131,IF(BW1131=1,BX1131,IF(LEFT(Cockpit!$O$5,1)="B",AX1131,MAX(AX1131,G1131))))</f>
        <v>1</v>
      </c>
      <c r="AU1131" s="57" t="n">
        <f aca="false">IF(BR1131=1,0,ROUNDUP(AT1131/BQ1131,0))</f>
        <v>0</v>
      </c>
      <c r="AV1131" s="59" t="n">
        <f aca="false">IF(CD1131&gt;0,CD1131*MAX(1,AT1131/V1131),IF(BR1131=1,IF(AT1131&lt;=0,0,BS1131*MAX(1,IF(G1131&gt;0,AT1131/G1131,1))),IF(Q1131&gt;0,AU1131/Q1131,0))/MAX(0.1,N(Parameter!$M$21)))</f>
        <v>0.15</v>
      </c>
      <c r="AW1131" s="57" t="n">
        <f aca="false">AT1131*F1131</f>
        <v>257.72</v>
      </c>
      <c r="AX1131" s="57" t="n">
        <f aca="false">ROUNDUP(MAX(I1131/IF(BV1131&gt;0,BV1131,MAX(0.1,N(Cockpit!$O$6))),BY1131)/BQ1131,0)*BQ1131</f>
        <v>1</v>
      </c>
      <c r="AY1131" s="58" t="n">
        <f aca="false">IF(AV1131&gt;0,I1131/AV1131,-1)</f>
        <v>0</v>
      </c>
      <c r="AZ1131" s="58" t="n">
        <f aca="false">IF(AND(OR(BU1131="L1",BU1131="L23"),AV1131&gt;0),SUMIFS($AV$7:$AV$1576,$BU$7:$BU$1576,BU1131,$AY$7:$AY$1576,"&gt;"&amp;AY1131)+SUMIFS($AV$7:$AV$1576,$BU$7:$BU$1576,BU1131,$AY$7:$AY$1576,AY1131,$BO$7:$BO$1576,"&lt;="&amp;BO1131),"")</f>
        <v>124.116012128016</v>
      </c>
      <c r="BA1131" s="65" t="n">
        <f aca="false">IF(AZ1131="",0,MAX(0,MIN(1,(IF(BU1131="L1",Parameter!$E$5,Parameter!$E$6+Parameter!$E$7)-(AZ1131-AV1131))/AV1131)))</f>
        <v>0</v>
      </c>
      <c r="BB1131" s="55" t="str">
        <f aca="false">IF(AF1131&lt;=0,"",IF(BU1131="Aussen","Aussenlager",IF(BU1131="-","Nicht im Lift",IF(AK1131&gt;=1,"Lift",IF(AK1131&lt;=0,"Aussenlager","teilweise")))))</f>
        <v/>
      </c>
      <c r="BC1131" s="55" t="str">
        <f aca="false">IF(AN1131&lt;=0,"",IF(BU1131="Aussen","Aussenlager",IF(BU1131="-","Nicht im Lift",IF(AS1131&gt;=1,"Lift",IF(AS1131&lt;=0,"Aussenlager","teilweise")))))</f>
        <v>Aussenlager</v>
      </c>
      <c r="BD1131" s="55" t="str">
        <f aca="false">IF(AV1131&lt;=0,"",IF(BU1131="Aussen","Aussenlager",IF(BU1131="-","Nicht im Lift",IF(BA1131&gt;=1,"Lift",IF(BA1131&lt;=0,"Aussenlager","teilweise")))))</f>
        <v>Aussenlager</v>
      </c>
      <c r="BE1131" s="55" t="str">
        <f aca="false">IF(A1131="","",IF(BN1131=1,"Neu; ","")&amp;IF(AND(BN1131=0,BI1131&lt;0),"negativer Bestand (Export "&amp;BI1131&amp;"); ","")&amp;IF(I1131&lt;=0,"Kein Verbrauch; ","")&amp;IF(CD1131&gt;0,"Lift "&amp;U1131&amp;" lt. Liftbericht (Fach "&amp;V1131&amp;" Stk); ",IF(BR1131=1,"Lose – Fläche geschätzt; ",""))&amp;IF(G1131&gt;AP1131,"Überbestand "&amp;ROUND(G1131-AP1131,0)&amp;" Stk / CHF "&amp;ROUND((G1131-AP1131)*F1131,0)&amp;"; ","")&amp;IF(AND(BW1131=1,BX1131&lt;BY1131),"MAX &lt; MB+LG; ","")&amp;IF(AND(CC1131&gt;0,CB1131*10&gt;CC1131),"zu hoch für Tablar; ","")&amp;IF(AND(BN1131=0,OR(BW1131=1,Y1131&lt;&gt;"",S1131&lt;&gt;"",T1131&lt;&gt;"",Z1131&lt;&gt;"")),"manuell übersteuert; ","")&amp;IF(AND(BR1131=0,Q1131=0),"Gebinde unbekannt / Stellmass fehlt; ","")&amp;IF(AND(BR1131=0,N(T1131)&lt;=0,N(P1131)&lt;=0),"Menge pro Gebinde fehlt (Ist = 1 Gebinde); ","")&amp;BM1131)</f>
        <v>negativer Bestand (Export -1); Kein Verbrauch; Lose – Fläche geschätzt; </v>
      </c>
      <c r="BF1131" s="55"/>
      <c r="BG1131" s="55"/>
      <c r="BH1131" s="62"/>
      <c r="BI1131" s="57" t="n">
        <v>-1</v>
      </c>
      <c r="BJ1131" s="57" t="n">
        <v>1</v>
      </c>
      <c r="BK1131" s="56" t="n">
        <v>-257.72</v>
      </c>
      <c r="BL1131" s="57" t="n">
        <v>0</v>
      </c>
      <c r="BM1131" s="55"/>
      <c r="BN1131" s="60" t="n">
        <v>0</v>
      </c>
      <c r="BO1131" s="60" t="n">
        <v>1131</v>
      </c>
      <c r="BP1131" s="55" t="str">
        <f aca="false">IF(S1131&lt;&gt;"",UPPER(TRIM(S1131)),IF(O1131="","LOSE",O1131))</f>
        <v>LOSE</v>
      </c>
      <c r="BQ1131" s="57" t="n">
        <f aca="false">IF(BP1131="LOSE",1,IF(N(T1131)&gt;0,T1131,IF(N(P1131)&gt;0,P1131,MAX(1,G1131))))</f>
        <v>1</v>
      </c>
      <c r="BR1131" s="60" t="n">
        <f aca="false">IF(BP1131="LOSE",1,0)</f>
        <v>1</v>
      </c>
      <c r="BS1131" s="59" t="n">
        <f aca="false">IF(BR1131=0,0,IF(N(R1131)&gt;0,R1131,IFERROR(VLOOKUP(D1131,Parameter!$A$35:$C$64,3,0)+0,0)))</f>
        <v>0.15</v>
      </c>
      <c r="BT1131" s="55" t="n">
        <f aca="false">IF(Y1131&lt;&gt;"",Y1131,X1131)</f>
        <v>2</v>
      </c>
      <c r="BU1131" s="55" t="str">
        <f aca="false">IF(BT1131=1,"L1",IF(OR(BT1131=2,BT1131=3),"L23",IF(BT1131="Aussen","Aussen","-")))</f>
        <v>L23</v>
      </c>
      <c r="BV1131" s="66" t="n">
        <f aca="false">IF(N(Z1131)&gt;0,Z1131,0)</f>
        <v>0</v>
      </c>
      <c r="BW1131" s="60" t="n">
        <f aca="false">IF(ISNUMBER(AC1131),1,0)</f>
        <v>0</v>
      </c>
      <c r="BX1131" s="57" t="n">
        <f aca="false">N(AC1131)</f>
        <v>0</v>
      </c>
      <c r="BY1131" s="57" t="n">
        <f aca="false">N(L1131)+N(M1131)</f>
        <v>1</v>
      </c>
      <c r="BZ1131" s="57" t="n">
        <f aca="false">ROUNDUP(G1131/BQ1131,0)</f>
        <v>0</v>
      </c>
      <c r="CA1131" s="57" t="n">
        <f aca="false">ROUNDUP(BX1131/BQ1131,0)</f>
        <v>0</v>
      </c>
      <c r="CB1131" s="60" t="n">
        <f aca="false">IF(BR1131=1,0,IFERROR(VLOOKUP(BP1131,'Gebinde-Kategorie'!$A$5:$M$45,5,0)+0,0))</f>
        <v>0</v>
      </c>
      <c r="CC1131" s="60" t="n">
        <f aca="false">IFERROR(IF(OR(BT1131=1,BT1131=2,BT1131=3),N(INDEX(Parameter!$I$5:$I$7,BT1131)),0),0)</f>
        <v>0</v>
      </c>
      <c r="CD1131" s="59" t="n">
        <f aca="false">IF(AND(Parameter!$B$21="Ja",ISNUMBER(U1131),N(V1131)&gt;0),IFERROR(N(INDEX(Parameter!$L$5:$L$7,U1131))*INDEX(Parameter!$E$5:$E$7,U1131)*V1131/SUMIFS($V$7:$V$1576,$U$7:$U$1576,U1131),0),0)</f>
        <v>0</v>
      </c>
    </row>
    <row r="1132" customFormat="false" ht="15" hidden="false" customHeight="false" outlineLevel="0" collapsed="false">
      <c r="A1132" s="55" t="s">
        <v>2036</v>
      </c>
      <c r="B1132" s="55" t="s">
        <v>2037</v>
      </c>
      <c r="C1132" s="55" t="s">
        <v>160</v>
      </c>
      <c r="D1132" s="55" t="s">
        <v>178</v>
      </c>
      <c r="E1132" s="55" t="s">
        <v>210</v>
      </c>
      <c r="F1132" s="56" t="n">
        <v>259.12</v>
      </c>
      <c r="G1132" s="57" t="n">
        <f aca="false">MAX(0,IF(AND(Parameter!$B$21="Ja",ISNUMBER(W1132)),W1132,IF(Parameter!$B$20="Jahresanfang 2025 + Export",BJ1132+BI1132,BI1132)))</f>
        <v>0</v>
      </c>
      <c r="H1132" s="57" t="n">
        <f aca="false">G1132*F1132</f>
        <v>0</v>
      </c>
      <c r="I1132" s="57" t="n">
        <f aca="false">BL1132*Parameter!$B$18</f>
        <v>1</v>
      </c>
      <c r="J1132" s="58" t="n">
        <v>6.5</v>
      </c>
      <c r="K1132" s="59" t="n">
        <v>0.153846153846154</v>
      </c>
      <c r="L1132" s="57" t="n">
        <v>0</v>
      </c>
      <c r="M1132" s="57" t="n">
        <v>1</v>
      </c>
      <c r="N1132" s="60" t="n">
        <v>28</v>
      </c>
      <c r="O1132" s="55" t="s">
        <v>293</v>
      </c>
      <c r="P1132" s="57" t="n">
        <v>7</v>
      </c>
      <c r="Q1132" s="60" t="n">
        <f aca="false">IF(BR1132=1,0,IFERROR(VLOOKUP(BP1132,'Gebinde-Kategorie'!$A$5:$M$45,13,0)+0,0))</f>
        <v>26</v>
      </c>
      <c r="R1132" s="61"/>
      <c r="S1132" s="62"/>
      <c r="T1132" s="62"/>
      <c r="U1132" s="55"/>
      <c r="V1132" s="57"/>
      <c r="W1132" s="57"/>
      <c r="X1132" s="55" t="n">
        <f aca="false">IF(A1132="","",IF(AND(Parameter!$B$21="Ja",ISNUMBER(U1132)),U1132,IF(IFERROR(VLOOKUP(D1132,Parameter!$A$35:$C$64,2,0),"Nein")="2+3",IF(ISNUMBER(SEARCH("grosser Artikel",BM1132)),2,IFERROR(VLOOKUP(BP1132,Parameter!$F$35:$G$64,2,0),2)),IF(OR(IFERROR(VLOOKUP(D1132,Parameter!$A$35:$C$64,2,0),"Nein")="Nein",IFERROR(VLOOKUP(D1132,Parameter!$A$35:$C$64,2,0),"Nein")=""),"-",VLOOKUP(D1132,Parameter!$A$35:$C$64,2,0)))))</f>
        <v>3</v>
      </c>
      <c r="Y1132" s="62"/>
      <c r="Z1132" s="63"/>
      <c r="AA1132" s="57" t="n">
        <f aca="false">AP1132</f>
        <v>7</v>
      </c>
      <c r="AB1132" s="57" t="n">
        <f aca="false">MAX(AP1132,G1132)</f>
        <v>7</v>
      </c>
      <c r="AC1132" s="64"/>
      <c r="AD1132" s="57" t="n">
        <f aca="false">IF(LEFT(Cockpit!$C$5,1)="A",G1132,IF(BW1132=1,BX1132,IF(LEFT(Cockpit!$C$5,1)="B",AH1132,MAX(AH1132,G1132))))</f>
        <v>0</v>
      </c>
      <c r="AE1132" s="57" t="n">
        <f aca="false">IF(BR1132=1,0,ROUNDUP(AD1132/BQ1132,0))</f>
        <v>0</v>
      </c>
      <c r="AF1132" s="59" t="n">
        <f aca="false">IF(CD1132&gt;0,CD1132*MAX(1,AD1132/V1132),IF(BR1132=1,IF(AD1132&lt;=0,0,BS1132*MAX(1,IF(G1132&gt;0,AD1132/G1132,1))),IF(Q1132&gt;0,AE1132/Q1132,0))/MAX(0.1,N(Parameter!$M$21)))</f>
        <v>0</v>
      </c>
      <c r="AG1132" s="57" t="n">
        <f aca="false">AD1132*F1132</f>
        <v>0</v>
      </c>
      <c r="AH1132" s="57" t="n">
        <f aca="false">ROUNDUP(MAX(I1132/IF(BV1132&gt;0,BV1132,MAX(0.1,N(Cockpit!$C$6))),BY1132)/BQ1132,0)*BQ1132</f>
        <v>7</v>
      </c>
      <c r="AI1132" s="58" t="n">
        <f aca="false">IF(AF1132&gt;0,I1132/AF1132,-1)</f>
        <v>-1</v>
      </c>
      <c r="AJ1132" s="58" t="str">
        <f aca="false">IF(AND(OR(BU1132="L1",BU1132="L23"),AF1132&gt;0),SUMIFS($AF$7:$AF$1576,$BU$7:$BU$1576,BU1132,$AI$7:$AI$1576,"&gt;"&amp;AI1132)+SUMIFS($AF$7:$AF$1576,$BU$7:$BU$1576,BU1132,$AI$7:$AI$1576,AI1132,$BO$7:$BO$1576,"&lt;="&amp;BO1132),"")</f>
        <v/>
      </c>
      <c r="AK1132" s="65" t="n">
        <f aca="false">IF(AJ1132="",0,MAX(0,MIN(1,(IF(BU1132="L1",Parameter!$E$5,Parameter!$E$6+Parameter!$E$7)-(AJ1132-AF1132))/AF1132)))</f>
        <v>0</v>
      </c>
      <c r="AL1132" s="57" t="n">
        <f aca="false">IF(LEFT(Cockpit!$I$5,1)="A",G1132,IF(BW1132=1,BX1132,IF(LEFT(Cockpit!$I$5,1)="B",AP1132,MAX(AP1132,G1132))))</f>
        <v>7</v>
      </c>
      <c r="AM1132" s="57" t="n">
        <f aca="false">IF(BR1132=1,0,ROUNDUP(AL1132/BQ1132,0))</f>
        <v>1</v>
      </c>
      <c r="AN1132" s="59" t="n">
        <f aca="false">IF(CD1132&gt;0,CD1132*MAX(1,AL1132/V1132),IF(BR1132=1,IF(AL1132&lt;=0,0,BS1132*MAX(1,IF(G1132&gt;0,AL1132/G1132,1))),IF(Q1132&gt;0,AM1132/Q1132,0))/MAX(0.1,N(Parameter!$M$21)))</f>
        <v>0.0384615384615385</v>
      </c>
      <c r="AO1132" s="57" t="n">
        <f aca="false">AL1132*F1132</f>
        <v>1813.84</v>
      </c>
      <c r="AP1132" s="57" t="n">
        <f aca="false">ROUNDUP(MAX(I1132/IF(BV1132&gt;0,BV1132,MAX(0.1,N(Cockpit!$I$6))),BY1132)/BQ1132,0)*BQ1132</f>
        <v>7</v>
      </c>
      <c r="AQ1132" s="58" t="n">
        <f aca="false">IF(AN1132&gt;0,I1132/AN1132,-1)</f>
        <v>26</v>
      </c>
      <c r="AR1132" s="58" t="n">
        <f aca="false">IF(AND(OR(BU1132="L1",BU1132="L23"),AN1132&gt;0),SUMIFS($AN$7:$AN$1576,$BU$7:$BU$1576,BU1132,$AQ$7:$AQ$1576,"&gt;"&amp;AQ1132)+SUMIFS($AN$7:$AN$1576,$BU$7:$BU$1576,BU1132,$AQ$7:$AQ$1576,AQ1132,$BO$7:$BO$1576,"&lt;="&amp;BO1132),"")</f>
        <v>97.3924345886958</v>
      </c>
      <c r="AS1132" s="65" t="n">
        <f aca="false">IF(AR1132="",0,MAX(0,MIN(1,(IF(BU1132="L1",Parameter!$E$5,Parameter!$E$6+Parameter!$E$7)-(AR1132-AN1132))/AN1132)))</f>
        <v>1</v>
      </c>
      <c r="AT1132" s="57" t="n">
        <f aca="false">IF(LEFT(Cockpit!$O$5,1)="A",G1132,IF(BW1132=1,BX1132,IF(LEFT(Cockpit!$O$5,1)="B",AX1132,MAX(AX1132,G1132))))</f>
        <v>7</v>
      </c>
      <c r="AU1132" s="57" t="n">
        <f aca="false">IF(BR1132=1,0,ROUNDUP(AT1132/BQ1132,0))</f>
        <v>1</v>
      </c>
      <c r="AV1132" s="59" t="n">
        <f aca="false">IF(CD1132&gt;0,CD1132*MAX(1,AT1132/V1132),IF(BR1132=1,IF(AT1132&lt;=0,0,BS1132*MAX(1,IF(G1132&gt;0,AT1132/G1132,1))),IF(Q1132&gt;0,AU1132/Q1132,0))/MAX(0.1,N(Parameter!$M$21)))</f>
        <v>0.0384615384615385</v>
      </c>
      <c r="AW1132" s="57" t="n">
        <f aca="false">AT1132*F1132</f>
        <v>1813.84</v>
      </c>
      <c r="AX1132" s="57" t="n">
        <f aca="false">ROUNDUP(MAX(I1132/IF(BV1132&gt;0,BV1132,MAX(0.1,N(Cockpit!$O$6))),BY1132)/BQ1132,0)*BQ1132</f>
        <v>7</v>
      </c>
      <c r="AY1132" s="58" t="n">
        <f aca="false">IF(AV1132&gt;0,I1132/AV1132,-1)</f>
        <v>26</v>
      </c>
      <c r="AZ1132" s="58" t="n">
        <f aca="false">IF(AND(OR(BU1132="L1",BU1132="L23"),AV1132&gt;0),SUMIFS($AV$7:$AV$1576,$BU$7:$BU$1576,BU1132,$AY$7:$AY$1576,"&gt;"&amp;AY1132)+SUMIFS($AV$7:$AV$1576,$BU$7:$BU$1576,BU1132,$AY$7:$AY$1576,AY1132,$BO$7:$BO$1576,"&lt;="&amp;BO1132),"")</f>
        <v>88.2019850382462</v>
      </c>
      <c r="BA1132" s="65" t="n">
        <f aca="false">IF(AZ1132="",0,MAX(0,MIN(1,(IF(BU1132="L1",Parameter!$E$5,Parameter!$E$6+Parameter!$E$7)-(AZ1132-AV1132))/AV1132)))</f>
        <v>1</v>
      </c>
      <c r="BB1132" s="55" t="str">
        <f aca="false">IF(AF1132&lt;=0,"",IF(BU1132="Aussen","Aussenlager",IF(BU1132="-","Nicht im Lift",IF(AK1132&gt;=1,"Lift",IF(AK1132&lt;=0,"Aussenlager","teilweise")))))</f>
        <v/>
      </c>
      <c r="BC1132" s="55" t="str">
        <f aca="false">IF(AN1132&lt;=0,"",IF(BU1132="Aussen","Aussenlager",IF(BU1132="-","Nicht im Lift",IF(AS1132&gt;=1,"Lift",IF(AS1132&lt;=0,"Aussenlager","teilweise")))))</f>
        <v>Lift</v>
      </c>
      <c r="BD1132" s="55" t="str">
        <f aca="false">IF(AV1132&lt;=0,"",IF(BU1132="Aussen","Aussenlager",IF(BU1132="-","Nicht im Lift",IF(BA1132&gt;=1,"Lift",IF(BA1132&lt;=0,"Aussenlager","teilweise")))))</f>
        <v>Lift</v>
      </c>
      <c r="BE1132" s="55" t="str">
        <f aca="false">IF(A1132="","",IF(BN1132=1,"Neu; ","")&amp;IF(AND(BN1132=0,BI1132&lt;0),"negativer Bestand (Export "&amp;BI1132&amp;"); ","")&amp;IF(I1132&lt;=0,"Kein Verbrauch; ","")&amp;IF(CD1132&gt;0,"Lift "&amp;U1132&amp;" lt. Liftbericht (Fach "&amp;V1132&amp;" Stk); ",IF(BR1132=1,"Lose – Fläche geschätzt; ",""))&amp;IF(G1132&gt;AP1132,"Überbestand "&amp;ROUND(G1132-AP1132,0)&amp;" Stk / CHF "&amp;ROUND((G1132-AP1132)*F1132,0)&amp;"; ","")&amp;IF(AND(BW1132=1,BX1132&lt;BY1132),"MAX &lt; MB+LG; ","")&amp;IF(AND(CC1132&gt;0,CB1132*10&gt;CC1132),"zu hoch für Tablar; ","")&amp;IF(AND(BN1132=0,OR(BW1132=1,Y1132&lt;&gt;"",S1132&lt;&gt;"",T1132&lt;&gt;"",Z1132&lt;&gt;"")),"manuell übersteuert; ","")&amp;IF(AND(BR1132=0,Q1132=0),"Gebinde unbekannt / Stellmass fehlt; ","")&amp;IF(AND(BR1132=0,N(T1132)&lt;=0,N(P1132)&lt;=0),"Menge pro Gebinde fehlt (Ist = 1 Gebinde); ","")&amp;BM1132)</f>
        <v>negativer Bestand (Export -1); Überbestand</v>
      </c>
      <c r="BF1132" s="55"/>
      <c r="BG1132" s="55"/>
      <c r="BH1132" s="62"/>
      <c r="BI1132" s="57" t="n">
        <v>-1</v>
      </c>
      <c r="BJ1132" s="57" t="n">
        <v>7</v>
      </c>
      <c r="BK1132" s="56" t="n">
        <v>-259.12</v>
      </c>
      <c r="BL1132" s="57" t="n">
        <v>1</v>
      </c>
      <c r="BM1132" s="55" t="s">
        <v>382</v>
      </c>
      <c r="BN1132" s="60" t="n">
        <v>0</v>
      </c>
      <c r="BO1132" s="60" t="n">
        <v>1132</v>
      </c>
      <c r="BP1132" s="55" t="str">
        <f aca="false">IF(S1132&lt;&gt;"",UPPER(TRIM(S1132)),IF(O1132="","LOSE",O1132))</f>
        <v>S51</v>
      </c>
      <c r="BQ1132" s="57" t="n">
        <f aca="false">IF(BP1132="LOSE",1,IF(N(T1132)&gt;0,T1132,IF(N(P1132)&gt;0,P1132,MAX(1,G1132))))</f>
        <v>7</v>
      </c>
      <c r="BR1132" s="60" t="n">
        <f aca="false">IF(BP1132="LOSE",1,0)</f>
        <v>0</v>
      </c>
      <c r="BS1132" s="59" t="n">
        <f aca="false">IF(BR1132=0,0,IF(N(R1132)&gt;0,R1132,IFERROR(VLOOKUP(D1132,Parameter!$A$35:$C$64,3,0)+0,0)))</f>
        <v>0</v>
      </c>
      <c r="BT1132" s="55" t="n">
        <f aca="false">IF(Y1132&lt;&gt;"",Y1132,X1132)</f>
        <v>3</v>
      </c>
      <c r="BU1132" s="55" t="str">
        <f aca="false">IF(BT1132=1,"L1",IF(OR(BT1132=2,BT1132=3),"L23",IF(BT1132="Aussen","Aussen","-")))</f>
        <v>L23</v>
      </c>
      <c r="BV1132" s="66" t="n">
        <f aca="false">IF(N(Z1132)&gt;0,Z1132,0)</f>
        <v>0</v>
      </c>
      <c r="BW1132" s="60" t="n">
        <f aca="false">IF(ISNUMBER(AC1132),1,0)</f>
        <v>0</v>
      </c>
      <c r="BX1132" s="57" t="n">
        <f aca="false">N(AC1132)</f>
        <v>0</v>
      </c>
      <c r="BY1132" s="57" t="n">
        <f aca="false">N(L1132)+N(M1132)</f>
        <v>1</v>
      </c>
      <c r="BZ1132" s="57" t="n">
        <f aca="false">ROUNDUP(G1132/BQ1132,0)</f>
        <v>0</v>
      </c>
      <c r="CA1132" s="57" t="n">
        <f aca="false">ROUNDUP(BX1132/BQ1132,0)</f>
        <v>0</v>
      </c>
      <c r="CB1132" s="60" t="n">
        <f aca="false">IF(BR1132=1,0,IFERROR(VLOOKUP(BP1132,'Gebinde-Kategorie'!$A$5:$M$45,5,0)+0,0))</f>
        <v>11</v>
      </c>
      <c r="CC1132" s="60" t="n">
        <f aca="false">IFERROR(IF(OR(BT1132=1,BT1132=2,BT1132=3),N(INDEX(Parameter!$I$5:$I$7,BT1132)),0),0)</f>
        <v>0</v>
      </c>
      <c r="CD1132" s="59" t="n">
        <f aca="false">IF(AND(Parameter!$B$21="Ja",ISNUMBER(U1132),N(V1132)&gt;0),IFERROR(N(INDEX(Parameter!$L$5:$L$7,U1132))*INDEX(Parameter!$E$5:$E$7,U1132)*V1132/SUMIFS($V$7:$V$1576,$U$7:$U$1576,U1132),0),0)</f>
        <v>0</v>
      </c>
    </row>
    <row r="1133" customFormat="false" ht="15" hidden="false" customHeight="false" outlineLevel="0" collapsed="false">
      <c r="A1133" s="55" t="s">
        <v>2038</v>
      </c>
      <c r="B1133" s="55" t="s">
        <v>2039</v>
      </c>
      <c r="C1133" s="55" t="s">
        <v>446</v>
      </c>
      <c r="D1133" s="55" t="s">
        <v>168</v>
      </c>
      <c r="E1133" s="55" t="s">
        <v>210</v>
      </c>
      <c r="F1133" s="56" t="n">
        <v>65.07</v>
      </c>
      <c r="G1133" s="57" t="n">
        <f aca="false">MAX(0,IF(AND(Parameter!$B$21="Ja",ISNUMBER(W1133)),W1133,IF(Parameter!$B$20="Jahresanfang 2025 + Export",BJ1133+BI1133,BI1133)))</f>
        <v>0</v>
      </c>
      <c r="H1133" s="57" t="n">
        <f aca="false">G1133*F1133</f>
        <v>0</v>
      </c>
      <c r="I1133" s="57" t="n">
        <f aca="false">BL1133*Parameter!$B$18</f>
        <v>0</v>
      </c>
      <c r="J1133" s="58" t="n">
        <v>2</v>
      </c>
      <c r="K1133" s="59" t="n">
        <v>0</v>
      </c>
      <c r="L1133" s="57" t="n">
        <v>0</v>
      </c>
      <c r="M1133" s="57" t="n">
        <v>1</v>
      </c>
      <c r="N1133" s="60" t="n">
        <v>56</v>
      </c>
      <c r="O1133" s="55" t="s">
        <v>163</v>
      </c>
      <c r="P1133" s="57"/>
      <c r="Q1133" s="60" t="n">
        <f aca="false">IF(BR1133=1,0,IFERROR(VLOOKUP(BP1133,'Gebinde-Kategorie'!$A$5:$M$45,13,0)+0,0))</f>
        <v>0</v>
      </c>
      <c r="R1133" s="61"/>
      <c r="S1133" s="62"/>
      <c r="T1133" s="62"/>
      <c r="U1133" s="55"/>
      <c r="V1133" s="57"/>
      <c r="W1133" s="57"/>
      <c r="X1133" s="55" t="n">
        <f aca="false">IF(A1133="","",IF(AND(Parameter!$B$21="Ja",ISNUMBER(U1133)),U1133,IF(IFERROR(VLOOKUP(D1133,Parameter!$A$35:$C$64,2,0),"Nein")="2+3",IF(ISNUMBER(SEARCH("grosser Artikel",BM1133)),2,IFERROR(VLOOKUP(BP1133,Parameter!$F$35:$G$64,2,0),2)),IF(OR(IFERROR(VLOOKUP(D1133,Parameter!$A$35:$C$64,2,0),"Nein")="Nein",IFERROR(VLOOKUP(D1133,Parameter!$A$35:$C$64,2,0),"Nein")=""),"-",VLOOKUP(D1133,Parameter!$A$35:$C$64,2,0)))))</f>
        <v>2</v>
      </c>
      <c r="Y1133" s="62"/>
      <c r="Z1133" s="63"/>
      <c r="AA1133" s="57" t="n">
        <f aca="false">AP1133</f>
        <v>1</v>
      </c>
      <c r="AB1133" s="57" t="n">
        <f aca="false">MAX(AP1133,G1133)</f>
        <v>1</v>
      </c>
      <c r="AC1133" s="64"/>
      <c r="AD1133" s="57" t="n">
        <f aca="false">IF(LEFT(Cockpit!$C$5,1)="A",G1133,IF(BW1133=1,BX1133,IF(LEFT(Cockpit!$C$5,1)="B",AH1133,MAX(AH1133,G1133))))</f>
        <v>0</v>
      </c>
      <c r="AE1133" s="57" t="n">
        <f aca="false">IF(BR1133=1,0,ROUNDUP(AD1133/BQ1133,0))</f>
        <v>0</v>
      </c>
      <c r="AF1133" s="59" t="n">
        <f aca="false">IF(CD1133&gt;0,CD1133*MAX(1,AD1133/V1133),IF(BR1133=1,IF(AD1133&lt;=0,0,BS1133*MAX(1,IF(G1133&gt;0,AD1133/G1133,1))),IF(Q1133&gt;0,AE1133/Q1133,0))/MAX(0.1,N(Parameter!$M$21)))</f>
        <v>0</v>
      </c>
      <c r="AG1133" s="57" t="n">
        <f aca="false">AD1133*F1133</f>
        <v>0</v>
      </c>
      <c r="AH1133" s="57" t="n">
        <f aca="false">ROUNDUP(MAX(I1133/IF(BV1133&gt;0,BV1133,MAX(0.1,N(Cockpit!$C$6))),BY1133)/BQ1133,0)*BQ1133</f>
        <v>1</v>
      </c>
      <c r="AI1133" s="58" t="n">
        <f aca="false">IF(AF1133&gt;0,I1133/AF1133,-1)</f>
        <v>-1</v>
      </c>
      <c r="AJ1133" s="58" t="str">
        <f aca="false">IF(AND(OR(BU1133="L1",BU1133="L23"),AF1133&gt;0),SUMIFS($AF$7:$AF$1576,$BU$7:$BU$1576,BU1133,$AI$7:$AI$1576,"&gt;"&amp;AI1133)+SUMIFS($AF$7:$AF$1576,$BU$7:$BU$1576,BU1133,$AI$7:$AI$1576,AI1133,$BO$7:$BO$1576,"&lt;="&amp;BO1133),"")</f>
        <v/>
      </c>
      <c r="AK1133" s="65" t="n">
        <f aca="false">IF(AJ1133="",0,MAX(0,MIN(1,(IF(BU1133="L1",Parameter!$E$5,Parameter!$E$6+Parameter!$E$7)-(AJ1133-AF1133))/AF1133)))</f>
        <v>0</v>
      </c>
      <c r="AL1133" s="57" t="n">
        <f aca="false">IF(LEFT(Cockpit!$I$5,1)="A",G1133,IF(BW1133=1,BX1133,IF(LEFT(Cockpit!$I$5,1)="B",AP1133,MAX(AP1133,G1133))))</f>
        <v>1</v>
      </c>
      <c r="AM1133" s="57" t="n">
        <f aca="false">IF(BR1133=1,0,ROUNDUP(AL1133/BQ1133,0))</f>
        <v>0</v>
      </c>
      <c r="AN1133" s="59" t="n">
        <f aca="false">IF(CD1133&gt;0,CD1133*MAX(1,AL1133/V1133),IF(BR1133=1,IF(AL1133&lt;=0,0,BS1133*MAX(1,IF(G1133&gt;0,AL1133/G1133,1))),IF(Q1133&gt;0,AM1133/Q1133,0))/MAX(0.1,N(Parameter!$M$21)))</f>
        <v>0.15</v>
      </c>
      <c r="AO1133" s="57" t="n">
        <f aca="false">AL1133*F1133</f>
        <v>65.07</v>
      </c>
      <c r="AP1133" s="57" t="n">
        <f aca="false">ROUNDUP(MAX(I1133/IF(BV1133&gt;0,BV1133,MAX(0.1,N(Cockpit!$I$6))),BY1133)/BQ1133,0)*BQ1133</f>
        <v>1</v>
      </c>
      <c r="AQ1133" s="58" t="n">
        <f aca="false">IF(AN1133&gt;0,I1133/AN1133,-1)</f>
        <v>0</v>
      </c>
      <c r="AR1133" s="58" t="n">
        <f aca="false">IF(AND(OR(BU1133="L1",BU1133="L23"),AN1133&gt;0),SUMIFS($AN$7:$AN$1576,$BU$7:$BU$1576,BU1133,$AQ$7:$AQ$1576,"&gt;"&amp;AQ1133)+SUMIFS($AN$7:$AN$1576,$BU$7:$BU$1576,BU1133,$AQ$7:$AQ$1576,AQ1133,$BO$7:$BO$1576,"&lt;="&amp;BO1133),"")</f>
        <v>134.206461678466</v>
      </c>
      <c r="AS1133" s="65" t="n">
        <f aca="false">IF(AR1133="",0,MAX(0,MIN(1,(IF(BU1133="L1",Parameter!$E$5,Parameter!$E$6+Parameter!$E$7)-(AR1133-AN1133))/AN1133)))</f>
        <v>0</v>
      </c>
      <c r="AT1133" s="57" t="n">
        <f aca="false">IF(LEFT(Cockpit!$O$5,1)="A",G1133,IF(BW1133=1,BX1133,IF(LEFT(Cockpit!$O$5,1)="B",AX1133,MAX(AX1133,G1133))))</f>
        <v>1</v>
      </c>
      <c r="AU1133" s="57" t="n">
        <f aca="false">IF(BR1133=1,0,ROUNDUP(AT1133/BQ1133,0))</f>
        <v>0</v>
      </c>
      <c r="AV1133" s="59" t="n">
        <f aca="false">IF(CD1133&gt;0,CD1133*MAX(1,AT1133/V1133),IF(BR1133=1,IF(AT1133&lt;=0,0,BS1133*MAX(1,IF(G1133&gt;0,AT1133/G1133,1))),IF(Q1133&gt;0,AU1133/Q1133,0))/MAX(0.1,N(Parameter!$M$21)))</f>
        <v>0.15</v>
      </c>
      <c r="AW1133" s="57" t="n">
        <f aca="false">AT1133*F1133</f>
        <v>65.07</v>
      </c>
      <c r="AX1133" s="57" t="n">
        <f aca="false">ROUNDUP(MAX(I1133/IF(BV1133&gt;0,BV1133,MAX(0.1,N(Cockpit!$O$6))),BY1133)/BQ1133,0)*BQ1133</f>
        <v>1</v>
      </c>
      <c r="AY1133" s="58" t="n">
        <f aca="false">IF(AV1133&gt;0,I1133/AV1133,-1)</f>
        <v>0</v>
      </c>
      <c r="AZ1133" s="58" t="n">
        <f aca="false">IF(AND(OR(BU1133="L1",BU1133="L23"),AV1133&gt;0),SUMIFS($AV$7:$AV$1576,$BU$7:$BU$1576,BU1133,$AY$7:$AY$1576,"&gt;"&amp;AY1133)+SUMIFS($AV$7:$AV$1576,$BU$7:$BU$1576,BU1133,$AY$7:$AY$1576,AY1133,$BO$7:$BO$1576,"&lt;="&amp;BO1133),"")</f>
        <v>124.266012128016</v>
      </c>
      <c r="BA1133" s="65" t="n">
        <f aca="false">IF(AZ1133="",0,MAX(0,MIN(1,(IF(BU1133="L1",Parameter!$E$5,Parameter!$E$6+Parameter!$E$7)-(AZ1133-AV1133))/AV1133)))</f>
        <v>0</v>
      </c>
      <c r="BB1133" s="55" t="str">
        <f aca="false">IF(AF1133&lt;=0,"",IF(BU1133="Aussen","Aussenlager",IF(BU1133="-","Nicht im Lift",IF(AK1133&gt;=1,"Lift",IF(AK1133&lt;=0,"Aussenlager","teilweise")))))</f>
        <v/>
      </c>
      <c r="BC1133" s="55" t="str">
        <f aca="false">IF(AN1133&lt;=0,"",IF(BU1133="Aussen","Aussenlager",IF(BU1133="-","Nicht im Lift",IF(AS1133&gt;=1,"Lift",IF(AS1133&lt;=0,"Aussenlager","teilweise")))))</f>
        <v>Aussenlager</v>
      </c>
      <c r="BD1133" s="55" t="str">
        <f aca="false">IF(AV1133&lt;=0,"",IF(BU1133="Aussen","Aussenlager",IF(BU1133="-","Nicht im Lift",IF(BA1133&gt;=1,"Lift",IF(BA1133&lt;=0,"Aussenlager","teilweise")))))</f>
        <v>Aussenlager</v>
      </c>
      <c r="BE1133" s="55" t="str">
        <f aca="false">IF(A1133="","",IF(BN1133=1,"Neu; ","")&amp;IF(AND(BN1133=0,BI1133&lt;0),"negativer Bestand (Export "&amp;BI1133&amp;"); ","")&amp;IF(I1133&lt;=0,"Kein Verbrauch; ","")&amp;IF(CD1133&gt;0,"Lift "&amp;U1133&amp;" lt. Liftbericht (Fach "&amp;V1133&amp;" Stk); ",IF(BR1133=1,"Lose – Fläche geschätzt; ",""))&amp;IF(G1133&gt;AP1133,"Überbestand "&amp;ROUND(G1133-AP1133,0)&amp;" Stk / CHF "&amp;ROUND((G1133-AP1133)*F1133,0)&amp;"; ","")&amp;IF(AND(BW1133=1,BX1133&lt;BY1133),"MAX &lt; MB+LG; ","")&amp;IF(AND(CC1133&gt;0,CB1133*10&gt;CC1133),"zu hoch für Tablar; ","")&amp;IF(AND(BN1133=0,OR(BW1133=1,Y1133&lt;&gt;"",S1133&lt;&gt;"",T1133&lt;&gt;"",Z1133&lt;&gt;"")),"manuell übersteuert; ","")&amp;IF(AND(BR1133=0,Q1133=0),"Gebinde unbekannt / Stellmass fehlt; ","")&amp;IF(AND(BR1133=0,N(T1133)&lt;=0,N(P1133)&lt;=0),"Menge pro Gebinde fehlt (Ist = 1 Gebinde); ","")&amp;BM1133)</f>
        <v>negativer Bestand (Export -4); Kein Verbrauch; Lose – Fläche geschätzt; </v>
      </c>
      <c r="BF1133" s="55"/>
      <c r="BG1133" s="55"/>
      <c r="BH1133" s="62"/>
      <c r="BI1133" s="57" t="n">
        <v>-4</v>
      </c>
      <c r="BJ1133" s="57" t="n">
        <v>4</v>
      </c>
      <c r="BK1133" s="56" t="n">
        <v>-260.28</v>
      </c>
      <c r="BL1133" s="57" t="n">
        <v>0</v>
      </c>
      <c r="BM1133" s="55"/>
      <c r="BN1133" s="60" t="n">
        <v>0</v>
      </c>
      <c r="BO1133" s="60" t="n">
        <v>1133</v>
      </c>
      <c r="BP1133" s="55" t="str">
        <f aca="false">IF(S1133&lt;&gt;"",UPPER(TRIM(S1133)),IF(O1133="","LOSE",O1133))</f>
        <v>LOSE</v>
      </c>
      <c r="BQ1133" s="57" t="n">
        <f aca="false">IF(BP1133="LOSE",1,IF(N(T1133)&gt;0,T1133,IF(N(P1133)&gt;0,P1133,MAX(1,G1133))))</f>
        <v>1</v>
      </c>
      <c r="BR1133" s="60" t="n">
        <f aca="false">IF(BP1133="LOSE",1,0)</f>
        <v>1</v>
      </c>
      <c r="BS1133" s="59" t="n">
        <f aca="false">IF(BR1133=0,0,IF(N(R1133)&gt;0,R1133,IFERROR(VLOOKUP(D1133,Parameter!$A$35:$C$64,3,0)+0,0)))</f>
        <v>0.15</v>
      </c>
      <c r="BT1133" s="55" t="n">
        <f aca="false">IF(Y1133&lt;&gt;"",Y1133,X1133)</f>
        <v>2</v>
      </c>
      <c r="BU1133" s="55" t="str">
        <f aca="false">IF(BT1133=1,"L1",IF(OR(BT1133=2,BT1133=3),"L23",IF(BT1133="Aussen","Aussen","-")))</f>
        <v>L23</v>
      </c>
      <c r="BV1133" s="66" t="n">
        <f aca="false">IF(N(Z1133)&gt;0,Z1133,0)</f>
        <v>0</v>
      </c>
      <c r="BW1133" s="60" t="n">
        <f aca="false">IF(ISNUMBER(AC1133),1,0)</f>
        <v>0</v>
      </c>
      <c r="BX1133" s="57" t="n">
        <f aca="false">N(AC1133)</f>
        <v>0</v>
      </c>
      <c r="BY1133" s="57" t="n">
        <f aca="false">N(L1133)+N(M1133)</f>
        <v>1</v>
      </c>
      <c r="BZ1133" s="57" t="n">
        <f aca="false">ROUNDUP(G1133/BQ1133,0)</f>
        <v>0</v>
      </c>
      <c r="CA1133" s="57" t="n">
        <f aca="false">ROUNDUP(BX1133/BQ1133,0)</f>
        <v>0</v>
      </c>
      <c r="CB1133" s="60" t="n">
        <f aca="false">IF(BR1133=1,0,IFERROR(VLOOKUP(BP1133,'Gebinde-Kategorie'!$A$5:$M$45,5,0)+0,0))</f>
        <v>0</v>
      </c>
      <c r="CC1133" s="60" t="n">
        <f aca="false">IFERROR(IF(OR(BT1133=1,BT1133=2,BT1133=3),N(INDEX(Parameter!$I$5:$I$7,BT1133)),0),0)</f>
        <v>0</v>
      </c>
      <c r="CD1133" s="59" t="n">
        <f aca="false">IF(AND(Parameter!$B$21="Ja",ISNUMBER(U1133),N(V1133)&gt;0),IFERROR(N(INDEX(Parameter!$L$5:$L$7,U1133))*INDEX(Parameter!$E$5:$E$7,U1133)*V1133/SUMIFS($V$7:$V$1576,$U$7:$U$1576,U1133),0),0)</f>
        <v>0</v>
      </c>
    </row>
    <row r="1134" customFormat="false" ht="15" hidden="false" customHeight="false" outlineLevel="0" collapsed="false">
      <c r="A1134" s="55" t="s">
        <v>2040</v>
      </c>
      <c r="B1134" s="55" t="s">
        <v>1123</v>
      </c>
      <c r="C1134" s="55" t="s">
        <v>160</v>
      </c>
      <c r="D1134" s="55" t="s">
        <v>178</v>
      </c>
      <c r="E1134" s="55" t="s">
        <v>210</v>
      </c>
      <c r="F1134" s="56" t="n">
        <v>87.23</v>
      </c>
      <c r="G1134" s="57" t="n">
        <f aca="false">MAX(0,IF(AND(Parameter!$B$21="Ja",ISNUMBER(W1134)),W1134,IF(Parameter!$B$20="Jahresanfang 2025 + Export",BJ1134+BI1134,BI1134)))</f>
        <v>0</v>
      </c>
      <c r="H1134" s="57" t="n">
        <f aca="false">G1134*F1134</f>
        <v>0</v>
      </c>
      <c r="I1134" s="57" t="n">
        <f aca="false">BL1134*Parameter!$B$18</f>
        <v>2</v>
      </c>
      <c r="J1134" s="58" t="n">
        <v>31.5</v>
      </c>
      <c r="K1134" s="59" t="n">
        <v>0.0634920634920635</v>
      </c>
      <c r="L1134" s="57" t="n">
        <v>0</v>
      </c>
      <c r="M1134" s="57" t="n">
        <v>1</v>
      </c>
      <c r="N1134" s="60" t="n">
        <v>42</v>
      </c>
      <c r="O1134" s="55" t="s">
        <v>179</v>
      </c>
      <c r="P1134" s="57" t="n">
        <v>8</v>
      </c>
      <c r="Q1134" s="60" t="n">
        <f aca="false">IF(BR1134=1,0,IFERROR(VLOOKUP(BP1134,'Gebinde-Kategorie'!$A$5:$M$45,13,0)+0,0))</f>
        <v>12</v>
      </c>
      <c r="R1134" s="61"/>
      <c r="S1134" s="62"/>
      <c r="T1134" s="62"/>
      <c r="U1134" s="55"/>
      <c r="V1134" s="57"/>
      <c r="W1134" s="57"/>
      <c r="X1134" s="55" t="n">
        <f aca="false">IF(A1134="","",IF(AND(Parameter!$B$21="Ja",ISNUMBER(U1134)),U1134,IF(IFERROR(VLOOKUP(D1134,Parameter!$A$35:$C$64,2,0),"Nein")="2+3",IF(ISNUMBER(SEARCH("grosser Artikel",BM1134)),2,IFERROR(VLOOKUP(BP1134,Parameter!$F$35:$G$64,2,0),2)),IF(OR(IFERROR(VLOOKUP(D1134,Parameter!$A$35:$C$64,2,0),"Nein")="Nein",IFERROR(VLOOKUP(D1134,Parameter!$A$35:$C$64,2,0),"Nein")=""),"-",VLOOKUP(D1134,Parameter!$A$35:$C$64,2,0)))))</f>
        <v>2</v>
      </c>
      <c r="Y1134" s="62"/>
      <c r="Z1134" s="63"/>
      <c r="AA1134" s="57" t="n">
        <f aca="false">AP1134</f>
        <v>8</v>
      </c>
      <c r="AB1134" s="57" t="n">
        <f aca="false">MAX(AP1134,G1134)</f>
        <v>8</v>
      </c>
      <c r="AC1134" s="64"/>
      <c r="AD1134" s="57" t="n">
        <f aca="false">IF(LEFT(Cockpit!$C$5,1)="A",G1134,IF(BW1134=1,BX1134,IF(LEFT(Cockpit!$C$5,1)="B",AH1134,MAX(AH1134,G1134))))</f>
        <v>0</v>
      </c>
      <c r="AE1134" s="57" t="n">
        <f aca="false">IF(BR1134=1,0,ROUNDUP(AD1134/BQ1134,0))</f>
        <v>0</v>
      </c>
      <c r="AF1134" s="59" t="n">
        <f aca="false">IF(CD1134&gt;0,CD1134*MAX(1,AD1134/V1134),IF(BR1134=1,IF(AD1134&lt;=0,0,BS1134*MAX(1,IF(G1134&gt;0,AD1134/G1134,1))),IF(Q1134&gt;0,AE1134/Q1134,0))/MAX(0.1,N(Parameter!$M$21)))</f>
        <v>0</v>
      </c>
      <c r="AG1134" s="57" t="n">
        <f aca="false">AD1134*F1134</f>
        <v>0</v>
      </c>
      <c r="AH1134" s="57" t="n">
        <f aca="false">ROUNDUP(MAX(I1134/IF(BV1134&gt;0,BV1134,MAX(0.1,N(Cockpit!$C$6))),BY1134)/BQ1134,0)*BQ1134</f>
        <v>8</v>
      </c>
      <c r="AI1134" s="58" t="n">
        <f aca="false">IF(AF1134&gt;0,I1134/AF1134,-1)</f>
        <v>-1</v>
      </c>
      <c r="AJ1134" s="58" t="str">
        <f aca="false">IF(AND(OR(BU1134="L1",BU1134="L23"),AF1134&gt;0),SUMIFS($AF$7:$AF$1576,$BU$7:$BU$1576,BU1134,$AI$7:$AI$1576,"&gt;"&amp;AI1134)+SUMIFS($AF$7:$AF$1576,$BU$7:$BU$1576,BU1134,$AI$7:$AI$1576,AI1134,$BO$7:$BO$1576,"&lt;="&amp;BO1134),"")</f>
        <v/>
      </c>
      <c r="AK1134" s="65" t="n">
        <f aca="false">IF(AJ1134="",0,MAX(0,MIN(1,(IF(BU1134="L1",Parameter!$E$5,Parameter!$E$6+Parameter!$E$7)-(AJ1134-AF1134))/AF1134)))</f>
        <v>0</v>
      </c>
      <c r="AL1134" s="57" t="n">
        <f aca="false">IF(LEFT(Cockpit!$I$5,1)="A",G1134,IF(BW1134=1,BX1134,IF(LEFT(Cockpit!$I$5,1)="B",AP1134,MAX(AP1134,G1134))))</f>
        <v>8</v>
      </c>
      <c r="AM1134" s="57" t="n">
        <f aca="false">IF(BR1134=1,0,ROUNDUP(AL1134/BQ1134,0))</f>
        <v>1</v>
      </c>
      <c r="AN1134" s="59" t="n">
        <f aca="false">IF(CD1134&gt;0,CD1134*MAX(1,AL1134/V1134),IF(BR1134=1,IF(AL1134&lt;=0,0,BS1134*MAX(1,IF(G1134&gt;0,AL1134/G1134,1))),IF(Q1134&gt;0,AM1134/Q1134,0))/MAX(0.1,N(Parameter!$M$21)))</f>
        <v>0.0833333333333333</v>
      </c>
      <c r="AO1134" s="57" t="n">
        <f aca="false">AL1134*F1134</f>
        <v>697.84</v>
      </c>
      <c r="AP1134" s="57" t="n">
        <f aca="false">ROUNDUP(MAX(I1134/IF(BV1134&gt;0,BV1134,MAX(0.1,N(Cockpit!$I$6))),BY1134)/BQ1134,0)*BQ1134</f>
        <v>8</v>
      </c>
      <c r="AQ1134" s="58" t="n">
        <f aca="false">IF(AN1134&gt;0,I1134/AN1134,-1)</f>
        <v>24</v>
      </c>
      <c r="AR1134" s="58" t="n">
        <f aca="false">IF(AND(OR(BU1134="L1",BU1134="L23"),AN1134&gt;0),SUMIFS($AN$7:$AN$1576,$BU$7:$BU$1576,BU1134,$AQ$7:$AQ$1576,"&gt;"&amp;AQ1134)+SUMIFS($AN$7:$AN$1576,$BU$7:$BU$1576,BU1134,$AQ$7:$AQ$1576,AQ1134,$BO$7:$BO$1576,"&lt;="&amp;BO1134),"")</f>
        <v>98.5462807425419</v>
      </c>
      <c r="AS1134" s="65" t="n">
        <f aca="false">IF(AR1134="",0,MAX(0,MIN(1,(IF(BU1134="L1",Parameter!$E$5,Parameter!$E$6+Parameter!$E$7)-(AR1134-AN1134))/AN1134)))</f>
        <v>1</v>
      </c>
      <c r="AT1134" s="57" t="n">
        <f aca="false">IF(LEFT(Cockpit!$O$5,1)="A",G1134,IF(BW1134=1,BX1134,IF(LEFT(Cockpit!$O$5,1)="B",AX1134,MAX(AX1134,G1134))))</f>
        <v>8</v>
      </c>
      <c r="AU1134" s="57" t="n">
        <f aca="false">IF(BR1134=1,0,ROUNDUP(AT1134/BQ1134,0))</f>
        <v>1</v>
      </c>
      <c r="AV1134" s="59" t="n">
        <f aca="false">IF(CD1134&gt;0,CD1134*MAX(1,AT1134/V1134),IF(BR1134=1,IF(AT1134&lt;=0,0,BS1134*MAX(1,IF(G1134&gt;0,AT1134/G1134,1))),IF(Q1134&gt;0,AU1134/Q1134,0))/MAX(0.1,N(Parameter!$M$21)))</f>
        <v>0.0833333333333333</v>
      </c>
      <c r="AW1134" s="57" t="n">
        <f aca="false">AT1134*F1134</f>
        <v>697.84</v>
      </c>
      <c r="AX1134" s="57" t="n">
        <f aca="false">ROUNDUP(MAX(I1134/IF(BV1134&gt;0,BV1134,MAX(0.1,N(Cockpit!$O$6))),BY1134)/BQ1134,0)*BQ1134</f>
        <v>8</v>
      </c>
      <c r="AY1134" s="58" t="n">
        <f aca="false">IF(AV1134&gt;0,I1134/AV1134,-1)</f>
        <v>24</v>
      </c>
      <c r="AZ1134" s="58" t="n">
        <f aca="false">IF(AND(OR(BU1134="L1",BU1134="L23"),AV1134&gt;0),SUMIFS($AV$7:$AV$1576,$BU$7:$BU$1576,BU1134,$AY$7:$AY$1576,"&gt;"&amp;AY1134)+SUMIFS($AV$7:$AV$1576,$BU$7:$BU$1576,BU1134,$AY$7:$AY$1576,AY1134,$BO$7:$BO$1576,"&lt;="&amp;BO1134),"")</f>
        <v>89.3558311920924</v>
      </c>
      <c r="BA1134" s="65" t="n">
        <f aca="false">IF(AZ1134="",0,MAX(0,MIN(1,(IF(BU1134="L1",Parameter!$E$5,Parameter!$E$6+Parameter!$E$7)-(AZ1134-AV1134))/AV1134)))</f>
        <v>1</v>
      </c>
      <c r="BB1134" s="55" t="str">
        <f aca="false">IF(AF1134&lt;=0,"",IF(BU1134="Aussen","Aussenlager",IF(BU1134="-","Nicht im Lift",IF(AK1134&gt;=1,"Lift",IF(AK1134&lt;=0,"Aussenlager","teilweise")))))</f>
        <v/>
      </c>
      <c r="BC1134" s="55" t="str">
        <f aca="false">IF(AN1134&lt;=0,"",IF(BU1134="Aussen","Aussenlager",IF(BU1134="-","Nicht im Lift",IF(AS1134&gt;=1,"Lift",IF(AS1134&lt;=0,"Aussenlager","teilweise")))))</f>
        <v>Lift</v>
      </c>
      <c r="BD1134" s="55" t="str">
        <f aca="false">IF(AV1134&lt;=0,"",IF(BU1134="Aussen","Aussenlager",IF(BU1134="-","Nicht im Lift",IF(BA1134&gt;=1,"Lift",IF(BA1134&lt;=0,"Aussenlager","teilweise")))))</f>
        <v>Lift</v>
      </c>
      <c r="BE1134" s="55" t="str">
        <f aca="false">IF(A1134="","",IF(BN1134=1,"Neu; ","")&amp;IF(AND(BN1134=0,BI1134&lt;0),"negativer Bestand (Export "&amp;BI1134&amp;"); ","")&amp;IF(I1134&lt;=0,"Kein Verbrauch; ","")&amp;IF(CD1134&gt;0,"Lift "&amp;U1134&amp;" lt. Liftbericht (Fach "&amp;V1134&amp;" Stk); ",IF(BR1134=1,"Lose – Fläche geschätzt; ",""))&amp;IF(G1134&gt;AP1134,"Überbestand "&amp;ROUND(G1134-AP1134,0)&amp;" Stk / CHF "&amp;ROUND((G1134-AP1134)*F1134,0)&amp;"; ","")&amp;IF(AND(BW1134=1,BX1134&lt;BY1134),"MAX &lt; MB+LG; ","")&amp;IF(AND(CC1134&gt;0,CB1134*10&gt;CC1134),"zu hoch für Tablar; ","")&amp;IF(AND(BN1134=0,OR(BW1134=1,Y1134&lt;&gt;"",S1134&lt;&gt;"",T1134&lt;&gt;"",Z1134&lt;&gt;"")),"manuell übersteuert; ","")&amp;IF(AND(BR1134=0,Q1134=0),"Gebinde unbekannt / Stellmass fehlt; ","")&amp;IF(AND(BR1134=0,N(T1134)&lt;=0,N(P1134)&lt;=0),"Menge pro Gebinde fehlt (Ist = 1 Gebinde); ","")&amp;BM1134)</f>
        <v>negativer Bestand (Export -3); Neu</v>
      </c>
      <c r="BF1134" s="55"/>
      <c r="BG1134" s="55"/>
      <c r="BH1134" s="62"/>
      <c r="BI1134" s="57" t="n">
        <v>-3</v>
      </c>
      <c r="BJ1134" s="57" t="n">
        <v>33</v>
      </c>
      <c r="BK1134" s="56" t="n">
        <v>-261.69</v>
      </c>
      <c r="BL1134" s="57" t="n">
        <v>2</v>
      </c>
      <c r="BM1134" s="55" t="s">
        <v>615</v>
      </c>
      <c r="BN1134" s="60" t="n">
        <v>0</v>
      </c>
      <c r="BO1134" s="60" t="n">
        <v>1134</v>
      </c>
      <c r="BP1134" s="55" t="str">
        <f aca="false">IF(S1134&lt;&gt;"",UPPER(TRIM(S1134)),IF(O1134="","LOSE",O1134))</f>
        <v>S61</v>
      </c>
      <c r="BQ1134" s="57" t="n">
        <f aca="false">IF(BP1134="LOSE",1,IF(N(T1134)&gt;0,T1134,IF(N(P1134)&gt;0,P1134,MAX(1,G1134))))</f>
        <v>8</v>
      </c>
      <c r="BR1134" s="60" t="n">
        <f aca="false">IF(BP1134="LOSE",1,0)</f>
        <v>0</v>
      </c>
      <c r="BS1134" s="59" t="n">
        <f aca="false">IF(BR1134=0,0,IF(N(R1134)&gt;0,R1134,IFERROR(VLOOKUP(D1134,Parameter!$A$35:$C$64,3,0)+0,0)))</f>
        <v>0</v>
      </c>
      <c r="BT1134" s="55" t="n">
        <f aca="false">IF(Y1134&lt;&gt;"",Y1134,X1134)</f>
        <v>2</v>
      </c>
      <c r="BU1134" s="55" t="str">
        <f aca="false">IF(BT1134=1,"L1",IF(OR(BT1134=2,BT1134=3),"L23",IF(BT1134="Aussen","Aussen","-")))</f>
        <v>L23</v>
      </c>
      <c r="BV1134" s="66" t="n">
        <f aca="false">IF(N(Z1134)&gt;0,Z1134,0)</f>
        <v>0</v>
      </c>
      <c r="BW1134" s="60" t="n">
        <f aca="false">IF(ISNUMBER(AC1134),1,0)</f>
        <v>0</v>
      </c>
      <c r="BX1134" s="57" t="n">
        <f aca="false">N(AC1134)</f>
        <v>0</v>
      </c>
      <c r="BY1134" s="57" t="n">
        <f aca="false">N(L1134)+N(M1134)</f>
        <v>1</v>
      </c>
      <c r="BZ1134" s="57" t="n">
        <f aca="false">ROUNDUP(G1134/BQ1134,0)</f>
        <v>0</v>
      </c>
      <c r="CA1134" s="57" t="n">
        <f aca="false">ROUNDUP(BX1134/BQ1134,0)</f>
        <v>0</v>
      </c>
      <c r="CB1134" s="60" t="n">
        <f aca="false">IF(BR1134=1,0,IFERROR(VLOOKUP(BP1134,'Gebinde-Kategorie'!$A$5:$M$45,5,0)+0,0))</f>
        <v>11</v>
      </c>
      <c r="CC1134" s="60" t="n">
        <f aca="false">IFERROR(IF(OR(BT1134=1,BT1134=2,BT1134=3),N(INDEX(Parameter!$I$5:$I$7,BT1134)),0),0)</f>
        <v>0</v>
      </c>
      <c r="CD1134" s="59" t="n">
        <f aca="false">IF(AND(Parameter!$B$21="Ja",ISNUMBER(U1134),N(V1134)&gt;0),IFERROR(N(INDEX(Parameter!$L$5:$L$7,U1134))*INDEX(Parameter!$E$5:$E$7,U1134)*V1134/SUMIFS($V$7:$V$1576,$U$7:$U$1576,U1134),0),0)</f>
        <v>0</v>
      </c>
    </row>
    <row r="1135" customFormat="false" ht="15" hidden="false" customHeight="false" outlineLevel="0" collapsed="false">
      <c r="A1135" s="55" t="s">
        <v>2041</v>
      </c>
      <c r="B1135" s="55" t="s">
        <v>553</v>
      </c>
      <c r="C1135" s="55" t="s">
        <v>160</v>
      </c>
      <c r="D1135" s="55" t="s">
        <v>178</v>
      </c>
      <c r="E1135" s="55" t="s">
        <v>210</v>
      </c>
      <c r="F1135" s="56" t="n">
        <v>20.24</v>
      </c>
      <c r="G1135" s="57" t="n">
        <f aca="false">MAX(0,IF(AND(Parameter!$B$21="Ja",ISNUMBER(W1135)),W1135,IF(Parameter!$B$20="Jahresanfang 2025 + Export",BJ1135+BI1135,BI1135)))</f>
        <v>0</v>
      </c>
      <c r="H1135" s="57" t="n">
        <f aca="false">G1135*F1135</f>
        <v>0</v>
      </c>
      <c r="I1135" s="57" t="n">
        <f aca="false">BL1135*Parameter!$B$18</f>
        <v>10</v>
      </c>
      <c r="J1135" s="58" t="n">
        <v>14</v>
      </c>
      <c r="K1135" s="59" t="n">
        <v>0.714285714285714</v>
      </c>
      <c r="L1135" s="57" t="n">
        <v>0</v>
      </c>
      <c r="M1135" s="57" t="n">
        <v>10</v>
      </c>
      <c r="N1135" s="60" t="n">
        <v>28</v>
      </c>
      <c r="O1135" s="55" t="s">
        <v>465</v>
      </c>
      <c r="P1135" s="57" t="n">
        <v>7</v>
      </c>
      <c r="Q1135" s="60" t="n">
        <f aca="false">IF(BR1135=1,0,IFERROR(VLOOKUP(BP1135,'Gebinde-Kategorie'!$A$5:$M$45,13,0)+0,0))</f>
        <v>66</v>
      </c>
      <c r="R1135" s="61"/>
      <c r="S1135" s="62"/>
      <c r="T1135" s="62"/>
      <c r="U1135" s="55"/>
      <c r="V1135" s="57"/>
      <c r="W1135" s="57"/>
      <c r="X1135" s="55" t="n">
        <f aca="false">IF(A1135="","",IF(AND(Parameter!$B$21="Ja",ISNUMBER(U1135)),U1135,IF(IFERROR(VLOOKUP(D1135,Parameter!$A$35:$C$64,2,0),"Nein")="2+3",IF(ISNUMBER(SEARCH("grosser Artikel",BM1135)),2,IFERROR(VLOOKUP(BP1135,Parameter!$F$35:$G$64,2,0),2)),IF(OR(IFERROR(VLOOKUP(D1135,Parameter!$A$35:$C$64,2,0),"Nein")="Nein",IFERROR(VLOOKUP(D1135,Parameter!$A$35:$C$64,2,0),"Nein")=""),"-",VLOOKUP(D1135,Parameter!$A$35:$C$64,2,0)))))</f>
        <v>3</v>
      </c>
      <c r="Y1135" s="62"/>
      <c r="Z1135" s="63"/>
      <c r="AA1135" s="57" t="n">
        <f aca="false">AP1135</f>
        <v>14</v>
      </c>
      <c r="AB1135" s="57" t="n">
        <f aca="false">MAX(AP1135,G1135)</f>
        <v>14</v>
      </c>
      <c r="AC1135" s="64"/>
      <c r="AD1135" s="57" t="n">
        <f aca="false">IF(LEFT(Cockpit!$C$5,1)="A",G1135,IF(BW1135=1,BX1135,IF(LEFT(Cockpit!$C$5,1)="B",AH1135,MAX(AH1135,G1135))))</f>
        <v>0</v>
      </c>
      <c r="AE1135" s="57" t="n">
        <f aca="false">IF(BR1135=1,0,ROUNDUP(AD1135/BQ1135,0))</f>
        <v>0</v>
      </c>
      <c r="AF1135" s="59" t="n">
        <f aca="false">IF(CD1135&gt;0,CD1135*MAX(1,AD1135/V1135),IF(BR1135=1,IF(AD1135&lt;=0,0,BS1135*MAX(1,IF(G1135&gt;0,AD1135/G1135,1))),IF(Q1135&gt;0,AE1135/Q1135,0))/MAX(0.1,N(Parameter!$M$21)))</f>
        <v>0</v>
      </c>
      <c r="AG1135" s="57" t="n">
        <f aca="false">AD1135*F1135</f>
        <v>0</v>
      </c>
      <c r="AH1135" s="57" t="n">
        <f aca="false">ROUNDUP(MAX(I1135/IF(BV1135&gt;0,BV1135,MAX(0.1,N(Cockpit!$C$6))),BY1135)/BQ1135,0)*BQ1135</f>
        <v>14</v>
      </c>
      <c r="AI1135" s="58" t="n">
        <f aca="false">IF(AF1135&gt;0,I1135/AF1135,-1)</f>
        <v>-1</v>
      </c>
      <c r="AJ1135" s="58" t="str">
        <f aca="false">IF(AND(OR(BU1135="L1",BU1135="L23"),AF1135&gt;0),SUMIFS($AF$7:$AF$1576,$BU$7:$BU$1576,BU1135,$AI$7:$AI$1576,"&gt;"&amp;AI1135)+SUMIFS($AF$7:$AF$1576,$BU$7:$BU$1576,BU1135,$AI$7:$AI$1576,AI1135,$BO$7:$BO$1576,"&lt;="&amp;BO1135),"")</f>
        <v/>
      </c>
      <c r="AK1135" s="65" t="n">
        <f aca="false">IF(AJ1135="",0,MAX(0,MIN(1,(IF(BU1135="L1",Parameter!$E$5,Parameter!$E$6+Parameter!$E$7)-(AJ1135-AF1135))/AF1135)))</f>
        <v>0</v>
      </c>
      <c r="AL1135" s="57" t="n">
        <f aca="false">IF(LEFT(Cockpit!$I$5,1)="A",G1135,IF(BW1135=1,BX1135,IF(LEFT(Cockpit!$I$5,1)="B",AP1135,MAX(AP1135,G1135))))</f>
        <v>14</v>
      </c>
      <c r="AM1135" s="57" t="n">
        <f aca="false">IF(BR1135=1,0,ROUNDUP(AL1135/BQ1135,0))</f>
        <v>2</v>
      </c>
      <c r="AN1135" s="59" t="n">
        <f aca="false">IF(CD1135&gt;0,CD1135*MAX(1,AL1135/V1135),IF(BR1135=1,IF(AL1135&lt;=0,0,BS1135*MAX(1,IF(G1135&gt;0,AL1135/G1135,1))),IF(Q1135&gt;0,AM1135/Q1135,0))/MAX(0.1,N(Parameter!$M$21)))</f>
        <v>0.0303030303030303</v>
      </c>
      <c r="AO1135" s="57" t="n">
        <f aca="false">AL1135*F1135</f>
        <v>283.36</v>
      </c>
      <c r="AP1135" s="57" t="n">
        <f aca="false">ROUNDUP(MAX(I1135/IF(BV1135&gt;0,BV1135,MAX(0.1,N(Cockpit!$I$6))),BY1135)/BQ1135,0)*BQ1135</f>
        <v>14</v>
      </c>
      <c r="AQ1135" s="58" t="n">
        <f aca="false">IF(AN1135&gt;0,I1135/AN1135,-1)</f>
        <v>330</v>
      </c>
      <c r="AR1135" s="58" t="n">
        <f aca="false">IF(AND(OR(BU1135="L1",BU1135="L23"),AN1135&gt;0),SUMIFS($AN$7:$AN$1576,$BU$7:$BU$1576,BU1135,$AQ$7:$AQ$1576,"&gt;"&amp;AQ1135)+SUMIFS($AN$7:$AN$1576,$BU$7:$BU$1576,BU1135,$AQ$7:$AQ$1576,AQ1135,$BO$7:$BO$1576,"&lt;="&amp;BO1135),"")</f>
        <v>41.9565631594004</v>
      </c>
      <c r="AS1135" s="65" t="n">
        <f aca="false">IF(AR1135="",0,MAX(0,MIN(1,(IF(BU1135="L1",Parameter!$E$5,Parameter!$E$6+Parameter!$E$7)-(AR1135-AN1135))/AN1135)))</f>
        <v>1</v>
      </c>
      <c r="AT1135" s="57" t="n">
        <f aca="false">IF(LEFT(Cockpit!$O$5,1)="A",G1135,IF(BW1135=1,BX1135,IF(LEFT(Cockpit!$O$5,1)="B",AX1135,MAX(AX1135,G1135))))</f>
        <v>14</v>
      </c>
      <c r="AU1135" s="57" t="n">
        <f aca="false">IF(BR1135=1,0,ROUNDUP(AT1135/BQ1135,0))</f>
        <v>2</v>
      </c>
      <c r="AV1135" s="59" t="n">
        <f aca="false">IF(CD1135&gt;0,CD1135*MAX(1,AT1135/V1135),IF(BR1135=1,IF(AT1135&lt;=0,0,BS1135*MAX(1,IF(G1135&gt;0,AT1135/G1135,1))),IF(Q1135&gt;0,AU1135/Q1135,0))/MAX(0.1,N(Parameter!$M$21)))</f>
        <v>0.0303030303030303</v>
      </c>
      <c r="AW1135" s="57" t="n">
        <f aca="false">AT1135*F1135</f>
        <v>283.36</v>
      </c>
      <c r="AX1135" s="57" t="n">
        <f aca="false">ROUNDUP(MAX(I1135/IF(BV1135&gt;0,BV1135,MAX(0.1,N(Cockpit!$O$6))),BY1135)/BQ1135,0)*BQ1135</f>
        <v>14</v>
      </c>
      <c r="AY1135" s="58" t="n">
        <f aca="false">IF(AV1135&gt;0,I1135/AV1135,-1)</f>
        <v>330</v>
      </c>
      <c r="AZ1135" s="58" t="n">
        <f aca="false">IF(AND(OR(BU1135="L1",BU1135="L23"),AV1135&gt;0),SUMIFS($AV$7:$AV$1576,$BU$7:$BU$1576,BU1135,$AY$7:$AY$1576,"&gt;"&amp;AY1135)+SUMIFS($AV$7:$AV$1576,$BU$7:$BU$1576,BU1135,$AY$7:$AY$1576,AY1135,$BO$7:$BO$1576,"&lt;="&amp;BO1135),"")</f>
        <v>38.704641747479</v>
      </c>
      <c r="BA1135" s="65" t="n">
        <f aca="false">IF(AZ1135="",0,MAX(0,MIN(1,(IF(BU1135="L1",Parameter!$E$5,Parameter!$E$6+Parameter!$E$7)-(AZ1135-AV1135))/AV1135)))</f>
        <v>1</v>
      </c>
      <c r="BB1135" s="55" t="str">
        <f aca="false">IF(AF1135&lt;=0,"",IF(BU1135="Aussen","Aussenlager",IF(BU1135="-","Nicht im Lift",IF(AK1135&gt;=1,"Lift",IF(AK1135&lt;=0,"Aussenlager","teilweise")))))</f>
        <v/>
      </c>
      <c r="BC1135" s="55" t="str">
        <f aca="false">IF(AN1135&lt;=0,"",IF(BU1135="Aussen","Aussenlager",IF(BU1135="-","Nicht im Lift",IF(AS1135&gt;=1,"Lift",IF(AS1135&lt;=0,"Aussenlager","teilweise")))))</f>
        <v>Lift</v>
      </c>
      <c r="BD1135" s="55" t="str">
        <f aca="false">IF(AV1135&lt;=0,"",IF(BU1135="Aussen","Aussenlager",IF(BU1135="-","Nicht im Lift",IF(BA1135&gt;=1,"Lift",IF(BA1135&lt;=0,"Aussenlager","teilweise")))))</f>
        <v>Lift</v>
      </c>
      <c r="BE1135" s="55" t="str">
        <f aca="false">IF(A1135="","",IF(BN1135=1,"Neu; ","")&amp;IF(AND(BN1135=0,BI1135&lt;0),"negativer Bestand (Export "&amp;BI1135&amp;"); ","")&amp;IF(I1135&lt;=0,"Kein Verbrauch; ","")&amp;IF(CD1135&gt;0,"Lift "&amp;U1135&amp;" lt. Liftbericht (Fach "&amp;V1135&amp;" Stk); ",IF(BR1135=1,"Lose – Fläche geschätzt; ",""))&amp;IF(G1135&gt;AP1135,"Überbestand "&amp;ROUND(G1135-AP1135,0)&amp;" Stk / CHF "&amp;ROUND((G1135-AP1135)*F1135,0)&amp;"; ","")&amp;IF(AND(BW1135=1,BX1135&lt;BY1135),"MAX &lt; MB+LG; ","")&amp;IF(AND(CC1135&gt;0,CB1135*10&gt;CC1135),"zu hoch für Tablar; ","")&amp;IF(AND(BN1135=0,OR(BW1135=1,Y1135&lt;&gt;"",S1135&lt;&gt;"",T1135&lt;&gt;"",Z1135&lt;&gt;"")),"manuell übersteuert; ","")&amp;IF(AND(BR1135=0,Q1135=0),"Gebinde unbekannt / Stellmass fehlt; ","")&amp;IF(AND(BR1135=0,N(T1135)&lt;=0,N(P1135)&lt;=0),"Menge pro Gebinde fehlt (Ist = 1 Gebinde); ","")&amp;BM1135)</f>
        <v>negativer Bestand (Export -13); </v>
      </c>
      <c r="BF1135" s="55"/>
      <c r="BG1135" s="55"/>
      <c r="BH1135" s="62"/>
      <c r="BI1135" s="57" t="n">
        <v>-13</v>
      </c>
      <c r="BJ1135" s="57" t="n">
        <v>19</v>
      </c>
      <c r="BK1135" s="56" t="n">
        <v>-263.12</v>
      </c>
      <c r="BL1135" s="57" t="n">
        <v>10</v>
      </c>
      <c r="BM1135" s="55"/>
      <c r="BN1135" s="60" t="n">
        <v>0</v>
      </c>
      <c r="BO1135" s="60" t="n">
        <v>1135</v>
      </c>
      <c r="BP1135" s="55" t="str">
        <f aca="false">IF(S1135&lt;&gt;"",UPPER(TRIM(S1135)),IF(O1135="","LOSE",O1135))</f>
        <v>S33</v>
      </c>
      <c r="BQ1135" s="57" t="n">
        <f aca="false">IF(BP1135="LOSE",1,IF(N(T1135)&gt;0,T1135,IF(N(P1135)&gt;0,P1135,MAX(1,G1135))))</f>
        <v>7</v>
      </c>
      <c r="BR1135" s="60" t="n">
        <f aca="false">IF(BP1135="LOSE",1,0)</f>
        <v>0</v>
      </c>
      <c r="BS1135" s="59" t="n">
        <f aca="false">IF(BR1135=0,0,IF(N(R1135)&gt;0,R1135,IFERROR(VLOOKUP(D1135,Parameter!$A$35:$C$64,3,0)+0,0)))</f>
        <v>0</v>
      </c>
      <c r="BT1135" s="55" t="n">
        <f aca="false">IF(Y1135&lt;&gt;"",Y1135,X1135)</f>
        <v>3</v>
      </c>
      <c r="BU1135" s="55" t="str">
        <f aca="false">IF(BT1135=1,"L1",IF(OR(BT1135=2,BT1135=3),"L23",IF(BT1135="Aussen","Aussen","-")))</f>
        <v>L23</v>
      </c>
      <c r="BV1135" s="66" t="n">
        <f aca="false">IF(N(Z1135)&gt;0,Z1135,0)</f>
        <v>0</v>
      </c>
      <c r="BW1135" s="60" t="n">
        <f aca="false">IF(ISNUMBER(AC1135),1,0)</f>
        <v>0</v>
      </c>
      <c r="BX1135" s="57" t="n">
        <f aca="false">N(AC1135)</f>
        <v>0</v>
      </c>
      <c r="BY1135" s="57" t="n">
        <f aca="false">N(L1135)+N(M1135)</f>
        <v>10</v>
      </c>
      <c r="BZ1135" s="57" t="n">
        <f aca="false">ROUNDUP(G1135/BQ1135,0)</f>
        <v>0</v>
      </c>
      <c r="CA1135" s="57" t="n">
        <f aca="false">ROUNDUP(BX1135/BQ1135,0)</f>
        <v>0</v>
      </c>
      <c r="CB1135" s="60" t="n">
        <f aca="false">IF(BR1135=1,0,IFERROR(VLOOKUP(BP1135,'Gebinde-Kategorie'!$A$5:$M$45,5,0)+0,0))</f>
        <v>8</v>
      </c>
      <c r="CC1135" s="60" t="n">
        <f aca="false">IFERROR(IF(OR(BT1135=1,BT1135=2,BT1135=3),N(INDEX(Parameter!$I$5:$I$7,BT1135)),0),0)</f>
        <v>0</v>
      </c>
      <c r="CD1135" s="59" t="n">
        <f aca="false">IF(AND(Parameter!$B$21="Ja",ISNUMBER(U1135),N(V1135)&gt;0),IFERROR(N(INDEX(Parameter!$L$5:$L$7,U1135))*INDEX(Parameter!$E$5:$E$7,U1135)*V1135/SUMIFS($V$7:$V$1576,$U$7:$U$1576,U1135),0),0)</f>
        <v>0</v>
      </c>
    </row>
    <row r="1136" customFormat="false" ht="15" hidden="false" customHeight="false" outlineLevel="0" collapsed="false">
      <c r="A1136" s="55" t="s">
        <v>2042</v>
      </c>
      <c r="B1136" s="55" t="s">
        <v>2023</v>
      </c>
      <c r="C1136" s="55" t="s">
        <v>160</v>
      </c>
      <c r="D1136" s="55" t="s">
        <v>178</v>
      </c>
      <c r="E1136" s="55" t="s">
        <v>210</v>
      </c>
      <c r="F1136" s="56" t="n">
        <v>66.83</v>
      </c>
      <c r="G1136" s="57" t="n">
        <f aca="false">MAX(0,IF(AND(Parameter!$B$21="Ja",ISNUMBER(W1136)),W1136,IF(Parameter!$B$20="Jahresanfang 2025 + Export",BJ1136+BI1136,BI1136)))</f>
        <v>0</v>
      </c>
      <c r="H1136" s="57" t="n">
        <f aca="false">G1136*F1136</f>
        <v>0</v>
      </c>
      <c r="I1136" s="57" t="n">
        <f aca="false">BL1136*Parameter!$B$18</f>
        <v>0</v>
      </c>
      <c r="J1136" s="58" t="n">
        <v>8.5</v>
      </c>
      <c r="K1136" s="59" t="n">
        <v>0</v>
      </c>
      <c r="L1136" s="57" t="n">
        <v>0</v>
      </c>
      <c r="M1136" s="57" t="n">
        <v>1</v>
      </c>
      <c r="N1136" s="60" t="n">
        <v>28</v>
      </c>
      <c r="O1136" s="55" t="s">
        <v>293</v>
      </c>
      <c r="P1136" s="57" t="n">
        <v>6</v>
      </c>
      <c r="Q1136" s="60" t="n">
        <f aca="false">IF(BR1136=1,0,IFERROR(VLOOKUP(BP1136,'Gebinde-Kategorie'!$A$5:$M$45,13,0)+0,0))</f>
        <v>26</v>
      </c>
      <c r="R1136" s="61"/>
      <c r="S1136" s="62"/>
      <c r="T1136" s="62"/>
      <c r="U1136" s="55"/>
      <c r="V1136" s="57"/>
      <c r="W1136" s="57"/>
      <c r="X1136" s="55" t="n">
        <f aca="false">IF(A1136="","",IF(AND(Parameter!$B$21="Ja",ISNUMBER(U1136)),U1136,IF(IFERROR(VLOOKUP(D1136,Parameter!$A$35:$C$64,2,0),"Nein")="2+3",IF(ISNUMBER(SEARCH("grosser Artikel",BM1136)),2,IFERROR(VLOOKUP(BP1136,Parameter!$F$35:$G$64,2,0),2)),IF(OR(IFERROR(VLOOKUP(D1136,Parameter!$A$35:$C$64,2,0),"Nein")="Nein",IFERROR(VLOOKUP(D1136,Parameter!$A$35:$C$64,2,0),"Nein")=""),"-",VLOOKUP(D1136,Parameter!$A$35:$C$64,2,0)))))</f>
        <v>3</v>
      </c>
      <c r="Y1136" s="62"/>
      <c r="Z1136" s="63"/>
      <c r="AA1136" s="57" t="n">
        <f aca="false">AP1136</f>
        <v>6</v>
      </c>
      <c r="AB1136" s="57" t="n">
        <f aca="false">MAX(AP1136,G1136)</f>
        <v>6</v>
      </c>
      <c r="AC1136" s="64"/>
      <c r="AD1136" s="57" t="n">
        <f aca="false">IF(LEFT(Cockpit!$C$5,1)="A",G1136,IF(BW1136=1,BX1136,IF(LEFT(Cockpit!$C$5,1)="B",AH1136,MAX(AH1136,G1136))))</f>
        <v>0</v>
      </c>
      <c r="AE1136" s="57" t="n">
        <f aca="false">IF(BR1136=1,0,ROUNDUP(AD1136/BQ1136,0))</f>
        <v>0</v>
      </c>
      <c r="AF1136" s="59" t="n">
        <f aca="false">IF(CD1136&gt;0,CD1136*MAX(1,AD1136/V1136),IF(BR1136=1,IF(AD1136&lt;=0,0,BS1136*MAX(1,IF(G1136&gt;0,AD1136/G1136,1))),IF(Q1136&gt;0,AE1136/Q1136,0))/MAX(0.1,N(Parameter!$M$21)))</f>
        <v>0</v>
      </c>
      <c r="AG1136" s="57" t="n">
        <f aca="false">AD1136*F1136</f>
        <v>0</v>
      </c>
      <c r="AH1136" s="57" t="n">
        <f aca="false">ROUNDUP(MAX(I1136/IF(BV1136&gt;0,BV1136,MAX(0.1,N(Cockpit!$C$6))),BY1136)/BQ1136,0)*BQ1136</f>
        <v>6</v>
      </c>
      <c r="AI1136" s="58" t="n">
        <f aca="false">IF(AF1136&gt;0,I1136/AF1136,-1)</f>
        <v>-1</v>
      </c>
      <c r="AJ1136" s="58" t="str">
        <f aca="false">IF(AND(OR(BU1136="L1",BU1136="L23"),AF1136&gt;0),SUMIFS($AF$7:$AF$1576,$BU$7:$BU$1576,BU1136,$AI$7:$AI$1576,"&gt;"&amp;AI1136)+SUMIFS($AF$7:$AF$1576,$BU$7:$BU$1576,BU1136,$AI$7:$AI$1576,AI1136,$BO$7:$BO$1576,"&lt;="&amp;BO1136),"")</f>
        <v/>
      </c>
      <c r="AK1136" s="65" t="n">
        <f aca="false">IF(AJ1136="",0,MAX(0,MIN(1,(IF(BU1136="L1",Parameter!$E$5,Parameter!$E$6+Parameter!$E$7)-(AJ1136-AF1136))/AF1136)))</f>
        <v>0</v>
      </c>
      <c r="AL1136" s="57" t="n">
        <f aca="false">IF(LEFT(Cockpit!$I$5,1)="A",G1136,IF(BW1136=1,BX1136,IF(LEFT(Cockpit!$I$5,1)="B",AP1136,MAX(AP1136,G1136))))</f>
        <v>6</v>
      </c>
      <c r="AM1136" s="57" t="n">
        <f aca="false">IF(BR1136=1,0,ROUNDUP(AL1136/BQ1136,0))</f>
        <v>1</v>
      </c>
      <c r="AN1136" s="59" t="n">
        <f aca="false">IF(CD1136&gt;0,CD1136*MAX(1,AL1136/V1136),IF(BR1136=1,IF(AL1136&lt;=0,0,BS1136*MAX(1,IF(G1136&gt;0,AL1136/G1136,1))),IF(Q1136&gt;0,AM1136/Q1136,0))/MAX(0.1,N(Parameter!$M$21)))</f>
        <v>0.0384615384615385</v>
      </c>
      <c r="AO1136" s="57" t="n">
        <f aca="false">AL1136*F1136</f>
        <v>400.98</v>
      </c>
      <c r="AP1136" s="57" t="n">
        <f aca="false">ROUNDUP(MAX(I1136/IF(BV1136&gt;0,BV1136,MAX(0.1,N(Cockpit!$I$6))),BY1136)/BQ1136,0)*BQ1136</f>
        <v>6</v>
      </c>
      <c r="AQ1136" s="58" t="n">
        <f aca="false">IF(AN1136&gt;0,I1136/AN1136,-1)</f>
        <v>0</v>
      </c>
      <c r="AR1136" s="58" t="n">
        <f aca="false">IF(AND(OR(BU1136="L1",BU1136="L23"),AN1136&gt;0),SUMIFS($AN$7:$AN$1576,$BU$7:$BU$1576,BU1136,$AQ$7:$AQ$1576,"&gt;"&amp;AQ1136)+SUMIFS($AN$7:$AN$1576,$BU$7:$BU$1576,BU1136,$AQ$7:$AQ$1576,AQ1136,$BO$7:$BO$1576,"&lt;="&amp;BO1136),"")</f>
        <v>134.244923216927</v>
      </c>
      <c r="AS1136" s="65" t="n">
        <f aca="false">IF(AR1136="",0,MAX(0,MIN(1,(IF(BU1136="L1",Parameter!$E$5,Parameter!$E$6+Parameter!$E$7)-(AR1136-AN1136))/AN1136)))</f>
        <v>0</v>
      </c>
      <c r="AT1136" s="57" t="n">
        <f aca="false">IF(LEFT(Cockpit!$O$5,1)="A",G1136,IF(BW1136=1,BX1136,IF(LEFT(Cockpit!$O$5,1)="B",AX1136,MAX(AX1136,G1136))))</f>
        <v>6</v>
      </c>
      <c r="AU1136" s="57" t="n">
        <f aca="false">IF(BR1136=1,0,ROUNDUP(AT1136/BQ1136,0))</f>
        <v>1</v>
      </c>
      <c r="AV1136" s="59" t="n">
        <f aca="false">IF(CD1136&gt;0,CD1136*MAX(1,AT1136/V1136),IF(BR1136=1,IF(AT1136&lt;=0,0,BS1136*MAX(1,IF(G1136&gt;0,AT1136/G1136,1))),IF(Q1136&gt;0,AU1136/Q1136,0))/MAX(0.1,N(Parameter!$M$21)))</f>
        <v>0.0384615384615385</v>
      </c>
      <c r="AW1136" s="57" t="n">
        <f aca="false">AT1136*F1136</f>
        <v>400.98</v>
      </c>
      <c r="AX1136" s="57" t="n">
        <f aca="false">ROUNDUP(MAX(I1136/IF(BV1136&gt;0,BV1136,MAX(0.1,N(Cockpit!$O$6))),BY1136)/BQ1136,0)*BQ1136</f>
        <v>6</v>
      </c>
      <c r="AY1136" s="58" t="n">
        <f aca="false">IF(AV1136&gt;0,I1136/AV1136,-1)</f>
        <v>0</v>
      </c>
      <c r="AZ1136" s="58" t="n">
        <f aca="false">IF(AND(OR(BU1136="L1",BU1136="L23"),AV1136&gt;0),SUMIFS($AV$7:$AV$1576,$BU$7:$BU$1576,BU1136,$AY$7:$AY$1576,"&gt;"&amp;AY1136)+SUMIFS($AV$7:$AV$1576,$BU$7:$BU$1576,BU1136,$AY$7:$AY$1576,AY1136,$BO$7:$BO$1576,"&lt;="&amp;BO1136),"")</f>
        <v>124.304473666478</v>
      </c>
      <c r="BA1136" s="65" t="n">
        <f aca="false">IF(AZ1136="",0,MAX(0,MIN(1,(IF(BU1136="L1",Parameter!$E$5,Parameter!$E$6+Parameter!$E$7)-(AZ1136-AV1136))/AV1136)))</f>
        <v>0</v>
      </c>
      <c r="BB1136" s="55" t="str">
        <f aca="false">IF(AF1136&lt;=0,"",IF(BU1136="Aussen","Aussenlager",IF(BU1136="-","Nicht im Lift",IF(AK1136&gt;=1,"Lift",IF(AK1136&lt;=0,"Aussenlager","teilweise")))))</f>
        <v/>
      </c>
      <c r="BC1136" s="55" t="str">
        <f aca="false">IF(AN1136&lt;=0,"",IF(BU1136="Aussen","Aussenlager",IF(BU1136="-","Nicht im Lift",IF(AS1136&gt;=1,"Lift",IF(AS1136&lt;=0,"Aussenlager","teilweise")))))</f>
        <v>Aussenlager</v>
      </c>
      <c r="BD1136" s="55" t="str">
        <f aca="false">IF(AV1136&lt;=0,"",IF(BU1136="Aussen","Aussenlager",IF(BU1136="-","Nicht im Lift",IF(BA1136&gt;=1,"Lift",IF(BA1136&lt;=0,"Aussenlager","teilweise")))))</f>
        <v>Aussenlager</v>
      </c>
      <c r="BE1136" s="55" t="str">
        <f aca="false">IF(A1136="","",IF(BN1136=1,"Neu; ","")&amp;IF(AND(BN1136=0,BI1136&lt;0),"negativer Bestand (Export "&amp;BI1136&amp;"); ","")&amp;IF(I1136&lt;=0,"Kein Verbrauch; ","")&amp;IF(CD1136&gt;0,"Lift "&amp;U1136&amp;" lt. Liftbericht (Fach "&amp;V1136&amp;" Stk); ",IF(BR1136=1,"Lose – Fläche geschätzt; ",""))&amp;IF(G1136&gt;AP1136,"Überbestand "&amp;ROUND(G1136-AP1136,0)&amp;" Stk / CHF "&amp;ROUND((G1136-AP1136)*F1136,0)&amp;"; ","")&amp;IF(AND(BW1136=1,BX1136&lt;BY1136),"MAX &lt; MB+LG; ","")&amp;IF(AND(CC1136&gt;0,CB1136*10&gt;CC1136),"zu hoch für Tablar; ","")&amp;IF(AND(BN1136=0,OR(BW1136=1,Y1136&lt;&gt;"",S1136&lt;&gt;"",T1136&lt;&gt;"",Z1136&lt;&gt;"")),"manuell übersteuert; ","")&amp;IF(AND(BR1136=0,Q1136=0),"Gebinde unbekannt / Stellmass fehlt; ","")&amp;IF(AND(BR1136=0,N(T1136)&lt;=0,N(P1136)&lt;=0),"Menge pro Gebinde fehlt (Ist = 1 Gebinde); ","")&amp;BM1136)</f>
        <v>negativer Bestand (Export -4); Kein Verbrauch; </v>
      </c>
      <c r="BF1136" s="55"/>
      <c r="BG1136" s="55"/>
      <c r="BH1136" s="62"/>
      <c r="BI1136" s="57" t="n">
        <v>-4</v>
      </c>
      <c r="BJ1136" s="57" t="n">
        <v>8</v>
      </c>
      <c r="BK1136" s="56" t="n">
        <v>-267.32</v>
      </c>
      <c r="BL1136" s="57" t="n">
        <v>0</v>
      </c>
      <c r="BM1136" s="55"/>
      <c r="BN1136" s="60" t="n">
        <v>0</v>
      </c>
      <c r="BO1136" s="60" t="n">
        <v>1136</v>
      </c>
      <c r="BP1136" s="55" t="str">
        <f aca="false">IF(S1136&lt;&gt;"",UPPER(TRIM(S1136)),IF(O1136="","LOSE",O1136))</f>
        <v>S51</v>
      </c>
      <c r="BQ1136" s="57" t="n">
        <f aca="false">IF(BP1136="LOSE",1,IF(N(T1136)&gt;0,T1136,IF(N(P1136)&gt;0,P1136,MAX(1,G1136))))</f>
        <v>6</v>
      </c>
      <c r="BR1136" s="60" t="n">
        <f aca="false">IF(BP1136="LOSE",1,0)</f>
        <v>0</v>
      </c>
      <c r="BS1136" s="59" t="n">
        <f aca="false">IF(BR1136=0,0,IF(N(R1136)&gt;0,R1136,IFERROR(VLOOKUP(D1136,Parameter!$A$35:$C$64,3,0)+0,0)))</f>
        <v>0</v>
      </c>
      <c r="BT1136" s="55" t="n">
        <f aca="false">IF(Y1136&lt;&gt;"",Y1136,X1136)</f>
        <v>3</v>
      </c>
      <c r="BU1136" s="55" t="str">
        <f aca="false">IF(BT1136=1,"L1",IF(OR(BT1136=2,BT1136=3),"L23",IF(BT1136="Aussen","Aussen","-")))</f>
        <v>L23</v>
      </c>
      <c r="BV1136" s="66" t="n">
        <f aca="false">IF(N(Z1136)&gt;0,Z1136,0)</f>
        <v>0</v>
      </c>
      <c r="BW1136" s="60" t="n">
        <f aca="false">IF(ISNUMBER(AC1136),1,0)</f>
        <v>0</v>
      </c>
      <c r="BX1136" s="57" t="n">
        <f aca="false">N(AC1136)</f>
        <v>0</v>
      </c>
      <c r="BY1136" s="57" t="n">
        <f aca="false">N(L1136)+N(M1136)</f>
        <v>1</v>
      </c>
      <c r="BZ1136" s="57" t="n">
        <f aca="false">ROUNDUP(G1136/BQ1136,0)</f>
        <v>0</v>
      </c>
      <c r="CA1136" s="57" t="n">
        <f aca="false">ROUNDUP(BX1136/BQ1136,0)</f>
        <v>0</v>
      </c>
      <c r="CB1136" s="60" t="n">
        <f aca="false">IF(BR1136=1,0,IFERROR(VLOOKUP(BP1136,'Gebinde-Kategorie'!$A$5:$M$45,5,0)+0,0))</f>
        <v>11</v>
      </c>
      <c r="CC1136" s="60" t="n">
        <f aca="false">IFERROR(IF(OR(BT1136=1,BT1136=2,BT1136=3),N(INDEX(Parameter!$I$5:$I$7,BT1136)),0),0)</f>
        <v>0</v>
      </c>
      <c r="CD1136" s="59" t="n">
        <f aca="false">IF(AND(Parameter!$B$21="Ja",ISNUMBER(U1136),N(V1136)&gt;0),IFERROR(N(INDEX(Parameter!$L$5:$L$7,U1136))*INDEX(Parameter!$E$5:$E$7,U1136)*V1136/SUMIFS($V$7:$V$1576,$U$7:$U$1576,U1136),0),0)</f>
        <v>0</v>
      </c>
    </row>
    <row r="1137" customFormat="false" ht="15" hidden="false" customHeight="false" outlineLevel="0" collapsed="false">
      <c r="A1137" s="55" t="s">
        <v>2043</v>
      </c>
      <c r="B1137" s="55" t="s">
        <v>2044</v>
      </c>
      <c r="C1137" s="55" t="s">
        <v>160</v>
      </c>
      <c r="D1137" s="55" t="s">
        <v>178</v>
      </c>
      <c r="E1137" s="55" t="s">
        <v>210</v>
      </c>
      <c r="F1137" s="56" t="n">
        <v>275.65</v>
      </c>
      <c r="G1137" s="57" t="n">
        <f aca="false">MAX(0,IF(AND(Parameter!$B$21="Ja",ISNUMBER(W1137)),W1137,IF(Parameter!$B$20="Jahresanfang 2025 + Export",BJ1137+BI1137,BI1137)))</f>
        <v>0</v>
      </c>
      <c r="H1137" s="57" t="n">
        <f aca="false">G1137*F1137</f>
        <v>0</v>
      </c>
      <c r="I1137" s="57" t="n">
        <f aca="false">BL1137*Parameter!$B$18</f>
        <v>0</v>
      </c>
      <c r="J1137" s="58" t="n">
        <v>2</v>
      </c>
      <c r="K1137" s="59" t="n">
        <v>0</v>
      </c>
      <c r="L1137" s="57" t="n">
        <v>0</v>
      </c>
      <c r="M1137" s="57" t="n">
        <v>2</v>
      </c>
      <c r="N1137" s="60" t="n">
        <v>70</v>
      </c>
      <c r="O1137" s="55" t="s">
        <v>218</v>
      </c>
      <c r="P1137" s="57" t="n">
        <v>2</v>
      </c>
      <c r="Q1137" s="60" t="n">
        <f aca="false">IF(BR1137=1,0,IFERROR(VLOOKUP(BP1137,'Gebinde-Kategorie'!$A$5:$M$45,13,0)+0,0))</f>
        <v>12</v>
      </c>
      <c r="R1137" s="61"/>
      <c r="S1137" s="62"/>
      <c r="T1137" s="62"/>
      <c r="U1137" s="55"/>
      <c r="V1137" s="57"/>
      <c r="W1137" s="57"/>
      <c r="X1137" s="55" t="n">
        <f aca="false">IF(A1137="","",IF(AND(Parameter!$B$21="Ja",ISNUMBER(U1137)),U1137,IF(IFERROR(VLOOKUP(D1137,Parameter!$A$35:$C$64,2,0),"Nein")="2+3",IF(ISNUMBER(SEARCH("grosser Artikel",BM1137)),2,IFERROR(VLOOKUP(BP1137,Parameter!$F$35:$G$64,2,0),2)),IF(OR(IFERROR(VLOOKUP(D1137,Parameter!$A$35:$C$64,2,0),"Nein")="Nein",IFERROR(VLOOKUP(D1137,Parameter!$A$35:$C$64,2,0),"Nein")=""),"-",VLOOKUP(D1137,Parameter!$A$35:$C$64,2,0)))))</f>
        <v>2</v>
      </c>
      <c r="Y1137" s="62"/>
      <c r="Z1137" s="63"/>
      <c r="AA1137" s="57" t="n">
        <f aca="false">AP1137</f>
        <v>2</v>
      </c>
      <c r="AB1137" s="57" t="n">
        <f aca="false">MAX(AP1137,G1137)</f>
        <v>2</v>
      </c>
      <c r="AC1137" s="64"/>
      <c r="AD1137" s="57" t="n">
        <f aca="false">IF(LEFT(Cockpit!$C$5,1)="A",G1137,IF(BW1137=1,BX1137,IF(LEFT(Cockpit!$C$5,1)="B",AH1137,MAX(AH1137,G1137))))</f>
        <v>0</v>
      </c>
      <c r="AE1137" s="57" t="n">
        <f aca="false">IF(BR1137=1,0,ROUNDUP(AD1137/BQ1137,0))</f>
        <v>0</v>
      </c>
      <c r="AF1137" s="59" t="n">
        <f aca="false">IF(CD1137&gt;0,CD1137*MAX(1,AD1137/V1137),IF(BR1137=1,IF(AD1137&lt;=0,0,BS1137*MAX(1,IF(G1137&gt;0,AD1137/G1137,1))),IF(Q1137&gt;0,AE1137/Q1137,0))/MAX(0.1,N(Parameter!$M$21)))</f>
        <v>0</v>
      </c>
      <c r="AG1137" s="57" t="n">
        <f aca="false">AD1137*F1137</f>
        <v>0</v>
      </c>
      <c r="AH1137" s="57" t="n">
        <f aca="false">ROUNDUP(MAX(I1137/IF(BV1137&gt;0,BV1137,MAX(0.1,N(Cockpit!$C$6))),BY1137)/BQ1137,0)*BQ1137</f>
        <v>2</v>
      </c>
      <c r="AI1137" s="58" t="n">
        <f aca="false">IF(AF1137&gt;0,I1137/AF1137,-1)</f>
        <v>-1</v>
      </c>
      <c r="AJ1137" s="58" t="str">
        <f aca="false">IF(AND(OR(BU1137="L1",BU1137="L23"),AF1137&gt;0),SUMIFS($AF$7:$AF$1576,$BU$7:$BU$1576,BU1137,$AI$7:$AI$1576,"&gt;"&amp;AI1137)+SUMIFS($AF$7:$AF$1576,$BU$7:$BU$1576,BU1137,$AI$7:$AI$1576,AI1137,$BO$7:$BO$1576,"&lt;="&amp;BO1137),"")</f>
        <v/>
      </c>
      <c r="AK1137" s="65" t="n">
        <f aca="false">IF(AJ1137="",0,MAX(0,MIN(1,(IF(BU1137="L1",Parameter!$E$5,Parameter!$E$6+Parameter!$E$7)-(AJ1137-AF1137))/AF1137)))</f>
        <v>0</v>
      </c>
      <c r="AL1137" s="57" t="n">
        <f aca="false">IF(LEFT(Cockpit!$I$5,1)="A",G1137,IF(BW1137=1,BX1137,IF(LEFT(Cockpit!$I$5,1)="B",AP1137,MAX(AP1137,G1137))))</f>
        <v>2</v>
      </c>
      <c r="AM1137" s="57" t="n">
        <f aca="false">IF(BR1137=1,0,ROUNDUP(AL1137/BQ1137,0))</f>
        <v>1</v>
      </c>
      <c r="AN1137" s="59" t="n">
        <f aca="false">IF(CD1137&gt;0,CD1137*MAX(1,AL1137/V1137),IF(BR1137=1,IF(AL1137&lt;=0,0,BS1137*MAX(1,IF(G1137&gt;0,AL1137/G1137,1))),IF(Q1137&gt;0,AM1137/Q1137,0))/MAX(0.1,N(Parameter!$M$21)))</f>
        <v>0.0833333333333333</v>
      </c>
      <c r="AO1137" s="57" t="n">
        <f aca="false">AL1137*F1137</f>
        <v>551.3</v>
      </c>
      <c r="AP1137" s="57" t="n">
        <f aca="false">ROUNDUP(MAX(I1137/IF(BV1137&gt;0,BV1137,MAX(0.1,N(Cockpit!$I$6))),BY1137)/BQ1137,0)*BQ1137</f>
        <v>2</v>
      </c>
      <c r="AQ1137" s="58" t="n">
        <f aca="false">IF(AN1137&gt;0,I1137/AN1137,-1)</f>
        <v>0</v>
      </c>
      <c r="AR1137" s="58" t="n">
        <f aca="false">IF(AND(OR(BU1137="L1",BU1137="L23"),AN1137&gt;0),SUMIFS($AN$7:$AN$1576,$BU$7:$BU$1576,BU1137,$AQ$7:$AQ$1576,"&gt;"&amp;AQ1137)+SUMIFS($AN$7:$AN$1576,$BU$7:$BU$1576,BU1137,$AQ$7:$AQ$1576,AQ1137,$BO$7:$BO$1576,"&lt;="&amp;BO1137),"")</f>
        <v>134.328256550261</v>
      </c>
      <c r="AS1137" s="65" t="n">
        <f aca="false">IF(AR1137="",0,MAX(0,MIN(1,(IF(BU1137="L1",Parameter!$E$5,Parameter!$E$6+Parameter!$E$7)-(AR1137-AN1137))/AN1137)))</f>
        <v>0</v>
      </c>
      <c r="AT1137" s="57" t="n">
        <f aca="false">IF(LEFT(Cockpit!$O$5,1)="A",G1137,IF(BW1137=1,BX1137,IF(LEFT(Cockpit!$O$5,1)="B",AX1137,MAX(AX1137,G1137))))</f>
        <v>2</v>
      </c>
      <c r="AU1137" s="57" t="n">
        <f aca="false">IF(BR1137=1,0,ROUNDUP(AT1137/BQ1137,0))</f>
        <v>1</v>
      </c>
      <c r="AV1137" s="59" t="n">
        <f aca="false">IF(CD1137&gt;0,CD1137*MAX(1,AT1137/V1137),IF(BR1137=1,IF(AT1137&lt;=0,0,BS1137*MAX(1,IF(G1137&gt;0,AT1137/G1137,1))),IF(Q1137&gt;0,AU1137/Q1137,0))/MAX(0.1,N(Parameter!$M$21)))</f>
        <v>0.0833333333333333</v>
      </c>
      <c r="AW1137" s="57" t="n">
        <f aca="false">AT1137*F1137</f>
        <v>551.3</v>
      </c>
      <c r="AX1137" s="57" t="n">
        <f aca="false">ROUNDUP(MAX(I1137/IF(BV1137&gt;0,BV1137,MAX(0.1,N(Cockpit!$O$6))),BY1137)/BQ1137,0)*BQ1137</f>
        <v>2</v>
      </c>
      <c r="AY1137" s="58" t="n">
        <f aca="false">IF(AV1137&gt;0,I1137/AV1137,-1)</f>
        <v>0</v>
      </c>
      <c r="AZ1137" s="58" t="n">
        <f aca="false">IF(AND(OR(BU1137="L1",BU1137="L23"),AV1137&gt;0),SUMIFS($AV$7:$AV$1576,$BU$7:$BU$1576,BU1137,$AY$7:$AY$1576,"&gt;"&amp;AY1137)+SUMIFS($AV$7:$AV$1576,$BU$7:$BU$1576,BU1137,$AY$7:$AY$1576,AY1137,$BO$7:$BO$1576,"&lt;="&amp;BO1137),"")</f>
        <v>124.387806999811</v>
      </c>
      <c r="BA1137" s="65" t="n">
        <f aca="false">IF(AZ1137="",0,MAX(0,MIN(1,(IF(BU1137="L1",Parameter!$E$5,Parameter!$E$6+Parameter!$E$7)-(AZ1137-AV1137))/AV1137)))</f>
        <v>0</v>
      </c>
      <c r="BB1137" s="55" t="str">
        <f aca="false">IF(AF1137&lt;=0,"",IF(BU1137="Aussen","Aussenlager",IF(BU1137="-","Nicht im Lift",IF(AK1137&gt;=1,"Lift",IF(AK1137&lt;=0,"Aussenlager","teilweise")))))</f>
        <v/>
      </c>
      <c r="BC1137" s="55" t="str">
        <f aca="false">IF(AN1137&lt;=0,"",IF(BU1137="Aussen","Aussenlager",IF(BU1137="-","Nicht im Lift",IF(AS1137&gt;=1,"Lift",IF(AS1137&lt;=0,"Aussenlager","teilweise")))))</f>
        <v>Aussenlager</v>
      </c>
      <c r="BD1137" s="55" t="str">
        <f aca="false">IF(AV1137&lt;=0,"",IF(BU1137="Aussen","Aussenlager",IF(BU1137="-","Nicht im Lift",IF(BA1137&gt;=1,"Lift",IF(BA1137&lt;=0,"Aussenlager","teilweise")))))</f>
        <v>Aussenlager</v>
      </c>
      <c r="BE1137" s="55" t="str">
        <f aca="false">IF(A1137="","",IF(BN1137=1,"Neu; ","")&amp;IF(AND(BN1137=0,BI1137&lt;0),"negativer Bestand (Export "&amp;BI1137&amp;"); ","")&amp;IF(I1137&lt;=0,"Kein Verbrauch; ","")&amp;IF(CD1137&gt;0,"Lift "&amp;U1137&amp;" lt. Liftbericht (Fach "&amp;V1137&amp;" Stk); ",IF(BR1137=1,"Lose – Fläche geschätzt; ",""))&amp;IF(G1137&gt;AP1137,"Überbestand "&amp;ROUND(G1137-AP1137,0)&amp;" Stk / CHF "&amp;ROUND((G1137-AP1137)*F1137,0)&amp;"; ","")&amp;IF(AND(BW1137=1,BX1137&lt;BY1137),"MAX &lt; MB+LG; ","")&amp;IF(AND(CC1137&gt;0,CB1137*10&gt;CC1137),"zu hoch für Tablar; ","")&amp;IF(AND(BN1137=0,OR(BW1137=1,Y1137&lt;&gt;"",S1137&lt;&gt;"",T1137&lt;&gt;"",Z1137&lt;&gt;"")),"manuell übersteuert; ","")&amp;IF(AND(BR1137=0,Q1137=0),"Gebinde unbekannt / Stellmass fehlt; ","")&amp;IF(AND(BR1137=0,N(T1137)&lt;=0,N(P1137)&lt;=0),"Menge pro Gebinde fehlt (Ist = 1 Gebinde); ","")&amp;BM1137)</f>
        <v>negativer Bestand (Export -1); Kein Verbrauch; </v>
      </c>
      <c r="BF1137" s="55"/>
      <c r="BG1137" s="55"/>
      <c r="BH1137" s="62"/>
      <c r="BI1137" s="57" t="n">
        <v>-1</v>
      </c>
      <c r="BJ1137" s="57" t="n">
        <v>2</v>
      </c>
      <c r="BK1137" s="56" t="n">
        <v>-275.65</v>
      </c>
      <c r="BL1137" s="57" t="n">
        <v>0</v>
      </c>
      <c r="BM1137" s="55"/>
      <c r="BN1137" s="60" t="n">
        <v>0</v>
      </c>
      <c r="BO1137" s="60" t="n">
        <v>1137</v>
      </c>
      <c r="BP1137" s="55" t="str">
        <f aca="false">IF(S1137&lt;&gt;"",UPPER(TRIM(S1137)),IF(O1137="","LOSE",O1137))</f>
        <v>S63</v>
      </c>
      <c r="BQ1137" s="57" t="n">
        <f aca="false">IF(BP1137="LOSE",1,IF(N(T1137)&gt;0,T1137,IF(N(P1137)&gt;0,P1137,MAX(1,G1137))))</f>
        <v>2</v>
      </c>
      <c r="BR1137" s="60" t="n">
        <f aca="false">IF(BP1137="LOSE",1,0)</f>
        <v>0</v>
      </c>
      <c r="BS1137" s="59" t="n">
        <f aca="false">IF(BR1137=0,0,IF(N(R1137)&gt;0,R1137,IFERROR(VLOOKUP(D1137,Parameter!$A$35:$C$64,3,0)+0,0)))</f>
        <v>0</v>
      </c>
      <c r="BT1137" s="55" t="n">
        <f aca="false">IF(Y1137&lt;&gt;"",Y1137,X1137)</f>
        <v>2</v>
      </c>
      <c r="BU1137" s="55" t="str">
        <f aca="false">IF(BT1137=1,"L1",IF(OR(BT1137=2,BT1137=3),"L23",IF(BT1137="Aussen","Aussen","-")))</f>
        <v>L23</v>
      </c>
      <c r="BV1137" s="66" t="n">
        <f aca="false">IF(N(Z1137)&gt;0,Z1137,0)</f>
        <v>0</v>
      </c>
      <c r="BW1137" s="60" t="n">
        <f aca="false">IF(ISNUMBER(AC1137),1,0)</f>
        <v>0</v>
      </c>
      <c r="BX1137" s="57" t="n">
        <f aca="false">N(AC1137)</f>
        <v>0</v>
      </c>
      <c r="BY1137" s="57" t="n">
        <f aca="false">N(L1137)+N(M1137)</f>
        <v>2</v>
      </c>
      <c r="BZ1137" s="57" t="n">
        <f aca="false">ROUNDUP(G1137/BQ1137,0)</f>
        <v>0</v>
      </c>
      <c r="CA1137" s="57" t="n">
        <f aca="false">ROUNDUP(BX1137/BQ1137,0)</f>
        <v>0</v>
      </c>
      <c r="CB1137" s="60" t="n">
        <f aca="false">IF(BR1137=1,0,IFERROR(VLOOKUP(BP1137,'Gebinde-Kategorie'!$A$5:$M$45,5,0)+0,0))</f>
        <v>31</v>
      </c>
      <c r="CC1137" s="60" t="n">
        <f aca="false">IFERROR(IF(OR(BT1137=1,BT1137=2,BT1137=3),N(INDEX(Parameter!$I$5:$I$7,BT1137)),0),0)</f>
        <v>0</v>
      </c>
      <c r="CD1137" s="59" t="n">
        <f aca="false">IF(AND(Parameter!$B$21="Ja",ISNUMBER(U1137),N(V1137)&gt;0),IFERROR(N(INDEX(Parameter!$L$5:$L$7,U1137))*INDEX(Parameter!$E$5:$E$7,U1137)*V1137/SUMIFS($V$7:$V$1576,$U$7:$U$1576,U1137),0),0)</f>
        <v>0</v>
      </c>
    </row>
    <row r="1138" customFormat="false" ht="15" hidden="false" customHeight="false" outlineLevel="0" collapsed="false">
      <c r="A1138" s="55" t="s">
        <v>2045</v>
      </c>
      <c r="B1138" s="55" t="s">
        <v>1935</v>
      </c>
      <c r="C1138" s="55" t="s">
        <v>446</v>
      </c>
      <c r="D1138" s="55" t="s">
        <v>178</v>
      </c>
      <c r="E1138" s="55" t="s">
        <v>210</v>
      </c>
      <c r="F1138" s="56" t="n">
        <v>34.5</v>
      </c>
      <c r="G1138" s="57" t="n">
        <f aca="false">MAX(0,IF(AND(Parameter!$B$21="Ja",ISNUMBER(W1138)),W1138,IF(Parameter!$B$20="Jahresanfang 2025 + Export",BJ1138+BI1138,BI1138)))</f>
        <v>0</v>
      </c>
      <c r="H1138" s="57" t="n">
        <f aca="false">G1138*F1138</f>
        <v>0</v>
      </c>
      <c r="I1138" s="57" t="n">
        <f aca="false">BL1138*Parameter!$B$18</f>
        <v>0</v>
      </c>
      <c r="J1138" s="58" t="n">
        <v>8</v>
      </c>
      <c r="K1138" s="59" t="n">
        <v>0</v>
      </c>
      <c r="L1138" s="57" t="n">
        <v>0</v>
      </c>
      <c r="M1138" s="57" t="n">
        <v>1</v>
      </c>
      <c r="N1138" s="60" t="n">
        <v>21</v>
      </c>
      <c r="O1138" s="55" t="s">
        <v>163</v>
      </c>
      <c r="P1138" s="57"/>
      <c r="Q1138" s="60" t="n">
        <f aca="false">IF(BR1138=1,0,IFERROR(VLOOKUP(BP1138,'Gebinde-Kategorie'!$A$5:$M$45,13,0)+0,0))</f>
        <v>0</v>
      </c>
      <c r="R1138" s="61"/>
      <c r="S1138" s="62"/>
      <c r="T1138" s="62"/>
      <c r="U1138" s="55"/>
      <c r="V1138" s="57"/>
      <c r="W1138" s="57"/>
      <c r="X1138" s="55" t="n">
        <f aca="false">IF(A1138="","",IF(AND(Parameter!$B$21="Ja",ISNUMBER(U1138)),U1138,IF(IFERROR(VLOOKUP(D1138,Parameter!$A$35:$C$64,2,0),"Nein")="2+3",IF(ISNUMBER(SEARCH("grosser Artikel",BM1138)),2,IFERROR(VLOOKUP(BP1138,Parameter!$F$35:$G$64,2,0),2)),IF(OR(IFERROR(VLOOKUP(D1138,Parameter!$A$35:$C$64,2,0),"Nein")="Nein",IFERROR(VLOOKUP(D1138,Parameter!$A$35:$C$64,2,0),"Nein")=""),"-",VLOOKUP(D1138,Parameter!$A$35:$C$64,2,0)))))</f>
        <v>2</v>
      </c>
      <c r="Y1138" s="62"/>
      <c r="Z1138" s="63"/>
      <c r="AA1138" s="57" t="n">
        <f aca="false">AP1138</f>
        <v>1</v>
      </c>
      <c r="AB1138" s="57" t="n">
        <f aca="false">MAX(AP1138,G1138)</f>
        <v>1</v>
      </c>
      <c r="AC1138" s="64"/>
      <c r="AD1138" s="57" t="n">
        <f aca="false">IF(LEFT(Cockpit!$C$5,1)="A",G1138,IF(BW1138=1,BX1138,IF(LEFT(Cockpit!$C$5,1)="B",AH1138,MAX(AH1138,G1138))))</f>
        <v>0</v>
      </c>
      <c r="AE1138" s="57" t="n">
        <f aca="false">IF(BR1138=1,0,ROUNDUP(AD1138/BQ1138,0))</f>
        <v>0</v>
      </c>
      <c r="AF1138" s="59" t="n">
        <f aca="false">IF(CD1138&gt;0,CD1138*MAX(1,AD1138/V1138),IF(BR1138=1,IF(AD1138&lt;=0,0,BS1138*MAX(1,IF(G1138&gt;0,AD1138/G1138,1))),IF(Q1138&gt;0,AE1138/Q1138,0))/MAX(0.1,N(Parameter!$M$21)))</f>
        <v>0</v>
      </c>
      <c r="AG1138" s="57" t="n">
        <f aca="false">AD1138*F1138</f>
        <v>0</v>
      </c>
      <c r="AH1138" s="57" t="n">
        <f aca="false">ROUNDUP(MAX(I1138/IF(BV1138&gt;0,BV1138,MAX(0.1,N(Cockpit!$C$6))),BY1138)/BQ1138,0)*BQ1138</f>
        <v>1</v>
      </c>
      <c r="AI1138" s="58" t="n">
        <f aca="false">IF(AF1138&gt;0,I1138/AF1138,-1)</f>
        <v>-1</v>
      </c>
      <c r="AJ1138" s="58" t="str">
        <f aca="false">IF(AND(OR(BU1138="L1",BU1138="L23"),AF1138&gt;0),SUMIFS($AF$7:$AF$1576,$BU$7:$BU$1576,BU1138,$AI$7:$AI$1576,"&gt;"&amp;AI1138)+SUMIFS($AF$7:$AF$1576,$BU$7:$BU$1576,BU1138,$AI$7:$AI$1576,AI1138,$BO$7:$BO$1576,"&lt;="&amp;BO1138),"")</f>
        <v/>
      </c>
      <c r="AK1138" s="65" t="n">
        <f aca="false">IF(AJ1138="",0,MAX(0,MIN(1,(IF(BU1138="L1",Parameter!$E$5,Parameter!$E$6+Parameter!$E$7)-(AJ1138-AF1138))/AF1138)))</f>
        <v>0</v>
      </c>
      <c r="AL1138" s="57" t="n">
        <f aca="false">IF(LEFT(Cockpit!$I$5,1)="A",G1138,IF(BW1138=1,BX1138,IF(LEFT(Cockpit!$I$5,1)="B",AP1138,MAX(AP1138,G1138))))</f>
        <v>1</v>
      </c>
      <c r="AM1138" s="57" t="n">
        <f aca="false">IF(BR1138=1,0,ROUNDUP(AL1138/BQ1138,0))</f>
        <v>0</v>
      </c>
      <c r="AN1138" s="59" t="n">
        <f aca="false">IF(CD1138&gt;0,CD1138*MAX(1,AL1138/V1138),IF(BR1138=1,IF(AL1138&lt;=0,0,BS1138*MAX(1,IF(G1138&gt;0,AL1138/G1138,1))),IF(Q1138&gt;0,AM1138/Q1138,0))/MAX(0.1,N(Parameter!$M$21)))</f>
        <v>0.03</v>
      </c>
      <c r="AO1138" s="57" t="n">
        <f aca="false">AL1138*F1138</f>
        <v>34.5</v>
      </c>
      <c r="AP1138" s="57" t="n">
        <f aca="false">ROUNDUP(MAX(I1138/IF(BV1138&gt;0,BV1138,MAX(0.1,N(Cockpit!$I$6))),BY1138)/BQ1138,0)*BQ1138</f>
        <v>1</v>
      </c>
      <c r="AQ1138" s="58" t="n">
        <f aca="false">IF(AN1138&gt;0,I1138/AN1138,-1)</f>
        <v>0</v>
      </c>
      <c r="AR1138" s="58" t="n">
        <f aca="false">IF(AND(OR(BU1138="L1",BU1138="L23"),AN1138&gt;0),SUMIFS($AN$7:$AN$1576,$BU$7:$BU$1576,BU1138,$AQ$7:$AQ$1576,"&gt;"&amp;AQ1138)+SUMIFS($AN$7:$AN$1576,$BU$7:$BU$1576,BU1138,$AQ$7:$AQ$1576,AQ1138,$BO$7:$BO$1576,"&lt;="&amp;BO1138),"")</f>
        <v>134.358256550261</v>
      </c>
      <c r="AS1138" s="65" t="n">
        <f aca="false">IF(AR1138="",0,MAX(0,MIN(1,(IF(BU1138="L1",Parameter!$E$5,Parameter!$E$6+Parameter!$E$7)-(AR1138-AN1138))/AN1138)))</f>
        <v>0</v>
      </c>
      <c r="AT1138" s="57" t="n">
        <f aca="false">IF(LEFT(Cockpit!$O$5,1)="A",G1138,IF(BW1138=1,BX1138,IF(LEFT(Cockpit!$O$5,1)="B",AX1138,MAX(AX1138,G1138))))</f>
        <v>1</v>
      </c>
      <c r="AU1138" s="57" t="n">
        <f aca="false">IF(BR1138=1,0,ROUNDUP(AT1138/BQ1138,0))</f>
        <v>0</v>
      </c>
      <c r="AV1138" s="59" t="n">
        <f aca="false">IF(CD1138&gt;0,CD1138*MAX(1,AT1138/V1138),IF(BR1138=1,IF(AT1138&lt;=0,0,BS1138*MAX(1,IF(G1138&gt;0,AT1138/G1138,1))),IF(Q1138&gt;0,AU1138/Q1138,0))/MAX(0.1,N(Parameter!$M$21)))</f>
        <v>0.03</v>
      </c>
      <c r="AW1138" s="57" t="n">
        <f aca="false">AT1138*F1138</f>
        <v>34.5</v>
      </c>
      <c r="AX1138" s="57" t="n">
        <f aca="false">ROUNDUP(MAX(I1138/IF(BV1138&gt;0,BV1138,MAX(0.1,N(Cockpit!$O$6))),BY1138)/BQ1138,0)*BQ1138</f>
        <v>1</v>
      </c>
      <c r="AY1138" s="58" t="n">
        <f aca="false">IF(AV1138&gt;0,I1138/AV1138,-1)</f>
        <v>0</v>
      </c>
      <c r="AZ1138" s="58" t="n">
        <f aca="false">IF(AND(OR(BU1138="L1",BU1138="L23"),AV1138&gt;0),SUMIFS($AV$7:$AV$1576,$BU$7:$BU$1576,BU1138,$AY$7:$AY$1576,"&gt;"&amp;AY1138)+SUMIFS($AV$7:$AV$1576,$BU$7:$BU$1576,BU1138,$AY$7:$AY$1576,AY1138,$BO$7:$BO$1576,"&lt;="&amp;BO1138),"")</f>
        <v>124.417806999811</v>
      </c>
      <c r="BA1138" s="65" t="n">
        <f aca="false">IF(AZ1138="",0,MAX(0,MIN(1,(IF(BU1138="L1",Parameter!$E$5,Parameter!$E$6+Parameter!$E$7)-(AZ1138-AV1138))/AV1138)))</f>
        <v>0</v>
      </c>
      <c r="BB1138" s="55" t="str">
        <f aca="false">IF(AF1138&lt;=0,"",IF(BU1138="Aussen","Aussenlager",IF(BU1138="-","Nicht im Lift",IF(AK1138&gt;=1,"Lift",IF(AK1138&lt;=0,"Aussenlager","teilweise")))))</f>
        <v/>
      </c>
      <c r="BC1138" s="55" t="str">
        <f aca="false">IF(AN1138&lt;=0,"",IF(BU1138="Aussen","Aussenlager",IF(BU1138="-","Nicht im Lift",IF(AS1138&gt;=1,"Lift",IF(AS1138&lt;=0,"Aussenlager","teilweise")))))</f>
        <v>Aussenlager</v>
      </c>
      <c r="BD1138" s="55" t="str">
        <f aca="false">IF(AV1138&lt;=0,"",IF(BU1138="Aussen","Aussenlager",IF(BU1138="-","Nicht im Lift",IF(BA1138&gt;=1,"Lift",IF(BA1138&lt;=0,"Aussenlager","teilweise")))))</f>
        <v>Aussenlager</v>
      </c>
      <c r="BE1138" s="55" t="str">
        <f aca="false">IF(A1138="","",IF(BN1138=1,"Neu; ","")&amp;IF(AND(BN1138=0,BI1138&lt;0),"negativer Bestand (Export "&amp;BI1138&amp;"); ","")&amp;IF(I1138&lt;=0,"Kein Verbrauch; ","")&amp;IF(CD1138&gt;0,"Lift "&amp;U1138&amp;" lt. Liftbericht (Fach "&amp;V1138&amp;" Stk); ",IF(BR1138=1,"Lose – Fläche geschätzt; ",""))&amp;IF(G1138&gt;AP1138,"Überbestand "&amp;ROUND(G1138-AP1138,0)&amp;" Stk / CHF "&amp;ROUND((G1138-AP1138)*F1138,0)&amp;"; ","")&amp;IF(AND(BW1138=1,BX1138&lt;BY1138),"MAX &lt; MB+LG; ","")&amp;IF(AND(CC1138&gt;0,CB1138*10&gt;CC1138),"zu hoch für Tablar; ","")&amp;IF(AND(BN1138=0,OR(BW1138=1,Y1138&lt;&gt;"",S1138&lt;&gt;"",T1138&lt;&gt;"",Z1138&lt;&gt;"")),"manuell übersteuert; ","")&amp;IF(AND(BR1138=0,Q1138=0),"Gebinde unbekannt / Stellmass fehlt; ","")&amp;IF(AND(BR1138=0,N(T1138)&lt;=0,N(P1138)&lt;=0),"Menge pro Gebinde fehlt (Ist = 1 Gebinde); ","")&amp;BM1138)</f>
        <v>negativer Bestand (Export -8); Kein Verbrauch; Lose – Fläche geschätzt; </v>
      </c>
      <c r="BF1138" s="55"/>
      <c r="BG1138" s="55"/>
      <c r="BH1138" s="62"/>
      <c r="BI1138" s="57" t="n">
        <v>-8</v>
      </c>
      <c r="BJ1138" s="57" t="n">
        <v>16</v>
      </c>
      <c r="BK1138" s="56" t="n">
        <v>-276</v>
      </c>
      <c r="BL1138" s="57" t="n">
        <v>0</v>
      </c>
      <c r="BM1138" s="55"/>
      <c r="BN1138" s="60" t="n">
        <v>0</v>
      </c>
      <c r="BO1138" s="60" t="n">
        <v>1138</v>
      </c>
      <c r="BP1138" s="55" t="str">
        <f aca="false">IF(S1138&lt;&gt;"",UPPER(TRIM(S1138)),IF(O1138="","LOSE",O1138))</f>
        <v>LOSE</v>
      </c>
      <c r="BQ1138" s="57" t="n">
        <f aca="false">IF(BP1138="LOSE",1,IF(N(T1138)&gt;0,T1138,IF(N(P1138)&gt;0,P1138,MAX(1,G1138))))</f>
        <v>1</v>
      </c>
      <c r="BR1138" s="60" t="n">
        <f aca="false">IF(BP1138="LOSE",1,0)</f>
        <v>1</v>
      </c>
      <c r="BS1138" s="59" t="n">
        <f aca="false">IF(BR1138=0,0,IF(N(R1138)&gt;0,R1138,IFERROR(VLOOKUP(D1138,Parameter!$A$35:$C$64,3,0)+0,0)))</f>
        <v>0.03</v>
      </c>
      <c r="BT1138" s="55" t="n">
        <f aca="false">IF(Y1138&lt;&gt;"",Y1138,X1138)</f>
        <v>2</v>
      </c>
      <c r="BU1138" s="55" t="str">
        <f aca="false">IF(BT1138=1,"L1",IF(OR(BT1138=2,BT1138=3),"L23",IF(BT1138="Aussen","Aussen","-")))</f>
        <v>L23</v>
      </c>
      <c r="BV1138" s="66" t="n">
        <f aca="false">IF(N(Z1138)&gt;0,Z1138,0)</f>
        <v>0</v>
      </c>
      <c r="BW1138" s="60" t="n">
        <f aca="false">IF(ISNUMBER(AC1138),1,0)</f>
        <v>0</v>
      </c>
      <c r="BX1138" s="57" t="n">
        <f aca="false">N(AC1138)</f>
        <v>0</v>
      </c>
      <c r="BY1138" s="57" t="n">
        <f aca="false">N(L1138)+N(M1138)</f>
        <v>1</v>
      </c>
      <c r="BZ1138" s="57" t="n">
        <f aca="false">ROUNDUP(G1138/BQ1138,0)</f>
        <v>0</v>
      </c>
      <c r="CA1138" s="57" t="n">
        <f aca="false">ROUNDUP(BX1138/BQ1138,0)</f>
        <v>0</v>
      </c>
      <c r="CB1138" s="60" t="n">
        <f aca="false">IF(BR1138=1,0,IFERROR(VLOOKUP(BP1138,'Gebinde-Kategorie'!$A$5:$M$45,5,0)+0,0))</f>
        <v>0</v>
      </c>
      <c r="CC1138" s="60" t="n">
        <f aca="false">IFERROR(IF(OR(BT1138=1,BT1138=2,BT1138=3),N(INDEX(Parameter!$I$5:$I$7,BT1138)),0),0)</f>
        <v>0</v>
      </c>
      <c r="CD1138" s="59" t="n">
        <f aca="false">IF(AND(Parameter!$B$21="Ja",ISNUMBER(U1138),N(V1138)&gt;0),IFERROR(N(INDEX(Parameter!$L$5:$L$7,U1138))*INDEX(Parameter!$E$5:$E$7,U1138)*V1138/SUMIFS($V$7:$V$1576,$U$7:$U$1576,U1138),0),0)</f>
        <v>0</v>
      </c>
    </row>
    <row r="1139" customFormat="false" ht="15" hidden="false" customHeight="false" outlineLevel="0" collapsed="false">
      <c r="A1139" s="55" t="s">
        <v>2046</v>
      </c>
      <c r="B1139" s="55" t="s">
        <v>2047</v>
      </c>
      <c r="C1139" s="55" t="s">
        <v>160</v>
      </c>
      <c r="D1139" s="55" t="s">
        <v>178</v>
      </c>
      <c r="E1139" s="55" t="s">
        <v>210</v>
      </c>
      <c r="F1139" s="56" t="n">
        <v>279.01</v>
      </c>
      <c r="G1139" s="57" t="n">
        <f aca="false">MAX(0,IF(AND(Parameter!$B$21="Ja",ISNUMBER(W1139)),W1139,IF(Parameter!$B$20="Jahresanfang 2025 + Export",BJ1139+BI1139,BI1139)))</f>
        <v>0</v>
      </c>
      <c r="H1139" s="57" t="n">
        <f aca="false">G1139*F1139</f>
        <v>0</v>
      </c>
      <c r="I1139" s="57" t="n">
        <f aca="false">BL1139*Parameter!$B$18</f>
        <v>1</v>
      </c>
      <c r="J1139" s="58" t="n">
        <v>3.5</v>
      </c>
      <c r="K1139" s="59" t="n">
        <v>0.285714285714286</v>
      </c>
      <c r="L1139" s="57" t="n">
        <v>0</v>
      </c>
      <c r="M1139" s="57" t="n">
        <v>1</v>
      </c>
      <c r="N1139" s="60" t="n">
        <v>14</v>
      </c>
      <c r="O1139" s="55" t="s">
        <v>319</v>
      </c>
      <c r="P1139" s="57" t="n">
        <v>6</v>
      </c>
      <c r="Q1139" s="60" t="n">
        <f aca="false">IF(BR1139=1,0,IFERROR(VLOOKUP(BP1139,'Gebinde-Kategorie'!$A$5:$M$45,13,0)+0,0))</f>
        <v>52</v>
      </c>
      <c r="R1139" s="61"/>
      <c r="S1139" s="62"/>
      <c r="T1139" s="62"/>
      <c r="U1139" s="55"/>
      <c r="V1139" s="57"/>
      <c r="W1139" s="57"/>
      <c r="X1139" s="55" t="n">
        <f aca="false">IF(A1139="","",IF(AND(Parameter!$B$21="Ja",ISNUMBER(U1139)),U1139,IF(IFERROR(VLOOKUP(D1139,Parameter!$A$35:$C$64,2,0),"Nein")="2+3",IF(ISNUMBER(SEARCH("grosser Artikel",BM1139)),2,IFERROR(VLOOKUP(BP1139,Parameter!$F$35:$G$64,2,0),2)),IF(OR(IFERROR(VLOOKUP(D1139,Parameter!$A$35:$C$64,2,0),"Nein")="Nein",IFERROR(VLOOKUP(D1139,Parameter!$A$35:$C$64,2,0),"Nein")=""),"-",VLOOKUP(D1139,Parameter!$A$35:$C$64,2,0)))))</f>
        <v>3</v>
      </c>
      <c r="Y1139" s="62"/>
      <c r="Z1139" s="63"/>
      <c r="AA1139" s="57" t="n">
        <f aca="false">AP1139</f>
        <v>6</v>
      </c>
      <c r="AB1139" s="57" t="n">
        <f aca="false">MAX(AP1139,G1139)</f>
        <v>6</v>
      </c>
      <c r="AC1139" s="64"/>
      <c r="AD1139" s="57" t="n">
        <f aca="false">IF(LEFT(Cockpit!$C$5,1)="A",G1139,IF(BW1139=1,BX1139,IF(LEFT(Cockpit!$C$5,1)="B",AH1139,MAX(AH1139,G1139))))</f>
        <v>0</v>
      </c>
      <c r="AE1139" s="57" t="n">
        <f aca="false">IF(BR1139=1,0,ROUNDUP(AD1139/BQ1139,0))</f>
        <v>0</v>
      </c>
      <c r="AF1139" s="59" t="n">
        <f aca="false">IF(CD1139&gt;0,CD1139*MAX(1,AD1139/V1139),IF(BR1139=1,IF(AD1139&lt;=0,0,BS1139*MAX(1,IF(G1139&gt;0,AD1139/G1139,1))),IF(Q1139&gt;0,AE1139/Q1139,0))/MAX(0.1,N(Parameter!$M$21)))</f>
        <v>0</v>
      </c>
      <c r="AG1139" s="57" t="n">
        <f aca="false">AD1139*F1139</f>
        <v>0</v>
      </c>
      <c r="AH1139" s="57" t="n">
        <f aca="false">ROUNDUP(MAX(I1139/IF(BV1139&gt;0,BV1139,MAX(0.1,N(Cockpit!$C$6))),BY1139)/BQ1139,0)*BQ1139</f>
        <v>6</v>
      </c>
      <c r="AI1139" s="58" t="n">
        <f aca="false">IF(AF1139&gt;0,I1139/AF1139,-1)</f>
        <v>-1</v>
      </c>
      <c r="AJ1139" s="58" t="str">
        <f aca="false">IF(AND(OR(BU1139="L1",BU1139="L23"),AF1139&gt;0),SUMIFS($AF$7:$AF$1576,$BU$7:$BU$1576,BU1139,$AI$7:$AI$1576,"&gt;"&amp;AI1139)+SUMIFS($AF$7:$AF$1576,$BU$7:$BU$1576,BU1139,$AI$7:$AI$1576,AI1139,$BO$7:$BO$1576,"&lt;="&amp;BO1139),"")</f>
        <v/>
      </c>
      <c r="AK1139" s="65" t="n">
        <f aca="false">IF(AJ1139="",0,MAX(0,MIN(1,(IF(BU1139="L1",Parameter!$E$5,Parameter!$E$6+Parameter!$E$7)-(AJ1139-AF1139))/AF1139)))</f>
        <v>0</v>
      </c>
      <c r="AL1139" s="57" t="n">
        <f aca="false">IF(LEFT(Cockpit!$I$5,1)="A",G1139,IF(BW1139=1,BX1139,IF(LEFT(Cockpit!$I$5,1)="B",AP1139,MAX(AP1139,G1139))))</f>
        <v>6</v>
      </c>
      <c r="AM1139" s="57" t="n">
        <f aca="false">IF(BR1139=1,0,ROUNDUP(AL1139/BQ1139,0))</f>
        <v>1</v>
      </c>
      <c r="AN1139" s="59" t="n">
        <f aca="false">IF(CD1139&gt;0,CD1139*MAX(1,AL1139/V1139),IF(BR1139=1,IF(AL1139&lt;=0,0,BS1139*MAX(1,IF(G1139&gt;0,AL1139/G1139,1))),IF(Q1139&gt;0,AM1139/Q1139,0))/MAX(0.1,N(Parameter!$M$21)))</f>
        <v>0.0192307692307692</v>
      </c>
      <c r="AO1139" s="57" t="n">
        <f aca="false">AL1139*F1139</f>
        <v>1674.06</v>
      </c>
      <c r="AP1139" s="57" t="n">
        <f aca="false">ROUNDUP(MAX(I1139/IF(BV1139&gt;0,BV1139,MAX(0.1,N(Cockpit!$I$6))),BY1139)/BQ1139,0)*BQ1139</f>
        <v>6</v>
      </c>
      <c r="AQ1139" s="58" t="n">
        <f aca="false">IF(AN1139&gt;0,I1139/AN1139,-1)</f>
        <v>52</v>
      </c>
      <c r="AR1139" s="58" t="n">
        <f aca="false">IF(AND(OR(BU1139="L1",BU1139="L23"),AN1139&gt;0),SUMIFS($AN$7:$AN$1576,$BU$7:$BU$1576,BU1139,$AQ$7:$AQ$1576,"&gt;"&amp;AQ1139)+SUMIFS($AN$7:$AN$1576,$BU$7:$BU$1576,BU1139,$AQ$7:$AQ$1576,AQ1139,$BO$7:$BO$1576,"&lt;="&amp;BO1139),"")</f>
        <v>82.2914089476701</v>
      </c>
      <c r="AS1139" s="65" t="n">
        <f aca="false">IF(AR1139="",0,MAX(0,MIN(1,(IF(BU1139="L1",Parameter!$E$5,Parameter!$E$6+Parameter!$E$7)-(AR1139-AN1139))/AN1139)))</f>
        <v>1</v>
      </c>
      <c r="AT1139" s="57" t="n">
        <f aca="false">IF(LEFT(Cockpit!$O$5,1)="A",G1139,IF(BW1139=1,BX1139,IF(LEFT(Cockpit!$O$5,1)="B",AX1139,MAX(AX1139,G1139))))</f>
        <v>6</v>
      </c>
      <c r="AU1139" s="57" t="n">
        <f aca="false">IF(BR1139=1,0,ROUNDUP(AT1139/BQ1139,0))</f>
        <v>1</v>
      </c>
      <c r="AV1139" s="59" t="n">
        <f aca="false">IF(CD1139&gt;0,CD1139*MAX(1,AT1139/V1139),IF(BR1139=1,IF(AT1139&lt;=0,0,BS1139*MAX(1,IF(G1139&gt;0,AT1139/G1139,1))),IF(Q1139&gt;0,AU1139/Q1139,0))/MAX(0.1,N(Parameter!$M$21)))</f>
        <v>0.0192307692307692</v>
      </c>
      <c r="AW1139" s="57" t="n">
        <f aca="false">AT1139*F1139</f>
        <v>1674.06</v>
      </c>
      <c r="AX1139" s="57" t="n">
        <f aca="false">ROUNDUP(MAX(I1139/IF(BV1139&gt;0,BV1139,MAX(0.1,N(Cockpit!$O$6))),BY1139)/BQ1139,0)*BQ1139</f>
        <v>6</v>
      </c>
      <c r="AY1139" s="58" t="n">
        <f aca="false">IF(AV1139&gt;0,I1139/AV1139,-1)</f>
        <v>52</v>
      </c>
      <c r="AZ1139" s="58" t="n">
        <f aca="false">IF(AND(OR(BU1139="L1",BU1139="L23"),AV1139&gt;0),SUMIFS($AV$7:$AV$1576,$BU$7:$BU$1576,BU1139,$AY$7:$AY$1576,"&gt;"&amp;AY1139)+SUMIFS($AV$7:$AV$1576,$BU$7:$BU$1576,BU1139,$AY$7:$AY$1576,AY1139,$BO$7:$BO$1576,"&lt;="&amp;BO1139),"")</f>
        <v>78.7092927305539</v>
      </c>
      <c r="BA1139" s="65" t="n">
        <f aca="false">IF(AZ1139="",0,MAX(0,MIN(1,(IF(BU1139="L1",Parameter!$E$5,Parameter!$E$6+Parameter!$E$7)-(AZ1139-AV1139))/AV1139)))</f>
        <v>1</v>
      </c>
      <c r="BB1139" s="55" t="str">
        <f aca="false">IF(AF1139&lt;=0,"",IF(BU1139="Aussen","Aussenlager",IF(BU1139="-","Nicht im Lift",IF(AK1139&gt;=1,"Lift",IF(AK1139&lt;=0,"Aussenlager","teilweise")))))</f>
        <v/>
      </c>
      <c r="BC1139" s="55" t="str">
        <f aca="false">IF(AN1139&lt;=0,"",IF(BU1139="Aussen","Aussenlager",IF(BU1139="-","Nicht im Lift",IF(AS1139&gt;=1,"Lift",IF(AS1139&lt;=0,"Aussenlager","teilweise")))))</f>
        <v>Lift</v>
      </c>
      <c r="BD1139" s="55" t="str">
        <f aca="false">IF(AV1139&lt;=0,"",IF(BU1139="Aussen","Aussenlager",IF(BU1139="-","Nicht im Lift",IF(BA1139&gt;=1,"Lift",IF(BA1139&lt;=0,"Aussenlager","teilweise")))))</f>
        <v>Lift</v>
      </c>
      <c r="BE1139" s="55" t="str">
        <f aca="false">IF(A1139="","",IF(BN1139=1,"Neu; ","")&amp;IF(AND(BN1139=0,BI1139&lt;0),"negativer Bestand (Export "&amp;BI1139&amp;"); ","")&amp;IF(I1139&lt;=0,"Kein Verbrauch; ","")&amp;IF(CD1139&gt;0,"Lift "&amp;U1139&amp;" lt. Liftbericht (Fach "&amp;V1139&amp;" Stk); ",IF(BR1139=1,"Lose – Fläche geschätzt; ",""))&amp;IF(G1139&gt;AP1139,"Überbestand "&amp;ROUND(G1139-AP1139,0)&amp;" Stk / CHF "&amp;ROUND((G1139-AP1139)*F1139,0)&amp;"; ","")&amp;IF(AND(BW1139=1,BX1139&lt;BY1139),"MAX &lt; MB+LG; ","")&amp;IF(AND(CC1139&gt;0,CB1139*10&gt;CC1139),"zu hoch für Tablar; ","")&amp;IF(AND(BN1139=0,OR(BW1139=1,Y1139&lt;&gt;"",S1139&lt;&gt;"",T1139&lt;&gt;"",Z1139&lt;&gt;"")),"manuell übersteuert; ","")&amp;IF(AND(BR1139=0,Q1139=0),"Gebinde unbekannt / Stellmass fehlt; ","")&amp;IF(AND(BR1139=0,N(T1139)&lt;=0,N(P1139)&lt;=0),"Menge pro Gebinde fehlt (Ist = 1 Gebinde); ","")&amp;BM1139)</f>
        <v>negativer Bestand (Export -1); </v>
      </c>
      <c r="BF1139" s="55"/>
      <c r="BG1139" s="55"/>
      <c r="BH1139" s="62"/>
      <c r="BI1139" s="57" t="n">
        <v>-1</v>
      </c>
      <c r="BJ1139" s="57" t="n">
        <v>4</v>
      </c>
      <c r="BK1139" s="56" t="n">
        <v>-279.01</v>
      </c>
      <c r="BL1139" s="57" t="n">
        <v>1</v>
      </c>
      <c r="BM1139" s="55"/>
      <c r="BN1139" s="60" t="n">
        <v>0</v>
      </c>
      <c r="BO1139" s="60" t="n">
        <v>1139</v>
      </c>
      <c r="BP1139" s="55" t="str">
        <f aca="false">IF(S1139&lt;&gt;"",UPPER(TRIM(S1139)),IF(O1139="","LOSE",O1139))</f>
        <v>S41</v>
      </c>
      <c r="BQ1139" s="57" t="n">
        <f aca="false">IF(BP1139="LOSE",1,IF(N(T1139)&gt;0,T1139,IF(N(P1139)&gt;0,P1139,MAX(1,G1139))))</f>
        <v>6</v>
      </c>
      <c r="BR1139" s="60" t="n">
        <f aca="false">IF(BP1139="LOSE",1,0)</f>
        <v>0</v>
      </c>
      <c r="BS1139" s="59" t="n">
        <f aca="false">IF(BR1139=0,0,IF(N(R1139)&gt;0,R1139,IFERROR(VLOOKUP(D1139,Parameter!$A$35:$C$64,3,0)+0,0)))</f>
        <v>0</v>
      </c>
      <c r="BT1139" s="55" t="n">
        <f aca="false">IF(Y1139&lt;&gt;"",Y1139,X1139)</f>
        <v>3</v>
      </c>
      <c r="BU1139" s="55" t="str">
        <f aca="false">IF(BT1139=1,"L1",IF(OR(BT1139=2,BT1139=3),"L23",IF(BT1139="Aussen","Aussen","-")))</f>
        <v>L23</v>
      </c>
      <c r="BV1139" s="66" t="n">
        <f aca="false">IF(N(Z1139)&gt;0,Z1139,0)</f>
        <v>0</v>
      </c>
      <c r="BW1139" s="60" t="n">
        <f aca="false">IF(ISNUMBER(AC1139),1,0)</f>
        <v>0</v>
      </c>
      <c r="BX1139" s="57" t="n">
        <f aca="false">N(AC1139)</f>
        <v>0</v>
      </c>
      <c r="BY1139" s="57" t="n">
        <f aca="false">N(L1139)+N(M1139)</f>
        <v>1</v>
      </c>
      <c r="BZ1139" s="57" t="n">
        <f aca="false">ROUNDUP(G1139/BQ1139,0)</f>
        <v>0</v>
      </c>
      <c r="CA1139" s="57" t="n">
        <f aca="false">ROUNDUP(BX1139/BQ1139,0)</f>
        <v>0</v>
      </c>
      <c r="CB1139" s="60" t="n">
        <f aca="false">IF(BR1139=1,0,IFERROR(VLOOKUP(BP1139,'Gebinde-Kategorie'!$A$5:$M$45,5,0)+0,0))</f>
        <v>11</v>
      </c>
      <c r="CC1139" s="60" t="n">
        <f aca="false">IFERROR(IF(OR(BT1139=1,BT1139=2,BT1139=3),N(INDEX(Parameter!$I$5:$I$7,BT1139)),0),0)</f>
        <v>0</v>
      </c>
      <c r="CD1139" s="59" t="n">
        <f aca="false">IF(AND(Parameter!$B$21="Ja",ISNUMBER(U1139),N(V1139)&gt;0),IFERROR(N(INDEX(Parameter!$L$5:$L$7,U1139))*INDEX(Parameter!$E$5:$E$7,U1139)*V1139/SUMIFS($V$7:$V$1576,$U$7:$U$1576,U1139),0),0)</f>
        <v>0</v>
      </c>
    </row>
    <row r="1140" customFormat="false" ht="15" hidden="false" customHeight="false" outlineLevel="0" collapsed="false">
      <c r="A1140" s="55" t="s">
        <v>2048</v>
      </c>
      <c r="B1140" s="55" t="s">
        <v>2049</v>
      </c>
      <c r="C1140" s="55" t="s">
        <v>160</v>
      </c>
      <c r="D1140" s="55" t="s">
        <v>178</v>
      </c>
      <c r="E1140" s="55" t="s">
        <v>210</v>
      </c>
      <c r="F1140" s="56" t="n">
        <v>111.1</v>
      </c>
      <c r="G1140" s="57" t="n">
        <f aca="false">MAX(0,IF(AND(Parameter!$B$21="Ja",ISNUMBER(W1140)),W1140,IF(Parameter!$B$20="Jahresanfang 2025 + Export",BJ1140+BI1140,BI1140)))</f>
        <v>0</v>
      </c>
      <c r="H1140" s="57" t="n">
        <f aca="false">G1140*F1140</f>
        <v>0</v>
      </c>
      <c r="I1140" s="57" t="n">
        <f aca="false">BL1140*Parameter!$B$18</f>
        <v>2</v>
      </c>
      <c r="J1140" s="58" t="n">
        <v>3</v>
      </c>
      <c r="K1140" s="59" t="n">
        <v>0.666666666666667</v>
      </c>
      <c r="L1140" s="57" t="n">
        <v>0</v>
      </c>
      <c r="M1140" s="57" t="n">
        <v>1</v>
      </c>
      <c r="N1140" s="60" t="n">
        <v>28</v>
      </c>
      <c r="O1140" s="55" t="s">
        <v>411</v>
      </c>
      <c r="P1140" s="57" t="n">
        <v>3</v>
      </c>
      <c r="Q1140" s="60" t="n">
        <f aca="false">IF(BR1140=1,0,IFERROR(VLOOKUP(BP1140,'Gebinde-Kategorie'!$A$5:$M$45,13,0)+0,0))</f>
        <v>132</v>
      </c>
      <c r="R1140" s="61"/>
      <c r="S1140" s="62"/>
      <c r="T1140" s="62"/>
      <c r="U1140" s="55"/>
      <c r="V1140" s="57"/>
      <c r="W1140" s="57"/>
      <c r="X1140" s="55" t="n">
        <f aca="false">IF(A1140="","",IF(AND(Parameter!$B$21="Ja",ISNUMBER(U1140)),U1140,IF(IFERROR(VLOOKUP(D1140,Parameter!$A$35:$C$64,2,0),"Nein")="2+3",IF(ISNUMBER(SEARCH("grosser Artikel",BM1140)),2,IFERROR(VLOOKUP(BP1140,Parameter!$F$35:$G$64,2,0),2)),IF(OR(IFERROR(VLOOKUP(D1140,Parameter!$A$35:$C$64,2,0),"Nein")="Nein",IFERROR(VLOOKUP(D1140,Parameter!$A$35:$C$64,2,0),"Nein")=""),"-",VLOOKUP(D1140,Parameter!$A$35:$C$64,2,0)))))</f>
        <v>3</v>
      </c>
      <c r="Y1140" s="62"/>
      <c r="Z1140" s="63"/>
      <c r="AA1140" s="57" t="n">
        <f aca="false">AP1140</f>
        <v>3</v>
      </c>
      <c r="AB1140" s="57" t="n">
        <f aca="false">MAX(AP1140,G1140)</f>
        <v>3</v>
      </c>
      <c r="AC1140" s="64"/>
      <c r="AD1140" s="57" t="n">
        <f aca="false">IF(LEFT(Cockpit!$C$5,1)="A",G1140,IF(BW1140=1,BX1140,IF(LEFT(Cockpit!$C$5,1)="B",AH1140,MAX(AH1140,G1140))))</f>
        <v>0</v>
      </c>
      <c r="AE1140" s="57" t="n">
        <f aca="false">IF(BR1140=1,0,ROUNDUP(AD1140/BQ1140,0))</f>
        <v>0</v>
      </c>
      <c r="AF1140" s="59" t="n">
        <f aca="false">IF(CD1140&gt;0,CD1140*MAX(1,AD1140/V1140),IF(BR1140=1,IF(AD1140&lt;=0,0,BS1140*MAX(1,IF(G1140&gt;0,AD1140/G1140,1))),IF(Q1140&gt;0,AE1140/Q1140,0))/MAX(0.1,N(Parameter!$M$21)))</f>
        <v>0</v>
      </c>
      <c r="AG1140" s="57" t="n">
        <f aca="false">AD1140*F1140</f>
        <v>0</v>
      </c>
      <c r="AH1140" s="57" t="n">
        <f aca="false">ROUNDUP(MAX(I1140/IF(BV1140&gt;0,BV1140,MAX(0.1,N(Cockpit!$C$6))),BY1140)/BQ1140,0)*BQ1140</f>
        <v>3</v>
      </c>
      <c r="AI1140" s="58" t="n">
        <f aca="false">IF(AF1140&gt;0,I1140/AF1140,-1)</f>
        <v>-1</v>
      </c>
      <c r="AJ1140" s="58" t="str">
        <f aca="false">IF(AND(OR(BU1140="L1",BU1140="L23"),AF1140&gt;0),SUMIFS($AF$7:$AF$1576,$BU$7:$BU$1576,BU1140,$AI$7:$AI$1576,"&gt;"&amp;AI1140)+SUMIFS($AF$7:$AF$1576,$BU$7:$BU$1576,BU1140,$AI$7:$AI$1576,AI1140,$BO$7:$BO$1576,"&lt;="&amp;BO1140),"")</f>
        <v/>
      </c>
      <c r="AK1140" s="65" t="n">
        <f aca="false">IF(AJ1140="",0,MAX(0,MIN(1,(IF(BU1140="L1",Parameter!$E$5,Parameter!$E$6+Parameter!$E$7)-(AJ1140-AF1140))/AF1140)))</f>
        <v>0</v>
      </c>
      <c r="AL1140" s="57" t="n">
        <f aca="false">IF(LEFT(Cockpit!$I$5,1)="A",G1140,IF(BW1140=1,BX1140,IF(LEFT(Cockpit!$I$5,1)="B",AP1140,MAX(AP1140,G1140))))</f>
        <v>3</v>
      </c>
      <c r="AM1140" s="57" t="n">
        <f aca="false">IF(BR1140=1,0,ROUNDUP(AL1140/BQ1140,0))</f>
        <v>1</v>
      </c>
      <c r="AN1140" s="59" t="n">
        <f aca="false">IF(CD1140&gt;0,CD1140*MAX(1,AL1140/V1140),IF(BR1140=1,IF(AL1140&lt;=0,0,BS1140*MAX(1,IF(G1140&gt;0,AL1140/G1140,1))),IF(Q1140&gt;0,AM1140/Q1140,0))/MAX(0.1,N(Parameter!$M$21)))</f>
        <v>0.00757575757575758</v>
      </c>
      <c r="AO1140" s="57" t="n">
        <f aca="false">AL1140*F1140</f>
        <v>333.3</v>
      </c>
      <c r="AP1140" s="57" t="n">
        <f aca="false">ROUNDUP(MAX(I1140/IF(BV1140&gt;0,BV1140,MAX(0.1,N(Cockpit!$I$6))),BY1140)/BQ1140,0)*BQ1140</f>
        <v>3</v>
      </c>
      <c r="AQ1140" s="58" t="n">
        <f aca="false">IF(AN1140&gt;0,I1140/AN1140,-1)</f>
        <v>264</v>
      </c>
      <c r="AR1140" s="58" t="n">
        <f aca="false">IF(AND(OR(BU1140="L1",BU1140="L23"),AN1140&gt;0),SUMIFS($AN$7:$AN$1576,$BU$7:$BU$1576,BU1140,$AQ$7:$AQ$1576,"&gt;"&amp;AQ1140)+SUMIFS($AN$7:$AN$1576,$BU$7:$BU$1576,BU1140,$AQ$7:$AQ$1576,AQ1140,$BO$7:$BO$1576,"&lt;="&amp;BO1140),"")</f>
        <v>45.410968753806</v>
      </c>
      <c r="AS1140" s="65" t="n">
        <f aca="false">IF(AR1140="",0,MAX(0,MIN(1,(IF(BU1140="L1",Parameter!$E$5,Parameter!$E$6+Parameter!$E$7)-(AR1140-AN1140))/AN1140)))</f>
        <v>1</v>
      </c>
      <c r="AT1140" s="57" t="n">
        <f aca="false">IF(LEFT(Cockpit!$O$5,1)="A",G1140,IF(BW1140=1,BX1140,IF(LEFT(Cockpit!$O$5,1)="B",AX1140,MAX(AX1140,G1140))))</f>
        <v>3</v>
      </c>
      <c r="AU1140" s="57" t="n">
        <f aca="false">IF(BR1140=1,0,ROUNDUP(AT1140/BQ1140,0))</f>
        <v>1</v>
      </c>
      <c r="AV1140" s="59" t="n">
        <f aca="false">IF(CD1140&gt;0,CD1140*MAX(1,AT1140/V1140),IF(BR1140=1,IF(AT1140&lt;=0,0,BS1140*MAX(1,IF(G1140&gt;0,AT1140/G1140,1))),IF(Q1140&gt;0,AU1140/Q1140,0))/MAX(0.1,N(Parameter!$M$21)))</f>
        <v>0.00757575757575758</v>
      </c>
      <c r="AW1140" s="57" t="n">
        <f aca="false">AT1140*F1140</f>
        <v>333.3</v>
      </c>
      <c r="AX1140" s="57" t="n">
        <f aca="false">ROUNDUP(MAX(I1140/IF(BV1140&gt;0,BV1140,MAX(0.1,N(Cockpit!$O$6))),BY1140)/BQ1140,0)*BQ1140</f>
        <v>3</v>
      </c>
      <c r="AY1140" s="58" t="n">
        <f aca="false">IF(AV1140&gt;0,I1140/AV1140,-1)</f>
        <v>264</v>
      </c>
      <c r="AZ1140" s="58" t="n">
        <f aca="false">IF(AND(OR(BU1140="L1",BU1140="L23"),AV1140&gt;0),SUMIFS($AV$7:$AV$1576,$BU$7:$BU$1576,BU1140,$AY$7:$AY$1576,"&gt;"&amp;AY1140)+SUMIFS($AV$7:$AV$1576,$BU$7:$BU$1576,BU1140,$AY$7:$AY$1576,AY1140,$BO$7:$BO$1576,"&lt;="&amp;BO1140),"")</f>
        <v>41.6890473418846</v>
      </c>
      <c r="BA1140" s="65" t="n">
        <f aca="false">IF(AZ1140="",0,MAX(0,MIN(1,(IF(BU1140="L1",Parameter!$E$5,Parameter!$E$6+Parameter!$E$7)-(AZ1140-AV1140))/AV1140)))</f>
        <v>1</v>
      </c>
      <c r="BB1140" s="55" t="str">
        <f aca="false">IF(AF1140&lt;=0,"",IF(BU1140="Aussen","Aussenlager",IF(BU1140="-","Nicht im Lift",IF(AK1140&gt;=1,"Lift",IF(AK1140&lt;=0,"Aussenlager","teilweise")))))</f>
        <v/>
      </c>
      <c r="BC1140" s="55" t="str">
        <f aca="false">IF(AN1140&lt;=0,"",IF(BU1140="Aussen","Aussenlager",IF(BU1140="-","Nicht im Lift",IF(AS1140&gt;=1,"Lift",IF(AS1140&lt;=0,"Aussenlager","teilweise")))))</f>
        <v>Lift</v>
      </c>
      <c r="BD1140" s="55" t="str">
        <f aca="false">IF(AV1140&lt;=0,"",IF(BU1140="Aussen","Aussenlager",IF(BU1140="-","Nicht im Lift",IF(BA1140&gt;=1,"Lift",IF(BA1140&lt;=0,"Aussenlager","teilweise")))))</f>
        <v>Lift</v>
      </c>
      <c r="BE1140" s="55" t="str">
        <f aca="false">IF(A1140="","",IF(BN1140=1,"Neu; ","")&amp;IF(AND(BN1140=0,BI1140&lt;0),"negativer Bestand (Export "&amp;BI1140&amp;"); ","")&amp;IF(I1140&lt;=0,"Kein Verbrauch; ","")&amp;IF(CD1140&gt;0,"Lift "&amp;U1140&amp;" lt. Liftbericht (Fach "&amp;V1140&amp;" Stk); ",IF(BR1140=1,"Lose – Fläche geschätzt; ",""))&amp;IF(G1140&gt;AP1140,"Überbestand "&amp;ROUND(G1140-AP1140,0)&amp;" Stk / CHF "&amp;ROUND((G1140-AP1140)*F1140,0)&amp;"; ","")&amp;IF(AND(BW1140=1,BX1140&lt;BY1140),"MAX &lt; MB+LG; ","")&amp;IF(AND(CC1140&gt;0,CB1140*10&gt;CC1140),"zu hoch für Tablar; ","")&amp;IF(AND(BN1140=0,OR(BW1140=1,Y1140&lt;&gt;"",S1140&lt;&gt;"",T1140&lt;&gt;"",Z1140&lt;&gt;"")),"manuell übersteuert; ","")&amp;IF(AND(BR1140=0,Q1140=0),"Gebinde unbekannt / Stellmass fehlt; ","")&amp;IF(AND(BR1140=0,N(T1140)&lt;=0,N(P1140)&lt;=0),"Menge pro Gebinde fehlt (Ist = 1 Gebinde); ","")&amp;BM1140)</f>
        <v>negativer Bestand (Export -3); Neu</v>
      </c>
      <c r="BF1140" s="55"/>
      <c r="BG1140" s="55"/>
      <c r="BH1140" s="62"/>
      <c r="BI1140" s="57" t="n">
        <v>-3</v>
      </c>
      <c r="BJ1140" s="57" t="n">
        <v>4</v>
      </c>
      <c r="BK1140" s="56" t="n">
        <v>-286.62</v>
      </c>
      <c r="BL1140" s="57" t="n">
        <v>2</v>
      </c>
      <c r="BM1140" s="55" t="s">
        <v>615</v>
      </c>
      <c r="BN1140" s="60" t="n">
        <v>0</v>
      </c>
      <c r="BO1140" s="60" t="n">
        <v>1140</v>
      </c>
      <c r="BP1140" s="55" t="str">
        <f aca="false">IF(S1140&lt;&gt;"",UPPER(TRIM(S1140)),IF(O1140="","LOSE",O1140))</f>
        <v>S32</v>
      </c>
      <c r="BQ1140" s="57" t="n">
        <f aca="false">IF(BP1140="LOSE",1,IF(N(T1140)&gt;0,T1140,IF(N(P1140)&gt;0,P1140,MAX(1,G1140))))</f>
        <v>3</v>
      </c>
      <c r="BR1140" s="60" t="n">
        <f aca="false">IF(BP1140="LOSE",1,0)</f>
        <v>0</v>
      </c>
      <c r="BS1140" s="59" t="n">
        <f aca="false">IF(BR1140=0,0,IF(N(R1140)&gt;0,R1140,IFERROR(VLOOKUP(D1140,Parameter!$A$35:$C$64,3,0)+0,0)))</f>
        <v>0</v>
      </c>
      <c r="BT1140" s="55" t="n">
        <f aca="false">IF(Y1140&lt;&gt;"",Y1140,X1140)</f>
        <v>3</v>
      </c>
      <c r="BU1140" s="55" t="str">
        <f aca="false">IF(BT1140=1,"L1",IF(OR(BT1140=2,BT1140=3),"L23",IF(BT1140="Aussen","Aussen","-")))</f>
        <v>L23</v>
      </c>
      <c r="BV1140" s="66" t="n">
        <f aca="false">IF(N(Z1140)&gt;0,Z1140,0)</f>
        <v>0</v>
      </c>
      <c r="BW1140" s="60" t="n">
        <f aca="false">IF(ISNUMBER(AC1140),1,0)</f>
        <v>0</v>
      </c>
      <c r="BX1140" s="57" t="n">
        <f aca="false">N(AC1140)</f>
        <v>0</v>
      </c>
      <c r="BY1140" s="57" t="n">
        <f aca="false">N(L1140)+N(M1140)</f>
        <v>1</v>
      </c>
      <c r="BZ1140" s="57" t="n">
        <f aca="false">ROUNDUP(G1140/BQ1140,0)</f>
        <v>0</v>
      </c>
      <c r="CA1140" s="57" t="n">
        <f aca="false">ROUNDUP(BX1140/BQ1140,0)</f>
        <v>0</v>
      </c>
      <c r="CB1140" s="60" t="n">
        <f aca="false">IF(BR1140=1,0,IFERROR(VLOOKUP(BP1140,'Gebinde-Kategorie'!$A$5:$M$45,5,0)+0,0))</f>
        <v>8</v>
      </c>
      <c r="CC1140" s="60" t="n">
        <f aca="false">IFERROR(IF(OR(BT1140=1,BT1140=2,BT1140=3),N(INDEX(Parameter!$I$5:$I$7,BT1140)),0),0)</f>
        <v>0</v>
      </c>
      <c r="CD1140" s="59" t="n">
        <f aca="false">IF(AND(Parameter!$B$21="Ja",ISNUMBER(U1140),N(V1140)&gt;0),IFERROR(N(INDEX(Parameter!$L$5:$L$7,U1140))*INDEX(Parameter!$E$5:$E$7,U1140)*V1140/SUMIFS($V$7:$V$1576,$U$7:$U$1576,U1140),0),0)</f>
        <v>0</v>
      </c>
    </row>
    <row r="1141" customFormat="false" ht="15" hidden="false" customHeight="false" outlineLevel="0" collapsed="false">
      <c r="A1141" s="55" t="s">
        <v>2050</v>
      </c>
      <c r="B1141" s="55" t="s">
        <v>2051</v>
      </c>
      <c r="C1141" s="55" t="s">
        <v>160</v>
      </c>
      <c r="D1141" s="55" t="s">
        <v>178</v>
      </c>
      <c r="E1141" s="55" t="s">
        <v>210</v>
      </c>
      <c r="F1141" s="56" t="n">
        <v>101.35</v>
      </c>
      <c r="G1141" s="57" t="n">
        <f aca="false">MAX(0,IF(AND(Parameter!$B$21="Ja",ISNUMBER(W1141)),W1141,IF(Parameter!$B$20="Jahresanfang 2025 + Export",BJ1141+BI1141,BI1141)))</f>
        <v>0</v>
      </c>
      <c r="H1141" s="57" t="n">
        <f aca="false">G1141*F1141</f>
        <v>0</v>
      </c>
      <c r="I1141" s="57" t="n">
        <f aca="false">BL1141*Parameter!$B$18</f>
        <v>6</v>
      </c>
      <c r="J1141" s="58" t="n">
        <v>3.5</v>
      </c>
      <c r="K1141" s="59" t="n">
        <v>1.71428571428571</v>
      </c>
      <c r="L1141" s="57" t="n">
        <v>0</v>
      </c>
      <c r="M1141" s="57" t="n">
        <v>5</v>
      </c>
      <c r="N1141" s="60" t="n">
        <v>35</v>
      </c>
      <c r="O1141" s="55" t="s">
        <v>163</v>
      </c>
      <c r="P1141" s="57"/>
      <c r="Q1141" s="60" t="n">
        <f aca="false">IF(BR1141=1,0,IFERROR(VLOOKUP(BP1141,'Gebinde-Kategorie'!$A$5:$M$45,13,0)+0,0))</f>
        <v>0</v>
      </c>
      <c r="R1141" s="61"/>
      <c r="S1141" s="62"/>
      <c r="T1141" s="62"/>
      <c r="U1141" s="55"/>
      <c r="V1141" s="57"/>
      <c r="W1141" s="57"/>
      <c r="X1141" s="55" t="n">
        <f aca="false">IF(A1141="","",IF(AND(Parameter!$B$21="Ja",ISNUMBER(U1141)),U1141,IF(IFERROR(VLOOKUP(D1141,Parameter!$A$35:$C$64,2,0),"Nein")="2+3",IF(ISNUMBER(SEARCH("grosser Artikel",BM1141)),2,IFERROR(VLOOKUP(BP1141,Parameter!$F$35:$G$64,2,0),2)),IF(OR(IFERROR(VLOOKUP(D1141,Parameter!$A$35:$C$64,2,0),"Nein")="Nein",IFERROR(VLOOKUP(D1141,Parameter!$A$35:$C$64,2,0),"Nein")=""),"-",VLOOKUP(D1141,Parameter!$A$35:$C$64,2,0)))))</f>
        <v>2</v>
      </c>
      <c r="Y1141" s="62"/>
      <c r="Z1141" s="63"/>
      <c r="AA1141" s="57" t="n">
        <f aca="false">AP1141</f>
        <v>5</v>
      </c>
      <c r="AB1141" s="57" t="n">
        <f aca="false">MAX(AP1141,G1141)</f>
        <v>5</v>
      </c>
      <c r="AC1141" s="64"/>
      <c r="AD1141" s="57" t="n">
        <f aca="false">IF(LEFT(Cockpit!$C$5,1)="A",G1141,IF(BW1141=1,BX1141,IF(LEFT(Cockpit!$C$5,1)="B",AH1141,MAX(AH1141,G1141))))</f>
        <v>0</v>
      </c>
      <c r="AE1141" s="57" t="n">
        <f aca="false">IF(BR1141=1,0,ROUNDUP(AD1141/BQ1141,0))</f>
        <v>0</v>
      </c>
      <c r="AF1141" s="59" t="n">
        <f aca="false">IF(CD1141&gt;0,CD1141*MAX(1,AD1141/V1141),IF(BR1141=1,IF(AD1141&lt;=0,0,BS1141*MAX(1,IF(G1141&gt;0,AD1141/G1141,1))),IF(Q1141&gt;0,AE1141/Q1141,0))/MAX(0.1,N(Parameter!$M$21)))</f>
        <v>0</v>
      </c>
      <c r="AG1141" s="57" t="n">
        <f aca="false">AD1141*F1141</f>
        <v>0</v>
      </c>
      <c r="AH1141" s="57" t="n">
        <f aca="false">ROUNDUP(MAX(I1141/IF(BV1141&gt;0,BV1141,MAX(0.1,N(Cockpit!$C$6))),BY1141)/BQ1141,0)*BQ1141</f>
        <v>5</v>
      </c>
      <c r="AI1141" s="58" t="n">
        <f aca="false">IF(AF1141&gt;0,I1141/AF1141,-1)</f>
        <v>-1</v>
      </c>
      <c r="AJ1141" s="58" t="str">
        <f aca="false">IF(AND(OR(BU1141="L1",BU1141="L23"),AF1141&gt;0),SUMIFS($AF$7:$AF$1576,$BU$7:$BU$1576,BU1141,$AI$7:$AI$1576,"&gt;"&amp;AI1141)+SUMIFS($AF$7:$AF$1576,$BU$7:$BU$1576,BU1141,$AI$7:$AI$1576,AI1141,$BO$7:$BO$1576,"&lt;="&amp;BO1141),"")</f>
        <v/>
      </c>
      <c r="AK1141" s="65" t="n">
        <f aca="false">IF(AJ1141="",0,MAX(0,MIN(1,(IF(BU1141="L1",Parameter!$E$5,Parameter!$E$6+Parameter!$E$7)-(AJ1141-AF1141))/AF1141)))</f>
        <v>0</v>
      </c>
      <c r="AL1141" s="57" t="n">
        <f aca="false">IF(LEFT(Cockpit!$I$5,1)="A",G1141,IF(BW1141=1,BX1141,IF(LEFT(Cockpit!$I$5,1)="B",AP1141,MAX(AP1141,G1141))))</f>
        <v>5</v>
      </c>
      <c r="AM1141" s="57" t="n">
        <f aca="false">IF(BR1141=1,0,ROUNDUP(AL1141/BQ1141,0))</f>
        <v>0</v>
      </c>
      <c r="AN1141" s="59" t="n">
        <f aca="false">IF(CD1141&gt;0,CD1141*MAX(1,AL1141/V1141),IF(BR1141=1,IF(AL1141&lt;=0,0,BS1141*MAX(1,IF(G1141&gt;0,AL1141/G1141,1))),IF(Q1141&gt;0,AM1141/Q1141,0))/MAX(0.1,N(Parameter!$M$21)))</f>
        <v>0.03</v>
      </c>
      <c r="AO1141" s="57" t="n">
        <f aca="false">AL1141*F1141</f>
        <v>506.75</v>
      </c>
      <c r="AP1141" s="57" t="n">
        <f aca="false">ROUNDUP(MAX(I1141/IF(BV1141&gt;0,BV1141,MAX(0.1,N(Cockpit!$I$6))),BY1141)/BQ1141,0)*BQ1141</f>
        <v>5</v>
      </c>
      <c r="AQ1141" s="58" t="n">
        <f aca="false">IF(AN1141&gt;0,I1141/AN1141,-1)</f>
        <v>200</v>
      </c>
      <c r="AR1141" s="58" t="n">
        <f aca="false">IF(AND(OR(BU1141="L1",BU1141="L23"),AN1141&gt;0),SUMIFS($AN$7:$AN$1576,$BU$7:$BU$1576,BU1141,$AQ$7:$AQ$1576,"&gt;"&amp;AQ1141)+SUMIFS($AN$7:$AN$1576,$BU$7:$BU$1576,BU1141,$AQ$7:$AQ$1576,AQ1141,$BO$7:$BO$1576,"&lt;="&amp;BO1141),"")</f>
        <v>50.859499884511</v>
      </c>
      <c r="AS1141" s="65" t="n">
        <f aca="false">IF(AR1141="",0,MAX(0,MIN(1,(IF(BU1141="L1",Parameter!$E$5,Parameter!$E$6+Parameter!$E$7)-(AR1141-AN1141))/AN1141)))</f>
        <v>1</v>
      </c>
      <c r="AT1141" s="57" t="n">
        <f aca="false">IF(LEFT(Cockpit!$O$5,1)="A",G1141,IF(BW1141=1,BX1141,IF(LEFT(Cockpit!$O$5,1)="B",AX1141,MAX(AX1141,G1141))))</f>
        <v>5</v>
      </c>
      <c r="AU1141" s="57" t="n">
        <f aca="false">IF(BR1141=1,0,ROUNDUP(AT1141/BQ1141,0))</f>
        <v>0</v>
      </c>
      <c r="AV1141" s="59" t="n">
        <f aca="false">IF(CD1141&gt;0,CD1141*MAX(1,AT1141/V1141),IF(BR1141=1,IF(AT1141&lt;=0,0,BS1141*MAX(1,IF(G1141&gt;0,AT1141/G1141,1))),IF(Q1141&gt;0,AU1141/Q1141,0))/MAX(0.1,N(Parameter!$M$21)))</f>
        <v>0.03</v>
      </c>
      <c r="AW1141" s="57" t="n">
        <f aca="false">AT1141*F1141</f>
        <v>506.75</v>
      </c>
      <c r="AX1141" s="57" t="n">
        <f aca="false">ROUNDUP(MAX(I1141/IF(BV1141&gt;0,BV1141,MAX(0.1,N(Cockpit!$O$6))),BY1141)/BQ1141,0)*BQ1141</f>
        <v>5</v>
      </c>
      <c r="AY1141" s="58" t="n">
        <f aca="false">IF(AV1141&gt;0,I1141/AV1141,-1)</f>
        <v>200</v>
      </c>
      <c r="AZ1141" s="58" t="n">
        <f aca="false">IF(AND(OR(BU1141="L1",BU1141="L23"),AV1141&gt;0),SUMIFS($AV$7:$AV$1576,$BU$7:$BU$1576,BU1141,$AY$7:$AY$1576,"&gt;"&amp;AY1141)+SUMIFS($AV$7:$AV$1576,$BU$7:$BU$1576,BU1141,$AY$7:$AY$1576,AY1141,$BO$7:$BO$1576,"&lt;="&amp;BO1141),"")</f>
        <v>47.0557602907715</v>
      </c>
      <c r="BA1141" s="65" t="n">
        <f aca="false">IF(AZ1141="",0,MAX(0,MIN(1,(IF(BU1141="L1",Parameter!$E$5,Parameter!$E$6+Parameter!$E$7)-(AZ1141-AV1141))/AV1141)))</f>
        <v>1</v>
      </c>
      <c r="BB1141" s="55" t="str">
        <f aca="false">IF(AF1141&lt;=0,"",IF(BU1141="Aussen","Aussenlager",IF(BU1141="-","Nicht im Lift",IF(AK1141&gt;=1,"Lift",IF(AK1141&lt;=0,"Aussenlager","teilweise")))))</f>
        <v/>
      </c>
      <c r="BC1141" s="55" t="str">
        <f aca="false">IF(AN1141&lt;=0,"",IF(BU1141="Aussen","Aussenlager",IF(BU1141="-","Nicht im Lift",IF(AS1141&gt;=1,"Lift",IF(AS1141&lt;=0,"Aussenlager","teilweise")))))</f>
        <v>Lift</v>
      </c>
      <c r="BD1141" s="55" t="str">
        <f aca="false">IF(AV1141&lt;=0,"",IF(BU1141="Aussen","Aussenlager",IF(BU1141="-","Nicht im Lift",IF(BA1141&gt;=1,"Lift",IF(BA1141&lt;=0,"Aussenlager","teilweise")))))</f>
        <v>Lift</v>
      </c>
      <c r="BE1141" s="55" t="str">
        <f aca="false">IF(A1141="","",IF(BN1141=1,"Neu; ","")&amp;IF(AND(BN1141=0,BI1141&lt;0),"negativer Bestand (Export "&amp;BI1141&amp;"); ","")&amp;IF(I1141&lt;=0,"Kein Verbrauch; ","")&amp;IF(CD1141&gt;0,"Lift "&amp;U1141&amp;" lt. Liftbericht (Fach "&amp;V1141&amp;" Stk); ",IF(BR1141=1,"Lose – Fläche geschätzt; ",""))&amp;IF(G1141&gt;AP1141,"Überbestand "&amp;ROUND(G1141-AP1141,0)&amp;" Stk / CHF "&amp;ROUND((G1141-AP1141)*F1141,0)&amp;"; ","")&amp;IF(AND(BW1141=1,BX1141&lt;BY1141),"MAX &lt; MB+LG; ","")&amp;IF(AND(CC1141&gt;0,CB1141*10&gt;CC1141),"zu hoch für Tablar; ","")&amp;IF(AND(BN1141=0,OR(BW1141=1,Y1141&lt;&gt;"",S1141&lt;&gt;"",T1141&lt;&gt;"",Z1141&lt;&gt;"")),"manuell übersteuert; ","")&amp;IF(AND(BR1141=0,Q1141=0),"Gebinde unbekannt / Stellmass fehlt; ","")&amp;IF(AND(BR1141=0,N(T1141)&lt;=0,N(P1141)&lt;=0),"Menge pro Gebinde fehlt (Ist = 1 Gebinde); ","")&amp;BM1141)</f>
        <v>negativer Bestand (Export -3); Lose – Fläche geschätzt; </v>
      </c>
      <c r="BF1141" s="55"/>
      <c r="BG1141" s="55"/>
      <c r="BH1141" s="62"/>
      <c r="BI1141" s="57" t="n">
        <v>-3</v>
      </c>
      <c r="BJ1141" s="57" t="n">
        <v>4</v>
      </c>
      <c r="BK1141" s="56" t="n">
        <v>-287.21</v>
      </c>
      <c r="BL1141" s="57" t="n">
        <v>6</v>
      </c>
      <c r="BM1141" s="55"/>
      <c r="BN1141" s="60" t="n">
        <v>0</v>
      </c>
      <c r="BO1141" s="60" t="n">
        <v>1141</v>
      </c>
      <c r="BP1141" s="55" t="str">
        <f aca="false">IF(S1141&lt;&gt;"",UPPER(TRIM(S1141)),IF(O1141="","LOSE",O1141))</f>
        <v>LOSE</v>
      </c>
      <c r="BQ1141" s="57" t="n">
        <f aca="false">IF(BP1141="LOSE",1,IF(N(T1141)&gt;0,T1141,IF(N(P1141)&gt;0,P1141,MAX(1,G1141))))</f>
        <v>1</v>
      </c>
      <c r="BR1141" s="60" t="n">
        <f aca="false">IF(BP1141="LOSE",1,0)</f>
        <v>1</v>
      </c>
      <c r="BS1141" s="59" t="n">
        <f aca="false">IF(BR1141=0,0,IF(N(R1141)&gt;0,R1141,IFERROR(VLOOKUP(D1141,Parameter!$A$35:$C$64,3,0)+0,0)))</f>
        <v>0.03</v>
      </c>
      <c r="BT1141" s="55" t="n">
        <f aca="false">IF(Y1141&lt;&gt;"",Y1141,X1141)</f>
        <v>2</v>
      </c>
      <c r="BU1141" s="55" t="str">
        <f aca="false">IF(BT1141=1,"L1",IF(OR(BT1141=2,BT1141=3),"L23",IF(BT1141="Aussen","Aussen","-")))</f>
        <v>L23</v>
      </c>
      <c r="BV1141" s="66" t="n">
        <f aca="false">IF(N(Z1141)&gt;0,Z1141,0)</f>
        <v>0</v>
      </c>
      <c r="BW1141" s="60" t="n">
        <f aca="false">IF(ISNUMBER(AC1141),1,0)</f>
        <v>0</v>
      </c>
      <c r="BX1141" s="57" t="n">
        <f aca="false">N(AC1141)</f>
        <v>0</v>
      </c>
      <c r="BY1141" s="57" t="n">
        <f aca="false">N(L1141)+N(M1141)</f>
        <v>5</v>
      </c>
      <c r="BZ1141" s="57" t="n">
        <f aca="false">ROUNDUP(G1141/BQ1141,0)</f>
        <v>0</v>
      </c>
      <c r="CA1141" s="57" t="n">
        <f aca="false">ROUNDUP(BX1141/BQ1141,0)</f>
        <v>0</v>
      </c>
      <c r="CB1141" s="60" t="n">
        <f aca="false">IF(BR1141=1,0,IFERROR(VLOOKUP(BP1141,'Gebinde-Kategorie'!$A$5:$M$45,5,0)+0,0))</f>
        <v>0</v>
      </c>
      <c r="CC1141" s="60" t="n">
        <f aca="false">IFERROR(IF(OR(BT1141=1,BT1141=2,BT1141=3),N(INDEX(Parameter!$I$5:$I$7,BT1141)),0),0)</f>
        <v>0</v>
      </c>
      <c r="CD1141" s="59" t="n">
        <f aca="false">IF(AND(Parameter!$B$21="Ja",ISNUMBER(U1141),N(V1141)&gt;0),IFERROR(N(INDEX(Parameter!$L$5:$L$7,U1141))*INDEX(Parameter!$E$5:$E$7,U1141)*V1141/SUMIFS($V$7:$V$1576,$U$7:$U$1576,U1141),0),0)</f>
        <v>0</v>
      </c>
    </row>
    <row r="1142" customFormat="false" ht="15" hidden="false" customHeight="false" outlineLevel="0" collapsed="false">
      <c r="A1142" s="55" t="s">
        <v>2052</v>
      </c>
      <c r="B1142" s="55" t="s">
        <v>2053</v>
      </c>
      <c r="C1142" s="55" t="s">
        <v>160</v>
      </c>
      <c r="D1142" s="55" t="s">
        <v>178</v>
      </c>
      <c r="E1142" s="55" t="s">
        <v>210</v>
      </c>
      <c r="F1142" s="56" t="n">
        <v>0.65</v>
      </c>
      <c r="G1142" s="57" t="n">
        <f aca="false">MAX(0,IF(AND(Parameter!$B$21="Ja",ISNUMBER(W1142)),W1142,IF(Parameter!$B$20="Jahresanfang 2025 + Export",BJ1142+BI1142,BI1142)))</f>
        <v>0</v>
      </c>
      <c r="H1142" s="57" t="n">
        <f aca="false">G1142*F1142</f>
        <v>0</v>
      </c>
      <c r="I1142" s="57" t="n">
        <f aca="false">BL1142*Parameter!$B$18</f>
        <v>595</v>
      </c>
      <c r="J1142" s="58" t="n">
        <v>564</v>
      </c>
      <c r="K1142" s="59" t="n">
        <v>1.05496453900709</v>
      </c>
      <c r="L1142" s="57" t="n">
        <v>34</v>
      </c>
      <c r="M1142" s="57" t="n">
        <v>600</v>
      </c>
      <c r="N1142" s="60" t="n">
        <v>21</v>
      </c>
      <c r="O1142" s="55" t="s">
        <v>225</v>
      </c>
      <c r="P1142" s="57" t="n">
        <v>197</v>
      </c>
      <c r="Q1142" s="60" t="n">
        <f aca="false">IF(BR1142=1,0,IFERROR(VLOOKUP(BP1142,'Gebinde-Kategorie'!$A$5:$M$45,13,0)+0,0))</f>
        <v>26</v>
      </c>
      <c r="R1142" s="61"/>
      <c r="S1142" s="62"/>
      <c r="T1142" s="62"/>
      <c r="U1142" s="55"/>
      <c r="V1142" s="57"/>
      <c r="W1142" s="57"/>
      <c r="X1142" s="55" t="n">
        <f aca="false">IF(A1142="","",IF(AND(Parameter!$B$21="Ja",ISNUMBER(U1142)),U1142,IF(IFERROR(VLOOKUP(D1142,Parameter!$A$35:$C$64,2,0),"Nein")="2+3",IF(ISNUMBER(SEARCH("grosser Artikel",BM1142)),2,IFERROR(VLOOKUP(BP1142,Parameter!$F$35:$G$64,2,0),2)),IF(OR(IFERROR(VLOOKUP(D1142,Parameter!$A$35:$C$64,2,0),"Nein")="Nein",IFERROR(VLOOKUP(D1142,Parameter!$A$35:$C$64,2,0),"Nein")=""),"-",VLOOKUP(D1142,Parameter!$A$35:$C$64,2,0)))))</f>
        <v>3</v>
      </c>
      <c r="Y1142" s="62"/>
      <c r="Z1142" s="63"/>
      <c r="AA1142" s="57" t="n">
        <f aca="false">AP1142</f>
        <v>788</v>
      </c>
      <c r="AB1142" s="57" t="n">
        <f aca="false">MAX(AP1142,G1142)</f>
        <v>788</v>
      </c>
      <c r="AC1142" s="64"/>
      <c r="AD1142" s="57" t="n">
        <f aca="false">IF(LEFT(Cockpit!$C$5,1)="A",G1142,IF(BW1142=1,BX1142,IF(LEFT(Cockpit!$C$5,1)="B",AH1142,MAX(AH1142,G1142))))</f>
        <v>0</v>
      </c>
      <c r="AE1142" s="57" t="n">
        <f aca="false">IF(BR1142=1,0,ROUNDUP(AD1142/BQ1142,0))</f>
        <v>0</v>
      </c>
      <c r="AF1142" s="59" t="n">
        <f aca="false">IF(CD1142&gt;0,CD1142*MAX(1,AD1142/V1142),IF(BR1142=1,IF(AD1142&lt;=0,0,BS1142*MAX(1,IF(G1142&gt;0,AD1142/G1142,1))),IF(Q1142&gt;0,AE1142/Q1142,0))/MAX(0.1,N(Parameter!$M$21)))</f>
        <v>0</v>
      </c>
      <c r="AG1142" s="57" t="n">
        <f aca="false">AD1142*F1142</f>
        <v>0</v>
      </c>
      <c r="AH1142" s="57" t="n">
        <f aca="false">ROUNDUP(MAX(I1142/IF(BV1142&gt;0,BV1142,MAX(0.1,N(Cockpit!$C$6))),BY1142)/BQ1142,0)*BQ1142</f>
        <v>788</v>
      </c>
      <c r="AI1142" s="58" t="n">
        <f aca="false">IF(AF1142&gt;0,I1142/AF1142,-1)</f>
        <v>-1</v>
      </c>
      <c r="AJ1142" s="58" t="str">
        <f aca="false">IF(AND(OR(BU1142="L1",BU1142="L23"),AF1142&gt;0),SUMIFS($AF$7:$AF$1576,$BU$7:$BU$1576,BU1142,$AI$7:$AI$1576,"&gt;"&amp;AI1142)+SUMIFS($AF$7:$AF$1576,$BU$7:$BU$1576,BU1142,$AI$7:$AI$1576,AI1142,$BO$7:$BO$1576,"&lt;="&amp;BO1142),"")</f>
        <v/>
      </c>
      <c r="AK1142" s="65" t="n">
        <f aca="false">IF(AJ1142="",0,MAX(0,MIN(1,(IF(BU1142="L1",Parameter!$E$5,Parameter!$E$6+Parameter!$E$7)-(AJ1142-AF1142))/AF1142)))</f>
        <v>0</v>
      </c>
      <c r="AL1142" s="57" t="n">
        <f aca="false">IF(LEFT(Cockpit!$I$5,1)="A",G1142,IF(BW1142=1,BX1142,IF(LEFT(Cockpit!$I$5,1)="B",AP1142,MAX(AP1142,G1142))))</f>
        <v>788</v>
      </c>
      <c r="AM1142" s="57" t="n">
        <f aca="false">IF(BR1142=1,0,ROUNDUP(AL1142/BQ1142,0))</f>
        <v>4</v>
      </c>
      <c r="AN1142" s="59" t="n">
        <f aca="false">IF(CD1142&gt;0,CD1142*MAX(1,AL1142/V1142),IF(BR1142=1,IF(AL1142&lt;=0,0,BS1142*MAX(1,IF(G1142&gt;0,AL1142/G1142,1))),IF(Q1142&gt;0,AM1142/Q1142,0))/MAX(0.1,N(Parameter!$M$21)))</f>
        <v>0.153846153846154</v>
      </c>
      <c r="AO1142" s="57" t="n">
        <f aca="false">AL1142*F1142</f>
        <v>512.2</v>
      </c>
      <c r="AP1142" s="57" t="n">
        <f aca="false">ROUNDUP(MAX(I1142/IF(BV1142&gt;0,BV1142,MAX(0.1,N(Cockpit!$I$6))),BY1142)/BQ1142,0)*BQ1142</f>
        <v>788</v>
      </c>
      <c r="AQ1142" s="58" t="n">
        <f aca="false">IF(AN1142&gt;0,I1142/AN1142,-1)</f>
        <v>3867.5</v>
      </c>
      <c r="AR1142" s="58" t="n">
        <f aca="false">IF(AND(OR(BU1142="L1",BU1142="L23"),AN1142&gt;0),SUMIFS($AN$7:$AN$1576,$BU$7:$BU$1576,BU1142,$AQ$7:$AQ$1576,"&gt;"&amp;AQ1142)+SUMIFS($AN$7:$AN$1576,$BU$7:$BU$1576,BU1142,$AQ$7:$AQ$1576,AQ1142,$BO$7:$BO$1576,"&lt;="&amp;BO1142),"")</f>
        <v>13.2165169859126</v>
      </c>
      <c r="AS1142" s="65" t="n">
        <f aca="false">IF(AR1142="",0,MAX(0,MIN(1,(IF(BU1142="L1",Parameter!$E$5,Parameter!$E$6+Parameter!$E$7)-(AR1142-AN1142))/AN1142)))</f>
        <v>1</v>
      </c>
      <c r="AT1142" s="57" t="n">
        <f aca="false">IF(LEFT(Cockpit!$O$5,1)="A",G1142,IF(BW1142=1,BX1142,IF(LEFT(Cockpit!$O$5,1)="B",AX1142,MAX(AX1142,G1142))))</f>
        <v>788</v>
      </c>
      <c r="AU1142" s="57" t="n">
        <f aca="false">IF(BR1142=1,0,ROUNDUP(AT1142/BQ1142,0))</f>
        <v>4</v>
      </c>
      <c r="AV1142" s="59" t="n">
        <f aca="false">IF(CD1142&gt;0,CD1142*MAX(1,AT1142/V1142),IF(BR1142=1,IF(AT1142&lt;=0,0,BS1142*MAX(1,IF(G1142&gt;0,AT1142/G1142,1))),IF(Q1142&gt;0,AU1142/Q1142,0))/MAX(0.1,N(Parameter!$M$21)))</f>
        <v>0.153846153846154</v>
      </c>
      <c r="AW1142" s="57" t="n">
        <f aca="false">AT1142*F1142</f>
        <v>512.2</v>
      </c>
      <c r="AX1142" s="57" t="n">
        <f aca="false">ROUNDUP(MAX(I1142/IF(BV1142&gt;0,BV1142,MAX(0.1,N(Cockpit!$O$6))),BY1142)/BQ1142,0)*BQ1142</f>
        <v>788</v>
      </c>
      <c r="AY1142" s="58" t="n">
        <f aca="false">IF(AV1142&gt;0,I1142/AV1142,-1)</f>
        <v>3867.5</v>
      </c>
      <c r="AZ1142" s="58" t="n">
        <f aca="false">IF(AND(OR(BU1142="L1",BU1142="L23"),AV1142&gt;0),SUMIFS($AV$7:$AV$1576,$BU$7:$BU$1576,BU1142,$AY$7:$AY$1576,"&gt;"&amp;AY1142)+SUMIFS($AV$7:$AV$1576,$BU$7:$BU$1576,BU1142,$AY$7:$AY$1576,AY1142,$BO$7:$BO$1576,"&lt;="&amp;BO1142),"")</f>
        <v>11.9373794567751</v>
      </c>
      <c r="BA1142" s="65" t="n">
        <f aca="false">IF(AZ1142="",0,MAX(0,MIN(1,(IF(BU1142="L1",Parameter!$E$5,Parameter!$E$6+Parameter!$E$7)-(AZ1142-AV1142))/AV1142)))</f>
        <v>1</v>
      </c>
      <c r="BB1142" s="55" t="str">
        <f aca="false">IF(AF1142&lt;=0,"",IF(BU1142="Aussen","Aussenlager",IF(BU1142="-","Nicht im Lift",IF(AK1142&gt;=1,"Lift",IF(AK1142&lt;=0,"Aussenlager","teilweise")))))</f>
        <v/>
      </c>
      <c r="BC1142" s="55" t="str">
        <f aca="false">IF(AN1142&lt;=0,"",IF(BU1142="Aussen","Aussenlager",IF(BU1142="-","Nicht im Lift",IF(AS1142&gt;=1,"Lift",IF(AS1142&lt;=0,"Aussenlager","teilweise")))))</f>
        <v>Lift</v>
      </c>
      <c r="BD1142" s="55" t="str">
        <f aca="false">IF(AV1142&lt;=0,"",IF(BU1142="Aussen","Aussenlager",IF(BU1142="-","Nicht im Lift",IF(BA1142&gt;=1,"Lift",IF(BA1142&lt;=0,"Aussenlager","teilweise")))))</f>
        <v>Lift</v>
      </c>
      <c r="BE1142" s="55" t="str">
        <f aca="false">IF(A1142="","",IF(BN1142=1,"Neu; ","")&amp;IF(AND(BN1142=0,BI1142&lt;0),"negativer Bestand (Export "&amp;BI1142&amp;"); ","")&amp;IF(I1142&lt;=0,"Kein Verbrauch; ","")&amp;IF(CD1142&gt;0,"Lift "&amp;U1142&amp;" lt. Liftbericht (Fach "&amp;V1142&amp;" Stk); ",IF(BR1142=1,"Lose – Fläche geschätzt; ",""))&amp;IF(G1142&gt;AP1142,"Überbestand "&amp;ROUND(G1142-AP1142,0)&amp;" Stk / CHF "&amp;ROUND((G1142-AP1142)*F1142,0)&amp;"; ","")&amp;IF(AND(BW1142=1,BX1142&lt;BY1142),"MAX &lt; MB+LG; ","")&amp;IF(AND(CC1142&gt;0,CB1142*10&gt;CC1142),"zu hoch für Tablar; ","")&amp;IF(AND(BN1142=0,OR(BW1142=1,Y1142&lt;&gt;"",S1142&lt;&gt;"",T1142&lt;&gt;"",Z1142&lt;&gt;"")),"manuell übersteuert; ","")&amp;IF(AND(BR1142=0,Q1142=0),"Gebinde unbekannt / Stellmass fehlt; ","")&amp;IF(AND(BR1142=0,N(T1142)&lt;=0,N(P1142)&lt;=0),"Menge pro Gebinde fehlt (Ist = 1 Gebinde); ","")&amp;BM1142)</f>
        <v>negativer Bestand (Export -453); </v>
      </c>
      <c r="BF1142" s="55"/>
      <c r="BG1142" s="55"/>
      <c r="BH1142" s="62"/>
      <c r="BI1142" s="57" t="n">
        <v>-453</v>
      </c>
      <c r="BJ1142" s="57" t="n">
        <v>571</v>
      </c>
      <c r="BK1142" s="56" t="n">
        <v>-288.819999999999</v>
      </c>
      <c r="BL1142" s="57" t="n">
        <v>595</v>
      </c>
      <c r="BM1142" s="55"/>
      <c r="BN1142" s="60" t="n">
        <v>0</v>
      </c>
      <c r="BO1142" s="60" t="n">
        <v>1142</v>
      </c>
      <c r="BP1142" s="55" t="str">
        <f aca="false">IF(S1142&lt;&gt;"",UPPER(TRIM(S1142)),IF(O1142="","LOSE",O1142))</f>
        <v>S52</v>
      </c>
      <c r="BQ1142" s="57" t="n">
        <f aca="false">IF(BP1142="LOSE",1,IF(N(T1142)&gt;0,T1142,IF(N(P1142)&gt;0,P1142,MAX(1,G1142))))</f>
        <v>197</v>
      </c>
      <c r="BR1142" s="60" t="n">
        <f aca="false">IF(BP1142="LOSE",1,0)</f>
        <v>0</v>
      </c>
      <c r="BS1142" s="59" t="n">
        <f aca="false">IF(BR1142=0,0,IF(N(R1142)&gt;0,R1142,IFERROR(VLOOKUP(D1142,Parameter!$A$35:$C$64,3,0)+0,0)))</f>
        <v>0</v>
      </c>
      <c r="BT1142" s="55" t="n">
        <f aca="false">IF(Y1142&lt;&gt;"",Y1142,X1142)</f>
        <v>3</v>
      </c>
      <c r="BU1142" s="55" t="str">
        <f aca="false">IF(BT1142=1,"L1",IF(OR(BT1142=2,BT1142=3),"L23",IF(BT1142="Aussen","Aussen","-")))</f>
        <v>L23</v>
      </c>
      <c r="BV1142" s="66" t="n">
        <f aca="false">IF(N(Z1142)&gt;0,Z1142,0)</f>
        <v>0</v>
      </c>
      <c r="BW1142" s="60" t="n">
        <f aca="false">IF(ISNUMBER(AC1142),1,0)</f>
        <v>0</v>
      </c>
      <c r="BX1142" s="57" t="n">
        <f aca="false">N(AC1142)</f>
        <v>0</v>
      </c>
      <c r="BY1142" s="57" t="n">
        <f aca="false">N(L1142)+N(M1142)</f>
        <v>634</v>
      </c>
      <c r="BZ1142" s="57" t="n">
        <f aca="false">ROUNDUP(G1142/BQ1142,0)</f>
        <v>0</v>
      </c>
      <c r="CA1142" s="57" t="n">
        <f aca="false">ROUNDUP(BX1142/BQ1142,0)</f>
        <v>0</v>
      </c>
      <c r="CB1142" s="60" t="n">
        <f aca="false">IF(BR1142=1,0,IFERROR(VLOOKUP(BP1142,'Gebinde-Kategorie'!$A$5:$M$45,5,0)+0,0))</f>
        <v>21</v>
      </c>
      <c r="CC1142" s="60" t="n">
        <f aca="false">IFERROR(IF(OR(BT1142=1,BT1142=2,BT1142=3),N(INDEX(Parameter!$I$5:$I$7,BT1142)),0),0)</f>
        <v>0</v>
      </c>
      <c r="CD1142" s="59" t="n">
        <f aca="false">IF(AND(Parameter!$B$21="Ja",ISNUMBER(U1142),N(V1142)&gt;0),IFERROR(N(INDEX(Parameter!$L$5:$L$7,U1142))*INDEX(Parameter!$E$5:$E$7,U1142)*V1142/SUMIFS($V$7:$V$1576,$U$7:$U$1576,U1142),0),0)</f>
        <v>0</v>
      </c>
    </row>
    <row r="1143" customFormat="false" ht="15" hidden="false" customHeight="false" outlineLevel="0" collapsed="false">
      <c r="A1143" s="55" t="s">
        <v>2054</v>
      </c>
      <c r="B1143" s="55" t="s">
        <v>1946</v>
      </c>
      <c r="C1143" s="55" t="s">
        <v>160</v>
      </c>
      <c r="D1143" s="55" t="s">
        <v>168</v>
      </c>
      <c r="E1143" s="55" t="s">
        <v>210</v>
      </c>
      <c r="F1143" s="56" t="n">
        <v>288.93</v>
      </c>
      <c r="G1143" s="57" t="n">
        <f aca="false">MAX(0,IF(AND(Parameter!$B$21="Ja",ISNUMBER(W1143)),W1143,IF(Parameter!$B$20="Jahresanfang 2025 + Export",BJ1143+BI1143,BI1143)))</f>
        <v>0</v>
      </c>
      <c r="H1143" s="57" t="n">
        <f aca="false">G1143*F1143</f>
        <v>0</v>
      </c>
      <c r="I1143" s="57" t="n">
        <f aca="false">BL1143*Parameter!$B$18</f>
        <v>0</v>
      </c>
      <c r="J1143" s="58" t="n">
        <v>13.5</v>
      </c>
      <c r="K1143" s="59" t="n">
        <v>0</v>
      </c>
      <c r="L1143" s="57" t="n">
        <v>0</v>
      </c>
      <c r="M1143" s="57" t="n">
        <v>1</v>
      </c>
      <c r="N1143" s="60" t="n">
        <v>84</v>
      </c>
      <c r="O1143" s="55" t="s">
        <v>169</v>
      </c>
      <c r="P1143" s="57" t="n">
        <v>15</v>
      </c>
      <c r="Q1143" s="60" t="n">
        <f aca="false">IF(BR1143=1,0,IFERROR(VLOOKUP(BP1143,'Gebinde-Kategorie'!$A$5:$M$45,13,0)+0,0))</f>
        <v>6</v>
      </c>
      <c r="R1143" s="61"/>
      <c r="S1143" s="62"/>
      <c r="T1143" s="62"/>
      <c r="U1143" s="55"/>
      <c r="V1143" s="57"/>
      <c r="W1143" s="57"/>
      <c r="X1143" s="55" t="n">
        <f aca="false">IF(A1143="","",IF(AND(Parameter!$B$21="Ja",ISNUMBER(U1143)),U1143,IF(IFERROR(VLOOKUP(D1143,Parameter!$A$35:$C$64,2,0),"Nein")="2+3",IF(ISNUMBER(SEARCH("grosser Artikel",BM1143)),2,IFERROR(VLOOKUP(BP1143,Parameter!$F$35:$G$64,2,0),2)),IF(OR(IFERROR(VLOOKUP(D1143,Parameter!$A$35:$C$64,2,0),"Nein")="Nein",IFERROR(VLOOKUP(D1143,Parameter!$A$35:$C$64,2,0),"Nein")=""),"-",VLOOKUP(D1143,Parameter!$A$35:$C$64,2,0)))))</f>
        <v>2</v>
      </c>
      <c r="Y1143" s="62"/>
      <c r="Z1143" s="63"/>
      <c r="AA1143" s="57" t="n">
        <f aca="false">AP1143</f>
        <v>15</v>
      </c>
      <c r="AB1143" s="57" t="n">
        <f aca="false">MAX(AP1143,G1143)</f>
        <v>15</v>
      </c>
      <c r="AC1143" s="64"/>
      <c r="AD1143" s="57" t="n">
        <f aca="false">IF(LEFT(Cockpit!$C$5,1)="A",G1143,IF(BW1143=1,BX1143,IF(LEFT(Cockpit!$C$5,1)="B",AH1143,MAX(AH1143,G1143))))</f>
        <v>0</v>
      </c>
      <c r="AE1143" s="57" t="n">
        <f aca="false">IF(BR1143=1,0,ROUNDUP(AD1143/BQ1143,0))</f>
        <v>0</v>
      </c>
      <c r="AF1143" s="59" t="n">
        <f aca="false">IF(CD1143&gt;0,CD1143*MAX(1,AD1143/V1143),IF(BR1143=1,IF(AD1143&lt;=0,0,BS1143*MAX(1,IF(G1143&gt;0,AD1143/G1143,1))),IF(Q1143&gt;0,AE1143/Q1143,0))/MAX(0.1,N(Parameter!$M$21)))</f>
        <v>0</v>
      </c>
      <c r="AG1143" s="57" t="n">
        <f aca="false">AD1143*F1143</f>
        <v>0</v>
      </c>
      <c r="AH1143" s="57" t="n">
        <f aca="false">ROUNDUP(MAX(I1143/IF(BV1143&gt;0,BV1143,MAX(0.1,N(Cockpit!$C$6))),BY1143)/BQ1143,0)*BQ1143</f>
        <v>15</v>
      </c>
      <c r="AI1143" s="58" t="n">
        <f aca="false">IF(AF1143&gt;0,I1143/AF1143,-1)</f>
        <v>-1</v>
      </c>
      <c r="AJ1143" s="58" t="str">
        <f aca="false">IF(AND(OR(BU1143="L1",BU1143="L23"),AF1143&gt;0),SUMIFS($AF$7:$AF$1576,$BU$7:$BU$1576,BU1143,$AI$7:$AI$1576,"&gt;"&amp;AI1143)+SUMIFS($AF$7:$AF$1576,$BU$7:$BU$1576,BU1143,$AI$7:$AI$1576,AI1143,$BO$7:$BO$1576,"&lt;="&amp;BO1143),"")</f>
        <v/>
      </c>
      <c r="AK1143" s="65" t="n">
        <f aca="false">IF(AJ1143="",0,MAX(0,MIN(1,(IF(BU1143="L1",Parameter!$E$5,Parameter!$E$6+Parameter!$E$7)-(AJ1143-AF1143))/AF1143)))</f>
        <v>0</v>
      </c>
      <c r="AL1143" s="57" t="n">
        <f aca="false">IF(LEFT(Cockpit!$I$5,1)="A",G1143,IF(BW1143=1,BX1143,IF(LEFT(Cockpit!$I$5,1)="B",AP1143,MAX(AP1143,G1143))))</f>
        <v>15</v>
      </c>
      <c r="AM1143" s="57" t="n">
        <f aca="false">IF(BR1143=1,0,ROUNDUP(AL1143/BQ1143,0))</f>
        <v>1</v>
      </c>
      <c r="AN1143" s="59" t="n">
        <f aca="false">IF(CD1143&gt;0,CD1143*MAX(1,AL1143/V1143),IF(BR1143=1,IF(AL1143&lt;=0,0,BS1143*MAX(1,IF(G1143&gt;0,AL1143/G1143,1))),IF(Q1143&gt;0,AM1143/Q1143,0))/MAX(0.1,N(Parameter!$M$21)))</f>
        <v>0.166666666666667</v>
      </c>
      <c r="AO1143" s="57" t="n">
        <f aca="false">AL1143*F1143</f>
        <v>4333.95</v>
      </c>
      <c r="AP1143" s="57" t="n">
        <f aca="false">ROUNDUP(MAX(I1143/IF(BV1143&gt;0,BV1143,MAX(0.1,N(Cockpit!$I$6))),BY1143)/BQ1143,0)*BQ1143</f>
        <v>15</v>
      </c>
      <c r="AQ1143" s="58" t="n">
        <f aca="false">IF(AN1143&gt;0,I1143/AN1143,-1)</f>
        <v>0</v>
      </c>
      <c r="AR1143" s="58" t="n">
        <f aca="false">IF(AND(OR(BU1143="L1",BU1143="L23"),AN1143&gt;0),SUMIFS($AN$7:$AN$1576,$BU$7:$BU$1576,BU1143,$AQ$7:$AQ$1576,"&gt;"&amp;AQ1143)+SUMIFS($AN$7:$AN$1576,$BU$7:$BU$1576,BU1143,$AQ$7:$AQ$1576,AQ1143,$BO$7:$BO$1576,"&lt;="&amp;BO1143),"")</f>
        <v>134.524923216927</v>
      </c>
      <c r="AS1143" s="65" t="n">
        <f aca="false">IF(AR1143="",0,MAX(0,MIN(1,(IF(BU1143="L1",Parameter!$E$5,Parameter!$E$6+Parameter!$E$7)-(AR1143-AN1143))/AN1143)))</f>
        <v>0</v>
      </c>
      <c r="AT1143" s="57" t="n">
        <f aca="false">IF(LEFT(Cockpit!$O$5,1)="A",G1143,IF(BW1143=1,BX1143,IF(LEFT(Cockpit!$O$5,1)="B",AX1143,MAX(AX1143,G1143))))</f>
        <v>15</v>
      </c>
      <c r="AU1143" s="57" t="n">
        <f aca="false">IF(BR1143=1,0,ROUNDUP(AT1143/BQ1143,0))</f>
        <v>1</v>
      </c>
      <c r="AV1143" s="59" t="n">
        <f aca="false">IF(CD1143&gt;0,CD1143*MAX(1,AT1143/V1143),IF(BR1143=1,IF(AT1143&lt;=0,0,BS1143*MAX(1,IF(G1143&gt;0,AT1143/G1143,1))),IF(Q1143&gt;0,AU1143/Q1143,0))/MAX(0.1,N(Parameter!$M$21)))</f>
        <v>0.166666666666667</v>
      </c>
      <c r="AW1143" s="57" t="n">
        <f aca="false">AT1143*F1143</f>
        <v>4333.95</v>
      </c>
      <c r="AX1143" s="57" t="n">
        <f aca="false">ROUNDUP(MAX(I1143/IF(BV1143&gt;0,BV1143,MAX(0.1,N(Cockpit!$O$6))),BY1143)/BQ1143,0)*BQ1143</f>
        <v>15</v>
      </c>
      <c r="AY1143" s="58" t="n">
        <f aca="false">IF(AV1143&gt;0,I1143/AV1143,-1)</f>
        <v>0</v>
      </c>
      <c r="AZ1143" s="58" t="n">
        <f aca="false">IF(AND(OR(BU1143="L1",BU1143="L23"),AV1143&gt;0),SUMIFS($AV$7:$AV$1576,$BU$7:$BU$1576,BU1143,$AY$7:$AY$1576,"&gt;"&amp;AY1143)+SUMIFS($AV$7:$AV$1576,$BU$7:$BU$1576,BU1143,$AY$7:$AY$1576,AY1143,$BO$7:$BO$1576,"&lt;="&amp;BO1143),"")</f>
        <v>124.584473666478</v>
      </c>
      <c r="BA1143" s="65" t="n">
        <f aca="false">IF(AZ1143="",0,MAX(0,MIN(1,(IF(BU1143="L1",Parameter!$E$5,Parameter!$E$6+Parameter!$E$7)-(AZ1143-AV1143))/AV1143)))</f>
        <v>0</v>
      </c>
      <c r="BB1143" s="55" t="str">
        <f aca="false">IF(AF1143&lt;=0,"",IF(BU1143="Aussen","Aussenlager",IF(BU1143="-","Nicht im Lift",IF(AK1143&gt;=1,"Lift",IF(AK1143&lt;=0,"Aussenlager","teilweise")))))</f>
        <v/>
      </c>
      <c r="BC1143" s="55" t="str">
        <f aca="false">IF(AN1143&lt;=0,"",IF(BU1143="Aussen","Aussenlager",IF(BU1143="-","Nicht im Lift",IF(AS1143&gt;=1,"Lift",IF(AS1143&lt;=0,"Aussenlager","teilweise")))))</f>
        <v>Aussenlager</v>
      </c>
      <c r="BD1143" s="55" t="str">
        <f aca="false">IF(AV1143&lt;=0,"",IF(BU1143="Aussen","Aussenlager",IF(BU1143="-","Nicht im Lift",IF(BA1143&gt;=1,"Lift",IF(BA1143&lt;=0,"Aussenlager","teilweise")))))</f>
        <v>Aussenlager</v>
      </c>
      <c r="BE1143" s="55" t="str">
        <f aca="false">IF(A1143="","",IF(BN1143=1,"Neu; ","")&amp;IF(AND(BN1143=0,BI1143&lt;0),"negativer Bestand (Export "&amp;BI1143&amp;"); ","")&amp;IF(I1143&lt;=0,"Kein Verbrauch; ","")&amp;IF(CD1143&gt;0,"Lift "&amp;U1143&amp;" lt. Liftbericht (Fach "&amp;V1143&amp;" Stk); ",IF(BR1143=1,"Lose – Fläche geschätzt; ",""))&amp;IF(G1143&gt;AP1143,"Überbestand "&amp;ROUND(G1143-AP1143,0)&amp;" Stk / CHF "&amp;ROUND((G1143-AP1143)*F1143,0)&amp;"; ","")&amp;IF(AND(BW1143=1,BX1143&lt;BY1143),"MAX &lt; MB+LG; ","")&amp;IF(AND(CC1143&gt;0,CB1143*10&gt;CC1143),"zu hoch für Tablar; ","")&amp;IF(AND(BN1143=0,OR(BW1143=1,Y1143&lt;&gt;"",S1143&lt;&gt;"",T1143&lt;&gt;"",Z1143&lt;&gt;"")),"manuell übersteuert; ","")&amp;IF(AND(BR1143=0,Q1143=0),"Gebinde unbekannt / Stellmass fehlt; ","")&amp;IF(AND(BR1143=0,N(T1143)&lt;=0,N(P1143)&lt;=0),"Menge pro Gebinde fehlt (Ist = 1 Gebinde); ","")&amp;BM1143)</f>
        <v>negativer Bestand (Export -1); Kein Verbrauch; Überbestand</v>
      </c>
      <c r="BF1143" s="55"/>
      <c r="BG1143" s="55"/>
      <c r="BH1143" s="62"/>
      <c r="BI1143" s="57" t="n">
        <v>-1</v>
      </c>
      <c r="BJ1143" s="57" t="n">
        <v>14</v>
      </c>
      <c r="BK1143" s="56" t="n">
        <v>-288.93</v>
      </c>
      <c r="BL1143" s="57" t="n">
        <v>0</v>
      </c>
      <c r="BM1143" s="55" t="s">
        <v>382</v>
      </c>
      <c r="BN1143" s="60" t="n">
        <v>0</v>
      </c>
      <c r="BO1143" s="60" t="n">
        <v>1143</v>
      </c>
      <c r="BP1143" s="55" t="str">
        <f aca="false">IF(S1143&lt;&gt;"",UPPER(TRIM(S1143)),IF(O1143="","LOSE",O1143))</f>
        <v>S71</v>
      </c>
      <c r="BQ1143" s="57" t="n">
        <f aca="false">IF(BP1143="LOSE",1,IF(N(T1143)&gt;0,T1143,IF(N(P1143)&gt;0,P1143,MAX(1,G1143))))</f>
        <v>15</v>
      </c>
      <c r="BR1143" s="60" t="n">
        <f aca="false">IF(BP1143="LOSE",1,0)</f>
        <v>0</v>
      </c>
      <c r="BS1143" s="59" t="n">
        <f aca="false">IF(BR1143=0,0,IF(N(R1143)&gt;0,R1143,IFERROR(VLOOKUP(D1143,Parameter!$A$35:$C$64,3,0)+0,0)))</f>
        <v>0</v>
      </c>
      <c r="BT1143" s="55" t="n">
        <f aca="false">IF(Y1143&lt;&gt;"",Y1143,X1143)</f>
        <v>2</v>
      </c>
      <c r="BU1143" s="55" t="str">
        <f aca="false">IF(BT1143=1,"L1",IF(OR(BT1143=2,BT1143=3),"L23",IF(BT1143="Aussen","Aussen","-")))</f>
        <v>L23</v>
      </c>
      <c r="BV1143" s="66" t="n">
        <f aca="false">IF(N(Z1143)&gt;0,Z1143,0)</f>
        <v>0</v>
      </c>
      <c r="BW1143" s="60" t="n">
        <f aca="false">IF(ISNUMBER(AC1143),1,0)</f>
        <v>0</v>
      </c>
      <c r="BX1143" s="57" t="n">
        <f aca="false">N(AC1143)</f>
        <v>0</v>
      </c>
      <c r="BY1143" s="57" t="n">
        <f aca="false">N(L1143)+N(M1143)</f>
        <v>1</v>
      </c>
      <c r="BZ1143" s="57" t="n">
        <f aca="false">ROUNDUP(G1143/BQ1143,0)</f>
        <v>0</v>
      </c>
      <c r="CA1143" s="57" t="n">
        <f aca="false">ROUNDUP(BX1143/BQ1143,0)</f>
        <v>0</v>
      </c>
      <c r="CB1143" s="60" t="n">
        <f aca="false">IF(BR1143=1,0,IFERROR(VLOOKUP(BP1143,'Gebinde-Kategorie'!$A$5:$M$45,5,0)+0,0))</f>
        <v>20</v>
      </c>
      <c r="CC1143" s="60" t="n">
        <f aca="false">IFERROR(IF(OR(BT1143=1,BT1143=2,BT1143=3),N(INDEX(Parameter!$I$5:$I$7,BT1143)),0),0)</f>
        <v>0</v>
      </c>
      <c r="CD1143" s="59" t="n">
        <f aca="false">IF(AND(Parameter!$B$21="Ja",ISNUMBER(U1143),N(V1143)&gt;0),IFERROR(N(INDEX(Parameter!$L$5:$L$7,U1143))*INDEX(Parameter!$E$5:$E$7,U1143)*V1143/SUMIFS($V$7:$V$1576,$U$7:$U$1576,U1143),0),0)</f>
        <v>0</v>
      </c>
    </row>
    <row r="1144" customFormat="false" ht="15" hidden="false" customHeight="false" outlineLevel="0" collapsed="false">
      <c r="A1144" s="55" t="s">
        <v>2055</v>
      </c>
      <c r="B1144" s="55" t="s">
        <v>548</v>
      </c>
      <c r="C1144" s="55" t="s">
        <v>160</v>
      </c>
      <c r="D1144" s="55" t="s">
        <v>178</v>
      </c>
      <c r="E1144" s="55" t="s">
        <v>210</v>
      </c>
      <c r="F1144" s="56" t="n">
        <v>11.3</v>
      </c>
      <c r="G1144" s="57" t="n">
        <f aca="false">MAX(0,IF(AND(Parameter!$B$21="Ja",ISNUMBER(W1144)),W1144,IF(Parameter!$B$20="Jahresanfang 2025 + Export",BJ1144+BI1144,BI1144)))</f>
        <v>0</v>
      </c>
      <c r="H1144" s="57" t="n">
        <f aca="false">G1144*F1144</f>
        <v>0</v>
      </c>
      <c r="I1144" s="57" t="n">
        <f aca="false">BL1144*Parameter!$B$18</f>
        <v>12</v>
      </c>
      <c r="J1144" s="58" t="n">
        <v>136.5</v>
      </c>
      <c r="K1144" s="59" t="n">
        <v>0.0879120879120879</v>
      </c>
      <c r="L1144" s="57" t="n">
        <v>1</v>
      </c>
      <c r="M1144" s="57" t="n">
        <v>20</v>
      </c>
      <c r="N1144" s="60" t="n">
        <v>28</v>
      </c>
      <c r="O1144" s="55" t="s">
        <v>225</v>
      </c>
      <c r="P1144" s="57" t="n">
        <v>41</v>
      </c>
      <c r="Q1144" s="60" t="n">
        <f aca="false">IF(BR1144=1,0,IFERROR(VLOOKUP(BP1144,'Gebinde-Kategorie'!$A$5:$M$45,13,0)+0,0))</f>
        <v>26</v>
      </c>
      <c r="R1144" s="61"/>
      <c r="S1144" s="62"/>
      <c r="T1144" s="62"/>
      <c r="U1144" s="55"/>
      <c r="V1144" s="57"/>
      <c r="W1144" s="57"/>
      <c r="X1144" s="55" t="n">
        <f aca="false">IF(A1144="","",IF(AND(Parameter!$B$21="Ja",ISNUMBER(U1144)),U1144,IF(IFERROR(VLOOKUP(D1144,Parameter!$A$35:$C$64,2,0),"Nein")="2+3",IF(ISNUMBER(SEARCH("grosser Artikel",BM1144)),2,IFERROR(VLOOKUP(BP1144,Parameter!$F$35:$G$64,2,0),2)),IF(OR(IFERROR(VLOOKUP(D1144,Parameter!$A$35:$C$64,2,0),"Nein")="Nein",IFERROR(VLOOKUP(D1144,Parameter!$A$35:$C$64,2,0),"Nein")=""),"-",VLOOKUP(D1144,Parameter!$A$35:$C$64,2,0)))))</f>
        <v>3</v>
      </c>
      <c r="Y1144" s="62"/>
      <c r="Z1144" s="63"/>
      <c r="AA1144" s="57" t="n">
        <f aca="false">AP1144</f>
        <v>41</v>
      </c>
      <c r="AB1144" s="57" t="n">
        <f aca="false">MAX(AP1144,G1144)</f>
        <v>41</v>
      </c>
      <c r="AC1144" s="64"/>
      <c r="AD1144" s="57" t="n">
        <f aca="false">IF(LEFT(Cockpit!$C$5,1)="A",G1144,IF(BW1144=1,BX1144,IF(LEFT(Cockpit!$C$5,1)="B",AH1144,MAX(AH1144,G1144))))</f>
        <v>0</v>
      </c>
      <c r="AE1144" s="57" t="n">
        <f aca="false">IF(BR1144=1,0,ROUNDUP(AD1144/BQ1144,0))</f>
        <v>0</v>
      </c>
      <c r="AF1144" s="59" t="n">
        <f aca="false">IF(CD1144&gt;0,CD1144*MAX(1,AD1144/V1144),IF(BR1144=1,IF(AD1144&lt;=0,0,BS1144*MAX(1,IF(G1144&gt;0,AD1144/G1144,1))),IF(Q1144&gt;0,AE1144/Q1144,0))/MAX(0.1,N(Parameter!$M$21)))</f>
        <v>0</v>
      </c>
      <c r="AG1144" s="57" t="n">
        <f aca="false">AD1144*F1144</f>
        <v>0</v>
      </c>
      <c r="AH1144" s="57" t="n">
        <f aca="false">ROUNDUP(MAX(I1144/IF(BV1144&gt;0,BV1144,MAX(0.1,N(Cockpit!$C$6))),BY1144)/BQ1144,0)*BQ1144</f>
        <v>41</v>
      </c>
      <c r="AI1144" s="58" t="n">
        <f aca="false">IF(AF1144&gt;0,I1144/AF1144,-1)</f>
        <v>-1</v>
      </c>
      <c r="AJ1144" s="58" t="str">
        <f aca="false">IF(AND(OR(BU1144="L1",BU1144="L23"),AF1144&gt;0),SUMIFS($AF$7:$AF$1576,$BU$7:$BU$1576,BU1144,$AI$7:$AI$1576,"&gt;"&amp;AI1144)+SUMIFS($AF$7:$AF$1576,$BU$7:$BU$1576,BU1144,$AI$7:$AI$1576,AI1144,$BO$7:$BO$1576,"&lt;="&amp;BO1144),"")</f>
        <v/>
      </c>
      <c r="AK1144" s="65" t="n">
        <f aca="false">IF(AJ1144="",0,MAX(0,MIN(1,(IF(BU1144="L1",Parameter!$E$5,Parameter!$E$6+Parameter!$E$7)-(AJ1144-AF1144))/AF1144)))</f>
        <v>0</v>
      </c>
      <c r="AL1144" s="57" t="n">
        <f aca="false">IF(LEFT(Cockpit!$I$5,1)="A",G1144,IF(BW1144=1,BX1144,IF(LEFT(Cockpit!$I$5,1)="B",AP1144,MAX(AP1144,G1144))))</f>
        <v>41</v>
      </c>
      <c r="AM1144" s="57" t="n">
        <f aca="false">IF(BR1144=1,0,ROUNDUP(AL1144/BQ1144,0))</f>
        <v>1</v>
      </c>
      <c r="AN1144" s="59" t="n">
        <f aca="false">IF(CD1144&gt;0,CD1144*MAX(1,AL1144/V1144),IF(BR1144=1,IF(AL1144&lt;=0,0,BS1144*MAX(1,IF(G1144&gt;0,AL1144/G1144,1))),IF(Q1144&gt;0,AM1144/Q1144,0))/MAX(0.1,N(Parameter!$M$21)))</f>
        <v>0.0384615384615385</v>
      </c>
      <c r="AO1144" s="57" t="n">
        <f aca="false">AL1144*F1144</f>
        <v>463.3</v>
      </c>
      <c r="AP1144" s="57" t="n">
        <f aca="false">ROUNDUP(MAX(I1144/IF(BV1144&gt;0,BV1144,MAX(0.1,N(Cockpit!$I$6))),BY1144)/BQ1144,0)*BQ1144</f>
        <v>41</v>
      </c>
      <c r="AQ1144" s="58" t="n">
        <f aca="false">IF(AN1144&gt;0,I1144/AN1144,-1)</f>
        <v>312</v>
      </c>
      <c r="AR1144" s="58" t="n">
        <f aca="false">IF(AND(OR(BU1144="L1",BU1144="L23"),AN1144&gt;0),SUMIFS($AN$7:$AN$1576,$BU$7:$BU$1576,BU1144,$AQ$7:$AQ$1576,"&gt;"&amp;AQ1144)+SUMIFS($AN$7:$AN$1576,$BU$7:$BU$1576,BU1144,$AQ$7:$AQ$1576,AQ1144,$BO$7:$BO$1576,"&lt;="&amp;BO1144),"")</f>
        <v>43.5616913645286</v>
      </c>
      <c r="AS1144" s="65" t="n">
        <f aca="false">IF(AR1144="",0,MAX(0,MIN(1,(IF(BU1144="L1",Parameter!$E$5,Parameter!$E$6+Parameter!$E$7)-(AR1144-AN1144))/AN1144)))</f>
        <v>1</v>
      </c>
      <c r="AT1144" s="57" t="n">
        <f aca="false">IF(LEFT(Cockpit!$O$5,1)="A",G1144,IF(BW1144=1,BX1144,IF(LEFT(Cockpit!$O$5,1)="B",AX1144,MAX(AX1144,G1144))))</f>
        <v>41</v>
      </c>
      <c r="AU1144" s="57" t="n">
        <f aca="false">IF(BR1144=1,0,ROUNDUP(AT1144/BQ1144,0))</f>
        <v>1</v>
      </c>
      <c r="AV1144" s="59" t="n">
        <f aca="false">IF(CD1144&gt;0,CD1144*MAX(1,AT1144/V1144),IF(BR1144=1,IF(AT1144&lt;=0,0,BS1144*MAX(1,IF(G1144&gt;0,AT1144/G1144,1))),IF(Q1144&gt;0,AU1144/Q1144,0))/MAX(0.1,N(Parameter!$M$21)))</f>
        <v>0.0384615384615385</v>
      </c>
      <c r="AW1144" s="57" t="n">
        <f aca="false">AT1144*F1144</f>
        <v>463.3</v>
      </c>
      <c r="AX1144" s="57" t="n">
        <f aca="false">ROUNDUP(MAX(I1144/IF(BV1144&gt;0,BV1144,MAX(0.1,N(Cockpit!$O$6))),BY1144)/BQ1144,0)*BQ1144</f>
        <v>41</v>
      </c>
      <c r="AY1144" s="58" t="n">
        <f aca="false">IF(AV1144&gt;0,I1144/AV1144,-1)</f>
        <v>312</v>
      </c>
      <c r="AZ1144" s="58" t="n">
        <f aca="false">IF(AND(OR(BU1144="L1",BU1144="L23"),AV1144&gt;0),SUMIFS($AV$7:$AV$1576,$BU$7:$BU$1576,BU1144,$AY$7:$AY$1576,"&gt;"&amp;AY1144)+SUMIFS($AV$7:$AV$1576,$BU$7:$BU$1576,BU1144,$AY$7:$AY$1576,AY1144,$BO$7:$BO$1576,"&lt;="&amp;BO1144),"")</f>
        <v>39.8097699526072</v>
      </c>
      <c r="BA1144" s="65" t="n">
        <f aca="false">IF(AZ1144="",0,MAX(0,MIN(1,(IF(BU1144="L1",Parameter!$E$5,Parameter!$E$6+Parameter!$E$7)-(AZ1144-AV1144))/AV1144)))</f>
        <v>1</v>
      </c>
      <c r="BB1144" s="55" t="str">
        <f aca="false">IF(AF1144&lt;=0,"",IF(BU1144="Aussen","Aussenlager",IF(BU1144="-","Nicht im Lift",IF(AK1144&gt;=1,"Lift",IF(AK1144&lt;=0,"Aussenlager","teilweise")))))</f>
        <v/>
      </c>
      <c r="BC1144" s="55" t="str">
        <f aca="false">IF(AN1144&lt;=0,"",IF(BU1144="Aussen","Aussenlager",IF(BU1144="-","Nicht im Lift",IF(AS1144&gt;=1,"Lift",IF(AS1144&lt;=0,"Aussenlager","teilweise")))))</f>
        <v>Lift</v>
      </c>
      <c r="BD1144" s="55" t="str">
        <f aca="false">IF(AV1144&lt;=0,"",IF(BU1144="Aussen","Aussenlager",IF(BU1144="-","Nicht im Lift",IF(BA1144&gt;=1,"Lift",IF(BA1144&lt;=0,"Aussenlager","teilweise")))))</f>
        <v>Lift</v>
      </c>
      <c r="BE1144" s="55" t="str">
        <f aca="false">IF(A1144="","",IF(BN1144=1,"Neu; ","")&amp;IF(AND(BN1144=0,BI1144&lt;0),"negativer Bestand (Export "&amp;BI1144&amp;"); ","")&amp;IF(I1144&lt;=0,"Kein Verbrauch; ","")&amp;IF(CD1144&gt;0,"Lift "&amp;U1144&amp;" lt. Liftbericht (Fach "&amp;V1144&amp;" Stk); ",IF(BR1144=1,"Lose – Fläche geschätzt; ",""))&amp;IF(G1144&gt;AP1144,"Überbestand "&amp;ROUND(G1144-AP1144,0)&amp;" Stk / CHF "&amp;ROUND((G1144-AP1144)*F1144,0)&amp;"; ","")&amp;IF(AND(BW1144=1,BX1144&lt;BY1144),"MAX &lt; MB+LG; ","")&amp;IF(AND(CC1144&gt;0,CB1144*10&gt;CC1144),"zu hoch für Tablar; ","")&amp;IF(AND(BN1144=0,OR(BW1144=1,Y1144&lt;&gt;"",S1144&lt;&gt;"",T1144&lt;&gt;"",Z1144&lt;&gt;"")),"manuell übersteuert; ","")&amp;IF(AND(BR1144=0,Q1144=0),"Gebinde unbekannt / Stellmass fehlt; ","")&amp;IF(AND(BR1144=0,N(T1144)&lt;=0,N(P1144)&lt;=0),"Menge pro Gebinde fehlt (Ist = 1 Gebinde); ","")&amp;BM1144)</f>
        <v>negativer Bestand (Export -26); </v>
      </c>
      <c r="BF1144" s="55"/>
      <c r="BG1144" s="55"/>
      <c r="BH1144" s="62"/>
      <c r="BI1144" s="57" t="n">
        <v>-26</v>
      </c>
      <c r="BJ1144" s="57" t="n">
        <v>145</v>
      </c>
      <c r="BK1144" s="56" t="n">
        <v>-293.8</v>
      </c>
      <c r="BL1144" s="57" t="n">
        <v>12</v>
      </c>
      <c r="BM1144" s="55"/>
      <c r="BN1144" s="60" t="n">
        <v>0</v>
      </c>
      <c r="BO1144" s="60" t="n">
        <v>1144</v>
      </c>
      <c r="BP1144" s="55" t="str">
        <f aca="false">IF(S1144&lt;&gt;"",UPPER(TRIM(S1144)),IF(O1144="","LOSE",O1144))</f>
        <v>S52</v>
      </c>
      <c r="BQ1144" s="57" t="n">
        <f aca="false">IF(BP1144="LOSE",1,IF(N(T1144)&gt;0,T1144,IF(N(P1144)&gt;0,P1144,MAX(1,G1144))))</f>
        <v>41</v>
      </c>
      <c r="BR1144" s="60" t="n">
        <f aca="false">IF(BP1144="LOSE",1,0)</f>
        <v>0</v>
      </c>
      <c r="BS1144" s="59" t="n">
        <f aca="false">IF(BR1144=0,0,IF(N(R1144)&gt;0,R1144,IFERROR(VLOOKUP(D1144,Parameter!$A$35:$C$64,3,0)+0,0)))</f>
        <v>0</v>
      </c>
      <c r="BT1144" s="55" t="n">
        <f aca="false">IF(Y1144&lt;&gt;"",Y1144,X1144)</f>
        <v>3</v>
      </c>
      <c r="BU1144" s="55" t="str">
        <f aca="false">IF(BT1144=1,"L1",IF(OR(BT1144=2,BT1144=3),"L23",IF(BT1144="Aussen","Aussen","-")))</f>
        <v>L23</v>
      </c>
      <c r="BV1144" s="66" t="n">
        <f aca="false">IF(N(Z1144)&gt;0,Z1144,0)</f>
        <v>0</v>
      </c>
      <c r="BW1144" s="60" t="n">
        <f aca="false">IF(ISNUMBER(AC1144),1,0)</f>
        <v>0</v>
      </c>
      <c r="BX1144" s="57" t="n">
        <f aca="false">N(AC1144)</f>
        <v>0</v>
      </c>
      <c r="BY1144" s="57" t="n">
        <f aca="false">N(L1144)+N(M1144)</f>
        <v>21</v>
      </c>
      <c r="BZ1144" s="57" t="n">
        <f aca="false">ROUNDUP(G1144/BQ1144,0)</f>
        <v>0</v>
      </c>
      <c r="CA1144" s="57" t="n">
        <f aca="false">ROUNDUP(BX1144/BQ1144,0)</f>
        <v>0</v>
      </c>
      <c r="CB1144" s="60" t="n">
        <f aca="false">IF(BR1144=1,0,IFERROR(VLOOKUP(BP1144,'Gebinde-Kategorie'!$A$5:$M$45,5,0)+0,0))</f>
        <v>21</v>
      </c>
      <c r="CC1144" s="60" t="n">
        <f aca="false">IFERROR(IF(OR(BT1144=1,BT1144=2,BT1144=3),N(INDEX(Parameter!$I$5:$I$7,BT1144)),0),0)</f>
        <v>0</v>
      </c>
      <c r="CD1144" s="59" t="n">
        <f aca="false">IF(AND(Parameter!$B$21="Ja",ISNUMBER(U1144),N(V1144)&gt;0),IFERROR(N(INDEX(Parameter!$L$5:$L$7,U1144))*INDEX(Parameter!$E$5:$E$7,U1144)*V1144/SUMIFS($V$7:$V$1576,$U$7:$U$1576,U1144),0),0)</f>
        <v>0</v>
      </c>
    </row>
    <row r="1145" customFormat="false" ht="15" hidden="false" customHeight="false" outlineLevel="0" collapsed="false">
      <c r="A1145" s="55" t="s">
        <v>2056</v>
      </c>
      <c r="B1145" s="55" t="s">
        <v>1946</v>
      </c>
      <c r="C1145" s="55" t="s">
        <v>160</v>
      </c>
      <c r="D1145" s="55" t="s">
        <v>168</v>
      </c>
      <c r="E1145" s="55" t="s">
        <v>210</v>
      </c>
      <c r="F1145" s="56" t="n">
        <v>296</v>
      </c>
      <c r="G1145" s="57" t="n">
        <f aca="false">MAX(0,IF(AND(Parameter!$B$21="Ja",ISNUMBER(W1145)),W1145,IF(Parameter!$B$20="Jahresanfang 2025 + Export",BJ1145+BI1145,BI1145)))</f>
        <v>0</v>
      </c>
      <c r="H1145" s="57" t="n">
        <f aca="false">G1145*F1145</f>
        <v>0</v>
      </c>
      <c r="I1145" s="57" t="n">
        <f aca="false">BL1145*Parameter!$B$18</f>
        <v>0</v>
      </c>
      <c r="J1145" s="58" t="n">
        <v>6</v>
      </c>
      <c r="K1145" s="59" t="n">
        <v>0</v>
      </c>
      <c r="L1145" s="57" t="n">
        <v>0</v>
      </c>
      <c r="M1145" s="57" t="n">
        <v>1</v>
      </c>
      <c r="N1145" s="60" t="n">
        <v>44</v>
      </c>
      <c r="O1145" s="55" t="s">
        <v>169</v>
      </c>
      <c r="P1145" s="57" t="n">
        <v>15</v>
      </c>
      <c r="Q1145" s="60" t="n">
        <f aca="false">IF(BR1145=1,0,IFERROR(VLOOKUP(BP1145,'Gebinde-Kategorie'!$A$5:$M$45,13,0)+0,0))</f>
        <v>6</v>
      </c>
      <c r="R1145" s="61"/>
      <c r="S1145" s="62"/>
      <c r="T1145" s="62"/>
      <c r="U1145" s="55"/>
      <c r="V1145" s="57"/>
      <c r="W1145" s="57"/>
      <c r="X1145" s="55" t="n">
        <f aca="false">IF(A1145="","",IF(AND(Parameter!$B$21="Ja",ISNUMBER(U1145)),U1145,IF(IFERROR(VLOOKUP(D1145,Parameter!$A$35:$C$64,2,0),"Nein")="2+3",IF(ISNUMBER(SEARCH("grosser Artikel",BM1145)),2,IFERROR(VLOOKUP(BP1145,Parameter!$F$35:$G$64,2,0),2)),IF(OR(IFERROR(VLOOKUP(D1145,Parameter!$A$35:$C$64,2,0),"Nein")="Nein",IFERROR(VLOOKUP(D1145,Parameter!$A$35:$C$64,2,0),"Nein")=""),"-",VLOOKUP(D1145,Parameter!$A$35:$C$64,2,0)))))</f>
        <v>2</v>
      </c>
      <c r="Y1145" s="62"/>
      <c r="Z1145" s="63"/>
      <c r="AA1145" s="57" t="n">
        <f aca="false">AP1145</f>
        <v>15</v>
      </c>
      <c r="AB1145" s="57" t="n">
        <f aca="false">MAX(AP1145,G1145)</f>
        <v>15</v>
      </c>
      <c r="AC1145" s="64"/>
      <c r="AD1145" s="57" t="n">
        <f aca="false">IF(LEFT(Cockpit!$C$5,1)="A",G1145,IF(BW1145=1,BX1145,IF(LEFT(Cockpit!$C$5,1)="B",AH1145,MAX(AH1145,G1145))))</f>
        <v>0</v>
      </c>
      <c r="AE1145" s="57" t="n">
        <f aca="false">IF(BR1145=1,0,ROUNDUP(AD1145/BQ1145,0))</f>
        <v>0</v>
      </c>
      <c r="AF1145" s="59" t="n">
        <f aca="false">IF(CD1145&gt;0,CD1145*MAX(1,AD1145/V1145),IF(BR1145=1,IF(AD1145&lt;=0,0,BS1145*MAX(1,IF(G1145&gt;0,AD1145/G1145,1))),IF(Q1145&gt;0,AE1145/Q1145,0))/MAX(0.1,N(Parameter!$M$21)))</f>
        <v>0</v>
      </c>
      <c r="AG1145" s="57" t="n">
        <f aca="false">AD1145*F1145</f>
        <v>0</v>
      </c>
      <c r="AH1145" s="57" t="n">
        <f aca="false">ROUNDUP(MAX(I1145/IF(BV1145&gt;0,BV1145,MAX(0.1,N(Cockpit!$C$6))),BY1145)/BQ1145,0)*BQ1145</f>
        <v>15</v>
      </c>
      <c r="AI1145" s="58" t="n">
        <f aca="false">IF(AF1145&gt;0,I1145/AF1145,-1)</f>
        <v>-1</v>
      </c>
      <c r="AJ1145" s="58" t="str">
        <f aca="false">IF(AND(OR(BU1145="L1",BU1145="L23"),AF1145&gt;0),SUMIFS($AF$7:$AF$1576,$BU$7:$BU$1576,BU1145,$AI$7:$AI$1576,"&gt;"&amp;AI1145)+SUMIFS($AF$7:$AF$1576,$BU$7:$BU$1576,BU1145,$AI$7:$AI$1576,AI1145,$BO$7:$BO$1576,"&lt;="&amp;BO1145),"")</f>
        <v/>
      </c>
      <c r="AK1145" s="65" t="n">
        <f aca="false">IF(AJ1145="",0,MAX(0,MIN(1,(IF(BU1145="L1",Parameter!$E$5,Parameter!$E$6+Parameter!$E$7)-(AJ1145-AF1145))/AF1145)))</f>
        <v>0</v>
      </c>
      <c r="AL1145" s="57" t="n">
        <f aca="false">IF(LEFT(Cockpit!$I$5,1)="A",G1145,IF(BW1145=1,BX1145,IF(LEFT(Cockpit!$I$5,1)="B",AP1145,MAX(AP1145,G1145))))</f>
        <v>15</v>
      </c>
      <c r="AM1145" s="57" t="n">
        <f aca="false">IF(BR1145=1,0,ROUNDUP(AL1145/BQ1145,0))</f>
        <v>1</v>
      </c>
      <c r="AN1145" s="59" t="n">
        <f aca="false">IF(CD1145&gt;0,CD1145*MAX(1,AL1145/V1145),IF(BR1145=1,IF(AL1145&lt;=0,0,BS1145*MAX(1,IF(G1145&gt;0,AL1145/G1145,1))),IF(Q1145&gt;0,AM1145/Q1145,0))/MAX(0.1,N(Parameter!$M$21)))</f>
        <v>0.166666666666667</v>
      </c>
      <c r="AO1145" s="57" t="n">
        <f aca="false">AL1145*F1145</f>
        <v>4440</v>
      </c>
      <c r="AP1145" s="57" t="n">
        <f aca="false">ROUNDUP(MAX(I1145/IF(BV1145&gt;0,BV1145,MAX(0.1,N(Cockpit!$I$6))),BY1145)/BQ1145,0)*BQ1145</f>
        <v>15</v>
      </c>
      <c r="AQ1145" s="58" t="n">
        <f aca="false">IF(AN1145&gt;0,I1145/AN1145,-1)</f>
        <v>0</v>
      </c>
      <c r="AR1145" s="58" t="n">
        <f aca="false">IF(AND(OR(BU1145="L1",BU1145="L23"),AN1145&gt;0),SUMIFS($AN$7:$AN$1576,$BU$7:$BU$1576,BU1145,$AQ$7:$AQ$1576,"&gt;"&amp;AQ1145)+SUMIFS($AN$7:$AN$1576,$BU$7:$BU$1576,BU1145,$AQ$7:$AQ$1576,AQ1145,$BO$7:$BO$1576,"&lt;="&amp;BO1145),"")</f>
        <v>134.691589883594</v>
      </c>
      <c r="AS1145" s="65" t="n">
        <f aca="false">IF(AR1145="",0,MAX(0,MIN(1,(IF(BU1145="L1",Parameter!$E$5,Parameter!$E$6+Parameter!$E$7)-(AR1145-AN1145))/AN1145)))</f>
        <v>0</v>
      </c>
      <c r="AT1145" s="57" t="n">
        <f aca="false">IF(LEFT(Cockpit!$O$5,1)="A",G1145,IF(BW1145=1,BX1145,IF(LEFT(Cockpit!$O$5,1)="B",AX1145,MAX(AX1145,G1145))))</f>
        <v>15</v>
      </c>
      <c r="AU1145" s="57" t="n">
        <f aca="false">IF(BR1145=1,0,ROUNDUP(AT1145/BQ1145,0))</f>
        <v>1</v>
      </c>
      <c r="AV1145" s="59" t="n">
        <f aca="false">IF(CD1145&gt;0,CD1145*MAX(1,AT1145/V1145),IF(BR1145=1,IF(AT1145&lt;=0,0,BS1145*MAX(1,IF(G1145&gt;0,AT1145/G1145,1))),IF(Q1145&gt;0,AU1145/Q1145,0))/MAX(0.1,N(Parameter!$M$21)))</f>
        <v>0.166666666666667</v>
      </c>
      <c r="AW1145" s="57" t="n">
        <f aca="false">AT1145*F1145</f>
        <v>4440</v>
      </c>
      <c r="AX1145" s="57" t="n">
        <f aca="false">ROUNDUP(MAX(I1145/IF(BV1145&gt;0,BV1145,MAX(0.1,N(Cockpit!$O$6))),BY1145)/BQ1145,0)*BQ1145</f>
        <v>15</v>
      </c>
      <c r="AY1145" s="58" t="n">
        <f aca="false">IF(AV1145&gt;0,I1145/AV1145,-1)</f>
        <v>0</v>
      </c>
      <c r="AZ1145" s="58" t="n">
        <f aca="false">IF(AND(OR(BU1145="L1",BU1145="L23"),AV1145&gt;0),SUMIFS($AV$7:$AV$1576,$BU$7:$BU$1576,BU1145,$AY$7:$AY$1576,"&gt;"&amp;AY1145)+SUMIFS($AV$7:$AV$1576,$BU$7:$BU$1576,BU1145,$AY$7:$AY$1576,AY1145,$BO$7:$BO$1576,"&lt;="&amp;BO1145),"")</f>
        <v>124.751140333144</v>
      </c>
      <c r="BA1145" s="65" t="n">
        <f aca="false">IF(AZ1145="",0,MAX(0,MIN(1,(IF(BU1145="L1",Parameter!$E$5,Parameter!$E$6+Parameter!$E$7)-(AZ1145-AV1145))/AV1145)))</f>
        <v>0</v>
      </c>
      <c r="BB1145" s="55" t="str">
        <f aca="false">IF(AF1145&lt;=0,"",IF(BU1145="Aussen","Aussenlager",IF(BU1145="-","Nicht im Lift",IF(AK1145&gt;=1,"Lift",IF(AK1145&lt;=0,"Aussenlager","teilweise")))))</f>
        <v/>
      </c>
      <c r="BC1145" s="55" t="str">
        <f aca="false">IF(AN1145&lt;=0,"",IF(BU1145="Aussen","Aussenlager",IF(BU1145="-","Nicht im Lift",IF(AS1145&gt;=1,"Lift",IF(AS1145&lt;=0,"Aussenlager","teilweise")))))</f>
        <v>Aussenlager</v>
      </c>
      <c r="BD1145" s="55" t="str">
        <f aca="false">IF(AV1145&lt;=0,"",IF(BU1145="Aussen","Aussenlager",IF(BU1145="-","Nicht im Lift",IF(BA1145&gt;=1,"Lift",IF(BA1145&lt;=0,"Aussenlager","teilweise")))))</f>
        <v>Aussenlager</v>
      </c>
      <c r="BE1145" s="55" t="str">
        <f aca="false">IF(A1145="","",IF(BN1145=1,"Neu; ","")&amp;IF(AND(BN1145=0,BI1145&lt;0),"negativer Bestand (Export "&amp;BI1145&amp;"); ","")&amp;IF(I1145&lt;=0,"Kein Verbrauch; ","")&amp;IF(CD1145&gt;0,"Lift "&amp;U1145&amp;" lt. Liftbericht (Fach "&amp;V1145&amp;" Stk); ",IF(BR1145=1,"Lose – Fläche geschätzt; ",""))&amp;IF(G1145&gt;AP1145,"Überbestand "&amp;ROUND(G1145-AP1145,0)&amp;" Stk / CHF "&amp;ROUND((G1145-AP1145)*F1145,0)&amp;"; ","")&amp;IF(AND(BW1145=1,BX1145&lt;BY1145),"MAX &lt; MB+LG; ","")&amp;IF(AND(CC1145&gt;0,CB1145*10&gt;CC1145),"zu hoch für Tablar; ","")&amp;IF(AND(BN1145=0,OR(BW1145=1,Y1145&lt;&gt;"",S1145&lt;&gt;"",T1145&lt;&gt;"",Z1145&lt;&gt;"")),"manuell übersteuert; ","")&amp;IF(AND(BR1145=0,Q1145=0),"Gebinde unbekannt / Stellmass fehlt; ","")&amp;IF(AND(BR1145=0,N(T1145)&lt;=0,N(P1145)&lt;=0),"Menge pro Gebinde fehlt (Ist = 1 Gebinde); ","")&amp;BM1145)</f>
        <v>negativer Bestand (Export -1); Kein Verbrauch; Neu; grosser Artikel &amp; nicht im KTL</v>
      </c>
      <c r="BF1145" s="55"/>
      <c r="BG1145" s="55"/>
      <c r="BH1145" s="62"/>
      <c r="BI1145" s="57" t="n">
        <v>-1</v>
      </c>
      <c r="BJ1145" s="57" t="n">
        <v>6</v>
      </c>
      <c r="BK1145" s="56" t="n">
        <v>-296</v>
      </c>
      <c r="BL1145" s="57" t="n">
        <v>0</v>
      </c>
      <c r="BM1145" s="55" t="s">
        <v>2057</v>
      </c>
      <c r="BN1145" s="60" t="n">
        <v>0</v>
      </c>
      <c r="BO1145" s="60" t="n">
        <v>1145</v>
      </c>
      <c r="BP1145" s="55" t="str">
        <f aca="false">IF(S1145&lt;&gt;"",UPPER(TRIM(S1145)),IF(O1145="","LOSE",O1145))</f>
        <v>S71</v>
      </c>
      <c r="BQ1145" s="57" t="n">
        <f aca="false">IF(BP1145="LOSE",1,IF(N(T1145)&gt;0,T1145,IF(N(P1145)&gt;0,P1145,MAX(1,G1145))))</f>
        <v>15</v>
      </c>
      <c r="BR1145" s="60" t="n">
        <f aca="false">IF(BP1145="LOSE",1,0)</f>
        <v>0</v>
      </c>
      <c r="BS1145" s="59" t="n">
        <f aca="false">IF(BR1145=0,0,IF(N(R1145)&gt;0,R1145,IFERROR(VLOOKUP(D1145,Parameter!$A$35:$C$64,3,0)+0,0)))</f>
        <v>0</v>
      </c>
      <c r="BT1145" s="55" t="n">
        <f aca="false">IF(Y1145&lt;&gt;"",Y1145,X1145)</f>
        <v>2</v>
      </c>
      <c r="BU1145" s="55" t="str">
        <f aca="false">IF(BT1145=1,"L1",IF(OR(BT1145=2,BT1145=3),"L23",IF(BT1145="Aussen","Aussen","-")))</f>
        <v>L23</v>
      </c>
      <c r="BV1145" s="66" t="n">
        <f aca="false">IF(N(Z1145)&gt;0,Z1145,0)</f>
        <v>0</v>
      </c>
      <c r="BW1145" s="60" t="n">
        <f aca="false">IF(ISNUMBER(AC1145),1,0)</f>
        <v>0</v>
      </c>
      <c r="BX1145" s="57" t="n">
        <f aca="false">N(AC1145)</f>
        <v>0</v>
      </c>
      <c r="BY1145" s="57" t="n">
        <f aca="false">N(L1145)+N(M1145)</f>
        <v>1</v>
      </c>
      <c r="BZ1145" s="57" t="n">
        <f aca="false">ROUNDUP(G1145/BQ1145,0)</f>
        <v>0</v>
      </c>
      <c r="CA1145" s="57" t="n">
        <f aca="false">ROUNDUP(BX1145/BQ1145,0)</f>
        <v>0</v>
      </c>
      <c r="CB1145" s="60" t="n">
        <f aca="false">IF(BR1145=1,0,IFERROR(VLOOKUP(BP1145,'Gebinde-Kategorie'!$A$5:$M$45,5,0)+0,0))</f>
        <v>20</v>
      </c>
      <c r="CC1145" s="60" t="n">
        <f aca="false">IFERROR(IF(OR(BT1145=1,BT1145=2,BT1145=3),N(INDEX(Parameter!$I$5:$I$7,BT1145)),0),0)</f>
        <v>0</v>
      </c>
      <c r="CD1145" s="59" t="n">
        <f aca="false">IF(AND(Parameter!$B$21="Ja",ISNUMBER(U1145),N(V1145)&gt;0),IFERROR(N(INDEX(Parameter!$L$5:$L$7,U1145))*INDEX(Parameter!$E$5:$E$7,U1145)*V1145/SUMIFS($V$7:$V$1576,$U$7:$U$1576,U1145),0),0)</f>
        <v>0</v>
      </c>
    </row>
    <row r="1146" customFormat="false" ht="15" hidden="false" customHeight="false" outlineLevel="0" collapsed="false">
      <c r="A1146" s="55" t="s">
        <v>2058</v>
      </c>
      <c r="B1146" s="55" t="s">
        <v>362</v>
      </c>
      <c r="C1146" s="55" t="s">
        <v>160</v>
      </c>
      <c r="D1146" s="55" t="s">
        <v>168</v>
      </c>
      <c r="E1146" s="55" t="s">
        <v>210</v>
      </c>
      <c r="F1146" s="56" t="n">
        <v>296</v>
      </c>
      <c r="G1146" s="57" t="n">
        <f aca="false">MAX(0,IF(AND(Parameter!$B$21="Ja",ISNUMBER(W1146)),W1146,IF(Parameter!$B$20="Jahresanfang 2025 + Export",BJ1146+BI1146,BI1146)))</f>
        <v>0</v>
      </c>
      <c r="H1146" s="57" t="n">
        <f aca="false">G1146*F1146</f>
        <v>0</v>
      </c>
      <c r="I1146" s="57" t="n">
        <f aca="false">BL1146*Parameter!$B$18</f>
        <v>0</v>
      </c>
      <c r="J1146" s="58" t="n">
        <v>6</v>
      </c>
      <c r="K1146" s="59" t="n">
        <v>0</v>
      </c>
      <c r="L1146" s="57" t="n">
        <v>0</v>
      </c>
      <c r="M1146" s="57" t="n">
        <v>1</v>
      </c>
      <c r="N1146" s="60" t="n">
        <v>44</v>
      </c>
      <c r="O1146" s="55" t="s">
        <v>169</v>
      </c>
      <c r="P1146" s="57" t="n">
        <v>15</v>
      </c>
      <c r="Q1146" s="60" t="n">
        <f aca="false">IF(BR1146=1,0,IFERROR(VLOOKUP(BP1146,'Gebinde-Kategorie'!$A$5:$M$45,13,0)+0,0))</f>
        <v>6</v>
      </c>
      <c r="R1146" s="61"/>
      <c r="S1146" s="62"/>
      <c r="T1146" s="62"/>
      <c r="U1146" s="55"/>
      <c r="V1146" s="57"/>
      <c r="W1146" s="57"/>
      <c r="X1146" s="55" t="n">
        <f aca="false">IF(A1146="","",IF(AND(Parameter!$B$21="Ja",ISNUMBER(U1146)),U1146,IF(IFERROR(VLOOKUP(D1146,Parameter!$A$35:$C$64,2,0),"Nein")="2+3",IF(ISNUMBER(SEARCH("grosser Artikel",BM1146)),2,IFERROR(VLOOKUP(BP1146,Parameter!$F$35:$G$64,2,0),2)),IF(OR(IFERROR(VLOOKUP(D1146,Parameter!$A$35:$C$64,2,0),"Nein")="Nein",IFERROR(VLOOKUP(D1146,Parameter!$A$35:$C$64,2,0),"Nein")=""),"-",VLOOKUP(D1146,Parameter!$A$35:$C$64,2,0)))))</f>
        <v>2</v>
      </c>
      <c r="Y1146" s="62"/>
      <c r="Z1146" s="63"/>
      <c r="AA1146" s="57" t="n">
        <f aca="false">AP1146</f>
        <v>15</v>
      </c>
      <c r="AB1146" s="57" t="n">
        <f aca="false">MAX(AP1146,G1146)</f>
        <v>15</v>
      </c>
      <c r="AC1146" s="64"/>
      <c r="AD1146" s="57" t="n">
        <f aca="false">IF(LEFT(Cockpit!$C$5,1)="A",G1146,IF(BW1146=1,BX1146,IF(LEFT(Cockpit!$C$5,1)="B",AH1146,MAX(AH1146,G1146))))</f>
        <v>0</v>
      </c>
      <c r="AE1146" s="57" t="n">
        <f aca="false">IF(BR1146=1,0,ROUNDUP(AD1146/BQ1146,0))</f>
        <v>0</v>
      </c>
      <c r="AF1146" s="59" t="n">
        <f aca="false">IF(CD1146&gt;0,CD1146*MAX(1,AD1146/V1146),IF(BR1146=1,IF(AD1146&lt;=0,0,BS1146*MAX(1,IF(G1146&gt;0,AD1146/G1146,1))),IF(Q1146&gt;0,AE1146/Q1146,0))/MAX(0.1,N(Parameter!$M$21)))</f>
        <v>0</v>
      </c>
      <c r="AG1146" s="57" t="n">
        <f aca="false">AD1146*F1146</f>
        <v>0</v>
      </c>
      <c r="AH1146" s="57" t="n">
        <f aca="false">ROUNDUP(MAX(I1146/IF(BV1146&gt;0,BV1146,MAX(0.1,N(Cockpit!$C$6))),BY1146)/BQ1146,0)*BQ1146</f>
        <v>15</v>
      </c>
      <c r="AI1146" s="58" t="n">
        <f aca="false">IF(AF1146&gt;0,I1146/AF1146,-1)</f>
        <v>-1</v>
      </c>
      <c r="AJ1146" s="58" t="str">
        <f aca="false">IF(AND(OR(BU1146="L1",BU1146="L23"),AF1146&gt;0),SUMIFS($AF$7:$AF$1576,$BU$7:$BU$1576,BU1146,$AI$7:$AI$1576,"&gt;"&amp;AI1146)+SUMIFS($AF$7:$AF$1576,$BU$7:$BU$1576,BU1146,$AI$7:$AI$1576,AI1146,$BO$7:$BO$1576,"&lt;="&amp;BO1146),"")</f>
        <v/>
      </c>
      <c r="AK1146" s="65" t="n">
        <f aca="false">IF(AJ1146="",0,MAX(0,MIN(1,(IF(BU1146="L1",Parameter!$E$5,Parameter!$E$6+Parameter!$E$7)-(AJ1146-AF1146))/AF1146)))</f>
        <v>0</v>
      </c>
      <c r="AL1146" s="57" t="n">
        <f aca="false">IF(LEFT(Cockpit!$I$5,1)="A",G1146,IF(BW1146=1,BX1146,IF(LEFT(Cockpit!$I$5,1)="B",AP1146,MAX(AP1146,G1146))))</f>
        <v>15</v>
      </c>
      <c r="AM1146" s="57" t="n">
        <f aca="false">IF(BR1146=1,0,ROUNDUP(AL1146/BQ1146,0))</f>
        <v>1</v>
      </c>
      <c r="AN1146" s="59" t="n">
        <f aca="false">IF(CD1146&gt;0,CD1146*MAX(1,AL1146/V1146),IF(BR1146=1,IF(AL1146&lt;=0,0,BS1146*MAX(1,IF(G1146&gt;0,AL1146/G1146,1))),IF(Q1146&gt;0,AM1146/Q1146,0))/MAX(0.1,N(Parameter!$M$21)))</f>
        <v>0.166666666666667</v>
      </c>
      <c r="AO1146" s="57" t="n">
        <f aca="false">AL1146*F1146</f>
        <v>4440</v>
      </c>
      <c r="AP1146" s="57" t="n">
        <f aca="false">ROUNDUP(MAX(I1146/IF(BV1146&gt;0,BV1146,MAX(0.1,N(Cockpit!$I$6))),BY1146)/BQ1146,0)*BQ1146</f>
        <v>15</v>
      </c>
      <c r="AQ1146" s="58" t="n">
        <f aca="false">IF(AN1146&gt;0,I1146/AN1146,-1)</f>
        <v>0</v>
      </c>
      <c r="AR1146" s="58" t="n">
        <f aca="false">IF(AND(OR(BU1146="L1",BU1146="L23"),AN1146&gt;0),SUMIFS($AN$7:$AN$1576,$BU$7:$BU$1576,BU1146,$AQ$7:$AQ$1576,"&gt;"&amp;AQ1146)+SUMIFS($AN$7:$AN$1576,$BU$7:$BU$1576,BU1146,$AQ$7:$AQ$1576,AQ1146,$BO$7:$BO$1576,"&lt;="&amp;BO1146),"")</f>
        <v>134.858256550261</v>
      </c>
      <c r="AS1146" s="65" t="n">
        <f aca="false">IF(AR1146="",0,MAX(0,MIN(1,(IF(BU1146="L1",Parameter!$E$5,Parameter!$E$6+Parameter!$E$7)-(AR1146-AN1146))/AN1146)))</f>
        <v>0</v>
      </c>
      <c r="AT1146" s="57" t="n">
        <f aca="false">IF(LEFT(Cockpit!$O$5,1)="A",G1146,IF(BW1146=1,BX1146,IF(LEFT(Cockpit!$O$5,1)="B",AX1146,MAX(AX1146,G1146))))</f>
        <v>15</v>
      </c>
      <c r="AU1146" s="57" t="n">
        <f aca="false">IF(BR1146=1,0,ROUNDUP(AT1146/BQ1146,0))</f>
        <v>1</v>
      </c>
      <c r="AV1146" s="59" t="n">
        <f aca="false">IF(CD1146&gt;0,CD1146*MAX(1,AT1146/V1146),IF(BR1146=1,IF(AT1146&lt;=0,0,BS1146*MAX(1,IF(G1146&gt;0,AT1146/G1146,1))),IF(Q1146&gt;0,AU1146/Q1146,0))/MAX(0.1,N(Parameter!$M$21)))</f>
        <v>0.166666666666667</v>
      </c>
      <c r="AW1146" s="57" t="n">
        <f aca="false">AT1146*F1146</f>
        <v>4440</v>
      </c>
      <c r="AX1146" s="57" t="n">
        <f aca="false">ROUNDUP(MAX(I1146/IF(BV1146&gt;0,BV1146,MAX(0.1,N(Cockpit!$O$6))),BY1146)/BQ1146,0)*BQ1146</f>
        <v>15</v>
      </c>
      <c r="AY1146" s="58" t="n">
        <f aca="false">IF(AV1146&gt;0,I1146/AV1146,-1)</f>
        <v>0</v>
      </c>
      <c r="AZ1146" s="58" t="n">
        <f aca="false">IF(AND(OR(BU1146="L1",BU1146="L23"),AV1146&gt;0),SUMIFS($AV$7:$AV$1576,$BU$7:$BU$1576,BU1146,$AY$7:$AY$1576,"&gt;"&amp;AY1146)+SUMIFS($AV$7:$AV$1576,$BU$7:$BU$1576,BU1146,$AY$7:$AY$1576,AY1146,$BO$7:$BO$1576,"&lt;="&amp;BO1146),"")</f>
        <v>124.917806999811</v>
      </c>
      <c r="BA1146" s="65" t="n">
        <f aca="false">IF(AZ1146="",0,MAX(0,MIN(1,(IF(BU1146="L1",Parameter!$E$5,Parameter!$E$6+Parameter!$E$7)-(AZ1146-AV1146))/AV1146)))</f>
        <v>0</v>
      </c>
      <c r="BB1146" s="55" t="str">
        <f aca="false">IF(AF1146&lt;=0,"",IF(BU1146="Aussen","Aussenlager",IF(BU1146="-","Nicht im Lift",IF(AK1146&gt;=1,"Lift",IF(AK1146&lt;=0,"Aussenlager","teilweise")))))</f>
        <v/>
      </c>
      <c r="BC1146" s="55" t="str">
        <f aca="false">IF(AN1146&lt;=0,"",IF(BU1146="Aussen","Aussenlager",IF(BU1146="-","Nicht im Lift",IF(AS1146&gt;=1,"Lift",IF(AS1146&lt;=0,"Aussenlager","teilweise")))))</f>
        <v>Aussenlager</v>
      </c>
      <c r="BD1146" s="55" t="str">
        <f aca="false">IF(AV1146&lt;=0,"",IF(BU1146="Aussen","Aussenlager",IF(BU1146="-","Nicht im Lift",IF(BA1146&gt;=1,"Lift",IF(BA1146&lt;=0,"Aussenlager","teilweise")))))</f>
        <v>Aussenlager</v>
      </c>
      <c r="BE1146" s="55" t="str">
        <f aca="false">IF(A1146="","",IF(BN1146=1,"Neu; ","")&amp;IF(AND(BN1146=0,BI1146&lt;0),"negativer Bestand (Export "&amp;BI1146&amp;"); ","")&amp;IF(I1146&lt;=0,"Kein Verbrauch; ","")&amp;IF(CD1146&gt;0,"Lift "&amp;U1146&amp;" lt. Liftbericht (Fach "&amp;V1146&amp;" Stk); ",IF(BR1146=1,"Lose – Fläche geschätzt; ",""))&amp;IF(G1146&gt;AP1146,"Überbestand "&amp;ROUND(G1146-AP1146,0)&amp;" Stk / CHF "&amp;ROUND((G1146-AP1146)*F1146,0)&amp;"; ","")&amp;IF(AND(BW1146=1,BX1146&lt;BY1146),"MAX &lt; MB+LG; ","")&amp;IF(AND(CC1146&gt;0,CB1146*10&gt;CC1146),"zu hoch für Tablar; ","")&amp;IF(AND(BN1146=0,OR(BW1146=1,Y1146&lt;&gt;"",S1146&lt;&gt;"",T1146&lt;&gt;"",Z1146&lt;&gt;"")),"manuell übersteuert; ","")&amp;IF(AND(BR1146=0,Q1146=0),"Gebinde unbekannt / Stellmass fehlt; ","")&amp;IF(AND(BR1146=0,N(T1146)&lt;=0,N(P1146)&lt;=0),"Menge pro Gebinde fehlt (Ist = 1 Gebinde); ","")&amp;BM1146)</f>
        <v>negativer Bestand (Export -1); Kein Verbrauch; Neu; grosser Artikel &amp; nicht im KTL</v>
      </c>
      <c r="BF1146" s="55"/>
      <c r="BG1146" s="55"/>
      <c r="BH1146" s="62"/>
      <c r="BI1146" s="57" t="n">
        <v>-1</v>
      </c>
      <c r="BJ1146" s="57" t="n">
        <v>6</v>
      </c>
      <c r="BK1146" s="56" t="n">
        <v>-296</v>
      </c>
      <c r="BL1146" s="57" t="n">
        <v>0</v>
      </c>
      <c r="BM1146" s="55" t="s">
        <v>2057</v>
      </c>
      <c r="BN1146" s="60" t="n">
        <v>0</v>
      </c>
      <c r="BO1146" s="60" t="n">
        <v>1146</v>
      </c>
      <c r="BP1146" s="55" t="str">
        <f aca="false">IF(S1146&lt;&gt;"",UPPER(TRIM(S1146)),IF(O1146="","LOSE",O1146))</f>
        <v>S71</v>
      </c>
      <c r="BQ1146" s="57" t="n">
        <f aca="false">IF(BP1146="LOSE",1,IF(N(T1146)&gt;0,T1146,IF(N(P1146)&gt;0,P1146,MAX(1,G1146))))</f>
        <v>15</v>
      </c>
      <c r="BR1146" s="60" t="n">
        <f aca="false">IF(BP1146="LOSE",1,0)</f>
        <v>0</v>
      </c>
      <c r="BS1146" s="59" t="n">
        <f aca="false">IF(BR1146=0,0,IF(N(R1146)&gt;0,R1146,IFERROR(VLOOKUP(D1146,Parameter!$A$35:$C$64,3,0)+0,0)))</f>
        <v>0</v>
      </c>
      <c r="BT1146" s="55" t="n">
        <f aca="false">IF(Y1146&lt;&gt;"",Y1146,X1146)</f>
        <v>2</v>
      </c>
      <c r="BU1146" s="55" t="str">
        <f aca="false">IF(BT1146=1,"L1",IF(OR(BT1146=2,BT1146=3),"L23",IF(BT1146="Aussen","Aussen","-")))</f>
        <v>L23</v>
      </c>
      <c r="BV1146" s="66" t="n">
        <f aca="false">IF(N(Z1146)&gt;0,Z1146,0)</f>
        <v>0</v>
      </c>
      <c r="BW1146" s="60" t="n">
        <f aca="false">IF(ISNUMBER(AC1146),1,0)</f>
        <v>0</v>
      </c>
      <c r="BX1146" s="57" t="n">
        <f aca="false">N(AC1146)</f>
        <v>0</v>
      </c>
      <c r="BY1146" s="57" t="n">
        <f aca="false">N(L1146)+N(M1146)</f>
        <v>1</v>
      </c>
      <c r="BZ1146" s="57" t="n">
        <f aca="false">ROUNDUP(G1146/BQ1146,0)</f>
        <v>0</v>
      </c>
      <c r="CA1146" s="57" t="n">
        <f aca="false">ROUNDUP(BX1146/BQ1146,0)</f>
        <v>0</v>
      </c>
      <c r="CB1146" s="60" t="n">
        <f aca="false">IF(BR1146=1,0,IFERROR(VLOOKUP(BP1146,'Gebinde-Kategorie'!$A$5:$M$45,5,0)+0,0))</f>
        <v>20</v>
      </c>
      <c r="CC1146" s="60" t="n">
        <f aca="false">IFERROR(IF(OR(BT1146=1,BT1146=2,BT1146=3),N(INDEX(Parameter!$I$5:$I$7,BT1146)),0),0)</f>
        <v>0</v>
      </c>
      <c r="CD1146" s="59" t="n">
        <f aca="false">IF(AND(Parameter!$B$21="Ja",ISNUMBER(U1146),N(V1146)&gt;0),IFERROR(N(INDEX(Parameter!$L$5:$L$7,U1146))*INDEX(Parameter!$E$5:$E$7,U1146)*V1146/SUMIFS($V$7:$V$1576,$U$7:$U$1576,U1146),0),0)</f>
        <v>0</v>
      </c>
    </row>
    <row r="1147" customFormat="false" ht="15" hidden="false" customHeight="false" outlineLevel="0" collapsed="false">
      <c r="A1147" s="55" t="s">
        <v>2059</v>
      </c>
      <c r="B1147" s="55" t="s">
        <v>205</v>
      </c>
      <c r="C1147" s="55" t="s">
        <v>160</v>
      </c>
      <c r="D1147" s="55" t="s">
        <v>168</v>
      </c>
      <c r="E1147" s="55" t="s">
        <v>210</v>
      </c>
      <c r="F1147" s="56" t="n">
        <v>66.38</v>
      </c>
      <c r="G1147" s="57" t="n">
        <f aca="false">MAX(0,IF(AND(Parameter!$B$21="Ja",ISNUMBER(W1147)),W1147,IF(Parameter!$B$20="Jahresanfang 2025 + Export",BJ1147+BI1147,BI1147)))</f>
        <v>0</v>
      </c>
      <c r="H1147" s="57" t="n">
        <f aca="false">G1147*F1147</f>
        <v>0</v>
      </c>
      <c r="I1147" s="57" t="n">
        <f aca="false">BL1147*Parameter!$B$18</f>
        <v>29</v>
      </c>
      <c r="J1147" s="58" t="n">
        <v>6</v>
      </c>
      <c r="K1147" s="59" t="n">
        <v>4.83333333333333</v>
      </c>
      <c r="L1147" s="57" t="n">
        <v>7</v>
      </c>
      <c r="M1147" s="57" t="n">
        <v>30</v>
      </c>
      <c r="N1147" s="60" t="n">
        <v>90</v>
      </c>
      <c r="O1147" s="55" t="s">
        <v>179</v>
      </c>
      <c r="P1147" s="57" t="n">
        <v>20</v>
      </c>
      <c r="Q1147" s="60" t="n">
        <f aca="false">IF(BR1147=1,0,IFERROR(VLOOKUP(BP1147,'Gebinde-Kategorie'!$A$5:$M$45,13,0)+0,0))</f>
        <v>12</v>
      </c>
      <c r="R1147" s="61"/>
      <c r="S1147" s="62"/>
      <c r="T1147" s="62"/>
      <c r="U1147" s="55"/>
      <c r="V1147" s="57"/>
      <c r="W1147" s="57"/>
      <c r="X1147" s="55" t="n">
        <f aca="false">IF(A1147="","",IF(AND(Parameter!$B$21="Ja",ISNUMBER(U1147)),U1147,IF(IFERROR(VLOOKUP(D1147,Parameter!$A$35:$C$64,2,0),"Nein")="2+3",IF(ISNUMBER(SEARCH("grosser Artikel",BM1147)),2,IFERROR(VLOOKUP(BP1147,Parameter!$F$35:$G$64,2,0),2)),IF(OR(IFERROR(VLOOKUP(D1147,Parameter!$A$35:$C$64,2,0),"Nein")="Nein",IFERROR(VLOOKUP(D1147,Parameter!$A$35:$C$64,2,0),"Nein")=""),"-",VLOOKUP(D1147,Parameter!$A$35:$C$64,2,0)))))</f>
        <v>2</v>
      </c>
      <c r="Y1147" s="62"/>
      <c r="Z1147" s="63"/>
      <c r="AA1147" s="57" t="n">
        <f aca="false">AP1147</f>
        <v>40</v>
      </c>
      <c r="AB1147" s="57" t="n">
        <f aca="false">MAX(AP1147,G1147)</f>
        <v>40</v>
      </c>
      <c r="AC1147" s="64"/>
      <c r="AD1147" s="57" t="n">
        <f aca="false">IF(LEFT(Cockpit!$C$5,1)="A",G1147,IF(BW1147=1,BX1147,IF(LEFT(Cockpit!$C$5,1)="B",AH1147,MAX(AH1147,G1147))))</f>
        <v>0</v>
      </c>
      <c r="AE1147" s="57" t="n">
        <f aca="false">IF(BR1147=1,0,ROUNDUP(AD1147/BQ1147,0))</f>
        <v>0</v>
      </c>
      <c r="AF1147" s="59" t="n">
        <f aca="false">IF(CD1147&gt;0,CD1147*MAX(1,AD1147/V1147),IF(BR1147=1,IF(AD1147&lt;=0,0,BS1147*MAX(1,IF(G1147&gt;0,AD1147/G1147,1))),IF(Q1147&gt;0,AE1147/Q1147,0))/MAX(0.1,N(Parameter!$M$21)))</f>
        <v>0</v>
      </c>
      <c r="AG1147" s="57" t="n">
        <f aca="false">AD1147*F1147</f>
        <v>0</v>
      </c>
      <c r="AH1147" s="57" t="n">
        <f aca="false">ROUNDUP(MAX(I1147/IF(BV1147&gt;0,BV1147,MAX(0.1,N(Cockpit!$C$6))),BY1147)/BQ1147,0)*BQ1147</f>
        <v>40</v>
      </c>
      <c r="AI1147" s="58" t="n">
        <f aca="false">IF(AF1147&gt;0,I1147/AF1147,-1)</f>
        <v>-1</v>
      </c>
      <c r="AJ1147" s="58" t="str">
        <f aca="false">IF(AND(OR(BU1147="L1",BU1147="L23"),AF1147&gt;0),SUMIFS($AF$7:$AF$1576,$BU$7:$BU$1576,BU1147,$AI$7:$AI$1576,"&gt;"&amp;AI1147)+SUMIFS($AF$7:$AF$1576,$BU$7:$BU$1576,BU1147,$AI$7:$AI$1576,AI1147,$BO$7:$BO$1576,"&lt;="&amp;BO1147),"")</f>
        <v/>
      </c>
      <c r="AK1147" s="65" t="n">
        <f aca="false">IF(AJ1147="",0,MAX(0,MIN(1,(IF(BU1147="L1",Parameter!$E$5,Parameter!$E$6+Parameter!$E$7)-(AJ1147-AF1147))/AF1147)))</f>
        <v>0</v>
      </c>
      <c r="AL1147" s="57" t="n">
        <f aca="false">IF(LEFT(Cockpit!$I$5,1)="A",G1147,IF(BW1147=1,BX1147,IF(LEFT(Cockpit!$I$5,1)="B",AP1147,MAX(AP1147,G1147))))</f>
        <v>40</v>
      </c>
      <c r="AM1147" s="57" t="n">
        <f aca="false">IF(BR1147=1,0,ROUNDUP(AL1147/BQ1147,0))</f>
        <v>2</v>
      </c>
      <c r="AN1147" s="59" t="n">
        <f aca="false">IF(CD1147&gt;0,CD1147*MAX(1,AL1147/V1147),IF(BR1147=1,IF(AL1147&lt;=0,0,BS1147*MAX(1,IF(G1147&gt;0,AL1147/G1147,1))),IF(Q1147&gt;0,AM1147/Q1147,0))/MAX(0.1,N(Parameter!$M$21)))</f>
        <v>0.166666666666667</v>
      </c>
      <c r="AO1147" s="57" t="n">
        <f aca="false">AL1147*F1147</f>
        <v>2655.2</v>
      </c>
      <c r="AP1147" s="57" t="n">
        <f aca="false">ROUNDUP(MAX(I1147/IF(BV1147&gt;0,BV1147,MAX(0.1,N(Cockpit!$I$6))),BY1147)/BQ1147,0)*BQ1147</f>
        <v>40</v>
      </c>
      <c r="AQ1147" s="58" t="n">
        <f aca="false">IF(AN1147&gt;0,I1147/AN1147,-1)</f>
        <v>174</v>
      </c>
      <c r="AR1147" s="58" t="n">
        <f aca="false">IF(AND(OR(BU1147="L1",BU1147="L23"),AN1147&gt;0),SUMIFS($AN$7:$AN$1576,$BU$7:$BU$1576,BU1147,$AQ$7:$AQ$1576,"&gt;"&amp;AQ1147)+SUMIFS($AN$7:$AN$1576,$BU$7:$BU$1576,BU1147,$AQ$7:$AQ$1576,AQ1147,$BO$7:$BO$1576,"&lt;="&amp;BO1147),"")</f>
        <v>53.1200559950672</v>
      </c>
      <c r="AS1147" s="65" t="n">
        <f aca="false">IF(AR1147="",0,MAX(0,MIN(1,(IF(BU1147="L1",Parameter!$E$5,Parameter!$E$6+Parameter!$E$7)-(AR1147-AN1147))/AN1147)))</f>
        <v>1</v>
      </c>
      <c r="AT1147" s="57" t="n">
        <f aca="false">IF(LEFT(Cockpit!$O$5,1)="A",G1147,IF(BW1147=1,BX1147,IF(LEFT(Cockpit!$O$5,1)="B",AX1147,MAX(AX1147,G1147))))</f>
        <v>40</v>
      </c>
      <c r="AU1147" s="57" t="n">
        <f aca="false">IF(BR1147=1,0,ROUNDUP(AT1147/BQ1147,0))</f>
        <v>2</v>
      </c>
      <c r="AV1147" s="59" t="n">
        <f aca="false">IF(CD1147&gt;0,CD1147*MAX(1,AT1147/V1147),IF(BR1147=1,IF(AT1147&lt;=0,0,BS1147*MAX(1,IF(G1147&gt;0,AT1147/G1147,1))),IF(Q1147&gt;0,AU1147/Q1147,0))/MAX(0.1,N(Parameter!$M$21)))</f>
        <v>0.166666666666667</v>
      </c>
      <c r="AW1147" s="57" t="n">
        <f aca="false">AT1147*F1147</f>
        <v>2655.2</v>
      </c>
      <c r="AX1147" s="57" t="n">
        <f aca="false">ROUNDUP(MAX(I1147/IF(BV1147&gt;0,BV1147,MAX(0.1,N(Cockpit!$O$6))),BY1147)/BQ1147,0)*BQ1147</f>
        <v>40</v>
      </c>
      <c r="AY1147" s="58" t="n">
        <f aca="false">IF(AV1147&gt;0,I1147/AV1147,-1)</f>
        <v>174</v>
      </c>
      <c r="AZ1147" s="58" t="n">
        <f aca="false">IF(AND(OR(BU1147="L1",BU1147="L23"),AV1147&gt;0),SUMIFS($AV$7:$AV$1576,$BU$7:$BU$1576,BU1147,$AY$7:$AY$1576,"&gt;"&amp;AY1147)+SUMIFS($AV$7:$AV$1576,$BU$7:$BU$1576,BU1147,$AY$7:$AY$1576,AY1147,$BO$7:$BO$1576,"&lt;="&amp;BO1147),"")</f>
        <v>48.9520306870418</v>
      </c>
      <c r="BA1147" s="65" t="n">
        <f aca="false">IF(AZ1147="",0,MAX(0,MIN(1,(IF(BU1147="L1",Parameter!$E$5,Parameter!$E$6+Parameter!$E$7)-(AZ1147-AV1147))/AV1147)))</f>
        <v>1</v>
      </c>
      <c r="BB1147" s="55" t="str">
        <f aca="false">IF(AF1147&lt;=0,"",IF(BU1147="Aussen","Aussenlager",IF(BU1147="-","Nicht im Lift",IF(AK1147&gt;=1,"Lift",IF(AK1147&lt;=0,"Aussenlager","teilweise")))))</f>
        <v/>
      </c>
      <c r="BC1147" s="55" t="str">
        <f aca="false">IF(AN1147&lt;=0,"",IF(BU1147="Aussen","Aussenlager",IF(BU1147="-","Nicht im Lift",IF(AS1147&gt;=1,"Lift",IF(AS1147&lt;=0,"Aussenlager","teilweise")))))</f>
        <v>Lift</v>
      </c>
      <c r="BD1147" s="55" t="str">
        <f aca="false">IF(AV1147&lt;=0,"",IF(BU1147="Aussen","Aussenlager",IF(BU1147="-","Nicht im Lift",IF(BA1147&gt;=1,"Lift",IF(BA1147&lt;=0,"Aussenlager","teilweise")))))</f>
        <v>Lift</v>
      </c>
      <c r="BE1147" s="55" t="str">
        <f aca="false">IF(A1147="","",IF(BN1147=1,"Neu; ","")&amp;IF(AND(BN1147=0,BI1147&lt;0),"negativer Bestand (Export "&amp;BI1147&amp;"); ","")&amp;IF(I1147&lt;=0,"Kein Verbrauch; ","")&amp;IF(CD1147&gt;0,"Lift "&amp;U1147&amp;" lt. Liftbericht (Fach "&amp;V1147&amp;" Stk); ",IF(BR1147=1,"Lose – Fläche geschätzt; ",""))&amp;IF(G1147&gt;AP1147,"Überbestand "&amp;ROUND(G1147-AP1147,0)&amp;" Stk / CHF "&amp;ROUND((G1147-AP1147)*F1147,0)&amp;"; ","")&amp;IF(AND(BW1147=1,BX1147&lt;BY1147),"MAX &lt; MB+LG; ","")&amp;IF(AND(CC1147&gt;0,CB1147*10&gt;CC1147),"zu hoch für Tablar; ","")&amp;IF(AND(BN1147=0,OR(BW1147=1,Y1147&lt;&gt;"",S1147&lt;&gt;"",T1147&lt;&gt;"",Z1147&lt;&gt;"")),"manuell übersteuert; ","")&amp;IF(AND(BR1147=0,Q1147=0),"Gebinde unbekannt / Stellmass fehlt; ","")&amp;IF(AND(BR1147=0,N(T1147)&lt;=0,N(P1147)&lt;=0),"Menge pro Gebinde fehlt (Ist = 1 Gebinde); ","")&amp;BM1147)</f>
        <v>negativer Bestand (Export -1); </v>
      </c>
      <c r="BF1147" s="55"/>
      <c r="BG1147" s="55"/>
      <c r="BH1147" s="62"/>
      <c r="BI1147" s="57" t="n">
        <v>-1</v>
      </c>
      <c r="BJ1147" s="57" t="n">
        <v>10</v>
      </c>
      <c r="BK1147" s="56" t="n">
        <v>-299.28</v>
      </c>
      <c r="BL1147" s="57" t="n">
        <v>29</v>
      </c>
      <c r="BM1147" s="55"/>
      <c r="BN1147" s="60" t="n">
        <v>0</v>
      </c>
      <c r="BO1147" s="60" t="n">
        <v>1147</v>
      </c>
      <c r="BP1147" s="55" t="str">
        <f aca="false">IF(S1147&lt;&gt;"",UPPER(TRIM(S1147)),IF(O1147="","LOSE",O1147))</f>
        <v>S61</v>
      </c>
      <c r="BQ1147" s="57" t="n">
        <f aca="false">IF(BP1147="LOSE",1,IF(N(T1147)&gt;0,T1147,IF(N(P1147)&gt;0,P1147,MAX(1,G1147))))</f>
        <v>20</v>
      </c>
      <c r="BR1147" s="60" t="n">
        <f aca="false">IF(BP1147="LOSE",1,0)</f>
        <v>0</v>
      </c>
      <c r="BS1147" s="59" t="n">
        <f aca="false">IF(BR1147=0,0,IF(N(R1147)&gt;0,R1147,IFERROR(VLOOKUP(D1147,Parameter!$A$35:$C$64,3,0)+0,0)))</f>
        <v>0</v>
      </c>
      <c r="BT1147" s="55" t="n">
        <f aca="false">IF(Y1147&lt;&gt;"",Y1147,X1147)</f>
        <v>2</v>
      </c>
      <c r="BU1147" s="55" t="str">
        <f aca="false">IF(BT1147=1,"L1",IF(OR(BT1147=2,BT1147=3),"L23",IF(BT1147="Aussen","Aussen","-")))</f>
        <v>L23</v>
      </c>
      <c r="BV1147" s="66" t="n">
        <f aca="false">IF(N(Z1147)&gt;0,Z1147,0)</f>
        <v>0</v>
      </c>
      <c r="BW1147" s="60" t="n">
        <f aca="false">IF(ISNUMBER(AC1147),1,0)</f>
        <v>0</v>
      </c>
      <c r="BX1147" s="57" t="n">
        <f aca="false">N(AC1147)</f>
        <v>0</v>
      </c>
      <c r="BY1147" s="57" t="n">
        <f aca="false">N(L1147)+N(M1147)</f>
        <v>37</v>
      </c>
      <c r="BZ1147" s="57" t="n">
        <f aca="false">ROUNDUP(G1147/BQ1147,0)</f>
        <v>0</v>
      </c>
      <c r="CA1147" s="57" t="n">
        <f aca="false">ROUNDUP(BX1147/BQ1147,0)</f>
        <v>0</v>
      </c>
      <c r="CB1147" s="60" t="n">
        <f aca="false">IF(BR1147=1,0,IFERROR(VLOOKUP(BP1147,'Gebinde-Kategorie'!$A$5:$M$45,5,0)+0,0))</f>
        <v>11</v>
      </c>
      <c r="CC1147" s="60" t="n">
        <f aca="false">IFERROR(IF(OR(BT1147=1,BT1147=2,BT1147=3),N(INDEX(Parameter!$I$5:$I$7,BT1147)),0),0)</f>
        <v>0</v>
      </c>
      <c r="CD1147" s="59" t="n">
        <f aca="false">IF(AND(Parameter!$B$21="Ja",ISNUMBER(U1147),N(V1147)&gt;0),IFERROR(N(INDEX(Parameter!$L$5:$L$7,U1147))*INDEX(Parameter!$E$5:$E$7,U1147)*V1147/SUMIFS($V$7:$V$1576,$U$7:$U$1576,U1147),0),0)</f>
        <v>0</v>
      </c>
    </row>
    <row r="1148" customFormat="false" ht="15" hidden="false" customHeight="false" outlineLevel="0" collapsed="false">
      <c r="A1148" s="55" t="s">
        <v>2060</v>
      </c>
      <c r="B1148" s="55" t="s">
        <v>2061</v>
      </c>
      <c r="C1148" s="55" t="s">
        <v>160</v>
      </c>
      <c r="D1148" s="55" t="s">
        <v>178</v>
      </c>
      <c r="E1148" s="55" t="s">
        <v>210</v>
      </c>
      <c r="F1148" s="56" t="n">
        <v>151.25</v>
      </c>
      <c r="G1148" s="57" t="n">
        <f aca="false">MAX(0,IF(AND(Parameter!$B$21="Ja",ISNUMBER(W1148)),W1148,IF(Parameter!$B$20="Jahresanfang 2025 + Export",BJ1148+BI1148,BI1148)))</f>
        <v>0</v>
      </c>
      <c r="H1148" s="57" t="n">
        <f aca="false">G1148*F1148</f>
        <v>0</v>
      </c>
      <c r="I1148" s="57" t="n">
        <f aca="false">BL1148*Parameter!$B$18</f>
        <v>0</v>
      </c>
      <c r="J1148" s="58" t="n">
        <v>1</v>
      </c>
      <c r="K1148" s="59" t="n">
        <v>0</v>
      </c>
      <c r="L1148" s="57" t="n">
        <v>0</v>
      </c>
      <c r="M1148" s="57" t="n">
        <v>1</v>
      </c>
      <c r="N1148" s="60" t="n">
        <v>42</v>
      </c>
      <c r="O1148" s="55" t="s">
        <v>163</v>
      </c>
      <c r="P1148" s="57"/>
      <c r="Q1148" s="60" t="n">
        <f aca="false">IF(BR1148=1,0,IFERROR(VLOOKUP(BP1148,'Gebinde-Kategorie'!$A$5:$M$45,13,0)+0,0))</f>
        <v>0</v>
      </c>
      <c r="R1148" s="61"/>
      <c r="S1148" s="62"/>
      <c r="T1148" s="62"/>
      <c r="U1148" s="55"/>
      <c r="V1148" s="57"/>
      <c r="W1148" s="57"/>
      <c r="X1148" s="55" t="n">
        <f aca="false">IF(A1148="","",IF(AND(Parameter!$B$21="Ja",ISNUMBER(U1148)),U1148,IF(IFERROR(VLOOKUP(D1148,Parameter!$A$35:$C$64,2,0),"Nein")="2+3",IF(ISNUMBER(SEARCH("grosser Artikel",BM1148)),2,IFERROR(VLOOKUP(BP1148,Parameter!$F$35:$G$64,2,0),2)),IF(OR(IFERROR(VLOOKUP(D1148,Parameter!$A$35:$C$64,2,0),"Nein")="Nein",IFERROR(VLOOKUP(D1148,Parameter!$A$35:$C$64,2,0),"Nein")=""),"-",VLOOKUP(D1148,Parameter!$A$35:$C$64,2,0)))))</f>
        <v>2</v>
      </c>
      <c r="Y1148" s="62"/>
      <c r="Z1148" s="63"/>
      <c r="AA1148" s="57" t="n">
        <f aca="false">AP1148</f>
        <v>1</v>
      </c>
      <c r="AB1148" s="57" t="n">
        <f aca="false">MAX(AP1148,G1148)</f>
        <v>1</v>
      </c>
      <c r="AC1148" s="64"/>
      <c r="AD1148" s="57" t="n">
        <f aca="false">IF(LEFT(Cockpit!$C$5,1)="A",G1148,IF(BW1148=1,BX1148,IF(LEFT(Cockpit!$C$5,1)="B",AH1148,MAX(AH1148,G1148))))</f>
        <v>0</v>
      </c>
      <c r="AE1148" s="57" t="n">
        <f aca="false">IF(BR1148=1,0,ROUNDUP(AD1148/BQ1148,0))</f>
        <v>0</v>
      </c>
      <c r="AF1148" s="59" t="n">
        <f aca="false">IF(CD1148&gt;0,CD1148*MAX(1,AD1148/V1148),IF(BR1148=1,IF(AD1148&lt;=0,0,BS1148*MAX(1,IF(G1148&gt;0,AD1148/G1148,1))),IF(Q1148&gt;0,AE1148/Q1148,0))/MAX(0.1,N(Parameter!$M$21)))</f>
        <v>0</v>
      </c>
      <c r="AG1148" s="57" t="n">
        <f aca="false">AD1148*F1148</f>
        <v>0</v>
      </c>
      <c r="AH1148" s="57" t="n">
        <f aca="false">ROUNDUP(MAX(I1148/IF(BV1148&gt;0,BV1148,MAX(0.1,N(Cockpit!$C$6))),BY1148)/BQ1148,0)*BQ1148</f>
        <v>1</v>
      </c>
      <c r="AI1148" s="58" t="n">
        <f aca="false">IF(AF1148&gt;0,I1148/AF1148,-1)</f>
        <v>-1</v>
      </c>
      <c r="AJ1148" s="58" t="str">
        <f aca="false">IF(AND(OR(BU1148="L1",BU1148="L23"),AF1148&gt;0),SUMIFS($AF$7:$AF$1576,$BU$7:$BU$1576,BU1148,$AI$7:$AI$1576,"&gt;"&amp;AI1148)+SUMIFS($AF$7:$AF$1576,$BU$7:$BU$1576,BU1148,$AI$7:$AI$1576,AI1148,$BO$7:$BO$1576,"&lt;="&amp;BO1148),"")</f>
        <v/>
      </c>
      <c r="AK1148" s="65" t="n">
        <f aca="false">IF(AJ1148="",0,MAX(0,MIN(1,(IF(BU1148="L1",Parameter!$E$5,Parameter!$E$6+Parameter!$E$7)-(AJ1148-AF1148))/AF1148)))</f>
        <v>0</v>
      </c>
      <c r="AL1148" s="57" t="n">
        <f aca="false">IF(LEFT(Cockpit!$I$5,1)="A",G1148,IF(BW1148=1,BX1148,IF(LEFT(Cockpit!$I$5,1)="B",AP1148,MAX(AP1148,G1148))))</f>
        <v>1</v>
      </c>
      <c r="AM1148" s="57" t="n">
        <f aca="false">IF(BR1148=1,0,ROUNDUP(AL1148/BQ1148,0))</f>
        <v>0</v>
      </c>
      <c r="AN1148" s="59" t="n">
        <f aca="false">IF(CD1148&gt;0,CD1148*MAX(1,AL1148/V1148),IF(BR1148=1,IF(AL1148&lt;=0,0,BS1148*MAX(1,IF(G1148&gt;0,AL1148/G1148,1))),IF(Q1148&gt;0,AM1148/Q1148,0))/MAX(0.1,N(Parameter!$M$21)))</f>
        <v>0.03</v>
      </c>
      <c r="AO1148" s="57" t="n">
        <f aca="false">AL1148*F1148</f>
        <v>151.25</v>
      </c>
      <c r="AP1148" s="57" t="n">
        <f aca="false">ROUNDUP(MAX(I1148/IF(BV1148&gt;0,BV1148,MAX(0.1,N(Cockpit!$I$6))),BY1148)/BQ1148,0)*BQ1148</f>
        <v>1</v>
      </c>
      <c r="AQ1148" s="58" t="n">
        <f aca="false">IF(AN1148&gt;0,I1148/AN1148,-1)</f>
        <v>0</v>
      </c>
      <c r="AR1148" s="58" t="n">
        <f aca="false">IF(AND(OR(BU1148="L1",BU1148="L23"),AN1148&gt;0),SUMIFS($AN$7:$AN$1576,$BU$7:$BU$1576,BU1148,$AQ$7:$AQ$1576,"&gt;"&amp;AQ1148)+SUMIFS($AN$7:$AN$1576,$BU$7:$BU$1576,BU1148,$AQ$7:$AQ$1576,AQ1148,$BO$7:$BO$1576,"&lt;="&amp;BO1148),"")</f>
        <v>134.888256550261</v>
      </c>
      <c r="AS1148" s="65" t="n">
        <f aca="false">IF(AR1148="",0,MAX(0,MIN(1,(IF(BU1148="L1",Parameter!$E$5,Parameter!$E$6+Parameter!$E$7)-(AR1148-AN1148))/AN1148)))</f>
        <v>0</v>
      </c>
      <c r="AT1148" s="57" t="n">
        <f aca="false">IF(LEFT(Cockpit!$O$5,1)="A",G1148,IF(BW1148=1,BX1148,IF(LEFT(Cockpit!$O$5,1)="B",AX1148,MAX(AX1148,G1148))))</f>
        <v>1</v>
      </c>
      <c r="AU1148" s="57" t="n">
        <f aca="false">IF(BR1148=1,0,ROUNDUP(AT1148/BQ1148,0))</f>
        <v>0</v>
      </c>
      <c r="AV1148" s="59" t="n">
        <f aca="false">IF(CD1148&gt;0,CD1148*MAX(1,AT1148/V1148),IF(BR1148=1,IF(AT1148&lt;=0,0,BS1148*MAX(1,IF(G1148&gt;0,AT1148/G1148,1))),IF(Q1148&gt;0,AU1148/Q1148,0))/MAX(0.1,N(Parameter!$M$21)))</f>
        <v>0.03</v>
      </c>
      <c r="AW1148" s="57" t="n">
        <f aca="false">AT1148*F1148</f>
        <v>151.25</v>
      </c>
      <c r="AX1148" s="57" t="n">
        <f aca="false">ROUNDUP(MAX(I1148/IF(BV1148&gt;0,BV1148,MAX(0.1,N(Cockpit!$O$6))),BY1148)/BQ1148,0)*BQ1148</f>
        <v>1</v>
      </c>
      <c r="AY1148" s="58" t="n">
        <f aca="false">IF(AV1148&gt;0,I1148/AV1148,-1)</f>
        <v>0</v>
      </c>
      <c r="AZ1148" s="58" t="n">
        <f aca="false">IF(AND(OR(BU1148="L1",BU1148="L23"),AV1148&gt;0),SUMIFS($AV$7:$AV$1576,$BU$7:$BU$1576,BU1148,$AY$7:$AY$1576,"&gt;"&amp;AY1148)+SUMIFS($AV$7:$AV$1576,$BU$7:$BU$1576,BU1148,$AY$7:$AY$1576,AY1148,$BO$7:$BO$1576,"&lt;="&amp;BO1148),"")</f>
        <v>124.947806999811</v>
      </c>
      <c r="BA1148" s="65" t="n">
        <f aca="false">IF(AZ1148="",0,MAX(0,MIN(1,(IF(BU1148="L1",Parameter!$E$5,Parameter!$E$6+Parameter!$E$7)-(AZ1148-AV1148))/AV1148)))</f>
        <v>0</v>
      </c>
      <c r="BB1148" s="55" t="str">
        <f aca="false">IF(AF1148&lt;=0,"",IF(BU1148="Aussen","Aussenlager",IF(BU1148="-","Nicht im Lift",IF(AK1148&gt;=1,"Lift",IF(AK1148&lt;=0,"Aussenlager","teilweise")))))</f>
        <v/>
      </c>
      <c r="BC1148" s="55" t="str">
        <f aca="false">IF(AN1148&lt;=0,"",IF(BU1148="Aussen","Aussenlager",IF(BU1148="-","Nicht im Lift",IF(AS1148&gt;=1,"Lift",IF(AS1148&lt;=0,"Aussenlager","teilweise")))))</f>
        <v>Aussenlager</v>
      </c>
      <c r="BD1148" s="55" t="str">
        <f aca="false">IF(AV1148&lt;=0,"",IF(BU1148="Aussen","Aussenlager",IF(BU1148="-","Nicht im Lift",IF(BA1148&gt;=1,"Lift",IF(BA1148&lt;=0,"Aussenlager","teilweise")))))</f>
        <v>Aussenlager</v>
      </c>
      <c r="BE1148" s="55" t="str">
        <f aca="false">IF(A1148="","",IF(BN1148=1,"Neu; ","")&amp;IF(AND(BN1148=0,BI1148&lt;0),"negativer Bestand (Export "&amp;BI1148&amp;"); ","")&amp;IF(I1148&lt;=0,"Kein Verbrauch; ","")&amp;IF(CD1148&gt;0,"Lift "&amp;U1148&amp;" lt. Liftbericht (Fach "&amp;V1148&amp;" Stk); ",IF(BR1148=1,"Lose – Fläche geschätzt; ",""))&amp;IF(G1148&gt;AP1148,"Überbestand "&amp;ROUND(G1148-AP1148,0)&amp;" Stk / CHF "&amp;ROUND((G1148-AP1148)*F1148,0)&amp;"; ","")&amp;IF(AND(BW1148=1,BX1148&lt;BY1148),"MAX &lt; MB+LG; ","")&amp;IF(AND(CC1148&gt;0,CB1148*10&gt;CC1148),"zu hoch für Tablar; ","")&amp;IF(AND(BN1148=0,OR(BW1148=1,Y1148&lt;&gt;"",S1148&lt;&gt;"",T1148&lt;&gt;"",Z1148&lt;&gt;"")),"manuell übersteuert; ","")&amp;IF(AND(BR1148=0,Q1148=0),"Gebinde unbekannt / Stellmass fehlt; ","")&amp;IF(AND(BR1148=0,N(T1148)&lt;=0,N(P1148)&lt;=0),"Menge pro Gebinde fehlt (Ist = 1 Gebinde); ","")&amp;BM1148)</f>
        <v>negativer Bestand (Export -2); Kein Verbrauch; Lose – Fläche geschätzt; </v>
      </c>
      <c r="BF1148" s="55"/>
      <c r="BG1148" s="55"/>
      <c r="BH1148" s="62"/>
      <c r="BI1148" s="57" t="n">
        <v>-2</v>
      </c>
      <c r="BJ1148" s="57" t="n">
        <v>2</v>
      </c>
      <c r="BK1148" s="56" t="n">
        <v>-302.5</v>
      </c>
      <c r="BL1148" s="57" t="n">
        <v>0</v>
      </c>
      <c r="BM1148" s="55"/>
      <c r="BN1148" s="60" t="n">
        <v>0</v>
      </c>
      <c r="BO1148" s="60" t="n">
        <v>1148</v>
      </c>
      <c r="BP1148" s="55" t="str">
        <f aca="false">IF(S1148&lt;&gt;"",UPPER(TRIM(S1148)),IF(O1148="","LOSE",O1148))</f>
        <v>LOSE</v>
      </c>
      <c r="BQ1148" s="57" t="n">
        <f aca="false">IF(BP1148="LOSE",1,IF(N(T1148)&gt;0,T1148,IF(N(P1148)&gt;0,P1148,MAX(1,G1148))))</f>
        <v>1</v>
      </c>
      <c r="BR1148" s="60" t="n">
        <f aca="false">IF(BP1148="LOSE",1,0)</f>
        <v>1</v>
      </c>
      <c r="BS1148" s="59" t="n">
        <f aca="false">IF(BR1148=0,0,IF(N(R1148)&gt;0,R1148,IFERROR(VLOOKUP(D1148,Parameter!$A$35:$C$64,3,0)+0,0)))</f>
        <v>0.03</v>
      </c>
      <c r="BT1148" s="55" t="n">
        <f aca="false">IF(Y1148&lt;&gt;"",Y1148,X1148)</f>
        <v>2</v>
      </c>
      <c r="BU1148" s="55" t="str">
        <f aca="false">IF(BT1148=1,"L1",IF(OR(BT1148=2,BT1148=3),"L23",IF(BT1148="Aussen","Aussen","-")))</f>
        <v>L23</v>
      </c>
      <c r="BV1148" s="66" t="n">
        <f aca="false">IF(N(Z1148)&gt;0,Z1148,0)</f>
        <v>0</v>
      </c>
      <c r="BW1148" s="60" t="n">
        <f aca="false">IF(ISNUMBER(AC1148),1,0)</f>
        <v>0</v>
      </c>
      <c r="BX1148" s="57" t="n">
        <f aca="false">N(AC1148)</f>
        <v>0</v>
      </c>
      <c r="BY1148" s="57" t="n">
        <f aca="false">N(L1148)+N(M1148)</f>
        <v>1</v>
      </c>
      <c r="BZ1148" s="57" t="n">
        <f aca="false">ROUNDUP(G1148/BQ1148,0)</f>
        <v>0</v>
      </c>
      <c r="CA1148" s="57" t="n">
        <f aca="false">ROUNDUP(BX1148/BQ1148,0)</f>
        <v>0</v>
      </c>
      <c r="CB1148" s="60" t="n">
        <f aca="false">IF(BR1148=1,0,IFERROR(VLOOKUP(BP1148,'Gebinde-Kategorie'!$A$5:$M$45,5,0)+0,0))</f>
        <v>0</v>
      </c>
      <c r="CC1148" s="60" t="n">
        <f aca="false">IFERROR(IF(OR(BT1148=1,BT1148=2,BT1148=3),N(INDEX(Parameter!$I$5:$I$7,BT1148)),0),0)</f>
        <v>0</v>
      </c>
      <c r="CD1148" s="59" t="n">
        <f aca="false">IF(AND(Parameter!$B$21="Ja",ISNUMBER(U1148),N(V1148)&gt;0),IFERROR(N(INDEX(Parameter!$L$5:$L$7,U1148))*INDEX(Parameter!$E$5:$E$7,U1148)*V1148/SUMIFS($V$7:$V$1576,$U$7:$U$1576,U1148),0),0)</f>
        <v>0</v>
      </c>
    </row>
    <row r="1149" customFormat="false" ht="15" hidden="false" customHeight="false" outlineLevel="0" collapsed="false">
      <c r="A1149" s="55" t="s">
        <v>2062</v>
      </c>
      <c r="B1149" s="55" t="s">
        <v>2063</v>
      </c>
      <c r="C1149" s="55" t="s">
        <v>160</v>
      </c>
      <c r="D1149" s="55" t="s">
        <v>178</v>
      </c>
      <c r="E1149" s="55" t="s">
        <v>210</v>
      </c>
      <c r="F1149" s="56" t="n">
        <v>151.82</v>
      </c>
      <c r="G1149" s="57" t="n">
        <f aca="false">MAX(0,IF(AND(Parameter!$B$21="Ja",ISNUMBER(W1149)),W1149,IF(Parameter!$B$20="Jahresanfang 2025 + Export",BJ1149+BI1149,BI1149)))</f>
        <v>0</v>
      </c>
      <c r="H1149" s="57" t="n">
        <f aca="false">G1149*F1149</f>
        <v>0</v>
      </c>
      <c r="I1149" s="57" t="n">
        <f aca="false">BL1149*Parameter!$B$18</f>
        <v>2</v>
      </c>
      <c r="J1149" s="58" t="n">
        <v>3</v>
      </c>
      <c r="K1149" s="59" t="n">
        <v>0.666666666666667</v>
      </c>
      <c r="L1149" s="57" t="n">
        <v>0</v>
      </c>
      <c r="M1149" s="57" t="n">
        <v>1</v>
      </c>
      <c r="N1149" s="60" t="n">
        <v>35</v>
      </c>
      <c r="O1149" s="55" t="s">
        <v>163</v>
      </c>
      <c r="P1149" s="57"/>
      <c r="Q1149" s="60" t="n">
        <f aca="false">IF(BR1149=1,0,IFERROR(VLOOKUP(BP1149,'Gebinde-Kategorie'!$A$5:$M$45,13,0)+0,0))</f>
        <v>0</v>
      </c>
      <c r="R1149" s="61"/>
      <c r="S1149" s="62"/>
      <c r="T1149" s="62"/>
      <c r="U1149" s="55"/>
      <c r="V1149" s="57"/>
      <c r="W1149" s="57"/>
      <c r="X1149" s="55" t="n">
        <f aca="false">IF(A1149="","",IF(AND(Parameter!$B$21="Ja",ISNUMBER(U1149)),U1149,IF(IFERROR(VLOOKUP(D1149,Parameter!$A$35:$C$64,2,0),"Nein")="2+3",IF(ISNUMBER(SEARCH("grosser Artikel",BM1149)),2,IFERROR(VLOOKUP(BP1149,Parameter!$F$35:$G$64,2,0),2)),IF(OR(IFERROR(VLOOKUP(D1149,Parameter!$A$35:$C$64,2,0),"Nein")="Nein",IFERROR(VLOOKUP(D1149,Parameter!$A$35:$C$64,2,0),"Nein")=""),"-",VLOOKUP(D1149,Parameter!$A$35:$C$64,2,0)))))</f>
        <v>2</v>
      </c>
      <c r="Y1149" s="62"/>
      <c r="Z1149" s="63"/>
      <c r="AA1149" s="57" t="n">
        <f aca="false">AP1149</f>
        <v>1</v>
      </c>
      <c r="AB1149" s="57" t="n">
        <f aca="false">MAX(AP1149,G1149)</f>
        <v>1</v>
      </c>
      <c r="AC1149" s="64"/>
      <c r="AD1149" s="57" t="n">
        <f aca="false">IF(LEFT(Cockpit!$C$5,1)="A",G1149,IF(BW1149=1,BX1149,IF(LEFT(Cockpit!$C$5,1)="B",AH1149,MAX(AH1149,G1149))))</f>
        <v>0</v>
      </c>
      <c r="AE1149" s="57" t="n">
        <f aca="false">IF(BR1149=1,0,ROUNDUP(AD1149/BQ1149,0))</f>
        <v>0</v>
      </c>
      <c r="AF1149" s="59" t="n">
        <f aca="false">IF(CD1149&gt;0,CD1149*MAX(1,AD1149/V1149),IF(BR1149=1,IF(AD1149&lt;=0,0,BS1149*MAX(1,IF(G1149&gt;0,AD1149/G1149,1))),IF(Q1149&gt;0,AE1149/Q1149,0))/MAX(0.1,N(Parameter!$M$21)))</f>
        <v>0</v>
      </c>
      <c r="AG1149" s="57" t="n">
        <f aca="false">AD1149*F1149</f>
        <v>0</v>
      </c>
      <c r="AH1149" s="57" t="n">
        <f aca="false">ROUNDUP(MAX(I1149/IF(BV1149&gt;0,BV1149,MAX(0.1,N(Cockpit!$C$6))),BY1149)/BQ1149,0)*BQ1149</f>
        <v>1</v>
      </c>
      <c r="AI1149" s="58" t="n">
        <f aca="false">IF(AF1149&gt;0,I1149/AF1149,-1)</f>
        <v>-1</v>
      </c>
      <c r="AJ1149" s="58" t="str">
        <f aca="false">IF(AND(OR(BU1149="L1",BU1149="L23"),AF1149&gt;0),SUMIFS($AF$7:$AF$1576,$BU$7:$BU$1576,BU1149,$AI$7:$AI$1576,"&gt;"&amp;AI1149)+SUMIFS($AF$7:$AF$1576,$BU$7:$BU$1576,BU1149,$AI$7:$AI$1576,AI1149,$BO$7:$BO$1576,"&lt;="&amp;BO1149),"")</f>
        <v/>
      </c>
      <c r="AK1149" s="65" t="n">
        <f aca="false">IF(AJ1149="",0,MAX(0,MIN(1,(IF(BU1149="L1",Parameter!$E$5,Parameter!$E$6+Parameter!$E$7)-(AJ1149-AF1149))/AF1149)))</f>
        <v>0</v>
      </c>
      <c r="AL1149" s="57" t="n">
        <f aca="false">IF(LEFT(Cockpit!$I$5,1)="A",G1149,IF(BW1149=1,BX1149,IF(LEFT(Cockpit!$I$5,1)="B",AP1149,MAX(AP1149,G1149))))</f>
        <v>1</v>
      </c>
      <c r="AM1149" s="57" t="n">
        <f aca="false">IF(BR1149=1,0,ROUNDUP(AL1149/BQ1149,0))</f>
        <v>0</v>
      </c>
      <c r="AN1149" s="59" t="n">
        <f aca="false">IF(CD1149&gt;0,CD1149*MAX(1,AL1149/V1149),IF(BR1149=1,IF(AL1149&lt;=0,0,BS1149*MAX(1,IF(G1149&gt;0,AL1149/G1149,1))),IF(Q1149&gt;0,AM1149/Q1149,0))/MAX(0.1,N(Parameter!$M$21)))</f>
        <v>0.03</v>
      </c>
      <c r="AO1149" s="57" t="n">
        <f aca="false">AL1149*F1149</f>
        <v>151.82</v>
      </c>
      <c r="AP1149" s="57" t="n">
        <f aca="false">ROUNDUP(MAX(I1149/IF(BV1149&gt;0,BV1149,MAX(0.1,N(Cockpit!$I$6))),BY1149)/BQ1149,0)*BQ1149</f>
        <v>1</v>
      </c>
      <c r="AQ1149" s="58" t="n">
        <f aca="false">IF(AN1149&gt;0,I1149/AN1149,-1)</f>
        <v>66.6666666666667</v>
      </c>
      <c r="AR1149" s="58" t="n">
        <f aca="false">IF(AND(OR(BU1149="L1",BU1149="L23"),AN1149&gt;0),SUMIFS($AN$7:$AN$1576,$BU$7:$BU$1576,BU1149,$AQ$7:$AQ$1576,"&gt;"&amp;AQ1149)+SUMIFS($AN$7:$AN$1576,$BU$7:$BU$1576,BU1149,$AQ$7:$AQ$1576,AQ1149,$BO$7:$BO$1576,"&lt;="&amp;BO1149),"")</f>
        <v>76.1822947285559</v>
      </c>
      <c r="AS1149" s="65" t="n">
        <f aca="false">IF(AR1149="",0,MAX(0,MIN(1,(IF(BU1149="L1",Parameter!$E$5,Parameter!$E$6+Parameter!$E$7)-(AR1149-AN1149))/AN1149)))</f>
        <v>1</v>
      </c>
      <c r="AT1149" s="57" t="n">
        <f aca="false">IF(LEFT(Cockpit!$O$5,1)="A",G1149,IF(BW1149=1,BX1149,IF(LEFT(Cockpit!$O$5,1)="B",AX1149,MAX(AX1149,G1149))))</f>
        <v>1</v>
      </c>
      <c r="AU1149" s="57" t="n">
        <f aca="false">IF(BR1149=1,0,ROUNDUP(AT1149/BQ1149,0))</f>
        <v>0</v>
      </c>
      <c r="AV1149" s="59" t="n">
        <f aca="false">IF(CD1149&gt;0,CD1149*MAX(1,AT1149/V1149),IF(BR1149=1,IF(AT1149&lt;=0,0,BS1149*MAX(1,IF(G1149&gt;0,AT1149/G1149,1))),IF(Q1149&gt;0,AU1149/Q1149,0))/MAX(0.1,N(Parameter!$M$21)))</f>
        <v>0.03</v>
      </c>
      <c r="AW1149" s="57" t="n">
        <f aca="false">AT1149*F1149</f>
        <v>151.82</v>
      </c>
      <c r="AX1149" s="57" t="n">
        <f aca="false">ROUNDUP(MAX(I1149/IF(BV1149&gt;0,BV1149,MAX(0.1,N(Cockpit!$O$6))),BY1149)/BQ1149,0)*BQ1149</f>
        <v>1</v>
      </c>
      <c r="AY1149" s="58" t="n">
        <f aca="false">IF(AV1149&gt;0,I1149/AV1149,-1)</f>
        <v>66.6666666666667</v>
      </c>
      <c r="AZ1149" s="58" t="n">
        <f aca="false">IF(AND(OR(BU1149="L1",BU1149="L23"),AV1149&gt;0),SUMIFS($AV$7:$AV$1576,$BU$7:$BU$1576,BU1149,$AY$7:$AY$1576,"&gt;"&amp;AY1149)+SUMIFS($AV$7:$AV$1576,$BU$7:$BU$1576,BU1149,$AY$7:$AY$1576,AY1149,$BO$7:$BO$1576,"&lt;="&amp;BO1149),"")</f>
        <v>74.893511844773</v>
      </c>
      <c r="BA1149" s="65" t="n">
        <f aca="false">IF(AZ1149="",0,MAX(0,MIN(1,(IF(BU1149="L1",Parameter!$E$5,Parameter!$E$6+Parameter!$E$7)-(AZ1149-AV1149))/AV1149)))</f>
        <v>1</v>
      </c>
      <c r="BB1149" s="55" t="str">
        <f aca="false">IF(AF1149&lt;=0,"",IF(BU1149="Aussen","Aussenlager",IF(BU1149="-","Nicht im Lift",IF(AK1149&gt;=1,"Lift",IF(AK1149&lt;=0,"Aussenlager","teilweise")))))</f>
        <v/>
      </c>
      <c r="BC1149" s="55" t="str">
        <f aca="false">IF(AN1149&lt;=0,"",IF(BU1149="Aussen","Aussenlager",IF(BU1149="-","Nicht im Lift",IF(AS1149&gt;=1,"Lift",IF(AS1149&lt;=0,"Aussenlager","teilweise")))))</f>
        <v>Lift</v>
      </c>
      <c r="BD1149" s="55" t="str">
        <f aca="false">IF(AV1149&lt;=0,"",IF(BU1149="Aussen","Aussenlager",IF(BU1149="-","Nicht im Lift",IF(BA1149&gt;=1,"Lift",IF(BA1149&lt;=0,"Aussenlager","teilweise")))))</f>
        <v>Lift</v>
      </c>
      <c r="BE1149" s="55" t="str">
        <f aca="false">IF(A1149="","",IF(BN1149=1,"Neu; ","")&amp;IF(AND(BN1149=0,BI1149&lt;0),"negativer Bestand (Export "&amp;BI1149&amp;"); ","")&amp;IF(I1149&lt;=0,"Kein Verbrauch; ","")&amp;IF(CD1149&gt;0,"Lift "&amp;U1149&amp;" lt. Liftbericht (Fach "&amp;V1149&amp;" Stk); ",IF(BR1149=1,"Lose – Fläche geschätzt; ",""))&amp;IF(G1149&gt;AP1149,"Überbestand "&amp;ROUND(G1149-AP1149,0)&amp;" Stk / CHF "&amp;ROUND((G1149-AP1149)*F1149,0)&amp;"; ","")&amp;IF(AND(BW1149=1,BX1149&lt;BY1149),"MAX &lt; MB+LG; ","")&amp;IF(AND(CC1149&gt;0,CB1149*10&gt;CC1149),"zu hoch für Tablar; ","")&amp;IF(AND(BN1149=0,OR(BW1149=1,Y1149&lt;&gt;"",S1149&lt;&gt;"",T1149&lt;&gt;"",Z1149&lt;&gt;"")),"manuell übersteuert; ","")&amp;IF(AND(BR1149=0,Q1149=0),"Gebinde unbekannt / Stellmass fehlt; ","")&amp;IF(AND(BR1149=0,N(T1149)&lt;=0,N(P1149)&lt;=0),"Menge pro Gebinde fehlt (Ist = 1 Gebinde); ","")&amp;BM1149)</f>
        <v>negativer Bestand (Export -2); Lose – Fläche geschätzt; </v>
      </c>
      <c r="BF1149" s="55"/>
      <c r="BG1149" s="55"/>
      <c r="BH1149" s="62"/>
      <c r="BI1149" s="57" t="n">
        <v>-2</v>
      </c>
      <c r="BJ1149" s="57" t="n">
        <v>4</v>
      </c>
      <c r="BK1149" s="56" t="n">
        <v>-303.64</v>
      </c>
      <c r="BL1149" s="57" t="n">
        <v>2</v>
      </c>
      <c r="BM1149" s="55"/>
      <c r="BN1149" s="60" t="n">
        <v>0</v>
      </c>
      <c r="BO1149" s="60" t="n">
        <v>1149</v>
      </c>
      <c r="BP1149" s="55" t="str">
        <f aca="false">IF(S1149&lt;&gt;"",UPPER(TRIM(S1149)),IF(O1149="","LOSE",O1149))</f>
        <v>LOSE</v>
      </c>
      <c r="BQ1149" s="57" t="n">
        <f aca="false">IF(BP1149="LOSE",1,IF(N(T1149)&gt;0,T1149,IF(N(P1149)&gt;0,P1149,MAX(1,G1149))))</f>
        <v>1</v>
      </c>
      <c r="BR1149" s="60" t="n">
        <f aca="false">IF(BP1149="LOSE",1,0)</f>
        <v>1</v>
      </c>
      <c r="BS1149" s="59" t="n">
        <f aca="false">IF(BR1149=0,0,IF(N(R1149)&gt;0,R1149,IFERROR(VLOOKUP(D1149,Parameter!$A$35:$C$64,3,0)+0,0)))</f>
        <v>0.03</v>
      </c>
      <c r="BT1149" s="55" t="n">
        <f aca="false">IF(Y1149&lt;&gt;"",Y1149,X1149)</f>
        <v>2</v>
      </c>
      <c r="BU1149" s="55" t="str">
        <f aca="false">IF(BT1149=1,"L1",IF(OR(BT1149=2,BT1149=3),"L23",IF(BT1149="Aussen","Aussen","-")))</f>
        <v>L23</v>
      </c>
      <c r="BV1149" s="66" t="n">
        <f aca="false">IF(N(Z1149)&gt;0,Z1149,0)</f>
        <v>0</v>
      </c>
      <c r="BW1149" s="60" t="n">
        <f aca="false">IF(ISNUMBER(AC1149),1,0)</f>
        <v>0</v>
      </c>
      <c r="BX1149" s="57" t="n">
        <f aca="false">N(AC1149)</f>
        <v>0</v>
      </c>
      <c r="BY1149" s="57" t="n">
        <f aca="false">N(L1149)+N(M1149)</f>
        <v>1</v>
      </c>
      <c r="BZ1149" s="57" t="n">
        <f aca="false">ROUNDUP(G1149/BQ1149,0)</f>
        <v>0</v>
      </c>
      <c r="CA1149" s="57" t="n">
        <f aca="false">ROUNDUP(BX1149/BQ1149,0)</f>
        <v>0</v>
      </c>
      <c r="CB1149" s="60" t="n">
        <f aca="false">IF(BR1149=1,0,IFERROR(VLOOKUP(BP1149,'Gebinde-Kategorie'!$A$5:$M$45,5,0)+0,0))</f>
        <v>0</v>
      </c>
      <c r="CC1149" s="60" t="n">
        <f aca="false">IFERROR(IF(OR(BT1149=1,BT1149=2,BT1149=3),N(INDEX(Parameter!$I$5:$I$7,BT1149)),0),0)</f>
        <v>0</v>
      </c>
      <c r="CD1149" s="59" t="n">
        <f aca="false">IF(AND(Parameter!$B$21="Ja",ISNUMBER(U1149),N(V1149)&gt;0),IFERROR(N(INDEX(Parameter!$L$5:$L$7,U1149))*INDEX(Parameter!$E$5:$E$7,U1149)*V1149/SUMIFS($V$7:$V$1576,$U$7:$U$1576,U1149),0),0)</f>
        <v>0</v>
      </c>
    </row>
    <row r="1150" customFormat="false" ht="15" hidden="false" customHeight="false" outlineLevel="0" collapsed="false">
      <c r="A1150" s="55" t="s">
        <v>2064</v>
      </c>
      <c r="B1150" s="55" t="s">
        <v>2021</v>
      </c>
      <c r="C1150" s="55" t="s">
        <v>160</v>
      </c>
      <c r="D1150" s="55" t="s">
        <v>178</v>
      </c>
      <c r="E1150" s="55" t="s">
        <v>210</v>
      </c>
      <c r="F1150" s="56" t="n">
        <v>29.34</v>
      </c>
      <c r="G1150" s="57" t="n">
        <f aca="false">MAX(0,IF(AND(Parameter!$B$21="Ja",ISNUMBER(W1150)),W1150,IF(Parameter!$B$20="Jahresanfang 2025 + Export",BJ1150+BI1150,BI1150)))</f>
        <v>0</v>
      </c>
      <c r="H1150" s="57" t="n">
        <f aca="false">G1150*F1150</f>
        <v>0</v>
      </c>
      <c r="I1150" s="57" t="n">
        <f aca="false">BL1150*Parameter!$B$18</f>
        <v>20</v>
      </c>
      <c r="J1150" s="58" t="n">
        <v>15</v>
      </c>
      <c r="K1150" s="59" t="n">
        <v>1.33333333333333</v>
      </c>
      <c r="L1150" s="57" t="n">
        <v>2</v>
      </c>
      <c r="M1150" s="57" t="n">
        <v>20</v>
      </c>
      <c r="N1150" s="60" t="n">
        <v>42</v>
      </c>
      <c r="O1150" s="55" t="s">
        <v>465</v>
      </c>
      <c r="P1150" s="57" t="n">
        <v>26</v>
      </c>
      <c r="Q1150" s="60" t="n">
        <f aca="false">IF(BR1150=1,0,IFERROR(VLOOKUP(BP1150,'Gebinde-Kategorie'!$A$5:$M$45,13,0)+0,0))</f>
        <v>66</v>
      </c>
      <c r="R1150" s="61"/>
      <c r="S1150" s="62"/>
      <c r="T1150" s="62"/>
      <c r="U1150" s="55"/>
      <c r="V1150" s="57"/>
      <c r="W1150" s="57"/>
      <c r="X1150" s="55" t="n">
        <f aca="false">IF(A1150="","",IF(AND(Parameter!$B$21="Ja",ISNUMBER(U1150)),U1150,IF(IFERROR(VLOOKUP(D1150,Parameter!$A$35:$C$64,2,0),"Nein")="2+3",IF(ISNUMBER(SEARCH("grosser Artikel",BM1150)),2,IFERROR(VLOOKUP(BP1150,Parameter!$F$35:$G$64,2,0),2)),IF(OR(IFERROR(VLOOKUP(D1150,Parameter!$A$35:$C$64,2,0),"Nein")="Nein",IFERROR(VLOOKUP(D1150,Parameter!$A$35:$C$64,2,0),"Nein")=""),"-",VLOOKUP(D1150,Parameter!$A$35:$C$64,2,0)))))</f>
        <v>3</v>
      </c>
      <c r="Y1150" s="62"/>
      <c r="Z1150" s="63"/>
      <c r="AA1150" s="57" t="n">
        <f aca="false">AP1150</f>
        <v>26</v>
      </c>
      <c r="AB1150" s="57" t="n">
        <f aca="false">MAX(AP1150,G1150)</f>
        <v>26</v>
      </c>
      <c r="AC1150" s="64"/>
      <c r="AD1150" s="57" t="n">
        <f aca="false">IF(LEFT(Cockpit!$C$5,1)="A",G1150,IF(BW1150=1,BX1150,IF(LEFT(Cockpit!$C$5,1)="B",AH1150,MAX(AH1150,G1150))))</f>
        <v>0</v>
      </c>
      <c r="AE1150" s="57" t="n">
        <f aca="false">IF(BR1150=1,0,ROUNDUP(AD1150/BQ1150,0))</f>
        <v>0</v>
      </c>
      <c r="AF1150" s="59" t="n">
        <f aca="false">IF(CD1150&gt;0,CD1150*MAX(1,AD1150/V1150),IF(BR1150=1,IF(AD1150&lt;=0,0,BS1150*MAX(1,IF(G1150&gt;0,AD1150/G1150,1))),IF(Q1150&gt;0,AE1150/Q1150,0))/MAX(0.1,N(Parameter!$M$21)))</f>
        <v>0</v>
      </c>
      <c r="AG1150" s="57" t="n">
        <f aca="false">AD1150*F1150</f>
        <v>0</v>
      </c>
      <c r="AH1150" s="57" t="n">
        <f aca="false">ROUNDUP(MAX(I1150/IF(BV1150&gt;0,BV1150,MAX(0.1,N(Cockpit!$C$6))),BY1150)/BQ1150,0)*BQ1150</f>
        <v>26</v>
      </c>
      <c r="AI1150" s="58" t="n">
        <f aca="false">IF(AF1150&gt;0,I1150/AF1150,-1)</f>
        <v>-1</v>
      </c>
      <c r="AJ1150" s="58" t="str">
        <f aca="false">IF(AND(OR(BU1150="L1",BU1150="L23"),AF1150&gt;0),SUMIFS($AF$7:$AF$1576,$BU$7:$BU$1576,BU1150,$AI$7:$AI$1576,"&gt;"&amp;AI1150)+SUMIFS($AF$7:$AF$1576,$BU$7:$BU$1576,BU1150,$AI$7:$AI$1576,AI1150,$BO$7:$BO$1576,"&lt;="&amp;BO1150),"")</f>
        <v/>
      </c>
      <c r="AK1150" s="65" t="n">
        <f aca="false">IF(AJ1150="",0,MAX(0,MIN(1,(IF(BU1150="L1",Parameter!$E$5,Parameter!$E$6+Parameter!$E$7)-(AJ1150-AF1150))/AF1150)))</f>
        <v>0</v>
      </c>
      <c r="AL1150" s="57" t="n">
        <f aca="false">IF(LEFT(Cockpit!$I$5,1)="A",G1150,IF(BW1150=1,BX1150,IF(LEFT(Cockpit!$I$5,1)="B",AP1150,MAX(AP1150,G1150))))</f>
        <v>26</v>
      </c>
      <c r="AM1150" s="57" t="n">
        <f aca="false">IF(BR1150=1,0,ROUNDUP(AL1150/BQ1150,0))</f>
        <v>1</v>
      </c>
      <c r="AN1150" s="59" t="n">
        <f aca="false">IF(CD1150&gt;0,CD1150*MAX(1,AL1150/V1150),IF(BR1150=1,IF(AL1150&lt;=0,0,BS1150*MAX(1,IF(G1150&gt;0,AL1150/G1150,1))),IF(Q1150&gt;0,AM1150/Q1150,0))/MAX(0.1,N(Parameter!$M$21)))</f>
        <v>0.0151515151515152</v>
      </c>
      <c r="AO1150" s="57" t="n">
        <f aca="false">AL1150*F1150</f>
        <v>762.84</v>
      </c>
      <c r="AP1150" s="57" t="n">
        <f aca="false">ROUNDUP(MAX(I1150/IF(BV1150&gt;0,BV1150,MAX(0.1,N(Cockpit!$I$6))),BY1150)/BQ1150,0)*BQ1150</f>
        <v>26</v>
      </c>
      <c r="AQ1150" s="58" t="n">
        <f aca="false">IF(AN1150&gt;0,I1150/AN1150,-1)</f>
        <v>1320</v>
      </c>
      <c r="AR1150" s="58" t="n">
        <f aca="false">IF(AND(OR(BU1150="L1",BU1150="L23"),AN1150&gt;0),SUMIFS($AN$7:$AN$1576,$BU$7:$BU$1576,BU1150,$AQ$7:$AQ$1576,"&gt;"&amp;AQ1150)+SUMIFS($AN$7:$AN$1576,$BU$7:$BU$1576,BU1150,$AQ$7:$AQ$1576,AQ1150,$BO$7:$BO$1576,"&lt;="&amp;BO1150),"")</f>
        <v>20.2690013492299</v>
      </c>
      <c r="AS1150" s="65" t="n">
        <f aca="false">IF(AR1150="",0,MAX(0,MIN(1,(IF(BU1150="L1",Parameter!$E$5,Parameter!$E$6+Parameter!$E$7)-(AR1150-AN1150))/AN1150)))</f>
        <v>1</v>
      </c>
      <c r="AT1150" s="57" t="n">
        <f aca="false">IF(LEFT(Cockpit!$O$5,1)="A",G1150,IF(BW1150=1,BX1150,IF(LEFT(Cockpit!$O$5,1)="B",AX1150,MAX(AX1150,G1150))))</f>
        <v>26</v>
      </c>
      <c r="AU1150" s="57" t="n">
        <f aca="false">IF(BR1150=1,0,ROUNDUP(AT1150/BQ1150,0))</f>
        <v>1</v>
      </c>
      <c r="AV1150" s="59" t="n">
        <f aca="false">IF(CD1150&gt;0,CD1150*MAX(1,AT1150/V1150),IF(BR1150=1,IF(AT1150&lt;=0,0,BS1150*MAX(1,IF(G1150&gt;0,AT1150/G1150,1))),IF(Q1150&gt;0,AU1150/Q1150,0))/MAX(0.1,N(Parameter!$M$21)))</f>
        <v>0.0151515151515152</v>
      </c>
      <c r="AW1150" s="57" t="n">
        <f aca="false">AT1150*F1150</f>
        <v>762.84</v>
      </c>
      <c r="AX1150" s="57" t="n">
        <f aca="false">ROUNDUP(MAX(I1150/IF(BV1150&gt;0,BV1150,MAX(0.1,N(Cockpit!$O$6))),BY1150)/BQ1150,0)*BQ1150</f>
        <v>26</v>
      </c>
      <c r="AY1150" s="58" t="n">
        <f aca="false">IF(AV1150&gt;0,I1150/AV1150,-1)</f>
        <v>1320</v>
      </c>
      <c r="AZ1150" s="58" t="n">
        <f aca="false">IF(AND(OR(BU1150="L1",BU1150="L23"),AV1150&gt;0),SUMIFS($AV$7:$AV$1576,$BU$7:$BU$1576,BU1150,$AY$7:$AY$1576,"&gt;"&amp;AY1150)+SUMIFS($AV$7:$AV$1576,$BU$7:$BU$1576,BU1150,$AY$7:$AY$1576,AY1150,$BO$7:$BO$1576,"&lt;="&amp;BO1150),"")</f>
        <v>19.329607409836</v>
      </c>
      <c r="BA1150" s="65" t="n">
        <f aca="false">IF(AZ1150="",0,MAX(0,MIN(1,(IF(BU1150="L1",Parameter!$E$5,Parameter!$E$6+Parameter!$E$7)-(AZ1150-AV1150))/AV1150)))</f>
        <v>1</v>
      </c>
      <c r="BB1150" s="55" t="str">
        <f aca="false">IF(AF1150&lt;=0,"",IF(BU1150="Aussen","Aussenlager",IF(BU1150="-","Nicht im Lift",IF(AK1150&gt;=1,"Lift",IF(AK1150&lt;=0,"Aussenlager","teilweise")))))</f>
        <v/>
      </c>
      <c r="BC1150" s="55" t="str">
        <f aca="false">IF(AN1150&lt;=0,"",IF(BU1150="Aussen","Aussenlager",IF(BU1150="-","Nicht im Lift",IF(AS1150&gt;=1,"Lift",IF(AS1150&lt;=0,"Aussenlager","teilweise")))))</f>
        <v>Lift</v>
      </c>
      <c r="BD1150" s="55" t="str">
        <f aca="false">IF(AV1150&lt;=0,"",IF(BU1150="Aussen","Aussenlager",IF(BU1150="-","Nicht im Lift",IF(BA1150&gt;=1,"Lift",IF(BA1150&lt;=0,"Aussenlager","teilweise")))))</f>
        <v>Lift</v>
      </c>
      <c r="BE1150" s="55" t="str">
        <f aca="false">IF(A1150="","",IF(BN1150=1,"Neu; ","")&amp;IF(AND(BN1150=0,BI1150&lt;0),"negativer Bestand (Export "&amp;BI1150&amp;"); ","")&amp;IF(I1150&lt;=0,"Kein Verbrauch; ","")&amp;IF(CD1150&gt;0,"Lift "&amp;U1150&amp;" lt. Liftbericht (Fach "&amp;V1150&amp;" Stk); ",IF(BR1150=1,"Lose – Fläche geschätzt; ",""))&amp;IF(G1150&gt;AP1150,"Überbestand "&amp;ROUND(G1150-AP1150,0)&amp;" Stk / CHF "&amp;ROUND((G1150-AP1150)*F1150,0)&amp;"; ","")&amp;IF(AND(BW1150=1,BX1150&lt;BY1150),"MAX &lt; MB+LG; ","")&amp;IF(AND(CC1150&gt;0,CB1150*10&gt;CC1150),"zu hoch für Tablar; ","")&amp;IF(AND(BN1150=0,OR(BW1150=1,Y1150&lt;&gt;"",S1150&lt;&gt;"",T1150&lt;&gt;"",Z1150&lt;&gt;"")),"manuell übersteuert; ","")&amp;IF(AND(BR1150=0,Q1150=0),"Gebinde unbekannt / Stellmass fehlt; ","")&amp;IF(AND(BR1150=0,N(T1150)&lt;=0,N(P1150)&lt;=0),"Menge pro Gebinde fehlt (Ist = 1 Gebinde); ","")&amp;BM1150)</f>
        <v>negativer Bestand (Export -6); </v>
      </c>
      <c r="BF1150" s="55"/>
      <c r="BG1150" s="55"/>
      <c r="BH1150" s="62"/>
      <c r="BI1150" s="57" t="n">
        <v>-6</v>
      </c>
      <c r="BJ1150" s="57" t="n">
        <v>15</v>
      </c>
      <c r="BK1150" s="56" t="n">
        <v>-309.54</v>
      </c>
      <c r="BL1150" s="57" t="n">
        <v>20</v>
      </c>
      <c r="BM1150" s="55"/>
      <c r="BN1150" s="60" t="n">
        <v>0</v>
      </c>
      <c r="BO1150" s="60" t="n">
        <v>1150</v>
      </c>
      <c r="BP1150" s="55" t="str">
        <f aca="false">IF(S1150&lt;&gt;"",UPPER(TRIM(S1150)),IF(O1150="","LOSE",O1150))</f>
        <v>S33</v>
      </c>
      <c r="BQ1150" s="57" t="n">
        <f aca="false">IF(BP1150="LOSE",1,IF(N(T1150)&gt;0,T1150,IF(N(P1150)&gt;0,P1150,MAX(1,G1150))))</f>
        <v>26</v>
      </c>
      <c r="BR1150" s="60" t="n">
        <f aca="false">IF(BP1150="LOSE",1,0)</f>
        <v>0</v>
      </c>
      <c r="BS1150" s="59" t="n">
        <f aca="false">IF(BR1150=0,0,IF(N(R1150)&gt;0,R1150,IFERROR(VLOOKUP(D1150,Parameter!$A$35:$C$64,3,0)+0,0)))</f>
        <v>0</v>
      </c>
      <c r="BT1150" s="55" t="n">
        <f aca="false">IF(Y1150&lt;&gt;"",Y1150,X1150)</f>
        <v>3</v>
      </c>
      <c r="BU1150" s="55" t="str">
        <f aca="false">IF(BT1150=1,"L1",IF(OR(BT1150=2,BT1150=3),"L23",IF(BT1150="Aussen","Aussen","-")))</f>
        <v>L23</v>
      </c>
      <c r="BV1150" s="66" t="n">
        <f aca="false">IF(N(Z1150)&gt;0,Z1150,0)</f>
        <v>0</v>
      </c>
      <c r="BW1150" s="60" t="n">
        <f aca="false">IF(ISNUMBER(AC1150),1,0)</f>
        <v>0</v>
      </c>
      <c r="BX1150" s="57" t="n">
        <f aca="false">N(AC1150)</f>
        <v>0</v>
      </c>
      <c r="BY1150" s="57" t="n">
        <f aca="false">N(L1150)+N(M1150)</f>
        <v>22</v>
      </c>
      <c r="BZ1150" s="57" t="n">
        <f aca="false">ROUNDUP(G1150/BQ1150,0)</f>
        <v>0</v>
      </c>
      <c r="CA1150" s="57" t="n">
        <f aca="false">ROUNDUP(BX1150/BQ1150,0)</f>
        <v>0</v>
      </c>
      <c r="CB1150" s="60" t="n">
        <f aca="false">IF(BR1150=1,0,IFERROR(VLOOKUP(BP1150,'Gebinde-Kategorie'!$A$5:$M$45,5,0)+0,0))</f>
        <v>8</v>
      </c>
      <c r="CC1150" s="60" t="n">
        <f aca="false">IFERROR(IF(OR(BT1150=1,BT1150=2,BT1150=3),N(INDEX(Parameter!$I$5:$I$7,BT1150)),0),0)</f>
        <v>0</v>
      </c>
      <c r="CD1150" s="59" t="n">
        <f aca="false">IF(AND(Parameter!$B$21="Ja",ISNUMBER(U1150),N(V1150)&gt;0),IFERROR(N(INDEX(Parameter!$L$5:$L$7,U1150))*INDEX(Parameter!$E$5:$E$7,U1150)*V1150/SUMIFS($V$7:$V$1576,$U$7:$U$1576,U1150),0),0)</f>
        <v>0</v>
      </c>
    </row>
    <row r="1151" customFormat="false" ht="15" hidden="false" customHeight="false" outlineLevel="0" collapsed="false">
      <c r="A1151" s="55" t="s">
        <v>2065</v>
      </c>
      <c r="B1151" s="55" t="s">
        <v>2066</v>
      </c>
      <c r="C1151" s="55" t="s">
        <v>160</v>
      </c>
      <c r="D1151" s="55" t="s">
        <v>178</v>
      </c>
      <c r="E1151" s="55" t="s">
        <v>210</v>
      </c>
      <c r="F1151" s="56" t="n">
        <v>130.65</v>
      </c>
      <c r="G1151" s="57" t="n">
        <f aca="false">MAX(0,IF(AND(Parameter!$B$21="Ja",ISNUMBER(W1151)),W1151,IF(Parameter!$B$20="Jahresanfang 2025 + Export",BJ1151+BI1151,BI1151)))</f>
        <v>0</v>
      </c>
      <c r="H1151" s="57" t="n">
        <f aca="false">G1151*F1151</f>
        <v>0</v>
      </c>
      <c r="I1151" s="57" t="n">
        <f aca="false">BL1151*Parameter!$B$18</f>
        <v>2</v>
      </c>
      <c r="J1151" s="58" t="n">
        <v>3</v>
      </c>
      <c r="K1151" s="59" t="n">
        <v>0.666666666666667</v>
      </c>
      <c r="L1151" s="57" t="n">
        <v>0</v>
      </c>
      <c r="M1151" s="57" t="n">
        <v>1</v>
      </c>
      <c r="N1151" s="60" t="n">
        <v>28</v>
      </c>
      <c r="O1151" s="55" t="s">
        <v>411</v>
      </c>
      <c r="P1151" s="57" t="n">
        <v>3</v>
      </c>
      <c r="Q1151" s="60" t="n">
        <f aca="false">IF(BR1151=1,0,IFERROR(VLOOKUP(BP1151,'Gebinde-Kategorie'!$A$5:$M$45,13,0)+0,0))</f>
        <v>132</v>
      </c>
      <c r="R1151" s="61"/>
      <c r="S1151" s="62"/>
      <c r="T1151" s="62"/>
      <c r="U1151" s="55"/>
      <c r="V1151" s="57"/>
      <c r="W1151" s="57"/>
      <c r="X1151" s="55" t="n">
        <f aca="false">IF(A1151="","",IF(AND(Parameter!$B$21="Ja",ISNUMBER(U1151)),U1151,IF(IFERROR(VLOOKUP(D1151,Parameter!$A$35:$C$64,2,0),"Nein")="2+3",IF(ISNUMBER(SEARCH("grosser Artikel",BM1151)),2,IFERROR(VLOOKUP(BP1151,Parameter!$F$35:$G$64,2,0),2)),IF(OR(IFERROR(VLOOKUP(D1151,Parameter!$A$35:$C$64,2,0),"Nein")="Nein",IFERROR(VLOOKUP(D1151,Parameter!$A$35:$C$64,2,0),"Nein")=""),"-",VLOOKUP(D1151,Parameter!$A$35:$C$64,2,0)))))</f>
        <v>2</v>
      </c>
      <c r="Y1151" s="62"/>
      <c r="Z1151" s="63"/>
      <c r="AA1151" s="57" t="n">
        <f aca="false">AP1151</f>
        <v>3</v>
      </c>
      <c r="AB1151" s="57" t="n">
        <f aca="false">MAX(AP1151,G1151)</f>
        <v>3</v>
      </c>
      <c r="AC1151" s="64"/>
      <c r="AD1151" s="57" t="n">
        <f aca="false">IF(LEFT(Cockpit!$C$5,1)="A",G1151,IF(BW1151=1,BX1151,IF(LEFT(Cockpit!$C$5,1)="B",AH1151,MAX(AH1151,G1151))))</f>
        <v>0</v>
      </c>
      <c r="AE1151" s="57" t="n">
        <f aca="false">IF(BR1151=1,0,ROUNDUP(AD1151/BQ1151,0))</f>
        <v>0</v>
      </c>
      <c r="AF1151" s="59" t="n">
        <f aca="false">IF(CD1151&gt;0,CD1151*MAX(1,AD1151/V1151),IF(BR1151=1,IF(AD1151&lt;=0,0,BS1151*MAX(1,IF(G1151&gt;0,AD1151/G1151,1))),IF(Q1151&gt;0,AE1151/Q1151,0))/MAX(0.1,N(Parameter!$M$21)))</f>
        <v>0</v>
      </c>
      <c r="AG1151" s="57" t="n">
        <f aca="false">AD1151*F1151</f>
        <v>0</v>
      </c>
      <c r="AH1151" s="57" t="n">
        <f aca="false">ROUNDUP(MAX(I1151/IF(BV1151&gt;0,BV1151,MAX(0.1,N(Cockpit!$C$6))),BY1151)/BQ1151,0)*BQ1151</f>
        <v>3</v>
      </c>
      <c r="AI1151" s="58" t="n">
        <f aca="false">IF(AF1151&gt;0,I1151/AF1151,-1)</f>
        <v>-1</v>
      </c>
      <c r="AJ1151" s="58" t="str">
        <f aca="false">IF(AND(OR(BU1151="L1",BU1151="L23"),AF1151&gt;0),SUMIFS($AF$7:$AF$1576,$BU$7:$BU$1576,BU1151,$AI$7:$AI$1576,"&gt;"&amp;AI1151)+SUMIFS($AF$7:$AF$1576,$BU$7:$BU$1576,BU1151,$AI$7:$AI$1576,AI1151,$BO$7:$BO$1576,"&lt;="&amp;BO1151),"")</f>
        <v/>
      </c>
      <c r="AK1151" s="65" t="n">
        <f aca="false">IF(AJ1151="",0,MAX(0,MIN(1,(IF(BU1151="L1",Parameter!$E$5,Parameter!$E$6+Parameter!$E$7)-(AJ1151-AF1151))/AF1151)))</f>
        <v>0</v>
      </c>
      <c r="AL1151" s="57" t="n">
        <f aca="false">IF(LEFT(Cockpit!$I$5,1)="A",G1151,IF(BW1151=1,BX1151,IF(LEFT(Cockpit!$I$5,1)="B",AP1151,MAX(AP1151,G1151))))</f>
        <v>3</v>
      </c>
      <c r="AM1151" s="57" t="n">
        <f aca="false">IF(BR1151=1,0,ROUNDUP(AL1151/BQ1151,0))</f>
        <v>1</v>
      </c>
      <c r="AN1151" s="59" t="n">
        <f aca="false">IF(CD1151&gt;0,CD1151*MAX(1,AL1151/V1151),IF(BR1151=1,IF(AL1151&lt;=0,0,BS1151*MAX(1,IF(G1151&gt;0,AL1151/G1151,1))),IF(Q1151&gt;0,AM1151/Q1151,0))/MAX(0.1,N(Parameter!$M$21)))</f>
        <v>0.00757575757575758</v>
      </c>
      <c r="AO1151" s="57" t="n">
        <f aca="false">AL1151*F1151</f>
        <v>391.95</v>
      </c>
      <c r="AP1151" s="57" t="n">
        <f aca="false">ROUNDUP(MAX(I1151/IF(BV1151&gt;0,BV1151,MAX(0.1,N(Cockpit!$I$6))),BY1151)/BQ1151,0)*BQ1151</f>
        <v>3</v>
      </c>
      <c r="AQ1151" s="58" t="n">
        <f aca="false">IF(AN1151&gt;0,I1151/AN1151,-1)</f>
        <v>264</v>
      </c>
      <c r="AR1151" s="58" t="n">
        <f aca="false">IF(AND(OR(BU1151="L1",BU1151="L23"),AN1151&gt;0),SUMIFS($AN$7:$AN$1576,$BU$7:$BU$1576,BU1151,$AQ$7:$AQ$1576,"&gt;"&amp;AQ1151)+SUMIFS($AN$7:$AN$1576,$BU$7:$BU$1576,BU1151,$AQ$7:$AQ$1576,AQ1151,$BO$7:$BO$1576,"&lt;="&amp;BO1151),"")</f>
        <v>45.4185445113818</v>
      </c>
      <c r="AS1151" s="65" t="n">
        <f aca="false">IF(AR1151="",0,MAX(0,MIN(1,(IF(BU1151="L1",Parameter!$E$5,Parameter!$E$6+Parameter!$E$7)-(AR1151-AN1151))/AN1151)))</f>
        <v>1</v>
      </c>
      <c r="AT1151" s="57" t="n">
        <f aca="false">IF(LEFT(Cockpit!$O$5,1)="A",G1151,IF(BW1151=1,BX1151,IF(LEFT(Cockpit!$O$5,1)="B",AX1151,MAX(AX1151,G1151))))</f>
        <v>3</v>
      </c>
      <c r="AU1151" s="57" t="n">
        <f aca="false">IF(BR1151=1,0,ROUNDUP(AT1151/BQ1151,0))</f>
        <v>1</v>
      </c>
      <c r="AV1151" s="59" t="n">
        <f aca="false">IF(CD1151&gt;0,CD1151*MAX(1,AT1151/V1151),IF(BR1151=1,IF(AT1151&lt;=0,0,BS1151*MAX(1,IF(G1151&gt;0,AT1151/G1151,1))),IF(Q1151&gt;0,AU1151/Q1151,0))/MAX(0.1,N(Parameter!$M$21)))</f>
        <v>0.00757575757575758</v>
      </c>
      <c r="AW1151" s="57" t="n">
        <f aca="false">AT1151*F1151</f>
        <v>391.95</v>
      </c>
      <c r="AX1151" s="57" t="n">
        <f aca="false">ROUNDUP(MAX(I1151/IF(BV1151&gt;0,BV1151,MAX(0.1,N(Cockpit!$O$6))),BY1151)/BQ1151,0)*BQ1151</f>
        <v>3</v>
      </c>
      <c r="AY1151" s="58" t="n">
        <f aca="false">IF(AV1151&gt;0,I1151/AV1151,-1)</f>
        <v>264</v>
      </c>
      <c r="AZ1151" s="58" t="n">
        <f aca="false">IF(AND(OR(BU1151="L1",BU1151="L23"),AV1151&gt;0),SUMIFS($AV$7:$AV$1576,$BU$7:$BU$1576,BU1151,$AY$7:$AY$1576,"&gt;"&amp;AY1151)+SUMIFS($AV$7:$AV$1576,$BU$7:$BU$1576,BU1151,$AY$7:$AY$1576,AY1151,$BO$7:$BO$1576,"&lt;="&amp;BO1151),"")</f>
        <v>41.6966230994603</v>
      </c>
      <c r="BA1151" s="65" t="n">
        <f aca="false">IF(AZ1151="",0,MAX(0,MIN(1,(IF(BU1151="L1",Parameter!$E$5,Parameter!$E$6+Parameter!$E$7)-(AZ1151-AV1151))/AV1151)))</f>
        <v>1</v>
      </c>
      <c r="BB1151" s="55" t="str">
        <f aca="false">IF(AF1151&lt;=0,"",IF(BU1151="Aussen","Aussenlager",IF(BU1151="-","Nicht im Lift",IF(AK1151&gt;=1,"Lift",IF(AK1151&lt;=0,"Aussenlager","teilweise")))))</f>
        <v/>
      </c>
      <c r="BC1151" s="55" t="str">
        <f aca="false">IF(AN1151&lt;=0,"",IF(BU1151="Aussen","Aussenlager",IF(BU1151="-","Nicht im Lift",IF(AS1151&gt;=1,"Lift",IF(AS1151&lt;=0,"Aussenlager","teilweise")))))</f>
        <v>Lift</v>
      </c>
      <c r="BD1151" s="55" t="str">
        <f aca="false">IF(AV1151&lt;=0,"",IF(BU1151="Aussen","Aussenlager",IF(BU1151="-","Nicht im Lift",IF(BA1151&gt;=1,"Lift",IF(BA1151&lt;=0,"Aussenlager","teilweise")))))</f>
        <v>Lift</v>
      </c>
      <c r="BE1151" s="55" t="str">
        <f aca="false">IF(A1151="","",IF(BN1151=1,"Neu; ","")&amp;IF(AND(BN1151=0,BI1151&lt;0),"negativer Bestand (Export "&amp;BI1151&amp;"); ","")&amp;IF(I1151&lt;=0,"Kein Verbrauch; ","")&amp;IF(CD1151&gt;0,"Lift "&amp;U1151&amp;" lt. Liftbericht (Fach "&amp;V1151&amp;" Stk); ",IF(BR1151=1,"Lose – Fläche geschätzt; ",""))&amp;IF(G1151&gt;AP1151,"Überbestand "&amp;ROUND(G1151-AP1151,0)&amp;" Stk / CHF "&amp;ROUND((G1151-AP1151)*F1151,0)&amp;"; ","")&amp;IF(AND(BW1151=1,BX1151&lt;BY1151),"MAX &lt; MB+LG; ","")&amp;IF(AND(CC1151&gt;0,CB1151*10&gt;CC1151),"zu hoch für Tablar; ","")&amp;IF(AND(BN1151=0,OR(BW1151=1,Y1151&lt;&gt;"",S1151&lt;&gt;"",T1151&lt;&gt;"",Z1151&lt;&gt;"")),"manuell übersteuert; ","")&amp;IF(AND(BR1151=0,Q1151=0),"Gebinde unbekannt / Stellmass fehlt; ","")&amp;IF(AND(BR1151=0,N(T1151)&lt;=0,N(P1151)&lt;=0),"Menge pro Gebinde fehlt (Ist = 1 Gebinde); ","")&amp;BM1151)</f>
        <v>negativer Bestand (Export -3); Neu; grosser Artikel &amp; nicht im KTL</v>
      </c>
      <c r="BF1151" s="55"/>
      <c r="BG1151" s="55"/>
      <c r="BH1151" s="62"/>
      <c r="BI1151" s="57" t="n">
        <v>-3</v>
      </c>
      <c r="BJ1151" s="57" t="n">
        <v>4</v>
      </c>
      <c r="BK1151" s="56" t="n">
        <v>-310.03</v>
      </c>
      <c r="BL1151" s="57" t="n">
        <v>2</v>
      </c>
      <c r="BM1151" s="55" t="s">
        <v>2057</v>
      </c>
      <c r="BN1151" s="60" t="n">
        <v>0</v>
      </c>
      <c r="BO1151" s="60" t="n">
        <v>1151</v>
      </c>
      <c r="BP1151" s="55" t="str">
        <f aca="false">IF(S1151&lt;&gt;"",UPPER(TRIM(S1151)),IF(O1151="","LOSE",O1151))</f>
        <v>S32</v>
      </c>
      <c r="BQ1151" s="57" t="n">
        <f aca="false">IF(BP1151="LOSE",1,IF(N(T1151)&gt;0,T1151,IF(N(P1151)&gt;0,P1151,MAX(1,G1151))))</f>
        <v>3</v>
      </c>
      <c r="BR1151" s="60" t="n">
        <f aca="false">IF(BP1151="LOSE",1,0)</f>
        <v>0</v>
      </c>
      <c r="BS1151" s="59" t="n">
        <f aca="false">IF(BR1151=0,0,IF(N(R1151)&gt;0,R1151,IFERROR(VLOOKUP(D1151,Parameter!$A$35:$C$64,3,0)+0,0)))</f>
        <v>0</v>
      </c>
      <c r="BT1151" s="55" t="n">
        <f aca="false">IF(Y1151&lt;&gt;"",Y1151,X1151)</f>
        <v>2</v>
      </c>
      <c r="BU1151" s="55" t="str">
        <f aca="false">IF(BT1151=1,"L1",IF(OR(BT1151=2,BT1151=3),"L23",IF(BT1151="Aussen","Aussen","-")))</f>
        <v>L23</v>
      </c>
      <c r="BV1151" s="66" t="n">
        <f aca="false">IF(N(Z1151)&gt;0,Z1151,0)</f>
        <v>0</v>
      </c>
      <c r="BW1151" s="60" t="n">
        <f aca="false">IF(ISNUMBER(AC1151),1,0)</f>
        <v>0</v>
      </c>
      <c r="BX1151" s="57" t="n">
        <f aca="false">N(AC1151)</f>
        <v>0</v>
      </c>
      <c r="BY1151" s="57" t="n">
        <f aca="false">N(L1151)+N(M1151)</f>
        <v>1</v>
      </c>
      <c r="BZ1151" s="57" t="n">
        <f aca="false">ROUNDUP(G1151/BQ1151,0)</f>
        <v>0</v>
      </c>
      <c r="CA1151" s="57" t="n">
        <f aca="false">ROUNDUP(BX1151/BQ1151,0)</f>
        <v>0</v>
      </c>
      <c r="CB1151" s="60" t="n">
        <f aca="false">IF(BR1151=1,0,IFERROR(VLOOKUP(BP1151,'Gebinde-Kategorie'!$A$5:$M$45,5,0)+0,0))</f>
        <v>8</v>
      </c>
      <c r="CC1151" s="60" t="n">
        <f aca="false">IFERROR(IF(OR(BT1151=1,BT1151=2,BT1151=3),N(INDEX(Parameter!$I$5:$I$7,BT1151)),0),0)</f>
        <v>0</v>
      </c>
      <c r="CD1151" s="59" t="n">
        <f aca="false">IF(AND(Parameter!$B$21="Ja",ISNUMBER(U1151),N(V1151)&gt;0),IFERROR(N(INDEX(Parameter!$L$5:$L$7,U1151))*INDEX(Parameter!$E$5:$E$7,U1151)*V1151/SUMIFS($V$7:$V$1576,$U$7:$U$1576,U1151),0),0)</f>
        <v>0</v>
      </c>
    </row>
    <row r="1152" customFormat="false" ht="15" hidden="false" customHeight="false" outlineLevel="0" collapsed="false">
      <c r="A1152" s="55" t="s">
        <v>2067</v>
      </c>
      <c r="B1152" s="55" t="s">
        <v>1076</v>
      </c>
      <c r="C1152" s="55" t="s">
        <v>160</v>
      </c>
      <c r="D1152" s="55" t="s">
        <v>178</v>
      </c>
      <c r="E1152" s="55" t="s">
        <v>210</v>
      </c>
      <c r="F1152" s="56" t="n">
        <v>25.19</v>
      </c>
      <c r="G1152" s="57" t="n">
        <f aca="false">MAX(0,IF(AND(Parameter!$B$21="Ja",ISNUMBER(W1152)),W1152,IF(Parameter!$B$20="Jahresanfang 2025 + Export",BJ1152+BI1152,BI1152)))</f>
        <v>0</v>
      </c>
      <c r="H1152" s="57" t="n">
        <f aca="false">G1152*F1152</f>
        <v>0</v>
      </c>
      <c r="I1152" s="57" t="n">
        <f aca="false">BL1152*Parameter!$B$18</f>
        <v>10</v>
      </c>
      <c r="J1152" s="58" t="n">
        <v>12</v>
      </c>
      <c r="K1152" s="59" t="n">
        <v>0.833333333333333</v>
      </c>
      <c r="L1152" s="57" t="n">
        <v>0</v>
      </c>
      <c r="M1152" s="57" t="n">
        <v>10</v>
      </c>
      <c r="N1152" s="60" t="n">
        <v>28</v>
      </c>
      <c r="O1152" s="55" t="s">
        <v>225</v>
      </c>
      <c r="P1152" s="57" t="n">
        <v>34</v>
      </c>
      <c r="Q1152" s="60" t="n">
        <f aca="false">IF(BR1152=1,0,IFERROR(VLOOKUP(BP1152,'Gebinde-Kategorie'!$A$5:$M$45,13,0)+0,0))</f>
        <v>26</v>
      </c>
      <c r="R1152" s="61"/>
      <c r="S1152" s="62"/>
      <c r="T1152" s="62"/>
      <c r="U1152" s="55"/>
      <c r="V1152" s="57"/>
      <c r="W1152" s="57"/>
      <c r="X1152" s="55" t="n">
        <f aca="false">IF(A1152="","",IF(AND(Parameter!$B$21="Ja",ISNUMBER(U1152)),U1152,IF(IFERROR(VLOOKUP(D1152,Parameter!$A$35:$C$64,2,0),"Nein")="2+3",IF(ISNUMBER(SEARCH("grosser Artikel",BM1152)),2,IFERROR(VLOOKUP(BP1152,Parameter!$F$35:$G$64,2,0),2)),IF(OR(IFERROR(VLOOKUP(D1152,Parameter!$A$35:$C$64,2,0),"Nein")="Nein",IFERROR(VLOOKUP(D1152,Parameter!$A$35:$C$64,2,0),"Nein")=""),"-",VLOOKUP(D1152,Parameter!$A$35:$C$64,2,0)))))</f>
        <v>3</v>
      </c>
      <c r="Y1152" s="62"/>
      <c r="Z1152" s="63"/>
      <c r="AA1152" s="57" t="n">
        <f aca="false">AP1152</f>
        <v>34</v>
      </c>
      <c r="AB1152" s="57" t="n">
        <f aca="false">MAX(AP1152,G1152)</f>
        <v>34</v>
      </c>
      <c r="AC1152" s="64"/>
      <c r="AD1152" s="57" t="n">
        <f aca="false">IF(LEFT(Cockpit!$C$5,1)="A",G1152,IF(BW1152=1,BX1152,IF(LEFT(Cockpit!$C$5,1)="B",AH1152,MAX(AH1152,G1152))))</f>
        <v>0</v>
      </c>
      <c r="AE1152" s="57" t="n">
        <f aca="false">IF(BR1152=1,0,ROUNDUP(AD1152/BQ1152,0))</f>
        <v>0</v>
      </c>
      <c r="AF1152" s="59" t="n">
        <f aca="false">IF(CD1152&gt;0,CD1152*MAX(1,AD1152/V1152),IF(BR1152=1,IF(AD1152&lt;=0,0,BS1152*MAX(1,IF(G1152&gt;0,AD1152/G1152,1))),IF(Q1152&gt;0,AE1152/Q1152,0))/MAX(0.1,N(Parameter!$M$21)))</f>
        <v>0</v>
      </c>
      <c r="AG1152" s="57" t="n">
        <f aca="false">AD1152*F1152</f>
        <v>0</v>
      </c>
      <c r="AH1152" s="57" t="n">
        <f aca="false">ROUNDUP(MAX(I1152/IF(BV1152&gt;0,BV1152,MAX(0.1,N(Cockpit!$C$6))),BY1152)/BQ1152,0)*BQ1152</f>
        <v>34</v>
      </c>
      <c r="AI1152" s="58" t="n">
        <f aca="false">IF(AF1152&gt;0,I1152/AF1152,-1)</f>
        <v>-1</v>
      </c>
      <c r="AJ1152" s="58" t="str">
        <f aca="false">IF(AND(OR(BU1152="L1",BU1152="L23"),AF1152&gt;0),SUMIFS($AF$7:$AF$1576,$BU$7:$BU$1576,BU1152,$AI$7:$AI$1576,"&gt;"&amp;AI1152)+SUMIFS($AF$7:$AF$1576,$BU$7:$BU$1576,BU1152,$AI$7:$AI$1576,AI1152,$BO$7:$BO$1576,"&lt;="&amp;BO1152),"")</f>
        <v/>
      </c>
      <c r="AK1152" s="65" t="n">
        <f aca="false">IF(AJ1152="",0,MAX(0,MIN(1,(IF(BU1152="L1",Parameter!$E$5,Parameter!$E$6+Parameter!$E$7)-(AJ1152-AF1152))/AF1152)))</f>
        <v>0</v>
      </c>
      <c r="AL1152" s="57" t="n">
        <f aca="false">IF(LEFT(Cockpit!$I$5,1)="A",G1152,IF(BW1152=1,BX1152,IF(LEFT(Cockpit!$I$5,1)="B",AP1152,MAX(AP1152,G1152))))</f>
        <v>34</v>
      </c>
      <c r="AM1152" s="57" t="n">
        <f aca="false">IF(BR1152=1,0,ROUNDUP(AL1152/BQ1152,0))</f>
        <v>1</v>
      </c>
      <c r="AN1152" s="59" t="n">
        <f aca="false">IF(CD1152&gt;0,CD1152*MAX(1,AL1152/V1152),IF(BR1152=1,IF(AL1152&lt;=0,0,BS1152*MAX(1,IF(G1152&gt;0,AL1152/G1152,1))),IF(Q1152&gt;0,AM1152/Q1152,0))/MAX(0.1,N(Parameter!$M$21)))</f>
        <v>0.0384615384615385</v>
      </c>
      <c r="AO1152" s="57" t="n">
        <f aca="false">AL1152*F1152</f>
        <v>856.46</v>
      </c>
      <c r="AP1152" s="57" t="n">
        <f aca="false">ROUNDUP(MAX(I1152/IF(BV1152&gt;0,BV1152,MAX(0.1,N(Cockpit!$I$6))),BY1152)/BQ1152,0)*BQ1152</f>
        <v>34</v>
      </c>
      <c r="AQ1152" s="58" t="n">
        <f aca="false">IF(AN1152&gt;0,I1152/AN1152,-1)</f>
        <v>260</v>
      </c>
      <c r="AR1152" s="58" t="n">
        <f aca="false">IF(AND(OR(BU1152="L1",BU1152="L23"),AN1152&gt;0),SUMIFS($AN$7:$AN$1576,$BU$7:$BU$1576,BU1152,$AQ$7:$AQ$1576,"&gt;"&amp;AQ1152)+SUMIFS($AN$7:$AN$1576,$BU$7:$BU$1576,BU1152,$AQ$7:$AQ$1576,AQ1152,$BO$7:$BO$1576,"&lt;="&amp;BO1152),"")</f>
        <v>45.5875421803794</v>
      </c>
      <c r="AS1152" s="65" t="n">
        <f aca="false">IF(AR1152="",0,MAX(0,MIN(1,(IF(BU1152="L1",Parameter!$E$5,Parameter!$E$6+Parameter!$E$7)-(AR1152-AN1152))/AN1152)))</f>
        <v>1</v>
      </c>
      <c r="AT1152" s="57" t="n">
        <f aca="false">IF(LEFT(Cockpit!$O$5,1)="A",G1152,IF(BW1152=1,BX1152,IF(LEFT(Cockpit!$O$5,1)="B",AX1152,MAX(AX1152,G1152))))</f>
        <v>34</v>
      </c>
      <c r="AU1152" s="57" t="n">
        <f aca="false">IF(BR1152=1,0,ROUNDUP(AT1152/BQ1152,0))</f>
        <v>1</v>
      </c>
      <c r="AV1152" s="59" t="n">
        <f aca="false">IF(CD1152&gt;0,CD1152*MAX(1,AT1152/V1152),IF(BR1152=1,IF(AT1152&lt;=0,0,BS1152*MAX(1,IF(G1152&gt;0,AT1152/G1152,1))),IF(Q1152&gt;0,AU1152/Q1152,0))/MAX(0.1,N(Parameter!$M$21)))</f>
        <v>0.0384615384615385</v>
      </c>
      <c r="AW1152" s="57" t="n">
        <f aca="false">AT1152*F1152</f>
        <v>856.46</v>
      </c>
      <c r="AX1152" s="57" t="n">
        <f aca="false">ROUNDUP(MAX(I1152/IF(BV1152&gt;0,BV1152,MAX(0.1,N(Cockpit!$O$6))),BY1152)/BQ1152,0)*BQ1152</f>
        <v>34</v>
      </c>
      <c r="AY1152" s="58" t="n">
        <f aca="false">IF(AV1152&gt;0,I1152/AV1152,-1)</f>
        <v>260</v>
      </c>
      <c r="AZ1152" s="58" t="n">
        <f aca="false">IF(AND(OR(BU1152="L1",BU1152="L23"),AV1152&gt;0),SUMIFS($AV$7:$AV$1576,$BU$7:$BU$1576,BU1152,$AY$7:$AY$1576,"&gt;"&amp;AY1152)+SUMIFS($AV$7:$AV$1576,$BU$7:$BU$1576,BU1152,$AY$7:$AY$1576,AY1152,$BO$7:$BO$1576,"&lt;="&amp;BO1152),"")</f>
        <v>41.865620768458</v>
      </c>
      <c r="BA1152" s="65" t="n">
        <f aca="false">IF(AZ1152="",0,MAX(0,MIN(1,(IF(BU1152="L1",Parameter!$E$5,Parameter!$E$6+Parameter!$E$7)-(AZ1152-AV1152))/AV1152)))</f>
        <v>1</v>
      </c>
      <c r="BB1152" s="55" t="str">
        <f aca="false">IF(AF1152&lt;=0,"",IF(BU1152="Aussen","Aussenlager",IF(BU1152="-","Nicht im Lift",IF(AK1152&gt;=1,"Lift",IF(AK1152&lt;=0,"Aussenlager","teilweise")))))</f>
        <v/>
      </c>
      <c r="BC1152" s="55" t="str">
        <f aca="false">IF(AN1152&lt;=0,"",IF(BU1152="Aussen","Aussenlager",IF(BU1152="-","Nicht im Lift",IF(AS1152&gt;=1,"Lift",IF(AS1152&lt;=0,"Aussenlager","teilweise")))))</f>
        <v>Lift</v>
      </c>
      <c r="BD1152" s="55" t="str">
        <f aca="false">IF(AV1152&lt;=0,"",IF(BU1152="Aussen","Aussenlager",IF(BU1152="-","Nicht im Lift",IF(BA1152&gt;=1,"Lift",IF(BA1152&lt;=0,"Aussenlager","teilweise")))))</f>
        <v>Lift</v>
      </c>
      <c r="BE1152" s="55" t="str">
        <f aca="false">IF(A1152="","",IF(BN1152=1,"Neu; ","")&amp;IF(AND(BN1152=0,BI1152&lt;0),"negativer Bestand (Export "&amp;BI1152&amp;"); ","")&amp;IF(I1152&lt;=0,"Kein Verbrauch; ","")&amp;IF(CD1152&gt;0,"Lift "&amp;U1152&amp;" lt. Liftbericht (Fach "&amp;V1152&amp;" Stk); ",IF(BR1152=1,"Lose – Fläche geschätzt; ",""))&amp;IF(G1152&gt;AP1152,"Überbestand "&amp;ROUND(G1152-AP1152,0)&amp;" Stk / CHF "&amp;ROUND((G1152-AP1152)*F1152,0)&amp;"; ","")&amp;IF(AND(BW1152=1,BX1152&lt;BY1152),"MAX &lt; MB+LG; ","")&amp;IF(AND(CC1152&gt;0,CB1152*10&gt;CC1152),"zu hoch für Tablar; ","")&amp;IF(AND(BN1152=0,OR(BW1152=1,Y1152&lt;&gt;"",S1152&lt;&gt;"",T1152&lt;&gt;"",Z1152&lt;&gt;"")),"manuell übersteuert; ","")&amp;IF(AND(BR1152=0,Q1152=0),"Gebinde unbekannt / Stellmass fehlt; ","")&amp;IF(AND(BR1152=0,N(T1152)&lt;=0,N(P1152)&lt;=0),"Menge pro Gebinde fehlt (Ist = 1 Gebinde); ","")&amp;BM1152)</f>
        <v>negativer Bestand (Export -10); Neu</v>
      </c>
      <c r="BF1152" s="55"/>
      <c r="BG1152" s="55"/>
      <c r="BH1152" s="62"/>
      <c r="BI1152" s="57" t="n">
        <v>-10</v>
      </c>
      <c r="BJ1152" s="57" t="n">
        <v>16</v>
      </c>
      <c r="BK1152" s="56" t="n">
        <v>-310.46</v>
      </c>
      <c r="BL1152" s="57" t="n">
        <v>10</v>
      </c>
      <c r="BM1152" s="55" t="s">
        <v>615</v>
      </c>
      <c r="BN1152" s="60" t="n">
        <v>0</v>
      </c>
      <c r="BO1152" s="60" t="n">
        <v>1152</v>
      </c>
      <c r="BP1152" s="55" t="str">
        <f aca="false">IF(S1152&lt;&gt;"",UPPER(TRIM(S1152)),IF(O1152="","LOSE",O1152))</f>
        <v>S52</v>
      </c>
      <c r="BQ1152" s="57" t="n">
        <f aca="false">IF(BP1152="LOSE",1,IF(N(T1152)&gt;0,T1152,IF(N(P1152)&gt;0,P1152,MAX(1,G1152))))</f>
        <v>34</v>
      </c>
      <c r="BR1152" s="60" t="n">
        <f aca="false">IF(BP1152="LOSE",1,0)</f>
        <v>0</v>
      </c>
      <c r="BS1152" s="59" t="n">
        <f aca="false">IF(BR1152=0,0,IF(N(R1152)&gt;0,R1152,IFERROR(VLOOKUP(D1152,Parameter!$A$35:$C$64,3,0)+0,0)))</f>
        <v>0</v>
      </c>
      <c r="BT1152" s="55" t="n">
        <f aca="false">IF(Y1152&lt;&gt;"",Y1152,X1152)</f>
        <v>3</v>
      </c>
      <c r="BU1152" s="55" t="str">
        <f aca="false">IF(BT1152=1,"L1",IF(OR(BT1152=2,BT1152=3),"L23",IF(BT1152="Aussen","Aussen","-")))</f>
        <v>L23</v>
      </c>
      <c r="BV1152" s="66" t="n">
        <f aca="false">IF(N(Z1152)&gt;0,Z1152,0)</f>
        <v>0</v>
      </c>
      <c r="BW1152" s="60" t="n">
        <f aca="false">IF(ISNUMBER(AC1152),1,0)</f>
        <v>0</v>
      </c>
      <c r="BX1152" s="57" t="n">
        <f aca="false">N(AC1152)</f>
        <v>0</v>
      </c>
      <c r="BY1152" s="57" t="n">
        <f aca="false">N(L1152)+N(M1152)</f>
        <v>10</v>
      </c>
      <c r="BZ1152" s="57" t="n">
        <f aca="false">ROUNDUP(G1152/BQ1152,0)</f>
        <v>0</v>
      </c>
      <c r="CA1152" s="57" t="n">
        <f aca="false">ROUNDUP(BX1152/BQ1152,0)</f>
        <v>0</v>
      </c>
      <c r="CB1152" s="60" t="n">
        <f aca="false">IF(BR1152=1,0,IFERROR(VLOOKUP(BP1152,'Gebinde-Kategorie'!$A$5:$M$45,5,0)+0,0))</f>
        <v>21</v>
      </c>
      <c r="CC1152" s="60" t="n">
        <f aca="false">IFERROR(IF(OR(BT1152=1,BT1152=2,BT1152=3),N(INDEX(Parameter!$I$5:$I$7,BT1152)),0),0)</f>
        <v>0</v>
      </c>
      <c r="CD1152" s="59" t="n">
        <f aca="false">IF(AND(Parameter!$B$21="Ja",ISNUMBER(U1152),N(V1152)&gt;0),IFERROR(N(INDEX(Parameter!$L$5:$L$7,U1152))*INDEX(Parameter!$E$5:$E$7,U1152)*V1152/SUMIFS($V$7:$V$1576,$U$7:$U$1576,U1152),0),0)</f>
        <v>0</v>
      </c>
    </row>
    <row r="1153" customFormat="false" ht="15" hidden="false" customHeight="false" outlineLevel="0" collapsed="false">
      <c r="A1153" s="55" t="s">
        <v>2068</v>
      </c>
      <c r="B1153" s="55" t="s">
        <v>2069</v>
      </c>
      <c r="C1153" s="55" t="s">
        <v>160</v>
      </c>
      <c r="D1153" s="55" t="s">
        <v>178</v>
      </c>
      <c r="E1153" s="55" t="s">
        <v>210</v>
      </c>
      <c r="F1153" s="56" t="n">
        <v>62.19</v>
      </c>
      <c r="G1153" s="57" t="n">
        <f aca="false">MAX(0,IF(AND(Parameter!$B$21="Ja",ISNUMBER(W1153)),W1153,IF(Parameter!$B$20="Jahresanfang 2025 + Export",BJ1153+BI1153,BI1153)))</f>
        <v>0</v>
      </c>
      <c r="H1153" s="57" t="n">
        <f aca="false">G1153*F1153</f>
        <v>0</v>
      </c>
      <c r="I1153" s="57" t="n">
        <f aca="false">BL1153*Parameter!$B$18</f>
        <v>2</v>
      </c>
      <c r="J1153" s="58" t="n">
        <v>9</v>
      </c>
      <c r="K1153" s="59" t="n">
        <v>0.222222222222222</v>
      </c>
      <c r="L1153" s="57" t="n">
        <v>0</v>
      </c>
      <c r="M1153" s="57" t="n">
        <v>1</v>
      </c>
      <c r="N1153" s="60" t="n">
        <v>21</v>
      </c>
      <c r="O1153" s="55" t="s">
        <v>465</v>
      </c>
      <c r="P1153" s="57" t="n">
        <v>8</v>
      </c>
      <c r="Q1153" s="60" t="n">
        <f aca="false">IF(BR1153=1,0,IFERROR(VLOOKUP(BP1153,'Gebinde-Kategorie'!$A$5:$M$45,13,0)+0,0))</f>
        <v>66</v>
      </c>
      <c r="R1153" s="61"/>
      <c r="S1153" s="62"/>
      <c r="T1153" s="62"/>
      <c r="U1153" s="55"/>
      <c r="V1153" s="57"/>
      <c r="W1153" s="57"/>
      <c r="X1153" s="55" t="n">
        <f aca="false">IF(A1153="","",IF(AND(Parameter!$B$21="Ja",ISNUMBER(U1153)),U1153,IF(IFERROR(VLOOKUP(D1153,Parameter!$A$35:$C$64,2,0),"Nein")="2+3",IF(ISNUMBER(SEARCH("grosser Artikel",BM1153)),2,IFERROR(VLOOKUP(BP1153,Parameter!$F$35:$G$64,2,0),2)),IF(OR(IFERROR(VLOOKUP(D1153,Parameter!$A$35:$C$64,2,0),"Nein")="Nein",IFERROR(VLOOKUP(D1153,Parameter!$A$35:$C$64,2,0),"Nein")=""),"-",VLOOKUP(D1153,Parameter!$A$35:$C$64,2,0)))))</f>
        <v>3</v>
      </c>
      <c r="Y1153" s="62"/>
      <c r="Z1153" s="63"/>
      <c r="AA1153" s="57" t="n">
        <f aca="false">AP1153</f>
        <v>8</v>
      </c>
      <c r="AB1153" s="57" t="n">
        <f aca="false">MAX(AP1153,G1153)</f>
        <v>8</v>
      </c>
      <c r="AC1153" s="64"/>
      <c r="AD1153" s="57" t="n">
        <f aca="false">IF(LEFT(Cockpit!$C$5,1)="A",G1153,IF(BW1153=1,BX1153,IF(LEFT(Cockpit!$C$5,1)="B",AH1153,MAX(AH1153,G1153))))</f>
        <v>0</v>
      </c>
      <c r="AE1153" s="57" t="n">
        <f aca="false">IF(BR1153=1,0,ROUNDUP(AD1153/BQ1153,0))</f>
        <v>0</v>
      </c>
      <c r="AF1153" s="59" t="n">
        <f aca="false">IF(CD1153&gt;0,CD1153*MAX(1,AD1153/V1153),IF(BR1153=1,IF(AD1153&lt;=0,0,BS1153*MAX(1,IF(G1153&gt;0,AD1153/G1153,1))),IF(Q1153&gt;0,AE1153/Q1153,0))/MAX(0.1,N(Parameter!$M$21)))</f>
        <v>0</v>
      </c>
      <c r="AG1153" s="57" t="n">
        <f aca="false">AD1153*F1153</f>
        <v>0</v>
      </c>
      <c r="AH1153" s="57" t="n">
        <f aca="false">ROUNDUP(MAX(I1153/IF(BV1153&gt;0,BV1153,MAX(0.1,N(Cockpit!$C$6))),BY1153)/BQ1153,0)*BQ1153</f>
        <v>8</v>
      </c>
      <c r="AI1153" s="58" t="n">
        <f aca="false">IF(AF1153&gt;0,I1153/AF1153,-1)</f>
        <v>-1</v>
      </c>
      <c r="AJ1153" s="58" t="str">
        <f aca="false">IF(AND(OR(BU1153="L1",BU1153="L23"),AF1153&gt;0),SUMIFS($AF$7:$AF$1576,$BU$7:$BU$1576,BU1153,$AI$7:$AI$1576,"&gt;"&amp;AI1153)+SUMIFS($AF$7:$AF$1576,$BU$7:$BU$1576,BU1153,$AI$7:$AI$1576,AI1153,$BO$7:$BO$1576,"&lt;="&amp;BO1153),"")</f>
        <v/>
      </c>
      <c r="AK1153" s="65" t="n">
        <f aca="false">IF(AJ1153="",0,MAX(0,MIN(1,(IF(BU1153="L1",Parameter!$E$5,Parameter!$E$6+Parameter!$E$7)-(AJ1153-AF1153))/AF1153)))</f>
        <v>0</v>
      </c>
      <c r="AL1153" s="57" t="n">
        <f aca="false">IF(LEFT(Cockpit!$I$5,1)="A",G1153,IF(BW1153=1,BX1153,IF(LEFT(Cockpit!$I$5,1)="B",AP1153,MAX(AP1153,G1153))))</f>
        <v>8</v>
      </c>
      <c r="AM1153" s="57" t="n">
        <f aca="false">IF(BR1153=1,0,ROUNDUP(AL1153/BQ1153,0))</f>
        <v>1</v>
      </c>
      <c r="AN1153" s="59" t="n">
        <f aca="false">IF(CD1153&gt;0,CD1153*MAX(1,AL1153/V1153),IF(BR1153=1,IF(AL1153&lt;=0,0,BS1153*MAX(1,IF(G1153&gt;0,AL1153/G1153,1))),IF(Q1153&gt;0,AM1153/Q1153,0))/MAX(0.1,N(Parameter!$M$21)))</f>
        <v>0.0151515151515152</v>
      </c>
      <c r="AO1153" s="57" t="n">
        <f aca="false">AL1153*F1153</f>
        <v>497.52</v>
      </c>
      <c r="AP1153" s="57" t="n">
        <f aca="false">ROUNDUP(MAX(I1153/IF(BV1153&gt;0,BV1153,MAX(0.1,N(Cockpit!$I$6))),BY1153)/BQ1153,0)*BQ1153</f>
        <v>8</v>
      </c>
      <c r="AQ1153" s="58" t="n">
        <f aca="false">IF(AN1153&gt;0,I1153/AN1153,-1)</f>
        <v>132</v>
      </c>
      <c r="AR1153" s="58" t="n">
        <f aca="false">IF(AND(OR(BU1153="L1",BU1153="L23"),AN1153&gt;0),SUMIFS($AN$7:$AN$1576,$BU$7:$BU$1576,BU1153,$AQ$7:$AQ$1576,"&gt;"&amp;AQ1153)+SUMIFS($AN$7:$AN$1576,$BU$7:$BU$1576,BU1153,$AQ$7:$AQ$1576,AQ1153,$BO$7:$BO$1576,"&lt;="&amp;BO1153),"")</f>
        <v>60.3055571605683</v>
      </c>
      <c r="AS1153" s="65" t="n">
        <f aca="false">IF(AR1153="",0,MAX(0,MIN(1,(IF(BU1153="L1",Parameter!$E$5,Parameter!$E$6+Parameter!$E$7)-(AR1153-AN1153))/AN1153)))</f>
        <v>1</v>
      </c>
      <c r="AT1153" s="57" t="n">
        <f aca="false">IF(LEFT(Cockpit!$O$5,1)="A",G1153,IF(BW1153=1,BX1153,IF(LEFT(Cockpit!$O$5,1)="B",AX1153,MAX(AX1153,G1153))))</f>
        <v>8</v>
      </c>
      <c r="AU1153" s="57" t="n">
        <f aca="false">IF(BR1153=1,0,ROUNDUP(AT1153/BQ1153,0))</f>
        <v>1</v>
      </c>
      <c r="AV1153" s="59" t="n">
        <f aca="false">IF(CD1153&gt;0,CD1153*MAX(1,AT1153/V1153),IF(BR1153=1,IF(AT1153&lt;=0,0,BS1153*MAX(1,IF(G1153&gt;0,AT1153/G1153,1))),IF(Q1153&gt;0,AU1153/Q1153,0))/MAX(0.1,N(Parameter!$M$21)))</f>
        <v>0.0151515151515152</v>
      </c>
      <c r="AW1153" s="57" t="n">
        <f aca="false">AT1153*F1153</f>
        <v>497.52</v>
      </c>
      <c r="AX1153" s="57" t="n">
        <f aca="false">ROUNDUP(MAX(I1153/IF(BV1153&gt;0,BV1153,MAX(0.1,N(Cockpit!$O$6))),BY1153)/BQ1153,0)*BQ1153</f>
        <v>8</v>
      </c>
      <c r="AY1153" s="58" t="n">
        <f aca="false">IF(AV1153&gt;0,I1153/AV1153,-1)</f>
        <v>132</v>
      </c>
      <c r="AZ1153" s="58" t="n">
        <f aca="false">IF(AND(OR(BU1153="L1",BU1153="L23"),AV1153&gt;0),SUMIFS($AV$7:$AV$1576,$BU$7:$BU$1576,BU1153,$AY$7:$AY$1576,"&gt;"&amp;AY1153)+SUMIFS($AV$7:$AV$1576,$BU$7:$BU$1576,BU1153,$AY$7:$AY$1576,AY1153,$BO$7:$BO$1576,"&lt;="&amp;BO1153),"")</f>
        <v>54.9680242767854</v>
      </c>
      <c r="BA1153" s="65" t="n">
        <f aca="false">IF(AZ1153="",0,MAX(0,MIN(1,(IF(BU1153="L1",Parameter!$E$5,Parameter!$E$6+Parameter!$E$7)-(AZ1153-AV1153))/AV1153)))</f>
        <v>1</v>
      </c>
      <c r="BB1153" s="55" t="str">
        <f aca="false">IF(AF1153&lt;=0,"",IF(BU1153="Aussen","Aussenlager",IF(BU1153="-","Nicht im Lift",IF(AK1153&gt;=1,"Lift",IF(AK1153&lt;=0,"Aussenlager","teilweise")))))</f>
        <v/>
      </c>
      <c r="BC1153" s="55" t="str">
        <f aca="false">IF(AN1153&lt;=0,"",IF(BU1153="Aussen","Aussenlager",IF(BU1153="-","Nicht im Lift",IF(AS1153&gt;=1,"Lift",IF(AS1153&lt;=0,"Aussenlager","teilweise")))))</f>
        <v>Lift</v>
      </c>
      <c r="BD1153" s="55" t="str">
        <f aca="false">IF(AV1153&lt;=0,"",IF(BU1153="Aussen","Aussenlager",IF(BU1153="-","Nicht im Lift",IF(BA1153&gt;=1,"Lift",IF(BA1153&lt;=0,"Aussenlager","teilweise")))))</f>
        <v>Lift</v>
      </c>
      <c r="BE1153" s="55" t="str">
        <f aca="false">IF(A1153="","",IF(BN1153=1,"Neu; ","")&amp;IF(AND(BN1153=0,BI1153&lt;0),"negativer Bestand (Export "&amp;BI1153&amp;"); ","")&amp;IF(I1153&lt;=0,"Kein Verbrauch; ","")&amp;IF(CD1153&gt;0,"Lift "&amp;U1153&amp;" lt. Liftbericht (Fach "&amp;V1153&amp;" Stk); ",IF(BR1153=1,"Lose – Fläche geschätzt; ",""))&amp;IF(G1153&gt;AP1153,"Überbestand "&amp;ROUND(G1153-AP1153,0)&amp;" Stk / CHF "&amp;ROUND((G1153-AP1153)*F1153,0)&amp;"; ","")&amp;IF(AND(BW1153=1,BX1153&lt;BY1153),"MAX &lt; MB+LG; ","")&amp;IF(AND(CC1153&gt;0,CB1153*10&gt;CC1153),"zu hoch für Tablar; ","")&amp;IF(AND(BN1153=0,OR(BW1153=1,Y1153&lt;&gt;"",S1153&lt;&gt;"",T1153&lt;&gt;"",Z1153&lt;&gt;"")),"manuell übersteuert; ","")&amp;IF(AND(BR1153=0,Q1153=0),"Gebinde unbekannt / Stellmass fehlt; ","")&amp;IF(AND(BR1153=0,N(T1153)&lt;=0,N(P1153)&lt;=0),"Menge pro Gebinde fehlt (Ist = 1 Gebinde); ","")&amp;BM1153)</f>
        <v>negativer Bestand (Export -5); Neu</v>
      </c>
      <c r="BF1153" s="55"/>
      <c r="BG1153" s="55"/>
      <c r="BH1153" s="62"/>
      <c r="BI1153" s="57" t="n">
        <v>-5</v>
      </c>
      <c r="BJ1153" s="57" t="n">
        <v>10</v>
      </c>
      <c r="BK1153" s="56" t="n">
        <v>-310.95</v>
      </c>
      <c r="BL1153" s="57" t="n">
        <v>2</v>
      </c>
      <c r="BM1153" s="55" t="s">
        <v>615</v>
      </c>
      <c r="BN1153" s="60" t="n">
        <v>0</v>
      </c>
      <c r="BO1153" s="60" t="n">
        <v>1153</v>
      </c>
      <c r="BP1153" s="55" t="str">
        <f aca="false">IF(S1153&lt;&gt;"",UPPER(TRIM(S1153)),IF(O1153="","LOSE",O1153))</f>
        <v>S33</v>
      </c>
      <c r="BQ1153" s="57" t="n">
        <f aca="false">IF(BP1153="LOSE",1,IF(N(T1153)&gt;0,T1153,IF(N(P1153)&gt;0,P1153,MAX(1,G1153))))</f>
        <v>8</v>
      </c>
      <c r="BR1153" s="60" t="n">
        <f aca="false">IF(BP1153="LOSE",1,0)</f>
        <v>0</v>
      </c>
      <c r="BS1153" s="59" t="n">
        <f aca="false">IF(BR1153=0,0,IF(N(R1153)&gt;0,R1153,IFERROR(VLOOKUP(D1153,Parameter!$A$35:$C$64,3,0)+0,0)))</f>
        <v>0</v>
      </c>
      <c r="BT1153" s="55" t="n">
        <f aca="false">IF(Y1153&lt;&gt;"",Y1153,X1153)</f>
        <v>3</v>
      </c>
      <c r="BU1153" s="55" t="str">
        <f aca="false">IF(BT1153=1,"L1",IF(OR(BT1153=2,BT1153=3),"L23",IF(BT1153="Aussen","Aussen","-")))</f>
        <v>L23</v>
      </c>
      <c r="BV1153" s="66" t="n">
        <f aca="false">IF(N(Z1153)&gt;0,Z1153,0)</f>
        <v>0</v>
      </c>
      <c r="BW1153" s="60" t="n">
        <f aca="false">IF(ISNUMBER(AC1153),1,0)</f>
        <v>0</v>
      </c>
      <c r="BX1153" s="57" t="n">
        <f aca="false">N(AC1153)</f>
        <v>0</v>
      </c>
      <c r="BY1153" s="57" t="n">
        <f aca="false">N(L1153)+N(M1153)</f>
        <v>1</v>
      </c>
      <c r="BZ1153" s="57" t="n">
        <f aca="false">ROUNDUP(G1153/BQ1153,0)</f>
        <v>0</v>
      </c>
      <c r="CA1153" s="57" t="n">
        <f aca="false">ROUNDUP(BX1153/BQ1153,0)</f>
        <v>0</v>
      </c>
      <c r="CB1153" s="60" t="n">
        <f aca="false">IF(BR1153=1,0,IFERROR(VLOOKUP(BP1153,'Gebinde-Kategorie'!$A$5:$M$45,5,0)+0,0))</f>
        <v>8</v>
      </c>
      <c r="CC1153" s="60" t="n">
        <f aca="false">IFERROR(IF(OR(BT1153=1,BT1153=2,BT1153=3),N(INDEX(Parameter!$I$5:$I$7,BT1153)),0),0)</f>
        <v>0</v>
      </c>
      <c r="CD1153" s="59" t="n">
        <f aca="false">IF(AND(Parameter!$B$21="Ja",ISNUMBER(U1153),N(V1153)&gt;0),IFERROR(N(INDEX(Parameter!$L$5:$L$7,U1153))*INDEX(Parameter!$E$5:$E$7,U1153)*V1153/SUMIFS($V$7:$V$1576,$U$7:$U$1576,U1153),0),0)</f>
        <v>0</v>
      </c>
    </row>
    <row r="1154" customFormat="false" ht="15" hidden="false" customHeight="false" outlineLevel="0" collapsed="false">
      <c r="A1154" s="55" t="s">
        <v>2070</v>
      </c>
      <c r="B1154" s="55" t="s">
        <v>2071</v>
      </c>
      <c r="C1154" s="55" t="s">
        <v>160</v>
      </c>
      <c r="D1154" s="55" t="s">
        <v>178</v>
      </c>
      <c r="E1154" s="55" t="s">
        <v>210</v>
      </c>
      <c r="F1154" s="56" t="n">
        <v>166.8</v>
      </c>
      <c r="G1154" s="57" t="n">
        <f aca="false">MAX(0,IF(AND(Parameter!$B$21="Ja",ISNUMBER(W1154)),W1154,IF(Parameter!$B$20="Jahresanfang 2025 + Export",BJ1154+BI1154,BI1154)))</f>
        <v>0</v>
      </c>
      <c r="H1154" s="57" t="n">
        <f aca="false">G1154*F1154</f>
        <v>0</v>
      </c>
      <c r="I1154" s="57" t="n">
        <f aca="false">BL1154*Parameter!$B$18</f>
        <v>3</v>
      </c>
      <c r="J1154" s="58" t="n">
        <v>3</v>
      </c>
      <c r="K1154" s="59" t="n">
        <v>1</v>
      </c>
      <c r="L1154" s="57" t="n">
        <v>0</v>
      </c>
      <c r="M1154" s="57" t="n">
        <v>5</v>
      </c>
      <c r="N1154" s="60" t="n">
        <v>28</v>
      </c>
      <c r="O1154" s="55" t="s">
        <v>411</v>
      </c>
      <c r="P1154" s="57" t="n">
        <v>5</v>
      </c>
      <c r="Q1154" s="60" t="n">
        <f aca="false">IF(BR1154=1,0,IFERROR(VLOOKUP(BP1154,'Gebinde-Kategorie'!$A$5:$M$45,13,0)+0,0))</f>
        <v>132</v>
      </c>
      <c r="R1154" s="61"/>
      <c r="S1154" s="62"/>
      <c r="T1154" s="62"/>
      <c r="U1154" s="55"/>
      <c r="V1154" s="57"/>
      <c r="W1154" s="57"/>
      <c r="X1154" s="55" t="n">
        <f aca="false">IF(A1154="","",IF(AND(Parameter!$B$21="Ja",ISNUMBER(U1154)),U1154,IF(IFERROR(VLOOKUP(D1154,Parameter!$A$35:$C$64,2,0),"Nein")="2+3",IF(ISNUMBER(SEARCH("grosser Artikel",BM1154)),2,IFERROR(VLOOKUP(BP1154,Parameter!$F$35:$G$64,2,0),2)),IF(OR(IFERROR(VLOOKUP(D1154,Parameter!$A$35:$C$64,2,0),"Nein")="Nein",IFERROR(VLOOKUP(D1154,Parameter!$A$35:$C$64,2,0),"Nein")=""),"-",VLOOKUP(D1154,Parameter!$A$35:$C$64,2,0)))))</f>
        <v>3</v>
      </c>
      <c r="Y1154" s="62"/>
      <c r="Z1154" s="63"/>
      <c r="AA1154" s="57" t="n">
        <f aca="false">AP1154</f>
        <v>5</v>
      </c>
      <c r="AB1154" s="57" t="n">
        <f aca="false">MAX(AP1154,G1154)</f>
        <v>5</v>
      </c>
      <c r="AC1154" s="64"/>
      <c r="AD1154" s="57" t="n">
        <f aca="false">IF(LEFT(Cockpit!$C$5,1)="A",G1154,IF(BW1154=1,BX1154,IF(LEFT(Cockpit!$C$5,1)="B",AH1154,MAX(AH1154,G1154))))</f>
        <v>0</v>
      </c>
      <c r="AE1154" s="57" t="n">
        <f aca="false">IF(BR1154=1,0,ROUNDUP(AD1154/BQ1154,0))</f>
        <v>0</v>
      </c>
      <c r="AF1154" s="59" t="n">
        <f aca="false">IF(CD1154&gt;0,CD1154*MAX(1,AD1154/V1154),IF(BR1154=1,IF(AD1154&lt;=0,0,BS1154*MAX(1,IF(G1154&gt;0,AD1154/G1154,1))),IF(Q1154&gt;0,AE1154/Q1154,0))/MAX(0.1,N(Parameter!$M$21)))</f>
        <v>0</v>
      </c>
      <c r="AG1154" s="57" t="n">
        <f aca="false">AD1154*F1154</f>
        <v>0</v>
      </c>
      <c r="AH1154" s="57" t="n">
        <f aca="false">ROUNDUP(MAX(I1154/IF(BV1154&gt;0,BV1154,MAX(0.1,N(Cockpit!$C$6))),BY1154)/BQ1154,0)*BQ1154</f>
        <v>5</v>
      </c>
      <c r="AI1154" s="58" t="n">
        <f aca="false">IF(AF1154&gt;0,I1154/AF1154,-1)</f>
        <v>-1</v>
      </c>
      <c r="AJ1154" s="58" t="str">
        <f aca="false">IF(AND(OR(BU1154="L1",BU1154="L23"),AF1154&gt;0),SUMIFS($AF$7:$AF$1576,$BU$7:$BU$1576,BU1154,$AI$7:$AI$1576,"&gt;"&amp;AI1154)+SUMIFS($AF$7:$AF$1576,$BU$7:$BU$1576,BU1154,$AI$7:$AI$1576,AI1154,$BO$7:$BO$1576,"&lt;="&amp;BO1154),"")</f>
        <v/>
      </c>
      <c r="AK1154" s="65" t="n">
        <f aca="false">IF(AJ1154="",0,MAX(0,MIN(1,(IF(BU1154="L1",Parameter!$E$5,Parameter!$E$6+Parameter!$E$7)-(AJ1154-AF1154))/AF1154)))</f>
        <v>0</v>
      </c>
      <c r="AL1154" s="57" t="n">
        <f aca="false">IF(LEFT(Cockpit!$I$5,1)="A",G1154,IF(BW1154=1,BX1154,IF(LEFT(Cockpit!$I$5,1)="B",AP1154,MAX(AP1154,G1154))))</f>
        <v>5</v>
      </c>
      <c r="AM1154" s="57" t="n">
        <f aca="false">IF(BR1154=1,0,ROUNDUP(AL1154/BQ1154,0))</f>
        <v>1</v>
      </c>
      <c r="AN1154" s="59" t="n">
        <f aca="false">IF(CD1154&gt;0,CD1154*MAX(1,AL1154/V1154),IF(BR1154=1,IF(AL1154&lt;=0,0,BS1154*MAX(1,IF(G1154&gt;0,AL1154/G1154,1))),IF(Q1154&gt;0,AM1154/Q1154,0))/MAX(0.1,N(Parameter!$M$21)))</f>
        <v>0.00757575757575758</v>
      </c>
      <c r="AO1154" s="57" t="n">
        <f aca="false">AL1154*F1154</f>
        <v>834</v>
      </c>
      <c r="AP1154" s="57" t="n">
        <f aca="false">ROUNDUP(MAX(I1154/IF(BV1154&gt;0,BV1154,MAX(0.1,N(Cockpit!$I$6))),BY1154)/BQ1154,0)*BQ1154</f>
        <v>5</v>
      </c>
      <c r="AQ1154" s="58" t="n">
        <f aca="false">IF(AN1154&gt;0,I1154/AN1154,-1)</f>
        <v>396</v>
      </c>
      <c r="AR1154" s="58" t="n">
        <f aca="false">IF(AND(OR(BU1154="L1",BU1154="L23"),AN1154&gt;0),SUMIFS($AN$7:$AN$1576,$BU$7:$BU$1576,BU1154,$AQ$7:$AQ$1576,"&gt;"&amp;AQ1154)+SUMIFS($AN$7:$AN$1576,$BU$7:$BU$1576,BU1154,$AQ$7:$AQ$1576,AQ1154,$BO$7:$BO$1576,"&lt;="&amp;BO1154),"")</f>
        <v>36.9708288936661</v>
      </c>
      <c r="AS1154" s="65" t="n">
        <f aca="false">IF(AR1154="",0,MAX(0,MIN(1,(IF(BU1154="L1",Parameter!$E$5,Parameter!$E$6+Parameter!$E$7)-(AR1154-AN1154))/AN1154)))</f>
        <v>1</v>
      </c>
      <c r="AT1154" s="57" t="n">
        <f aca="false">IF(LEFT(Cockpit!$O$5,1)="A",G1154,IF(BW1154=1,BX1154,IF(LEFT(Cockpit!$O$5,1)="B",AX1154,MAX(AX1154,G1154))))</f>
        <v>5</v>
      </c>
      <c r="AU1154" s="57" t="n">
        <f aca="false">IF(BR1154=1,0,ROUNDUP(AT1154/BQ1154,0))</f>
        <v>1</v>
      </c>
      <c r="AV1154" s="59" t="n">
        <f aca="false">IF(CD1154&gt;0,CD1154*MAX(1,AT1154/V1154),IF(BR1154=1,IF(AT1154&lt;=0,0,BS1154*MAX(1,IF(G1154&gt;0,AT1154/G1154,1))),IF(Q1154&gt;0,AU1154/Q1154,0))/MAX(0.1,N(Parameter!$M$21)))</f>
        <v>0.00757575757575758</v>
      </c>
      <c r="AW1154" s="57" t="n">
        <f aca="false">AT1154*F1154</f>
        <v>834</v>
      </c>
      <c r="AX1154" s="57" t="n">
        <f aca="false">ROUNDUP(MAX(I1154/IF(BV1154&gt;0,BV1154,MAX(0.1,N(Cockpit!$O$6))),BY1154)/BQ1154,0)*BQ1154</f>
        <v>5</v>
      </c>
      <c r="AY1154" s="58" t="n">
        <f aca="false">IF(AV1154&gt;0,I1154/AV1154,-1)</f>
        <v>396</v>
      </c>
      <c r="AZ1154" s="58" t="n">
        <f aca="false">IF(AND(OR(BU1154="L1",BU1154="L23"),AV1154&gt;0),SUMIFS($AV$7:$AV$1576,$BU$7:$BU$1576,BU1154,$AY$7:$AY$1576,"&gt;"&amp;AY1154)+SUMIFS($AV$7:$AV$1576,$BU$7:$BU$1576,BU1154,$AY$7:$AY$1576,AY1154,$BO$7:$BO$1576,"&lt;="&amp;BO1154),"")</f>
        <v>36.1355741484114</v>
      </c>
      <c r="BA1154" s="65" t="n">
        <f aca="false">IF(AZ1154="",0,MAX(0,MIN(1,(IF(BU1154="L1",Parameter!$E$5,Parameter!$E$6+Parameter!$E$7)-(AZ1154-AV1154))/AV1154)))</f>
        <v>1</v>
      </c>
      <c r="BB1154" s="55" t="str">
        <f aca="false">IF(AF1154&lt;=0,"",IF(BU1154="Aussen","Aussenlager",IF(BU1154="-","Nicht im Lift",IF(AK1154&gt;=1,"Lift",IF(AK1154&lt;=0,"Aussenlager","teilweise")))))</f>
        <v/>
      </c>
      <c r="BC1154" s="55" t="str">
        <f aca="false">IF(AN1154&lt;=0,"",IF(BU1154="Aussen","Aussenlager",IF(BU1154="-","Nicht im Lift",IF(AS1154&gt;=1,"Lift",IF(AS1154&lt;=0,"Aussenlager","teilweise")))))</f>
        <v>Lift</v>
      </c>
      <c r="BD1154" s="55" t="str">
        <f aca="false">IF(AV1154&lt;=0,"",IF(BU1154="Aussen","Aussenlager",IF(BU1154="-","Nicht im Lift",IF(BA1154&gt;=1,"Lift",IF(BA1154&lt;=0,"Aussenlager","teilweise")))))</f>
        <v>Lift</v>
      </c>
      <c r="BE1154" s="55" t="str">
        <f aca="false">IF(A1154="","",IF(BN1154=1,"Neu; ","")&amp;IF(AND(BN1154=0,BI1154&lt;0),"negativer Bestand (Export "&amp;BI1154&amp;"); ","")&amp;IF(I1154&lt;=0,"Kein Verbrauch; ","")&amp;IF(CD1154&gt;0,"Lift "&amp;U1154&amp;" lt. Liftbericht (Fach "&amp;V1154&amp;" Stk); ",IF(BR1154=1,"Lose – Fläche geschätzt; ",""))&amp;IF(G1154&gt;AP1154,"Überbestand "&amp;ROUND(G1154-AP1154,0)&amp;" Stk / CHF "&amp;ROUND((G1154-AP1154)*F1154,0)&amp;"; ","")&amp;IF(AND(BW1154=1,BX1154&lt;BY1154),"MAX &lt; MB+LG; ","")&amp;IF(AND(CC1154&gt;0,CB1154*10&gt;CC1154),"zu hoch für Tablar; ","")&amp;IF(AND(BN1154=0,OR(BW1154=1,Y1154&lt;&gt;"",S1154&lt;&gt;"",T1154&lt;&gt;"",Z1154&lt;&gt;"")),"manuell übersteuert; ","")&amp;IF(AND(BR1154=0,Q1154=0),"Gebinde unbekannt / Stellmass fehlt; ","")&amp;IF(AND(BR1154=0,N(T1154)&lt;=0,N(P1154)&lt;=0),"Menge pro Gebinde fehlt (Ist = 1 Gebinde); ","")&amp;BM1154)</f>
        <v>negativer Bestand (Export -2); Überbestand</v>
      </c>
      <c r="BF1154" s="55"/>
      <c r="BG1154" s="55"/>
      <c r="BH1154" s="62"/>
      <c r="BI1154" s="57" t="n">
        <v>-2</v>
      </c>
      <c r="BJ1154" s="57" t="n">
        <v>4</v>
      </c>
      <c r="BK1154" s="56" t="n">
        <v>-314.4</v>
      </c>
      <c r="BL1154" s="57" t="n">
        <v>3</v>
      </c>
      <c r="BM1154" s="55" t="s">
        <v>382</v>
      </c>
      <c r="BN1154" s="60" t="n">
        <v>0</v>
      </c>
      <c r="BO1154" s="60" t="n">
        <v>1154</v>
      </c>
      <c r="BP1154" s="55" t="str">
        <f aca="false">IF(S1154&lt;&gt;"",UPPER(TRIM(S1154)),IF(O1154="","LOSE",O1154))</f>
        <v>S32</v>
      </c>
      <c r="BQ1154" s="57" t="n">
        <f aca="false">IF(BP1154="LOSE",1,IF(N(T1154)&gt;0,T1154,IF(N(P1154)&gt;0,P1154,MAX(1,G1154))))</f>
        <v>5</v>
      </c>
      <c r="BR1154" s="60" t="n">
        <f aca="false">IF(BP1154="LOSE",1,0)</f>
        <v>0</v>
      </c>
      <c r="BS1154" s="59" t="n">
        <f aca="false">IF(BR1154=0,0,IF(N(R1154)&gt;0,R1154,IFERROR(VLOOKUP(D1154,Parameter!$A$35:$C$64,3,0)+0,0)))</f>
        <v>0</v>
      </c>
      <c r="BT1154" s="55" t="n">
        <f aca="false">IF(Y1154&lt;&gt;"",Y1154,X1154)</f>
        <v>3</v>
      </c>
      <c r="BU1154" s="55" t="str">
        <f aca="false">IF(BT1154=1,"L1",IF(OR(BT1154=2,BT1154=3),"L23",IF(BT1154="Aussen","Aussen","-")))</f>
        <v>L23</v>
      </c>
      <c r="BV1154" s="66" t="n">
        <f aca="false">IF(N(Z1154)&gt;0,Z1154,0)</f>
        <v>0</v>
      </c>
      <c r="BW1154" s="60" t="n">
        <f aca="false">IF(ISNUMBER(AC1154),1,0)</f>
        <v>0</v>
      </c>
      <c r="BX1154" s="57" t="n">
        <f aca="false">N(AC1154)</f>
        <v>0</v>
      </c>
      <c r="BY1154" s="57" t="n">
        <f aca="false">N(L1154)+N(M1154)</f>
        <v>5</v>
      </c>
      <c r="BZ1154" s="57" t="n">
        <f aca="false">ROUNDUP(G1154/BQ1154,0)</f>
        <v>0</v>
      </c>
      <c r="CA1154" s="57" t="n">
        <f aca="false">ROUNDUP(BX1154/BQ1154,0)</f>
        <v>0</v>
      </c>
      <c r="CB1154" s="60" t="n">
        <f aca="false">IF(BR1154=1,0,IFERROR(VLOOKUP(BP1154,'Gebinde-Kategorie'!$A$5:$M$45,5,0)+0,0))</f>
        <v>8</v>
      </c>
      <c r="CC1154" s="60" t="n">
        <f aca="false">IFERROR(IF(OR(BT1154=1,BT1154=2,BT1154=3),N(INDEX(Parameter!$I$5:$I$7,BT1154)),0),0)</f>
        <v>0</v>
      </c>
      <c r="CD1154" s="59" t="n">
        <f aca="false">IF(AND(Parameter!$B$21="Ja",ISNUMBER(U1154),N(V1154)&gt;0),IFERROR(N(INDEX(Parameter!$L$5:$L$7,U1154))*INDEX(Parameter!$E$5:$E$7,U1154)*V1154/SUMIFS($V$7:$V$1576,$U$7:$U$1576,U1154),0),0)</f>
        <v>0</v>
      </c>
    </row>
    <row r="1155" customFormat="false" ht="15" hidden="false" customHeight="false" outlineLevel="0" collapsed="false">
      <c r="A1155" s="55" t="s">
        <v>2072</v>
      </c>
      <c r="B1155" s="55" t="s">
        <v>2073</v>
      </c>
      <c r="C1155" s="55" t="s">
        <v>160</v>
      </c>
      <c r="D1155" s="55" t="s">
        <v>178</v>
      </c>
      <c r="E1155" s="55" t="s">
        <v>210</v>
      </c>
      <c r="F1155" s="56" t="n">
        <v>28.61</v>
      </c>
      <c r="G1155" s="57" t="n">
        <f aca="false">MAX(0,IF(AND(Parameter!$B$21="Ja",ISNUMBER(W1155)),W1155,IF(Parameter!$B$20="Jahresanfang 2025 + Export",BJ1155+BI1155,BI1155)))</f>
        <v>0</v>
      </c>
      <c r="H1155" s="57" t="n">
        <f aca="false">G1155*F1155</f>
        <v>0</v>
      </c>
      <c r="I1155" s="57" t="n">
        <f aca="false">BL1155*Parameter!$B$18</f>
        <v>0</v>
      </c>
      <c r="J1155" s="58" t="n">
        <v>36.5</v>
      </c>
      <c r="K1155" s="59" t="n">
        <v>0</v>
      </c>
      <c r="L1155" s="57" t="n">
        <v>0</v>
      </c>
      <c r="M1155" s="57" t="n">
        <v>1</v>
      </c>
      <c r="N1155" s="60" t="n">
        <v>42</v>
      </c>
      <c r="O1155" s="55" t="s">
        <v>319</v>
      </c>
      <c r="P1155" s="57" t="n">
        <v>52</v>
      </c>
      <c r="Q1155" s="60" t="n">
        <f aca="false">IF(BR1155=1,0,IFERROR(VLOOKUP(BP1155,'Gebinde-Kategorie'!$A$5:$M$45,13,0)+0,0))</f>
        <v>52</v>
      </c>
      <c r="R1155" s="61"/>
      <c r="S1155" s="62"/>
      <c r="T1155" s="62"/>
      <c r="U1155" s="55"/>
      <c r="V1155" s="57"/>
      <c r="W1155" s="57"/>
      <c r="X1155" s="55" t="n">
        <f aca="false">IF(A1155="","",IF(AND(Parameter!$B$21="Ja",ISNUMBER(U1155)),U1155,IF(IFERROR(VLOOKUP(D1155,Parameter!$A$35:$C$64,2,0),"Nein")="2+3",IF(ISNUMBER(SEARCH("grosser Artikel",BM1155)),2,IFERROR(VLOOKUP(BP1155,Parameter!$F$35:$G$64,2,0),2)),IF(OR(IFERROR(VLOOKUP(D1155,Parameter!$A$35:$C$64,2,0),"Nein")="Nein",IFERROR(VLOOKUP(D1155,Parameter!$A$35:$C$64,2,0),"Nein")=""),"-",VLOOKUP(D1155,Parameter!$A$35:$C$64,2,0)))))</f>
        <v>3</v>
      </c>
      <c r="Y1155" s="62"/>
      <c r="Z1155" s="63"/>
      <c r="AA1155" s="57" t="n">
        <f aca="false">AP1155</f>
        <v>52</v>
      </c>
      <c r="AB1155" s="57" t="n">
        <f aca="false">MAX(AP1155,G1155)</f>
        <v>52</v>
      </c>
      <c r="AC1155" s="64"/>
      <c r="AD1155" s="57" t="n">
        <f aca="false">IF(LEFT(Cockpit!$C$5,1)="A",G1155,IF(BW1155=1,BX1155,IF(LEFT(Cockpit!$C$5,1)="B",AH1155,MAX(AH1155,G1155))))</f>
        <v>0</v>
      </c>
      <c r="AE1155" s="57" t="n">
        <f aca="false">IF(BR1155=1,0,ROUNDUP(AD1155/BQ1155,0))</f>
        <v>0</v>
      </c>
      <c r="AF1155" s="59" t="n">
        <f aca="false">IF(CD1155&gt;0,CD1155*MAX(1,AD1155/V1155),IF(BR1155=1,IF(AD1155&lt;=0,0,BS1155*MAX(1,IF(G1155&gt;0,AD1155/G1155,1))),IF(Q1155&gt;0,AE1155/Q1155,0))/MAX(0.1,N(Parameter!$M$21)))</f>
        <v>0</v>
      </c>
      <c r="AG1155" s="57" t="n">
        <f aca="false">AD1155*F1155</f>
        <v>0</v>
      </c>
      <c r="AH1155" s="57" t="n">
        <f aca="false">ROUNDUP(MAX(I1155/IF(BV1155&gt;0,BV1155,MAX(0.1,N(Cockpit!$C$6))),BY1155)/BQ1155,0)*BQ1155</f>
        <v>52</v>
      </c>
      <c r="AI1155" s="58" t="n">
        <f aca="false">IF(AF1155&gt;0,I1155/AF1155,-1)</f>
        <v>-1</v>
      </c>
      <c r="AJ1155" s="58" t="str">
        <f aca="false">IF(AND(OR(BU1155="L1",BU1155="L23"),AF1155&gt;0),SUMIFS($AF$7:$AF$1576,$BU$7:$BU$1576,BU1155,$AI$7:$AI$1576,"&gt;"&amp;AI1155)+SUMIFS($AF$7:$AF$1576,$BU$7:$BU$1576,BU1155,$AI$7:$AI$1576,AI1155,$BO$7:$BO$1576,"&lt;="&amp;BO1155),"")</f>
        <v/>
      </c>
      <c r="AK1155" s="65" t="n">
        <f aca="false">IF(AJ1155="",0,MAX(0,MIN(1,(IF(BU1155="L1",Parameter!$E$5,Parameter!$E$6+Parameter!$E$7)-(AJ1155-AF1155))/AF1155)))</f>
        <v>0</v>
      </c>
      <c r="AL1155" s="57" t="n">
        <f aca="false">IF(LEFT(Cockpit!$I$5,1)="A",G1155,IF(BW1155=1,BX1155,IF(LEFT(Cockpit!$I$5,1)="B",AP1155,MAX(AP1155,G1155))))</f>
        <v>52</v>
      </c>
      <c r="AM1155" s="57" t="n">
        <f aca="false">IF(BR1155=1,0,ROUNDUP(AL1155/BQ1155,0))</f>
        <v>1</v>
      </c>
      <c r="AN1155" s="59" t="n">
        <f aca="false">IF(CD1155&gt;0,CD1155*MAX(1,AL1155/V1155),IF(BR1155=1,IF(AL1155&lt;=0,0,BS1155*MAX(1,IF(G1155&gt;0,AL1155/G1155,1))),IF(Q1155&gt;0,AM1155/Q1155,0))/MAX(0.1,N(Parameter!$M$21)))</f>
        <v>0.0192307692307692</v>
      </c>
      <c r="AO1155" s="57" t="n">
        <f aca="false">AL1155*F1155</f>
        <v>1487.72</v>
      </c>
      <c r="AP1155" s="57" t="n">
        <f aca="false">ROUNDUP(MAX(I1155/IF(BV1155&gt;0,BV1155,MAX(0.1,N(Cockpit!$I$6))),BY1155)/BQ1155,0)*BQ1155</f>
        <v>52</v>
      </c>
      <c r="AQ1155" s="58" t="n">
        <f aca="false">IF(AN1155&gt;0,I1155/AN1155,-1)</f>
        <v>0</v>
      </c>
      <c r="AR1155" s="58" t="n">
        <f aca="false">IF(AND(OR(BU1155="L1",BU1155="L23"),AN1155&gt;0),SUMIFS($AN$7:$AN$1576,$BU$7:$BU$1576,BU1155,$AQ$7:$AQ$1576,"&gt;"&amp;AQ1155)+SUMIFS($AN$7:$AN$1576,$BU$7:$BU$1576,BU1155,$AQ$7:$AQ$1576,AQ1155,$BO$7:$BO$1576,"&lt;="&amp;BO1155),"")</f>
        <v>134.907487319491</v>
      </c>
      <c r="AS1155" s="65" t="n">
        <f aca="false">IF(AR1155="",0,MAX(0,MIN(1,(IF(BU1155="L1",Parameter!$E$5,Parameter!$E$6+Parameter!$E$7)-(AR1155-AN1155))/AN1155)))</f>
        <v>0</v>
      </c>
      <c r="AT1155" s="57" t="n">
        <f aca="false">IF(LEFT(Cockpit!$O$5,1)="A",G1155,IF(BW1155=1,BX1155,IF(LEFT(Cockpit!$O$5,1)="B",AX1155,MAX(AX1155,G1155))))</f>
        <v>52</v>
      </c>
      <c r="AU1155" s="57" t="n">
        <f aca="false">IF(BR1155=1,0,ROUNDUP(AT1155/BQ1155,0))</f>
        <v>1</v>
      </c>
      <c r="AV1155" s="59" t="n">
        <f aca="false">IF(CD1155&gt;0,CD1155*MAX(1,AT1155/V1155),IF(BR1155=1,IF(AT1155&lt;=0,0,BS1155*MAX(1,IF(G1155&gt;0,AT1155/G1155,1))),IF(Q1155&gt;0,AU1155/Q1155,0))/MAX(0.1,N(Parameter!$M$21)))</f>
        <v>0.0192307692307692</v>
      </c>
      <c r="AW1155" s="57" t="n">
        <f aca="false">AT1155*F1155</f>
        <v>1487.72</v>
      </c>
      <c r="AX1155" s="57" t="n">
        <f aca="false">ROUNDUP(MAX(I1155/IF(BV1155&gt;0,BV1155,MAX(0.1,N(Cockpit!$O$6))),BY1155)/BQ1155,0)*BQ1155</f>
        <v>52</v>
      </c>
      <c r="AY1155" s="58" t="n">
        <f aca="false">IF(AV1155&gt;0,I1155/AV1155,-1)</f>
        <v>0</v>
      </c>
      <c r="AZ1155" s="58" t="n">
        <f aca="false">IF(AND(OR(BU1155="L1",BU1155="L23"),AV1155&gt;0),SUMIFS($AV$7:$AV$1576,$BU$7:$BU$1576,BU1155,$AY$7:$AY$1576,"&gt;"&amp;AY1155)+SUMIFS($AV$7:$AV$1576,$BU$7:$BU$1576,BU1155,$AY$7:$AY$1576,AY1155,$BO$7:$BO$1576,"&lt;="&amp;BO1155),"")</f>
        <v>124.967037769042</v>
      </c>
      <c r="BA1155" s="65" t="n">
        <f aca="false">IF(AZ1155="",0,MAX(0,MIN(1,(IF(BU1155="L1",Parameter!$E$5,Parameter!$E$6+Parameter!$E$7)-(AZ1155-AV1155))/AV1155)))</f>
        <v>0</v>
      </c>
      <c r="BB1155" s="55" t="str">
        <f aca="false">IF(AF1155&lt;=0,"",IF(BU1155="Aussen","Aussenlager",IF(BU1155="-","Nicht im Lift",IF(AK1155&gt;=1,"Lift",IF(AK1155&lt;=0,"Aussenlager","teilweise")))))</f>
        <v/>
      </c>
      <c r="BC1155" s="55" t="str">
        <f aca="false">IF(AN1155&lt;=0,"",IF(BU1155="Aussen","Aussenlager",IF(BU1155="-","Nicht im Lift",IF(AS1155&gt;=1,"Lift",IF(AS1155&lt;=0,"Aussenlager","teilweise")))))</f>
        <v>Aussenlager</v>
      </c>
      <c r="BD1155" s="55" t="str">
        <f aca="false">IF(AV1155&lt;=0,"",IF(BU1155="Aussen","Aussenlager",IF(BU1155="-","Nicht im Lift",IF(BA1155&gt;=1,"Lift",IF(BA1155&lt;=0,"Aussenlager","teilweise")))))</f>
        <v>Aussenlager</v>
      </c>
      <c r="BE1155" s="55" t="str">
        <f aca="false">IF(A1155="","",IF(BN1155=1,"Neu; ","")&amp;IF(AND(BN1155=0,BI1155&lt;0),"negativer Bestand (Export "&amp;BI1155&amp;"); ","")&amp;IF(I1155&lt;=0,"Kein Verbrauch; ","")&amp;IF(CD1155&gt;0,"Lift "&amp;U1155&amp;" lt. Liftbericht (Fach "&amp;V1155&amp;" Stk); ",IF(BR1155=1,"Lose – Fläche geschätzt; ",""))&amp;IF(G1155&gt;AP1155,"Überbestand "&amp;ROUND(G1155-AP1155,0)&amp;" Stk / CHF "&amp;ROUND((G1155-AP1155)*F1155,0)&amp;"; ","")&amp;IF(AND(BW1155=1,BX1155&lt;BY1155),"MAX &lt; MB+LG; ","")&amp;IF(AND(CC1155&gt;0,CB1155*10&gt;CC1155),"zu hoch für Tablar; ","")&amp;IF(AND(BN1155=0,OR(BW1155=1,Y1155&lt;&gt;"",S1155&lt;&gt;"",T1155&lt;&gt;"",Z1155&lt;&gt;"")),"manuell übersteuert; ","")&amp;IF(AND(BR1155=0,Q1155=0),"Gebinde unbekannt / Stellmass fehlt; ","")&amp;IF(AND(BR1155=0,N(T1155)&lt;=0,N(P1155)&lt;=0),"Menge pro Gebinde fehlt (Ist = 1 Gebinde); ","")&amp;BM1155)</f>
        <v>negativer Bestand (Export -11); Kein Verbrauch; Überbestand</v>
      </c>
      <c r="BF1155" s="55"/>
      <c r="BG1155" s="55"/>
      <c r="BH1155" s="62"/>
      <c r="BI1155" s="57" t="n">
        <v>-11</v>
      </c>
      <c r="BJ1155" s="57" t="n">
        <v>42</v>
      </c>
      <c r="BK1155" s="56" t="n">
        <v>-314.71</v>
      </c>
      <c r="BL1155" s="57" t="n">
        <v>0</v>
      </c>
      <c r="BM1155" s="55" t="s">
        <v>382</v>
      </c>
      <c r="BN1155" s="60" t="n">
        <v>0</v>
      </c>
      <c r="BO1155" s="60" t="n">
        <v>1155</v>
      </c>
      <c r="BP1155" s="55" t="str">
        <f aca="false">IF(S1155&lt;&gt;"",UPPER(TRIM(S1155)),IF(O1155="","LOSE",O1155))</f>
        <v>S41</v>
      </c>
      <c r="BQ1155" s="57" t="n">
        <f aca="false">IF(BP1155="LOSE",1,IF(N(T1155)&gt;0,T1155,IF(N(P1155)&gt;0,P1155,MAX(1,G1155))))</f>
        <v>52</v>
      </c>
      <c r="BR1155" s="60" t="n">
        <f aca="false">IF(BP1155="LOSE",1,0)</f>
        <v>0</v>
      </c>
      <c r="BS1155" s="59" t="n">
        <f aca="false">IF(BR1155=0,0,IF(N(R1155)&gt;0,R1155,IFERROR(VLOOKUP(D1155,Parameter!$A$35:$C$64,3,0)+0,0)))</f>
        <v>0</v>
      </c>
      <c r="BT1155" s="55" t="n">
        <f aca="false">IF(Y1155&lt;&gt;"",Y1155,X1155)</f>
        <v>3</v>
      </c>
      <c r="BU1155" s="55" t="str">
        <f aca="false">IF(BT1155=1,"L1",IF(OR(BT1155=2,BT1155=3),"L23",IF(BT1155="Aussen","Aussen","-")))</f>
        <v>L23</v>
      </c>
      <c r="BV1155" s="66" t="n">
        <f aca="false">IF(N(Z1155)&gt;0,Z1155,0)</f>
        <v>0</v>
      </c>
      <c r="BW1155" s="60" t="n">
        <f aca="false">IF(ISNUMBER(AC1155),1,0)</f>
        <v>0</v>
      </c>
      <c r="BX1155" s="57" t="n">
        <f aca="false">N(AC1155)</f>
        <v>0</v>
      </c>
      <c r="BY1155" s="57" t="n">
        <f aca="false">N(L1155)+N(M1155)</f>
        <v>1</v>
      </c>
      <c r="BZ1155" s="57" t="n">
        <f aca="false">ROUNDUP(G1155/BQ1155,0)</f>
        <v>0</v>
      </c>
      <c r="CA1155" s="57" t="n">
        <f aca="false">ROUNDUP(BX1155/BQ1155,0)</f>
        <v>0</v>
      </c>
      <c r="CB1155" s="60" t="n">
        <f aca="false">IF(BR1155=1,0,IFERROR(VLOOKUP(BP1155,'Gebinde-Kategorie'!$A$5:$M$45,5,0)+0,0))</f>
        <v>11</v>
      </c>
      <c r="CC1155" s="60" t="n">
        <f aca="false">IFERROR(IF(OR(BT1155=1,BT1155=2,BT1155=3),N(INDEX(Parameter!$I$5:$I$7,BT1155)),0),0)</f>
        <v>0</v>
      </c>
      <c r="CD1155" s="59" t="n">
        <f aca="false">IF(AND(Parameter!$B$21="Ja",ISNUMBER(U1155),N(V1155)&gt;0),IFERROR(N(INDEX(Parameter!$L$5:$L$7,U1155))*INDEX(Parameter!$E$5:$E$7,U1155)*V1155/SUMIFS($V$7:$V$1576,$U$7:$U$1576,U1155),0),0)</f>
        <v>0</v>
      </c>
    </row>
    <row r="1156" customFormat="false" ht="15" hidden="false" customHeight="false" outlineLevel="0" collapsed="false">
      <c r="A1156" s="55" t="s">
        <v>2074</v>
      </c>
      <c r="B1156" s="55" t="s">
        <v>1935</v>
      </c>
      <c r="C1156" s="55" t="s">
        <v>446</v>
      </c>
      <c r="D1156" s="55" t="s">
        <v>178</v>
      </c>
      <c r="E1156" s="55" t="s">
        <v>210</v>
      </c>
      <c r="F1156" s="56" t="n">
        <v>45.5</v>
      </c>
      <c r="G1156" s="57" t="n">
        <f aca="false">MAX(0,IF(AND(Parameter!$B$21="Ja",ISNUMBER(W1156)),W1156,IF(Parameter!$B$20="Jahresanfang 2025 + Export",BJ1156+BI1156,BI1156)))</f>
        <v>0</v>
      </c>
      <c r="H1156" s="57" t="n">
        <f aca="false">G1156*F1156</f>
        <v>0</v>
      </c>
      <c r="I1156" s="57" t="n">
        <f aca="false">BL1156*Parameter!$B$18</f>
        <v>7</v>
      </c>
      <c r="J1156" s="58" t="n">
        <v>7</v>
      </c>
      <c r="K1156" s="59" t="n">
        <v>1</v>
      </c>
      <c r="L1156" s="57" t="n">
        <v>0</v>
      </c>
      <c r="M1156" s="57" t="n">
        <v>5</v>
      </c>
      <c r="N1156" s="60" t="n">
        <v>21</v>
      </c>
      <c r="O1156" s="55" t="s">
        <v>163</v>
      </c>
      <c r="P1156" s="57"/>
      <c r="Q1156" s="60" t="n">
        <f aca="false">IF(BR1156=1,0,IFERROR(VLOOKUP(BP1156,'Gebinde-Kategorie'!$A$5:$M$45,13,0)+0,0))</f>
        <v>0</v>
      </c>
      <c r="R1156" s="61"/>
      <c r="S1156" s="62"/>
      <c r="T1156" s="62"/>
      <c r="U1156" s="55"/>
      <c r="V1156" s="57"/>
      <c r="W1156" s="57"/>
      <c r="X1156" s="55" t="n">
        <f aca="false">IF(A1156="","",IF(AND(Parameter!$B$21="Ja",ISNUMBER(U1156)),U1156,IF(IFERROR(VLOOKUP(D1156,Parameter!$A$35:$C$64,2,0),"Nein")="2+3",IF(ISNUMBER(SEARCH("grosser Artikel",BM1156)),2,IFERROR(VLOOKUP(BP1156,Parameter!$F$35:$G$64,2,0),2)),IF(OR(IFERROR(VLOOKUP(D1156,Parameter!$A$35:$C$64,2,0),"Nein")="Nein",IFERROR(VLOOKUP(D1156,Parameter!$A$35:$C$64,2,0),"Nein")=""),"-",VLOOKUP(D1156,Parameter!$A$35:$C$64,2,0)))))</f>
        <v>2</v>
      </c>
      <c r="Y1156" s="62"/>
      <c r="Z1156" s="63"/>
      <c r="AA1156" s="57" t="n">
        <f aca="false">AP1156</f>
        <v>5</v>
      </c>
      <c r="AB1156" s="57" t="n">
        <f aca="false">MAX(AP1156,G1156)</f>
        <v>5</v>
      </c>
      <c r="AC1156" s="64"/>
      <c r="AD1156" s="57" t="n">
        <f aca="false">IF(LEFT(Cockpit!$C$5,1)="A",G1156,IF(BW1156=1,BX1156,IF(LEFT(Cockpit!$C$5,1)="B",AH1156,MAX(AH1156,G1156))))</f>
        <v>0</v>
      </c>
      <c r="AE1156" s="57" t="n">
        <f aca="false">IF(BR1156=1,0,ROUNDUP(AD1156/BQ1156,0))</f>
        <v>0</v>
      </c>
      <c r="AF1156" s="59" t="n">
        <f aca="false">IF(CD1156&gt;0,CD1156*MAX(1,AD1156/V1156),IF(BR1156=1,IF(AD1156&lt;=0,0,BS1156*MAX(1,IF(G1156&gt;0,AD1156/G1156,1))),IF(Q1156&gt;0,AE1156/Q1156,0))/MAX(0.1,N(Parameter!$M$21)))</f>
        <v>0</v>
      </c>
      <c r="AG1156" s="57" t="n">
        <f aca="false">AD1156*F1156</f>
        <v>0</v>
      </c>
      <c r="AH1156" s="57" t="n">
        <f aca="false">ROUNDUP(MAX(I1156/IF(BV1156&gt;0,BV1156,MAX(0.1,N(Cockpit!$C$6))),BY1156)/BQ1156,0)*BQ1156</f>
        <v>5</v>
      </c>
      <c r="AI1156" s="58" t="n">
        <f aca="false">IF(AF1156&gt;0,I1156/AF1156,-1)</f>
        <v>-1</v>
      </c>
      <c r="AJ1156" s="58" t="str">
        <f aca="false">IF(AND(OR(BU1156="L1",BU1156="L23"),AF1156&gt;0),SUMIFS($AF$7:$AF$1576,$BU$7:$BU$1576,BU1156,$AI$7:$AI$1576,"&gt;"&amp;AI1156)+SUMIFS($AF$7:$AF$1576,$BU$7:$BU$1576,BU1156,$AI$7:$AI$1576,AI1156,$BO$7:$BO$1576,"&lt;="&amp;BO1156),"")</f>
        <v/>
      </c>
      <c r="AK1156" s="65" t="n">
        <f aca="false">IF(AJ1156="",0,MAX(0,MIN(1,(IF(BU1156="L1",Parameter!$E$5,Parameter!$E$6+Parameter!$E$7)-(AJ1156-AF1156))/AF1156)))</f>
        <v>0</v>
      </c>
      <c r="AL1156" s="57" t="n">
        <f aca="false">IF(LEFT(Cockpit!$I$5,1)="A",G1156,IF(BW1156=1,BX1156,IF(LEFT(Cockpit!$I$5,1)="B",AP1156,MAX(AP1156,G1156))))</f>
        <v>5</v>
      </c>
      <c r="AM1156" s="57" t="n">
        <f aca="false">IF(BR1156=1,0,ROUNDUP(AL1156/BQ1156,0))</f>
        <v>0</v>
      </c>
      <c r="AN1156" s="59" t="n">
        <f aca="false">IF(CD1156&gt;0,CD1156*MAX(1,AL1156/V1156),IF(BR1156=1,IF(AL1156&lt;=0,0,BS1156*MAX(1,IF(G1156&gt;0,AL1156/G1156,1))),IF(Q1156&gt;0,AM1156/Q1156,0))/MAX(0.1,N(Parameter!$M$21)))</f>
        <v>0.03</v>
      </c>
      <c r="AO1156" s="57" t="n">
        <f aca="false">AL1156*F1156</f>
        <v>227.5</v>
      </c>
      <c r="AP1156" s="57" t="n">
        <f aca="false">ROUNDUP(MAX(I1156/IF(BV1156&gt;0,BV1156,MAX(0.1,N(Cockpit!$I$6))),BY1156)/BQ1156,0)*BQ1156</f>
        <v>5</v>
      </c>
      <c r="AQ1156" s="58" t="n">
        <f aca="false">IF(AN1156&gt;0,I1156/AN1156,-1)</f>
        <v>233.333333333333</v>
      </c>
      <c r="AR1156" s="58" t="n">
        <f aca="false">IF(AND(OR(BU1156="L1",BU1156="L23"),AN1156&gt;0),SUMIFS($AN$7:$AN$1576,$BU$7:$BU$1576,BU1156,$AQ$7:$AQ$1576,"&gt;"&amp;AQ1156)+SUMIFS($AN$7:$AN$1576,$BU$7:$BU$1576,BU1156,$AQ$7:$AQ$1576,AQ1156,$BO$7:$BO$1576,"&lt;="&amp;BO1156),"")</f>
        <v>47.0693370521743</v>
      </c>
      <c r="AS1156" s="65" t="n">
        <f aca="false">IF(AR1156="",0,MAX(0,MIN(1,(IF(BU1156="L1",Parameter!$E$5,Parameter!$E$6+Parameter!$E$7)-(AR1156-AN1156))/AN1156)))</f>
        <v>1</v>
      </c>
      <c r="AT1156" s="57" t="n">
        <f aca="false">IF(LEFT(Cockpit!$O$5,1)="A",G1156,IF(BW1156=1,BX1156,IF(LEFT(Cockpit!$O$5,1)="B",AX1156,MAX(AX1156,G1156))))</f>
        <v>5</v>
      </c>
      <c r="AU1156" s="57" t="n">
        <f aca="false">IF(BR1156=1,0,ROUNDUP(AT1156/BQ1156,0))</f>
        <v>0</v>
      </c>
      <c r="AV1156" s="59" t="n">
        <f aca="false">IF(CD1156&gt;0,CD1156*MAX(1,AT1156/V1156),IF(BR1156=1,IF(AT1156&lt;=0,0,BS1156*MAX(1,IF(G1156&gt;0,AT1156/G1156,1))),IF(Q1156&gt;0,AU1156/Q1156,0))/MAX(0.1,N(Parameter!$M$21)))</f>
        <v>0.03</v>
      </c>
      <c r="AW1156" s="57" t="n">
        <f aca="false">AT1156*F1156</f>
        <v>227.5</v>
      </c>
      <c r="AX1156" s="57" t="n">
        <f aca="false">ROUNDUP(MAX(I1156/IF(BV1156&gt;0,BV1156,MAX(0.1,N(Cockpit!$O$6))),BY1156)/BQ1156,0)*BQ1156</f>
        <v>5</v>
      </c>
      <c r="AY1156" s="58" t="n">
        <f aca="false">IF(AV1156&gt;0,I1156/AV1156,-1)</f>
        <v>233.333333333333</v>
      </c>
      <c r="AZ1156" s="58" t="n">
        <f aca="false">IF(AND(OR(BU1156="L1",BU1156="L23"),AV1156&gt;0),SUMIFS($AV$7:$AV$1576,$BU$7:$BU$1576,BU1156,$AY$7:$AY$1576,"&gt;"&amp;AY1156)+SUMIFS($AV$7:$AV$1576,$BU$7:$BU$1576,BU1156,$AY$7:$AY$1576,AY1156,$BO$7:$BO$1576,"&lt;="&amp;BO1156),"")</f>
        <v>43.6807489735862</v>
      </c>
      <c r="BA1156" s="65" t="n">
        <f aca="false">IF(AZ1156="",0,MAX(0,MIN(1,(IF(BU1156="L1",Parameter!$E$5,Parameter!$E$6+Parameter!$E$7)-(AZ1156-AV1156))/AV1156)))</f>
        <v>1</v>
      </c>
      <c r="BB1156" s="55" t="str">
        <f aca="false">IF(AF1156&lt;=0,"",IF(BU1156="Aussen","Aussenlager",IF(BU1156="-","Nicht im Lift",IF(AK1156&gt;=1,"Lift",IF(AK1156&lt;=0,"Aussenlager","teilweise")))))</f>
        <v/>
      </c>
      <c r="BC1156" s="55" t="str">
        <f aca="false">IF(AN1156&lt;=0,"",IF(BU1156="Aussen","Aussenlager",IF(BU1156="-","Nicht im Lift",IF(AS1156&gt;=1,"Lift",IF(AS1156&lt;=0,"Aussenlager","teilweise")))))</f>
        <v>Lift</v>
      </c>
      <c r="BD1156" s="55" t="str">
        <f aca="false">IF(AV1156&lt;=0,"",IF(BU1156="Aussen","Aussenlager",IF(BU1156="-","Nicht im Lift",IF(BA1156&gt;=1,"Lift",IF(BA1156&lt;=0,"Aussenlager","teilweise")))))</f>
        <v>Lift</v>
      </c>
      <c r="BE1156" s="55" t="str">
        <f aca="false">IF(A1156="","",IF(BN1156=1,"Neu; ","")&amp;IF(AND(BN1156=0,BI1156&lt;0),"negativer Bestand (Export "&amp;BI1156&amp;"); ","")&amp;IF(I1156&lt;=0,"Kein Verbrauch; ","")&amp;IF(CD1156&gt;0,"Lift "&amp;U1156&amp;" lt. Liftbericht (Fach "&amp;V1156&amp;" Stk); ",IF(BR1156=1,"Lose – Fläche geschätzt; ",""))&amp;IF(G1156&gt;AP1156,"Überbestand "&amp;ROUND(G1156-AP1156,0)&amp;" Stk / CHF "&amp;ROUND((G1156-AP1156)*F1156,0)&amp;"; ","")&amp;IF(AND(BW1156=1,BX1156&lt;BY1156),"MAX &lt; MB+LG; ","")&amp;IF(AND(CC1156&gt;0,CB1156*10&gt;CC1156),"zu hoch für Tablar; ","")&amp;IF(AND(BN1156=0,OR(BW1156=1,Y1156&lt;&gt;"",S1156&lt;&gt;"",T1156&lt;&gt;"",Z1156&lt;&gt;"")),"manuell übersteuert; ","")&amp;IF(AND(BR1156=0,Q1156=0),"Gebinde unbekannt / Stellmass fehlt; ","")&amp;IF(AND(BR1156=0,N(T1156)&lt;=0,N(P1156)&lt;=0),"Menge pro Gebinde fehlt (Ist = 1 Gebinde); ","")&amp;BM1156)</f>
        <v>negativer Bestand (Export -7); Lose – Fläche geschätzt; </v>
      </c>
      <c r="BF1156" s="55"/>
      <c r="BG1156" s="55"/>
      <c r="BH1156" s="62"/>
      <c r="BI1156" s="57" t="n">
        <v>-7</v>
      </c>
      <c r="BJ1156" s="57" t="n">
        <v>14</v>
      </c>
      <c r="BK1156" s="56" t="n">
        <v>-318.5</v>
      </c>
      <c r="BL1156" s="57" t="n">
        <v>7</v>
      </c>
      <c r="BM1156" s="55"/>
      <c r="BN1156" s="60" t="n">
        <v>0</v>
      </c>
      <c r="BO1156" s="60" t="n">
        <v>1156</v>
      </c>
      <c r="BP1156" s="55" t="str">
        <f aca="false">IF(S1156&lt;&gt;"",UPPER(TRIM(S1156)),IF(O1156="","LOSE",O1156))</f>
        <v>LOSE</v>
      </c>
      <c r="BQ1156" s="57" t="n">
        <f aca="false">IF(BP1156="LOSE",1,IF(N(T1156)&gt;0,T1156,IF(N(P1156)&gt;0,P1156,MAX(1,G1156))))</f>
        <v>1</v>
      </c>
      <c r="BR1156" s="60" t="n">
        <f aca="false">IF(BP1156="LOSE",1,0)</f>
        <v>1</v>
      </c>
      <c r="BS1156" s="59" t="n">
        <f aca="false">IF(BR1156=0,0,IF(N(R1156)&gt;0,R1156,IFERROR(VLOOKUP(D1156,Parameter!$A$35:$C$64,3,0)+0,0)))</f>
        <v>0.03</v>
      </c>
      <c r="BT1156" s="55" t="n">
        <f aca="false">IF(Y1156&lt;&gt;"",Y1156,X1156)</f>
        <v>2</v>
      </c>
      <c r="BU1156" s="55" t="str">
        <f aca="false">IF(BT1156=1,"L1",IF(OR(BT1156=2,BT1156=3),"L23",IF(BT1156="Aussen","Aussen","-")))</f>
        <v>L23</v>
      </c>
      <c r="BV1156" s="66" t="n">
        <f aca="false">IF(N(Z1156)&gt;0,Z1156,0)</f>
        <v>0</v>
      </c>
      <c r="BW1156" s="60" t="n">
        <f aca="false">IF(ISNUMBER(AC1156),1,0)</f>
        <v>0</v>
      </c>
      <c r="BX1156" s="57" t="n">
        <f aca="false">N(AC1156)</f>
        <v>0</v>
      </c>
      <c r="BY1156" s="57" t="n">
        <f aca="false">N(L1156)+N(M1156)</f>
        <v>5</v>
      </c>
      <c r="BZ1156" s="57" t="n">
        <f aca="false">ROUNDUP(G1156/BQ1156,0)</f>
        <v>0</v>
      </c>
      <c r="CA1156" s="57" t="n">
        <f aca="false">ROUNDUP(BX1156/BQ1156,0)</f>
        <v>0</v>
      </c>
      <c r="CB1156" s="60" t="n">
        <f aca="false">IF(BR1156=1,0,IFERROR(VLOOKUP(BP1156,'Gebinde-Kategorie'!$A$5:$M$45,5,0)+0,0))</f>
        <v>0</v>
      </c>
      <c r="CC1156" s="60" t="n">
        <f aca="false">IFERROR(IF(OR(BT1156=1,BT1156=2,BT1156=3),N(INDEX(Parameter!$I$5:$I$7,BT1156)),0),0)</f>
        <v>0</v>
      </c>
      <c r="CD1156" s="59" t="n">
        <f aca="false">IF(AND(Parameter!$B$21="Ja",ISNUMBER(U1156),N(V1156)&gt;0),IFERROR(N(INDEX(Parameter!$L$5:$L$7,U1156))*INDEX(Parameter!$E$5:$E$7,U1156)*V1156/SUMIFS($V$7:$V$1576,$U$7:$U$1576,U1156),0),0)</f>
        <v>0</v>
      </c>
    </row>
    <row r="1157" customFormat="false" ht="15" hidden="false" customHeight="false" outlineLevel="0" collapsed="false">
      <c r="A1157" s="55" t="s">
        <v>2075</v>
      </c>
      <c r="B1157" s="55" t="s">
        <v>2076</v>
      </c>
      <c r="C1157" s="55" t="s">
        <v>160</v>
      </c>
      <c r="D1157" s="55" t="s">
        <v>178</v>
      </c>
      <c r="E1157" s="55" t="s">
        <v>210</v>
      </c>
      <c r="F1157" s="56" t="n">
        <v>113.77</v>
      </c>
      <c r="G1157" s="57" t="n">
        <f aca="false">MAX(0,IF(AND(Parameter!$B$21="Ja",ISNUMBER(W1157)),W1157,IF(Parameter!$B$20="Jahresanfang 2025 + Export",BJ1157+BI1157,BI1157)))</f>
        <v>0</v>
      </c>
      <c r="H1157" s="57" t="n">
        <f aca="false">G1157*F1157</f>
        <v>0</v>
      </c>
      <c r="I1157" s="57" t="n">
        <f aca="false">BL1157*Parameter!$B$18</f>
        <v>4</v>
      </c>
      <c r="J1157" s="58" t="n">
        <v>15</v>
      </c>
      <c r="K1157" s="59" t="n">
        <v>0.266666666666667</v>
      </c>
      <c r="L1157" s="57" t="n">
        <v>0</v>
      </c>
      <c r="M1157" s="57" t="n">
        <v>5</v>
      </c>
      <c r="N1157" s="60" t="n">
        <v>56</v>
      </c>
      <c r="O1157" s="55" t="s">
        <v>319</v>
      </c>
      <c r="P1157" s="57" t="n">
        <v>16</v>
      </c>
      <c r="Q1157" s="60" t="n">
        <f aca="false">IF(BR1157=1,0,IFERROR(VLOOKUP(BP1157,'Gebinde-Kategorie'!$A$5:$M$45,13,0)+0,0))</f>
        <v>52</v>
      </c>
      <c r="R1157" s="61"/>
      <c r="S1157" s="62"/>
      <c r="T1157" s="62"/>
      <c r="U1157" s="55"/>
      <c r="V1157" s="57"/>
      <c r="W1157" s="57"/>
      <c r="X1157" s="55" t="n">
        <f aca="false">IF(A1157="","",IF(AND(Parameter!$B$21="Ja",ISNUMBER(U1157)),U1157,IF(IFERROR(VLOOKUP(D1157,Parameter!$A$35:$C$64,2,0),"Nein")="2+3",IF(ISNUMBER(SEARCH("grosser Artikel",BM1157)),2,IFERROR(VLOOKUP(BP1157,Parameter!$F$35:$G$64,2,0),2)),IF(OR(IFERROR(VLOOKUP(D1157,Parameter!$A$35:$C$64,2,0),"Nein")="Nein",IFERROR(VLOOKUP(D1157,Parameter!$A$35:$C$64,2,0),"Nein")=""),"-",VLOOKUP(D1157,Parameter!$A$35:$C$64,2,0)))))</f>
        <v>3</v>
      </c>
      <c r="Y1157" s="62"/>
      <c r="Z1157" s="63"/>
      <c r="AA1157" s="57" t="n">
        <f aca="false">AP1157</f>
        <v>16</v>
      </c>
      <c r="AB1157" s="57" t="n">
        <f aca="false">MAX(AP1157,G1157)</f>
        <v>16</v>
      </c>
      <c r="AC1157" s="64"/>
      <c r="AD1157" s="57" t="n">
        <f aca="false">IF(LEFT(Cockpit!$C$5,1)="A",G1157,IF(BW1157=1,BX1157,IF(LEFT(Cockpit!$C$5,1)="B",AH1157,MAX(AH1157,G1157))))</f>
        <v>0</v>
      </c>
      <c r="AE1157" s="57" t="n">
        <f aca="false">IF(BR1157=1,0,ROUNDUP(AD1157/BQ1157,0))</f>
        <v>0</v>
      </c>
      <c r="AF1157" s="59" t="n">
        <f aca="false">IF(CD1157&gt;0,CD1157*MAX(1,AD1157/V1157),IF(BR1157=1,IF(AD1157&lt;=0,0,BS1157*MAX(1,IF(G1157&gt;0,AD1157/G1157,1))),IF(Q1157&gt;0,AE1157/Q1157,0))/MAX(0.1,N(Parameter!$M$21)))</f>
        <v>0</v>
      </c>
      <c r="AG1157" s="57" t="n">
        <f aca="false">AD1157*F1157</f>
        <v>0</v>
      </c>
      <c r="AH1157" s="57" t="n">
        <f aca="false">ROUNDUP(MAX(I1157/IF(BV1157&gt;0,BV1157,MAX(0.1,N(Cockpit!$C$6))),BY1157)/BQ1157,0)*BQ1157</f>
        <v>16</v>
      </c>
      <c r="AI1157" s="58" t="n">
        <f aca="false">IF(AF1157&gt;0,I1157/AF1157,-1)</f>
        <v>-1</v>
      </c>
      <c r="AJ1157" s="58" t="str">
        <f aca="false">IF(AND(OR(BU1157="L1",BU1157="L23"),AF1157&gt;0),SUMIFS($AF$7:$AF$1576,$BU$7:$BU$1576,BU1157,$AI$7:$AI$1576,"&gt;"&amp;AI1157)+SUMIFS($AF$7:$AF$1576,$BU$7:$BU$1576,BU1157,$AI$7:$AI$1576,AI1157,$BO$7:$BO$1576,"&lt;="&amp;BO1157),"")</f>
        <v/>
      </c>
      <c r="AK1157" s="65" t="n">
        <f aca="false">IF(AJ1157="",0,MAX(0,MIN(1,(IF(BU1157="L1",Parameter!$E$5,Parameter!$E$6+Parameter!$E$7)-(AJ1157-AF1157))/AF1157)))</f>
        <v>0</v>
      </c>
      <c r="AL1157" s="57" t="n">
        <f aca="false">IF(LEFT(Cockpit!$I$5,1)="A",G1157,IF(BW1157=1,BX1157,IF(LEFT(Cockpit!$I$5,1)="B",AP1157,MAX(AP1157,G1157))))</f>
        <v>16</v>
      </c>
      <c r="AM1157" s="57" t="n">
        <f aca="false">IF(BR1157=1,0,ROUNDUP(AL1157/BQ1157,0))</f>
        <v>1</v>
      </c>
      <c r="AN1157" s="59" t="n">
        <f aca="false">IF(CD1157&gt;0,CD1157*MAX(1,AL1157/V1157),IF(BR1157=1,IF(AL1157&lt;=0,0,BS1157*MAX(1,IF(G1157&gt;0,AL1157/G1157,1))),IF(Q1157&gt;0,AM1157/Q1157,0))/MAX(0.1,N(Parameter!$M$21)))</f>
        <v>0.0192307692307692</v>
      </c>
      <c r="AO1157" s="57" t="n">
        <f aca="false">AL1157*F1157</f>
        <v>1820.32</v>
      </c>
      <c r="AP1157" s="57" t="n">
        <f aca="false">ROUNDUP(MAX(I1157/IF(BV1157&gt;0,BV1157,MAX(0.1,N(Cockpit!$I$6))),BY1157)/BQ1157,0)*BQ1157</f>
        <v>16</v>
      </c>
      <c r="AQ1157" s="58" t="n">
        <f aca="false">IF(AN1157&gt;0,I1157/AN1157,-1)</f>
        <v>208</v>
      </c>
      <c r="AR1157" s="58" t="n">
        <f aca="false">IF(AND(OR(BU1157="L1",BU1157="L23"),AN1157&gt;0),SUMIFS($AN$7:$AN$1576,$BU$7:$BU$1576,BU1157,$AQ$7:$AQ$1576,"&gt;"&amp;AQ1157)+SUMIFS($AN$7:$AN$1576,$BU$7:$BU$1576,BU1157,$AQ$7:$AQ$1576,AQ1157,$BO$7:$BO$1576,"&lt;="&amp;BO1157),"")</f>
        <v>49.1750480078853</v>
      </c>
      <c r="AS1157" s="65" t="n">
        <f aca="false">IF(AR1157="",0,MAX(0,MIN(1,(IF(BU1157="L1",Parameter!$E$5,Parameter!$E$6+Parameter!$E$7)-(AR1157-AN1157))/AN1157)))</f>
        <v>1</v>
      </c>
      <c r="AT1157" s="57" t="n">
        <f aca="false">IF(LEFT(Cockpit!$O$5,1)="A",G1157,IF(BW1157=1,BX1157,IF(LEFT(Cockpit!$O$5,1)="B",AX1157,MAX(AX1157,G1157))))</f>
        <v>16</v>
      </c>
      <c r="AU1157" s="57" t="n">
        <f aca="false">IF(BR1157=1,0,ROUNDUP(AT1157/BQ1157,0))</f>
        <v>1</v>
      </c>
      <c r="AV1157" s="59" t="n">
        <f aca="false">IF(CD1157&gt;0,CD1157*MAX(1,AT1157/V1157),IF(BR1157=1,IF(AT1157&lt;=0,0,BS1157*MAX(1,IF(G1157&gt;0,AT1157/G1157,1))),IF(Q1157&gt;0,AU1157/Q1157,0))/MAX(0.1,N(Parameter!$M$21)))</f>
        <v>0.0192307692307692</v>
      </c>
      <c r="AW1157" s="57" t="n">
        <f aca="false">AT1157*F1157</f>
        <v>1820.32</v>
      </c>
      <c r="AX1157" s="57" t="n">
        <f aca="false">ROUNDUP(MAX(I1157/IF(BV1157&gt;0,BV1157,MAX(0.1,N(Cockpit!$O$6))),BY1157)/BQ1157,0)*BQ1157</f>
        <v>16</v>
      </c>
      <c r="AY1157" s="58" t="n">
        <f aca="false">IF(AV1157&gt;0,I1157/AV1157,-1)</f>
        <v>208</v>
      </c>
      <c r="AZ1157" s="58" t="n">
        <f aca="false">IF(AND(OR(BU1157="L1",BU1157="L23"),AV1157&gt;0),SUMIFS($AV$7:$AV$1576,$BU$7:$BU$1576,BU1157,$AY$7:$AY$1576,"&gt;"&amp;AY1157)+SUMIFS($AV$7:$AV$1576,$BU$7:$BU$1576,BU1157,$AY$7:$AY$1576,AY1157,$BO$7:$BO$1576,"&lt;="&amp;BO1157),"")</f>
        <v>45.6213084141457</v>
      </c>
      <c r="BA1157" s="65" t="n">
        <f aca="false">IF(AZ1157="",0,MAX(0,MIN(1,(IF(BU1157="L1",Parameter!$E$5,Parameter!$E$6+Parameter!$E$7)-(AZ1157-AV1157))/AV1157)))</f>
        <v>1</v>
      </c>
      <c r="BB1157" s="55" t="str">
        <f aca="false">IF(AF1157&lt;=0,"",IF(BU1157="Aussen","Aussenlager",IF(BU1157="-","Nicht im Lift",IF(AK1157&gt;=1,"Lift",IF(AK1157&lt;=0,"Aussenlager","teilweise")))))</f>
        <v/>
      </c>
      <c r="BC1157" s="55" t="str">
        <f aca="false">IF(AN1157&lt;=0,"",IF(BU1157="Aussen","Aussenlager",IF(BU1157="-","Nicht im Lift",IF(AS1157&gt;=1,"Lift",IF(AS1157&lt;=0,"Aussenlager","teilweise")))))</f>
        <v>Lift</v>
      </c>
      <c r="BD1157" s="55" t="str">
        <f aca="false">IF(AV1157&lt;=0,"",IF(BU1157="Aussen","Aussenlager",IF(BU1157="-","Nicht im Lift",IF(BA1157&gt;=1,"Lift",IF(BA1157&lt;=0,"Aussenlager","teilweise")))))</f>
        <v>Lift</v>
      </c>
      <c r="BE1157" s="55" t="str">
        <f aca="false">IF(A1157="","",IF(BN1157=1,"Neu; ","")&amp;IF(AND(BN1157=0,BI1157&lt;0),"negativer Bestand (Export "&amp;BI1157&amp;"); ","")&amp;IF(I1157&lt;=0,"Kein Verbrauch; ","")&amp;IF(CD1157&gt;0,"Lift "&amp;U1157&amp;" lt. Liftbericht (Fach "&amp;V1157&amp;" Stk); ",IF(BR1157=1,"Lose – Fläche geschätzt; ",""))&amp;IF(G1157&gt;AP1157,"Überbestand "&amp;ROUND(G1157-AP1157,0)&amp;" Stk / CHF "&amp;ROUND((G1157-AP1157)*F1157,0)&amp;"; ","")&amp;IF(AND(BW1157=1,BX1157&lt;BY1157),"MAX &lt; MB+LG; ","")&amp;IF(AND(CC1157&gt;0,CB1157*10&gt;CC1157),"zu hoch für Tablar; ","")&amp;IF(AND(BN1157=0,OR(BW1157=1,Y1157&lt;&gt;"",S1157&lt;&gt;"",T1157&lt;&gt;"",Z1157&lt;&gt;"")),"manuell übersteuert; ","")&amp;IF(AND(BR1157=0,Q1157=0),"Gebinde unbekannt / Stellmass fehlt; ","")&amp;IF(AND(BR1157=0,N(T1157)&lt;=0,N(P1157)&lt;=0),"Menge pro Gebinde fehlt (Ist = 1 Gebinde); ","")&amp;BM1157)</f>
        <v>negativer Bestand (Export -3); </v>
      </c>
      <c r="BF1157" s="55"/>
      <c r="BG1157" s="55"/>
      <c r="BH1157" s="62"/>
      <c r="BI1157" s="57" t="n">
        <v>-3</v>
      </c>
      <c r="BJ1157" s="57" t="n">
        <v>14</v>
      </c>
      <c r="BK1157" s="56" t="n">
        <v>-319.95</v>
      </c>
      <c r="BL1157" s="57" t="n">
        <v>4</v>
      </c>
      <c r="BM1157" s="55"/>
      <c r="BN1157" s="60" t="n">
        <v>0</v>
      </c>
      <c r="BO1157" s="60" t="n">
        <v>1157</v>
      </c>
      <c r="BP1157" s="55" t="str">
        <f aca="false">IF(S1157&lt;&gt;"",UPPER(TRIM(S1157)),IF(O1157="","LOSE",O1157))</f>
        <v>S41</v>
      </c>
      <c r="BQ1157" s="57" t="n">
        <f aca="false">IF(BP1157="LOSE",1,IF(N(T1157)&gt;0,T1157,IF(N(P1157)&gt;0,P1157,MAX(1,G1157))))</f>
        <v>16</v>
      </c>
      <c r="BR1157" s="60" t="n">
        <f aca="false">IF(BP1157="LOSE",1,0)</f>
        <v>0</v>
      </c>
      <c r="BS1157" s="59" t="n">
        <f aca="false">IF(BR1157=0,0,IF(N(R1157)&gt;0,R1157,IFERROR(VLOOKUP(D1157,Parameter!$A$35:$C$64,3,0)+0,0)))</f>
        <v>0</v>
      </c>
      <c r="BT1157" s="55" t="n">
        <f aca="false">IF(Y1157&lt;&gt;"",Y1157,X1157)</f>
        <v>3</v>
      </c>
      <c r="BU1157" s="55" t="str">
        <f aca="false">IF(BT1157=1,"L1",IF(OR(BT1157=2,BT1157=3),"L23",IF(BT1157="Aussen","Aussen","-")))</f>
        <v>L23</v>
      </c>
      <c r="BV1157" s="66" t="n">
        <f aca="false">IF(N(Z1157)&gt;0,Z1157,0)</f>
        <v>0</v>
      </c>
      <c r="BW1157" s="60" t="n">
        <f aca="false">IF(ISNUMBER(AC1157),1,0)</f>
        <v>0</v>
      </c>
      <c r="BX1157" s="57" t="n">
        <f aca="false">N(AC1157)</f>
        <v>0</v>
      </c>
      <c r="BY1157" s="57" t="n">
        <f aca="false">N(L1157)+N(M1157)</f>
        <v>5</v>
      </c>
      <c r="BZ1157" s="57" t="n">
        <f aca="false">ROUNDUP(G1157/BQ1157,0)</f>
        <v>0</v>
      </c>
      <c r="CA1157" s="57" t="n">
        <f aca="false">ROUNDUP(BX1157/BQ1157,0)</f>
        <v>0</v>
      </c>
      <c r="CB1157" s="60" t="n">
        <f aca="false">IF(BR1157=1,0,IFERROR(VLOOKUP(BP1157,'Gebinde-Kategorie'!$A$5:$M$45,5,0)+0,0))</f>
        <v>11</v>
      </c>
      <c r="CC1157" s="60" t="n">
        <f aca="false">IFERROR(IF(OR(BT1157=1,BT1157=2,BT1157=3),N(INDEX(Parameter!$I$5:$I$7,BT1157)),0),0)</f>
        <v>0</v>
      </c>
      <c r="CD1157" s="59" t="n">
        <f aca="false">IF(AND(Parameter!$B$21="Ja",ISNUMBER(U1157),N(V1157)&gt;0),IFERROR(N(INDEX(Parameter!$L$5:$L$7,U1157))*INDEX(Parameter!$E$5:$E$7,U1157)*V1157/SUMIFS($V$7:$V$1576,$U$7:$U$1576,U1157),0),0)</f>
        <v>0</v>
      </c>
    </row>
    <row r="1158" customFormat="false" ht="15" hidden="false" customHeight="false" outlineLevel="0" collapsed="false">
      <c r="A1158" s="55" t="s">
        <v>2077</v>
      </c>
      <c r="B1158" s="55" t="s">
        <v>1630</v>
      </c>
      <c r="C1158" s="55" t="s">
        <v>160</v>
      </c>
      <c r="D1158" s="55" t="s">
        <v>178</v>
      </c>
      <c r="E1158" s="55" t="s">
        <v>210</v>
      </c>
      <c r="F1158" s="56" t="n">
        <v>20</v>
      </c>
      <c r="G1158" s="57" t="n">
        <f aca="false">MAX(0,IF(AND(Parameter!$B$21="Ja",ISNUMBER(W1158)),W1158,IF(Parameter!$B$20="Jahresanfang 2025 + Export",BJ1158+BI1158,BI1158)))</f>
        <v>0</v>
      </c>
      <c r="H1158" s="57" t="n">
        <f aca="false">G1158*F1158</f>
        <v>0</v>
      </c>
      <c r="I1158" s="57" t="n">
        <f aca="false">BL1158*Parameter!$B$18</f>
        <v>0</v>
      </c>
      <c r="J1158" s="58" t="n">
        <v>16</v>
      </c>
      <c r="K1158" s="59" t="n">
        <v>0</v>
      </c>
      <c r="L1158" s="57" t="n">
        <v>0</v>
      </c>
      <c r="M1158" s="57" t="n">
        <v>1</v>
      </c>
      <c r="N1158" s="60" t="n">
        <v>35</v>
      </c>
      <c r="O1158" s="55" t="s">
        <v>163</v>
      </c>
      <c r="P1158" s="57"/>
      <c r="Q1158" s="60" t="n">
        <f aca="false">IF(BR1158=1,0,IFERROR(VLOOKUP(BP1158,'Gebinde-Kategorie'!$A$5:$M$45,13,0)+0,0))</f>
        <v>0</v>
      </c>
      <c r="R1158" s="61"/>
      <c r="S1158" s="62"/>
      <c r="T1158" s="62"/>
      <c r="U1158" s="55"/>
      <c r="V1158" s="57"/>
      <c r="W1158" s="57"/>
      <c r="X1158" s="55" t="n">
        <f aca="false">IF(A1158="","",IF(AND(Parameter!$B$21="Ja",ISNUMBER(U1158)),U1158,IF(IFERROR(VLOOKUP(D1158,Parameter!$A$35:$C$64,2,0),"Nein")="2+3",IF(ISNUMBER(SEARCH("grosser Artikel",BM1158)),2,IFERROR(VLOOKUP(BP1158,Parameter!$F$35:$G$64,2,0),2)),IF(OR(IFERROR(VLOOKUP(D1158,Parameter!$A$35:$C$64,2,0),"Nein")="Nein",IFERROR(VLOOKUP(D1158,Parameter!$A$35:$C$64,2,0),"Nein")=""),"-",VLOOKUP(D1158,Parameter!$A$35:$C$64,2,0)))))</f>
        <v>2</v>
      </c>
      <c r="Y1158" s="62"/>
      <c r="Z1158" s="63"/>
      <c r="AA1158" s="57" t="n">
        <f aca="false">AP1158</f>
        <v>1</v>
      </c>
      <c r="AB1158" s="57" t="n">
        <f aca="false">MAX(AP1158,G1158)</f>
        <v>1</v>
      </c>
      <c r="AC1158" s="64"/>
      <c r="AD1158" s="57" t="n">
        <f aca="false">IF(LEFT(Cockpit!$C$5,1)="A",G1158,IF(BW1158=1,BX1158,IF(LEFT(Cockpit!$C$5,1)="B",AH1158,MAX(AH1158,G1158))))</f>
        <v>0</v>
      </c>
      <c r="AE1158" s="57" t="n">
        <f aca="false">IF(BR1158=1,0,ROUNDUP(AD1158/BQ1158,0))</f>
        <v>0</v>
      </c>
      <c r="AF1158" s="59" t="n">
        <f aca="false">IF(CD1158&gt;0,CD1158*MAX(1,AD1158/V1158),IF(BR1158=1,IF(AD1158&lt;=0,0,BS1158*MAX(1,IF(G1158&gt;0,AD1158/G1158,1))),IF(Q1158&gt;0,AE1158/Q1158,0))/MAX(0.1,N(Parameter!$M$21)))</f>
        <v>0</v>
      </c>
      <c r="AG1158" s="57" t="n">
        <f aca="false">AD1158*F1158</f>
        <v>0</v>
      </c>
      <c r="AH1158" s="57" t="n">
        <f aca="false">ROUNDUP(MAX(I1158/IF(BV1158&gt;0,BV1158,MAX(0.1,N(Cockpit!$C$6))),BY1158)/BQ1158,0)*BQ1158</f>
        <v>1</v>
      </c>
      <c r="AI1158" s="58" t="n">
        <f aca="false">IF(AF1158&gt;0,I1158/AF1158,-1)</f>
        <v>-1</v>
      </c>
      <c r="AJ1158" s="58" t="str">
        <f aca="false">IF(AND(OR(BU1158="L1",BU1158="L23"),AF1158&gt;0),SUMIFS($AF$7:$AF$1576,$BU$7:$BU$1576,BU1158,$AI$7:$AI$1576,"&gt;"&amp;AI1158)+SUMIFS($AF$7:$AF$1576,$BU$7:$BU$1576,BU1158,$AI$7:$AI$1576,AI1158,$BO$7:$BO$1576,"&lt;="&amp;BO1158),"")</f>
        <v/>
      </c>
      <c r="AK1158" s="65" t="n">
        <f aca="false">IF(AJ1158="",0,MAX(0,MIN(1,(IF(BU1158="L1",Parameter!$E$5,Parameter!$E$6+Parameter!$E$7)-(AJ1158-AF1158))/AF1158)))</f>
        <v>0</v>
      </c>
      <c r="AL1158" s="57" t="n">
        <f aca="false">IF(LEFT(Cockpit!$I$5,1)="A",G1158,IF(BW1158=1,BX1158,IF(LEFT(Cockpit!$I$5,1)="B",AP1158,MAX(AP1158,G1158))))</f>
        <v>1</v>
      </c>
      <c r="AM1158" s="57" t="n">
        <f aca="false">IF(BR1158=1,0,ROUNDUP(AL1158/BQ1158,0))</f>
        <v>0</v>
      </c>
      <c r="AN1158" s="59" t="n">
        <f aca="false">IF(CD1158&gt;0,CD1158*MAX(1,AL1158/V1158),IF(BR1158=1,IF(AL1158&lt;=0,0,BS1158*MAX(1,IF(G1158&gt;0,AL1158/G1158,1))),IF(Q1158&gt;0,AM1158/Q1158,0))/MAX(0.1,N(Parameter!$M$21)))</f>
        <v>0.03</v>
      </c>
      <c r="AO1158" s="57" t="n">
        <f aca="false">AL1158*F1158</f>
        <v>20</v>
      </c>
      <c r="AP1158" s="57" t="n">
        <f aca="false">ROUNDUP(MAX(I1158/IF(BV1158&gt;0,BV1158,MAX(0.1,N(Cockpit!$I$6))),BY1158)/BQ1158,0)*BQ1158</f>
        <v>1</v>
      </c>
      <c r="AQ1158" s="58" t="n">
        <f aca="false">IF(AN1158&gt;0,I1158/AN1158,-1)</f>
        <v>0</v>
      </c>
      <c r="AR1158" s="58" t="n">
        <f aca="false">IF(AND(OR(BU1158="L1",BU1158="L23"),AN1158&gt;0),SUMIFS($AN$7:$AN$1576,$BU$7:$BU$1576,BU1158,$AQ$7:$AQ$1576,"&gt;"&amp;AQ1158)+SUMIFS($AN$7:$AN$1576,$BU$7:$BU$1576,BU1158,$AQ$7:$AQ$1576,AQ1158,$BO$7:$BO$1576,"&lt;="&amp;BO1158),"")</f>
        <v>134.937487319491</v>
      </c>
      <c r="AS1158" s="65" t="n">
        <f aca="false">IF(AR1158="",0,MAX(0,MIN(1,(IF(BU1158="L1",Parameter!$E$5,Parameter!$E$6+Parameter!$E$7)-(AR1158-AN1158))/AN1158)))</f>
        <v>0</v>
      </c>
      <c r="AT1158" s="57" t="n">
        <f aca="false">IF(LEFT(Cockpit!$O$5,1)="A",G1158,IF(BW1158=1,BX1158,IF(LEFT(Cockpit!$O$5,1)="B",AX1158,MAX(AX1158,G1158))))</f>
        <v>1</v>
      </c>
      <c r="AU1158" s="57" t="n">
        <f aca="false">IF(BR1158=1,0,ROUNDUP(AT1158/BQ1158,0))</f>
        <v>0</v>
      </c>
      <c r="AV1158" s="59" t="n">
        <f aca="false">IF(CD1158&gt;0,CD1158*MAX(1,AT1158/V1158),IF(BR1158=1,IF(AT1158&lt;=0,0,BS1158*MAX(1,IF(G1158&gt;0,AT1158/G1158,1))),IF(Q1158&gt;0,AU1158/Q1158,0))/MAX(0.1,N(Parameter!$M$21)))</f>
        <v>0.03</v>
      </c>
      <c r="AW1158" s="57" t="n">
        <f aca="false">AT1158*F1158</f>
        <v>20</v>
      </c>
      <c r="AX1158" s="57" t="n">
        <f aca="false">ROUNDUP(MAX(I1158/IF(BV1158&gt;0,BV1158,MAX(0.1,N(Cockpit!$O$6))),BY1158)/BQ1158,0)*BQ1158</f>
        <v>1</v>
      </c>
      <c r="AY1158" s="58" t="n">
        <f aca="false">IF(AV1158&gt;0,I1158/AV1158,-1)</f>
        <v>0</v>
      </c>
      <c r="AZ1158" s="58" t="n">
        <f aca="false">IF(AND(OR(BU1158="L1",BU1158="L23"),AV1158&gt;0),SUMIFS($AV$7:$AV$1576,$BU$7:$BU$1576,BU1158,$AY$7:$AY$1576,"&gt;"&amp;AY1158)+SUMIFS($AV$7:$AV$1576,$BU$7:$BU$1576,BU1158,$AY$7:$AY$1576,AY1158,$BO$7:$BO$1576,"&lt;="&amp;BO1158),"")</f>
        <v>124.997037769042</v>
      </c>
      <c r="BA1158" s="65" t="n">
        <f aca="false">IF(AZ1158="",0,MAX(0,MIN(1,(IF(BU1158="L1",Parameter!$E$5,Parameter!$E$6+Parameter!$E$7)-(AZ1158-AV1158))/AV1158)))</f>
        <v>0</v>
      </c>
      <c r="BB1158" s="55" t="str">
        <f aca="false">IF(AF1158&lt;=0,"",IF(BU1158="Aussen","Aussenlager",IF(BU1158="-","Nicht im Lift",IF(AK1158&gt;=1,"Lift",IF(AK1158&lt;=0,"Aussenlager","teilweise")))))</f>
        <v/>
      </c>
      <c r="BC1158" s="55" t="str">
        <f aca="false">IF(AN1158&lt;=0,"",IF(BU1158="Aussen","Aussenlager",IF(BU1158="-","Nicht im Lift",IF(AS1158&gt;=1,"Lift",IF(AS1158&lt;=0,"Aussenlager","teilweise")))))</f>
        <v>Aussenlager</v>
      </c>
      <c r="BD1158" s="55" t="str">
        <f aca="false">IF(AV1158&lt;=0,"",IF(BU1158="Aussen","Aussenlager",IF(BU1158="-","Nicht im Lift",IF(BA1158&gt;=1,"Lift",IF(BA1158&lt;=0,"Aussenlager","teilweise")))))</f>
        <v>Aussenlager</v>
      </c>
      <c r="BE1158" s="55" t="str">
        <f aca="false">IF(A1158="","",IF(BN1158=1,"Neu; ","")&amp;IF(AND(BN1158=0,BI1158&lt;0),"negativer Bestand (Export "&amp;BI1158&amp;"); ","")&amp;IF(I1158&lt;=0,"Kein Verbrauch; ","")&amp;IF(CD1158&gt;0,"Lift "&amp;U1158&amp;" lt. Liftbericht (Fach "&amp;V1158&amp;" Stk); ",IF(BR1158=1,"Lose – Fläche geschätzt; ",""))&amp;IF(G1158&gt;AP1158,"Überbestand "&amp;ROUND(G1158-AP1158,0)&amp;" Stk / CHF "&amp;ROUND((G1158-AP1158)*F1158,0)&amp;"; ","")&amp;IF(AND(BW1158=1,BX1158&lt;BY1158),"MAX &lt; MB+LG; ","")&amp;IF(AND(CC1158&gt;0,CB1158*10&gt;CC1158),"zu hoch für Tablar; ","")&amp;IF(AND(BN1158=0,OR(BW1158=1,Y1158&lt;&gt;"",S1158&lt;&gt;"",T1158&lt;&gt;"",Z1158&lt;&gt;"")),"manuell übersteuert; ","")&amp;IF(AND(BR1158=0,Q1158=0),"Gebinde unbekannt / Stellmass fehlt; ","")&amp;IF(AND(BR1158=0,N(T1158)&lt;=0,N(P1158)&lt;=0),"Menge pro Gebinde fehlt (Ist = 1 Gebinde); ","")&amp;BM1158)</f>
        <v>negativer Bestand (Export -16); Kein Verbrauch; Lose – Fläche geschätzt; </v>
      </c>
      <c r="BF1158" s="55"/>
      <c r="BG1158" s="55"/>
      <c r="BH1158" s="62"/>
      <c r="BI1158" s="57" t="n">
        <v>-16</v>
      </c>
      <c r="BJ1158" s="57" t="n">
        <v>16</v>
      </c>
      <c r="BK1158" s="56" t="n">
        <v>-320</v>
      </c>
      <c r="BL1158" s="57" t="n">
        <v>0</v>
      </c>
      <c r="BM1158" s="55"/>
      <c r="BN1158" s="60" t="n">
        <v>0</v>
      </c>
      <c r="BO1158" s="60" t="n">
        <v>1158</v>
      </c>
      <c r="BP1158" s="55" t="str">
        <f aca="false">IF(S1158&lt;&gt;"",UPPER(TRIM(S1158)),IF(O1158="","LOSE",O1158))</f>
        <v>LOSE</v>
      </c>
      <c r="BQ1158" s="57" t="n">
        <f aca="false">IF(BP1158="LOSE",1,IF(N(T1158)&gt;0,T1158,IF(N(P1158)&gt;0,P1158,MAX(1,G1158))))</f>
        <v>1</v>
      </c>
      <c r="BR1158" s="60" t="n">
        <f aca="false">IF(BP1158="LOSE",1,0)</f>
        <v>1</v>
      </c>
      <c r="BS1158" s="59" t="n">
        <f aca="false">IF(BR1158=0,0,IF(N(R1158)&gt;0,R1158,IFERROR(VLOOKUP(D1158,Parameter!$A$35:$C$64,3,0)+0,0)))</f>
        <v>0.03</v>
      </c>
      <c r="BT1158" s="55" t="n">
        <f aca="false">IF(Y1158&lt;&gt;"",Y1158,X1158)</f>
        <v>2</v>
      </c>
      <c r="BU1158" s="55" t="str">
        <f aca="false">IF(BT1158=1,"L1",IF(OR(BT1158=2,BT1158=3),"L23",IF(BT1158="Aussen","Aussen","-")))</f>
        <v>L23</v>
      </c>
      <c r="BV1158" s="66" t="n">
        <f aca="false">IF(N(Z1158)&gt;0,Z1158,0)</f>
        <v>0</v>
      </c>
      <c r="BW1158" s="60" t="n">
        <f aca="false">IF(ISNUMBER(AC1158),1,0)</f>
        <v>0</v>
      </c>
      <c r="BX1158" s="57" t="n">
        <f aca="false">N(AC1158)</f>
        <v>0</v>
      </c>
      <c r="BY1158" s="57" t="n">
        <f aca="false">N(L1158)+N(M1158)</f>
        <v>1</v>
      </c>
      <c r="BZ1158" s="57" t="n">
        <f aca="false">ROUNDUP(G1158/BQ1158,0)</f>
        <v>0</v>
      </c>
      <c r="CA1158" s="57" t="n">
        <f aca="false">ROUNDUP(BX1158/BQ1158,0)</f>
        <v>0</v>
      </c>
      <c r="CB1158" s="60" t="n">
        <f aca="false">IF(BR1158=1,0,IFERROR(VLOOKUP(BP1158,'Gebinde-Kategorie'!$A$5:$M$45,5,0)+0,0))</f>
        <v>0</v>
      </c>
      <c r="CC1158" s="60" t="n">
        <f aca="false">IFERROR(IF(OR(BT1158=1,BT1158=2,BT1158=3),N(INDEX(Parameter!$I$5:$I$7,BT1158)),0),0)</f>
        <v>0</v>
      </c>
      <c r="CD1158" s="59" t="n">
        <f aca="false">IF(AND(Parameter!$B$21="Ja",ISNUMBER(U1158),N(V1158)&gt;0),IFERROR(N(INDEX(Parameter!$L$5:$L$7,U1158))*INDEX(Parameter!$E$5:$E$7,U1158)*V1158/SUMIFS($V$7:$V$1576,$U$7:$U$1576,U1158),0),0)</f>
        <v>0</v>
      </c>
    </row>
    <row r="1159" customFormat="false" ht="15" hidden="false" customHeight="false" outlineLevel="0" collapsed="false">
      <c r="A1159" s="55" t="s">
        <v>2078</v>
      </c>
      <c r="B1159" s="55" t="s">
        <v>430</v>
      </c>
      <c r="C1159" s="55" t="s">
        <v>160</v>
      </c>
      <c r="D1159" s="55" t="s">
        <v>178</v>
      </c>
      <c r="E1159" s="55" t="s">
        <v>210</v>
      </c>
      <c r="F1159" s="56" t="n">
        <v>107</v>
      </c>
      <c r="G1159" s="57" t="n">
        <f aca="false">MAX(0,IF(AND(Parameter!$B$21="Ja",ISNUMBER(W1159)),W1159,IF(Parameter!$B$20="Jahresanfang 2025 + Export",BJ1159+BI1159,BI1159)))</f>
        <v>0</v>
      </c>
      <c r="H1159" s="57" t="n">
        <f aca="false">G1159*F1159</f>
        <v>0</v>
      </c>
      <c r="I1159" s="57" t="n">
        <f aca="false">BL1159*Parameter!$B$18</f>
        <v>8</v>
      </c>
      <c r="J1159" s="58" t="n">
        <v>17</v>
      </c>
      <c r="K1159" s="59" t="n">
        <v>0.470588235294118</v>
      </c>
      <c r="L1159" s="57" t="n">
        <v>1</v>
      </c>
      <c r="M1159" s="57" t="n">
        <v>10</v>
      </c>
      <c r="N1159" s="60" t="n">
        <v>84</v>
      </c>
      <c r="O1159" s="55" t="s">
        <v>225</v>
      </c>
      <c r="P1159" s="57" t="n">
        <v>50</v>
      </c>
      <c r="Q1159" s="60" t="n">
        <f aca="false">IF(BR1159=1,0,IFERROR(VLOOKUP(BP1159,'Gebinde-Kategorie'!$A$5:$M$45,13,0)+0,0))</f>
        <v>26</v>
      </c>
      <c r="R1159" s="61"/>
      <c r="S1159" s="62"/>
      <c r="T1159" s="62"/>
      <c r="U1159" s="55"/>
      <c r="V1159" s="57"/>
      <c r="W1159" s="57"/>
      <c r="X1159" s="55" t="n">
        <f aca="false">IF(A1159="","",IF(AND(Parameter!$B$21="Ja",ISNUMBER(U1159)),U1159,IF(IFERROR(VLOOKUP(D1159,Parameter!$A$35:$C$64,2,0),"Nein")="2+3",IF(ISNUMBER(SEARCH("grosser Artikel",BM1159)),2,IFERROR(VLOOKUP(BP1159,Parameter!$F$35:$G$64,2,0),2)),IF(OR(IFERROR(VLOOKUP(D1159,Parameter!$A$35:$C$64,2,0),"Nein")="Nein",IFERROR(VLOOKUP(D1159,Parameter!$A$35:$C$64,2,0),"Nein")=""),"-",VLOOKUP(D1159,Parameter!$A$35:$C$64,2,0)))))</f>
        <v>3</v>
      </c>
      <c r="Y1159" s="62"/>
      <c r="Z1159" s="63"/>
      <c r="AA1159" s="57" t="n">
        <f aca="false">AP1159</f>
        <v>50</v>
      </c>
      <c r="AB1159" s="57" t="n">
        <f aca="false">MAX(AP1159,G1159)</f>
        <v>50</v>
      </c>
      <c r="AC1159" s="64"/>
      <c r="AD1159" s="57" t="n">
        <f aca="false">IF(LEFT(Cockpit!$C$5,1)="A",G1159,IF(BW1159=1,BX1159,IF(LEFT(Cockpit!$C$5,1)="B",AH1159,MAX(AH1159,G1159))))</f>
        <v>0</v>
      </c>
      <c r="AE1159" s="57" t="n">
        <f aca="false">IF(BR1159=1,0,ROUNDUP(AD1159/BQ1159,0))</f>
        <v>0</v>
      </c>
      <c r="AF1159" s="59" t="n">
        <f aca="false">IF(CD1159&gt;0,CD1159*MAX(1,AD1159/V1159),IF(BR1159=1,IF(AD1159&lt;=0,0,BS1159*MAX(1,IF(G1159&gt;0,AD1159/G1159,1))),IF(Q1159&gt;0,AE1159/Q1159,0))/MAX(0.1,N(Parameter!$M$21)))</f>
        <v>0</v>
      </c>
      <c r="AG1159" s="57" t="n">
        <f aca="false">AD1159*F1159</f>
        <v>0</v>
      </c>
      <c r="AH1159" s="57" t="n">
        <f aca="false">ROUNDUP(MAX(I1159/IF(BV1159&gt;0,BV1159,MAX(0.1,N(Cockpit!$C$6))),BY1159)/BQ1159,0)*BQ1159</f>
        <v>50</v>
      </c>
      <c r="AI1159" s="58" t="n">
        <f aca="false">IF(AF1159&gt;0,I1159/AF1159,-1)</f>
        <v>-1</v>
      </c>
      <c r="AJ1159" s="58" t="str">
        <f aca="false">IF(AND(OR(BU1159="L1",BU1159="L23"),AF1159&gt;0),SUMIFS($AF$7:$AF$1576,$BU$7:$BU$1576,BU1159,$AI$7:$AI$1576,"&gt;"&amp;AI1159)+SUMIFS($AF$7:$AF$1576,$BU$7:$BU$1576,BU1159,$AI$7:$AI$1576,AI1159,$BO$7:$BO$1576,"&lt;="&amp;BO1159),"")</f>
        <v/>
      </c>
      <c r="AK1159" s="65" t="n">
        <f aca="false">IF(AJ1159="",0,MAX(0,MIN(1,(IF(BU1159="L1",Parameter!$E$5,Parameter!$E$6+Parameter!$E$7)-(AJ1159-AF1159))/AF1159)))</f>
        <v>0</v>
      </c>
      <c r="AL1159" s="57" t="n">
        <f aca="false">IF(LEFT(Cockpit!$I$5,1)="A",G1159,IF(BW1159=1,BX1159,IF(LEFT(Cockpit!$I$5,1)="B",AP1159,MAX(AP1159,G1159))))</f>
        <v>50</v>
      </c>
      <c r="AM1159" s="57" t="n">
        <f aca="false">IF(BR1159=1,0,ROUNDUP(AL1159/BQ1159,0))</f>
        <v>1</v>
      </c>
      <c r="AN1159" s="59" t="n">
        <f aca="false">IF(CD1159&gt;0,CD1159*MAX(1,AL1159/V1159),IF(BR1159=1,IF(AL1159&lt;=0,0,BS1159*MAX(1,IF(G1159&gt;0,AL1159/G1159,1))),IF(Q1159&gt;0,AM1159/Q1159,0))/MAX(0.1,N(Parameter!$M$21)))</f>
        <v>0.0384615384615385</v>
      </c>
      <c r="AO1159" s="57" t="n">
        <f aca="false">AL1159*F1159</f>
        <v>5350</v>
      </c>
      <c r="AP1159" s="57" t="n">
        <f aca="false">ROUNDUP(MAX(I1159/IF(BV1159&gt;0,BV1159,MAX(0.1,N(Cockpit!$I$6))),BY1159)/BQ1159,0)*BQ1159</f>
        <v>50</v>
      </c>
      <c r="AQ1159" s="58" t="n">
        <f aca="false">IF(AN1159&gt;0,I1159/AN1159,-1)</f>
        <v>208</v>
      </c>
      <c r="AR1159" s="58" t="n">
        <f aca="false">IF(AND(OR(BU1159="L1",BU1159="L23"),AN1159&gt;0),SUMIFS($AN$7:$AN$1576,$BU$7:$BU$1576,BU1159,$AQ$7:$AQ$1576,"&gt;"&amp;AQ1159)+SUMIFS($AN$7:$AN$1576,$BU$7:$BU$1576,BU1159,$AQ$7:$AQ$1576,AQ1159,$BO$7:$BO$1576,"&lt;="&amp;BO1159),"")</f>
        <v>49.2135095463468</v>
      </c>
      <c r="AS1159" s="65" t="n">
        <f aca="false">IF(AR1159="",0,MAX(0,MIN(1,(IF(BU1159="L1",Parameter!$E$5,Parameter!$E$6+Parameter!$E$7)-(AR1159-AN1159))/AN1159)))</f>
        <v>1</v>
      </c>
      <c r="AT1159" s="57" t="n">
        <f aca="false">IF(LEFT(Cockpit!$O$5,1)="A",G1159,IF(BW1159=1,BX1159,IF(LEFT(Cockpit!$O$5,1)="B",AX1159,MAX(AX1159,G1159))))</f>
        <v>50</v>
      </c>
      <c r="AU1159" s="57" t="n">
        <f aca="false">IF(BR1159=1,0,ROUNDUP(AT1159/BQ1159,0))</f>
        <v>1</v>
      </c>
      <c r="AV1159" s="59" t="n">
        <f aca="false">IF(CD1159&gt;0,CD1159*MAX(1,AT1159/V1159),IF(BR1159=1,IF(AT1159&lt;=0,0,BS1159*MAX(1,IF(G1159&gt;0,AT1159/G1159,1))),IF(Q1159&gt;0,AU1159/Q1159,0))/MAX(0.1,N(Parameter!$M$21)))</f>
        <v>0.0384615384615385</v>
      </c>
      <c r="AW1159" s="57" t="n">
        <f aca="false">AT1159*F1159</f>
        <v>5350</v>
      </c>
      <c r="AX1159" s="57" t="n">
        <f aca="false">ROUNDUP(MAX(I1159/IF(BV1159&gt;0,BV1159,MAX(0.1,N(Cockpit!$O$6))),BY1159)/BQ1159,0)*BQ1159</f>
        <v>50</v>
      </c>
      <c r="AY1159" s="58" t="n">
        <f aca="false">IF(AV1159&gt;0,I1159/AV1159,-1)</f>
        <v>208</v>
      </c>
      <c r="AZ1159" s="58" t="n">
        <f aca="false">IF(AND(OR(BU1159="L1",BU1159="L23"),AV1159&gt;0),SUMIFS($AV$7:$AV$1576,$BU$7:$BU$1576,BU1159,$AY$7:$AY$1576,"&gt;"&amp;AY1159)+SUMIFS($AV$7:$AV$1576,$BU$7:$BU$1576,BU1159,$AY$7:$AY$1576,AY1159,$BO$7:$BO$1576,"&lt;="&amp;BO1159),"")</f>
        <v>45.6597699526072</v>
      </c>
      <c r="BA1159" s="65" t="n">
        <f aca="false">IF(AZ1159="",0,MAX(0,MIN(1,(IF(BU1159="L1",Parameter!$E$5,Parameter!$E$6+Parameter!$E$7)-(AZ1159-AV1159))/AV1159)))</f>
        <v>1</v>
      </c>
      <c r="BB1159" s="55" t="str">
        <f aca="false">IF(AF1159&lt;=0,"",IF(BU1159="Aussen","Aussenlager",IF(BU1159="-","Nicht im Lift",IF(AK1159&gt;=1,"Lift",IF(AK1159&lt;=0,"Aussenlager","teilweise")))))</f>
        <v/>
      </c>
      <c r="BC1159" s="55" t="str">
        <f aca="false">IF(AN1159&lt;=0,"",IF(BU1159="Aussen","Aussenlager",IF(BU1159="-","Nicht im Lift",IF(AS1159&gt;=1,"Lift",IF(AS1159&lt;=0,"Aussenlager","teilweise")))))</f>
        <v>Lift</v>
      </c>
      <c r="BD1159" s="55" t="str">
        <f aca="false">IF(AV1159&lt;=0,"",IF(BU1159="Aussen","Aussenlager",IF(BU1159="-","Nicht im Lift",IF(BA1159&gt;=1,"Lift",IF(BA1159&lt;=0,"Aussenlager","teilweise")))))</f>
        <v>Lift</v>
      </c>
      <c r="BE1159" s="55" t="str">
        <f aca="false">IF(A1159="","",IF(BN1159=1,"Neu; ","")&amp;IF(AND(BN1159=0,BI1159&lt;0),"negativer Bestand (Export "&amp;BI1159&amp;"); ","")&amp;IF(I1159&lt;=0,"Kein Verbrauch; ","")&amp;IF(CD1159&gt;0,"Lift "&amp;U1159&amp;" lt. Liftbericht (Fach "&amp;V1159&amp;" Stk); ",IF(BR1159=1,"Lose – Fläche geschätzt; ",""))&amp;IF(G1159&gt;AP1159,"Überbestand "&amp;ROUND(G1159-AP1159,0)&amp;" Stk / CHF "&amp;ROUND((G1159-AP1159)*F1159,0)&amp;"; ","")&amp;IF(AND(BW1159=1,BX1159&lt;BY1159),"MAX &lt; MB+LG; ","")&amp;IF(AND(CC1159&gt;0,CB1159*10&gt;CC1159),"zu hoch für Tablar; ","")&amp;IF(AND(BN1159=0,OR(BW1159=1,Y1159&lt;&gt;"",S1159&lt;&gt;"",T1159&lt;&gt;"",Z1159&lt;&gt;"")),"manuell übersteuert; ","")&amp;IF(AND(BR1159=0,Q1159=0),"Gebinde unbekannt / Stellmass fehlt; ","")&amp;IF(AND(BR1159=0,N(T1159)&lt;=0,N(P1159)&lt;=0),"Menge pro Gebinde fehlt (Ist = 1 Gebinde); ","")&amp;BM1159)</f>
        <v>negativer Bestand (Export -3); </v>
      </c>
      <c r="BF1159" s="55"/>
      <c r="BG1159" s="55"/>
      <c r="BH1159" s="62"/>
      <c r="BI1159" s="57" t="n">
        <v>-3</v>
      </c>
      <c r="BJ1159" s="57" t="n">
        <v>19</v>
      </c>
      <c r="BK1159" s="56" t="n">
        <v>-321</v>
      </c>
      <c r="BL1159" s="57" t="n">
        <v>8</v>
      </c>
      <c r="BM1159" s="55"/>
      <c r="BN1159" s="60" t="n">
        <v>0</v>
      </c>
      <c r="BO1159" s="60" t="n">
        <v>1159</v>
      </c>
      <c r="BP1159" s="55" t="str">
        <f aca="false">IF(S1159&lt;&gt;"",UPPER(TRIM(S1159)),IF(O1159="","LOSE",O1159))</f>
        <v>S52</v>
      </c>
      <c r="BQ1159" s="57" t="n">
        <f aca="false">IF(BP1159="LOSE",1,IF(N(T1159)&gt;0,T1159,IF(N(P1159)&gt;0,P1159,MAX(1,G1159))))</f>
        <v>50</v>
      </c>
      <c r="BR1159" s="60" t="n">
        <f aca="false">IF(BP1159="LOSE",1,0)</f>
        <v>0</v>
      </c>
      <c r="BS1159" s="59" t="n">
        <f aca="false">IF(BR1159=0,0,IF(N(R1159)&gt;0,R1159,IFERROR(VLOOKUP(D1159,Parameter!$A$35:$C$64,3,0)+0,0)))</f>
        <v>0</v>
      </c>
      <c r="BT1159" s="55" t="n">
        <f aca="false">IF(Y1159&lt;&gt;"",Y1159,X1159)</f>
        <v>3</v>
      </c>
      <c r="BU1159" s="55" t="str">
        <f aca="false">IF(BT1159=1,"L1",IF(OR(BT1159=2,BT1159=3),"L23",IF(BT1159="Aussen","Aussen","-")))</f>
        <v>L23</v>
      </c>
      <c r="BV1159" s="66" t="n">
        <f aca="false">IF(N(Z1159)&gt;0,Z1159,0)</f>
        <v>0</v>
      </c>
      <c r="BW1159" s="60" t="n">
        <f aca="false">IF(ISNUMBER(AC1159),1,0)</f>
        <v>0</v>
      </c>
      <c r="BX1159" s="57" t="n">
        <f aca="false">N(AC1159)</f>
        <v>0</v>
      </c>
      <c r="BY1159" s="57" t="n">
        <f aca="false">N(L1159)+N(M1159)</f>
        <v>11</v>
      </c>
      <c r="BZ1159" s="57" t="n">
        <f aca="false">ROUNDUP(G1159/BQ1159,0)</f>
        <v>0</v>
      </c>
      <c r="CA1159" s="57" t="n">
        <f aca="false">ROUNDUP(BX1159/BQ1159,0)</f>
        <v>0</v>
      </c>
      <c r="CB1159" s="60" t="n">
        <f aca="false">IF(BR1159=1,0,IFERROR(VLOOKUP(BP1159,'Gebinde-Kategorie'!$A$5:$M$45,5,0)+0,0))</f>
        <v>21</v>
      </c>
      <c r="CC1159" s="60" t="n">
        <f aca="false">IFERROR(IF(OR(BT1159=1,BT1159=2,BT1159=3),N(INDEX(Parameter!$I$5:$I$7,BT1159)),0),0)</f>
        <v>0</v>
      </c>
      <c r="CD1159" s="59" t="n">
        <f aca="false">IF(AND(Parameter!$B$21="Ja",ISNUMBER(U1159),N(V1159)&gt;0),IFERROR(N(INDEX(Parameter!$L$5:$L$7,U1159))*INDEX(Parameter!$E$5:$E$7,U1159)*V1159/SUMIFS($V$7:$V$1576,$U$7:$U$1576,U1159),0),0)</f>
        <v>0</v>
      </c>
    </row>
    <row r="1160" customFormat="false" ht="15" hidden="false" customHeight="false" outlineLevel="0" collapsed="false">
      <c r="A1160" s="55" t="s">
        <v>2079</v>
      </c>
      <c r="B1160" s="55" t="s">
        <v>2080</v>
      </c>
      <c r="C1160" s="55" t="s">
        <v>160</v>
      </c>
      <c r="D1160" s="55" t="s">
        <v>168</v>
      </c>
      <c r="E1160" s="55" t="s">
        <v>210</v>
      </c>
      <c r="F1160" s="56" t="n">
        <v>4.95</v>
      </c>
      <c r="G1160" s="57" t="n">
        <f aca="false">MAX(0,IF(AND(Parameter!$B$21="Ja",ISNUMBER(W1160)),W1160,IF(Parameter!$B$20="Jahresanfang 2025 + Export",BJ1160+BI1160,BI1160)))</f>
        <v>0</v>
      </c>
      <c r="H1160" s="57" t="n">
        <f aca="false">G1160*F1160</f>
        <v>0</v>
      </c>
      <c r="I1160" s="57" t="n">
        <f aca="false">BL1160*Parameter!$B$18</f>
        <v>143</v>
      </c>
      <c r="J1160" s="58" t="n">
        <v>100</v>
      </c>
      <c r="K1160" s="59" t="n">
        <v>1.43</v>
      </c>
      <c r="L1160" s="57" t="n">
        <v>25</v>
      </c>
      <c r="M1160" s="57" t="n">
        <v>10</v>
      </c>
      <c r="N1160" s="60" t="n">
        <v>28</v>
      </c>
      <c r="O1160" s="55" t="s">
        <v>163</v>
      </c>
      <c r="P1160" s="57"/>
      <c r="Q1160" s="60" t="n">
        <f aca="false">IF(BR1160=1,0,IFERROR(VLOOKUP(BP1160,'Gebinde-Kategorie'!$A$5:$M$45,13,0)+0,0))</f>
        <v>0</v>
      </c>
      <c r="R1160" s="61"/>
      <c r="S1160" s="62"/>
      <c r="T1160" s="62"/>
      <c r="U1160" s="55"/>
      <c r="V1160" s="57"/>
      <c r="W1160" s="57"/>
      <c r="X1160" s="55" t="n">
        <f aca="false">IF(A1160="","",IF(AND(Parameter!$B$21="Ja",ISNUMBER(U1160)),U1160,IF(IFERROR(VLOOKUP(D1160,Parameter!$A$35:$C$64,2,0),"Nein")="2+3",IF(ISNUMBER(SEARCH("grosser Artikel",BM1160)),2,IFERROR(VLOOKUP(BP1160,Parameter!$F$35:$G$64,2,0),2)),IF(OR(IFERROR(VLOOKUP(D1160,Parameter!$A$35:$C$64,2,0),"Nein")="Nein",IFERROR(VLOOKUP(D1160,Parameter!$A$35:$C$64,2,0),"Nein")=""),"-",VLOOKUP(D1160,Parameter!$A$35:$C$64,2,0)))))</f>
        <v>2</v>
      </c>
      <c r="Y1160" s="62"/>
      <c r="Z1160" s="63"/>
      <c r="AA1160" s="57" t="n">
        <f aca="false">AP1160</f>
        <v>72</v>
      </c>
      <c r="AB1160" s="57" t="n">
        <f aca="false">MAX(AP1160,G1160)</f>
        <v>72</v>
      </c>
      <c r="AC1160" s="64"/>
      <c r="AD1160" s="57" t="n">
        <f aca="false">IF(LEFT(Cockpit!$C$5,1)="A",G1160,IF(BW1160=1,BX1160,IF(LEFT(Cockpit!$C$5,1)="B",AH1160,MAX(AH1160,G1160))))</f>
        <v>0</v>
      </c>
      <c r="AE1160" s="57" t="n">
        <f aca="false">IF(BR1160=1,0,ROUNDUP(AD1160/BQ1160,0))</f>
        <v>0</v>
      </c>
      <c r="AF1160" s="59" t="n">
        <f aca="false">IF(CD1160&gt;0,CD1160*MAX(1,AD1160/V1160),IF(BR1160=1,IF(AD1160&lt;=0,0,BS1160*MAX(1,IF(G1160&gt;0,AD1160/G1160,1))),IF(Q1160&gt;0,AE1160/Q1160,0))/MAX(0.1,N(Parameter!$M$21)))</f>
        <v>0</v>
      </c>
      <c r="AG1160" s="57" t="n">
        <f aca="false">AD1160*F1160</f>
        <v>0</v>
      </c>
      <c r="AH1160" s="57" t="n">
        <f aca="false">ROUNDUP(MAX(I1160/IF(BV1160&gt;0,BV1160,MAX(0.1,N(Cockpit!$C$6))),BY1160)/BQ1160,0)*BQ1160</f>
        <v>72</v>
      </c>
      <c r="AI1160" s="58" t="n">
        <f aca="false">IF(AF1160&gt;0,I1160/AF1160,-1)</f>
        <v>-1</v>
      </c>
      <c r="AJ1160" s="58" t="str">
        <f aca="false">IF(AND(OR(BU1160="L1",BU1160="L23"),AF1160&gt;0),SUMIFS($AF$7:$AF$1576,$BU$7:$BU$1576,BU1160,$AI$7:$AI$1576,"&gt;"&amp;AI1160)+SUMIFS($AF$7:$AF$1576,$BU$7:$BU$1576,BU1160,$AI$7:$AI$1576,AI1160,$BO$7:$BO$1576,"&lt;="&amp;BO1160),"")</f>
        <v/>
      </c>
      <c r="AK1160" s="65" t="n">
        <f aca="false">IF(AJ1160="",0,MAX(0,MIN(1,(IF(BU1160="L1",Parameter!$E$5,Parameter!$E$6+Parameter!$E$7)-(AJ1160-AF1160))/AF1160)))</f>
        <v>0</v>
      </c>
      <c r="AL1160" s="57" t="n">
        <f aca="false">IF(LEFT(Cockpit!$I$5,1)="A",G1160,IF(BW1160=1,BX1160,IF(LEFT(Cockpit!$I$5,1)="B",AP1160,MAX(AP1160,G1160))))</f>
        <v>72</v>
      </c>
      <c r="AM1160" s="57" t="n">
        <f aca="false">IF(BR1160=1,0,ROUNDUP(AL1160/BQ1160,0))</f>
        <v>0</v>
      </c>
      <c r="AN1160" s="59" t="n">
        <f aca="false">IF(CD1160&gt;0,CD1160*MAX(1,AL1160/V1160),IF(BR1160=1,IF(AL1160&lt;=0,0,BS1160*MAX(1,IF(G1160&gt;0,AL1160/G1160,1))),IF(Q1160&gt;0,AM1160/Q1160,0))/MAX(0.1,N(Parameter!$M$21)))</f>
        <v>0.15</v>
      </c>
      <c r="AO1160" s="57" t="n">
        <f aca="false">AL1160*F1160</f>
        <v>356.4</v>
      </c>
      <c r="AP1160" s="57" t="n">
        <f aca="false">ROUNDUP(MAX(I1160/IF(BV1160&gt;0,BV1160,MAX(0.1,N(Cockpit!$I$6))),BY1160)/BQ1160,0)*BQ1160</f>
        <v>72</v>
      </c>
      <c r="AQ1160" s="58" t="n">
        <f aca="false">IF(AN1160&gt;0,I1160/AN1160,-1)</f>
        <v>953.333333333333</v>
      </c>
      <c r="AR1160" s="58" t="n">
        <f aca="false">IF(AND(OR(BU1160="L1",BU1160="L23"),AN1160&gt;0),SUMIFS($AN$7:$AN$1576,$BU$7:$BU$1576,BU1160,$AQ$7:$AQ$1576,"&gt;"&amp;AQ1160)+SUMIFS($AN$7:$AN$1576,$BU$7:$BU$1576,BU1160,$AQ$7:$AQ$1576,AQ1160,$BO$7:$BO$1576,"&lt;="&amp;BO1160),"")</f>
        <v>23.4750258078631</v>
      </c>
      <c r="AS1160" s="65" t="n">
        <f aca="false">IF(AR1160="",0,MAX(0,MIN(1,(IF(BU1160="L1",Parameter!$E$5,Parameter!$E$6+Parameter!$E$7)-(AR1160-AN1160))/AN1160)))</f>
        <v>1</v>
      </c>
      <c r="AT1160" s="57" t="n">
        <f aca="false">IF(LEFT(Cockpit!$O$5,1)="A",G1160,IF(BW1160=1,BX1160,IF(LEFT(Cockpit!$O$5,1)="B",AX1160,MAX(AX1160,G1160))))</f>
        <v>48</v>
      </c>
      <c r="AU1160" s="57" t="n">
        <f aca="false">IF(BR1160=1,0,ROUNDUP(AT1160/BQ1160,0))</f>
        <v>0</v>
      </c>
      <c r="AV1160" s="59" t="n">
        <f aca="false">IF(CD1160&gt;0,CD1160*MAX(1,AT1160/V1160),IF(BR1160=1,IF(AT1160&lt;=0,0,BS1160*MAX(1,IF(G1160&gt;0,AT1160/G1160,1))),IF(Q1160&gt;0,AU1160/Q1160,0))/MAX(0.1,N(Parameter!$M$21)))</f>
        <v>0.15</v>
      </c>
      <c r="AW1160" s="57" t="n">
        <f aca="false">AT1160*F1160</f>
        <v>237.6</v>
      </c>
      <c r="AX1160" s="57" t="n">
        <f aca="false">ROUNDUP(MAX(I1160/IF(BV1160&gt;0,BV1160,MAX(0.1,N(Cockpit!$O$6))),BY1160)/BQ1160,0)*BQ1160</f>
        <v>48</v>
      </c>
      <c r="AY1160" s="58" t="n">
        <f aca="false">IF(AV1160&gt;0,I1160/AV1160,-1)</f>
        <v>953.333333333333</v>
      </c>
      <c r="AZ1160" s="58" t="n">
        <f aca="false">IF(AND(OR(BU1160="L1",BU1160="L23"),AV1160&gt;0),SUMIFS($AV$7:$AV$1576,$BU$7:$BU$1576,BU1160,$AY$7:$AY$1576,"&gt;"&amp;AY1160)+SUMIFS($AV$7:$AV$1576,$BU$7:$BU$1576,BU1160,$AY$7:$AY$1576,AY1160,$BO$7:$BO$1576,"&lt;="&amp;BO1160),"")</f>
        <v>22.5420421248794</v>
      </c>
      <c r="BA1160" s="65" t="n">
        <f aca="false">IF(AZ1160="",0,MAX(0,MIN(1,(IF(BU1160="L1",Parameter!$E$5,Parameter!$E$6+Parameter!$E$7)-(AZ1160-AV1160))/AV1160)))</f>
        <v>1</v>
      </c>
      <c r="BB1160" s="55" t="str">
        <f aca="false">IF(AF1160&lt;=0,"",IF(BU1160="Aussen","Aussenlager",IF(BU1160="-","Nicht im Lift",IF(AK1160&gt;=1,"Lift",IF(AK1160&lt;=0,"Aussenlager","teilweise")))))</f>
        <v/>
      </c>
      <c r="BC1160" s="55" t="str">
        <f aca="false">IF(AN1160&lt;=0,"",IF(BU1160="Aussen","Aussenlager",IF(BU1160="-","Nicht im Lift",IF(AS1160&gt;=1,"Lift",IF(AS1160&lt;=0,"Aussenlager","teilweise")))))</f>
        <v>Lift</v>
      </c>
      <c r="BD1160" s="55" t="str">
        <f aca="false">IF(AV1160&lt;=0,"",IF(BU1160="Aussen","Aussenlager",IF(BU1160="-","Nicht im Lift",IF(BA1160&gt;=1,"Lift",IF(BA1160&lt;=0,"Aussenlager","teilweise")))))</f>
        <v>Lift</v>
      </c>
      <c r="BE1160" s="55" t="str">
        <f aca="false">IF(A1160="","",IF(BN1160=1,"Neu; ","")&amp;IF(AND(BN1160=0,BI1160&lt;0),"negativer Bestand (Export "&amp;BI1160&amp;"); ","")&amp;IF(I1160&lt;=0,"Kein Verbrauch; ","")&amp;IF(CD1160&gt;0,"Lift "&amp;U1160&amp;" lt. Liftbericht (Fach "&amp;V1160&amp;" Stk); ",IF(BR1160=1,"Lose – Fläche geschätzt; ",""))&amp;IF(G1160&gt;AP1160,"Überbestand "&amp;ROUND(G1160-AP1160,0)&amp;" Stk / CHF "&amp;ROUND((G1160-AP1160)*F1160,0)&amp;"; ","")&amp;IF(AND(BW1160=1,BX1160&lt;BY1160),"MAX &lt; MB+LG; ","")&amp;IF(AND(CC1160&gt;0,CB1160*10&gt;CC1160),"zu hoch für Tablar; ","")&amp;IF(AND(BN1160=0,OR(BW1160=1,Y1160&lt;&gt;"",S1160&lt;&gt;"",T1160&lt;&gt;"",Z1160&lt;&gt;"")),"manuell übersteuert; ","")&amp;IF(AND(BR1160=0,Q1160=0),"Gebinde unbekannt / Stellmass fehlt; ","")&amp;IF(AND(BR1160=0,N(T1160)&lt;=0,N(P1160)&lt;=0),"Menge pro Gebinde fehlt (Ist = 1 Gebinde); ","")&amp;BM1160)</f>
        <v>negativer Bestand (Export -50); Lose – Fläche geschätzt; </v>
      </c>
      <c r="BF1160" s="55"/>
      <c r="BG1160" s="55"/>
      <c r="BH1160" s="62"/>
      <c r="BI1160" s="57" t="n">
        <v>-50</v>
      </c>
      <c r="BJ1160" s="57" t="n">
        <v>100</v>
      </c>
      <c r="BK1160" s="56" t="n">
        <v>-322.5</v>
      </c>
      <c r="BL1160" s="57" t="n">
        <v>143</v>
      </c>
      <c r="BM1160" s="55"/>
      <c r="BN1160" s="60" t="n">
        <v>0</v>
      </c>
      <c r="BO1160" s="60" t="n">
        <v>1160</v>
      </c>
      <c r="BP1160" s="55" t="str">
        <f aca="false">IF(S1160&lt;&gt;"",UPPER(TRIM(S1160)),IF(O1160="","LOSE",O1160))</f>
        <v>LOSE</v>
      </c>
      <c r="BQ1160" s="57" t="n">
        <f aca="false">IF(BP1160="LOSE",1,IF(N(T1160)&gt;0,T1160,IF(N(P1160)&gt;0,P1160,MAX(1,G1160))))</f>
        <v>1</v>
      </c>
      <c r="BR1160" s="60" t="n">
        <f aca="false">IF(BP1160="LOSE",1,0)</f>
        <v>1</v>
      </c>
      <c r="BS1160" s="59" t="n">
        <f aca="false">IF(BR1160=0,0,IF(N(R1160)&gt;0,R1160,IFERROR(VLOOKUP(D1160,Parameter!$A$35:$C$64,3,0)+0,0)))</f>
        <v>0.15</v>
      </c>
      <c r="BT1160" s="55" t="n">
        <f aca="false">IF(Y1160&lt;&gt;"",Y1160,X1160)</f>
        <v>2</v>
      </c>
      <c r="BU1160" s="55" t="str">
        <f aca="false">IF(BT1160=1,"L1",IF(OR(BT1160=2,BT1160=3),"L23",IF(BT1160="Aussen","Aussen","-")))</f>
        <v>L23</v>
      </c>
      <c r="BV1160" s="66" t="n">
        <f aca="false">IF(N(Z1160)&gt;0,Z1160,0)</f>
        <v>0</v>
      </c>
      <c r="BW1160" s="60" t="n">
        <f aca="false">IF(ISNUMBER(AC1160),1,0)</f>
        <v>0</v>
      </c>
      <c r="BX1160" s="57" t="n">
        <f aca="false">N(AC1160)</f>
        <v>0</v>
      </c>
      <c r="BY1160" s="57" t="n">
        <f aca="false">N(L1160)+N(M1160)</f>
        <v>35</v>
      </c>
      <c r="BZ1160" s="57" t="n">
        <f aca="false">ROUNDUP(G1160/BQ1160,0)</f>
        <v>0</v>
      </c>
      <c r="CA1160" s="57" t="n">
        <f aca="false">ROUNDUP(BX1160/BQ1160,0)</f>
        <v>0</v>
      </c>
      <c r="CB1160" s="60" t="n">
        <f aca="false">IF(BR1160=1,0,IFERROR(VLOOKUP(BP1160,'Gebinde-Kategorie'!$A$5:$M$45,5,0)+0,0))</f>
        <v>0</v>
      </c>
      <c r="CC1160" s="60" t="n">
        <f aca="false">IFERROR(IF(OR(BT1160=1,BT1160=2,BT1160=3),N(INDEX(Parameter!$I$5:$I$7,BT1160)),0),0)</f>
        <v>0</v>
      </c>
      <c r="CD1160" s="59" t="n">
        <f aca="false">IF(AND(Parameter!$B$21="Ja",ISNUMBER(U1160),N(V1160)&gt;0),IFERROR(N(INDEX(Parameter!$L$5:$L$7,U1160))*INDEX(Parameter!$E$5:$E$7,U1160)*V1160/SUMIFS($V$7:$V$1576,$U$7:$U$1576,U1160),0),0)</f>
        <v>0</v>
      </c>
    </row>
    <row r="1161" customFormat="false" ht="15" hidden="false" customHeight="false" outlineLevel="0" collapsed="false">
      <c r="A1161" s="55" t="s">
        <v>2081</v>
      </c>
      <c r="B1161" s="55" t="s">
        <v>395</v>
      </c>
      <c r="C1161" s="55" t="s">
        <v>446</v>
      </c>
      <c r="D1161" s="55" t="s">
        <v>178</v>
      </c>
      <c r="E1161" s="55" t="s">
        <v>210</v>
      </c>
      <c r="F1161" s="56" t="n">
        <v>7.18</v>
      </c>
      <c r="G1161" s="57" t="n">
        <f aca="false">MAX(0,IF(AND(Parameter!$B$21="Ja",ISNUMBER(W1161)),W1161,IF(Parameter!$B$20="Jahresanfang 2025 + Export",BJ1161+BI1161,BI1161)))</f>
        <v>0</v>
      </c>
      <c r="H1161" s="57" t="n">
        <f aca="false">G1161*F1161</f>
        <v>0</v>
      </c>
      <c r="I1161" s="57" t="n">
        <f aca="false">BL1161*Parameter!$B$18</f>
        <v>42</v>
      </c>
      <c r="J1161" s="58" t="n">
        <v>393.5</v>
      </c>
      <c r="K1161" s="59" t="n">
        <v>0.106734434561626</v>
      </c>
      <c r="L1161" s="57" t="n">
        <v>1</v>
      </c>
      <c r="M1161" s="57" t="n">
        <v>40</v>
      </c>
      <c r="N1161" s="60" t="n">
        <v>14</v>
      </c>
      <c r="O1161" s="55" t="s">
        <v>218</v>
      </c>
      <c r="P1161" s="57" t="n">
        <v>320</v>
      </c>
      <c r="Q1161" s="60" t="n">
        <f aca="false">IF(BR1161=1,0,IFERROR(VLOOKUP(BP1161,'Gebinde-Kategorie'!$A$5:$M$45,13,0)+0,0))</f>
        <v>12</v>
      </c>
      <c r="R1161" s="61"/>
      <c r="S1161" s="62"/>
      <c r="T1161" s="62"/>
      <c r="U1161" s="55"/>
      <c r="V1161" s="57"/>
      <c r="W1161" s="57"/>
      <c r="X1161" s="55" t="n">
        <f aca="false">IF(A1161="","",IF(AND(Parameter!$B$21="Ja",ISNUMBER(U1161)),U1161,IF(IFERROR(VLOOKUP(D1161,Parameter!$A$35:$C$64,2,0),"Nein")="2+3",IF(ISNUMBER(SEARCH("grosser Artikel",BM1161)),2,IFERROR(VLOOKUP(BP1161,Parameter!$F$35:$G$64,2,0),2)),IF(OR(IFERROR(VLOOKUP(D1161,Parameter!$A$35:$C$64,2,0),"Nein")="Nein",IFERROR(VLOOKUP(D1161,Parameter!$A$35:$C$64,2,0),"Nein")=""),"-",VLOOKUP(D1161,Parameter!$A$35:$C$64,2,0)))))</f>
        <v>2</v>
      </c>
      <c r="Y1161" s="62"/>
      <c r="Z1161" s="63"/>
      <c r="AA1161" s="57" t="n">
        <f aca="false">AP1161</f>
        <v>320</v>
      </c>
      <c r="AB1161" s="57" t="n">
        <f aca="false">MAX(AP1161,G1161)</f>
        <v>320</v>
      </c>
      <c r="AC1161" s="64"/>
      <c r="AD1161" s="57" t="n">
        <f aca="false">IF(LEFT(Cockpit!$C$5,1)="A",G1161,IF(BW1161=1,BX1161,IF(LEFT(Cockpit!$C$5,1)="B",AH1161,MAX(AH1161,G1161))))</f>
        <v>0</v>
      </c>
      <c r="AE1161" s="57" t="n">
        <f aca="false">IF(BR1161=1,0,ROUNDUP(AD1161/BQ1161,0))</f>
        <v>0</v>
      </c>
      <c r="AF1161" s="59" t="n">
        <f aca="false">IF(CD1161&gt;0,CD1161*MAX(1,AD1161/V1161),IF(BR1161=1,IF(AD1161&lt;=0,0,BS1161*MAX(1,IF(G1161&gt;0,AD1161/G1161,1))),IF(Q1161&gt;0,AE1161/Q1161,0))/MAX(0.1,N(Parameter!$M$21)))</f>
        <v>0</v>
      </c>
      <c r="AG1161" s="57" t="n">
        <f aca="false">AD1161*F1161</f>
        <v>0</v>
      </c>
      <c r="AH1161" s="57" t="n">
        <f aca="false">ROUNDUP(MAX(I1161/IF(BV1161&gt;0,BV1161,MAX(0.1,N(Cockpit!$C$6))),BY1161)/BQ1161,0)*BQ1161</f>
        <v>320</v>
      </c>
      <c r="AI1161" s="58" t="n">
        <f aca="false">IF(AF1161&gt;0,I1161/AF1161,-1)</f>
        <v>-1</v>
      </c>
      <c r="AJ1161" s="58" t="str">
        <f aca="false">IF(AND(OR(BU1161="L1",BU1161="L23"),AF1161&gt;0),SUMIFS($AF$7:$AF$1576,$BU$7:$BU$1576,BU1161,$AI$7:$AI$1576,"&gt;"&amp;AI1161)+SUMIFS($AF$7:$AF$1576,$BU$7:$BU$1576,BU1161,$AI$7:$AI$1576,AI1161,$BO$7:$BO$1576,"&lt;="&amp;BO1161),"")</f>
        <v/>
      </c>
      <c r="AK1161" s="65" t="n">
        <f aca="false">IF(AJ1161="",0,MAX(0,MIN(1,(IF(BU1161="L1",Parameter!$E$5,Parameter!$E$6+Parameter!$E$7)-(AJ1161-AF1161))/AF1161)))</f>
        <v>0</v>
      </c>
      <c r="AL1161" s="57" t="n">
        <f aca="false">IF(LEFT(Cockpit!$I$5,1)="A",G1161,IF(BW1161=1,BX1161,IF(LEFT(Cockpit!$I$5,1)="B",AP1161,MAX(AP1161,G1161))))</f>
        <v>320</v>
      </c>
      <c r="AM1161" s="57" t="n">
        <f aca="false">IF(BR1161=1,0,ROUNDUP(AL1161/BQ1161,0))</f>
        <v>1</v>
      </c>
      <c r="AN1161" s="59" t="n">
        <f aca="false">IF(CD1161&gt;0,CD1161*MAX(1,AL1161/V1161),IF(BR1161=1,IF(AL1161&lt;=0,0,BS1161*MAX(1,IF(G1161&gt;0,AL1161/G1161,1))),IF(Q1161&gt;0,AM1161/Q1161,0))/MAX(0.1,N(Parameter!$M$21)))</f>
        <v>0.0833333333333333</v>
      </c>
      <c r="AO1161" s="57" t="n">
        <f aca="false">AL1161*F1161</f>
        <v>2297.6</v>
      </c>
      <c r="AP1161" s="57" t="n">
        <f aca="false">ROUNDUP(MAX(I1161/IF(BV1161&gt;0,BV1161,MAX(0.1,N(Cockpit!$I$6))),BY1161)/BQ1161,0)*BQ1161</f>
        <v>320</v>
      </c>
      <c r="AQ1161" s="58" t="n">
        <f aca="false">IF(AN1161&gt;0,I1161/AN1161,-1)</f>
        <v>504</v>
      </c>
      <c r="AR1161" s="58" t="n">
        <f aca="false">IF(AND(OR(BU1161="L1",BU1161="L23"),AN1161&gt;0),SUMIFS($AN$7:$AN$1576,$BU$7:$BU$1576,BU1161,$AQ$7:$AQ$1576,"&gt;"&amp;AQ1161)+SUMIFS($AN$7:$AN$1576,$BU$7:$BU$1576,BU1161,$AQ$7:$AQ$1576,AQ1161,$BO$7:$BO$1576,"&lt;="&amp;BO1161),"")</f>
        <v>33.5763227235078</v>
      </c>
      <c r="AS1161" s="65" t="n">
        <f aca="false">IF(AR1161="",0,MAX(0,MIN(1,(IF(BU1161="L1",Parameter!$E$5,Parameter!$E$6+Parameter!$E$7)-(AR1161-AN1161))/AN1161)))</f>
        <v>1</v>
      </c>
      <c r="AT1161" s="57" t="n">
        <f aca="false">IF(LEFT(Cockpit!$O$5,1)="A",G1161,IF(BW1161=1,BX1161,IF(LEFT(Cockpit!$O$5,1)="B",AX1161,MAX(AX1161,G1161))))</f>
        <v>320</v>
      </c>
      <c r="AU1161" s="57" t="n">
        <f aca="false">IF(BR1161=1,0,ROUNDUP(AT1161/BQ1161,0))</f>
        <v>1</v>
      </c>
      <c r="AV1161" s="59" t="n">
        <f aca="false">IF(CD1161&gt;0,CD1161*MAX(1,AT1161/V1161),IF(BR1161=1,IF(AT1161&lt;=0,0,BS1161*MAX(1,IF(G1161&gt;0,AT1161/G1161,1))),IF(Q1161&gt;0,AU1161/Q1161,0))/MAX(0.1,N(Parameter!$M$21)))</f>
        <v>0.0833333333333333</v>
      </c>
      <c r="AW1161" s="57" t="n">
        <f aca="false">AT1161*F1161</f>
        <v>2297.6</v>
      </c>
      <c r="AX1161" s="57" t="n">
        <f aca="false">ROUNDUP(MAX(I1161/IF(BV1161&gt;0,BV1161,MAX(0.1,N(Cockpit!$O$6))),BY1161)/BQ1161,0)*BQ1161</f>
        <v>320</v>
      </c>
      <c r="AY1161" s="58" t="n">
        <f aca="false">IF(AV1161&gt;0,I1161/AV1161,-1)</f>
        <v>504</v>
      </c>
      <c r="AZ1161" s="58" t="n">
        <f aca="false">IF(AND(OR(BU1161="L1",BU1161="L23"),AV1161&gt;0),SUMIFS($AV$7:$AV$1576,$BU$7:$BU$1576,BU1161,$AY$7:$AY$1576,"&gt;"&amp;AY1161)+SUMIFS($AV$7:$AV$1576,$BU$7:$BU$1576,BU1161,$AY$7:$AY$1576,AY1161,$BO$7:$BO$1576,"&lt;="&amp;BO1161),"")</f>
        <v>33.3196760368611</v>
      </c>
      <c r="BA1161" s="65" t="n">
        <f aca="false">IF(AZ1161="",0,MAX(0,MIN(1,(IF(BU1161="L1",Parameter!$E$5,Parameter!$E$6+Parameter!$E$7)-(AZ1161-AV1161))/AV1161)))</f>
        <v>1</v>
      </c>
      <c r="BB1161" s="55" t="str">
        <f aca="false">IF(AF1161&lt;=0,"",IF(BU1161="Aussen","Aussenlager",IF(BU1161="-","Nicht im Lift",IF(AK1161&gt;=1,"Lift",IF(AK1161&lt;=0,"Aussenlager","teilweise")))))</f>
        <v/>
      </c>
      <c r="BC1161" s="55" t="str">
        <f aca="false">IF(AN1161&lt;=0,"",IF(BU1161="Aussen","Aussenlager",IF(BU1161="-","Nicht im Lift",IF(AS1161&gt;=1,"Lift",IF(AS1161&lt;=0,"Aussenlager","teilweise")))))</f>
        <v>Lift</v>
      </c>
      <c r="BD1161" s="55" t="str">
        <f aca="false">IF(AV1161&lt;=0,"",IF(BU1161="Aussen","Aussenlager",IF(BU1161="-","Nicht im Lift",IF(BA1161&gt;=1,"Lift",IF(BA1161&lt;=0,"Aussenlager","teilweise")))))</f>
        <v>Lift</v>
      </c>
      <c r="BE1161" s="55" t="str">
        <f aca="false">IF(A1161="","",IF(BN1161=1,"Neu; ","")&amp;IF(AND(BN1161=0,BI1161&lt;0),"negativer Bestand (Export "&amp;BI1161&amp;"); ","")&amp;IF(I1161&lt;=0,"Kein Verbrauch; ","")&amp;IF(CD1161&gt;0,"Lift "&amp;U1161&amp;" lt. Liftbericht (Fach "&amp;V1161&amp;" Stk); ",IF(BR1161=1,"Lose – Fläche geschätzt; ",""))&amp;IF(G1161&gt;AP1161,"Überbestand "&amp;ROUND(G1161-AP1161,0)&amp;" Stk / CHF "&amp;ROUND((G1161-AP1161)*F1161,0)&amp;"; ","")&amp;IF(AND(BW1161=1,BX1161&lt;BY1161),"MAX &lt; MB+LG; ","")&amp;IF(AND(CC1161&gt;0,CB1161*10&gt;CC1161),"zu hoch für Tablar; ","")&amp;IF(AND(BN1161=0,OR(BW1161=1,Y1161&lt;&gt;"",S1161&lt;&gt;"",T1161&lt;&gt;"",Z1161&lt;&gt;"")),"manuell übersteuert; ","")&amp;IF(AND(BR1161=0,Q1161=0),"Gebinde unbekannt / Stellmass fehlt; ","")&amp;IF(AND(BR1161=0,N(T1161)&lt;=0,N(P1161)&lt;=0),"Menge pro Gebinde fehlt (Ist = 1 Gebinde); ","")&amp;BM1161)</f>
        <v>negativer Bestand (Export -45); </v>
      </c>
      <c r="BF1161" s="55"/>
      <c r="BG1161" s="55"/>
      <c r="BH1161" s="62"/>
      <c r="BI1161" s="57" t="n">
        <v>-45</v>
      </c>
      <c r="BJ1161" s="57" t="n">
        <v>420</v>
      </c>
      <c r="BK1161" s="56" t="n">
        <v>-323.1</v>
      </c>
      <c r="BL1161" s="57" t="n">
        <v>42</v>
      </c>
      <c r="BM1161" s="55"/>
      <c r="BN1161" s="60" t="n">
        <v>0</v>
      </c>
      <c r="BO1161" s="60" t="n">
        <v>1161</v>
      </c>
      <c r="BP1161" s="55" t="str">
        <f aca="false">IF(S1161&lt;&gt;"",UPPER(TRIM(S1161)),IF(O1161="","LOSE",O1161))</f>
        <v>S63</v>
      </c>
      <c r="BQ1161" s="57" t="n">
        <f aca="false">IF(BP1161="LOSE",1,IF(N(T1161)&gt;0,T1161,IF(N(P1161)&gt;0,P1161,MAX(1,G1161))))</f>
        <v>320</v>
      </c>
      <c r="BR1161" s="60" t="n">
        <f aca="false">IF(BP1161="LOSE",1,0)</f>
        <v>0</v>
      </c>
      <c r="BS1161" s="59" t="n">
        <f aca="false">IF(BR1161=0,0,IF(N(R1161)&gt;0,R1161,IFERROR(VLOOKUP(D1161,Parameter!$A$35:$C$64,3,0)+0,0)))</f>
        <v>0</v>
      </c>
      <c r="BT1161" s="55" t="n">
        <f aca="false">IF(Y1161&lt;&gt;"",Y1161,X1161)</f>
        <v>2</v>
      </c>
      <c r="BU1161" s="55" t="str">
        <f aca="false">IF(BT1161=1,"L1",IF(OR(BT1161=2,BT1161=3),"L23",IF(BT1161="Aussen","Aussen","-")))</f>
        <v>L23</v>
      </c>
      <c r="BV1161" s="66" t="n">
        <f aca="false">IF(N(Z1161)&gt;0,Z1161,0)</f>
        <v>0</v>
      </c>
      <c r="BW1161" s="60" t="n">
        <f aca="false">IF(ISNUMBER(AC1161),1,0)</f>
        <v>0</v>
      </c>
      <c r="BX1161" s="57" t="n">
        <f aca="false">N(AC1161)</f>
        <v>0</v>
      </c>
      <c r="BY1161" s="57" t="n">
        <f aca="false">N(L1161)+N(M1161)</f>
        <v>41</v>
      </c>
      <c r="BZ1161" s="57" t="n">
        <f aca="false">ROUNDUP(G1161/BQ1161,0)</f>
        <v>0</v>
      </c>
      <c r="CA1161" s="57" t="n">
        <f aca="false">ROUNDUP(BX1161/BQ1161,0)</f>
        <v>0</v>
      </c>
      <c r="CB1161" s="60" t="n">
        <f aca="false">IF(BR1161=1,0,IFERROR(VLOOKUP(BP1161,'Gebinde-Kategorie'!$A$5:$M$45,5,0)+0,0))</f>
        <v>31</v>
      </c>
      <c r="CC1161" s="60" t="n">
        <f aca="false">IFERROR(IF(OR(BT1161=1,BT1161=2,BT1161=3),N(INDEX(Parameter!$I$5:$I$7,BT1161)),0),0)</f>
        <v>0</v>
      </c>
      <c r="CD1161" s="59" t="n">
        <f aca="false">IF(AND(Parameter!$B$21="Ja",ISNUMBER(U1161),N(V1161)&gt;0),IFERROR(N(INDEX(Parameter!$L$5:$L$7,U1161))*INDEX(Parameter!$E$5:$E$7,U1161)*V1161/SUMIFS($V$7:$V$1576,$U$7:$U$1576,U1161),0),0)</f>
        <v>0</v>
      </c>
    </row>
    <row r="1162" customFormat="false" ht="15" hidden="false" customHeight="false" outlineLevel="0" collapsed="false">
      <c r="A1162" s="55" t="s">
        <v>2082</v>
      </c>
      <c r="B1162" s="55" t="s">
        <v>2083</v>
      </c>
      <c r="C1162" s="55" t="s">
        <v>446</v>
      </c>
      <c r="D1162" s="55" t="s">
        <v>168</v>
      </c>
      <c r="E1162" s="55" t="s">
        <v>210</v>
      </c>
      <c r="F1162" s="56" t="n">
        <v>82.58</v>
      </c>
      <c r="G1162" s="57" t="n">
        <f aca="false">MAX(0,IF(AND(Parameter!$B$21="Ja",ISNUMBER(W1162)),W1162,IF(Parameter!$B$20="Jahresanfang 2025 + Export",BJ1162+BI1162,BI1162)))</f>
        <v>0</v>
      </c>
      <c r="H1162" s="57" t="n">
        <f aca="false">G1162*F1162</f>
        <v>0</v>
      </c>
      <c r="I1162" s="57" t="n">
        <f aca="false">BL1162*Parameter!$B$18</f>
        <v>0</v>
      </c>
      <c r="J1162" s="58" t="n">
        <v>2</v>
      </c>
      <c r="K1162" s="59" t="n">
        <v>0</v>
      </c>
      <c r="L1162" s="57" t="n">
        <v>0</v>
      </c>
      <c r="M1162" s="57" t="n">
        <v>1</v>
      </c>
      <c r="N1162" s="60" t="n">
        <v>56</v>
      </c>
      <c r="O1162" s="55" t="s">
        <v>163</v>
      </c>
      <c r="P1162" s="57"/>
      <c r="Q1162" s="60" t="n">
        <f aca="false">IF(BR1162=1,0,IFERROR(VLOOKUP(BP1162,'Gebinde-Kategorie'!$A$5:$M$45,13,0)+0,0))</f>
        <v>0</v>
      </c>
      <c r="R1162" s="61"/>
      <c r="S1162" s="62"/>
      <c r="T1162" s="62"/>
      <c r="U1162" s="55"/>
      <c r="V1162" s="57"/>
      <c r="W1162" s="57"/>
      <c r="X1162" s="55" t="n">
        <f aca="false">IF(A1162="","",IF(AND(Parameter!$B$21="Ja",ISNUMBER(U1162)),U1162,IF(IFERROR(VLOOKUP(D1162,Parameter!$A$35:$C$64,2,0),"Nein")="2+3",IF(ISNUMBER(SEARCH("grosser Artikel",BM1162)),2,IFERROR(VLOOKUP(BP1162,Parameter!$F$35:$G$64,2,0),2)),IF(OR(IFERROR(VLOOKUP(D1162,Parameter!$A$35:$C$64,2,0),"Nein")="Nein",IFERROR(VLOOKUP(D1162,Parameter!$A$35:$C$64,2,0),"Nein")=""),"-",VLOOKUP(D1162,Parameter!$A$35:$C$64,2,0)))))</f>
        <v>2</v>
      </c>
      <c r="Y1162" s="62"/>
      <c r="Z1162" s="63"/>
      <c r="AA1162" s="57" t="n">
        <f aca="false">AP1162</f>
        <v>1</v>
      </c>
      <c r="AB1162" s="57" t="n">
        <f aca="false">MAX(AP1162,G1162)</f>
        <v>1</v>
      </c>
      <c r="AC1162" s="64"/>
      <c r="AD1162" s="57" t="n">
        <f aca="false">IF(LEFT(Cockpit!$C$5,1)="A",G1162,IF(BW1162=1,BX1162,IF(LEFT(Cockpit!$C$5,1)="B",AH1162,MAX(AH1162,G1162))))</f>
        <v>0</v>
      </c>
      <c r="AE1162" s="57" t="n">
        <f aca="false">IF(BR1162=1,0,ROUNDUP(AD1162/BQ1162,0))</f>
        <v>0</v>
      </c>
      <c r="AF1162" s="59" t="n">
        <f aca="false">IF(CD1162&gt;0,CD1162*MAX(1,AD1162/V1162),IF(BR1162=1,IF(AD1162&lt;=0,0,BS1162*MAX(1,IF(G1162&gt;0,AD1162/G1162,1))),IF(Q1162&gt;0,AE1162/Q1162,0))/MAX(0.1,N(Parameter!$M$21)))</f>
        <v>0</v>
      </c>
      <c r="AG1162" s="57" t="n">
        <f aca="false">AD1162*F1162</f>
        <v>0</v>
      </c>
      <c r="AH1162" s="57" t="n">
        <f aca="false">ROUNDUP(MAX(I1162/IF(BV1162&gt;0,BV1162,MAX(0.1,N(Cockpit!$C$6))),BY1162)/BQ1162,0)*BQ1162</f>
        <v>1</v>
      </c>
      <c r="AI1162" s="58" t="n">
        <f aca="false">IF(AF1162&gt;0,I1162/AF1162,-1)</f>
        <v>-1</v>
      </c>
      <c r="AJ1162" s="58" t="str">
        <f aca="false">IF(AND(OR(BU1162="L1",BU1162="L23"),AF1162&gt;0),SUMIFS($AF$7:$AF$1576,$BU$7:$BU$1576,BU1162,$AI$7:$AI$1576,"&gt;"&amp;AI1162)+SUMIFS($AF$7:$AF$1576,$BU$7:$BU$1576,BU1162,$AI$7:$AI$1576,AI1162,$BO$7:$BO$1576,"&lt;="&amp;BO1162),"")</f>
        <v/>
      </c>
      <c r="AK1162" s="65" t="n">
        <f aca="false">IF(AJ1162="",0,MAX(0,MIN(1,(IF(BU1162="L1",Parameter!$E$5,Parameter!$E$6+Parameter!$E$7)-(AJ1162-AF1162))/AF1162)))</f>
        <v>0</v>
      </c>
      <c r="AL1162" s="57" t="n">
        <f aca="false">IF(LEFT(Cockpit!$I$5,1)="A",G1162,IF(BW1162=1,BX1162,IF(LEFT(Cockpit!$I$5,1)="B",AP1162,MAX(AP1162,G1162))))</f>
        <v>1</v>
      </c>
      <c r="AM1162" s="57" t="n">
        <f aca="false">IF(BR1162=1,0,ROUNDUP(AL1162/BQ1162,0))</f>
        <v>0</v>
      </c>
      <c r="AN1162" s="59" t="n">
        <f aca="false">IF(CD1162&gt;0,CD1162*MAX(1,AL1162/V1162),IF(BR1162=1,IF(AL1162&lt;=0,0,BS1162*MAX(1,IF(G1162&gt;0,AL1162/G1162,1))),IF(Q1162&gt;0,AM1162/Q1162,0))/MAX(0.1,N(Parameter!$M$21)))</f>
        <v>0.15</v>
      </c>
      <c r="AO1162" s="57" t="n">
        <f aca="false">AL1162*F1162</f>
        <v>82.58</v>
      </c>
      <c r="AP1162" s="57" t="n">
        <f aca="false">ROUNDUP(MAX(I1162/IF(BV1162&gt;0,BV1162,MAX(0.1,N(Cockpit!$I$6))),BY1162)/BQ1162,0)*BQ1162</f>
        <v>1</v>
      </c>
      <c r="AQ1162" s="58" t="n">
        <f aca="false">IF(AN1162&gt;0,I1162/AN1162,-1)</f>
        <v>0</v>
      </c>
      <c r="AR1162" s="58" t="n">
        <f aca="false">IF(AND(OR(BU1162="L1",BU1162="L23"),AN1162&gt;0),SUMIFS($AN$7:$AN$1576,$BU$7:$BU$1576,BU1162,$AQ$7:$AQ$1576,"&gt;"&amp;AQ1162)+SUMIFS($AN$7:$AN$1576,$BU$7:$BU$1576,BU1162,$AQ$7:$AQ$1576,AQ1162,$BO$7:$BO$1576,"&lt;="&amp;BO1162),"")</f>
        <v>135.087487319491</v>
      </c>
      <c r="AS1162" s="65" t="n">
        <f aca="false">IF(AR1162="",0,MAX(0,MIN(1,(IF(BU1162="L1",Parameter!$E$5,Parameter!$E$6+Parameter!$E$7)-(AR1162-AN1162))/AN1162)))</f>
        <v>0</v>
      </c>
      <c r="AT1162" s="57" t="n">
        <f aca="false">IF(LEFT(Cockpit!$O$5,1)="A",G1162,IF(BW1162=1,BX1162,IF(LEFT(Cockpit!$O$5,1)="B",AX1162,MAX(AX1162,G1162))))</f>
        <v>1</v>
      </c>
      <c r="AU1162" s="57" t="n">
        <f aca="false">IF(BR1162=1,0,ROUNDUP(AT1162/BQ1162,0))</f>
        <v>0</v>
      </c>
      <c r="AV1162" s="59" t="n">
        <f aca="false">IF(CD1162&gt;0,CD1162*MAX(1,AT1162/V1162),IF(BR1162=1,IF(AT1162&lt;=0,0,BS1162*MAX(1,IF(G1162&gt;0,AT1162/G1162,1))),IF(Q1162&gt;0,AU1162/Q1162,0))/MAX(0.1,N(Parameter!$M$21)))</f>
        <v>0.15</v>
      </c>
      <c r="AW1162" s="57" t="n">
        <f aca="false">AT1162*F1162</f>
        <v>82.58</v>
      </c>
      <c r="AX1162" s="57" t="n">
        <f aca="false">ROUNDUP(MAX(I1162/IF(BV1162&gt;0,BV1162,MAX(0.1,N(Cockpit!$O$6))),BY1162)/BQ1162,0)*BQ1162</f>
        <v>1</v>
      </c>
      <c r="AY1162" s="58" t="n">
        <f aca="false">IF(AV1162&gt;0,I1162/AV1162,-1)</f>
        <v>0</v>
      </c>
      <c r="AZ1162" s="58" t="n">
        <f aca="false">IF(AND(OR(BU1162="L1",BU1162="L23"),AV1162&gt;0),SUMIFS($AV$7:$AV$1576,$BU$7:$BU$1576,BU1162,$AY$7:$AY$1576,"&gt;"&amp;AY1162)+SUMIFS($AV$7:$AV$1576,$BU$7:$BU$1576,BU1162,$AY$7:$AY$1576,AY1162,$BO$7:$BO$1576,"&lt;="&amp;BO1162),"")</f>
        <v>125.147037769042</v>
      </c>
      <c r="BA1162" s="65" t="n">
        <f aca="false">IF(AZ1162="",0,MAX(0,MIN(1,(IF(BU1162="L1",Parameter!$E$5,Parameter!$E$6+Parameter!$E$7)-(AZ1162-AV1162))/AV1162)))</f>
        <v>0</v>
      </c>
      <c r="BB1162" s="55" t="str">
        <f aca="false">IF(AF1162&lt;=0,"",IF(BU1162="Aussen","Aussenlager",IF(BU1162="-","Nicht im Lift",IF(AK1162&gt;=1,"Lift",IF(AK1162&lt;=0,"Aussenlager","teilweise")))))</f>
        <v/>
      </c>
      <c r="BC1162" s="55" t="str">
        <f aca="false">IF(AN1162&lt;=0,"",IF(BU1162="Aussen","Aussenlager",IF(BU1162="-","Nicht im Lift",IF(AS1162&gt;=1,"Lift",IF(AS1162&lt;=0,"Aussenlager","teilweise")))))</f>
        <v>Aussenlager</v>
      </c>
      <c r="BD1162" s="55" t="str">
        <f aca="false">IF(AV1162&lt;=0,"",IF(BU1162="Aussen","Aussenlager",IF(BU1162="-","Nicht im Lift",IF(BA1162&gt;=1,"Lift",IF(BA1162&lt;=0,"Aussenlager","teilweise")))))</f>
        <v>Aussenlager</v>
      </c>
      <c r="BE1162" s="55" t="str">
        <f aca="false">IF(A1162="","",IF(BN1162=1,"Neu; ","")&amp;IF(AND(BN1162=0,BI1162&lt;0),"negativer Bestand (Export "&amp;BI1162&amp;"); ","")&amp;IF(I1162&lt;=0,"Kein Verbrauch; ","")&amp;IF(CD1162&gt;0,"Lift "&amp;U1162&amp;" lt. Liftbericht (Fach "&amp;V1162&amp;" Stk); ",IF(BR1162=1,"Lose – Fläche geschätzt; ",""))&amp;IF(G1162&gt;AP1162,"Überbestand "&amp;ROUND(G1162-AP1162,0)&amp;" Stk / CHF "&amp;ROUND((G1162-AP1162)*F1162,0)&amp;"; ","")&amp;IF(AND(BW1162=1,BX1162&lt;BY1162),"MAX &lt; MB+LG; ","")&amp;IF(AND(CC1162&gt;0,CB1162*10&gt;CC1162),"zu hoch für Tablar; ","")&amp;IF(AND(BN1162=0,OR(BW1162=1,Y1162&lt;&gt;"",S1162&lt;&gt;"",T1162&lt;&gt;"",Z1162&lt;&gt;"")),"manuell übersteuert; ","")&amp;IF(AND(BR1162=0,Q1162=0),"Gebinde unbekannt / Stellmass fehlt; ","")&amp;IF(AND(BR1162=0,N(T1162)&lt;=0,N(P1162)&lt;=0),"Menge pro Gebinde fehlt (Ist = 1 Gebinde); ","")&amp;BM1162)</f>
        <v>negativer Bestand (Export -4); Kein Verbrauch; Lose – Fläche geschätzt; </v>
      </c>
      <c r="BF1162" s="55"/>
      <c r="BG1162" s="55"/>
      <c r="BH1162" s="62"/>
      <c r="BI1162" s="57" t="n">
        <v>-4</v>
      </c>
      <c r="BJ1162" s="57" t="n">
        <v>4</v>
      </c>
      <c r="BK1162" s="56" t="n">
        <v>-330.32</v>
      </c>
      <c r="BL1162" s="57" t="n">
        <v>0</v>
      </c>
      <c r="BM1162" s="55"/>
      <c r="BN1162" s="60" t="n">
        <v>0</v>
      </c>
      <c r="BO1162" s="60" t="n">
        <v>1162</v>
      </c>
      <c r="BP1162" s="55" t="str">
        <f aca="false">IF(S1162&lt;&gt;"",UPPER(TRIM(S1162)),IF(O1162="","LOSE",O1162))</f>
        <v>LOSE</v>
      </c>
      <c r="BQ1162" s="57" t="n">
        <f aca="false">IF(BP1162="LOSE",1,IF(N(T1162)&gt;0,T1162,IF(N(P1162)&gt;0,P1162,MAX(1,G1162))))</f>
        <v>1</v>
      </c>
      <c r="BR1162" s="60" t="n">
        <f aca="false">IF(BP1162="LOSE",1,0)</f>
        <v>1</v>
      </c>
      <c r="BS1162" s="59" t="n">
        <f aca="false">IF(BR1162=0,0,IF(N(R1162)&gt;0,R1162,IFERROR(VLOOKUP(D1162,Parameter!$A$35:$C$64,3,0)+0,0)))</f>
        <v>0.15</v>
      </c>
      <c r="BT1162" s="55" t="n">
        <f aca="false">IF(Y1162&lt;&gt;"",Y1162,X1162)</f>
        <v>2</v>
      </c>
      <c r="BU1162" s="55" t="str">
        <f aca="false">IF(BT1162=1,"L1",IF(OR(BT1162=2,BT1162=3),"L23",IF(BT1162="Aussen","Aussen","-")))</f>
        <v>L23</v>
      </c>
      <c r="BV1162" s="66" t="n">
        <f aca="false">IF(N(Z1162)&gt;0,Z1162,0)</f>
        <v>0</v>
      </c>
      <c r="BW1162" s="60" t="n">
        <f aca="false">IF(ISNUMBER(AC1162),1,0)</f>
        <v>0</v>
      </c>
      <c r="BX1162" s="57" t="n">
        <f aca="false">N(AC1162)</f>
        <v>0</v>
      </c>
      <c r="BY1162" s="57" t="n">
        <f aca="false">N(L1162)+N(M1162)</f>
        <v>1</v>
      </c>
      <c r="BZ1162" s="57" t="n">
        <f aca="false">ROUNDUP(G1162/BQ1162,0)</f>
        <v>0</v>
      </c>
      <c r="CA1162" s="57" t="n">
        <f aca="false">ROUNDUP(BX1162/BQ1162,0)</f>
        <v>0</v>
      </c>
      <c r="CB1162" s="60" t="n">
        <f aca="false">IF(BR1162=1,0,IFERROR(VLOOKUP(BP1162,'Gebinde-Kategorie'!$A$5:$M$45,5,0)+0,0))</f>
        <v>0</v>
      </c>
      <c r="CC1162" s="60" t="n">
        <f aca="false">IFERROR(IF(OR(BT1162=1,BT1162=2,BT1162=3),N(INDEX(Parameter!$I$5:$I$7,BT1162)),0),0)</f>
        <v>0</v>
      </c>
      <c r="CD1162" s="59" t="n">
        <f aca="false">IF(AND(Parameter!$B$21="Ja",ISNUMBER(U1162),N(V1162)&gt;0),IFERROR(N(INDEX(Parameter!$L$5:$L$7,U1162))*INDEX(Parameter!$E$5:$E$7,U1162)*V1162/SUMIFS($V$7:$V$1576,$U$7:$U$1576,U1162),0),0)</f>
        <v>0</v>
      </c>
    </row>
    <row r="1163" customFormat="false" ht="15" hidden="false" customHeight="false" outlineLevel="0" collapsed="false">
      <c r="A1163" s="55" t="s">
        <v>2084</v>
      </c>
      <c r="B1163" s="55" t="s">
        <v>2085</v>
      </c>
      <c r="C1163" s="55" t="s">
        <v>160</v>
      </c>
      <c r="D1163" s="55" t="s">
        <v>178</v>
      </c>
      <c r="E1163" s="55" t="s">
        <v>210</v>
      </c>
      <c r="F1163" s="56" t="n">
        <v>28.48</v>
      </c>
      <c r="G1163" s="57" t="n">
        <f aca="false">MAX(0,IF(AND(Parameter!$B$21="Ja",ISNUMBER(W1163)),W1163,IF(Parameter!$B$20="Jahresanfang 2025 + Export",BJ1163+BI1163,BI1163)))</f>
        <v>0</v>
      </c>
      <c r="H1163" s="57" t="n">
        <f aca="false">G1163*F1163</f>
        <v>0</v>
      </c>
      <c r="I1163" s="57" t="n">
        <f aca="false">BL1163*Parameter!$B$18</f>
        <v>292</v>
      </c>
      <c r="J1163" s="58" t="n">
        <v>108.5</v>
      </c>
      <c r="K1163" s="59" t="n">
        <v>2.69124423963134</v>
      </c>
      <c r="L1163" s="57" t="n">
        <v>17</v>
      </c>
      <c r="M1163" s="57" t="n">
        <v>100</v>
      </c>
      <c r="N1163" s="60" t="n">
        <v>21</v>
      </c>
      <c r="O1163" s="55" t="s">
        <v>319</v>
      </c>
      <c r="P1163" s="57" t="n">
        <v>249</v>
      </c>
      <c r="Q1163" s="60" t="n">
        <f aca="false">IF(BR1163=1,0,IFERROR(VLOOKUP(BP1163,'Gebinde-Kategorie'!$A$5:$M$45,13,0)+0,0))</f>
        <v>52</v>
      </c>
      <c r="R1163" s="61"/>
      <c r="S1163" s="62"/>
      <c r="T1163" s="62"/>
      <c r="U1163" s="55"/>
      <c r="V1163" s="57"/>
      <c r="W1163" s="57"/>
      <c r="X1163" s="55" t="n">
        <f aca="false">IF(A1163="","",IF(AND(Parameter!$B$21="Ja",ISNUMBER(U1163)),U1163,IF(IFERROR(VLOOKUP(D1163,Parameter!$A$35:$C$64,2,0),"Nein")="2+3",IF(ISNUMBER(SEARCH("grosser Artikel",BM1163)),2,IFERROR(VLOOKUP(BP1163,Parameter!$F$35:$G$64,2,0),2)),IF(OR(IFERROR(VLOOKUP(D1163,Parameter!$A$35:$C$64,2,0),"Nein")="Nein",IFERROR(VLOOKUP(D1163,Parameter!$A$35:$C$64,2,0),"Nein")=""),"-",VLOOKUP(D1163,Parameter!$A$35:$C$64,2,0)))))</f>
        <v>3</v>
      </c>
      <c r="Y1163" s="62"/>
      <c r="Z1163" s="63"/>
      <c r="AA1163" s="57" t="n">
        <f aca="false">AP1163</f>
        <v>249</v>
      </c>
      <c r="AB1163" s="57" t="n">
        <f aca="false">MAX(AP1163,G1163)</f>
        <v>249</v>
      </c>
      <c r="AC1163" s="64"/>
      <c r="AD1163" s="57" t="n">
        <f aca="false">IF(LEFT(Cockpit!$C$5,1)="A",G1163,IF(BW1163=1,BX1163,IF(LEFT(Cockpit!$C$5,1)="B",AH1163,MAX(AH1163,G1163))))</f>
        <v>0</v>
      </c>
      <c r="AE1163" s="57" t="n">
        <f aca="false">IF(BR1163=1,0,ROUNDUP(AD1163/BQ1163,0))</f>
        <v>0</v>
      </c>
      <c r="AF1163" s="59" t="n">
        <f aca="false">IF(CD1163&gt;0,CD1163*MAX(1,AD1163/V1163),IF(BR1163=1,IF(AD1163&lt;=0,0,BS1163*MAX(1,IF(G1163&gt;0,AD1163/G1163,1))),IF(Q1163&gt;0,AE1163/Q1163,0))/MAX(0.1,N(Parameter!$M$21)))</f>
        <v>0</v>
      </c>
      <c r="AG1163" s="57" t="n">
        <f aca="false">AD1163*F1163</f>
        <v>0</v>
      </c>
      <c r="AH1163" s="57" t="n">
        <f aca="false">ROUNDUP(MAX(I1163/IF(BV1163&gt;0,BV1163,MAX(0.1,N(Cockpit!$C$6))),BY1163)/BQ1163,0)*BQ1163</f>
        <v>249</v>
      </c>
      <c r="AI1163" s="58" t="n">
        <f aca="false">IF(AF1163&gt;0,I1163/AF1163,-1)</f>
        <v>-1</v>
      </c>
      <c r="AJ1163" s="58" t="str">
        <f aca="false">IF(AND(OR(BU1163="L1",BU1163="L23"),AF1163&gt;0),SUMIFS($AF$7:$AF$1576,$BU$7:$BU$1576,BU1163,$AI$7:$AI$1576,"&gt;"&amp;AI1163)+SUMIFS($AF$7:$AF$1576,$BU$7:$BU$1576,BU1163,$AI$7:$AI$1576,AI1163,$BO$7:$BO$1576,"&lt;="&amp;BO1163),"")</f>
        <v/>
      </c>
      <c r="AK1163" s="65" t="n">
        <f aca="false">IF(AJ1163="",0,MAX(0,MIN(1,(IF(BU1163="L1",Parameter!$E$5,Parameter!$E$6+Parameter!$E$7)-(AJ1163-AF1163))/AF1163)))</f>
        <v>0</v>
      </c>
      <c r="AL1163" s="57" t="n">
        <f aca="false">IF(LEFT(Cockpit!$I$5,1)="A",G1163,IF(BW1163=1,BX1163,IF(LEFT(Cockpit!$I$5,1)="B",AP1163,MAX(AP1163,G1163))))</f>
        <v>249</v>
      </c>
      <c r="AM1163" s="57" t="n">
        <f aca="false">IF(BR1163=1,0,ROUNDUP(AL1163/BQ1163,0))</f>
        <v>1</v>
      </c>
      <c r="AN1163" s="59" t="n">
        <f aca="false">IF(CD1163&gt;0,CD1163*MAX(1,AL1163/V1163),IF(BR1163=1,IF(AL1163&lt;=0,0,BS1163*MAX(1,IF(G1163&gt;0,AL1163/G1163,1))),IF(Q1163&gt;0,AM1163/Q1163,0))/MAX(0.1,N(Parameter!$M$21)))</f>
        <v>0.0192307692307692</v>
      </c>
      <c r="AO1163" s="57" t="n">
        <f aca="false">AL1163*F1163</f>
        <v>7091.52</v>
      </c>
      <c r="AP1163" s="57" t="n">
        <f aca="false">ROUNDUP(MAX(I1163/IF(BV1163&gt;0,BV1163,MAX(0.1,N(Cockpit!$I$6))),BY1163)/BQ1163,0)*BQ1163</f>
        <v>249</v>
      </c>
      <c r="AQ1163" s="58" t="n">
        <f aca="false">IF(AN1163&gt;0,I1163/AN1163,-1)</f>
        <v>15184</v>
      </c>
      <c r="AR1163" s="58" t="n">
        <f aca="false">IF(AND(OR(BU1163="L1",BU1163="L23"),AN1163&gt;0),SUMIFS($AN$7:$AN$1576,$BU$7:$BU$1576,BU1163,$AQ$7:$AQ$1576,"&gt;"&amp;AQ1163)+SUMIFS($AN$7:$AN$1576,$BU$7:$BU$1576,BU1163,$AQ$7:$AQ$1576,AQ1163,$BO$7:$BO$1576,"&lt;="&amp;BO1163),"")</f>
        <v>5.64722610722611</v>
      </c>
      <c r="AS1163" s="65" t="n">
        <f aca="false">IF(AR1163="",0,MAX(0,MIN(1,(IF(BU1163="L1",Parameter!$E$5,Parameter!$E$6+Parameter!$E$7)-(AR1163-AN1163))/AN1163)))</f>
        <v>1</v>
      </c>
      <c r="AT1163" s="57" t="n">
        <f aca="false">IF(LEFT(Cockpit!$O$5,1)="A",G1163,IF(BW1163=1,BX1163,IF(LEFT(Cockpit!$O$5,1)="B",AX1163,MAX(AX1163,G1163))))</f>
        <v>249</v>
      </c>
      <c r="AU1163" s="57" t="n">
        <f aca="false">IF(BR1163=1,0,ROUNDUP(AT1163/BQ1163,0))</f>
        <v>1</v>
      </c>
      <c r="AV1163" s="59" t="n">
        <f aca="false">IF(CD1163&gt;0,CD1163*MAX(1,AT1163/V1163),IF(BR1163=1,IF(AT1163&lt;=0,0,BS1163*MAX(1,IF(G1163&gt;0,AT1163/G1163,1))),IF(Q1163&gt;0,AU1163/Q1163,0))/MAX(0.1,N(Parameter!$M$21)))</f>
        <v>0.0192307692307692</v>
      </c>
      <c r="AW1163" s="57" t="n">
        <f aca="false">AT1163*F1163</f>
        <v>7091.52</v>
      </c>
      <c r="AX1163" s="57" t="n">
        <f aca="false">ROUNDUP(MAX(I1163/IF(BV1163&gt;0,BV1163,MAX(0.1,N(Cockpit!$O$6))),BY1163)/BQ1163,0)*BQ1163</f>
        <v>249</v>
      </c>
      <c r="AY1163" s="58" t="n">
        <f aca="false">IF(AV1163&gt;0,I1163/AV1163,-1)</f>
        <v>15184</v>
      </c>
      <c r="AZ1163" s="58" t="n">
        <f aca="false">IF(AND(OR(BU1163="L1",BU1163="L23"),AV1163&gt;0),SUMIFS($AV$7:$AV$1576,$BU$7:$BU$1576,BU1163,$AY$7:$AY$1576,"&gt;"&amp;AY1163)+SUMIFS($AV$7:$AV$1576,$BU$7:$BU$1576,BU1163,$AY$7:$AY$1576,AY1163,$BO$7:$BO$1576,"&lt;="&amp;BO1163),"")</f>
        <v>5.02834498834499</v>
      </c>
      <c r="BA1163" s="65" t="n">
        <f aca="false">IF(AZ1163="",0,MAX(0,MIN(1,(IF(BU1163="L1",Parameter!$E$5,Parameter!$E$6+Parameter!$E$7)-(AZ1163-AV1163))/AV1163)))</f>
        <v>1</v>
      </c>
      <c r="BB1163" s="55" t="str">
        <f aca="false">IF(AF1163&lt;=0,"",IF(BU1163="Aussen","Aussenlager",IF(BU1163="-","Nicht im Lift",IF(AK1163&gt;=1,"Lift",IF(AK1163&lt;=0,"Aussenlager","teilweise")))))</f>
        <v/>
      </c>
      <c r="BC1163" s="55" t="str">
        <f aca="false">IF(AN1163&lt;=0,"",IF(BU1163="Aussen","Aussenlager",IF(BU1163="-","Nicht im Lift",IF(AS1163&gt;=1,"Lift",IF(AS1163&lt;=0,"Aussenlager","teilweise")))))</f>
        <v>Lift</v>
      </c>
      <c r="BD1163" s="55" t="str">
        <f aca="false">IF(AV1163&lt;=0,"",IF(BU1163="Aussen","Aussenlager",IF(BU1163="-","Nicht im Lift",IF(BA1163&gt;=1,"Lift",IF(BA1163&lt;=0,"Aussenlager","teilweise")))))</f>
        <v>Lift</v>
      </c>
      <c r="BE1163" s="55" t="str">
        <f aca="false">IF(A1163="","",IF(BN1163=1,"Neu; ","")&amp;IF(AND(BN1163=0,BI1163&lt;0),"negativer Bestand (Export "&amp;BI1163&amp;"); ","")&amp;IF(I1163&lt;=0,"Kein Verbrauch; ","")&amp;IF(CD1163&gt;0,"Lift "&amp;U1163&amp;" lt. Liftbericht (Fach "&amp;V1163&amp;" Stk); ",IF(BR1163=1,"Lose – Fläche geschätzt; ",""))&amp;IF(G1163&gt;AP1163,"Überbestand "&amp;ROUND(G1163-AP1163,0)&amp;" Stk / CHF "&amp;ROUND((G1163-AP1163)*F1163,0)&amp;"; ","")&amp;IF(AND(BW1163=1,BX1163&lt;BY1163),"MAX &lt; MB+LG; ","")&amp;IF(AND(CC1163&gt;0,CB1163*10&gt;CC1163),"zu hoch für Tablar; ","")&amp;IF(AND(BN1163=0,OR(BW1163=1,Y1163&lt;&gt;"",S1163&lt;&gt;"",T1163&lt;&gt;"",Z1163&lt;&gt;"")),"manuell übersteuert; ","")&amp;IF(AND(BR1163=0,Q1163=0),"Gebinde unbekannt / Stellmass fehlt; ","")&amp;IF(AND(BR1163=0,N(T1163)&lt;=0,N(P1163)&lt;=0),"Menge pro Gebinde fehlt (Ist = 1 Gebinde); ","")&amp;BM1163)</f>
        <v>negativer Bestand (Export -12); </v>
      </c>
      <c r="BF1163" s="55"/>
      <c r="BG1163" s="55"/>
      <c r="BH1163" s="62"/>
      <c r="BI1163" s="57" t="n">
        <v>-12</v>
      </c>
      <c r="BJ1163" s="57" t="n">
        <v>65</v>
      </c>
      <c r="BK1163" s="56" t="n">
        <v>-337.52</v>
      </c>
      <c r="BL1163" s="57" t="n">
        <v>292</v>
      </c>
      <c r="BM1163" s="55"/>
      <c r="BN1163" s="60" t="n">
        <v>0</v>
      </c>
      <c r="BO1163" s="60" t="n">
        <v>1163</v>
      </c>
      <c r="BP1163" s="55" t="str">
        <f aca="false">IF(S1163&lt;&gt;"",UPPER(TRIM(S1163)),IF(O1163="","LOSE",O1163))</f>
        <v>S41</v>
      </c>
      <c r="BQ1163" s="57" t="n">
        <f aca="false">IF(BP1163="LOSE",1,IF(N(T1163)&gt;0,T1163,IF(N(P1163)&gt;0,P1163,MAX(1,G1163))))</f>
        <v>249</v>
      </c>
      <c r="BR1163" s="60" t="n">
        <f aca="false">IF(BP1163="LOSE",1,0)</f>
        <v>0</v>
      </c>
      <c r="BS1163" s="59" t="n">
        <f aca="false">IF(BR1163=0,0,IF(N(R1163)&gt;0,R1163,IFERROR(VLOOKUP(D1163,Parameter!$A$35:$C$64,3,0)+0,0)))</f>
        <v>0</v>
      </c>
      <c r="BT1163" s="55" t="n">
        <f aca="false">IF(Y1163&lt;&gt;"",Y1163,X1163)</f>
        <v>3</v>
      </c>
      <c r="BU1163" s="55" t="str">
        <f aca="false">IF(BT1163=1,"L1",IF(OR(BT1163=2,BT1163=3),"L23",IF(BT1163="Aussen","Aussen","-")))</f>
        <v>L23</v>
      </c>
      <c r="BV1163" s="66" t="n">
        <f aca="false">IF(N(Z1163)&gt;0,Z1163,0)</f>
        <v>0</v>
      </c>
      <c r="BW1163" s="60" t="n">
        <f aca="false">IF(ISNUMBER(AC1163),1,0)</f>
        <v>0</v>
      </c>
      <c r="BX1163" s="57" t="n">
        <f aca="false">N(AC1163)</f>
        <v>0</v>
      </c>
      <c r="BY1163" s="57" t="n">
        <f aca="false">N(L1163)+N(M1163)</f>
        <v>117</v>
      </c>
      <c r="BZ1163" s="57" t="n">
        <f aca="false">ROUNDUP(G1163/BQ1163,0)</f>
        <v>0</v>
      </c>
      <c r="CA1163" s="57" t="n">
        <f aca="false">ROUNDUP(BX1163/BQ1163,0)</f>
        <v>0</v>
      </c>
      <c r="CB1163" s="60" t="n">
        <f aca="false">IF(BR1163=1,0,IFERROR(VLOOKUP(BP1163,'Gebinde-Kategorie'!$A$5:$M$45,5,0)+0,0))</f>
        <v>11</v>
      </c>
      <c r="CC1163" s="60" t="n">
        <f aca="false">IFERROR(IF(OR(BT1163=1,BT1163=2,BT1163=3),N(INDEX(Parameter!$I$5:$I$7,BT1163)),0),0)</f>
        <v>0</v>
      </c>
      <c r="CD1163" s="59" t="n">
        <f aca="false">IF(AND(Parameter!$B$21="Ja",ISNUMBER(U1163),N(V1163)&gt;0),IFERROR(N(INDEX(Parameter!$L$5:$L$7,U1163))*INDEX(Parameter!$E$5:$E$7,U1163)*V1163/SUMIFS($V$7:$V$1576,$U$7:$U$1576,U1163),0),0)</f>
        <v>0</v>
      </c>
    </row>
    <row r="1164" customFormat="false" ht="15" hidden="false" customHeight="false" outlineLevel="0" collapsed="false">
      <c r="A1164" s="55" t="s">
        <v>2086</v>
      </c>
      <c r="B1164" s="55" t="s">
        <v>1879</v>
      </c>
      <c r="C1164" s="55" t="s">
        <v>160</v>
      </c>
      <c r="D1164" s="55" t="s">
        <v>178</v>
      </c>
      <c r="E1164" s="55" t="s">
        <v>210</v>
      </c>
      <c r="F1164" s="56" t="n">
        <v>26.09</v>
      </c>
      <c r="G1164" s="57" t="n">
        <f aca="false">MAX(0,IF(AND(Parameter!$B$21="Ja",ISNUMBER(W1164)),W1164,IF(Parameter!$B$20="Jahresanfang 2025 + Export",BJ1164+BI1164,BI1164)))</f>
        <v>0</v>
      </c>
      <c r="H1164" s="57" t="n">
        <f aca="false">G1164*F1164</f>
        <v>0</v>
      </c>
      <c r="I1164" s="57" t="n">
        <f aca="false">BL1164*Parameter!$B$18</f>
        <v>12</v>
      </c>
      <c r="J1164" s="58" t="n">
        <v>84</v>
      </c>
      <c r="K1164" s="59" t="n">
        <v>0.142857142857143</v>
      </c>
      <c r="L1164" s="57" t="n">
        <v>1</v>
      </c>
      <c r="M1164" s="57" t="n">
        <v>10</v>
      </c>
      <c r="N1164" s="60" t="n">
        <v>35</v>
      </c>
      <c r="O1164" s="55" t="s">
        <v>319</v>
      </c>
      <c r="P1164" s="57" t="n">
        <v>113</v>
      </c>
      <c r="Q1164" s="60" t="n">
        <f aca="false">IF(BR1164=1,0,IFERROR(VLOOKUP(BP1164,'Gebinde-Kategorie'!$A$5:$M$45,13,0)+0,0))</f>
        <v>52</v>
      </c>
      <c r="R1164" s="61"/>
      <c r="S1164" s="62"/>
      <c r="T1164" s="62"/>
      <c r="U1164" s="55"/>
      <c r="V1164" s="57"/>
      <c r="W1164" s="57"/>
      <c r="X1164" s="55" t="n">
        <f aca="false">IF(A1164="","",IF(AND(Parameter!$B$21="Ja",ISNUMBER(U1164)),U1164,IF(IFERROR(VLOOKUP(D1164,Parameter!$A$35:$C$64,2,0),"Nein")="2+3",IF(ISNUMBER(SEARCH("grosser Artikel",BM1164)),2,IFERROR(VLOOKUP(BP1164,Parameter!$F$35:$G$64,2,0),2)),IF(OR(IFERROR(VLOOKUP(D1164,Parameter!$A$35:$C$64,2,0),"Nein")="Nein",IFERROR(VLOOKUP(D1164,Parameter!$A$35:$C$64,2,0),"Nein")=""),"-",VLOOKUP(D1164,Parameter!$A$35:$C$64,2,0)))))</f>
        <v>3</v>
      </c>
      <c r="Y1164" s="62"/>
      <c r="Z1164" s="63"/>
      <c r="AA1164" s="57" t="n">
        <f aca="false">AP1164</f>
        <v>113</v>
      </c>
      <c r="AB1164" s="57" t="n">
        <f aca="false">MAX(AP1164,G1164)</f>
        <v>113</v>
      </c>
      <c r="AC1164" s="64"/>
      <c r="AD1164" s="57" t="n">
        <f aca="false">IF(LEFT(Cockpit!$C$5,1)="A",G1164,IF(BW1164=1,BX1164,IF(LEFT(Cockpit!$C$5,1)="B",AH1164,MAX(AH1164,G1164))))</f>
        <v>0</v>
      </c>
      <c r="AE1164" s="57" t="n">
        <f aca="false">IF(BR1164=1,0,ROUNDUP(AD1164/BQ1164,0))</f>
        <v>0</v>
      </c>
      <c r="AF1164" s="59" t="n">
        <f aca="false">IF(CD1164&gt;0,CD1164*MAX(1,AD1164/V1164),IF(BR1164=1,IF(AD1164&lt;=0,0,BS1164*MAX(1,IF(G1164&gt;0,AD1164/G1164,1))),IF(Q1164&gt;0,AE1164/Q1164,0))/MAX(0.1,N(Parameter!$M$21)))</f>
        <v>0</v>
      </c>
      <c r="AG1164" s="57" t="n">
        <f aca="false">AD1164*F1164</f>
        <v>0</v>
      </c>
      <c r="AH1164" s="57" t="n">
        <f aca="false">ROUNDUP(MAX(I1164/IF(BV1164&gt;0,BV1164,MAX(0.1,N(Cockpit!$C$6))),BY1164)/BQ1164,0)*BQ1164</f>
        <v>113</v>
      </c>
      <c r="AI1164" s="58" t="n">
        <f aca="false">IF(AF1164&gt;0,I1164/AF1164,-1)</f>
        <v>-1</v>
      </c>
      <c r="AJ1164" s="58" t="str">
        <f aca="false">IF(AND(OR(BU1164="L1",BU1164="L23"),AF1164&gt;0),SUMIFS($AF$7:$AF$1576,$BU$7:$BU$1576,BU1164,$AI$7:$AI$1576,"&gt;"&amp;AI1164)+SUMIFS($AF$7:$AF$1576,$BU$7:$BU$1576,BU1164,$AI$7:$AI$1576,AI1164,$BO$7:$BO$1576,"&lt;="&amp;BO1164),"")</f>
        <v/>
      </c>
      <c r="AK1164" s="65" t="n">
        <f aca="false">IF(AJ1164="",0,MAX(0,MIN(1,(IF(BU1164="L1",Parameter!$E$5,Parameter!$E$6+Parameter!$E$7)-(AJ1164-AF1164))/AF1164)))</f>
        <v>0</v>
      </c>
      <c r="AL1164" s="57" t="n">
        <f aca="false">IF(LEFT(Cockpit!$I$5,1)="A",G1164,IF(BW1164=1,BX1164,IF(LEFT(Cockpit!$I$5,1)="B",AP1164,MAX(AP1164,G1164))))</f>
        <v>113</v>
      </c>
      <c r="AM1164" s="57" t="n">
        <f aca="false">IF(BR1164=1,0,ROUNDUP(AL1164/BQ1164,0))</f>
        <v>1</v>
      </c>
      <c r="AN1164" s="59" t="n">
        <f aca="false">IF(CD1164&gt;0,CD1164*MAX(1,AL1164/V1164),IF(BR1164=1,IF(AL1164&lt;=0,0,BS1164*MAX(1,IF(G1164&gt;0,AL1164/G1164,1))),IF(Q1164&gt;0,AM1164/Q1164,0))/MAX(0.1,N(Parameter!$M$21)))</f>
        <v>0.0192307692307692</v>
      </c>
      <c r="AO1164" s="57" t="n">
        <f aca="false">AL1164*F1164</f>
        <v>2948.17</v>
      </c>
      <c r="AP1164" s="57" t="n">
        <f aca="false">ROUNDUP(MAX(I1164/IF(BV1164&gt;0,BV1164,MAX(0.1,N(Cockpit!$I$6))),BY1164)/BQ1164,0)*BQ1164</f>
        <v>113</v>
      </c>
      <c r="AQ1164" s="58" t="n">
        <f aca="false">IF(AN1164&gt;0,I1164/AN1164,-1)</f>
        <v>624</v>
      </c>
      <c r="AR1164" s="58" t="n">
        <f aca="false">IF(AND(OR(BU1164="L1",BU1164="L23"),AN1164&gt;0),SUMIFS($AN$7:$AN$1576,$BU$7:$BU$1576,BU1164,$AQ$7:$AQ$1576,"&gt;"&amp;AQ1164)+SUMIFS($AN$7:$AN$1576,$BU$7:$BU$1576,BU1164,$AQ$7:$AQ$1576,AQ1164,$BO$7:$BO$1576,"&lt;="&amp;BO1164),"")</f>
        <v>30.8801533373384</v>
      </c>
      <c r="AS1164" s="65" t="n">
        <f aca="false">IF(AR1164="",0,MAX(0,MIN(1,(IF(BU1164="L1",Parameter!$E$5,Parameter!$E$6+Parameter!$E$7)-(AR1164-AN1164))/AN1164)))</f>
        <v>1</v>
      </c>
      <c r="AT1164" s="57" t="n">
        <f aca="false">IF(LEFT(Cockpit!$O$5,1)="A",G1164,IF(BW1164=1,BX1164,IF(LEFT(Cockpit!$O$5,1)="B",AX1164,MAX(AX1164,G1164))))</f>
        <v>113</v>
      </c>
      <c r="AU1164" s="57" t="n">
        <f aca="false">IF(BR1164=1,0,ROUNDUP(AT1164/BQ1164,0))</f>
        <v>1</v>
      </c>
      <c r="AV1164" s="59" t="n">
        <f aca="false">IF(CD1164&gt;0,CD1164*MAX(1,AT1164/V1164),IF(BR1164=1,IF(AT1164&lt;=0,0,BS1164*MAX(1,IF(G1164&gt;0,AT1164/G1164,1))),IF(Q1164&gt;0,AU1164/Q1164,0))/MAX(0.1,N(Parameter!$M$21)))</f>
        <v>0.0192307692307692</v>
      </c>
      <c r="AW1164" s="57" t="n">
        <f aca="false">AT1164*F1164</f>
        <v>2948.17</v>
      </c>
      <c r="AX1164" s="57" t="n">
        <f aca="false">ROUNDUP(MAX(I1164/IF(BV1164&gt;0,BV1164,MAX(0.1,N(Cockpit!$O$6))),BY1164)/BQ1164,0)*BQ1164</f>
        <v>113</v>
      </c>
      <c r="AY1164" s="58" t="n">
        <f aca="false">IF(AV1164&gt;0,I1164/AV1164,-1)</f>
        <v>624</v>
      </c>
      <c r="AZ1164" s="58" t="n">
        <f aca="false">IF(AND(OR(BU1164="L1",BU1164="L23"),AV1164&gt;0),SUMIFS($AV$7:$AV$1576,$BU$7:$BU$1576,BU1164,$AY$7:$AY$1576,"&gt;"&amp;AY1164)+SUMIFS($AV$7:$AV$1576,$BU$7:$BU$1576,BU1164,$AY$7:$AY$1576,AY1164,$BO$7:$BO$1576,"&lt;="&amp;BO1164),"")</f>
        <v>30.0914553686404</v>
      </c>
      <c r="BA1164" s="65" t="n">
        <f aca="false">IF(AZ1164="",0,MAX(0,MIN(1,(IF(BU1164="L1",Parameter!$E$5,Parameter!$E$6+Parameter!$E$7)-(AZ1164-AV1164))/AV1164)))</f>
        <v>1</v>
      </c>
      <c r="BB1164" s="55" t="str">
        <f aca="false">IF(AF1164&lt;=0,"",IF(BU1164="Aussen","Aussenlager",IF(BU1164="-","Nicht im Lift",IF(AK1164&gt;=1,"Lift",IF(AK1164&lt;=0,"Aussenlager","teilweise")))))</f>
        <v/>
      </c>
      <c r="BC1164" s="55" t="str">
        <f aca="false">IF(AN1164&lt;=0,"",IF(BU1164="Aussen","Aussenlager",IF(BU1164="-","Nicht im Lift",IF(AS1164&gt;=1,"Lift",IF(AS1164&lt;=0,"Aussenlager","teilweise")))))</f>
        <v>Lift</v>
      </c>
      <c r="BD1164" s="55" t="str">
        <f aca="false">IF(AV1164&lt;=0,"",IF(BU1164="Aussen","Aussenlager",IF(BU1164="-","Nicht im Lift",IF(BA1164&gt;=1,"Lift",IF(BA1164&lt;=0,"Aussenlager","teilweise")))))</f>
        <v>Lift</v>
      </c>
      <c r="BE1164" s="55" t="str">
        <f aca="false">IF(A1164="","",IF(BN1164=1,"Neu; ","")&amp;IF(AND(BN1164=0,BI1164&lt;0),"negativer Bestand (Export "&amp;BI1164&amp;"); ","")&amp;IF(I1164&lt;=0,"Kein Verbrauch; ","")&amp;IF(CD1164&gt;0,"Lift "&amp;U1164&amp;" lt. Liftbericht (Fach "&amp;V1164&amp;" Stk); ",IF(BR1164=1,"Lose – Fläche geschätzt; ",""))&amp;IF(G1164&gt;AP1164,"Überbestand "&amp;ROUND(G1164-AP1164,0)&amp;" Stk / CHF "&amp;ROUND((G1164-AP1164)*F1164,0)&amp;"; ","")&amp;IF(AND(BW1164=1,BX1164&lt;BY1164),"MAX &lt; MB+LG; ","")&amp;IF(AND(CC1164&gt;0,CB1164*10&gt;CC1164),"zu hoch für Tablar; ","")&amp;IF(AND(BN1164=0,OR(BW1164=1,Y1164&lt;&gt;"",S1164&lt;&gt;"",T1164&lt;&gt;"",Z1164&lt;&gt;"")),"manuell übersteuert; ","")&amp;IF(AND(BR1164=0,Q1164=0),"Gebinde unbekannt / Stellmass fehlt; ","")&amp;IF(AND(BR1164=0,N(T1164)&lt;=0,N(P1164)&lt;=0),"Menge pro Gebinde fehlt (Ist = 1 Gebinde); ","")&amp;BM1164)</f>
        <v>negativer Bestand (Export -13); Twin</v>
      </c>
      <c r="BF1164" s="55"/>
      <c r="BG1164" s="55"/>
      <c r="BH1164" s="62"/>
      <c r="BI1164" s="57" t="n">
        <v>-13</v>
      </c>
      <c r="BJ1164" s="57" t="n">
        <v>90</v>
      </c>
      <c r="BK1164" s="56" t="n">
        <v>-339.17</v>
      </c>
      <c r="BL1164" s="57" t="n">
        <v>12</v>
      </c>
      <c r="BM1164" s="55" t="s">
        <v>206</v>
      </c>
      <c r="BN1164" s="60" t="n">
        <v>0</v>
      </c>
      <c r="BO1164" s="60" t="n">
        <v>1164</v>
      </c>
      <c r="BP1164" s="55" t="str">
        <f aca="false">IF(S1164&lt;&gt;"",UPPER(TRIM(S1164)),IF(O1164="","LOSE",O1164))</f>
        <v>S41</v>
      </c>
      <c r="BQ1164" s="57" t="n">
        <f aca="false">IF(BP1164="LOSE",1,IF(N(T1164)&gt;0,T1164,IF(N(P1164)&gt;0,P1164,MAX(1,G1164))))</f>
        <v>113</v>
      </c>
      <c r="BR1164" s="60" t="n">
        <f aca="false">IF(BP1164="LOSE",1,0)</f>
        <v>0</v>
      </c>
      <c r="BS1164" s="59" t="n">
        <f aca="false">IF(BR1164=0,0,IF(N(R1164)&gt;0,R1164,IFERROR(VLOOKUP(D1164,Parameter!$A$35:$C$64,3,0)+0,0)))</f>
        <v>0</v>
      </c>
      <c r="BT1164" s="55" t="n">
        <f aca="false">IF(Y1164&lt;&gt;"",Y1164,X1164)</f>
        <v>3</v>
      </c>
      <c r="BU1164" s="55" t="str">
        <f aca="false">IF(BT1164=1,"L1",IF(OR(BT1164=2,BT1164=3),"L23",IF(BT1164="Aussen","Aussen","-")))</f>
        <v>L23</v>
      </c>
      <c r="BV1164" s="66" t="n">
        <f aca="false">IF(N(Z1164)&gt;0,Z1164,0)</f>
        <v>0</v>
      </c>
      <c r="BW1164" s="60" t="n">
        <f aca="false">IF(ISNUMBER(AC1164),1,0)</f>
        <v>0</v>
      </c>
      <c r="BX1164" s="57" t="n">
        <f aca="false">N(AC1164)</f>
        <v>0</v>
      </c>
      <c r="BY1164" s="57" t="n">
        <f aca="false">N(L1164)+N(M1164)</f>
        <v>11</v>
      </c>
      <c r="BZ1164" s="57" t="n">
        <f aca="false">ROUNDUP(G1164/BQ1164,0)</f>
        <v>0</v>
      </c>
      <c r="CA1164" s="57" t="n">
        <f aca="false">ROUNDUP(BX1164/BQ1164,0)</f>
        <v>0</v>
      </c>
      <c r="CB1164" s="60" t="n">
        <f aca="false">IF(BR1164=1,0,IFERROR(VLOOKUP(BP1164,'Gebinde-Kategorie'!$A$5:$M$45,5,0)+0,0))</f>
        <v>11</v>
      </c>
      <c r="CC1164" s="60" t="n">
        <f aca="false">IFERROR(IF(OR(BT1164=1,BT1164=2,BT1164=3),N(INDEX(Parameter!$I$5:$I$7,BT1164)),0),0)</f>
        <v>0</v>
      </c>
      <c r="CD1164" s="59" t="n">
        <f aca="false">IF(AND(Parameter!$B$21="Ja",ISNUMBER(U1164),N(V1164)&gt;0),IFERROR(N(INDEX(Parameter!$L$5:$L$7,U1164))*INDEX(Parameter!$E$5:$E$7,U1164)*V1164/SUMIFS($V$7:$V$1576,$U$7:$U$1576,U1164),0),0)</f>
        <v>0</v>
      </c>
    </row>
    <row r="1165" customFormat="false" ht="15" hidden="false" customHeight="false" outlineLevel="0" collapsed="false">
      <c r="A1165" s="55" t="s">
        <v>2087</v>
      </c>
      <c r="B1165" s="55" t="s">
        <v>1935</v>
      </c>
      <c r="C1165" s="55" t="s">
        <v>446</v>
      </c>
      <c r="D1165" s="55" t="s">
        <v>178</v>
      </c>
      <c r="E1165" s="55" t="s">
        <v>210</v>
      </c>
      <c r="F1165" s="56" t="n">
        <v>42.75</v>
      </c>
      <c r="G1165" s="57" t="n">
        <f aca="false">MAX(0,IF(AND(Parameter!$B$21="Ja",ISNUMBER(W1165)),W1165,IF(Parameter!$B$20="Jahresanfang 2025 + Export",BJ1165+BI1165,BI1165)))</f>
        <v>0</v>
      </c>
      <c r="H1165" s="57" t="n">
        <f aca="false">G1165*F1165</f>
        <v>0</v>
      </c>
      <c r="I1165" s="57" t="n">
        <f aca="false">BL1165*Parameter!$B$18</f>
        <v>8</v>
      </c>
      <c r="J1165" s="58" t="n">
        <v>8</v>
      </c>
      <c r="K1165" s="59" t="n">
        <v>1</v>
      </c>
      <c r="L1165" s="57" t="n">
        <v>0</v>
      </c>
      <c r="M1165" s="57" t="n">
        <v>10</v>
      </c>
      <c r="N1165" s="60" t="n">
        <v>21</v>
      </c>
      <c r="O1165" s="55" t="s">
        <v>163</v>
      </c>
      <c r="P1165" s="57"/>
      <c r="Q1165" s="60" t="n">
        <f aca="false">IF(BR1165=1,0,IFERROR(VLOOKUP(BP1165,'Gebinde-Kategorie'!$A$5:$M$45,13,0)+0,0))</f>
        <v>0</v>
      </c>
      <c r="R1165" s="61"/>
      <c r="S1165" s="62"/>
      <c r="T1165" s="62"/>
      <c r="U1165" s="55"/>
      <c r="V1165" s="57"/>
      <c r="W1165" s="57"/>
      <c r="X1165" s="55" t="n">
        <f aca="false">IF(A1165="","",IF(AND(Parameter!$B$21="Ja",ISNUMBER(U1165)),U1165,IF(IFERROR(VLOOKUP(D1165,Parameter!$A$35:$C$64,2,0),"Nein")="2+3",IF(ISNUMBER(SEARCH("grosser Artikel",BM1165)),2,IFERROR(VLOOKUP(BP1165,Parameter!$F$35:$G$64,2,0),2)),IF(OR(IFERROR(VLOOKUP(D1165,Parameter!$A$35:$C$64,2,0),"Nein")="Nein",IFERROR(VLOOKUP(D1165,Parameter!$A$35:$C$64,2,0),"Nein")=""),"-",VLOOKUP(D1165,Parameter!$A$35:$C$64,2,0)))))</f>
        <v>2</v>
      </c>
      <c r="Y1165" s="62"/>
      <c r="Z1165" s="63"/>
      <c r="AA1165" s="57" t="n">
        <f aca="false">AP1165</f>
        <v>10</v>
      </c>
      <c r="AB1165" s="57" t="n">
        <f aca="false">MAX(AP1165,G1165)</f>
        <v>10</v>
      </c>
      <c r="AC1165" s="64"/>
      <c r="AD1165" s="57" t="n">
        <f aca="false">IF(LEFT(Cockpit!$C$5,1)="A",G1165,IF(BW1165=1,BX1165,IF(LEFT(Cockpit!$C$5,1)="B",AH1165,MAX(AH1165,G1165))))</f>
        <v>0</v>
      </c>
      <c r="AE1165" s="57" t="n">
        <f aca="false">IF(BR1165=1,0,ROUNDUP(AD1165/BQ1165,0))</f>
        <v>0</v>
      </c>
      <c r="AF1165" s="59" t="n">
        <f aca="false">IF(CD1165&gt;0,CD1165*MAX(1,AD1165/V1165),IF(BR1165=1,IF(AD1165&lt;=0,0,BS1165*MAX(1,IF(G1165&gt;0,AD1165/G1165,1))),IF(Q1165&gt;0,AE1165/Q1165,0))/MAX(0.1,N(Parameter!$M$21)))</f>
        <v>0</v>
      </c>
      <c r="AG1165" s="57" t="n">
        <f aca="false">AD1165*F1165</f>
        <v>0</v>
      </c>
      <c r="AH1165" s="57" t="n">
        <f aca="false">ROUNDUP(MAX(I1165/IF(BV1165&gt;0,BV1165,MAX(0.1,N(Cockpit!$C$6))),BY1165)/BQ1165,0)*BQ1165</f>
        <v>10</v>
      </c>
      <c r="AI1165" s="58" t="n">
        <f aca="false">IF(AF1165&gt;0,I1165/AF1165,-1)</f>
        <v>-1</v>
      </c>
      <c r="AJ1165" s="58" t="str">
        <f aca="false">IF(AND(OR(BU1165="L1",BU1165="L23"),AF1165&gt;0),SUMIFS($AF$7:$AF$1576,$BU$7:$BU$1576,BU1165,$AI$7:$AI$1576,"&gt;"&amp;AI1165)+SUMIFS($AF$7:$AF$1576,$BU$7:$BU$1576,BU1165,$AI$7:$AI$1576,AI1165,$BO$7:$BO$1576,"&lt;="&amp;BO1165),"")</f>
        <v/>
      </c>
      <c r="AK1165" s="65" t="n">
        <f aca="false">IF(AJ1165="",0,MAX(0,MIN(1,(IF(BU1165="L1",Parameter!$E$5,Parameter!$E$6+Parameter!$E$7)-(AJ1165-AF1165))/AF1165)))</f>
        <v>0</v>
      </c>
      <c r="AL1165" s="57" t="n">
        <f aca="false">IF(LEFT(Cockpit!$I$5,1)="A",G1165,IF(BW1165=1,BX1165,IF(LEFT(Cockpit!$I$5,1)="B",AP1165,MAX(AP1165,G1165))))</f>
        <v>10</v>
      </c>
      <c r="AM1165" s="57" t="n">
        <f aca="false">IF(BR1165=1,0,ROUNDUP(AL1165/BQ1165,0))</f>
        <v>0</v>
      </c>
      <c r="AN1165" s="59" t="n">
        <f aca="false">IF(CD1165&gt;0,CD1165*MAX(1,AL1165/V1165),IF(BR1165=1,IF(AL1165&lt;=0,0,BS1165*MAX(1,IF(G1165&gt;0,AL1165/G1165,1))),IF(Q1165&gt;0,AM1165/Q1165,0))/MAX(0.1,N(Parameter!$M$21)))</f>
        <v>0.03</v>
      </c>
      <c r="AO1165" s="57" t="n">
        <f aca="false">AL1165*F1165</f>
        <v>427.5</v>
      </c>
      <c r="AP1165" s="57" t="n">
        <f aca="false">ROUNDUP(MAX(I1165/IF(BV1165&gt;0,BV1165,MAX(0.1,N(Cockpit!$I$6))),BY1165)/BQ1165,0)*BQ1165</f>
        <v>10</v>
      </c>
      <c r="AQ1165" s="58" t="n">
        <f aca="false">IF(AN1165&gt;0,I1165/AN1165,-1)</f>
        <v>266.666666666667</v>
      </c>
      <c r="AR1165" s="58" t="n">
        <f aca="false">IF(AND(OR(BU1165="L1",BU1165="L23"),AN1165&gt;0),SUMIFS($AN$7:$AN$1576,$BU$7:$BU$1576,BU1165,$AQ$7:$AQ$1576,"&gt;"&amp;AQ1165)+SUMIFS($AN$7:$AN$1576,$BU$7:$BU$1576,BU1165,$AQ$7:$AQ$1576,AQ1165,$BO$7:$BO$1576,"&lt;="&amp;BO1165),"")</f>
        <v>45.2139990568363</v>
      </c>
      <c r="AS1165" s="65" t="n">
        <f aca="false">IF(AR1165="",0,MAX(0,MIN(1,(IF(BU1165="L1",Parameter!$E$5,Parameter!$E$6+Parameter!$E$7)-(AR1165-AN1165))/AN1165)))</f>
        <v>1</v>
      </c>
      <c r="AT1165" s="57" t="n">
        <f aca="false">IF(LEFT(Cockpit!$O$5,1)="A",G1165,IF(BW1165=1,BX1165,IF(LEFT(Cockpit!$O$5,1)="B",AX1165,MAX(AX1165,G1165))))</f>
        <v>10</v>
      </c>
      <c r="AU1165" s="57" t="n">
        <f aca="false">IF(BR1165=1,0,ROUNDUP(AT1165/BQ1165,0))</f>
        <v>0</v>
      </c>
      <c r="AV1165" s="59" t="n">
        <f aca="false">IF(CD1165&gt;0,CD1165*MAX(1,AT1165/V1165),IF(BR1165=1,IF(AT1165&lt;=0,0,BS1165*MAX(1,IF(G1165&gt;0,AT1165/G1165,1))),IF(Q1165&gt;0,AU1165/Q1165,0))/MAX(0.1,N(Parameter!$M$21)))</f>
        <v>0.03</v>
      </c>
      <c r="AW1165" s="57" t="n">
        <f aca="false">AT1165*F1165</f>
        <v>427.5</v>
      </c>
      <c r="AX1165" s="57" t="n">
        <f aca="false">ROUNDUP(MAX(I1165/IF(BV1165&gt;0,BV1165,MAX(0.1,N(Cockpit!$O$6))),BY1165)/BQ1165,0)*BQ1165</f>
        <v>10</v>
      </c>
      <c r="AY1165" s="58" t="n">
        <f aca="false">IF(AV1165&gt;0,I1165/AV1165,-1)</f>
        <v>266.666666666667</v>
      </c>
      <c r="AZ1165" s="58" t="n">
        <f aca="false">IF(AND(OR(BU1165="L1",BU1165="L23"),AV1165&gt;0),SUMIFS($AV$7:$AV$1576,$BU$7:$BU$1576,BU1165,$AY$7:$AY$1576,"&gt;"&amp;AY1165)+SUMIFS($AV$7:$AV$1576,$BU$7:$BU$1576,BU1165,$AY$7:$AY$1576,AY1165,$BO$7:$BO$1576,"&lt;="&amp;BO1165),"")</f>
        <v>41.4920776449149</v>
      </c>
      <c r="BA1165" s="65" t="n">
        <f aca="false">IF(AZ1165="",0,MAX(0,MIN(1,(IF(BU1165="L1",Parameter!$E$5,Parameter!$E$6+Parameter!$E$7)-(AZ1165-AV1165))/AV1165)))</f>
        <v>1</v>
      </c>
      <c r="BB1165" s="55" t="str">
        <f aca="false">IF(AF1165&lt;=0,"",IF(BU1165="Aussen","Aussenlager",IF(BU1165="-","Nicht im Lift",IF(AK1165&gt;=1,"Lift",IF(AK1165&lt;=0,"Aussenlager","teilweise")))))</f>
        <v/>
      </c>
      <c r="BC1165" s="55" t="str">
        <f aca="false">IF(AN1165&lt;=0,"",IF(BU1165="Aussen","Aussenlager",IF(BU1165="-","Nicht im Lift",IF(AS1165&gt;=1,"Lift",IF(AS1165&lt;=0,"Aussenlager","teilweise")))))</f>
        <v>Lift</v>
      </c>
      <c r="BD1165" s="55" t="str">
        <f aca="false">IF(AV1165&lt;=0,"",IF(BU1165="Aussen","Aussenlager",IF(BU1165="-","Nicht im Lift",IF(BA1165&gt;=1,"Lift",IF(BA1165&lt;=0,"Aussenlager","teilweise")))))</f>
        <v>Lift</v>
      </c>
      <c r="BE1165" s="55" t="str">
        <f aca="false">IF(A1165="","",IF(BN1165=1,"Neu; ","")&amp;IF(AND(BN1165=0,BI1165&lt;0),"negativer Bestand (Export "&amp;BI1165&amp;"); ","")&amp;IF(I1165&lt;=0,"Kein Verbrauch; ","")&amp;IF(CD1165&gt;0,"Lift "&amp;U1165&amp;" lt. Liftbericht (Fach "&amp;V1165&amp;" Stk); ",IF(BR1165=1,"Lose – Fläche geschätzt; ",""))&amp;IF(G1165&gt;AP1165,"Überbestand "&amp;ROUND(G1165-AP1165,0)&amp;" Stk / CHF "&amp;ROUND((G1165-AP1165)*F1165,0)&amp;"; ","")&amp;IF(AND(BW1165=1,BX1165&lt;BY1165),"MAX &lt; MB+LG; ","")&amp;IF(AND(CC1165&gt;0,CB1165*10&gt;CC1165),"zu hoch für Tablar; ","")&amp;IF(AND(BN1165=0,OR(BW1165=1,Y1165&lt;&gt;"",S1165&lt;&gt;"",T1165&lt;&gt;"",Z1165&lt;&gt;"")),"manuell übersteuert; ","")&amp;IF(AND(BR1165=0,Q1165=0),"Gebinde unbekannt / Stellmass fehlt; ","")&amp;IF(AND(BR1165=0,N(T1165)&lt;=0,N(P1165)&lt;=0),"Menge pro Gebinde fehlt (Ist = 1 Gebinde); ","")&amp;BM1165)</f>
        <v>negativer Bestand (Export -8); Lose – Fläche geschätzt; </v>
      </c>
      <c r="BF1165" s="55"/>
      <c r="BG1165" s="55"/>
      <c r="BH1165" s="62"/>
      <c r="BI1165" s="57" t="n">
        <v>-8</v>
      </c>
      <c r="BJ1165" s="57" t="n">
        <v>16</v>
      </c>
      <c r="BK1165" s="56" t="n">
        <v>-342</v>
      </c>
      <c r="BL1165" s="57" t="n">
        <v>8</v>
      </c>
      <c r="BM1165" s="55"/>
      <c r="BN1165" s="60" t="n">
        <v>0</v>
      </c>
      <c r="BO1165" s="60" t="n">
        <v>1165</v>
      </c>
      <c r="BP1165" s="55" t="str">
        <f aca="false">IF(S1165&lt;&gt;"",UPPER(TRIM(S1165)),IF(O1165="","LOSE",O1165))</f>
        <v>LOSE</v>
      </c>
      <c r="BQ1165" s="57" t="n">
        <f aca="false">IF(BP1165="LOSE",1,IF(N(T1165)&gt;0,T1165,IF(N(P1165)&gt;0,P1165,MAX(1,G1165))))</f>
        <v>1</v>
      </c>
      <c r="BR1165" s="60" t="n">
        <f aca="false">IF(BP1165="LOSE",1,0)</f>
        <v>1</v>
      </c>
      <c r="BS1165" s="59" t="n">
        <f aca="false">IF(BR1165=0,0,IF(N(R1165)&gt;0,R1165,IFERROR(VLOOKUP(D1165,Parameter!$A$35:$C$64,3,0)+0,0)))</f>
        <v>0.03</v>
      </c>
      <c r="BT1165" s="55" t="n">
        <f aca="false">IF(Y1165&lt;&gt;"",Y1165,X1165)</f>
        <v>2</v>
      </c>
      <c r="BU1165" s="55" t="str">
        <f aca="false">IF(BT1165=1,"L1",IF(OR(BT1165=2,BT1165=3),"L23",IF(BT1165="Aussen","Aussen","-")))</f>
        <v>L23</v>
      </c>
      <c r="BV1165" s="66" t="n">
        <f aca="false">IF(N(Z1165)&gt;0,Z1165,0)</f>
        <v>0</v>
      </c>
      <c r="BW1165" s="60" t="n">
        <f aca="false">IF(ISNUMBER(AC1165),1,0)</f>
        <v>0</v>
      </c>
      <c r="BX1165" s="57" t="n">
        <f aca="false">N(AC1165)</f>
        <v>0</v>
      </c>
      <c r="BY1165" s="57" t="n">
        <f aca="false">N(L1165)+N(M1165)</f>
        <v>10</v>
      </c>
      <c r="BZ1165" s="57" t="n">
        <f aca="false">ROUNDUP(G1165/BQ1165,0)</f>
        <v>0</v>
      </c>
      <c r="CA1165" s="57" t="n">
        <f aca="false">ROUNDUP(BX1165/BQ1165,0)</f>
        <v>0</v>
      </c>
      <c r="CB1165" s="60" t="n">
        <f aca="false">IF(BR1165=1,0,IFERROR(VLOOKUP(BP1165,'Gebinde-Kategorie'!$A$5:$M$45,5,0)+0,0))</f>
        <v>0</v>
      </c>
      <c r="CC1165" s="60" t="n">
        <f aca="false">IFERROR(IF(OR(BT1165=1,BT1165=2,BT1165=3),N(INDEX(Parameter!$I$5:$I$7,BT1165)),0),0)</f>
        <v>0</v>
      </c>
      <c r="CD1165" s="59" t="n">
        <f aca="false">IF(AND(Parameter!$B$21="Ja",ISNUMBER(U1165),N(V1165)&gt;0),IFERROR(N(INDEX(Parameter!$L$5:$L$7,U1165))*INDEX(Parameter!$E$5:$E$7,U1165)*V1165/SUMIFS($V$7:$V$1576,$U$7:$U$1576,U1165),0),0)</f>
        <v>0</v>
      </c>
    </row>
    <row r="1166" customFormat="false" ht="15" hidden="false" customHeight="false" outlineLevel="0" collapsed="false">
      <c r="A1166" s="55" t="s">
        <v>2088</v>
      </c>
      <c r="B1166" s="55" t="s">
        <v>452</v>
      </c>
      <c r="C1166" s="55" t="s">
        <v>160</v>
      </c>
      <c r="D1166" s="55" t="s">
        <v>168</v>
      </c>
      <c r="E1166" s="55" t="s">
        <v>210</v>
      </c>
      <c r="F1166" s="56" t="n">
        <v>148.21</v>
      </c>
      <c r="G1166" s="57" t="n">
        <f aca="false">MAX(0,IF(AND(Parameter!$B$21="Ja",ISNUMBER(W1166)),W1166,IF(Parameter!$B$20="Jahresanfang 2025 + Export",BJ1166+BI1166,BI1166)))</f>
        <v>5</v>
      </c>
      <c r="H1166" s="57" t="n">
        <f aca="false">G1166*F1166</f>
        <v>741.05</v>
      </c>
      <c r="I1166" s="57" t="n">
        <f aca="false">BL1166*Parameter!$B$18</f>
        <v>29</v>
      </c>
      <c r="J1166" s="58" t="n">
        <v>14.5</v>
      </c>
      <c r="K1166" s="59" t="n">
        <v>2</v>
      </c>
      <c r="L1166" s="57" t="n">
        <v>2</v>
      </c>
      <c r="M1166" s="57" t="n">
        <v>20</v>
      </c>
      <c r="N1166" s="60" t="n">
        <v>28</v>
      </c>
      <c r="O1166" s="55" t="s">
        <v>163</v>
      </c>
      <c r="P1166" s="57"/>
      <c r="Q1166" s="60" t="n">
        <f aca="false">IF(BR1166=1,0,IFERROR(VLOOKUP(BP1166,'Gebinde-Kategorie'!$A$5:$M$45,13,0)+0,0))</f>
        <v>0</v>
      </c>
      <c r="R1166" s="61"/>
      <c r="S1166" s="62"/>
      <c r="T1166" s="62"/>
      <c r="U1166" s="55" t="n">
        <v>1</v>
      </c>
      <c r="V1166" s="57" t="n">
        <v>14</v>
      </c>
      <c r="W1166" s="57" t="n">
        <v>5</v>
      </c>
      <c r="X1166" s="55" t="n">
        <f aca="false">IF(A1166="","",IF(AND(Parameter!$B$21="Ja",ISNUMBER(U1166)),U1166,IF(IFERROR(VLOOKUP(D1166,Parameter!$A$35:$C$64,2,0),"Nein")="2+3",IF(ISNUMBER(SEARCH("grosser Artikel",BM1166)),2,IFERROR(VLOOKUP(BP1166,Parameter!$F$35:$G$64,2,0),2)),IF(OR(IFERROR(VLOOKUP(D1166,Parameter!$A$35:$C$64,2,0),"Nein")="Nein",IFERROR(VLOOKUP(D1166,Parameter!$A$35:$C$64,2,0),"Nein")=""),"-",VLOOKUP(D1166,Parameter!$A$35:$C$64,2,0)))))</f>
        <v>1</v>
      </c>
      <c r="Y1166" s="62"/>
      <c r="Z1166" s="63"/>
      <c r="AA1166" s="57" t="n">
        <f aca="false">AP1166</f>
        <v>22</v>
      </c>
      <c r="AB1166" s="57" t="n">
        <f aca="false">MAX(AP1166,G1166)</f>
        <v>22</v>
      </c>
      <c r="AC1166" s="64"/>
      <c r="AD1166" s="57" t="n">
        <f aca="false">IF(LEFT(Cockpit!$C$5,1)="A",G1166,IF(BW1166=1,BX1166,IF(LEFT(Cockpit!$C$5,1)="B",AH1166,MAX(AH1166,G1166))))</f>
        <v>5</v>
      </c>
      <c r="AE1166" s="57" t="n">
        <f aca="false">IF(BR1166=1,0,ROUNDUP(AD1166/BQ1166,0))</f>
        <v>0</v>
      </c>
      <c r="AF1166" s="59" t="n">
        <f aca="false">IF(CD1166&gt;0,CD1166*MAX(1,AD1166/V1166),IF(BR1166=1,IF(AD1166&lt;=0,0,BS1166*MAX(1,IF(G1166&gt;0,AD1166/G1166,1))),IF(Q1166&gt;0,AE1166/Q1166,0))/MAX(0.1,N(Parameter!$M$21)))</f>
        <v>1.12052730696798</v>
      </c>
      <c r="AG1166" s="57" t="n">
        <f aca="false">AD1166*F1166</f>
        <v>741.05</v>
      </c>
      <c r="AH1166" s="57" t="n">
        <f aca="false">ROUNDUP(MAX(I1166/IF(BV1166&gt;0,BV1166,MAX(0.1,N(Cockpit!$C$6))),BY1166)/BQ1166,0)*BQ1166</f>
        <v>22</v>
      </c>
      <c r="AI1166" s="58" t="n">
        <f aca="false">IF(AF1166&gt;0,I1166/AF1166,-1)</f>
        <v>25.8806722689076</v>
      </c>
      <c r="AJ1166" s="58" t="n">
        <f aca="false">IF(AND(OR(BU1166="L1",BU1166="L23"),AF1166&gt;0),SUMIFS($AF$7:$AF$1576,$BU$7:$BU$1576,BU1166,$AI$7:$AI$1576,"&gt;"&amp;AI1166)+SUMIFS($AF$7:$AF$1576,$BU$7:$BU$1576,BU1166,$AI$7:$AI$1576,AI1166,$BO$7:$BO$1576,"&lt;="&amp;BO1166),"")</f>
        <v>9.44444444444445</v>
      </c>
      <c r="AK1166" s="65" t="n">
        <f aca="false">IF(AJ1166="",0,MAX(0,MIN(1,(IF(BU1166="L1",Parameter!$E$5,Parameter!$E$6+Parameter!$E$7)-(AJ1166-AF1166))/AF1166)))</f>
        <v>1</v>
      </c>
      <c r="AL1166" s="57" t="n">
        <f aca="false">IF(LEFT(Cockpit!$I$5,1)="A",G1166,IF(BW1166=1,BX1166,IF(LEFT(Cockpit!$I$5,1)="B",AP1166,MAX(AP1166,G1166))))</f>
        <v>22</v>
      </c>
      <c r="AM1166" s="57" t="n">
        <f aca="false">IF(BR1166=1,0,ROUNDUP(AL1166/BQ1166,0))</f>
        <v>0</v>
      </c>
      <c r="AN1166" s="59" t="n">
        <f aca="false">IF(CD1166&gt;0,CD1166*MAX(1,AL1166/V1166),IF(BR1166=1,IF(AL1166&lt;=0,0,BS1166*MAX(1,IF(G1166&gt;0,AL1166/G1166,1))),IF(Q1166&gt;0,AM1166/Q1166,0))/MAX(0.1,N(Parameter!$M$21)))</f>
        <v>1.7608286252354</v>
      </c>
      <c r="AO1166" s="57" t="n">
        <f aca="false">AL1166*F1166</f>
        <v>3260.62</v>
      </c>
      <c r="AP1166" s="57" t="n">
        <f aca="false">ROUNDUP(MAX(I1166/IF(BV1166&gt;0,BV1166,MAX(0.1,N(Cockpit!$I$6))),BY1166)/BQ1166,0)*BQ1166</f>
        <v>22</v>
      </c>
      <c r="AQ1166" s="58" t="n">
        <f aca="false">IF(AN1166&gt;0,I1166/AN1166,-1)</f>
        <v>16.4695187165775</v>
      </c>
      <c r="AR1166" s="58" t="n">
        <f aca="false">IF(AND(OR(BU1166="L1",BU1166="L23"),AN1166&gt;0),SUMIFS($AN$7:$AN$1576,$BU$7:$BU$1576,BU1166,$AQ$7:$AQ$1576,"&gt;"&amp;AQ1166)+SUMIFS($AN$7:$AN$1576,$BU$7:$BU$1576,BU1166,$AQ$7:$AQ$1576,AQ1166,$BO$7:$BO$1576,"&lt;="&amp;BO1166),"")</f>
        <v>25.2919020715631</v>
      </c>
      <c r="AS1166" s="65" t="n">
        <f aca="false">IF(AR1166="",0,MAX(0,MIN(1,(IF(BU1166="L1",Parameter!$E$5,Parameter!$E$6+Parameter!$E$7)-(AR1166-AN1166))/AN1166)))</f>
        <v>1</v>
      </c>
      <c r="AT1166" s="57" t="n">
        <f aca="false">IF(LEFT(Cockpit!$O$5,1)="A",G1166,IF(BW1166=1,BX1166,IF(LEFT(Cockpit!$O$5,1)="B",AX1166,MAX(AX1166,G1166))))</f>
        <v>22</v>
      </c>
      <c r="AU1166" s="57" t="n">
        <f aca="false">IF(BR1166=1,0,ROUNDUP(AT1166/BQ1166,0))</f>
        <v>0</v>
      </c>
      <c r="AV1166" s="59" t="n">
        <f aca="false">IF(CD1166&gt;0,CD1166*MAX(1,AT1166/V1166),IF(BR1166=1,IF(AT1166&lt;=0,0,BS1166*MAX(1,IF(G1166&gt;0,AT1166/G1166,1))),IF(Q1166&gt;0,AU1166/Q1166,0))/MAX(0.1,N(Parameter!$M$21)))</f>
        <v>1.7608286252354</v>
      </c>
      <c r="AW1166" s="57" t="n">
        <f aca="false">AT1166*F1166</f>
        <v>3260.62</v>
      </c>
      <c r="AX1166" s="57" t="n">
        <f aca="false">ROUNDUP(MAX(I1166/IF(BV1166&gt;0,BV1166,MAX(0.1,N(Cockpit!$O$6))),BY1166)/BQ1166,0)*BQ1166</f>
        <v>22</v>
      </c>
      <c r="AY1166" s="58" t="n">
        <f aca="false">IF(AV1166&gt;0,I1166/AV1166,-1)</f>
        <v>16.4695187165775</v>
      </c>
      <c r="AZ1166" s="58" t="n">
        <f aca="false">IF(AND(OR(BU1166="L1",BU1166="L23"),AV1166&gt;0),SUMIFS($AV$7:$AV$1576,$BU$7:$BU$1576,BU1166,$AY$7:$AY$1576,"&gt;"&amp;AY1166)+SUMIFS($AV$7:$AV$1576,$BU$7:$BU$1576,BU1166,$AY$7:$AY$1576,AY1166,$BO$7:$BO$1576,"&lt;="&amp;BO1166),"")</f>
        <v>22.3305084745763</v>
      </c>
      <c r="BA1166" s="65" t="n">
        <f aca="false">IF(AZ1166="",0,MAX(0,MIN(1,(IF(BU1166="L1",Parameter!$E$5,Parameter!$E$6+Parameter!$E$7)-(AZ1166-AV1166))/AV1166)))</f>
        <v>1</v>
      </c>
      <c r="BB1166" s="55" t="str">
        <f aca="false">IF(AF1166&lt;=0,"",IF(BU1166="Aussen","Aussenlager",IF(BU1166="-","Nicht im Lift",IF(AK1166&gt;=1,"Lift",IF(AK1166&lt;=0,"Aussenlager","teilweise")))))</f>
        <v>Lift</v>
      </c>
      <c r="BC1166" s="55" t="str">
        <f aca="false">IF(AN1166&lt;=0,"",IF(BU1166="Aussen","Aussenlager",IF(BU1166="-","Nicht im Lift",IF(AS1166&gt;=1,"Lift",IF(AS1166&lt;=0,"Aussenlager","teilweise")))))</f>
        <v>Lift</v>
      </c>
      <c r="BD1166" s="55" t="str">
        <f aca="false">IF(AV1166&lt;=0,"",IF(BU1166="Aussen","Aussenlager",IF(BU1166="-","Nicht im Lift",IF(BA1166&gt;=1,"Lift",IF(BA1166&lt;=0,"Aussenlager","teilweise")))))</f>
        <v>Lift</v>
      </c>
      <c r="BE1166" s="55" t="str">
        <f aca="false">IF(A1166="","",IF(BN1166=1,"Neu; ","")&amp;IF(AND(BN1166=0,BI1166&lt;0),"negativer Bestand (Export "&amp;BI1166&amp;"); ","")&amp;IF(I1166&lt;=0,"Kein Verbrauch; ","")&amp;IF(CD1166&gt;0,"Lift "&amp;U1166&amp;" lt. Liftbericht (Fach "&amp;V1166&amp;" Stk); ",IF(BR1166=1,"Lose – Fläche geschätzt; ",""))&amp;IF(G1166&gt;AP1166,"Überbestand "&amp;ROUND(G1166-AP1166,0)&amp;" Stk / CHF "&amp;ROUND((G1166-AP1166)*F1166,0)&amp;"; ","")&amp;IF(AND(BW1166=1,BX1166&lt;BY1166),"MAX &lt; MB+LG; ","")&amp;IF(AND(CC1166&gt;0,CB1166*10&gt;CC1166),"zu hoch für Tablar; ","")&amp;IF(AND(BN1166=0,OR(BW1166=1,Y1166&lt;&gt;"",S1166&lt;&gt;"",T1166&lt;&gt;"",Z1166&lt;&gt;"")),"manuell übersteuert; ","")&amp;IF(AND(BR1166=0,Q1166=0),"Gebinde unbekannt / Stellmass fehlt; ","")&amp;IF(AND(BR1166=0,N(T1166)&lt;=0,N(P1166)&lt;=0),"Menge pro Gebinde fehlt (Ist = 1 Gebinde); ","")&amp;BM1166)</f>
        <v>negativer Bestand (Export -2); Lift 1 lt. Liftbericht (Fach 14 Stk); </v>
      </c>
      <c r="BF1166" s="55"/>
      <c r="BG1166" s="55"/>
      <c r="BH1166" s="62"/>
      <c r="BI1166" s="57" t="n">
        <v>-2</v>
      </c>
      <c r="BJ1166" s="57" t="n">
        <v>9</v>
      </c>
      <c r="BK1166" s="56" t="n">
        <v>-343.76</v>
      </c>
      <c r="BL1166" s="57" t="n">
        <v>29</v>
      </c>
      <c r="BM1166" s="55"/>
      <c r="BN1166" s="60" t="n">
        <v>0</v>
      </c>
      <c r="BO1166" s="60" t="n">
        <v>1166</v>
      </c>
      <c r="BP1166" s="55" t="str">
        <f aca="false">IF(S1166&lt;&gt;"",UPPER(TRIM(S1166)),IF(O1166="","LOSE",O1166))</f>
        <v>LOSE</v>
      </c>
      <c r="BQ1166" s="57" t="n">
        <f aca="false">IF(BP1166="LOSE",1,IF(N(T1166)&gt;0,T1166,IF(N(P1166)&gt;0,P1166,MAX(1,G1166))))</f>
        <v>1</v>
      </c>
      <c r="BR1166" s="60" t="n">
        <f aca="false">IF(BP1166="LOSE",1,0)</f>
        <v>1</v>
      </c>
      <c r="BS1166" s="59" t="n">
        <f aca="false">IF(BR1166=0,0,IF(N(R1166)&gt;0,R1166,IFERROR(VLOOKUP(D1166,Parameter!$A$35:$C$64,3,0)+0,0)))</f>
        <v>0.15</v>
      </c>
      <c r="BT1166" s="55" t="n">
        <f aca="false">IF(Y1166&lt;&gt;"",Y1166,X1166)</f>
        <v>1</v>
      </c>
      <c r="BU1166" s="55" t="str">
        <f aca="false">IF(BT1166=1,"L1",IF(OR(BT1166=2,BT1166=3),"L23",IF(BT1166="Aussen","Aussen","-")))</f>
        <v>L1</v>
      </c>
      <c r="BV1166" s="66" t="n">
        <f aca="false">IF(N(Z1166)&gt;0,Z1166,0)</f>
        <v>0</v>
      </c>
      <c r="BW1166" s="60" t="n">
        <f aca="false">IF(ISNUMBER(AC1166),1,0)</f>
        <v>0</v>
      </c>
      <c r="BX1166" s="57" t="n">
        <f aca="false">N(AC1166)</f>
        <v>0</v>
      </c>
      <c r="BY1166" s="57" t="n">
        <f aca="false">N(L1166)+N(M1166)</f>
        <v>22</v>
      </c>
      <c r="BZ1166" s="57" t="n">
        <f aca="false">ROUNDUP(G1166/BQ1166,0)</f>
        <v>5</v>
      </c>
      <c r="CA1166" s="57" t="n">
        <f aca="false">ROUNDUP(BX1166/BQ1166,0)</f>
        <v>0</v>
      </c>
      <c r="CB1166" s="60" t="n">
        <f aca="false">IF(BR1166=1,0,IFERROR(VLOOKUP(BP1166,'Gebinde-Kategorie'!$A$5:$M$45,5,0)+0,0))</f>
        <v>0</v>
      </c>
      <c r="CC1166" s="60" t="n">
        <f aca="false">IFERROR(IF(OR(BT1166=1,BT1166=2,BT1166=3),N(INDEX(Parameter!$I$5:$I$7,BT1166)),0),0)</f>
        <v>0</v>
      </c>
      <c r="CD1166" s="59" t="n">
        <f aca="false">IF(AND(Parameter!$B$21="Ja",ISNUMBER(U1166),N(V1166)&gt;0),IFERROR(N(INDEX(Parameter!$L$5:$L$7,U1166))*INDEX(Parameter!$E$5:$E$7,U1166)*V1166/SUMIFS($V$7:$V$1576,$U$7:$U$1576,U1166),0),0)</f>
        <v>1.12052730696798</v>
      </c>
    </row>
    <row r="1167" customFormat="false" ht="15" hidden="false" customHeight="false" outlineLevel="0" collapsed="false">
      <c r="A1167" s="55" t="s">
        <v>2089</v>
      </c>
      <c r="B1167" s="55" t="s">
        <v>425</v>
      </c>
      <c r="C1167" s="55" t="s">
        <v>160</v>
      </c>
      <c r="D1167" s="55" t="s">
        <v>178</v>
      </c>
      <c r="E1167" s="55" t="s">
        <v>210</v>
      </c>
      <c r="F1167" s="56" t="n">
        <v>43.31</v>
      </c>
      <c r="G1167" s="57" t="n">
        <f aca="false">MAX(0,IF(AND(Parameter!$B$21="Ja",ISNUMBER(W1167)),W1167,IF(Parameter!$B$20="Jahresanfang 2025 + Export",BJ1167+BI1167,BI1167)))</f>
        <v>0</v>
      </c>
      <c r="H1167" s="57" t="n">
        <f aca="false">G1167*F1167</f>
        <v>0</v>
      </c>
      <c r="I1167" s="57" t="n">
        <f aca="false">BL1167*Parameter!$B$18</f>
        <v>8</v>
      </c>
      <c r="J1167" s="58" t="n">
        <v>27</v>
      </c>
      <c r="K1167" s="59" t="n">
        <v>0.296296296296296</v>
      </c>
      <c r="L1167" s="57" t="n">
        <v>0</v>
      </c>
      <c r="M1167" s="57" t="n">
        <v>10</v>
      </c>
      <c r="N1167" s="60" t="n">
        <v>14</v>
      </c>
      <c r="O1167" s="55" t="s">
        <v>319</v>
      </c>
      <c r="P1167" s="57" t="n">
        <v>25</v>
      </c>
      <c r="Q1167" s="60" t="n">
        <f aca="false">IF(BR1167=1,0,IFERROR(VLOOKUP(BP1167,'Gebinde-Kategorie'!$A$5:$M$45,13,0)+0,0))</f>
        <v>52</v>
      </c>
      <c r="R1167" s="61"/>
      <c r="S1167" s="62"/>
      <c r="T1167" s="62"/>
      <c r="U1167" s="55"/>
      <c r="V1167" s="57"/>
      <c r="W1167" s="57"/>
      <c r="X1167" s="55" t="n">
        <f aca="false">IF(A1167="","",IF(AND(Parameter!$B$21="Ja",ISNUMBER(U1167)),U1167,IF(IFERROR(VLOOKUP(D1167,Parameter!$A$35:$C$64,2,0),"Nein")="2+3",IF(ISNUMBER(SEARCH("grosser Artikel",BM1167)),2,IFERROR(VLOOKUP(BP1167,Parameter!$F$35:$G$64,2,0),2)),IF(OR(IFERROR(VLOOKUP(D1167,Parameter!$A$35:$C$64,2,0),"Nein")="Nein",IFERROR(VLOOKUP(D1167,Parameter!$A$35:$C$64,2,0),"Nein")=""),"-",VLOOKUP(D1167,Parameter!$A$35:$C$64,2,0)))))</f>
        <v>3</v>
      </c>
      <c r="Y1167" s="62"/>
      <c r="Z1167" s="63"/>
      <c r="AA1167" s="57" t="n">
        <f aca="false">AP1167</f>
        <v>25</v>
      </c>
      <c r="AB1167" s="57" t="n">
        <f aca="false">MAX(AP1167,G1167)</f>
        <v>25</v>
      </c>
      <c r="AC1167" s="64"/>
      <c r="AD1167" s="57" t="n">
        <f aca="false">IF(LEFT(Cockpit!$C$5,1)="A",G1167,IF(BW1167=1,BX1167,IF(LEFT(Cockpit!$C$5,1)="B",AH1167,MAX(AH1167,G1167))))</f>
        <v>0</v>
      </c>
      <c r="AE1167" s="57" t="n">
        <f aca="false">IF(BR1167=1,0,ROUNDUP(AD1167/BQ1167,0))</f>
        <v>0</v>
      </c>
      <c r="AF1167" s="59" t="n">
        <f aca="false">IF(CD1167&gt;0,CD1167*MAX(1,AD1167/V1167),IF(BR1167=1,IF(AD1167&lt;=0,0,BS1167*MAX(1,IF(G1167&gt;0,AD1167/G1167,1))),IF(Q1167&gt;0,AE1167/Q1167,0))/MAX(0.1,N(Parameter!$M$21)))</f>
        <v>0</v>
      </c>
      <c r="AG1167" s="57" t="n">
        <f aca="false">AD1167*F1167</f>
        <v>0</v>
      </c>
      <c r="AH1167" s="57" t="n">
        <f aca="false">ROUNDUP(MAX(I1167/IF(BV1167&gt;0,BV1167,MAX(0.1,N(Cockpit!$C$6))),BY1167)/BQ1167,0)*BQ1167</f>
        <v>25</v>
      </c>
      <c r="AI1167" s="58" t="n">
        <f aca="false">IF(AF1167&gt;0,I1167/AF1167,-1)</f>
        <v>-1</v>
      </c>
      <c r="AJ1167" s="58" t="str">
        <f aca="false">IF(AND(OR(BU1167="L1",BU1167="L23"),AF1167&gt;0),SUMIFS($AF$7:$AF$1576,$BU$7:$BU$1576,BU1167,$AI$7:$AI$1576,"&gt;"&amp;AI1167)+SUMIFS($AF$7:$AF$1576,$BU$7:$BU$1576,BU1167,$AI$7:$AI$1576,AI1167,$BO$7:$BO$1576,"&lt;="&amp;BO1167),"")</f>
        <v/>
      </c>
      <c r="AK1167" s="65" t="n">
        <f aca="false">IF(AJ1167="",0,MAX(0,MIN(1,(IF(BU1167="L1",Parameter!$E$5,Parameter!$E$6+Parameter!$E$7)-(AJ1167-AF1167))/AF1167)))</f>
        <v>0</v>
      </c>
      <c r="AL1167" s="57" t="n">
        <f aca="false">IF(LEFT(Cockpit!$I$5,1)="A",G1167,IF(BW1167=1,BX1167,IF(LEFT(Cockpit!$I$5,1)="B",AP1167,MAX(AP1167,G1167))))</f>
        <v>25</v>
      </c>
      <c r="AM1167" s="57" t="n">
        <f aca="false">IF(BR1167=1,0,ROUNDUP(AL1167/BQ1167,0))</f>
        <v>1</v>
      </c>
      <c r="AN1167" s="59" t="n">
        <f aca="false">IF(CD1167&gt;0,CD1167*MAX(1,AL1167/V1167),IF(BR1167=1,IF(AL1167&lt;=0,0,BS1167*MAX(1,IF(G1167&gt;0,AL1167/G1167,1))),IF(Q1167&gt;0,AM1167/Q1167,0))/MAX(0.1,N(Parameter!$M$21)))</f>
        <v>0.0192307692307692</v>
      </c>
      <c r="AO1167" s="57" t="n">
        <f aca="false">AL1167*F1167</f>
        <v>1082.75</v>
      </c>
      <c r="AP1167" s="57" t="n">
        <f aca="false">ROUNDUP(MAX(I1167/IF(BV1167&gt;0,BV1167,MAX(0.1,N(Cockpit!$I$6))),BY1167)/BQ1167,0)*BQ1167</f>
        <v>25</v>
      </c>
      <c r="AQ1167" s="58" t="n">
        <f aca="false">IF(AN1167&gt;0,I1167/AN1167,-1)</f>
        <v>416</v>
      </c>
      <c r="AR1167" s="58" t="n">
        <f aca="false">IF(AND(OR(BU1167="L1",BU1167="L23"),AN1167&gt;0),SUMIFS($AN$7:$AN$1576,$BU$7:$BU$1576,BU1167,$AQ$7:$AQ$1576,"&gt;"&amp;AQ1167)+SUMIFS($AN$7:$AN$1576,$BU$7:$BU$1576,BU1167,$AQ$7:$AQ$1576,AQ1167,$BO$7:$BO$1576,"&lt;="&amp;BO1167),"")</f>
        <v>36.2603853275704</v>
      </c>
      <c r="AS1167" s="65" t="n">
        <f aca="false">IF(AR1167="",0,MAX(0,MIN(1,(IF(BU1167="L1",Parameter!$E$5,Parameter!$E$6+Parameter!$E$7)-(AR1167-AN1167))/AN1167)))</f>
        <v>1</v>
      </c>
      <c r="AT1167" s="57" t="n">
        <f aca="false">IF(LEFT(Cockpit!$O$5,1)="A",G1167,IF(BW1167=1,BX1167,IF(LEFT(Cockpit!$O$5,1)="B",AX1167,MAX(AX1167,G1167))))</f>
        <v>25</v>
      </c>
      <c r="AU1167" s="57" t="n">
        <f aca="false">IF(BR1167=1,0,ROUNDUP(AT1167/BQ1167,0))</f>
        <v>1</v>
      </c>
      <c r="AV1167" s="59" t="n">
        <f aca="false">IF(CD1167&gt;0,CD1167*MAX(1,AT1167/V1167),IF(BR1167=1,IF(AT1167&lt;=0,0,BS1167*MAX(1,IF(G1167&gt;0,AT1167/G1167,1))),IF(Q1167&gt;0,AU1167/Q1167,0))/MAX(0.1,N(Parameter!$M$21)))</f>
        <v>0.0192307692307692</v>
      </c>
      <c r="AW1167" s="57" t="n">
        <f aca="false">AT1167*F1167</f>
        <v>1082.75</v>
      </c>
      <c r="AX1167" s="57" t="n">
        <f aca="false">ROUNDUP(MAX(I1167/IF(BV1167&gt;0,BV1167,MAX(0.1,N(Cockpit!$O$6))),BY1167)/BQ1167,0)*BQ1167</f>
        <v>25</v>
      </c>
      <c r="AY1167" s="58" t="n">
        <f aca="false">IF(AV1167&gt;0,I1167/AV1167,-1)</f>
        <v>416</v>
      </c>
      <c r="AZ1167" s="58" t="n">
        <f aca="false">IF(AND(OR(BU1167="L1",BU1167="L23"),AV1167&gt;0),SUMIFS($AV$7:$AV$1576,$BU$7:$BU$1576,BU1167,$AY$7:$AY$1576,"&gt;"&amp;AY1167)+SUMIFS($AV$7:$AV$1576,$BU$7:$BU$1576,BU1167,$AY$7:$AY$1576,AY1167,$BO$7:$BO$1576,"&lt;="&amp;BO1167),"")</f>
        <v>35.5917972489823</v>
      </c>
      <c r="BA1167" s="65" t="n">
        <f aca="false">IF(AZ1167="",0,MAX(0,MIN(1,(IF(BU1167="L1",Parameter!$E$5,Parameter!$E$6+Parameter!$E$7)-(AZ1167-AV1167))/AV1167)))</f>
        <v>1</v>
      </c>
      <c r="BB1167" s="55" t="str">
        <f aca="false">IF(AF1167&lt;=0,"",IF(BU1167="Aussen","Aussenlager",IF(BU1167="-","Nicht im Lift",IF(AK1167&gt;=1,"Lift",IF(AK1167&lt;=0,"Aussenlager","teilweise")))))</f>
        <v/>
      </c>
      <c r="BC1167" s="55" t="str">
        <f aca="false">IF(AN1167&lt;=0,"",IF(BU1167="Aussen","Aussenlager",IF(BU1167="-","Nicht im Lift",IF(AS1167&gt;=1,"Lift",IF(AS1167&lt;=0,"Aussenlager","teilweise")))))</f>
        <v>Lift</v>
      </c>
      <c r="BD1167" s="55" t="str">
        <f aca="false">IF(AV1167&lt;=0,"",IF(BU1167="Aussen","Aussenlager",IF(BU1167="-","Nicht im Lift",IF(BA1167&gt;=1,"Lift",IF(BA1167&lt;=0,"Aussenlager","teilweise")))))</f>
        <v>Lift</v>
      </c>
      <c r="BE1167" s="55" t="str">
        <f aca="false">IF(A1167="","",IF(BN1167=1,"Neu; ","")&amp;IF(AND(BN1167=0,BI1167&lt;0),"negativer Bestand (Export "&amp;BI1167&amp;"); ","")&amp;IF(I1167&lt;=0,"Kein Verbrauch; ","")&amp;IF(CD1167&gt;0,"Lift "&amp;U1167&amp;" lt. Liftbericht (Fach "&amp;V1167&amp;" Stk); ",IF(BR1167=1,"Lose – Fläche geschätzt; ",""))&amp;IF(G1167&gt;AP1167,"Überbestand "&amp;ROUND(G1167-AP1167,0)&amp;" Stk / CHF "&amp;ROUND((G1167-AP1167)*F1167,0)&amp;"; ","")&amp;IF(AND(BW1167=1,BX1167&lt;BY1167),"MAX &lt; MB+LG; ","")&amp;IF(AND(CC1167&gt;0,CB1167*10&gt;CC1167),"zu hoch für Tablar; ","")&amp;IF(AND(BN1167=0,OR(BW1167=1,Y1167&lt;&gt;"",S1167&lt;&gt;"",T1167&lt;&gt;"",Z1167&lt;&gt;"")),"manuell übersteuert; ","")&amp;IF(AND(BR1167=0,Q1167=0),"Gebinde unbekannt / Stellmass fehlt; ","")&amp;IF(AND(BR1167=0,N(T1167)&lt;=0,N(P1167)&lt;=0),"Menge pro Gebinde fehlt (Ist = 1 Gebinde); ","")&amp;BM1167)</f>
        <v>negativer Bestand (Export -8); </v>
      </c>
      <c r="BF1167" s="55"/>
      <c r="BG1167" s="55"/>
      <c r="BH1167" s="62"/>
      <c r="BI1167" s="57" t="n">
        <v>-8</v>
      </c>
      <c r="BJ1167" s="57" t="n">
        <v>31</v>
      </c>
      <c r="BK1167" s="56" t="n">
        <v>-346.48</v>
      </c>
      <c r="BL1167" s="57" t="n">
        <v>8</v>
      </c>
      <c r="BM1167" s="55"/>
      <c r="BN1167" s="60" t="n">
        <v>0</v>
      </c>
      <c r="BO1167" s="60" t="n">
        <v>1167</v>
      </c>
      <c r="BP1167" s="55" t="str">
        <f aca="false">IF(S1167&lt;&gt;"",UPPER(TRIM(S1167)),IF(O1167="","LOSE",O1167))</f>
        <v>S41</v>
      </c>
      <c r="BQ1167" s="57" t="n">
        <f aca="false">IF(BP1167="LOSE",1,IF(N(T1167)&gt;0,T1167,IF(N(P1167)&gt;0,P1167,MAX(1,G1167))))</f>
        <v>25</v>
      </c>
      <c r="BR1167" s="60" t="n">
        <f aca="false">IF(BP1167="LOSE",1,0)</f>
        <v>0</v>
      </c>
      <c r="BS1167" s="59" t="n">
        <f aca="false">IF(BR1167=0,0,IF(N(R1167)&gt;0,R1167,IFERROR(VLOOKUP(D1167,Parameter!$A$35:$C$64,3,0)+0,0)))</f>
        <v>0</v>
      </c>
      <c r="BT1167" s="55" t="n">
        <f aca="false">IF(Y1167&lt;&gt;"",Y1167,X1167)</f>
        <v>3</v>
      </c>
      <c r="BU1167" s="55" t="str">
        <f aca="false">IF(BT1167=1,"L1",IF(OR(BT1167=2,BT1167=3),"L23",IF(BT1167="Aussen","Aussen","-")))</f>
        <v>L23</v>
      </c>
      <c r="BV1167" s="66" t="n">
        <f aca="false">IF(N(Z1167)&gt;0,Z1167,0)</f>
        <v>0</v>
      </c>
      <c r="BW1167" s="60" t="n">
        <f aca="false">IF(ISNUMBER(AC1167),1,0)</f>
        <v>0</v>
      </c>
      <c r="BX1167" s="57" t="n">
        <f aca="false">N(AC1167)</f>
        <v>0</v>
      </c>
      <c r="BY1167" s="57" t="n">
        <f aca="false">N(L1167)+N(M1167)</f>
        <v>10</v>
      </c>
      <c r="BZ1167" s="57" t="n">
        <f aca="false">ROUNDUP(G1167/BQ1167,0)</f>
        <v>0</v>
      </c>
      <c r="CA1167" s="57" t="n">
        <f aca="false">ROUNDUP(BX1167/BQ1167,0)</f>
        <v>0</v>
      </c>
      <c r="CB1167" s="60" t="n">
        <f aca="false">IF(BR1167=1,0,IFERROR(VLOOKUP(BP1167,'Gebinde-Kategorie'!$A$5:$M$45,5,0)+0,0))</f>
        <v>11</v>
      </c>
      <c r="CC1167" s="60" t="n">
        <f aca="false">IFERROR(IF(OR(BT1167=1,BT1167=2,BT1167=3),N(INDEX(Parameter!$I$5:$I$7,BT1167)),0),0)</f>
        <v>0</v>
      </c>
      <c r="CD1167" s="59" t="n">
        <f aca="false">IF(AND(Parameter!$B$21="Ja",ISNUMBER(U1167),N(V1167)&gt;0),IFERROR(N(INDEX(Parameter!$L$5:$L$7,U1167))*INDEX(Parameter!$E$5:$E$7,U1167)*V1167/SUMIFS($V$7:$V$1576,$U$7:$U$1576,U1167),0),0)</f>
        <v>0</v>
      </c>
    </row>
    <row r="1168" customFormat="false" ht="15" hidden="false" customHeight="false" outlineLevel="0" collapsed="false">
      <c r="A1168" s="55" t="s">
        <v>2090</v>
      </c>
      <c r="B1168" s="55" t="s">
        <v>2091</v>
      </c>
      <c r="C1168" s="55" t="s">
        <v>160</v>
      </c>
      <c r="D1168" s="55" t="s">
        <v>178</v>
      </c>
      <c r="E1168" s="55" t="s">
        <v>210</v>
      </c>
      <c r="F1168" s="56" t="n">
        <v>116.46</v>
      </c>
      <c r="G1168" s="57" t="n">
        <f aca="false">MAX(0,IF(AND(Parameter!$B$21="Ja",ISNUMBER(W1168)),W1168,IF(Parameter!$B$20="Jahresanfang 2025 + Export",BJ1168+BI1168,BI1168)))</f>
        <v>0</v>
      </c>
      <c r="H1168" s="57" t="n">
        <f aca="false">G1168*F1168</f>
        <v>0</v>
      </c>
      <c r="I1168" s="57" t="n">
        <f aca="false">BL1168*Parameter!$B$18</f>
        <v>3</v>
      </c>
      <c r="J1168" s="58" t="n">
        <v>48.5</v>
      </c>
      <c r="K1168" s="59" t="n">
        <v>0.0618556701030928</v>
      </c>
      <c r="L1168" s="57" t="n">
        <v>0</v>
      </c>
      <c r="M1168" s="57" t="n">
        <v>5</v>
      </c>
      <c r="N1168" s="60" t="n">
        <v>28</v>
      </c>
      <c r="O1168" s="55" t="s">
        <v>218</v>
      </c>
      <c r="P1168" s="57" t="n">
        <v>50</v>
      </c>
      <c r="Q1168" s="60" t="n">
        <f aca="false">IF(BR1168=1,0,IFERROR(VLOOKUP(BP1168,'Gebinde-Kategorie'!$A$5:$M$45,13,0)+0,0))</f>
        <v>12</v>
      </c>
      <c r="R1168" s="61"/>
      <c r="S1168" s="62"/>
      <c r="T1168" s="62"/>
      <c r="U1168" s="55"/>
      <c r="V1168" s="57"/>
      <c r="W1168" s="57"/>
      <c r="X1168" s="55" t="n">
        <f aca="false">IF(A1168="","",IF(AND(Parameter!$B$21="Ja",ISNUMBER(U1168)),U1168,IF(IFERROR(VLOOKUP(D1168,Parameter!$A$35:$C$64,2,0),"Nein")="2+3",IF(ISNUMBER(SEARCH("grosser Artikel",BM1168)),2,IFERROR(VLOOKUP(BP1168,Parameter!$F$35:$G$64,2,0),2)),IF(OR(IFERROR(VLOOKUP(D1168,Parameter!$A$35:$C$64,2,0),"Nein")="Nein",IFERROR(VLOOKUP(D1168,Parameter!$A$35:$C$64,2,0),"Nein")=""),"-",VLOOKUP(D1168,Parameter!$A$35:$C$64,2,0)))))</f>
        <v>2</v>
      </c>
      <c r="Y1168" s="62"/>
      <c r="Z1168" s="63"/>
      <c r="AA1168" s="57" t="n">
        <f aca="false">AP1168</f>
        <v>50</v>
      </c>
      <c r="AB1168" s="57" t="n">
        <f aca="false">MAX(AP1168,G1168)</f>
        <v>50</v>
      </c>
      <c r="AC1168" s="64"/>
      <c r="AD1168" s="57" t="n">
        <f aca="false">IF(LEFT(Cockpit!$C$5,1)="A",G1168,IF(BW1168=1,BX1168,IF(LEFT(Cockpit!$C$5,1)="B",AH1168,MAX(AH1168,G1168))))</f>
        <v>0</v>
      </c>
      <c r="AE1168" s="57" t="n">
        <f aca="false">IF(BR1168=1,0,ROUNDUP(AD1168/BQ1168,0))</f>
        <v>0</v>
      </c>
      <c r="AF1168" s="59" t="n">
        <f aca="false">IF(CD1168&gt;0,CD1168*MAX(1,AD1168/V1168),IF(BR1168=1,IF(AD1168&lt;=0,0,BS1168*MAX(1,IF(G1168&gt;0,AD1168/G1168,1))),IF(Q1168&gt;0,AE1168/Q1168,0))/MAX(0.1,N(Parameter!$M$21)))</f>
        <v>0</v>
      </c>
      <c r="AG1168" s="57" t="n">
        <f aca="false">AD1168*F1168</f>
        <v>0</v>
      </c>
      <c r="AH1168" s="57" t="n">
        <f aca="false">ROUNDUP(MAX(I1168/IF(BV1168&gt;0,BV1168,MAX(0.1,N(Cockpit!$C$6))),BY1168)/BQ1168,0)*BQ1168</f>
        <v>50</v>
      </c>
      <c r="AI1168" s="58" t="n">
        <f aca="false">IF(AF1168&gt;0,I1168/AF1168,-1)</f>
        <v>-1</v>
      </c>
      <c r="AJ1168" s="58" t="str">
        <f aca="false">IF(AND(OR(BU1168="L1",BU1168="L23"),AF1168&gt;0),SUMIFS($AF$7:$AF$1576,$BU$7:$BU$1576,BU1168,$AI$7:$AI$1576,"&gt;"&amp;AI1168)+SUMIFS($AF$7:$AF$1576,$BU$7:$BU$1576,BU1168,$AI$7:$AI$1576,AI1168,$BO$7:$BO$1576,"&lt;="&amp;BO1168),"")</f>
        <v/>
      </c>
      <c r="AK1168" s="65" t="n">
        <f aca="false">IF(AJ1168="",0,MAX(0,MIN(1,(IF(BU1168="L1",Parameter!$E$5,Parameter!$E$6+Parameter!$E$7)-(AJ1168-AF1168))/AF1168)))</f>
        <v>0</v>
      </c>
      <c r="AL1168" s="57" t="n">
        <f aca="false">IF(LEFT(Cockpit!$I$5,1)="A",G1168,IF(BW1168=1,BX1168,IF(LEFT(Cockpit!$I$5,1)="B",AP1168,MAX(AP1168,G1168))))</f>
        <v>50</v>
      </c>
      <c r="AM1168" s="57" t="n">
        <f aca="false">IF(BR1168=1,0,ROUNDUP(AL1168/BQ1168,0))</f>
        <v>1</v>
      </c>
      <c r="AN1168" s="59" t="n">
        <f aca="false">IF(CD1168&gt;0,CD1168*MAX(1,AL1168/V1168),IF(BR1168=1,IF(AL1168&lt;=0,0,BS1168*MAX(1,IF(G1168&gt;0,AL1168/G1168,1))),IF(Q1168&gt;0,AM1168/Q1168,0))/MAX(0.1,N(Parameter!$M$21)))</f>
        <v>0.0833333333333333</v>
      </c>
      <c r="AO1168" s="57" t="n">
        <f aca="false">AL1168*F1168</f>
        <v>5823</v>
      </c>
      <c r="AP1168" s="57" t="n">
        <f aca="false">ROUNDUP(MAX(I1168/IF(BV1168&gt;0,BV1168,MAX(0.1,N(Cockpit!$I$6))),BY1168)/BQ1168,0)*BQ1168</f>
        <v>50</v>
      </c>
      <c r="AQ1168" s="58" t="n">
        <f aca="false">IF(AN1168&gt;0,I1168/AN1168,-1)</f>
        <v>36</v>
      </c>
      <c r="AR1168" s="58" t="n">
        <f aca="false">IF(AND(OR(BU1168="L1",BU1168="L23"),AN1168&gt;0),SUMIFS($AN$7:$AN$1576,$BU$7:$BU$1576,BU1168,$AQ$7:$AQ$1576,"&gt;"&amp;AQ1168)+SUMIFS($AN$7:$AN$1576,$BU$7:$BU$1576,BU1168,$AQ$7:$AQ$1576,AQ1168,$BO$7:$BO$1576,"&lt;="&amp;BO1168),"")</f>
        <v>93.3824345886957</v>
      </c>
      <c r="AS1168" s="65" t="n">
        <f aca="false">IF(AR1168="",0,MAX(0,MIN(1,(IF(BU1168="L1",Parameter!$E$5,Parameter!$E$6+Parameter!$E$7)-(AR1168-AN1168))/AN1168)))</f>
        <v>1</v>
      </c>
      <c r="AT1168" s="57" t="n">
        <f aca="false">IF(LEFT(Cockpit!$O$5,1)="A",G1168,IF(BW1168=1,BX1168,IF(LEFT(Cockpit!$O$5,1)="B",AX1168,MAX(AX1168,G1168))))</f>
        <v>50</v>
      </c>
      <c r="AU1168" s="57" t="n">
        <f aca="false">IF(BR1168=1,0,ROUNDUP(AT1168/BQ1168,0))</f>
        <v>1</v>
      </c>
      <c r="AV1168" s="59" t="n">
        <f aca="false">IF(CD1168&gt;0,CD1168*MAX(1,AT1168/V1168),IF(BR1168=1,IF(AT1168&lt;=0,0,BS1168*MAX(1,IF(G1168&gt;0,AT1168/G1168,1))),IF(Q1168&gt;0,AU1168/Q1168,0))/MAX(0.1,N(Parameter!$M$21)))</f>
        <v>0.0833333333333333</v>
      </c>
      <c r="AW1168" s="57" t="n">
        <f aca="false">AT1168*F1168</f>
        <v>5823</v>
      </c>
      <c r="AX1168" s="57" t="n">
        <f aca="false">ROUNDUP(MAX(I1168/IF(BV1168&gt;0,BV1168,MAX(0.1,N(Cockpit!$O$6))),BY1168)/BQ1168,0)*BQ1168</f>
        <v>50</v>
      </c>
      <c r="AY1168" s="58" t="n">
        <f aca="false">IF(AV1168&gt;0,I1168/AV1168,-1)</f>
        <v>36</v>
      </c>
      <c r="AZ1168" s="58" t="n">
        <f aca="false">IF(AND(OR(BU1168="L1",BU1168="L23"),AV1168&gt;0),SUMIFS($AV$7:$AV$1576,$BU$7:$BU$1576,BU1168,$AY$7:$AY$1576,"&gt;"&amp;AY1168)+SUMIFS($AV$7:$AV$1576,$BU$7:$BU$1576,BU1168,$AY$7:$AY$1576,AY1168,$BO$7:$BO$1576,"&lt;="&amp;BO1168),"")</f>
        <v>85.1669850382462</v>
      </c>
      <c r="BA1168" s="65" t="n">
        <f aca="false">IF(AZ1168="",0,MAX(0,MIN(1,(IF(BU1168="L1",Parameter!$E$5,Parameter!$E$6+Parameter!$E$7)-(AZ1168-AV1168))/AV1168)))</f>
        <v>1</v>
      </c>
      <c r="BB1168" s="55" t="str">
        <f aca="false">IF(AF1168&lt;=0,"",IF(BU1168="Aussen","Aussenlager",IF(BU1168="-","Nicht im Lift",IF(AK1168&gt;=1,"Lift",IF(AK1168&lt;=0,"Aussenlager","teilweise")))))</f>
        <v/>
      </c>
      <c r="BC1168" s="55" t="str">
        <f aca="false">IF(AN1168&lt;=0,"",IF(BU1168="Aussen","Aussenlager",IF(BU1168="-","Nicht im Lift",IF(AS1168&gt;=1,"Lift",IF(AS1168&lt;=0,"Aussenlager","teilweise")))))</f>
        <v>Lift</v>
      </c>
      <c r="BD1168" s="55" t="str">
        <f aca="false">IF(AV1168&lt;=0,"",IF(BU1168="Aussen","Aussenlager",IF(BU1168="-","Nicht im Lift",IF(BA1168&gt;=1,"Lift",IF(BA1168&lt;=0,"Aussenlager","teilweise")))))</f>
        <v>Lift</v>
      </c>
      <c r="BE1168" s="55" t="str">
        <f aca="false">IF(A1168="","",IF(BN1168=1,"Neu; ","")&amp;IF(AND(BN1168=0,BI1168&lt;0),"negativer Bestand (Export "&amp;BI1168&amp;"); ","")&amp;IF(I1168&lt;=0,"Kein Verbrauch; ","")&amp;IF(CD1168&gt;0,"Lift "&amp;U1168&amp;" lt. Liftbericht (Fach "&amp;V1168&amp;" Stk); ",IF(BR1168=1,"Lose – Fläche geschätzt; ",""))&amp;IF(G1168&gt;AP1168,"Überbestand "&amp;ROUND(G1168-AP1168,0)&amp;" Stk / CHF "&amp;ROUND((G1168-AP1168)*F1168,0)&amp;"; ","")&amp;IF(AND(BW1168=1,BX1168&lt;BY1168),"MAX &lt; MB+LG; ","")&amp;IF(AND(CC1168&gt;0,CB1168*10&gt;CC1168),"zu hoch für Tablar; ","")&amp;IF(AND(BN1168=0,OR(BW1168=1,Y1168&lt;&gt;"",S1168&lt;&gt;"",T1168&lt;&gt;"",Z1168&lt;&gt;"")),"manuell übersteuert; ","")&amp;IF(AND(BR1168=0,Q1168=0),"Gebinde unbekannt / Stellmass fehlt; ","")&amp;IF(AND(BR1168=0,N(T1168)&lt;=0,N(P1168)&lt;=0),"Menge pro Gebinde fehlt (Ist = 1 Gebinde); ","")&amp;BM1168)</f>
        <v>negativer Bestand (Export -3); </v>
      </c>
      <c r="BF1168" s="55"/>
      <c r="BG1168" s="55"/>
      <c r="BH1168" s="62"/>
      <c r="BI1168" s="57" t="n">
        <v>-3</v>
      </c>
      <c r="BJ1168" s="57" t="n">
        <v>49</v>
      </c>
      <c r="BK1168" s="56" t="n">
        <v>-349.38</v>
      </c>
      <c r="BL1168" s="57" t="n">
        <v>3</v>
      </c>
      <c r="BM1168" s="55"/>
      <c r="BN1168" s="60" t="n">
        <v>0</v>
      </c>
      <c r="BO1168" s="60" t="n">
        <v>1168</v>
      </c>
      <c r="BP1168" s="55" t="str">
        <f aca="false">IF(S1168&lt;&gt;"",UPPER(TRIM(S1168)),IF(O1168="","LOSE",O1168))</f>
        <v>S63</v>
      </c>
      <c r="BQ1168" s="57" t="n">
        <f aca="false">IF(BP1168="LOSE",1,IF(N(T1168)&gt;0,T1168,IF(N(P1168)&gt;0,P1168,MAX(1,G1168))))</f>
        <v>50</v>
      </c>
      <c r="BR1168" s="60" t="n">
        <f aca="false">IF(BP1168="LOSE",1,0)</f>
        <v>0</v>
      </c>
      <c r="BS1168" s="59" t="n">
        <f aca="false">IF(BR1168=0,0,IF(N(R1168)&gt;0,R1168,IFERROR(VLOOKUP(D1168,Parameter!$A$35:$C$64,3,0)+0,0)))</f>
        <v>0</v>
      </c>
      <c r="BT1168" s="55" t="n">
        <f aca="false">IF(Y1168&lt;&gt;"",Y1168,X1168)</f>
        <v>2</v>
      </c>
      <c r="BU1168" s="55" t="str">
        <f aca="false">IF(BT1168=1,"L1",IF(OR(BT1168=2,BT1168=3),"L23",IF(BT1168="Aussen","Aussen","-")))</f>
        <v>L23</v>
      </c>
      <c r="BV1168" s="66" t="n">
        <f aca="false">IF(N(Z1168)&gt;0,Z1168,0)</f>
        <v>0</v>
      </c>
      <c r="BW1168" s="60" t="n">
        <f aca="false">IF(ISNUMBER(AC1168),1,0)</f>
        <v>0</v>
      </c>
      <c r="BX1168" s="57" t="n">
        <f aca="false">N(AC1168)</f>
        <v>0</v>
      </c>
      <c r="BY1168" s="57" t="n">
        <f aca="false">N(L1168)+N(M1168)</f>
        <v>5</v>
      </c>
      <c r="BZ1168" s="57" t="n">
        <f aca="false">ROUNDUP(G1168/BQ1168,0)</f>
        <v>0</v>
      </c>
      <c r="CA1168" s="57" t="n">
        <f aca="false">ROUNDUP(BX1168/BQ1168,0)</f>
        <v>0</v>
      </c>
      <c r="CB1168" s="60" t="n">
        <f aca="false">IF(BR1168=1,0,IFERROR(VLOOKUP(BP1168,'Gebinde-Kategorie'!$A$5:$M$45,5,0)+0,0))</f>
        <v>31</v>
      </c>
      <c r="CC1168" s="60" t="n">
        <f aca="false">IFERROR(IF(OR(BT1168=1,BT1168=2,BT1168=3),N(INDEX(Parameter!$I$5:$I$7,BT1168)),0),0)</f>
        <v>0</v>
      </c>
      <c r="CD1168" s="59" t="n">
        <f aca="false">IF(AND(Parameter!$B$21="Ja",ISNUMBER(U1168),N(V1168)&gt;0),IFERROR(N(INDEX(Parameter!$L$5:$L$7,U1168))*INDEX(Parameter!$E$5:$E$7,U1168)*V1168/SUMIFS($V$7:$V$1576,$U$7:$U$1576,U1168),0),0)</f>
        <v>0</v>
      </c>
    </row>
    <row r="1169" customFormat="false" ht="15" hidden="false" customHeight="false" outlineLevel="0" collapsed="false">
      <c r="A1169" s="55" t="s">
        <v>2092</v>
      </c>
      <c r="B1169" s="55" t="s">
        <v>993</v>
      </c>
      <c r="C1169" s="55" t="s">
        <v>160</v>
      </c>
      <c r="D1169" s="55" t="s">
        <v>178</v>
      </c>
      <c r="E1169" s="55" t="s">
        <v>210</v>
      </c>
      <c r="F1169" s="56" t="n">
        <v>58.46</v>
      </c>
      <c r="G1169" s="57" t="n">
        <f aca="false">MAX(0,IF(AND(Parameter!$B$21="Ja",ISNUMBER(W1169)),W1169,IF(Parameter!$B$20="Jahresanfang 2025 + Export",BJ1169+BI1169,BI1169)))</f>
        <v>0</v>
      </c>
      <c r="H1169" s="57" t="n">
        <f aca="false">G1169*F1169</f>
        <v>0</v>
      </c>
      <c r="I1169" s="57" t="n">
        <f aca="false">BL1169*Parameter!$B$18</f>
        <v>5</v>
      </c>
      <c r="J1169" s="58" t="n">
        <v>60</v>
      </c>
      <c r="K1169" s="59" t="n">
        <v>0.0833333333333333</v>
      </c>
      <c r="L1169" s="57" t="n">
        <v>0</v>
      </c>
      <c r="M1169" s="57" t="n">
        <v>5</v>
      </c>
      <c r="N1169" s="60" t="n">
        <v>28</v>
      </c>
      <c r="O1169" s="55" t="s">
        <v>293</v>
      </c>
      <c r="P1169" s="57" t="n">
        <v>60</v>
      </c>
      <c r="Q1169" s="60" t="n">
        <f aca="false">IF(BR1169=1,0,IFERROR(VLOOKUP(BP1169,'Gebinde-Kategorie'!$A$5:$M$45,13,0)+0,0))</f>
        <v>26</v>
      </c>
      <c r="R1169" s="61"/>
      <c r="S1169" s="62"/>
      <c r="T1169" s="62"/>
      <c r="U1169" s="55"/>
      <c r="V1169" s="57"/>
      <c r="W1169" s="57"/>
      <c r="X1169" s="55" t="n">
        <f aca="false">IF(A1169="","",IF(AND(Parameter!$B$21="Ja",ISNUMBER(U1169)),U1169,IF(IFERROR(VLOOKUP(D1169,Parameter!$A$35:$C$64,2,0),"Nein")="2+3",IF(ISNUMBER(SEARCH("grosser Artikel",BM1169)),2,IFERROR(VLOOKUP(BP1169,Parameter!$F$35:$G$64,2,0),2)),IF(OR(IFERROR(VLOOKUP(D1169,Parameter!$A$35:$C$64,2,0),"Nein")="Nein",IFERROR(VLOOKUP(D1169,Parameter!$A$35:$C$64,2,0),"Nein")=""),"-",VLOOKUP(D1169,Parameter!$A$35:$C$64,2,0)))))</f>
        <v>3</v>
      </c>
      <c r="Y1169" s="62"/>
      <c r="Z1169" s="63"/>
      <c r="AA1169" s="57" t="n">
        <f aca="false">AP1169</f>
        <v>60</v>
      </c>
      <c r="AB1169" s="57" t="n">
        <f aca="false">MAX(AP1169,G1169)</f>
        <v>60</v>
      </c>
      <c r="AC1169" s="64"/>
      <c r="AD1169" s="57" t="n">
        <f aca="false">IF(LEFT(Cockpit!$C$5,1)="A",G1169,IF(BW1169=1,BX1169,IF(LEFT(Cockpit!$C$5,1)="B",AH1169,MAX(AH1169,G1169))))</f>
        <v>0</v>
      </c>
      <c r="AE1169" s="57" t="n">
        <f aca="false">IF(BR1169=1,0,ROUNDUP(AD1169/BQ1169,0))</f>
        <v>0</v>
      </c>
      <c r="AF1169" s="59" t="n">
        <f aca="false">IF(CD1169&gt;0,CD1169*MAX(1,AD1169/V1169),IF(BR1169=1,IF(AD1169&lt;=0,0,BS1169*MAX(1,IF(G1169&gt;0,AD1169/G1169,1))),IF(Q1169&gt;0,AE1169/Q1169,0))/MAX(0.1,N(Parameter!$M$21)))</f>
        <v>0</v>
      </c>
      <c r="AG1169" s="57" t="n">
        <f aca="false">AD1169*F1169</f>
        <v>0</v>
      </c>
      <c r="AH1169" s="57" t="n">
        <f aca="false">ROUNDUP(MAX(I1169/IF(BV1169&gt;0,BV1169,MAX(0.1,N(Cockpit!$C$6))),BY1169)/BQ1169,0)*BQ1169</f>
        <v>60</v>
      </c>
      <c r="AI1169" s="58" t="n">
        <f aca="false">IF(AF1169&gt;0,I1169/AF1169,-1)</f>
        <v>-1</v>
      </c>
      <c r="AJ1169" s="58" t="str">
        <f aca="false">IF(AND(OR(BU1169="L1",BU1169="L23"),AF1169&gt;0),SUMIFS($AF$7:$AF$1576,$BU$7:$BU$1576,BU1169,$AI$7:$AI$1576,"&gt;"&amp;AI1169)+SUMIFS($AF$7:$AF$1576,$BU$7:$BU$1576,BU1169,$AI$7:$AI$1576,AI1169,$BO$7:$BO$1576,"&lt;="&amp;BO1169),"")</f>
        <v/>
      </c>
      <c r="AK1169" s="65" t="n">
        <f aca="false">IF(AJ1169="",0,MAX(0,MIN(1,(IF(BU1169="L1",Parameter!$E$5,Parameter!$E$6+Parameter!$E$7)-(AJ1169-AF1169))/AF1169)))</f>
        <v>0</v>
      </c>
      <c r="AL1169" s="57" t="n">
        <f aca="false">IF(LEFT(Cockpit!$I$5,1)="A",G1169,IF(BW1169=1,BX1169,IF(LEFT(Cockpit!$I$5,1)="B",AP1169,MAX(AP1169,G1169))))</f>
        <v>60</v>
      </c>
      <c r="AM1169" s="57" t="n">
        <f aca="false">IF(BR1169=1,0,ROUNDUP(AL1169/BQ1169,0))</f>
        <v>1</v>
      </c>
      <c r="AN1169" s="59" t="n">
        <f aca="false">IF(CD1169&gt;0,CD1169*MAX(1,AL1169/V1169),IF(BR1169=1,IF(AL1169&lt;=0,0,BS1169*MAX(1,IF(G1169&gt;0,AL1169/G1169,1))),IF(Q1169&gt;0,AM1169/Q1169,0))/MAX(0.1,N(Parameter!$M$21)))</f>
        <v>0.0384615384615385</v>
      </c>
      <c r="AO1169" s="57" t="n">
        <f aca="false">AL1169*F1169</f>
        <v>3507.6</v>
      </c>
      <c r="AP1169" s="57" t="n">
        <f aca="false">ROUNDUP(MAX(I1169/IF(BV1169&gt;0,BV1169,MAX(0.1,N(Cockpit!$I$6))),BY1169)/BQ1169,0)*BQ1169</f>
        <v>60</v>
      </c>
      <c r="AQ1169" s="58" t="n">
        <f aca="false">IF(AN1169&gt;0,I1169/AN1169,-1)</f>
        <v>130</v>
      </c>
      <c r="AR1169" s="58" t="n">
        <f aca="false">IF(AND(OR(BU1169="L1",BU1169="L23"),AN1169&gt;0),SUMIFS($AN$7:$AN$1576,$BU$7:$BU$1576,BU1169,$AQ$7:$AQ$1576,"&gt;"&amp;AQ1169)+SUMIFS($AN$7:$AN$1576,$BU$7:$BU$1576,BU1169,$AQ$7:$AQ$1576,AQ1169,$BO$7:$BO$1576,"&lt;="&amp;BO1169),"")</f>
        <v>61.2770023820135</v>
      </c>
      <c r="AS1169" s="65" t="n">
        <f aca="false">IF(AR1169="",0,MAX(0,MIN(1,(IF(BU1169="L1",Parameter!$E$5,Parameter!$E$6+Parameter!$E$7)-(AR1169-AN1169))/AN1169)))</f>
        <v>1</v>
      </c>
      <c r="AT1169" s="57" t="n">
        <f aca="false">IF(LEFT(Cockpit!$O$5,1)="A",G1169,IF(BW1169=1,BX1169,IF(LEFT(Cockpit!$O$5,1)="B",AX1169,MAX(AX1169,G1169))))</f>
        <v>60</v>
      </c>
      <c r="AU1169" s="57" t="n">
        <f aca="false">IF(BR1169=1,0,ROUNDUP(AT1169/BQ1169,0))</f>
        <v>1</v>
      </c>
      <c r="AV1169" s="59" t="n">
        <f aca="false">IF(CD1169&gt;0,CD1169*MAX(1,AT1169/V1169),IF(BR1169=1,IF(AT1169&lt;=0,0,BS1169*MAX(1,IF(G1169&gt;0,AT1169/G1169,1))),IF(Q1169&gt;0,AU1169/Q1169,0))/MAX(0.1,N(Parameter!$M$21)))</f>
        <v>0.0384615384615385</v>
      </c>
      <c r="AW1169" s="57" t="n">
        <f aca="false">AT1169*F1169</f>
        <v>3507.6</v>
      </c>
      <c r="AX1169" s="57" t="n">
        <f aca="false">ROUNDUP(MAX(I1169/IF(BV1169&gt;0,BV1169,MAX(0.1,N(Cockpit!$O$6))),BY1169)/BQ1169,0)*BQ1169</f>
        <v>60</v>
      </c>
      <c r="AY1169" s="58" t="n">
        <f aca="false">IF(AV1169&gt;0,I1169/AV1169,-1)</f>
        <v>130</v>
      </c>
      <c r="AZ1169" s="58" t="n">
        <f aca="false">IF(AND(OR(BU1169="L1",BU1169="L23"),AV1169&gt;0),SUMIFS($AV$7:$AV$1576,$BU$7:$BU$1576,BU1169,$AY$7:$AY$1576,"&gt;"&amp;AY1169)+SUMIFS($AV$7:$AV$1576,$BU$7:$BU$1576,BU1169,$AY$7:$AY$1576,AY1169,$BO$7:$BO$1576,"&lt;="&amp;BO1169),"")</f>
        <v>56.6061361648973</v>
      </c>
      <c r="BA1169" s="65" t="n">
        <f aca="false">IF(AZ1169="",0,MAX(0,MIN(1,(IF(BU1169="L1",Parameter!$E$5,Parameter!$E$6+Parameter!$E$7)-(AZ1169-AV1169))/AV1169)))</f>
        <v>1</v>
      </c>
      <c r="BB1169" s="55" t="str">
        <f aca="false">IF(AF1169&lt;=0,"",IF(BU1169="Aussen","Aussenlager",IF(BU1169="-","Nicht im Lift",IF(AK1169&gt;=1,"Lift",IF(AK1169&lt;=0,"Aussenlager","teilweise")))))</f>
        <v/>
      </c>
      <c r="BC1169" s="55" t="str">
        <f aca="false">IF(AN1169&lt;=0,"",IF(BU1169="Aussen","Aussenlager",IF(BU1169="-","Nicht im Lift",IF(AS1169&gt;=1,"Lift",IF(AS1169&lt;=0,"Aussenlager","teilweise")))))</f>
        <v>Lift</v>
      </c>
      <c r="BD1169" s="55" t="str">
        <f aca="false">IF(AV1169&lt;=0,"",IF(BU1169="Aussen","Aussenlager",IF(BU1169="-","Nicht im Lift",IF(BA1169&gt;=1,"Lift",IF(BA1169&lt;=0,"Aussenlager","teilweise")))))</f>
        <v>Lift</v>
      </c>
      <c r="BE1169" s="55" t="str">
        <f aca="false">IF(A1169="","",IF(BN1169=1,"Neu; ","")&amp;IF(AND(BN1169=0,BI1169&lt;0),"negativer Bestand (Export "&amp;BI1169&amp;"); ","")&amp;IF(I1169&lt;=0,"Kein Verbrauch; ","")&amp;IF(CD1169&gt;0,"Lift "&amp;U1169&amp;" lt. Liftbericht (Fach "&amp;V1169&amp;" Stk); ",IF(BR1169=1,"Lose – Fläche geschätzt; ",""))&amp;IF(G1169&gt;AP1169,"Überbestand "&amp;ROUND(G1169-AP1169,0)&amp;" Stk / CHF "&amp;ROUND((G1169-AP1169)*F1169,0)&amp;"; ","")&amp;IF(AND(BW1169=1,BX1169&lt;BY1169),"MAX &lt; MB+LG; ","")&amp;IF(AND(CC1169&gt;0,CB1169*10&gt;CC1169),"zu hoch für Tablar; ","")&amp;IF(AND(BN1169=0,OR(BW1169=1,Y1169&lt;&gt;"",S1169&lt;&gt;"",T1169&lt;&gt;"",Z1169&lt;&gt;"")),"manuell übersteuert; ","")&amp;IF(AND(BR1169=0,Q1169=0),"Gebinde unbekannt / Stellmass fehlt; ","")&amp;IF(AND(BR1169=0,N(T1169)&lt;=0,N(P1169)&lt;=0),"Menge pro Gebinde fehlt (Ist = 1 Gebinde); ","")&amp;BM1169)</f>
        <v>negativer Bestand (Export -6); </v>
      </c>
      <c r="BF1169" s="55"/>
      <c r="BG1169" s="55"/>
      <c r="BH1169" s="62"/>
      <c r="BI1169" s="57" t="n">
        <v>-6</v>
      </c>
      <c r="BJ1169" s="57" t="n">
        <v>63</v>
      </c>
      <c r="BK1169" s="56" t="n">
        <v>-350.76</v>
      </c>
      <c r="BL1169" s="57" t="n">
        <v>5</v>
      </c>
      <c r="BM1169" s="55"/>
      <c r="BN1169" s="60" t="n">
        <v>0</v>
      </c>
      <c r="BO1169" s="60" t="n">
        <v>1169</v>
      </c>
      <c r="BP1169" s="55" t="str">
        <f aca="false">IF(S1169&lt;&gt;"",UPPER(TRIM(S1169)),IF(O1169="","LOSE",O1169))</f>
        <v>S51</v>
      </c>
      <c r="BQ1169" s="57" t="n">
        <f aca="false">IF(BP1169="LOSE",1,IF(N(T1169)&gt;0,T1169,IF(N(P1169)&gt;0,P1169,MAX(1,G1169))))</f>
        <v>60</v>
      </c>
      <c r="BR1169" s="60" t="n">
        <f aca="false">IF(BP1169="LOSE",1,0)</f>
        <v>0</v>
      </c>
      <c r="BS1169" s="59" t="n">
        <f aca="false">IF(BR1169=0,0,IF(N(R1169)&gt;0,R1169,IFERROR(VLOOKUP(D1169,Parameter!$A$35:$C$64,3,0)+0,0)))</f>
        <v>0</v>
      </c>
      <c r="BT1169" s="55" t="n">
        <f aca="false">IF(Y1169&lt;&gt;"",Y1169,X1169)</f>
        <v>3</v>
      </c>
      <c r="BU1169" s="55" t="str">
        <f aca="false">IF(BT1169=1,"L1",IF(OR(BT1169=2,BT1169=3),"L23",IF(BT1169="Aussen","Aussen","-")))</f>
        <v>L23</v>
      </c>
      <c r="BV1169" s="66" t="n">
        <f aca="false">IF(N(Z1169)&gt;0,Z1169,0)</f>
        <v>0</v>
      </c>
      <c r="BW1169" s="60" t="n">
        <f aca="false">IF(ISNUMBER(AC1169),1,0)</f>
        <v>0</v>
      </c>
      <c r="BX1169" s="57" t="n">
        <f aca="false">N(AC1169)</f>
        <v>0</v>
      </c>
      <c r="BY1169" s="57" t="n">
        <f aca="false">N(L1169)+N(M1169)</f>
        <v>5</v>
      </c>
      <c r="BZ1169" s="57" t="n">
        <f aca="false">ROUNDUP(G1169/BQ1169,0)</f>
        <v>0</v>
      </c>
      <c r="CA1169" s="57" t="n">
        <f aca="false">ROUNDUP(BX1169/BQ1169,0)</f>
        <v>0</v>
      </c>
      <c r="CB1169" s="60" t="n">
        <f aca="false">IF(BR1169=1,0,IFERROR(VLOOKUP(BP1169,'Gebinde-Kategorie'!$A$5:$M$45,5,0)+0,0))</f>
        <v>11</v>
      </c>
      <c r="CC1169" s="60" t="n">
        <f aca="false">IFERROR(IF(OR(BT1169=1,BT1169=2,BT1169=3),N(INDEX(Parameter!$I$5:$I$7,BT1169)),0),0)</f>
        <v>0</v>
      </c>
      <c r="CD1169" s="59" t="n">
        <f aca="false">IF(AND(Parameter!$B$21="Ja",ISNUMBER(U1169),N(V1169)&gt;0),IFERROR(N(INDEX(Parameter!$L$5:$L$7,U1169))*INDEX(Parameter!$E$5:$E$7,U1169)*V1169/SUMIFS($V$7:$V$1576,$U$7:$U$1576,U1169),0),0)</f>
        <v>0</v>
      </c>
    </row>
    <row r="1170" customFormat="false" ht="15" hidden="false" customHeight="false" outlineLevel="0" collapsed="false">
      <c r="A1170" s="55" t="s">
        <v>2093</v>
      </c>
      <c r="B1170" s="55" t="s">
        <v>2094</v>
      </c>
      <c r="C1170" s="55" t="s">
        <v>160</v>
      </c>
      <c r="D1170" s="55" t="s">
        <v>178</v>
      </c>
      <c r="E1170" s="55" t="s">
        <v>210</v>
      </c>
      <c r="F1170" s="56" t="n">
        <v>8.97</v>
      </c>
      <c r="G1170" s="57" t="n">
        <f aca="false">MAX(0,IF(AND(Parameter!$B$21="Ja",ISNUMBER(W1170)),W1170,IF(Parameter!$B$20="Jahresanfang 2025 + Export",BJ1170+BI1170,BI1170)))</f>
        <v>0</v>
      </c>
      <c r="H1170" s="57" t="n">
        <f aca="false">G1170*F1170</f>
        <v>0</v>
      </c>
      <c r="I1170" s="57" t="n">
        <f aca="false">BL1170*Parameter!$B$18</f>
        <v>80</v>
      </c>
      <c r="J1170" s="58" t="n">
        <v>55</v>
      </c>
      <c r="K1170" s="59" t="n">
        <v>1.45454545454546</v>
      </c>
      <c r="L1170" s="57" t="n">
        <v>6</v>
      </c>
      <c r="M1170" s="57" t="n">
        <v>80</v>
      </c>
      <c r="N1170" s="60" t="n">
        <v>28</v>
      </c>
      <c r="O1170" s="55" t="s">
        <v>416</v>
      </c>
      <c r="P1170" s="57" t="n">
        <v>38</v>
      </c>
      <c r="Q1170" s="60" t="n">
        <f aca="false">IF(BR1170=1,0,IFERROR(VLOOKUP(BP1170,'Gebinde-Kategorie'!$A$5:$M$45,13,0)+0,0))</f>
        <v>198</v>
      </c>
      <c r="R1170" s="61"/>
      <c r="S1170" s="62"/>
      <c r="T1170" s="62"/>
      <c r="U1170" s="55"/>
      <c r="V1170" s="57"/>
      <c r="W1170" s="57"/>
      <c r="X1170" s="55" t="n">
        <f aca="false">IF(A1170="","",IF(AND(Parameter!$B$21="Ja",ISNUMBER(U1170)),U1170,IF(IFERROR(VLOOKUP(D1170,Parameter!$A$35:$C$64,2,0),"Nein")="2+3",IF(ISNUMBER(SEARCH("grosser Artikel",BM1170)),2,IFERROR(VLOOKUP(BP1170,Parameter!$F$35:$G$64,2,0),2)),IF(OR(IFERROR(VLOOKUP(D1170,Parameter!$A$35:$C$64,2,0),"Nein")="Nein",IFERROR(VLOOKUP(D1170,Parameter!$A$35:$C$64,2,0),"Nein")=""),"-",VLOOKUP(D1170,Parameter!$A$35:$C$64,2,0)))))</f>
        <v>3</v>
      </c>
      <c r="Y1170" s="62"/>
      <c r="Z1170" s="63"/>
      <c r="AA1170" s="57" t="n">
        <f aca="false">AP1170</f>
        <v>114</v>
      </c>
      <c r="AB1170" s="57" t="n">
        <f aca="false">MAX(AP1170,G1170)</f>
        <v>114</v>
      </c>
      <c r="AC1170" s="64"/>
      <c r="AD1170" s="57" t="n">
        <f aca="false">IF(LEFT(Cockpit!$C$5,1)="A",G1170,IF(BW1170=1,BX1170,IF(LEFT(Cockpit!$C$5,1)="B",AH1170,MAX(AH1170,G1170))))</f>
        <v>0</v>
      </c>
      <c r="AE1170" s="57" t="n">
        <f aca="false">IF(BR1170=1,0,ROUNDUP(AD1170/BQ1170,0))</f>
        <v>0</v>
      </c>
      <c r="AF1170" s="59" t="n">
        <f aca="false">IF(CD1170&gt;0,CD1170*MAX(1,AD1170/V1170),IF(BR1170=1,IF(AD1170&lt;=0,0,BS1170*MAX(1,IF(G1170&gt;0,AD1170/G1170,1))),IF(Q1170&gt;0,AE1170/Q1170,0))/MAX(0.1,N(Parameter!$M$21)))</f>
        <v>0</v>
      </c>
      <c r="AG1170" s="57" t="n">
        <f aca="false">AD1170*F1170</f>
        <v>0</v>
      </c>
      <c r="AH1170" s="57" t="n">
        <f aca="false">ROUNDUP(MAX(I1170/IF(BV1170&gt;0,BV1170,MAX(0.1,N(Cockpit!$C$6))),BY1170)/BQ1170,0)*BQ1170</f>
        <v>114</v>
      </c>
      <c r="AI1170" s="58" t="n">
        <f aca="false">IF(AF1170&gt;0,I1170/AF1170,-1)</f>
        <v>-1</v>
      </c>
      <c r="AJ1170" s="58" t="str">
        <f aca="false">IF(AND(OR(BU1170="L1",BU1170="L23"),AF1170&gt;0),SUMIFS($AF$7:$AF$1576,$BU$7:$BU$1576,BU1170,$AI$7:$AI$1576,"&gt;"&amp;AI1170)+SUMIFS($AF$7:$AF$1576,$BU$7:$BU$1576,BU1170,$AI$7:$AI$1576,AI1170,$BO$7:$BO$1576,"&lt;="&amp;BO1170),"")</f>
        <v/>
      </c>
      <c r="AK1170" s="65" t="n">
        <f aca="false">IF(AJ1170="",0,MAX(0,MIN(1,(IF(BU1170="L1",Parameter!$E$5,Parameter!$E$6+Parameter!$E$7)-(AJ1170-AF1170))/AF1170)))</f>
        <v>0</v>
      </c>
      <c r="AL1170" s="57" t="n">
        <f aca="false">IF(LEFT(Cockpit!$I$5,1)="A",G1170,IF(BW1170=1,BX1170,IF(LEFT(Cockpit!$I$5,1)="B",AP1170,MAX(AP1170,G1170))))</f>
        <v>114</v>
      </c>
      <c r="AM1170" s="57" t="n">
        <f aca="false">IF(BR1170=1,0,ROUNDUP(AL1170/BQ1170,0))</f>
        <v>3</v>
      </c>
      <c r="AN1170" s="59" t="n">
        <f aca="false">IF(CD1170&gt;0,CD1170*MAX(1,AL1170/V1170),IF(BR1170=1,IF(AL1170&lt;=0,0,BS1170*MAX(1,IF(G1170&gt;0,AL1170/G1170,1))),IF(Q1170&gt;0,AM1170/Q1170,0))/MAX(0.1,N(Parameter!$M$21)))</f>
        <v>0.0151515151515152</v>
      </c>
      <c r="AO1170" s="57" t="n">
        <f aca="false">AL1170*F1170</f>
        <v>1022.58</v>
      </c>
      <c r="AP1170" s="57" t="n">
        <f aca="false">ROUNDUP(MAX(I1170/IF(BV1170&gt;0,BV1170,MAX(0.1,N(Cockpit!$I$6))),BY1170)/BQ1170,0)*BQ1170</f>
        <v>114</v>
      </c>
      <c r="AQ1170" s="58" t="n">
        <f aca="false">IF(AN1170&gt;0,I1170/AN1170,-1)</f>
        <v>5280</v>
      </c>
      <c r="AR1170" s="58" t="n">
        <f aca="false">IF(AND(OR(BU1170="L1",BU1170="L23"),AN1170&gt;0),SUMIFS($AN$7:$AN$1576,$BU$7:$BU$1576,BU1170,$AQ$7:$AQ$1576,"&gt;"&amp;AQ1170)+SUMIFS($AN$7:$AN$1576,$BU$7:$BU$1576,BU1170,$AQ$7:$AQ$1576,AQ1170,$BO$7:$BO$1576,"&lt;="&amp;BO1170),"")</f>
        <v>11.1476679605419</v>
      </c>
      <c r="AS1170" s="65" t="n">
        <f aca="false">IF(AR1170="",0,MAX(0,MIN(1,(IF(BU1170="L1",Parameter!$E$5,Parameter!$E$6+Parameter!$E$7)-(AR1170-AN1170))/AN1170)))</f>
        <v>1</v>
      </c>
      <c r="AT1170" s="57" t="n">
        <f aca="false">IF(LEFT(Cockpit!$O$5,1)="A",G1170,IF(BW1170=1,BX1170,IF(LEFT(Cockpit!$O$5,1)="B",AX1170,MAX(AX1170,G1170))))</f>
        <v>114</v>
      </c>
      <c r="AU1170" s="57" t="n">
        <f aca="false">IF(BR1170=1,0,ROUNDUP(AT1170/BQ1170,0))</f>
        <v>3</v>
      </c>
      <c r="AV1170" s="59" t="n">
        <f aca="false">IF(CD1170&gt;0,CD1170*MAX(1,AT1170/V1170),IF(BR1170=1,IF(AT1170&lt;=0,0,BS1170*MAX(1,IF(G1170&gt;0,AT1170/G1170,1))),IF(Q1170&gt;0,AU1170/Q1170,0))/MAX(0.1,N(Parameter!$M$21)))</f>
        <v>0.0151515151515152</v>
      </c>
      <c r="AW1170" s="57" t="n">
        <f aca="false">AT1170*F1170</f>
        <v>1022.58</v>
      </c>
      <c r="AX1170" s="57" t="n">
        <f aca="false">ROUNDUP(MAX(I1170/IF(BV1170&gt;0,BV1170,MAX(0.1,N(Cockpit!$O$6))),BY1170)/BQ1170,0)*BQ1170</f>
        <v>114</v>
      </c>
      <c r="AY1170" s="58" t="n">
        <f aca="false">IF(AV1170&gt;0,I1170/AV1170,-1)</f>
        <v>5280</v>
      </c>
      <c r="AZ1170" s="58" t="n">
        <f aca="false">IF(AND(OR(BU1170="L1",BU1170="L23"),AV1170&gt;0),SUMIFS($AV$7:$AV$1576,$BU$7:$BU$1576,BU1170,$AY$7:$AY$1576,"&gt;"&amp;AY1170)+SUMIFS($AV$7:$AV$1576,$BU$7:$BU$1576,BU1170,$AY$7:$AY$1576,AY1170,$BO$7:$BO$1576,"&lt;="&amp;BO1170),"")</f>
        <v>10.3685304314043</v>
      </c>
      <c r="BA1170" s="65" t="n">
        <f aca="false">IF(AZ1170="",0,MAX(0,MIN(1,(IF(BU1170="L1",Parameter!$E$5,Parameter!$E$6+Parameter!$E$7)-(AZ1170-AV1170))/AV1170)))</f>
        <v>1</v>
      </c>
      <c r="BB1170" s="55" t="str">
        <f aca="false">IF(AF1170&lt;=0,"",IF(BU1170="Aussen","Aussenlager",IF(BU1170="-","Nicht im Lift",IF(AK1170&gt;=1,"Lift",IF(AK1170&lt;=0,"Aussenlager","teilweise")))))</f>
        <v/>
      </c>
      <c r="BC1170" s="55" t="str">
        <f aca="false">IF(AN1170&lt;=0,"",IF(BU1170="Aussen","Aussenlager",IF(BU1170="-","Nicht im Lift",IF(AS1170&gt;=1,"Lift",IF(AS1170&lt;=0,"Aussenlager","teilweise")))))</f>
        <v>Lift</v>
      </c>
      <c r="BD1170" s="55" t="str">
        <f aca="false">IF(AV1170&lt;=0,"",IF(BU1170="Aussen","Aussenlager",IF(BU1170="-","Nicht im Lift",IF(BA1170&gt;=1,"Lift",IF(BA1170&lt;=0,"Aussenlager","teilweise")))))</f>
        <v>Lift</v>
      </c>
      <c r="BE1170" s="55" t="str">
        <f aca="false">IF(A1170="","",IF(BN1170=1,"Neu; ","")&amp;IF(AND(BN1170=0,BI1170&lt;0),"negativer Bestand (Export "&amp;BI1170&amp;"); ","")&amp;IF(I1170&lt;=0,"Kein Verbrauch; ","")&amp;IF(CD1170&gt;0,"Lift "&amp;U1170&amp;" lt. Liftbericht (Fach "&amp;V1170&amp;" Stk); ",IF(BR1170=1,"Lose – Fläche geschätzt; ",""))&amp;IF(G1170&gt;AP1170,"Überbestand "&amp;ROUND(G1170-AP1170,0)&amp;" Stk / CHF "&amp;ROUND((G1170-AP1170)*F1170,0)&amp;"; ","")&amp;IF(AND(BW1170=1,BX1170&lt;BY1170),"MAX &lt; MB+LG; ","")&amp;IF(AND(CC1170&gt;0,CB1170*10&gt;CC1170),"zu hoch für Tablar; ","")&amp;IF(AND(BN1170=0,OR(BW1170=1,Y1170&lt;&gt;"",S1170&lt;&gt;"",T1170&lt;&gt;"",Z1170&lt;&gt;"")),"manuell übersteuert; ","")&amp;IF(AND(BR1170=0,Q1170=0),"Gebinde unbekannt / Stellmass fehlt; ","")&amp;IF(AND(BR1170=0,N(T1170)&lt;=0,N(P1170)&lt;=0),"Menge pro Gebinde fehlt (Ist = 1 Gebinde); ","")&amp;BM1170)</f>
        <v>negativer Bestand (Export -48); Überbestand</v>
      </c>
      <c r="BF1170" s="55"/>
      <c r="BG1170" s="55"/>
      <c r="BH1170" s="62"/>
      <c r="BI1170" s="57" t="n">
        <v>-48</v>
      </c>
      <c r="BJ1170" s="57" t="n">
        <v>60</v>
      </c>
      <c r="BK1170" s="56" t="n">
        <v>-353.16</v>
      </c>
      <c r="BL1170" s="57" t="n">
        <v>80</v>
      </c>
      <c r="BM1170" s="55" t="s">
        <v>382</v>
      </c>
      <c r="BN1170" s="60" t="n">
        <v>0</v>
      </c>
      <c r="BO1170" s="60" t="n">
        <v>1170</v>
      </c>
      <c r="BP1170" s="55" t="str">
        <f aca="false">IF(S1170&lt;&gt;"",UPPER(TRIM(S1170)),IF(O1170="","LOSE",O1170))</f>
        <v>S22</v>
      </c>
      <c r="BQ1170" s="57" t="n">
        <f aca="false">IF(BP1170="LOSE",1,IF(N(T1170)&gt;0,T1170,IF(N(P1170)&gt;0,P1170,MAX(1,G1170))))</f>
        <v>38</v>
      </c>
      <c r="BR1170" s="60" t="n">
        <f aca="false">IF(BP1170="LOSE",1,0)</f>
        <v>0</v>
      </c>
      <c r="BS1170" s="59" t="n">
        <f aca="false">IF(BR1170=0,0,IF(N(R1170)&gt;0,R1170,IFERROR(VLOOKUP(D1170,Parameter!$A$35:$C$64,3,0)+0,0)))</f>
        <v>0</v>
      </c>
      <c r="BT1170" s="55" t="n">
        <f aca="false">IF(Y1170&lt;&gt;"",Y1170,X1170)</f>
        <v>3</v>
      </c>
      <c r="BU1170" s="55" t="str">
        <f aca="false">IF(BT1170=1,"L1",IF(OR(BT1170=2,BT1170=3),"L23",IF(BT1170="Aussen","Aussen","-")))</f>
        <v>L23</v>
      </c>
      <c r="BV1170" s="66" t="n">
        <f aca="false">IF(N(Z1170)&gt;0,Z1170,0)</f>
        <v>0</v>
      </c>
      <c r="BW1170" s="60" t="n">
        <f aca="false">IF(ISNUMBER(AC1170),1,0)</f>
        <v>0</v>
      </c>
      <c r="BX1170" s="57" t="n">
        <f aca="false">N(AC1170)</f>
        <v>0</v>
      </c>
      <c r="BY1170" s="57" t="n">
        <f aca="false">N(L1170)+N(M1170)</f>
        <v>86</v>
      </c>
      <c r="BZ1170" s="57" t="n">
        <f aca="false">ROUNDUP(G1170/BQ1170,0)</f>
        <v>0</v>
      </c>
      <c r="CA1170" s="57" t="n">
        <f aca="false">ROUNDUP(BX1170/BQ1170,0)</f>
        <v>0</v>
      </c>
      <c r="CB1170" s="60" t="n">
        <f aca="false">IF(BR1170=1,0,IFERROR(VLOOKUP(BP1170,'Gebinde-Kategorie'!$A$5:$M$45,5,0)+0,0))</f>
        <v>8</v>
      </c>
      <c r="CC1170" s="60" t="n">
        <f aca="false">IFERROR(IF(OR(BT1170=1,BT1170=2,BT1170=3),N(INDEX(Parameter!$I$5:$I$7,BT1170)),0),0)</f>
        <v>0</v>
      </c>
      <c r="CD1170" s="59" t="n">
        <f aca="false">IF(AND(Parameter!$B$21="Ja",ISNUMBER(U1170),N(V1170)&gt;0),IFERROR(N(INDEX(Parameter!$L$5:$L$7,U1170))*INDEX(Parameter!$E$5:$E$7,U1170)*V1170/SUMIFS($V$7:$V$1576,$U$7:$U$1576,U1170),0),0)</f>
        <v>0</v>
      </c>
    </row>
    <row r="1171" customFormat="false" ht="15" hidden="false" customHeight="false" outlineLevel="0" collapsed="false">
      <c r="A1171" s="55" t="s">
        <v>2095</v>
      </c>
      <c r="B1171" s="55" t="s">
        <v>2096</v>
      </c>
      <c r="C1171" s="55" t="s">
        <v>160</v>
      </c>
      <c r="D1171" s="55" t="s">
        <v>178</v>
      </c>
      <c r="E1171" s="55" t="s">
        <v>210</v>
      </c>
      <c r="F1171" s="56" t="n">
        <v>248.96</v>
      </c>
      <c r="G1171" s="57" t="n">
        <f aca="false">MAX(0,IF(AND(Parameter!$B$21="Ja",ISNUMBER(W1171)),W1171,IF(Parameter!$B$20="Jahresanfang 2025 + Export",BJ1171+BI1171,BI1171)))</f>
        <v>0</v>
      </c>
      <c r="H1171" s="57" t="n">
        <f aca="false">G1171*F1171</f>
        <v>0</v>
      </c>
      <c r="I1171" s="57" t="n">
        <f aca="false">BL1171*Parameter!$B$18</f>
        <v>216</v>
      </c>
      <c r="J1171" s="58" t="n">
        <v>20</v>
      </c>
      <c r="K1171" s="59" t="n">
        <v>10.8</v>
      </c>
      <c r="L1171" s="57" t="n">
        <v>12</v>
      </c>
      <c r="M1171" s="57" t="n">
        <v>25</v>
      </c>
      <c r="N1171" s="60" t="n">
        <v>21</v>
      </c>
      <c r="O1171" s="55" t="s">
        <v>225</v>
      </c>
      <c r="P1171" s="57" t="n">
        <v>70</v>
      </c>
      <c r="Q1171" s="60" t="n">
        <f aca="false">IF(BR1171=1,0,IFERROR(VLOOKUP(BP1171,'Gebinde-Kategorie'!$A$5:$M$45,13,0)+0,0))</f>
        <v>26</v>
      </c>
      <c r="R1171" s="61"/>
      <c r="S1171" s="62"/>
      <c r="T1171" s="62"/>
      <c r="U1171" s="55"/>
      <c r="V1171" s="57"/>
      <c r="W1171" s="57"/>
      <c r="X1171" s="55" t="n">
        <f aca="false">IF(A1171="","",IF(AND(Parameter!$B$21="Ja",ISNUMBER(U1171)),U1171,IF(IFERROR(VLOOKUP(D1171,Parameter!$A$35:$C$64,2,0),"Nein")="2+3",IF(ISNUMBER(SEARCH("grosser Artikel",BM1171)),2,IFERROR(VLOOKUP(BP1171,Parameter!$F$35:$G$64,2,0),2)),IF(OR(IFERROR(VLOOKUP(D1171,Parameter!$A$35:$C$64,2,0),"Nein")="Nein",IFERROR(VLOOKUP(D1171,Parameter!$A$35:$C$64,2,0),"Nein")=""),"-",VLOOKUP(D1171,Parameter!$A$35:$C$64,2,0)))))</f>
        <v>3</v>
      </c>
      <c r="Y1171" s="62"/>
      <c r="Z1171" s="63"/>
      <c r="AA1171" s="57" t="n">
        <f aca="false">AP1171</f>
        <v>140</v>
      </c>
      <c r="AB1171" s="57" t="n">
        <f aca="false">MAX(AP1171,G1171)</f>
        <v>140</v>
      </c>
      <c r="AC1171" s="64"/>
      <c r="AD1171" s="57" t="n">
        <f aca="false">IF(LEFT(Cockpit!$C$5,1)="A",G1171,IF(BW1171=1,BX1171,IF(LEFT(Cockpit!$C$5,1)="B",AH1171,MAX(AH1171,G1171))))</f>
        <v>0</v>
      </c>
      <c r="AE1171" s="57" t="n">
        <f aca="false">IF(BR1171=1,0,ROUNDUP(AD1171/BQ1171,0))</f>
        <v>0</v>
      </c>
      <c r="AF1171" s="59" t="n">
        <f aca="false">IF(CD1171&gt;0,CD1171*MAX(1,AD1171/V1171),IF(BR1171=1,IF(AD1171&lt;=0,0,BS1171*MAX(1,IF(G1171&gt;0,AD1171/G1171,1))),IF(Q1171&gt;0,AE1171/Q1171,0))/MAX(0.1,N(Parameter!$M$21)))</f>
        <v>0</v>
      </c>
      <c r="AG1171" s="57" t="n">
        <f aca="false">AD1171*F1171</f>
        <v>0</v>
      </c>
      <c r="AH1171" s="57" t="n">
        <f aca="false">ROUNDUP(MAX(I1171/IF(BV1171&gt;0,BV1171,MAX(0.1,N(Cockpit!$C$6))),BY1171)/BQ1171,0)*BQ1171</f>
        <v>140</v>
      </c>
      <c r="AI1171" s="58" t="n">
        <f aca="false">IF(AF1171&gt;0,I1171/AF1171,-1)</f>
        <v>-1</v>
      </c>
      <c r="AJ1171" s="58" t="str">
        <f aca="false">IF(AND(OR(BU1171="L1",BU1171="L23"),AF1171&gt;0),SUMIFS($AF$7:$AF$1576,$BU$7:$BU$1576,BU1171,$AI$7:$AI$1576,"&gt;"&amp;AI1171)+SUMIFS($AF$7:$AF$1576,$BU$7:$BU$1576,BU1171,$AI$7:$AI$1576,AI1171,$BO$7:$BO$1576,"&lt;="&amp;BO1171),"")</f>
        <v/>
      </c>
      <c r="AK1171" s="65" t="n">
        <f aca="false">IF(AJ1171="",0,MAX(0,MIN(1,(IF(BU1171="L1",Parameter!$E$5,Parameter!$E$6+Parameter!$E$7)-(AJ1171-AF1171))/AF1171)))</f>
        <v>0</v>
      </c>
      <c r="AL1171" s="57" t="n">
        <f aca="false">IF(LEFT(Cockpit!$I$5,1)="A",G1171,IF(BW1171=1,BX1171,IF(LEFT(Cockpit!$I$5,1)="B",AP1171,MAX(AP1171,G1171))))</f>
        <v>140</v>
      </c>
      <c r="AM1171" s="57" t="n">
        <f aca="false">IF(BR1171=1,0,ROUNDUP(AL1171/BQ1171,0))</f>
        <v>2</v>
      </c>
      <c r="AN1171" s="59" t="n">
        <f aca="false">IF(CD1171&gt;0,CD1171*MAX(1,AL1171/V1171),IF(BR1171=1,IF(AL1171&lt;=0,0,BS1171*MAX(1,IF(G1171&gt;0,AL1171/G1171,1))),IF(Q1171&gt;0,AM1171/Q1171,0))/MAX(0.1,N(Parameter!$M$21)))</f>
        <v>0.0769230769230769</v>
      </c>
      <c r="AO1171" s="57" t="n">
        <f aca="false">AL1171*F1171</f>
        <v>34854.4</v>
      </c>
      <c r="AP1171" s="57" t="n">
        <f aca="false">ROUNDUP(MAX(I1171/IF(BV1171&gt;0,BV1171,MAX(0.1,N(Cockpit!$I$6))),BY1171)/BQ1171,0)*BQ1171</f>
        <v>140</v>
      </c>
      <c r="AQ1171" s="58" t="n">
        <f aca="false">IF(AN1171&gt;0,I1171/AN1171,-1)</f>
        <v>2808</v>
      </c>
      <c r="AR1171" s="58" t="n">
        <f aca="false">IF(AND(OR(BU1171="L1",BU1171="L23"),AN1171&gt;0),SUMIFS($AN$7:$AN$1576,$BU$7:$BU$1576,BU1171,$AQ$7:$AQ$1576,"&gt;"&amp;AQ1171)+SUMIFS($AN$7:$AN$1576,$BU$7:$BU$1576,BU1171,$AQ$7:$AQ$1576,AQ1171,$BO$7:$BO$1576,"&lt;="&amp;BO1171),"")</f>
        <v>14.5911303435695</v>
      </c>
      <c r="AS1171" s="65" t="n">
        <f aca="false">IF(AR1171="",0,MAX(0,MIN(1,(IF(BU1171="L1",Parameter!$E$5,Parameter!$E$6+Parameter!$E$7)-(AR1171-AN1171))/AN1171)))</f>
        <v>1</v>
      </c>
      <c r="AT1171" s="57" t="n">
        <f aca="false">IF(LEFT(Cockpit!$O$5,1)="A",G1171,IF(BW1171=1,BX1171,IF(LEFT(Cockpit!$O$5,1)="B",AX1171,MAX(AX1171,G1171))))</f>
        <v>140</v>
      </c>
      <c r="AU1171" s="57" t="n">
        <f aca="false">IF(BR1171=1,0,ROUNDUP(AT1171/BQ1171,0))</f>
        <v>2</v>
      </c>
      <c r="AV1171" s="59" t="n">
        <f aca="false">IF(CD1171&gt;0,CD1171*MAX(1,AT1171/V1171),IF(BR1171=1,IF(AT1171&lt;=0,0,BS1171*MAX(1,IF(G1171&gt;0,AT1171/G1171,1))),IF(Q1171&gt;0,AU1171/Q1171,0))/MAX(0.1,N(Parameter!$M$21)))</f>
        <v>0.0769230769230769</v>
      </c>
      <c r="AW1171" s="57" t="n">
        <f aca="false">AT1171*F1171</f>
        <v>34854.4</v>
      </c>
      <c r="AX1171" s="57" t="n">
        <f aca="false">ROUNDUP(MAX(I1171/IF(BV1171&gt;0,BV1171,MAX(0.1,N(Cockpit!$O$6))),BY1171)/BQ1171,0)*BQ1171</f>
        <v>140</v>
      </c>
      <c r="AY1171" s="58" t="n">
        <f aca="false">IF(AV1171&gt;0,I1171/AV1171,-1)</f>
        <v>2808</v>
      </c>
      <c r="AZ1171" s="58" t="n">
        <f aca="false">IF(AND(OR(BU1171="L1",BU1171="L23"),AV1171&gt;0),SUMIFS($AV$7:$AV$1576,$BU$7:$BU$1576,BU1171,$AY$7:$AY$1576,"&gt;"&amp;AY1171)+SUMIFS($AV$7:$AV$1576,$BU$7:$BU$1576,BU1171,$AY$7:$AY$1576,AY1171,$BO$7:$BO$1576,"&lt;="&amp;BO1171),"")</f>
        <v>13.3119928144319</v>
      </c>
      <c r="BA1171" s="65" t="n">
        <f aca="false">IF(AZ1171="",0,MAX(0,MIN(1,(IF(BU1171="L1",Parameter!$E$5,Parameter!$E$6+Parameter!$E$7)-(AZ1171-AV1171))/AV1171)))</f>
        <v>1</v>
      </c>
      <c r="BB1171" s="55" t="str">
        <f aca="false">IF(AF1171&lt;=0,"",IF(BU1171="Aussen","Aussenlager",IF(BU1171="-","Nicht im Lift",IF(AK1171&gt;=1,"Lift",IF(AK1171&lt;=0,"Aussenlager","teilweise")))))</f>
        <v/>
      </c>
      <c r="BC1171" s="55" t="str">
        <f aca="false">IF(AN1171&lt;=0,"",IF(BU1171="Aussen","Aussenlager",IF(BU1171="-","Nicht im Lift",IF(AS1171&gt;=1,"Lift",IF(AS1171&lt;=0,"Aussenlager","teilweise")))))</f>
        <v>Lift</v>
      </c>
      <c r="BD1171" s="55" t="str">
        <f aca="false">IF(AV1171&lt;=0,"",IF(BU1171="Aussen","Aussenlager",IF(BU1171="-","Nicht im Lift",IF(BA1171&gt;=1,"Lift",IF(BA1171&lt;=0,"Aussenlager","teilweise")))))</f>
        <v>Lift</v>
      </c>
      <c r="BE1171" s="55" t="str">
        <f aca="false">IF(A1171="","",IF(BN1171=1,"Neu; ","")&amp;IF(AND(BN1171=0,BI1171&lt;0),"negativer Bestand (Export "&amp;BI1171&amp;"); ","")&amp;IF(I1171&lt;=0,"Kein Verbrauch; ","")&amp;IF(CD1171&gt;0,"Lift "&amp;U1171&amp;" lt. Liftbericht (Fach "&amp;V1171&amp;" Stk); ",IF(BR1171=1,"Lose – Fläche geschätzt; ",""))&amp;IF(G1171&gt;AP1171,"Überbestand "&amp;ROUND(G1171-AP1171,0)&amp;" Stk / CHF "&amp;ROUND((G1171-AP1171)*F1171,0)&amp;"; ","")&amp;IF(AND(BW1171=1,BX1171&lt;BY1171),"MAX &lt; MB+LG; ","")&amp;IF(AND(CC1171&gt;0,CB1171*10&gt;CC1171),"zu hoch für Tablar; ","")&amp;IF(AND(BN1171=0,OR(BW1171=1,Y1171&lt;&gt;"",S1171&lt;&gt;"",T1171&lt;&gt;"",Z1171&lt;&gt;"")),"manuell übersteuert; ","")&amp;IF(AND(BR1171=0,Q1171=0),"Gebinde unbekannt / Stellmass fehlt; ","")&amp;IF(AND(BR1171=0,N(T1171)&lt;=0,N(P1171)&lt;=0),"Menge pro Gebinde fehlt (Ist = 1 Gebinde); ","")&amp;BM1171)</f>
        <v>negativer Bestand (Export -3); </v>
      </c>
      <c r="BF1171" s="55"/>
      <c r="BG1171" s="55"/>
      <c r="BH1171" s="62"/>
      <c r="BI1171" s="57" t="n">
        <v>-3</v>
      </c>
      <c r="BJ1171" s="57" t="n">
        <v>27</v>
      </c>
      <c r="BK1171" s="56" t="n">
        <v>-357.91999999998</v>
      </c>
      <c r="BL1171" s="57" t="n">
        <v>216</v>
      </c>
      <c r="BM1171" s="55"/>
      <c r="BN1171" s="60" t="n">
        <v>0</v>
      </c>
      <c r="BO1171" s="60" t="n">
        <v>1171</v>
      </c>
      <c r="BP1171" s="55" t="str">
        <f aca="false">IF(S1171&lt;&gt;"",UPPER(TRIM(S1171)),IF(O1171="","LOSE",O1171))</f>
        <v>S52</v>
      </c>
      <c r="BQ1171" s="57" t="n">
        <f aca="false">IF(BP1171="LOSE",1,IF(N(T1171)&gt;0,T1171,IF(N(P1171)&gt;0,P1171,MAX(1,G1171))))</f>
        <v>70</v>
      </c>
      <c r="BR1171" s="60" t="n">
        <f aca="false">IF(BP1171="LOSE",1,0)</f>
        <v>0</v>
      </c>
      <c r="BS1171" s="59" t="n">
        <f aca="false">IF(BR1171=0,0,IF(N(R1171)&gt;0,R1171,IFERROR(VLOOKUP(D1171,Parameter!$A$35:$C$64,3,0)+0,0)))</f>
        <v>0</v>
      </c>
      <c r="BT1171" s="55" t="n">
        <f aca="false">IF(Y1171&lt;&gt;"",Y1171,X1171)</f>
        <v>3</v>
      </c>
      <c r="BU1171" s="55" t="str">
        <f aca="false">IF(BT1171=1,"L1",IF(OR(BT1171=2,BT1171=3),"L23",IF(BT1171="Aussen","Aussen","-")))</f>
        <v>L23</v>
      </c>
      <c r="BV1171" s="66" t="n">
        <f aca="false">IF(N(Z1171)&gt;0,Z1171,0)</f>
        <v>0</v>
      </c>
      <c r="BW1171" s="60" t="n">
        <f aca="false">IF(ISNUMBER(AC1171),1,0)</f>
        <v>0</v>
      </c>
      <c r="BX1171" s="57" t="n">
        <f aca="false">N(AC1171)</f>
        <v>0</v>
      </c>
      <c r="BY1171" s="57" t="n">
        <f aca="false">N(L1171)+N(M1171)</f>
        <v>37</v>
      </c>
      <c r="BZ1171" s="57" t="n">
        <f aca="false">ROUNDUP(G1171/BQ1171,0)</f>
        <v>0</v>
      </c>
      <c r="CA1171" s="57" t="n">
        <f aca="false">ROUNDUP(BX1171/BQ1171,0)</f>
        <v>0</v>
      </c>
      <c r="CB1171" s="60" t="n">
        <f aca="false">IF(BR1171=1,0,IFERROR(VLOOKUP(BP1171,'Gebinde-Kategorie'!$A$5:$M$45,5,0)+0,0))</f>
        <v>21</v>
      </c>
      <c r="CC1171" s="60" t="n">
        <f aca="false">IFERROR(IF(OR(BT1171=1,BT1171=2,BT1171=3),N(INDEX(Parameter!$I$5:$I$7,BT1171)),0),0)</f>
        <v>0</v>
      </c>
      <c r="CD1171" s="59" t="n">
        <f aca="false">IF(AND(Parameter!$B$21="Ja",ISNUMBER(U1171),N(V1171)&gt;0),IFERROR(N(INDEX(Parameter!$L$5:$L$7,U1171))*INDEX(Parameter!$E$5:$E$7,U1171)*V1171/SUMIFS($V$7:$V$1576,$U$7:$U$1576,U1171),0),0)</f>
        <v>0</v>
      </c>
    </row>
    <row r="1172" customFormat="false" ht="15" hidden="false" customHeight="false" outlineLevel="0" collapsed="false">
      <c r="A1172" s="55" t="s">
        <v>2097</v>
      </c>
      <c r="B1172" s="55" t="s">
        <v>2098</v>
      </c>
      <c r="C1172" s="55" t="s">
        <v>160</v>
      </c>
      <c r="D1172" s="55" t="s">
        <v>168</v>
      </c>
      <c r="E1172" s="55" t="s">
        <v>210</v>
      </c>
      <c r="F1172" s="56" t="n">
        <v>360</v>
      </c>
      <c r="G1172" s="57" t="n">
        <f aca="false">MAX(0,IF(AND(Parameter!$B$21="Ja",ISNUMBER(W1172)),W1172,IF(Parameter!$B$20="Jahresanfang 2025 + Export",BJ1172+BI1172,BI1172)))</f>
        <v>0</v>
      </c>
      <c r="H1172" s="57" t="n">
        <f aca="false">G1172*F1172</f>
        <v>0</v>
      </c>
      <c r="I1172" s="57" t="n">
        <f aca="false">BL1172*Parameter!$B$18</f>
        <v>0</v>
      </c>
      <c r="J1172" s="58" t="n">
        <v>14</v>
      </c>
      <c r="K1172" s="59" t="n">
        <v>0</v>
      </c>
      <c r="L1172" s="57" t="n">
        <v>0</v>
      </c>
      <c r="M1172" s="57" t="n">
        <v>1</v>
      </c>
      <c r="N1172" s="60" t="n">
        <v>28</v>
      </c>
      <c r="O1172" s="55" t="s">
        <v>218</v>
      </c>
      <c r="P1172" s="57" t="n">
        <v>15</v>
      </c>
      <c r="Q1172" s="60" t="n">
        <f aca="false">IF(BR1172=1,0,IFERROR(VLOOKUP(BP1172,'Gebinde-Kategorie'!$A$5:$M$45,13,0)+0,0))</f>
        <v>12</v>
      </c>
      <c r="R1172" s="61"/>
      <c r="S1172" s="62"/>
      <c r="T1172" s="62"/>
      <c r="U1172" s="55"/>
      <c r="V1172" s="57"/>
      <c r="W1172" s="57"/>
      <c r="X1172" s="55" t="n">
        <f aca="false">IF(A1172="","",IF(AND(Parameter!$B$21="Ja",ISNUMBER(U1172)),U1172,IF(IFERROR(VLOOKUP(D1172,Parameter!$A$35:$C$64,2,0),"Nein")="2+3",IF(ISNUMBER(SEARCH("grosser Artikel",BM1172)),2,IFERROR(VLOOKUP(BP1172,Parameter!$F$35:$G$64,2,0),2)),IF(OR(IFERROR(VLOOKUP(D1172,Parameter!$A$35:$C$64,2,0),"Nein")="Nein",IFERROR(VLOOKUP(D1172,Parameter!$A$35:$C$64,2,0),"Nein")=""),"-",VLOOKUP(D1172,Parameter!$A$35:$C$64,2,0)))))</f>
        <v>2</v>
      </c>
      <c r="Y1172" s="62"/>
      <c r="Z1172" s="63"/>
      <c r="AA1172" s="57" t="n">
        <f aca="false">AP1172</f>
        <v>15</v>
      </c>
      <c r="AB1172" s="57" t="n">
        <f aca="false">MAX(AP1172,G1172)</f>
        <v>15</v>
      </c>
      <c r="AC1172" s="64"/>
      <c r="AD1172" s="57" t="n">
        <f aca="false">IF(LEFT(Cockpit!$C$5,1)="A",G1172,IF(BW1172=1,BX1172,IF(LEFT(Cockpit!$C$5,1)="B",AH1172,MAX(AH1172,G1172))))</f>
        <v>0</v>
      </c>
      <c r="AE1172" s="57" t="n">
        <f aca="false">IF(BR1172=1,0,ROUNDUP(AD1172/BQ1172,0))</f>
        <v>0</v>
      </c>
      <c r="AF1172" s="59" t="n">
        <f aca="false">IF(CD1172&gt;0,CD1172*MAX(1,AD1172/V1172),IF(BR1172=1,IF(AD1172&lt;=0,0,BS1172*MAX(1,IF(G1172&gt;0,AD1172/G1172,1))),IF(Q1172&gt;0,AE1172/Q1172,0))/MAX(0.1,N(Parameter!$M$21)))</f>
        <v>0</v>
      </c>
      <c r="AG1172" s="57" t="n">
        <f aca="false">AD1172*F1172</f>
        <v>0</v>
      </c>
      <c r="AH1172" s="57" t="n">
        <f aca="false">ROUNDUP(MAX(I1172/IF(BV1172&gt;0,BV1172,MAX(0.1,N(Cockpit!$C$6))),BY1172)/BQ1172,0)*BQ1172</f>
        <v>15</v>
      </c>
      <c r="AI1172" s="58" t="n">
        <f aca="false">IF(AF1172&gt;0,I1172/AF1172,-1)</f>
        <v>-1</v>
      </c>
      <c r="AJ1172" s="58" t="str">
        <f aca="false">IF(AND(OR(BU1172="L1",BU1172="L23"),AF1172&gt;0),SUMIFS($AF$7:$AF$1576,$BU$7:$BU$1576,BU1172,$AI$7:$AI$1576,"&gt;"&amp;AI1172)+SUMIFS($AF$7:$AF$1576,$BU$7:$BU$1576,BU1172,$AI$7:$AI$1576,AI1172,$BO$7:$BO$1576,"&lt;="&amp;BO1172),"")</f>
        <v/>
      </c>
      <c r="AK1172" s="65" t="n">
        <f aca="false">IF(AJ1172="",0,MAX(0,MIN(1,(IF(BU1172="L1",Parameter!$E$5,Parameter!$E$6+Parameter!$E$7)-(AJ1172-AF1172))/AF1172)))</f>
        <v>0</v>
      </c>
      <c r="AL1172" s="57" t="n">
        <f aca="false">IF(LEFT(Cockpit!$I$5,1)="A",G1172,IF(BW1172=1,BX1172,IF(LEFT(Cockpit!$I$5,1)="B",AP1172,MAX(AP1172,G1172))))</f>
        <v>15</v>
      </c>
      <c r="AM1172" s="57" t="n">
        <f aca="false">IF(BR1172=1,0,ROUNDUP(AL1172/BQ1172,0))</f>
        <v>1</v>
      </c>
      <c r="AN1172" s="59" t="n">
        <f aca="false">IF(CD1172&gt;0,CD1172*MAX(1,AL1172/V1172),IF(BR1172=1,IF(AL1172&lt;=0,0,BS1172*MAX(1,IF(G1172&gt;0,AL1172/G1172,1))),IF(Q1172&gt;0,AM1172/Q1172,0))/MAX(0.1,N(Parameter!$M$21)))</f>
        <v>0.0833333333333333</v>
      </c>
      <c r="AO1172" s="57" t="n">
        <f aca="false">AL1172*F1172</f>
        <v>5400</v>
      </c>
      <c r="AP1172" s="57" t="n">
        <f aca="false">ROUNDUP(MAX(I1172/IF(BV1172&gt;0,BV1172,MAX(0.1,N(Cockpit!$I$6))),BY1172)/BQ1172,0)*BQ1172</f>
        <v>15</v>
      </c>
      <c r="AQ1172" s="58" t="n">
        <f aca="false">IF(AN1172&gt;0,I1172/AN1172,-1)</f>
        <v>0</v>
      </c>
      <c r="AR1172" s="58" t="n">
        <f aca="false">IF(AND(OR(BU1172="L1",BU1172="L23"),AN1172&gt;0),SUMIFS($AN$7:$AN$1576,$BU$7:$BU$1576,BU1172,$AQ$7:$AQ$1576,"&gt;"&amp;AQ1172)+SUMIFS($AN$7:$AN$1576,$BU$7:$BU$1576,BU1172,$AQ$7:$AQ$1576,AQ1172,$BO$7:$BO$1576,"&lt;="&amp;BO1172),"")</f>
        <v>135.170820652825</v>
      </c>
      <c r="AS1172" s="65" t="n">
        <f aca="false">IF(AR1172="",0,MAX(0,MIN(1,(IF(BU1172="L1",Parameter!$E$5,Parameter!$E$6+Parameter!$E$7)-(AR1172-AN1172))/AN1172)))</f>
        <v>0</v>
      </c>
      <c r="AT1172" s="57" t="n">
        <f aca="false">IF(LEFT(Cockpit!$O$5,1)="A",G1172,IF(BW1172=1,BX1172,IF(LEFT(Cockpit!$O$5,1)="B",AX1172,MAX(AX1172,G1172))))</f>
        <v>15</v>
      </c>
      <c r="AU1172" s="57" t="n">
        <f aca="false">IF(BR1172=1,0,ROUNDUP(AT1172/BQ1172,0))</f>
        <v>1</v>
      </c>
      <c r="AV1172" s="59" t="n">
        <f aca="false">IF(CD1172&gt;0,CD1172*MAX(1,AT1172/V1172),IF(BR1172=1,IF(AT1172&lt;=0,0,BS1172*MAX(1,IF(G1172&gt;0,AT1172/G1172,1))),IF(Q1172&gt;0,AU1172/Q1172,0))/MAX(0.1,N(Parameter!$M$21)))</f>
        <v>0.0833333333333333</v>
      </c>
      <c r="AW1172" s="57" t="n">
        <f aca="false">AT1172*F1172</f>
        <v>5400</v>
      </c>
      <c r="AX1172" s="57" t="n">
        <f aca="false">ROUNDUP(MAX(I1172/IF(BV1172&gt;0,BV1172,MAX(0.1,N(Cockpit!$O$6))),BY1172)/BQ1172,0)*BQ1172</f>
        <v>15</v>
      </c>
      <c r="AY1172" s="58" t="n">
        <f aca="false">IF(AV1172&gt;0,I1172/AV1172,-1)</f>
        <v>0</v>
      </c>
      <c r="AZ1172" s="58" t="n">
        <f aca="false">IF(AND(OR(BU1172="L1",BU1172="L23"),AV1172&gt;0),SUMIFS($AV$7:$AV$1576,$BU$7:$BU$1576,BU1172,$AY$7:$AY$1576,"&gt;"&amp;AY1172)+SUMIFS($AV$7:$AV$1576,$BU$7:$BU$1576,BU1172,$AY$7:$AY$1576,AY1172,$BO$7:$BO$1576,"&lt;="&amp;BO1172),"")</f>
        <v>125.230371102375</v>
      </c>
      <c r="BA1172" s="65" t="n">
        <f aca="false">IF(AZ1172="",0,MAX(0,MIN(1,(IF(BU1172="L1",Parameter!$E$5,Parameter!$E$6+Parameter!$E$7)-(AZ1172-AV1172))/AV1172)))</f>
        <v>0</v>
      </c>
      <c r="BB1172" s="55" t="str">
        <f aca="false">IF(AF1172&lt;=0,"",IF(BU1172="Aussen","Aussenlager",IF(BU1172="-","Nicht im Lift",IF(AK1172&gt;=1,"Lift",IF(AK1172&lt;=0,"Aussenlager","teilweise")))))</f>
        <v/>
      </c>
      <c r="BC1172" s="55" t="str">
        <f aca="false">IF(AN1172&lt;=0,"",IF(BU1172="Aussen","Aussenlager",IF(BU1172="-","Nicht im Lift",IF(AS1172&gt;=1,"Lift",IF(AS1172&lt;=0,"Aussenlager","teilweise")))))</f>
        <v>Aussenlager</v>
      </c>
      <c r="BD1172" s="55" t="str">
        <f aca="false">IF(AV1172&lt;=0,"",IF(BU1172="Aussen","Aussenlager",IF(BU1172="-","Nicht im Lift",IF(BA1172&gt;=1,"Lift",IF(BA1172&lt;=0,"Aussenlager","teilweise")))))</f>
        <v>Aussenlager</v>
      </c>
      <c r="BE1172" s="55" t="str">
        <f aca="false">IF(A1172="","",IF(BN1172=1,"Neu; ","")&amp;IF(AND(BN1172=0,BI1172&lt;0),"negativer Bestand (Export "&amp;BI1172&amp;"); ","")&amp;IF(I1172&lt;=0,"Kein Verbrauch; ","")&amp;IF(CD1172&gt;0,"Lift "&amp;U1172&amp;" lt. Liftbericht (Fach "&amp;V1172&amp;" Stk); ",IF(BR1172=1,"Lose – Fläche geschätzt; ",""))&amp;IF(G1172&gt;AP1172,"Überbestand "&amp;ROUND(G1172-AP1172,0)&amp;" Stk / CHF "&amp;ROUND((G1172-AP1172)*F1172,0)&amp;"; ","")&amp;IF(AND(BW1172=1,BX1172&lt;BY1172),"MAX &lt; MB+LG; ","")&amp;IF(AND(CC1172&gt;0,CB1172*10&gt;CC1172),"zu hoch für Tablar; ","")&amp;IF(AND(BN1172=0,OR(BW1172=1,Y1172&lt;&gt;"",S1172&lt;&gt;"",T1172&lt;&gt;"",Z1172&lt;&gt;"")),"manuell übersteuert; ","")&amp;IF(AND(BR1172=0,Q1172=0),"Gebinde unbekannt / Stellmass fehlt; ","")&amp;IF(AND(BR1172=0,N(T1172)&lt;=0,N(P1172)&lt;=0),"Menge pro Gebinde fehlt (Ist = 1 Gebinde); ","")&amp;BM1172)</f>
        <v>negativer Bestand (Export -1); Kein Verbrauch; </v>
      </c>
      <c r="BF1172" s="55"/>
      <c r="BG1172" s="55"/>
      <c r="BH1172" s="62"/>
      <c r="BI1172" s="57" t="n">
        <v>-1</v>
      </c>
      <c r="BJ1172" s="57" t="n">
        <v>14</v>
      </c>
      <c r="BK1172" s="56" t="n">
        <v>-360</v>
      </c>
      <c r="BL1172" s="57" t="n">
        <v>0</v>
      </c>
      <c r="BM1172" s="55"/>
      <c r="BN1172" s="60" t="n">
        <v>0</v>
      </c>
      <c r="BO1172" s="60" t="n">
        <v>1172</v>
      </c>
      <c r="BP1172" s="55" t="str">
        <f aca="false">IF(S1172&lt;&gt;"",UPPER(TRIM(S1172)),IF(O1172="","LOSE",O1172))</f>
        <v>S63</v>
      </c>
      <c r="BQ1172" s="57" t="n">
        <f aca="false">IF(BP1172="LOSE",1,IF(N(T1172)&gt;0,T1172,IF(N(P1172)&gt;0,P1172,MAX(1,G1172))))</f>
        <v>15</v>
      </c>
      <c r="BR1172" s="60" t="n">
        <f aca="false">IF(BP1172="LOSE",1,0)</f>
        <v>0</v>
      </c>
      <c r="BS1172" s="59" t="n">
        <f aca="false">IF(BR1172=0,0,IF(N(R1172)&gt;0,R1172,IFERROR(VLOOKUP(D1172,Parameter!$A$35:$C$64,3,0)+0,0)))</f>
        <v>0</v>
      </c>
      <c r="BT1172" s="55" t="n">
        <f aca="false">IF(Y1172&lt;&gt;"",Y1172,X1172)</f>
        <v>2</v>
      </c>
      <c r="BU1172" s="55" t="str">
        <f aca="false">IF(BT1172=1,"L1",IF(OR(BT1172=2,BT1172=3),"L23",IF(BT1172="Aussen","Aussen","-")))</f>
        <v>L23</v>
      </c>
      <c r="BV1172" s="66" t="n">
        <f aca="false">IF(N(Z1172)&gt;0,Z1172,0)</f>
        <v>0</v>
      </c>
      <c r="BW1172" s="60" t="n">
        <f aca="false">IF(ISNUMBER(AC1172),1,0)</f>
        <v>0</v>
      </c>
      <c r="BX1172" s="57" t="n">
        <f aca="false">N(AC1172)</f>
        <v>0</v>
      </c>
      <c r="BY1172" s="57" t="n">
        <f aca="false">N(L1172)+N(M1172)</f>
        <v>1</v>
      </c>
      <c r="BZ1172" s="57" t="n">
        <f aca="false">ROUNDUP(G1172/BQ1172,0)</f>
        <v>0</v>
      </c>
      <c r="CA1172" s="57" t="n">
        <f aca="false">ROUNDUP(BX1172/BQ1172,0)</f>
        <v>0</v>
      </c>
      <c r="CB1172" s="60" t="n">
        <f aca="false">IF(BR1172=1,0,IFERROR(VLOOKUP(BP1172,'Gebinde-Kategorie'!$A$5:$M$45,5,0)+0,0))</f>
        <v>31</v>
      </c>
      <c r="CC1172" s="60" t="n">
        <f aca="false">IFERROR(IF(OR(BT1172=1,BT1172=2,BT1172=3),N(INDEX(Parameter!$I$5:$I$7,BT1172)),0),0)</f>
        <v>0</v>
      </c>
      <c r="CD1172" s="59" t="n">
        <f aca="false">IF(AND(Parameter!$B$21="Ja",ISNUMBER(U1172),N(V1172)&gt;0),IFERROR(N(INDEX(Parameter!$L$5:$L$7,U1172))*INDEX(Parameter!$E$5:$E$7,U1172)*V1172/SUMIFS($V$7:$V$1576,$U$7:$U$1576,U1172),0),0)</f>
        <v>0</v>
      </c>
    </row>
    <row r="1173" customFormat="false" ht="15" hidden="false" customHeight="false" outlineLevel="0" collapsed="false">
      <c r="A1173" s="55" t="s">
        <v>2099</v>
      </c>
      <c r="B1173" s="55" t="s">
        <v>828</v>
      </c>
      <c r="C1173" s="55" t="s">
        <v>446</v>
      </c>
      <c r="D1173" s="55" t="s">
        <v>178</v>
      </c>
      <c r="E1173" s="55" t="s">
        <v>210</v>
      </c>
      <c r="F1173" s="56" t="n">
        <v>32.8</v>
      </c>
      <c r="G1173" s="57" t="n">
        <f aca="false">MAX(0,IF(AND(Parameter!$B$21="Ja",ISNUMBER(W1173)),W1173,IF(Parameter!$B$20="Jahresanfang 2025 + Export",BJ1173+BI1173,BI1173)))</f>
        <v>0</v>
      </c>
      <c r="H1173" s="57" t="n">
        <f aca="false">G1173*F1173</f>
        <v>0</v>
      </c>
      <c r="I1173" s="57" t="n">
        <f aca="false">BL1173*Parameter!$B$18</f>
        <v>0</v>
      </c>
      <c r="J1173" s="58" t="n">
        <v>9.5</v>
      </c>
      <c r="K1173" s="59" t="n">
        <v>0</v>
      </c>
      <c r="L1173" s="57" t="n">
        <v>0</v>
      </c>
      <c r="M1173" s="57" t="n">
        <v>1</v>
      </c>
      <c r="N1173" s="60" t="n">
        <v>28</v>
      </c>
      <c r="O1173" s="55" t="s">
        <v>293</v>
      </c>
      <c r="P1173" s="57" t="n">
        <v>11</v>
      </c>
      <c r="Q1173" s="60" t="n">
        <f aca="false">IF(BR1173=1,0,IFERROR(VLOOKUP(BP1173,'Gebinde-Kategorie'!$A$5:$M$45,13,0)+0,0))</f>
        <v>26</v>
      </c>
      <c r="R1173" s="61"/>
      <c r="S1173" s="62"/>
      <c r="T1173" s="62"/>
      <c r="U1173" s="55"/>
      <c r="V1173" s="57"/>
      <c r="W1173" s="57"/>
      <c r="X1173" s="55" t="n">
        <f aca="false">IF(A1173="","",IF(AND(Parameter!$B$21="Ja",ISNUMBER(U1173)),U1173,IF(IFERROR(VLOOKUP(D1173,Parameter!$A$35:$C$64,2,0),"Nein")="2+3",IF(ISNUMBER(SEARCH("grosser Artikel",BM1173)),2,IFERROR(VLOOKUP(BP1173,Parameter!$F$35:$G$64,2,0),2)),IF(OR(IFERROR(VLOOKUP(D1173,Parameter!$A$35:$C$64,2,0),"Nein")="Nein",IFERROR(VLOOKUP(D1173,Parameter!$A$35:$C$64,2,0),"Nein")=""),"-",VLOOKUP(D1173,Parameter!$A$35:$C$64,2,0)))))</f>
        <v>3</v>
      </c>
      <c r="Y1173" s="62"/>
      <c r="Z1173" s="63"/>
      <c r="AA1173" s="57" t="n">
        <f aca="false">AP1173</f>
        <v>11</v>
      </c>
      <c r="AB1173" s="57" t="n">
        <f aca="false">MAX(AP1173,G1173)</f>
        <v>11</v>
      </c>
      <c r="AC1173" s="64"/>
      <c r="AD1173" s="57" t="n">
        <f aca="false">IF(LEFT(Cockpit!$C$5,1)="A",G1173,IF(BW1173=1,BX1173,IF(LEFT(Cockpit!$C$5,1)="B",AH1173,MAX(AH1173,G1173))))</f>
        <v>0</v>
      </c>
      <c r="AE1173" s="57" t="n">
        <f aca="false">IF(BR1173=1,0,ROUNDUP(AD1173/BQ1173,0))</f>
        <v>0</v>
      </c>
      <c r="AF1173" s="59" t="n">
        <f aca="false">IF(CD1173&gt;0,CD1173*MAX(1,AD1173/V1173),IF(BR1173=1,IF(AD1173&lt;=0,0,BS1173*MAX(1,IF(G1173&gt;0,AD1173/G1173,1))),IF(Q1173&gt;0,AE1173/Q1173,0))/MAX(0.1,N(Parameter!$M$21)))</f>
        <v>0</v>
      </c>
      <c r="AG1173" s="57" t="n">
        <f aca="false">AD1173*F1173</f>
        <v>0</v>
      </c>
      <c r="AH1173" s="57" t="n">
        <f aca="false">ROUNDUP(MAX(I1173/IF(BV1173&gt;0,BV1173,MAX(0.1,N(Cockpit!$C$6))),BY1173)/BQ1173,0)*BQ1173</f>
        <v>11</v>
      </c>
      <c r="AI1173" s="58" t="n">
        <f aca="false">IF(AF1173&gt;0,I1173/AF1173,-1)</f>
        <v>-1</v>
      </c>
      <c r="AJ1173" s="58" t="str">
        <f aca="false">IF(AND(OR(BU1173="L1",BU1173="L23"),AF1173&gt;0),SUMIFS($AF$7:$AF$1576,$BU$7:$BU$1576,BU1173,$AI$7:$AI$1576,"&gt;"&amp;AI1173)+SUMIFS($AF$7:$AF$1576,$BU$7:$BU$1576,BU1173,$AI$7:$AI$1576,AI1173,$BO$7:$BO$1576,"&lt;="&amp;BO1173),"")</f>
        <v/>
      </c>
      <c r="AK1173" s="65" t="n">
        <f aca="false">IF(AJ1173="",0,MAX(0,MIN(1,(IF(BU1173="L1",Parameter!$E$5,Parameter!$E$6+Parameter!$E$7)-(AJ1173-AF1173))/AF1173)))</f>
        <v>0</v>
      </c>
      <c r="AL1173" s="57" t="n">
        <f aca="false">IF(LEFT(Cockpit!$I$5,1)="A",G1173,IF(BW1173=1,BX1173,IF(LEFT(Cockpit!$I$5,1)="B",AP1173,MAX(AP1173,G1173))))</f>
        <v>11</v>
      </c>
      <c r="AM1173" s="57" t="n">
        <f aca="false">IF(BR1173=1,0,ROUNDUP(AL1173/BQ1173,0))</f>
        <v>1</v>
      </c>
      <c r="AN1173" s="59" t="n">
        <f aca="false">IF(CD1173&gt;0,CD1173*MAX(1,AL1173/V1173),IF(BR1173=1,IF(AL1173&lt;=0,0,BS1173*MAX(1,IF(G1173&gt;0,AL1173/G1173,1))),IF(Q1173&gt;0,AM1173/Q1173,0))/MAX(0.1,N(Parameter!$M$21)))</f>
        <v>0.0384615384615385</v>
      </c>
      <c r="AO1173" s="57" t="n">
        <f aca="false">AL1173*F1173</f>
        <v>360.8</v>
      </c>
      <c r="AP1173" s="57" t="n">
        <f aca="false">ROUNDUP(MAX(I1173/IF(BV1173&gt;0,BV1173,MAX(0.1,N(Cockpit!$I$6))),BY1173)/BQ1173,0)*BQ1173</f>
        <v>11</v>
      </c>
      <c r="AQ1173" s="58" t="n">
        <f aca="false">IF(AN1173&gt;0,I1173/AN1173,-1)</f>
        <v>0</v>
      </c>
      <c r="AR1173" s="58" t="n">
        <f aca="false">IF(AND(OR(BU1173="L1",BU1173="L23"),AN1173&gt;0),SUMIFS($AN$7:$AN$1576,$BU$7:$BU$1576,BU1173,$AQ$7:$AQ$1576,"&gt;"&amp;AQ1173)+SUMIFS($AN$7:$AN$1576,$BU$7:$BU$1576,BU1173,$AQ$7:$AQ$1576,AQ1173,$BO$7:$BO$1576,"&lt;="&amp;BO1173),"")</f>
        <v>135.209282191286</v>
      </c>
      <c r="AS1173" s="65" t="n">
        <f aca="false">IF(AR1173="",0,MAX(0,MIN(1,(IF(BU1173="L1",Parameter!$E$5,Parameter!$E$6+Parameter!$E$7)-(AR1173-AN1173))/AN1173)))</f>
        <v>0</v>
      </c>
      <c r="AT1173" s="57" t="n">
        <f aca="false">IF(LEFT(Cockpit!$O$5,1)="A",G1173,IF(BW1173=1,BX1173,IF(LEFT(Cockpit!$O$5,1)="B",AX1173,MAX(AX1173,G1173))))</f>
        <v>11</v>
      </c>
      <c r="AU1173" s="57" t="n">
        <f aca="false">IF(BR1173=1,0,ROUNDUP(AT1173/BQ1173,0))</f>
        <v>1</v>
      </c>
      <c r="AV1173" s="59" t="n">
        <f aca="false">IF(CD1173&gt;0,CD1173*MAX(1,AT1173/V1173),IF(BR1173=1,IF(AT1173&lt;=0,0,BS1173*MAX(1,IF(G1173&gt;0,AT1173/G1173,1))),IF(Q1173&gt;0,AU1173/Q1173,0))/MAX(0.1,N(Parameter!$M$21)))</f>
        <v>0.0384615384615385</v>
      </c>
      <c r="AW1173" s="57" t="n">
        <f aca="false">AT1173*F1173</f>
        <v>360.8</v>
      </c>
      <c r="AX1173" s="57" t="n">
        <f aca="false">ROUNDUP(MAX(I1173/IF(BV1173&gt;0,BV1173,MAX(0.1,N(Cockpit!$O$6))),BY1173)/BQ1173,0)*BQ1173</f>
        <v>11</v>
      </c>
      <c r="AY1173" s="58" t="n">
        <f aca="false">IF(AV1173&gt;0,I1173/AV1173,-1)</f>
        <v>0</v>
      </c>
      <c r="AZ1173" s="58" t="n">
        <f aca="false">IF(AND(OR(BU1173="L1",BU1173="L23"),AV1173&gt;0),SUMIFS($AV$7:$AV$1576,$BU$7:$BU$1576,BU1173,$AY$7:$AY$1576,"&gt;"&amp;AY1173)+SUMIFS($AV$7:$AV$1576,$BU$7:$BU$1576,BU1173,$AY$7:$AY$1576,AY1173,$BO$7:$BO$1576,"&lt;="&amp;BO1173),"")</f>
        <v>125.268832640837</v>
      </c>
      <c r="BA1173" s="65" t="n">
        <f aca="false">IF(AZ1173="",0,MAX(0,MIN(1,(IF(BU1173="L1",Parameter!$E$5,Parameter!$E$6+Parameter!$E$7)-(AZ1173-AV1173))/AV1173)))</f>
        <v>0</v>
      </c>
      <c r="BB1173" s="55" t="str">
        <f aca="false">IF(AF1173&lt;=0,"",IF(BU1173="Aussen","Aussenlager",IF(BU1173="-","Nicht im Lift",IF(AK1173&gt;=1,"Lift",IF(AK1173&lt;=0,"Aussenlager","teilweise")))))</f>
        <v/>
      </c>
      <c r="BC1173" s="55" t="str">
        <f aca="false">IF(AN1173&lt;=0,"",IF(BU1173="Aussen","Aussenlager",IF(BU1173="-","Nicht im Lift",IF(AS1173&gt;=1,"Lift",IF(AS1173&lt;=0,"Aussenlager","teilweise")))))</f>
        <v>Aussenlager</v>
      </c>
      <c r="BD1173" s="55" t="str">
        <f aca="false">IF(AV1173&lt;=0,"",IF(BU1173="Aussen","Aussenlager",IF(BU1173="-","Nicht im Lift",IF(BA1173&gt;=1,"Lift",IF(BA1173&lt;=0,"Aussenlager","teilweise")))))</f>
        <v>Aussenlager</v>
      </c>
      <c r="BE1173" s="55" t="str">
        <f aca="false">IF(A1173="","",IF(BN1173=1,"Neu; ","")&amp;IF(AND(BN1173=0,BI1173&lt;0),"negativer Bestand (Export "&amp;BI1173&amp;"); ","")&amp;IF(I1173&lt;=0,"Kein Verbrauch; ","")&amp;IF(CD1173&gt;0,"Lift "&amp;U1173&amp;" lt. Liftbericht (Fach "&amp;V1173&amp;" Stk); ",IF(BR1173=1,"Lose – Fläche geschätzt; ",""))&amp;IF(G1173&gt;AP1173,"Überbestand "&amp;ROUND(G1173-AP1173,0)&amp;" Stk / CHF "&amp;ROUND((G1173-AP1173)*F1173,0)&amp;"; ","")&amp;IF(AND(BW1173=1,BX1173&lt;BY1173),"MAX &lt; MB+LG; ","")&amp;IF(AND(CC1173&gt;0,CB1173*10&gt;CC1173),"zu hoch für Tablar; ","")&amp;IF(AND(BN1173=0,OR(BW1173=1,Y1173&lt;&gt;"",S1173&lt;&gt;"",T1173&lt;&gt;"",Z1173&lt;&gt;"")),"manuell übersteuert; ","")&amp;IF(AND(BR1173=0,Q1173=0),"Gebinde unbekannt / Stellmass fehlt; ","")&amp;IF(AND(BR1173=0,N(T1173)&lt;=0,N(P1173)&lt;=0),"Menge pro Gebinde fehlt (Ist = 1 Gebinde); ","")&amp;BM1173)</f>
        <v>negativer Bestand (Export -11); Kein Verbrauch; </v>
      </c>
      <c r="BF1173" s="55"/>
      <c r="BG1173" s="55"/>
      <c r="BH1173" s="62"/>
      <c r="BI1173" s="57" t="n">
        <v>-11</v>
      </c>
      <c r="BJ1173" s="57" t="n">
        <v>11</v>
      </c>
      <c r="BK1173" s="56" t="n">
        <v>-360.8</v>
      </c>
      <c r="BL1173" s="57" t="n">
        <v>0</v>
      </c>
      <c r="BM1173" s="55"/>
      <c r="BN1173" s="60" t="n">
        <v>0</v>
      </c>
      <c r="BO1173" s="60" t="n">
        <v>1173</v>
      </c>
      <c r="BP1173" s="55" t="str">
        <f aca="false">IF(S1173&lt;&gt;"",UPPER(TRIM(S1173)),IF(O1173="","LOSE",O1173))</f>
        <v>S51</v>
      </c>
      <c r="BQ1173" s="57" t="n">
        <f aca="false">IF(BP1173="LOSE",1,IF(N(T1173)&gt;0,T1173,IF(N(P1173)&gt;0,P1173,MAX(1,G1173))))</f>
        <v>11</v>
      </c>
      <c r="BR1173" s="60" t="n">
        <f aca="false">IF(BP1173="LOSE",1,0)</f>
        <v>0</v>
      </c>
      <c r="BS1173" s="59" t="n">
        <f aca="false">IF(BR1173=0,0,IF(N(R1173)&gt;0,R1173,IFERROR(VLOOKUP(D1173,Parameter!$A$35:$C$64,3,0)+0,0)))</f>
        <v>0</v>
      </c>
      <c r="BT1173" s="55" t="n">
        <f aca="false">IF(Y1173&lt;&gt;"",Y1173,X1173)</f>
        <v>3</v>
      </c>
      <c r="BU1173" s="55" t="str">
        <f aca="false">IF(BT1173=1,"L1",IF(OR(BT1173=2,BT1173=3),"L23",IF(BT1173="Aussen","Aussen","-")))</f>
        <v>L23</v>
      </c>
      <c r="BV1173" s="66" t="n">
        <f aca="false">IF(N(Z1173)&gt;0,Z1173,0)</f>
        <v>0</v>
      </c>
      <c r="BW1173" s="60" t="n">
        <f aca="false">IF(ISNUMBER(AC1173),1,0)</f>
        <v>0</v>
      </c>
      <c r="BX1173" s="57" t="n">
        <f aca="false">N(AC1173)</f>
        <v>0</v>
      </c>
      <c r="BY1173" s="57" t="n">
        <f aca="false">N(L1173)+N(M1173)</f>
        <v>1</v>
      </c>
      <c r="BZ1173" s="57" t="n">
        <f aca="false">ROUNDUP(G1173/BQ1173,0)</f>
        <v>0</v>
      </c>
      <c r="CA1173" s="57" t="n">
        <f aca="false">ROUNDUP(BX1173/BQ1173,0)</f>
        <v>0</v>
      </c>
      <c r="CB1173" s="60" t="n">
        <f aca="false">IF(BR1173=1,0,IFERROR(VLOOKUP(BP1173,'Gebinde-Kategorie'!$A$5:$M$45,5,0)+0,0))</f>
        <v>11</v>
      </c>
      <c r="CC1173" s="60" t="n">
        <f aca="false">IFERROR(IF(OR(BT1173=1,BT1173=2,BT1173=3),N(INDEX(Parameter!$I$5:$I$7,BT1173)),0),0)</f>
        <v>0</v>
      </c>
      <c r="CD1173" s="59" t="n">
        <f aca="false">IF(AND(Parameter!$B$21="Ja",ISNUMBER(U1173),N(V1173)&gt;0),IFERROR(N(INDEX(Parameter!$L$5:$L$7,U1173))*INDEX(Parameter!$E$5:$E$7,U1173)*V1173/SUMIFS($V$7:$V$1576,$U$7:$U$1576,U1173),0),0)</f>
        <v>0</v>
      </c>
    </row>
    <row r="1174" customFormat="false" ht="15" hidden="false" customHeight="false" outlineLevel="0" collapsed="false">
      <c r="A1174" s="55" t="s">
        <v>2100</v>
      </c>
      <c r="B1174" s="55" t="s">
        <v>2101</v>
      </c>
      <c r="C1174" s="55" t="s">
        <v>160</v>
      </c>
      <c r="D1174" s="55" t="s">
        <v>178</v>
      </c>
      <c r="E1174" s="55" t="s">
        <v>210</v>
      </c>
      <c r="F1174" s="56" t="n">
        <v>369.23</v>
      </c>
      <c r="G1174" s="57" t="n">
        <f aca="false">MAX(0,IF(AND(Parameter!$B$21="Ja",ISNUMBER(W1174)),W1174,IF(Parameter!$B$20="Jahresanfang 2025 + Export",BJ1174+BI1174,BI1174)))</f>
        <v>0</v>
      </c>
      <c r="H1174" s="57" t="n">
        <f aca="false">G1174*F1174</f>
        <v>0</v>
      </c>
      <c r="I1174" s="57" t="n">
        <f aca="false">BL1174*Parameter!$B$18</f>
        <v>3</v>
      </c>
      <c r="J1174" s="58" t="n">
        <v>6.5</v>
      </c>
      <c r="K1174" s="59" t="n">
        <v>0.461538461538462</v>
      </c>
      <c r="L1174" s="57" t="n">
        <v>0</v>
      </c>
      <c r="M1174" s="57" t="n">
        <v>5</v>
      </c>
      <c r="N1174" s="60" t="n">
        <v>28</v>
      </c>
      <c r="O1174" s="55" t="s">
        <v>218</v>
      </c>
      <c r="P1174" s="57" t="n">
        <v>4</v>
      </c>
      <c r="Q1174" s="60" t="n">
        <f aca="false">IF(BR1174=1,0,IFERROR(VLOOKUP(BP1174,'Gebinde-Kategorie'!$A$5:$M$45,13,0)+0,0))</f>
        <v>12</v>
      </c>
      <c r="R1174" s="61"/>
      <c r="S1174" s="62"/>
      <c r="T1174" s="62"/>
      <c r="U1174" s="55"/>
      <c r="V1174" s="57"/>
      <c r="W1174" s="57"/>
      <c r="X1174" s="55" t="n">
        <f aca="false">IF(A1174="","",IF(AND(Parameter!$B$21="Ja",ISNUMBER(U1174)),U1174,IF(IFERROR(VLOOKUP(D1174,Parameter!$A$35:$C$64,2,0),"Nein")="2+3",IF(ISNUMBER(SEARCH("grosser Artikel",BM1174)),2,IFERROR(VLOOKUP(BP1174,Parameter!$F$35:$G$64,2,0),2)),IF(OR(IFERROR(VLOOKUP(D1174,Parameter!$A$35:$C$64,2,0),"Nein")="Nein",IFERROR(VLOOKUP(D1174,Parameter!$A$35:$C$64,2,0),"Nein")=""),"-",VLOOKUP(D1174,Parameter!$A$35:$C$64,2,0)))))</f>
        <v>2</v>
      </c>
      <c r="Y1174" s="62"/>
      <c r="Z1174" s="63"/>
      <c r="AA1174" s="57" t="n">
        <f aca="false">AP1174</f>
        <v>8</v>
      </c>
      <c r="AB1174" s="57" t="n">
        <f aca="false">MAX(AP1174,G1174)</f>
        <v>8</v>
      </c>
      <c r="AC1174" s="64"/>
      <c r="AD1174" s="57" t="n">
        <f aca="false">IF(LEFT(Cockpit!$C$5,1)="A",G1174,IF(BW1174=1,BX1174,IF(LEFT(Cockpit!$C$5,1)="B",AH1174,MAX(AH1174,G1174))))</f>
        <v>0</v>
      </c>
      <c r="AE1174" s="57" t="n">
        <f aca="false">IF(BR1174=1,0,ROUNDUP(AD1174/BQ1174,0))</f>
        <v>0</v>
      </c>
      <c r="AF1174" s="59" t="n">
        <f aca="false">IF(CD1174&gt;0,CD1174*MAX(1,AD1174/V1174),IF(BR1174=1,IF(AD1174&lt;=0,0,BS1174*MAX(1,IF(G1174&gt;0,AD1174/G1174,1))),IF(Q1174&gt;0,AE1174/Q1174,0))/MAX(0.1,N(Parameter!$M$21)))</f>
        <v>0</v>
      </c>
      <c r="AG1174" s="57" t="n">
        <f aca="false">AD1174*F1174</f>
        <v>0</v>
      </c>
      <c r="AH1174" s="57" t="n">
        <f aca="false">ROUNDUP(MAX(I1174/IF(BV1174&gt;0,BV1174,MAX(0.1,N(Cockpit!$C$6))),BY1174)/BQ1174,0)*BQ1174</f>
        <v>8</v>
      </c>
      <c r="AI1174" s="58" t="n">
        <f aca="false">IF(AF1174&gt;0,I1174/AF1174,-1)</f>
        <v>-1</v>
      </c>
      <c r="AJ1174" s="58" t="str">
        <f aca="false">IF(AND(OR(BU1174="L1",BU1174="L23"),AF1174&gt;0),SUMIFS($AF$7:$AF$1576,$BU$7:$BU$1576,BU1174,$AI$7:$AI$1576,"&gt;"&amp;AI1174)+SUMIFS($AF$7:$AF$1576,$BU$7:$BU$1576,BU1174,$AI$7:$AI$1576,AI1174,$BO$7:$BO$1576,"&lt;="&amp;BO1174),"")</f>
        <v/>
      </c>
      <c r="AK1174" s="65" t="n">
        <f aca="false">IF(AJ1174="",0,MAX(0,MIN(1,(IF(BU1174="L1",Parameter!$E$5,Parameter!$E$6+Parameter!$E$7)-(AJ1174-AF1174))/AF1174)))</f>
        <v>0</v>
      </c>
      <c r="AL1174" s="57" t="n">
        <f aca="false">IF(LEFT(Cockpit!$I$5,1)="A",G1174,IF(BW1174=1,BX1174,IF(LEFT(Cockpit!$I$5,1)="B",AP1174,MAX(AP1174,G1174))))</f>
        <v>8</v>
      </c>
      <c r="AM1174" s="57" t="n">
        <f aca="false">IF(BR1174=1,0,ROUNDUP(AL1174/BQ1174,0))</f>
        <v>2</v>
      </c>
      <c r="AN1174" s="59" t="n">
        <f aca="false">IF(CD1174&gt;0,CD1174*MAX(1,AL1174/V1174),IF(BR1174=1,IF(AL1174&lt;=0,0,BS1174*MAX(1,IF(G1174&gt;0,AL1174/G1174,1))),IF(Q1174&gt;0,AM1174/Q1174,0))/MAX(0.1,N(Parameter!$M$21)))</f>
        <v>0.166666666666667</v>
      </c>
      <c r="AO1174" s="57" t="n">
        <f aca="false">AL1174*F1174</f>
        <v>2953.84</v>
      </c>
      <c r="AP1174" s="57" t="n">
        <f aca="false">ROUNDUP(MAX(I1174/IF(BV1174&gt;0,BV1174,MAX(0.1,N(Cockpit!$I$6))),BY1174)/BQ1174,0)*BQ1174</f>
        <v>8</v>
      </c>
      <c r="AQ1174" s="58" t="n">
        <f aca="false">IF(AN1174&gt;0,I1174/AN1174,-1)</f>
        <v>18</v>
      </c>
      <c r="AR1174" s="58" t="n">
        <f aca="false">IF(AND(OR(BU1174="L1",BU1174="L23"),AN1174&gt;0),SUMIFS($AN$7:$AN$1576,$BU$7:$BU$1576,BU1174,$AQ$7:$AQ$1576,"&gt;"&amp;AQ1174)+SUMIFS($AN$7:$AN$1576,$BU$7:$BU$1576,BU1174,$AQ$7:$AQ$1576,AQ1174,$BO$7:$BO$1576,"&lt;="&amp;BO1174),"")</f>
        <v>100.468075614337</v>
      </c>
      <c r="AS1174" s="65" t="n">
        <f aca="false">IF(AR1174="",0,MAX(0,MIN(1,(IF(BU1174="L1",Parameter!$E$5,Parameter!$E$6+Parameter!$E$7)-(AR1174-AN1174))/AN1174)))</f>
        <v>0</v>
      </c>
      <c r="AT1174" s="57" t="n">
        <f aca="false">IF(LEFT(Cockpit!$O$5,1)="A",G1174,IF(BW1174=1,BX1174,IF(LEFT(Cockpit!$O$5,1)="B",AX1174,MAX(AX1174,G1174))))</f>
        <v>8</v>
      </c>
      <c r="AU1174" s="57" t="n">
        <f aca="false">IF(BR1174=1,0,ROUNDUP(AT1174/BQ1174,0))</f>
        <v>2</v>
      </c>
      <c r="AV1174" s="59" t="n">
        <f aca="false">IF(CD1174&gt;0,CD1174*MAX(1,AT1174/V1174),IF(BR1174=1,IF(AT1174&lt;=0,0,BS1174*MAX(1,IF(G1174&gt;0,AT1174/G1174,1))),IF(Q1174&gt;0,AU1174/Q1174,0))/MAX(0.1,N(Parameter!$M$21)))</f>
        <v>0.166666666666667</v>
      </c>
      <c r="AW1174" s="57" t="n">
        <f aca="false">AT1174*F1174</f>
        <v>2953.84</v>
      </c>
      <c r="AX1174" s="57" t="n">
        <f aca="false">ROUNDUP(MAX(I1174/IF(BV1174&gt;0,BV1174,MAX(0.1,N(Cockpit!$O$6))),BY1174)/BQ1174,0)*BQ1174</f>
        <v>8</v>
      </c>
      <c r="AY1174" s="58" t="n">
        <f aca="false">IF(AV1174&gt;0,I1174/AV1174,-1)</f>
        <v>18</v>
      </c>
      <c r="AZ1174" s="58" t="n">
        <f aca="false">IF(AND(OR(BU1174="L1",BU1174="L23"),AV1174&gt;0),SUMIFS($AV$7:$AV$1576,$BU$7:$BU$1576,BU1174,$AY$7:$AY$1576,"&gt;"&amp;AY1174)+SUMIFS($AV$7:$AV$1576,$BU$7:$BU$1576,BU1174,$AY$7:$AY$1576,AY1174,$BO$7:$BO$1576,"&lt;="&amp;BO1174),"")</f>
        <v>92.6276260638872</v>
      </c>
      <c r="BA1174" s="65" t="n">
        <f aca="false">IF(AZ1174="",0,MAX(0,MIN(1,(IF(BU1174="L1",Parameter!$E$5,Parameter!$E$6+Parameter!$E$7)-(AZ1174-AV1174))/AV1174)))</f>
        <v>1</v>
      </c>
      <c r="BB1174" s="55" t="str">
        <f aca="false">IF(AF1174&lt;=0,"",IF(BU1174="Aussen","Aussenlager",IF(BU1174="-","Nicht im Lift",IF(AK1174&gt;=1,"Lift",IF(AK1174&lt;=0,"Aussenlager","teilweise")))))</f>
        <v/>
      </c>
      <c r="BC1174" s="55" t="str">
        <f aca="false">IF(AN1174&lt;=0,"",IF(BU1174="Aussen","Aussenlager",IF(BU1174="-","Nicht im Lift",IF(AS1174&gt;=1,"Lift",IF(AS1174&lt;=0,"Aussenlager","teilweise")))))</f>
        <v>Aussenlager</v>
      </c>
      <c r="BD1174" s="55" t="str">
        <f aca="false">IF(AV1174&lt;=0,"",IF(BU1174="Aussen","Aussenlager",IF(BU1174="-","Nicht im Lift",IF(BA1174&gt;=1,"Lift",IF(BA1174&lt;=0,"Aussenlager","teilweise")))))</f>
        <v>Lift</v>
      </c>
      <c r="BE1174" s="55" t="str">
        <f aca="false">IF(A1174="","",IF(BN1174=1,"Neu; ","")&amp;IF(AND(BN1174=0,BI1174&lt;0),"negativer Bestand (Export "&amp;BI1174&amp;"); ","")&amp;IF(I1174&lt;=0,"Kein Verbrauch; ","")&amp;IF(CD1174&gt;0,"Lift "&amp;U1174&amp;" lt. Liftbericht (Fach "&amp;V1174&amp;" Stk); ",IF(BR1174=1,"Lose – Fläche geschätzt; ",""))&amp;IF(G1174&gt;AP1174,"Überbestand "&amp;ROUND(G1174-AP1174,0)&amp;" Stk / CHF "&amp;ROUND((G1174-AP1174)*F1174,0)&amp;"; ","")&amp;IF(AND(BW1174=1,BX1174&lt;BY1174),"MAX &lt; MB+LG; ","")&amp;IF(AND(CC1174&gt;0,CB1174*10&gt;CC1174),"zu hoch für Tablar; ","")&amp;IF(AND(BN1174=0,OR(BW1174=1,Y1174&lt;&gt;"",S1174&lt;&gt;"",T1174&lt;&gt;"",Z1174&lt;&gt;"")),"manuell übersteuert; ","")&amp;IF(AND(BR1174=0,Q1174=0),"Gebinde unbekannt / Stellmass fehlt; ","")&amp;IF(AND(BR1174=0,N(T1174)&lt;=0,N(P1174)&lt;=0),"Menge pro Gebinde fehlt (Ist = 1 Gebinde); ","")&amp;BM1174)</f>
        <v>negativer Bestand (Export -1); nicht im KTL vorhanden</v>
      </c>
      <c r="BF1174" s="55"/>
      <c r="BG1174" s="55"/>
      <c r="BH1174" s="62"/>
      <c r="BI1174" s="57" t="n">
        <v>-1</v>
      </c>
      <c r="BJ1174" s="57" t="n">
        <v>6</v>
      </c>
      <c r="BK1174" s="56" t="n">
        <v>-363.89</v>
      </c>
      <c r="BL1174" s="57" t="n">
        <v>3</v>
      </c>
      <c r="BM1174" s="55" t="s">
        <v>222</v>
      </c>
      <c r="BN1174" s="60" t="n">
        <v>0</v>
      </c>
      <c r="BO1174" s="60" t="n">
        <v>1174</v>
      </c>
      <c r="BP1174" s="55" t="str">
        <f aca="false">IF(S1174&lt;&gt;"",UPPER(TRIM(S1174)),IF(O1174="","LOSE",O1174))</f>
        <v>S63</v>
      </c>
      <c r="BQ1174" s="57" t="n">
        <f aca="false">IF(BP1174="LOSE",1,IF(N(T1174)&gt;0,T1174,IF(N(P1174)&gt;0,P1174,MAX(1,G1174))))</f>
        <v>4</v>
      </c>
      <c r="BR1174" s="60" t="n">
        <f aca="false">IF(BP1174="LOSE",1,0)</f>
        <v>0</v>
      </c>
      <c r="BS1174" s="59" t="n">
        <f aca="false">IF(BR1174=0,0,IF(N(R1174)&gt;0,R1174,IFERROR(VLOOKUP(D1174,Parameter!$A$35:$C$64,3,0)+0,0)))</f>
        <v>0</v>
      </c>
      <c r="BT1174" s="55" t="n">
        <f aca="false">IF(Y1174&lt;&gt;"",Y1174,X1174)</f>
        <v>2</v>
      </c>
      <c r="BU1174" s="55" t="str">
        <f aca="false">IF(BT1174=1,"L1",IF(OR(BT1174=2,BT1174=3),"L23",IF(BT1174="Aussen","Aussen","-")))</f>
        <v>L23</v>
      </c>
      <c r="BV1174" s="66" t="n">
        <f aca="false">IF(N(Z1174)&gt;0,Z1174,0)</f>
        <v>0</v>
      </c>
      <c r="BW1174" s="60" t="n">
        <f aca="false">IF(ISNUMBER(AC1174),1,0)</f>
        <v>0</v>
      </c>
      <c r="BX1174" s="57" t="n">
        <f aca="false">N(AC1174)</f>
        <v>0</v>
      </c>
      <c r="BY1174" s="57" t="n">
        <f aca="false">N(L1174)+N(M1174)</f>
        <v>5</v>
      </c>
      <c r="BZ1174" s="57" t="n">
        <f aca="false">ROUNDUP(G1174/BQ1174,0)</f>
        <v>0</v>
      </c>
      <c r="CA1174" s="57" t="n">
        <f aca="false">ROUNDUP(BX1174/BQ1174,0)</f>
        <v>0</v>
      </c>
      <c r="CB1174" s="60" t="n">
        <f aca="false">IF(BR1174=1,0,IFERROR(VLOOKUP(BP1174,'Gebinde-Kategorie'!$A$5:$M$45,5,0)+0,0))</f>
        <v>31</v>
      </c>
      <c r="CC1174" s="60" t="n">
        <f aca="false">IFERROR(IF(OR(BT1174=1,BT1174=2,BT1174=3),N(INDEX(Parameter!$I$5:$I$7,BT1174)),0),0)</f>
        <v>0</v>
      </c>
      <c r="CD1174" s="59" t="n">
        <f aca="false">IF(AND(Parameter!$B$21="Ja",ISNUMBER(U1174),N(V1174)&gt;0),IFERROR(N(INDEX(Parameter!$L$5:$L$7,U1174))*INDEX(Parameter!$E$5:$E$7,U1174)*V1174/SUMIFS($V$7:$V$1576,$U$7:$U$1576,U1174),0),0)</f>
        <v>0</v>
      </c>
    </row>
    <row r="1175" customFormat="false" ht="15" hidden="false" customHeight="false" outlineLevel="0" collapsed="false">
      <c r="A1175" s="55" t="s">
        <v>2102</v>
      </c>
      <c r="B1175" s="55" t="s">
        <v>2103</v>
      </c>
      <c r="C1175" s="55" t="s">
        <v>160</v>
      </c>
      <c r="D1175" s="55" t="s">
        <v>178</v>
      </c>
      <c r="E1175" s="55" t="s">
        <v>210</v>
      </c>
      <c r="F1175" s="56" t="n">
        <v>31.84</v>
      </c>
      <c r="G1175" s="57" t="n">
        <f aca="false">MAX(0,IF(AND(Parameter!$B$21="Ja",ISNUMBER(W1175)),W1175,IF(Parameter!$B$20="Jahresanfang 2025 + Export",BJ1175+BI1175,BI1175)))</f>
        <v>0</v>
      </c>
      <c r="H1175" s="57" t="n">
        <f aca="false">G1175*F1175</f>
        <v>0</v>
      </c>
      <c r="I1175" s="57" t="n">
        <f aca="false">BL1175*Parameter!$B$18</f>
        <v>10</v>
      </c>
      <c r="J1175" s="58" t="n">
        <v>6</v>
      </c>
      <c r="K1175" s="59" t="n">
        <v>1.66666666666667</v>
      </c>
      <c r="L1175" s="57" t="n">
        <v>0</v>
      </c>
      <c r="M1175" s="57" t="n">
        <v>10</v>
      </c>
      <c r="N1175" s="60" t="n">
        <v>14</v>
      </c>
      <c r="O1175" s="55" t="s">
        <v>163</v>
      </c>
      <c r="P1175" s="57"/>
      <c r="Q1175" s="60" t="n">
        <f aca="false">IF(BR1175=1,0,IFERROR(VLOOKUP(BP1175,'Gebinde-Kategorie'!$A$5:$M$45,13,0)+0,0))</f>
        <v>0</v>
      </c>
      <c r="R1175" s="61"/>
      <c r="S1175" s="62"/>
      <c r="T1175" s="62"/>
      <c r="U1175" s="55"/>
      <c r="V1175" s="57"/>
      <c r="W1175" s="57"/>
      <c r="X1175" s="55" t="n">
        <f aca="false">IF(A1175="","",IF(AND(Parameter!$B$21="Ja",ISNUMBER(U1175)),U1175,IF(IFERROR(VLOOKUP(D1175,Parameter!$A$35:$C$64,2,0),"Nein")="2+3",IF(ISNUMBER(SEARCH("grosser Artikel",BM1175)),2,IFERROR(VLOOKUP(BP1175,Parameter!$F$35:$G$64,2,0),2)),IF(OR(IFERROR(VLOOKUP(D1175,Parameter!$A$35:$C$64,2,0),"Nein")="Nein",IFERROR(VLOOKUP(D1175,Parameter!$A$35:$C$64,2,0),"Nein")=""),"-",VLOOKUP(D1175,Parameter!$A$35:$C$64,2,0)))))</f>
        <v>2</v>
      </c>
      <c r="Y1175" s="62"/>
      <c r="Z1175" s="63"/>
      <c r="AA1175" s="57" t="n">
        <f aca="false">AP1175</f>
        <v>10</v>
      </c>
      <c r="AB1175" s="57" t="n">
        <f aca="false">MAX(AP1175,G1175)</f>
        <v>10</v>
      </c>
      <c r="AC1175" s="64"/>
      <c r="AD1175" s="57" t="n">
        <f aca="false">IF(LEFT(Cockpit!$C$5,1)="A",G1175,IF(BW1175=1,BX1175,IF(LEFT(Cockpit!$C$5,1)="B",AH1175,MAX(AH1175,G1175))))</f>
        <v>0</v>
      </c>
      <c r="AE1175" s="57" t="n">
        <f aca="false">IF(BR1175=1,0,ROUNDUP(AD1175/BQ1175,0))</f>
        <v>0</v>
      </c>
      <c r="AF1175" s="59" t="n">
        <f aca="false">IF(CD1175&gt;0,CD1175*MAX(1,AD1175/V1175),IF(BR1175=1,IF(AD1175&lt;=0,0,BS1175*MAX(1,IF(G1175&gt;0,AD1175/G1175,1))),IF(Q1175&gt;0,AE1175/Q1175,0))/MAX(0.1,N(Parameter!$M$21)))</f>
        <v>0</v>
      </c>
      <c r="AG1175" s="57" t="n">
        <f aca="false">AD1175*F1175</f>
        <v>0</v>
      </c>
      <c r="AH1175" s="57" t="n">
        <f aca="false">ROUNDUP(MAX(I1175/IF(BV1175&gt;0,BV1175,MAX(0.1,N(Cockpit!$C$6))),BY1175)/BQ1175,0)*BQ1175</f>
        <v>10</v>
      </c>
      <c r="AI1175" s="58" t="n">
        <f aca="false">IF(AF1175&gt;0,I1175/AF1175,-1)</f>
        <v>-1</v>
      </c>
      <c r="AJ1175" s="58" t="str">
        <f aca="false">IF(AND(OR(BU1175="L1",BU1175="L23"),AF1175&gt;0),SUMIFS($AF$7:$AF$1576,$BU$7:$BU$1576,BU1175,$AI$7:$AI$1576,"&gt;"&amp;AI1175)+SUMIFS($AF$7:$AF$1576,$BU$7:$BU$1576,BU1175,$AI$7:$AI$1576,AI1175,$BO$7:$BO$1576,"&lt;="&amp;BO1175),"")</f>
        <v/>
      </c>
      <c r="AK1175" s="65" t="n">
        <f aca="false">IF(AJ1175="",0,MAX(0,MIN(1,(IF(BU1175="L1",Parameter!$E$5,Parameter!$E$6+Parameter!$E$7)-(AJ1175-AF1175))/AF1175)))</f>
        <v>0</v>
      </c>
      <c r="AL1175" s="57" t="n">
        <f aca="false">IF(LEFT(Cockpit!$I$5,1)="A",G1175,IF(BW1175=1,BX1175,IF(LEFT(Cockpit!$I$5,1)="B",AP1175,MAX(AP1175,G1175))))</f>
        <v>10</v>
      </c>
      <c r="AM1175" s="57" t="n">
        <f aca="false">IF(BR1175=1,0,ROUNDUP(AL1175/BQ1175,0))</f>
        <v>0</v>
      </c>
      <c r="AN1175" s="59" t="n">
        <f aca="false">IF(CD1175&gt;0,CD1175*MAX(1,AL1175/V1175),IF(BR1175=1,IF(AL1175&lt;=0,0,BS1175*MAX(1,IF(G1175&gt;0,AL1175/G1175,1))),IF(Q1175&gt;0,AM1175/Q1175,0))/MAX(0.1,N(Parameter!$M$21)))</f>
        <v>0.03</v>
      </c>
      <c r="AO1175" s="57" t="n">
        <f aca="false">AL1175*F1175</f>
        <v>318.4</v>
      </c>
      <c r="AP1175" s="57" t="n">
        <f aca="false">ROUNDUP(MAX(I1175/IF(BV1175&gt;0,BV1175,MAX(0.1,N(Cockpit!$I$6))),BY1175)/BQ1175,0)*BQ1175</f>
        <v>10</v>
      </c>
      <c r="AQ1175" s="58" t="n">
        <f aca="false">IF(AN1175&gt;0,I1175/AN1175,-1)</f>
        <v>333.333333333333</v>
      </c>
      <c r="AR1175" s="58" t="n">
        <f aca="false">IF(AND(OR(BU1175="L1",BU1175="L23"),AN1175&gt;0),SUMIFS($AN$7:$AN$1576,$BU$7:$BU$1576,BU1175,$AQ$7:$AQ$1576,"&gt;"&amp;AQ1175)+SUMIFS($AN$7:$AN$1576,$BU$7:$BU$1576,BU1175,$AQ$7:$AQ$1576,AQ1175,$BO$7:$BO$1576,"&lt;="&amp;BO1175),"")</f>
        <v>41.7011086139459</v>
      </c>
      <c r="AS1175" s="65" t="n">
        <f aca="false">IF(AR1175="",0,MAX(0,MIN(1,(IF(BU1175="L1",Parameter!$E$5,Parameter!$E$6+Parameter!$E$7)-(AR1175-AN1175))/AN1175)))</f>
        <v>1</v>
      </c>
      <c r="AT1175" s="57" t="n">
        <f aca="false">IF(LEFT(Cockpit!$O$5,1)="A",G1175,IF(BW1175=1,BX1175,IF(LEFT(Cockpit!$O$5,1)="B",AX1175,MAX(AX1175,G1175))))</f>
        <v>10</v>
      </c>
      <c r="AU1175" s="57" t="n">
        <f aca="false">IF(BR1175=1,0,ROUNDUP(AT1175/BQ1175,0))</f>
        <v>0</v>
      </c>
      <c r="AV1175" s="59" t="n">
        <f aca="false">IF(CD1175&gt;0,CD1175*MAX(1,AT1175/V1175),IF(BR1175=1,IF(AT1175&lt;=0,0,BS1175*MAX(1,IF(G1175&gt;0,AT1175/G1175,1))),IF(Q1175&gt;0,AU1175/Q1175,0))/MAX(0.1,N(Parameter!$M$21)))</f>
        <v>0.03</v>
      </c>
      <c r="AW1175" s="57" t="n">
        <f aca="false">AT1175*F1175</f>
        <v>318.4</v>
      </c>
      <c r="AX1175" s="57" t="n">
        <f aca="false">ROUNDUP(MAX(I1175/IF(BV1175&gt;0,BV1175,MAX(0.1,N(Cockpit!$O$6))),BY1175)/BQ1175,0)*BQ1175</f>
        <v>10</v>
      </c>
      <c r="AY1175" s="58" t="n">
        <f aca="false">IF(AV1175&gt;0,I1175/AV1175,-1)</f>
        <v>333.333333333333</v>
      </c>
      <c r="AZ1175" s="58" t="n">
        <f aca="false">IF(AND(OR(BU1175="L1",BU1175="L23"),AV1175&gt;0),SUMIFS($AV$7:$AV$1576,$BU$7:$BU$1576,BU1175,$AY$7:$AY$1576,"&gt;"&amp;AY1175)+SUMIFS($AV$7:$AV$1576,$BU$7:$BU$1576,BU1175,$AY$7:$AY$1576,AY1175,$BO$7:$BO$1576,"&lt;="&amp;BO1175),"")</f>
        <v>38.4491872020245</v>
      </c>
      <c r="BA1175" s="65" t="n">
        <f aca="false">IF(AZ1175="",0,MAX(0,MIN(1,(IF(BU1175="L1",Parameter!$E$5,Parameter!$E$6+Parameter!$E$7)-(AZ1175-AV1175))/AV1175)))</f>
        <v>1</v>
      </c>
      <c r="BB1175" s="55" t="str">
        <f aca="false">IF(AF1175&lt;=0,"",IF(BU1175="Aussen","Aussenlager",IF(BU1175="-","Nicht im Lift",IF(AK1175&gt;=1,"Lift",IF(AK1175&lt;=0,"Aussenlager","teilweise")))))</f>
        <v/>
      </c>
      <c r="BC1175" s="55" t="str">
        <f aca="false">IF(AN1175&lt;=0,"",IF(BU1175="Aussen","Aussenlager",IF(BU1175="-","Nicht im Lift",IF(AS1175&gt;=1,"Lift",IF(AS1175&lt;=0,"Aussenlager","teilweise")))))</f>
        <v>Lift</v>
      </c>
      <c r="BD1175" s="55" t="str">
        <f aca="false">IF(AV1175&lt;=0,"",IF(BU1175="Aussen","Aussenlager",IF(BU1175="-","Nicht im Lift",IF(BA1175&gt;=1,"Lift",IF(BA1175&lt;=0,"Aussenlager","teilweise")))))</f>
        <v>Lift</v>
      </c>
      <c r="BE1175" s="55" t="str">
        <f aca="false">IF(A1175="","",IF(BN1175=1,"Neu; ","")&amp;IF(AND(BN1175=0,BI1175&lt;0),"negativer Bestand (Export "&amp;BI1175&amp;"); ","")&amp;IF(I1175&lt;=0,"Kein Verbrauch; ","")&amp;IF(CD1175&gt;0,"Lift "&amp;U1175&amp;" lt. Liftbericht (Fach "&amp;V1175&amp;" Stk); ",IF(BR1175=1,"Lose – Fläche geschätzt; ",""))&amp;IF(G1175&gt;AP1175,"Überbestand "&amp;ROUND(G1175-AP1175,0)&amp;" Stk / CHF "&amp;ROUND((G1175-AP1175)*F1175,0)&amp;"; ","")&amp;IF(AND(BW1175=1,BX1175&lt;BY1175),"MAX &lt; MB+LG; ","")&amp;IF(AND(CC1175&gt;0,CB1175*10&gt;CC1175),"zu hoch für Tablar; ","")&amp;IF(AND(BN1175=0,OR(BW1175=1,Y1175&lt;&gt;"",S1175&lt;&gt;"",T1175&lt;&gt;"",Z1175&lt;&gt;"")),"manuell übersteuert; ","")&amp;IF(AND(BR1175=0,Q1175=0),"Gebinde unbekannt / Stellmass fehlt; ","")&amp;IF(AND(BR1175=0,N(T1175)&lt;=0,N(P1175)&lt;=0),"Menge pro Gebinde fehlt (Ist = 1 Gebinde); ","")&amp;BM1175)</f>
        <v>negativer Bestand (Export -8); Lose – Fläche geschätzt; </v>
      </c>
      <c r="BF1175" s="55"/>
      <c r="BG1175" s="55"/>
      <c r="BH1175" s="62"/>
      <c r="BI1175" s="57" t="n">
        <v>-8</v>
      </c>
      <c r="BJ1175" s="57" t="n">
        <v>8</v>
      </c>
      <c r="BK1175" s="56" t="n">
        <v>-369.36</v>
      </c>
      <c r="BL1175" s="57" t="n">
        <v>10</v>
      </c>
      <c r="BM1175" s="55"/>
      <c r="BN1175" s="60" t="n">
        <v>0</v>
      </c>
      <c r="BO1175" s="60" t="n">
        <v>1175</v>
      </c>
      <c r="BP1175" s="55" t="str">
        <f aca="false">IF(S1175&lt;&gt;"",UPPER(TRIM(S1175)),IF(O1175="","LOSE",O1175))</f>
        <v>LOSE</v>
      </c>
      <c r="BQ1175" s="57" t="n">
        <f aca="false">IF(BP1175="LOSE",1,IF(N(T1175)&gt;0,T1175,IF(N(P1175)&gt;0,P1175,MAX(1,G1175))))</f>
        <v>1</v>
      </c>
      <c r="BR1175" s="60" t="n">
        <f aca="false">IF(BP1175="LOSE",1,0)</f>
        <v>1</v>
      </c>
      <c r="BS1175" s="59" t="n">
        <f aca="false">IF(BR1175=0,0,IF(N(R1175)&gt;0,R1175,IFERROR(VLOOKUP(D1175,Parameter!$A$35:$C$64,3,0)+0,0)))</f>
        <v>0.03</v>
      </c>
      <c r="BT1175" s="55" t="n">
        <f aca="false">IF(Y1175&lt;&gt;"",Y1175,X1175)</f>
        <v>2</v>
      </c>
      <c r="BU1175" s="55" t="str">
        <f aca="false">IF(BT1175=1,"L1",IF(OR(BT1175=2,BT1175=3),"L23",IF(BT1175="Aussen","Aussen","-")))</f>
        <v>L23</v>
      </c>
      <c r="BV1175" s="66" t="n">
        <f aca="false">IF(N(Z1175)&gt;0,Z1175,0)</f>
        <v>0</v>
      </c>
      <c r="BW1175" s="60" t="n">
        <f aca="false">IF(ISNUMBER(AC1175),1,0)</f>
        <v>0</v>
      </c>
      <c r="BX1175" s="57" t="n">
        <f aca="false">N(AC1175)</f>
        <v>0</v>
      </c>
      <c r="BY1175" s="57" t="n">
        <f aca="false">N(L1175)+N(M1175)</f>
        <v>10</v>
      </c>
      <c r="BZ1175" s="57" t="n">
        <f aca="false">ROUNDUP(G1175/BQ1175,0)</f>
        <v>0</v>
      </c>
      <c r="CA1175" s="57" t="n">
        <f aca="false">ROUNDUP(BX1175/BQ1175,0)</f>
        <v>0</v>
      </c>
      <c r="CB1175" s="60" t="n">
        <f aca="false">IF(BR1175=1,0,IFERROR(VLOOKUP(BP1175,'Gebinde-Kategorie'!$A$5:$M$45,5,0)+0,0))</f>
        <v>0</v>
      </c>
      <c r="CC1175" s="60" t="n">
        <f aca="false">IFERROR(IF(OR(BT1175=1,BT1175=2,BT1175=3),N(INDEX(Parameter!$I$5:$I$7,BT1175)),0),0)</f>
        <v>0</v>
      </c>
      <c r="CD1175" s="59" t="n">
        <f aca="false">IF(AND(Parameter!$B$21="Ja",ISNUMBER(U1175),N(V1175)&gt;0),IFERROR(N(INDEX(Parameter!$L$5:$L$7,U1175))*INDEX(Parameter!$E$5:$E$7,U1175)*V1175/SUMIFS($V$7:$V$1576,$U$7:$U$1576,U1175),0),0)</f>
        <v>0</v>
      </c>
    </row>
    <row r="1176" customFormat="false" ht="15" hidden="false" customHeight="false" outlineLevel="0" collapsed="false">
      <c r="A1176" s="55" t="s">
        <v>2104</v>
      </c>
      <c r="B1176" s="55" t="s">
        <v>2105</v>
      </c>
      <c r="C1176" s="55" t="s">
        <v>446</v>
      </c>
      <c r="D1176" s="55" t="s">
        <v>178</v>
      </c>
      <c r="E1176" s="55" t="s">
        <v>210</v>
      </c>
      <c r="F1176" s="56" t="n">
        <v>41.2</v>
      </c>
      <c r="G1176" s="57" t="n">
        <f aca="false">MAX(0,IF(AND(Parameter!$B$21="Ja",ISNUMBER(W1176)),W1176,IF(Parameter!$B$20="Jahresanfang 2025 + Export",BJ1176+BI1176,BI1176)))</f>
        <v>0</v>
      </c>
      <c r="H1176" s="57" t="n">
        <f aca="false">G1176*F1176</f>
        <v>0</v>
      </c>
      <c r="I1176" s="57" t="n">
        <f aca="false">BL1176*Parameter!$B$18</f>
        <v>9</v>
      </c>
      <c r="J1176" s="58" t="n">
        <v>9</v>
      </c>
      <c r="K1176" s="59" t="n">
        <v>1</v>
      </c>
      <c r="L1176" s="57" t="n">
        <v>0</v>
      </c>
      <c r="M1176" s="57" t="n">
        <v>10</v>
      </c>
      <c r="N1176" s="60" t="n">
        <v>21</v>
      </c>
      <c r="O1176" s="55" t="s">
        <v>163</v>
      </c>
      <c r="P1176" s="57"/>
      <c r="Q1176" s="60" t="n">
        <f aca="false">IF(BR1176=1,0,IFERROR(VLOOKUP(BP1176,'Gebinde-Kategorie'!$A$5:$M$45,13,0)+0,0))</f>
        <v>0</v>
      </c>
      <c r="R1176" s="61"/>
      <c r="S1176" s="62"/>
      <c r="T1176" s="62"/>
      <c r="U1176" s="55"/>
      <c r="V1176" s="57"/>
      <c r="W1176" s="57"/>
      <c r="X1176" s="55" t="n">
        <f aca="false">IF(A1176="","",IF(AND(Parameter!$B$21="Ja",ISNUMBER(U1176)),U1176,IF(IFERROR(VLOOKUP(D1176,Parameter!$A$35:$C$64,2,0),"Nein")="2+3",IF(ISNUMBER(SEARCH("grosser Artikel",BM1176)),2,IFERROR(VLOOKUP(BP1176,Parameter!$F$35:$G$64,2,0),2)),IF(OR(IFERROR(VLOOKUP(D1176,Parameter!$A$35:$C$64,2,0),"Nein")="Nein",IFERROR(VLOOKUP(D1176,Parameter!$A$35:$C$64,2,0),"Nein")=""),"-",VLOOKUP(D1176,Parameter!$A$35:$C$64,2,0)))))</f>
        <v>2</v>
      </c>
      <c r="Y1176" s="62"/>
      <c r="Z1176" s="63"/>
      <c r="AA1176" s="57" t="n">
        <f aca="false">AP1176</f>
        <v>10</v>
      </c>
      <c r="AB1176" s="57" t="n">
        <f aca="false">MAX(AP1176,G1176)</f>
        <v>10</v>
      </c>
      <c r="AC1176" s="64"/>
      <c r="AD1176" s="57" t="n">
        <f aca="false">IF(LEFT(Cockpit!$C$5,1)="A",G1176,IF(BW1176=1,BX1176,IF(LEFT(Cockpit!$C$5,1)="B",AH1176,MAX(AH1176,G1176))))</f>
        <v>0</v>
      </c>
      <c r="AE1176" s="57" t="n">
        <f aca="false">IF(BR1176=1,0,ROUNDUP(AD1176/BQ1176,0))</f>
        <v>0</v>
      </c>
      <c r="AF1176" s="59" t="n">
        <f aca="false">IF(CD1176&gt;0,CD1176*MAX(1,AD1176/V1176),IF(BR1176=1,IF(AD1176&lt;=0,0,BS1176*MAX(1,IF(G1176&gt;0,AD1176/G1176,1))),IF(Q1176&gt;0,AE1176/Q1176,0))/MAX(0.1,N(Parameter!$M$21)))</f>
        <v>0</v>
      </c>
      <c r="AG1176" s="57" t="n">
        <f aca="false">AD1176*F1176</f>
        <v>0</v>
      </c>
      <c r="AH1176" s="57" t="n">
        <f aca="false">ROUNDUP(MAX(I1176/IF(BV1176&gt;0,BV1176,MAX(0.1,N(Cockpit!$C$6))),BY1176)/BQ1176,0)*BQ1176</f>
        <v>10</v>
      </c>
      <c r="AI1176" s="58" t="n">
        <f aca="false">IF(AF1176&gt;0,I1176/AF1176,-1)</f>
        <v>-1</v>
      </c>
      <c r="AJ1176" s="58" t="str">
        <f aca="false">IF(AND(OR(BU1176="L1",BU1176="L23"),AF1176&gt;0),SUMIFS($AF$7:$AF$1576,$BU$7:$BU$1576,BU1176,$AI$7:$AI$1576,"&gt;"&amp;AI1176)+SUMIFS($AF$7:$AF$1576,$BU$7:$BU$1576,BU1176,$AI$7:$AI$1576,AI1176,$BO$7:$BO$1576,"&lt;="&amp;BO1176),"")</f>
        <v/>
      </c>
      <c r="AK1176" s="65" t="n">
        <f aca="false">IF(AJ1176="",0,MAX(0,MIN(1,(IF(BU1176="L1",Parameter!$E$5,Parameter!$E$6+Parameter!$E$7)-(AJ1176-AF1176))/AF1176)))</f>
        <v>0</v>
      </c>
      <c r="AL1176" s="57" t="n">
        <f aca="false">IF(LEFT(Cockpit!$I$5,1)="A",G1176,IF(BW1176=1,BX1176,IF(LEFT(Cockpit!$I$5,1)="B",AP1176,MAX(AP1176,G1176))))</f>
        <v>10</v>
      </c>
      <c r="AM1176" s="57" t="n">
        <f aca="false">IF(BR1176=1,0,ROUNDUP(AL1176/BQ1176,0))</f>
        <v>0</v>
      </c>
      <c r="AN1176" s="59" t="n">
        <f aca="false">IF(CD1176&gt;0,CD1176*MAX(1,AL1176/V1176),IF(BR1176=1,IF(AL1176&lt;=0,0,BS1176*MAX(1,IF(G1176&gt;0,AL1176/G1176,1))),IF(Q1176&gt;0,AM1176/Q1176,0))/MAX(0.1,N(Parameter!$M$21)))</f>
        <v>0.03</v>
      </c>
      <c r="AO1176" s="57" t="n">
        <f aca="false">AL1176*F1176</f>
        <v>412</v>
      </c>
      <c r="AP1176" s="57" t="n">
        <f aca="false">ROUNDUP(MAX(I1176/IF(BV1176&gt;0,BV1176,MAX(0.1,N(Cockpit!$I$6))),BY1176)/BQ1176,0)*BQ1176</f>
        <v>10</v>
      </c>
      <c r="AQ1176" s="58" t="n">
        <f aca="false">IF(AN1176&gt;0,I1176/AN1176,-1)</f>
        <v>300</v>
      </c>
      <c r="AR1176" s="58" t="n">
        <f aca="false">IF(AND(OR(BU1176="L1",BU1176="L23"),AN1176&gt;0),SUMIFS($AN$7:$AN$1576,$BU$7:$BU$1576,BU1176,$AQ$7:$AQ$1576,"&gt;"&amp;AQ1176)+SUMIFS($AN$7:$AN$1576,$BU$7:$BU$1576,BU1176,$AQ$7:$AQ$1576,AQ1176,$BO$7:$BO$1576,"&lt;="&amp;BO1176),"")</f>
        <v>43.8439990568363</v>
      </c>
      <c r="AS1176" s="65" t="n">
        <f aca="false">IF(AR1176="",0,MAX(0,MIN(1,(IF(BU1176="L1",Parameter!$E$5,Parameter!$E$6+Parameter!$E$7)-(AR1176-AN1176))/AN1176)))</f>
        <v>1</v>
      </c>
      <c r="AT1176" s="57" t="n">
        <f aca="false">IF(LEFT(Cockpit!$O$5,1)="A",G1176,IF(BW1176=1,BX1176,IF(LEFT(Cockpit!$O$5,1)="B",AX1176,MAX(AX1176,G1176))))</f>
        <v>10</v>
      </c>
      <c r="AU1176" s="57" t="n">
        <f aca="false">IF(BR1176=1,0,ROUNDUP(AT1176/BQ1176,0))</f>
        <v>0</v>
      </c>
      <c r="AV1176" s="59" t="n">
        <f aca="false">IF(CD1176&gt;0,CD1176*MAX(1,AT1176/V1176),IF(BR1176=1,IF(AT1176&lt;=0,0,BS1176*MAX(1,IF(G1176&gt;0,AT1176/G1176,1))),IF(Q1176&gt;0,AU1176/Q1176,0))/MAX(0.1,N(Parameter!$M$21)))</f>
        <v>0.03</v>
      </c>
      <c r="AW1176" s="57" t="n">
        <f aca="false">AT1176*F1176</f>
        <v>412</v>
      </c>
      <c r="AX1176" s="57" t="n">
        <f aca="false">ROUNDUP(MAX(I1176/IF(BV1176&gt;0,BV1176,MAX(0.1,N(Cockpit!$O$6))),BY1176)/BQ1176,0)*BQ1176</f>
        <v>10</v>
      </c>
      <c r="AY1176" s="58" t="n">
        <f aca="false">IF(AV1176&gt;0,I1176/AV1176,-1)</f>
        <v>300</v>
      </c>
      <c r="AZ1176" s="58" t="n">
        <f aca="false">IF(AND(OR(BU1176="L1",BU1176="L23"),AV1176&gt;0),SUMIFS($AV$7:$AV$1576,$BU$7:$BU$1576,BU1176,$AY$7:$AY$1576,"&gt;"&amp;AY1176)+SUMIFS($AV$7:$AV$1576,$BU$7:$BU$1576,BU1176,$AY$7:$AY$1576,AY1176,$BO$7:$BO$1576,"&lt;="&amp;BO1176),"")</f>
        <v>40.1220776449149</v>
      </c>
      <c r="BA1176" s="65" t="n">
        <f aca="false">IF(AZ1176="",0,MAX(0,MIN(1,(IF(BU1176="L1",Parameter!$E$5,Parameter!$E$6+Parameter!$E$7)-(AZ1176-AV1176))/AV1176)))</f>
        <v>1</v>
      </c>
      <c r="BB1176" s="55" t="str">
        <f aca="false">IF(AF1176&lt;=0,"",IF(BU1176="Aussen","Aussenlager",IF(BU1176="-","Nicht im Lift",IF(AK1176&gt;=1,"Lift",IF(AK1176&lt;=0,"Aussenlager","teilweise")))))</f>
        <v/>
      </c>
      <c r="BC1176" s="55" t="str">
        <f aca="false">IF(AN1176&lt;=0,"",IF(BU1176="Aussen","Aussenlager",IF(BU1176="-","Nicht im Lift",IF(AS1176&gt;=1,"Lift",IF(AS1176&lt;=0,"Aussenlager","teilweise")))))</f>
        <v>Lift</v>
      </c>
      <c r="BD1176" s="55" t="str">
        <f aca="false">IF(AV1176&lt;=0,"",IF(BU1176="Aussen","Aussenlager",IF(BU1176="-","Nicht im Lift",IF(BA1176&gt;=1,"Lift",IF(BA1176&lt;=0,"Aussenlager","teilweise")))))</f>
        <v>Lift</v>
      </c>
      <c r="BE1176" s="55" t="str">
        <f aca="false">IF(A1176="","",IF(BN1176=1,"Neu; ","")&amp;IF(AND(BN1176=0,BI1176&lt;0),"negativer Bestand (Export "&amp;BI1176&amp;"); ","")&amp;IF(I1176&lt;=0,"Kein Verbrauch; ","")&amp;IF(CD1176&gt;0,"Lift "&amp;U1176&amp;" lt. Liftbericht (Fach "&amp;V1176&amp;" Stk); ",IF(BR1176=1,"Lose – Fläche geschätzt; ",""))&amp;IF(G1176&gt;AP1176,"Überbestand "&amp;ROUND(G1176-AP1176,0)&amp;" Stk / CHF "&amp;ROUND((G1176-AP1176)*F1176,0)&amp;"; ","")&amp;IF(AND(BW1176=1,BX1176&lt;BY1176),"MAX &lt; MB+LG; ","")&amp;IF(AND(CC1176&gt;0,CB1176*10&gt;CC1176),"zu hoch für Tablar; ","")&amp;IF(AND(BN1176=0,OR(BW1176=1,Y1176&lt;&gt;"",S1176&lt;&gt;"",T1176&lt;&gt;"",Z1176&lt;&gt;"")),"manuell übersteuert; ","")&amp;IF(AND(BR1176=0,Q1176=0),"Gebinde unbekannt / Stellmass fehlt; ","")&amp;IF(AND(BR1176=0,N(T1176)&lt;=0,N(P1176)&lt;=0),"Menge pro Gebinde fehlt (Ist = 1 Gebinde); ","")&amp;BM1176)</f>
        <v>negativer Bestand (Export -9); Lose – Fläche geschätzt; </v>
      </c>
      <c r="BF1176" s="55"/>
      <c r="BG1176" s="55"/>
      <c r="BH1176" s="62"/>
      <c r="BI1176" s="57" t="n">
        <v>-9</v>
      </c>
      <c r="BJ1176" s="57" t="n">
        <v>18</v>
      </c>
      <c r="BK1176" s="56" t="n">
        <v>-370.8</v>
      </c>
      <c r="BL1176" s="57" t="n">
        <v>9</v>
      </c>
      <c r="BM1176" s="55"/>
      <c r="BN1176" s="60" t="n">
        <v>0</v>
      </c>
      <c r="BO1176" s="60" t="n">
        <v>1176</v>
      </c>
      <c r="BP1176" s="55" t="str">
        <f aca="false">IF(S1176&lt;&gt;"",UPPER(TRIM(S1176)),IF(O1176="","LOSE",O1176))</f>
        <v>LOSE</v>
      </c>
      <c r="BQ1176" s="57" t="n">
        <f aca="false">IF(BP1176="LOSE",1,IF(N(T1176)&gt;0,T1176,IF(N(P1176)&gt;0,P1176,MAX(1,G1176))))</f>
        <v>1</v>
      </c>
      <c r="BR1176" s="60" t="n">
        <f aca="false">IF(BP1176="LOSE",1,0)</f>
        <v>1</v>
      </c>
      <c r="BS1176" s="59" t="n">
        <f aca="false">IF(BR1176=0,0,IF(N(R1176)&gt;0,R1176,IFERROR(VLOOKUP(D1176,Parameter!$A$35:$C$64,3,0)+0,0)))</f>
        <v>0.03</v>
      </c>
      <c r="BT1176" s="55" t="n">
        <f aca="false">IF(Y1176&lt;&gt;"",Y1176,X1176)</f>
        <v>2</v>
      </c>
      <c r="BU1176" s="55" t="str">
        <f aca="false">IF(BT1176=1,"L1",IF(OR(BT1176=2,BT1176=3),"L23",IF(BT1176="Aussen","Aussen","-")))</f>
        <v>L23</v>
      </c>
      <c r="BV1176" s="66" t="n">
        <f aca="false">IF(N(Z1176)&gt;0,Z1176,0)</f>
        <v>0</v>
      </c>
      <c r="BW1176" s="60" t="n">
        <f aca="false">IF(ISNUMBER(AC1176),1,0)</f>
        <v>0</v>
      </c>
      <c r="BX1176" s="57" t="n">
        <f aca="false">N(AC1176)</f>
        <v>0</v>
      </c>
      <c r="BY1176" s="57" t="n">
        <f aca="false">N(L1176)+N(M1176)</f>
        <v>10</v>
      </c>
      <c r="BZ1176" s="57" t="n">
        <f aca="false">ROUNDUP(G1176/BQ1176,0)</f>
        <v>0</v>
      </c>
      <c r="CA1176" s="57" t="n">
        <f aca="false">ROUNDUP(BX1176/BQ1176,0)</f>
        <v>0</v>
      </c>
      <c r="CB1176" s="60" t="n">
        <f aca="false">IF(BR1176=1,0,IFERROR(VLOOKUP(BP1176,'Gebinde-Kategorie'!$A$5:$M$45,5,0)+0,0))</f>
        <v>0</v>
      </c>
      <c r="CC1176" s="60" t="n">
        <f aca="false">IFERROR(IF(OR(BT1176=1,BT1176=2,BT1176=3),N(INDEX(Parameter!$I$5:$I$7,BT1176)),0),0)</f>
        <v>0</v>
      </c>
      <c r="CD1176" s="59" t="n">
        <f aca="false">IF(AND(Parameter!$B$21="Ja",ISNUMBER(U1176),N(V1176)&gt;0),IFERROR(N(INDEX(Parameter!$L$5:$L$7,U1176))*INDEX(Parameter!$E$5:$E$7,U1176)*V1176/SUMIFS($V$7:$V$1576,$U$7:$U$1576,U1176),0),0)</f>
        <v>0</v>
      </c>
    </row>
    <row r="1177" customFormat="false" ht="15" hidden="false" customHeight="false" outlineLevel="0" collapsed="false">
      <c r="A1177" s="55" t="s">
        <v>2106</v>
      </c>
      <c r="B1177" s="55" t="s">
        <v>2107</v>
      </c>
      <c r="C1177" s="55" t="s">
        <v>160</v>
      </c>
      <c r="D1177" s="55" t="s">
        <v>178</v>
      </c>
      <c r="E1177" s="55" t="s">
        <v>210</v>
      </c>
      <c r="F1177" s="56" t="n">
        <v>6.09</v>
      </c>
      <c r="G1177" s="57" t="n">
        <f aca="false">MAX(0,IF(AND(Parameter!$B$21="Ja",ISNUMBER(W1177)),W1177,IF(Parameter!$B$20="Jahresanfang 2025 + Export",BJ1177+BI1177,BI1177)))</f>
        <v>0</v>
      </c>
      <c r="H1177" s="57" t="n">
        <f aca="false">G1177*F1177</f>
        <v>0</v>
      </c>
      <c r="I1177" s="57" t="n">
        <f aca="false">BL1177*Parameter!$B$18</f>
        <v>16</v>
      </c>
      <c r="J1177" s="58" t="n">
        <v>163</v>
      </c>
      <c r="K1177" s="59" t="n">
        <v>0.098159509202454</v>
      </c>
      <c r="L1177" s="57" t="n">
        <v>1</v>
      </c>
      <c r="M1177" s="57" t="n">
        <v>15</v>
      </c>
      <c r="N1177" s="60" t="n">
        <v>28</v>
      </c>
      <c r="O1177" s="55" t="s">
        <v>411</v>
      </c>
      <c r="P1177" s="57" t="n">
        <v>104</v>
      </c>
      <c r="Q1177" s="60" t="n">
        <f aca="false">IF(BR1177=1,0,IFERROR(VLOOKUP(BP1177,'Gebinde-Kategorie'!$A$5:$M$45,13,0)+0,0))</f>
        <v>132</v>
      </c>
      <c r="R1177" s="61"/>
      <c r="S1177" s="62"/>
      <c r="T1177" s="62"/>
      <c r="U1177" s="55"/>
      <c r="V1177" s="57"/>
      <c r="W1177" s="57"/>
      <c r="X1177" s="55" t="n">
        <f aca="false">IF(A1177="","",IF(AND(Parameter!$B$21="Ja",ISNUMBER(U1177)),U1177,IF(IFERROR(VLOOKUP(D1177,Parameter!$A$35:$C$64,2,0),"Nein")="2+3",IF(ISNUMBER(SEARCH("grosser Artikel",BM1177)),2,IFERROR(VLOOKUP(BP1177,Parameter!$F$35:$G$64,2,0),2)),IF(OR(IFERROR(VLOOKUP(D1177,Parameter!$A$35:$C$64,2,0),"Nein")="Nein",IFERROR(VLOOKUP(D1177,Parameter!$A$35:$C$64,2,0),"Nein")=""),"-",VLOOKUP(D1177,Parameter!$A$35:$C$64,2,0)))))</f>
        <v>3</v>
      </c>
      <c r="Y1177" s="62"/>
      <c r="Z1177" s="63"/>
      <c r="AA1177" s="57" t="n">
        <f aca="false">AP1177</f>
        <v>104</v>
      </c>
      <c r="AB1177" s="57" t="n">
        <f aca="false">MAX(AP1177,G1177)</f>
        <v>104</v>
      </c>
      <c r="AC1177" s="64"/>
      <c r="AD1177" s="57" t="n">
        <f aca="false">IF(LEFT(Cockpit!$C$5,1)="A",G1177,IF(BW1177=1,BX1177,IF(LEFT(Cockpit!$C$5,1)="B",AH1177,MAX(AH1177,G1177))))</f>
        <v>0</v>
      </c>
      <c r="AE1177" s="57" t="n">
        <f aca="false">IF(BR1177=1,0,ROUNDUP(AD1177/BQ1177,0))</f>
        <v>0</v>
      </c>
      <c r="AF1177" s="59" t="n">
        <f aca="false">IF(CD1177&gt;0,CD1177*MAX(1,AD1177/V1177),IF(BR1177=1,IF(AD1177&lt;=0,0,BS1177*MAX(1,IF(G1177&gt;0,AD1177/G1177,1))),IF(Q1177&gt;0,AE1177/Q1177,0))/MAX(0.1,N(Parameter!$M$21)))</f>
        <v>0</v>
      </c>
      <c r="AG1177" s="57" t="n">
        <f aca="false">AD1177*F1177</f>
        <v>0</v>
      </c>
      <c r="AH1177" s="57" t="n">
        <f aca="false">ROUNDUP(MAX(I1177/IF(BV1177&gt;0,BV1177,MAX(0.1,N(Cockpit!$C$6))),BY1177)/BQ1177,0)*BQ1177</f>
        <v>104</v>
      </c>
      <c r="AI1177" s="58" t="n">
        <f aca="false">IF(AF1177&gt;0,I1177/AF1177,-1)</f>
        <v>-1</v>
      </c>
      <c r="AJ1177" s="58" t="str">
        <f aca="false">IF(AND(OR(BU1177="L1",BU1177="L23"),AF1177&gt;0),SUMIFS($AF$7:$AF$1576,$BU$7:$BU$1576,BU1177,$AI$7:$AI$1576,"&gt;"&amp;AI1177)+SUMIFS($AF$7:$AF$1576,$BU$7:$BU$1576,BU1177,$AI$7:$AI$1576,AI1177,$BO$7:$BO$1576,"&lt;="&amp;BO1177),"")</f>
        <v/>
      </c>
      <c r="AK1177" s="65" t="n">
        <f aca="false">IF(AJ1177="",0,MAX(0,MIN(1,(IF(BU1177="L1",Parameter!$E$5,Parameter!$E$6+Parameter!$E$7)-(AJ1177-AF1177))/AF1177)))</f>
        <v>0</v>
      </c>
      <c r="AL1177" s="57" t="n">
        <f aca="false">IF(LEFT(Cockpit!$I$5,1)="A",G1177,IF(BW1177=1,BX1177,IF(LEFT(Cockpit!$I$5,1)="B",AP1177,MAX(AP1177,G1177))))</f>
        <v>104</v>
      </c>
      <c r="AM1177" s="57" t="n">
        <f aca="false">IF(BR1177=1,0,ROUNDUP(AL1177/BQ1177,0))</f>
        <v>1</v>
      </c>
      <c r="AN1177" s="59" t="n">
        <f aca="false">IF(CD1177&gt;0,CD1177*MAX(1,AL1177/V1177),IF(BR1177=1,IF(AL1177&lt;=0,0,BS1177*MAX(1,IF(G1177&gt;0,AL1177/G1177,1))),IF(Q1177&gt;0,AM1177/Q1177,0))/MAX(0.1,N(Parameter!$M$21)))</f>
        <v>0.00757575757575758</v>
      </c>
      <c r="AO1177" s="57" t="n">
        <f aca="false">AL1177*F1177</f>
        <v>633.36</v>
      </c>
      <c r="AP1177" s="57" t="n">
        <f aca="false">ROUNDUP(MAX(I1177/IF(BV1177&gt;0,BV1177,MAX(0.1,N(Cockpit!$I$6))),BY1177)/BQ1177,0)*BQ1177</f>
        <v>104</v>
      </c>
      <c r="AQ1177" s="58" t="n">
        <f aca="false">IF(AN1177&gt;0,I1177/AN1177,-1)</f>
        <v>2112</v>
      </c>
      <c r="AR1177" s="58" t="n">
        <f aca="false">IF(AND(OR(BU1177="L1",BU1177="L23"),AN1177&gt;0),SUMIFS($AN$7:$AN$1576,$BU$7:$BU$1576,BU1177,$AQ$7:$AQ$1576,"&gt;"&amp;AQ1177)+SUMIFS($AN$7:$AN$1576,$BU$7:$BU$1576,BU1177,$AQ$7:$AQ$1576,AQ1177,$BO$7:$BO$1576,"&lt;="&amp;BO1177),"")</f>
        <v>16.9610810087009</v>
      </c>
      <c r="AS1177" s="65" t="n">
        <f aca="false">IF(AR1177="",0,MAX(0,MIN(1,(IF(BU1177="L1",Parameter!$E$5,Parameter!$E$6+Parameter!$E$7)-(AR1177-AN1177))/AN1177)))</f>
        <v>1</v>
      </c>
      <c r="AT1177" s="57" t="n">
        <f aca="false">IF(LEFT(Cockpit!$O$5,1)="A",G1177,IF(BW1177=1,BX1177,IF(LEFT(Cockpit!$O$5,1)="B",AX1177,MAX(AX1177,G1177))))</f>
        <v>104</v>
      </c>
      <c r="AU1177" s="57" t="n">
        <f aca="false">IF(BR1177=1,0,ROUNDUP(AT1177/BQ1177,0))</f>
        <v>1</v>
      </c>
      <c r="AV1177" s="59" t="n">
        <f aca="false">IF(CD1177&gt;0,CD1177*MAX(1,AT1177/V1177),IF(BR1177=1,IF(AT1177&lt;=0,0,BS1177*MAX(1,IF(G1177&gt;0,AT1177/G1177,1))),IF(Q1177&gt;0,AU1177/Q1177,0))/MAX(0.1,N(Parameter!$M$21)))</f>
        <v>0.00757575757575758</v>
      </c>
      <c r="AW1177" s="57" t="n">
        <f aca="false">AT1177*F1177</f>
        <v>633.36</v>
      </c>
      <c r="AX1177" s="57" t="n">
        <f aca="false">ROUNDUP(MAX(I1177/IF(BV1177&gt;0,BV1177,MAX(0.1,N(Cockpit!$O$6))),BY1177)/BQ1177,0)*BQ1177</f>
        <v>104</v>
      </c>
      <c r="AY1177" s="58" t="n">
        <f aca="false">IF(AV1177&gt;0,I1177/AV1177,-1)</f>
        <v>2112</v>
      </c>
      <c r="AZ1177" s="58" t="n">
        <f aca="false">IF(AND(OR(BU1177="L1",BU1177="L23"),AV1177&gt;0),SUMIFS($AV$7:$AV$1576,$BU$7:$BU$1576,BU1177,$AY$7:$AY$1576,"&gt;"&amp;AY1177)+SUMIFS($AV$7:$AV$1576,$BU$7:$BU$1576,BU1177,$AY$7:$AY$1576,AY1177,$BO$7:$BO$1576,"&lt;="&amp;BO1177),"")</f>
        <v>15.6498921975121</v>
      </c>
      <c r="BA1177" s="65" t="n">
        <f aca="false">IF(AZ1177="",0,MAX(0,MIN(1,(IF(BU1177="L1",Parameter!$E$5,Parameter!$E$6+Parameter!$E$7)-(AZ1177-AV1177))/AV1177)))</f>
        <v>1</v>
      </c>
      <c r="BB1177" s="55" t="str">
        <f aca="false">IF(AF1177&lt;=0,"",IF(BU1177="Aussen","Aussenlager",IF(BU1177="-","Nicht im Lift",IF(AK1177&gt;=1,"Lift",IF(AK1177&lt;=0,"Aussenlager","teilweise")))))</f>
        <v/>
      </c>
      <c r="BC1177" s="55" t="str">
        <f aca="false">IF(AN1177&lt;=0,"",IF(BU1177="Aussen","Aussenlager",IF(BU1177="-","Nicht im Lift",IF(AS1177&gt;=1,"Lift",IF(AS1177&lt;=0,"Aussenlager","teilweise")))))</f>
        <v>Lift</v>
      </c>
      <c r="BD1177" s="55" t="str">
        <f aca="false">IF(AV1177&lt;=0,"",IF(BU1177="Aussen","Aussenlager",IF(BU1177="-","Nicht im Lift",IF(BA1177&gt;=1,"Lift",IF(BA1177&lt;=0,"Aussenlager","teilweise")))))</f>
        <v>Lift</v>
      </c>
      <c r="BE1177" s="55" t="str">
        <f aca="false">IF(A1177="","",IF(BN1177=1,"Neu; ","")&amp;IF(AND(BN1177=0,BI1177&lt;0),"negativer Bestand (Export "&amp;BI1177&amp;"); ","")&amp;IF(I1177&lt;=0,"Kein Verbrauch; ","")&amp;IF(CD1177&gt;0,"Lift "&amp;U1177&amp;" lt. Liftbericht (Fach "&amp;V1177&amp;" Stk); ",IF(BR1177=1,"Lose – Fläche geschätzt; ",""))&amp;IF(G1177&gt;AP1177,"Überbestand "&amp;ROUND(G1177-AP1177,0)&amp;" Stk / CHF "&amp;ROUND((G1177-AP1177)*F1177,0)&amp;"; ","")&amp;IF(AND(BW1177=1,BX1177&lt;BY1177),"MAX &lt; MB+LG; ","")&amp;IF(AND(CC1177&gt;0,CB1177*10&gt;CC1177),"zu hoch für Tablar; ","")&amp;IF(AND(BN1177=0,OR(BW1177=1,Y1177&lt;&gt;"",S1177&lt;&gt;"",T1177&lt;&gt;"",Z1177&lt;&gt;"")),"manuell übersteuert; ","")&amp;IF(AND(BR1177=0,Q1177=0),"Gebinde unbekannt / Stellmass fehlt; ","")&amp;IF(AND(BR1177=0,N(T1177)&lt;=0,N(P1177)&lt;=0),"Menge pro Gebinde fehlt (Ist = 1 Gebinde); ","")&amp;BM1177)</f>
        <v>negativer Bestand (Export -61); </v>
      </c>
      <c r="BF1177" s="55"/>
      <c r="BG1177" s="55"/>
      <c r="BH1177" s="62"/>
      <c r="BI1177" s="57" t="n">
        <v>-61</v>
      </c>
      <c r="BJ1177" s="57" t="n">
        <v>167</v>
      </c>
      <c r="BK1177" s="56" t="n">
        <v>-371.49</v>
      </c>
      <c r="BL1177" s="57" t="n">
        <v>16</v>
      </c>
      <c r="BM1177" s="55"/>
      <c r="BN1177" s="60" t="n">
        <v>0</v>
      </c>
      <c r="BO1177" s="60" t="n">
        <v>1177</v>
      </c>
      <c r="BP1177" s="55" t="str">
        <f aca="false">IF(S1177&lt;&gt;"",UPPER(TRIM(S1177)),IF(O1177="","LOSE",O1177))</f>
        <v>S32</v>
      </c>
      <c r="BQ1177" s="57" t="n">
        <f aca="false">IF(BP1177="LOSE",1,IF(N(T1177)&gt;0,T1177,IF(N(P1177)&gt;0,P1177,MAX(1,G1177))))</f>
        <v>104</v>
      </c>
      <c r="BR1177" s="60" t="n">
        <f aca="false">IF(BP1177="LOSE",1,0)</f>
        <v>0</v>
      </c>
      <c r="BS1177" s="59" t="n">
        <f aca="false">IF(BR1177=0,0,IF(N(R1177)&gt;0,R1177,IFERROR(VLOOKUP(D1177,Parameter!$A$35:$C$64,3,0)+0,0)))</f>
        <v>0</v>
      </c>
      <c r="BT1177" s="55" t="n">
        <f aca="false">IF(Y1177&lt;&gt;"",Y1177,X1177)</f>
        <v>3</v>
      </c>
      <c r="BU1177" s="55" t="str">
        <f aca="false">IF(BT1177=1,"L1",IF(OR(BT1177=2,BT1177=3),"L23",IF(BT1177="Aussen","Aussen","-")))</f>
        <v>L23</v>
      </c>
      <c r="BV1177" s="66" t="n">
        <f aca="false">IF(N(Z1177)&gt;0,Z1177,0)</f>
        <v>0</v>
      </c>
      <c r="BW1177" s="60" t="n">
        <f aca="false">IF(ISNUMBER(AC1177),1,0)</f>
        <v>0</v>
      </c>
      <c r="BX1177" s="57" t="n">
        <f aca="false">N(AC1177)</f>
        <v>0</v>
      </c>
      <c r="BY1177" s="57" t="n">
        <f aca="false">N(L1177)+N(M1177)</f>
        <v>16</v>
      </c>
      <c r="BZ1177" s="57" t="n">
        <f aca="false">ROUNDUP(G1177/BQ1177,0)</f>
        <v>0</v>
      </c>
      <c r="CA1177" s="57" t="n">
        <f aca="false">ROUNDUP(BX1177/BQ1177,0)</f>
        <v>0</v>
      </c>
      <c r="CB1177" s="60" t="n">
        <f aca="false">IF(BR1177=1,0,IFERROR(VLOOKUP(BP1177,'Gebinde-Kategorie'!$A$5:$M$45,5,0)+0,0))</f>
        <v>8</v>
      </c>
      <c r="CC1177" s="60" t="n">
        <f aca="false">IFERROR(IF(OR(BT1177=1,BT1177=2,BT1177=3),N(INDEX(Parameter!$I$5:$I$7,BT1177)),0),0)</f>
        <v>0</v>
      </c>
      <c r="CD1177" s="59" t="n">
        <f aca="false">IF(AND(Parameter!$B$21="Ja",ISNUMBER(U1177),N(V1177)&gt;0),IFERROR(N(INDEX(Parameter!$L$5:$L$7,U1177))*INDEX(Parameter!$E$5:$E$7,U1177)*V1177/SUMIFS($V$7:$V$1576,$U$7:$U$1576,U1177),0),0)</f>
        <v>0</v>
      </c>
    </row>
    <row r="1178" customFormat="false" ht="15" hidden="false" customHeight="false" outlineLevel="0" collapsed="false">
      <c r="A1178" s="55" t="s">
        <v>2108</v>
      </c>
      <c r="B1178" s="55" t="s">
        <v>2109</v>
      </c>
      <c r="C1178" s="55" t="s">
        <v>160</v>
      </c>
      <c r="D1178" s="55" t="s">
        <v>178</v>
      </c>
      <c r="E1178" s="55" t="s">
        <v>210</v>
      </c>
      <c r="F1178" s="56" t="n">
        <v>371.82</v>
      </c>
      <c r="G1178" s="57" t="n">
        <f aca="false">MAX(0,IF(AND(Parameter!$B$21="Ja",ISNUMBER(W1178)),W1178,IF(Parameter!$B$20="Jahresanfang 2025 + Export",BJ1178+BI1178,BI1178)))</f>
        <v>0</v>
      </c>
      <c r="H1178" s="57" t="n">
        <f aca="false">G1178*F1178</f>
        <v>0</v>
      </c>
      <c r="I1178" s="57" t="n">
        <f aca="false">BL1178*Parameter!$B$18</f>
        <v>1</v>
      </c>
      <c r="J1178" s="58" t="n">
        <v>1.5</v>
      </c>
      <c r="K1178" s="59" t="n">
        <v>0.666666666666667</v>
      </c>
      <c r="L1178" s="57" t="n">
        <v>0</v>
      </c>
      <c r="M1178" s="57" t="n">
        <v>1</v>
      </c>
      <c r="N1178" s="60" t="n">
        <v>21</v>
      </c>
      <c r="O1178" s="55" t="s">
        <v>411</v>
      </c>
      <c r="P1178" s="57" t="n">
        <v>1</v>
      </c>
      <c r="Q1178" s="60" t="n">
        <f aca="false">IF(BR1178=1,0,IFERROR(VLOOKUP(BP1178,'Gebinde-Kategorie'!$A$5:$M$45,13,0)+0,0))</f>
        <v>132</v>
      </c>
      <c r="R1178" s="61"/>
      <c r="S1178" s="62"/>
      <c r="T1178" s="62"/>
      <c r="U1178" s="55"/>
      <c r="V1178" s="57"/>
      <c r="W1178" s="57"/>
      <c r="X1178" s="55" t="n">
        <f aca="false">IF(A1178="","",IF(AND(Parameter!$B$21="Ja",ISNUMBER(U1178)),U1178,IF(IFERROR(VLOOKUP(D1178,Parameter!$A$35:$C$64,2,0),"Nein")="2+3",IF(ISNUMBER(SEARCH("grosser Artikel",BM1178)),2,IFERROR(VLOOKUP(BP1178,Parameter!$F$35:$G$64,2,0),2)),IF(OR(IFERROR(VLOOKUP(D1178,Parameter!$A$35:$C$64,2,0),"Nein")="Nein",IFERROR(VLOOKUP(D1178,Parameter!$A$35:$C$64,2,0),"Nein")=""),"-",VLOOKUP(D1178,Parameter!$A$35:$C$64,2,0)))))</f>
        <v>3</v>
      </c>
      <c r="Y1178" s="62"/>
      <c r="Z1178" s="63"/>
      <c r="AA1178" s="57" t="n">
        <f aca="false">AP1178</f>
        <v>1</v>
      </c>
      <c r="AB1178" s="57" t="n">
        <f aca="false">MAX(AP1178,G1178)</f>
        <v>1</v>
      </c>
      <c r="AC1178" s="64"/>
      <c r="AD1178" s="57" t="n">
        <f aca="false">IF(LEFT(Cockpit!$C$5,1)="A",G1178,IF(BW1178=1,BX1178,IF(LEFT(Cockpit!$C$5,1)="B",AH1178,MAX(AH1178,G1178))))</f>
        <v>0</v>
      </c>
      <c r="AE1178" s="57" t="n">
        <f aca="false">IF(BR1178=1,0,ROUNDUP(AD1178/BQ1178,0))</f>
        <v>0</v>
      </c>
      <c r="AF1178" s="59" t="n">
        <f aca="false">IF(CD1178&gt;0,CD1178*MAX(1,AD1178/V1178),IF(BR1178=1,IF(AD1178&lt;=0,0,BS1178*MAX(1,IF(G1178&gt;0,AD1178/G1178,1))),IF(Q1178&gt;0,AE1178/Q1178,0))/MAX(0.1,N(Parameter!$M$21)))</f>
        <v>0</v>
      </c>
      <c r="AG1178" s="57" t="n">
        <f aca="false">AD1178*F1178</f>
        <v>0</v>
      </c>
      <c r="AH1178" s="57" t="n">
        <f aca="false">ROUNDUP(MAX(I1178/IF(BV1178&gt;0,BV1178,MAX(0.1,N(Cockpit!$C$6))),BY1178)/BQ1178,0)*BQ1178</f>
        <v>1</v>
      </c>
      <c r="AI1178" s="58" t="n">
        <f aca="false">IF(AF1178&gt;0,I1178/AF1178,-1)</f>
        <v>-1</v>
      </c>
      <c r="AJ1178" s="58" t="str">
        <f aca="false">IF(AND(OR(BU1178="L1",BU1178="L23"),AF1178&gt;0),SUMIFS($AF$7:$AF$1576,$BU$7:$BU$1576,BU1178,$AI$7:$AI$1576,"&gt;"&amp;AI1178)+SUMIFS($AF$7:$AF$1576,$BU$7:$BU$1576,BU1178,$AI$7:$AI$1576,AI1178,$BO$7:$BO$1576,"&lt;="&amp;BO1178),"")</f>
        <v/>
      </c>
      <c r="AK1178" s="65" t="n">
        <f aca="false">IF(AJ1178="",0,MAX(0,MIN(1,(IF(BU1178="L1",Parameter!$E$5,Parameter!$E$6+Parameter!$E$7)-(AJ1178-AF1178))/AF1178)))</f>
        <v>0</v>
      </c>
      <c r="AL1178" s="57" t="n">
        <f aca="false">IF(LEFT(Cockpit!$I$5,1)="A",G1178,IF(BW1178=1,BX1178,IF(LEFT(Cockpit!$I$5,1)="B",AP1178,MAX(AP1178,G1178))))</f>
        <v>1</v>
      </c>
      <c r="AM1178" s="57" t="n">
        <f aca="false">IF(BR1178=1,0,ROUNDUP(AL1178/BQ1178,0))</f>
        <v>1</v>
      </c>
      <c r="AN1178" s="59" t="n">
        <f aca="false">IF(CD1178&gt;0,CD1178*MAX(1,AL1178/V1178),IF(BR1178=1,IF(AL1178&lt;=0,0,BS1178*MAX(1,IF(G1178&gt;0,AL1178/G1178,1))),IF(Q1178&gt;0,AM1178/Q1178,0))/MAX(0.1,N(Parameter!$M$21)))</f>
        <v>0.00757575757575758</v>
      </c>
      <c r="AO1178" s="57" t="n">
        <f aca="false">AL1178*F1178</f>
        <v>371.82</v>
      </c>
      <c r="AP1178" s="57" t="n">
        <f aca="false">ROUNDUP(MAX(I1178/IF(BV1178&gt;0,BV1178,MAX(0.1,N(Cockpit!$I$6))),BY1178)/BQ1178,0)*BQ1178</f>
        <v>1</v>
      </c>
      <c r="AQ1178" s="58" t="n">
        <f aca="false">IF(AN1178&gt;0,I1178/AN1178,-1)</f>
        <v>132</v>
      </c>
      <c r="AR1178" s="58" t="n">
        <f aca="false">IF(AND(OR(BU1178="L1",BU1178="L23"),AN1178&gt;0),SUMIFS($AN$7:$AN$1576,$BU$7:$BU$1576,BU1178,$AQ$7:$AQ$1576,"&gt;"&amp;AQ1178)+SUMIFS($AN$7:$AN$1576,$BU$7:$BU$1576,BU1178,$AQ$7:$AQ$1576,AQ1178,$BO$7:$BO$1576,"&lt;="&amp;BO1178),"")</f>
        <v>60.3131329181441</v>
      </c>
      <c r="AS1178" s="65" t="n">
        <f aca="false">IF(AR1178="",0,MAX(0,MIN(1,(IF(BU1178="L1",Parameter!$E$5,Parameter!$E$6+Parameter!$E$7)-(AR1178-AN1178))/AN1178)))</f>
        <v>1</v>
      </c>
      <c r="AT1178" s="57" t="n">
        <f aca="false">IF(LEFT(Cockpit!$O$5,1)="A",G1178,IF(BW1178=1,BX1178,IF(LEFT(Cockpit!$O$5,1)="B",AX1178,MAX(AX1178,G1178))))</f>
        <v>1</v>
      </c>
      <c r="AU1178" s="57" t="n">
        <f aca="false">IF(BR1178=1,0,ROUNDUP(AT1178/BQ1178,0))</f>
        <v>1</v>
      </c>
      <c r="AV1178" s="59" t="n">
        <f aca="false">IF(CD1178&gt;0,CD1178*MAX(1,AT1178/V1178),IF(BR1178=1,IF(AT1178&lt;=0,0,BS1178*MAX(1,IF(G1178&gt;0,AT1178/G1178,1))),IF(Q1178&gt;0,AU1178/Q1178,0))/MAX(0.1,N(Parameter!$M$21)))</f>
        <v>0.00757575757575758</v>
      </c>
      <c r="AW1178" s="57" t="n">
        <f aca="false">AT1178*F1178</f>
        <v>371.82</v>
      </c>
      <c r="AX1178" s="57" t="n">
        <f aca="false">ROUNDUP(MAX(I1178/IF(BV1178&gt;0,BV1178,MAX(0.1,N(Cockpit!$O$6))),BY1178)/BQ1178,0)*BQ1178</f>
        <v>1</v>
      </c>
      <c r="AY1178" s="58" t="n">
        <f aca="false">IF(AV1178&gt;0,I1178/AV1178,-1)</f>
        <v>132</v>
      </c>
      <c r="AZ1178" s="58" t="n">
        <f aca="false">IF(AND(OR(BU1178="L1",BU1178="L23"),AV1178&gt;0),SUMIFS($AV$7:$AV$1576,$BU$7:$BU$1576,BU1178,$AY$7:$AY$1576,"&gt;"&amp;AY1178)+SUMIFS($AV$7:$AV$1576,$BU$7:$BU$1576,BU1178,$AY$7:$AY$1576,AY1178,$BO$7:$BO$1576,"&lt;="&amp;BO1178),"")</f>
        <v>54.9756000343612</v>
      </c>
      <c r="BA1178" s="65" t="n">
        <f aca="false">IF(AZ1178="",0,MAX(0,MIN(1,(IF(BU1178="L1",Parameter!$E$5,Parameter!$E$6+Parameter!$E$7)-(AZ1178-AV1178))/AV1178)))</f>
        <v>1</v>
      </c>
      <c r="BB1178" s="55" t="str">
        <f aca="false">IF(AF1178&lt;=0,"",IF(BU1178="Aussen","Aussenlager",IF(BU1178="-","Nicht im Lift",IF(AK1178&gt;=1,"Lift",IF(AK1178&lt;=0,"Aussenlager","teilweise")))))</f>
        <v/>
      </c>
      <c r="BC1178" s="55" t="str">
        <f aca="false">IF(AN1178&lt;=0,"",IF(BU1178="Aussen","Aussenlager",IF(BU1178="-","Nicht im Lift",IF(AS1178&gt;=1,"Lift",IF(AS1178&lt;=0,"Aussenlager","teilweise")))))</f>
        <v>Lift</v>
      </c>
      <c r="BD1178" s="55" t="str">
        <f aca="false">IF(AV1178&lt;=0,"",IF(BU1178="Aussen","Aussenlager",IF(BU1178="-","Nicht im Lift",IF(BA1178&gt;=1,"Lift",IF(BA1178&lt;=0,"Aussenlager","teilweise")))))</f>
        <v>Lift</v>
      </c>
      <c r="BE1178" s="55" t="str">
        <f aca="false">IF(A1178="","",IF(BN1178=1,"Neu; ","")&amp;IF(AND(BN1178=0,BI1178&lt;0),"negativer Bestand (Export "&amp;BI1178&amp;"); ","")&amp;IF(I1178&lt;=0,"Kein Verbrauch; ","")&amp;IF(CD1178&gt;0,"Lift "&amp;U1178&amp;" lt. Liftbericht (Fach "&amp;V1178&amp;" Stk); ",IF(BR1178=1,"Lose – Fläche geschätzt; ",""))&amp;IF(G1178&gt;AP1178,"Überbestand "&amp;ROUND(G1178-AP1178,0)&amp;" Stk / CHF "&amp;ROUND((G1178-AP1178)*F1178,0)&amp;"; ","")&amp;IF(AND(BW1178=1,BX1178&lt;BY1178),"MAX &lt; MB+LG; ","")&amp;IF(AND(CC1178&gt;0,CB1178*10&gt;CC1178),"zu hoch für Tablar; ","")&amp;IF(AND(BN1178=0,OR(BW1178=1,Y1178&lt;&gt;"",S1178&lt;&gt;"",T1178&lt;&gt;"",Z1178&lt;&gt;"")),"manuell übersteuert; ","")&amp;IF(AND(BR1178=0,Q1178=0),"Gebinde unbekannt / Stellmass fehlt; ","")&amp;IF(AND(BR1178=0,N(T1178)&lt;=0,N(P1178)&lt;=0),"Menge pro Gebinde fehlt (Ist = 1 Gebinde); ","")&amp;BM1178)</f>
        <v>negativer Bestand (Export -1); </v>
      </c>
      <c r="BF1178" s="55"/>
      <c r="BG1178" s="55"/>
      <c r="BH1178" s="62"/>
      <c r="BI1178" s="57" t="n">
        <v>-1</v>
      </c>
      <c r="BJ1178" s="57" t="n">
        <v>2</v>
      </c>
      <c r="BK1178" s="56" t="n">
        <v>-371.82</v>
      </c>
      <c r="BL1178" s="57" t="n">
        <v>1</v>
      </c>
      <c r="BM1178" s="55"/>
      <c r="BN1178" s="60" t="n">
        <v>0</v>
      </c>
      <c r="BO1178" s="60" t="n">
        <v>1178</v>
      </c>
      <c r="BP1178" s="55" t="str">
        <f aca="false">IF(S1178&lt;&gt;"",UPPER(TRIM(S1178)),IF(O1178="","LOSE",O1178))</f>
        <v>S32</v>
      </c>
      <c r="BQ1178" s="57" t="n">
        <f aca="false">IF(BP1178="LOSE",1,IF(N(T1178)&gt;0,T1178,IF(N(P1178)&gt;0,P1178,MAX(1,G1178))))</f>
        <v>1</v>
      </c>
      <c r="BR1178" s="60" t="n">
        <f aca="false">IF(BP1178="LOSE",1,0)</f>
        <v>0</v>
      </c>
      <c r="BS1178" s="59" t="n">
        <f aca="false">IF(BR1178=0,0,IF(N(R1178)&gt;0,R1178,IFERROR(VLOOKUP(D1178,Parameter!$A$35:$C$64,3,0)+0,0)))</f>
        <v>0</v>
      </c>
      <c r="BT1178" s="55" t="n">
        <f aca="false">IF(Y1178&lt;&gt;"",Y1178,X1178)</f>
        <v>3</v>
      </c>
      <c r="BU1178" s="55" t="str">
        <f aca="false">IF(BT1178=1,"L1",IF(OR(BT1178=2,BT1178=3),"L23",IF(BT1178="Aussen","Aussen","-")))</f>
        <v>L23</v>
      </c>
      <c r="BV1178" s="66" t="n">
        <f aca="false">IF(N(Z1178)&gt;0,Z1178,0)</f>
        <v>0</v>
      </c>
      <c r="BW1178" s="60" t="n">
        <f aca="false">IF(ISNUMBER(AC1178),1,0)</f>
        <v>0</v>
      </c>
      <c r="BX1178" s="57" t="n">
        <f aca="false">N(AC1178)</f>
        <v>0</v>
      </c>
      <c r="BY1178" s="57" t="n">
        <f aca="false">N(L1178)+N(M1178)</f>
        <v>1</v>
      </c>
      <c r="BZ1178" s="57" t="n">
        <f aca="false">ROUNDUP(G1178/BQ1178,0)</f>
        <v>0</v>
      </c>
      <c r="CA1178" s="57" t="n">
        <f aca="false">ROUNDUP(BX1178/BQ1178,0)</f>
        <v>0</v>
      </c>
      <c r="CB1178" s="60" t="n">
        <f aca="false">IF(BR1178=1,0,IFERROR(VLOOKUP(BP1178,'Gebinde-Kategorie'!$A$5:$M$45,5,0)+0,0))</f>
        <v>8</v>
      </c>
      <c r="CC1178" s="60" t="n">
        <f aca="false">IFERROR(IF(OR(BT1178=1,BT1178=2,BT1178=3),N(INDEX(Parameter!$I$5:$I$7,BT1178)),0),0)</f>
        <v>0</v>
      </c>
      <c r="CD1178" s="59" t="n">
        <f aca="false">IF(AND(Parameter!$B$21="Ja",ISNUMBER(U1178),N(V1178)&gt;0),IFERROR(N(INDEX(Parameter!$L$5:$L$7,U1178))*INDEX(Parameter!$E$5:$E$7,U1178)*V1178/SUMIFS($V$7:$V$1576,$U$7:$U$1576,U1178),0),0)</f>
        <v>0</v>
      </c>
    </row>
    <row r="1179" customFormat="false" ht="15" hidden="false" customHeight="false" outlineLevel="0" collapsed="false">
      <c r="A1179" s="55" t="s">
        <v>2110</v>
      </c>
      <c r="B1179" s="55" t="s">
        <v>397</v>
      </c>
      <c r="C1179" s="55" t="s">
        <v>160</v>
      </c>
      <c r="D1179" s="55" t="s">
        <v>178</v>
      </c>
      <c r="E1179" s="55" t="s">
        <v>210</v>
      </c>
      <c r="F1179" s="56" t="n">
        <v>0.59</v>
      </c>
      <c r="G1179" s="57" t="n">
        <f aca="false">MAX(0,IF(AND(Parameter!$B$21="Ja",ISNUMBER(W1179)),W1179,IF(Parameter!$B$20="Jahresanfang 2025 + Export",BJ1179+BI1179,BI1179)))</f>
        <v>0</v>
      </c>
      <c r="H1179" s="57" t="n">
        <f aca="false">G1179*F1179</f>
        <v>0</v>
      </c>
      <c r="I1179" s="57" t="n">
        <f aca="false">BL1179*Parameter!$B$18</f>
        <v>15676</v>
      </c>
      <c r="J1179" s="58" t="n">
        <v>3733.5</v>
      </c>
      <c r="K1179" s="59" t="n">
        <v>4.19874112762823</v>
      </c>
      <c r="L1179" s="57" t="n">
        <v>914</v>
      </c>
      <c r="M1179" s="57" t="n">
        <v>1000</v>
      </c>
      <c r="N1179" s="60" t="n">
        <v>21</v>
      </c>
      <c r="O1179" s="55" t="s">
        <v>218</v>
      </c>
      <c r="P1179" s="57" t="n">
        <v>20503</v>
      </c>
      <c r="Q1179" s="60" t="n">
        <f aca="false">IF(BR1179=1,0,IFERROR(VLOOKUP(BP1179,'Gebinde-Kategorie'!$A$5:$M$45,13,0)+0,0))</f>
        <v>12</v>
      </c>
      <c r="R1179" s="61"/>
      <c r="S1179" s="62"/>
      <c r="T1179" s="62"/>
      <c r="U1179" s="55"/>
      <c r="V1179" s="57"/>
      <c r="W1179" s="57"/>
      <c r="X1179" s="55" t="n">
        <f aca="false">IF(A1179="","",IF(AND(Parameter!$B$21="Ja",ISNUMBER(U1179)),U1179,IF(IFERROR(VLOOKUP(D1179,Parameter!$A$35:$C$64,2,0),"Nein")="2+3",IF(ISNUMBER(SEARCH("grosser Artikel",BM1179)),2,IFERROR(VLOOKUP(BP1179,Parameter!$F$35:$G$64,2,0),2)),IF(OR(IFERROR(VLOOKUP(D1179,Parameter!$A$35:$C$64,2,0),"Nein")="Nein",IFERROR(VLOOKUP(D1179,Parameter!$A$35:$C$64,2,0),"Nein")=""),"-",VLOOKUP(D1179,Parameter!$A$35:$C$64,2,0)))))</f>
        <v>2</v>
      </c>
      <c r="Y1179" s="62"/>
      <c r="Z1179" s="63"/>
      <c r="AA1179" s="57" t="n">
        <f aca="false">AP1179</f>
        <v>20503</v>
      </c>
      <c r="AB1179" s="57" t="n">
        <f aca="false">MAX(AP1179,G1179)</f>
        <v>20503</v>
      </c>
      <c r="AC1179" s="64"/>
      <c r="AD1179" s="57" t="n">
        <f aca="false">IF(LEFT(Cockpit!$C$5,1)="A",G1179,IF(BW1179=1,BX1179,IF(LEFT(Cockpit!$C$5,1)="B",AH1179,MAX(AH1179,G1179))))</f>
        <v>0</v>
      </c>
      <c r="AE1179" s="57" t="n">
        <f aca="false">IF(BR1179=1,0,ROUNDUP(AD1179/BQ1179,0))</f>
        <v>0</v>
      </c>
      <c r="AF1179" s="59" t="n">
        <f aca="false">IF(CD1179&gt;0,CD1179*MAX(1,AD1179/V1179),IF(BR1179=1,IF(AD1179&lt;=0,0,BS1179*MAX(1,IF(G1179&gt;0,AD1179/G1179,1))),IF(Q1179&gt;0,AE1179/Q1179,0))/MAX(0.1,N(Parameter!$M$21)))</f>
        <v>0</v>
      </c>
      <c r="AG1179" s="57" t="n">
        <f aca="false">AD1179*F1179</f>
        <v>0</v>
      </c>
      <c r="AH1179" s="57" t="n">
        <f aca="false">ROUNDUP(MAX(I1179/IF(BV1179&gt;0,BV1179,MAX(0.1,N(Cockpit!$C$6))),BY1179)/BQ1179,0)*BQ1179</f>
        <v>20503</v>
      </c>
      <c r="AI1179" s="58" t="n">
        <f aca="false">IF(AF1179&gt;0,I1179/AF1179,-1)</f>
        <v>-1</v>
      </c>
      <c r="AJ1179" s="58" t="str">
        <f aca="false">IF(AND(OR(BU1179="L1",BU1179="L23"),AF1179&gt;0),SUMIFS($AF$7:$AF$1576,$BU$7:$BU$1576,BU1179,$AI$7:$AI$1576,"&gt;"&amp;AI1179)+SUMIFS($AF$7:$AF$1576,$BU$7:$BU$1576,BU1179,$AI$7:$AI$1576,AI1179,$BO$7:$BO$1576,"&lt;="&amp;BO1179),"")</f>
        <v/>
      </c>
      <c r="AK1179" s="65" t="n">
        <f aca="false">IF(AJ1179="",0,MAX(0,MIN(1,(IF(BU1179="L1",Parameter!$E$5,Parameter!$E$6+Parameter!$E$7)-(AJ1179-AF1179))/AF1179)))</f>
        <v>0</v>
      </c>
      <c r="AL1179" s="57" t="n">
        <f aca="false">IF(LEFT(Cockpit!$I$5,1)="A",G1179,IF(BW1179=1,BX1179,IF(LEFT(Cockpit!$I$5,1)="B",AP1179,MAX(AP1179,G1179))))</f>
        <v>20503</v>
      </c>
      <c r="AM1179" s="57" t="n">
        <f aca="false">IF(BR1179=1,0,ROUNDUP(AL1179/BQ1179,0))</f>
        <v>1</v>
      </c>
      <c r="AN1179" s="59" t="n">
        <f aca="false">IF(CD1179&gt;0,CD1179*MAX(1,AL1179/V1179),IF(BR1179=1,IF(AL1179&lt;=0,0,BS1179*MAX(1,IF(G1179&gt;0,AL1179/G1179,1))),IF(Q1179&gt;0,AM1179/Q1179,0))/MAX(0.1,N(Parameter!$M$21)))</f>
        <v>0.0833333333333333</v>
      </c>
      <c r="AO1179" s="57" t="n">
        <f aca="false">AL1179*F1179</f>
        <v>12096.77</v>
      </c>
      <c r="AP1179" s="57" t="n">
        <f aca="false">ROUNDUP(MAX(I1179/IF(BV1179&gt;0,BV1179,MAX(0.1,N(Cockpit!$I$6))),BY1179)/BQ1179,0)*BQ1179</f>
        <v>20503</v>
      </c>
      <c r="AQ1179" s="58" t="n">
        <f aca="false">IF(AN1179&gt;0,I1179/AN1179,-1)</f>
        <v>188112</v>
      </c>
      <c r="AR1179" s="58" t="n">
        <f aca="false">IF(AND(OR(BU1179="L1",BU1179="L23"),AN1179&gt;0),SUMIFS($AN$7:$AN$1576,$BU$7:$BU$1576,BU1179,$AQ$7:$AQ$1576,"&gt;"&amp;AQ1179)+SUMIFS($AN$7:$AN$1576,$BU$7:$BU$1576,BU1179,$AQ$7:$AQ$1576,AQ1179,$BO$7:$BO$1576,"&lt;="&amp;BO1179),"")</f>
        <v>0.122546535590014</v>
      </c>
      <c r="AS1179" s="65" t="n">
        <f aca="false">IF(AR1179="",0,MAX(0,MIN(1,(IF(BU1179="L1",Parameter!$E$5,Parameter!$E$6+Parameter!$E$7)-(AR1179-AN1179))/AN1179)))</f>
        <v>1</v>
      </c>
      <c r="AT1179" s="57" t="n">
        <f aca="false">IF(LEFT(Cockpit!$O$5,1)="A",G1179,IF(BW1179=1,BX1179,IF(LEFT(Cockpit!$O$5,1)="B",AX1179,MAX(AX1179,G1179))))</f>
        <v>20503</v>
      </c>
      <c r="AU1179" s="57" t="n">
        <f aca="false">IF(BR1179=1,0,ROUNDUP(AT1179/BQ1179,0))</f>
        <v>1</v>
      </c>
      <c r="AV1179" s="59" t="n">
        <f aca="false">IF(CD1179&gt;0,CD1179*MAX(1,AT1179/V1179),IF(BR1179=1,IF(AT1179&lt;=0,0,BS1179*MAX(1,IF(G1179&gt;0,AT1179/G1179,1))),IF(Q1179&gt;0,AU1179/Q1179,0))/MAX(0.1,N(Parameter!$M$21)))</f>
        <v>0.0833333333333333</v>
      </c>
      <c r="AW1179" s="57" t="n">
        <f aca="false">AT1179*F1179</f>
        <v>12096.77</v>
      </c>
      <c r="AX1179" s="57" t="n">
        <f aca="false">ROUNDUP(MAX(I1179/IF(BV1179&gt;0,BV1179,MAX(0.1,N(Cockpit!$O$6))),BY1179)/BQ1179,0)*BQ1179</f>
        <v>20503</v>
      </c>
      <c r="AY1179" s="58" t="n">
        <f aca="false">IF(AV1179&gt;0,I1179/AV1179,-1)</f>
        <v>188112</v>
      </c>
      <c r="AZ1179" s="58" t="n">
        <f aca="false">IF(AND(OR(BU1179="L1",BU1179="L23"),AV1179&gt;0),SUMIFS($AV$7:$AV$1576,$BU$7:$BU$1576,BU1179,$AY$7:$AY$1576,"&gt;"&amp;AY1179)+SUMIFS($AV$7:$AV$1576,$BU$7:$BU$1576,BU1179,$AY$7:$AY$1576,AY1179,$BO$7:$BO$1576,"&lt;="&amp;BO1179),"")</f>
        <v>0.122546535590014</v>
      </c>
      <c r="BA1179" s="65" t="n">
        <f aca="false">IF(AZ1179="",0,MAX(0,MIN(1,(IF(BU1179="L1",Parameter!$E$5,Parameter!$E$6+Parameter!$E$7)-(AZ1179-AV1179))/AV1179)))</f>
        <v>1</v>
      </c>
      <c r="BB1179" s="55" t="str">
        <f aca="false">IF(AF1179&lt;=0,"",IF(BU1179="Aussen","Aussenlager",IF(BU1179="-","Nicht im Lift",IF(AK1179&gt;=1,"Lift",IF(AK1179&lt;=0,"Aussenlager","teilweise")))))</f>
        <v/>
      </c>
      <c r="BC1179" s="55" t="str">
        <f aca="false">IF(AN1179&lt;=0,"",IF(BU1179="Aussen","Aussenlager",IF(BU1179="-","Nicht im Lift",IF(AS1179&gt;=1,"Lift",IF(AS1179&lt;=0,"Aussenlager","teilweise")))))</f>
        <v>Lift</v>
      </c>
      <c r="BD1179" s="55" t="str">
        <f aca="false">IF(AV1179&lt;=0,"",IF(BU1179="Aussen","Aussenlager",IF(BU1179="-","Nicht im Lift",IF(BA1179&gt;=1,"Lift",IF(BA1179&lt;=0,"Aussenlager","teilweise")))))</f>
        <v>Lift</v>
      </c>
      <c r="BE1179" s="55" t="str">
        <f aca="false">IF(A1179="","",IF(BN1179=1,"Neu; ","")&amp;IF(AND(BN1179=0,BI1179&lt;0),"negativer Bestand (Export "&amp;BI1179&amp;"); ","")&amp;IF(I1179&lt;=0,"Kein Verbrauch; ","")&amp;IF(CD1179&gt;0,"Lift "&amp;U1179&amp;" lt. Liftbericht (Fach "&amp;V1179&amp;" Stk); ",IF(BR1179=1,"Lose – Fläche geschätzt; ",""))&amp;IF(G1179&gt;AP1179,"Überbestand "&amp;ROUND(G1179-AP1179,0)&amp;" Stk / CHF "&amp;ROUND((G1179-AP1179)*F1179,0)&amp;"; ","")&amp;IF(AND(BW1179=1,BX1179&lt;BY1179),"MAX &lt; MB+LG; ","")&amp;IF(AND(CC1179&gt;0,CB1179*10&gt;CC1179),"zu hoch für Tablar; ","")&amp;IF(AND(BN1179=0,OR(BW1179=1,Y1179&lt;&gt;"",S1179&lt;&gt;"",T1179&lt;&gt;"",Z1179&lt;&gt;"")),"manuell übersteuert; ","")&amp;IF(AND(BR1179=0,Q1179=0),"Gebinde unbekannt / Stellmass fehlt; ","")&amp;IF(AND(BR1179=0,N(T1179)&lt;=0,N(P1179)&lt;=0),"Menge pro Gebinde fehlt (Ist = 1 Gebinde); ","")&amp;BM1179)</f>
        <v>negativer Bestand (Export -1436); </v>
      </c>
      <c r="BF1179" s="55"/>
      <c r="BG1179" s="55"/>
      <c r="BH1179" s="62"/>
      <c r="BI1179" s="57" t="n">
        <v>-1436</v>
      </c>
      <c r="BJ1179" s="57" t="n">
        <v>3742</v>
      </c>
      <c r="BK1179" s="56" t="n">
        <v>-371.960000000004</v>
      </c>
      <c r="BL1179" s="57" t="n">
        <v>15676</v>
      </c>
      <c r="BM1179" s="55"/>
      <c r="BN1179" s="60" t="n">
        <v>0</v>
      </c>
      <c r="BO1179" s="60" t="n">
        <v>1179</v>
      </c>
      <c r="BP1179" s="55" t="str">
        <f aca="false">IF(S1179&lt;&gt;"",UPPER(TRIM(S1179)),IF(O1179="","LOSE",O1179))</f>
        <v>S63</v>
      </c>
      <c r="BQ1179" s="57" t="n">
        <f aca="false">IF(BP1179="LOSE",1,IF(N(T1179)&gt;0,T1179,IF(N(P1179)&gt;0,P1179,MAX(1,G1179))))</f>
        <v>20503</v>
      </c>
      <c r="BR1179" s="60" t="n">
        <f aca="false">IF(BP1179="LOSE",1,0)</f>
        <v>0</v>
      </c>
      <c r="BS1179" s="59" t="n">
        <f aca="false">IF(BR1179=0,0,IF(N(R1179)&gt;0,R1179,IFERROR(VLOOKUP(D1179,Parameter!$A$35:$C$64,3,0)+0,0)))</f>
        <v>0</v>
      </c>
      <c r="BT1179" s="55" t="n">
        <f aca="false">IF(Y1179&lt;&gt;"",Y1179,X1179)</f>
        <v>2</v>
      </c>
      <c r="BU1179" s="55" t="str">
        <f aca="false">IF(BT1179=1,"L1",IF(OR(BT1179=2,BT1179=3),"L23",IF(BT1179="Aussen","Aussen","-")))</f>
        <v>L23</v>
      </c>
      <c r="BV1179" s="66" t="n">
        <f aca="false">IF(N(Z1179)&gt;0,Z1179,0)</f>
        <v>0</v>
      </c>
      <c r="BW1179" s="60" t="n">
        <f aca="false">IF(ISNUMBER(AC1179),1,0)</f>
        <v>0</v>
      </c>
      <c r="BX1179" s="57" t="n">
        <f aca="false">N(AC1179)</f>
        <v>0</v>
      </c>
      <c r="BY1179" s="57" t="n">
        <f aca="false">N(L1179)+N(M1179)</f>
        <v>1914</v>
      </c>
      <c r="BZ1179" s="57" t="n">
        <f aca="false">ROUNDUP(G1179/BQ1179,0)</f>
        <v>0</v>
      </c>
      <c r="CA1179" s="57" t="n">
        <f aca="false">ROUNDUP(BX1179/BQ1179,0)</f>
        <v>0</v>
      </c>
      <c r="CB1179" s="60" t="n">
        <f aca="false">IF(BR1179=1,0,IFERROR(VLOOKUP(BP1179,'Gebinde-Kategorie'!$A$5:$M$45,5,0)+0,0))</f>
        <v>31</v>
      </c>
      <c r="CC1179" s="60" t="n">
        <f aca="false">IFERROR(IF(OR(BT1179=1,BT1179=2,BT1179=3),N(INDEX(Parameter!$I$5:$I$7,BT1179)),0),0)</f>
        <v>0</v>
      </c>
      <c r="CD1179" s="59" t="n">
        <f aca="false">IF(AND(Parameter!$B$21="Ja",ISNUMBER(U1179),N(V1179)&gt;0),IFERROR(N(INDEX(Parameter!$L$5:$L$7,U1179))*INDEX(Parameter!$E$5:$E$7,U1179)*V1179/SUMIFS($V$7:$V$1576,$U$7:$U$1576,U1179),0),0)</f>
        <v>0</v>
      </c>
    </row>
    <row r="1180" customFormat="false" ht="15" hidden="false" customHeight="false" outlineLevel="0" collapsed="false">
      <c r="A1180" s="55" t="s">
        <v>2111</v>
      </c>
      <c r="B1180" s="55" t="s">
        <v>1123</v>
      </c>
      <c r="C1180" s="55" t="s">
        <v>160</v>
      </c>
      <c r="D1180" s="55" t="s">
        <v>178</v>
      </c>
      <c r="E1180" s="55" t="s">
        <v>210</v>
      </c>
      <c r="F1180" s="56" t="n">
        <v>93.6</v>
      </c>
      <c r="G1180" s="57" t="n">
        <f aca="false">MAX(0,IF(AND(Parameter!$B$21="Ja",ISNUMBER(W1180)),W1180,IF(Parameter!$B$20="Jahresanfang 2025 + Export",BJ1180+BI1180,BI1180)))</f>
        <v>0</v>
      </c>
      <c r="H1180" s="57" t="n">
        <f aca="false">G1180*F1180</f>
        <v>0</v>
      </c>
      <c r="I1180" s="57" t="n">
        <f aca="false">BL1180*Parameter!$B$18</f>
        <v>0</v>
      </c>
      <c r="J1180" s="58" t="n">
        <v>5</v>
      </c>
      <c r="K1180" s="59" t="n">
        <v>0</v>
      </c>
      <c r="L1180" s="57" t="n">
        <v>0</v>
      </c>
      <c r="M1180" s="57" t="n">
        <v>1</v>
      </c>
      <c r="N1180" s="60" t="n">
        <v>56</v>
      </c>
      <c r="O1180" s="55" t="s">
        <v>293</v>
      </c>
      <c r="P1180" s="57" t="n">
        <v>3</v>
      </c>
      <c r="Q1180" s="60" t="n">
        <f aca="false">IF(BR1180=1,0,IFERROR(VLOOKUP(BP1180,'Gebinde-Kategorie'!$A$5:$M$45,13,0)+0,0))</f>
        <v>26</v>
      </c>
      <c r="R1180" s="61"/>
      <c r="S1180" s="62"/>
      <c r="T1180" s="62"/>
      <c r="U1180" s="55"/>
      <c r="V1180" s="57"/>
      <c r="W1180" s="57"/>
      <c r="X1180" s="55" t="n">
        <f aca="false">IF(A1180="","",IF(AND(Parameter!$B$21="Ja",ISNUMBER(U1180)),U1180,IF(IFERROR(VLOOKUP(D1180,Parameter!$A$35:$C$64,2,0),"Nein")="2+3",IF(ISNUMBER(SEARCH("grosser Artikel",BM1180)),2,IFERROR(VLOOKUP(BP1180,Parameter!$F$35:$G$64,2,0),2)),IF(OR(IFERROR(VLOOKUP(D1180,Parameter!$A$35:$C$64,2,0),"Nein")="Nein",IFERROR(VLOOKUP(D1180,Parameter!$A$35:$C$64,2,0),"Nein")=""),"-",VLOOKUP(D1180,Parameter!$A$35:$C$64,2,0)))))</f>
        <v>3</v>
      </c>
      <c r="Y1180" s="62"/>
      <c r="Z1180" s="63"/>
      <c r="AA1180" s="57" t="n">
        <f aca="false">AP1180</f>
        <v>3</v>
      </c>
      <c r="AB1180" s="57" t="n">
        <f aca="false">MAX(AP1180,G1180)</f>
        <v>3</v>
      </c>
      <c r="AC1180" s="64"/>
      <c r="AD1180" s="57" t="n">
        <f aca="false">IF(LEFT(Cockpit!$C$5,1)="A",G1180,IF(BW1180=1,BX1180,IF(LEFT(Cockpit!$C$5,1)="B",AH1180,MAX(AH1180,G1180))))</f>
        <v>0</v>
      </c>
      <c r="AE1180" s="57" t="n">
        <f aca="false">IF(BR1180=1,0,ROUNDUP(AD1180/BQ1180,0))</f>
        <v>0</v>
      </c>
      <c r="AF1180" s="59" t="n">
        <f aca="false">IF(CD1180&gt;0,CD1180*MAX(1,AD1180/V1180),IF(BR1180=1,IF(AD1180&lt;=0,0,BS1180*MAX(1,IF(G1180&gt;0,AD1180/G1180,1))),IF(Q1180&gt;0,AE1180/Q1180,0))/MAX(0.1,N(Parameter!$M$21)))</f>
        <v>0</v>
      </c>
      <c r="AG1180" s="57" t="n">
        <f aca="false">AD1180*F1180</f>
        <v>0</v>
      </c>
      <c r="AH1180" s="57" t="n">
        <f aca="false">ROUNDUP(MAX(I1180/IF(BV1180&gt;0,BV1180,MAX(0.1,N(Cockpit!$C$6))),BY1180)/BQ1180,0)*BQ1180</f>
        <v>3</v>
      </c>
      <c r="AI1180" s="58" t="n">
        <f aca="false">IF(AF1180&gt;0,I1180/AF1180,-1)</f>
        <v>-1</v>
      </c>
      <c r="AJ1180" s="58" t="str">
        <f aca="false">IF(AND(OR(BU1180="L1",BU1180="L23"),AF1180&gt;0),SUMIFS($AF$7:$AF$1576,$BU$7:$BU$1576,BU1180,$AI$7:$AI$1576,"&gt;"&amp;AI1180)+SUMIFS($AF$7:$AF$1576,$BU$7:$BU$1576,BU1180,$AI$7:$AI$1576,AI1180,$BO$7:$BO$1576,"&lt;="&amp;BO1180),"")</f>
        <v/>
      </c>
      <c r="AK1180" s="65" t="n">
        <f aca="false">IF(AJ1180="",0,MAX(0,MIN(1,(IF(BU1180="L1",Parameter!$E$5,Parameter!$E$6+Parameter!$E$7)-(AJ1180-AF1180))/AF1180)))</f>
        <v>0</v>
      </c>
      <c r="AL1180" s="57" t="n">
        <f aca="false">IF(LEFT(Cockpit!$I$5,1)="A",G1180,IF(BW1180=1,BX1180,IF(LEFT(Cockpit!$I$5,1)="B",AP1180,MAX(AP1180,G1180))))</f>
        <v>3</v>
      </c>
      <c r="AM1180" s="57" t="n">
        <f aca="false">IF(BR1180=1,0,ROUNDUP(AL1180/BQ1180,0))</f>
        <v>1</v>
      </c>
      <c r="AN1180" s="59" t="n">
        <f aca="false">IF(CD1180&gt;0,CD1180*MAX(1,AL1180/V1180),IF(BR1180=1,IF(AL1180&lt;=0,0,BS1180*MAX(1,IF(G1180&gt;0,AL1180/G1180,1))),IF(Q1180&gt;0,AM1180/Q1180,0))/MAX(0.1,N(Parameter!$M$21)))</f>
        <v>0.0384615384615385</v>
      </c>
      <c r="AO1180" s="57" t="n">
        <f aca="false">AL1180*F1180</f>
        <v>280.8</v>
      </c>
      <c r="AP1180" s="57" t="n">
        <f aca="false">ROUNDUP(MAX(I1180/IF(BV1180&gt;0,BV1180,MAX(0.1,N(Cockpit!$I$6))),BY1180)/BQ1180,0)*BQ1180</f>
        <v>3</v>
      </c>
      <c r="AQ1180" s="58" t="n">
        <f aca="false">IF(AN1180&gt;0,I1180/AN1180,-1)</f>
        <v>0</v>
      </c>
      <c r="AR1180" s="58" t="n">
        <f aca="false">IF(AND(OR(BU1180="L1",BU1180="L23"),AN1180&gt;0),SUMIFS($AN$7:$AN$1576,$BU$7:$BU$1576,BU1180,$AQ$7:$AQ$1576,"&gt;"&amp;AQ1180)+SUMIFS($AN$7:$AN$1576,$BU$7:$BU$1576,BU1180,$AQ$7:$AQ$1576,AQ1180,$BO$7:$BO$1576,"&lt;="&amp;BO1180),"")</f>
        <v>135.247743729748</v>
      </c>
      <c r="AS1180" s="65" t="n">
        <f aca="false">IF(AR1180="",0,MAX(0,MIN(1,(IF(BU1180="L1",Parameter!$E$5,Parameter!$E$6+Parameter!$E$7)-(AR1180-AN1180))/AN1180)))</f>
        <v>0</v>
      </c>
      <c r="AT1180" s="57" t="n">
        <f aca="false">IF(LEFT(Cockpit!$O$5,1)="A",G1180,IF(BW1180=1,BX1180,IF(LEFT(Cockpit!$O$5,1)="B",AX1180,MAX(AX1180,G1180))))</f>
        <v>3</v>
      </c>
      <c r="AU1180" s="57" t="n">
        <f aca="false">IF(BR1180=1,0,ROUNDUP(AT1180/BQ1180,0))</f>
        <v>1</v>
      </c>
      <c r="AV1180" s="59" t="n">
        <f aca="false">IF(CD1180&gt;0,CD1180*MAX(1,AT1180/V1180),IF(BR1180=1,IF(AT1180&lt;=0,0,BS1180*MAX(1,IF(G1180&gt;0,AT1180/G1180,1))),IF(Q1180&gt;0,AU1180/Q1180,0))/MAX(0.1,N(Parameter!$M$21)))</f>
        <v>0.0384615384615385</v>
      </c>
      <c r="AW1180" s="57" t="n">
        <f aca="false">AT1180*F1180</f>
        <v>280.8</v>
      </c>
      <c r="AX1180" s="57" t="n">
        <f aca="false">ROUNDUP(MAX(I1180/IF(BV1180&gt;0,BV1180,MAX(0.1,N(Cockpit!$O$6))),BY1180)/BQ1180,0)*BQ1180</f>
        <v>3</v>
      </c>
      <c r="AY1180" s="58" t="n">
        <f aca="false">IF(AV1180&gt;0,I1180/AV1180,-1)</f>
        <v>0</v>
      </c>
      <c r="AZ1180" s="58" t="n">
        <f aca="false">IF(AND(OR(BU1180="L1",BU1180="L23"),AV1180&gt;0),SUMIFS($AV$7:$AV$1576,$BU$7:$BU$1576,BU1180,$AY$7:$AY$1576,"&gt;"&amp;AY1180)+SUMIFS($AV$7:$AV$1576,$BU$7:$BU$1576,BU1180,$AY$7:$AY$1576,AY1180,$BO$7:$BO$1576,"&lt;="&amp;BO1180),"")</f>
        <v>125.307294179298</v>
      </c>
      <c r="BA1180" s="65" t="n">
        <f aca="false">IF(AZ1180="",0,MAX(0,MIN(1,(IF(BU1180="L1",Parameter!$E$5,Parameter!$E$6+Parameter!$E$7)-(AZ1180-AV1180))/AV1180)))</f>
        <v>0</v>
      </c>
      <c r="BB1180" s="55" t="str">
        <f aca="false">IF(AF1180&lt;=0,"",IF(BU1180="Aussen","Aussenlager",IF(BU1180="-","Nicht im Lift",IF(AK1180&gt;=1,"Lift",IF(AK1180&lt;=0,"Aussenlager","teilweise")))))</f>
        <v/>
      </c>
      <c r="BC1180" s="55" t="str">
        <f aca="false">IF(AN1180&lt;=0,"",IF(BU1180="Aussen","Aussenlager",IF(BU1180="-","Nicht im Lift",IF(AS1180&gt;=1,"Lift",IF(AS1180&lt;=0,"Aussenlager","teilweise")))))</f>
        <v>Aussenlager</v>
      </c>
      <c r="BD1180" s="55" t="str">
        <f aca="false">IF(AV1180&lt;=0,"",IF(BU1180="Aussen","Aussenlager",IF(BU1180="-","Nicht im Lift",IF(BA1180&gt;=1,"Lift",IF(BA1180&lt;=0,"Aussenlager","teilweise")))))</f>
        <v>Aussenlager</v>
      </c>
      <c r="BE1180" s="55" t="str">
        <f aca="false">IF(A1180="","",IF(BN1180=1,"Neu; ","")&amp;IF(AND(BN1180=0,BI1180&lt;0),"negativer Bestand (Export "&amp;BI1180&amp;"); ","")&amp;IF(I1180&lt;=0,"Kein Verbrauch; ","")&amp;IF(CD1180&gt;0,"Lift "&amp;U1180&amp;" lt. Liftbericht (Fach "&amp;V1180&amp;" Stk); ",IF(BR1180=1,"Lose – Fläche geschätzt; ",""))&amp;IF(G1180&gt;AP1180,"Überbestand "&amp;ROUND(G1180-AP1180,0)&amp;" Stk / CHF "&amp;ROUND((G1180-AP1180)*F1180,0)&amp;"; ","")&amp;IF(AND(BW1180=1,BX1180&lt;BY1180),"MAX &lt; MB+LG; ","")&amp;IF(AND(CC1180&gt;0,CB1180*10&gt;CC1180),"zu hoch für Tablar; ","")&amp;IF(AND(BN1180=0,OR(BW1180=1,Y1180&lt;&gt;"",S1180&lt;&gt;"",T1180&lt;&gt;"",Z1180&lt;&gt;"")),"manuell übersteuert; ","")&amp;IF(AND(BR1180=0,Q1180=0),"Gebinde unbekannt / Stellmass fehlt; ","")&amp;IF(AND(BR1180=0,N(T1180)&lt;=0,N(P1180)&lt;=0),"Menge pro Gebinde fehlt (Ist = 1 Gebinde); ","")&amp;BM1180)</f>
        <v>negativer Bestand (Export -4); Kein Verbrauch; </v>
      </c>
      <c r="BF1180" s="55"/>
      <c r="BG1180" s="55"/>
      <c r="BH1180" s="62"/>
      <c r="BI1180" s="57" t="n">
        <v>-4</v>
      </c>
      <c r="BJ1180" s="57" t="n">
        <v>7</v>
      </c>
      <c r="BK1180" s="56" t="n">
        <v>-374.4</v>
      </c>
      <c r="BL1180" s="57" t="n">
        <v>0</v>
      </c>
      <c r="BM1180" s="55"/>
      <c r="BN1180" s="60" t="n">
        <v>0</v>
      </c>
      <c r="BO1180" s="60" t="n">
        <v>1180</v>
      </c>
      <c r="BP1180" s="55" t="str">
        <f aca="false">IF(S1180&lt;&gt;"",UPPER(TRIM(S1180)),IF(O1180="","LOSE",O1180))</f>
        <v>S51</v>
      </c>
      <c r="BQ1180" s="57" t="n">
        <f aca="false">IF(BP1180="LOSE",1,IF(N(T1180)&gt;0,T1180,IF(N(P1180)&gt;0,P1180,MAX(1,G1180))))</f>
        <v>3</v>
      </c>
      <c r="BR1180" s="60" t="n">
        <f aca="false">IF(BP1180="LOSE",1,0)</f>
        <v>0</v>
      </c>
      <c r="BS1180" s="59" t="n">
        <f aca="false">IF(BR1180=0,0,IF(N(R1180)&gt;0,R1180,IFERROR(VLOOKUP(D1180,Parameter!$A$35:$C$64,3,0)+0,0)))</f>
        <v>0</v>
      </c>
      <c r="BT1180" s="55" t="n">
        <f aca="false">IF(Y1180&lt;&gt;"",Y1180,X1180)</f>
        <v>3</v>
      </c>
      <c r="BU1180" s="55" t="str">
        <f aca="false">IF(BT1180=1,"L1",IF(OR(BT1180=2,BT1180=3),"L23",IF(BT1180="Aussen","Aussen","-")))</f>
        <v>L23</v>
      </c>
      <c r="BV1180" s="66" t="n">
        <f aca="false">IF(N(Z1180)&gt;0,Z1180,0)</f>
        <v>0</v>
      </c>
      <c r="BW1180" s="60" t="n">
        <f aca="false">IF(ISNUMBER(AC1180),1,0)</f>
        <v>0</v>
      </c>
      <c r="BX1180" s="57" t="n">
        <f aca="false">N(AC1180)</f>
        <v>0</v>
      </c>
      <c r="BY1180" s="57" t="n">
        <f aca="false">N(L1180)+N(M1180)</f>
        <v>1</v>
      </c>
      <c r="BZ1180" s="57" t="n">
        <f aca="false">ROUNDUP(G1180/BQ1180,0)</f>
        <v>0</v>
      </c>
      <c r="CA1180" s="57" t="n">
        <f aca="false">ROUNDUP(BX1180/BQ1180,0)</f>
        <v>0</v>
      </c>
      <c r="CB1180" s="60" t="n">
        <f aca="false">IF(BR1180=1,0,IFERROR(VLOOKUP(BP1180,'Gebinde-Kategorie'!$A$5:$M$45,5,0)+0,0))</f>
        <v>11</v>
      </c>
      <c r="CC1180" s="60" t="n">
        <f aca="false">IFERROR(IF(OR(BT1180=1,BT1180=2,BT1180=3),N(INDEX(Parameter!$I$5:$I$7,BT1180)),0),0)</f>
        <v>0</v>
      </c>
      <c r="CD1180" s="59" t="n">
        <f aca="false">IF(AND(Parameter!$B$21="Ja",ISNUMBER(U1180),N(V1180)&gt;0),IFERROR(N(INDEX(Parameter!$L$5:$L$7,U1180))*INDEX(Parameter!$E$5:$E$7,U1180)*V1180/SUMIFS($V$7:$V$1576,$U$7:$U$1576,U1180),0),0)</f>
        <v>0</v>
      </c>
    </row>
    <row r="1181" customFormat="false" ht="15" hidden="false" customHeight="false" outlineLevel="0" collapsed="false">
      <c r="A1181" s="55" t="s">
        <v>2112</v>
      </c>
      <c r="B1181" s="55" t="s">
        <v>457</v>
      </c>
      <c r="C1181" s="55" t="s">
        <v>160</v>
      </c>
      <c r="D1181" s="55" t="s">
        <v>178</v>
      </c>
      <c r="E1181" s="55" t="s">
        <v>210</v>
      </c>
      <c r="F1181" s="56" t="n">
        <v>7.34</v>
      </c>
      <c r="G1181" s="57" t="n">
        <f aca="false">MAX(0,IF(AND(Parameter!$B$21="Ja",ISNUMBER(W1181)),W1181,IF(Parameter!$B$20="Jahresanfang 2025 + Export",BJ1181+BI1181,BI1181)))</f>
        <v>0</v>
      </c>
      <c r="H1181" s="57" t="n">
        <f aca="false">G1181*F1181</f>
        <v>0</v>
      </c>
      <c r="I1181" s="57" t="n">
        <f aca="false">BL1181*Parameter!$B$18</f>
        <v>24</v>
      </c>
      <c r="J1181" s="58" t="n">
        <v>57.5</v>
      </c>
      <c r="K1181" s="59" t="n">
        <v>0.417391304347826</v>
      </c>
      <c r="L1181" s="57" t="n">
        <v>0</v>
      </c>
      <c r="M1181" s="57" t="n">
        <v>25</v>
      </c>
      <c r="N1181" s="60" t="n">
        <v>14</v>
      </c>
      <c r="O1181" s="55" t="s">
        <v>293</v>
      </c>
      <c r="P1181" s="57" t="n">
        <v>35</v>
      </c>
      <c r="Q1181" s="60" t="n">
        <f aca="false">IF(BR1181=1,0,IFERROR(VLOOKUP(BP1181,'Gebinde-Kategorie'!$A$5:$M$45,13,0)+0,0))</f>
        <v>26</v>
      </c>
      <c r="R1181" s="61"/>
      <c r="S1181" s="62"/>
      <c r="T1181" s="62"/>
      <c r="U1181" s="55"/>
      <c r="V1181" s="57"/>
      <c r="W1181" s="57"/>
      <c r="X1181" s="55" t="n">
        <f aca="false">IF(A1181="","",IF(AND(Parameter!$B$21="Ja",ISNUMBER(U1181)),U1181,IF(IFERROR(VLOOKUP(D1181,Parameter!$A$35:$C$64,2,0),"Nein")="2+3",IF(ISNUMBER(SEARCH("grosser Artikel",BM1181)),2,IFERROR(VLOOKUP(BP1181,Parameter!$F$35:$G$64,2,0),2)),IF(OR(IFERROR(VLOOKUP(D1181,Parameter!$A$35:$C$64,2,0),"Nein")="Nein",IFERROR(VLOOKUP(D1181,Parameter!$A$35:$C$64,2,0),"Nein")=""),"-",VLOOKUP(D1181,Parameter!$A$35:$C$64,2,0)))))</f>
        <v>3</v>
      </c>
      <c r="Y1181" s="62"/>
      <c r="Z1181" s="63"/>
      <c r="AA1181" s="57" t="n">
        <f aca="false">AP1181</f>
        <v>35</v>
      </c>
      <c r="AB1181" s="57" t="n">
        <f aca="false">MAX(AP1181,G1181)</f>
        <v>35</v>
      </c>
      <c r="AC1181" s="64"/>
      <c r="AD1181" s="57" t="n">
        <f aca="false">IF(LEFT(Cockpit!$C$5,1)="A",G1181,IF(BW1181=1,BX1181,IF(LEFT(Cockpit!$C$5,1)="B",AH1181,MAX(AH1181,G1181))))</f>
        <v>0</v>
      </c>
      <c r="AE1181" s="57" t="n">
        <f aca="false">IF(BR1181=1,0,ROUNDUP(AD1181/BQ1181,0))</f>
        <v>0</v>
      </c>
      <c r="AF1181" s="59" t="n">
        <f aca="false">IF(CD1181&gt;0,CD1181*MAX(1,AD1181/V1181),IF(BR1181=1,IF(AD1181&lt;=0,0,BS1181*MAX(1,IF(G1181&gt;0,AD1181/G1181,1))),IF(Q1181&gt;0,AE1181/Q1181,0))/MAX(0.1,N(Parameter!$M$21)))</f>
        <v>0</v>
      </c>
      <c r="AG1181" s="57" t="n">
        <f aca="false">AD1181*F1181</f>
        <v>0</v>
      </c>
      <c r="AH1181" s="57" t="n">
        <f aca="false">ROUNDUP(MAX(I1181/IF(BV1181&gt;0,BV1181,MAX(0.1,N(Cockpit!$C$6))),BY1181)/BQ1181,0)*BQ1181</f>
        <v>35</v>
      </c>
      <c r="AI1181" s="58" t="n">
        <f aca="false">IF(AF1181&gt;0,I1181/AF1181,-1)</f>
        <v>-1</v>
      </c>
      <c r="AJ1181" s="58" t="str">
        <f aca="false">IF(AND(OR(BU1181="L1",BU1181="L23"),AF1181&gt;0),SUMIFS($AF$7:$AF$1576,$BU$7:$BU$1576,BU1181,$AI$7:$AI$1576,"&gt;"&amp;AI1181)+SUMIFS($AF$7:$AF$1576,$BU$7:$BU$1576,BU1181,$AI$7:$AI$1576,AI1181,$BO$7:$BO$1576,"&lt;="&amp;BO1181),"")</f>
        <v/>
      </c>
      <c r="AK1181" s="65" t="n">
        <f aca="false">IF(AJ1181="",0,MAX(0,MIN(1,(IF(BU1181="L1",Parameter!$E$5,Parameter!$E$6+Parameter!$E$7)-(AJ1181-AF1181))/AF1181)))</f>
        <v>0</v>
      </c>
      <c r="AL1181" s="57" t="n">
        <f aca="false">IF(LEFT(Cockpit!$I$5,1)="A",G1181,IF(BW1181=1,BX1181,IF(LEFT(Cockpit!$I$5,1)="B",AP1181,MAX(AP1181,G1181))))</f>
        <v>35</v>
      </c>
      <c r="AM1181" s="57" t="n">
        <f aca="false">IF(BR1181=1,0,ROUNDUP(AL1181/BQ1181,0))</f>
        <v>1</v>
      </c>
      <c r="AN1181" s="59" t="n">
        <f aca="false">IF(CD1181&gt;0,CD1181*MAX(1,AL1181/V1181),IF(BR1181=1,IF(AL1181&lt;=0,0,BS1181*MAX(1,IF(G1181&gt;0,AL1181/G1181,1))),IF(Q1181&gt;0,AM1181/Q1181,0))/MAX(0.1,N(Parameter!$M$21)))</f>
        <v>0.0384615384615385</v>
      </c>
      <c r="AO1181" s="57" t="n">
        <f aca="false">AL1181*F1181</f>
        <v>256.9</v>
      </c>
      <c r="AP1181" s="57" t="n">
        <f aca="false">ROUNDUP(MAX(I1181/IF(BV1181&gt;0,BV1181,MAX(0.1,N(Cockpit!$I$6))),BY1181)/BQ1181,0)*BQ1181</f>
        <v>35</v>
      </c>
      <c r="AQ1181" s="58" t="n">
        <f aca="false">IF(AN1181&gt;0,I1181/AN1181,-1)</f>
        <v>624</v>
      </c>
      <c r="AR1181" s="58" t="n">
        <f aca="false">IF(AND(OR(BU1181="L1",BU1181="L23"),AN1181&gt;0),SUMIFS($AN$7:$AN$1576,$BU$7:$BU$1576,BU1181,$AQ$7:$AQ$1576,"&gt;"&amp;AQ1181)+SUMIFS($AN$7:$AN$1576,$BU$7:$BU$1576,BU1181,$AQ$7:$AQ$1576,AQ1181,$BO$7:$BO$1576,"&lt;="&amp;BO1181),"")</f>
        <v>30.9186148757999</v>
      </c>
      <c r="AS1181" s="65" t="n">
        <f aca="false">IF(AR1181="",0,MAX(0,MIN(1,(IF(BU1181="L1",Parameter!$E$5,Parameter!$E$6+Parameter!$E$7)-(AR1181-AN1181))/AN1181)))</f>
        <v>1</v>
      </c>
      <c r="AT1181" s="57" t="n">
        <f aca="false">IF(LEFT(Cockpit!$O$5,1)="A",G1181,IF(BW1181=1,BX1181,IF(LEFT(Cockpit!$O$5,1)="B",AX1181,MAX(AX1181,G1181))))</f>
        <v>35</v>
      </c>
      <c r="AU1181" s="57" t="n">
        <f aca="false">IF(BR1181=1,0,ROUNDUP(AT1181/BQ1181,0))</f>
        <v>1</v>
      </c>
      <c r="AV1181" s="59" t="n">
        <f aca="false">IF(CD1181&gt;0,CD1181*MAX(1,AT1181/V1181),IF(BR1181=1,IF(AT1181&lt;=0,0,BS1181*MAX(1,IF(G1181&gt;0,AT1181/G1181,1))),IF(Q1181&gt;0,AU1181/Q1181,0))/MAX(0.1,N(Parameter!$M$21)))</f>
        <v>0.0384615384615385</v>
      </c>
      <c r="AW1181" s="57" t="n">
        <f aca="false">AT1181*F1181</f>
        <v>256.9</v>
      </c>
      <c r="AX1181" s="57" t="n">
        <f aca="false">ROUNDUP(MAX(I1181/IF(BV1181&gt;0,BV1181,MAX(0.1,N(Cockpit!$O$6))),BY1181)/BQ1181,0)*BQ1181</f>
        <v>35</v>
      </c>
      <c r="AY1181" s="58" t="n">
        <f aca="false">IF(AV1181&gt;0,I1181/AV1181,-1)</f>
        <v>624</v>
      </c>
      <c r="AZ1181" s="58" t="n">
        <f aca="false">IF(AND(OR(BU1181="L1",BU1181="L23"),AV1181&gt;0),SUMIFS($AV$7:$AV$1576,$BU$7:$BU$1576,BU1181,$AY$7:$AY$1576,"&gt;"&amp;AY1181)+SUMIFS($AV$7:$AV$1576,$BU$7:$BU$1576,BU1181,$AY$7:$AY$1576,AY1181,$BO$7:$BO$1576,"&lt;="&amp;BO1181),"")</f>
        <v>30.129916907102</v>
      </c>
      <c r="BA1181" s="65" t="n">
        <f aca="false">IF(AZ1181="",0,MAX(0,MIN(1,(IF(BU1181="L1",Parameter!$E$5,Parameter!$E$6+Parameter!$E$7)-(AZ1181-AV1181))/AV1181)))</f>
        <v>1</v>
      </c>
      <c r="BB1181" s="55" t="str">
        <f aca="false">IF(AF1181&lt;=0,"",IF(BU1181="Aussen","Aussenlager",IF(BU1181="-","Nicht im Lift",IF(AK1181&gt;=1,"Lift",IF(AK1181&lt;=0,"Aussenlager","teilweise")))))</f>
        <v/>
      </c>
      <c r="BC1181" s="55" t="str">
        <f aca="false">IF(AN1181&lt;=0,"",IF(BU1181="Aussen","Aussenlager",IF(BU1181="-","Nicht im Lift",IF(AS1181&gt;=1,"Lift",IF(AS1181&lt;=0,"Aussenlager","teilweise")))))</f>
        <v>Lift</v>
      </c>
      <c r="BD1181" s="55" t="str">
        <f aca="false">IF(AV1181&lt;=0,"",IF(BU1181="Aussen","Aussenlager",IF(BU1181="-","Nicht im Lift",IF(BA1181&gt;=1,"Lift",IF(BA1181&lt;=0,"Aussenlager","teilweise")))))</f>
        <v>Lift</v>
      </c>
      <c r="BE1181" s="55" t="str">
        <f aca="false">IF(A1181="","",IF(BN1181=1,"Neu; ","")&amp;IF(AND(BN1181=0,BI1181&lt;0),"negativer Bestand (Export "&amp;BI1181&amp;"); ","")&amp;IF(I1181&lt;=0,"Kein Verbrauch; ","")&amp;IF(CD1181&gt;0,"Lift "&amp;U1181&amp;" lt. Liftbericht (Fach "&amp;V1181&amp;" Stk); ",IF(BR1181=1,"Lose – Fläche geschätzt; ",""))&amp;IF(G1181&gt;AP1181,"Überbestand "&amp;ROUND(G1181-AP1181,0)&amp;" Stk / CHF "&amp;ROUND((G1181-AP1181)*F1181,0)&amp;"; ","")&amp;IF(AND(BW1181=1,BX1181&lt;BY1181),"MAX &lt; MB+LG; ","")&amp;IF(AND(CC1181&gt;0,CB1181*10&gt;CC1181),"zu hoch für Tablar; ","")&amp;IF(AND(BN1181=0,OR(BW1181=1,Y1181&lt;&gt;"",S1181&lt;&gt;"",T1181&lt;&gt;"",Z1181&lt;&gt;"")),"manuell übersteuert; ","")&amp;IF(AND(BR1181=0,Q1181=0),"Gebinde unbekannt / Stellmass fehlt; ","")&amp;IF(AND(BR1181=0,N(T1181)&lt;=0,N(P1181)&lt;=0),"Menge pro Gebinde fehlt (Ist = 1 Gebinde); ","")&amp;BM1181)</f>
        <v>negativer Bestand (Export -52); </v>
      </c>
      <c r="BF1181" s="55"/>
      <c r="BG1181" s="55"/>
      <c r="BH1181" s="62"/>
      <c r="BI1181" s="57" t="n">
        <v>-52</v>
      </c>
      <c r="BJ1181" s="57" t="n">
        <v>75</v>
      </c>
      <c r="BK1181" s="56" t="n">
        <v>-381.68</v>
      </c>
      <c r="BL1181" s="57" t="n">
        <v>24</v>
      </c>
      <c r="BM1181" s="55"/>
      <c r="BN1181" s="60" t="n">
        <v>0</v>
      </c>
      <c r="BO1181" s="60" t="n">
        <v>1181</v>
      </c>
      <c r="BP1181" s="55" t="str">
        <f aca="false">IF(S1181&lt;&gt;"",UPPER(TRIM(S1181)),IF(O1181="","LOSE",O1181))</f>
        <v>S51</v>
      </c>
      <c r="BQ1181" s="57" t="n">
        <f aca="false">IF(BP1181="LOSE",1,IF(N(T1181)&gt;0,T1181,IF(N(P1181)&gt;0,P1181,MAX(1,G1181))))</f>
        <v>35</v>
      </c>
      <c r="BR1181" s="60" t="n">
        <f aca="false">IF(BP1181="LOSE",1,0)</f>
        <v>0</v>
      </c>
      <c r="BS1181" s="59" t="n">
        <f aca="false">IF(BR1181=0,0,IF(N(R1181)&gt;0,R1181,IFERROR(VLOOKUP(D1181,Parameter!$A$35:$C$64,3,0)+0,0)))</f>
        <v>0</v>
      </c>
      <c r="BT1181" s="55" t="n">
        <f aca="false">IF(Y1181&lt;&gt;"",Y1181,X1181)</f>
        <v>3</v>
      </c>
      <c r="BU1181" s="55" t="str">
        <f aca="false">IF(BT1181=1,"L1",IF(OR(BT1181=2,BT1181=3),"L23",IF(BT1181="Aussen","Aussen","-")))</f>
        <v>L23</v>
      </c>
      <c r="BV1181" s="66" t="n">
        <f aca="false">IF(N(Z1181)&gt;0,Z1181,0)</f>
        <v>0</v>
      </c>
      <c r="BW1181" s="60" t="n">
        <f aca="false">IF(ISNUMBER(AC1181),1,0)</f>
        <v>0</v>
      </c>
      <c r="BX1181" s="57" t="n">
        <f aca="false">N(AC1181)</f>
        <v>0</v>
      </c>
      <c r="BY1181" s="57" t="n">
        <f aca="false">N(L1181)+N(M1181)</f>
        <v>25</v>
      </c>
      <c r="BZ1181" s="57" t="n">
        <f aca="false">ROUNDUP(G1181/BQ1181,0)</f>
        <v>0</v>
      </c>
      <c r="CA1181" s="57" t="n">
        <f aca="false">ROUNDUP(BX1181/BQ1181,0)</f>
        <v>0</v>
      </c>
      <c r="CB1181" s="60" t="n">
        <f aca="false">IF(BR1181=1,0,IFERROR(VLOOKUP(BP1181,'Gebinde-Kategorie'!$A$5:$M$45,5,0)+0,0))</f>
        <v>11</v>
      </c>
      <c r="CC1181" s="60" t="n">
        <f aca="false">IFERROR(IF(OR(BT1181=1,BT1181=2,BT1181=3),N(INDEX(Parameter!$I$5:$I$7,BT1181)),0),0)</f>
        <v>0</v>
      </c>
      <c r="CD1181" s="59" t="n">
        <f aca="false">IF(AND(Parameter!$B$21="Ja",ISNUMBER(U1181),N(V1181)&gt;0),IFERROR(N(INDEX(Parameter!$L$5:$L$7,U1181))*INDEX(Parameter!$E$5:$E$7,U1181)*V1181/SUMIFS($V$7:$V$1576,$U$7:$U$1576,U1181),0),0)</f>
        <v>0</v>
      </c>
    </row>
    <row r="1182" customFormat="false" ht="15" hidden="false" customHeight="false" outlineLevel="0" collapsed="false">
      <c r="A1182" s="55" t="s">
        <v>2113</v>
      </c>
      <c r="B1182" s="55" t="s">
        <v>2114</v>
      </c>
      <c r="C1182" s="55" t="s">
        <v>160</v>
      </c>
      <c r="D1182" s="55" t="s">
        <v>178</v>
      </c>
      <c r="E1182" s="55" t="s">
        <v>210</v>
      </c>
      <c r="F1182" s="56" t="n">
        <v>63.61</v>
      </c>
      <c r="G1182" s="57" t="n">
        <f aca="false">MAX(0,IF(AND(Parameter!$B$21="Ja",ISNUMBER(W1182)),W1182,IF(Parameter!$B$20="Jahresanfang 2025 + Export",BJ1182+BI1182,BI1182)))</f>
        <v>15</v>
      </c>
      <c r="H1182" s="57" t="n">
        <f aca="false">G1182*F1182</f>
        <v>954.15</v>
      </c>
      <c r="I1182" s="57" t="n">
        <f aca="false">BL1182*Parameter!$B$18</f>
        <v>248</v>
      </c>
      <c r="J1182" s="58" t="n">
        <v>78</v>
      </c>
      <c r="K1182" s="59" t="n">
        <v>3.17948717948718</v>
      </c>
      <c r="L1182" s="57" t="n">
        <v>14</v>
      </c>
      <c r="M1182" s="57" t="n">
        <v>30</v>
      </c>
      <c r="N1182" s="60" t="n">
        <v>21</v>
      </c>
      <c r="O1182" s="55" t="s">
        <v>284</v>
      </c>
      <c r="P1182" s="57" t="n">
        <v>27</v>
      </c>
      <c r="Q1182" s="60" t="n">
        <f aca="false">IF(BR1182=1,0,IFERROR(VLOOKUP(BP1182,'Gebinde-Kategorie'!$A$5:$M$45,13,0)+0,0))</f>
        <v>12</v>
      </c>
      <c r="R1182" s="61"/>
      <c r="S1182" s="62"/>
      <c r="T1182" s="62"/>
      <c r="U1182" s="55"/>
      <c r="V1182" s="57"/>
      <c r="W1182" s="57"/>
      <c r="X1182" s="55" t="n">
        <f aca="false">IF(A1182="","",IF(AND(Parameter!$B$21="Ja",ISNUMBER(U1182)),U1182,IF(IFERROR(VLOOKUP(D1182,Parameter!$A$35:$C$64,2,0),"Nein")="2+3",IF(ISNUMBER(SEARCH("grosser Artikel",BM1182)),2,IFERROR(VLOOKUP(BP1182,Parameter!$F$35:$G$64,2,0),2)),IF(OR(IFERROR(VLOOKUP(D1182,Parameter!$A$35:$C$64,2,0),"Nein")="Nein",IFERROR(VLOOKUP(D1182,Parameter!$A$35:$C$64,2,0),"Nein")=""),"-",VLOOKUP(D1182,Parameter!$A$35:$C$64,2,0)))))</f>
        <v>2</v>
      </c>
      <c r="Y1182" s="62"/>
      <c r="Z1182" s="63"/>
      <c r="AA1182" s="57" t="n">
        <f aca="false">AP1182</f>
        <v>135</v>
      </c>
      <c r="AB1182" s="57" t="n">
        <f aca="false">MAX(AP1182,G1182)</f>
        <v>135</v>
      </c>
      <c r="AC1182" s="64"/>
      <c r="AD1182" s="57" t="n">
        <f aca="false">IF(LEFT(Cockpit!$C$5,1)="A",G1182,IF(BW1182=1,BX1182,IF(LEFT(Cockpit!$C$5,1)="B",AH1182,MAX(AH1182,G1182))))</f>
        <v>15</v>
      </c>
      <c r="AE1182" s="57" t="n">
        <f aca="false">IF(BR1182=1,0,ROUNDUP(AD1182/BQ1182,0))</f>
        <v>1</v>
      </c>
      <c r="AF1182" s="59" t="n">
        <f aca="false">IF(CD1182&gt;0,CD1182*MAX(1,AD1182/V1182),IF(BR1182=1,IF(AD1182&lt;=0,0,BS1182*MAX(1,IF(G1182&gt;0,AD1182/G1182,1))),IF(Q1182&gt;0,AE1182/Q1182,0))/MAX(0.1,N(Parameter!$M$21)))</f>
        <v>0.0833333333333333</v>
      </c>
      <c r="AG1182" s="57" t="n">
        <f aca="false">AD1182*F1182</f>
        <v>954.15</v>
      </c>
      <c r="AH1182" s="57" t="n">
        <f aca="false">ROUNDUP(MAX(I1182/IF(BV1182&gt;0,BV1182,MAX(0.1,N(Cockpit!$C$6))),BY1182)/BQ1182,0)*BQ1182</f>
        <v>135</v>
      </c>
      <c r="AI1182" s="58" t="n">
        <f aca="false">IF(AF1182&gt;0,I1182/AF1182,-1)</f>
        <v>2976</v>
      </c>
      <c r="AJ1182" s="58" t="n">
        <f aca="false">IF(AND(OR(BU1182="L1",BU1182="L23"),AF1182&gt;0),SUMIFS($AF$7:$AF$1576,$BU$7:$BU$1576,BU1182,$AI$7:$AI$1576,"&gt;"&amp;AI1182)+SUMIFS($AF$7:$AF$1576,$BU$7:$BU$1576,BU1182,$AI$7:$AI$1576,AI1182,$BO$7:$BO$1576,"&lt;="&amp;BO1182),"")</f>
        <v>5.02717273065099</v>
      </c>
      <c r="AK1182" s="65" t="n">
        <f aca="false">IF(AJ1182="",0,MAX(0,MIN(1,(IF(BU1182="L1",Parameter!$E$5,Parameter!$E$6+Parameter!$E$7)-(AJ1182-AF1182))/AF1182)))</f>
        <v>1</v>
      </c>
      <c r="AL1182" s="57" t="n">
        <f aca="false">IF(LEFT(Cockpit!$I$5,1)="A",G1182,IF(BW1182=1,BX1182,IF(LEFT(Cockpit!$I$5,1)="B",AP1182,MAX(AP1182,G1182))))</f>
        <v>135</v>
      </c>
      <c r="AM1182" s="57" t="n">
        <f aca="false">IF(BR1182=1,0,ROUNDUP(AL1182/BQ1182,0))</f>
        <v>5</v>
      </c>
      <c r="AN1182" s="59" t="n">
        <f aca="false">IF(CD1182&gt;0,CD1182*MAX(1,AL1182/V1182),IF(BR1182=1,IF(AL1182&lt;=0,0,BS1182*MAX(1,IF(G1182&gt;0,AL1182/G1182,1))),IF(Q1182&gt;0,AM1182/Q1182,0))/MAX(0.1,N(Parameter!$M$21)))</f>
        <v>0.416666666666667</v>
      </c>
      <c r="AO1182" s="57" t="n">
        <f aca="false">AL1182*F1182</f>
        <v>8587.35</v>
      </c>
      <c r="AP1182" s="57" t="n">
        <f aca="false">ROUNDUP(MAX(I1182/IF(BV1182&gt;0,BV1182,MAX(0.1,N(Cockpit!$I$6))),BY1182)/BQ1182,0)*BQ1182</f>
        <v>135</v>
      </c>
      <c r="AQ1182" s="58" t="n">
        <f aca="false">IF(AN1182&gt;0,I1182/AN1182,-1)</f>
        <v>595.2</v>
      </c>
      <c r="AR1182" s="58" t="n">
        <f aca="false">IF(AND(OR(BU1182="L1",BU1182="L23"),AN1182&gt;0),SUMIFS($AN$7:$AN$1576,$BU$7:$BU$1576,BU1182,$AQ$7:$AQ$1576,"&gt;"&amp;AQ1182)+SUMIFS($AN$7:$AN$1576,$BU$7:$BU$1576,BU1182,$AQ$7:$AQ$1576,AQ1182,$BO$7:$BO$1576,"&lt;="&amp;BO1182),"")</f>
        <v>31.5191276963128</v>
      </c>
      <c r="AS1182" s="65" t="n">
        <f aca="false">IF(AR1182="",0,MAX(0,MIN(1,(IF(BU1182="L1",Parameter!$E$5,Parameter!$E$6+Parameter!$E$7)-(AR1182-AN1182))/AN1182)))</f>
        <v>1</v>
      </c>
      <c r="AT1182" s="57" t="n">
        <f aca="false">IF(LEFT(Cockpit!$O$5,1)="A",G1182,IF(BW1182=1,BX1182,IF(LEFT(Cockpit!$O$5,1)="B",AX1182,MAX(AX1182,G1182))))</f>
        <v>108</v>
      </c>
      <c r="AU1182" s="57" t="n">
        <f aca="false">IF(BR1182=1,0,ROUNDUP(AT1182/BQ1182,0))</f>
        <v>4</v>
      </c>
      <c r="AV1182" s="59" t="n">
        <f aca="false">IF(CD1182&gt;0,CD1182*MAX(1,AT1182/V1182),IF(BR1182=1,IF(AT1182&lt;=0,0,BS1182*MAX(1,IF(G1182&gt;0,AT1182/G1182,1))),IF(Q1182&gt;0,AU1182/Q1182,0))/MAX(0.1,N(Parameter!$M$21)))</f>
        <v>0.333333333333333</v>
      </c>
      <c r="AW1182" s="57" t="n">
        <f aca="false">AT1182*F1182</f>
        <v>6869.88</v>
      </c>
      <c r="AX1182" s="57" t="n">
        <f aca="false">ROUNDUP(MAX(I1182/IF(BV1182&gt;0,BV1182,MAX(0.1,N(Cockpit!$O$6))),BY1182)/BQ1182,0)*BQ1182</f>
        <v>108</v>
      </c>
      <c r="AY1182" s="58" t="n">
        <f aca="false">IF(AV1182&gt;0,I1182/AV1182,-1)</f>
        <v>744</v>
      </c>
      <c r="AZ1182" s="58" t="n">
        <f aca="false">IF(AND(OR(BU1182="L1",BU1182="L23"),AV1182&gt;0),SUMIFS($AV$7:$AV$1576,$BU$7:$BU$1576,BU1182,$AY$7:$AY$1576,"&gt;"&amp;AY1182)+SUMIFS($AV$7:$AV$1576,$BU$7:$BU$1576,BU1182,$AY$7:$AY$1576,AY1182,$BO$7:$BO$1576,"&lt;="&amp;BO1182),"")</f>
        <v>27.5967034538885</v>
      </c>
      <c r="BA1182" s="65" t="n">
        <f aca="false">IF(AZ1182="",0,MAX(0,MIN(1,(IF(BU1182="L1",Parameter!$E$5,Parameter!$E$6+Parameter!$E$7)-(AZ1182-AV1182))/AV1182)))</f>
        <v>1</v>
      </c>
      <c r="BB1182" s="55" t="str">
        <f aca="false">IF(AF1182&lt;=0,"",IF(BU1182="Aussen","Aussenlager",IF(BU1182="-","Nicht im Lift",IF(AK1182&gt;=1,"Lift",IF(AK1182&lt;=0,"Aussenlager","teilweise")))))</f>
        <v>Lift</v>
      </c>
      <c r="BC1182" s="55" t="str">
        <f aca="false">IF(AN1182&lt;=0,"",IF(BU1182="Aussen","Aussenlager",IF(BU1182="-","Nicht im Lift",IF(AS1182&gt;=1,"Lift",IF(AS1182&lt;=0,"Aussenlager","teilweise")))))</f>
        <v>Lift</v>
      </c>
      <c r="BD1182" s="55" t="str">
        <f aca="false">IF(AV1182&lt;=0,"",IF(BU1182="Aussen","Aussenlager",IF(BU1182="-","Nicht im Lift",IF(BA1182&gt;=1,"Lift",IF(BA1182&lt;=0,"Aussenlager","teilweise")))))</f>
        <v>Lift</v>
      </c>
      <c r="BE1182" s="55" t="str">
        <f aca="false">IF(A1182="","",IF(BN1182=1,"Neu; ","")&amp;IF(AND(BN1182=0,BI1182&lt;0),"negativer Bestand (Export "&amp;BI1182&amp;"); ","")&amp;IF(I1182&lt;=0,"Kein Verbrauch; ","")&amp;IF(CD1182&gt;0,"Lift "&amp;U1182&amp;" lt. Liftbericht (Fach "&amp;V1182&amp;" Stk); ",IF(BR1182=1,"Lose – Fläche geschätzt; ",""))&amp;IF(G1182&gt;AP1182,"Überbestand "&amp;ROUND(G1182-AP1182,0)&amp;" Stk / CHF "&amp;ROUND((G1182-AP1182)*F1182,0)&amp;"; ","")&amp;IF(AND(BW1182=1,BX1182&lt;BY1182),"MAX &lt; MB+LG; ","")&amp;IF(AND(CC1182&gt;0,CB1182*10&gt;CC1182),"zu hoch für Tablar; ","")&amp;IF(AND(BN1182=0,OR(BW1182=1,Y1182&lt;&gt;"",S1182&lt;&gt;"",T1182&lt;&gt;"",Z1182&lt;&gt;"")),"manuell übersteuert; ","")&amp;IF(AND(BR1182=0,Q1182=0),"Gebinde unbekannt / Stellmass fehlt; ","")&amp;IF(AND(BR1182=0,N(T1182)&lt;=0,N(P1182)&lt;=0),"Menge pro Gebinde fehlt (Ist = 1 Gebinde); ","")&amp;BM1182)</f>
        <v/>
      </c>
      <c r="BF1182" s="55"/>
      <c r="BG1182" s="55"/>
      <c r="BH1182" s="62"/>
      <c r="BI1182" s="57" t="n">
        <v>15</v>
      </c>
      <c r="BJ1182" s="57" t="n">
        <v>51</v>
      </c>
      <c r="BK1182" s="56" t="n">
        <v>-384.089999999989</v>
      </c>
      <c r="BL1182" s="57" t="n">
        <v>248</v>
      </c>
      <c r="BM1182" s="55"/>
      <c r="BN1182" s="60" t="n">
        <v>0</v>
      </c>
      <c r="BO1182" s="60" t="n">
        <v>1182</v>
      </c>
      <c r="BP1182" s="55" t="str">
        <f aca="false">IF(S1182&lt;&gt;"",UPPER(TRIM(S1182)),IF(O1182="","LOSE",O1182))</f>
        <v>S62</v>
      </c>
      <c r="BQ1182" s="57" t="n">
        <f aca="false">IF(BP1182="LOSE",1,IF(N(T1182)&gt;0,T1182,IF(N(P1182)&gt;0,P1182,MAX(1,G1182))))</f>
        <v>27</v>
      </c>
      <c r="BR1182" s="60" t="n">
        <f aca="false">IF(BP1182="LOSE",1,0)</f>
        <v>0</v>
      </c>
      <c r="BS1182" s="59" t="n">
        <f aca="false">IF(BR1182=0,0,IF(N(R1182)&gt;0,R1182,IFERROR(VLOOKUP(D1182,Parameter!$A$35:$C$64,3,0)+0,0)))</f>
        <v>0</v>
      </c>
      <c r="BT1182" s="55" t="n">
        <f aca="false">IF(Y1182&lt;&gt;"",Y1182,X1182)</f>
        <v>2</v>
      </c>
      <c r="BU1182" s="55" t="str">
        <f aca="false">IF(BT1182=1,"L1",IF(OR(BT1182=2,BT1182=3),"L23",IF(BT1182="Aussen","Aussen","-")))</f>
        <v>L23</v>
      </c>
      <c r="BV1182" s="66" t="n">
        <f aca="false">IF(N(Z1182)&gt;0,Z1182,0)</f>
        <v>0</v>
      </c>
      <c r="BW1182" s="60" t="n">
        <f aca="false">IF(ISNUMBER(AC1182),1,0)</f>
        <v>0</v>
      </c>
      <c r="BX1182" s="57" t="n">
        <f aca="false">N(AC1182)</f>
        <v>0</v>
      </c>
      <c r="BY1182" s="57" t="n">
        <f aca="false">N(L1182)+N(M1182)</f>
        <v>44</v>
      </c>
      <c r="BZ1182" s="57" t="n">
        <f aca="false">ROUNDUP(G1182/BQ1182,0)</f>
        <v>1</v>
      </c>
      <c r="CA1182" s="57" t="n">
        <f aca="false">ROUNDUP(BX1182/BQ1182,0)</f>
        <v>0</v>
      </c>
      <c r="CB1182" s="60" t="n">
        <f aca="false">IF(BR1182=1,0,IFERROR(VLOOKUP(BP1182,'Gebinde-Kategorie'!$A$5:$M$45,5,0)+0,0))</f>
        <v>21</v>
      </c>
      <c r="CC1182" s="60" t="n">
        <f aca="false">IFERROR(IF(OR(BT1182=1,BT1182=2,BT1182=3),N(INDEX(Parameter!$I$5:$I$7,BT1182)),0),0)</f>
        <v>0</v>
      </c>
      <c r="CD1182" s="59" t="n">
        <f aca="false">IF(AND(Parameter!$B$21="Ja",ISNUMBER(U1182),N(V1182)&gt;0),IFERROR(N(INDEX(Parameter!$L$5:$L$7,U1182))*INDEX(Parameter!$E$5:$E$7,U1182)*V1182/SUMIFS($V$7:$V$1576,$U$7:$U$1576,U1182),0),0)</f>
        <v>0</v>
      </c>
    </row>
    <row r="1183" customFormat="false" ht="15" hidden="false" customHeight="false" outlineLevel="0" collapsed="false">
      <c r="A1183" s="55" t="s">
        <v>2115</v>
      </c>
      <c r="B1183" s="55" t="s">
        <v>2116</v>
      </c>
      <c r="C1183" s="55" t="s">
        <v>160</v>
      </c>
      <c r="D1183" s="55" t="s">
        <v>178</v>
      </c>
      <c r="E1183" s="55" t="s">
        <v>210</v>
      </c>
      <c r="F1183" s="56" t="n">
        <v>181.86</v>
      </c>
      <c r="G1183" s="57" t="n">
        <f aca="false">MAX(0,IF(AND(Parameter!$B$21="Ja",ISNUMBER(W1183)),W1183,IF(Parameter!$B$20="Jahresanfang 2025 + Export",BJ1183+BI1183,BI1183)))</f>
        <v>0</v>
      </c>
      <c r="H1183" s="57" t="n">
        <f aca="false">G1183*F1183</f>
        <v>0</v>
      </c>
      <c r="I1183" s="57" t="n">
        <f aca="false">BL1183*Parameter!$B$18</f>
        <v>20</v>
      </c>
      <c r="J1183" s="58" t="n">
        <v>8.5</v>
      </c>
      <c r="K1183" s="59" t="n">
        <v>2.35294117647059</v>
      </c>
      <c r="L1183" s="57" t="n">
        <v>1</v>
      </c>
      <c r="M1183" s="57" t="n">
        <v>15</v>
      </c>
      <c r="N1183" s="60" t="n">
        <v>28</v>
      </c>
      <c r="O1183" s="55" t="s">
        <v>225</v>
      </c>
      <c r="P1183" s="57" t="n">
        <v>30</v>
      </c>
      <c r="Q1183" s="60" t="n">
        <f aca="false">IF(BR1183=1,0,IFERROR(VLOOKUP(BP1183,'Gebinde-Kategorie'!$A$5:$M$45,13,0)+0,0))</f>
        <v>26</v>
      </c>
      <c r="R1183" s="61"/>
      <c r="S1183" s="62"/>
      <c r="T1183" s="62"/>
      <c r="U1183" s="55"/>
      <c r="V1183" s="57"/>
      <c r="W1183" s="57"/>
      <c r="X1183" s="55" t="n">
        <f aca="false">IF(A1183="","",IF(AND(Parameter!$B$21="Ja",ISNUMBER(U1183)),U1183,IF(IFERROR(VLOOKUP(D1183,Parameter!$A$35:$C$64,2,0),"Nein")="2+3",IF(ISNUMBER(SEARCH("grosser Artikel",BM1183)),2,IFERROR(VLOOKUP(BP1183,Parameter!$F$35:$G$64,2,0),2)),IF(OR(IFERROR(VLOOKUP(D1183,Parameter!$A$35:$C$64,2,0),"Nein")="Nein",IFERROR(VLOOKUP(D1183,Parameter!$A$35:$C$64,2,0),"Nein")=""),"-",VLOOKUP(D1183,Parameter!$A$35:$C$64,2,0)))))</f>
        <v>3</v>
      </c>
      <c r="Y1183" s="62"/>
      <c r="Z1183" s="63"/>
      <c r="AA1183" s="57" t="n">
        <f aca="false">AP1183</f>
        <v>30</v>
      </c>
      <c r="AB1183" s="57" t="n">
        <f aca="false">MAX(AP1183,G1183)</f>
        <v>30</v>
      </c>
      <c r="AC1183" s="64"/>
      <c r="AD1183" s="57" t="n">
        <f aca="false">IF(LEFT(Cockpit!$C$5,1)="A",G1183,IF(BW1183=1,BX1183,IF(LEFT(Cockpit!$C$5,1)="B",AH1183,MAX(AH1183,G1183))))</f>
        <v>0</v>
      </c>
      <c r="AE1183" s="57" t="n">
        <f aca="false">IF(BR1183=1,0,ROUNDUP(AD1183/BQ1183,0))</f>
        <v>0</v>
      </c>
      <c r="AF1183" s="59" t="n">
        <f aca="false">IF(CD1183&gt;0,CD1183*MAX(1,AD1183/V1183),IF(BR1183=1,IF(AD1183&lt;=0,0,BS1183*MAX(1,IF(G1183&gt;0,AD1183/G1183,1))),IF(Q1183&gt;0,AE1183/Q1183,0))/MAX(0.1,N(Parameter!$M$21)))</f>
        <v>0</v>
      </c>
      <c r="AG1183" s="57" t="n">
        <f aca="false">AD1183*F1183</f>
        <v>0</v>
      </c>
      <c r="AH1183" s="57" t="n">
        <f aca="false">ROUNDUP(MAX(I1183/IF(BV1183&gt;0,BV1183,MAX(0.1,N(Cockpit!$C$6))),BY1183)/BQ1183,0)*BQ1183</f>
        <v>30</v>
      </c>
      <c r="AI1183" s="58" t="n">
        <f aca="false">IF(AF1183&gt;0,I1183/AF1183,-1)</f>
        <v>-1</v>
      </c>
      <c r="AJ1183" s="58" t="str">
        <f aca="false">IF(AND(OR(BU1183="L1",BU1183="L23"),AF1183&gt;0),SUMIFS($AF$7:$AF$1576,$BU$7:$BU$1576,BU1183,$AI$7:$AI$1576,"&gt;"&amp;AI1183)+SUMIFS($AF$7:$AF$1576,$BU$7:$BU$1576,BU1183,$AI$7:$AI$1576,AI1183,$BO$7:$BO$1576,"&lt;="&amp;BO1183),"")</f>
        <v/>
      </c>
      <c r="AK1183" s="65" t="n">
        <f aca="false">IF(AJ1183="",0,MAX(0,MIN(1,(IF(BU1183="L1",Parameter!$E$5,Parameter!$E$6+Parameter!$E$7)-(AJ1183-AF1183))/AF1183)))</f>
        <v>0</v>
      </c>
      <c r="AL1183" s="57" t="n">
        <f aca="false">IF(LEFT(Cockpit!$I$5,1)="A",G1183,IF(BW1183=1,BX1183,IF(LEFT(Cockpit!$I$5,1)="B",AP1183,MAX(AP1183,G1183))))</f>
        <v>30</v>
      </c>
      <c r="AM1183" s="57" t="n">
        <f aca="false">IF(BR1183=1,0,ROUNDUP(AL1183/BQ1183,0))</f>
        <v>1</v>
      </c>
      <c r="AN1183" s="59" t="n">
        <f aca="false">IF(CD1183&gt;0,CD1183*MAX(1,AL1183/V1183),IF(BR1183=1,IF(AL1183&lt;=0,0,BS1183*MAX(1,IF(G1183&gt;0,AL1183/G1183,1))),IF(Q1183&gt;0,AM1183/Q1183,0))/MAX(0.1,N(Parameter!$M$21)))</f>
        <v>0.0384615384615385</v>
      </c>
      <c r="AO1183" s="57" t="n">
        <f aca="false">AL1183*F1183</f>
        <v>5455.8</v>
      </c>
      <c r="AP1183" s="57" t="n">
        <f aca="false">ROUNDUP(MAX(I1183/IF(BV1183&gt;0,BV1183,MAX(0.1,N(Cockpit!$I$6))),BY1183)/BQ1183,0)*BQ1183</f>
        <v>30</v>
      </c>
      <c r="AQ1183" s="58" t="n">
        <f aca="false">IF(AN1183&gt;0,I1183/AN1183,-1)</f>
        <v>520</v>
      </c>
      <c r="AR1183" s="58" t="n">
        <f aca="false">IF(AND(OR(BU1183="L1",BU1183="L23"),AN1183&gt;0),SUMIFS($AN$7:$AN$1576,$BU$7:$BU$1576,BU1183,$AQ$7:$AQ$1576,"&gt;"&amp;AQ1183)+SUMIFS($AN$7:$AN$1576,$BU$7:$BU$1576,BU1183,$AQ$7:$AQ$1576,AQ1183,$BO$7:$BO$1576,"&lt;="&amp;BO1183),"")</f>
        <v>33.3006816978668</v>
      </c>
      <c r="AS1183" s="65" t="n">
        <f aca="false">IF(AR1183="",0,MAX(0,MIN(1,(IF(BU1183="L1",Parameter!$E$5,Parameter!$E$6+Parameter!$E$7)-(AR1183-AN1183))/AN1183)))</f>
        <v>1</v>
      </c>
      <c r="AT1183" s="57" t="n">
        <f aca="false">IF(LEFT(Cockpit!$O$5,1)="A",G1183,IF(BW1183=1,BX1183,IF(LEFT(Cockpit!$O$5,1)="B",AX1183,MAX(AX1183,G1183))))</f>
        <v>30</v>
      </c>
      <c r="AU1183" s="57" t="n">
        <f aca="false">IF(BR1183=1,0,ROUNDUP(AT1183/BQ1183,0))</f>
        <v>1</v>
      </c>
      <c r="AV1183" s="59" t="n">
        <f aca="false">IF(CD1183&gt;0,CD1183*MAX(1,AT1183/V1183),IF(BR1183=1,IF(AT1183&lt;=0,0,BS1183*MAX(1,IF(G1183&gt;0,AT1183/G1183,1))),IF(Q1183&gt;0,AU1183/Q1183,0))/MAX(0.1,N(Parameter!$M$21)))</f>
        <v>0.0384615384615385</v>
      </c>
      <c r="AW1183" s="57" t="n">
        <f aca="false">AT1183*F1183</f>
        <v>5455.8</v>
      </c>
      <c r="AX1183" s="57" t="n">
        <f aca="false">ROUNDUP(MAX(I1183/IF(BV1183&gt;0,BV1183,MAX(0.1,N(Cockpit!$O$6))),BY1183)/BQ1183,0)*BQ1183</f>
        <v>30</v>
      </c>
      <c r="AY1183" s="58" t="n">
        <f aca="false">IF(AV1183&gt;0,I1183/AV1183,-1)</f>
        <v>520</v>
      </c>
      <c r="AZ1183" s="58" t="n">
        <f aca="false">IF(AND(OR(BU1183="L1",BU1183="L23"),AV1183&gt;0),SUMIFS($AV$7:$AV$1576,$BU$7:$BU$1576,BU1183,$AY$7:$AY$1576,"&gt;"&amp;AY1183)+SUMIFS($AV$7:$AV$1576,$BU$7:$BU$1576,BU1183,$AY$7:$AY$1576,AY1183,$BO$7:$BO$1576,"&lt;="&amp;BO1183),"")</f>
        <v>31.3773683445534</v>
      </c>
      <c r="BA1183" s="65" t="n">
        <f aca="false">IF(AZ1183="",0,MAX(0,MIN(1,(IF(BU1183="L1",Parameter!$E$5,Parameter!$E$6+Parameter!$E$7)-(AZ1183-AV1183))/AV1183)))</f>
        <v>1</v>
      </c>
      <c r="BB1183" s="55" t="str">
        <f aca="false">IF(AF1183&lt;=0,"",IF(BU1183="Aussen","Aussenlager",IF(BU1183="-","Nicht im Lift",IF(AK1183&gt;=1,"Lift",IF(AK1183&lt;=0,"Aussenlager","teilweise")))))</f>
        <v/>
      </c>
      <c r="BC1183" s="55" t="str">
        <f aca="false">IF(AN1183&lt;=0,"",IF(BU1183="Aussen","Aussenlager",IF(BU1183="-","Nicht im Lift",IF(AS1183&gt;=1,"Lift",IF(AS1183&lt;=0,"Aussenlager","teilweise")))))</f>
        <v>Lift</v>
      </c>
      <c r="BD1183" s="55" t="str">
        <f aca="false">IF(AV1183&lt;=0,"",IF(BU1183="Aussen","Aussenlager",IF(BU1183="-","Nicht im Lift",IF(BA1183&gt;=1,"Lift",IF(BA1183&lt;=0,"Aussenlager","teilweise")))))</f>
        <v>Lift</v>
      </c>
      <c r="BE1183" s="55" t="str">
        <f aca="false">IF(A1183="","",IF(BN1183=1,"Neu; ","")&amp;IF(AND(BN1183=0,BI1183&lt;0),"negativer Bestand (Export "&amp;BI1183&amp;"); ","")&amp;IF(I1183&lt;=0,"Kein Verbrauch; ","")&amp;IF(CD1183&gt;0,"Lift "&amp;U1183&amp;" lt. Liftbericht (Fach "&amp;V1183&amp;" Stk); ",IF(BR1183=1,"Lose – Fläche geschätzt; ",""))&amp;IF(G1183&gt;AP1183,"Überbestand "&amp;ROUND(G1183-AP1183,0)&amp;" Stk / CHF "&amp;ROUND((G1183-AP1183)*F1183,0)&amp;"; ","")&amp;IF(AND(BW1183=1,BX1183&lt;BY1183),"MAX &lt; MB+LG; ","")&amp;IF(AND(CC1183&gt;0,CB1183*10&gt;CC1183),"zu hoch für Tablar; ","")&amp;IF(AND(BN1183=0,OR(BW1183=1,Y1183&lt;&gt;"",S1183&lt;&gt;"",T1183&lt;&gt;"",Z1183&lt;&gt;"")),"manuell übersteuert; ","")&amp;IF(AND(BR1183=0,Q1183=0),"Gebinde unbekannt / Stellmass fehlt; ","")&amp;IF(AND(BR1183=0,N(T1183)&lt;=0,N(P1183)&lt;=0),"Menge pro Gebinde fehlt (Ist = 1 Gebinde); ","")&amp;BM1183)</f>
        <v>negativer Bestand (Export -2); </v>
      </c>
      <c r="BF1183" s="55"/>
      <c r="BG1183" s="55"/>
      <c r="BH1183" s="62"/>
      <c r="BI1183" s="57" t="n">
        <v>-2</v>
      </c>
      <c r="BJ1183" s="57" t="n">
        <v>10</v>
      </c>
      <c r="BK1183" s="56" t="n">
        <v>-385.72</v>
      </c>
      <c r="BL1183" s="57" t="n">
        <v>20</v>
      </c>
      <c r="BM1183" s="55"/>
      <c r="BN1183" s="60" t="n">
        <v>0</v>
      </c>
      <c r="BO1183" s="60" t="n">
        <v>1183</v>
      </c>
      <c r="BP1183" s="55" t="str">
        <f aca="false">IF(S1183&lt;&gt;"",UPPER(TRIM(S1183)),IF(O1183="","LOSE",O1183))</f>
        <v>S52</v>
      </c>
      <c r="BQ1183" s="57" t="n">
        <f aca="false">IF(BP1183="LOSE",1,IF(N(T1183)&gt;0,T1183,IF(N(P1183)&gt;0,P1183,MAX(1,G1183))))</f>
        <v>30</v>
      </c>
      <c r="BR1183" s="60" t="n">
        <f aca="false">IF(BP1183="LOSE",1,0)</f>
        <v>0</v>
      </c>
      <c r="BS1183" s="59" t="n">
        <f aca="false">IF(BR1183=0,0,IF(N(R1183)&gt;0,R1183,IFERROR(VLOOKUP(D1183,Parameter!$A$35:$C$64,3,0)+0,0)))</f>
        <v>0</v>
      </c>
      <c r="BT1183" s="55" t="n">
        <f aca="false">IF(Y1183&lt;&gt;"",Y1183,X1183)</f>
        <v>3</v>
      </c>
      <c r="BU1183" s="55" t="str">
        <f aca="false">IF(BT1183=1,"L1",IF(OR(BT1183=2,BT1183=3),"L23",IF(BT1183="Aussen","Aussen","-")))</f>
        <v>L23</v>
      </c>
      <c r="BV1183" s="66" t="n">
        <f aca="false">IF(N(Z1183)&gt;0,Z1183,0)</f>
        <v>0</v>
      </c>
      <c r="BW1183" s="60" t="n">
        <f aca="false">IF(ISNUMBER(AC1183),1,0)</f>
        <v>0</v>
      </c>
      <c r="BX1183" s="57" t="n">
        <f aca="false">N(AC1183)</f>
        <v>0</v>
      </c>
      <c r="BY1183" s="57" t="n">
        <f aca="false">N(L1183)+N(M1183)</f>
        <v>16</v>
      </c>
      <c r="BZ1183" s="57" t="n">
        <f aca="false">ROUNDUP(G1183/BQ1183,0)</f>
        <v>0</v>
      </c>
      <c r="CA1183" s="57" t="n">
        <f aca="false">ROUNDUP(BX1183/BQ1183,0)</f>
        <v>0</v>
      </c>
      <c r="CB1183" s="60" t="n">
        <f aca="false">IF(BR1183=1,0,IFERROR(VLOOKUP(BP1183,'Gebinde-Kategorie'!$A$5:$M$45,5,0)+0,0))</f>
        <v>21</v>
      </c>
      <c r="CC1183" s="60" t="n">
        <f aca="false">IFERROR(IF(OR(BT1183=1,BT1183=2,BT1183=3),N(INDEX(Parameter!$I$5:$I$7,BT1183)),0),0)</f>
        <v>0</v>
      </c>
      <c r="CD1183" s="59" t="n">
        <f aca="false">IF(AND(Parameter!$B$21="Ja",ISNUMBER(U1183),N(V1183)&gt;0),IFERROR(N(INDEX(Parameter!$L$5:$L$7,U1183))*INDEX(Parameter!$E$5:$E$7,U1183)*V1183/SUMIFS($V$7:$V$1576,$U$7:$U$1576,U1183),0),0)</f>
        <v>0</v>
      </c>
    </row>
    <row r="1184" customFormat="false" ht="15" hidden="false" customHeight="false" outlineLevel="0" collapsed="false">
      <c r="A1184" s="55" t="s">
        <v>2117</v>
      </c>
      <c r="B1184" s="55" t="s">
        <v>2118</v>
      </c>
      <c r="C1184" s="55" t="s">
        <v>446</v>
      </c>
      <c r="D1184" s="55" t="s">
        <v>178</v>
      </c>
      <c r="E1184" s="55" t="s">
        <v>210</v>
      </c>
      <c r="F1184" s="56" t="n">
        <v>38.88</v>
      </c>
      <c r="G1184" s="57" t="n">
        <f aca="false">MAX(0,IF(AND(Parameter!$B$21="Ja",ISNUMBER(W1184)),W1184,IF(Parameter!$B$20="Jahresanfang 2025 + Export",BJ1184+BI1184,BI1184)))</f>
        <v>0</v>
      </c>
      <c r="H1184" s="57" t="n">
        <f aca="false">G1184*F1184</f>
        <v>0</v>
      </c>
      <c r="I1184" s="57" t="n">
        <f aca="false">BL1184*Parameter!$B$18</f>
        <v>10</v>
      </c>
      <c r="J1184" s="58" t="n">
        <v>5</v>
      </c>
      <c r="K1184" s="59" t="n">
        <v>2</v>
      </c>
      <c r="L1184" s="57" t="n">
        <v>0</v>
      </c>
      <c r="M1184" s="57" t="n">
        <v>10</v>
      </c>
      <c r="N1184" s="60" t="n">
        <v>14</v>
      </c>
      <c r="O1184" s="55" t="s">
        <v>163</v>
      </c>
      <c r="P1184" s="57"/>
      <c r="Q1184" s="60" t="n">
        <f aca="false">IF(BR1184=1,0,IFERROR(VLOOKUP(BP1184,'Gebinde-Kategorie'!$A$5:$M$45,13,0)+0,0))</f>
        <v>0</v>
      </c>
      <c r="R1184" s="61"/>
      <c r="S1184" s="62"/>
      <c r="T1184" s="62"/>
      <c r="U1184" s="55"/>
      <c r="V1184" s="57"/>
      <c r="W1184" s="57"/>
      <c r="X1184" s="55" t="n">
        <f aca="false">IF(A1184="","",IF(AND(Parameter!$B$21="Ja",ISNUMBER(U1184)),U1184,IF(IFERROR(VLOOKUP(D1184,Parameter!$A$35:$C$64,2,0),"Nein")="2+3",IF(ISNUMBER(SEARCH("grosser Artikel",BM1184)),2,IFERROR(VLOOKUP(BP1184,Parameter!$F$35:$G$64,2,0),2)),IF(OR(IFERROR(VLOOKUP(D1184,Parameter!$A$35:$C$64,2,0),"Nein")="Nein",IFERROR(VLOOKUP(D1184,Parameter!$A$35:$C$64,2,0),"Nein")=""),"-",VLOOKUP(D1184,Parameter!$A$35:$C$64,2,0)))))</f>
        <v>2</v>
      </c>
      <c r="Y1184" s="62"/>
      <c r="Z1184" s="63"/>
      <c r="AA1184" s="57" t="n">
        <f aca="false">AP1184</f>
        <v>10</v>
      </c>
      <c r="AB1184" s="57" t="n">
        <f aca="false">MAX(AP1184,G1184)</f>
        <v>10</v>
      </c>
      <c r="AC1184" s="64"/>
      <c r="AD1184" s="57" t="n">
        <f aca="false">IF(LEFT(Cockpit!$C$5,1)="A",G1184,IF(BW1184=1,BX1184,IF(LEFT(Cockpit!$C$5,1)="B",AH1184,MAX(AH1184,G1184))))</f>
        <v>0</v>
      </c>
      <c r="AE1184" s="57" t="n">
        <f aca="false">IF(BR1184=1,0,ROUNDUP(AD1184/BQ1184,0))</f>
        <v>0</v>
      </c>
      <c r="AF1184" s="59" t="n">
        <f aca="false">IF(CD1184&gt;0,CD1184*MAX(1,AD1184/V1184),IF(BR1184=1,IF(AD1184&lt;=0,0,BS1184*MAX(1,IF(G1184&gt;0,AD1184/G1184,1))),IF(Q1184&gt;0,AE1184/Q1184,0))/MAX(0.1,N(Parameter!$M$21)))</f>
        <v>0</v>
      </c>
      <c r="AG1184" s="57" t="n">
        <f aca="false">AD1184*F1184</f>
        <v>0</v>
      </c>
      <c r="AH1184" s="57" t="n">
        <f aca="false">ROUNDUP(MAX(I1184/IF(BV1184&gt;0,BV1184,MAX(0.1,N(Cockpit!$C$6))),BY1184)/BQ1184,0)*BQ1184</f>
        <v>10</v>
      </c>
      <c r="AI1184" s="58" t="n">
        <f aca="false">IF(AF1184&gt;0,I1184/AF1184,-1)</f>
        <v>-1</v>
      </c>
      <c r="AJ1184" s="58" t="str">
        <f aca="false">IF(AND(OR(BU1184="L1",BU1184="L23"),AF1184&gt;0),SUMIFS($AF$7:$AF$1576,$BU$7:$BU$1576,BU1184,$AI$7:$AI$1576,"&gt;"&amp;AI1184)+SUMIFS($AF$7:$AF$1576,$BU$7:$BU$1576,BU1184,$AI$7:$AI$1576,AI1184,$BO$7:$BO$1576,"&lt;="&amp;BO1184),"")</f>
        <v/>
      </c>
      <c r="AK1184" s="65" t="n">
        <f aca="false">IF(AJ1184="",0,MAX(0,MIN(1,(IF(BU1184="L1",Parameter!$E$5,Parameter!$E$6+Parameter!$E$7)-(AJ1184-AF1184))/AF1184)))</f>
        <v>0</v>
      </c>
      <c r="AL1184" s="57" t="n">
        <f aca="false">IF(LEFT(Cockpit!$I$5,1)="A",G1184,IF(BW1184=1,BX1184,IF(LEFT(Cockpit!$I$5,1)="B",AP1184,MAX(AP1184,G1184))))</f>
        <v>10</v>
      </c>
      <c r="AM1184" s="57" t="n">
        <f aca="false">IF(BR1184=1,0,ROUNDUP(AL1184/BQ1184,0))</f>
        <v>0</v>
      </c>
      <c r="AN1184" s="59" t="n">
        <f aca="false">IF(CD1184&gt;0,CD1184*MAX(1,AL1184/V1184),IF(BR1184=1,IF(AL1184&lt;=0,0,BS1184*MAX(1,IF(G1184&gt;0,AL1184/G1184,1))),IF(Q1184&gt;0,AM1184/Q1184,0))/MAX(0.1,N(Parameter!$M$21)))</f>
        <v>0.03</v>
      </c>
      <c r="AO1184" s="57" t="n">
        <f aca="false">AL1184*F1184</f>
        <v>388.8</v>
      </c>
      <c r="AP1184" s="57" t="n">
        <f aca="false">ROUNDUP(MAX(I1184/IF(BV1184&gt;0,BV1184,MAX(0.1,N(Cockpit!$I$6))),BY1184)/BQ1184,0)*BQ1184</f>
        <v>10</v>
      </c>
      <c r="AQ1184" s="58" t="n">
        <f aca="false">IF(AN1184&gt;0,I1184/AN1184,-1)</f>
        <v>333.333333333333</v>
      </c>
      <c r="AR1184" s="58" t="n">
        <f aca="false">IF(AND(OR(BU1184="L1",BU1184="L23"),AN1184&gt;0),SUMIFS($AN$7:$AN$1576,$BU$7:$BU$1576,BU1184,$AQ$7:$AQ$1576,"&gt;"&amp;AQ1184)+SUMIFS($AN$7:$AN$1576,$BU$7:$BU$1576,BU1184,$AQ$7:$AQ$1576,AQ1184,$BO$7:$BO$1576,"&lt;="&amp;BO1184),"")</f>
        <v>41.7311086139459</v>
      </c>
      <c r="AS1184" s="65" t="n">
        <f aca="false">IF(AR1184="",0,MAX(0,MIN(1,(IF(BU1184="L1",Parameter!$E$5,Parameter!$E$6+Parameter!$E$7)-(AR1184-AN1184))/AN1184)))</f>
        <v>1</v>
      </c>
      <c r="AT1184" s="57" t="n">
        <f aca="false">IF(LEFT(Cockpit!$O$5,1)="A",G1184,IF(BW1184=1,BX1184,IF(LEFT(Cockpit!$O$5,1)="B",AX1184,MAX(AX1184,G1184))))</f>
        <v>10</v>
      </c>
      <c r="AU1184" s="57" t="n">
        <f aca="false">IF(BR1184=1,0,ROUNDUP(AT1184/BQ1184,0))</f>
        <v>0</v>
      </c>
      <c r="AV1184" s="59" t="n">
        <f aca="false">IF(CD1184&gt;0,CD1184*MAX(1,AT1184/V1184),IF(BR1184=1,IF(AT1184&lt;=0,0,BS1184*MAX(1,IF(G1184&gt;0,AT1184/G1184,1))),IF(Q1184&gt;0,AU1184/Q1184,0))/MAX(0.1,N(Parameter!$M$21)))</f>
        <v>0.03</v>
      </c>
      <c r="AW1184" s="57" t="n">
        <f aca="false">AT1184*F1184</f>
        <v>388.8</v>
      </c>
      <c r="AX1184" s="57" t="n">
        <f aca="false">ROUNDUP(MAX(I1184/IF(BV1184&gt;0,BV1184,MAX(0.1,N(Cockpit!$O$6))),BY1184)/BQ1184,0)*BQ1184</f>
        <v>10</v>
      </c>
      <c r="AY1184" s="58" t="n">
        <f aca="false">IF(AV1184&gt;0,I1184/AV1184,-1)</f>
        <v>333.333333333333</v>
      </c>
      <c r="AZ1184" s="58" t="n">
        <f aca="false">IF(AND(OR(BU1184="L1",BU1184="L23"),AV1184&gt;0),SUMIFS($AV$7:$AV$1576,$BU$7:$BU$1576,BU1184,$AY$7:$AY$1576,"&gt;"&amp;AY1184)+SUMIFS($AV$7:$AV$1576,$BU$7:$BU$1576,BU1184,$AY$7:$AY$1576,AY1184,$BO$7:$BO$1576,"&lt;="&amp;BO1184),"")</f>
        <v>38.4791872020245</v>
      </c>
      <c r="BA1184" s="65" t="n">
        <f aca="false">IF(AZ1184="",0,MAX(0,MIN(1,(IF(BU1184="L1",Parameter!$E$5,Parameter!$E$6+Parameter!$E$7)-(AZ1184-AV1184))/AV1184)))</f>
        <v>1</v>
      </c>
      <c r="BB1184" s="55" t="str">
        <f aca="false">IF(AF1184&lt;=0,"",IF(BU1184="Aussen","Aussenlager",IF(BU1184="-","Nicht im Lift",IF(AK1184&gt;=1,"Lift",IF(AK1184&lt;=0,"Aussenlager","teilweise")))))</f>
        <v/>
      </c>
      <c r="BC1184" s="55" t="str">
        <f aca="false">IF(AN1184&lt;=0,"",IF(BU1184="Aussen","Aussenlager",IF(BU1184="-","Nicht im Lift",IF(AS1184&gt;=1,"Lift",IF(AS1184&lt;=0,"Aussenlager","teilweise")))))</f>
        <v>Lift</v>
      </c>
      <c r="BD1184" s="55" t="str">
        <f aca="false">IF(AV1184&lt;=0,"",IF(BU1184="Aussen","Aussenlager",IF(BU1184="-","Nicht im Lift",IF(BA1184&gt;=1,"Lift",IF(BA1184&lt;=0,"Aussenlager","teilweise")))))</f>
        <v>Lift</v>
      </c>
      <c r="BE1184" s="55" t="str">
        <f aca="false">IF(A1184="","",IF(BN1184=1,"Neu; ","")&amp;IF(AND(BN1184=0,BI1184&lt;0),"negativer Bestand (Export "&amp;BI1184&amp;"); ","")&amp;IF(I1184&lt;=0,"Kein Verbrauch; ","")&amp;IF(CD1184&gt;0,"Lift "&amp;U1184&amp;" lt. Liftbericht (Fach "&amp;V1184&amp;" Stk); ",IF(BR1184=1,"Lose – Fläche geschätzt; ",""))&amp;IF(G1184&gt;AP1184,"Überbestand "&amp;ROUND(G1184-AP1184,0)&amp;" Stk / CHF "&amp;ROUND((G1184-AP1184)*F1184,0)&amp;"; ","")&amp;IF(AND(BW1184=1,BX1184&lt;BY1184),"MAX &lt; MB+LG; ","")&amp;IF(AND(CC1184&gt;0,CB1184*10&gt;CC1184),"zu hoch für Tablar; ","")&amp;IF(AND(BN1184=0,OR(BW1184=1,Y1184&lt;&gt;"",S1184&lt;&gt;"",T1184&lt;&gt;"",Z1184&lt;&gt;"")),"manuell übersteuert; ","")&amp;IF(AND(BR1184=0,Q1184=0),"Gebinde unbekannt / Stellmass fehlt; ","")&amp;IF(AND(BR1184=0,N(T1184)&lt;=0,N(P1184)&lt;=0),"Menge pro Gebinde fehlt (Ist = 1 Gebinde); ","")&amp;BM1184)</f>
        <v>negativer Bestand (Export -10); Lose – Fläche geschätzt; </v>
      </c>
      <c r="BF1184" s="55"/>
      <c r="BG1184" s="55"/>
      <c r="BH1184" s="62"/>
      <c r="BI1184" s="57" t="n">
        <v>-10</v>
      </c>
      <c r="BJ1184" s="57" t="n">
        <v>10</v>
      </c>
      <c r="BK1184" s="56" t="n">
        <v>-388.8</v>
      </c>
      <c r="BL1184" s="57" t="n">
        <v>10</v>
      </c>
      <c r="BM1184" s="55"/>
      <c r="BN1184" s="60" t="n">
        <v>0</v>
      </c>
      <c r="BO1184" s="60" t="n">
        <v>1184</v>
      </c>
      <c r="BP1184" s="55" t="str">
        <f aca="false">IF(S1184&lt;&gt;"",UPPER(TRIM(S1184)),IF(O1184="","LOSE",O1184))</f>
        <v>LOSE</v>
      </c>
      <c r="BQ1184" s="57" t="n">
        <f aca="false">IF(BP1184="LOSE",1,IF(N(T1184)&gt;0,T1184,IF(N(P1184)&gt;0,P1184,MAX(1,G1184))))</f>
        <v>1</v>
      </c>
      <c r="BR1184" s="60" t="n">
        <f aca="false">IF(BP1184="LOSE",1,0)</f>
        <v>1</v>
      </c>
      <c r="BS1184" s="59" t="n">
        <f aca="false">IF(BR1184=0,0,IF(N(R1184)&gt;0,R1184,IFERROR(VLOOKUP(D1184,Parameter!$A$35:$C$64,3,0)+0,0)))</f>
        <v>0.03</v>
      </c>
      <c r="BT1184" s="55" t="n">
        <f aca="false">IF(Y1184&lt;&gt;"",Y1184,X1184)</f>
        <v>2</v>
      </c>
      <c r="BU1184" s="55" t="str">
        <f aca="false">IF(BT1184=1,"L1",IF(OR(BT1184=2,BT1184=3),"L23",IF(BT1184="Aussen","Aussen","-")))</f>
        <v>L23</v>
      </c>
      <c r="BV1184" s="66" t="n">
        <f aca="false">IF(N(Z1184)&gt;0,Z1184,0)</f>
        <v>0</v>
      </c>
      <c r="BW1184" s="60" t="n">
        <f aca="false">IF(ISNUMBER(AC1184),1,0)</f>
        <v>0</v>
      </c>
      <c r="BX1184" s="57" t="n">
        <f aca="false">N(AC1184)</f>
        <v>0</v>
      </c>
      <c r="BY1184" s="57" t="n">
        <f aca="false">N(L1184)+N(M1184)</f>
        <v>10</v>
      </c>
      <c r="BZ1184" s="57" t="n">
        <f aca="false">ROUNDUP(G1184/BQ1184,0)</f>
        <v>0</v>
      </c>
      <c r="CA1184" s="57" t="n">
        <f aca="false">ROUNDUP(BX1184/BQ1184,0)</f>
        <v>0</v>
      </c>
      <c r="CB1184" s="60" t="n">
        <f aca="false">IF(BR1184=1,0,IFERROR(VLOOKUP(BP1184,'Gebinde-Kategorie'!$A$5:$M$45,5,0)+0,0))</f>
        <v>0</v>
      </c>
      <c r="CC1184" s="60" t="n">
        <f aca="false">IFERROR(IF(OR(BT1184=1,BT1184=2,BT1184=3),N(INDEX(Parameter!$I$5:$I$7,BT1184)),0),0)</f>
        <v>0</v>
      </c>
      <c r="CD1184" s="59" t="n">
        <f aca="false">IF(AND(Parameter!$B$21="Ja",ISNUMBER(U1184),N(V1184)&gt;0),IFERROR(N(INDEX(Parameter!$L$5:$L$7,U1184))*INDEX(Parameter!$E$5:$E$7,U1184)*V1184/SUMIFS($V$7:$V$1576,$U$7:$U$1576,U1184),0),0)</f>
        <v>0</v>
      </c>
    </row>
    <row r="1185" customFormat="false" ht="15" hidden="false" customHeight="false" outlineLevel="0" collapsed="false">
      <c r="A1185" s="55" t="s">
        <v>2119</v>
      </c>
      <c r="B1185" s="55" t="s">
        <v>2120</v>
      </c>
      <c r="C1185" s="55" t="s">
        <v>160</v>
      </c>
      <c r="D1185" s="55" t="s">
        <v>168</v>
      </c>
      <c r="E1185" s="55" t="s">
        <v>210</v>
      </c>
      <c r="F1185" s="56" t="n">
        <v>393.01</v>
      </c>
      <c r="G1185" s="57" t="n">
        <f aca="false">MAX(0,IF(AND(Parameter!$B$21="Ja",ISNUMBER(W1185)),W1185,IF(Parameter!$B$20="Jahresanfang 2025 + Export",BJ1185+BI1185,BI1185)))</f>
        <v>0</v>
      </c>
      <c r="H1185" s="57" t="n">
        <f aca="false">G1185*F1185</f>
        <v>0</v>
      </c>
      <c r="I1185" s="57" t="n">
        <f aca="false">BL1185*Parameter!$B$18</f>
        <v>1</v>
      </c>
      <c r="J1185" s="58" t="n">
        <v>8.5</v>
      </c>
      <c r="K1185" s="59" t="n">
        <v>0.117647058823529</v>
      </c>
      <c r="L1185" s="57" t="n">
        <v>0</v>
      </c>
      <c r="M1185" s="57" t="n">
        <v>1</v>
      </c>
      <c r="N1185" s="60" t="n">
        <v>35</v>
      </c>
      <c r="O1185" s="55" t="s">
        <v>169</v>
      </c>
      <c r="P1185" s="57" t="n">
        <v>10</v>
      </c>
      <c r="Q1185" s="60" t="n">
        <f aca="false">IF(BR1185=1,0,IFERROR(VLOOKUP(BP1185,'Gebinde-Kategorie'!$A$5:$M$45,13,0)+0,0))</f>
        <v>6</v>
      </c>
      <c r="R1185" s="61"/>
      <c r="S1185" s="62"/>
      <c r="T1185" s="62"/>
      <c r="U1185" s="55"/>
      <c r="V1185" s="57"/>
      <c r="W1185" s="57"/>
      <c r="X1185" s="55" t="n">
        <f aca="false">IF(A1185="","",IF(AND(Parameter!$B$21="Ja",ISNUMBER(U1185)),U1185,IF(IFERROR(VLOOKUP(D1185,Parameter!$A$35:$C$64,2,0),"Nein")="2+3",IF(ISNUMBER(SEARCH("grosser Artikel",BM1185)),2,IFERROR(VLOOKUP(BP1185,Parameter!$F$35:$G$64,2,0),2)),IF(OR(IFERROR(VLOOKUP(D1185,Parameter!$A$35:$C$64,2,0),"Nein")="Nein",IFERROR(VLOOKUP(D1185,Parameter!$A$35:$C$64,2,0),"Nein")=""),"-",VLOOKUP(D1185,Parameter!$A$35:$C$64,2,0)))))</f>
        <v>2</v>
      </c>
      <c r="Y1185" s="62"/>
      <c r="Z1185" s="63"/>
      <c r="AA1185" s="57" t="n">
        <f aca="false">AP1185</f>
        <v>10</v>
      </c>
      <c r="AB1185" s="57" t="n">
        <f aca="false">MAX(AP1185,G1185)</f>
        <v>10</v>
      </c>
      <c r="AC1185" s="64"/>
      <c r="AD1185" s="57" t="n">
        <f aca="false">IF(LEFT(Cockpit!$C$5,1)="A",G1185,IF(BW1185=1,BX1185,IF(LEFT(Cockpit!$C$5,1)="B",AH1185,MAX(AH1185,G1185))))</f>
        <v>0</v>
      </c>
      <c r="AE1185" s="57" t="n">
        <f aca="false">IF(BR1185=1,0,ROUNDUP(AD1185/BQ1185,0))</f>
        <v>0</v>
      </c>
      <c r="AF1185" s="59" t="n">
        <f aca="false">IF(CD1185&gt;0,CD1185*MAX(1,AD1185/V1185),IF(BR1185=1,IF(AD1185&lt;=0,0,BS1185*MAX(1,IF(G1185&gt;0,AD1185/G1185,1))),IF(Q1185&gt;0,AE1185/Q1185,0))/MAX(0.1,N(Parameter!$M$21)))</f>
        <v>0</v>
      </c>
      <c r="AG1185" s="57" t="n">
        <f aca="false">AD1185*F1185</f>
        <v>0</v>
      </c>
      <c r="AH1185" s="57" t="n">
        <f aca="false">ROUNDUP(MAX(I1185/IF(BV1185&gt;0,BV1185,MAX(0.1,N(Cockpit!$C$6))),BY1185)/BQ1185,0)*BQ1185</f>
        <v>10</v>
      </c>
      <c r="AI1185" s="58" t="n">
        <f aca="false">IF(AF1185&gt;0,I1185/AF1185,-1)</f>
        <v>-1</v>
      </c>
      <c r="AJ1185" s="58" t="str">
        <f aca="false">IF(AND(OR(BU1185="L1",BU1185="L23"),AF1185&gt;0),SUMIFS($AF$7:$AF$1576,$BU$7:$BU$1576,BU1185,$AI$7:$AI$1576,"&gt;"&amp;AI1185)+SUMIFS($AF$7:$AF$1576,$BU$7:$BU$1576,BU1185,$AI$7:$AI$1576,AI1185,$BO$7:$BO$1576,"&lt;="&amp;BO1185),"")</f>
        <v/>
      </c>
      <c r="AK1185" s="65" t="n">
        <f aca="false">IF(AJ1185="",0,MAX(0,MIN(1,(IF(BU1185="L1",Parameter!$E$5,Parameter!$E$6+Parameter!$E$7)-(AJ1185-AF1185))/AF1185)))</f>
        <v>0</v>
      </c>
      <c r="AL1185" s="57" t="n">
        <f aca="false">IF(LEFT(Cockpit!$I$5,1)="A",G1185,IF(BW1185=1,BX1185,IF(LEFT(Cockpit!$I$5,1)="B",AP1185,MAX(AP1185,G1185))))</f>
        <v>10</v>
      </c>
      <c r="AM1185" s="57" t="n">
        <f aca="false">IF(BR1185=1,0,ROUNDUP(AL1185/BQ1185,0))</f>
        <v>1</v>
      </c>
      <c r="AN1185" s="59" t="n">
        <f aca="false">IF(CD1185&gt;0,CD1185*MAX(1,AL1185/V1185),IF(BR1185=1,IF(AL1185&lt;=0,0,BS1185*MAX(1,IF(G1185&gt;0,AL1185/G1185,1))),IF(Q1185&gt;0,AM1185/Q1185,0))/MAX(0.1,N(Parameter!$M$21)))</f>
        <v>0.166666666666667</v>
      </c>
      <c r="AO1185" s="57" t="n">
        <f aca="false">AL1185*F1185</f>
        <v>3930.1</v>
      </c>
      <c r="AP1185" s="57" t="n">
        <f aca="false">ROUNDUP(MAX(I1185/IF(BV1185&gt;0,BV1185,MAX(0.1,N(Cockpit!$I$6))),BY1185)/BQ1185,0)*BQ1185</f>
        <v>10</v>
      </c>
      <c r="AQ1185" s="58" t="n">
        <f aca="false">IF(AN1185&gt;0,I1185/AN1185,-1)</f>
        <v>6</v>
      </c>
      <c r="AR1185" s="58" t="n">
        <f aca="false">IF(AND(OR(BU1185="L1",BU1185="L23"),AN1185&gt;0),SUMIFS($AN$7:$AN$1576,$BU$7:$BU$1576,BU1185,$AQ$7:$AQ$1576,"&gt;"&amp;AQ1185)+SUMIFS($AN$7:$AN$1576,$BU$7:$BU$1576,BU1185,$AQ$7:$AQ$1576,AQ1185,$BO$7:$BO$1576,"&lt;="&amp;BO1185),"")</f>
        <v>112.792434588696</v>
      </c>
      <c r="AS1185" s="65" t="n">
        <f aca="false">IF(AR1185="",0,MAX(0,MIN(1,(IF(BU1185="L1",Parameter!$E$5,Parameter!$E$6+Parameter!$E$7)-(AR1185-AN1185))/AN1185)))</f>
        <v>0</v>
      </c>
      <c r="AT1185" s="57" t="n">
        <f aca="false">IF(LEFT(Cockpit!$O$5,1)="A",G1185,IF(BW1185=1,BX1185,IF(LEFT(Cockpit!$O$5,1)="B",AX1185,MAX(AX1185,G1185))))</f>
        <v>10</v>
      </c>
      <c r="AU1185" s="57" t="n">
        <f aca="false">IF(BR1185=1,0,ROUNDUP(AT1185/BQ1185,0))</f>
        <v>1</v>
      </c>
      <c r="AV1185" s="59" t="n">
        <f aca="false">IF(CD1185&gt;0,CD1185*MAX(1,AT1185/V1185),IF(BR1185=1,IF(AT1185&lt;=0,0,BS1185*MAX(1,IF(G1185&gt;0,AT1185/G1185,1))),IF(Q1185&gt;0,AU1185/Q1185,0))/MAX(0.1,N(Parameter!$M$21)))</f>
        <v>0.166666666666667</v>
      </c>
      <c r="AW1185" s="57" t="n">
        <f aca="false">AT1185*F1185</f>
        <v>3930.1</v>
      </c>
      <c r="AX1185" s="57" t="n">
        <f aca="false">ROUNDUP(MAX(I1185/IF(BV1185&gt;0,BV1185,MAX(0.1,N(Cockpit!$O$6))),BY1185)/BQ1185,0)*BQ1185</f>
        <v>10</v>
      </c>
      <c r="AY1185" s="58" t="n">
        <f aca="false">IF(AV1185&gt;0,I1185/AV1185,-1)</f>
        <v>6</v>
      </c>
      <c r="AZ1185" s="58" t="n">
        <f aca="false">IF(AND(OR(BU1185="L1",BU1185="L23"),AV1185&gt;0),SUMIFS($AV$7:$AV$1576,$BU$7:$BU$1576,BU1185,$AY$7:$AY$1576,"&gt;"&amp;AY1185)+SUMIFS($AV$7:$AV$1576,$BU$7:$BU$1576,BU1185,$AY$7:$AY$1576,AY1185,$BO$7:$BO$1576,"&lt;="&amp;BO1185),"")</f>
        <v>102.851985038246</v>
      </c>
      <c r="BA1185" s="65" t="n">
        <f aca="false">IF(AZ1185="",0,MAX(0,MIN(1,(IF(BU1185="L1",Parameter!$E$5,Parameter!$E$6+Parameter!$E$7)-(AZ1185-AV1185))/AV1185)))</f>
        <v>0</v>
      </c>
      <c r="BB1185" s="55" t="str">
        <f aca="false">IF(AF1185&lt;=0,"",IF(BU1185="Aussen","Aussenlager",IF(BU1185="-","Nicht im Lift",IF(AK1185&gt;=1,"Lift",IF(AK1185&lt;=0,"Aussenlager","teilweise")))))</f>
        <v/>
      </c>
      <c r="BC1185" s="55" t="str">
        <f aca="false">IF(AN1185&lt;=0,"",IF(BU1185="Aussen","Aussenlager",IF(BU1185="-","Nicht im Lift",IF(AS1185&gt;=1,"Lift",IF(AS1185&lt;=0,"Aussenlager","teilweise")))))</f>
        <v>Aussenlager</v>
      </c>
      <c r="BD1185" s="55" t="str">
        <f aca="false">IF(AV1185&lt;=0,"",IF(BU1185="Aussen","Aussenlager",IF(BU1185="-","Nicht im Lift",IF(BA1185&gt;=1,"Lift",IF(BA1185&lt;=0,"Aussenlager","teilweise")))))</f>
        <v>Aussenlager</v>
      </c>
      <c r="BE1185" s="55" t="str">
        <f aca="false">IF(A1185="","",IF(BN1185=1,"Neu; ","")&amp;IF(AND(BN1185=0,BI1185&lt;0),"negativer Bestand (Export "&amp;BI1185&amp;"); ","")&amp;IF(I1185&lt;=0,"Kein Verbrauch; ","")&amp;IF(CD1185&gt;0,"Lift "&amp;U1185&amp;" lt. Liftbericht (Fach "&amp;V1185&amp;" Stk); ",IF(BR1185=1,"Lose – Fläche geschätzt; ",""))&amp;IF(G1185&gt;AP1185,"Überbestand "&amp;ROUND(G1185-AP1185,0)&amp;" Stk / CHF "&amp;ROUND((G1185-AP1185)*F1185,0)&amp;"; ","")&amp;IF(AND(BW1185=1,BX1185&lt;BY1185),"MAX &lt; MB+LG; ","")&amp;IF(AND(CC1185&gt;0,CB1185*10&gt;CC1185),"zu hoch für Tablar; ","")&amp;IF(AND(BN1185=0,OR(BW1185=1,Y1185&lt;&gt;"",S1185&lt;&gt;"",T1185&lt;&gt;"",Z1185&lt;&gt;"")),"manuell übersteuert; ","")&amp;IF(AND(BR1185=0,Q1185=0),"Gebinde unbekannt / Stellmass fehlt; ","")&amp;IF(AND(BR1185=0,N(T1185)&lt;=0,N(P1185)&lt;=0),"Menge pro Gebinde fehlt (Ist = 1 Gebinde); ","")&amp;BM1185)</f>
        <v>negativer Bestand (Export -1); </v>
      </c>
      <c r="BF1185" s="55"/>
      <c r="BG1185" s="55"/>
      <c r="BH1185" s="62"/>
      <c r="BI1185" s="57" t="n">
        <v>-1</v>
      </c>
      <c r="BJ1185" s="57" t="n">
        <v>9</v>
      </c>
      <c r="BK1185" s="56" t="n">
        <v>-393.01</v>
      </c>
      <c r="BL1185" s="57" t="n">
        <v>1</v>
      </c>
      <c r="BM1185" s="55"/>
      <c r="BN1185" s="60" t="n">
        <v>0</v>
      </c>
      <c r="BO1185" s="60" t="n">
        <v>1185</v>
      </c>
      <c r="BP1185" s="55" t="str">
        <f aca="false">IF(S1185&lt;&gt;"",UPPER(TRIM(S1185)),IF(O1185="","LOSE",O1185))</f>
        <v>S71</v>
      </c>
      <c r="BQ1185" s="57" t="n">
        <f aca="false">IF(BP1185="LOSE",1,IF(N(T1185)&gt;0,T1185,IF(N(P1185)&gt;0,P1185,MAX(1,G1185))))</f>
        <v>10</v>
      </c>
      <c r="BR1185" s="60" t="n">
        <f aca="false">IF(BP1185="LOSE",1,0)</f>
        <v>0</v>
      </c>
      <c r="BS1185" s="59" t="n">
        <f aca="false">IF(BR1185=0,0,IF(N(R1185)&gt;0,R1185,IFERROR(VLOOKUP(D1185,Parameter!$A$35:$C$64,3,0)+0,0)))</f>
        <v>0</v>
      </c>
      <c r="BT1185" s="55" t="n">
        <f aca="false">IF(Y1185&lt;&gt;"",Y1185,X1185)</f>
        <v>2</v>
      </c>
      <c r="BU1185" s="55" t="str">
        <f aca="false">IF(BT1185=1,"L1",IF(OR(BT1185=2,BT1185=3),"L23",IF(BT1185="Aussen","Aussen","-")))</f>
        <v>L23</v>
      </c>
      <c r="BV1185" s="66" t="n">
        <f aca="false">IF(N(Z1185)&gt;0,Z1185,0)</f>
        <v>0</v>
      </c>
      <c r="BW1185" s="60" t="n">
        <f aca="false">IF(ISNUMBER(AC1185),1,0)</f>
        <v>0</v>
      </c>
      <c r="BX1185" s="57" t="n">
        <f aca="false">N(AC1185)</f>
        <v>0</v>
      </c>
      <c r="BY1185" s="57" t="n">
        <f aca="false">N(L1185)+N(M1185)</f>
        <v>1</v>
      </c>
      <c r="BZ1185" s="57" t="n">
        <f aca="false">ROUNDUP(G1185/BQ1185,0)</f>
        <v>0</v>
      </c>
      <c r="CA1185" s="57" t="n">
        <f aca="false">ROUNDUP(BX1185/BQ1185,0)</f>
        <v>0</v>
      </c>
      <c r="CB1185" s="60" t="n">
        <f aca="false">IF(BR1185=1,0,IFERROR(VLOOKUP(BP1185,'Gebinde-Kategorie'!$A$5:$M$45,5,0)+0,0))</f>
        <v>20</v>
      </c>
      <c r="CC1185" s="60" t="n">
        <f aca="false">IFERROR(IF(OR(BT1185=1,BT1185=2,BT1185=3),N(INDEX(Parameter!$I$5:$I$7,BT1185)),0),0)</f>
        <v>0</v>
      </c>
      <c r="CD1185" s="59" t="n">
        <f aca="false">IF(AND(Parameter!$B$21="Ja",ISNUMBER(U1185),N(V1185)&gt;0),IFERROR(N(INDEX(Parameter!$L$5:$L$7,U1185))*INDEX(Parameter!$E$5:$E$7,U1185)*V1185/SUMIFS($V$7:$V$1576,$U$7:$U$1576,U1185),0),0)</f>
        <v>0</v>
      </c>
    </row>
    <row r="1186" customFormat="false" ht="15" hidden="false" customHeight="false" outlineLevel="0" collapsed="false">
      <c r="A1186" s="55" t="s">
        <v>2121</v>
      </c>
      <c r="B1186" s="55" t="s">
        <v>2122</v>
      </c>
      <c r="C1186" s="55" t="s">
        <v>160</v>
      </c>
      <c r="D1186" s="55" t="s">
        <v>168</v>
      </c>
      <c r="E1186" s="55" t="s">
        <v>210</v>
      </c>
      <c r="F1186" s="56" t="n">
        <v>393.01</v>
      </c>
      <c r="G1186" s="57" t="n">
        <f aca="false">MAX(0,IF(AND(Parameter!$B$21="Ja",ISNUMBER(W1186)),W1186,IF(Parameter!$B$20="Jahresanfang 2025 + Export",BJ1186+BI1186,BI1186)))</f>
        <v>0</v>
      </c>
      <c r="H1186" s="57" t="n">
        <f aca="false">G1186*F1186</f>
        <v>0</v>
      </c>
      <c r="I1186" s="57" t="n">
        <f aca="false">BL1186*Parameter!$B$18</f>
        <v>1</v>
      </c>
      <c r="J1186" s="58" t="n">
        <v>8.5</v>
      </c>
      <c r="K1186" s="59" t="n">
        <v>0.117647058823529</v>
      </c>
      <c r="L1186" s="57" t="n">
        <v>0</v>
      </c>
      <c r="M1186" s="57" t="n">
        <v>1</v>
      </c>
      <c r="N1186" s="60" t="n">
        <v>35</v>
      </c>
      <c r="O1186" s="55" t="s">
        <v>163</v>
      </c>
      <c r="P1186" s="57"/>
      <c r="Q1186" s="60" t="n">
        <f aca="false">IF(BR1186=1,0,IFERROR(VLOOKUP(BP1186,'Gebinde-Kategorie'!$A$5:$M$45,13,0)+0,0))</f>
        <v>0</v>
      </c>
      <c r="R1186" s="61"/>
      <c r="S1186" s="62"/>
      <c r="T1186" s="62"/>
      <c r="U1186" s="55"/>
      <c r="V1186" s="57"/>
      <c r="W1186" s="57"/>
      <c r="X1186" s="55" t="n">
        <f aca="false">IF(A1186="","",IF(AND(Parameter!$B$21="Ja",ISNUMBER(U1186)),U1186,IF(IFERROR(VLOOKUP(D1186,Parameter!$A$35:$C$64,2,0),"Nein")="2+3",IF(ISNUMBER(SEARCH("grosser Artikel",BM1186)),2,IFERROR(VLOOKUP(BP1186,Parameter!$F$35:$G$64,2,0),2)),IF(OR(IFERROR(VLOOKUP(D1186,Parameter!$A$35:$C$64,2,0),"Nein")="Nein",IFERROR(VLOOKUP(D1186,Parameter!$A$35:$C$64,2,0),"Nein")=""),"-",VLOOKUP(D1186,Parameter!$A$35:$C$64,2,0)))))</f>
        <v>2</v>
      </c>
      <c r="Y1186" s="62"/>
      <c r="Z1186" s="63"/>
      <c r="AA1186" s="57" t="n">
        <f aca="false">AP1186</f>
        <v>1</v>
      </c>
      <c r="AB1186" s="57" t="n">
        <f aca="false">MAX(AP1186,G1186)</f>
        <v>1</v>
      </c>
      <c r="AC1186" s="64"/>
      <c r="AD1186" s="57" t="n">
        <f aca="false">IF(LEFT(Cockpit!$C$5,1)="A",G1186,IF(BW1186=1,BX1186,IF(LEFT(Cockpit!$C$5,1)="B",AH1186,MAX(AH1186,G1186))))</f>
        <v>0</v>
      </c>
      <c r="AE1186" s="57" t="n">
        <f aca="false">IF(BR1186=1,0,ROUNDUP(AD1186/BQ1186,0))</f>
        <v>0</v>
      </c>
      <c r="AF1186" s="59" t="n">
        <f aca="false">IF(CD1186&gt;0,CD1186*MAX(1,AD1186/V1186),IF(BR1186=1,IF(AD1186&lt;=0,0,BS1186*MAX(1,IF(G1186&gt;0,AD1186/G1186,1))),IF(Q1186&gt;0,AE1186/Q1186,0))/MAX(0.1,N(Parameter!$M$21)))</f>
        <v>0</v>
      </c>
      <c r="AG1186" s="57" t="n">
        <f aca="false">AD1186*F1186</f>
        <v>0</v>
      </c>
      <c r="AH1186" s="57" t="n">
        <f aca="false">ROUNDUP(MAX(I1186/IF(BV1186&gt;0,BV1186,MAX(0.1,N(Cockpit!$C$6))),BY1186)/BQ1186,0)*BQ1186</f>
        <v>1</v>
      </c>
      <c r="AI1186" s="58" t="n">
        <f aca="false">IF(AF1186&gt;0,I1186/AF1186,-1)</f>
        <v>-1</v>
      </c>
      <c r="AJ1186" s="58" t="str">
        <f aca="false">IF(AND(OR(BU1186="L1",BU1186="L23"),AF1186&gt;0),SUMIFS($AF$7:$AF$1576,$BU$7:$BU$1576,BU1186,$AI$7:$AI$1576,"&gt;"&amp;AI1186)+SUMIFS($AF$7:$AF$1576,$BU$7:$BU$1576,BU1186,$AI$7:$AI$1576,AI1186,$BO$7:$BO$1576,"&lt;="&amp;BO1186),"")</f>
        <v/>
      </c>
      <c r="AK1186" s="65" t="n">
        <f aca="false">IF(AJ1186="",0,MAX(0,MIN(1,(IF(BU1186="L1",Parameter!$E$5,Parameter!$E$6+Parameter!$E$7)-(AJ1186-AF1186))/AF1186)))</f>
        <v>0</v>
      </c>
      <c r="AL1186" s="57" t="n">
        <f aca="false">IF(LEFT(Cockpit!$I$5,1)="A",G1186,IF(BW1186=1,BX1186,IF(LEFT(Cockpit!$I$5,1)="B",AP1186,MAX(AP1186,G1186))))</f>
        <v>1</v>
      </c>
      <c r="AM1186" s="57" t="n">
        <f aca="false">IF(BR1186=1,0,ROUNDUP(AL1186/BQ1186,0))</f>
        <v>0</v>
      </c>
      <c r="AN1186" s="59" t="n">
        <f aca="false">IF(CD1186&gt;0,CD1186*MAX(1,AL1186/V1186),IF(BR1186=1,IF(AL1186&lt;=0,0,BS1186*MAX(1,IF(G1186&gt;0,AL1186/G1186,1))),IF(Q1186&gt;0,AM1186/Q1186,0))/MAX(0.1,N(Parameter!$M$21)))</f>
        <v>0.15</v>
      </c>
      <c r="AO1186" s="57" t="n">
        <f aca="false">AL1186*F1186</f>
        <v>393.01</v>
      </c>
      <c r="AP1186" s="57" t="n">
        <f aca="false">ROUNDUP(MAX(I1186/IF(BV1186&gt;0,BV1186,MAX(0.1,N(Cockpit!$I$6))),BY1186)/BQ1186,0)*BQ1186</f>
        <v>1</v>
      </c>
      <c r="AQ1186" s="58" t="n">
        <f aca="false">IF(AN1186&gt;0,I1186/AN1186,-1)</f>
        <v>6.66666666666667</v>
      </c>
      <c r="AR1186" s="58" t="n">
        <f aca="false">IF(AND(OR(BU1186="L1",BU1186="L23"),AN1186&gt;0),SUMIFS($AN$7:$AN$1576,$BU$7:$BU$1576,BU1186,$AQ$7:$AQ$1576,"&gt;"&amp;AQ1186)+SUMIFS($AN$7:$AN$1576,$BU$7:$BU$1576,BU1186,$AQ$7:$AQ$1576,AQ1186,$BO$7:$BO$1576,"&lt;="&amp;BO1186),"")</f>
        <v>111.142434588696</v>
      </c>
      <c r="AS1186" s="65" t="n">
        <f aca="false">IF(AR1186="",0,MAX(0,MIN(1,(IF(BU1186="L1",Parameter!$E$5,Parameter!$E$6+Parameter!$E$7)-(AR1186-AN1186))/AN1186)))</f>
        <v>0</v>
      </c>
      <c r="AT1186" s="57" t="n">
        <f aca="false">IF(LEFT(Cockpit!$O$5,1)="A",G1186,IF(BW1186=1,BX1186,IF(LEFT(Cockpit!$O$5,1)="B",AX1186,MAX(AX1186,G1186))))</f>
        <v>1</v>
      </c>
      <c r="AU1186" s="57" t="n">
        <f aca="false">IF(BR1186=1,0,ROUNDUP(AT1186/BQ1186,0))</f>
        <v>0</v>
      </c>
      <c r="AV1186" s="59" t="n">
        <f aca="false">IF(CD1186&gt;0,CD1186*MAX(1,AT1186/V1186),IF(BR1186=1,IF(AT1186&lt;=0,0,BS1186*MAX(1,IF(G1186&gt;0,AT1186/G1186,1))),IF(Q1186&gt;0,AU1186/Q1186,0))/MAX(0.1,N(Parameter!$M$21)))</f>
        <v>0.15</v>
      </c>
      <c r="AW1186" s="57" t="n">
        <f aca="false">AT1186*F1186</f>
        <v>393.01</v>
      </c>
      <c r="AX1186" s="57" t="n">
        <f aca="false">ROUNDUP(MAX(I1186/IF(BV1186&gt;0,BV1186,MAX(0.1,N(Cockpit!$O$6))),BY1186)/BQ1186,0)*BQ1186</f>
        <v>1</v>
      </c>
      <c r="AY1186" s="58" t="n">
        <f aca="false">IF(AV1186&gt;0,I1186/AV1186,-1)</f>
        <v>6.66666666666667</v>
      </c>
      <c r="AZ1186" s="58" t="n">
        <f aca="false">IF(AND(OR(BU1186="L1",BU1186="L23"),AV1186&gt;0),SUMIFS($AV$7:$AV$1576,$BU$7:$BU$1576,BU1186,$AY$7:$AY$1576,"&gt;"&amp;AY1186)+SUMIFS($AV$7:$AV$1576,$BU$7:$BU$1576,BU1186,$AY$7:$AY$1576,AY1186,$BO$7:$BO$1576,"&lt;="&amp;BO1186),"")</f>
        <v>101.201985038246</v>
      </c>
      <c r="BA1186" s="65" t="n">
        <f aca="false">IF(AZ1186="",0,MAX(0,MIN(1,(IF(BU1186="L1",Parameter!$E$5,Parameter!$E$6+Parameter!$E$7)-(AZ1186-AV1186))/AV1186)))</f>
        <v>0</v>
      </c>
      <c r="BB1186" s="55" t="str">
        <f aca="false">IF(AF1186&lt;=0,"",IF(BU1186="Aussen","Aussenlager",IF(BU1186="-","Nicht im Lift",IF(AK1186&gt;=1,"Lift",IF(AK1186&lt;=0,"Aussenlager","teilweise")))))</f>
        <v/>
      </c>
      <c r="BC1186" s="55" t="str">
        <f aca="false">IF(AN1186&lt;=0,"",IF(BU1186="Aussen","Aussenlager",IF(BU1186="-","Nicht im Lift",IF(AS1186&gt;=1,"Lift",IF(AS1186&lt;=0,"Aussenlager","teilweise")))))</f>
        <v>Aussenlager</v>
      </c>
      <c r="BD1186" s="55" t="str">
        <f aca="false">IF(AV1186&lt;=0,"",IF(BU1186="Aussen","Aussenlager",IF(BU1186="-","Nicht im Lift",IF(BA1186&gt;=1,"Lift",IF(BA1186&lt;=0,"Aussenlager","teilweise")))))</f>
        <v>Aussenlager</v>
      </c>
      <c r="BE1186" s="55" t="str">
        <f aca="false">IF(A1186="","",IF(BN1186=1,"Neu; ","")&amp;IF(AND(BN1186=0,BI1186&lt;0),"negativer Bestand (Export "&amp;BI1186&amp;"); ","")&amp;IF(I1186&lt;=0,"Kein Verbrauch; ","")&amp;IF(CD1186&gt;0,"Lift "&amp;U1186&amp;" lt. Liftbericht (Fach "&amp;V1186&amp;" Stk); ",IF(BR1186=1,"Lose – Fläche geschätzt; ",""))&amp;IF(G1186&gt;AP1186,"Überbestand "&amp;ROUND(G1186-AP1186,0)&amp;" Stk / CHF "&amp;ROUND((G1186-AP1186)*F1186,0)&amp;"; ","")&amp;IF(AND(BW1186=1,BX1186&lt;BY1186),"MAX &lt; MB+LG; ","")&amp;IF(AND(CC1186&gt;0,CB1186*10&gt;CC1186),"zu hoch für Tablar; ","")&amp;IF(AND(BN1186=0,OR(BW1186=1,Y1186&lt;&gt;"",S1186&lt;&gt;"",T1186&lt;&gt;"",Z1186&lt;&gt;"")),"manuell übersteuert; ","")&amp;IF(AND(BR1186=0,Q1186=0),"Gebinde unbekannt / Stellmass fehlt; ","")&amp;IF(AND(BR1186=0,N(T1186)&lt;=0,N(P1186)&lt;=0),"Menge pro Gebinde fehlt (Ist = 1 Gebinde); ","")&amp;BM1186)</f>
        <v>negativer Bestand (Export -1); Lose – Fläche geschätzt; </v>
      </c>
      <c r="BF1186" s="55"/>
      <c r="BG1186" s="55"/>
      <c r="BH1186" s="62"/>
      <c r="BI1186" s="57" t="n">
        <v>-1</v>
      </c>
      <c r="BJ1186" s="57" t="n">
        <v>9</v>
      </c>
      <c r="BK1186" s="56" t="n">
        <v>-393.01</v>
      </c>
      <c r="BL1186" s="57" t="n">
        <v>1</v>
      </c>
      <c r="BM1186" s="55"/>
      <c r="BN1186" s="60" t="n">
        <v>0</v>
      </c>
      <c r="BO1186" s="60" t="n">
        <v>1186</v>
      </c>
      <c r="BP1186" s="55" t="str">
        <f aca="false">IF(S1186&lt;&gt;"",UPPER(TRIM(S1186)),IF(O1186="","LOSE",O1186))</f>
        <v>LOSE</v>
      </c>
      <c r="BQ1186" s="57" t="n">
        <f aca="false">IF(BP1186="LOSE",1,IF(N(T1186)&gt;0,T1186,IF(N(P1186)&gt;0,P1186,MAX(1,G1186))))</f>
        <v>1</v>
      </c>
      <c r="BR1186" s="60" t="n">
        <f aca="false">IF(BP1186="LOSE",1,0)</f>
        <v>1</v>
      </c>
      <c r="BS1186" s="59" t="n">
        <f aca="false">IF(BR1186=0,0,IF(N(R1186)&gt;0,R1186,IFERROR(VLOOKUP(D1186,Parameter!$A$35:$C$64,3,0)+0,0)))</f>
        <v>0.15</v>
      </c>
      <c r="BT1186" s="55" t="n">
        <f aca="false">IF(Y1186&lt;&gt;"",Y1186,X1186)</f>
        <v>2</v>
      </c>
      <c r="BU1186" s="55" t="str">
        <f aca="false">IF(BT1186=1,"L1",IF(OR(BT1186=2,BT1186=3),"L23",IF(BT1186="Aussen","Aussen","-")))</f>
        <v>L23</v>
      </c>
      <c r="BV1186" s="66" t="n">
        <f aca="false">IF(N(Z1186)&gt;0,Z1186,0)</f>
        <v>0</v>
      </c>
      <c r="BW1186" s="60" t="n">
        <f aca="false">IF(ISNUMBER(AC1186),1,0)</f>
        <v>0</v>
      </c>
      <c r="BX1186" s="57" t="n">
        <f aca="false">N(AC1186)</f>
        <v>0</v>
      </c>
      <c r="BY1186" s="57" t="n">
        <f aca="false">N(L1186)+N(M1186)</f>
        <v>1</v>
      </c>
      <c r="BZ1186" s="57" t="n">
        <f aca="false">ROUNDUP(G1186/BQ1186,0)</f>
        <v>0</v>
      </c>
      <c r="CA1186" s="57" t="n">
        <f aca="false">ROUNDUP(BX1186/BQ1186,0)</f>
        <v>0</v>
      </c>
      <c r="CB1186" s="60" t="n">
        <f aca="false">IF(BR1186=1,0,IFERROR(VLOOKUP(BP1186,'Gebinde-Kategorie'!$A$5:$M$45,5,0)+0,0))</f>
        <v>0</v>
      </c>
      <c r="CC1186" s="60" t="n">
        <f aca="false">IFERROR(IF(OR(BT1186=1,BT1186=2,BT1186=3),N(INDEX(Parameter!$I$5:$I$7,BT1186)),0),0)</f>
        <v>0</v>
      </c>
      <c r="CD1186" s="59" t="n">
        <f aca="false">IF(AND(Parameter!$B$21="Ja",ISNUMBER(U1186),N(V1186)&gt;0),IFERROR(N(INDEX(Parameter!$L$5:$L$7,U1186))*INDEX(Parameter!$E$5:$E$7,U1186)*V1186/SUMIFS($V$7:$V$1576,$U$7:$U$1576,U1186),0),0)</f>
        <v>0</v>
      </c>
    </row>
    <row r="1187" customFormat="false" ht="15" hidden="false" customHeight="false" outlineLevel="0" collapsed="false">
      <c r="A1187" s="55" t="s">
        <v>2123</v>
      </c>
      <c r="B1187" s="55" t="s">
        <v>2124</v>
      </c>
      <c r="C1187" s="55" t="s">
        <v>160</v>
      </c>
      <c r="D1187" s="55" t="s">
        <v>168</v>
      </c>
      <c r="E1187" s="55" t="s">
        <v>210</v>
      </c>
      <c r="F1187" s="56" t="n">
        <v>46.89</v>
      </c>
      <c r="G1187" s="57" t="n">
        <f aca="false">MAX(0,IF(AND(Parameter!$B$21="Ja",ISNUMBER(W1187)),W1187,IF(Parameter!$B$20="Jahresanfang 2025 + Export",BJ1187+BI1187,BI1187)))</f>
        <v>0</v>
      </c>
      <c r="H1187" s="57" t="n">
        <f aca="false">G1187*F1187</f>
        <v>0</v>
      </c>
      <c r="I1187" s="57" t="n">
        <f aca="false">BL1187*Parameter!$B$18</f>
        <v>12</v>
      </c>
      <c r="J1187" s="58" t="n">
        <v>11.5</v>
      </c>
      <c r="K1187" s="59" t="n">
        <v>1.04347826086957</v>
      </c>
      <c r="L1187" s="57" t="n">
        <v>1</v>
      </c>
      <c r="M1187" s="57" t="n">
        <v>10</v>
      </c>
      <c r="N1187" s="60" t="n">
        <v>42</v>
      </c>
      <c r="O1187" s="55" t="s">
        <v>163</v>
      </c>
      <c r="P1187" s="57"/>
      <c r="Q1187" s="60" t="n">
        <f aca="false">IF(BR1187=1,0,IFERROR(VLOOKUP(BP1187,'Gebinde-Kategorie'!$A$5:$M$45,13,0)+0,0))</f>
        <v>0</v>
      </c>
      <c r="R1187" s="61"/>
      <c r="S1187" s="62"/>
      <c r="T1187" s="62"/>
      <c r="U1187" s="55"/>
      <c r="V1187" s="57"/>
      <c r="W1187" s="57"/>
      <c r="X1187" s="55" t="n">
        <f aca="false">IF(A1187="","",IF(AND(Parameter!$B$21="Ja",ISNUMBER(U1187)),U1187,IF(IFERROR(VLOOKUP(D1187,Parameter!$A$35:$C$64,2,0),"Nein")="2+3",IF(ISNUMBER(SEARCH("grosser Artikel",BM1187)),2,IFERROR(VLOOKUP(BP1187,Parameter!$F$35:$G$64,2,0),2)),IF(OR(IFERROR(VLOOKUP(D1187,Parameter!$A$35:$C$64,2,0),"Nein")="Nein",IFERROR(VLOOKUP(D1187,Parameter!$A$35:$C$64,2,0),"Nein")=""),"-",VLOOKUP(D1187,Parameter!$A$35:$C$64,2,0)))))</f>
        <v>2</v>
      </c>
      <c r="Y1187" s="62"/>
      <c r="Z1187" s="63"/>
      <c r="AA1187" s="57" t="n">
        <f aca="false">AP1187</f>
        <v>11</v>
      </c>
      <c r="AB1187" s="57" t="n">
        <f aca="false">MAX(AP1187,G1187)</f>
        <v>11</v>
      </c>
      <c r="AC1187" s="64"/>
      <c r="AD1187" s="57" t="n">
        <f aca="false">IF(LEFT(Cockpit!$C$5,1)="A",G1187,IF(BW1187=1,BX1187,IF(LEFT(Cockpit!$C$5,1)="B",AH1187,MAX(AH1187,G1187))))</f>
        <v>0</v>
      </c>
      <c r="AE1187" s="57" t="n">
        <f aca="false">IF(BR1187=1,0,ROUNDUP(AD1187/BQ1187,0))</f>
        <v>0</v>
      </c>
      <c r="AF1187" s="59" t="n">
        <f aca="false">IF(CD1187&gt;0,CD1187*MAX(1,AD1187/V1187),IF(BR1187=1,IF(AD1187&lt;=0,0,BS1187*MAX(1,IF(G1187&gt;0,AD1187/G1187,1))),IF(Q1187&gt;0,AE1187/Q1187,0))/MAX(0.1,N(Parameter!$M$21)))</f>
        <v>0</v>
      </c>
      <c r="AG1187" s="57" t="n">
        <f aca="false">AD1187*F1187</f>
        <v>0</v>
      </c>
      <c r="AH1187" s="57" t="n">
        <f aca="false">ROUNDUP(MAX(I1187/IF(BV1187&gt;0,BV1187,MAX(0.1,N(Cockpit!$C$6))),BY1187)/BQ1187,0)*BQ1187</f>
        <v>11</v>
      </c>
      <c r="AI1187" s="58" t="n">
        <f aca="false">IF(AF1187&gt;0,I1187/AF1187,-1)</f>
        <v>-1</v>
      </c>
      <c r="AJ1187" s="58" t="str">
        <f aca="false">IF(AND(OR(BU1187="L1",BU1187="L23"),AF1187&gt;0),SUMIFS($AF$7:$AF$1576,$BU$7:$BU$1576,BU1187,$AI$7:$AI$1576,"&gt;"&amp;AI1187)+SUMIFS($AF$7:$AF$1576,$BU$7:$BU$1576,BU1187,$AI$7:$AI$1576,AI1187,$BO$7:$BO$1576,"&lt;="&amp;BO1187),"")</f>
        <v/>
      </c>
      <c r="AK1187" s="65" t="n">
        <f aca="false">IF(AJ1187="",0,MAX(0,MIN(1,(IF(BU1187="L1",Parameter!$E$5,Parameter!$E$6+Parameter!$E$7)-(AJ1187-AF1187))/AF1187)))</f>
        <v>0</v>
      </c>
      <c r="AL1187" s="57" t="n">
        <f aca="false">IF(LEFT(Cockpit!$I$5,1)="A",G1187,IF(BW1187=1,BX1187,IF(LEFT(Cockpit!$I$5,1)="B",AP1187,MAX(AP1187,G1187))))</f>
        <v>11</v>
      </c>
      <c r="AM1187" s="57" t="n">
        <f aca="false">IF(BR1187=1,0,ROUNDUP(AL1187/BQ1187,0))</f>
        <v>0</v>
      </c>
      <c r="AN1187" s="59" t="n">
        <f aca="false">IF(CD1187&gt;0,CD1187*MAX(1,AL1187/V1187),IF(BR1187=1,IF(AL1187&lt;=0,0,BS1187*MAX(1,IF(G1187&gt;0,AL1187/G1187,1))),IF(Q1187&gt;0,AM1187/Q1187,0))/MAX(0.1,N(Parameter!$M$21)))</f>
        <v>0.15</v>
      </c>
      <c r="AO1187" s="57" t="n">
        <f aca="false">AL1187*F1187</f>
        <v>515.79</v>
      </c>
      <c r="AP1187" s="57" t="n">
        <f aca="false">ROUNDUP(MAX(I1187/IF(BV1187&gt;0,BV1187,MAX(0.1,N(Cockpit!$I$6))),BY1187)/BQ1187,0)*BQ1187</f>
        <v>11</v>
      </c>
      <c r="AQ1187" s="58" t="n">
        <f aca="false">IF(AN1187&gt;0,I1187/AN1187,-1)</f>
        <v>80</v>
      </c>
      <c r="AR1187" s="58" t="n">
        <f aca="false">IF(AND(OR(BU1187="L1",BU1187="L23"),AN1187&gt;0),SUMIFS($AN$7:$AN$1576,$BU$7:$BU$1576,BU1187,$AQ$7:$AQ$1576,"&gt;"&amp;AQ1187)+SUMIFS($AN$7:$AN$1576,$BU$7:$BU$1576,BU1187,$AQ$7:$AQ$1576,AQ1187,$BO$7:$BO$1576,"&lt;="&amp;BO1187),"")</f>
        <v>74.4308261970874</v>
      </c>
      <c r="AS1187" s="65" t="n">
        <f aca="false">IF(AR1187="",0,MAX(0,MIN(1,(IF(BU1187="L1",Parameter!$E$5,Parameter!$E$6+Parameter!$E$7)-(AR1187-AN1187))/AN1187)))</f>
        <v>1</v>
      </c>
      <c r="AT1187" s="57" t="n">
        <f aca="false">IF(LEFT(Cockpit!$O$5,1)="A",G1187,IF(BW1187=1,BX1187,IF(LEFT(Cockpit!$O$5,1)="B",AX1187,MAX(AX1187,G1187))))</f>
        <v>11</v>
      </c>
      <c r="AU1187" s="57" t="n">
        <f aca="false">IF(BR1187=1,0,ROUNDUP(AT1187/BQ1187,0))</f>
        <v>0</v>
      </c>
      <c r="AV1187" s="59" t="n">
        <f aca="false">IF(CD1187&gt;0,CD1187*MAX(1,AT1187/V1187),IF(BR1187=1,IF(AT1187&lt;=0,0,BS1187*MAX(1,IF(G1187&gt;0,AT1187/G1187,1))),IF(Q1187&gt;0,AU1187/Q1187,0))/MAX(0.1,N(Parameter!$M$21)))</f>
        <v>0.15</v>
      </c>
      <c r="AW1187" s="57" t="n">
        <f aca="false">AT1187*F1187</f>
        <v>515.79</v>
      </c>
      <c r="AX1187" s="57" t="n">
        <f aca="false">ROUNDUP(MAX(I1187/IF(BV1187&gt;0,BV1187,MAX(0.1,N(Cockpit!$O$6))),BY1187)/BQ1187,0)*BQ1187</f>
        <v>11</v>
      </c>
      <c r="AY1187" s="58" t="n">
        <f aca="false">IF(AV1187&gt;0,I1187/AV1187,-1)</f>
        <v>80</v>
      </c>
      <c r="AZ1187" s="58" t="n">
        <f aca="false">IF(AND(OR(BU1187="L1",BU1187="L23"),AV1187&gt;0),SUMIFS($AV$7:$AV$1576,$BU$7:$BU$1576,BU1187,$AY$7:$AY$1576,"&gt;"&amp;AY1187)+SUMIFS($AV$7:$AV$1576,$BU$7:$BU$1576,BU1187,$AY$7:$AY$1576,AY1187,$BO$7:$BO$1576,"&lt;="&amp;BO1187),"")</f>
        <v>68.6037099799711</v>
      </c>
      <c r="BA1187" s="65" t="n">
        <f aca="false">IF(AZ1187="",0,MAX(0,MIN(1,(IF(BU1187="L1",Parameter!$E$5,Parameter!$E$6+Parameter!$E$7)-(AZ1187-AV1187))/AV1187)))</f>
        <v>1</v>
      </c>
      <c r="BB1187" s="55" t="str">
        <f aca="false">IF(AF1187&lt;=0,"",IF(BU1187="Aussen","Aussenlager",IF(BU1187="-","Nicht im Lift",IF(AK1187&gt;=1,"Lift",IF(AK1187&lt;=0,"Aussenlager","teilweise")))))</f>
        <v/>
      </c>
      <c r="BC1187" s="55" t="str">
        <f aca="false">IF(AN1187&lt;=0,"",IF(BU1187="Aussen","Aussenlager",IF(BU1187="-","Nicht im Lift",IF(AS1187&gt;=1,"Lift",IF(AS1187&lt;=0,"Aussenlager","teilweise")))))</f>
        <v>Lift</v>
      </c>
      <c r="BD1187" s="55" t="str">
        <f aca="false">IF(AV1187&lt;=0,"",IF(BU1187="Aussen","Aussenlager",IF(BU1187="-","Nicht im Lift",IF(BA1187&gt;=1,"Lift",IF(BA1187&lt;=0,"Aussenlager","teilweise")))))</f>
        <v>Lift</v>
      </c>
      <c r="BE1187" s="55" t="str">
        <f aca="false">IF(A1187="","",IF(BN1187=1,"Neu; ","")&amp;IF(AND(BN1187=0,BI1187&lt;0),"negativer Bestand (Export "&amp;BI1187&amp;"); ","")&amp;IF(I1187&lt;=0,"Kein Verbrauch; ","")&amp;IF(CD1187&gt;0,"Lift "&amp;U1187&amp;" lt. Liftbericht (Fach "&amp;V1187&amp;" Stk); ",IF(BR1187=1,"Lose – Fläche geschätzt; ",""))&amp;IF(G1187&gt;AP1187,"Überbestand "&amp;ROUND(G1187-AP1187,0)&amp;" Stk / CHF "&amp;ROUND((G1187-AP1187)*F1187,0)&amp;"; ","")&amp;IF(AND(BW1187=1,BX1187&lt;BY1187),"MAX &lt; MB+LG; ","")&amp;IF(AND(CC1187&gt;0,CB1187*10&gt;CC1187),"zu hoch für Tablar; ","")&amp;IF(AND(BN1187=0,OR(BW1187=1,Y1187&lt;&gt;"",S1187&lt;&gt;"",T1187&lt;&gt;"",Z1187&lt;&gt;"")),"manuell übersteuert; ","")&amp;IF(AND(BR1187=0,Q1187=0),"Gebinde unbekannt / Stellmass fehlt; ","")&amp;IF(AND(BR1187=0,N(T1187)&lt;=0,N(P1187)&lt;=0),"Menge pro Gebinde fehlt (Ist = 1 Gebinde); ","")&amp;BM1187)</f>
        <v>negativer Bestand (Export -7); Lose – Fläche geschätzt; </v>
      </c>
      <c r="BF1187" s="55"/>
      <c r="BG1187" s="55"/>
      <c r="BH1187" s="62"/>
      <c r="BI1187" s="57" t="n">
        <v>-7</v>
      </c>
      <c r="BJ1187" s="57" t="n">
        <v>14</v>
      </c>
      <c r="BK1187" s="56" t="n">
        <v>-410.27</v>
      </c>
      <c r="BL1187" s="57" t="n">
        <v>12</v>
      </c>
      <c r="BM1187" s="55"/>
      <c r="BN1187" s="60" t="n">
        <v>0</v>
      </c>
      <c r="BO1187" s="60" t="n">
        <v>1187</v>
      </c>
      <c r="BP1187" s="55" t="str">
        <f aca="false">IF(S1187&lt;&gt;"",UPPER(TRIM(S1187)),IF(O1187="","LOSE",O1187))</f>
        <v>LOSE</v>
      </c>
      <c r="BQ1187" s="57" t="n">
        <f aca="false">IF(BP1187="LOSE",1,IF(N(T1187)&gt;0,T1187,IF(N(P1187)&gt;0,P1187,MAX(1,G1187))))</f>
        <v>1</v>
      </c>
      <c r="BR1187" s="60" t="n">
        <f aca="false">IF(BP1187="LOSE",1,0)</f>
        <v>1</v>
      </c>
      <c r="BS1187" s="59" t="n">
        <f aca="false">IF(BR1187=0,0,IF(N(R1187)&gt;0,R1187,IFERROR(VLOOKUP(D1187,Parameter!$A$35:$C$64,3,0)+0,0)))</f>
        <v>0.15</v>
      </c>
      <c r="BT1187" s="55" t="n">
        <f aca="false">IF(Y1187&lt;&gt;"",Y1187,X1187)</f>
        <v>2</v>
      </c>
      <c r="BU1187" s="55" t="str">
        <f aca="false">IF(BT1187=1,"L1",IF(OR(BT1187=2,BT1187=3),"L23",IF(BT1187="Aussen","Aussen","-")))</f>
        <v>L23</v>
      </c>
      <c r="BV1187" s="66" t="n">
        <f aca="false">IF(N(Z1187)&gt;0,Z1187,0)</f>
        <v>0</v>
      </c>
      <c r="BW1187" s="60" t="n">
        <f aca="false">IF(ISNUMBER(AC1187),1,0)</f>
        <v>0</v>
      </c>
      <c r="BX1187" s="57" t="n">
        <f aca="false">N(AC1187)</f>
        <v>0</v>
      </c>
      <c r="BY1187" s="57" t="n">
        <f aca="false">N(L1187)+N(M1187)</f>
        <v>11</v>
      </c>
      <c r="BZ1187" s="57" t="n">
        <f aca="false">ROUNDUP(G1187/BQ1187,0)</f>
        <v>0</v>
      </c>
      <c r="CA1187" s="57" t="n">
        <f aca="false">ROUNDUP(BX1187/BQ1187,0)</f>
        <v>0</v>
      </c>
      <c r="CB1187" s="60" t="n">
        <f aca="false">IF(BR1187=1,0,IFERROR(VLOOKUP(BP1187,'Gebinde-Kategorie'!$A$5:$M$45,5,0)+0,0))</f>
        <v>0</v>
      </c>
      <c r="CC1187" s="60" t="n">
        <f aca="false">IFERROR(IF(OR(BT1187=1,BT1187=2,BT1187=3),N(INDEX(Parameter!$I$5:$I$7,BT1187)),0),0)</f>
        <v>0</v>
      </c>
      <c r="CD1187" s="59" t="n">
        <f aca="false">IF(AND(Parameter!$B$21="Ja",ISNUMBER(U1187),N(V1187)&gt;0),IFERROR(N(INDEX(Parameter!$L$5:$L$7,U1187))*INDEX(Parameter!$E$5:$E$7,U1187)*V1187/SUMIFS($V$7:$V$1576,$U$7:$U$1576,U1187),0),0)</f>
        <v>0</v>
      </c>
    </row>
    <row r="1188" customFormat="false" ht="15" hidden="false" customHeight="false" outlineLevel="0" collapsed="false">
      <c r="A1188" s="55" t="s">
        <v>2125</v>
      </c>
      <c r="B1188" s="55" t="s">
        <v>2126</v>
      </c>
      <c r="C1188" s="55" t="s">
        <v>160</v>
      </c>
      <c r="D1188" s="55" t="s">
        <v>168</v>
      </c>
      <c r="E1188" s="55" t="s">
        <v>210</v>
      </c>
      <c r="F1188" s="56" t="n">
        <v>457</v>
      </c>
      <c r="G1188" s="57" t="n">
        <f aca="false">MAX(0,IF(AND(Parameter!$B$21="Ja",ISNUMBER(W1188)),W1188,IF(Parameter!$B$20="Jahresanfang 2025 + Export",BJ1188+BI1188,BI1188)))</f>
        <v>0</v>
      </c>
      <c r="H1188" s="57" t="n">
        <f aca="false">G1188*F1188</f>
        <v>0</v>
      </c>
      <c r="I1188" s="57" t="n">
        <f aca="false">BL1188*Parameter!$B$18</f>
        <v>3</v>
      </c>
      <c r="J1188" s="58" t="n">
        <v>1.5</v>
      </c>
      <c r="K1188" s="59" t="n">
        <v>2</v>
      </c>
      <c r="L1188" s="57" t="n">
        <v>0</v>
      </c>
      <c r="M1188" s="57" t="n">
        <v>5</v>
      </c>
      <c r="N1188" s="60" t="n">
        <v>21</v>
      </c>
      <c r="O1188" s="55" t="s">
        <v>163</v>
      </c>
      <c r="P1188" s="57"/>
      <c r="Q1188" s="60" t="n">
        <f aca="false">IF(BR1188=1,0,IFERROR(VLOOKUP(BP1188,'Gebinde-Kategorie'!$A$5:$M$45,13,0)+0,0))</f>
        <v>0</v>
      </c>
      <c r="R1188" s="61"/>
      <c r="S1188" s="62"/>
      <c r="T1188" s="62"/>
      <c r="U1188" s="55"/>
      <c r="V1188" s="57"/>
      <c r="W1188" s="57"/>
      <c r="X1188" s="55" t="n">
        <f aca="false">IF(A1188="","",IF(AND(Parameter!$B$21="Ja",ISNUMBER(U1188)),U1188,IF(IFERROR(VLOOKUP(D1188,Parameter!$A$35:$C$64,2,0),"Nein")="2+3",IF(ISNUMBER(SEARCH("grosser Artikel",BM1188)),2,IFERROR(VLOOKUP(BP1188,Parameter!$F$35:$G$64,2,0),2)),IF(OR(IFERROR(VLOOKUP(D1188,Parameter!$A$35:$C$64,2,0),"Nein")="Nein",IFERROR(VLOOKUP(D1188,Parameter!$A$35:$C$64,2,0),"Nein")=""),"-",VLOOKUP(D1188,Parameter!$A$35:$C$64,2,0)))))</f>
        <v>2</v>
      </c>
      <c r="Y1188" s="62"/>
      <c r="Z1188" s="63"/>
      <c r="AA1188" s="57" t="n">
        <f aca="false">AP1188</f>
        <v>5</v>
      </c>
      <c r="AB1188" s="57" t="n">
        <f aca="false">MAX(AP1188,G1188)</f>
        <v>5</v>
      </c>
      <c r="AC1188" s="64"/>
      <c r="AD1188" s="57" t="n">
        <f aca="false">IF(LEFT(Cockpit!$C$5,1)="A",G1188,IF(BW1188=1,BX1188,IF(LEFT(Cockpit!$C$5,1)="B",AH1188,MAX(AH1188,G1188))))</f>
        <v>0</v>
      </c>
      <c r="AE1188" s="57" t="n">
        <f aca="false">IF(BR1188=1,0,ROUNDUP(AD1188/BQ1188,0))</f>
        <v>0</v>
      </c>
      <c r="AF1188" s="59" t="n">
        <f aca="false">IF(CD1188&gt;0,CD1188*MAX(1,AD1188/V1188),IF(BR1188=1,IF(AD1188&lt;=0,0,BS1188*MAX(1,IF(G1188&gt;0,AD1188/G1188,1))),IF(Q1188&gt;0,AE1188/Q1188,0))/MAX(0.1,N(Parameter!$M$21)))</f>
        <v>0</v>
      </c>
      <c r="AG1188" s="57" t="n">
        <f aca="false">AD1188*F1188</f>
        <v>0</v>
      </c>
      <c r="AH1188" s="57" t="n">
        <f aca="false">ROUNDUP(MAX(I1188/IF(BV1188&gt;0,BV1188,MAX(0.1,N(Cockpit!$C$6))),BY1188)/BQ1188,0)*BQ1188</f>
        <v>5</v>
      </c>
      <c r="AI1188" s="58" t="n">
        <f aca="false">IF(AF1188&gt;0,I1188/AF1188,-1)</f>
        <v>-1</v>
      </c>
      <c r="AJ1188" s="58" t="str">
        <f aca="false">IF(AND(OR(BU1188="L1",BU1188="L23"),AF1188&gt;0),SUMIFS($AF$7:$AF$1576,$BU$7:$BU$1576,BU1188,$AI$7:$AI$1576,"&gt;"&amp;AI1188)+SUMIFS($AF$7:$AF$1576,$BU$7:$BU$1576,BU1188,$AI$7:$AI$1576,AI1188,$BO$7:$BO$1576,"&lt;="&amp;BO1188),"")</f>
        <v/>
      </c>
      <c r="AK1188" s="65" t="n">
        <f aca="false">IF(AJ1188="",0,MAX(0,MIN(1,(IF(BU1188="L1",Parameter!$E$5,Parameter!$E$6+Parameter!$E$7)-(AJ1188-AF1188))/AF1188)))</f>
        <v>0</v>
      </c>
      <c r="AL1188" s="57" t="n">
        <f aca="false">IF(LEFT(Cockpit!$I$5,1)="A",G1188,IF(BW1188=1,BX1188,IF(LEFT(Cockpit!$I$5,1)="B",AP1188,MAX(AP1188,G1188))))</f>
        <v>5</v>
      </c>
      <c r="AM1188" s="57" t="n">
        <f aca="false">IF(BR1188=1,0,ROUNDUP(AL1188/BQ1188,0))</f>
        <v>0</v>
      </c>
      <c r="AN1188" s="59" t="n">
        <f aca="false">IF(CD1188&gt;0,CD1188*MAX(1,AL1188/V1188),IF(BR1188=1,IF(AL1188&lt;=0,0,BS1188*MAX(1,IF(G1188&gt;0,AL1188/G1188,1))),IF(Q1188&gt;0,AM1188/Q1188,0))/MAX(0.1,N(Parameter!$M$21)))</f>
        <v>0.15</v>
      </c>
      <c r="AO1188" s="57" t="n">
        <f aca="false">AL1188*F1188</f>
        <v>2285</v>
      </c>
      <c r="AP1188" s="57" t="n">
        <f aca="false">ROUNDUP(MAX(I1188/IF(BV1188&gt;0,BV1188,MAX(0.1,N(Cockpit!$I$6))),BY1188)/BQ1188,0)*BQ1188</f>
        <v>5</v>
      </c>
      <c r="AQ1188" s="58" t="n">
        <f aca="false">IF(AN1188&gt;0,I1188/AN1188,-1)</f>
        <v>20</v>
      </c>
      <c r="AR1188" s="58" t="n">
        <f aca="false">IF(AND(OR(BU1188="L1",BU1188="L23"),AN1188&gt;0),SUMIFS($AN$7:$AN$1576,$BU$7:$BU$1576,BU1188,$AQ$7:$AQ$1576,"&gt;"&amp;AQ1188)+SUMIFS($AN$7:$AN$1576,$BU$7:$BU$1576,BU1188,$AQ$7:$AQ$1576,AQ1188,$BO$7:$BO$1576,"&lt;="&amp;BO1188),"")</f>
        <v>100.30140894767</v>
      </c>
      <c r="AS1188" s="65" t="n">
        <f aca="false">IF(AR1188="",0,MAX(0,MIN(1,(IF(BU1188="L1",Parameter!$E$5,Parameter!$E$6+Parameter!$E$7)-(AR1188-AN1188))/AN1188)))</f>
        <v>0</v>
      </c>
      <c r="AT1188" s="57" t="n">
        <f aca="false">IF(LEFT(Cockpit!$O$5,1)="A",G1188,IF(BW1188=1,BX1188,IF(LEFT(Cockpit!$O$5,1)="B",AX1188,MAX(AX1188,G1188))))</f>
        <v>5</v>
      </c>
      <c r="AU1188" s="57" t="n">
        <f aca="false">IF(BR1188=1,0,ROUNDUP(AT1188/BQ1188,0))</f>
        <v>0</v>
      </c>
      <c r="AV1188" s="59" t="n">
        <f aca="false">IF(CD1188&gt;0,CD1188*MAX(1,AT1188/V1188),IF(BR1188=1,IF(AT1188&lt;=0,0,BS1188*MAX(1,IF(G1188&gt;0,AT1188/G1188,1))),IF(Q1188&gt;0,AU1188/Q1188,0))/MAX(0.1,N(Parameter!$M$21)))</f>
        <v>0.15</v>
      </c>
      <c r="AW1188" s="57" t="n">
        <f aca="false">AT1188*F1188</f>
        <v>2285</v>
      </c>
      <c r="AX1188" s="57" t="n">
        <f aca="false">ROUNDUP(MAX(I1188/IF(BV1188&gt;0,BV1188,MAX(0.1,N(Cockpit!$O$6))),BY1188)/BQ1188,0)*BQ1188</f>
        <v>5</v>
      </c>
      <c r="AY1188" s="58" t="n">
        <f aca="false">IF(AV1188&gt;0,I1188/AV1188,-1)</f>
        <v>20</v>
      </c>
      <c r="AZ1188" s="58" t="n">
        <f aca="false">IF(AND(OR(BU1188="L1",BU1188="L23"),AV1188&gt;0),SUMIFS($AV$7:$AV$1576,$BU$7:$BU$1576,BU1188,$AY$7:$AY$1576,"&gt;"&amp;AY1188)+SUMIFS($AV$7:$AV$1576,$BU$7:$BU$1576,BU1188,$AY$7:$AY$1576,AY1188,$BO$7:$BO$1576,"&lt;="&amp;BO1188),"")</f>
        <v>91.1109593972206</v>
      </c>
      <c r="BA1188" s="65" t="n">
        <f aca="false">IF(AZ1188="",0,MAX(0,MIN(1,(IF(BU1188="L1",Parameter!$E$5,Parameter!$E$6+Parameter!$E$7)-(AZ1188-AV1188))/AV1188)))</f>
        <v>1</v>
      </c>
      <c r="BB1188" s="55" t="str">
        <f aca="false">IF(AF1188&lt;=0,"",IF(BU1188="Aussen","Aussenlager",IF(BU1188="-","Nicht im Lift",IF(AK1188&gt;=1,"Lift",IF(AK1188&lt;=0,"Aussenlager","teilweise")))))</f>
        <v/>
      </c>
      <c r="BC1188" s="55" t="str">
        <f aca="false">IF(AN1188&lt;=0,"",IF(BU1188="Aussen","Aussenlager",IF(BU1188="-","Nicht im Lift",IF(AS1188&gt;=1,"Lift",IF(AS1188&lt;=0,"Aussenlager","teilweise")))))</f>
        <v>Aussenlager</v>
      </c>
      <c r="BD1188" s="55" t="str">
        <f aca="false">IF(AV1188&lt;=0,"",IF(BU1188="Aussen","Aussenlager",IF(BU1188="-","Nicht im Lift",IF(BA1188&gt;=1,"Lift",IF(BA1188&lt;=0,"Aussenlager","teilweise")))))</f>
        <v>Lift</v>
      </c>
      <c r="BE1188" s="55" t="str">
        <f aca="false">IF(A1188="","",IF(BN1188=1,"Neu; ","")&amp;IF(AND(BN1188=0,BI1188&lt;0),"negativer Bestand (Export "&amp;BI1188&amp;"); ","")&amp;IF(I1188&lt;=0,"Kein Verbrauch; ","")&amp;IF(CD1188&gt;0,"Lift "&amp;U1188&amp;" lt. Liftbericht (Fach "&amp;V1188&amp;" Stk); ",IF(BR1188=1,"Lose – Fläche geschätzt; ",""))&amp;IF(G1188&gt;AP1188,"Überbestand "&amp;ROUND(G1188-AP1188,0)&amp;" Stk / CHF "&amp;ROUND((G1188-AP1188)*F1188,0)&amp;"; ","")&amp;IF(AND(BW1188=1,BX1188&lt;BY1188),"MAX &lt; MB+LG; ","")&amp;IF(AND(CC1188&gt;0,CB1188*10&gt;CC1188),"zu hoch für Tablar; ","")&amp;IF(AND(BN1188=0,OR(BW1188=1,Y1188&lt;&gt;"",S1188&lt;&gt;"",T1188&lt;&gt;"",Z1188&lt;&gt;"")),"manuell übersteuert; ","")&amp;IF(AND(BR1188=0,Q1188=0),"Gebinde unbekannt / Stellmass fehlt; ","")&amp;IF(AND(BR1188=0,N(T1188)&lt;=0,N(P1188)&lt;=0),"Menge pro Gebinde fehlt (Ist = 1 Gebinde); ","")&amp;BM1188)</f>
        <v>negativer Bestand (Export -1); Lose – Fläche geschätzt; </v>
      </c>
      <c r="BF1188" s="55"/>
      <c r="BG1188" s="55"/>
      <c r="BH1188" s="62"/>
      <c r="BI1188" s="57" t="n">
        <v>-1</v>
      </c>
      <c r="BJ1188" s="57" t="n">
        <v>2</v>
      </c>
      <c r="BK1188" s="56" t="n">
        <v>-412.34</v>
      </c>
      <c r="BL1188" s="57" t="n">
        <v>3</v>
      </c>
      <c r="BM1188" s="55"/>
      <c r="BN1188" s="60" t="n">
        <v>0</v>
      </c>
      <c r="BO1188" s="60" t="n">
        <v>1188</v>
      </c>
      <c r="BP1188" s="55" t="str">
        <f aca="false">IF(S1188&lt;&gt;"",UPPER(TRIM(S1188)),IF(O1188="","LOSE",O1188))</f>
        <v>LOSE</v>
      </c>
      <c r="BQ1188" s="57" t="n">
        <f aca="false">IF(BP1188="LOSE",1,IF(N(T1188)&gt;0,T1188,IF(N(P1188)&gt;0,P1188,MAX(1,G1188))))</f>
        <v>1</v>
      </c>
      <c r="BR1188" s="60" t="n">
        <f aca="false">IF(BP1188="LOSE",1,0)</f>
        <v>1</v>
      </c>
      <c r="BS1188" s="59" t="n">
        <f aca="false">IF(BR1188=0,0,IF(N(R1188)&gt;0,R1188,IFERROR(VLOOKUP(D1188,Parameter!$A$35:$C$64,3,0)+0,0)))</f>
        <v>0.15</v>
      </c>
      <c r="BT1188" s="55" t="n">
        <f aca="false">IF(Y1188&lt;&gt;"",Y1188,X1188)</f>
        <v>2</v>
      </c>
      <c r="BU1188" s="55" t="str">
        <f aca="false">IF(BT1188=1,"L1",IF(OR(BT1188=2,BT1188=3),"L23",IF(BT1188="Aussen","Aussen","-")))</f>
        <v>L23</v>
      </c>
      <c r="BV1188" s="66" t="n">
        <f aca="false">IF(N(Z1188)&gt;0,Z1188,0)</f>
        <v>0</v>
      </c>
      <c r="BW1188" s="60" t="n">
        <f aca="false">IF(ISNUMBER(AC1188),1,0)</f>
        <v>0</v>
      </c>
      <c r="BX1188" s="57" t="n">
        <f aca="false">N(AC1188)</f>
        <v>0</v>
      </c>
      <c r="BY1188" s="57" t="n">
        <f aca="false">N(L1188)+N(M1188)</f>
        <v>5</v>
      </c>
      <c r="BZ1188" s="57" t="n">
        <f aca="false">ROUNDUP(G1188/BQ1188,0)</f>
        <v>0</v>
      </c>
      <c r="CA1188" s="57" t="n">
        <f aca="false">ROUNDUP(BX1188/BQ1188,0)</f>
        <v>0</v>
      </c>
      <c r="CB1188" s="60" t="n">
        <f aca="false">IF(BR1188=1,0,IFERROR(VLOOKUP(BP1188,'Gebinde-Kategorie'!$A$5:$M$45,5,0)+0,0))</f>
        <v>0</v>
      </c>
      <c r="CC1188" s="60" t="n">
        <f aca="false">IFERROR(IF(OR(BT1188=1,BT1188=2,BT1188=3),N(INDEX(Parameter!$I$5:$I$7,BT1188)),0),0)</f>
        <v>0</v>
      </c>
      <c r="CD1188" s="59" t="n">
        <f aca="false">IF(AND(Parameter!$B$21="Ja",ISNUMBER(U1188),N(V1188)&gt;0),IFERROR(N(INDEX(Parameter!$L$5:$L$7,U1188))*INDEX(Parameter!$E$5:$E$7,U1188)*V1188/SUMIFS($V$7:$V$1576,$U$7:$U$1576,U1188),0),0)</f>
        <v>0</v>
      </c>
    </row>
    <row r="1189" customFormat="false" ht="15" hidden="false" customHeight="false" outlineLevel="0" collapsed="false">
      <c r="A1189" s="55" t="s">
        <v>2127</v>
      </c>
      <c r="B1189" s="55" t="s">
        <v>1482</v>
      </c>
      <c r="C1189" s="55" t="s">
        <v>160</v>
      </c>
      <c r="D1189" s="55" t="s">
        <v>178</v>
      </c>
      <c r="E1189" s="55" t="s">
        <v>210</v>
      </c>
      <c r="F1189" s="56" t="n">
        <v>2.2</v>
      </c>
      <c r="G1189" s="57" t="n">
        <f aca="false">MAX(0,IF(AND(Parameter!$B$21="Ja",ISNUMBER(W1189)),W1189,IF(Parameter!$B$20="Jahresanfang 2025 + Export",BJ1189+BI1189,BI1189)))</f>
        <v>0</v>
      </c>
      <c r="H1189" s="57" t="n">
        <f aca="false">G1189*F1189</f>
        <v>0</v>
      </c>
      <c r="I1189" s="57" t="n">
        <f aca="false">BL1189*Parameter!$B$18</f>
        <v>118</v>
      </c>
      <c r="J1189" s="58" t="n">
        <v>936</v>
      </c>
      <c r="K1189" s="59" t="n">
        <v>0.126068376068376</v>
      </c>
      <c r="L1189" s="57" t="n">
        <v>6</v>
      </c>
      <c r="M1189" s="57" t="n">
        <v>120</v>
      </c>
      <c r="N1189" s="60" t="n">
        <v>21</v>
      </c>
      <c r="O1189" s="55" t="s">
        <v>391</v>
      </c>
      <c r="P1189" s="57" t="n">
        <v>800</v>
      </c>
      <c r="Q1189" s="60" t="n">
        <f aca="false">IF(BR1189=1,0,IFERROR(VLOOKUP(BP1189,'Gebinde-Kategorie'!$A$5:$M$45,13,0)+0,0))</f>
        <v>414</v>
      </c>
      <c r="R1189" s="61"/>
      <c r="S1189" s="62"/>
      <c r="T1189" s="62"/>
      <c r="U1189" s="55"/>
      <c r="V1189" s="57"/>
      <c r="W1189" s="57"/>
      <c r="X1189" s="55" t="n">
        <f aca="false">IF(A1189="","",IF(AND(Parameter!$B$21="Ja",ISNUMBER(U1189)),U1189,IF(IFERROR(VLOOKUP(D1189,Parameter!$A$35:$C$64,2,0),"Nein")="2+3",IF(ISNUMBER(SEARCH("grosser Artikel",BM1189)),2,IFERROR(VLOOKUP(BP1189,Parameter!$F$35:$G$64,2,0),2)),IF(OR(IFERROR(VLOOKUP(D1189,Parameter!$A$35:$C$64,2,0),"Nein")="Nein",IFERROR(VLOOKUP(D1189,Parameter!$A$35:$C$64,2,0),"Nein")=""),"-",VLOOKUP(D1189,Parameter!$A$35:$C$64,2,0)))))</f>
        <v>3</v>
      </c>
      <c r="Y1189" s="62"/>
      <c r="Z1189" s="63"/>
      <c r="AA1189" s="57" t="n">
        <f aca="false">AP1189</f>
        <v>800</v>
      </c>
      <c r="AB1189" s="57" t="n">
        <f aca="false">MAX(AP1189,G1189)</f>
        <v>800</v>
      </c>
      <c r="AC1189" s="64"/>
      <c r="AD1189" s="57" t="n">
        <f aca="false">IF(LEFT(Cockpit!$C$5,1)="A",G1189,IF(BW1189=1,BX1189,IF(LEFT(Cockpit!$C$5,1)="B",AH1189,MAX(AH1189,G1189))))</f>
        <v>0</v>
      </c>
      <c r="AE1189" s="57" t="n">
        <f aca="false">IF(BR1189=1,0,ROUNDUP(AD1189/BQ1189,0))</f>
        <v>0</v>
      </c>
      <c r="AF1189" s="59" t="n">
        <f aca="false">IF(CD1189&gt;0,CD1189*MAX(1,AD1189/V1189),IF(BR1189=1,IF(AD1189&lt;=0,0,BS1189*MAX(1,IF(G1189&gt;0,AD1189/G1189,1))),IF(Q1189&gt;0,AE1189/Q1189,0))/MAX(0.1,N(Parameter!$M$21)))</f>
        <v>0</v>
      </c>
      <c r="AG1189" s="57" t="n">
        <f aca="false">AD1189*F1189</f>
        <v>0</v>
      </c>
      <c r="AH1189" s="57" t="n">
        <f aca="false">ROUNDUP(MAX(I1189/IF(BV1189&gt;0,BV1189,MAX(0.1,N(Cockpit!$C$6))),BY1189)/BQ1189,0)*BQ1189</f>
        <v>800</v>
      </c>
      <c r="AI1189" s="58" t="n">
        <f aca="false">IF(AF1189&gt;0,I1189/AF1189,-1)</f>
        <v>-1</v>
      </c>
      <c r="AJ1189" s="58" t="str">
        <f aca="false">IF(AND(OR(BU1189="L1",BU1189="L23"),AF1189&gt;0),SUMIFS($AF$7:$AF$1576,$BU$7:$BU$1576,BU1189,$AI$7:$AI$1576,"&gt;"&amp;AI1189)+SUMIFS($AF$7:$AF$1576,$BU$7:$BU$1576,BU1189,$AI$7:$AI$1576,AI1189,$BO$7:$BO$1576,"&lt;="&amp;BO1189),"")</f>
        <v/>
      </c>
      <c r="AK1189" s="65" t="n">
        <f aca="false">IF(AJ1189="",0,MAX(0,MIN(1,(IF(BU1189="L1",Parameter!$E$5,Parameter!$E$6+Parameter!$E$7)-(AJ1189-AF1189))/AF1189)))</f>
        <v>0</v>
      </c>
      <c r="AL1189" s="57" t="n">
        <f aca="false">IF(LEFT(Cockpit!$I$5,1)="A",G1189,IF(BW1189=1,BX1189,IF(LEFT(Cockpit!$I$5,1)="B",AP1189,MAX(AP1189,G1189))))</f>
        <v>800</v>
      </c>
      <c r="AM1189" s="57" t="n">
        <f aca="false">IF(BR1189=1,0,ROUNDUP(AL1189/BQ1189,0))</f>
        <v>1</v>
      </c>
      <c r="AN1189" s="59" t="n">
        <f aca="false">IF(CD1189&gt;0,CD1189*MAX(1,AL1189/V1189),IF(BR1189=1,IF(AL1189&lt;=0,0,BS1189*MAX(1,IF(G1189&gt;0,AL1189/G1189,1))),IF(Q1189&gt;0,AM1189/Q1189,0))/MAX(0.1,N(Parameter!$M$21)))</f>
        <v>0.00241545893719807</v>
      </c>
      <c r="AO1189" s="57" t="n">
        <f aca="false">AL1189*F1189</f>
        <v>1760</v>
      </c>
      <c r="AP1189" s="57" t="n">
        <f aca="false">ROUNDUP(MAX(I1189/IF(BV1189&gt;0,BV1189,MAX(0.1,N(Cockpit!$I$6))),BY1189)/BQ1189,0)*BQ1189</f>
        <v>800</v>
      </c>
      <c r="AQ1189" s="58" t="n">
        <f aca="false">IF(AN1189&gt;0,I1189/AN1189,-1)</f>
        <v>48852</v>
      </c>
      <c r="AR1189" s="58" t="n">
        <f aca="false">IF(AND(OR(BU1189="L1",BU1189="L23"),AN1189&gt;0),SUMIFS($AN$7:$AN$1576,$BU$7:$BU$1576,BU1189,$AQ$7:$AQ$1576,"&gt;"&amp;AQ1189)+SUMIFS($AN$7:$AN$1576,$BU$7:$BU$1576,BU1189,$AQ$7:$AQ$1576,AQ1189,$BO$7:$BO$1576,"&lt;="&amp;BO1189),"")</f>
        <v>1.318331475288</v>
      </c>
      <c r="AS1189" s="65" t="n">
        <f aca="false">IF(AR1189="",0,MAX(0,MIN(1,(IF(BU1189="L1",Parameter!$E$5,Parameter!$E$6+Parameter!$E$7)-(AR1189-AN1189))/AN1189)))</f>
        <v>1</v>
      </c>
      <c r="AT1189" s="57" t="n">
        <f aca="false">IF(LEFT(Cockpit!$O$5,1)="A",G1189,IF(BW1189=1,BX1189,IF(LEFT(Cockpit!$O$5,1)="B",AX1189,MAX(AX1189,G1189))))</f>
        <v>800</v>
      </c>
      <c r="AU1189" s="57" t="n">
        <f aca="false">IF(BR1189=1,0,ROUNDUP(AT1189/BQ1189,0))</f>
        <v>1</v>
      </c>
      <c r="AV1189" s="59" t="n">
        <f aca="false">IF(CD1189&gt;0,CD1189*MAX(1,AT1189/V1189),IF(BR1189=1,IF(AT1189&lt;=0,0,BS1189*MAX(1,IF(G1189&gt;0,AT1189/G1189,1))),IF(Q1189&gt;0,AU1189/Q1189,0))/MAX(0.1,N(Parameter!$M$21)))</f>
        <v>0.00241545893719807</v>
      </c>
      <c r="AW1189" s="57" t="n">
        <f aca="false">AT1189*F1189</f>
        <v>1760</v>
      </c>
      <c r="AX1189" s="57" t="n">
        <f aca="false">ROUNDUP(MAX(I1189/IF(BV1189&gt;0,BV1189,MAX(0.1,N(Cockpit!$O$6))),BY1189)/BQ1189,0)*BQ1189</f>
        <v>800</v>
      </c>
      <c r="AY1189" s="58" t="n">
        <f aca="false">IF(AV1189&gt;0,I1189/AV1189,-1)</f>
        <v>48852</v>
      </c>
      <c r="AZ1189" s="58" t="n">
        <f aca="false">IF(AND(OR(BU1189="L1",BU1189="L23"),AV1189&gt;0),SUMIFS($AV$7:$AV$1576,$BU$7:$BU$1576,BU1189,$AY$7:$AY$1576,"&gt;"&amp;AY1189)+SUMIFS($AV$7:$AV$1576,$BU$7:$BU$1576,BU1189,$AY$7:$AY$1576,AY1189,$BO$7:$BO$1576,"&lt;="&amp;BO1189),"")</f>
        <v>1.64758555454208</v>
      </c>
      <c r="BA1189" s="65" t="n">
        <f aca="false">IF(AZ1189="",0,MAX(0,MIN(1,(IF(BU1189="L1",Parameter!$E$5,Parameter!$E$6+Parameter!$E$7)-(AZ1189-AV1189))/AV1189)))</f>
        <v>1</v>
      </c>
      <c r="BB1189" s="55" t="str">
        <f aca="false">IF(AF1189&lt;=0,"",IF(BU1189="Aussen","Aussenlager",IF(BU1189="-","Nicht im Lift",IF(AK1189&gt;=1,"Lift",IF(AK1189&lt;=0,"Aussenlager","teilweise")))))</f>
        <v/>
      </c>
      <c r="BC1189" s="55" t="str">
        <f aca="false">IF(AN1189&lt;=0,"",IF(BU1189="Aussen","Aussenlager",IF(BU1189="-","Nicht im Lift",IF(AS1189&gt;=1,"Lift",IF(AS1189&lt;=0,"Aussenlager","teilweise")))))</f>
        <v>Lift</v>
      </c>
      <c r="BD1189" s="55" t="str">
        <f aca="false">IF(AV1189&lt;=0,"",IF(BU1189="Aussen","Aussenlager",IF(BU1189="-","Nicht im Lift",IF(BA1189&gt;=1,"Lift",IF(BA1189&lt;=0,"Aussenlager","teilweise")))))</f>
        <v>Lift</v>
      </c>
      <c r="BE1189" s="55" t="str">
        <f aca="false">IF(A1189="","",IF(BN1189=1,"Neu; ","")&amp;IF(AND(BN1189=0,BI1189&lt;0),"negativer Bestand (Export "&amp;BI1189&amp;"); ","")&amp;IF(I1189&lt;=0,"Kein Verbrauch; ","")&amp;IF(CD1189&gt;0,"Lift "&amp;U1189&amp;" lt. Liftbericht (Fach "&amp;V1189&amp;" Stk); ",IF(BR1189=1,"Lose – Fläche geschätzt; ",""))&amp;IF(G1189&gt;AP1189,"Überbestand "&amp;ROUND(G1189-AP1189,0)&amp;" Stk / CHF "&amp;ROUND((G1189-AP1189)*F1189,0)&amp;"; ","")&amp;IF(AND(BW1189=1,BX1189&lt;BY1189),"MAX &lt; MB+LG; ","")&amp;IF(AND(CC1189&gt;0,CB1189*10&gt;CC1189),"zu hoch für Tablar; ","")&amp;IF(AND(BN1189=0,OR(BW1189=1,Y1189&lt;&gt;"",S1189&lt;&gt;"",T1189&lt;&gt;"",Z1189&lt;&gt;"")),"manuell übersteuert; ","")&amp;IF(AND(BR1189=0,Q1189=0),"Gebinde unbekannt / Stellmass fehlt; ","")&amp;IF(AND(BR1189=0,N(T1189)&lt;=0,N(P1189)&lt;=0),"Menge pro Gebinde fehlt (Ist = 1 Gebinde); ","")&amp;BM1189)</f>
        <v>negativer Bestand (Export -188); </v>
      </c>
      <c r="BF1189" s="55"/>
      <c r="BG1189" s="55"/>
      <c r="BH1189" s="62"/>
      <c r="BI1189" s="57" t="n">
        <v>-188</v>
      </c>
      <c r="BJ1189" s="57" t="n">
        <v>980</v>
      </c>
      <c r="BK1189" s="56" t="n">
        <v>-413.6</v>
      </c>
      <c r="BL1189" s="57" t="n">
        <v>118</v>
      </c>
      <c r="BM1189" s="55"/>
      <c r="BN1189" s="60" t="n">
        <v>0</v>
      </c>
      <c r="BO1189" s="60" t="n">
        <v>1189</v>
      </c>
      <c r="BP1189" s="55" t="str">
        <f aca="false">IF(S1189&lt;&gt;"",UPPER(TRIM(S1189)),IF(O1189="","LOSE",O1189))</f>
        <v>S21</v>
      </c>
      <c r="BQ1189" s="57" t="n">
        <f aca="false">IF(BP1189="LOSE",1,IF(N(T1189)&gt;0,T1189,IF(N(P1189)&gt;0,P1189,MAX(1,G1189))))</f>
        <v>800</v>
      </c>
      <c r="BR1189" s="60" t="n">
        <f aca="false">IF(BP1189="LOSE",1,0)</f>
        <v>0</v>
      </c>
      <c r="BS1189" s="59" t="n">
        <f aca="false">IF(BR1189=0,0,IF(N(R1189)&gt;0,R1189,IFERROR(VLOOKUP(D1189,Parameter!$A$35:$C$64,3,0)+0,0)))</f>
        <v>0</v>
      </c>
      <c r="BT1189" s="55" t="n">
        <f aca="false">IF(Y1189&lt;&gt;"",Y1189,X1189)</f>
        <v>3</v>
      </c>
      <c r="BU1189" s="55" t="str">
        <f aca="false">IF(BT1189=1,"L1",IF(OR(BT1189=2,BT1189=3),"L23",IF(BT1189="Aussen","Aussen","-")))</f>
        <v>L23</v>
      </c>
      <c r="BV1189" s="66" t="n">
        <f aca="false">IF(N(Z1189)&gt;0,Z1189,0)</f>
        <v>0</v>
      </c>
      <c r="BW1189" s="60" t="n">
        <f aca="false">IF(ISNUMBER(AC1189),1,0)</f>
        <v>0</v>
      </c>
      <c r="BX1189" s="57" t="n">
        <f aca="false">N(AC1189)</f>
        <v>0</v>
      </c>
      <c r="BY1189" s="57" t="n">
        <f aca="false">N(L1189)+N(M1189)</f>
        <v>126</v>
      </c>
      <c r="BZ1189" s="57" t="n">
        <f aca="false">ROUNDUP(G1189/BQ1189,0)</f>
        <v>0</v>
      </c>
      <c r="CA1189" s="57" t="n">
        <f aca="false">ROUNDUP(BX1189/BQ1189,0)</f>
        <v>0</v>
      </c>
      <c r="CB1189" s="60" t="n">
        <f aca="false">IF(BR1189=1,0,IFERROR(VLOOKUP(BP1189,'Gebinde-Kategorie'!$A$5:$M$45,5,0)+0,0))</f>
        <v>8</v>
      </c>
      <c r="CC1189" s="60" t="n">
        <f aca="false">IFERROR(IF(OR(BT1189=1,BT1189=2,BT1189=3),N(INDEX(Parameter!$I$5:$I$7,BT1189)),0),0)</f>
        <v>0</v>
      </c>
      <c r="CD1189" s="59" t="n">
        <f aca="false">IF(AND(Parameter!$B$21="Ja",ISNUMBER(U1189),N(V1189)&gt;0),IFERROR(N(INDEX(Parameter!$L$5:$L$7,U1189))*INDEX(Parameter!$E$5:$E$7,U1189)*V1189/SUMIFS($V$7:$V$1576,$U$7:$U$1576,U1189),0),0)</f>
        <v>0</v>
      </c>
    </row>
    <row r="1190" customFormat="false" ht="15" hidden="false" customHeight="false" outlineLevel="0" collapsed="false">
      <c r="A1190" s="55" t="s">
        <v>2128</v>
      </c>
      <c r="B1190" s="55" t="s">
        <v>2129</v>
      </c>
      <c r="C1190" s="55" t="s">
        <v>160</v>
      </c>
      <c r="D1190" s="55" t="s">
        <v>178</v>
      </c>
      <c r="E1190" s="55" t="s">
        <v>210</v>
      </c>
      <c r="F1190" s="56" t="n">
        <v>14.3</v>
      </c>
      <c r="G1190" s="57" t="n">
        <f aca="false">MAX(0,IF(AND(Parameter!$B$21="Ja",ISNUMBER(W1190)),W1190,IF(Parameter!$B$20="Jahresanfang 2025 + Export",BJ1190+BI1190,BI1190)))</f>
        <v>0</v>
      </c>
      <c r="H1190" s="57" t="n">
        <f aca="false">G1190*F1190</f>
        <v>0</v>
      </c>
      <c r="I1190" s="57" t="n">
        <f aca="false">BL1190*Parameter!$B$18</f>
        <v>29</v>
      </c>
      <c r="J1190" s="58" t="n">
        <v>14.5</v>
      </c>
      <c r="K1190" s="59" t="n">
        <v>2</v>
      </c>
      <c r="L1190" s="57" t="n">
        <v>0</v>
      </c>
      <c r="M1190" s="57" t="n">
        <v>1</v>
      </c>
      <c r="N1190" s="60" t="n">
        <v>21</v>
      </c>
      <c r="O1190" s="55" t="s">
        <v>163</v>
      </c>
      <c r="P1190" s="57"/>
      <c r="Q1190" s="60" t="n">
        <f aca="false">IF(BR1190=1,0,IFERROR(VLOOKUP(BP1190,'Gebinde-Kategorie'!$A$5:$M$45,13,0)+0,0))</f>
        <v>0</v>
      </c>
      <c r="R1190" s="61"/>
      <c r="S1190" s="62"/>
      <c r="T1190" s="62"/>
      <c r="U1190" s="55"/>
      <c r="V1190" s="57"/>
      <c r="W1190" s="57"/>
      <c r="X1190" s="55" t="n">
        <f aca="false">IF(A1190="","",IF(AND(Parameter!$B$21="Ja",ISNUMBER(U1190)),U1190,IF(IFERROR(VLOOKUP(D1190,Parameter!$A$35:$C$64,2,0),"Nein")="2+3",IF(ISNUMBER(SEARCH("grosser Artikel",BM1190)),2,IFERROR(VLOOKUP(BP1190,Parameter!$F$35:$G$64,2,0),2)),IF(OR(IFERROR(VLOOKUP(D1190,Parameter!$A$35:$C$64,2,0),"Nein")="Nein",IFERROR(VLOOKUP(D1190,Parameter!$A$35:$C$64,2,0),"Nein")=""),"-",VLOOKUP(D1190,Parameter!$A$35:$C$64,2,0)))))</f>
        <v>2</v>
      </c>
      <c r="Y1190" s="62"/>
      <c r="Z1190" s="63"/>
      <c r="AA1190" s="57" t="n">
        <f aca="false">AP1190</f>
        <v>15</v>
      </c>
      <c r="AB1190" s="57" t="n">
        <f aca="false">MAX(AP1190,G1190)</f>
        <v>15</v>
      </c>
      <c r="AC1190" s="64"/>
      <c r="AD1190" s="57" t="n">
        <f aca="false">IF(LEFT(Cockpit!$C$5,1)="A",G1190,IF(BW1190=1,BX1190,IF(LEFT(Cockpit!$C$5,1)="B",AH1190,MAX(AH1190,G1190))))</f>
        <v>0</v>
      </c>
      <c r="AE1190" s="57" t="n">
        <f aca="false">IF(BR1190=1,0,ROUNDUP(AD1190/BQ1190,0))</f>
        <v>0</v>
      </c>
      <c r="AF1190" s="59" t="n">
        <f aca="false">IF(CD1190&gt;0,CD1190*MAX(1,AD1190/V1190),IF(BR1190=1,IF(AD1190&lt;=0,0,BS1190*MAX(1,IF(G1190&gt;0,AD1190/G1190,1))),IF(Q1190&gt;0,AE1190/Q1190,0))/MAX(0.1,N(Parameter!$M$21)))</f>
        <v>0</v>
      </c>
      <c r="AG1190" s="57" t="n">
        <f aca="false">AD1190*F1190</f>
        <v>0</v>
      </c>
      <c r="AH1190" s="57" t="n">
        <f aca="false">ROUNDUP(MAX(I1190/IF(BV1190&gt;0,BV1190,MAX(0.1,N(Cockpit!$C$6))),BY1190)/BQ1190,0)*BQ1190</f>
        <v>15</v>
      </c>
      <c r="AI1190" s="58" t="n">
        <f aca="false">IF(AF1190&gt;0,I1190/AF1190,-1)</f>
        <v>-1</v>
      </c>
      <c r="AJ1190" s="58" t="str">
        <f aca="false">IF(AND(OR(BU1190="L1",BU1190="L23"),AF1190&gt;0),SUMIFS($AF$7:$AF$1576,$BU$7:$BU$1576,BU1190,$AI$7:$AI$1576,"&gt;"&amp;AI1190)+SUMIFS($AF$7:$AF$1576,$BU$7:$BU$1576,BU1190,$AI$7:$AI$1576,AI1190,$BO$7:$BO$1576,"&lt;="&amp;BO1190),"")</f>
        <v/>
      </c>
      <c r="AK1190" s="65" t="n">
        <f aca="false">IF(AJ1190="",0,MAX(0,MIN(1,(IF(BU1190="L1",Parameter!$E$5,Parameter!$E$6+Parameter!$E$7)-(AJ1190-AF1190))/AF1190)))</f>
        <v>0</v>
      </c>
      <c r="AL1190" s="57" t="n">
        <f aca="false">IF(LEFT(Cockpit!$I$5,1)="A",G1190,IF(BW1190=1,BX1190,IF(LEFT(Cockpit!$I$5,1)="B",AP1190,MAX(AP1190,G1190))))</f>
        <v>15</v>
      </c>
      <c r="AM1190" s="57" t="n">
        <f aca="false">IF(BR1190=1,0,ROUNDUP(AL1190/BQ1190,0))</f>
        <v>0</v>
      </c>
      <c r="AN1190" s="59" t="n">
        <f aca="false">IF(CD1190&gt;0,CD1190*MAX(1,AL1190/V1190),IF(BR1190=1,IF(AL1190&lt;=0,0,BS1190*MAX(1,IF(G1190&gt;0,AL1190/G1190,1))),IF(Q1190&gt;0,AM1190/Q1190,0))/MAX(0.1,N(Parameter!$M$21)))</f>
        <v>0.03</v>
      </c>
      <c r="AO1190" s="57" t="n">
        <f aca="false">AL1190*F1190</f>
        <v>214.5</v>
      </c>
      <c r="AP1190" s="57" t="n">
        <f aca="false">ROUNDUP(MAX(I1190/IF(BV1190&gt;0,BV1190,MAX(0.1,N(Cockpit!$I$6))),BY1190)/BQ1190,0)*BQ1190</f>
        <v>15</v>
      </c>
      <c r="AQ1190" s="58" t="n">
        <f aca="false">IF(AN1190&gt;0,I1190/AN1190,-1)</f>
        <v>966.666666666667</v>
      </c>
      <c r="AR1190" s="58" t="n">
        <f aca="false">IF(AND(OR(BU1190="L1",BU1190="L23"),AN1190&gt;0),SUMIFS($AN$7:$AN$1576,$BU$7:$BU$1576,BU1190,$AQ$7:$AQ$1576,"&gt;"&amp;AQ1190)+SUMIFS($AN$7:$AN$1576,$BU$7:$BU$1576,BU1190,$AQ$7:$AQ$1576,AQ1190,$BO$7:$BO$1576,"&lt;="&amp;BO1190),"")</f>
        <v>23.1327181155554</v>
      </c>
      <c r="AS1190" s="65" t="n">
        <f aca="false">IF(AR1190="",0,MAX(0,MIN(1,(IF(BU1190="L1",Parameter!$E$5,Parameter!$E$6+Parameter!$E$7)-(AR1190-AN1190))/AN1190)))</f>
        <v>1</v>
      </c>
      <c r="AT1190" s="57" t="n">
        <f aca="false">IF(LEFT(Cockpit!$O$5,1)="A",G1190,IF(BW1190=1,BX1190,IF(LEFT(Cockpit!$O$5,1)="B",AX1190,MAX(AX1190,G1190))))</f>
        <v>10</v>
      </c>
      <c r="AU1190" s="57" t="n">
        <f aca="false">IF(BR1190=1,0,ROUNDUP(AT1190/BQ1190,0))</f>
        <v>0</v>
      </c>
      <c r="AV1190" s="59" t="n">
        <f aca="false">IF(CD1190&gt;0,CD1190*MAX(1,AT1190/V1190),IF(BR1190=1,IF(AT1190&lt;=0,0,BS1190*MAX(1,IF(G1190&gt;0,AT1190/G1190,1))),IF(Q1190&gt;0,AU1190/Q1190,0))/MAX(0.1,N(Parameter!$M$21)))</f>
        <v>0.03</v>
      </c>
      <c r="AW1190" s="57" t="n">
        <f aca="false">AT1190*F1190</f>
        <v>143</v>
      </c>
      <c r="AX1190" s="57" t="n">
        <f aca="false">ROUNDUP(MAX(I1190/IF(BV1190&gt;0,BV1190,MAX(0.1,N(Cockpit!$O$6))),BY1190)/BQ1190,0)*BQ1190</f>
        <v>10</v>
      </c>
      <c r="AY1190" s="58" t="n">
        <f aca="false">IF(AV1190&gt;0,I1190/AV1190,-1)</f>
        <v>966.666666666667</v>
      </c>
      <c r="AZ1190" s="58" t="n">
        <f aca="false">IF(AND(OR(BU1190="L1",BU1190="L23"),AV1190&gt;0),SUMIFS($AV$7:$AV$1576,$BU$7:$BU$1576,BU1190,$AY$7:$AY$1576,"&gt;"&amp;AY1190)+SUMIFS($AV$7:$AV$1576,$BU$7:$BU$1576,BU1190,$AY$7:$AY$1576,AY1190,$BO$7:$BO$1576,"&lt;="&amp;BO1190),"")</f>
        <v>22.1997344325717</v>
      </c>
      <c r="BA1190" s="65" t="n">
        <f aca="false">IF(AZ1190="",0,MAX(0,MIN(1,(IF(BU1190="L1",Parameter!$E$5,Parameter!$E$6+Parameter!$E$7)-(AZ1190-AV1190))/AV1190)))</f>
        <v>1</v>
      </c>
      <c r="BB1190" s="55" t="str">
        <f aca="false">IF(AF1190&lt;=0,"",IF(BU1190="Aussen","Aussenlager",IF(BU1190="-","Nicht im Lift",IF(AK1190&gt;=1,"Lift",IF(AK1190&lt;=0,"Aussenlager","teilweise")))))</f>
        <v/>
      </c>
      <c r="BC1190" s="55" t="str">
        <f aca="false">IF(AN1190&lt;=0,"",IF(BU1190="Aussen","Aussenlager",IF(BU1190="-","Nicht im Lift",IF(AS1190&gt;=1,"Lift",IF(AS1190&lt;=0,"Aussenlager","teilweise")))))</f>
        <v>Lift</v>
      </c>
      <c r="BD1190" s="55" t="str">
        <f aca="false">IF(AV1190&lt;=0,"",IF(BU1190="Aussen","Aussenlager",IF(BU1190="-","Nicht im Lift",IF(BA1190&gt;=1,"Lift",IF(BA1190&lt;=0,"Aussenlager","teilweise")))))</f>
        <v>Lift</v>
      </c>
      <c r="BE1190" s="55" t="str">
        <f aca="false">IF(A1190="","",IF(BN1190=1,"Neu; ","")&amp;IF(AND(BN1190=0,BI1190&lt;0),"negativer Bestand (Export "&amp;BI1190&amp;"); ","")&amp;IF(I1190&lt;=0,"Kein Verbrauch; ","")&amp;IF(CD1190&gt;0,"Lift "&amp;U1190&amp;" lt. Liftbericht (Fach "&amp;V1190&amp;" Stk); ",IF(BR1190=1,"Lose – Fläche geschätzt; ",""))&amp;IF(G1190&gt;AP1190,"Überbestand "&amp;ROUND(G1190-AP1190,0)&amp;" Stk / CHF "&amp;ROUND((G1190-AP1190)*F1190,0)&amp;"; ","")&amp;IF(AND(BW1190=1,BX1190&lt;BY1190),"MAX &lt; MB+LG; ","")&amp;IF(AND(CC1190&gt;0,CB1190*10&gt;CC1190),"zu hoch für Tablar; ","")&amp;IF(AND(BN1190=0,OR(BW1190=1,Y1190&lt;&gt;"",S1190&lt;&gt;"",T1190&lt;&gt;"",Z1190&lt;&gt;"")),"manuell übersteuert; ","")&amp;IF(AND(BR1190=0,Q1190=0),"Gebinde unbekannt / Stellmass fehlt; ","")&amp;IF(AND(BR1190=0,N(T1190)&lt;=0,N(P1190)&lt;=0),"Menge pro Gebinde fehlt (Ist = 1 Gebinde); ","")&amp;BM1190)</f>
        <v>negativer Bestand (Export -29); Lose – Fläche geschätzt; </v>
      </c>
      <c r="BF1190" s="55"/>
      <c r="BG1190" s="55"/>
      <c r="BH1190" s="62"/>
      <c r="BI1190" s="57" t="n">
        <v>-29</v>
      </c>
      <c r="BJ1190" s="57" t="n">
        <v>29</v>
      </c>
      <c r="BK1190" s="56" t="n">
        <v>-414.7</v>
      </c>
      <c r="BL1190" s="57" t="n">
        <v>29</v>
      </c>
      <c r="BM1190" s="55"/>
      <c r="BN1190" s="60" t="n">
        <v>0</v>
      </c>
      <c r="BO1190" s="60" t="n">
        <v>1190</v>
      </c>
      <c r="BP1190" s="55" t="str">
        <f aca="false">IF(S1190&lt;&gt;"",UPPER(TRIM(S1190)),IF(O1190="","LOSE",O1190))</f>
        <v>LOSE</v>
      </c>
      <c r="BQ1190" s="57" t="n">
        <f aca="false">IF(BP1190="LOSE",1,IF(N(T1190)&gt;0,T1190,IF(N(P1190)&gt;0,P1190,MAX(1,G1190))))</f>
        <v>1</v>
      </c>
      <c r="BR1190" s="60" t="n">
        <f aca="false">IF(BP1190="LOSE",1,0)</f>
        <v>1</v>
      </c>
      <c r="BS1190" s="59" t="n">
        <f aca="false">IF(BR1190=0,0,IF(N(R1190)&gt;0,R1190,IFERROR(VLOOKUP(D1190,Parameter!$A$35:$C$64,3,0)+0,0)))</f>
        <v>0.03</v>
      </c>
      <c r="BT1190" s="55" t="n">
        <f aca="false">IF(Y1190&lt;&gt;"",Y1190,X1190)</f>
        <v>2</v>
      </c>
      <c r="BU1190" s="55" t="str">
        <f aca="false">IF(BT1190=1,"L1",IF(OR(BT1190=2,BT1190=3),"L23",IF(BT1190="Aussen","Aussen","-")))</f>
        <v>L23</v>
      </c>
      <c r="BV1190" s="66" t="n">
        <f aca="false">IF(N(Z1190)&gt;0,Z1190,0)</f>
        <v>0</v>
      </c>
      <c r="BW1190" s="60" t="n">
        <f aca="false">IF(ISNUMBER(AC1190),1,0)</f>
        <v>0</v>
      </c>
      <c r="BX1190" s="57" t="n">
        <f aca="false">N(AC1190)</f>
        <v>0</v>
      </c>
      <c r="BY1190" s="57" t="n">
        <f aca="false">N(L1190)+N(M1190)</f>
        <v>1</v>
      </c>
      <c r="BZ1190" s="57" t="n">
        <f aca="false">ROUNDUP(G1190/BQ1190,0)</f>
        <v>0</v>
      </c>
      <c r="CA1190" s="57" t="n">
        <f aca="false">ROUNDUP(BX1190/BQ1190,0)</f>
        <v>0</v>
      </c>
      <c r="CB1190" s="60" t="n">
        <f aca="false">IF(BR1190=1,0,IFERROR(VLOOKUP(BP1190,'Gebinde-Kategorie'!$A$5:$M$45,5,0)+0,0))</f>
        <v>0</v>
      </c>
      <c r="CC1190" s="60" t="n">
        <f aca="false">IFERROR(IF(OR(BT1190=1,BT1190=2,BT1190=3),N(INDEX(Parameter!$I$5:$I$7,BT1190)),0),0)</f>
        <v>0</v>
      </c>
      <c r="CD1190" s="59" t="n">
        <f aca="false">IF(AND(Parameter!$B$21="Ja",ISNUMBER(U1190),N(V1190)&gt;0),IFERROR(N(INDEX(Parameter!$L$5:$L$7,U1190))*INDEX(Parameter!$E$5:$E$7,U1190)*V1190/SUMIFS($V$7:$V$1576,$U$7:$U$1576,U1190),0),0)</f>
        <v>0</v>
      </c>
    </row>
    <row r="1191" customFormat="false" ht="15" hidden="false" customHeight="false" outlineLevel="0" collapsed="false">
      <c r="A1191" s="55" t="s">
        <v>2130</v>
      </c>
      <c r="B1191" s="55" t="s">
        <v>2131</v>
      </c>
      <c r="C1191" s="55" t="s">
        <v>160</v>
      </c>
      <c r="D1191" s="55" t="s">
        <v>178</v>
      </c>
      <c r="E1191" s="55" t="s">
        <v>210</v>
      </c>
      <c r="F1191" s="56" t="n">
        <v>142.18</v>
      </c>
      <c r="G1191" s="57" t="n">
        <f aca="false">MAX(0,IF(AND(Parameter!$B$21="Ja",ISNUMBER(W1191)),W1191,IF(Parameter!$B$20="Jahresanfang 2025 + Export",BJ1191+BI1191,BI1191)))</f>
        <v>0</v>
      </c>
      <c r="H1191" s="57" t="n">
        <f aca="false">G1191*F1191</f>
        <v>0</v>
      </c>
      <c r="I1191" s="57" t="n">
        <f aca="false">BL1191*Parameter!$B$18</f>
        <v>0</v>
      </c>
      <c r="J1191" s="58" t="n">
        <v>33.5</v>
      </c>
      <c r="K1191" s="59" t="n">
        <v>0</v>
      </c>
      <c r="L1191" s="57" t="n">
        <v>0</v>
      </c>
      <c r="M1191" s="57" t="n">
        <v>1</v>
      </c>
      <c r="N1191" s="60" t="n">
        <v>28</v>
      </c>
      <c r="O1191" s="55" t="s">
        <v>293</v>
      </c>
      <c r="P1191" s="57" t="n">
        <v>35</v>
      </c>
      <c r="Q1191" s="60" t="n">
        <f aca="false">IF(BR1191=1,0,IFERROR(VLOOKUP(BP1191,'Gebinde-Kategorie'!$A$5:$M$45,13,0)+0,0))</f>
        <v>26</v>
      </c>
      <c r="R1191" s="61"/>
      <c r="S1191" s="62"/>
      <c r="T1191" s="62"/>
      <c r="U1191" s="55"/>
      <c r="V1191" s="57"/>
      <c r="W1191" s="57"/>
      <c r="X1191" s="55" t="n">
        <f aca="false">IF(A1191="","",IF(AND(Parameter!$B$21="Ja",ISNUMBER(U1191)),U1191,IF(IFERROR(VLOOKUP(D1191,Parameter!$A$35:$C$64,2,0),"Nein")="2+3",IF(ISNUMBER(SEARCH("grosser Artikel",BM1191)),2,IFERROR(VLOOKUP(BP1191,Parameter!$F$35:$G$64,2,0),2)),IF(OR(IFERROR(VLOOKUP(D1191,Parameter!$A$35:$C$64,2,0),"Nein")="Nein",IFERROR(VLOOKUP(D1191,Parameter!$A$35:$C$64,2,0),"Nein")=""),"-",VLOOKUP(D1191,Parameter!$A$35:$C$64,2,0)))))</f>
        <v>3</v>
      </c>
      <c r="Y1191" s="62"/>
      <c r="Z1191" s="63"/>
      <c r="AA1191" s="57" t="n">
        <f aca="false">AP1191</f>
        <v>35</v>
      </c>
      <c r="AB1191" s="57" t="n">
        <f aca="false">MAX(AP1191,G1191)</f>
        <v>35</v>
      </c>
      <c r="AC1191" s="64"/>
      <c r="AD1191" s="57" t="n">
        <f aca="false">IF(LEFT(Cockpit!$C$5,1)="A",G1191,IF(BW1191=1,BX1191,IF(LEFT(Cockpit!$C$5,1)="B",AH1191,MAX(AH1191,G1191))))</f>
        <v>0</v>
      </c>
      <c r="AE1191" s="57" t="n">
        <f aca="false">IF(BR1191=1,0,ROUNDUP(AD1191/BQ1191,0))</f>
        <v>0</v>
      </c>
      <c r="AF1191" s="59" t="n">
        <f aca="false">IF(CD1191&gt;0,CD1191*MAX(1,AD1191/V1191),IF(BR1191=1,IF(AD1191&lt;=0,0,BS1191*MAX(1,IF(G1191&gt;0,AD1191/G1191,1))),IF(Q1191&gt;0,AE1191/Q1191,0))/MAX(0.1,N(Parameter!$M$21)))</f>
        <v>0</v>
      </c>
      <c r="AG1191" s="57" t="n">
        <f aca="false">AD1191*F1191</f>
        <v>0</v>
      </c>
      <c r="AH1191" s="57" t="n">
        <f aca="false">ROUNDUP(MAX(I1191/IF(BV1191&gt;0,BV1191,MAX(0.1,N(Cockpit!$C$6))),BY1191)/BQ1191,0)*BQ1191</f>
        <v>35</v>
      </c>
      <c r="AI1191" s="58" t="n">
        <f aca="false">IF(AF1191&gt;0,I1191/AF1191,-1)</f>
        <v>-1</v>
      </c>
      <c r="AJ1191" s="58" t="str">
        <f aca="false">IF(AND(OR(BU1191="L1",BU1191="L23"),AF1191&gt;0),SUMIFS($AF$7:$AF$1576,$BU$7:$BU$1576,BU1191,$AI$7:$AI$1576,"&gt;"&amp;AI1191)+SUMIFS($AF$7:$AF$1576,$BU$7:$BU$1576,BU1191,$AI$7:$AI$1576,AI1191,$BO$7:$BO$1576,"&lt;="&amp;BO1191),"")</f>
        <v/>
      </c>
      <c r="AK1191" s="65" t="n">
        <f aca="false">IF(AJ1191="",0,MAX(0,MIN(1,(IF(BU1191="L1",Parameter!$E$5,Parameter!$E$6+Parameter!$E$7)-(AJ1191-AF1191))/AF1191)))</f>
        <v>0</v>
      </c>
      <c r="AL1191" s="57" t="n">
        <f aca="false">IF(LEFT(Cockpit!$I$5,1)="A",G1191,IF(BW1191=1,BX1191,IF(LEFT(Cockpit!$I$5,1)="B",AP1191,MAX(AP1191,G1191))))</f>
        <v>35</v>
      </c>
      <c r="AM1191" s="57" t="n">
        <f aca="false">IF(BR1191=1,0,ROUNDUP(AL1191/BQ1191,0))</f>
        <v>1</v>
      </c>
      <c r="AN1191" s="59" t="n">
        <f aca="false">IF(CD1191&gt;0,CD1191*MAX(1,AL1191/V1191),IF(BR1191=1,IF(AL1191&lt;=0,0,BS1191*MAX(1,IF(G1191&gt;0,AL1191/G1191,1))),IF(Q1191&gt;0,AM1191/Q1191,0))/MAX(0.1,N(Parameter!$M$21)))</f>
        <v>0.0384615384615385</v>
      </c>
      <c r="AO1191" s="57" t="n">
        <f aca="false">AL1191*F1191</f>
        <v>4976.3</v>
      </c>
      <c r="AP1191" s="57" t="n">
        <f aca="false">ROUNDUP(MAX(I1191/IF(BV1191&gt;0,BV1191,MAX(0.1,N(Cockpit!$I$6))),BY1191)/BQ1191,0)*BQ1191</f>
        <v>35</v>
      </c>
      <c r="AQ1191" s="58" t="n">
        <f aca="false">IF(AN1191&gt;0,I1191/AN1191,-1)</f>
        <v>0</v>
      </c>
      <c r="AR1191" s="58" t="n">
        <f aca="false">IF(AND(OR(BU1191="L1",BU1191="L23"),AN1191&gt;0),SUMIFS($AN$7:$AN$1576,$BU$7:$BU$1576,BU1191,$AQ$7:$AQ$1576,"&gt;"&amp;AQ1191)+SUMIFS($AN$7:$AN$1576,$BU$7:$BU$1576,BU1191,$AQ$7:$AQ$1576,AQ1191,$BO$7:$BO$1576,"&lt;="&amp;BO1191),"")</f>
        <v>135.286205268209</v>
      </c>
      <c r="AS1191" s="65" t="n">
        <f aca="false">IF(AR1191="",0,MAX(0,MIN(1,(IF(BU1191="L1",Parameter!$E$5,Parameter!$E$6+Parameter!$E$7)-(AR1191-AN1191))/AN1191)))</f>
        <v>0</v>
      </c>
      <c r="AT1191" s="57" t="n">
        <f aca="false">IF(LEFT(Cockpit!$O$5,1)="A",G1191,IF(BW1191=1,BX1191,IF(LEFT(Cockpit!$O$5,1)="B",AX1191,MAX(AX1191,G1191))))</f>
        <v>35</v>
      </c>
      <c r="AU1191" s="57" t="n">
        <f aca="false">IF(BR1191=1,0,ROUNDUP(AT1191/BQ1191,0))</f>
        <v>1</v>
      </c>
      <c r="AV1191" s="59" t="n">
        <f aca="false">IF(CD1191&gt;0,CD1191*MAX(1,AT1191/V1191),IF(BR1191=1,IF(AT1191&lt;=0,0,BS1191*MAX(1,IF(G1191&gt;0,AT1191/G1191,1))),IF(Q1191&gt;0,AU1191/Q1191,0))/MAX(0.1,N(Parameter!$M$21)))</f>
        <v>0.0384615384615385</v>
      </c>
      <c r="AW1191" s="57" t="n">
        <f aca="false">AT1191*F1191</f>
        <v>4976.3</v>
      </c>
      <c r="AX1191" s="57" t="n">
        <f aca="false">ROUNDUP(MAX(I1191/IF(BV1191&gt;0,BV1191,MAX(0.1,N(Cockpit!$O$6))),BY1191)/BQ1191,0)*BQ1191</f>
        <v>35</v>
      </c>
      <c r="AY1191" s="58" t="n">
        <f aca="false">IF(AV1191&gt;0,I1191/AV1191,-1)</f>
        <v>0</v>
      </c>
      <c r="AZ1191" s="58" t="n">
        <f aca="false">IF(AND(OR(BU1191="L1",BU1191="L23"),AV1191&gt;0),SUMIFS($AV$7:$AV$1576,$BU$7:$BU$1576,BU1191,$AY$7:$AY$1576,"&gt;"&amp;AY1191)+SUMIFS($AV$7:$AV$1576,$BU$7:$BU$1576,BU1191,$AY$7:$AY$1576,AY1191,$BO$7:$BO$1576,"&lt;="&amp;BO1191),"")</f>
        <v>125.34575571776</v>
      </c>
      <c r="BA1191" s="65" t="n">
        <f aca="false">IF(AZ1191="",0,MAX(0,MIN(1,(IF(BU1191="L1",Parameter!$E$5,Parameter!$E$6+Parameter!$E$7)-(AZ1191-AV1191))/AV1191)))</f>
        <v>0</v>
      </c>
      <c r="BB1191" s="55" t="str">
        <f aca="false">IF(AF1191&lt;=0,"",IF(BU1191="Aussen","Aussenlager",IF(BU1191="-","Nicht im Lift",IF(AK1191&gt;=1,"Lift",IF(AK1191&lt;=0,"Aussenlager","teilweise")))))</f>
        <v/>
      </c>
      <c r="BC1191" s="55" t="str">
        <f aca="false">IF(AN1191&lt;=0,"",IF(BU1191="Aussen","Aussenlager",IF(BU1191="-","Nicht im Lift",IF(AS1191&gt;=1,"Lift",IF(AS1191&lt;=0,"Aussenlager","teilweise")))))</f>
        <v>Aussenlager</v>
      </c>
      <c r="BD1191" s="55" t="str">
        <f aca="false">IF(AV1191&lt;=0,"",IF(BU1191="Aussen","Aussenlager",IF(BU1191="-","Nicht im Lift",IF(BA1191&gt;=1,"Lift",IF(BA1191&lt;=0,"Aussenlager","teilweise")))))</f>
        <v>Aussenlager</v>
      </c>
      <c r="BE1191" s="55" t="str">
        <f aca="false">IF(A1191="","",IF(BN1191=1,"Neu; ","")&amp;IF(AND(BN1191=0,BI1191&lt;0),"negativer Bestand (Export "&amp;BI1191&amp;"); ","")&amp;IF(I1191&lt;=0,"Kein Verbrauch; ","")&amp;IF(CD1191&gt;0,"Lift "&amp;U1191&amp;" lt. Liftbericht (Fach "&amp;V1191&amp;" Stk); ",IF(BR1191=1,"Lose – Fläche geschätzt; ",""))&amp;IF(G1191&gt;AP1191,"Überbestand "&amp;ROUND(G1191-AP1191,0)&amp;" Stk / CHF "&amp;ROUND((G1191-AP1191)*F1191,0)&amp;"; ","")&amp;IF(AND(BW1191=1,BX1191&lt;BY1191),"MAX &lt; MB+LG; ","")&amp;IF(AND(CC1191&gt;0,CB1191*10&gt;CC1191),"zu hoch für Tablar; ","")&amp;IF(AND(BN1191=0,OR(BW1191=1,Y1191&lt;&gt;"",S1191&lt;&gt;"",T1191&lt;&gt;"",Z1191&lt;&gt;"")),"manuell übersteuert; ","")&amp;IF(AND(BR1191=0,Q1191=0),"Gebinde unbekannt / Stellmass fehlt; ","")&amp;IF(AND(BR1191=0,N(T1191)&lt;=0,N(P1191)&lt;=0),"Menge pro Gebinde fehlt (Ist = 1 Gebinde); ","")&amp;BM1191)</f>
        <v>negativer Bestand (Export -3); Kein Verbrauch; </v>
      </c>
      <c r="BF1191" s="55"/>
      <c r="BG1191" s="55"/>
      <c r="BH1191" s="62"/>
      <c r="BI1191" s="57" t="n">
        <v>-3</v>
      </c>
      <c r="BJ1191" s="57" t="n">
        <v>34</v>
      </c>
      <c r="BK1191" s="56" t="n">
        <v>-426.54</v>
      </c>
      <c r="BL1191" s="57" t="n">
        <v>0</v>
      </c>
      <c r="BM1191" s="55"/>
      <c r="BN1191" s="60" t="n">
        <v>0</v>
      </c>
      <c r="BO1191" s="60" t="n">
        <v>1191</v>
      </c>
      <c r="BP1191" s="55" t="str">
        <f aca="false">IF(S1191&lt;&gt;"",UPPER(TRIM(S1191)),IF(O1191="","LOSE",O1191))</f>
        <v>S51</v>
      </c>
      <c r="BQ1191" s="57" t="n">
        <f aca="false">IF(BP1191="LOSE",1,IF(N(T1191)&gt;0,T1191,IF(N(P1191)&gt;0,P1191,MAX(1,G1191))))</f>
        <v>35</v>
      </c>
      <c r="BR1191" s="60" t="n">
        <f aca="false">IF(BP1191="LOSE",1,0)</f>
        <v>0</v>
      </c>
      <c r="BS1191" s="59" t="n">
        <f aca="false">IF(BR1191=0,0,IF(N(R1191)&gt;0,R1191,IFERROR(VLOOKUP(D1191,Parameter!$A$35:$C$64,3,0)+0,0)))</f>
        <v>0</v>
      </c>
      <c r="BT1191" s="55" t="n">
        <f aca="false">IF(Y1191&lt;&gt;"",Y1191,X1191)</f>
        <v>3</v>
      </c>
      <c r="BU1191" s="55" t="str">
        <f aca="false">IF(BT1191=1,"L1",IF(OR(BT1191=2,BT1191=3),"L23",IF(BT1191="Aussen","Aussen","-")))</f>
        <v>L23</v>
      </c>
      <c r="BV1191" s="66" t="n">
        <f aca="false">IF(N(Z1191)&gt;0,Z1191,0)</f>
        <v>0</v>
      </c>
      <c r="BW1191" s="60" t="n">
        <f aca="false">IF(ISNUMBER(AC1191),1,0)</f>
        <v>0</v>
      </c>
      <c r="BX1191" s="57" t="n">
        <f aca="false">N(AC1191)</f>
        <v>0</v>
      </c>
      <c r="BY1191" s="57" t="n">
        <f aca="false">N(L1191)+N(M1191)</f>
        <v>1</v>
      </c>
      <c r="BZ1191" s="57" t="n">
        <f aca="false">ROUNDUP(G1191/BQ1191,0)</f>
        <v>0</v>
      </c>
      <c r="CA1191" s="57" t="n">
        <f aca="false">ROUNDUP(BX1191/BQ1191,0)</f>
        <v>0</v>
      </c>
      <c r="CB1191" s="60" t="n">
        <f aca="false">IF(BR1191=1,0,IFERROR(VLOOKUP(BP1191,'Gebinde-Kategorie'!$A$5:$M$45,5,0)+0,0))</f>
        <v>11</v>
      </c>
      <c r="CC1191" s="60" t="n">
        <f aca="false">IFERROR(IF(OR(BT1191=1,BT1191=2,BT1191=3),N(INDEX(Parameter!$I$5:$I$7,BT1191)),0),0)</f>
        <v>0</v>
      </c>
      <c r="CD1191" s="59" t="n">
        <f aca="false">IF(AND(Parameter!$B$21="Ja",ISNUMBER(U1191),N(V1191)&gt;0),IFERROR(N(INDEX(Parameter!$L$5:$L$7,U1191))*INDEX(Parameter!$E$5:$E$7,U1191)*V1191/SUMIFS($V$7:$V$1576,$U$7:$U$1576,U1191),0),0)</f>
        <v>0</v>
      </c>
    </row>
    <row r="1192" customFormat="false" ht="15" hidden="false" customHeight="false" outlineLevel="0" collapsed="false">
      <c r="A1192" s="55" t="s">
        <v>2132</v>
      </c>
      <c r="B1192" s="55" t="s">
        <v>430</v>
      </c>
      <c r="C1192" s="55" t="s">
        <v>160</v>
      </c>
      <c r="D1192" s="55" t="s">
        <v>178</v>
      </c>
      <c r="E1192" s="55" t="s">
        <v>210</v>
      </c>
      <c r="F1192" s="56" t="n">
        <v>107</v>
      </c>
      <c r="G1192" s="57" t="n">
        <f aca="false">MAX(0,IF(AND(Parameter!$B$21="Ja",ISNUMBER(W1192)),W1192,IF(Parameter!$B$20="Jahresanfang 2025 + Export",BJ1192+BI1192,BI1192)))</f>
        <v>0</v>
      </c>
      <c r="H1192" s="57" t="n">
        <f aca="false">G1192*F1192</f>
        <v>0</v>
      </c>
      <c r="I1192" s="57" t="n">
        <f aca="false">BL1192*Parameter!$B$18</f>
        <v>4</v>
      </c>
      <c r="J1192" s="58" t="n">
        <v>17</v>
      </c>
      <c r="K1192" s="59" t="n">
        <v>0.235294117647059</v>
      </c>
      <c r="L1192" s="57" t="n">
        <v>0</v>
      </c>
      <c r="M1192" s="57" t="n">
        <v>5</v>
      </c>
      <c r="N1192" s="60" t="n">
        <v>84</v>
      </c>
      <c r="O1192" s="55" t="s">
        <v>284</v>
      </c>
      <c r="P1192" s="57" t="n">
        <v>32</v>
      </c>
      <c r="Q1192" s="60" t="n">
        <f aca="false">IF(BR1192=1,0,IFERROR(VLOOKUP(BP1192,'Gebinde-Kategorie'!$A$5:$M$45,13,0)+0,0))</f>
        <v>12</v>
      </c>
      <c r="R1192" s="61"/>
      <c r="S1192" s="62"/>
      <c r="T1192" s="62"/>
      <c r="U1192" s="55"/>
      <c r="V1192" s="57"/>
      <c r="W1192" s="57"/>
      <c r="X1192" s="55" t="n">
        <f aca="false">IF(A1192="","",IF(AND(Parameter!$B$21="Ja",ISNUMBER(U1192)),U1192,IF(IFERROR(VLOOKUP(D1192,Parameter!$A$35:$C$64,2,0),"Nein")="2+3",IF(ISNUMBER(SEARCH("grosser Artikel",BM1192)),2,IFERROR(VLOOKUP(BP1192,Parameter!$F$35:$G$64,2,0),2)),IF(OR(IFERROR(VLOOKUP(D1192,Parameter!$A$35:$C$64,2,0),"Nein")="Nein",IFERROR(VLOOKUP(D1192,Parameter!$A$35:$C$64,2,0),"Nein")=""),"-",VLOOKUP(D1192,Parameter!$A$35:$C$64,2,0)))))</f>
        <v>2</v>
      </c>
      <c r="Y1192" s="62"/>
      <c r="Z1192" s="63"/>
      <c r="AA1192" s="57" t="n">
        <f aca="false">AP1192</f>
        <v>32</v>
      </c>
      <c r="AB1192" s="57" t="n">
        <f aca="false">MAX(AP1192,G1192)</f>
        <v>32</v>
      </c>
      <c r="AC1192" s="64"/>
      <c r="AD1192" s="57" t="n">
        <f aca="false">IF(LEFT(Cockpit!$C$5,1)="A",G1192,IF(BW1192=1,BX1192,IF(LEFT(Cockpit!$C$5,1)="B",AH1192,MAX(AH1192,G1192))))</f>
        <v>0</v>
      </c>
      <c r="AE1192" s="57" t="n">
        <f aca="false">IF(BR1192=1,0,ROUNDUP(AD1192/BQ1192,0))</f>
        <v>0</v>
      </c>
      <c r="AF1192" s="59" t="n">
        <f aca="false">IF(CD1192&gt;0,CD1192*MAX(1,AD1192/V1192),IF(BR1192=1,IF(AD1192&lt;=0,0,BS1192*MAX(1,IF(G1192&gt;0,AD1192/G1192,1))),IF(Q1192&gt;0,AE1192/Q1192,0))/MAX(0.1,N(Parameter!$M$21)))</f>
        <v>0</v>
      </c>
      <c r="AG1192" s="57" t="n">
        <f aca="false">AD1192*F1192</f>
        <v>0</v>
      </c>
      <c r="AH1192" s="57" t="n">
        <f aca="false">ROUNDUP(MAX(I1192/IF(BV1192&gt;0,BV1192,MAX(0.1,N(Cockpit!$C$6))),BY1192)/BQ1192,0)*BQ1192</f>
        <v>32</v>
      </c>
      <c r="AI1192" s="58" t="n">
        <f aca="false">IF(AF1192&gt;0,I1192/AF1192,-1)</f>
        <v>-1</v>
      </c>
      <c r="AJ1192" s="58" t="str">
        <f aca="false">IF(AND(OR(BU1192="L1",BU1192="L23"),AF1192&gt;0),SUMIFS($AF$7:$AF$1576,$BU$7:$BU$1576,BU1192,$AI$7:$AI$1576,"&gt;"&amp;AI1192)+SUMIFS($AF$7:$AF$1576,$BU$7:$BU$1576,BU1192,$AI$7:$AI$1576,AI1192,$BO$7:$BO$1576,"&lt;="&amp;BO1192),"")</f>
        <v/>
      </c>
      <c r="AK1192" s="65" t="n">
        <f aca="false">IF(AJ1192="",0,MAX(0,MIN(1,(IF(BU1192="L1",Parameter!$E$5,Parameter!$E$6+Parameter!$E$7)-(AJ1192-AF1192))/AF1192)))</f>
        <v>0</v>
      </c>
      <c r="AL1192" s="57" t="n">
        <f aca="false">IF(LEFT(Cockpit!$I$5,1)="A",G1192,IF(BW1192=1,BX1192,IF(LEFT(Cockpit!$I$5,1)="B",AP1192,MAX(AP1192,G1192))))</f>
        <v>32</v>
      </c>
      <c r="AM1192" s="57" t="n">
        <f aca="false">IF(BR1192=1,0,ROUNDUP(AL1192/BQ1192,0))</f>
        <v>1</v>
      </c>
      <c r="AN1192" s="59" t="n">
        <f aca="false">IF(CD1192&gt;0,CD1192*MAX(1,AL1192/V1192),IF(BR1192=1,IF(AL1192&lt;=0,0,BS1192*MAX(1,IF(G1192&gt;0,AL1192/G1192,1))),IF(Q1192&gt;0,AM1192/Q1192,0))/MAX(0.1,N(Parameter!$M$21)))</f>
        <v>0.0833333333333333</v>
      </c>
      <c r="AO1192" s="57" t="n">
        <f aca="false">AL1192*F1192</f>
        <v>3424</v>
      </c>
      <c r="AP1192" s="57" t="n">
        <f aca="false">ROUNDUP(MAX(I1192/IF(BV1192&gt;0,BV1192,MAX(0.1,N(Cockpit!$I$6))),BY1192)/BQ1192,0)*BQ1192</f>
        <v>32</v>
      </c>
      <c r="AQ1192" s="58" t="n">
        <f aca="false">IF(AN1192&gt;0,I1192/AN1192,-1)</f>
        <v>48</v>
      </c>
      <c r="AR1192" s="58" t="n">
        <f aca="false">IF(AND(OR(BU1192="L1",BU1192="L23"),AN1192&gt;0),SUMIFS($AN$7:$AN$1576,$BU$7:$BU$1576,BU1192,$AQ$7:$AQ$1576,"&gt;"&amp;AQ1192)+SUMIFS($AN$7:$AN$1576,$BU$7:$BU$1576,BU1192,$AQ$7:$AQ$1576,AQ1192,$BO$7:$BO$1576,"&lt;="&amp;BO1192),"")</f>
        <v>84.1369217681829</v>
      </c>
      <c r="AS1192" s="65" t="n">
        <f aca="false">IF(AR1192="",0,MAX(0,MIN(1,(IF(BU1192="L1",Parameter!$E$5,Parameter!$E$6+Parameter!$E$7)-(AR1192-AN1192))/AN1192)))</f>
        <v>1</v>
      </c>
      <c r="AT1192" s="57" t="n">
        <f aca="false">IF(LEFT(Cockpit!$O$5,1)="A",G1192,IF(BW1192=1,BX1192,IF(LEFT(Cockpit!$O$5,1)="B",AX1192,MAX(AX1192,G1192))))</f>
        <v>32</v>
      </c>
      <c r="AU1192" s="57" t="n">
        <f aca="false">IF(BR1192=1,0,ROUNDUP(AT1192/BQ1192,0))</f>
        <v>1</v>
      </c>
      <c r="AV1192" s="59" t="n">
        <f aca="false">IF(CD1192&gt;0,CD1192*MAX(1,AT1192/V1192),IF(BR1192=1,IF(AT1192&lt;=0,0,BS1192*MAX(1,IF(G1192&gt;0,AT1192/G1192,1))),IF(Q1192&gt;0,AU1192/Q1192,0))/MAX(0.1,N(Parameter!$M$21)))</f>
        <v>0.0833333333333333</v>
      </c>
      <c r="AW1192" s="57" t="n">
        <f aca="false">AT1192*F1192</f>
        <v>3424</v>
      </c>
      <c r="AX1192" s="57" t="n">
        <f aca="false">ROUNDUP(MAX(I1192/IF(BV1192&gt;0,BV1192,MAX(0.1,N(Cockpit!$O$6))),BY1192)/BQ1192,0)*BQ1192</f>
        <v>32</v>
      </c>
      <c r="AY1192" s="58" t="n">
        <f aca="false">IF(AV1192&gt;0,I1192/AV1192,-1)</f>
        <v>48</v>
      </c>
      <c r="AZ1192" s="58" t="n">
        <f aca="false">IF(AND(OR(BU1192="L1",BU1192="L23"),AV1192&gt;0),SUMIFS($AV$7:$AV$1576,$BU$7:$BU$1576,BU1192,$AY$7:$AY$1576,"&gt;"&amp;AY1192)+SUMIFS($AV$7:$AV$1576,$BU$7:$BU$1576,BU1192,$AY$7:$AY$1576,AY1192,$BO$7:$BO$1576,"&lt;="&amp;BO1192),"")</f>
        <v>80.0298055510667</v>
      </c>
      <c r="BA1192" s="65" t="n">
        <f aca="false">IF(AZ1192="",0,MAX(0,MIN(1,(IF(BU1192="L1",Parameter!$E$5,Parameter!$E$6+Parameter!$E$7)-(AZ1192-AV1192))/AV1192)))</f>
        <v>1</v>
      </c>
      <c r="BB1192" s="55" t="str">
        <f aca="false">IF(AF1192&lt;=0,"",IF(BU1192="Aussen","Aussenlager",IF(BU1192="-","Nicht im Lift",IF(AK1192&gt;=1,"Lift",IF(AK1192&lt;=0,"Aussenlager","teilweise")))))</f>
        <v/>
      </c>
      <c r="BC1192" s="55" t="str">
        <f aca="false">IF(AN1192&lt;=0,"",IF(BU1192="Aussen","Aussenlager",IF(BU1192="-","Nicht im Lift",IF(AS1192&gt;=1,"Lift",IF(AS1192&lt;=0,"Aussenlager","teilweise")))))</f>
        <v>Lift</v>
      </c>
      <c r="BD1192" s="55" t="str">
        <f aca="false">IF(AV1192&lt;=0,"",IF(BU1192="Aussen","Aussenlager",IF(BU1192="-","Nicht im Lift",IF(BA1192&gt;=1,"Lift",IF(BA1192&lt;=0,"Aussenlager","teilweise")))))</f>
        <v>Lift</v>
      </c>
      <c r="BE1192" s="55" t="str">
        <f aca="false">IF(A1192="","",IF(BN1192=1,"Neu; ","")&amp;IF(AND(BN1192=0,BI1192&lt;0),"negativer Bestand (Export "&amp;BI1192&amp;"); ","")&amp;IF(I1192&lt;=0,"Kein Verbrauch; ","")&amp;IF(CD1192&gt;0,"Lift "&amp;U1192&amp;" lt. Liftbericht (Fach "&amp;V1192&amp;" Stk); ",IF(BR1192=1,"Lose – Fläche geschätzt; ",""))&amp;IF(G1192&gt;AP1192,"Überbestand "&amp;ROUND(G1192-AP1192,0)&amp;" Stk / CHF "&amp;ROUND((G1192-AP1192)*F1192,0)&amp;"; ","")&amp;IF(AND(BW1192=1,BX1192&lt;BY1192),"MAX &lt; MB+LG; ","")&amp;IF(AND(CC1192&gt;0,CB1192*10&gt;CC1192),"zu hoch für Tablar; ","")&amp;IF(AND(BN1192=0,OR(BW1192=1,Y1192&lt;&gt;"",S1192&lt;&gt;"",T1192&lt;&gt;"",Z1192&lt;&gt;"")),"manuell übersteuert; ","")&amp;IF(AND(BR1192=0,Q1192=0),"Gebinde unbekannt / Stellmass fehlt; ","")&amp;IF(AND(BR1192=0,N(T1192)&lt;=0,N(P1192)&lt;=0),"Menge pro Gebinde fehlt (Ist = 1 Gebinde); ","")&amp;BM1192)</f>
        <v>negativer Bestand (Export -4); Überbestand</v>
      </c>
      <c r="BF1192" s="55"/>
      <c r="BG1192" s="55"/>
      <c r="BH1192" s="62"/>
      <c r="BI1192" s="57" t="n">
        <v>-4</v>
      </c>
      <c r="BJ1192" s="57" t="n">
        <v>17</v>
      </c>
      <c r="BK1192" s="56" t="n">
        <v>-428</v>
      </c>
      <c r="BL1192" s="57" t="n">
        <v>4</v>
      </c>
      <c r="BM1192" s="55" t="s">
        <v>382</v>
      </c>
      <c r="BN1192" s="60" t="n">
        <v>0</v>
      </c>
      <c r="BO1192" s="60" t="n">
        <v>1192</v>
      </c>
      <c r="BP1192" s="55" t="str">
        <f aca="false">IF(S1192&lt;&gt;"",UPPER(TRIM(S1192)),IF(O1192="","LOSE",O1192))</f>
        <v>S62</v>
      </c>
      <c r="BQ1192" s="57" t="n">
        <f aca="false">IF(BP1192="LOSE",1,IF(N(T1192)&gt;0,T1192,IF(N(P1192)&gt;0,P1192,MAX(1,G1192))))</f>
        <v>32</v>
      </c>
      <c r="BR1192" s="60" t="n">
        <f aca="false">IF(BP1192="LOSE",1,0)</f>
        <v>0</v>
      </c>
      <c r="BS1192" s="59" t="n">
        <f aca="false">IF(BR1192=0,0,IF(N(R1192)&gt;0,R1192,IFERROR(VLOOKUP(D1192,Parameter!$A$35:$C$64,3,0)+0,0)))</f>
        <v>0</v>
      </c>
      <c r="BT1192" s="55" t="n">
        <f aca="false">IF(Y1192&lt;&gt;"",Y1192,X1192)</f>
        <v>2</v>
      </c>
      <c r="BU1192" s="55" t="str">
        <f aca="false">IF(BT1192=1,"L1",IF(OR(BT1192=2,BT1192=3),"L23",IF(BT1192="Aussen","Aussen","-")))</f>
        <v>L23</v>
      </c>
      <c r="BV1192" s="66" t="n">
        <f aca="false">IF(N(Z1192)&gt;0,Z1192,0)</f>
        <v>0</v>
      </c>
      <c r="BW1192" s="60" t="n">
        <f aca="false">IF(ISNUMBER(AC1192),1,0)</f>
        <v>0</v>
      </c>
      <c r="BX1192" s="57" t="n">
        <f aca="false">N(AC1192)</f>
        <v>0</v>
      </c>
      <c r="BY1192" s="57" t="n">
        <f aca="false">N(L1192)+N(M1192)</f>
        <v>5</v>
      </c>
      <c r="BZ1192" s="57" t="n">
        <f aca="false">ROUNDUP(G1192/BQ1192,0)</f>
        <v>0</v>
      </c>
      <c r="CA1192" s="57" t="n">
        <f aca="false">ROUNDUP(BX1192/BQ1192,0)</f>
        <v>0</v>
      </c>
      <c r="CB1192" s="60" t="n">
        <f aca="false">IF(BR1192=1,0,IFERROR(VLOOKUP(BP1192,'Gebinde-Kategorie'!$A$5:$M$45,5,0)+0,0))</f>
        <v>21</v>
      </c>
      <c r="CC1192" s="60" t="n">
        <f aca="false">IFERROR(IF(OR(BT1192=1,BT1192=2,BT1192=3),N(INDEX(Parameter!$I$5:$I$7,BT1192)),0),0)</f>
        <v>0</v>
      </c>
      <c r="CD1192" s="59" t="n">
        <f aca="false">IF(AND(Parameter!$B$21="Ja",ISNUMBER(U1192),N(V1192)&gt;0),IFERROR(N(INDEX(Parameter!$L$5:$L$7,U1192))*INDEX(Parameter!$E$5:$E$7,U1192)*V1192/SUMIFS($V$7:$V$1576,$U$7:$U$1576,U1192),0),0)</f>
        <v>0</v>
      </c>
    </row>
    <row r="1193" customFormat="false" ht="15" hidden="false" customHeight="false" outlineLevel="0" collapsed="false">
      <c r="A1193" s="55" t="s">
        <v>2133</v>
      </c>
      <c r="B1193" s="55" t="s">
        <v>2134</v>
      </c>
      <c r="C1193" s="55" t="s">
        <v>160</v>
      </c>
      <c r="D1193" s="55" t="s">
        <v>178</v>
      </c>
      <c r="E1193" s="55" t="s">
        <v>210</v>
      </c>
      <c r="F1193" s="56" t="n">
        <v>79.87</v>
      </c>
      <c r="G1193" s="57" t="n">
        <f aca="false">MAX(0,IF(AND(Parameter!$B$21="Ja",ISNUMBER(W1193)),W1193,IF(Parameter!$B$20="Jahresanfang 2025 + Export",BJ1193+BI1193,BI1193)))</f>
        <v>0</v>
      </c>
      <c r="H1193" s="57" t="n">
        <f aca="false">G1193*F1193</f>
        <v>0</v>
      </c>
      <c r="I1193" s="57" t="n">
        <f aca="false">BL1193*Parameter!$B$18</f>
        <v>13</v>
      </c>
      <c r="J1193" s="58" t="n">
        <v>10</v>
      </c>
      <c r="K1193" s="59" t="n">
        <v>1.3</v>
      </c>
      <c r="L1193" s="57" t="n">
        <v>0</v>
      </c>
      <c r="M1193" s="57" t="n">
        <v>15</v>
      </c>
      <c r="N1193" s="60" t="n">
        <v>21</v>
      </c>
      <c r="O1193" s="55" t="s">
        <v>225</v>
      </c>
      <c r="P1193" s="57" t="n">
        <v>4</v>
      </c>
      <c r="Q1193" s="60" t="n">
        <f aca="false">IF(BR1193=1,0,IFERROR(VLOOKUP(BP1193,'Gebinde-Kategorie'!$A$5:$M$45,13,0)+0,0))</f>
        <v>26</v>
      </c>
      <c r="R1193" s="61"/>
      <c r="S1193" s="62"/>
      <c r="T1193" s="62"/>
      <c r="U1193" s="55"/>
      <c r="V1193" s="57"/>
      <c r="W1193" s="57"/>
      <c r="X1193" s="55" t="n">
        <f aca="false">IF(A1193="","",IF(AND(Parameter!$B$21="Ja",ISNUMBER(U1193)),U1193,IF(IFERROR(VLOOKUP(D1193,Parameter!$A$35:$C$64,2,0),"Nein")="2+3",IF(ISNUMBER(SEARCH("grosser Artikel",BM1193)),2,IFERROR(VLOOKUP(BP1193,Parameter!$F$35:$G$64,2,0),2)),IF(OR(IFERROR(VLOOKUP(D1193,Parameter!$A$35:$C$64,2,0),"Nein")="Nein",IFERROR(VLOOKUP(D1193,Parameter!$A$35:$C$64,2,0),"Nein")=""),"-",VLOOKUP(D1193,Parameter!$A$35:$C$64,2,0)))))</f>
        <v>3</v>
      </c>
      <c r="Y1193" s="62"/>
      <c r="Z1193" s="63"/>
      <c r="AA1193" s="57" t="n">
        <f aca="false">AP1193</f>
        <v>16</v>
      </c>
      <c r="AB1193" s="57" t="n">
        <f aca="false">MAX(AP1193,G1193)</f>
        <v>16</v>
      </c>
      <c r="AC1193" s="64"/>
      <c r="AD1193" s="57" t="n">
        <f aca="false">IF(LEFT(Cockpit!$C$5,1)="A",G1193,IF(BW1193=1,BX1193,IF(LEFT(Cockpit!$C$5,1)="B",AH1193,MAX(AH1193,G1193))))</f>
        <v>0</v>
      </c>
      <c r="AE1193" s="57" t="n">
        <f aca="false">IF(BR1193=1,0,ROUNDUP(AD1193/BQ1193,0))</f>
        <v>0</v>
      </c>
      <c r="AF1193" s="59" t="n">
        <f aca="false">IF(CD1193&gt;0,CD1193*MAX(1,AD1193/V1193),IF(BR1193=1,IF(AD1193&lt;=0,0,BS1193*MAX(1,IF(G1193&gt;0,AD1193/G1193,1))),IF(Q1193&gt;0,AE1193/Q1193,0))/MAX(0.1,N(Parameter!$M$21)))</f>
        <v>0</v>
      </c>
      <c r="AG1193" s="57" t="n">
        <f aca="false">AD1193*F1193</f>
        <v>0</v>
      </c>
      <c r="AH1193" s="57" t="n">
        <f aca="false">ROUNDUP(MAX(I1193/IF(BV1193&gt;0,BV1193,MAX(0.1,N(Cockpit!$C$6))),BY1193)/BQ1193,0)*BQ1193</f>
        <v>16</v>
      </c>
      <c r="AI1193" s="58" t="n">
        <f aca="false">IF(AF1193&gt;0,I1193/AF1193,-1)</f>
        <v>-1</v>
      </c>
      <c r="AJ1193" s="58" t="str">
        <f aca="false">IF(AND(OR(BU1193="L1",BU1193="L23"),AF1193&gt;0),SUMIFS($AF$7:$AF$1576,$BU$7:$BU$1576,BU1193,$AI$7:$AI$1576,"&gt;"&amp;AI1193)+SUMIFS($AF$7:$AF$1576,$BU$7:$BU$1576,BU1193,$AI$7:$AI$1576,AI1193,$BO$7:$BO$1576,"&lt;="&amp;BO1193),"")</f>
        <v/>
      </c>
      <c r="AK1193" s="65" t="n">
        <f aca="false">IF(AJ1193="",0,MAX(0,MIN(1,(IF(BU1193="L1",Parameter!$E$5,Parameter!$E$6+Parameter!$E$7)-(AJ1193-AF1193))/AF1193)))</f>
        <v>0</v>
      </c>
      <c r="AL1193" s="57" t="n">
        <f aca="false">IF(LEFT(Cockpit!$I$5,1)="A",G1193,IF(BW1193=1,BX1193,IF(LEFT(Cockpit!$I$5,1)="B",AP1193,MAX(AP1193,G1193))))</f>
        <v>16</v>
      </c>
      <c r="AM1193" s="57" t="n">
        <f aca="false">IF(BR1193=1,0,ROUNDUP(AL1193/BQ1193,0))</f>
        <v>4</v>
      </c>
      <c r="AN1193" s="59" t="n">
        <f aca="false">IF(CD1193&gt;0,CD1193*MAX(1,AL1193/V1193),IF(BR1193=1,IF(AL1193&lt;=0,0,BS1193*MAX(1,IF(G1193&gt;0,AL1193/G1193,1))),IF(Q1193&gt;0,AM1193/Q1193,0))/MAX(0.1,N(Parameter!$M$21)))</f>
        <v>0.153846153846154</v>
      </c>
      <c r="AO1193" s="57" t="n">
        <f aca="false">AL1193*F1193</f>
        <v>1277.92</v>
      </c>
      <c r="AP1193" s="57" t="n">
        <f aca="false">ROUNDUP(MAX(I1193/IF(BV1193&gt;0,BV1193,MAX(0.1,N(Cockpit!$I$6))),BY1193)/BQ1193,0)*BQ1193</f>
        <v>16</v>
      </c>
      <c r="AQ1193" s="58" t="n">
        <f aca="false">IF(AN1193&gt;0,I1193/AN1193,-1)</f>
        <v>84.5</v>
      </c>
      <c r="AR1193" s="58" t="n">
        <f aca="false">IF(AND(OR(BU1193="L1",BU1193="L23"),AN1193&gt;0),SUMIFS($AN$7:$AN$1576,$BU$7:$BU$1576,BU1193,$AQ$7:$AQ$1576,"&gt;"&amp;AQ1193)+SUMIFS($AN$7:$AN$1576,$BU$7:$BU$1576,BU1193,$AQ$7:$AQ$1576,AQ1193,$BO$7:$BO$1576,"&lt;="&amp;BO1193),"")</f>
        <v>73.547492863754</v>
      </c>
      <c r="AS1193" s="65" t="n">
        <f aca="false">IF(AR1193="",0,MAX(0,MIN(1,(IF(BU1193="L1",Parameter!$E$5,Parameter!$E$6+Parameter!$E$7)-(AR1193-AN1193))/AN1193)))</f>
        <v>1</v>
      </c>
      <c r="AT1193" s="57" t="n">
        <f aca="false">IF(LEFT(Cockpit!$O$5,1)="A",G1193,IF(BW1193=1,BX1193,IF(LEFT(Cockpit!$O$5,1)="B",AX1193,MAX(AX1193,G1193))))</f>
        <v>16</v>
      </c>
      <c r="AU1193" s="57" t="n">
        <f aca="false">IF(BR1193=1,0,ROUNDUP(AT1193/BQ1193,0))</f>
        <v>4</v>
      </c>
      <c r="AV1193" s="59" t="n">
        <f aca="false">IF(CD1193&gt;0,CD1193*MAX(1,AT1193/V1193),IF(BR1193=1,IF(AT1193&lt;=0,0,BS1193*MAX(1,IF(G1193&gt;0,AT1193/G1193,1))),IF(Q1193&gt;0,AU1193/Q1193,0))/MAX(0.1,N(Parameter!$M$21)))</f>
        <v>0.153846153846154</v>
      </c>
      <c r="AW1193" s="57" t="n">
        <f aca="false">AT1193*F1193</f>
        <v>1277.92</v>
      </c>
      <c r="AX1193" s="57" t="n">
        <f aca="false">ROUNDUP(MAX(I1193/IF(BV1193&gt;0,BV1193,MAX(0.1,N(Cockpit!$O$6))),BY1193)/BQ1193,0)*BQ1193</f>
        <v>16</v>
      </c>
      <c r="AY1193" s="58" t="n">
        <f aca="false">IF(AV1193&gt;0,I1193/AV1193,-1)</f>
        <v>84.5</v>
      </c>
      <c r="AZ1193" s="58" t="n">
        <f aca="false">IF(AND(OR(BU1193="L1",BU1193="L23"),AV1193&gt;0),SUMIFS($AV$7:$AV$1576,$BU$7:$BU$1576,BU1193,$AY$7:$AY$1576,"&gt;"&amp;AY1193)+SUMIFS($AV$7:$AV$1576,$BU$7:$BU$1576,BU1193,$AY$7:$AY$1576,AY1193,$BO$7:$BO$1576,"&lt;="&amp;BO1193),"")</f>
        <v>67.1078766466378</v>
      </c>
      <c r="BA1193" s="65" t="n">
        <f aca="false">IF(AZ1193="",0,MAX(0,MIN(1,(IF(BU1193="L1",Parameter!$E$5,Parameter!$E$6+Parameter!$E$7)-(AZ1193-AV1193))/AV1193)))</f>
        <v>1</v>
      </c>
      <c r="BB1193" s="55" t="str">
        <f aca="false">IF(AF1193&lt;=0,"",IF(BU1193="Aussen","Aussenlager",IF(BU1193="-","Nicht im Lift",IF(AK1193&gt;=1,"Lift",IF(AK1193&lt;=0,"Aussenlager","teilweise")))))</f>
        <v/>
      </c>
      <c r="BC1193" s="55" t="str">
        <f aca="false">IF(AN1193&lt;=0,"",IF(BU1193="Aussen","Aussenlager",IF(BU1193="-","Nicht im Lift",IF(AS1193&gt;=1,"Lift",IF(AS1193&lt;=0,"Aussenlager","teilweise")))))</f>
        <v>Lift</v>
      </c>
      <c r="BD1193" s="55" t="str">
        <f aca="false">IF(AV1193&lt;=0,"",IF(BU1193="Aussen","Aussenlager",IF(BU1193="-","Nicht im Lift",IF(BA1193&gt;=1,"Lift",IF(BA1193&lt;=0,"Aussenlager","teilweise")))))</f>
        <v>Lift</v>
      </c>
      <c r="BE1193" s="55" t="str">
        <f aca="false">IF(A1193="","",IF(BN1193=1,"Neu; ","")&amp;IF(AND(BN1193=0,BI1193&lt;0),"negativer Bestand (Export "&amp;BI1193&amp;"); ","")&amp;IF(I1193&lt;=0,"Kein Verbrauch; ","")&amp;IF(CD1193&gt;0,"Lift "&amp;U1193&amp;" lt. Liftbericht (Fach "&amp;V1193&amp;" Stk); ",IF(BR1193=1,"Lose – Fläche geschätzt; ",""))&amp;IF(G1193&gt;AP1193,"Überbestand "&amp;ROUND(G1193-AP1193,0)&amp;" Stk / CHF "&amp;ROUND((G1193-AP1193)*F1193,0)&amp;"; ","")&amp;IF(AND(BW1193=1,BX1193&lt;BY1193),"MAX &lt; MB+LG; ","")&amp;IF(AND(CC1193&gt;0,CB1193*10&gt;CC1193),"zu hoch für Tablar; ","")&amp;IF(AND(BN1193=0,OR(BW1193=1,Y1193&lt;&gt;"",S1193&lt;&gt;"",T1193&lt;&gt;"",Z1193&lt;&gt;"")),"manuell übersteuert; ","")&amp;IF(AND(BR1193=0,Q1193=0),"Gebinde unbekannt / Stellmass fehlt; ","")&amp;IF(AND(BR1193=0,N(T1193)&lt;=0,N(P1193)&lt;=0),"Menge pro Gebinde fehlt (Ist = 1 Gebinde); ","")&amp;BM1193)</f>
        <v>negativer Bestand (Export -6); </v>
      </c>
      <c r="BF1193" s="55"/>
      <c r="BG1193" s="55"/>
      <c r="BH1193" s="62"/>
      <c r="BI1193" s="57" t="n">
        <v>-6</v>
      </c>
      <c r="BJ1193" s="57" t="n">
        <v>12</v>
      </c>
      <c r="BK1193" s="56" t="n">
        <v>-435.78</v>
      </c>
      <c r="BL1193" s="57" t="n">
        <v>13</v>
      </c>
      <c r="BM1193" s="55"/>
      <c r="BN1193" s="60" t="n">
        <v>0</v>
      </c>
      <c r="BO1193" s="60" t="n">
        <v>1193</v>
      </c>
      <c r="BP1193" s="55" t="str">
        <f aca="false">IF(S1193&lt;&gt;"",UPPER(TRIM(S1193)),IF(O1193="","LOSE",O1193))</f>
        <v>S52</v>
      </c>
      <c r="BQ1193" s="57" t="n">
        <f aca="false">IF(BP1193="LOSE",1,IF(N(T1193)&gt;0,T1193,IF(N(P1193)&gt;0,P1193,MAX(1,G1193))))</f>
        <v>4</v>
      </c>
      <c r="BR1193" s="60" t="n">
        <f aca="false">IF(BP1193="LOSE",1,0)</f>
        <v>0</v>
      </c>
      <c r="BS1193" s="59" t="n">
        <f aca="false">IF(BR1193=0,0,IF(N(R1193)&gt;0,R1193,IFERROR(VLOOKUP(D1193,Parameter!$A$35:$C$64,3,0)+0,0)))</f>
        <v>0</v>
      </c>
      <c r="BT1193" s="55" t="n">
        <f aca="false">IF(Y1193&lt;&gt;"",Y1193,X1193)</f>
        <v>3</v>
      </c>
      <c r="BU1193" s="55" t="str">
        <f aca="false">IF(BT1193=1,"L1",IF(OR(BT1193=2,BT1193=3),"L23",IF(BT1193="Aussen","Aussen","-")))</f>
        <v>L23</v>
      </c>
      <c r="BV1193" s="66" t="n">
        <f aca="false">IF(N(Z1193)&gt;0,Z1193,0)</f>
        <v>0</v>
      </c>
      <c r="BW1193" s="60" t="n">
        <f aca="false">IF(ISNUMBER(AC1193),1,0)</f>
        <v>0</v>
      </c>
      <c r="BX1193" s="57" t="n">
        <f aca="false">N(AC1193)</f>
        <v>0</v>
      </c>
      <c r="BY1193" s="57" t="n">
        <f aca="false">N(L1193)+N(M1193)</f>
        <v>15</v>
      </c>
      <c r="BZ1193" s="57" t="n">
        <f aca="false">ROUNDUP(G1193/BQ1193,0)</f>
        <v>0</v>
      </c>
      <c r="CA1193" s="57" t="n">
        <f aca="false">ROUNDUP(BX1193/BQ1193,0)</f>
        <v>0</v>
      </c>
      <c r="CB1193" s="60" t="n">
        <f aca="false">IF(BR1193=1,0,IFERROR(VLOOKUP(BP1193,'Gebinde-Kategorie'!$A$5:$M$45,5,0)+0,0))</f>
        <v>21</v>
      </c>
      <c r="CC1193" s="60" t="n">
        <f aca="false">IFERROR(IF(OR(BT1193=1,BT1193=2,BT1193=3),N(INDEX(Parameter!$I$5:$I$7,BT1193)),0),0)</f>
        <v>0</v>
      </c>
      <c r="CD1193" s="59" t="n">
        <f aca="false">IF(AND(Parameter!$B$21="Ja",ISNUMBER(U1193),N(V1193)&gt;0),IFERROR(N(INDEX(Parameter!$L$5:$L$7,U1193))*INDEX(Parameter!$E$5:$E$7,U1193)*V1193/SUMIFS($V$7:$V$1576,$U$7:$U$1576,U1193),0),0)</f>
        <v>0</v>
      </c>
    </row>
    <row r="1194" customFormat="false" ht="15" hidden="false" customHeight="false" outlineLevel="0" collapsed="false">
      <c r="A1194" s="55" t="s">
        <v>2135</v>
      </c>
      <c r="B1194" s="55" t="s">
        <v>1929</v>
      </c>
      <c r="C1194" s="55" t="s">
        <v>160</v>
      </c>
      <c r="D1194" s="55" t="s">
        <v>178</v>
      </c>
      <c r="E1194" s="55" t="s">
        <v>210</v>
      </c>
      <c r="F1194" s="56" t="n">
        <v>40.33</v>
      </c>
      <c r="G1194" s="57" t="n">
        <f aca="false">MAX(0,IF(AND(Parameter!$B$21="Ja",ISNUMBER(W1194)),W1194,IF(Parameter!$B$20="Jahresanfang 2025 + Export",BJ1194+BI1194,BI1194)))</f>
        <v>0</v>
      </c>
      <c r="H1194" s="57" t="n">
        <f aca="false">G1194*F1194</f>
        <v>0</v>
      </c>
      <c r="I1194" s="57" t="n">
        <f aca="false">BL1194*Parameter!$B$18</f>
        <v>0</v>
      </c>
      <c r="J1194" s="58" t="n">
        <v>23.5</v>
      </c>
      <c r="K1194" s="59" t="n">
        <v>0</v>
      </c>
      <c r="L1194" s="57" t="n">
        <v>0</v>
      </c>
      <c r="M1194" s="57" t="n">
        <v>1</v>
      </c>
      <c r="N1194" s="60" t="n">
        <v>14</v>
      </c>
      <c r="O1194" s="55" t="s">
        <v>416</v>
      </c>
      <c r="P1194" s="57" t="n">
        <v>20</v>
      </c>
      <c r="Q1194" s="60" t="n">
        <f aca="false">IF(BR1194=1,0,IFERROR(VLOOKUP(BP1194,'Gebinde-Kategorie'!$A$5:$M$45,13,0)+0,0))</f>
        <v>198</v>
      </c>
      <c r="R1194" s="61"/>
      <c r="S1194" s="62"/>
      <c r="T1194" s="62"/>
      <c r="U1194" s="55"/>
      <c r="V1194" s="57"/>
      <c r="W1194" s="57"/>
      <c r="X1194" s="55" t="n">
        <f aca="false">IF(A1194="","",IF(AND(Parameter!$B$21="Ja",ISNUMBER(U1194)),U1194,IF(IFERROR(VLOOKUP(D1194,Parameter!$A$35:$C$64,2,0),"Nein")="2+3",IF(ISNUMBER(SEARCH("grosser Artikel",BM1194)),2,IFERROR(VLOOKUP(BP1194,Parameter!$F$35:$G$64,2,0),2)),IF(OR(IFERROR(VLOOKUP(D1194,Parameter!$A$35:$C$64,2,0),"Nein")="Nein",IFERROR(VLOOKUP(D1194,Parameter!$A$35:$C$64,2,0),"Nein")=""),"-",VLOOKUP(D1194,Parameter!$A$35:$C$64,2,0)))))</f>
        <v>3</v>
      </c>
      <c r="Y1194" s="62"/>
      <c r="Z1194" s="63"/>
      <c r="AA1194" s="57" t="n">
        <f aca="false">AP1194</f>
        <v>20</v>
      </c>
      <c r="AB1194" s="57" t="n">
        <f aca="false">MAX(AP1194,G1194)</f>
        <v>20</v>
      </c>
      <c r="AC1194" s="64"/>
      <c r="AD1194" s="57" t="n">
        <f aca="false">IF(LEFT(Cockpit!$C$5,1)="A",G1194,IF(BW1194=1,BX1194,IF(LEFT(Cockpit!$C$5,1)="B",AH1194,MAX(AH1194,G1194))))</f>
        <v>0</v>
      </c>
      <c r="AE1194" s="57" t="n">
        <f aca="false">IF(BR1194=1,0,ROUNDUP(AD1194/BQ1194,0))</f>
        <v>0</v>
      </c>
      <c r="AF1194" s="59" t="n">
        <f aca="false">IF(CD1194&gt;0,CD1194*MAX(1,AD1194/V1194),IF(BR1194=1,IF(AD1194&lt;=0,0,BS1194*MAX(1,IF(G1194&gt;0,AD1194/G1194,1))),IF(Q1194&gt;0,AE1194/Q1194,0))/MAX(0.1,N(Parameter!$M$21)))</f>
        <v>0</v>
      </c>
      <c r="AG1194" s="57" t="n">
        <f aca="false">AD1194*F1194</f>
        <v>0</v>
      </c>
      <c r="AH1194" s="57" t="n">
        <f aca="false">ROUNDUP(MAX(I1194/IF(BV1194&gt;0,BV1194,MAX(0.1,N(Cockpit!$C$6))),BY1194)/BQ1194,0)*BQ1194</f>
        <v>20</v>
      </c>
      <c r="AI1194" s="58" t="n">
        <f aca="false">IF(AF1194&gt;0,I1194/AF1194,-1)</f>
        <v>-1</v>
      </c>
      <c r="AJ1194" s="58" t="str">
        <f aca="false">IF(AND(OR(BU1194="L1",BU1194="L23"),AF1194&gt;0),SUMIFS($AF$7:$AF$1576,$BU$7:$BU$1576,BU1194,$AI$7:$AI$1576,"&gt;"&amp;AI1194)+SUMIFS($AF$7:$AF$1576,$BU$7:$BU$1576,BU1194,$AI$7:$AI$1576,AI1194,$BO$7:$BO$1576,"&lt;="&amp;BO1194),"")</f>
        <v/>
      </c>
      <c r="AK1194" s="65" t="n">
        <f aca="false">IF(AJ1194="",0,MAX(0,MIN(1,(IF(BU1194="L1",Parameter!$E$5,Parameter!$E$6+Parameter!$E$7)-(AJ1194-AF1194))/AF1194)))</f>
        <v>0</v>
      </c>
      <c r="AL1194" s="57" t="n">
        <f aca="false">IF(LEFT(Cockpit!$I$5,1)="A",G1194,IF(BW1194=1,BX1194,IF(LEFT(Cockpit!$I$5,1)="B",AP1194,MAX(AP1194,G1194))))</f>
        <v>20</v>
      </c>
      <c r="AM1194" s="57" t="n">
        <f aca="false">IF(BR1194=1,0,ROUNDUP(AL1194/BQ1194,0))</f>
        <v>1</v>
      </c>
      <c r="AN1194" s="59" t="n">
        <f aca="false">IF(CD1194&gt;0,CD1194*MAX(1,AL1194/V1194),IF(BR1194=1,IF(AL1194&lt;=0,0,BS1194*MAX(1,IF(G1194&gt;0,AL1194/G1194,1))),IF(Q1194&gt;0,AM1194/Q1194,0))/MAX(0.1,N(Parameter!$M$21)))</f>
        <v>0.00505050505050505</v>
      </c>
      <c r="AO1194" s="57" t="n">
        <f aca="false">AL1194*F1194</f>
        <v>806.6</v>
      </c>
      <c r="AP1194" s="57" t="n">
        <f aca="false">ROUNDUP(MAX(I1194/IF(BV1194&gt;0,BV1194,MAX(0.1,N(Cockpit!$I$6))),BY1194)/BQ1194,0)*BQ1194</f>
        <v>20</v>
      </c>
      <c r="AQ1194" s="58" t="n">
        <f aca="false">IF(AN1194&gt;0,I1194/AN1194,-1)</f>
        <v>0</v>
      </c>
      <c r="AR1194" s="58" t="n">
        <f aca="false">IF(AND(OR(BU1194="L1",BU1194="L23"),AN1194&gt;0),SUMIFS($AN$7:$AN$1576,$BU$7:$BU$1576,BU1194,$AQ$7:$AQ$1576,"&gt;"&amp;AQ1194)+SUMIFS($AN$7:$AN$1576,$BU$7:$BU$1576,BU1194,$AQ$7:$AQ$1576,AQ1194,$BO$7:$BO$1576,"&lt;="&amp;BO1194),"")</f>
        <v>135.29125577326</v>
      </c>
      <c r="AS1194" s="65" t="n">
        <f aca="false">IF(AR1194="",0,MAX(0,MIN(1,(IF(BU1194="L1",Parameter!$E$5,Parameter!$E$6+Parameter!$E$7)-(AR1194-AN1194))/AN1194)))</f>
        <v>0</v>
      </c>
      <c r="AT1194" s="57" t="n">
        <f aca="false">IF(LEFT(Cockpit!$O$5,1)="A",G1194,IF(BW1194=1,BX1194,IF(LEFT(Cockpit!$O$5,1)="B",AX1194,MAX(AX1194,G1194))))</f>
        <v>20</v>
      </c>
      <c r="AU1194" s="57" t="n">
        <f aca="false">IF(BR1194=1,0,ROUNDUP(AT1194/BQ1194,0))</f>
        <v>1</v>
      </c>
      <c r="AV1194" s="59" t="n">
        <f aca="false">IF(CD1194&gt;0,CD1194*MAX(1,AT1194/V1194),IF(BR1194=1,IF(AT1194&lt;=0,0,BS1194*MAX(1,IF(G1194&gt;0,AT1194/G1194,1))),IF(Q1194&gt;0,AU1194/Q1194,0))/MAX(0.1,N(Parameter!$M$21)))</f>
        <v>0.00505050505050505</v>
      </c>
      <c r="AW1194" s="57" t="n">
        <f aca="false">AT1194*F1194</f>
        <v>806.6</v>
      </c>
      <c r="AX1194" s="57" t="n">
        <f aca="false">ROUNDUP(MAX(I1194/IF(BV1194&gt;0,BV1194,MAX(0.1,N(Cockpit!$O$6))),BY1194)/BQ1194,0)*BQ1194</f>
        <v>20</v>
      </c>
      <c r="AY1194" s="58" t="n">
        <f aca="false">IF(AV1194&gt;0,I1194/AV1194,-1)</f>
        <v>0</v>
      </c>
      <c r="AZ1194" s="58" t="n">
        <f aca="false">IF(AND(OR(BU1194="L1",BU1194="L23"),AV1194&gt;0),SUMIFS($AV$7:$AV$1576,$BU$7:$BU$1576,BU1194,$AY$7:$AY$1576,"&gt;"&amp;AY1194)+SUMIFS($AV$7:$AV$1576,$BU$7:$BU$1576,BU1194,$AY$7:$AY$1576,AY1194,$BO$7:$BO$1576,"&lt;="&amp;BO1194),"")</f>
        <v>125.35080622281</v>
      </c>
      <c r="BA1194" s="65" t="n">
        <f aca="false">IF(AZ1194="",0,MAX(0,MIN(1,(IF(BU1194="L1",Parameter!$E$5,Parameter!$E$6+Parameter!$E$7)-(AZ1194-AV1194))/AV1194)))</f>
        <v>0</v>
      </c>
      <c r="BB1194" s="55" t="str">
        <f aca="false">IF(AF1194&lt;=0,"",IF(BU1194="Aussen","Aussenlager",IF(BU1194="-","Nicht im Lift",IF(AK1194&gt;=1,"Lift",IF(AK1194&lt;=0,"Aussenlager","teilweise")))))</f>
        <v/>
      </c>
      <c r="BC1194" s="55" t="str">
        <f aca="false">IF(AN1194&lt;=0,"",IF(BU1194="Aussen","Aussenlager",IF(BU1194="-","Nicht im Lift",IF(AS1194&gt;=1,"Lift",IF(AS1194&lt;=0,"Aussenlager","teilweise")))))</f>
        <v>Aussenlager</v>
      </c>
      <c r="BD1194" s="55" t="str">
        <f aca="false">IF(AV1194&lt;=0,"",IF(BU1194="Aussen","Aussenlager",IF(BU1194="-","Nicht im Lift",IF(BA1194&gt;=1,"Lift",IF(BA1194&lt;=0,"Aussenlager","teilweise")))))</f>
        <v>Aussenlager</v>
      </c>
      <c r="BE1194" s="55" t="str">
        <f aca="false">IF(A1194="","",IF(BN1194=1,"Neu; ","")&amp;IF(AND(BN1194=0,BI1194&lt;0),"negativer Bestand (Export "&amp;BI1194&amp;"); ","")&amp;IF(I1194&lt;=0,"Kein Verbrauch; ","")&amp;IF(CD1194&gt;0,"Lift "&amp;U1194&amp;" lt. Liftbericht (Fach "&amp;V1194&amp;" Stk); ",IF(BR1194=1,"Lose – Fläche geschätzt; ",""))&amp;IF(G1194&gt;AP1194,"Überbestand "&amp;ROUND(G1194-AP1194,0)&amp;" Stk / CHF "&amp;ROUND((G1194-AP1194)*F1194,0)&amp;"; ","")&amp;IF(AND(BW1194=1,BX1194&lt;BY1194),"MAX &lt; MB+LG; ","")&amp;IF(AND(CC1194&gt;0,CB1194*10&gt;CC1194),"zu hoch für Tablar; ","")&amp;IF(AND(BN1194=0,OR(BW1194=1,Y1194&lt;&gt;"",S1194&lt;&gt;"",T1194&lt;&gt;"",Z1194&lt;&gt;"")),"manuell übersteuert; ","")&amp;IF(AND(BR1194=0,Q1194=0),"Gebinde unbekannt / Stellmass fehlt; ","")&amp;IF(AND(BR1194=0,N(T1194)&lt;=0,N(P1194)&lt;=0),"Menge pro Gebinde fehlt (Ist = 1 Gebinde); ","")&amp;BM1194)</f>
        <v>negativer Bestand (Export -11); Kein Verbrauch; Verb.Lager</v>
      </c>
      <c r="BF1194" s="55"/>
      <c r="BG1194" s="55"/>
      <c r="BH1194" s="62"/>
      <c r="BI1194" s="57" t="n">
        <v>-11</v>
      </c>
      <c r="BJ1194" s="57" t="n">
        <v>29</v>
      </c>
      <c r="BK1194" s="56" t="n">
        <v>-443.63</v>
      </c>
      <c r="BL1194" s="57" t="n">
        <v>0</v>
      </c>
      <c r="BM1194" s="55" t="s">
        <v>1019</v>
      </c>
      <c r="BN1194" s="60" t="n">
        <v>0</v>
      </c>
      <c r="BO1194" s="60" t="n">
        <v>1194</v>
      </c>
      <c r="BP1194" s="55" t="str">
        <f aca="false">IF(S1194&lt;&gt;"",UPPER(TRIM(S1194)),IF(O1194="","LOSE",O1194))</f>
        <v>S22</v>
      </c>
      <c r="BQ1194" s="57" t="n">
        <f aca="false">IF(BP1194="LOSE",1,IF(N(T1194)&gt;0,T1194,IF(N(P1194)&gt;0,P1194,MAX(1,G1194))))</f>
        <v>20</v>
      </c>
      <c r="BR1194" s="60" t="n">
        <f aca="false">IF(BP1194="LOSE",1,0)</f>
        <v>0</v>
      </c>
      <c r="BS1194" s="59" t="n">
        <f aca="false">IF(BR1194=0,0,IF(N(R1194)&gt;0,R1194,IFERROR(VLOOKUP(D1194,Parameter!$A$35:$C$64,3,0)+0,0)))</f>
        <v>0</v>
      </c>
      <c r="BT1194" s="55" t="n">
        <f aca="false">IF(Y1194&lt;&gt;"",Y1194,X1194)</f>
        <v>3</v>
      </c>
      <c r="BU1194" s="55" t="str">
        <f aca="false">IF(BT1194=1,"L1",IF(OR(BT1194=2,BT1194=3),"L23",IF(BT1194="Aussen","Aussen","-")))</f>
        <v>L23</v>
      </c>
      <c r="BV1194" s="66" t="n">
        <f aca="false">IF(N(Z1194)&gt;0,Z1194,0)</f>
        <v>0</v>
      </c>
      <c r="BW1194" s="60" t="n">
        <f aca="false">IF(ISNUMBER(AC1194),1,0)</f>
        <v>0</v>
      </c>
      <c r="BX1194" s="57" t="n">
        <f aca="false">N(AC1194)</f>
        <v>0</v>
      </c>
      <c r="BY1194" s="57" t="n">
        <f aca="false">N(L1194)+N(M1194)</f>
        <v>1</v>
      </c>
      <c r="BZ1194" s="57" t="n">
        <f aca="false">ROUNDUP(G1194/BQ1194,0)</f>
        <v>0</v>
      </c>
      <c r="CA1194" s="57" t="n">
        <f aca="false">ROUNDUP(BX1194/BQ1194,0)</f>
        <v>0</v>
      </c>
      <c r="CB1194" s="60" t="n">
        <f aca="false">IF(BR1194=1,0,IFERROR(VLOOKUP(BP1194,'Gebinde-Kategorie'!$A$5:$M$45,5,0)+0,0))</f>
        <v>8</v>
      </c>
      <c r="CC1194" s="60" t="n">
        <f aca="false">IFERROR(IF(OR(BT1194=1,BT1194=2,BT1194=3),N(INDEX(Parameter!$I$5:$I$7,BT1194)),0),0)</f>
        <v>0</v>
      </c>
      <c r="CD1194" s="59" t="n">
        <f aca="false">IF(AND(Parameter!$B$21="Ja",ISNUMBER(U1194),N(V1194)&gt;0),IFERROR(N(INDEX(Parameter!$L$5:$L$7,U1194))*INDEX(Parameter!$E$5:$E$7,U1194)*V1194/SUMIFS($V$7:$V$1576,$U$7:$U$1576,U1194),0),0)</f>
        <v>0</v>
      </c>
    </row>
    <row r="1195" customFormat="false" ht="15" hidden="false" customHeight="false" outlineLevel="0" collapsed="false">
      <c r="A1195" s="55" t="s">
        <v>2136</v>
      </c>
      <c r="B1195" s="55" t="s">
        <v>2137</v>
      </c>
      <c r="C1195" s="55" t="s">
        <v>162</v>
      </c>
      <c r="D1195" s="55" t="s">
        <v>168</v>
      </c>
      <c r="E1195" s="55" t="s">
        <v>210</v>
      </c>
      <c r="F1195" s="56" t="n">
        <v>225.57</v>
      </c>
      <c r="G1195" s="57" t="n">
        <f aca="false">MAX(0,IF(AND(Parameter!$B$21="Ja",ISNUMBER(W1195)),W1195,IF(Parameter!$B$20="Jahresanfang 2025 + Export",BJ1195+BI1195,BI1195)))</f>
        <v>0</v>
      </c>
      <c r="H1195" s="57" t="n">
        <f aca="false">G1195*F1195</f>
        <v>0</v>
      </c>
      <c r="I1195" s="57" t="n">
        <f aca="false">BL1195*Parameter!$B$18</f>
        <v>2</v>
      </c>
      <c r="J1195" s="58" t="n">
        <v>14</v>
      </c>
      <c r="K1195" s="59" t="n">
        <v>0.142857142857143</v>
      </c>
      <c r="L1195" s="57" t="n">
        <v>0</v>
      </c>
      <c r="M1195" s="57" t="n">
        <v>1</v>
      </c>
      <c r="N1195" s="60" t="n">
        <v>77</v>
      </c>
      <c r="O1195" s="55" t="s">
        <v>284</v>
      </c>
      <c r="P1195" s="57" t="n">
        <v>13</v>
      </c>
      <c r="Q1195" s="60" t="n">
        <f aca="false">IF(BR1195=1,0,IFERROR(VLOOKUP(BP1195,'Gebinde-Kategorie'!$A$5:$M$45,13,0)+0,0))</f>
        <v>12</v>
      </c>
      <c r="R1195" s="61"/>
      <c r="S1195" s="62"/>
      <c r="T1195" s="62"/>
      <c r="U1195" s="55"/>
      <c r="V1195" s="57"/>
      <c r="W1195" s="57"/>
      <c r="X1195" s="55" t="n">
        <f aca="false">IF(A1195="","",IF(AND(Parameter!$B$21="Ja",ISNUMBER(U1195)),U1195,IF(IFERROR(VLOOKUP(D1195,Parameter!$A$35:$C$64,2,0),"Nein")="2+3",IF(ISNUMBER(SEARCH("grosser Artikel",BM1195)),2,IFERROR(VLOOKUP(BP1195,Parameter!$F$35:$G$64,2,0),2)),IF(OR(IFERROR(VLOOKUP(D1195,Parameter!$A$35:$C$64,2,0),"Nein")="Nein",IFERROR(VLOOKUP(D1195,Parameter!$A$35:$C$64,2,0),"Nein")=""),"-",VLOOKUP(D1195,Parameter!$A$35:$C$64,2,0)))))</f>
        <v>2</v>
      </c>
      <c r="Y1195" s="62"/>
      <c r="Z1195" s="63"/>
      <c r="AA1195" s="57" t="n">
        <f aca="false">AP1195</f>
        <v>13</v>
      </c>
      <c r="AB1195" s="57" t="n">
        <f aca="false">MAX(AP1195,G1195)</f>
        <v>13</v>
      </c>
      <c r="AC1195" s="64"/>
      <c r="AD1195" s="57" t="n">
        <f aca="false">IF(LEFT(Cockpit!$C$5,1)="A",G1195,IF(BW1195=1,BX1195,IF(LEFT(Cockpit!$C$5,1)="B",AH1195,MAX(AH1195,G1195))))</f>
        <v>0</v>
      </c>
      <c r="AE1195" s="57" t="n">
        <f aca="false">IF(BR1195=1,0,ROUNDUP(AD1195/BQ1195,0))</f>
        <v>0</v>
      </c>
      <c r="AF1195" s="59" t="n">
        <f aca="false">IF(CD1195&gt;0,CD1195*MAX(1,AD1195/V1195),IF(BR1195=1,IF(AD1195&lt;=0,0,BS1195*MAX(1,IF(G1195&gt;0,AD1195/G1195,1))),IF(Q1195&gt;0,AE1195/Q1195,0))/MAX(0.1,N(Parameter!$M$21)))</f>
        <v>0</v>
      </c>
      <c r="AG1195" s="57" t="n">
        <f aca="false">AD1195*F1195</f>
        <v>0</v>
      </c>
      <c r="AH1195" s="57" t="n">
        <f aca="false">ROUNDUP(MAX(I1195/IF(BV1195&gt;0,BV1195,MAX(0.1,N(Cockpit!$C$6))),BY1195)/BQ1195,0)*BQ1195</f>
        <v>13</v>
      </c>
      <c r="AI1195" s="58" t="n">
        <f aca="false">IF(AF1195&gt;0,I1195/AF1195,-1)</f>
        <v>-1</v>
      </c>
      <c r="AJ1195" s="58" t="str">
        <f aca="false">IF(AND(OR(BU1195="L1",BU1195="L23"),AF1195&gt;0),SUMIFS($AF$7:$AF$1576,$BU$7:$BU$1576,BU1195,$AI$7:$AI$1576,"&gt;"&amp;AI1195)+SUMIFS($AF$7:$AF$1576,$BU$7:$BU$1576,BU1195,$AI$7:$AI$1576,AI1195,$BO$7:$BO$1576,"&lt;="&amp;BO1195),"")</f>
        <v/>
      </c>
      <c r="AK1195" s="65" t="n">
        <f aca="false">IF(AJ1195="",0,MAX(0,MIN(1,(IF(BU1195="L1",Parameter!$E$5,Parameter!$E$6+Parameter!$E$7)-(AJ1195-AF1195))/AF1195)))</f>
        <v>0</v>
      </c>
      <c r="AL1195" s="57" t="n">
        <f aca="false">IF(LEFT(Cockpit!$I$5,1)="A",G1195,IF(BW1195=1,BX1195,IF(LEFT(Cockpit!$I$5,1)="B",AP1195,MAX(AP1195,G1195))))</f>
        <v>13</v>
      </c>
      <c r="AM1195" s="57" t="n">
        <f aca="false">IF(BR1195=1,0,ROUNDUP(AL1195/BQ1195,0))</f>
        <v>1</v>
      </c>
      <c r="AN1195" s="59" t="n">
        <f aca="false">IF(CD1195&gt;0,CD1195*MAX(1,AL1195/V1195),IF(BR1195=1,IF(AL1195&lt;=0,0,BS1195*MAX(1,IF(G1195&gt;0,AL1195/G1195,1))),IF(Q1195&gt;0,AM1195/Q1195,0))/MAX(0.1,N(Parameter!$M$21)))</f>
        <v>0.0833333333333333</v>
      </c>
      <c r="AO1195" s="57" t="n">
        <f aca="false">AL1195*F1195</f>
        <v>2932.41</v>
      </c>
      <c r="AP1195" s="57" t="n">
        <f aca="false">ROUNDUP(MAX(I1195/IF(BV1195&gt;0,BV1195,MAX(0.1,N(Cockpit!$I$6))),BY1195)/BQ1195,0)*BQ1195</f>
        <v>13</v>
      </c>
      <c r="AQ1195" s="58" t="n">
        <f aca="false">IF(AN1195&gt;0,I1195/AN1195,-1)</f>
        <v>24</v>
      </c>
      <c r="AR1195" s="58" t="n">
        <f aca="false">IF(AND(OR(BU1195="L1",BU1195="L23"),AN1195&gt;0),SUMIFS($AN$7:$AN$1576,$BU$7:$BU$1576,BU1195,$AQ$7:$AQ$1576,"&gt;"&amp;AQ1195)+SUMIFS($AN$7:$AN$1576,$BU$7:$BU$1576,BU1195,$AQ$7:$AQ$1576,AQ1195,$BO$7:$BO$1576,"&lt;="&amp;BO1195),"")</f>
        <v>98.6296140758752</v>
      </c>
      <c r="AS1195" s="65" t="n">
        <f aca="false">IF(AR1195="",0,MAX(0,MIN(1,(IF(BU1195="L1",Parameter!$E$5,Parameter!$E$6+Parameter!$E$7)-(AR1195-AN1195))/AN1195)))</f>
        <v>1</v>
      </c>
      <c r="AT1195" s="57" t="n">
        <f aca="false">IF(LEFT(Cockpit!$O$5,1)="A",G1195,IF(BW1195=1,BX1195,IF(LEFT(Cockpit!$O$5,1)="B",AX1195,MAX(AX1195,G1195))))</f>
        <v>13</v>
      </c>
      <c r="AU1195" s="57" t="n">
        <f aca="false">IF(BR1195=1,0,ROUNDUP(AT1195/BQ1195,0))</f>
        <v>1</v>
      </c>
      <c r="AV1195" s="59" t="n">
        <f aca="false">IF(CD1195&gt;0,CD1195*MAX(1,AT1195/V1195),IF(BR1195=1,IF(AT1195&lt;=0,0,BS1195*MAX(1,IF(G1195&gt;0,AT1195/G1195,1))),IF(Q1195&gt;0,AU1195/Q1195,0))/MAX(0.1,N(Parameter!$M$21)))</f>
        <v>0.0833333333333333</v>
      </c>
      <c r="AW1195" s="57" t="n">
        <f aca="false">AT1195*F1195</f>
        <v>2932.41</v>
      </c>
      <c r="AX1195" s="57" t="n">
        <f aca="false">ROUNDUP(MAX(I1195/IF(BV1195&gt;0,BV1195,MAX(0.1,N(Cockpit!$O$6))),BY1195)/BQ1195,0)*BQ1195</f>
        <v>13</v>
      </c>
      <c r="AY1195" s="58" t="n">
        <f aca="false">IF(AV1195&gt;0,I1195/AV1195,-1)</f>
        <v>24</v>
      </c>
      <c r="AZ1195" s="58" t="n">
        <f aca="false">IF(AND(OR(BU1195="L1",BU1195="L23"),AV1195&gt;0),SUMIFS($AV$7:$AV$1576,$BU$7:$BU$1576,BU1195,$AY$7:$AY$1576,"&gt;"&amp;AY1195)+SUMIFS($AV$7:$AV$1576,$BU$7:$BU$1576,BU1195,$AY$7:$AY$1576,AY1195,$BO$7:$BO$1576,"&lt;="&amp;BO1195),"")</f>
        <v>89.4391645254257</v>
      </c>
      <c r="BA1195" s="65" t="n">
        <f aca="false">IF(AZ1195="",0,MAX(0,MIN(1,(IF(BU1195="L1",Parameter!$E$5,Parameter!$E$6+Parameter!$E$7)-(AZ1195-AV1195))/AV1195)))</f>
        <v>1</v>
      </c>
      <c r="BB1195" s="55" t="str">
        <f aca="false">IF(AF1195&lt;=0,"",IF(BU1195="Aussen","Aussenlager",IF(BU1195="-","Nicht im Lift",IF(AK1195&gt;=1,"Lift",IF(AK1195&lt;=0,"Aussenlager","teilweise")))))</f>
        <v/>
      </c>
      <c r="BC1195" s="55" t="str">
        <f aca="false">IF(AN1195&lt;=0,"",IF(BU1195="Aussen","Aussenlager",IF(BU1195="-","Nicht im Lift",IF(AS1195&gt;=1,"Lift",IF(AS1195&lt;=0,"Aussenlager","teilweise")))))</f>
        <v>Lift</v>
      </c>
      <c r="BD1195" s="55" t="str">
        <f aca="false">IF(AV1195&lt;=0,"",IF(BU1195="Aussen","Aussenlager",IF(BU1195="-","Nicht im Lift",IF(BA1195&gt;=1,"Lift",IF(BA1195&lt;=0,"Aussenlager","teilweise")))))</f>
        <v>Lift</v>
      </c>
      <c r="BE1195" s="55" t="str">
        <f aca="false">IF(A1195="","",IF(BN1195=1,"Neu; ","")&amp;IF(AND(BN1195=0,BI1195&lt;0),"negativer Bestand (Export "&amp;BI1195&amp;"); ","")&amp;IF(I1195&lt;=0,"Kein Verbrauch; ","")&amp;IF(CD1195&gt;0,"Lift "&amp;U1195&amp;" lt. Liftbericht (Fach "&amp;V1195&amp;" Stk); ",IF(BR1195=1,"Lose – Fläche geschätzt; ",""))&amp;IF(G1195&gt;AP1195,"Überbestand "&amp;ROUND(G1195-AP1195,0)&amp;" Stk / CHF "&amp;ROUND((G1195-AP1195)*F1195,0)&amp;"; ","")&amp;IF(AND(BW1195=1,BX1195&lt;BY1195),"MAX &lt; MB+LG; ","")&amp;IF(AND(CC1195&gt;0,CB1195*10&gt;CC1195),"zu hoch für Tablar; ","")&amp;IF(AND(BN1195=0,OR(BW1195=1,Y1195&lt;&gt;"",S1195&lt;&gt;"",T1195&lt;&gt;"",Z1195&lt;&gt;"")),"manuell übersteuert; ","")&amp;IF(AND(BR1195=0,Q1195=0),"Gebinde unbekannt / Stellmass fehlt; ","")&amp;IF(AND(BR1195=0,N(T1195)&lt;=0,N(P1195)&lt;=0),"Menge pro Gebinde fehlt (Ist = 1 Gebinde); ","")&amp;BM1195)</f>
        <v>negativer Bestand (Export -2); grosser Artikel &amp; nicht im KTL</v>
      </c>
      <c r="BF1195" s="55"/>
      <c r="BG1195" s="55"/>
      <c r="BH1195" s="62"/>
      <c r="BI1195" s="57" t="n">
        <v>-2</v>
      </c>
      <c r="BJ1195" s="57" t="n">
        <v>15</v>
      </c>
      <c r="BK1195" s="56" t="n">
        <v>-451.14</v>
      </c>
      <c r="BL1195" s="57" t="n">
        <v>2</v>
      </c>
      <c r="BM1195" s="55" t="s">
        <v>253</v>
      </c>
      <c r="BN1195" s="60" t="n">
        <v>0</v>
      </c>
      <c r="BO1195" s="60" t="n">
        <v>1195</v>
      </c>
      <c r="BP1195" s="55" t="str">
        <f aca="false">IF(S1195&lt;&gt;"",UPPER(TRIM(S1195)),IF(O1195="","LOSE",O1195))</f>
        <v>S62</v>
      </c>
      <c r="BQ1195" s="57" t="n">
        <f aca="false">IF(BP1195="LOSE",1,IF(N(T1195)&gt;0,T1195,IF(N(P1195)&gt;0,P1195,MAX(1,G1195))))</f>
        <v>13</v>
      </c>
      <c r="BR1195" s="60" t="n">
        <f aca="false">IF(BP1195="LOSE",1,0)</f>
        <v>0</v>
      </c>
      <c r="BS1195" s="59" t="n">
        <f aca="false">IF(BR1195=0,0,IF(N(R1195)&gt;0,R1195,IFERROR(VLOOKUP(D1195,Parameter!$A$35:$C$64,3,0)+0,0)))</f>
        <v>0</v>
      </c>
      <c r="BT1195" s="55" t="n">
        <f aca="false">IF(Y1195&lt;&gt;"",Y1195,X1195)</f>
        <v>2</v>
      </c>
      <c r="BU1195" s="55" t="str">
        <f aca="false">IF(BT1195=1,"L1",IF(OR(BT1195=2,BT1195=3),"L23",IF(BT1195="Aussen","Aussen","-")))</f>
        <v>L23</v>
      </c>
      <c r="BV1195" s="66" t="n">
        <f aca="false">IF(N(Z1195)&gt;0,Z1195,0)</f>
        <v>0</v>
      </c>
      <c r="BW1195" s="60" t="n">
        <f aca="false">IF(ISNUMBER(AC1195),1,0)</f>
        <v>0</v>
      </c>
      <c r="BX1195" s="57" t="n">
        <f aca="false">N(AC1195)</f>
        <v>0</v>
      </c>
      <c r="BY1195" s="57" t="n">
        <f aca="false">N(L1195)+N(M1195)</f>
        <v>1</v>
      </c>
      <c r="BZ1195" s="57" t="n">
        <f aca="false">ROUNDUP(G1195/BQ1195,0)</f>
        <v>0</v>
      </c>
      <c r="CA1195" s="57" t="n">
        <f aca="false">ROUNDUP(BX1195/BQ1195,0)</f>
        <v>0</v>
      </c>
      <c r="CB1195" s="60" t="n">
        <f aca="false">IF(BR1195=1,0,IFERROR(VLOOKUP(BP1195,'Gebinde-Kategorie'!$A$5:$M$45,5,0)+0,0))</f>
        <v>21</v>
      </c>
      <c r="CC1195" s="60" t="n">
        <f aca="false">IFERROR(IF(OR(BT1195=1,BT1195=2,BT1195=3),N(INDEX(Parameter!$I$5:$I$7,BT1195)),0),0)</f>
        <v>0</v>
      </c>
      <c r="CD1195" s="59" t="n">
        <f aca="false">IF(AND(Parameter!$B$21="Ja",ISNUMBER(U1195),N(V1195)&gt;0),IFERROR(N(INDEX(Parameter!$L$5:$L$7,U1195))*INDEX(Parameter!$E$5:$E$7,U1195)*V1195/SUMIFS($V$7:$V$1576,$U$7:$U$1576,U1195),0),0)</f>
        <v>0</v>
      </c>
    </row>
    <row r="1196" customFormat="false" ht="15" hidden="false" customHeight="false" outlineLevel="0" collapsed="false">
      <c r="A1196" s="55" t="s">
        <v>2138</v>
      </c>
      <c r="B1196" s="55" t="s">
        <v>2139</v>
      </c>
      <c r="C1196" s="55" t="s">
        <v>160</v>
      </c>
      <c r="D1196" s="55" t="s">
        <v>168</v>
      </c>
      <c r="E1196" s="55" t="s">
        <v>210</v>
      </c>
      <c r="F1196" s="56" t="n">
        <v>226</v>
      </c>
      <c r="G1196" s="57" t="n">
        <f aca="false">MAX(0,IF(AND(Parameter!$B$21="Ja",ISNUMBER(W1196)),W1196,IF(Parameter!$B$20="Jahresanfang 2025 + Export",BJ1196+BI1196,BI1196)))</f>
        <v>0</v>
      </c>
      <c r="H1196" s="57" t="n">
        <f aca="false">G1196*F1196</f>
        <v>0</v>
      </c>
      <c r="I1196" s="57" t="n">
        <f aca="false">BL1196*Parameter!$B$18</f>
        <v>2</v>
      </c>
      <c r="J1196" s="58" t="n">
        <v>1</v>
      </c>
      <c r="K1196" s="59" t="n">
        <v>2</v>
      </c>
      <c r="L1196" s="57" t="n">
        <v>0</v>
      </c>
      <c r="M1196" s="57" t="n">
        <v>1</v>
      </c>
      <c r="N1196" s="60" t="n">
        <v>42</v>
      </c>
      <c r="O1196" s="55" t="s">
        <v>163</v>
      </c>
      <c r="P1196" s="57"/>
      <c r="Q1196" s="60" t="n">
        <f aca="false">IF(BR1196=1,0,IFERROR(VLOOKUP(BP1196,'Gebinde-Kategorie'!$A$5:$M$45,13,0)+0,0))</f>
        <v>0</v>
      </c>
      <c r="R1196" s="61"/>
      <c r="S1196" s="62"/>
      <c r="T1196" s="62"/>
      <c r="U1196" s="55"/>
      <c r="V1196" s="57"/>
      <c r="W1196" s="57"/>
      <c r="X1196" s="55" t="n">
        <f aca="false">IF(A1196="","",IF(AND(Parameter!$B$21="Ja",ISNUMBER(U1196)),U1196,IF(IFERROR(VLOOKUP(D1196,Parameter!$A$35:$C$64,2,0),"Nein")="2+3",IF(ISNUMBER(SEARCH("grosser Artikel",BM1196)),2,IFERROR(VLOOKUP(BP1196,Parameter!$F$35:$G$64,2,0),2)),IF(OR(IFERROR(VLOOKUP(D1196,Parameter!$A$35:$C$64,2,0),"Nein")="Nein",IFERROR(VLOOKUP(D1196,Parameter!$A$35:$C$64,2,0),"Nein")=""),"-",VLOOKUP(D1196,Parameter!$A$35:$C$64,2,0)))))</f>
        <v>2</v>
      </c>
      <c r="Y1196" s="62"/>
      <c r="Z1196" s="63"/>
      <c r="AA1196" s="57" t="n">
        <f aca="false">AP1196</f>
        <v>1</v>
      </c>
      <c r="AB1196" s="57" t="n">
        <f aca="false">MAX(AP1196,G1196)</f>
        <v>1</v>
      </c>
      <c r="AC1196" s="64"/>
      <c r="AD1196" s="57" t="n">
        <f aca="false">IF(LEFT(Cockpit!$C$5,1)="A",G1196,IF(BW1196=1,BX1196,IF(LEFT(Cockpit!$C$5,1)="B",AH1196,MAX(AH1196,G1196))))</f>
        <v>0</v>
      </c>
      <c r="AE1196" s="57" t="n">
        <f aca="false">IF(BR1196=1,0,ROUNDUP(AD1196/BQ1196,0))</f>
        <v>0</v>
      </c>
      <c r="AF1196" s="59" t="n">
        <f aca="false">IF(CD1196&gt;0,CD1196*MAX(1,AD1196/V1196),IF(BR1196=1,IF(AD1196&lt;=0,0,BS1196*MAX(1,IF(G1196&gt;0,AD1196/G1196,1))),IF(Q1196&gt;0,AE1196/Q1196,0))/MAX(0.1,N(Parameter!$M$21)))</f>
        <v>0</v>
      </c>
      <c r="AG1196" s="57" t="n">
        <f aca="false">AD1196*F1196</f>
        <v>0</v>
      </c>
      <c r="AH1196" s="57" t="n">
        <f aca="false">ROUNDUP(MAX(I1196/IF(BV1196&gt;0,BV1196,MAX(0.1,N(Cockpit!$C$6))),BY1196)/BQ1196,0)*BQ1196</f>
        <v>1</v>
      </c>
      <c r="AI1196" s="58" t="n">
        <f aca="false">IF(AF1196&gt;0,I1196/AF1196,-1)</f>
        <v>-1</v>
      </c>
      <c r="AJ1196" s="58" t="str">
        <f aca="false">IF(AND(OR(BU1196="L1",BU1196="L23"),AF1196&gt;0),SUMIFS($AF$7:$AF$1576,$BU$7:$BU$1576,BU1196,$AI$7:$AI$1576,"&gt;"&amp;AI1196)+SUMIFS($AF$7:$AF$1576,$BU$7:$BU$1576,BU1196,$AI$7:$AI$1576,AI1196,$BO$7:$BO$1576,"&lt;="&amp;BO1196),"")</f>
        <v/>
      </c>
      <c r="AK1196" s="65" t="n">
        <f aca="false">IF(AJ1196="",0,MAX(0,MIN(1,(IF(BU1196="L1",Parameter!$E$5,Parameter!$E$6+Parameter!$E$7)-(AJ1196-AF1196))/AF1196)))</f>
        <v>0</v>
      </c>
      <c r="AL1196" s="57" t="n">
        <f aca="false">IF(LEFT(Cockpit!$I$5,1)="A",G1196,IF(BW1196=1,BX1196,IF(LEFT(Cockpit!$I$5,1)="B",AP1196,MAX(AP1196,G1196))))</f>
        <v>1</v>
      </c>
      <c r="AM1196" s="57" t="n">
        <f aca="false">IF(BR1196=1,0,ROUNDUP(AL1196/BQ1196,0))</f>
        <v>0</v>
      </c>
      <c r="AN1196" s="59" t="n">
        <f aca="false">IF(CD1196&gt;0,CD1196*MAX(1,AL1196/V1196),IF(BR1196=1,IF(AL1196&lt;=0,0,BS1196*MAX(1,IF(G1196&gt;0,AL1196/G1196,1))),IF(Q1196&gt;0,AM1196/Q1196,0))/MAX(0.1,N(Parameter!$M$21)))</f>
        <v>0.15</v>
      </c>
      <c r="AO1196" s="57" t="n">
        <f aca="false">AL1196*F1196</f>
        <v>226</v>
      </c>
      <c r="AP1196" s="57" t="n">
        <f aca="false">ROUNDUP(MAX(I1196/IF(BV1196&gt;0,BV1196,MAX(0.1,N(Cockpit!$I$6))),BY1196)/BQ1196,0)*BQ1196</f>
        <v>1</v>
      </c>
      <c r="AQ1196" s="58" t="n">
        <f aca="false">IF(AN1196&gt;0,I1196/AN1196,-1)</f>
        <v>13.3333333333333</v>
      </c>
      <c r="AR1196" s="58" t="n">
        <f aca="false">IF(AND(OR(BU1196="L1",BU1196="L23"),AN1196&gt;0),SUMIFS($AN$7:$AN$1576,$BU$7:$BU$1576,BU1196,$AQ$7:$AQ$1576,"&gt;"&amp;AQ1196)+SUMIFS($AN$7:$AN$1576,$BU$7:$BU$1576,BU1196,$AQ$7:$AQ$1576,AQ1196,$BO$7:$BO$1576,"&lt;="&amp;BO1196),"")</f>
        <v>106.318075614337</v>
      </c>
      <c r="AS1196" s="65" t="n">
        <f aca="false">IF(AR1196="",0,MAX(0,MIN(1,(IF(BU1196="L1",Parameter!$E$5,Parameter!$E$6+Parameter!$E$7)-(AR1196-AN1196))/AN1196)))</f>
        <v>0</v>
      </c>
      <c r="AT1196" s="57" t="n">
        <f aca="false">IF(LEFT(Cockpit!$O$5,1)="A",G1196,IF(BW1196=1,BX1196,IF(LEFT(Cockpit!$O$5,1)="B",AX1196,MAX(AX1196,G1196))))</f>
        <v>1</v>
      </c>
      <c r="AU1196" s="57" t="n">
        <f aca="false">IF(BR1196=1,0,ROUNDUP(AT1196/BQ1196,0))</f>
        <v>0</v>
      </c>
      <c r="AV1196" s="59" t="n">
        <f aca="false">IF(CD1196&gt;0,CD1196*MAX(1,AT1196/V1196),IF(BR1196=1,IF(AT1196&lt;=0,0,BS1196*MAX(1,IF(G1196&gt;0,AT1196/G1196,1))),IF(Q1196&gt;0,AU1196/Q1196,0))/MAX(0.1,N(Parameter!$M$21)))</f>
        <v>0.15</v>
      </c>
      <c r="AW1196" s="57" t="n">
        <f aca="false">AT1196*F1196</f>
        <v>226</v>
      </c>
      <c r="AX1196" s="57" t="n">
        <f aca="false">ROUNDUP(MAX(I1196/IF(BV1196&gt;0,BV1196,MAX(0.1,N(Cockpit!$O$6))),BY1196)/BQ1196,0)*BQ1196</f>
        <v>1</v>
      </c>
      <c r="AY1196" s="58" t="n">
        <f aca="false">IF(AV1196&gt;0,I1196/AV1196,-1)</f>
        <v>13.3333333333333</v>
      </c>
      <c r="AZ1196" s="58" t="n">
        <f aca="false">IF(AND(OR(BU1196="L1",BU1196="L23"),AV1196&gt;0),SUMIFS($AV$7:$AV$1576,$BU$7:$BU$1576,BU1196,$AY$7:$AY$1576,"&gt;"&amp;AY1196)+SUMIFS($AV$7:$AV$1576,$BU$7:$BU$1576,BU1196,$AY$7:$AY$1576,AY1196,$BO$7:$BO$1576,"&lt;="&amp;BO1196),"")</f>
        <v>96.3776260638872</v>
      </c>
      <c r="BA1196" s="65" t="n">
        <f aca="false">IF(AZ1196="",0,MAX(0,MIN(1,(IF(BU1196="L1",Parameter!$E$5,Parameter!$E$6+Parameter!$E$7)-(AZ1196-AV1196))/AV1196)))</f>
        <v>1</v>
      </c>
      <c r="BB1196" s="55" t="str">
        <f aca="false">IF(AF1196&lt;=0,"",IF(BU1196="Aussen","Aussenlager",IF(BU1196="-","Nicht im Lift",IF(AK1196&gt;=1,"Lift",IF(AK1196&lt;=0,"Aussenlager","teilweise")))))</f>
        <v/>
      </c>
      <c r="BC1196" s="55" t="str">
        <f aca="false">IF(AN1196&lt;=0,"",IF(BU1196="Aussen","Aussenlager",IF(BU1196="-","Nicht im Lift",IF(AS1196&gt;=1,"Lift",IF(AS1196&lt;=0,"Aussenlager","teilweise")))))</f>
        <v>Aussenlager</v>
      </c>
      <c r="BD1196" s="55" t="str">
        <f aca="false">IF(AV1196&lt;=0,"",IF(BU1196="Aussen","Aussenlager",IF(BU1196="-","Nicht im Lift",IF(BA1196&gt;=1,"Lift",IF(BA1196&lt;=0,"Aussenlager","teilweise")))))</f>
        <v>Lift</v>
      </c>
      <c r="BE1196" s="55" t="str">
        <f aca="false">IF(A1196="","",IF(BN1196=1,"Neu; ","")&amp;IF(AND(BN1196=0,BI1196&lt;0),"negativer Bestand (Export "&amp;BI1196&amp;"); ","")&amp;IF(I1196&lt;=0,"Kein Verbrauch; ","")&amp;IF(CD1196&gt;0,"Lift "&amp;U1196&amp;" lt. Liftbericht (Fach "&amp;V1196&amp;" Stk); ",IF(BR1196=1,"Lose – Fläche geschätzt; ",""))&amp;IF(G1196&gt;AP1196,"Überbestand "&amp;ROUND(G1196-AP1196,0)&amp;" Stk / CHF "&amp;ROUND((G1196-AP1196)*F1196,0)&amp;"; ","")&amp;IF(AND(BW1196=1,BX1196&lt;BY1196),"MAX &lt; MB+LG; ","")&amp;IF(AND(CC1196&gt;0,CB1196*10&gt;CC1196),"zu hoch für Tablar; ","")&amp;IF(AND(BN1196=0,OR(BW1196=1,Y1196&lt;&gt;"",S1196&lt;&gt;"",T1196&lt;&gt;"",Z1196&lt;&gt;"")),"manuell übersteuert; ","")&amp;IF(AND(BR1196=0,Q1196=0),"Gebinde unbekannt / Stellmass fehlt; ","")&amp;IF(AND(BR1196=0,N(T1196)&lt;=0,N(P1196)&lt;=0),"Menge pro Gebinde fehlt (Ist = 1 Gebinde); ","")&amp;BM1196)</f>
        <v>negativer Bestand (Export -2); Lose – Fläche geschätzt; </v>
      </c>
      <c r="BF1196" s="55"/>
      <c r="BG1196" s="55"/>
      <c r="BH1196" s="62"/>
      <c r="BI1196" s="57" t="n">
        <v>-2</v>
      </c>
      <c r="BJ1196" s="57" t="n">
        <v>2</v>
      </c>
      <c r="BK1196" s="56" t="n">
        <v>-452</v>
      </c>
      <c r="BL1196" s="57" t="n">
        <v>2</v>
      </c>
      <c r="BM1196" s="55"/>
      <c r="BN1196" s="60" t="n">
        <v>0</v>
      </c>
      <c r="BO1196" s="60" t="n">
        <v>1196</v>
      </c>
      <c r="BP1196" s="55" t="str">
        <f aca="false">IF(S1196&lt;&gt;"",UPPER(TRIM(S1196)),IF(O1196="","LOSE",O1196))</f>
        <v>LOSE</v>
      </c>
      <c r="BQ1196" s="57" t="n">
        <f aca="false">IF(BP1196="LOSE",1,IF(N(T1196)&gt;0,T1196,IF(N(P1196)&gt;0,P1196,MAX(1,G1196))))</f>
        <v>1</v>
      </c>
      <c r="BR1196" s="60" t="n">
        <f aca="false">IF(BP1196="LOSE",1,0)</f>
        <v>1</v>
      </c>
      <c r="BS1196" s="59" t="n">
        <f aca="false">IF(BR1196=0,0,IF(N(R1196)&gt;0,R1196,IFERROR(VLOOKUP(D1196,Parameter!$A$35:$C$64,3,0)+0,0)))</f>
        <v>0.15</v>
      </c>
      <c r="BT1196" s="55" t="n">
        <f aca="false">IF(Y1196&lt;&gt;"",Y1196,X1196)</f>
        <v>2</v>
      </c>
      <c r="BU1196" s="55" t="str">
        <f aca="false">IF(BT1196=1,"L1",IF(OR(BT1196=2,BT1196=3),"L23",IF(BT1196="Aussen","Aussen","-")))</f>
        <v>L23</v>
      </c>
      <c r="BV1196" s="66" t="n">
        <f aca="false">IF(N(Z1196)&gt;0,Z1196,0)</f>
        <v>0</v>
      </c>
      <c r="BW1196" s="60" t="n">
        <f aca="false">IF(ISNUMBER(AC1196),1,0)</f>
        <v>0</v>
      </c>
      <c r="BX1196" s="57" t="n">
        <f aca="false">N(AC1196)</f>
        <v>0</v>
      </c>
      <c r="BY1196" s="57" t="n">
        <f aca="false">N(L1196)+N(M1196)</f>
        <v>1</v>
      </c>
      <c r="BZ1196" s="57" t="n">
        <f aca="false">ROUNDUP(G1196/BQ1196,0)</f>
        <v>0</v>
      </c>
      <c r="CA1196" s="57" t="n">
        <f aca="false">ROUNDUP(BX1196/BQ1196,0)</f>
        <v>0</v>
      </c>
      <c r="CB1196" s="60" t="n">
        <f aca="false">IF(BR1196=1,0,IFERROR(VLOOKUP(BP1196,'Gebinde-Kategorie'!$A$5:$M$45,5,0)+0,0))</f>
        <v>0</v>
      </c>
      <c r="CC1196" s="60" t="n">
        <f aca="false">IFERROR(IF(OR(BT1196=1,BT1196=2,BT1196=3),N(INDEX(Parameter!$I$5:$I$7,BT1196)),0),0)</f>
        <v>0</v>
      </c>
      <c r="CD1196" s="59" t="n">
        <f aca="false">IF(AND(Parameter!$B$21="Ja",ISNUMBER(U1196),N(V1196)&gt;0),IFERROR(N(INDEX(Parameter!$L$5:$L$7,U1196))*INDEX(Parameter!$E$5:$E$7,U1196)*V1196/SUMIFS($V$7:$V$1576,$U$7:$U$1576,U1196),0),0)</f>
        <v>0</v>
      </c>
    </row>
    <row r="1197" customFormat="false" ht="15" hidden="false" customHeight="false" outlineLevel="0" collapsed="false">
      <c r="A1197" s="55" t="s">
        <v>2140</v>
      </c>
      <c r="B1197" s="55" t="s">
        <v>1541</v>
      </c>
      <c r="C1197" s="55" t="s">
        <v>160</v>
      </c>
      <c r="D1197" s="55" t="s">
        <v>168</v>
      </c>
      <c r="E1197" s="55" t="s">
        <v>210</v>
      </c>
      <c r="F1197" s="56" t="n">
        <v>1.64</v>
      </c>
      <c r="G1197" s="57" t="n">
        <f aca="false">MAX(0,IF(AND(Parameter!$B$21="Ja",ISNUMBER(W1197)),W1197,IF(Parameter!$B$20="Jahresanfang 2025 + Export",BJ1197+BI1197,BI1197)))</f>
        <v>0</v>
      </c>
      <c r="H1197" s="57" t="n">
        <f aca="false">G1197*F1197</f>
        <v>0</v>
      </c>
      <c r="I1197" s="57" t="n">
        <f aca="false">BL1197*Parameter!$B$18</f>
        <v>188</v>
      </c>
      <c r="J1197" s="58" t="n">
        <v>317</v>
      </c>
      <c r="K1197" s="59" t="n">
        <v>0.593059936908517</v>
      </c>
      <c r="L1197" s="57" t="n">
        <v>10</v>
      </c>
      <c r="M1197" s="57" t="n">
        <v>190</v>
      </c>
      <c r="N1197" s="60" t="n">
        <v>21</v>
      </c>
      <c r="O1197" s="55" t="s">
        <v>163</v>
      </c>
      <c r="P1197" s="57"/>
      <c r="Q1197" s="60" t="n">
        <f aca="false">IF(BR1197=1,0,IFERROR(VLOOKUP(BP1197,'Gebinde-Kategorie'!$A$5:$M$45,13,0)+0,0))</f>
        <v>0</v>
      </c>
      <c r="R1197" s="61"/>
      <c r="S1197" s="62"/>
      <c r="T1197" s="62"/>
      <c r="U1197" s="55"/>
      <c r="V1197" s="57"/>
      <c r="W1197" s="57"/>
      <c r="X1197" s="55" t="n">
        <f aca="false">IF(A1197="","",IF(AND(Parameter!$B$21="Ja",ISNUMBER(U1197)),U1197,IF(IFERROR(VLOOKUP(D1197,Parameter!$A$35:$C$64,2,0),"Nein")="2+3",IF(ISNUMBER(SEARCH("grosser Artikel",BM1197)),2,IFERROR(VLOOKUP(BP1197,Parameter!$F$35:$G$64,2,0),2)),IF(OR(IFERROR(VLOOKUP(D1197,Parameter!$A$35:$C$64,2,0),"Nein")="Nein",IFERROR(VLOOKUP(D1197,Parameter!$A$35:$C$64,2,0),"Nein")=""),"-",VLOOKUP(D1197,Parameter!$A$35:$C$64,2,0)))))</f>
        <v>2</v>
      </c>
      <c r="Y1197" s="62"/>
      <c r="Z1197" s="63"/>
      <c r="AA1197" s="57" t="n">
        <f aca="false">AP1197</f>
        <v>200</v>
      </c>
      <c r="AB1197" s="57" t="n">
        <f aca="false">MAX(AP1197,G1197)</f>
        <v>200</v>
      </c>
      <c r="AC1197" s="64"/>
      <c r="AD1197" s="57" t="n">
        <f aca="false">IF(LEFT(Cockpit!$C$5,1)="A",G1197,IF(BW1197=1,BX1197,IF(LEFT(Cockpit!$C$5,1)="B",AH1197,MAX(AH1197,G1197))))</f>
        <v>0</v>
      </c>
      <c r="AE1197" s="57" t="n">
        <f aca="false">IF(BR1197=1,0,ROUNDUP(AD1197/BQ1197,0))</f>
        <v>0</v>
      </c>
      <c r="AF1197" s="59" t="n">
        <f aca="false">IF(CD1197&gt;0,CD1197*MAX(1,AD1197/V1197),IF(BR1197=1,IF(AD1197&lt;=0,0,BS1197*MAX(1,IF(G1197&gt;0,AD1197/G1197,1))),IF(Q1197&gt;0,AE1197/Q1197,0))/MAX(0.1,N(Parameter!$M$21)))</f>
        <v>0</v>
      </c>
      <c r="AG1197" s="57" t="n">
        <f aca="false">AD1197*F1197</f>
        <v>0</v>
      </c>
      <c r="AH1197" s="57" t="n">
        <f aca="false">ROUNDUP(MAX(I1197/IF(BV1197&gt;0,BV1197,MAX(0.1,N(Cockpit!$C$6))),BY1197)/BQ1197,0)*BQ1197</f>
        <v>200</v>
      </c>
      <c r="AI1197" s="58" t="n">
        <f aca="false">IF(AF1197&gt;0,I1197/AF1197,-1)</f>
        <v>-1</v>
      </c>
      <c r="AJ1197" s="58" t="str">
        <f aca="false">IF(AND(OR(BU1197="L1",BU1197="L23"),AF1197&gt;0),SUMIFS($AF$7:$AF$1576,$BU$7:$BU$1576,BU1197,$AI$7:$AI$1576,"&gt;"&amp;AI1197)+SUMIFS($AF$7:$AF$1576,$BU$7:$BU$1576,BU1197,$AI$7:$AI$1576,AI1197,$BO$7:$BO$1576,"&lt;="&amp;BO1197),"")</f>
        <v/>
      </c>
      <c r="AK1197" s="65" t="n">
        <f aca="false">IF(AJ1197="",0,MAX(0,MIN(1,(IF(BU1197="L1",Parameter!$E$5,Parameter!$E$6+Parameter!$E$7)-(AJ1197-AF1197))/AF1197)))</f>
        <v>0</v>
      </c>
      <c r="AL1197" s="57" t="n">
        <f aca="false">IF(LEFT(Cockpit!$I$5,1)="A",G1197,IF(BW1197=1,BX1197,IF(LEFT(Cockpit!$I$5,1)="B",AP1197,MAX(AP1197,G1197))))</f>
        <v>200</v>
      </c>
      <c r="AM1197" s="57" t="n">
        <f aca="false">IF(BR1197=1,0,ROUNDUP(AL1197/BQ1197,0))</f>
        <v>0</v>
      </c>
      <c r="AN1197" s="59" t="n">
        <f aca="false">IF(CD1197&gt;0,CD1197*MAX(1,AL1197/V1197),IF(BR1197=1,IF(AL1197&lt;=0,0,BS1197*MAX(1,IF(G1197&gt;0,AL1197/G1197,1))),IF(Q1197&gt;0,AM1197/Q1197,0))/MAX(0.1,N(Parameter!$M$21)))</f>
        <v>0.15</v>
      </c>
      <c r="AO1197" s="57" t="n">
        <f aca="false">AL1197*F1197</f>
        <v>328</v>
      </c>
      <c r="AP1197" s="57" t="n">
        <f aca="false">ROUNDUP(MAX(I1197/IF(BV1197&gt;0,BV1197,MAX(0.1,N(Cockpit!$I$6))),BY1197)/BQ1197,0)*BQ1197</f>
        <v>200</v>
      </c>
      <c r="AQ1197" s="58" t="n">
        <f aca="false">IF(AN1197&gt;0,I1197/AN1197,-1)</f>
        <v>1253.33333333333</v>
      </c>
      <c r="AR1197" s="58" t="n">
        <f aca="false">IF(AND(OR(BU1197="L1",BU1197="L23"),AN1197&gt;0),SUMIFS($AN$7:$AN$1576,$BU$7:$BU$1576,BU1197,$AQ$7:$AQ$1576,"&gt;"&amp;AQ1197)+SUMIFS($AN$7:$AN$1576,$BU$7:$BU$1576,BU1197,$AQ$7:$AQ$1576,AQ1197,$BO$7:$BO$1576,"&lt;="&amp;BO1197),"")</f>
        <v>20.6305398107684</v>
      </c>
      <c r="AS1197" s="65" t="n">
        <f aca="false">IF(AR1197="",0,MAX(0,MIN(1,(IF(BU1197="L1",Parameter!$E$5,Parameter!$E$6+Parameter!$E$7)-(AR1197-AN1197))/AN1197)))</f>
        <v>1</v>
      </c>
      <c r="AT1197" s="57" t="n">
        <f aca="false">IF(LEFT(Cockpit!$O$5,1)="A",G1197,IF(BW1197=1,BX1197,IF(LEFT(Cockpit!$O$5,1)="B",AX1197,MAX(AX1197,G1197))))</f>
        <v>200</v>
      </c>
      <c r="AU1197" s="57" t="n">
        <f aca="false">IF(BR1197=1,0,ROUNDUP(AT1197/BQ1197,0))</f>
        <v>0</v>
      </c>
      <c r="AV1197" s="59" t="n">
        <f aca="false">IF(CD1197&gt;0,CD1197*MAX(1,AT1197/V1197),IF(BR1197=1,IF(AT1197&lt;=0,0,BS1197*MAX(1,IF(G1197&gt;0,AT1197/G1197,1))),IF(Q1197&gt;0,AU1197/Q1197,0))/MAX(0.1,N(Parameter!$M$21)))</f>
        <v>0.15</v>
      </c>
      <c r="AW1197" s="57" t="n">
        <f aca="false">AT1197*F1197</f>
        <v>328</v>
      </c>
      <c r="AX1197" s="57" t="n">
        <f aca="false">ROUNDUP(MAX(I1197/IF(BV1197&gt;0,BV1197,MAX(0.1,N(Cockpit!$O$6))),BY1197)/BQ1197,0)*BQ1197</f>
        <v>200</v>
      </c>
      <c r="AY1197" s="58" t="n">
        <f aca="false">IF(AV1197&gt;0,I1197/AV1197,-1)</f>
        <v>1253.33333333333</v>
      </c>
      <c r="AZ1197" s="58" t="n">
        <f aca="false">IF(AND(OR(BU1197="L1",BU1197="L23"),AV1197&gt;0),SUMIFS($AV$7:$AV$1576,$BU$7:$BU$1576,BU1197,$AY$7:$AY$1576,"&gt;"&amp;AY1197)+SUMIFS($AV$7:$AV$1576,$BU$7:$BU$1576,BU1197,$AY$7:$AY$1576,AY1197,$BO$7:$BO$1576,"&lt;="&amp;BO1197),"")</f>
        <v>19.6911458713744</v>
      </c>
      <c r="BA1197" s="65" t="n">
        <f aca="false">IF(AZ1197="",0,MAX(0,MIN(1,(IF(BU1197="L1",Parameter!$E$5,Parameter!$E$6+Parameter!$E$7)-(AZ1197-AV1197))/AV1197)))</f>
        <v>1</v>
      </c>
      <c r="BB1197" s="55" t="str">
        <f aca="false">IF(AF1197&lt;=0,"",IF(BU1197="Aussen","Aussenlager",IF(BU1197="-","Nicht im Lift",IF(AK1197&gt;=1,"Lift",IF(AK1197&lt;=0,"Aussenlager","teilweise")))))</f>
        <v/>
      </c>
      <c r="BC1197" s="55" t="str">
        <f aca="false">IF(AN1197&lt;=0,"",IF(BU1197="Aussen","Aussenlager",IF(BU1197="-","Nicht im Lift",IF(AS1197&gt;=1,"Lift",IF(AS1197&lt;=0,"Aussenlager","teilweise")))))</f>
        <v>Lift</v>
      </c>
      <c r="BD1197" s="55" t="str">
        <f aca="false">IF(AV1197&lt;=0,"",IF(BU1197="Aussen","Aussenlager",IF(BU1197="-","Nicht im Lift",IF(BA1197&gt;=1,"Lift",IF(BA1197&lt;=0,"Aussenlager","teilweise")))))</f>
        <v>Lift</v>
      </c>
      <c r="BE1197" s="55" t="str">
        <f aca="false">IF(A1197="","",IF(BN1197=1,"Neu; ","")&amp;IF(AND(BN1197=0,BI1197&lt;0),"negativer Bestand (Export "&amp;BI1197&amp;"); ","")&amp;IF(I1197&lt;=0,"Kein Verbrauch; ","")&amp;IF(CD1197&gt;0,"Lift "&amp;U1197&amp;" lt. Liftbericht (Fach "&amp;V1197&amp;" Stk); ",IF(BR1197=1,"Lose – Fläche geschätzt; ",""))&amp;IF(G1197&gt;AP1197,"Überbestand "&amp;ROUND(G1197-AP1197,0)&amp;" Stk / CHF "&amp;ROUND((G1197-AP1197)*F1197,0)&amp;"; ","")&amp;IF(AND(BW1197=1,BX1197&lt;BY1197),"MAX &lt; MB+LG; ","")&amp;IF(AND(CC1197&gt;0,CB1197*10&gt;CC1197),"zu hoch für Tablar; ","")&amp;IF(AND(BN1197=0,OR(BW1197=1,Y1197&lt;&gt;"",S1197&lt;&gt;"",T1197&lt;&gt;"",Z1197&lt;&gt;"")),"manuell übersteuert; ","")&amp;IF(AND(BR1197=0,Q1197=0),"Gebinde unbekannt / Stellmass fehlt; ","")&amp;IF(AND(BR1197=0,N(T1197)&lt;=0,N(P1197)&lt;=0),"Menge pro Gebinde fehlt (Ist = 1 Gebinde); ","")&amp;BM1197)</f>
        <v>negativer Bestand (Export -318); Lose – Fläche geschätzt; </v>
      </c>
      <c r="BF1197" s="55"/>
      <c r="BG1197" s="55"/>
      <c r="BH1197" s="62"/>
      <c r="BI1197" s="57" t="n">
        <v>-318</v>
      </c>
      <c r="BJ1197" s="57" t="n">
        <v>361</v>
      </c>
      <c r="BK1197" s="56" t="n">
        <v>-467.37</v>
      </c>
      <c r="BL1197" s="57" t="n">
        <v>188</v>
      </c>
      <c r="BM1197" s="55"/>
      <c r="BN1197" s="60" t="n">
        <v>0</v>
      </c>
      <c r="BO1197" s="60" t="n">
        <v>1197</v>
      </c>
      <c r="BP1197" s="55" t="str">
        <f aca="false">IF(S1197&lt;&gt;"",UPPER(TRIM(S1197)),IF(O1197="","LOSE",O1197))</f>
        <v>LOSE</v>
      </c>
      <c r="BQ1197" s="57" t="n">
        <f aca="false">IF(BP1197="LOSE",1,IF(N(T1197)&gt;0,T1197,IF(N(P1197)&gt;0,P1197,MAX(1,G1197))))</f>
        <v>1</v>
      </c>
      <c r="BR1197" s="60" t="n">
        <f aca="false">IF(BP1197="LOSE",1,0)</f>
        <v>1</v>
      </c>
      <c r="BS1197" s="59" t="n">
        <f aca="false">IF(BR1197=0,0,IF(N(R1197)&gt;0,R1197,IFERROR(VLOOKUP(D1197,Parameter!$A$35:$C$64,3,0)+0,0)))</f>
        <v>0.15</v>
      </c>
      <c r="BT1197" s="55" t="n">
        <f aca="false">IF(Y1197&lt;&gt;"",Y1197,X1197)</f>
        <v>2</v>
      </c>
      <c r="BU1197" s="55" t="str">
        <f aca="false">IF(BT1197=1,"L1",IF(OR(BT1197=2,BT1197=3),"L23",IF(BT1197="Aussen","Aussen","-")))</f>
        <v>L23</v>
      </c>
      <c r="BV1197" s="66" t="n">
        <f aca="false">IF(N(Z1197)&gt;0,Z1197,0)</f>
        <v>0</v>
      </c>
      <c r="BW1197" s="60" t="n">
        <f aca="false">IF(ISNUMBER(AC1197),1,0)</f>
        <v>0</v>
      </c>
      <c r="BX1197" s="57" t="n">
        <f aca="false">N(AC1197)</f>
        <v>0</v>
      </c>
      <c r="BY1197" s="57" t="n">
        <f aca="false">N(L1197)+N(M1197)</f>
        <v>200</v>
      </c>
      <c r="BZ1197" s="57" t="n">
        <f aca="false">ROUNDUP(G1197/BQ1197,0)</f>
        <v>0</v>
      </c>
      <c r="CA1197" s="57" t="n">
        <f aca="false">ROUNDUP(BX1197/BQ1197,0)</f>
        <v>0</v>
      </c>
      <c r="CB1197" s="60" t="n">
        <f aca="false">IF(BR1197=1,0,IFERROR(VLOOKUP(BP1197,'Gebinde-Kategorie'!$A$5:$M$45,5,0)+0,0))</f>
        <v>0</v>
      </c>
      <c r="CC1197" s="60" t="n">
        <f aca="false">IFERROR(IF(OR(BT1197=1,BT1197=2,BT1197=3),N(INDEX(Parameter!$I$5:$I$7,BT1197)),0),0)</f>
        <v>0</v>
      </c>
      <c r="CD1197" s="59" t="n">
        <f aca="false">IF(AND(Parameter!$B$21="Ja",ISNUMBER(U1197),N(V1197)&gt;0),IFERROR(N(INDEX(Parameter!$L$5:$L$7,U1197))*INDEX(Parameter!$E$5:$E$7,U1197)*V1197/SUMIFS($V$7:$V$1576,$U$7:$U$1576,U1197),0),0)</f>
        <v>0</v>
      </c>
    </row>
    <row r="1198" customFormat="false" ht="15" hidden="false" customHeight="false" outlineLevel="0" collapsed="false">
      <c r="A1198" s="55" t="s">
        <v>2141</v>
      </c>
      <c r="B1198" s="55" t="s">
        <v>2142</v>
      </c>
      <c r="C1198" s="55" t="s">
        <v>446</v>
      </c>
      <c r="D1198" s="55" t="s">
        <v>168</v>
      </c>
      <c r="E1198" s="55" t="s">
        <v>210</v>
      </c>
      <c r="F1198" s="56" t="n">
        <v>120.58</v>
      </c>
      <c r="G1198" s="57" t="n">
        <f aca="false">MAX(0,IF(AND(Parameter!$B$21="Ja",ISNUMBER(W1198)),W1198,IF(Parameter!$B$20="Jahresanfang 2025 + Export",BJ1198+BI1198,BI1198)))</f>
        <v>0</v>
      </c>
      <c r="H1198" s="57" t="n">
        <f aca="false">G1198*F1198</f>
        <v>0</v>
      </c>
      <c r="I1198" s="57" t="n">
        <f aca="false">BL1198*Parameter!$B$18</f>
        <v>0</v>
      </c>
      <c r="J1198" s="58" t="n">
        <v>2</v>
      </c>
      <c r="K1198" s="59" t="n">
        <v>0</v>
      </c>
      <c r="L1198" s="57" t="n">
        <v>0</v>
      </c>
      <c r="M1198" s="57" t="n">
        <v>1</v>
      </c>
      <c r="N1198" s="60" t="n">
        <v>56</v>
      </c>
      <c r="O1198" s="55" t="s">
        <v>163</v>
      </c>
      <c r="P1198" s="57"/>
      <c r="Q1198" s="60" t="n">
        <f aca="false">IF(BR1198=1,0,IFERROR(VLOOKUP(BP1198,'Gebinde-Kategorie'!$A$5:$M$45,13,0)+0,0))</f>
        <v>0</v>
      </c>
      <c r="R1198" s="61"/>
      <c r="S1198" s="62"/>
      <c r="T1198" s="62"/>
      <c r="U1198" s="55"/>
      <c r="V1198" s="57"/>
      <c r="W1198" s="57"/>
      <c r="X1198" s="55" t="n">
        <f aca="false">IF(A1198="","",IF(AND(Parameter!$B$21="Ja",ISNUMBER(U1198)),U1198,IF(IFERROR(VLOOKUP(D1198,Parameter!$A$35:$C$64,2,0),"Nein")="2+3",IF(ISNUMBER(SEARCH("grosser Artikel",BM1198)),2,IFERROR(VLOOKUP(BP1198,Parameter!$F$35:$G$64,2,0),2)),IF(OR(IFERROR(VLOOKUP(D1198,Parameter!$A$35:$C$64,2,0),"Nein")="Nein",IFERROR(VLOOKUP(D1198,Parameter!$A$35:$C$64,2,0),"Nein")=""),"-",VLOOKUP(D1198,Parameter!$A$35:$C$64,2,0)))))</f>
        <v>2</v>
      </c>
      <c r="Y1198" s="62"/>
      <c r="Z1198" s="63"/>
      <c r="AA1198" s="57" t="n">
        <f aca="false">AP1198</f>
        <v>1</v>
      </c>
      <c r="AB1198" s="57" t="n">
        <f aca="false">MAX(AP1198,G1198)</f>
        <v>1</v>
      </c>
      <c r="AC1198" s="64"/>
      <c r="AD1198" s="57" t="n">
        <f aca="false">IF(LEFT(Cockpit!$C$5,1)="A",G1198,IF(BW1198=1,BX1198,IF(LEFT(Cockpit!$C$5,1)="B",AH1198,MAX(AH1198,G1198))))</f>
        <v>0</v>
      </c>
      <c r="AE1198" s="57" t="n">
        <f aca="false">IF(BR1198=1,0,ROUNDUP(AD1198/BQ1198,0))</f>
        <v>0</v>
      </c>
      <c r="AF1198" s="59" t="n">
        <f aca="false">IF(CD1198&gt;0,CD1198*MAX(1,AD1198/V1198),IF(BR1198=1,IF(AD1198&lt;=0,0,BS1198*MAX(1,IF(G1198&gt;0,AD1198/G1198,1))),IF(Q1198&gt;0,AE1198/Q1198,0))/MAX(0.1,N(Parameter!$M$21)))</f>
        <v>0</v>
      </c>
      <c r="AG1198" s="57" t="n">
        <f aca="false">AD1198*F1198</f>
        <v>0</v>
      </c>
      <c r="AH1198" s="57" t="n">
        <f aca="false">ROUNDUP(MAX(I1198/IF(BV1198&gt;0,BV1198,MAX(0.1,N(Cockpit!$C$6))),BY1198)/BQ1198,0)*BQ1198</f>
        <v>1</v>
      </c>
      <c r="AI1198" s="58" t="n">
        <f aca="false">IF(AF1198&gt;0,I1198/AF1198,-1)</f>
        <v>-1</v>
      </c>
      <c r="AJ1198" s="58" t="str">
        <f aca="false">IF(AND(OR(BU1198="L1",BU1198="L23"),AF1198&gt;0),SUMIFS($AF$7:$AF$1576,$BU$7:$BU$1576,BU1198,$AI$7:$AI$1576,"&gt;"&amp;AI1198)+SUMIFS($AF$7:$AF$1576,$BU$7:$BU$1576,BU1198,$AI$7:$AI$1576,AI1198,$BO$7:$BO$1576,"&lt;="&amp;BO1198),"")</f>
        <v/>
      </c>
      <c r="AK1198" s="65" t="n">
        <f aca="false">IF(AJ1198="",0,MAX(0,MIN(1,(IF(BU1198="L1",Parameter!$E$5,Parameter!$E$6+Parameter!$E$7)-(AJ1198-AF1198))/AF1198)))</f>
        <v>0</v>
      </c>
      <c r="AL1198" s="57" t="n">
        <f aca="false">IF(LEFT(Cockpit!$I$5,1)="A",G1198,IF(BW1198=1,BX1198,IF(LEFT(Cockpit!$I$5,1)="B",AP1198,MAX(AP1198,G1198))))</f>
        <v>1</v>
      </c>
      <c r="AM1198" s="57" t="n">
        <f aca="false">IF(BR1198=1,0,ROUNDUP(AL1198/BQ1198,0))</f>
        <v>0</v>
      </c>
      <c r="AN1198" s="59" t="n">
        <f aca="false">IF(CD1198&gt;0,CD1198*MAX(1,AL1198/V1198),IF(BR1198=1,IF(AL1198&lt;=0,0,BS1198*MAX(1,IF(G1198&gt;0,AL1198/G1198,1))),IF(Q1198&gt;0,AM1198/Q1198,0))/MAX(0.1,N(Parameter!$M$21)))</f>
        <v>0.15</v>
      </c>
      <c r="AO1198" s="57" t="n">
        <f aca="false">AL1198*F1198</f>
        <v>120.58</v>
      </c>
      <c r="AP1198" s="57" t="n">
        <f aca="false">ROUNDUP(MAX(I1198/IF(BV1198&gt;0,BV1198,MAX(0.1,N(Cockpit!$I$6))),BY1198)/BQ1198,0)*BQ1198</f>
        <v>1</v>
      </c>
      <c r="AQ1198" s="58" t="n">
        <f aca="false">IF(AN1198&gt;0,I1198/AN1198,-1)</f>
        <v>0</v>
      </c>
      <c r="AR1198" s="58" t="n">
        <f aca="false">IF(AND(OR(BU1198="L1",BU1198="L23"),AN1198&gt;0),SUMIFS($AN$7:$AN$1576,$BU$7:$BU$1576,BU1198,$AQ$7:$AQ$1576,"&gt;"&amp;AQ1198)+SUMIFS($AN$7:$AN$1576,$BU$7:$BU$1576,BU1198,$AQ$7:$AQ$1576,AQ1198,$BO$7:$BO$1576,"&lt;="&amp;BO1198),"")</f>
        <v>135.44125577326</v>
      </c>
      <c r="AS1198" s="65" t="n">
        <f aca="false">IF(AR1198="",0,MAX(0,MIN(1,(IF(BU1198="L1",Parameter!$E$5,Parameter!$E$6+Parameter!$E$7)-(AR1198-AN1198))/AN1198)))</f>
        <v>0</v>
      </c>
      <c r="AT1198" s="57" t="n">
        <f aca="false">IF(LEFT(Cockpit!$O$5,1)="A",G1198,IF(BW1198=1,BX1198,IF(LEFT(Cockpit!$O$5,1)="B",AX1198,MAX(AX1198,G1198))))</f>
        <v>1</v>
      </c>
      <c r="AU1198" s="57" t="n">
        <f aca="false">IF(BR1198=1,0,ROUNDUP(AT1198/BQ1198,0))</f>
        <v>0</v>
      </c>
      <c r="AV1198" s="59" t="n">
        <f aca="false">IF(CD1198&gt;0,CD1198*MAX(1,AT1198/V1198),IF(BR1198=1,IF(AT1198&lt;=0,0,BS1198*MAX(1,IF(G1198&gt;0,AT1198/G1198,1))),IF(Q1198&gt;0,AU1198/Q1198,0))/MAX(0.1,N(Parameter!$M$21)))</f>
        <v>0.15</v>
      </c>
      <c r="AW1198" s="57" t="n">
        <f aca="false">AT1198*F1198</f>
        <v>120.58</v>
      </c>
      <c r="AX1198" s="57" t="n">
        <f aca="false">ROUNDUP(MAX(I1198/IF(BV1198&gt;0,BV1198,MAX(0.1,N(Cockpit!$O$6))),BY1198)/BQ1198,0)*BQ1198</f>
        <v>1</v>
      </c>
      <c r="AY1198" s="58" t="n">
        <f aca="false">IF(AV1198&gt;0,I1198/AV1198,-1)</f>
        <v>0</v>
      </c>
      <c r="AZ1198" s="58" t="n">
        <f aca="false">IF(AND(OR(BU1198="L1",BU1198="L23"),AV1198&gt;0),SUMIFS($AV$7:$AV$1576,$BU$7:$BU$1576,BU1198,$AY$7:$AY$1576,"&gt;"&amp;AY1198)+SUMIFS($AV$7:$AV$1576,$BU$7:$BU$1576,BU1198,$AY$7:$AY$1576,AY1198,$BO$7:$BO$1576,"&lt;="&amp;BO1198),"")</f>
        <v>125.50080622281</v>
      </c>
      <c r="BA1198" s="65" t="n">
        <f aca="false">IF(AZ1198="",0,MAX(0,MIN(1,(IF(BU1198="L1",Parameter!$E$5,Parameter!$E$6+Parameter!$E$7)-(AZ1198-AV1198))/AV1198)))</f>
        <v>0</v>
      </c>
      <c r="BB1198" s="55" t="str">
        <f aca="false">IF(AF1198&lt;=0,"",IF(BU1198="Aussen","Aussenlager",IF(BU1198="-","Nicht im Lift",IF(AK1198&gt;=1,"Lift",IF(AK1198&lt;=0,"Aussenlager","teilweise")))))</f>
        <v/>
      </c>
      <c r="BC1198" s="55" t="str">
        <f aca="false">IF(AN1198&lt;=0,"",IF(BU1198="Aussen","Aussenlager",IF(BU1198="-","Nicht im Lift",IF(AS1198&gt;=1,"Lift",IF(AS1198&lt;=0,"Aussenlager","teilweise")))))</f>
        <v>Aussenlager</v>
      </c>
      <c r="BD1198" s="55" t="str">
        <f aca="false">IF(AV1198&lt;=0,"",IF(BU1198="Aussen","Aussenlager",IF(BU1198="-","Nicht im Lift",IF(BA1198&gt;=1,"Lift",IF(BA1198&lt;=0,"Aussenlager","teilweise")))))</f>
        <v>Aussenlager</v>
      </c>
      <c r="BE1198" s="55" t="str">
        <f aca="false">IF(A1198="","",IF(BN1198=1,"Neu; ","")&amp;IF(AND(BN1198=0,BI1198&lt;0),"negativer Bestand (Export "&amp;BI1198&amp;"); ","")&amp;IF(I1198&lt;=0,"Kein Verbrauch; ","")&amp;IF(CD1198&gt;0,"Lift "&amp;U1198&amp;" lt. Liftbericht (Fach "&amp;V1198&amp;" Stk); ",IF(BR1198=1,"Lose – Fläche geschätzt; ",""))&amp;IF(G1198&gt;AP1198,"Überbestand "&amp;ROUND(G1198-AP1198,0)&amp;" Stk / CHF "&amp;ROUND((G1198-AP1198)*F1198,0)&amp;"; ","")&amp;IF(AND(BW1198=1,BX1198&lt;BY1198),"MAX &lt; MB+LG; ","")&amp;IF(AND(CC1198&gt;0,CB1198*10&gt;CC1198),"zu hoch für Tablar; ","")&amp;IF(AND(BN1198=0,OR(BW1198=1,Y1198&lt;&gt;"",S1198&lt;&gt;"",T1198&lt;&gt;"",Z1198&lt;&gt;"")),"manuell übersteuert; ","")&amp;IF(AND(BR1198=0,Q1198=0),"Gebinde unbekannt / Stellmass fehlt; ","")&amp;IF(AND(BR1198=0,N(T1198)&lt;=0,N(P1198)&lt;=0),"Menge pro Gebinde fehlt (Ist = 1 Gebinde); ","")&amp;BM1198)</f>
        <v>negativer Bestand (Export -4); Kein Verbrauch; Lose – Fläche geschätzt; </v>
      </c>
      <c r="BF1198" s="55"/>
      <c r="BG1198" s="55"/>
      <c r="BH1198" s="62"/>
      <c r="BI1198" s="57" t="n">
        <v>-4</v>
      </c>
      <c r="BJ1198" s="57" t="n">
        <v>4</v>
      </c>
      <c r="BK1198" s="56" t="n">
        <v>-482.32</v>
      </c>
      <c r="BL1198" s="57" t="n">
        <v>0</v>
      </c>
      <c r="BM1198" s="55"/>
      <c r="BN1198" s="60" t="n">
        <v>0</v>
      </c>
      <c r="BO1198" s="60" t="n">
        <v>1198</v>
      </c>
      <c r="BP1198" s="55" t="str">
        <f aca="false">IF(S1198&lt;&gt;"",UPPER(TRIM(S1198)),IF(O1198="","LOSE",O1198))</f>
        <v>LOSE</v>
      </c>
      <c r="BQ1198" s="57" t="n">
        <f aca="false">IF(BP1198="LOSE",1,IF(N(T1198)&gt;0,T1198,IF(N(P1198)&gt;0,P1198,MAX(1,G1198))))</f>
        <v>1</v>
      </c>
      <c r="BR1198" s="60" t="n">
        <f aca="false">IF(BP1198="LOSE",1,0)</f>
        <v>1</v>
      </c>
      <c r="BS1198" s="59" t="n">
        <f aca="false">IF(BR1198=0,0,IF(N(R1198)&gt;0,R1198,IFERROR(VLOOKUP(D1198,Parameter!$A$35:$C$64,3,0)+0,0)))</f>
        <v>0.15</v>
      </c>
      <c r="BT1198" s="55" t="n">
        <f aca="false">IF(Y1198&lt;&gt;"",Y1198,X1198)</f>
        <v>2</v>
      </c>
      <c r="BU1198" s="55" t="str">
        <f aca="false">IF(BT1198=1,"L1",IF(OR(BT1198=2,BT1198=3),"L23",IF(BT1198="Aussen","Aussen","-")))</f>
        <v>L23</v>
      </c>
      <c r="BV1198" s="66" t="n">
        <f aca="false">IF(N(Z1198)&gt;0,Z1198,0)</f>
        <v>0</v>
      </c>
      <c r="BW1198" s="60" t="n">
        <f aca="false">IF(ISNUMBER(AC1198),1,0)</f>
        <v>0</v>
      </c>
      <c r="BX1198" s="57" t="n">
        <f aca="false">N(AC1198)</f>
        <v>0</v>
      </c>
      <c r="BY1198" s="57" t="n">
        <f aca="false">N(L1198)+N(M1198)</f>
        <v>1</v>
      </c>
      <c r="BZ1198" s="57" t="n">
        <f aca="false">ROUNDUP(G1198/BQ1198,0)</f>
        <v>0</v>
      </c>
      <c r="CA1198" s="57" t="n">
        <f aca="false">ROUNDUP(BX1198/BQ1198,0)</f>
        <v>0</v>
      </c>
      <c r="CB1198" s="60" t="n">
        <f aca="false">IF(BR1198=1,0,IFERROR(VLOOKUP(BP1198,'Gebinde-Kategorie'!$A$5:$M$45,5,0)+0,0))</f>
        <v>0</v>
      </c>
      <c r="CC1198" s="60" t="n">
        <f aca="false">IFERROR(IF(OR(BT1198=1,BT1198=2,BT1198=3),N(INDEX(Parameter!$I$5:$I$7,BT1198)),0),0)</f>
        <v>0</v>
      </c>
      <c r="CD1198" s="59" t="n">
        <f aca="false">IF(AND(Parameter!$B$21="Ja",ISNUMBER(U1198),N(V1198)&gt;0),IFERROR(N(INDEX(Parameter!$L$5:$L$7,U1198))*INDEX(Parameter!$E$5:$E$7,U1198)*V1198/SUMIFS($V$7:$V$1576,$U$7:$U$1576,U1198),0),0)</f>
        <v>0</v>
      </c>
    </row>
    <row r="1199" customFormat="false" ht="15" hidden="false" customHeight="false" outlineLevel="0" collapsed="false">
      <c r="A1199" s="55" t="s">
        <v>2143</v>
      </c>
      <c r="B1199" s="55" t="s">
        <v>496</v>
      </c>
      <c r="C1199" s="55" t="s">
        <v>160</v>
      </c>
      <c r="D1199" s="55" t="s">
        <v>178</v>
      </c>
      <c r="E1199" s="55" t="s">
        <v>210</v>
      </c>
      <c r="F1199" s="56" t="n">
        <v>2.22</v>
      </c>
      <c r="G1199" s="57" t="n">
        <f aca="false">MAX(0,IF(AND(Parameter!$B$21="Ja",ISNUMBER(W1199)),W1199,IF(Parameter!$B$20="Jahresanfang 2025 + Export",BJ1199+BI1199,BI1199)))</f>
        <v>0</v>
      </c>
      <c r="H1199" s="57" t="n">
        <f aca="false">G1199*F1199</f>
        <v>0</v>
      </c>
      <c r="I1199" s="57" t="n">
        <f aca="false">BL1199*Parameter!$B$18</f>
        <v>361</v>
      </c>
      <c r="J1199" s="58" t="n">
        <v>284.5</v>
      </c>
      <c r="K1199" s="59" t="n">
        <v>1.2688927943761</v>
      </c>
      <c r="L1199" s="57" t="n">
        <v>21</v>
      </c>
      <c r="M1199" s="57" t="n">
        <v>360</v>
      </c>
      <c r="N1199" s="60" t="n">
        <v>21</v>
      </c>
      <c r="O1199" s="55" t="s">
        <v>293</v>
      </c>
      <c r="P1199" s="57" t="n">
        <v>215</v>
      </c>
      <c r="Q1199" s="60" t="n">
        <f aca="false">IF(BR1199=1,0,IFERROR(VLOOKUP(BP1199,'Gebinde-Kategorie'!$A$5:$M$45,13,0)+0,0))</f>
        <v>26</v>
      </c>
      <c r="R1199" s="61"/>
      <c r="S1199" s="62"/>
      <c r="T1199" s="62"/>
      <c r="U1199" s="55"/>
      <c r="V1199" s="57"/>
      <c r="W1199" s="57"/>
      <c r="X1199" s="55" t="n">
        <f aca="false">IF(A1199="","",IF(AND(Parameter!$B$21="Ja",ISNUMBER(U1199)),U1199,IF(IFERROR(VLOOKUP(D1199,Parameter!$A$35:$C$64,2,0),"Nein")="2+3",IF(ISNUMBER(SEARCH("grosser Artikel",BM1199)),2,IFERROR(VLOOKUP(BP1199,Parameter!$F$35:$G$64,2,0),2)),IF(OR(IFERROR(VLOOKUP(D1199,Parameter!$A$35:$C$64,2,0),"Nein")="Nein",IFERROR(VLOOKUP(D1199,Parameter!$A$35:$C$64,2,0),"Nein")=""),"-",VLOOKUP(D1199,Parameter!$A$35:$C$64,2,0)))))</f>
        <v>3</v>
      </c>
      <c r="Y1199" s="62"/>
      <c r="Z1199" s="63"/>
      <c r="AA1199" s="57" t="n">
        <f aca="false">AP1199</f>
        <v>430</v>
      </c>
      <c r="AB1199" s="57" t="n">
        <f aca="false">MAX(AP1199,G1199)</f>
        <v>430</v>
      </c>
      <c r="AC1199" s="64"/>
      <c r="AD1199" s="57" t="n">
        <f aca="false">IF(LEFT(Cockpit!$C$5,1)="A",G1199,IF(BW1199=1,BX1199,IF(LEFT(Cockpit!$C$5,1)="B",AH1199,MAX(AH1199,G1199))))</f>
        <v>0</v>
      </c>
      <c r="AE1199" s="57" t="n">
        <f aca="false">IF(BR1199=1,0,ROUNDUP(AD1199/BQ1199,0))</f>
        <v>0</v>
      </c>
      <c r="AF1199" s="59" t="n">
        <f aca="false">IF(CD1199&gt;0,CD1199*MAX(1,AD1199/V1199),IF(BR1199=1,IF(AD1199&lt;=0,0,BS1199*MAX(1,IF(G1199&gt;0,AD1199/G1199,1))),IF(Q1199&gt;0,AE1199/Q1199,0))/MAX(0.1,N(Parameter!$M$21)))</f>
        <v>0</v>
      </c>
      <c r="AG1199" s="57" t="n">
        <f aca="false">AD1199*F1199</f>
        <v>0</v>
      </c>
      <c r="AH1199" s="57" t="n">
        <f aca="false">ROUNDUP(MAX(I1199/IF(BV1199&gt;0,BV1199,MAX(0.1,N(Cockpit!$C$6))),BY1199)/BQ1199,0)*BQ1199</f>
        <v>430</v>
      </c>
      <c r="AI1199" s="58" t="n">
        <f aca="false">IF(AF1199&gt;0,I1199/AF1199,-1)</f>
        <v>-1</v>
      </c>
      <c r="AJ1199" s="58" t="str">
        <f aca="false">IF(AND(OR(BU1199="L1",BU1199="L23"),AF1199&gt;0),SUMIFS($AF$7:$AF$1576,$BU$7:$BU$1576,BU1199,$AI$7:$AI$1576,"&gt;"&amp;AI1199)+SUMIFS($AF$7:$AF$1576,$BU$7:$BU$1576,BU1199,$AI$7:$AI$1576,AI1199,$BO$7:$BO$1576,"&lt;="&amp;BO1199),"")</f>
        <v/>
      </c>
      <c r="AK1199" s="65" t="n">
        <f aca="false">IF(AJ1199="",0,MAX(0,MIN(1,(IF(BU1199="L1",Parameter!$E$5,Parameter!$E$6+Parameter!$E$7)-(AJ1199-AF1199))/AF1199)))</f>
        <v>0</v>
      </c>
      <c r="AL1199" s="57" t="n">
        <f aca="false">IF(LEFT(Cockpit!$I$5,1)="A",G1199,IF(BW1199=1,BX1199,IF(LEFT(Cockpit!$I$5,1)="B",AP1199,MAX(AP1199,G1199))))</f>
        <v>430</v>
      </c>
      <c r="AM1199" s="57" t="n">
        <f aca="false">IF(BR1199=1,0,ROUNDUP(AL1199/BQ1199,0))</f>
        <v>2</v>
      </c>
      <c r="AN1199" s="59" t="n">
        <f aca="false">IF(CD1199&gt;0,CD1199*MAX(1,AL1199/V1199),IF(BR1199=1,IF(AL1199&lt;=0,0,BS1199*MAX(1,IF(G1199&gt;0,AL1199/G1199,1))),IF(Q1199&gt;0,AM1199/Q1199,0))/MAX(0.1,N(Parameter!$M$21)))</f>
        <v>0.0769230769230769</v>
      </c>
      <c r="AO1199" s="57" t="n">
        <f aca="false">AL1199*F1199</f>
        <v>954.6</v>
      </c>
      <c r="AP1199" s="57" t="n">
        <f aca="false">ROUNDUP(MAX(I1199/IF(BV1199&gt;0,BV1199,MAX(0.1,N(Cockpit!$I$6))),BY1199)/BQ1199,0)*BQ1199</f>
        <v>430</v>
      </c>
      <c r="AQ1199" s="58" t="n">
        <f aca="false">IF(AN1199&gt;0,I1199/AN1199,-1)</f>
        <v>4693</v>
      </c>
      <c r="AR1199" s="58" t="n">
        <f aca="false">IF(AND(OR(BU1199="L1",BU1199="L23"),AN1199&gt;0),SUMIFS($AN$7:$AN$1576,$BU$7:$BU$1576,BU1199,$AQ$7:$AQ$1576,"&gt;"&amp;AQ1199)+SUMIFS($AN$7:$AN$1576,$BU$7:$BU$1576,BU1199,$AQ$7:$AQ$1576,AQ1199,$BO$7:$BO$1576,"&lt;="&amp;BO1199),"")</f>
        <v>12.002563065437</v>
      </c>
      <c r="AS1199" s="65" t="n">
        <f aca="false">IF(AR1199="",0,MAX(0,MIN(1,(IF(BU1199="L1",Parameter!$E$5,Parameter!$E$6+Parameter!$E$7)-(AR1199-AN1199))/AN1199)))</f>
        <v>1</v>
      </c>
      <c r="AT1199" s="57" t="n">
        <f aca="false">IF(LEFT(Cockpit!$O$5,1)="A",G1199,IF(BW1199=1,BX1199,IF(LEFT(Cockpit!$O$5,1)="B",AX1199,MAX(AX1199,G1199))))</f>
        <v>430</v>
      </c>
      <c r="AU1199" s="57" t="n">
        <f aca="false">IF(BR1199=1,0,ROUNDUP(AT1199/BQ1199,0))</f>
        <v>2</v>
      </c>
      <c r="AV1199" s="59" t="n">
        <f aca="false">IF(CD1199&gt;0,CD1199*MAX(1,AT1199/V1199),IF(BR1199=1,IF(AT1199&lt;=0,0,BS1199*MAX(1,IF(G1199&gt;0,AT1199/G1199,1))),IF(Q1199&gt;0,AU1199/Q1199,0))/MAX(0.1,N(Parameter!$M$21)))</f>
        <v>0.0769230769230769</v>
      </c>
      <c r="AW1199" s="57" t="n">
        <f aca="false">AT1199*F1199</f>
        <v>954.6</v>
      </c>
      <c r="AX1199" s="57" t="n">
        <f aca="false">ROUNDUP(MAX(I1199/IF(BV1199&gt;0,BV1199,MAX(0.1,N(Cockpit!$O$6))),BY1199)/BQ1199,0)*BQ1199</f>
        <v>430</v>
      </c>
      <c r="AY1199" s="58" t="n">
        <f aca="false">IF(AV1199&gt;0,I1199/AV1199,-1)</f>
        <v>4693</v>
      </c>
      <c r="AZ1199" s="58" t="n">
        <f aca="false">IF(AND(OR(BU1199="L1",BU1199="L23"),AV1199&gt;0),SUMIFS($AV$7:$AV$1576,$BU$7:$BU$1576,BU1199,$AY$7:$AY$1576,"&gt;"&amp;AY1199)+SUMIFS($AV$7:$AV$1576,$BU$7:$BU$1576,BU1199,$AY$7:$AY$1576,AY1199,$BO$7:$BO$1576,"&lt;="&amp;BO1199),"")</f>
        <v>11.2234255362995</v>
      </c>
      <c r="BA1199" s="65" t="n">
        <f aca="false">IF(AZ1199="",0,MAX(0,MIN(1,(IF(BU1199="L1",Parameter!$E$5,Parameter!$E$6+Parameter!$E$7)-(AZ1199-AV1199))/AV1199)))</f>
        <v>1</v>
      </c>
      <c r="BB1199" s="55" t="str">
        <f aca="false">IF(AF1199&lt;=0,"",IF(BU1199="Aussen","Aussenlager",IF(BU1199="-","Nicht im Lift",IF(AK1199&gt;=1,"Lift",IF(AK1199&lt;=0,"Aussenlager","teilweise")))))</f>
        <v/>
      </c>
      <c r="BC1199" s="55" t="str">
        <f aca="false">IF(AN1199&lt;=0,"",IF(BU1199="Aussen","Aussenlager",IF(BU1199="-","Nicht im Lift",IF(AS1199&gt;=1,"Lift",IF(AS1199&lt;=0,"Aussenlager","teilweise")))))</f>
        <v>Lift</v>
      </c>
      <c r="BD1199" s="55" t="str">
        <f aca="false">IF(AV1199&lt;=0,"",IF(BU1199="Aussen","Aussenlager",IF(BU1199="-","Nicht im Lift",IF(BA1199&gt;=1,"Lift",IF(BA1199&lt;=0,"Aussenlager","teilweise")))))</f>
        <v>Lift</v>
      </c>
      <c r="BE1199" s="55" t="str">
        <f aca="false">IF(A1199="","",IF(BN1199=1,"Neu; ","")&amp;IF(AND(BN1199=0,BI1199&lt;0),"negativer Bestand (Export "&amp;BI1199&amp;"); ","")&amp;IF(I1199&lt;=0,"Kein Verbrauch; ","")&amp;IF(CD1199&gt;0,"Lift "&amp;U1199&amp;" lt. Liftbericht (Fach "&amp;V1199&amp;" Stk); ",IF(BR1199=1,"Lose – Fläche geschätzt; ",""))&amp;IF(G1199&gt;AP1199,"Überbestand "&amp;ROUND(G1199-AP1199,0)&amp;" Stk / CHF "&amp;ROUND((G1199-AP1199)*F1199,0)&amp;"; ","")&amp;IF(AND(BW1199=1,BX1199&lt;BY1199),"MAX &lt; MB+LG; ","")&amp;IF(AND(CC1199&gt;0,CB1199*10&gt;CC1199),"zu hoch für Tablar; ","")&amp;IF(AND(BN1199=0,OR(BW1199=1,Y1199&lt;&gt;"",S1199&lt;&gt;"",T1199&lt;&gt;"",Z1199&lt;&gt;"")),"manuell übersteuert; ","")&amp;IF(AND(BR1199=0,Q1199=0),"Gebinde unbekannt / Stellmass fehlt; ","")&amp;IF(AND(BR1199=0,N(T1199)&lt;=0,N(P1199)&lt;=0),"Menge pro Gebinde fehlt (Ist = 1 Gebinde); ","")&amp;BM1199)</f>
        <v>negativer Bestand (Export -209); </v>
      </c>
      <c r="BF1199" s="55"/>
      <c r="BG1199" s="55"/>
      <c r="BH1199" s="62"/>
      <c r="BI1199" s="57" t="n">
        <v>-209</v>
      </c>
      <c r="BJ1199" s="57" t="n">
        <v>311</v>
      </c>
      <c r="BK1199" s="56" t="n">
        <v>-485.539999999999</v>
      </c>
      <c r="BL1199" s="57" t="n">
        <v>361</v>
      </c>
      <c r="BM1199" s="55"/>
      <c r="BN1199" s="60" t="n">
        <v>0</v>
      </c>
      <c r="BO1199" s="60" t="n">
        <v>1199</v>
      </c>
      <c r="BP1199" s="55" t="str">
        <f aca="false">IF(S1199&lt;&gt;"",UPPER(TRIM(S1199)),IF(O1199="","LOSE",O1199))</f>
        <v>S51</v>
      </c>
      <c r="BQ1199" s="57" t="n">
        <f aca="false">IF(BP1199="LOSE",1,IF(N(T1199)&gt;0,T1199,IF(N(P1199)&gt;0,P1199,MAX(1,G1199))))</f>
        <v>215</v>
      </c>
      <c r="BR1199" s="60" t="n">
        <f aca="false">IF(BP1199="LOSE",1,0)</f>
        <v>0</v>
      </c>
      <c r="BS1199" s="59" t="n">
        <f aca="false">IF(BR1199=0,0,IF(N(R1199)&gt;0,R1199,IFERROR(VLOOKUP(D1199,Parameter!$A$35:$C$64,3,0)+0,0)))</f>
        <v>0</v>
      </c>
      <c r="BT1199" s="55" t="n">
        <f aca="false">IF(Y1199&lt;&gt;"",Y1199,X1199)</f>
        <v>3</v>
      </c>
      <c r="BU1199" s="55" t="str">
        <f aca="false">IF(BT1199=1,"L1",IF(OR(BT1199=2,BT1199=3),"L23",IF(BT1199="Aussen","Aussen","-")))</f>
        <v>L23</v>
      </c>
      <c r="BV1199" s="66" t="n">
        <f aca="false">IF(N(Z1199)&gt;0,Z1199,0)</f>
        <v>0</v>
      </c>
      <c r="BW1199" s="60" t="n">
        <f aca="false">IF(ISNUMBER(AC1199),1,0)</f>
        <v>0</v>
      </c>
      <c r="BX1199" s="57" t="n">
        <f aca="false">N(AC1199)</f>
        <v>0</v>
      </c>
      <c r="BY1199" s="57" t="n">
        <f aca="false">N(L1199)+N(M1199)</f>
        <v>381</v>
      </c>
      <c r="BZ1199" s="57" t="n">
        <f aca="false">ROUNDUP(G1199/BQ1199,0)</f>
        <v>0</v>
      </c>
      <c r="CA1199" s="57" t="n">
        <f aca="false">ROUNDUP(BX1199/BQ1199,0)</f>
        <v>0</v>
      </c>
      <c r="CB1199" s="60" t="n">
        <f aca="false">IF(BR1199=1,0,IFERROR(VLOOKUP(BP1199,'Gebinde-Kategorie'!$A$5:$M$45,5,0)+0,0))</f>
        <v>11</v>
      </c>
      <c r="CC1199" s="60" t="n">
        <f aca="false">IFERROR(IF(OR(BT1199=1,BT1199=2,BT1199=3),N(INDEX(Parameter!$I$5:$I$7,BT1199)),0),0)</f>
        <v>0</v>
      </c>
      <c r="CD1199" s="59" t="n">
        <f aca="false">IF(AND(Parameter!$B$21="Ja",ISNUMBER(U1199),N(V1199)&gt;0),IFERROR(N(INDEX(Parameter!$L$5:$L$7,U1199))*INDEX(Parameter!$E$5:$E$7,U1199)*V1199/SUMIFS($V$7:$V$1576,$U$7:$U$1576,U1199),0),0)</f>
        <v>0</v>
      </c>
    </row>
    <row r="1200" customFormat="false" ht="15" hidden="false" customHeight="false" outlineLevel="0" collapsed="false">
      <c r="A1200" s="55" t="s">
        <v>2144</v>
      </c>
      <c r="B1200" s="55" t="s">
        <v>364</v>
      </c>
      <c r="C1200" s="55" t="s">
        <v>160</v>
      </c>
      <c r="D1200" s="55" t="s">
        <v>178</v>
      </c>
      <c r="E1200" s="55" t="s">
        <v>210</v>
      </c>
      <c r="F1200" s="56" t="n">
        <v>15.83</v>
      </c>
      <c r="G1200" s="57" t="n">
        <f aca="false">MAX(0,IF(AND(Parameter!$B$21="Ja",ISNUMBER(W1200)),W1200,IF(Parameter!$B$20="Jahresanfang 2025 + Export",BJ1200+BI1200,BI1200)))</f>
        <v>0</v>
      </c>
      <c r="H1200" s="57" t="n">
        <f aca="false">G1200*F1200</f>
        <v>0</v>
      </c>
      <c r="I1200" s="57" t="n">
        <f aca="false">BL1200*Parameter!$B$18</f>
        <v>69</v>
      </c>
      <c r="J1200" s="58" t="n">
        <v>45</v>
      </c>
      <c r="K1200" s="59" t="n">
        <v>1.53333333333333</v>
      </c>
      <c r="L1200" s="57" t="n">
        <v>2</v>
      </c>
      <c r="M1200" s="57" t="n">
        <v>70</v>
      </c>
      <c r="N1200" s="60" t="n">
        <v>14</v>
      </c>
      <c r="O1200" s="55" t="s">
        <v>411</v>
      </c>
      <c r="P1200" s="57" t="n">
        <v>30</v>
      </c>
      <c r="Q1200" s="60" t="n">
        <f aca="false">IF(BR1200=1,0,IFERROR(VLOOKUP(BP1200,'Gebinde-Kategorie'!$A$5:$M$45,13,0)+0,0))</f>
        <v>132</v>
      </c>
      <c r="R1200" s="61"/>
      <c r="S1200" s="62"/>
      <c r="T1200" s="62"/>
      <c r="U1200" s="55"/>
      <c r="V1200" s="57"/>
      <c r="W1200" s="57"/>
      <c r="X1200" s="55" t="n">
        <f aca="false">IF(A1200="","",IF(AND(Parameter!$B$21="Ja",ISNUMBER(U1200)),U1200,IF(IFERROR(VLOOKUP(D1200,Parameter!$A$35:$C$64,2,0),"Nein")="2+3",IF(ISNUMBER(SEARCH("grosser Artikel",BM1200)),2,IFERROR(VLOOKUP(BP1200,Parameter!$F$35:$G$64,2,0),2)),IF(OR(IFERROR(VLOOKUP(D1200,Parameter!$A$35:$C$64,2,0),"Nein")="Nein",IFERROR(VLOOKUP(D1200,Parameter!$A$35:$C$64,2,0),"Nein")=""),"-",VLOOKUP(D1200,Parameter!$A$35:$C$64,2,0)))))</f>
        <v>3</v>
      </c>
      <c r="Y1200" s="62"/>
      <c r="Z1200" s="63"/>
      <c r="AA1200" s="57" t="n">
        <f aca="false">AP1200</f>
        <v>90</v>
      </c>
      <c r="AB1200" s="57" t="n">
        <f aca="false">MAX(AP1200,G1200)</f>
        <v>90</v>
      </c>
      <c r="AC1200" s="64"/>
      <c r="AD1200" s="57" t="n">
        <f aca="false">IF(LEFT(Cockpit!$C$5,1)="A",G1200,IF(BW1200=1,BX1200,IF(LEFT(Cockpit!$C$5,1)="B",AH1200,MAX(AH1200,G1200))))</f>
        <v>0</v>
      </c>
      <c r="AE1200" s="57" t="n">
        <f aca="false">IF(BR1200=1,0,ROUNDUP(AD1200/BQ1200,0))</f>
        <v>0</v>
      </c>
      <c r="AF1200" s="59" t="n">
        <f aca="false">IF(CD1200&gt;0,CD1200*MAX(1,AD1200/V1200),IF(BR1200=1,IF(AD1200&lt;=0,0,BS1200*MAX(1,IF(G1200&gt;0,AD1200/G1200,1))),IF(Q1200&gt;0,AE1200/Q1200,0))/MAX(0.1,N(Parameter!$M$21)))</f>
        <v>0</v>
      </c>
      <c r="AG1200" s="57" t="n">
        <f aca="false">AD1200*F1200</f>
        <v>0</v>
      </c>
      <c r="AH1200" s="57" t="n">
        <f aca="false">ROUNDUP(MAX(I1200/IF(BV1200&gt;0,BV1200,MAX(0.1,N(Cockpit!$C$6))),BY1200)/BQ1200,0)*BQ1200</f>
        <v>90</v>
      </c>
      <c r="AI1200" s="58" t="n">
        <f aca="false">IF(AF1200&gt;0,I1200/AF1200,-1)</f>
        <v>-1</v>
      </c>
      <c r="AJ1200" s="58" t="str">
        <f aca="false">IF(AND(OR(BU1200="L1",BU1200="L23"),AF1200&gt;0),SUMIFS($AF$7:$AF$1576,$BU$7:$BU$1576,BU1200,$AI$7:$AI$1576,"&gt;"&amp;AI1200)+SUMIFS($AF$7:$AF$1576,$BU$7:$BU$1576,BU1200,$AI$7:$AI$1576,AI1200,$BO$7:$BO$1576,"&lt;="&amp;BO1200),"")</f>
        <v/>
      </c>
      <c r="AK1200" s="65" t="n">
        <f aca="false">IF(AJ1200="",0,MAX(0,MIN(1,(IF(BU1200="L1",Parameter!$E$5,Parameter!$E$6+Parameter!$E$7)-(AJ1200-AF1200))/AF1200)))</f>
        <v>0</v>
      </c>
      <c r="AL1200" s="57" t="n">
        <f aca="false">IF(LEFT(Cockpit!$I$5,1)="A",G1200,IF(BW1200=1,BX1200,IF(LEFT(Cockpit!$I$5,1)="B",AP1200,MAX(AP1200,G1200))))</f>
        <v>90</v>
      </c>
      <c r="AM1200" s="57" t="n">
        <f aca="false">IF(BR1200=1,0,ROUNDUP(AL1200/BQ1200,0))</f>
        <v>3</v>
      </c>
      <c r="AN1200" s="59" t="n">
        <f aca="false">IF(CD1200&gt;0,CD1200*MAX(1,AL1200/V1200),IF(BR1200=1,IF(AL1200&lt;=0,0,BS1200*MAX(1,IF(G1200&gt;0,AL1200/G1200,1))),IF(Q1200&gt;0,AM1200/Q1200,0))/MAX(0.1,N(Parameter!$M$21)))</f>
        <v>0.0227272727272727</v>
      </c>
      <c r="AO1200" s="57" t="n">
        <f aca="false">AL1200*F1200</f>
        <v>1424.7</v>
      </c>
      <c r="AP1200" s="57" t="n">
        <f aca="false">ROUNDUP(MAX(I1200/IF(BV1200&gt;0,BV1200,MAX(0.1,N(Cockpit!$I$6))),BY1200)/BQ1200,0)*BQ1200</f>
        <v>90</v>
      </c>
      <c r="AQ1200" s="58" t="n">
        <f aca="false">IF(AN1200&gt;0,I1200/AN1200,-1)</f>
        <v>3036</v>
      </c>
      <c r="AR1200" s="58" t="n">
        <f aca="false">IF(AND(OR(BU1200="L1",BU1200="L23"),AN1200&gt;0),SUMIFS($AN$7:$AN$1576,$BU$7:$BU$1576,BU1200,$AQ$7:$AQ$1576,"&gt;"&amp;AQ1200)+SUMIFS($AN$7:$AN$1576,$BU$7:$BU$1576,BU1200,$AQ$7:$AQ$1576,AQ1200,$BO$7:$BO$1576,"&lt;="&amp;BO1200),"")</f>
        <v>14.3568646093037</v>
      </c>
      <c r="AS1200" s="65" t="n">
        <f aca="false">IF(AR1200="",0,MAX(0,MIN(1,(IF(BU1200="L1",Parameter!$E$5,Parameter!$E$6+Parameter!$E$7)-(AR1200-AN1200))/AN1200)))</f>
        <v>1</v>
      </c>
      <c r="AT1200" s="57" t="n">
        <f aca="false">IF(LEFT(Cockpit!$O$5,1)="A",G1200,IF(BW1200=1,BX1200,IF(LEFT(Cockpit!$O$5,1)="B",AX1200,MAX(AX1200,G1200))))</f>
        <v>90</v>
      </c>
      <c r="AU1200" s="57" t="n">
        <f aca="false">IF(BR1200=1,0,ROUNDUP(AT1200/BQ1200,0))</f>
        <v>3</v>
      </c>
      <c r="AV1200" s="59" t="n">
        <f aca="false">IF(CD1200&gt;0,CD1200*MAX(1,AT1200/V1200),IF(BR1200=1,IF(AT1200&lt;=0,0,BS1200*MAX(1,IF(G1200&gt;0,AT1200/G1200,1))),IF(Q1200&gt;0,AU1200/Q1200,0))/MAX(0.1,N(Parameter!$M$21)))</f>
        <v>0.0227272727272727</v>
      </c>
      <c r="AW1200" s="57" t="n">
        <f aca="false">AT1200*F1200</f>
        <v>1424.7</v>
      </c>
      <c r="AX1200" s="57" t="n">
        <f aca="false">ROUNDUP(MAX(I1200/IF(BV1200&gt;0,BV1200,MAX(0.1,N(Cockpit!$O$6))),BY1200)/BQ1200,0)*BQ1200</f>
        <v>90</v>
      </c>
      <c r="AY1200" s="58" t="n">
        <f aca="false">IF(AV1200&gt;0,I1200/AV1200,-1)</f>
        <v>3036</v>
      </c>
      <c r="AZ1200" s="58" t="n">
        <f aca="false">IF(AND(OR(BU1200="L1",BU1200="L23"),AV1200&gt;0),SUMIFS($AV$7:$AV$1576,$BU$7:$BU$1576,BU1200,$AY$7:$AY$1576,"&gt;"&amp;AY1200)+SUMIFS($AV$7:$AV$1576,$BU$7:$BU$1576,BU1200,$AY$7:$AY$1576,AY1200,$BO$7:$BO$1576,"&lt;="&amp;BO1200),"")</f>
        <v>13.1546501570893</v>
      </c>
      <c r="BA1200" s="65" t="n">
        <f aca="false">IF(AZ1200="",0,MAX(0,MIN(1,(IF(BU1200="L1",Parameter!$E$5,Parameter!$E$6+Parameter!$E$7)-(AZ1200-AV1200))/AV1200)))</f>
        <v>1</v>
      </c>
      <c r="BB1200" s="55" t="str">
        <f aca="false">IF(AF1200&lt;=0,"",IF(BU1200="Aussen","Aussenlager",IF(BU1200="-","Nicht im Lift",IF(AK1200&gt;=1,"Lift",IF(AK1200&lt;=0,"Aussenlager","teilweise")))))</f>
        <v/>
      </c>
      <c r="BC1200" s="55" t="str">
        <f aca="false">IF(AN1200&lt;=0,"",IF(BU1200="Aussen","Aussenlager",IF(BU1200="-","Nicht im Lift",IF(AS1200&gt;=1,"Lift",IF(AS1200&lt;=0,"Aussenlager","teilweise")))))</f>
        <v>Lift</v>
      </c>
      <c r="BD1200" s="55" t="str">
        <f aca="false">IF(AV1200&lt;=0,"",IF(BU1200="Aussen","Aussenlager",IF(BU1200="-","Nicht im Lift",IF(BA1200&gt;=1,"Lift",IF(BA1200&lt;=0,"Aussenlager","teilweise")))))</f>
        <v>Lift</v>
      </c>
      <c r="BE1200" s="55" t="str">
        <f aca="false">IF(A1200="","",IF(BN1200=1,"Neu; ","")&amp;IF(AND(BN1200=0,BI1200&lt;0),"negativer Bestand (Export "&amp;BI1200&amp;"); ","")&amp;IF(I1200&lt;=0,"Kein Verbrauch; ","")&amp;IF(CD1200&gt;0,"Lift "&amp;U1200&amp;" lt. Liftbericht (Fach "&amp;V1200&amp;" Stk); ",IF(BR1200=1,"Lose – Fläche geschätzt; ",""))&amp;IF(G1200&gt;AP1200,"Überbestand "&amp;ROUND(G1200-AP1200,0)&amp;" Stk / CHF "&amp;ROUND((G1200-AP1200)*F1200,0)&amp;"; ","")&amp;IF(AND(BW1200=1,BX1200&lt;BY1200),"MAX &lt; MB+LG; ","")&amp;IF(AND(CC1200&gt;0,CB1200*10&gt;CC1200),"zu hoch für Tablar; ","")&amp;IF(AND(BN1200=0,OR(BW1200=1,Y1200&lt;&gt;"",S1200&lt;&gt;"",T1200&lt;&gt;"",Z1200&lt;&gt;"")),"manuell übersteuert; ","")&amp;IF(AND(BR1200=0,Q1200=0),"Gebinde unbekannt / Stellmass fehlt; ","")&amp;IF(AND(BR1200=0,N(T1200)&lt;=0,N(P1200)&lt;=0),"Menge pro Gebinde fehlt (Ist = 1 Gebinde); ","")&amp;BM1200)</f>
        <v>negativer Bestand (Export -29); </v>
      </c>
      <c r="BF1200" s="55"/>
      <c r="BG1200" s="55"/>
      <c r="BH1200" s="62"/>
      <c r="BI1200" s="57" t="n">
        <v>-29</v>
      </c>
      <c r="BJ1200" s="57" t="n">
        <v>51</v>
      </c>
      <c r="BK1200" s="56" t="n">
        <v>-487.74</v>
      </c>
      <c r="BL1200" s="57" t="n">
        <v>69</v>
      </c>
      <c r="BM1200" s="55"/>
      <c r="BN1200" s="60" t="n">
        <v>0</v>
      </c>
      <c r="BO1200" s="60" t="n">
        <v>1200</v>
      </c>
      <c r="BP1200" s="55" t="str">
        <f aca="false">IF(S1200&lt;&gt;"",UPPER(TRIM(S1200)),IF(O1200="","LOSE",O1200))</f>
        <v>S32</v>
      </c>
      <c r="BQ1200" s="57" t="n">
        <f aca="false">IF(BP1200="LOSE",1,IF(N(T1200)&gt;0,T1200,IF(N(P1200)&gt;0,P1200,MAX(1,G1200))))</f>
        <v>30</v>
      </c>
      <c r="BR1200" s="60" t="n">
        <f aca="false">IF(BP1200="LOSE",1,0)</f>
        <v>0</v>
      </c>
      <c r="BS1200" s="59" t="n">
        <f aca="false">IF(BR1200=0,0,IF(N(R1200)&gt;0,R1200,IFERROR(VLOOKUP(D1200,Parameter!$A$35:$C$64,3,0)+0,0)))</f>
        <v>0</v>
      </c>
      <c r="BT1200" s="55" t="n">
        <f aca="false">IF(Y1200&lt;&gt;"",Y1200,X1200)</f>
        <v>3</v>
      </c>
      <c r="BU1200" s="55" t="str">
        <f aca="false">IF(BT1200=1,"L1",IF(OR(BT1200=2,BT1200=3),"L23",IF(BT1200="Aussen","Aussen","-")))</f>
        <v>L23</v>
      </c>
      <c r="BV1200" s="66" t="n">
        <f aca="false">IF(N(Z1200)&gt;0,Z1200,0)</f>
        <v>0</v>
      </c>
      <c r="BW1200" s="60" t="n">
        <f aca="false">IF(ISNUMBER(AC1200),1,0)</f>
        <v>0</v>
      </c>
      <c r="BX1200" s="57" t="n">
        <f aca="false">N(AC1200)</f>
        <v>0</v>
      </c>
      <c r="BY1200" s="57" t="n">
        <f aca="false">N(L1200)+N(M1200)</f>
        <v>72</v>
      </c>
      <c r="BZ1200" s="57" t="n">
        <f aca="false">ROUNDUP(G1200/BQ1200,0)</f>
        <v>0</v>
      </c>
      <c r="CA1200" s="57" t="n">
        <f aca="false">ROUNDUP(BX1200/BQ1200,0)</f>
        <v>0</v>
      </c>
      <c r="CB1200" s="60" t="n">
        <f aca="false">IF(BR1200=1,0,IFERROR(VLOOKUP(BP1200,'Gebinde-Kategorie'!$A$5:$M$45,5,0)+0,0))</f>
        <v>8</v>
      </c>
      <c r="CC1200" s="60" t="n">
        <f aca="false">IFERROR(IF(OR(BT1200=1,BT1200=2,BT1200=3),N(INDEX(Parameter!$I$5:$I$7,BT1200)),0),0)</f>
        <v>0</v>
      </c>
      <c r="CD1200" s="59" t="n">
        <f aca="false">IF(AND(Parameter!$B$21="Ja",ISNUMBER(U1200),N(V1200)&gt;0),IFERROR(N(INDEX(Parameter!$L$5:$L$7,U1200))*INDEX(Parameter!$E$5:$E$7,U1200)*V1200/SUMIFS($V$7:$V$1576,$U$7:$U$1576,U1200),0),0)</f>
        <v>0</v>
      </c>
    </row>
    <row r="1201" customFormat="false" ht="15" hidden="false" customHeight="false" outlineLevel="0" collapsed="false">
      <c r="A1201" s="55" t="s">
        <v>2145</v>
      </c>
      <c r="B1201" s="55" t="s">
        <v>2146</v>
      </c>
      <c r="C1201" s="55" t="s">
        <v>160</v>
      </c>
      <c r="D1201" s="55" t="s">
        <v>168</v>
      </c>
      <c r="E1201" s="55" t="s">
        <v>210</v>
      </c>
      <c r="F1201" s="56" t="n">
        <v>490.5</v>
      </c>
      <c r="G1201" s="57" t="n">
        <f aca="false">MAX(0,IF(AND(Parameter!$B$21="Ja",ISNUMBER(W1201)),W1201,IF(Parameter!$B$20="Jahresanfang 2025 + Export",BJ1201+BI1201,BI1201)))</f>
        <v>0</v>
      </c>
      <c r="H1201" s="57" t="n">
        <f aca="false">G1201*F1201</f>
        <v>0</v>
      </c>
      <c r="I1201" s="57" t="n">
        <f aca="false">BL1201*Parameter!$B$18</f>
        <v>0</v>
      </c>
      <c r="J1201" s="58" t="n">
        <v>1.5</v>
      </c>
      <c r="K1201" s="59" t="n">
        <v>0</v>
      </c>
      <c r="L1201" s="57" t="n">
        <v>0</v>
      </c>
      <c r="M1201" s="57" t="n">
        <v>1</v>
      </c>
      <c r="N1201" s="60" t="n">
        <v>28</v>
      </c>
      <c r="O1201" s="55" t="s">
        <v>163</v>
      </c>
      <c r="P1201" s="57"/>
      <c r="Q1201" s="60" t="n">
        <f aca="false">IF(BR1201=1,0,IFERROR(VLOOKUP(BP1201,'Gebinde-Kategorie'!$A$5:$M$45,13,0)+0,0))</f>
        <v>0</v>
      </c>
      <c r="R1201" s="61"/>
      <c r="S1201" s="62"/>
      <c r="T1201" s="62"/>
      <c r="U1201" s="55"/>
      <c r="V1201" s="57"/>
      <c r="W1201" s="57"/>
      <c r="X1201" s="55" t="n">
        <f aca="false">IF(A1201="","",IF(AND(Parameter!$B$21="Ja",ISNUMBER(U1201)),U1201,IF(IFERROR(VLOOKUP(D1201,Parameter!$A$35:$C$64,2,0),"Nein")="2+3",IF(ISNUMBER(SEARCH("grosser Artikel",BM1201)),2,IFERROR(VLOOKUP(BP1201,Parameter!$F$35:$G$64,2,0),2)),IF(OR(IFERROR(VLOOKUP(D1201,Parameter!$A$35:$C$64,2,0),"Nein")="Nein",IFERROR(VLOOKUP(D1201,Parameter!$A$35:$C$64,2,0),"Nein")=""),"-",VLOOKUP(D1201,Parameter!$A$35:$C$64,2,0)))))</f>
        <v>2</v>
      </c>
      <c r="Y1201" s="62"/>
      <c r="Z1201" s="63"/>
      <c r="AA1201" s="57" t="n">
        <f aca="false">AP1201</f>
        <v>1</v>
      </c>
      <c r="AB1201" s="57" t="n">
        <f aca="false">MAX(AP1201,G1201)</f>
        <v>1</v>
      </c>
      <c r="AC1201" s="64"/>
      <c r="AD1201" s="57" t="n">
        <f aca="false">IF(LEFT(Cockpit!$C$5,1)="A",G1201,IF(BW1201=1,BX1201,IF(LEFT(Cockpit!$C$5,1)="B",AH1201,MAX(AH1201,G1201))))</f>
        <v>0</v>
      </c>
      <c r="AE1201" s="57" t="n">
        <f aca="false">IF(BR1201=1,0,ROUNDUP(AD1201/BQ1201,0))</f>
        <v>0</v>
      </c>
      <c r="AF1201" s="59" t="n">
        <f aca="false">IF(CD1201&gt;0,CD1201*MAX(1,AD1201/V1201),IF(BR1201=1,IF(AD1201&lt;=0,0,BS1201*MAX(1,IF(G1201&gt;0,AD1201/G1201,1))),IF(Q1201&gt;0,AE1201/Q1201,0))/MAX(0.1,N(Parameter!$M$21)))</f>
        <v>0</v>
      </c>
      <c r="AG1201" s="57" t="n">
        <f aca="false">AD1201*F1201</f>
        <v>0</v>
      </c>
      <c r="AH1201" s="57" t="n">
        <f aca="false">ROUNDUP(MAX(I1201/IF(BV1201&gt;0,BV1201,MAX(0.1,N(Cockpit!$C$6))),BY1201)/BQ1201,0)*BQ1201</f>
        <v>1</v>
      </c>
      <c r="AI1201" s="58" t="n">
        <f aca="false">IF(AF1201&gt;0,I1201/AF1201,-1)</f>
        <v>-1</v>
      </c>
      <c r="AJ1201" s="58" t="str">
        <f aca="false">IF(AND(OR(BU1201="L1",BU1201="L23"),AF1201&gt;0),SUMIFS($AF$7:$AF$1576,$BU$7:$BU$1576,BU1201,$AI$7:$AI$1576,"&gt;"&amp;AI1201)+SUMIFS($AF$7:$AF$1576,$BU$7:$BU$1576,BU1201,$AI$7:$AI$1576,AI1201,$BO$7:$BO$1576,"&lt;="&amp;BO1201),"")</f>
        <v/>
      </c>
      <c r="AK1201" s="65" t="n">
        <f aca="false">IF(AJ1201="",0,MAX(0,MIN(1,(IF(BU1201="L1",Parameter!$E$5,Parameter!$E$6+Parameter!$E$7)-(AJ1201-AF1201))/AF1201)))</f>
        <v>0</v>
      </c>
      <c r="AL1201" s="57" t="n">
        <f aca="false">IF(LEFT(Cockpit!$I$5,1)="A",G1201,IF(BW1201=1,BX1201,IF(LEFT(Cockpit!$I$5,1)="B",AP1201,MAX(AP1201,G1201))))</f>
        <v>1</v>
      </c>
      <c r="AM1201" s="57" t="n">
        <f aca="false">IF(BR1201=1,0,ROUNDUP(AL1201/BQ1201,0))</f>
        <v>0</v>
      </c>
      <c r="AN1201" s="59" t="n">
        <f aca="false">IF(CD1201&gt;0,CD1201*MAX(1,AL1201/V1201),IF(BR1201=1,IF(AL1201&lt;=0,0,BS1201*MAX(1,IF(G1201&gt;0,AL1201/G1201,1))),IF(Q1201&gt;0,AM1201/Q1201,0))/MAX(0.1,N(Parameter!$M$21)))</f>
        <v>0.15</v>
      </c>
      <c r="AO1201" s="57" t="n">
        <f aca="false">AL1201*F1201</f>
        <v>490.5</v>
      </c>
      <c r="AP1201" s="57" t="n">
        <f aca="false">ROUNDUP(MAX(I1201/IF(BV1201&gt;0,BV1201,MAX(0.1,N(Cockpit!$I$6))),BY1201)/BQ1201,0)*BQ1201</f>
        <v>1</v>
      </c>
      <c r="AQ1201" s="58" t="n">
        <f aca="false">IF(AN1201&gt;0,I1201/AN1201,-1)</f>
        <v>0</v>
      </c>
      <c r="AR1201" s="58" t="n">
        <f aca="false">IF(AND(OR(BU1201="L1",BU1201="L23"),AN1201&gt;0),SUMIFS($AN$7:$AN$1576,$BU$7:$BU$1576,BU1201,$AQ$7:$AQ$1576,"&gt;"&amp;AQ1201)+SUMIFS($AN$7:$AN$1576,$BU$7:$BU$1576,BU1201,$AQ$7:$AQ$1576,AQ1201,$BO$7:$BO$1576,"&lt;="&amp;BO1201),"")</f>
        <v>135.59125577326</v>
      </c>
      <c r="AS1201" s="65" t="n">
        <f aca="false">IF(AR1201="",0,MAX(0,MIN(1,(IF(BU1201="L1",Parameter!$E$5,Parameter!$E$6+Parameter!$E$7)-(AR1201-AN1201))/AN1201)))</f>
        <v>0</v>
      </c>
      <c r="AT1201" s="57" t="n">
        <f aca="false">IF(LEFT(Cockpit!$O$5,1)="A",G1201,IF(BW1201=1,BX1201,IF(LEFT(Cockpit!$O$5,1)="B",AX1201,MAX(AX1201,G1201))))</f>
        <v>1</v>
      </c>
      <c r="AU1201" s="57" t="n">
        <f aca="false">IF(BR1201=1,0,ROUNDUP(AT1201/BQ1201,0))</f>
        <v>0</v>
      </c>
      <c r="AV1201" s="59" t="n">
        <f aca="false">IF(CD1201&gt;0,CD1201*MAX(1,AT1201/V1201),IF(BR1201=1,IF(AT1201&lt;=0,0,BS1201*MAX(1,IF(G1201&gt;0,AT1201/G1201,1))),IF(Q1201&gt;0,AU1201/Q1201,0))/MAX(0.1,N(Parameter!$M$21)))</f>
        <v>0.15</v>
      </c>
      <c r="AW1201" s="57" t="n">
        <f aca="false">AT1201*F1201</f>
        <v>490.5</v>
      </c>
      <c r="AX1201" s="57" t="n">
        <f aca="false">ROUNDUP(MAX(I1201/IF(BV1201&gt;0,BV1201,MAX(0.1,N(Cockpit!$O$6))),BY1201)/BQ1201,0)*BQ1201</f>
        <v>1</v>
      </c>
      <c r="AY1201" s="58" t="n">
        <f aca="false">IF(AV1201&gt;0,I1201/AV1201,-1)</f>
        <v>0</v>
      </c>
      <c r="AZ1201" s="58" t="n">
        <f aca="false">IF(AND(OR(BU1201="L1",BU1201="L23"),AV1201&gt;0),SUMIFS($AV$7:$AV$1576,$BU$7:$BU$1576,BU1201,$AY$7:$AY$1576,"&gt;"&amp;AY1201)+SUMIFS($AV$7:$AV$1576,$BU$7:$BU$1576,BU1201,$AY$7:$AY$1576,AY1201,$BO$7:$BO$1576,"&lt;="&amp;BO1201),"")</f>
        <v>125.65080622281</v>
      </c>
      <c r="BA1201" s="65" t="n">
        <f aca="false">IF(AZ1201="",0,MAX(0,MIN(1,(IF(BU1201="L1",Parameter!$E$5,Parameter!$E$6+Parameter!$E$7)-(AZ1201-AV1201))/AV1201)))</f>
        <v>0</v>
      </c>
      <c r="BB1201" s="55" t="str">
        <f aca="false">IF(AF1201&lt;=0,"",IF(BU1201="Aussen","Aussenlager",IF(BU1201="-","Nicht im Lift",IF(AK1201&gt;=1,"Lift",IF(AK1201&lt;=0,"Aussenlager","teilweise")))))</f>
        <v/>
      </c>
      <c r="BC1201" s="55" t="str">
        <f aca="false">IF(AN1201&lt;=0,"",IF(BU1201="Aussen","Aussenlager",IF(BU1201="-","Nicht im Lift",IF(AS1201&gt;=1,"Lift",IF(AS1201&lt;=0,"Aussenlager","teilweise")))))</f>
        <v>Aussenlager</v>
      </c>
      <c r="BD1201" s="55" t="str">
        <f aca="false">IF(AV1201&lt;=0,"",IF(BU1201="Aussen","Aussenlager",IF(BU1201="-","Nicht im Lift",IF(BA1201&gt;=1,"Lift",IF(BA1201&lt;=0,"Aussenlager","teilweise")))))</f>
        <v>Aussenlager</v>
      </c>
      <c r="BE1201" s="55" t="str">
        <f aca="false">IF(A1201="","",IF(BN1201=1,"Neu; ","")&amp;IF(AND(BN1201=0,BI1201&lt;0),"negativer Bestand (Export "&amp;BI1201&amp;"); ","")&amp;IF(I1201&lt;=0,"Kein Verbrauch; ","")&amp;IF(CD1201&gt;0,"Lift "&amp;U1201&amp;" lt. Liftbericht (Fach "&amp;V1201&amp;" Stk); ",IF(BR1201=1,"Lose – Fläche geschätzt; ",""))&amp;IF(G1201&gt;AP1201,"Überbestand "&amp;ROUND(G1201-AP1201,0)&amp;" Stk / CHF "&amp;ROUND((G1201-AP1201)*F1201,0)&amp;"; ","")&amp;IF(AND(BW1201=1,BX1201&lt;BY1201),"MAX &lt; MB+LG; ","")&amp;IF(AND(CC1201&gt;0,CB1201*10&gt;CC1201),"zu hoch für Tablar; ","")&amp;IF(AND(BN1201=0,OR(BW1201=1,Y1201&lt;&gt;"",S1201&lt;&gt;"",T1201&lt;&gt;"",Z1201&lt;&gt;"")),"manuell übersteuert; ","")&amp;IF(AND(BR1201=0,Q1201=0),"Gebinde unbekannt / Stellmass fehlt; ","")&amp;IF(AND(BR1201=0,N(T1201)&lt;=0,N(P1201)&lt;=0),"Menge pro Gebinde fehlt (Ist = 1 Gebinde); ","")&amp;BM1201)</f>
        <v>negativer Bestand (Export -1); Kein Verbrauch; Lose – Fläche geschätzt; </v>
      </c>
      <c r="BF1201" s="55"/>
      <c r="BG1201" s="55"/>
      <c r="BH1201" s="62"/>
      <c r="BI1201" s="57" t="n">
        <v>-1</v>
      </c>
      <c r="BJ1201" s="57" t="n">
        <v>2</v>
      </c>
      <c r="BK1201" s="56" t="n">
        <v>-490.5</v>
      </c>
      <c r="BL1201" s="57" t="n">
        <v>0</v>
      </c>
      <c r="BM1201" s="55"/>
      <c r="BN1201" s="60" t="n">
        <v>0</v>
      </c>
      <c r="BO1201" s="60" t="n">
        <v>1201</v>
      </c>
      <c r="BP1201" s="55" t="str">
        <f aca="false">IF(S1201&lt;&gt;"",UPPER(TRIM(S1201)),IF(O1201="","LOSE",O1201))</f>
        <v>LOSE</v>
      </c>
      <c r="BQ1201" s="57" t="n">
        <f aca="false">IF(BP1201="LOSE",1,IF(N(T1201)&gt;0,T1201,IF(N(P1201)&gt;0,P1201,MAX(1,G1201))))</f>
        <v>1</v>
      </c>
      <c r="BR1201" s="60" t="n">
        <f aca="false">IF(BP1201="LOSE",1,0)</f>
        <v>1</v>
      </c>
      <c r="BS1201" s="59" t="n">
        <f aca="false">IF(BR1201=0,0,IF(N(R1201)&gt;0,R1201,IFERROR(VLOOKUP(D1201,Parameter!$A$35:$C$64,3,0)+0,0)))</f>
        <v>0.15</v>
      </c>
      <c r="BT1201" s="55" t="n">
        <f aca="false">IF(Y1201&lt;&gt;"",Y1201,X1201)</f>
        <v>2</v>
      </c>
      <c r="BU1201" s="55" t="str">
        <f aca="false">IF(BT1201=1,"L1",IF(OR(BT1201=2,BT1201=3),"L23",IF(BT1201="Aussen","Aussen","-")))</f>
        <v>L23</v>
      </c>
      <c r="BV1201" s="66" t="n">
        <f aca="false">IF(N(Z1201)&gt;0,Z1201,0)</f>
        <v>0</v>
      </c>
      <c r="BW1201" s="60" t="n">
        <f aca="false">IF(ISNUMBER(AC1201),1,0)</f>
        <v>0</v>
      </c>
      <c r="BX1201" s="57" t="n">
        <f aca="false">N(AC1201)</f>
        <v>0</v>
      </c>
      <c r="BY1201" s="57" t="n">
        <f aca="false">N(L1201)+N(M1201)</f>
        <v>1</v>
      </c>
      <c r="BZ1201" s="57" t="n">
        <f aca="false">ROUNDUP(G1201/BQ1201,0)</f>
        <v>0</v>
      </c>
      <c r="CA1201" s="57" t="n">
        <f aca="false">ROUNDUP(BX1201/BQ1201,0)</f>
        <v>0</v>
      </c>
      <c r="CB1201" s="60" t="n">
        <f aca="false">IF(BR1201=1,0,IFERROR(VLOOKUP(BP1201,'Gebinde-Kategorie'!$A$5:$M$45,5,0)+0,0))</f>
        <v>0</v>
      </c>
      <c r="CC1201" s="60" t="n">
        <f aca="false">IFERROR(IF(OR(BT1201=1,BT1201=2,BT1201=3),N(INDEX(Parameter!$I$5:$I$7,BT1201)),0),0)</f>
        <v>0</v>
      </c>
      <c r="CD1201" s="59" t="n">
        <f aca="false">IF(AND(Parameter!$B$21="Ja",ISNUMBER(U1201),N(V1201)&gt;0),IFERROR(N(INDEX(Parameter!$L$5:$L$7,U1201))*INDEX(Parameter!$E$5:$E$7,U1201)*V1201/SUMIFS($V$7:$V$1576,$U$7:$U$1576,U1201),0),0)</f>
        <v>0</v>
      </c>
    </row>
    <row r="1202" customFormat="false" ht="15" hidden="false" customHeight="false" outlineLevel="0" collapsed="false">
      <c r="A1202" s="55" t="s">
        <v>2147</v>
      </c>
      <c r="B1202" s="55" t="s">
        <v>397</v>
      </c>
      <c r="C1202" s="55" t="s">
        <v>160</v>
      </c>
      <c r="D1202" s="55" t="s">
        <v>178</v>
      </c>
      <c r="E1202" s="55" t="s">
        <v>210</v>
      </c>
      <c r="F1202" s="56" t="n">
        <v>0.34</v>
      </c>
      <c r="G1202" s="57" t="n">
        <f aca="false">MAX(0,IF(AND(Parameter!$B$21="Ja",ISNUMBER(W1202)),W1202,IF(Parameter!$B$20="Jahresanfang 2025 + Export",BJ1202+BI1202,BI1202)))</f>
        <v>0</v>
      </c>
      <c r="H1202" s="57" t="n">
        <f aca="false">G1202*F1202</f>
        <v>0</v>
      </c>
      <c r="I1202" s="57" t="n">
        <f aca="false">BL1202*Parameter!$B$18</f>
        <v>6215</v>
      </c>
      <c r="J1202" s="58" t="n">
        <v>2301.5</v>
      </c>
      <c r="K1202" s="59" t="n">
        <v>2.70041277427765</v>
      </c>
      <c r="L1202" s="57" t="n">
        <v>242</v>
      </c>
      <c r="M1202" s="57" t="n">
        <v>2000</v>
      </c>
      <c r="N1202" s="60" t="n">
        <v>14</v>
      </c>
      <c r="O1202" s="55" t="s">
        <v>225</v>
      </c>
      <c r="P1202" s="57" t="n">
        <v>1527</v>
      </c>
      <c r="Q1202" s="60" t="n">
        <f aca="false">IF(BR1202=1,0,IFERROR(VLOOKUP(BP1202,'Gebinde-Kategorie'!$A$5:$M$45,13,0)+0,0))</f>
        <v>26</v>
      </c>
      <c r="R1202" s="61"/>
      <c r="S1202" s="62"/>
      <c r="T1202" s="62"/>
      <c r="U1202" s="55"/>
      <c r="V1202" s="57"/>
      <c r="W1202" s="57"/>
      <c r="X1202" s="55" t="n">
        <f aca="false">IF(A1202="","",IF(AND(Parameter!$B$21="Ja",ISNUMBER(U1202)),U1202,IF(IFERROR(VLOOKUP(D1202,Parameter!$A$35:$C$64,2,0),"Nein")="2+3",IF(ISNUMBER(SEARCH("grosser Artikel",BM1202)),2,IFERROR(VLOOKUP(BP1202,Parameter!$F$35:$G$64,2,0),2)),IF(OR(IFERROR(VLOOKUP(D1202,Parameter!$A$35:$C$64,2,0),"Nein")="Nein",IFERROR(VLOOKUP(D1202,Parameter!$A$35:$C$64,2,0),"Nein")=""),"-",VLOOKUP(D1202,Parameter!$A$35:$C$64,2,0)))))</f>
        <v>3</v>
      </c>
      <c r="Y1202" s="62"/>
      <c r="Z1202" s="63"/>
      <c r="AA1202" s="57" t="n">
        <f aca="false">AP1202</f>
        <v>4581</v>
      </c>
      <c r="AB1202" s="57" t="n">
        <f aca="false">MAX(AP1202,G1202)</f>
        <v>4581</v>
      </c>
      <c r="AC1202" s="64"/>
      <c r="AD1202" s="57" t="n">
        <f aca="false">IF(LEFT(Cockpit!$C$5,1)="A",G1202,IF(BW1202=1,BX1202,IF(LEFT(Cockpit!$C$5,1)="B",AH1202,MAX(AH1202,G1202))))</f>
        <v>0</v>
      </c>
      <c r="AE1202" s="57" t="n">
        <f aca="false">IF(BR1202=1,0,ROUNDUP(AD1202/BQ1202,0))</f>
        <v>0</v>
      </c>
      <c r="AF1202" s="59" t="n">
        <f aca="false">IF(CD1202&gt;0,CD1202*MAX(1,AD1202/V1202),IF(BR1202=1,IF(AD1202&lt;=0,0,BS1202*MAX(1,IF(G1202&gt;0,AD1202/G1202,1))),IF(Q1202&gt;0,AE1202/Q1202,0))/MAX(0.1,N(Parameter!$M$21)))</f>
        <v>0</v>
      </c>
      <c r="AG1202" s="57" t="n">
        <f aca="false">AD1202*F1202</f>
        <v>0</v>
      </c>
      <c r="AH1202" s="57" t="n">
        <f aca="false">ROUNDUP(MAX(I1202/IF(BV1202&gt;0,BV1202,MAX(0.1,N(Cockpit!$C$6))),BY1202)/BQ1202,0)*BQ1202</f>
        <v>4581</v>
      </c>
      <c r="AI1202" s="58" t="n">
        <f aca="false">IF(AF1202&gt;0,I1202/AF1202,-1)</f>
        <v>-1</v>
      </c>
      <c r="AJ1202" s="58" t="str">
        <f aca="false">IF(AND(OR(BU1202="L1",BU1202="L23"),AF1202&gt;0),SUMIFS($AF$7:$AF$1576,$BU$7:$BU$1576,BU1202,$AI$7:$AI$1576,"&gt;"&amp;AI1202)+SUMIFS($AF$7:$AF$1576,$BU$7:$BU$1576,BU1202,$AI$7:$AI$1576,AI1202,$BO$7:$BO$1576,"&lt;="&amp;BO1202),"")</f>
        <v/>
      </c>
      <c r="AK1202" s="65" t="n">
        <f aca="false">IF(AJ1202="",0,MAX(0,MIN(1,(IF(BU1202="L1",Parameter!$E$5,Parameter!$E$6+Parameter!$E$7)-(AJ1202-AF1202))/AF1202)))</f>
        <v>0</v>
      </c>
      <c r="AL1202" s="57" t="n">
        <f aca="false">IF(LEFT(Cockpit!$I$5,1)="A",G1202,IF(BW1202=1,BX1202,IF(LEFT(Cockpit!$I$5,1)="B",AP1202,MAX(AP1202,G1202))))</f>
        <v>4581</v>
      </c>
      <c r="AM1202" s="57" t="n">
        <f aca="false">IF(BR1202=1,0,ROUNDUP(AL1202/BQ1202,0))</f>
        <v>3</v>
      </c>
      <c r="AN1202" s="59" t="n">
        <f aca="false">IF(CD1202&gt;0,CD1202*MAX(1,AL1202/V1202),IF(BR1202=1,IF(AL1202&lt;=0,0,BS1202*MAX(1,IF(G1202&gt;0,AL1202/G1202,1))),IF(Q1202&gt;0,AM1202/Q1202,0))/MAX(0.1,N(Parameter!$M$21)))</f>
        <v>0.115384615384615</v>
      </c>
      <c r="AO1202" s="57" t="n">
        <f aca="false">AL1202*F1202</f>
        <v>1557.54</v>
      </c>
      <c r="AP1202" s="57" t="n">
        <f aca="false">ROUNDUP(MAX(I1202/IF(BV1202&gt;0,BV1202,MAX(0.1,N(Cockpit!$I$6))),BY1202)/BQ1202,0)*BQ1202</f>
        <v>4581</v>
      </c>
      <c r="AQ1202" s="58" t="n">
        <f aca="false">IF(AN1202&gt;0,I1202/AN1202,-1)</f>
        <v>53863.3333333333</v>
      </c>
      <c r="AR1202" s="58" t="n">
        <f aca="false">IF(AND(OR(BU1202="L1",BU1202="L23"),AN1202&gt;0),SUMIFS($AN$7:$AN$1576,$BU$7:$BU$1576,BU1202,$AQ$7:$AQ$1576,"&gt;"&amp;AQ1202)+SUMIFS($AN$7:$AN$1576,$BU$7:$BU$1576,BU1202,$AQ$7:$AQ$1576,AQ1202,$BO$7:$BO$1576,"&lt;="&amp;BO1202),"")</f>
        <v>1.12632782676261</v>
      </c>
      <c r="AS1202" s="65" t="n">
        <f aca="false">IF(AR1202="",0,MAX(0,MIN(1,(IF(BU1202="L1",Parameter!$E$5,Parameter!$E$6+Parameter!$E$7)-(AR1202-AN1202))/AN1202)))</f>
        <v>1</v>
      </c>
      <c r="AT1202" s="57" t="n">
        <f aca="false">IF(LEFT(Cockpit!$O$5,1)="A",G1202,IF(BW1202=1,BX1202,IF(LEFT(Cockpit!$O$5,1)="B",AX1202,MAX(AX1202,G1202))))</f>
        <v>3054</v>
      </c>
      <c r="AU1202" s="57" t="n">
        <f aca="false">IF(BR1202=1,0,ROUNDUP(AT1202/BQ1202,0))</f>
        <v>2</v>
      </c>
      <c r="AV1202" s="59" t="n">
        <f aca="false">IF(CD1202&gt;0,CD1202*MAX(1,AT1202/V1202),IF(BR1202=1,IF(AT1202&lt;=0,0,BS1202*MAX(1,IF(G1202&gt;0,AT1202/G1202,1))),IF(Q1202&gt;0,AU1202/Q1202,0))/MAX(0.1,N(Parameter!$M$21)))</f>
        <v>0.0769230769230769</v>
      </c>
      <c r="AW1202" s="57" t="n">
        <f aca="false">AT1202*F1202</f>
        <v>1038.36</v>
      </c>
      <c r="AX1202" s="57" t="n">
        <f aca="false">ROUNDUP(MAX(I1202/IF(BV1202&gt;0,BV1202,MAX(0.1,N(Cockpit!$O$6))),BY1202)/BQ1202,0)*BQ1202</f>
        <v>3054</v>
      </c>
      <c r="AY1202" s="58" t="n">
        <f aca="false">IF(AV1202&gt;0,I1202/AV1202,-1)</f>
        <v>80795</v>
      </c>
      <c r="AZ1202" s="58" t="n">
        <f aca="false">IF(AND(OR(BU1202="L1",BU1202="L23"),AV1202&gt;0),SUMIFS($AV$7:$AV$1576,$BU$7:$BU$1576,BU1202,$AY$7:$AY$1576,"&gt;"&amp;AY1202)+SUMIFS($AV$7:$AV$1576,$BU$7:$BU$1576,BU1202,$AY$7:$AY$1576,AY1202,$BO$7:$BO$1576,"&lt;="&amp;BO1202),"")</f>
        <v>0.847147055842708</v>
      </c>
      <c r="BA1202" s="65" t="n">
        <f aca="false">IF(AZ1202="",0,MAX(0,MIN(1,(IF(BU1202="L1",Parameter!$E$5,Parameter!$E$6+Parameter!$E$7)-(AZ1202-AV1202))/AV1202)))</f>
        <v>1</v>
      </c>
      <c r="BB1202" s="55" t="str">
        <f aca="false">IF(AF1202&lt;=0,"",IF(BU1202="Aussen","Aussenlager",IF(BU1202="-","Nicht im Lift",IF(AK1202&gt;=1,"Lift",IF(AK1202&lt;=0,"Aussenlager","teilweise")))))</f>
        <v/>
      </c>
      <c r="BC1202" s="55" t="str">
        <f aca="false">IF(AN1202&lt;=0,"",IF(BU1202="Aussen","Aussenlager",IF(BU1202="-","Nicht im Lift",IF(AS1202&gt;=1,"Lift",IF(AS1202&lt;=0,"Aussenlager","teilweise")))))</f>
        <v>Lift</v>
      </c>
      <c r="BD1202" s="55" t="str">
        <f aca="false">IF(AV1202&lt;=0,"",IF(BU1202="Aussen","Aussenlager",IF(BU1202="-","Nicht im Lift",IF(BA1202&gt;=1,"Lift",IF(BA1202&lt;=0,"Aussenlager","teilweise")))))</f>
        <v>Lift</v>
      </c>
      <c r="BE1202" s="55" t="str">
        <f aca="false">IF(A1202="","",IF(BN1202=1,"Neu; ","")&amp;IF(AND(BN1202=0,BI1202&lt;0),"negativer Bestand (Export "&amp;BI1202&amp;"); ","")&amp;IF(I1202&lt;=0,"Kein Verbrauch; ","")&amp;IF(CD1202&gt;0,"Lift "&amp;U1202&amp;" lt. Liftbericht (Fach "&amp;V1202&amp;" Stk); ",IF(BR1202=1,"Lose – Fläche geschätzt; ",""))&amp;IF(G1202&gt;AP1202,"Überbestand "&amp;ROUND(G1202-AP1202,0)&amp;" Stk / CHF "&amp;ROUND((G1202-AP1202)*F1202,0)&amp;"; ","")&amp;IF(AND(BW1202=1,BX1202&lt;BY1202),"MAX &lt; MB+LG; ","")&amp;IF(AND(CC1202&gt;0,CB1202*10&gt;CC1202),"zu hoch für Tablar; ","")&amp;IF(AND(BN1202=0,OR(BW1202=1,Y1202&lt;&gt;"",S1202&lt;&gt;"",T1202&lt;&gt;"",Z1202&lt;&gt;"")),"manuell übersteuert; ","")&amp;IF(AND(BR1202=0,Q1202=0),"Gebinde unbekannt / Stellmass fehlt; ","")&amp;IF(AND(BR1202=0,N(T1202)&lt;=0,N(P1202)&lt;=0),"Menge pro Gebinde fehlt (Ist = 1 Gebinde); ","")&amp;BM1202)</f>
        <v>negativer Bestand (Export -1519); </v>
      </c>
      <c r="BF1202" s="55"/>
      <c r="BG1202" s="55"/>
      <c r="BH1202" s="62"/>
      <c r="BI1202" s="57" t="n">
        <v>-1519</v>
      </c>
      <c r="BJ1202" s="57" t="n">
        <v>2506</v>
      </c>
      <c r="BK1202" s="56" t="n">
        <v>-492.019999999998</v>
      </c>
      <c r="BL1202" s="57" t="n">
        <v>6215</v>
      </c>
      <c r="BM1202" s="55"/>
      <c r="BN1202" s="60" t="n">
        <v>0</v>
      </c>
      <c r="BO1202" s="60" t="n">
        <v>1202</v>
      </c>
      <c r="BP1202" s="55" t="str">
        <f aca="false">IF(S1202&lt;&gt;"",UPPER(TRIM(S1202)),IF(O1202="","LOSE",O1202))</f>
        <v>S52</v>
      </c>
      <c r="BQ1202" s="57" t="n">
        <f aca="false">IF(BP1202="LOSE",1,IF(N(T1202)&gt;0,T1202,IF(N(P1202)&gt;0,P1202,MAX(1,G1202))))</f>
        <v>1527</v>
      </c>
      <c r="BR1202" s="60" t="n">
        <f aca="false">IF(BP1202="LOSE",1,0)</f>
        <v>0</v>
      </c>
      <c r="BS1202" s="59" t="n">
        <f aca="false">IF(BR1202=0,0,IF(N(R1202)&gt;0,R1202,IFERROR(VLOOKUP(D1202,Parameter!$A$35:$C$64,3,0)+0,0)))</f>
        <v>0</v>
      </c>
      <c r="BT1202" s="55" t="n">
        <f aca="false">IF(Y1202&lt;&gt;"",Y1202,X1202)</f>
        <v>3</v>
      </c>
      <c r="BU1202" s="55" t="str">
        <f aca="false">IF(BT1202=1,"L1",IF(OR(BT1202=2,BT1202=3),"L23",IF(BT1202="Aussen","Aussen","-")))</f>
        <v>L23</v>
      </c>
      <c r="BV1202" s="66" t="n">
        <f aca="false">IF(N(Z1202)&gt;0,Z1202,0)</f>
        <v>0</v>
      </c>
      <c r="BW1202" s="60" t="n">
        <f aca="false">IF(ISNUMBER(AC1202),1,0)</f>
        <v>0</v>
      </c>
      <c r="BX1202" s="57" t="n">
        <f aca="false">N(AC1202)</f>
        <v>0</v>
      </c>
      <c r="BY1202" s="57" t="n">
        <f aca="false">N(L1202)+N(M1202)</f>
        <v>2242</v>
      </c>
      <c r="BZ1202" s="57" t="n">
        <f aca="false">ROUNDUP(G1202/BQ1202,0)</f>
        <v>0</v>
      </c>
      <c r="CA1202" s="57" t="n">
        <f aca="false">ROUNDUP(BX1202/BQ1202,0)</f>
        <v>0</v>
      </c>
      <c r="CB1202" s="60" t="n">
        <f aca="false">IF(BR1202=1,0,IFERROR(VLOOKUP(BP1202,'Gebinde-Kategorie'!$A$5:$M$45,5,0)+0,0))</f>
        <v>21</v>
      </c>
      <c r="CC1202" s="60" t="n">
        <f aca="false">IFERROR(IF(OR(BT1202=1,BT1202=2,BT1202=3),N(INDEX(Parameter!$I$5:$I$7,BT1202)),0),0)</f>
        <v>0</v>
      </c>
      <c r="CD1202" s="59" t="n">
        <f aca="false">IF(AND(Parameter!$B$21="Ja",ISNUMBER(U1202),N(V1202)&gt;0),IFERROR(N(INDEX(Parameter!$L$5:$L$7,U1202))*INDEX(Parameter!$E$5:$E$7,U1202)*V1202/SUMIFS($V$7:$V$1576,$U$7:$U$1576,U1202),0),0)</f>
        <v>0</v>
      </c>
    </row>
    <row r="1203" customFormat="false" ht="15" hidden="false" customHeight="false" outlineLevel="0" collapsed="false">
      <c r="A1203" s="55" t="s">
        <v>2148</v>
      </c>
      <c r="B1203" s="55" t="s">
        <v>1905</v>
      </c>
      <c r="C1203" s="55" t="s">
        <v>160</v>
      </c>
      <c r="D1203" s="55" t="s">
        <v>178</v>
      </c>
      <c r="E1203" s="55" t="s">
        <v>210</v>
      </c>
      <c r="F1203" s="56" t="n">
        <v>16.62</v>
      </c>
      <c r="G1203" s="57" t="n">
        <f aca="false">MAX(0,IF(AND(Parameter!$B$21="Ja",ISNUMBER(W1203)),W1203,IF(Parameter!$B$20="Jahresanfang 2025 + Export",BJ1203+BI1203,BI1203)))</f>
        <v>0</v>
      </c>
      <c r="H1203" s="57" t="n">
        <f aca="false">G1203*F1203</f>
        <v>0</v>
      </c>
      <c r="I1203" s="57" t="n">
        <f aca="false">BL1203*Parameter!$B$18</f>
        <v>0</v>
      </c>
      <c r="J1203" s="58" t="n">
        <v>30</v>
      </c>
      <c r="K1203" s="59" t="n">
        <v>0</v>
      </c>
      <c r="L1203" s="57" t="n">
        <v>0</v>
      </c>
      <c r="M1203" s="57" t="n">
        <v>1</v>
      </c>
      <c r="N1203" s="60" t="n">
        <v>28</v>
      </c>
      <c r="O1203" s="55" t="s">
        <v>319</v>
      </c>
      <c r="P1203" s="57" t="n">
        <v>15</v>
      </c>
      <c r="Q1203" s="60" t="n">
        <f aca="false">IF(BR1203=1,0,IFERROR(VLOOKUP(BP1203,'Gebinde-Kategorie'!$A$5:$M$45,13,0)+0,0))</f>
        <v>52</v>
      </c>
      <c r="R1203" s="61"/>
      <c r="S1203" s="62"/>
      <c r="T1203" s="62"/>
      <c r="U1203" s="55"/>
      <c r="V1203" s="57"/>
      <c r="W1203" s="57"/>
      <c r="X1203" s="55" t="n">
        <f aca="false">IF(A1203="","",IF(AND(Parameter!$B$21="Ja",ISNUMBER(U1203)),U1203,IF(IFERROR(VLOOKUP(D1203,Parameter!$A$35:$C$64,2,0),"Nein")="2+3",IF(ISNUMBER(SEARCH("grosser Artikel",BM1203)),2,IFERROR(VLOOKUP(BP1203,Parameter!$F$35:$G$64,2,0),2)),IF(OR(IFERROR(VLOOKUP(D1203,Parameter!$A$35:$C$64,2,0),"Nein")="Nein",IFERROR(VLOOKUP(D1203,Parameter!$A$35:$C$64,2,0),"Nein")=""),"-",VLOOKUP(D1203,Parameter!$A$35:$C$64,2,0)))))</f>
        <v>3</v>
      </c>
      <c r="Y1203" s="62"/>
      <c r="Z1203" s="63"/>
      <c r="AA1203" s="57" t="n">
        <f aca="false">AP1203</f>
        <v>15</v>
      </c>
      <c r="AB1203" s="57" t="n">
        <f aca="false">MAX(AP1203,G1203)</f>
        <v>15</v>
      </c>
      <c r="AC1203" s="64"/>
      <c r="AD1203" s="57" t="n">
        <f aca="false">IF(LEFT(Cockpit!$C$5,1)="A",G1203,IF(BW1203=1,BX1203,IF(LEFT(Cockpit!$C$5,1)="B",AH1203,MAX(AH1203,G1203))))</f>
        <v>0</v>
      </c>
      <c r="AE1203" s="57" t="n">
        <f aca="false">IF(BR1203=1,0,ROUNDUP(AD1203/BQ1203,0))</f>
        <v>0</v>
      </c>
      <c r="AF1203" s="59" t="n">
        <f aca="false">IF(CD1203&gt;0,CD1203*MAX(1,AD1203/V1203),IF(BR1203=1,IF(AD1203&lt;=0,0,BS1203*MAX(1,IF(G1203&gt;0,AD1203/G1203,1))),IF(Q1203&gt;0,AE1203/Q1203,0))/MAX(0.1,N(Parameter!$M$21)))</f>
        <v>0</v>
      </c>
      <c r="AG1203" s="57" t="n">
        <f aca="false">AD1203*F1203</f>
        <v>0</v>
      </c>
      <c r="AH1203" s="57" t="n">
        <f aca="false">ROUNDUP(MAX(I1203/IF(BV1203&gt;0,BV1203,MAX(0.1,N(Cockpit!$C$6))),BY1203)/BQ1203,0)*BQ1203</f>
        <v>15</v>
      </c>
      <c r="AI1203" s="58" t="n">
        <f aca="false">IF(AF1203&gt;0,I1203/AF1203,-1)</f>
        <v>-1</v>
      </c>
      <c r="AJ1203" s="58" t="str">
        <f aca="false">IF(AND(OR(BU1203="L1",BU1203="L23"),AF1203&gt;0),SUMIFS($AF$7:$AF$1576,$BU$7:$BU$1576,BU1203,$AI$7:$AI$1576,"&gt;"&amp;AI1203)+SUMIFS($AF$7:$AF$1576,$BU$7:$BU$1576,BU1203,$AI$7:$AI$1576,AI1203,$BO$7:$BO$1576,"&lt;="&amp;BO1203),"")</f>
        <v/>
      </c>
      <c r="AK1203" s="65" t="n">
        <f aca="false">IF(AJ1203="",0,MAX(0,MIN(1,(IF(BU1203="L1",Parameter!$E$5,Parameter!$E$6+Parameter!$E$7)-(AJ1203-AF1203))/AF1203)))</f>
        <v>0</v>
      </c>
      <c r="AL1203" s="57" t="n">
        <f aca="false">IF(LEFT(Cockpit!$I$5,1)="A",G1203,IF(BW1203=1,BX1203,IF(LEFT(Cockpit!$I$5,1)="B",AP1203,MAX(AP1203,G1203))))</f>
        <v>15</v>
      </c>
      <c r="AM1203" s="57" t="n">
        <f aca="false">IF(BR1203=1,0,ROUNDUP(AL1203/BQ1203,0))</f>
        <v>1</v>
      </c>
      <c r="AN1203" s="59" t="n">
        <f aca="false">IF(CD1203&gt;0,CD1203*MAX(1,AL1203/V1203),IF(BR1203=1,IF(AL1203&lt;=0,0,BS1203*MAX(1,IF(G1203&gt;0,AL1203/G1203,1))),IF(Q1203&gt;0,AM1203/Q1203,0))/MAX(0.1,N(Parameter!$M$21)))</f>
        <v>0.0192307692307692</v>
      </c>
      <c r="AO1203" s="57" t="n">
        <f aca="false">AL1203*F1203</f>
        <v>249.3</v>
      </c>
      <c r="AP1203" s="57" t="n">
        <f aca="false">ROUNDUP(MAX(I1203/IF(BV1203&gt;0,BV1203,MAX(0.1,N(Cockpit!$I$6))),BY1203)/BQ1203,0)*BQ1203</f>
        <v>15</v>
      </c>
      <c r="AQ1203" s="58" t="n">
        <f aca="false">IF(AN1203&gt;0,I1203/AN1203,-1)</f>
        <v>0</v>
      </c>
      <c r="AR1203" s="58" t="n">
        <f aca="false">IF(AND(OR(BU1203="L1",BU1203="L23"),AN1203&gt;0),SUMIFS($AN$7:$AN$1576,$BU$7:$BU$1576,BU1203,$AQ$7:$AQ$1576,"&gt;"&amp;AQ1203)+SUMIFS($AN$7:$AN$1576,$BU$7:$BU$1576,BU1203,$AQ$7:$AQ$1576,AQ1203,$BO$7:$BO$1576,"&lt;="&amp;BO1203),"")</f>
        <v>135.610486542491</v>
      </c>
      <c r="AS1203" s="65" t="n">
        <f aca="false">IF(AR1203="",0,MAX(0,MIN(1,(IF(BU1203="L1",Parameter!$E$5,Parameter!$E$6+Parameter!$E$7)-(AR1203-AN1203))/AN1203)))</f>
        <v>0</v>
      </c>
      <c r="AT1203" s="57" t="n">
        <f aca="false">IF(LEFT(Cockpit!$O$5,1)="A",G1203,IF(BW1203=1,BX1203,IF(LEFT(Cockpit!$O$5,1)="B",AX1203,MAX(AX1203,G1203))))</f>
        <v>15</v>
      </c>
      <c r="AU1203" s="57" t="n">
        <f aca="false">IF(BR1203=1,0,ROUNDUP(AT1203/BQ1203,0))</f>
        <v>1</v>
      </c>
      <c r="AV1203" s="59" t="n">
        <f aca="false">IF(CD1203&gt;0,CD1203*MAX(1,AT1203/V1203),IF(BR1203=1,IF(AT1203&lt;=0,0,BS1203*MAX(1,IF(G1203&gt;0,AT1203/G1203,1))),IF(Q1203&gt;0,AU1203/Q1203,0))/MAX(0.1,N(Parameter!$M$21)))</f>
        <v>0.0192307692307692</v>
      </c>
      <c r="AW1203" s="57" t="n">
        <f aca="false">AT1203*F1203</f>
        <v>249.3</v>
      </c>
      <c r="AX1203" s="57" t="n">
        <f aca="false">ROUNDUP(MAX(I1203/IF(BV1203&gt;0,BV1203,MAX(0.1,N(Cockpit!$O$6))),BY1203)/BQ1203,0)*BQ1203</f>
        <v>15</v>
      </c>
      <c r="AY1203" s="58" t="n">
        <f aca="false">IF(AV1203&gt;0,I1203/AV1203,-1)</f>
        <v>0</v>
      </c>
      <c r="AZ1203" s="58" t="n">
        <f aca="false">IF(AND(OR(BU1203="L1",BU1203="L23"),AV1203&gt;0),SUMIFS($AV$7:$AV$1576,$BU$7:$BU$1576,BU1203,$AY$7:$AY$1576,"&gt;"&amp;AY1203)+SUMIFS($AV$7:$AV$1576,$BU$7:$BU$1576,BU1203,$AY$7:$AY$1576,AY1203,$BO$7:$BO$1576,"&lt;="&amp;BO1203),"")</f>
        <v>125.670036992041</v>
      </c>
      <c r="BA1203" s="65" t="n">
        <f aca="false">IF(AZ1203="",0,MAX(0,MIN(1,(IF(BU1203="L1",Parameter!$E$5,Parameter!$E$6+Parameter!$E$7)-(AZ1203-AV1203))/AV1203)))</f>
        <v>0</v>
      </c>
      <c r="BB1203" s="55" t="str">
        <f aca="false">IF(AF1203&lt;=0,"",IF(BU1203="Aussen","Aussenlager",IF(BU1203="-","Nicht im Lift",IF(AK1203&gt;=1,"Lift",IF(AK1203&lt;=0,"Aussenlager","teilweise")))))</f>
        <v/>
      </c>
      <c r="BC1203" s="55" t="str">
        <f aca="false">IF(AN1203&lt;=0,"",IF(BU1203="Aussen","Aussenlager",IF(BU1203="-","Nicht im Lift",IF(AS1203&gt;=1,"Lift",IF(AS1203&lt;=0,"Aussenlager","teilweise")))))</f>
        <v>Aussenlager</v>
      </c>
      <c r="BD1203" s="55" t="str">
        <f aca="false">IF(AV1203&lt;=0,"",IF(BU1203="Aussen","Aussenlager",IF(BU1203="-","Nicht im Lift",IF(BA1203&gt;=1,"Lift",IF(BA1203&lt;=0,"Aussenlager","teilweise")))))</f>
        <v>Aussenlager</v>
      </c>
      <c r="BE1203" s="55" t="str">
        <f aca="false">IF(A1203="","",IF(BN1203=1,"Neu; ","")&amp;IF(AND(BN1203=0,BI1203&lt;0),"negativer Bestand (Export "&amp;BI1203&amp;"); ","")&amp;IF(I1203&lt;=0,"Kein Verbrauch; ","")&amp;IF(CD1203&gt;0,"Lift "&amp;U1203&amp;" lt. Liftbericht (Fach "&amp;V1203&amp;" Stk); ",IF(BR1203=1,"Lose – Fläche geschätzt; ",""))&amp;IF(G1203&gt;AP1203,"Überbestand "&amp;ROUND(G1203-AP1203,0)&amp;" Stk / CHF "&amp;ROUND((G1203-AP1203)*F1203,0)&amp;"; ","")&amp;IF(AND(BW1203=1,BX1203&lt;BY1203),"MAX &lt; MB+LG; ","")&amp;IF(AND(CC1203&gt;0,CB1203*10&gt;CC1203),"zu hoch für Tablar; ","")&amp;IF(AND(BN1203=0,OR(BW1203=1,Y1203&lt;&gt;"",S1203&lt;&gt;"",T1203&lt;&gt;"",Z1203&lt;&gt;"")),"manuell übersteuert; ","")&amp;IF(AND(BR1203=0,Q1203=0),"Gebinde unbekannt / Stellmass fehlt; ","")&amp;IF(AND(BR1203=0,N(T1203)&lt;=0,N(P1203)&lt;=0),"Menge pro Gebinde fehlt (Ist = 1 Gebinde); ","")&amp;BM1203)</f>
        <v>negativer Bestand (Export -30); Kein Verbrauch; </v>
      </c>
      <c r="BF1203" s="55"/>
      <c r="BG1203" s="55"/>
      <c r="BH1203" s="62"/>
      <c r="BI1203" s="57" t="n">
        <v>-30</v>
      </c>
      <c r="BJ1203" s="57" t="n">
        <v>30</v>
      </c>
      <c r="BK1203" s="56" t="n">
        <v>-498.6</v>
      </c>
      <c r="BL1203" s="57" t="n">
        <v>0</v>
      </c>
      <c r="BM1203" s="55"/>
      <c r="BN1203" s="60" t="n">
        <v>0</v>
      </c>
      <c r="BO1203" s="60" t="n">
        <v>1203</v>
      </c>
      <c r="BP1203" s="55" t="str">
        <f aca="false">IF(S1203&lt;&gt;"",UPPER(TRIM(S1203)),IF(O1203="","LOSE",O1203))</f>
        <v>S41</v>
      </c>
      <c r="BQ1203" s="57" t="n">
        <f aca="false">IF(BP1203="LOSE",1,IF(N(T1203)&gt;0,T1203,IF(N(P1203)&gt;0,P1203,MAX(1,G1203))))</f>
        <v>15</v>
      </c>
      <c r="BR1203" s="60" t="n">
        <f aca="false">IF(BP1203="LOSE",1,0)</f>
        <v>0</v>
      </c>
      <c r="BS1203" s="59" t="n">
        <f aca="false">IF(BR1203=0,0,IF(N(R1203)&gt;0,R1203,IFERROR(VLOOKUP(D1203,Parameter!$A$35:$C$64,3,0)+0,0)))</f>
        <v>0</v>
      </c>
      <c r="BT1203" s="55" t="n">
        <f aca="false">IF(Y1203&lt;&gt;"",Y1203,X1203)</f>
        <v>3</v>
      </c>
      <c r="BU1203" s="55" t="str">
        <f aca="false">IF(BT1203=1,"L1",IF(OR(BT1203=2,BT1203=3),"L23",IF(BT1203="Aussen","Aussen","-")))</f>
        <v>L23</v>
      </c>
      <c r="BV1203" s="66" t="n">
        <f aca="false">IF(N(Z1203)&gt;0,Z1203,0)</f>
        <v>0</v>
      </c>
      <c r="BW1203" s="60" t="n">
        <f aca="false">IF(ISNUMBER(AC1203),1,0)</f>
        <v>0</v>
      </c>
      <c r="BX1203" s="57" t="n">
        <f aca="false">N(AC1203)</f>
        <v>0</v>
      </c>
      <c r="BY1203" s="57" t="n">
        <f aca="false">N(L1203)+N(M1203)</f>
        <v>1</v>
      </c>
      <c r="BZ1203" s="57" t="n">
        <f aca="false">ROUNDUP(G1203/BQ1203,0)</f>
        <v>0</v>
      </c>
      <c r="CA1203" s="57" t="n">
        <f aca="false">ROUNDUP(BX1203/BQ1203,0)</f>
        <v>0</v>
      </c>
      <c r="CB1203" s="60" t="n">
        <f aca="false">IF(BR1203=1,0,IFERROR(VLOOKUP(BP1203,'Gebinde-Kategorie'!$A$5:$M$45,5,0)+0,0))</f>
        <v>11</v>
      </c>
      <c r="CC1203" s="60" t="n">
        <f aca="false">IFERROR(IF(OR(BT1203=1,BT1203=2,BT1203=3),N(INDEX(Parameter!$I$5:$I$7,BT1203)),0),0)</f>
        <v>0</v>
      </c>
      <c r="CD1203" s="59" t="n">
        <f aca="false">IF(AND(Parameter!$B$21="Ja",ISNUMBER(U1203),N(V1203)&gt;0),IFERROR(N(INDEX(Parameter!$L$5:$L$7,U1203))*INDEX(Parameter!$E$5:$E$7,U1203)*V1203/SUMIFS($V$7:$V$1576,$U$7:$U$1576,U1203),0),0)</f>
        <v>0</v>
      </c>
    </row>
    <row r="1204" customFormat="false" ht="15" hidden="false" customHeight="false" outlineLevel="0" collapsed="false">
      <c r="A1204" s="55" t="s">
        <v>2149</v>
      </c>
      <c r="B1204" s="55" t="s">
        <v>2150</v>
      </c>
      <c r="C1204" s="55" t="s">
        <v>160</v>
      </c>
      <c r="D1204" s="55" t="s">
        <v>168</v>
      </c>
      <c r="E1204" s="55" t="s">
        <v>210</v>
      </c>
      <c r="F1204" s="56" t="n">
        <v>380.7</v>
      </c>
      <c r="G1204" s="57" t="n">
        <f aca="false">MAX(0,IF(AND(Parameter!$B$21="Ja",ISNUMBER(W1204)),W1204,IF(Parameter!$B$20="Jahresanfang 2025 + Export",BJ1204+BI1204,BI1204)))</f>
        <v>0</v>
      </c>
      <c r="H1204" s="57" t="n">
        <f aca="false">G1204*F1204</f>
        <v>0</v>
      </c>
      <c r="I1204" s="57" t="n">
        <f aca="false">BL1204*Parameter!$B$18</f>
        <v>0</v>
      </c>
      <c r="J1204" s="58" t="n">
        <v>3.5</v>
      </c>
      <c r="K1204" s="59" t="n">
        <v>0</v>
      </c>
      <c r="L1204" s="57" t="n">
        <v>0</v>
      </c>
      <c r="M1204" s="57" t="n">
        <v>1</v>
      </c>
      <c r="N1204" s="60" t="n">
        <v>28</v>
      </c>
      <c r="O1204" s="55" t="s">
        <v>163</v>
      </c>
      <c r="P1204" s="57"/>
      <c r="Q1204" s="60" t="n">
        <f aca="false">IF(BR1204=1,0,IFERROR(VLOOKUP(BP1204,'Gebinde-Kategorie'!$A$5:$M$45,13,0)+0,0))</f>
        <v>0</v>
      </c>
      <c r="R1204" s="61"/>
      <c r="S1204" s="62"/>
      <c r="T1204" s="62"/>
      <c r="U1204" s="55"/>
      <c r="V1204" s="57"/>
      <c r="W1204" s="57"/>
      <c r="X1204" s="55" t="n">
        <f aca="false">IF(A1204="","",IF(AND(Parameter!$B$21="Ja",ISNUMBER(U1204)),U1204,IF(IFERROR(VLOOKUP(D1204,Parameter!$A$35:$C$64,2,0),"Nein")="2+3",IF(ISNUMBER(SEARCH("grosser Artikel",BM1204)),2,IFERROR(VLOOKUP(BP1204,Parameter!$F$35:$G$64,2,0),2)),IF(OR(IFERROR(VLOOKUP(D1204,Parameter!$A$35:$C$64,2,0),"Nein")="Nein",IFERROR(VLOOKUP(D1204,Parameter!$A$35:$C$64,2,0),"Nein")=""),"-",VLOOKUP(D1204,Parameter!$A$35:$C$64,2,0)))))</f>
        <v>2</v>
      </c>
      <c r="Y1204" s="62"/>
      <c r="Z1204" s="63"/>
      <c r="AA1204" s="57" t="n">
        <f aca="false">AP1204</f>
        <v>1</v>
      </c>
      <c r="AB1204" s="57" t="n">
        <f aca="false">MAX(AP1204,G1204)</f>
        <v>1</v>
      </c>
      <c r="AC1204" s="64"/>
      <c r="AD1204" s="57" t="n">
        <f aca="false">IF(LEFT(Cockpit!$C$5,1)="A",G1204,IF(BW1204=1,BX1204,IF(LEFT(Cockpit!$C$5,1)="B",AH1204,MAX(AH1204,G1204))))</f>
        <v>0</v>
      </c>
      <c r="AE1204" s="57" t="n">
        <f aca="false">IF(BR1204=1,0,ROUNDUP(AD1204/BQ1204,0))</f>
        <v>0</v>
      </c>
      <c r="AF1204" s="59" t="n">
        <f aca="false">IF(CD1204&gt;0,CD1204*MAX(1,AD1204/V1204),IF(BR1204=1,IF(AD1204&lt;=0,0,BS1204*MAX(1,IF(G1204&gt;0,AD1204/G1204,1))),IF(Q1204&gt;0,AE1204/Q1204,0))/MAX(0.1,N(Parameter!$M$21)))</f>
        <v>0</v>
      </c>
      <c r="AG1204" s="57" t="n">
        <f aca="false">AD1204*F1204</f>
        <v>0</v>
      </c>
      <c r="AH1204" s="57" t="n">
        <f aca="false">ROUNDUP(MAX(I1204/IF(BV1204&gt;0,BV1204,MAX(0.1,N(Cockpit!$C$6))),BY1204)/BQ1204,0)*BQ1204</f>
        <v>1</v>
      </c>
      <c r="AI1204" s="58" t="n">
        <f aca="false">IF(AF1204&gt;0,I1204/AF1204,-1)</f>
        <v>-1</v>
      </c>
      <c r="AJ1204" s="58" t="str">
        <f aca="false">IF(AND(OR(BU1204="L1",BU1204="L23"),AF1204&gt;0),SUMIFS($AF$7:$AF$1576,$BU$7:$BU$1576,BU1204,$AI$7:$AI$1576,"&gt;"&amp;AI1204)+SUMIFS($AF$7:$AF$1576,$BU$7:$BU$1576,BU1204,$AI$7:$AI$1576,AI1204,$BO$7:$BO$1576,"&lt;="&amp;BO1204),"")</f>
        <v/>
      </c>
      <c r="AK1204" s="65" t="n">
        <f aca="false">IF(AJ1204="",0,MAX(0,MIN(1,(IF(BU1204="L1",Parameter!$E$5,Parameter!$E$6+Parameter!$E$7)-(AJ1204-AF1204))/AF1204)))</f>
        <v>0</v>
      </c>
      <c r="AL1204" s="57" t="n">
        <f aca="false">IF(LEFT(Cockpit!$I$5,1)="A",G1204,IF(BW1204=1,BX1204,IF(LEFT(Cockpit!$I$5,1)="B",AP1204,MAX(AP1204,G1204))))</f>
        <v>1</v>
      </c>
      <c r="AM1204" s="57" t="n">
        <f aca="false">IF(BR1204=1,0,ROUNDUP(AL1204/BQ1204,0))</f>
        <v>0</v>
      </c>
      <c r="AN1204" s="59" t="n">
        <f aca="false">IF(CD1204&gt;0,CD1204*MAX(1,AL1204/V1204),IF(BR1204=1,IF(AL1204&lt;=0,0,BS1204*MAX(1,IF(G1204&gt;0,AL1204/G1204,1))),IF(Q1204&gt;0,AM1204/Q1204,0))/MAX(0.1,N(Parameter!$M$21)))</f>
        <v>0.15</v>
      </c>
      <c r="AO1204" s="57" t="n">
        <f aca="false">AL1204*F1204</f>
        <v>380.7</v>
      </c>
      <c r="AP1204" s="57" t="n">
        <f aca="false">ROUNDUP(MAX(I1204/IF(BV1204&gt;0,BV1204,MAX(0.1,N(Cockpit!$I$6))),BY1204)/BQ1204,0)*BQ1204</f>
        <v>1</v>
      </c>
      <c r="AQ1204" s="58" t="n">
        <f aca="false">IF(AN1204&gt;0,I1204/AN1204,-1)</f>
        <v>0</v>
      </c>
      <c r="AR1204" s="58" t="n">
        <f aca="false">IF(AND(OR(BU1204="L1",BU1204="L23"),AN1204&gt;0),SUMIFS($AN$7:$AN$1576,$BU$7:$BU$1576,BU1204,$AQ$7:$AQ$1576,"&gt;"&amp;AQ1204)+SUMIFS($AN$7:$AN$1576,$BU$7:$BU$1576,BU1204,$AQ$7:$AQ$1576,AQ1204,$BO$7:$BO$1576,"&lt;="&amp;BO1204),"")</f>
        <v>135.760486542491</v>
      </c>
      <c r="AS1204" s="65" t="n">
        <f aca="false">IF(AR1204="",0,MAX(0,MIN(1,(IF(BU1204="L1",Parameter!$E$5,Parameter!$E$6+Parameter!$E$7)-(AR1204-AN1204))/AN1204)))</f>
        <v>0</v>
      </c>
      <c r="AT1204" s="57" t="n">
        <f aca="false">IF(LEFT(Cockpit!$O$5,1)="A",G1204,IF(BW1204=1,BX1204,IF(LEFT(Cockpit!$O$5,1)="B",AX1204,MAX(AX1204,G1204))))</f>
        <v>1</v>
      </c>
      <c r="AU1204" s="57" t="n">
        <f aca="false">IF(BR1204=1,0,ROUNDUP(AT1204/BQ1204,0))</f>
        <v>0</v>
      </c>
      <c r="AV1204" s="59" t="n">
        <f aca="false">IF(CD1204&gt;0,CD1204*MAX(1,AT1204/V1204),IF(BR1204=1,IF(AT1204&lt;=0,0,BS1204*MAX(1,IF(G1204&gt;0,AT1204/G1204,1))),IF(Q1204&gt;0,AU1204/Q1204,0))/MAX(0.1,N(Parameter!$M$21)))</f>
        <v>0.15</v>
      </c>
      <c r="AW1204" s="57" t="n">
        <f aca="false">AT1204*F1204</f>
        <v>380.7</v>
      </c>
      <c r="AX1204" s="57" t="n">
        <f aca="false">ROUNDUP(MAX(I1204/IF(BV1204&gt;0,BV1204,MAX(0.1,N(Cockpit!$O$6))),BY1204)/BQ1204,0)*BQ1204</f>
        <v>1</v>
      </c>
      <c r="AY1204" s="58" t="n">
        <f aca="false">IF(AV1204&gt;0,I1204/AV1204,-1)</f>
        <v>0</v>
      </c>
      <c r="AZ1204" s="58" t="n">
        <f aca="false">IF(AND(OR(BU1204="L1",BU1204="L23"),AV1204&gt;0),SUMIFS($AV$7:$AV$1576,$BU$7:$BU$1576,BU1204,$AY$7:$AY$1576,"&gt;"&amp;AY1204)+SUMIFS($AV$7:$AV$1576,$BU$7:$BU$1576,BU1204,$AY$7:$AY$1576,AY1204,$BO$7:$BO$1576,"&lt;="&amp;BO1204),"")</f>
        <v>125.820036992041</v>
      </c>
      <c r="BA1204" s="65" t="n">
        <f aca="false">IF(AZ1204="",0,MAX(0,MIN(1,(IF(BU1204="L1",Parameter!$E$5,Parameter!$E$6+Parameter!$E$7)-(AZ1204-AV1204))/AV1204)))</f>
        <v>0</v>
      </c>
      <c r="BB1204" s="55" t="str">
        <f aca="false">IF(AF1204&lt;=0,"",IF(BU1204="Aussen","Aussenlager",IF(BU1204="-","Nicht im Lift",IF(AK1204&gt;=1,"Lift",IF(AK1204&lt;=0,"Aussenlager","teilweise")))))</f>
        <v/>
      </c>
      <c r="BC1204" s="55" t="str">
        <f aca="false">IF(AN1204&lt;=0,"",IF(BU1204="Aussen","Aussenlager",IF(BU1204="-","Nicht im Lift",IF(AS1204&gt;=1,"Lift",IF(AS1204&lt;=0,"Aussenlager","teilweise")))))</f>
        <v>Aussenlager</v>
      </c>
      <c r="BD1204" s="55" t="str">
        <f aca="false">IF(AV1204&lt;=0,"",IF(BU1204="Aussen","Aussenlager",IF(BU1204="-","Nicht im Lift",IF(BA1204&gt;=1,"Lift",IF(BA1204&lt;=0,"Aussenlager","teilweise")))))</f>
        <v>Aussenlager</v>
      </c>
      <c r="BE1204" s="55" t="str">
        <f aca="false">IF(A1204="","",IF(BN1204=1,"Neu; ","")&amp;IF(AND(BN1204=0,BI1204&lt;0),"negativer Bestand (Export "&amp;BI1204&amp;"); ","")&amp;IF(I1204&lt;=0,"Kein Verbrauch; ","")&amp;IF(CD1204&gt;0,"Lift "&amp;U1204&amp;" lt. Liftbericht (Fach "&amp;V1204&amp;" Stk); ",IF(BR1204=1,"Lose – Fläche geschätzt; ",""))&amp;IF(G1204&gt;AP1204,"Überbestand "&amp;ROUND(G1204-AP1204,0)&amp;" Stk / CHF "&amp;ROUND((G1204-AP1204)*F1204,0)&amp;"; ","")&amp;IF(AND(BW1204=1,BX1204&lt;BY1204),"MAX &lt; MB+LG; ","")&amp;IF(AND(CC1204&gt;0,CB1204*10&gt;CC1204),"zu hoch für Tablar; ","")&amp;IF(AND(BN1204=0,OR(BW1204=1,Y1204&lt;&gt;"",S1204&lt;&gt;"",T1204&lt;&gt;"",Z1204&lt;&gt;"")),"manuell übersteuert; ","")&amp;IF(AND(BR1204=0,Q1204=0),"Gebinde unbekannt / Stellmass fehlt; ","")&amp;IF(AND(BR1204=0,N(T1204)&lt;=0,N(P1204)&lt;=0),"Menge pro Gebinde fehlt (Ist = 1 Gebinde); ","")&amp;BM1204)</f>
        <v>negativer Bestand (Export -2); Kein Verbrauch; Lose – Fläche geschätzt; grosser Artikel &amp; nicht im KTL</v>
      </c>
      <c r="BF1204" s="55"/>
      <c r="BG1204" s="55"/>
      <c r="BH1204" s="62"/>
      <c r="BI1204" s="57" t="n">
        <v>-2</v>
      </c>
      <c r="BJ1204" s="57" t="n">
        <v>4</v>
      </c>
      <c r="BK1204" s="56" t="n">
        <v>-506.68</v>
      </c>
      <c r="BL1204" s="57" t="n">
        <v>0</v>
      </c>
      <c r="BM1204" s="55" t="s">
        <v>253</v>
      </c>
      <c r="BN1204" s="60" t="n">
        <v>0</v>
      </c>
      <c r="BO1204" s="60" t="n">
        <v>1204</v>
      </c>
      <c r="BP1204" s="55" t="str">
        <f aca="false">IF(S1204&lt;&gt;"",UPPER(TRIM(S1204)),IF(O1204="","LOSE",O1204))</f>
        <v>LOSE</v>
      </c>
      <c r="BQ1204" s="57" t="n">
        <f aca="false">IF(BP1204="LOSE",1,IF(N(T1204)&gt;0,T1204,IF(N(P1204)&gt;0,P1204,MAX(1,G1204))))</f>
        <v>1</v>
      </c>
      <c r="BR1204" s="60" t="n">
        <f aca="false">IF(BP1204="LOSE",1,0)</f>
        <v>1</v>
      </c>
      <c r="BS1204" s="59" t="n">
        <f aca="false">IF(BR1204=0,0,IF(N(R1204)&gt;0,R1204,IFERROR(VLOOKUP(D1204,Parameter!$A$35:$C$64,3,0)+0,0)))</f>
        <v>0.15</v>
      </c>
      <c r="BT1204" s="55" t="n">
        <f aca="false">IF(Y1204&lt;&gt;"",Y1204,X1204)</f>
        <v>2</v>
      </c>
      <c r="BU1204" s="55" t="str">
        <f aca="false">IF(BT1204=1,"L1",IF(OR(BT1204=2,BT1204=3),"L23",IF(BT1204="Aussen","Aussen","-")))</f>
        <v>L23</v>
      </c>
      <c r="BV1204" s="66" t="n">
        <f aca="false">IF(N(Z1204)&gt;0,Z1204,0)</f>
        <v>0</v>
      </c>
      <c r="BW1204" s="60" t="n">
        <f aca="false">IF(ISNUMBER(AC1204),1,0)</f>
        <v>0</v>
      </c>
      <c r="BX1204" s="57" t="n">
        <f aca="false">N(AC1204)</f>
        <v>0</v>
      </c>
      <c r="BY1204" s="57" t="n">
        <f aca="false">N(L1204)+N(M1204)</f>
        <v>1</v>
      </c>
      <c r="BZ1204" s="57" t="n">
        <f aca="false">ROUNDUP(G1204/BQ1204,0)</f>
        <v>0</v>
      </c>
      <c r="CA1204" s="57" t="n">
        <f aca="false">ROUNDUP(BX1204/BQ1204,0)</f>
        <v>0</v>
      </c>
      <c r="CB1204" s="60" t="n">
        <f aca="false">IF(BR1204=1,0,IFERROR(VLOOKUP(BP1204,'Gebinde-Kategorie'!$A$5:$M$45,5,0)+0,0))</f>
        <v>0</v>
      </c>
      <c r="CC1204" s="60" t="n">
        <f aca="false">IFERROR(IF(OR(BT1204=1,BT1204=2,BT1204=3),N(INDEX(Parameter!$I$5:$I$7,BT1204)),0),0)</f>
        <v>0</v>
      </c>
      <c r="CD1204" s="59" t="n">
        <f aca="false">IF(AND(Parameter!$B$21="Ja",ISNUMBER(U1204),N(V1204)&gt;0),IFERROR(N(INDEX(Parameter!$L$5:$L$7,U1204))*INDEX(Parameter!$E$5:$E$7,U1204)*V1204/SUMIFS($V$7:$V$1576,$U$7:$U$1576,U1204),0),0)</f>
        <v>0</v>
      </c>
    </row>
    <row r="1205" customFormat="false" ht="15" hidden="false" customHeight="false" outlineLevel="0" collapsed="false">
      <c r="A1205" s="55" t="s">
        <v>2151</v>
      </c>
      <c r="B1205" s="55" t="s">
        <v>2152</v>
      </c>
      <c r="C1205" s="55" t="s">
        <v>160</v>
      </c>
      <c r="D1205" s="55" t="s">
        <v>168</v>
      </c>
      <c r="E1205" s="55" t="s">
        <v>210</v>
      </c>
      <c r="F1205" s="56" t="n">
        <v>65.23</v>
      </c>
      <c r="G1205" s="57" t="n">
        <f aca="false">MAX(0,IF(AND(Parameter!$B$21="Ja",ISNUMBER(W1205)),W1205,IF(Parameter!$B$20="Jahresanfang 2025 + Export",BJ1205+BI1205,BI1205)))</f>
        <v>6</v>
      </c>
      <c r="H1205" s="57" t="n">
        <f aca="false">G1205*F1205</f>
        <v>391.38</v>
      </c>
      <c r="I1205" s="57" t="n">
        <f aca="false">BL1205*Parameter!$B$18</f>
        <v>194</v>
      </c>
      <c r="J1205" s="58" t="n">
        <v>103</v>
      </c>
      <c r="K1205" s="59" t="n">
        <v>1.88349514563107</v>
      </c>
      <c r="L1205" s="57" t="n">
        <v>11</v>
      </c>
      <c r="M1205" s="57" t="n">
        <v>100</v>
      </c>
      <c r="N1205" s="60" t="n">
        <v>21</v>
      </c>
      <c r="O1205" s="55" t="s">
        <v>169</v>
      </c>
      <c r="P1205" s="57" t="n">
        <v>140</v>
      </c>
      <c r="Q1205" s="60" t="n">
        <f aca="false">IF(BR1205=1,0,IFERROR(VLOOKUP(BP1205,'Gebinde-Kategorie'!$A$5:$M$45,13,0)+0,0))</f>
        <v>6</v>
      </c>
      <c r="R1205" s="61"/>
      <c r="S1205" s="62"/>
      <c r="T1205" s="62"/>
      <c r="U1205" s="55"/>
      <c r="V1205" s="57"/>
      <c r="W1205" s="57"/>
      <c r="X1205" s="55" t="n">
        <f aca="false">IF(A1205="","",IF(AND(Parameter!$B$21="Ja",ISNUMBER(U1205)),U1205,IF(IFERROR(VLOOKUP(D1205,Parameter!$A$35:$C$64,2,0),"Nein")="2+3",IF(ISNUMBER(SEARCH("grosser Artikel",BM1205)),2,IFERROR(VLOOKUP(BP1205,Parameter!$F$35:$G$64,2,0),2)),IF(OR(IFERROR(VLOOKUP(D1205,Parameter!$A$35:$C$64,2,0),"Nein")="Nein",IFERROR(VLOOKUP(D1205,Parameter!$A$35:$C$64,2,0),"Nein")=""),"-",VLOOKUP(D1205,Parameter!$A$35:$C$64,2,0)))))</f>
        <v>2</v>
      </c>
      <c r="Y1205" s="62"/>
      <c r="Z1205" s="63"/>
      <c r="AA1205" s="57" t="n">
        <f aca="false">AP1205</f>
        <v>140</v>
      </c>
      <c r="AB1205" s="57" t="n">
        <f aca="false">MAX(AP1205,G1205)</f>
        <v>140</v>
      </c>
      <c r="AC1205" s="64"/>
      <c r="AD1205" s="57" t="n">
        <f aca="false">IF(LEFT(Cockpit!$C$5,1)="A",G1205,IF(BW1205=1,BX1205,IF(LEFT(Cockpit!$C$5,1)="B",AH1205,MAX(AH1205,G1205))))</f>
        <v>6</v>
      </c>
      <c r="AE1205" s="57" t="n">
        <f aca="false">IF(BR1205=1,0,ROUNDUP(AD1205/BQ1205,0))</f>
        <v>1</v>
      </c>
      <c r="AF1205" s="59" t="n">
        <f aca="false">IF(CD1205&gt;0,CD1205*MAX(1,AD1205/V1205),IF(BR1205=1,IF(AD1205&lt;=0,0,BS1205*MAX(1,IF(G1205&gt;0,AD1205/G1205,1))),IF(Q1205&gt;0,AE1205/Q1205,0))/MAX(0.1,N(Parameter!$M$21)))</f>
        <v>0.166666666666667</v>
      </c>
      <c r="AG1205" s="57" t="n">
        <f aca="false">AD1205*F1205</f>
        <v>391.38</v>
      </c>
      <c r="AH1205" s="57" t="n">
        <f aca="false">ROUNDUP(MAX(I1205/IF(BV1205&gt;0,BV1205,MAX(0.1,N(Cockpit!$C$6))),BY1205)/BQ1205,0)*BQ1205</f>
        <v>140</v>
      </c>
      <c r="AI1205" s="58" t="n">
        <f aca="false">IF(AF1205&gt;0,I1205/AF1205,-1)</f>
        <v>1164</v>
      </c>
      <c r="AJ1205" s="58" t="n">
        <f aca="false">IF(AND(OR(BU1205="L1",BU1205="L23"),AF1205&gt;0),SUMIFS($AF$7:$AF$1576,$BU$7:$BU$1576,BU1205,$AI$7:$AI$1576,"&gt;"&amp;AI1205)+SUMIFS($AF$7:$AF$1576,$BU$7:$BU$1576,BU1205,$AI$7:$AI$1576,AI1205,$BO$7:$BO$1576,"&lt;="&amp;BO1205),"")</f>
        <v>8.50876625789669</v>
      </c>
      <c r="AK1205" s="65" t="n">
        <f aca="false">IF(AJ1205="",0,MAX(0,MIN(1,(IF(BU1205="L1",Parameter!$E$5,Parameter!$E$6+Parameter!$E$7)-(AJ1205-AF1205))/AF1205)))</f>
        <v>1</v>
      </c>
      <c r="AL1205" s="57" t="n">
        <f aca="false">IF(LEFT(Cockpit!$I$5,1)="A",G1205,IF(BW1205=1,BX1205,IF(LEFT(Cockpit!$I$5,1)="B",AP1205,MAX(AP1205,G1205))))</f>
        <v>140</v>
      </c>
      <c r="AM1205" s="57" t="n">
        <f aca="false">IF(BR1205=1,0,ROUNDUP(AL1205/BQ1205,0))</f>
        <v>1</v>
      </c>
      <c r="AN1205" s="59" t="n">
        <f aca="false">IF(CD1205&gt;0,CD1205*MAX(1,AL1205/V1205),IF(BR1205=1,IF(AL1205&lt;=0,0,BS1205*MAX(1,IF(G1205&gt;0,AL1205/G1205,1))),IF(Q1205&gt;0,AM1205/Q1205,0))/MAX(0.1,N(Parameter!$M$21)))</f>
        <v>0.166666666666667</v>
      </c>
      <c r="AO1205" s="57" t="n">
        <f aca="false">AL1205*F1205</f>
        <v>9132.2</v>
      </c>
      <c r="AP1205" s="57" t="n">
        <f aca="false">ROUNDUP(MAX(I1205/IF(BV1205&gt;0,BV1205,MAX(0.1,N(Cockpit!$I$6))),BY1205)/BQ1205,0)*BQ1205</f>
        <v>140</v>
      </c>
      <c r="AQ1205" s="58" t="n">
        <f aca="false">IF(AN1205&gt;0,I1205/AN1205,-1)</f>
        <v>1164</v>
      </c>
      <c r="AR1205" s="58" t="n">
        <f aca="false">IF(AND(OR(BU1205="L1",BU1205="L23"),AN1205&gt;0),SUMIFS($AN$7:$AN$1576,$BU$7:$BU$1576,BU1205,$AQ$7:$AQ$1576,"&gt;"&amp;AQ1205)+SUMIFS($AN$7:$AN$1576,$BU$7:$BU$1576,BU1205,$AQ$7:$AQ$1576,AQ1205,$BO$7:$BO$1576,"&lt;="&amp;BO1205),"")</f>
        <v>21.7691770189708</v>
      </c>
      <c r="AS1205" s="65" t="n">
        <f aca="false">IF(AR1205="",0,MAX(0,MIN(1,(IF(BU1205="L1",Parameter!$E$5,Parameter!$E$6+Parameter!$E$7)-(AR1205-AN1205))/AN1205)))</f>
        <v>1</v>
      </c>
      <c r="AT1205" s="57" t="n">
        <f aca="false">IF(LEFT(Cockpit!$O$5,1)="A",G1205,IF(BW1205=1,BX1205,IF(LEFT(Cockpit!$O$5,1)="B",AX1205,MAX(AX1205,G1205))))</f>
        <v>140</v>
      </c>
      <c r="AU1205" s="57" t="n">
        <f aca="false">IF(BR1205=1,0,ROUNDUP(AT1205/BQ1205,0))</f>
        <v>1</v>
      </c>
      <c r="AV1205" s="59" t="n">
        <f aca="false">IF(CD1205&gt;0,CD1205*MAX(1,AT1205/V1205),IF(BR1205=1,IF(AT1205&lt;=0,0,BS1205*MAX(1,IF(G1205&gt;0,AT1205/G1205,1))),IF(Q1205&gt;0,AU1205/Q1205,0))/MAX(0.1,N(Parameter!$M$21)))</f>
        <v>0.166666666666667</v>
      </c>
      <c r="AW1205" s="57" t="n">
        <f aca="false">AT1205*F1205</f>
        <v>9132.2</v>
      </c>
      <c r="AX1205" s="57" t="n">
        <f aca="false">ROUNDUP(MAX(I1205/IF(BV1205&gt;0,BV1205,MAX(0.1,N(Cockpit!$O$6))),BY1205)/BQ1205,0)*BQ1205</f>
        <v>140</v>
      </c>
      <c r="AY1205" s="58" t="n">
        <f aca="false">IF(AV1205&gt;0,I1205/AV1205,-1)</f>
        <v>1164</v>
      </c>
      <c r="AZ1205" s="58" t="n">
        <f aca="false">IF(AND(OR(BU1205="L1",BU1205="L23"),AV1205&gt;0),SUMIFS($AV$7:$AV$1576,$BU$7:$BU$1576,BU1205,$AY$7:$AY$1576,"&gt;"&amp;AY1205)+SUMIFS($AV$7:$AV$1576,$BU$7:$BU$1576,BU1205,$AY$7:$AY$1576,AY1205,$BO$7:$BO$1576,"&lt;="&amp;BO1205),"")</f>
        <v>21.0797830795768</v>
      </c>
      <c r="BA1205" s="65" t="n">
        <f aca="false">IF(AZ1205="",0,MAX(0,MIN(1,(IF(BU1205="L1",Parameter!$E$5,Parameter!$E$6+Parameter!$E$7)-(AZ1205-AV1205))/AV1205)))</f>
        <v>1</v>
      </c>
      <c r="BB1205" s="55" t="str">
        <f aca="false">IF(AF1205&lt;=0,"",IF(BU1205="Aussen","Aussenlager",IF(BU1205="-","Nicht im Lift",IF(AK1205&gt;=1,"Lift",IF(AK1205&lt;=0,"Aussenlager","teilweise")))))</f>
        <v>Lift</v>
      </c>
      <c r="BC1205" s="55" t="str">
        <f aca="false">IF(AN1205&lt;=0,"",IF(BU1205="Aussen","Aussenlager",IF(BU1205="-","Nicht im Lift",IF(AS1205&gt;=1,"Lift",IF(AS1205&lt;=0,"Aussenlager","teilweise")))))</f>
        <v>Lift</v>
      </c>
      <c r="BD1205" s="55" t="str">
        <f aca="false">IF(AV1205&lt;=0,"",IF(BU1205="Aussen","Aussenlager",IF(BU1205="-","Nicht im Lift",IF(BA1205&gt;=1,"Lift",IF(BA1205&lt;=0,"Aussenlager","teilweise")))))</f>
        <v>Lift</v>
      </c>
      <c r="BE1205" s="55" t="str">
        <f aca="false">IF(A1205="","",IF(BN1205=1,"Neu; ","")&amp;IF(AND(BN1205=0,BI1205&lt;0),"negativer Bestand (Export "&amp;BI1205&amp;"); ","")&amp;IF(I1205&lt;=0,"Kein Verbrauch; ","")&amp;IF(CD1205&gt;0,"Lift "&amp;U1205&amp;" lt. Liftbericht (Fach "&amp;V1205&amp;" Stk); ",IF(BR1205=1,"Lose – Fläche geschätzt; ",""))&amp;IF(G1205&gt;AP1205,"Überbestand "&amp;ROUND(G1205-AP1205,0)&amp;" Stk / CHF "&amp;ROUND((G1205-AP1205)*F1205,0)&amp;"; ","")&amp;IF(AND(BW1205=1,BX1205&lt;BY1205),"MAX &lt; MB+LG; ","")&amp;IF(AND(CC1205&gt;0,CB1205*10&gt;CC1205),"zu hoch für Tablar; ","")&amp;IF(AND(BN1205=0,OR(BW1205=1,Y1205&lt;&gt;"",S1205&lt;&gt;"",T1205&lt;&gt;"",Z1205&lt;&gt;"")),"manuell übersteuert; ","")&amp;IF(AND(BR1205=0,Q1205=0),"Gebinde unbekannt / Stellmass fehlt; ","")&amp;IF(AND(BR1205=0,N(T1205)&lt;=0,N(P1205)&lt;=0),"Menge pro Gebinde fehlt (Ist = 1 Gebinde); ","")&amp;BM1205)</f>
        <v>grosser Artikel &amp; nicht im KTL</v>
      </c>
      <c r="BF1205" s="55"/>
      <c r="BG1205" s="55"/>
      <c r="BH1205" s="62"/>
      <c r="BI1205" s="57" t="n">
        <v>6</v>
      </c>
      <c r="BJ1205" s="57" t="n">
        <v>50</v>
      </c>
      <c r="BK1205" s="56" t="n">
        <v>-513.119999999997</v>
      </c>
      <c r="BL1205" s="57" t="n">
        <v>194</v>
      </c>
      <c r="BM1205" s="55" t="s">
        <v>253</v>
      </c>
      <c r="BN1205" s="60" t="n">
        <v>0</v>
      </c>
      <c r="BO1205" s="60" t="n">
        <v>1205</v>
      </c>
      <c r="BP1205" s="55" t="str">
        <f aca="false">IF(S1205&lt;&gt;"",UPPER(TRIM(S1205)),IF(O1205="","LOSE",O1205))</f>
        <v>S71</v>
      </c>
      <c r="BQ1205" s="57" t="n">
        <f aca="false">IF(BP1205="LOSE",1,IF(N(T1205)&gt;0,T1205,IF(N(P1205)&gt;0,P1205,MAX(1,G1205))))</f>
        <v>140</v>
      </c>
      <c r="BR1205" s="60" t="n">
        <f aca="false">IF(BP1205="LOSE",1,0)</f>
        <v>0</v>
      </c>
      <c r="BS1205" s="59" t="n">
        <f aca="false">IF(BR1205=0,0,IF(N(R1205)&gt;0,R1205,IFERROR(VLOOKUP(D1205,Parameter!$A$35:$C$64,3,0)+0,0)))</f>
        <v>0</v>
      </c>
      <c r="BT1205" s="55" t="n">
        <f aca="false">IF(Y1205&lt;&gt;"",Y1205,X1205)</f>
        <v>2</v>
      </c>
      <c r="BU1205" s="55" t="str">
        <f aca="false">IF(BT1205=1,"L1",IF(OR(BT1205=2,BT1205=3),"L23",IF(BT1205="Aussen","Aussen","-")))</f>
        <v>L23</v>
      </c>
      <c r="BV1205" s="66" t="n">
        <f aca="false">IF(N(Z1205)&gt;0,Z1205,0)</f>
        <v>0</v>
      </c>
      <c r="BW1205" s="60" t="n">
        <f aca="false">IF(ISNUMBER(AC1205),1,0)</f>
        <v>0</v>
      </c>
      <c r="BX1205" s="57" t="n">
        <f aca="false">N(AC1205)</f>
        <v>0</v>
      </c>
      <c r="BY1205" s="57" t="n">
        <f aca="false">N(L1205)+N(M1205)</f>
        <v>111</v>
      </c>
      <c r="BZ1205" s="57" t="n">
        <f aca="false">ROUNDUP(G1205/BQ1205,0)</f>
        <v>1</v>
      </c>
      <c r="CA1205" s="57" t="n">
        <f aca="false">ROUNDUP(BX1205/BQ1205,0)</f>
        <v>0</v>
      </c>
      <c r="CB1205" s="60" t="n">
        <f aca="false">IF(BR1205=1,0,IFERROR(VLOOKUP(BP1205,'Gebinde-Kategorie'!$A$5:$M$45,5,0)+0,0))</f>
        <v>20</v>
      </c>
      <c r="CC1205" s="60" t="n">
        <f aca="false">IFERROR(IF(OR(BT1205=1,BT1205=2,BT1205=3),N(INDEX(Parameter!$I$5:$I$7,BT1205)),0),0)</f>
        <v>0</v>
      </c>
      <c r="CD1205" s="59" t="n">
        <f aca="false">IF(AND(Parameter!$B$21="Ja",ISNUMBER(U1205),N(V1205)&gt;0),IFERROR(N(INDEX(Parameter!$L$5:$L$7,U1205))*INDEX(Parameter!$E$5:$E$7,U1205)*V1205/SUMIFS($V$7:$V$1576,$U$7:$U$1576,U1205),0),0)</f>
        <v>0</v>
      </c>
    </row>
    <row r="1206" customFormat="false" ht="15" hidden="false" customHeight="false" outlineLevel="0" collapsed="false">
      <c r="A1206" s="55" t="s">
        <v>2153</v>
      </c>
      <c r="B1206" s="55" t="s">
        <v>2154</v>
      </c>
      <c r="C1206" s="55" t="s">
        <v>160</v>
      </c>
      <c r="D1206" s="55" t="s">
        <v>178</v>
      </c>
      <c r="E1206" s="55" t="s">
        <v>210</v>
      </c>
      <c r="F1206" s="56" t="n">
        <v>508.45</v>
      </c>
      <c r="G1206" s="57" t="n">
        <f aca="false">MAX(0,IF(AND(Parameter!$B$21="Ja",ISNUMBER(W1206)),W1206,IF(Parameter!$B$20="Jahresanfang 2025 + Export",BJ1206+BI1206,BI1206)))</f>
        <v>0</v>
      </c>
      <c r="H1206" s="57" t="n">
        <f aca="false">G1206*F1206</f>
        <v>0</v>
      </c>
      <c r="I1206" s="57" t="n">
        <f aca="false">BL1206*Parameter!$B$18</f>
        <v>5</v>
      </c>
      <c r="J1206" s="58" t="n">
        <v>4.5</v>
      </c>
      <c r="K1206" s="59" t="n">
        <v>1.11111111111111</v>
      </c>
      <c r="L1206" s="57" t="n">
        <v>0</v>
      </c>
      <c r="M1206" s="57" t="n">
        <v>5</v>
      </c>
      <c r="N1206" s="60" t="n">
        <v>21</v>
      </c>
      <c r="O1206" s="55" t="s">
        <v>218</v>
      </c>
      <c r="P1206" s="57" t="n">
        <v>8</v>
      </c>
      <c r="Q1206" s="60" t="n">
        <f aca="false">IF(BR1206=1,0,IFERROR(VLOOKUP(BP1206,'Gebinde-Kategorie'!$A$5:$M$45,13,0)+0,0))</f>
        <v>12</v>
      </c>
      <c r="R1206" s="61"/>
      <c r="S1206" s="62"/>
      <c r="T1206" s="62"/>
      <c r="U1206" s="55"/>
      <c r="V1206" s="57"/>
      <c r="W1206" s="57"/>
      <c r="X1206" s="55" t="n">
        <f aca="false">IF(A1206="","",IF(AND(Parameter!$B$21="Ja",ISNUMBER(U1206)),U1206,IF(IFERROR(VLOOKUP(D1206,Parameter!$A$35:$C$64,2,0),"Nein")="2+3",IF(ISNUMBER(SEARCH("grosser Artikel",BM1206)),2,IFERROR(VLOOKUP(BP1206,Parameter!$F$35:$G$64,2,0),2)),IF(OR(IFERROR(VLOOKUP(D1206,Parameter!$A$35:$C$64,2,0),"Nein")="Nein",IFERROR(VLOOKUP(D1206,Parameter!$A$35:$C$64,2,0),"Nein")=""),"-",VLOOKUP(D1206,Parameter!$A$35:$C$64,2,0)))))</f>
        <v>2</v>
      </c>
      <c r="Y1206" s="62"/>
      <c r="Z1206" s="63"/>
      <c r="AA1206" s="57" t="n">
        <f aca="false">AP1206</f>
        <v>8</v>
      </c>
      <c r="AB1206" s="57" t="n">
        <f aca="false">MAX(AP1206,G1206)</f>
        <v>8</v>
      </c>
      <c r="AC1206" s="64"/>
      <c r="AD1206" s="57" t="n">
        <f aca="false">IF(LEFT(Cockpit!$C$5,1)="A",G1206,IF(BW1206=1,BX1206,IF(LEFT(Cockpit!$C$5,1)="B",AH1206,MAX(AH1206,G1206))))</f>
        <v>0</v>
      </c>
      <c r="AE1206" s="57" t="n">
        <f aca="false">IF(BR1206=1,0,ROUNDUP(AD1206/BQ1206,0))</f>
        <v>0</v>
      </c>
      <c r="AF1206" s="59" t="n">
        <f aca="false">IF(CD1206&gt;0,CD1206*MAX(1,AD1206/V1206),IF(BR1206=1,IF(AD1206&lt;=0,0,BS1206*MAX(1,IF(G1206&gt;0,AD1206/G1206,1))),IF(Q1206&gt;0,AE1206/Q1206,0))/MAX(0.1,N(Parameter!$M$21)))</f>
        <v>0</v>
      </c>
      <c r="AG1206" s="57" t="n">
        <f aca="false">AD1206*F1206</f>
        <v>0</v>
      </c>
      <c r="AH1206" s="57" t="n">
        <f aca="false">ROUNDUP(MAX(I1206/IF(BV1206&gt;0,BV1206,MAX(0.1,N(Cockpit!$C$6))),BY1206)/BQ1206,0)*BQ1206</f>
        <v>8</v>
      </c>
      <c r="AI1206" s="58" t="n">
        <f aca="false">IF(AF1206&gt;0,I1206/AF1206,-1)</f>
        <v>-1</v>
      </c>
      <c r="AJ1206" s="58" t="str">
        <f aca="false">IF(AND(OR(BU1206="L1",BU1206="L23"),AF1206&gt;0),SUMIFS($AF$7:$AF$1576,$BU$7:$BU$1576,BU1206,$AI$7:$AI$1576,"&gt;"&amp;AI1206)+SUMIFS($AF$7:$AF$1576,$BU$7:$BU$1576,BU1206,$AI$7:$AI$1576,AI1206,$BO$7:$BO$1576,"&lt;="&amp;BO1206),"")</f>
        <v/>
      </c>
      <c r="AK1206" s="65" t="n">
        <f aca="false">IF(AJ1206="",0,MAX(0,MIN(1,(IF(BU1206="L1",Parameter!$E$5,Parameter!$E$6+Parameter!$E$7)-(AJ1206-AF1206))/AF1206)))</f>
        <v>0</v>
      </c>
      <c r="AL1206" s="57" t="n">
        <f aca="false">IF(LEFT(Cockpit!$I$5,1)="A",G1206,IF(BW1206=1,BX1206,IF(LEFT(Cockpit!$I$5,1)="B",AP1206,MAX(AP1206,G1206))))</f>
        <v>8</v>
      </c>
      <c r="AM1206" s="57" t="n">
        <f aca="false">IF(BR1206=1,0,ROUNDUP(AL1206/BQ1206,0))</f>
        <v>1</v>
      </c>
      <c r="AN1206" s="59" t="n">
        <f aca="false">IF(CD1206&gt;0,CD1206*MAX(1,AL1206/V1206),IF(BR1206=1,IF(AL1206&lt;=0,0,BS1206*MAX(1,IF(G1206&gt;0,AL1206/G1206,1))),IF(Q1206&gt;0,AM1206/Q1206,0))/MAX(0.1,N(Parameter!$M$21)))</f>
        <v>0.0833333333333333</v>
      </c>
      <c r="AO1206" s="57" t="n">
        <f aca="false">AL1206*F1206</f>
        <v>4067.6</v>
      </c>
      <c r="AP1206" s="57" t="n">
        <f aca="false">ROUNDUP(MAX(I1206/IF(BV1206&gt;0,BV1206,MAX(0.1,N(Cockpit!$I$6))),BY1206)/BQ1206,0)*BQ1206</f>
        <v>8</v>
      </c>
      <c r="AQ1206" s="58" t="n">
        <f aca="false">IF(AN1206&gt;0,I1206/AN1206,-1)</f>
        <v>60</v>
      </c>
      <c r="AR1206" s="58" t="n">
        <f aca="false">IF(AND(OR(BU1206="L1",BU1206="L23"),AN1206&gt;0),SUMIFS($AN$7:$AN$1576,$BU$7:$BU$1576,BU1206,$AQ$7:$AQ$1576,"&gt;"&amp;AQ1206)+SUMIFS($AN$7:$AN$1576,$BU$7:$BU$1576,BU1206,$AQ$7:$AQ$1576,AQ1206,$BO$7:$BO$1576,"&lt;="&amp;BO1206),"")</f>
        <v>77.6426909989522</v>
      </c>
      <c r="AS1206" s="65" t="n">
        <f aca="false">IF(AR1206="",0,MAX(0,MIN(1,(IF(BU1206="L1",Parameter!$E$5,Parameter!$E$6+Parameter!$E$7)-(AR1206-AN1206))/AN1206)))</f>
        <v>1</v>
      </c>
      <c r="AT1206" s="57" t="n">
        <f aca="false">IF(LEFT(Cockpit!$O$5,1)="A",G1206,IF(BW1206=1,BX1206,IF(LEFT(Cockpit!$O$5,1)="B",AX1206,MAX(AX1206,G1206))))</f>
        <v>8</v>
      </c>
      <c r="AU1206" s="57" t="n">
        <f aca="false">IF(BR1206=1,0,ROUNDUP(AT1206/BQ1206,0))</f>
        <v>1</v>
      </c>
      <c r="AV1206" s="59" t="n">
        <f aca="false">IF(CD1206&gt;0,CD1206*MAX(1,AT1206/V1206),IF(BR1206=1,IF(AT1206&lt;=0,0,BS1206*MAX(1,IF(G1206&gt;0,AT1206/G1206,1))),IF(Q1206&gt;0,AU1206/Q1206,0))/MAX(0.1,N(Parameter!$M$21)))</f>
        <v>0.0833333333333333</v>
      </c>
      <c r="AW1206" s="57" t="n">
        <f aca="false">AT1206*F1206</f>
        <v>4067.6</v>
      </c>
      <c r="AX1206" s="57" t="n">
        <f aca="false">ROUNDUP(MAX(I1206/IF(BV1206&gt;0,BV1206,MAX(0.1,N(Cockpit!$O$6))),BY1206)/BQ1206,0)*BQ1206</f>
        <v>8</v>
      </c>
      <c r="AY1206" s="58" t="n">
        <f aca="false">IF(AV1206&gt;0,I1206/AV1206,-1)</f>
        <v>60</v>
      </c>
      <c r="AZ1206" s="58" t="n">
        <f aca="false">IF(AND(OR(BU1206="L1",BU1206="L23"),AV1206&gt;0),SUMIFS($AV$7:$AV$1576,$BU$7:$BU$1576,BU1206,$AY$7:$AY$1576,"&gt;"&amp;AY1206)+SUMIFS($AV$7:$AV$1576,$BU$7:$BU$1576,BU1206,$AY$7:$AY$1576,AY1206,$BO$7:$BO$1576,"&lt;="&amp;BO1206),"")</f>
        <v>75.8439081151693</v>
      </c>
      <c r="BA1206" s="65" t="n">
        <f aca="false">IF(AZ1206="",0,MAX(0,MIN(1,(IF(BU1206="L1",Parameter!$E$5,Parameter!$E$6+Parameter!$E$7)-(AZ1206-AV1206))/AV1206)))</f>
        <v>1</v>
      </c>
      <c r="BB1206" s="55" t="str">
        <f aca="false">IF(AF1206&lt;=0,"",IF(BU1206="Aussen","Aussenlager",IF(BU1206="-","Nicht im Lift",IF(AK1206&gt;=1,"Lift",IF(AK1206&lt;=0,"Aussenlager","teilweise")))))</f>
        <v/>
      </c>
      <c r="BC1206" s="55" t="str">
        <f aca="false">IF(AN1206&lt;=0,"",IF(BU1206="Aussen","Aussenlager",IF(BU1206="-","Nicht im Lift",IF(AS1206&gt;=1,"Lift",IF(AS1206&lt;=0,"Aussenlager","teilweise")))))</f>
        <v>Lift</v>
      </c>
      <c r="BD1206" s="55" t="str">
        <f aca="false">IF(AV1206&lt;=0,"",IF(BU1206="Aussen","Aussenlager",IF(BU1206="-","Nicht im Lift",IF(BA1206&gt;=1,"Lift",IF(BA1206&lt;=0,"Aussenlager","teilweise")))))</f>
        <v>Lift</v>
      </c>
      <c r="BE1206" s="55" t="str">
        <f aca="false">IF(A1206="","",IF(BN1206=1,"Neu; ","")&amp;IF(AND(BN1206=0,BI1206&lt;0),"negativer Bestand (Export "&amp;BI1206&amp;"); ","")&amp;IF(I1206&lt;=0,"Kein Verbrauch; ","")&amp;IF(CD1206&gt;0,"Lift "&amp;U1206&amp;" lt. Liftbericht (Fach "&amp;V1206&amp;" Stk); ",IF(BR1206=1,"Lose – Fläche geschätzt; ",""))&amp;IF(G1206&gt;AP1206,"Überbestand "&amp;ROUND(G1206-AP1206,0)&amp;" Stk / CHF "&amp;ROUND((G1206-AP1206)*F1206,0)&amp;"; ","")&amp;IF(AND(BW1206=1,BX1206&lt;BY1206),"MAX &lt; MB+LG; ","")&amp;IF(AND(CC1206&gt;0,CB1206*10&gt;CC1206),"zu hoch für Tablar; ","")&amp;IF(AND(BN1206=0,OR(BW1206=1,Y1206&lt;&gt;"",S1206&lt;&gt;"",T1206&lt;&gt;"",Z1206&lt;&gt;"")),"manuell übersteuert; ","")&amp;IF(AND(BR1206=0,Q1206=0),"Gebinde unbekannt / Stellmass fehlt; ","")&amp;IF(AND(BR1206=0,N(T1206)&lt;=0,N(P1206)&lt;=0),"Menge pro Gebinde fehlt (Ist = 1 Gebinde); ","")&amp;BM1206)</f>
        <v>negativer Bestand (Export -2); </v>
      </c>
      <c r="BF1206" s="55"/>
      <c r="BG1206" s="55"/>
      <c r="BH1206" s="62"/>
      <c r="BI1206" s="57" t="n">
        <v>-2</v>
      </c>
      <c r="BJ1206" s="57" t="n">
        <v>6</v>
      </c>
      <c r="BK1206" s="56" t="n">
        <v>-514.58</v>
      </c>
      <c r="BL1206" s="57" t="n">
        <v>5</v>
      </c>
      <c r="BM1206" s="55"/>
      <c r="BN1206" s="60" t="n">
        <v>0</v>
      </c>
      <c r="BO1206" s="60" t="n">
        <v>1206</v>
      </c>
      <c r="BP1206" s="55" t="str">
        <f aca="false">IF(S1206&lt;&gt;"",UPPER(TRIM(S1206)),IF(O1206="","LOSE",O1206))</f>
        <v>S63</v>
      </c>
      <c r="BQ1206" s="57" t="n">
        <f aca="false">IF(BP1206="LOSE",1,IF(N(T1206)&gt;0,T1206,IF(N(P1206)&gt;0,P1206,MAX(1,G1206))))</f>
        <v>8</v>
      </c>
      <c r="BR1206" s="60" t="n">
        <f aca="false">IF(BP1206="LOSE",1,0)</f>
        <v>0</v>
      </c>
      <c r="BS1206" s="59" t="n">
        <f aca="false">IF(BR1206=0,0,IF(N(R1206)&gt;0,R1206,IFERROR(VLOOKUP(D1206,Parameter!$A$35:$C$64,3,0)+0,0)))</f>
        <v>0</v>
      </c>
      <c r="BT1206" s="55" t="n">
        <f aca="false">IF(Y1206&lt;&gt;"",Y1206,X1206)</f>
        <v>2</v>
      </c>
      <c r="BU1206" s="55" t="str">
        <f aca="false">IF(BT1206=1,"L1",IF(OR(BT1206=2,BT1206=3),"L23",IF(BT1206="Aussen","Aussen","-")))</f>
        <v>L23</v>
      </c>
      <c r="BV1206" s="66" t="n">
        <f aca="false">IF(N(Z1206)&gt;0,Z1206,0)</f>
        <v>0</v>
      </c>
      <c r="BW1206" s="60" t="n">
        <f aca="false">IF(ISNUMBER(AC1206),1,0)</f>
        <v>0</v>
      </c>
      <c r="BX1206" s="57" t="n">
        <f aca="false">N(AC1206)</f>
        <v>0</v>
      </c>
      <c r="BY1206" s="57" t="n">
        <f aca="false">N(L1206)+N(M1206)</f>
        <v>5</v>
      </c>
      <c r="BZ1206" s="57" t="n">
        <f aca="false">ROUNDUP(G1206/BQ1206,0)</f>
        <v>0</v>
      </c>
      <c r="CA1206" s="57" t="n">
        <f aca="false">ROUNDUP(BX1206/BQ1206,0)</f>
        <v>0</v>
      </c>
      <c r="CB1206" s="60" t="n">
        <f aca="false">IF(BR1206=1,0,IFERROR(VLOOKUP(BP1206,'Gebinde-Kategorie'!$A$5:$M$45,5,0)+0,0))</f>
        <v>31</v>
      </c>
      <c r="CC1206" s="60" t="n">
        <f aca="false">IFERROR(IF(OR(BT1206=1,BT1206=2,BT1206=3),N(INDEX(Parameter!$I$5:$I$7,BT1206)),0),0)</f>
        <v>0</v>
      </c>
      <c r="CD1206" s="59" t="n">
        <f aca="false">IF(AND(Parameter!$B$21="Ja",ISNUMBER(U1206),N(V1206)&gt;0),IFERROR(N(INDEX(Parameter!$L$5:$L$7,U1206))*INDEX(Parameter!$E$5:$E$7,U1206)*V1206/SUMIFS($V$7:$V$1576,$U$7:$U$1576,U1206),0),0)</f>
        <v>0</v>
      </c>
    </row>
    <row r="1207" customFormat="false" ht="15" hidden="false" customHeight="false" outlineLevel="0" collapsed="false">
      <c r="A1207" s="55" t="s">
        <v>2155</v>
      </c>
      <c r="B1207" s="55" t="s">
        <v>2156</v>
      </c>
      <c r="C1207" s="55" t="s">
        <v>160</v>
      </c>
      <c r="D1207" s="55" t="s">
        <v>178</v>
      </c>
      <c r="E1207" s="55" t="s">
        <v>210</v>
      </c>
      <c r="F1207" s="56" t="n">
        <v>103.28</v>
      </c>
      <c r="G1207" s="57" t="n">
        <f aca="false">MAX(0,IF(AND(Parameter!$B$21="Ja",ISNUMBER(W1207)),W1207,IF(Parameter!$B$20="Jahresanfang 2025 + Export",BJ1207+BI1207,BI1207)))</f>
        <v>0</v>
      </c>
      <c r="H1207" s="57" t="n">
        <f aca="false">G1207*F1207</f>
        <v>0</v>
      </c>
      <c r="I1207" s="57" t="n">
        <f aca="false">BL1207*Parameter!$B$18</f>
        <v>2</v>
      </c>
      <c r="J1207" s="58" t="n">
        <v>22</v>
      </c>
      <c r="K1207" s="59" t="n">
        <v>0.0909090909090909</v>
      </c>
      <c r="L1207" s="57" t="n">
        <v>0</v>
      </c>
      <c r="M1207" s="57" t="n">
        <v>1</v>
      </c>
      <c r="N1207" s="60" t="n">
        <v>21</v>
      </c>
      <c r="O1207" s="55" t="s">
        <v>319</v>
      </c>
      <c r="P1207" s="57" t="n">
        <v>30</v>
      </c>
      <c r="Q1207" s="60" t="n">
        <f aca="false">IF(BR1207=1,0,IFERROR(VLOOKUP(BP1207,'Gebinde-Kategorie'!$A$5:$M$45,13,0)+0,0))</f>
        <v>52</v>
      </c>
      <c r="R1207" s="61"/>
      <c r="S1207" s="62"/>
      <c r="T1207" s="62"/>
      <c r="U1207" s="55"/>
      <c r="V1207" s="57"/>
      <c r="W1207" s="57"/>
      <c r="X1207" s="55" t="n">
        <f aca="false">IF(A1207="","",IF(AND(Parameter!$B$21="Ja",ISNUMBER(U1207)),U1207,IF(IFERROR(VLOOKUP(D1207,Parameter!$A$35:$C$64,2,0),"Nein")="2+3",IF(ISNUMBER(SEARCH("grosser Artikel",BM1207)),2,IFERROR(VLOOKUP(BP1207,Parameter!$F$35:$G$64,2,0),2)),IF(OR(IFERROR(VLOOKUP(D1207,Parameter!$A$35:$C$64,2,0),"Nein")="Nein",IFERROR(VLOOKUP(D1207,Parameter!$A$35:$C$64,2,0),"Nein")=""),"-",VLOOKUP(D1207,Parameter!$A$35:$C$64,2,0)))))</f>
        <v>3</v>
      </c>
      <c r="Y1207" s="62"/>
      <c r="Z1207" s="63"/>
      <c r="AA1207" s="57" t="n">
        <f aca="false">AP1207</f>
        <v>30</v>
      </c>
      <c r="AB1207" s="57" t="n">
        <f aca="false">MAX(AP1207,G1207)</f>
        <v>30</v>
      </c>
      <c r="AC1207" s="64"/>
      <c r="AD1207" s="57" t="n">
        <f aca="false">IF(LEFT(Cockpit!$C$5,1)="A",G1207,IF(BW1207=1,BX1207,IF(LEFT(Cockpit!$C$5,1)="B",AH1207,MAX(AH1207,G1207))))</f>
        <v>0</v>
      </c>
      <c r="AE1207" s="57" t="n">
        <f aca="false">IF(BR1207=1,0,ROUNDUP(AD1207/BQ1207,0))</f>
        <v>0</v>
      </c>
      <c r="AF1207" s="59" t="n">
        <f aca="false">IF(CD1207&gt;0,CD1207*MAX(1,AD1207/V1207),IF(BR1207=1,IF(AD1207&lt;=0,0,BS1207*MAX(1,IF(G1207&gt;0,AD1207/G1207,1))),IF(Q1207&gt;0,AE1207/Q1207,0))/MAX(0.1,N(Parameter!$M$21)))</f>
        <v>0</v>
      </c>
      <c r="AG1207" s="57" t="n">
        <f aca="false">AD1207*F1207</f>
        <v>0</v>
      </c>
      <c r="AH1207" s="57" t="n">
        <f aca="false">ROUNDUP(MAX(I1207/IF(BV1207&gt;0,BV1207,MAX(0.1,N(Cockpit!$C$6))),BY1207)/BQ1207,0)*BQ1207</f>
        <v>30</v>
      </c>
      <c r="AI1207" s="58" t="n">
        <f aca="false">IF(AF1207&gt;0,I1207/AF1207,-1)</f>
        <v>-1</v>
      </c>
      <c r="AJ1207" s="58" t="str">
        <f aca="false">IF(AND(OR(BU1207="L1",BU1207="L23"),AF1207&gt;0),SUMIFS($AF$7:$AF$1576,$BU$7:$BU$1576,BU1207,$AI$7:$AI$1576,"&gt;"&amp;AI1207)+SUMIFS($AF$7:$AF$1576,$BU$7:$BU$1576,BU1207,$AI$7:$AI$1576,AI1207,$BO$7:$BO$1576,"&lt;="&amp;BO1207),"")</f>
        <v/>
      </c>
      <c r="AK1207" s="65" t="n">
        <f aca="false">IF(AJ1207="",0,MAX(0,MIN(1,(IF(BU1207="L1",Parameter!$E$5,Parameter!$E$6+Parameter!$E$7)-(AJ1207-AF1207))/AF1207)))</f>
        <v>0</v>
      </c>
      <c r="AL1207" s="57" t="n">
        <f aca="false">IF(LEFT(Cockpit!$I$5,1)="A",G1207,IF(BW1207=1,BX1207,IF(LEFT(Cockpit!$I$5,1)="B",AP1207,MAX(AP1207,G1207))))</f>
        <v>30</v>
      </c>
      <c r="AM1207" s="57" t="n">
        <f aca="false">IF(BR1207=1,0,ROUNDUP(AL1207/BQ1207,0))</f>
        <v>1</v>
      </c>
      <c r="AN1207" s="59" t="n">
        <f aca="false">IF(CD1207&gt;0,CD1207*MAX(1,AL1207/V1207),IF(BR1207=1,IF(AL1207&lt;=0,0,BS1207*MAX(1,IF(G1207&gt;0,AL1207/G1207,1))),IF(Q1207&gt;0,AM1207/Q1207,0))/MAX(0.1,N(Parameter!$M$21)))</f>
        <v>0.0192307692307692</v>
      </c>
      <c r="AO1207" s="57" t="n">
        <f aca="false">AL1207*F1207</f>
        <v>3098.4</v>
      </c>
      <c r="AP1207" s="57" t="n">
        <f aca="false">ROUNDUP(MAX(I1207/IF(BV1207&gt;0,BV1207,MAX(0.1,N(Cockpit!$I$6))),BY1207)/BQ1207,0)*BQ1207</f>
        <v>30</v>
      </c>
      <c r="AQ1207" s="58" t="n">
        <f aca="false">IF(AN1207&gt;0,I1207/AN1207,-1)</f>
        <v>104</v>
      </c>
      <c r="AR1207" s="58" t="n">
        <f aca="false">IF(AND(OR(BU1207="L1",BU1207="L23"),AN1207&gt;0),SUMIFS($AN$7:$AN$1576,$BU$7:$BU$1576,BU1207,$AQ$7:$AQ$1576,"&gt;"&amp;AQ1207)+SUMIFS($AN$7:$AN$1576,$BU$7:$BU$1576,BU1207,$AQ$7:$AQ$1576,AQ1207,$BO$7:$BO$1576,"&lt;="&amp;BO1207),"")</f>
        <v>68.7149831512443</v>
      </c>
      <c r="AS1207" s="65" t="n">
        <f aca="false">IF(AR1207="",0,MAX(0,MIN(1,(IF(BU1207="L1",Parameter!$E$5,Parameter!$E$6+Parameter!$E$7)-(AR1207-AN1207))/AN1207)))</f>
        <v>1</v>
      </c>
      <c r="AT1207" s="57" t="n">
        <f aca="false">IF(LEFT(Cockpit!$O$5,1)="A",G1207,IF(BW1207=1,BX1207,IF(LEFT(Cockpit!$O$5,1)="B",AX1207,MAX(AX1207,G1207))))</f>
        <v>30</v>
      </c>
      <c r="AU1207" s="57" t="n">
        <f aca="false">IF(BR1207=1,0,ROUNDUP(AT1207/BQ1207,0))</f>
        <v>1</v>
      </c>
      <c r="AV1207" s="59" t="n">
        <f aca="false">IF(CD1207&gt;0,CD1207*MAX(1,AT1207/V1207),IF(BR1207=1,IF(AT1207&lt;=0,0,BS1207*MAX(1,IF(G1207&gt;0,AT1207/G1207,1))),IF(Q1207&gt;0,AU1207/Q1207,0))/MAX(0.1,N(Parameter!$M$21)))</f>
        <v>0.0192307692307692</v>
      </c>
      <c r="AW1207" s="57" t="n">
        <f aca="false">AT1207*F1207</f>
        <v>3098.4</v>
      </c>
      <c r="AX1207" s="57" t="n">
        <f aca="false">ROUNDUP(MAX(I1207/IF(BV1207&gt;0,BV1207,MAX(0.1,N(Cockpit!$O$6))),BY1207)/BQ1207,0)*BQ1207</f>
        <v>30</v>
      </c>
      <c r="AY1207" s="58" t="n">
        <f aca="false">IF(AV1207&gt;0,I1207/AV1207,-1)</f>
        <v>104</v>
      </c>
      <c r="AZ1207" s="58" t="n">
        <f aca="false">IF(AND(OR(BU1207="L1",BU1207="L23"),AV1207&gt;0),SUMIFS($AV$7:$AV$1576,$BU$7:$BU$1576,BU1207,$AY$7:$AY$1576,"&gt;"&amp;AY1207)+SUMIFS($AV$7:$AV$1576,$BU$7:$BU$1576,BU1207,$AY$7:$AY$1576,AY1207,$BO$7:$BO$1576,"&lt;="&amp;BO1207),"")</f>
        <v>63.2753669341281</v>
      </c>
      <c r="BA1207" s="65" t="n">
        <f aca="false">IF(AZ1207="",0,MAX(0,MIN(1,(IF(BU1207="L1",Parameter!$E$5,Parameter!$E$6+Parameter!$E$7)-(AZ1207-AV1207))/AV1207)))</f>
        <v>1</v>
      </c>
      <c r="BB1207" s="55" t="str">
        <f aca="false">IF(AF1207&lt;=0,"",IF(BU1207="Aussen","Aussenlager",IF(BU1207="-","Nicht im Lift",IF(AK1207&gt;=1,"Lift",IF(AK1207&lt;=0,"Aussenlager","teilweise")))))</f>
        <v/>
      </c>
      <c r="BC1207" s="55" t="str">
        <f aca="false">IF(AN1207&lt;=0,"",IF(BU1207="Aussen","Aussenlager",IF(BU1207="-","Nicht im Lift",IF(AS1207&gt;=1,"Lift",IF(AS1207&lt;=0,"Aussenlager","teilweise")))))</f>
        <v>Lift</v>
      </c>
      <c r="BD1207" s="55" t="str">
        <f aca="false">IF(AV1207&lt;=0,"",IF(BU1207="Aussen","Aussenlager",IF(BU1207="-","Nicht im Lift",IF(BA1207&gt;=1,"Lift",IF(BA1207&lt;=0,"Aussenlager","teilweise")))))</f>
        <v>Lift</v>
      </c>
      <c r="BE1207" s="55" t="str">
        <f aca="false">IF(A1207="","",IF(BN1207=1,"Neu; ","")&amp;IF(AND(BN1207=0,BI1207&lt;0),"negativer Bestand (Export "&amp;BI1207&amp;"); ","")&amp;IF(I1207&lt;=0,"Kein Verbrauch; ","")&amp;IF(CD1207&gt;0,"Lift "&amp;U1207&amp;" lt. Liftbericht (Fach "&amp;V1207&amp;" Stk); ",IF(BR1207=1,"Lose – Fläche geschätzt; ",""))&amp;IF(G1207&gt;AP1207,"Überbestand "&amp;ROUND(G1207-AP1207,0)&amp;" Stk / CHF "&amp;ROUND((G1207-AP1207)*F1207,0)&amp;"; ","")&amp;IF(AND(BW1207=1,BX1207&lt;BY1207),"MAX &lt; MB+LG; ","")&amp;IF(AND(CC1207&gt;0,CB1207*10&gt;CC1207),"zu hoch für Tablar; ","")&amp;IF(AND(BN1207=0,OR(BW1207=1,Y1207&lt;&gt;"",S1207&lt;&gt;"",T1207&lt;&gt;"",Z1207&lt;&gt;"")),"manuell übersteuert; ","")&amp;IF(AND(BR1207=0,Q1207=0),"Gebinde unbekannt / Stellmass fehlt; ","")&amp;IF(AND(BR1207=0,N(T1207)&lt;=0,N(P1207)&lt;=0),"Menge pro Gebinde fehlt (Ist = 1 Gebinde); ","")&amp;BM1207)</f>
        <v>negativer Bestand (Export -5); </v>
      </c>
      <c r="BF1207" s="55"/>
      <c r="BG1207" s="55"/>
      <c r="BH1207" s="62"/>
      <c r="BI1207" s="57" t="n">
        <v>-5</v>
      </c>
      <c r="BJ1207" s="57" t="n">
        <v>23</v>
      </c>
      <c r="BK1207" s="56" t="n">
        <v>-516.4</v>
      </c>
      <c r="BL1207" s="57" t="n">
        <v>2</v>
      </c>
      <c r="BM1207" s="55"/>
      <c r="BN1207" s="60" t="n">
        <v>0</v>
      </c>
      <c r="BO1207" s="60" t="n">
        <v>1207</v>
      </c>
      <c r="BP1207" s="55" t="str">
        <f aca="false">IF(S1207&lt;&gt;"",UPPER(TRIM(S1207)),IF(O1207="","LOSE",O1207))</f>
        <v>S41</v>
      </c>
      <c r="BQ1207" s="57" t="n">
        <f aca="false">IF(BP1207="LOSE",1,IF(N(T1207)&gt;0,T1207,IF(N(P1207)&gt;0,P1207,MAX(1,G1207))))</f>
        <v>30</v>
      </c>
      <c r="BR1207" s="60" t="n">
        <f aca="false">IF(BP1207="LOSE",1,0)</f>
        <v>0</v>
      </c>
      <c r="BS1207" s="59" t="n">
        <f aca="false">IF(BR1207=0,0,IF(N(R1207)&gt;0,R1207,IFERROR(VLOOKUP(D1207,Parameter!$A$35:$C$64,3,0)+0,0)))</f>
        <v>0</v>
      </c>
      <c r="BT1207" s="55" t="n">
        <f aca="false">IF(Y1207&lt;&gt;"",Y1207,X1207)</f>
        <v>3</v>
      </c>
      <c r="BU1207" s="55" t="str">
        <f aca="false">IF(BT1207=1,"L1",IF(OR(BT1207=2,BT1207=3),"L23",IF(BT1207="Aussen","Aussen","-")))</f>
        <v>L23</v>
      </c>
      <c r="BV1207" s="66" t="n">
        <f aca="false">IF(N(Z1207)&gt;0,Z1207,0)</f>
        <v>0</v>
      </c>
      <c r="BW1207" s="60" t="n">
        <f aca="false">IF(ISNUMBER(AC1207),1,0)</f>
        <v>0</v>
      </c>
      <c r="BX1207" s="57" t="n">
        <f aca="false">N(AC1207)</f>
        <v>0</v>
      </c>
      <c r="BY1207" s="57" t="n">
        <f aca="false">N(L1207)+N(M1207)</f>
        <v>1</v>
      </c>
      <c r="BZ1207" s="57" t="n">
        <f aca="false">ROUNDUP(G1207/BQ1207,0)</f>
        <v>0</v>
      </c>
      <c r="CA1207" s="57" t="n">
        <f aca="false">ROUNDUP(BX1207/BQ1207,0)</f>
        <v>0</v>
      </c>
      <c r="CB1207" s="60" t="n">
        <f aca="false">IF(BR1207=1,0,IFERROR(VLOOKUP(BP1207,'Gebinde-Kategorie'!$A$5:$M$45,5,0)+0,0))</f>
        <v>11</v>
      </c>
      <c r="CC1207" s="60" t="n">
        <f aca="false">IFERROR(IF(OR(BT1207=1,BT1207=2,BT1207=3),N(INDEX(Parameter!$I$5:$I$7,BT1207)),0),0)</f>
        <v>0</v>
      </c>
      <c r="CD1207" s="59" t="n">
        <f aca="false">IF(AND(Parameter!$B$21="Ja",ISNUMBER(U1207),N(V1207)&gt;0),IFERROR(N(INDEX(Parameter!$L$5:$L$7,U1207))*INDEX(Parameter!$E$5:$E$7,U1207)*V1207/SUMIFS($V$7:$V$1576,$U$7:$U$1576,U1207),0),0)</f>
        <v>0</v>
      </c>
    </row>
    <row r="1208" customFormat="false" ht="15" hidden="false" customHeight="false" outlineLevel="0" collapsed="false">
      <c r="A1208" s="55" t="s">
        <v>2157</v>
      </c>
      <c r="B1208" s="55" t="s">
        <v>288</v>
      </c>
      <c r="C1208" s="55" t="s">
        <v>160</v>
      </c>
      <c r="D1208" s="55" t="s">
        <v>161</v>
      </c>
      <c r="E1208" s="55" t="s">
        <v>210</v>
      </c>
      <c r="F1208" s="56" t="n">
        <v>257.76</v>
      </c>
      <c r="G1208" s="57" t="n">
        <f aca="false">MAX(0,IF(AND(Parameter!$B$21="Ja",ISNUMBER(W1208)),W1208,IF(Parameter!$B$20="Jahresanfang 2025 + Export",BJ1208+BI1208,BI1208)))</f>
        <v>16</v>
      </c>
      <c r="H1208" s="57" t="n">
        <f aca="false">G1208*F1208</f>
        <v>4124.16</v>
      </c>
      <c r="I1208" s="57" t="n">
        <f aca="false">BL1208*Parameter!$B$18</f>
        <v>16</v>
      </c>
      <c r="J1208" s="58" t="n">
        <v>25.5</v>
      </c>
      <c r="K1208" s="59" t="n">
        <v>0.627450980392157</v>
      </c>
      <c r="L1208" s="57" t="n">
        <v>3</v>
      </c>
      <c r="M1208" s="57" t="n">
        <v>10</v>
      </c>
      <c r="N1208" s="60" t="n">
        <v>70</v>
      </c>
      <c r="O1208" s="55" t="s">
        <v>163</v>
      </c>
      <c r="P1208" s="57"/>
      <c r="Q1208" s="60" t="n">
        <f aca="false">IF(BR1208=1,0,IFERROR(VLOOKUP(BP1208,'Gebinde-Kategorie'!$A$5:$M$45,13,0)+0,0))</f>
        <v>0</v>
      </c>
      <c r="R1208" s="61"/>
      <c r="S1208" s="62"/>
      <c r="T1208" s="62"/>
      <c r="U1208" s="55" t="n">
        <v>1</v>
      </c>
      <c r="V1208" s="57" t="n">
        <v>35</v>
      </c>
      <c r="W1208" s="57" t="n">
        <v>16</v>
      </c>
      <c r="X1208" s="55" t="n">
        <f aca="false">IF(A1208="","",IF(AND(Parameter!$B$21="Ja",ISNUMBER(U1208)),U1208,IF(IFERROR(VLOOKUP(D1208,Parameter!$A$35:$C$64,2,0),"Nein")="2+3",IF(ISNUMBER(SEARCH("grosser Artikel",BM1208)),2,IFERROR(VLOOKUP(BP1208,Parameter!$F$35:$G$64,2,0),2)),IF(OR(IFERROR(VLOOKUP(D1208,Parameter!$A$35:$C$64,2,0),"Nein")="Nein",IFERROR(VLOOKUP(D1208,Parameter!$A$35:$C$64,2,0),"Nein")=""),"-",VLOOKUP(D1208,Parameter!$A$35:$C$64,2,0)))))</f>
        <v>1</v>
      </c>
      <c r="Y1208" s="62"/>
      <c r="Z1208" s="63"/>
      <c r="AA1208" s="57" t="n">
        <f aca="false">AP1208</f>
        <v>13</v>
      </c>
      <c r="AB1208" s="57" t="n">
        <f aca="false">MAX(AP1208,G1208)</f>
        <v>16</v>
      </c>
      <c r="AC1208" s="64"/>
      <c r="AD1208" s="57" t="n">
        <f aca="false">IF(LEFT(Cockpit!$C$5,1)="A",G1208,IF(BW1208=1,BX1208,IF(LEFT(Cockpit!$C$5,1)="B",AH1208,MAX(AH1208,G1208))))</f>
        <v>16</v>
      </c>
      <c r="AE1208" s="57" t="n">
        <f aca="false">IF(BR1208=1,0,ROUNDUP(AD1208/BQ1208,0))</f>
        <v>0</v>
      </c>
      <c r="AF1208" s="59" t="n">
        <f aca="false">IF(CD1208&gt;0,CD1208*MAX(1,AD1208/V1208),IF(BR1208=1,IF(AD1208&lt;=0,0,BS1208*MAX(1,IF(G1208&gt;0,AD1208/G1208,1))),IF(Q1208&gt;0,AE1208/Q1208,0))/MAX(0.1,N(Parameter!$M$21)))</f>
        <v>2.80131826741996</v>
      </c>
      <c r="AG1208" s="57" t="n">
        <f aca="false">AD1208*F1208</f>
        <v>4124.16</v>
      </c>
      <c r="AH1208" s="57" t="n">
        <f aca="false">ROUNDUP(MAX(I1208/IF(BV1208&gt;0,BV1208,MAX(0.1,N(Cockpit!$C$6))),BY1208)/BQ1208,0)*BQ1208</f>
        <v>13</v>
      </c>
      <c r="AI1208" s="58" t="n">
        <f aca="false">IF(AF1208&gt;0,I1208/AF1208,-1)</f>
        <v>5.71159663865546</v>
      </c>
      <c r="AJ1208" s="58" t="n">
        <f aca="false">IF(AND(OR(BU1208="L1",BU1208="L23"),AF1208&gt;0),SUMIFS($AF$7:$AF$1576,$BU$7:$BU$1576,BU1208,$AI$7:$AI$1576,"&gt;"&amp;AI1208)+SUMIFS($AF$7:$AF$1576,$BU$7:$BU$1576,BU1208,$AI$7:$AI$1576,AI1208,$BO$7:$BO$1576,"&lt;="&amp;BO1208),"")</f>
        <v>30.9745762711864</v>
      </c>
      <c r="AK1208" s="65" t="n">
        <f aca="false">IF(AJ1208="",0,MAX(0,MIN(1,(IF(BU1208="L1",Parameter!$E$5,Parameter!$E$6+Parameter!$E$7)-(AJ1208-AF1208))/AF1208)))</f>
        <v>1</v>
      </c>
      <c r="AL1208" s="57" t="n">
        <f aca="false">IF(LEFT(Cockpit!$I$5,1)="A",G1208,IF(BW1208=1,BX1208,IF(LEFT(Cockpit!$I$5,1)="B",AP1208,MAX(AP1208,G1208))))</f>
        <v>16</v>
      </c>
      <c r="AM1208" s="57" t="n">
        <f aca="false">IF(BR1208=1,0,ROUNDUP(AL1208/BQ1208,0))</f>
        <v>0</v>
      </c>
      <c r="AN1208" s="59" t="n">
        <f aca="false">IF(CD1208&gt;0,CD1208*MAX(1,AL1208/V1208),IF(BR1208=1,IF(AL1208&lt;=0,0,BS1208*MAX(1,IF(G1208&gt;0,AL1208/G1208,1))),IF(Q1208&gt;0,AM1208/Q1208,0))/MAX(0.1,N(Parameter!$M$21)))</f>
        <v>2.80131826741996</v>
      </c>
      <c r="AO1208" s="57" t="n">
        <f aca="false">AL1208*F1208</f>
        <v>4124.16</v>
      </c>
      <c r="AP1208" s="57" t="n">
        <f aca="false">ROUNDUP(MAX(I1208/IF(BV1208&gt;0,BV1208,MAX(0.1,N(Cockpit!$I$6))),BY1208)/BQ1208,0)*BQ1208</f>
        <v>13</v>
      </c>
      <c r="AQ1208" s="58" t="n">
        <f aca="false">IF(AN1208&gt;0,I1208/AN1208,-1)</f>
        <v>5.71159663865546</v>
      </c>
      <c r="AR1208" s="58" t="n">
        <f aca="false">IF(AND(OR(BU1208="L1",BU1208="L23"),AN1208&gt;0),SUMIFS($AN$7:$AN$1576,$BU$7:$BU$1576,BU1208,$AQ$7:$AQ$1576,"&gt;"&amp;AQ1208)+SUMIFS($AN$7:$AN$1576,$BU$7:$BU$1576,BU1208,$AQ$7:$AQ$1576,AQ1208,$BO$7:$BO$1576,"&lt;="&amp;BO1208),"")</f>
        <v>36.4171374764595</v>
      </c>
      <c r="AS1208" s="65" t="n">
        <f aca="false">IF(AR1208="",0,MAX(0,MIN(1,(IF(BU1208="L1",Parameter!$E$5,Parameter!$E$6+Parameter!$E$7)-(AR1208-AN1208))/AN1208)))</f>
        <v>1</v>
      </c>
      <c r="AT1208" s="57" t="n">
        <f aca="false">IF(LEFT(Cockpit!$O$5,1)="A",G1208,IF(BW1208=1,BX1208,IF(LEFT(Cockpit!$O$5,1)="B",AX1208,MAX(AX1208,G1208))))</f>
        <v>16</v>
      </c>
      <c r="AU1208" s="57" t="n">
        <f aca="false">IF(BR1208=1,0,ROUNDUP(AT1208/BQ1208,0))</f>
        <v>0</v>
      </c>
      <c r="AV1208" s="59" t="n">
        <f aca="false">IF(CD1208&gt;0,CD1208*MAX(1,AT1208/V1208),IF(BR1208=1,IF(AT1208&lt;=0,0,BS1208*MAX(1,IF(G1208&gt;0,AT1208/G1208,1))),IF(Q1208&gt;0,AU1208/Q1208,0))/MAX(0.1,N(Parameter!$M$21)))</f>
        <v>2.80131826741996</v>
      </c>
      <c r="AW1208" s="57" t="n">
        <f aca="false">AT1208*F1208</f>
        <v>4124.16</v>
      </c>
      <c r="AX1208" s="57" t="n">
        <f aca="false">ROUNDUP(MAX(I1208/IF(BV1208&gt;0,BV1208,MAX(0.1,N(Cockpit!$O$6))),BY1208)/BQ1208,0)*BQ1208</f>
        <v>13</v>
      </c>
      <c r="AY1208" s="58" t="n">
        <f aca="false">IF(AV1208&gt;0,I1208/AV1208,-1)</f>
        <v>5.71159663865546</v>
      </c>
      <c r="AZ1208" s="58" t="n">
        <f aca="false">IF(AND(OR(BU1208="L1",BU1208="L23"),AV1208&gt;0),SUMIFS($AV$7:$AV$1576,$BU$7:$BU$1576,BU1208,$AY$7:$AY$1576,"&gt;"&amp;AY1208)+SUMIFS($AV$7:$AV$1576,$BU$7:$BU$1576,BU1208,$AY$7:$AY$1576,AY1208,$BO$7:$BO$1576,"&lt;="&amp;BO1208),"")</f>
        <v>33.4557438794727</v>
      </c>
      <c r="BA1208" s="65" t="n">
        <f aca="false">IF(AZ1208="",0,MAX(0,MIN(1,(IF(BU1208="L1",Parameter!$E$5,Parameter!$E$6+Parameter!$E$7)-(AZ1208-AV1208))/AV1208)))</f>
        <v>1</v>
      </c>
      <c r="BB1208" s="55" t="str">
        <f aca="false">IF(AF1208&lt;=0,"",IF(BU1208="Aussen","Aussenlager",IF(BU1208="-","Nicht im Lift",IF(AK1208&gt;=1,"Lift",IF(AK1208&lt;=0,"Aussenlager","teilweise")))))</f>
        <v>Lift</v>
      </c>
      <c r="BC1208" s="55" t="str">
        <f aca="false">IF(AN1208&lt;=0,"",IF(BU1208="Aussen","Aussenlager",IF(BU1208="-","Nicht im Lift",IF(AS1208&gt;=1,"Lift",IF(AS1208&lt;=0,"Aussenlager","teilweise")))))</f>
        <v>Lift</v>
      </c>
      <c r="BD1208" s="55" t="str">
        <f aca="false">IF(AV1208&lt;=0,"",IF(BU1208="Aussen","Aussenlager",IF(BU1208="-","Nicht im Lift",IF(BA1208&gt;=1,"Lift",IF(BA1208&lt;=0,"Aussenlager","teilweise")))))</f>
        <v>Lift</v>
      </c>
      <c r="BE1208" s="55" t="str">
        <f aca="false">IF(A1208="","",IF(BN1208=1,"Neu; ","")&amp;IF(AND(BN1208=0,BI1208&lt;0),"negativer Bestand (Export "&amp;BI1208&amp;"); ","")&amp;IF(I1208&lt;=0,"Kein Verbrauch; ","")&amp;IF(CD1208&gt;0,"Lift "&amp;U1208&amp;" lt. Liftbericht (Fach "&amp;V1208&amp;" Stk); ",IF(BR1208=1,"Lose – Fläche geschätzt; ",""))&amp;IF(G1208&gt;AP1208,"Überbestand "&amp;ROUND(G1208-AP1208,0)&amp;" Stk / CHF "&amp;ROUND((G1208-AP1208)*F1208,0)&amp;"; ","")&amp;IF(AND(BW1208=1,BX1208&lt;BY1208),"MAX &lt; MB+LG; ","")&amp;IF(AND(CC1208&gt;0,CB1208*10&gt;CC1208),"zu hoch für Tablar; ","")&amp;IF(AND(BN1208=0,OR(BW1208=1,Y1208&lt;&gt;"",S1208&lt;&gt;"",T1208&lt;&gt;"",Z1208&lt;&gt;"")),"manuell übersteuert; ","")&amp;IF(AND(BR1208=0,Q1208=0),"Gebinde unbekannt / Stellmass fehlt; ","")&amp;IF(AND(BR1208=0,N(T1208)&lt;=0,N(P1208)&lt;=0),"Menge pro Gebinde fehlt (Ist = 1 Gebinde); ","")&amp;BM1208)</f>
        <v>negativer Bestand (Export -3); Lift 1 lt. Liftbericht (Fach 35 Stk); Überbestand 3 Stk / CHF 773; </v>
      </c>
      <c r="BF1208" s="55"/>
      <c r="BG1208" s="55"/>
      <c r="BH1208" s="62"/>
      <c r="BI1208" s="57" t="n">
        <v>-3</v>
      </c>
      <c r="BJ1208" s="57" t="n">
        <v>21</v>
      </c>
      <c r="BK1208" s="56" t="n">
        <v>-516.87</v>
      </c>
      <c r="BL1208" s="57" t="n">
        <v>16</v>
      </c>
      <c r="BM1208" s="55"/>
      <c r="BN1208" s="60" t="n">
        <v>0</v>
      </c>
      <c r="BO1208" s="60" t="n">
        <v>1208</v>
      </c>
      <c r="BP1208" s="55" t="str">
        <f aca="false">IF(S1208&lt;&gt;"",UPPER(TRIM(S1208)),IF(O1208="","LOSE",O1208))</f>
        <v>LOSE</v>
      </c>
      <c r="BQ1208" s="57" t="n">
        <f aca="false">IF(BP1208="LOSE",1,IF(N(T1208)&gt;0,T1208,IF(N(P1208)&gt;0,P1208,MAX(1,G1208))))</f>
        <v>1</v>
      </c>
      <c r="BR1208" s="60" t="n">
        <f aca="false">IF(BP1208="LOSE",1,0)</f>
        <v>1</v>
      </c>
      <c r="BS1208" s="59" t="n">
        <f aca="false">IF(BR1208=0,0,IF(N(R1208)&gt;0,R1208,IFERROR(VLOOKUP(D1208,Parameter!$A$35:$C$64,3,0)+0,0)))</f>
        <v>1</v>
      </c>
      <c r="BT1208" s="55" t="n">
        <f aca="false">IF(Y1208&lt;&gt;"",Y1208,X1208)</f>
        <v>1</v>
      </c>
      <c r="BU1208" s="55" t="str">
        <f aca="false">IF(BT1208=1,"L1",IF(OR(BT1208=2,BT1208=3),"L23",IF(BT1208="Aussen","Aussen","-")))</f>
        <v>L1</v>
      </c>
      <c r="BV1208" s="66" t="n">
        <f aca="false">IF(N(Z1208)&gt;0,Z1208,0)</f>
        <v>0</v>
      </c>
      <c r="BW1208" s="60" t="n">
        <f aca="false">IF(ISNUMBER(AC1208),1,0)</f>
        <v>0</v>
      </c>
      <c r="BX1208" s="57" t="n">
        <f aca="false">N(AC1208)</f>
        <v>0</v>
      </c>
      <c r="BY1208" s="57" t="n">
        <f aca="false">N(L1208)+N(M1208)</f>
        <v>13</v>
      </c>
      <c r="BZ1208" s="57" t="n">
        <f aca="false">ROUNDUP(G1208/BQ1208,0)</f>
        <v>16</v>
      </c>
      <c r="CA1208" s="57" t="n">
        <f aca="false">ROUNDUP(BX1208/BQ1208,0)</f>
        <v>0</v>
      </c>
      <c r="CB1208" s="60" t="n">
        <f aca="false">IF(BR1208=1,0,IFERROR(VLOOKUP(BP1208,'Gebinde-Kategorie'!$A$5:$M$45,5,0)+0,0))</f>
        <v>0</v>
      </c>
      <c r="CC1208" s="60" t="n">
        <f aca="false">IFERROR(IF(OR(BT1208=1,BT1208=2,BT1208=3),N(INDEX(Parameter!$I$5:$I$7,BT1208)),0),0)</f>
        <v>0</v>
      </c>
      <c r="CD1208" s="59" t="n">
        <f aca="false">IF(AND(Parameter!$B$21="Ja",ISNUMBER(U1208),N(V1208)&gt;0),IFERROR(N(INDEX(Parameter!$L$5:$L$7,U1208))*INDEX(Parameter!$E$5:$E$7,U1208)*V1208/SUMIFS($V$7:$V$1576,$U$7:$U$1576,U1208),0),0)</f>
        <v>2.80131826741996</v>
      </c>
    </row>
    <row r="1209" customFormat="false" ht="15" hidden="false" customHeight="false" outlineLevel="0" collapsed="false">
      <c r="A1209" s="55" t="s">
        <v>2158</v>
      </c>
      <c r="B1209" s="55" t="s">
        <v>2159</v>
      </c>
      <c r="C1209" s="55" t="s">
        <v>160</v>
      </c>
      <c r="D1209" s="55" t="s">
        <v>178</v>
      </c>
      <c r="E1209" s="55" t="s">
        <v>210</v>
      </c>
      <c r="F1209" s="56" t="n">
        <v>519.59</v>
      </c>
      <c r="G1209" s="57" t="n">
        <f aca="false">MAX(0,IF(AND(Parameter!$B$21="Ja",ISNUMBER(W1209)),W1209,IF(Parameter!$B$20="Jahresanfang 2025 + Export",BJ1209+BI1209,BI1209)))</f>
        <v>0</v>
      </c>
      <c r="H1209" s="57" t="n">
        <f aca="false">G1209*F1209</f>
        <v>0</v>
      </c>
      <c r="I1209" s="57" t="n">
        <f aca="false">BL1209*Parameter!$B$18</f>
        <v>0</v>
      </c>
      <c r="J1209" s="58" t="n">
        <v>7.5</v>
      </c>
      <c r="K1209" s="59" t="n">
        <v>0</v>
      </c>
      <c r="L1209" s="57" t="n">
        <v>0</v>
      </c>
      <c r="M1209" s="57" t="n">
        <v>1</v>
      </c>
      <c r="N1209" s="60" t="n">
        <v>70</v>
      </c>
      <c r="O1209" s="55" t="s">
        <v>319</v>
      </c>
      <c r="P1209" s="57" t="n">
        <v>10</v>
      </c>
      <c r="Q1209" s="60" t="n">
        <f aca="false">IF(BR1209=1,0,IFERROR(VLOOKUP(BP1209,'Gebinde-Kategorie'!$A$5:$M$45,13,0)+0,0))</f>
        <v>52</v>
      </c>
      <c r="R1209" s="61"/>
      <c r="S1209" s="62"/>
      <c r="T1209" s="62"/>
      <c r="U1209" s="55"/>
      <c r="V1209" s="57"/>
      <c r="W1209" s="57"/>
      <c r="X1209" s="55" t="n">
        <f aca="false">IF(A1209="","",IF(AND(Parameter!$B$21="Ja",ISNUMBER(U1209)),U1209,IF(IFERROR(VLOOKUP(D1209,Parameter!$A$35:$C$64,2,0),"Nein")="2+3",IF(ISNUMBER(SEARCH("grosser Artikel",BM1209)),2,IFERROR(VLOOKUP(BP1209,Parameter!$F$35:$G$64,2,0),2)),IF(OR(IFERROR(VLOOKUP(D1209,Parameter!$A$35:$C$64,2,0),"Nein")="Nein",IFERROR(VLOOKUP(D1209,Parameter!$A$35:$C$64,2,0),"Nein")=""),"-",VLOOKUP(D1209,Parameter!$A$35:$C$64,2,0)))))</f>
        <v>3</v>
      </c>
      <c r="Y1209" s="62"/>
      <c r="Z1209" s="63"/>
      <c r="AA1209" s="57" t="n">
        <f aca="false">AP1209</f>
        <v>10</v>
      </c>
      <c r="AB1209" s="57" t="n">
        <f aca="false">MAX(AP1209,G1209)</f>
        <v>10</v>
      </c>
      <c r="AC1209" s="64"/>
      <c r="AD1209" s="57" t="n">
        <f aca="false">IF(LEFT(Cockpit!$C$5,1)="A",G1209,IF(BW1209=1,BX1209,IF(LEFT(Cockpit!$C$5,1)="B",AH1209,MAX(AH1209,G1209))))</f>
        <v>0</v>
      </c>
      <c r="AE1209" s="57" t="n">
        <f aca="false">IF(BR1209=1,0,ROUNDUP(AD1209/BQ1209,0))</f>
        <v>0</v>
      </c>
      <c r="AF1209" s="59" t="n">
        <f aca="false">IF(CD1209&gt;0,CD1209*MAX(1,AD1209/V1209),IF(BR1209=1,IF(AD1209&lt;=0,0,BS1209*MAX(1,IF(G1209&gt;0,AD1209/G1209,1))),IF(Q1209&gt;0,AE1209/Q1209,0))/MAX(0.1,N(Parameter!$M$21)))</f>
        <v>0</v>
      </c>
      <c r="AG1209" s="57" t="n">
        <f aca="false">AD1209*F1209</f>
        <v>0</v>
      </c>
      <c r="AH1209" s="57" t="n">
        <f aca="false">ROUNDUP(MAX(I1209/IF(BV1209&gt;0,BV1209,MAX(0.1,N(Cockpit!$C$6))),BY1209)/BQ1209,0)*BQ1209</f>
        <v>10</v>
      </c>
      <c r="AI1209" s="58" t="n">
        <f aca="false">IF(AF1209&gt;0,I1209/AF1209,-1)</f>
        <v>-1</v>
      </c>
      <c r="AJ1209" s="58" t="str">
        <f aca="false">IF(AND(OR(BU1209="L1",BU1209="L23"),AF1209&gt;0),SUMIFS($AF$7:$AF$1576,$BU$7:$BU$1576,BU1209,$AI$7:$AI$1576,"&gt;"&amp;AI1209)+SUMIFS($AF$7:$AF$1576,$BU$7:$BU$1576,BU1209,$AI$7:$AI$1576,AI1209,$BO$7:$BO$1576,"&lt;="&amp;BO1209),"")</f>
        <v/>
      </c>
      <c r="AK1209" s="65" t="n">
        <f aca="false">IF(AJ1209="",0,MAX(0,MIN(1,(IF(BU1209="L1",Parameter!$E$5,Parameter!$E$6+Parameter!$E$7)-(AJ1209-AF1209))/AF1209)))</f>
        <v>0</v>
      </c>
      <c r="AL1209" s="57" t="n">
        <f aca="false">IF(LEFT(Cockpit!$I$5,1)="A",G1209,IF(BW1209=1,BX1209,IF(LEFT(Cockpit!$I$5,1)="B",AP1209,MAX(AP1209,G1209))))</f>
        <v>10</v>
      </c>
      <c r="AM1209" s="57" t="n">
        <f aca="false">IF(BR1209=1,0,ROUNDUP(AL1209/BQ1209,0))</f>
        <v>1</v>
      </c>
      <c r="AN1209" s="59" t="n">
        <f aca="false">IF(CD1209&gt;0,CD1209*MAX(1,AL1209/V1209),IF(BR1209=1,IF(AL1209&lt;=0,0,BS1209*MAX(1,IF(G1209&gt;0,AL1209/G1209,1))),IF(Q1209&gt;0,AM1209/Q1209,0))/MAX(0.1,N(Parameter!$M$21)))</f>
        <v>0.0192307692307692</v>
      </c>
      <c r="AO1209" s="57" t="n">
        <f aca="false">AL1209*F1209</f>
        <v>5195.9</v>
      </c>
      <c r="AP1209" s="57" t="n">
        <f aca="false">ROUNDUP(MAX(I1209/IF(BV1209&gt;0,BV1209,MAX(0.1,N(Cockpit!$I$6))),BY1209)/BQ1209,0)*BQ1209</f>
        <v>10</v>
      </c>
      <c r="AQ1209" s="58" t="n">
        <f aca="false">IF(AN1209&gt;0,I1209/AN1209,-1)</f>
        <v>0</v>
      </c>
      <c r="AR1209" s="58" t="n">
        <f aca="false">IF(AND(OR(BU1209="L1",BU1209="L23"),AN1209&gt;0),SUMIFS($AN$7:$AN$1576,$BU$7:$BU$1576,BU1209,$AQ$7:$AQ$1576,"&gt;"&amp;AQ1209)+SUMIFS($AN$7:$AN$1576,$BU$7:$BU$1576,BU1209,$AQ$7:$AQ$1576,AQ1209,$BO$7:$BO$1576,"&lt;="&amp;BO1209),"")</f>
        <v>135.779717311721</v>
      </c>
      <c r="AS1209" s="65" t="n">
        <f aca="false">IF(AR1209="",0,MAX(0,MIN(1,(IF(BU1209="L1",Parameter!$E$5,Parameter!$E$6+Parameter!$E$7)-(AR1209-AN1209))/AN1209)))</f>
        <v>0</v>
      </c>
      <c r="AT1209" s="57" t="n">
        <f aca="false">IF(LEFT(Cockpit!$O$5,1)="A",G1209,IF(BW1209=1,BX1209,IF(LEFT(Cockpit!$O$5,1)="B",AX1209,MAX(AX1209,G1209))))</f>
        <v>10</v>
      </c>
      <c r="AU1209" s="57" t="n">
        <f aca="false">IF(BR1209=1,0,ROUNDUP(AT1209/BQ1209,0))</f>
        <v>1</v>
      </c>
      <c r="AV1209" s="59" t="n">
        <f aca="false">IF(CD1209&gt;0,CD1209*MAX(1,AT1209/V1209),IF(BR1209=1,IF(AT1209&lt;=0,0,BS1209*MAX(1,IF(G1209&gt;0,AT1209/G1209,1))),IF(Q1209&gt;0,AU1209/Q1209,0))/MAX(0.1,N(Parameter!$M$21)))</f>
        <v>0.0192307692307692</v>
      </c>
      <c r="AW1209" s="57" t="n">
        <f aca="false">AT1209*F1209</f>
        <v>5195.9</v>
      </c>
      <c r="AX1209" s="57" t="n">
        <f aca="false">ROUNDUP(MAX(I1209/IF(BV1209&gt;0,BV1209,MAX(0.1,N(Cockpit!$O$6))),BY1209)/BQ1209,0)*BQ1209</f>
        <v>10</v>
      </c>
      <c r="AY1209" s="58" t="n">
        <f aca="false">IF(AV1209&gt;0,I1209/AV1209,-1)</f>
        <v>0</v>
      </c>
      <c r="AZ1209" s="58" t="n">
        <f aca="false">IF(AND(OR(BU1209="L1",BU1209="L23"),AV1209&gt;0),SUMIFS($AV$7:$AV$1576,$BU$7:$BU$1576,BU1209,$AY$7:$AY$1576,"&gt;"&amp;AY1209)+SUMIFS($AV$7:$AV$1576,$BU$7:$BU$1576,BU1209,$AY$7:$AY$1576,AY1209,$BO$7:$BO$1576,"&lt;="&amp;BO1209),"")</f>
        <v>125.839267761272</v>
      </c>
      <c r="BA1209" s="65" t="n">
        <f aca="false">IF(AZ1209="",0,MAX(0,MIN(1,(IF(BU1209="L1",Parameter!$E$5,Parameter!$E$6+Parameter!$E$7)-(AZ1209-AV1209))/AV1209)))</f>
        <v>0</v>
      </c>
      <c r="BB1209" s="55" t="str">
        <f aca="false">IF(AF1209&lt;=0,"",IF(BU1209="Aussen","Aussenlager",IF(BU1209="-","Nicht im Lift",IF(AK1209&gt;=1,"Lift",IF(AK1209&lt;=0,"Aussenlager","teilweise")))))</f>
        <v/>
      </c>
      <c r="BC1209" s="55" t="str">
        <f aca="false">IF(AN1209&lt;=0,"",IF(BU1209="Aussen","Aussenlager",IF(BU1209="-","Nicht im Lift",IF(AS1209&gt;=1,"Lift",IF(AS1209&lt;=0,"Aussenlager","teilweise")))))</f>
        <v>Aussenlager</v>
      </c>
      <c r="BD1209" s="55" t="str">
        <f aca="false">IF(AV1209&lt;=0,"",IF(BU1209="Aussen","Aussenlager",IF(BU1209="-","Nicht im Lift",IF(BA1209&gt;=1,"Lift",IF(BA1209&lt;=0,"Aussenlager","teilweise")))))</f>
        <v>Aussenlager</v>
      </c>
      <c r="BE1209" s="55" t="str">
        <f aca="false">IF(A1209="","",IF(BN1209=1,"Neu; ","")&amp;IF(AND(BN1209=0,BI1209&lt;0),"negativer Bestand (Export "&amp;BI1209&amp;"); ","")&amp;IF(I1209&lt;=0,"Kein Verbrauch; ","")&amp;IF(CD1209&gt;0,"Lift "&amp;U1209&amp;" lt. Liftbericht (Fach "&amp;V1209&amp;" Stk); ",IF(BR1209=1,"Lose – Fläche geschätzt; ",""))&amp;IF(G1209&gt;AP1209,"Überbestand "&amp;ROUND(G1209-AP1209,0)&amp;" Stk / CHF "&amp;ROUND((G1209-AP1209)*F1209,0)&amp;"; ","")&amp;IF(AND(BW1209=1,BX1209&lt;BY1209),"MAX &lt; MB+LG; ","")&amp;IF(AND(CC1209&gt;0,CB1209*10&gt;CC1209),"zu hoch für Tablar; ","")&amp;IF(AND(BN1209=0,OR(BW1209=1,Y1209&lt;&gt;"",S1209&lt;&gt;"",T1209&lt;&gt;"",Z1209&lt;&gt;"")),"manuell übersteuert; ","")&amp;IF(AND(BR1209=0,Q1209=0),"Gebinde unbekannt / Stellmass fehlt; ","")&amp;IF(AND(BR1209=0,N(T1209)&lt;=0,N(P1209)&lt;=0),"Menge pro Gebinde fehlt (Ist = 1 Gebinde); ","")&amp;BM1209)</f>
        <v>negativer Bestand (Export -1); Kein Verbrauch; </v>
      </c>
      <c r="BF1209" s="55"/>
      <c r="BG1209" s="55"/>
      <c r="BH1209" s="62"/>
      <c r="BI1209" s="57" t="n">
        <v>-1</v>
      </c>
      <c r="BJ1209" s="57" t="n">
        <v>8</v>
      </c>
      <c r="BK1209" s="56" t="n">
        <v>-519.59</v>
      </c>
      <c r="BL1209" s="57" t="n">
        <v>0</v>
      </c>
      <c r="BM1209" s="55"/>
      <c r="BN1209" s="60" t="n">
        <v>0</v>
      </c>
      <c r="BO1209" s="60" t="n">
        <v>1209</v>
      </c>
      <c r="BP1209" s="55" t="str">
        <f aca="false">IF(S1209&lt;&gt;"",UPPER(TRIM(S1209)),IF(O1209="","LOSE",O1209))</f>
        <v>S41</v>
      </c>
      <c r="BQ1209" s="57" t="n">
        <f aca="false">IF(BP1209="LOSE",1,IF(N(T1209)&gt;0,T1209,IF(N(P1209)&gt;0,P1209,MAX(1,G1209))))</f>
        <v>10</v>
      </c>
      <c r="BR1209" s="60" t="n">
        <f aca="false">IF(BP1209="LOSE",1,0)</f>
        <v>0</v>
      </c>
      <c r="BS1209" s="59" t="n">
        <f aca="false">IF(BR1209=0,0,IF(N(R1209)&gt;0,R1209,IFERROR(VLOOKUP(D1209,Parameter!$A$35:$C$64,3,0)+0,0)))</f>
        <v>0</v>
      </c>
      <c r="BT1209" s="55" t="n">
        <f aca="false">IF(Y1209&lt;&gt;"",Y1209,X1209)</f>
        <v>3</v>
      </c>
      <c r="BU1209" s="55" t="str">
        <f aca="false">IF(BT1209=1,"L1",IF(OR(BT1209=2,BT1209=3),"L23",IF(BT1209="Aussen","Aussen","-")))</f>
        <v>L23</v>
      </c>
      <c r="BV1209" s="66" t="n">
        <f aca="false">IF(N(Z1209)&gt;0,Z1209,0)</f>
        <v>0</v>
      </c>
      <c r="BW1209" s="60" t="n">
        <f aca="false">IF(ISNUMBER(AC1209),1,0)</f>
        <v>0</v>
      </c>
      <c r="BX1209" s="57" t="n">
        <f aca="false">N(AC1209)</f>
        <v>0</v>
      </c>
      <c r="BY1209" s="57" t="n">
        <f aca="false">N(L1209)+N(M1209)</f>
        <v>1</v>
      </c>
      <c r="BZ1209" s="57" t="n">
        <f aca="false">ROUNDUP(G1209/BQ1209,0)</f>
        <v>0</v>
      </c>
      <c r="CA1209" s="57" t="n">
        <f aca="false">ROUNDUP(BX1209/BQ1209,0)</f>
        <v>0</v>
      </c>
      <c r="CB1209" s="60" t="n">
        <f aca="false">IF(BR1209=1,0,IFERROR(VLOOKUP(BP1209,'Gebinde-Kategorie'!$A$5:$M$45,5,0)+0,0))</f>
        <v>11</v>
      </c>
      <c r="CC1209" s="60" t="n">
        <f aca="false">IFERROR(IF(OR(BT1209=1,BT1209=2,BT1209=3),N(INDEX(Parameter!$I$5:$I$7,BT1209)),0),0)</f>
        <v>0</v>
      </c>
      <c r="CD1209" s="59" t="n">
        <f aca="false">IF(AND(Parameter!$B$21="Ja",ISNUMBER(U1209),N(V1209)&gt;0),IFERROR(N(INDEX(Parameter!$L$5:$L$7,U1209))*INDEX(Parameter!$E$5:$E$7,U1209)*V1209/SUMIFS($V$7:$V$1576,$U$7:$U$1576,U1209),0),0)</f>
        <v>0</v>
      </c>
    </row>
    <row r="1210" customFormat="false" ht="15" hidden="false" customHeight="false" outlineLevel="0" collapsed="false">
      <c r="A1210" s="55" t="s">
        <v>2160</v>
      </c>
      <c r="B1210" s="55" t="s">
        <v>1987</v>
      </c>
      <c r="C1210" s="55" t="s">
        <v>160</v>
      </c>
      <c r="D1210" s="55" t="s">
        <v>168</v>
      </c>
      <c r="E1210" s="55" t="s">
        <v>210</v>
      </c>
      <c r="F1210" s="56" t="n">
        <v>206.49</v>
      </c>
      <c r="G1210" s="57" t="n">
        <f aca="false">MAX(0,IF(AND(Parameter!$B$21="Ja",ISNUMBER(W1210)),W1210,IF(Parameter!$B$20="Jahresanfang 2025 + Export",BJ1210+BI1210,BI1210)))</f>
        <v>0</v>
      </c>
      <c r="H1210" s="57" t="n">
        <f aca="false">G1210*F1210</f>
        <v>0</v>
      </c>
      <c r="I1210" s="57" t="n">
        <f aca="false">BL1210*Parameter!$B$18</f>
        <v>18</v>
      </c>
      <c r="J1210" s="58" t="n">
        <v>14</v>
      </c>
      <c r="K1210" s="59" t="n">
        <v>1.28571428571429</v>
      </c>
      <c r="L1210" s="57" t="n">
        <v>2</v>
      </c>
      <c r="M1210" s="57" t="n">
        <v>15</v>
      </c>
      <c r="N1210" s="60" t="n">
        <v>28</v>
      </c>
      <c r="O1210" s="55" t="s">
        <v>169</v>
      </c>
      <c r="P1210" s="57" t="n">
        <v>15</v>
      </c>
      <c r="Q1210" s="60" t="n">
        <f aca="false">IF(BR1210=1,0,IFERROR(VLOOKUP(BP1210,'Gebinde-Kategorie'!$A$5:$M$45,13,0)+0,0))</f>
        <v>6</v>
      </c>
      <c r="R1210" s="61"/>
      <c r="S1210" s="62"/>
      <c r="T1210" s="62"/>
      <c r="U1210" s="55"/>
      <c r="V1210" s="57"/>
      <c r="W1210" s="57"/>
      <c r="X1210" s="55" t="n">
        <f aca="false">IF(A1210="","",IF(AND(Parameter!$B$21="Ja",ISNUMBER(U1210)),U1210,IF(IFERROR(VLOOKUP(D1210,Parameter!$A$35:$C$64,2,0),"Nein")="2+3",IF(ISNUMBER(SEARCH("grosser Artikel",BM1210)),2,IFERROR(VLOOKUP(BP1210,Parameter!$F$35:$G$64,2,0),2)),IF(OR(IFERROR(VLOOKUP(D1210,Parameter!$A$35:$C$64,2,0),"Nein")="Nein",IFERROR(VLOOKUP(D1210,Parameter!$A$35:$C$64,2,0),"Nein")=""),"-",VLOOKUP(D1210,Parameter!$A$35:$C$64,2,0)))))</f>
        <v>2</v>
      </c>
      <c r="Y1210" s="62"/>
      <c r="Z1210" s="63"/>
      <c r="AA1210" s="57" t="n">
        <f aca="false">AP1210</f>
        <v>30</v>
      </c>
      <c r="AB1210" s="57" t="n">
        <f aca="false">MAX(AP1210,G1210)</f>
        <v>30</v>
      </c>
      <c r="AC1210" s="64"/>
      <c r="AD1210" s="57" t="n">
        <f aca="false">IF(LEFT(Cockpit!$C$5,1)="A",G1210,IF(BW1210=1,BX1210,IF(LEFT(Cockpit!$C$5,1)="B",AH1210,MAX(AH1210,G1210))))</f>
        <v>0</v>
      </c>
      <c r="AE1210" s="57" t="n">
        <f aca="false">IF(BR1210=1,0,ROUNDUP(AD1210/BQ1210,0))</f>
        <v>0</v>
      </c>
      <c r="AF1210" s="59" t="n">
        <f aca="false">IF(CD1210&gt;0,CD1210*MAX(1,AD1210/V1210),IF(BR1210=1,IF(AD1210&lt;=0,0,BS1210*MAX(1,IF(G1210&gt;0,AD1210/G1210,1))),IF(Q1210&gt;0,AE1210/Q1210,0))/MAX(0.1,N(Parameter!$M$21)))</f>
        <v>0</v>
      </c>
      <c r="AG1210" s="57" t="n">
        <f aca="false">AD1210*F1210</f>
        <v>0</v>
      </c>
      <c r="AH1210" s="57" t="n">
        <f aca="false">ROUNDUP(MAX(I1210/IF(BV1210&gt;0,BV1210,MAX(0.1,N(Cockpit!$C$6))),BY1210)/BQ1210,0)*BQ1210</f>
        <v>30</v>
      </c>
      <c r="AI1210" s="58" t="n">
        <f aca="false">IF(AF1210&gt;0,I1210/AF1210,-1)</f>
        <v>-1</v>
      </c>
      <c r="AJ1210" s="58" t="str">
        <f aca="false">IF(AND(OR(BU1210="L1",BU1210="L23"),AF1210&gt;0),SUMIFS($AF$7:$AF$1576,$BU$7:$BU$1576,BU1210,$AI$7:$AI$1576,"&gt;"&amp;AI1210)+SUMIFS($AF$7:$AF$1576,$BU$7:$BU$1576,BU1210,$AI$7:$AI$1576,AI1210,$BO$7:$BO$1576,"&lt;="&amp;BO1210),"")</f>
        <v/>
      </c>
      <c r="AK1210" s="65" t="n">
        <f aca="false">IF(AJ1210="",0,MAX(0,MIN(1,(IF(BU1210="L1",Parameter!$E$5,Parameter!$E$6+Parameter!$E$7)-(AJ1210-AF1210))/AF1210)))</f>
        <v>0</v>
      </c>
      <c r="AL1210" s="57" t="n">
        <f aca="false">IF(LEFT(Cockpit!$I$5,1)="A",G1210,IF(BW1210=1,BX1210,IF(LEFT(Cockpit!$I$5,1)="B",AP1210,MAX(AP1210,G1210))))</f>
        <v>30</v>
      </c>
      <c r="AM1210" s="57" t="n">
        <f aca="false">IF(BR1210=1,0,ROUNDUP(AL1210/BQ1210,0))</f>
        <v>2</v>
      </c>
      <c r="AN1210" s="59" t="n">
        <f aca="false">IF(CD1210&gt;0,CD1210*MAX(1,AL1210/V1210),IF(BR1210=1,IF(AL1210&lt;=0,0,BS1210*MAX(1,IF(G1210&gt;0,AL1210/G1210,1))),IF(Q1210&gt;0,AM1210/Q1210,0))/MAX(0.1,N(Parameter!$M$21)))</f>
        <v>0.333333333333333</v>
      </c>
      <c r="AO1210" s="57" t="n">
        <f aca="false">AL1210*F1210</f>
        <v>6194.7</v>
      </c>
      <c r="AP1210" s="57" t="n">
        <f aca="false">ROUNDUP(MAX(I1210/IF(BV1210&gt;0,BV1210,MAX(0.1,N(Cockpit!$I$6))),BY1210)/BQ1210,0)*BQ1210</f>
        <v>30</v>
      </c>
      <c r="AQ1210" s="58" t="n">
        <f aca="false">IF(AN1210&gt;0,I1210/AN1210,-1)</f>
        <v>54</v>
      </c>
      <c r="AR1210" s="58" t="n">
        <f aca="false">IF(AND(OR(BU1210="L1",BU1210="L23"),AN1210&gt;0),SUMIFS($AN$7:$AN$1576,$BU$7:$BU$1576,BU1210,$AQ$7:$AQ$1576,"&gt;"&amp;AQ1210)+SUMIFS($AN$7:$AN$1576,$BU$7:$BU$1576,BU1210,$AQ$7:$AQ$1576,AQ1210,$BO$7:$BO$1576,"&lt;="&amp;BO1210),"")</f>
        <v>79.8093576656188</v>
      </c>
      <c r="AS1210" s="65" t="n">
        <f aca="false">IF(AR1210="",0,MAX(0,MIN(1,(IF(BU1210="L1",Parameter!$E$5,Parameter!$E$6+Parameter!$E$7)-(AR1210-AN1210))/AN1210)))</f>
        <v>1</v>
      </c>
      <c r="AT1210" s="57" t="n">
        <f aca="false">IF(LEFT(Cockpit!$O$5,1)="A",G1210,IF(BW1210=1,BX1210,IF(LEFT(Cockpit!$O$5,1)="B",AX1210,MAX(AX1210,G1210))))</f>
        <v>30</v>
      </c>
      <c r="AU1210" s="57" t="n">
        <f aca="false">IF(BR1210=1,0,ROUNDUP(AT1210/BQ1210,0))</f>
        <v>2</v>
      </c>
      <c r="AV1210" s="59" t="n">
        <f aca="false">IF(CD1210&gt;0,CD1210*MAX(1,AT1210/V1210),IF(BR1210=1,IF(AT1210&lt;=0,0,BS1210*MAX(1,IF(G1210&gt;0,AT1210/G1210,1))),IF(Q1210&gt;0,AU1210/Q1210,0))/MAX(0.1,N(Parameter!$M$21)))</f>
        <v>0.333333333333333</v>
      </c>
      <c r="AW1210" s="57" t="n">
        <f aca="false">AT1210*F1210</f>
        <v>6194.7</v>
      </c>
      <c r="AX1210" s="57" t="n">
        <f aca="false">ROUNDUP(MAX(I1210/IF(BV1210&gt;0,BV1210,MAX(0.1,N(Cockpit!$O$6))),BY1210)/BQ1210,0)*BQ1210</f>
        <v>30</v>
      </c>
      <c r="AY1210" s="58" t="n">
        <f aca="false">IF(AV1210&gt;0,I1210/AV1210,-1)</f>
        <v>54</v>
      </c>
      <c r="AZ1210" s="58" t="n">
        <f aca="false">IF(AND(OR(BU1210="L1",BU1210="L23"),AV1210&gt;0),SUMIFS($AV$7:$AV$1576,$BU$7:$BU$1576,BU1210,$AY$7:$AY$1576,"&gt;"&amp;AY1210)+SUMIFS($AV$7:$AV$1576,$BU$7:$BU$1576,BU1210,$AY$7:$AY$1576,AY1210,$BO$7:$BO$1576,"&lt;="&amp;BO1210),"")</f>
        <v>76.9772414485026</v>
      </c>
      <c r="BA1210" s="65" t="n">
        <f aca="false">IF(AZ1210="",0,MAX(0,MIN(1,(IF(BU1210="L1",Parameter!$E$5,Parameter!$E$6+Parameter!$E$7)-(AZ1210-AV1210))/AV1210)))</f>
        <v>1</v>
      </c>
      <c r="BB1210" s="55" t="str">
        <f aca="false">IF(AF1210&lt;=0,"",IF(BU1210="Aussen","Aussenlager",IF(BU1210="-","Nicht im Lift",IF(AK1210&gt;=1,"Lift",IF(AK1210&lt;=0,"Aussenlager","teilweise")))))</f>
        <v/>
      </c>
      <c r="BC1210" s="55" t="str">
        <f aca="false">IF(AN1210&lt;=0,"",IF(BU1210="Aussen","Aussenlager",IF(BU1210="-","Nicht im Lift",IF(AS1210&gt;=1,"Lift",IF(AS1210&lt;=0,"Aussenlager","teilweise")))))</f>
        <v>Lift</v>
      </c>
      <c r="BD1210" s="55" t="str">
        <f aca="false">IF(AV1210&lt;=0,"",IF(BU1210="Aussen","Aussenlager",IF(BU1210="-","Nicht im Lift",IF(BA1210&gt;=1,"Lift",IF(BA1210&lt;=0,"Aussenlager","teilweise")))))</f>
        <v>Lift</v>
      </c>
      <c r="BE1210" s="55" t="str">
        <f aca="false">IF(A1210="","",IF(BN1210=1,"Neu; ","")&amp;IF(AND(BN1210=0,BI1210&lt;0),"negativer Bestand (Export "&amp;BI1210&amp;"); ","")&amp;IF(I1210&lt;=0,"Kein Verbrauch; ","")&amp;IF(CD1210&gt;0,"Lift "&amp;U1210&amp;" lt. Liftbericht (Fach "&amp;V1210&amp;" Stk); ",IF(BR1210=1,"Lose – Fläche geschätzt; ",""))&amp;IF(G1210&gt;AP1210,"Überbestand "&amp;ROUND(G1210-AP1210,0)&amp;" Stk / CHF "&amp;ROUND((G1210-AP1210)*F1210,0)&amp;"; ","")&amp;IF(AND(BW1210=1,BX1210&lt;BY1210),"MAX &lt; MB+LG; ","")&amp;IF(AND(CC1210&gt;0,CB1210*10&gt;CC1210),"zu hoch für Tablar; ","")&amp;IF(AND(BN1210=0,OR(BW1210=1,Y1210&lt;&gt;"",S1210&lt;&gt;"",T1210&lt;&gt;"",Z1210&lt;&gt;"")),"manuell übersteuert; ","")&amp;IF(AND(BR1210=0,Q1210=0),"Gebinde unbekannt / Stellmass fehlt; ","")&amp;IF(AND(BR1210=0,N(T1210)&lt;=0,N(P1210)&lt;=0),"Menge pro Gebinde fehlt (Ist = 1 Gebinde); ","")&amp;BM1210)</f>
        <v>negativer Bestand (Export -3); </v>
      </c>
      <c r="BF1210" s="55"/>
      <c r="BG1210" s="55"/>
      <c r="BH1210" s="62"/>
      <c r="BI1210" s="57" t="n">
        <v>-3</v>
      </c>
      <c r="BJ1210" s="57" t="n">
        <v>8</v>
      </c>
      <c r="BK1210" s="56" t="n">
        <v>-527.629999999999</v>
      </c>
      <c r="BL1210" s="57" t="n">
        <v>18</v>
      </c>
      <c r="BM1210" s="55"/>
      <c r="BN1210" s="60" t="n">
        <v>0</v>
      </c>
      <c r="BO1210" s="60" t="n">
        <v>1210</v>
      </c>
      <c r="BP1210" s="55" t="str">
        <f aca="false">IF(S1210&lt;&gt;"",UPPER(TRIM(S1210)),IF(O1210="","LOSE",O1210))</f>
        <v>S71</v>
      </c>
      <c r="BQ1210" s="57" t="n">
        <f aca="false">IF(BP1210="LOSE",1,IF(N(T1210)&gt;0,T1210,IF(N(P1210)&gt;0,P1210,MAX(1,G1210))))</f>
        <v>15</v>
      </c>
      <c r="BR1210" s="60" t="n">
        <f aca="false">IF(BP1210="LOSE",1,0)</f>
        <v>0</v>
      </c>
      <c r="BS1210" s="59" t="n">
        <f aca="false">IF(BR1210=0,0,IF(N(R1210)&gt;0,R1210,IFERROR(VLOOKUP(D1210,Parameter!$A$35:$C$64,3,0)+0,0)))</f>
        <v>0</v>
      </c>
      <c r="BT1210" s="55" t="n">
        <f aca="false">IF(Y1210&lt;&gt;"",Y1210,X1210)</f>
        <v>2</v>
      </c>
      <c r="BU1210" s="55" t="str">
        <f aca="false">IF(BT1210=1,"L1",IF(OR(BT1210=2,BT1210=3),"L23",IF(BT1210="Aussen","Aussen","-")))</f>
        <v>L23</v>
      </c>
      <c r="BV1210" s="66" t="n">
        <f aca="false">IF(N(Z1210)&gt;0,Z1210,0)</f>
        <v>0</v>
      </c>
      <c r="BW1210" s="60" t="n">
        <f aca="false">IF(ISNUMBER(AC1210),1,0)</f>
        <v>0</v>
      </c>
      <c r="BX1210" s="57" t="n">
        <f aca="false">N(AC1210)</f>
        <v>0</v>
      </c>
      <c r="BY1210" s="57" t="n">
        <f aca="false">N(L1210)+N(M1210)</f>
        <v>17</v>
      </c>
      <c r="BZ1210" s="57" t="n">
        <f aca="false">ROUNDUP(G1210/BQ1210,0)</f>
        <v>0</v>
      </c>
      <c r="CA1210" s="57" t="n">
        <f aca="false">ROUNDUP(BX1210/BQ1210,0)</f>
        <v>0</v>
      </c>
      <c r="CB1210" s="60" t="n">
        <f aca="false">IF(BR1210=1,0,IFERROR(VLOOKUP(BP1210,'Gebinde-Kategorie'!$A$5:$M$45,5,0)+0,0))</f>
        <v>20</v>
      </c>
      <c r="CC1210" s="60" t="n">
        <f aca="false">IFERROR(IF(OR(BT1210=1,BT1210=2,BT1210=3),N(INDEX(Parameter!$I$5:$I$7,BT1210)),0),0)</f>
        <v>0</v>
      </c>
      <c r="CD1210" s="59" t="n">
        <f aca="false">IF(AND(Parameter!$B$21="Ja",ISNUMBER(U1210),N(V1210)&gt;0),IFERROR(N(INDEX(Parameter!$L$5:$L$7,U1210))*INDEX(Parameter!$E$5:$E$7,U1210)*V1210/SUMIFS($V$7:$V$1576,$U$7:$U$1576,U1210),0),0)</f>
        <v>0</v>
      </c>
    </row>
    <row r="1211" customFormat="false" ht="15" hidden="false" customHeight="false" outlineLevel="0" collapsed="false">
      <c r="A1211" s="55" t="s">
        <v>2161</v>
      </c>
      <c r="B1211" s="55" t="s">
        <v>2162</v>
      </c>
      <c r="C1211" s="55" t="s">
        <v>160</v>
      </c>
      <c r="D1211" s="55" t="s">
        <v>178</v>
      </c>
      <c r="E1211" s="55" t="s">
        <v>210</v>
      </c>
      <c r="F1211" s="56" t="n">
        <v>48.12</v>
      </c>
      <c r="G1211" s="57" t="n">
        <f aca="false">MAX(0,IF(AND(Parameter!$B$21="Ja",ISNUMBER(W1211)),W1211,IF(Parameter!$B$20="Jahresanfang 2025 + Export",BJ1211+BI1211,BI1211)))</f>
        <v>0</v>
      </c>
      <c r="H1211" s="57" t="n">
        <f aca="false">G1211*F1211</f>
        <v>0</v>
      </c>
      <c r="I1211" s="57" t="n">
        <f aca="false">BL1211*Parameter!$B$18</f>
        <v>14</v>
      </c>
      <c r="J1211" s="58" t="n">
        <v>40.5</v>
      </c>
      <c r="K1211" s="59" t="n">
        <v>0.345679012345679</v>
      </c>
      <c r="L1211" s="57" t="n">
        <v>1</v>
      </c>
      <c r="M1211" s="57" t="n">
        <v>15</v>
      </c>
      <c r="N1211" s="60" t="n">
        <v>28</v>
      </c>
      <c r="O1211" s="55" t="s">
        <v>225</v>
      </c>
      <c r="P1211" s="57" t="n">
        <v>38</v>
      </c>
      <c r="Q1211" s="60" t="n">
        <f aca="false">IF(BR1211=1,0,IFERROR(VLOOKUP(BP1211,'Gebinde-Kategorie'!$A$5:$M$45,13,0)+0,0))</f>
        <v>26</v>
      </c>
      <c r="R1211" s="61"/>
      <c r="S1211" s="62"/>
      <c r="T1211" s="62"/>
      <c r="U1211" s="55"/>
      <c r="V1211" s="57"/>
      <c r="W1211" s="57"/>
      <c r="X1211" s="55" t="n">
        <f aca="false">IF(A1211="","",IF(AND(Parameter!$B$21="Ja",ISNUMBER(U1211)),U1211,IF(IFERROR(VLOOKUP(D1211,Parameter!$A$35:$C$64,2,0),"Nein")="2+3",IF(ISNUMBER(SEARCH("grosser Artikel",BM1211)),2,IFERROR(VLOOKUP(BP1211,Parameter!$F$35:$G$64,2,0),2)),IF(OR(IFERROR(VLOOKUP(D1211,Parameter!$A$35:$C$64,2,0),"Nein")="Nein",IFERROR(VLOOKUP(D1211,Parameter!$A$35:$C$64,2,0),"Nein")=""),"-",VLOOKUP(D1211,Parameter!$A$35:$C$64,2,0)))))</f>
        <v>3</v>
      </c>
      <c r="Y1211" s="62"/>
      <c r="Z1211" s="63"/>
      <c r="AA1211" s="57" t="n">
        <f aca="false">AP1211</f>
        <v>38</v>
      </c>
      <c r="AB1211" s="57" t="n">
        <f aca="false">MAX(AP1211,G1211)</f>
        <v>38</v>
      </c>
      <c r="AC1211" s="64"/>
      <c r="AD1211" s="57" t="n">
        <f aca="false">IF(LEFT(Cockpit!$C$5,1)="A",G1211,IF(BW1211=1,BX1211,IF(LEFT(Cockpit!$C$5,1)="B",AH1211,MAX(AH1211,G1211))))</f>
        <v>0</v>
      </c>
      <c r="AE1211" s="57" t="n">
        <f aca="false">IF(BR1211=1,0,ROUNDUP(AD1211/BQ1211,0))</f>
        <v>0</v>
      </c>
      <c r="AF1211" s="59" t="n">
        <f aca="false">IF(CD1211&gt;0,CD1211*MAX(1,AD1211/V1211),IF(BR1211=1,IF(AD1211&lt;=0,0,BS1211*MAX(1,IF(G1211&gt;0,AD1211/G1211,1))),IF(Q1211&gt;0,AE1211/Q1211,0))/MAX(0.1,N(Parameter!$M$21)))</f>
        <v>0</v>
      </c>
      <c r="AG1211" s="57" t="n">
        <f aca="false">AD1211*F1211</f>
        <v>0</v>
      </c>
      <c r="AH1211" s="57" t="n">
        <f aca="false">ROUNDUP(MAX(I1211/IF(BV1211&gt;0,BV1211,MAX(0.1,N(Cockpit!$C$6))),BY1211)/BQ1211,0)*BQ1211</f>
        <v>38</v>
      </c>
      <c r="AI1211" s="58" t="n">
        <f aca="false">IF(AF1211&gt;0,I1211/AF1211,-1)</f>
        <v>-1</v>
      </c>
      <c r="AJ1211" s="58" t="str">
        <f aca="false">IF(AND(OR(BU1211="L1",BU1211="L23"),AF1211&gt;0),SUMIFS($AF$7:$AF$1576,$BU$7:$BU$1576,BU1211,$AI$7:$AI$1576,"&gt;"&amp;AI1211)+SUMIFS($AF$7:$AF$1576,$BU$7:$BU$1576,BU1211,$AI$7:$AI$1576,AI1211,$BO$7:$BO$1576,"&lt;="&amp;BO1211),"")</f>
        <v/>
      </c>
      <c r="AK1211" s="65" t="n">
        <f aca="false">IF(AJ1211="",0,MAX(0,MIN(1,(IF(BU1211="L1",Parameter!$E$5,Parameter!$E$6+Parameter!$E$7)-(AJ1211-AF1211))/AF1211)))</f>
        <v>0</v>
      </c>
      <c r="AL1211" s="57" t="n">
        <f aca="false">IF(LEFT(Cockpit!$I$5,1)="A",G1211,IF(BW1211=1,BX1211,IF(LEFT(Cockpit!$I$5,1)="B",AP1211,MAX(AP1211,G1211))))</f>
        <v>38</v>
      </c>
      <c r="AM1211" s="57" t="n">
        <f aca="false">IF(BR1211=1,0,ROUNDUP(AL1211/BQ1211,0))</f>
        <v>1</v>
      </c>
      <c r="AN1211" s="59" t="n">
        <f aca="false">IF(CD1211&gt;0,CD1211*MAX(1,AL1211/V1211),IF(BR1211=1,IF(AL1211&lt;=0,0,BS1211*MAX(1,IF(G1211&gt;0,AL1211/G1211,1))),IF(Q1211&gt;0,AM1211/Q1211,0))/MAX(0.1,N(Parameter!$M$21)))</f>
        <v>0.0384615384615385</v>
      </c>
      <c r="AO1211" s="57" t="n">
        <f aca="false">AL1211*F1211</f>
        <v>1828.56</v>
      </c>
      <c r="AP1211" s="57" t="n">
        <f aca="false">ROUNDUP(MAX(I1211/IF(BV1211&gt;0,BV1211,MAX(0.1,N(Cockpit!$I$6))),BY1211)/BQ1211,0)*BQ1211</f>
        <v>38</v>
      </c>
      <c r="AQ1211" s="58" t="n">
        <f aca="false">IF(AN1211&gt;0,I1211/AN1211,-1)</f>
        <v>364</v>
      </c>
      <c r="AR1211" s="58" t="n">
        <f aca="false">IF(AND(OR(BU1211="L1",BU1211="L23"),AN1211&gt;0),SUMIFS($AN$7:$AN$1576,$BU$7:$BU$1576,BU1211,$AQ$7:$AQ$1576,"&gt;"&amp;AQ1211)+SUMIFS($AN$7:$AN$1576,$BU$7:$BU$1576,BU1211,$AQ$7:$AQ$1576,AQ1211,$BO$7:$BO$1576,"&lt;="&amp;BO1211),"")</f>
        <v>37.9052111780484</v>
      </c>
      <c r="AS1211" s="65" t="n">
        <f aca="false">IF(AR1211="",0,MAX(0,MIN(1,(IF(BU1211="L1",Parameter!$E$5,Parameter!$E$6+Parameter!$E$7)-(AR1211-AN1211))/AN1211)))</f>
        <v>1</v>
      </c>
      <c r="AT1211" s="57" t="n">
        <f aca="false">IF(LEFT(Cockpit!$O$5,1)="A",G1211,IF(BW1211=1,BX1211,IF(LEFT(Cockpit!$O$5,1)="B",AX1211,MAX(AX1211,G1211))))</f>
        <v>38</v>
      </c>
      <c r="AU1211" s="57" t="n">
        <f aca="false">IF(BR1211=1,0,ROUNDUP(AT1211/BQ1211,0))</f>
        <v>1</v>
      </c>
      <c r="AV1211" s="59" t="n">
        <f aca="false">IF(CD1211&gt;0,CD1211*MAX(1,AT1211/V1211),IF(BR1211=1,IF(AT1211&lt;=0,0,BS1211*MAX(1,IF(G1211&gt;0,AT1211/G1211,1))),IF(Q1211&gt;0,AU1211/Q1211,0))/MAX(0.1,N(Parameter!$M$21)))</f>
        <v>0.0384615384615385</v>
      </c>
      <c r="AW1211" s="57" t="n">
        <f aca="false">AT1211*F1211</f>
        <v>1828.56</v>
      </c>
      <c r="AX1211" s="57" t="n">
        <f aca="false">ROUNDUP(MAX(I1211/IF(BV1211&gt;0,BV1211,MAX(0.1,N(Cockpit!$O$6))),BY1211)/BQ1211,0)*BQ1211</f>
        <v>38</v>
      </c>
      <c r="AY1211" s="58" t="n">
        <f aca="false">IF(AV1211&gt;0,I1211/AV1211,-1)</f>
        <v>364</v>
      </c>
      <c r="AZ1211" s="58" t="n">
        <f aca="false">IF(AND(OR(BU1211="L1",BU1211="L23"),AV1211&gt;0),SUMIFS($AV$7:$AV$1576,$BU$7:$BU$1576,BU1211,$AY$7:$AY$1576,"&gt;"&amp;AY1211)+SUMIFS($AV$7:$AV$1576,$BU$7:$BU$1576,BU1211,$AY$7:$AY$1576,AY1211,$BO$7:$BO$1576,"&lt;="&amp;BO1211),"")</f>
        <v>36.7366230994603</v>
      </c>
      <c r="BA1211" s="65" t="n">
        <f aca="false">IF(AZ1211="",0,MAX(0,MIN(1,(IF(BU1211="L1",Parameter!$E$5,Parameter!$E$6+Parameter!$E$7)-(AZ1211-AV1211))/AV1211)))</f>
        <v>1</v>
      </c>
      <c r="BB1211" s="55" t="str">
        <f aca="false">IF(AF1211&lt;=0,"",IF(BU1211="Aussen","Aussenlager",IF(BU1211="-","Nicht im Lift",IF(AK1211&gt;=1,"Lift",IF(AK1211&lt;=0,"Aussenlager","teilweise")))))</f>
        <v/>
      </c>
      <c r="BC1211" s="55" t="str">
        <f aca="false">IF(AN1211&lt;=0,"",IF(BU1211="Aussen","Aussenlager",IF(BU1211="-","Nicht im Lift",IF(AS1211&gt;=1,"Lift",IF(AS1211&lt;=0,"Aussenlager","teilweise")))))</f>
        <v>Lift</v>
      </c>
      <c r="BD1211" s="55" t="str">
        <f aca="false">IF(AV1211&lt;=0,"",IF(BU1211="Aussen","Aussenlager",IF(BU1211="-","Nicht im Lift",IF(BA1211&gt;=1,"Lift",IF(BA1211&lt;=0,"Aussenlager","teilweise")))))</f>
        <v>Lift</v>
      </c>
      <c r="BE1211" s="55" t="str">
        <f aca="false">IF(A1211="","",IF(BN1211=1,"Neu; ","")&amp;IF(AND(BN1211=0,BI1211&lt;0),"negativer Bestand (Export "&amp;BI1211&amp;"); ","")&amp;IF(I1211&lt;=0,"Kein Verbrauch; ","")&amp;IF(CD1211&gt;0,"Lift "&amp;U1211&amp;" lt. Liftbericht (Fach "&amp;V1211&amp;" Stk); ",IF(BR1211=1,"Lose – Fläche geschätzt; ",""))&amp;IF(G1211&gt;AP1211,"Überbestand "&amp;ROUND(G1211-AP1211,0)&amp;" Stk / CHF "&amp;ROUND((G1211-AP1211)*F1211,0)&amp;"; ","")&amp;IF(AND(BW1211=1,BX1211&lt;BY1211),"MAX &lt; MB+LG; ","")&amp;IF(AND(CC1211&gt;0,CB1211*10&gt;CC1211),"zu hoch für Tablar; ","")&amp;IF(AND(BN1211=0,OR(BW1211=1,Y1211&lt;&gt;"",S1211&lt;&gt;"",T1211&lt;&gt;"",Z1211&lt;&gt;"")),"manuell übersteuert; ","")&amp;IF(AND(BR1211=0,Q1211=0),"Gebinde unbekannt / Stellmass fehlt; ","")&amp;IF(AND(BR1211=0,N(T1211)&lt;=0,N(P1211)&lt;=0),"Menge pro Gebinde fehlt (Ist = 1 Gebinde); ","")&amp;BM1211)</f>
        <v>negativer Bestand (Export -11); Neu</v>
      </c>
      <c r="BF1211" s="55"/>
      <c r="BG1211" s="55"/>
      <c r="BH1211" s="62"/>
      <c r="BI1211" s="57" t="n">
        <v>-11</v>
      </c>
      <c r="BJ1211" s="57" t="n">
        <v>45</v>
      </c>
      <c r="BK1211" s="56" t="n">
        <v>-529.32</v>
      </c>
      <c r="BL1211" s="57" t="n">
        <v>14</v>
      </c>
      <c r="BM1211" s="55" t="s">
        <v>615</v>
      </c>
      <c r="BN1211" s="60" t="n">
        <v>0</v>
      </c>
      <c r="BO1211" s="60" t="n">
        <v>1211</v>
      </c>
      <c r="BP1211" s="55" t="str">
        <f aca="false">IF(S1211&lt;&gt;"",UPPER(TRIM(S1211)),IF(O1211="","LOSE",O1211))</f>
        <v>S52</v>
      </c>
      <c r="BQ1211" s="57" t="n">
        <f aca="false">IF(BP1211="LOSE",1,IF(N(T1211)&gt;0,T1211,IF(N(P1211)&gt;0,P1211,MAX(1,G1211))))</f>
        <v>38</v>
      </c>
      <c r="BR1211" s="60" t="n">
        <f aca="false">IF(BP1211="LOSE",1,0)</f>
        <v>0</v>
      </c>
      <c r="BS1211" s="59" t="n">
        <f aca="false">IF(BR1211=0,0,IF(N(R1211)&gt;0,R1211,IFERROR(VLOOKUP(D1211,Parameter!$A$35:$C$64,3,0)+0,0)))</f>
        <v>0</v>
      </c>
      <c r="BT1211" s="55" t="n">
        <f aca="false">IF(Y1211&lt;&gt;"",Y1211,X1211)</f>
        <v>3</v>
      </c>
      <c r="BU1211" s="55" t="str">
        <f aca="false">IF(BT1211=1,"L1",IF(OR(BT1211=2,BT1211=3),"L23",IF(BT1211="Aussen","Aussen","-")))</f>
        <v>L23</v>
      </c>
      <c r="BV1211" s="66" t="n">
        <f aca="false">IF(N(Z1211)&gt;0,Z1211,0)</f>
        <v>0</v>
      </c>
      <c r="BW1211" s="60" t="n">
        <f aca="false">IF(ISNUMBER(AC1211),1,0)</f>
        <v>0</v>
      </c>
      <c r="BX1211" s="57" t="n">
        <f aca="false">N(AC1211)</f>
        <v>0</v>
      </c>
      <c r="BY1211" s="57" t="n">
        <f aca="false">N(L1211)+N(M1211)</f>
        <v>16</v>
      </c>
      <c r="BZ1211" s="57" t="n">
        <f aca="false">ROUNDUP(G1211/BQ1211,0)</f>
        <v>0</v>
      </c>
      <c r="CA1211" s="57" t="n">
        <f aca="false">ROUNDUP(BX1211/BQ1211,0)</f>
        <v>0</v>
      </c>
      <c r="CB1211" s="60" t="n">
        <f aca="false">IF(BR1211=1,0,IFERROR(VLOOKUP(BP1211,'Gebinde-Kategorie'!$A$5:$M$45,5,0)+0,0))</f>
        <v>21</v>
      </c>
      <c r="CC1211" s="60" t="n">
        <f aca="false">IFERROR(IF(OR(BT1211=1,BT1211=2,BT1211=3),N(INDEX(Parameter!$I$5:$I$7,BT1211)),0),0)</f>
        <v>0</v>
      </c>
      <c r="CD1211" s="59" t="n">
        <f aca="false">IF(AND(Parameter!$B$21="Ja",ISNUMBER(U1211),N(V1211)&gt;0),IFERROR(N(INDEX(Parameter!$L$5:$L$7,U1211))*INDEX(Parameter!$E$5:$E$7,U1211)*V1211/SUMIFS($V$7:$V$1576,$U$7:$U$1576,U1211),0),0)</f>
        <v>0</v>
      </c>
    </row>
    <row r="1212" customFormat="false" ht="15" hidden="false" customHeight="false" outlineLevel="0" collapsed="false">
      <c r="A1212" s="55" t="s">
        <v>2163</v>
      </c>
      <c r="B1212" s="55" t="s">
        <v>2164</v>
      </c>
      <c r="C1212" s="55" t="s">
        <v>160</v>
      </c>
      <c r="D1212" s="55" t="s">
        <v>178</v>
      </c>
      <c r="E1212" s="55" t="s">
        <v>210</v>
      </c>
      <c r="F1212" s="56" t="n">
        <v>44.28</v>
      </c>
      <c r="G1212" s="57" t="n">
        <f aca="false">MAX(0,IF(AND(Parameter!$B$21="Ja",ISNUMBER(W1212)),W1212,IF(Parameter!$B$20="Jahresanfang 2025 + Export",BJ1212+BI1212,BI1212)))</f>
        <v>0</v>
      </c>
      <c r="H1212" s="57" t="n">
        <f aca="false">G1212*F1212</f>
        <v>0</v>
      </c>
      <c r="I1212" s="57" t="n">
        <f aca="false">BL1212*Parameter!$B$18</f>
        <v>9</v>
      </c>
      <c r="J1212" s="58" t="n">
        <v>394.5</v>
      </c>
      <c r="K1212" s="59" t="n">
        <v>0.0228136882129278</v>
      </c>
      <c r="L1212" s="57" t="n">
        <v>0</v>
      </c>
      <c r="M1212" s="57" t="n">
        <v>10</v>
      </c>
      <c r="N1212" s="60" t="n">
        <v>28</v>
      </c>
      <c r="O1212" s="55" t="s">
        <v>179</v>
      </c>
      <c r="P1212" s="57" t="n">
        <v>150</v>
      </c>
      <c r="Q1212" s="60" t="n">
        <f aca="false">IF(BR1212=1,0,IFERROR(VLOOKUP(BP1212,'Gebinde-Kategorie'!$A$5:$M$45,13,0)+0,0))</f>
        <v>12</v>
      </c>
      <c r="R1212" s="61"/>
      <c r="S1212" s="62"/>
      <c r="T1212" s="62"/>
      <c r="U1212" s="55"/>
      <c r="V1212" s="57"/>
      <c r="W1212" s="57"/>
      <c r="X1212" s="55" t="n">
        <f aca="false">IF(A1212="","",IF(AND(Parameter!$B$21="Ja",ISNUMBER(U1212)),U1212,IF(IFERROR(VLOOKUP(D1212,Parameter!$A$35:$C$64,2,0),"Nein")="2+3",IF(ISNUMBER(SEARCH("grosser Artikel",BM1212)),2,IFERROR(VLOOKUP(BP1212,Parameter!$F$35:$G$64,2,0),2)),IF(OR(IFERROR(VLOOKUP(D1212,Parameter!$A$35:$C$64,2,0),"Nein")="Nein",IFERROR(VLOOKUP(D1212,Parameter!$A$35:$C$64,2,0),"Nein")=""),"-",VLOOKUP(D1212,Parameter!$A$35:$C$64,2,0)))))</f>
        <v>2</v>
      </c>
      <c r="Y1212" s="62"/>
      <c r="Z1212" s="63"/>
      <c r="AA1212" s="57" t="n">
        <f aca="false">AP1212</f>
        <v>150</v>
      </c>
      <c r="AB1212" s="57" t="n">
        <f aca="false">MAX(AP1212,G1212)</f>
        <v>150</v>
      </c>
      <c r="AC1212" s="64"/>
      <c r="AD1212" s="57" t="n">
        <f aca="false">IF(LEFT(Cockpit!$C$5,1)="A",G1212,IF(BW1212=1,BX1212,IF(LEFT(Cockpit!$C$5,1)="B",AH1212,MAX(AH1212,G1212))))</f>
        <v>0</v>
      </c>
      <c r="AE1212" s="57" t="n">
        <f aca="false">IF(BR1212=1,0,ROUNDUP(AD1212/BQ1212,0))</f>
        <v>0</v>
      </c>
      <c r="AF1212" s="59" t="n">
        <f aca="false">IF(CD1212&gt;0,CD1212*MAX(1,AD1212/V1212),IF(BR1212=1,IF(AD1212&lt;=0,0,BS1212*MAX(1,IF(G1212&gt;0,AD1212/G1212,1))),IF(Q1212&gt;0,AE1212/Q1212,0))/MAX(0.1,N(Parameter!$M$21)))</f>
        <v>0</v>
      </c>
      <c r="AG1212" s="57" t="n">
        <f aca="false">AD1212*F1212</f>
        <v>0</v>
      </c>
      <c r="AH1212" s="57" t="n">
        <f aca="false">ROUNDUP(MAX(I1212/IF(BV1212&gt;0,BV1212,MAX(0.1,N(Cockpit!$C$6))),BY1212)/BQ1212,0)*BQ1212</f>
        <v>150</v>
      </c>
      <c r="AI1212" s="58" t="n">
        <f aca="false">IF(AF1212&gt;0,I1212/AF1212,-1)</f>
        <v>-1</v>
      </c>
      <c r="AJ1212" s="58" t="str">
        <f aca="false">IF(AND(OR(BU1212="L1",BU1212="L23"),AF1212&gt;0),SUMIFS($AF$7:$AF$1576,$BU$7:$BU$1576,BU1212,$AI$7:$AI$1576,"&gt;"&amp;AI1212)+SUMIFS($AF$7:$AF$1576,$BU$7:$BU$1576,BU1212,$AI$7:$AI$1576,AI1212,$BO$7:$BO$1576,"&lt;="&amp;BO1212),"")</f>
        <v/>
      </c>
      <c r="AK1212" s="65" t="n">
        <f aca="false">IF(AJ1212="",0,MAX(0,MIN(1,(IF(BU1212="L1",Parameter!$E$5,Parameter!$E$6+Parameter!$E$7)-(AJ1212-AF1212))/AF1212)))</f>
        <v>0</v>
      </c>
      <c r="AL1212" s="57" t="n">
        <f aca="false">IF(LEFT(Cockpit!$I$5,1)="A",G1212,IF(BW1212=1,BX1212,IF(LEFT(Cockpit!$I$5,1)="B",AP1212,MAX(AP1212,G1212))))</f>
        <v>150</v>
      </c>
      <c r="AM1212" s="57" t="n">
        <f aca="false">IF(BR1212=1,0,ROUNDUP(AL1212/BQ1212,0))</f>
        <v>1</v>
      </c>
      <c r="AN1212" s="59" t="n">
        <f aca="false">IF(CD1212&gt;0,CD1212*MAX(1,AL1212/V1212),IF(BR1212=1,IF(AL1212&lt;=0,0,BS1212*MAX(1,IF(G1212&gt;0,AL1212/G1212,1))),IF(Q1212&gt;0,AM1212/Q1212,0))/MAX(0.1,N(Parameter!$M$21)))</f>
        <v>0.0833333333333333</v>
      </c>
      <c r="AO1212" s="57" t="n">
        <f aca="false">AL1212*F1212</f>
        <v>6642</v>
      </c>
      <c r="AP1212" s="57" t="n">
        <f aca="false">ROUNDUP(MAX(I1212/IF(BV1212&gt;0,BV1212,MAX(0.1,N(Cockpit!$I$6))),BY1212)/BQ1212,0)*BQ1212</f>
        <v>150</v>
      </c>
      <c r="AQ1212" s="58" t="n">
        <f aca="false">IF(AN1212&gt;0,I1212/AN1212,-1)</f>
        <v>108</v>
      </c>
      <c r="AR1212" s="58" t="n">
        <f aca="false">IF(AND(OR(BU1212="L1",BU1212="L23"),AN1212&gt;0),SUMIFS($AN$7:$AN$1576,$BU$7:$BU$1576,BU1212,$AQ$7:$AQ$1576,"&gt;"&amp;AQ1212)+SUMIFS($AN$7:$AN$1576,$BU$7:$BU$1576,BU1212,$AQ$7:$AQ$1576,AQ1212,$BO$7:$BO$1576,"&lt;="&amp;BO1212),"")</f>
        <v>67.6770023820135</v>
      </c>
      <c r="AS1212" s="65" t="n">
        <f aca="false">IF(AR1212="",0,MAX(0,MIN(1,(IF(BU1212="L1",Parameter!$E$5,Parameter!$E$6+Parameter!$E$7)-(AR1212-AN1212))/AN1212)))</f>
        <v>1</v>
      </c>
      <c r="AT1212" s="57" t="n">
        <f aca="false">IF(LEFT(Cockpit!$O$5,1)="A",G1212,IF(BW1212=1,BX1212,IF(LEFT(Cockpit!$O$5,1)="B",AX1212,MAX(AX1212,G1212))))</f>
        <v>150</v>
      </c>
      <c r="AU1212" s="57" t="n">
        <f aca="false">IF(BR1212=1,0,ROUNDUP(AT1212/BQ1212,0))</f>
        <v>1</v>
      </c>
      <c r="AV1212" s="59" t="n">
        <f aca="false">IF(CD1212&gt;0,CD1212*MAX(1,AT1212/V1212),IF(BR1212=1,IF(AT1212&lt;=0,0,BS1212*MAX(1,IF(G1212&gt;0,AT1212/G1212,1))),IF(Q1212&gt;0,AU1212/Q1212,0))/MAX(0.1,N(Parameter!$M$21)))</f>
        <v>0.0833333333333333</v>
      </c>
      <c r="AW1212" s="57" t="n">
        <f aca="false">AT1212*F1212</f>
        <v>6642</v>
      </c>
      <c r="AX1212" s="57" t="n">
        <f aca="false">ROUNDUP(MAX(I1212/IF(BV1212&gt;0,BV1212,MAX(0.1,N(Cockpit!$O$6))),BY1212)/BQ1212,0)*BQ1212</f>
        <v>150</v>
      </c>
      <c r="AY1212" s="58" t="n">
        <f aca="false">IF(AV1212&gt;0,I1212/AV1212,-1)</f>
        <v>108</v>
      </c>
      <c r="AZ1212" s="58" t="n">
        <f aca="false">IF(AND(OR(BU1212="L1",BU1212="L23"),AV1212&gt;0),SUMIFS($AV$7:$AV$1576,$BU$7:$BU$1576,BU1212,$AY$7:$AY$1576,"&gt;"&amp;AY1212)+SUMIFS($AV$7:$AV$1576,$BU$7:$BU$1576,BU1212,$AY$7:$AY$1576,AY1212,$BO$7:$BO$1576,"&lt;="&amp;BO1212),"")</f>
        <v>63.0061361648973</v>
      </c>
      <c r="BA1212" s="65" t="n">
        <f aca="false">IF(AZ1212="",0,MAX(0,MIN(1,(IF(BU1212="L1",Parameter!$E$5,Parameter!$E$6+Parameter!$E$7)-(AZ1212-AV1212))/AV1212)))</f>
        <v>1</v>
      </c>
      <c r="BB1212" s="55" t="str">
        <f aca="false">IF(AF1212&lt;=0,"",IF(BU1212="Aussen","Aussenlager",IF(BU1212="-","Nicht im Lift",IF(AK1212&gt;=1,"Lift",IF(AK1212&lt;=0,"Aussenlager","teilweise")))))</f>
        <v/>
      </c>
      <c r="BC1212" s="55" t="str">
        <f aca="false">IF(AN1212&lt;=0,"",IF(BU1212="Aussen","Aussenlager",IF(BU1212="-","Nicht im Lift",IF(AS1212&gt;=1,"Lift",IF(AS1212&lt;=0,"Aussenlager","teilweise")))))</f>
        <v>Lift</v>
      </c>
      <c r="BD1212" s="55" t="str">
        <f aca="false">IF(AV1212&lt;=0,"",IF(BU1212="Aussen","Aussenlager",IF(BU1212="-","Nicht im Lift",IF(BA1212&gt;=1,"Lift",IF(BA1212&lt;=0,"Aussenlager","teilweise")))))</f>
        <v>Lift</v>
      </c>
      <c r="BE1212" s="55" t="str">
        <f aca="false">IF(A1212="","",IF(BN1212=1,"Neu; ","")&amp;IF(AND(BN1212=0,BI1212&lt;0),"negativer Bestand (Export "&amp;BI1212&amp;"); ","")&amp;IF(I1212&lt;=0,"Kein Verbrauch; ","")&amp;IF(CD1212&gt;0,"Lift "&amp;U1212&amp;" lt. Liftbericht (Fach "&amp;V1212&amp;" Stk); ",IF(BR1212=1,"Lose – Fläche geschätzt; ",""))&amp;IF(G1212&gt;AP1212,"Überbestand "&amp;ROUND(G1212-AP1212,0)&amp;" Stk / CHF "&amp;ROUND((G1212-AP1212)*F1212,0)&amp;"; ","")&amp;IF(AND(BW1212=1,BX1212&lt;BY1212),"MAX &lt; MB+LG; ","")&amp;IF(AND(CC1212&gt;0,CB1212*10&gt;CC1212),"zu hoch für Tablar; ","")&amp;IF(AND(BN1212=0,OR(BW1212=1,Y1212&lt;&gt;"",S1212&lt;&gt;"",T1212&lt;&gt;"",Z1212&lt;&gt;"")),"manuell übersteuert; ","")&amp;IF(AND(BR1212=0,Q1212=0),"Gebinde unbekannt / Stellmass fehlt; ","")&amp;IF(AND(BR1212=0,N(T1212)&lt;=0,N(P1212)&lt;=0),"Menge pro Gebinde fehlt (Ist = 1 Gebinde); ","")&amp;BM1212)</f>
        <v>negativer Bestand (Export -12); i.o</v>
      </c>
      <c r="BF1212" s="55"/>
      <c r="BG1212" s="55"/>
      <c r="BH1212" s="62"/>
      <c r="BI1212" s="57" t="n">
        <v>-12</v>
      </c>
      <c r="BJ1212" s="57" t="n">
        <v>397</v>
      </c>
      <c r="BK1212" s="56" t="n">
        <v>-531.36</v>
      </c>
      <c r="BL1212" s="57" t="n">
        <v>9</v>
      </c>
      <c r="BM1212" s="55" t="s">
        <v>525</v>
      </c>
      <c r="BN1212" s="60" t="n">
        <v>0</v>
      </c>
      <c r="BO1212" s="60" t="n">
        <v>1212</v>
      </c>
      <c r="BP1212" s="55" t="str">
        <f aca="false">IF(S1212&lt;&gt;"",UPPER(TRIM(S1212)),IF(O1212="","LOSE",O1212))</f>
        <v>S61</v>
      </c>
      <c r="BQ1212" s="57" t="n">
        <f aca="false">IF(BP1212="LOSE",1,IF(N(T1212)&gt;0,T1212,IF(N(P1212)&gt;0,P1212,MAX(1,G1212))))</f>
        <v>150</v>
      </c>
      <c r="BR1212" s="60" t="n">
        <f aca="false">IF(BP1212="LOSE",1,0)</f>
        <v>0</v>
      </c>
      <c r="BS1212" s="59" t="n">
        <f aca="false">IF(BR1212=0,0,IF(N(R1212)&gt;0,R1212,IFERROR(VLOOKUP(D1212,Parameter!$A$35:$C$64,3,0)+0,0)))</f>
        <v>0</v>
      </c>
      <c r="BT1212" s="55" t="n">
        <f aca="false">IF(Y1212&lt;&gt;"",Y1212,X1212)</f>
        <v>2</v>
      </c>
      <c r="BU1212" s="55" t="str">
        <f aca="false">IF(BT1212=1,"L1",IF(OR(BT1212=2,BT1212=3),"L23",IF(BT1212="Aussen","Aussen","-")))</f>
        <v>L23</v>
      </c>
      <c r="BV1212" s="66" t="n">
        <f aca="false">IF(N(Z1212)&gt;0,Z1212,0)</f>
        <v>0</v>
      </c>
      <c r="BW1212" s="60" t="n">
        <f aca="false">IF(ISNUMBER(AC1212),1,0)</f>
        <v>0</v>
      </c>
      <c r="BX1212" s="57" t="n">
        <f aca="false">N(AC1212)</f>
        <v>0</v>
      </c>
      <c r="BY1212" s="57" t="n">
        <f aca="false">N(L1212)+N(M1212)</f>
        <v>10</v>
      </c>
      <c r="BZ1212" s="57" t="n">
        <f aca="false">ROUNDUP(G1212/BQ1212,0)</f>
        <v>0</v>
      </c>
      <c r="CA1212" s="57" t="n">
        <f aca="false">ROUNDUP(BX1212/BQ1212,0)</f>
        <v>0</v>
      </c>
      <c r="CB1212" s="60" t="n">
        <f aca="false">IF(BR1212=1,0,IFERROR(VLOOKUP(BP1212,'Gebinde-Kategorie'!$A$5:$M$45,5,0)+0,0))</f>
        <v>11</v>
      </c>
      <c r="CC1212" s="60" t="n">
        <f aca="false">IFERROR(IF(OR(BT1212=1,BT1212=2,BT1212=3),N(INDEX(Parameter!$I$5:$I$7,BT1212)),0),0)</f>
        <v>0</v>
      </c>
      <c r="CD1212" s="59" t="n">
        <f aca="false">IF(AND(Parameter!$B$21="Ja",ISNUMBER(U1212),N(V1212)&gt;0),IFERROR(N(INDEX(Parameter!$L$5:$L$7,U1212))*INDEX(Parameter!$E$5:$E$7,U1212)*V1212/SUMIFS($V$7:$V$1576,$U$7:$U$1576,U1212),0),0)</f>
        <v>0</v>
      </c>
    </row>
    <row r="1213" customFormat="false" ht="15" hidden="false" customHeight="false" outlineLevel="0" collapsed="false">
      <c r="A1213" s="55" t="s">
        <v>2165</v>
      </c>
      <c r="B1213" s="55" t="s">
        <v>1695</v>
      </c>
      <c r="C1213" s="55" t="s">
        <v>160</v>
      </c>
      <c r="D1213" s="55" t="s">
        <v>178</v>
      </c>
      <c r="E1213" s="55" t="s">
        <v>210</v>
      </c>
      <c r="F1213" s="56" t="n">
        <v>107</v>
      </c>
      <c r="G1213" s="57" t="n">
        <f aca="false">MAX(0,IF(AND(Parameter!$B$21="Ja",ISNUMBER(W1213)),W1213,IF(Parameter!$B$20="Jahresanfang 2025 + Export",BJ1213+BI1213,BI1213)))</f>
        <v>0</v>
      </c>
      <c r="H1213" s="57" t="n">
        <f aca="false">G1213*F1213</f>
        <v>0</v>
      </c>
      <c r="I1213" s="57" t="n">
        <f aca="false">BL1213*Parameter!$B$18</f>
        <v>14</v>
      </c>
      <c r="J1213" s="58" t="n">
        <v>23</v>
      </c>
      <c r="K1213" s="59" t="n">
        <v>0.608695652173913</v>
      </c>
      <c r="L1213" s="57" t="n">
        <v>3</v>
      </c>
      <c r="M1213" s="57" t="n">
        <v>15</v>
      </c>
      <c r="N1213" s="60" t="n">
        <v>84</v>
      </c>
      <c r="O1213" s="55" t="s">
        <v>225</v>
      </c>
      <c r="P1213" s="57" t="n">
        <v>64</v>
      </c>
      <c r="Q1213" s="60" t="n">
        <f aca="false">IF(BR1213=1,0,IFERROR(VLOOKUP(BP1213,'Gebinde-Kategorie'!$A$5:$M$45,13,0)+0,0))</f>
        <v>26</v>
      </c>
      <c r="R1213" s="61"/>
      <c r="S1213" s="62"/>
      <c r="T1213" s="62"/>
      <c r="U1213" s="55"/>
      <c r="V1213" s="57"/>
      <c r="W1213" s="57"/>
      <c r="X1213" s="55" t="n">
        <f aca="false">IF(A1213="","",IF(AND(Parameter!$B$21="Ja",ISNUMBER(U1213)),U1213,IF(IFERROR(VLOOKUP(D1213,Parameter!$A$35:$C$64,2,0),"Nein")="2+3",IF(ISNUMBER(SEARCH("grosser Artikel",BM1213)),2,IFERROR(VLOOKUP(BP1213,Parameter!$F$35:$G$64,2,0),2)),IF(OR(IFERROR(VLOOKUP(D1213,Parameter!$A$35:$C$64,2,0),"Nein")="Nein",IFERROR(VLOOKUP(D1213,Parameter!$A$35:$C$64,2,0),"Nein")=""),"-",VLOOKUP(D1213,Parameter!$A$35:$C$64,2,0)))))</f>
        <v>3</v>
      </c>
      <c r="Y1213" s="62"/>
      <c r="Z1213" s="63"/>
      <c r="AA1213" s="57" t="n">
        <f aca="false">AP1213</f>
        <v>64</v>
      </c>
      <c r="AB1213" s="57" t="n">
        <f aca="false">MAX(AP1213,G1213)</f>
        <v>64</v>
      </c>
      <c r="AC1213" s="64"/>
      <c r="AD1213" s="57" t="n">
        <f aca="false">IF(LEFT(Cockpit!$C$5,1)="A",G1213,IF(BW1213=1,BX1213,IF(LEFT(Cockpit!$C$5,1)="B",AH1213,MAX(AH1213,G1213))))</f>
        <v>0</v>
      </c>
      <c r="AE1213" s="57" t="n">
        <f aca="false">IF(BR1213=1,0,ROUNDUP(AD1213/BQ1213,0))</f>
        <v>0</v>
      </c>
      <c r="AF1213" s="59" t="n">
        <f aca="false">IF(CD1213&gt;0,CD1213*MAX(1,AD1213/V1213),IF(BR1213=1,IF(AD1213&lt;=0,0,BS1213*MAX(1,IF(G1213&gt;0,AD1213/G1213,1))),IF(Q1213&gt;0,AE1213/Q1213,0))/MAX(0.1,N(Parameter!$M$21)))</f>
        <v>0</v>
      </c>
      <c r="AG1213" s="57" t="n">
        <f aca="false">AD1213*F1213</f>
        <v>0</v>
      </c>
      <c r="AH1213" s="57" t="n">
        <f aca="false">ROUNDUP(MAX(I1213/IF(BV1213&gt;0,BV1213,MAX(0.1,N(Cockpit!$C$6))),BY1213)/BQ1213,0)*BQ1213</f>
        <v>64</v>
      </c>
      <c r="AI1213" s="58" t="n">
        <f aca="false">IF(AF1213&gt;0,I1213/AF1213,-1)</f>
        <v>-1</v>
      </c>
      <c r="AJ1213" s="58" t="str">
        <f aca="false">IF(AND(OR(BU1213="L1",BU1213="L23"),AF1213&gt;0),SUMIFS($AF$7:$AF$1576,$BU$7:$BU$1576,BU1213,$AI$7:$AI$1576,"&gt;"&amp;AI1213)+SUMIFS($AF$7:$AF$1576,$BU$7:$BU$1576,BU1213,$AI$7:$AI$1576,AI1213,$BO$7:$BO$1576,"&lt;="&amp;BO1213),"")</f>
        <v/>
      </c>
      <c r="AK1213" s="65" t="n">
        <f aca="false">IF(AJ1213="",0,MAX(0,MIN(1,(IF(BU1213="L1",Parameter!$E$5,Parameter!$E$6+Parameter!$E$7)-(AJ1213-AF1213))/AF1213)))</f>
        <v>0</v>
      </c>
      <c r="AL1213" s="57" t="n">
        <f aca="false">IF(LEFT(Cockpit!$I$5,1)="A",G1213,IF(BW1213=1,BX1213,IF(LEFT(Cockpit!$I$5,1)="B",AP1213,MAX(AP1213,G1213))))</f>
        <v>64</v>
      </c>
      <c r="AM1213" s="57" t="n">
        <f aca="false">IF(BR1213=1,0,ROUNDUP(AL1213/BQ1213,0))</f>
        <v>1</v>
      </c>
      <c r="AN1213" s="59" t="n">
        <f aca="false">IF(CD1213&gt;0,CD1213*MAX(1,AL1213/V1213),IF(BR1213=1,IF(AL1213&lt;=0,0,BS1213*MAX(1,IF(G1213&gt;0,AL1213/G1213,1))),IF(Q1213&gt;0,AM1213/Q1213,0))/MAX(0.1,N(Parameter!$M$21)))</f>
        <v>0.0384615384615385</v>
      </c>
      <c r="AO1213" s="57" t="n">
        <f aca="false">AL1213*F1213</f>
        <v>6848</v>
      </c>
      <c r="AP1213" s="57" t="n">
        <f aca="false">ROUNDUP(MAX(I1213/IF(BV1213&gt;0,BV1213,MAX(0.1,N(Cockpit!$I$6))),BY1213)/BQ1213,0)*BQ1213</f>
        <v>64</v>
      </c>
      <c r="AQ1213" s="58" t="n">
        <f aca="false">IF(AN1213&gt;0,I1213/AN1213,-1)</f>
        <v>364</v>
      </c>
      <c r="AR1213" s="58" t="n">
        <f aca="false">IF(AND(OR(BU1213="L1",BU1213="L23"),AN1213&gt;0),SUMIFS($AN$7:$AN$1576,$BU$7:$BU$1576,BU1213,$AQ$7:$AQ$1576,"&gt;"&amp;AQ1213)+SUMIFS($AN$7:$AN$1576,$BU$7:$BU$1576,BU1213,$AQ$7:$AQ$1576,AQ1213,$BO$7:$BO$1576,"&lt;="&amp;BO1213),"")</f>
        <v>37.94367271651</v>
      </c>
      <c r="AS1213" s="65" t="n">
        <f aca="false">IF(AR1213="",0,MAX(0,MIN(1,(IF(BU1213="L1",Parameter!$E$5,Parameter!$E$6+Parameter!$E$7)-(AR1213-AN1213))/AN1213)))</f>
        <v>1</v>
      </c>
      <c r="AT1213" s="57" t="n">
        <f aca="false">IF(LEFT(Cockpit!$O$5,1)="A",G1213,IF(BW1213=1,BX1213,IF(LEFT(Cockpit!$O$5,1)="B",AX1213,MAX(AX1213,G1213))))</f>
        <v>64</v>
      </c>
      <c r="AU1213" s="57" t="n">
        <f aca="false">IF(BR1213=1,0,ROUNDUP(AT1213/BQ1213,0))</f>
        <v>1</v>
      </c>
      <c r="AV1213" s="59" t="n">
        <f aca="false">IF(CD1213&gt;0,CD1213*MAX(1,AT1213/V1213),IF(BR1213=1,IF(AT1213&lt;=0,0,BS1213*MAX(1,IF(G1213&gt;0,AT1213/G1213,1))),IF(Q1213&gt;0,AU1213/Q1213,0))/MAX(0.1,N(Parameter!$M$21)))</f>
        <v>0.0384615384615385</v>
      </c>
      <c r="AW1213" s="57" t="n">
        <f aca="false">AT1213*F1213</f>
        <v>6848</v>
      </c>
      <c r="AX1213" s="57" t="n">
        <f aca="false">ROUNDUP(MAX(I1213/IF(BV1213&gt;0,BV1213,MAX(0.1,N(Cockpit!$O$6))),BY1213)/BQ1213,0)*BQ1213</f>
        <v>64</v>
      </c>
      <c r="AY1213" s="58" t="n">
        <f aca="false">IF(AV1213&gt;0,I1213/AV1213,-1)</f>
        <v>364</v>
      </c>
      <c r="AZ1213" s="58" t="n">
        <f aca="false">IF(AND(OR(BU1213="L1",BU1213="L23"),AV1213&gt;0),SUMIFS($AV$7:$AV$1576,$BU$7:$BU$1576,BU1213,$AY$7:$AY$1576,"&gt;"&amp;AY1213)+SUMIFS($AV$7:$AV$1576,$BU$7:$BU$1576,BU1213,$AY$7:$AY$1576,AY1213,$BO$7:$BO$1576,"&lt;="&amp;BO1213),"")</f>
        <v>36.7750846379219</v>
      </c>
      <c r="BA1213" s="65" t="n">
        <f aca="false">IF(AZ1213="",0,MAX(0,MIN(1,(IF(BU1213="L1",Parameter!$E$5,Parameter!$E$6+Parameter!$E$7)-(AZ1213-AV1213))/AV1213)))</f>
        <v>1</v>
      </c>
      <c r="BB1213" s="55" t="str">
        <f aca="false">IF(AF1213&lt;=0,"",IF(BU1213="Aussen","Aussenlager",IF(BU1213="-","Nicht im Lift",IF(AK1213&gt;=1,"Lift",IF(AK1213&lt;=0,"Aussenlager","teilweise")))))</f>
        <v/>
      </c>
      <c r="BC1213" s="55" t="str">
        <f aca="false">IF(AN1213&lt;=0,"",IF(BU1213="Aussen","Aussenlager",IF(BU1213="-","Nicht im Lift",IF(AS1213&gt;=1,"Lift",IF(AS1213&lt;=0,"Aussenlager","teilweise")))))</f>
        <v>Lift</v>
      </c>
      <c r="BD1213" s="55" t="str">
        <f aca="false">IF(AV1213&lt;=0,"",IF(BU1213="Aussen","Aussenlager",IF(BU1213="-","Nicht im Lift",IF(BA1213&gt;=1,"Lift",IF(BA1213&lt;=0,"Aussenlager","teilweise")))))</f>
        <v>Lift</v>
      </c>
      <c r="BE1213" s="55" t="str">
        <f aca="false">IF(A1213="","",IF(BN1213=1,"Neu; ","")&amp;IF(AND(BN1213=0,BI1213&lt;0),"negativer Bestand (Export "&amp;BI1213&amp;"); ","")&amp;IF(I1213&lt;=0,"Kein Verbrauch; ","")&amp;IF(CD1213&gt;0,"Lift "&amp;U1213&amp;" lt. Liftbericht (Fach "&amp;V1213&amp;" Stk); ",IF(BR1213=1,"Lose – Fläche geschätzt; ",""))&amp;IF(G1213&gt;AP1213,"Überbestand "&amp;ROUND(G1213-AP1213,0)&amp;" Stk / CHF "&amp;ROUND((G1213-AP1213)*F1213,0)&amp;"; ","")&amp;IF(AND(BW1213=1,BX1213&lt;BY1213),"MAX &lt; MB+LG; ","")&amp;IF(AND(CC1213&gt;0,CB1213*10&gt;CC1213),"zu hoch für Tablar; ","")&amp;IF(AND(BN1213=0,OR(BW1213=1,Y1213&lt;&gt;"",S1213&lt;&gt;"",T1213&lt;&gt;"",Z1213&lt;&gt;"")),"manuell übersteuert; ","")&amp;IF(AND(BR1213=0,Q1213=0),"Gebinde unbekannt / Stellmass fehlt; ","")&amp;IF(AND(BR1213=0,N(T1213)&lt;=0,N(P1213)&lt;=0),"Menge pro Gebinde fehlt (Ist = 1 Gebinde); ","")&amp;BM1213)</f>
        <v>negativer Bestand (Export -5); </v>
      </c>
      <c r="BF1213" s="55"/>
      <c r="BG1213" s="55"/>
      <c r="BH1213" s="62"/>
      <c r="BI1213" s="57" t="n">
        <v>-5</v>
      </c>
      <c r="BJ1213" s="57" t="n">
        <v>21</v>
      </c>
      <c r="BK1213" s="56" t="n">
        <v>-535</v>
      </c>
      <c r="BL1213" s="57" t="n">
        <v>14</v>
      </c>
      <c r="BM1213" s="55"/>
      <c r="BN1213" s="60" t="n">
        <v>0</v>
      </c>
      <c r="BO1213" s="60" t="n">
        <v>1213</v>
      </c>
      <c r="BP1213" s="55" t="str">
        <f aca="false">IF(S1213&lt;&gt;"",UPPER(TRIM(S1213)),IF(O1213="","LOSE",O1213))</f>
        <v>S52</v>
      </c>
      <c r="BQ1213" s="57" t="n">
        <f aca="false">IF(BP1213="LOSE",1,IF(N(T1213)&gt;0,T1213,IF(N(P1213)&gt;0,P1213,MAX(1,G1213))))</f>
        <v>64</v>
      </c>
      <c r="BR1213" s="60" t="n">
        <f aca="false">IF(BP1213="LOSE",1,0)</f>
        <v>0</v>
      </c>
      <c r="BS1213" s="59" t="n">
        <f aca="false">IF(BR1213=0,0,IF(N(R1213)&gt;0,R1213,IFERROR(VLOOKUP(D1213,Parameter!$A$35:$C$64,3,0)+0,0)))</f>
        <v>0</v>
      </c>
      <c r="BT1213" s="55" t="n">
        <f aca="false">IF(Y1213&lt;&gt;"",Y1213,X1213)</f>
        <v>3</v>
      </c>
      <c r="BU1213" s="55" t="str">
        <f aca="false">IF(BT1213=1,"L1",IF(OR(BT1213=2,BT1213=3),"L23",IF(BT1213="Aussen","Aussen","-")))</f>
        <v>L23</v>
      </c>
      <c r="BV1213" s="66" t="n">
        <f aca="false">IF(N(Z1213)&gt;0,Z1213,0)</f>
        <v>0</v>
      </c>
      <c r="BW1213" s="60" t="n">
        <f aca="false">IF(ISNUMBER(AC1213),1,0)</f>
        <v>0</v>
      </c>
      <c r="BX1213" s="57" t="n">
        <f aca="false">N(AC1213)</f>
        <v>0</v>
      </c>
      <c r="BY1213" s="57" t="n">
        <f aca="false">N(L1213)+N(M1213)</f>
        <v>18</v>
      </c>
      <c r="BZ1213" s="57" t="n">
        <f aca="false">ROUNDUP(G1213/BQ1213,0)</f>
        <v>0</v>
      </c>
      <c r="CA1213" s="57" t="n">
        <f aca="false">ROUNDUP(BX1213/BQ1213,0)</f>
        <v>0</v>
      </c>
      <c r="CB1213" s="60" t="n">
        <f aca="false">IF(BR1213=1,0,IFERROR(VLOOKUP(BP1213,'Gebinde-Kategorie'!$A$5:$M$45,5,0)+0,0))</f>
        <v>21</v>
      </c>
      <c r="CC1213" s="60" t="n">
        <f aca="false">IFERROR(IF(OR(BT1213=1,BT1213=2,BT1213=3),N(INDEX(Parameter!$I$5:$I$7,BT1213)),0),0)</f>
        <v>0</v>
      </c>
      <c r="CD1213" s="59" t="n">
        <f aca="false">IF(AND(Parameter!$B$21="Ja",ISNUMBER(U1213),N(V1213)&gt;0),IFERROR(N(INDEX(Parameter!$L$5:$L$7,U1213))*INDEX(Parameter!$E$5:$E$7,U1213)*V1213/SUMIFS($V$7:$V$1576,$U$7:$U$1576,U1213),0),0)</f>
        <v>0</v>
      </c>
    </row>
    <row r="1214" customFormat="false" ht="15" hidden="false" customHeight="false" outlineLevel="0" collapsed="false">
      <c r="A1214" s="55" t="s">
        <v>2166</v>
      </c>
      <c r="B1214" s="55" t="s">
        <v>2167</v>
      </c>
      <c r="C1214" s="55" t="s">
        <v>160</v>
      </c>
      <c r="D1214" s="55" t="s">
        <v>168</v>
      </c>
      <c r="E1214" s="55" t="s">
        <v>210</v>
      </c>
      <c r="F1214" s="56" t="n">
        <v>86</v>
      </c>
      <c r="G1214" s="57" t="n">
        <f aca="false">MAX(0,IF(AND(Parameter!$B$21="Ja",ISNUMBER(W1214)),W1214,IF(Parameter!$B$20="Jahresanfang 2025 + Export",BJ1214+BI1214,BI1214)))</f>
        <v>0</v>
      </c>
      <c r="H1214" s="57" t="n">
        <f aca="false">G1214*F1214</f>
        <v>0</v>
      </c>
      <c r="I1214" s="57" t="n">
        <f aca="false">BL1214*Parameter!$B$18</f>
        <v>36</v>
      </c>
      <c r="J1214" s="58" t="n">
        <v>13</v>
      </c>
      <c r="K1214" s="59" t="n">
        <v>2.76923076923077</v>
      </c>
      <c r="L1214" s="57" t="n">
        <v>1</v>
      </c>
      <c r="M1214" s="57" t="n">
        <v>2</v>
      </c>
      <c r="N1214" s="60" t="n">
        <v>14</v>
      </c>
      <c r="O1214" s="55" t="s">
        <v>163</v>
      </c>
      <c r="P1214" s="57"/>
      <c r="Q1214" s="60" t="n">
        <f aca="false">IF(BR1214=1,0,IFERROR(VLOOKUP(BP1214,'Gebinde-Kategorie'!$A$5:$M$45,13,0)+0,0))</f>
        <v>0</v>
      </c>
      <c r="R1214" s="61"/>
      <c r="S1214" s="62"/>
      <c r="T1214" s="62"/>
      <c r="U1214" s="55"/>
      <c r="V1214" s="57"/>
      <c r="W1214" s="57"/>
      <c r="X1214" s="55" t="n">
        <f aca="false">IF(A1214="","",IF(AND(Parameter!$B$21="Ja",ISNUMBER(U1214)),U1214,IF(IFERROR(VLOOKUP(D1214,Parameter!$A$35:$C$64,2,0),"Nein")="2+3",IF(ISNUMBER(SEARCH("grosser Artikel",BM1214)),2,IFERROR(VLOOKUP(BP1214,Parameter!$F$35:$G$64,2,0),2)),IF(OR(IFERROR(VLOOKUP(D1214,Parameter!$A$35:$C$64,2,0),"Nein")="Nein",IFERROR(VLOOKUP(D1214,Parameter!$A$35:$C$64,2,0),"Nein")=""),"-",VLOOKUP(D1214,Parameter!$A$35:$C$64,2,0)))))</f>
        <v>2</v>
      </c>
      <c r="Y1214" s="62"/>
      <c r="Z1214" s="63"/>
      <c r="AA1214" s="57" t="n">
        <f aca="false">AP1214</f>
        <v>18</v>
      </c>
      <c r="AB1214" s="57" t="n">
        <f aca="false">MAX(AP1214,G1214)</f>
        <v>18</v>
      </c>
      <c r="AC1214" s="64"/>
      <c r="AD1214" s="57" t="n">
        <f aca="false">IF(LEFT(Cockpit!$C$5,1)="A",G1214,IF(BW1214=1,BX1214,IF(LEFT(Cockpit!$C$5,1)="B",AH1214,MAX(AH1214,G1214))))</f>
        <v>0</v>
      </c>
      <c r="AE1214" s="57" t="n">
        <f aca="false">IF(BR1214=1,0,ROUNDUP(AD1214/BQ1214,0))</f>
        <v>0</v>
      </c>
      <c r="AF1214" s="59" t="n">
        <f aca="false">IF(CD1214&gt;0,CD1214*MAX(1,AD1214/V1214),IF(BR1214=1,IF(AD1214&lt;=0,0,BS1214*MAX(1,IF(G1214&gt;0,AD1214/G1214,1))),IF(Q1214&gt;0,AE1214/Q1214,0))/MAX(0.1,N(Parameter!$M$21)))</f>
        <v>0</v>
      </c>
      <c r="AG1214" s="57" t="n">
        <f aca="false">AD1214*F1214</f>
        <v>0</v>
      </c>
      <c r="AH1214" s="57" t="n">
        <f aca="false">ROUNDUP(MAX(I1214/IF(BV1214&gt;0,BV1214,MAX(0.1,N(Cockpit!$C$6))),BY1214)/BQ1214,0)*BQ1214</f>
        <v>18</v>
      </c>
      <c r="AI1214" s="58" t="n">
        <f aca="false">IF(AF1214&gt;0,I1214/AF1214,-1)</f>
        <v>-1</v>
      </c>
      <c r="AJ1214" s="58" t="str">
        <f aca="false">IF(AND(OR(BU1214="L1",BU1214="L23"),AF1214&gt;0),SUMIFS($AF$7:$AF$1576,$BU$7:$BU$1576,BU1214,$AI$7:$AI$1576,"&gt;"&amp;AI1214)+SUMIFS($AF$7:$AF$1576,$BU$7:$BU$1576,BU1214,$AI$7:$AI$1576,AI1214,$BO$7:$BO$1576,"&lt;="&amp;BO1214),"")</f>
        <v/>
      </c>
      <c r="AK1214" s="65" t="n">
        <f aca="false">IF(AJ1214="",0,MAX(0,MIN(1,(IF(BU1214="L1",Parameter!$E$5,Parameter!$E$6+Parameter!$E$7)-(AJ1214-AF1214))/AF1214)))</f>
        <v>0</v>
      </c>
      <c r="AL1214" s="57" t="n">
        <f aca="false">IF(LEFT(Cockpit!$I$5,1)="A",G1214,IF(BW1214=1,BX1214,IF(LEFT(Cockpit!$I$5,1)="B",AP1214,MAX(AP1214,G1214))))</f>
        <v>18</v>
      </c>
      <c r="AM1214" s="57" t="n">
        <f aca="false">IF(BR1214=1,0,ROUNDUP(AL1214/BQ1214,0))</f>
        <v>0</v>
      </c>
      <c r="AN1214" s="59" t="n">
        <f aca="false">IF(CD1214&gt;0,CD1214*MAX(1,AL1214/V1214),IF(BR1214=1,IF(AL1214&lt;=0,0,BS1214*MAX(1,IF(G1214&gt;0,AL1214/G1214,1))),IF(Q1214&gt;0,AM1214/Q1214,0))/MAX(0.1,N(Parameter!$M$21)))</f>
        <v>0.15</v>
      </c>
      <c r="AO1214" s="57" t="n">
        <f aca="false">AL1214*F1214</f>
        <v>1548</v>
      </c>
      <c r="AP1214" s="57" t="n">
        <f aca="false">ROUNDUP(MAX(I1214/IF(BV1214&gt;0,BV1214,MAX(0.1,N(Cockpit!$I$6))),BY1214)/BQ1214,0)*BQ1214</f>
        <v>18</v>
      </c>
      <c r="AQ1214" s="58" t="n">
        <f aca="false">IF(AN1214&gt;0,I1214/AN1214,-1)</f>
        <v>240</v>
      </c>
      <c r="AR1214" s="58" t="n">
        <f aca="false">IF(AND(OR(BU1214="L1",BU1214="L23"),AN1214&gt;0),SUMIFS($AN$7:$AN$1576,$BU$7:$BU$1576,BU1214,$AQ$7:$AQ$1576,"&gt;"&amp;AQ1214)+SUMIFS($AN$7:$AN$1576,$BU$7:$BU$1576,BU1214,$AQ$7:$AQ$1576,AQ1214,$BO$7:$BO$1576,"&lt;="&amp;BO1214),"")</f>
        <v>46.3208755137128</v>
      </c>
      <c r="AS1214" s="65" t="n">
        <f aca="false">IF(AR1214="",0,MAX(0,MIN(1,(IF(BU1214="L1",Parameter!$E$5,Parameter!$E$6+Parameter!$E$7)-(AR1214-AN1214))/AN1214)))</f>
        <v>1</v>
      </c>
      <c r="AT1214" s="57" t="n">
        <f aca="false">IF(LEFT(Cockpit!$O$5,1)="A",G1214,IF(BW1214=1,BX1214,IF(LEFT(Cockpit!$O$5,1)="B",AX1214,MAX(AX1214,G1214))))</f>
        <v>12</v>
      </c>
      <c r="AU1214" s="57" t="n">
        <f aca="false">IF(BR1214=1,0,ROUNDUP(AT1214/BQ1214,0))</f>
        <v>0</v>
      </c>
      <c r="AV1214" s="59" t="n">
        <f aca="false">IF(CD1214&gt;0,CD1214*MAX(1,AT1214/V1214),IF(BR1214=1,IF(AT1214&lt;=0,0,BS1214*MAX(1,IF(G1214&gt;0,AT1214/G1214,1))),IF(Q1214&gt;0,AU1214/Q1214,0))/MAX(0.1,N(Parameter!$M$21)))</f>
        <v>0.15</v>
      </c>
      <c r="AW1214" s="57" t="n">
        <f aca="false">AT1214*F1214</f>
        <v>1032</v>
      </c>
      <c r="AX1214" s="57" t="n">
        <f aca="false">ROUNDUP(MAX(I1214/IF(BV1214&gt;0,BV1214,MAX(0.1,N(Cockpit!$O$6))),BY1214)/BQ1214,0)*BQ1214</f>
        <v>12</v>
      </c>
      <c r="AY1214" s="58" t="n">
        <f aca="false">IF(AV1214&gt;0,I1214/AV1214,-1)</f>
        <v>240</v>
      </c>
      <c r="AZ1214" s="58" t="n">
        <f aca="false">IF(AND(OR(BU1214="L1",BU1214="L23"),AV1214&gt;0),SUMIFS($AV$7:$AV$1576,$BU$7:$BU$1576,BU1214,$AY$7:$AY$1576,"&gt;"&amp;AY1214)+SUMIFS($AV$7:$AV$1576,$BU$7:$BU$1576,BU1214,$AY$7:$AY$1576,AY1214,$BO$7:$BO$1576,"&lt;="&amp;BO1214),"")</f>
        <v>43.4322874351247</v>
      </c>
      <c r="BA1214" s="65" t="n">
        <f aca="false">IF(AZ1214="",0,MAX(0,MIN(1,(IF(BU1214="L1",Parameter!$E$5,Parameter!$E$6+Parameter!$E$7)-(AZ1214-AV1214))/AV1214)))</f>
        <v>1</v>
      </c>
      <c r="BB1214" s="55" t="str">
        <f aca="false">IF(AF1214&lt;=0,"",IF(BU1214="Aussen","Aussenlager",IF(BU1214="-","Nicht im Lift",IF(AK1214&gt;=1,"Lift",IF(AK1214&lt;=0,"Aussenlager","teilweise")))))</f>
        <v/>
      </c>
      <c r="BC1214" s="55" t="str">
        <f aca="false">IF(AN1214&lt;=0,"",IF(BU1214="Aussen","Aussenlager",IF(BU1214="-","Nicht im Lift",IF(AS1214&gt;=1,"Lift",IF(AS1214&lt;=0,"Aussenlager","teilweise")))))</f>
        <v>Lift</v>
      </c>
      <c r="BD1214" s="55" t="str">
        <f aca="false">IF(AV1214&lt;=0,"",IF(BU1214="Aussen","Aussenlager",IF(BU1214="-","Nicht im Lift",IF(BA1214&gt;=1,"Lift",IF(BA1214&lt;=0,"Aussenlager","teilweise")))))</f>
        <v>Lift</v>
      </c>
      <c r="BE1214" s="55" t="str">
        <f aca="false">IF(A1214="","",IF(BN1214=1,"Neu; ","")&amp;IF(AND(BN1214=0,BI1214&lt;0),"negativer Bestand (Export "&amp;BI1214&amp;"); ","")&amp;IF(I1214&lt;=0,"Kein Verbrauch; ","")&amp;IF(CD1214&gt;0,"Lift "&amp;U1214&amp;" lt. Liftbericht (Fach "&amp;V1214&amp;" Stk); ",IF(BR1214=1,"Lose – Fläche geschätzt; ",""))&amp;IF(G1214&gt;AP1214,"Überbestand "&amp;ROUND(G1214-AP1214,0)&amp;" Stk / CHF "&amp;ROUND((G1214-AP1214)*F1214,0)&amp;"; ","")&amp;IF(AND(BW1214=1,BX1214&lt;BY1214),"MAX &lt; MB+LG; ","")&amp;IF(AND(CC1214&gt;0,CB1214*10&gt;CC1214),"zu hoch für Tablar; ","")&amp;IF(AND(BN1214=0,OR(BW1214=1,Y1214&lt;&gt;"",S1214&lt;&gt;"",T1214&lt;&gt;"",Z1214&lt;&gt;"")),"manuell übersteuert; ","")&amp;IF(AND(BR1214=0,Q1214=0),"Gebinde unbekannt / Stellmass fehlt; ","")&amp;IF(AND(BR1214=0,N(T1214)&lt;=0,N(P1214)&lt;=0),"Menge pro Gebinde fehlt (Ist = 1 Gebinde); ","")&amp;BM1214)</f>
        <v>negativer Bestand (Export -7); Lose – Fläche geschätzt; </v>
      </c>
      <c r="BF1214" s="55"/>
      <c r="BG1214" s="55"/>
      <c r="BH1214" s="62"/>
      <c r="BI1214" s="57" t="n">
        <v>-7</v>
      </c>
      <c r="BJ1214" s="57" t="n">
        <v>9</v>
      </c>
      <c r="BK1214" s="56" t="n">
        <v>-544.22</v>
      </c>
      <c r="BL1214" s="57" t="n">
        <v>36</v>
      </c>
      <c r="BM1214" s="55"/>
      <c r="BN1214" s="60" t="n">
        <v>0</v>
      </c>
      <c r="BO1214" s="60" t="n">
        <v>1214</v>
      </c>
      <c r="BP1214" s="55" t="str">
        <f aca="false">IF(S1214&lt;&gt;"",UPPER(TRIM(S1214)),IF(O1214="","LOSE",O1214))</f>
        <v>LOSE</v>
      </c>
      <c r="BQ1214" s="57" t="n">
        <f aca="false">IF(BP1214="LOSE",1,IF(N(T1214)&gt;0,T1214,IF(N(P1214)&gt;0,P1214,MAX(1,G1214))))</f>
        <v>1</v>
      </c>
      <c r="BR1214" s="60" t="n">
        <f aca="false">IF(BP1214="LOSE",1,0)</f>
        <v>1</v>
      </c>
      <c r="BS1214" s="59" t="n">
        <f aca="false">IF(BR1214=0,0,IF(N(R1214)&gt;0,R1214,IFERROR(VLOOKUP(D1214,Parameter!$A$35:$C$64,3,0)+0,0)))</f>
        <v>0.15</v>
      </c>
      <c r="BT1214" s="55" t="n">
        <f aca="false">IF(Y1214&lt;&gt;"",Y1214,X1214)</f>
        <v>2</v>
      </c>
      <c r="BU1214" s="55" t="str">
        <f aca="false">IF(BT1214=1,"L1",IF(OR(BT1214=2,BT1214=3),"L23",IF(BT1214="Aussen","Aussen","-")))</f>
        <v>L23</v>
      </c>
      <c r="BV1214" s="66" t="n">
        <f aca="false">IF(N(Z1214)&gt;0,Z1214,0)</f>
        <v>0</v>
      </c>
      <c r="BW1214" s="60" t="n">
        <f aca="false">IF(ISNUMBER(AC1214),1,0)</f>
        <v>0</v>
      </c>
      <c r="BX1214" s="57" t="n">
        <f aca="false">N(AC1214)</f>
        <v>0</v>
      </c>
      <c r="BY1214" s="57" t="n">
        <f aca="false">N(L1214)+N(M1214)</f>
        <v>3</v>
      </c>
      <c r="BZ1214" s="57" t="n">
        <f aca="false">ROUNDUP(G1214/BQ1214,0)</f>
        <v>0</v>
      </c>
      <c r="CA1214" s="57" t="n">
        <f aca="false">ROUNDUP(BX1214/BQ1214,0)</f>
        <v>0</v>
      </c>
      <c r="CB1214" s="60" t="n">
        <f aca="false">IF(BR1214=1,0,IFERROR(VLOOKUP(BP1214,'Gebinde-Kategorie'!$A$5:$M$45,5,0)+0,0))</f>
        <v>0</v>
      </c>
      <c r="CC1214" s="60" t="n">
        <f aca="false">IFERROR(IF(OR(BT1214=1,BT1214=2,BT1214=3),N(INDEX(Parameter!$I$5:$I$7,BT1214)),0),0)</f>
        <v>0</v>
      </c>
      <c r="CD1214" s="59" t="n">
        <f aca="false">IF(AND(Parameter!$B$21="Ja",ISNUMBER(U1214),N(V1214)&gt;0),IFERROR(N(INDEX(Parameter!$L$5:$L$7,U1214))*INDEX(Parameter!$E$5:$E$7,U1214)*V1214/SUMIFS($V$7:$V$1576,$U$7:$U$1576,U1214),0),0)</f>
        <v>0</v>
      </c>
    </row>
    <row r="1215" customFormat="false" ht="15" hidden="false" customHeight="false" outlineLevel="0" collapsed="false">
      <c r="A1215" s="55" t="s">
        <v>2168</v>
      </c>
      <c r="B1215" s="55" t="s">
        <v>2169</v>
      </c>
      <c r="C1215" s="55" t="s">
        <v>446</v>
      </c>
      <c r="D1215" s="55" t="s">
        <v>168</v>
      </c>
      <c r="E1215" s="55" t="s">
        <v>210</v>
      </c>
      <c r="F1215" s="56" t="n">
        <v>141.18</v>
      </c>
      <c r="G1215" s="57" t="n">
        <f aca="false">MAX(0,IF(AND(Parameter!$B$21="Ja",ISNUMBER(W1215)),W1215,IF(Parameter!$B$20="Jahresanfang 2025 + Export",BJ1215+BI1215,BI1215)))</f>
        <v>0</v>
      </c>
      <c r="H1215" s="57" t="n">
        <f aca="false">G1215*F1215</f>
        <v>0</v>
      </c>
      <c r="I1215" s="57" t="n">
        <f aca="false">BL1215*Parameter!$B$18</f>
        <v>0</v>
      </c>
      <c r="J1215" s="58" t="n">
        <v>2</v>
      </c>
      <c r="K1215" s="59" t="n">
        <v>0</v>
      </c>
      <c r="L1215" s="57" t="n">
        <v>0</v>
      </c>
      <c r="M1215" s="57" t="n">
        <v>1</v>
      </c>
      <c r="N1215" s="60" t="n">
        <v>56</v>
      </c>
      <c r="O1215" s="55" t="s">
        <v>163</v>
      </c>
      <c r="P1215" s="57"/>
      <c r="Q1215" s="60" t="n">
        <f aca="false">IF(BR1215=1,0,IFERROR(VLOOKUP(BP1215,'Gebinde-Kategorie'!$A$5:$M$45,13,0)+0,0))</f>
        <v>0</v>
      </c>
      <c r="R1215" s="61"/>
      <c r="S1215" s="62"/>
      <c r="T1215" s="62"/>
      <c r="U1215" s="55"/>
      <c r="V1215" s="57"/>
      <c r="W1215" s="57"/>
      <c r="X1215" s="55" t="n">
        <f aca="false">IF(A1215="","",IF(AND(Parameter!$B$21="Ja",ISNUMBER(U1215)),U1215,IF(IFERROR(VLOOKUP(D1215,Parameter!$A$35:$C$64,2,0),"Nein")="2+3",IF(ISNUMBER(SEARCH("grosser Artikel",BM1215)),2,IFERROR(VLOOKUP(BP1215,Parameter!$F$35:$G$64,2,0),2)),IF(OR(IFERROR(VLOOKUP(D1215,Parameter!$A$35:$C$64,2,0),"Nein")="Nein",IFERROR(VLOOKUP(D1215,Parameter!$A$35:$C$64,2,0),"Nein")=""),"-",VLOOKUP(D1215,Parameter!$A$35:$C$64,2,0)))))</f>
        <v>2</v>
      </c>
      <c r="Y1215" s="62"/>
      <c r="Z1215" s="63"/>
      <c r="AA1215" s="57" t="n">
        <f aca="false">AP1215</f>
        <v>1</v>
      </c>
      <c r="AB1215" s="57" t="n">
        <f aca="false">MAX(AP1215,G1215)</f>
        <v>1</v>
      </c>
      <c r="AC1215" s="64"/>
      <c r="AD1215" s="57" t="n">
        <f aca="false">IF(LEFT(Cockpit!$C$5,1)="A",G1215,IF(BW1215=1,BX1215,IF(LEFT(Cockpit!$C$5,1)="B",AH1215,MAX(AH1215,G1215))))</f>
        <v>0</v>
      </c>
      <c r="AE1215" s="57" t="n">
        <f aca="false">IF(BR1215=1,0,ROUNDUP(AD1215/BQ1215,0))</f>
        <v>0</v>
      </c>
      <c r="AF1215" s="59" t="n">
        <f aca="false">IF(CD1215&gt;0,CD1215*MAX(1,AD1215/V1215),IF(BR1215=1,IF(AD1215&lt;=0,0,BS1215*MAX(1,IF(G1215&gt;0,AD1215/G1215,1))),IF(Q1215&gt;0,AE1215/Q1215,0))/MAX(0.1,N(Parameter!$M$21)))</f>
        <v>0</v>
      </c>
      <c r="AG1215" s="57" t="n">
        <f aca="false">AD1215*F1215</f>
        <v>0</v>
      </c>
      <c r="AH1215" s="57" t="n">
        <f aca="false">ROUNDUP(MAX(I1215/IF(BV1215&gt;0,BV1215,MAX(0.1,N(Cockpit!$C$6))),BY1215)/BQ1215,0)*BQ1215</f>
        <v>1</v>
      </c>
      <c r="AI1215" s="58" t="n">
        <f aca="false">IF(AF1215&gt;0,I1215/AF1215,-1)</f>
        <v>-1</v>
      </c>
      <c r="AJ1215" s="58" t="str">
        <f aca="false">IF(AND(OR(BU1215="L1",BU1215="L23"),AF1215&gt;0),SUMIFS($AF$7:$AF$1576,$BU$7:$BU$1576,BU1215,$AI$7:$AI$1576,"&gt;"&amp;AI1215)+SUMIFS($AF$7:$AF$1576,$BU$7:$BU$1576,BU1215,$AI$7:$AI$1576,AI1215,$BO$7:$BO$1576,"&lt;="&amp;BO1215),"")</f>
        <v/>
      </c>
      <c r="AK1215" s="65" t="n">
        <f aca="false">IF(AJ1215="",0,MAX(0,MIN(1,(IF(BU1215="L1",Parameter!$E$5,Parameter!$E$6+Parameter!$E$7)-(AJ1215-AF1215))/AF1215)))</f>
        <v>0</v>
      </c>
      <c r="AL1215" s="57" t="n">
        <f aca="false">IF(LEFT(Cockpit!$I$5,1)="A",G1215,IF(BW1215=1,BX1215,IF(LEFT(Cockpit!$I$5,1)="B",AP1215,MAX(AP1215,G1215))))</f>
        <v>1</v>
      </c>
      <c r="AM1215" s="57" t="n">
        <f aca="false">IF(BR1215=1,0,ROUNDUP(AL1215/BQ1215,0))</f>
        <v>0</v>
      </c>
      <c r="AN1215" s="59" t="n">
        <f aca="false">IF(CD1215&gt;0,CD1215*MAX(1,AL1215/V1215),IF(BR1215=1,IF(AL1215&lt;=0,0,BS1215*MAX(1,IF(G1215&gt;0,AL1215/G1215,1))),IF(Q1215&gt;0,AM1215/Q1215,0))/MAX(0.1,N(Parameter!$M$21)))</f>
        <v>0.15</v>
      </c>
      <c r="AO1215" s="57" t="n">
        <f aca="false">AL1215*F1215</f>
        <v>141.18</v>
      </c>
      <c r="AP1215" s="57" t="n">
        <f aca="false">ROUNDUP(MAX(I1215/IF(BV1215&gt;0,BV1215,MAX(0.1,N(Cockpit!$I$6))),BY1215)/BQ1215,0)*BQ1215</f>
        <v>1</v>
      </c>
      <c r="AQ1215" s="58" t="n">
        <f aca="false">IF(AN1215&gt;0,I1215/AN1215,-1)</f>
        <v>0</v>
      </c>
      <c r="AR1215" s="58" t="n">
        <f aca="false">IF(AND(OR(BU1215="L1",BU1215="L23"),AN1215&gt;0),SUMIFS($AN$7:$AN$1576,$BU$7:$BU$1576,BU1215,$AQ$7:$AQ$1576,"&gt;"&amp;AQ1215)+SUMIFS($AN$7:$AN$1576,$BU$7:$BU$1576,BU1215,$AQ$7:$AQ$1576,AQ1215,$BO$7:$BO$1576,"&lt;="&amp;BO1215),"")</f>
        <v>135.929717311721</v>
      </c>
      <c r="AS1215" s="65" t="n">
        <f aca="false">IF(AR1215="",0,MAX(0,MIN(1,(IF(BU1215="L1",Parameter!$E$5,Parameter!$E$6+Parameter!$E$7)-(AR1215-AN1215))/AN1215)))</f>
        <v>0</v>
      </c>
      <c r="AT1215" s="57" t="n">
        <f aca="false">IF(LEFT(Cockpit!$O$5,1)="A",G1215,IF(BW1215=1,BX1215,IF(LEFT(Cockpit!$O$5,1)="B",AX1215,MAX(AX1215,G1215))))</f>
        <v>1</v>
      </c>
      <c r="AU1215" s="57" t="n">
        <f aca="false">IF(BR1215=1,0,ROUNDUP(AT1215/BQ1215,0))</f>
        <v>0</v>
      </c>
      <c r="AV1215" s="59" t="n">
        <f aca="false">IF(CD1215&gt;0,CD1215*MAX(1,AT1215/V1215),IF(BR1215=1,IF(AT1215&lt;=0,0,BS1215*MAX(1,IF(G1215&gt;0,AT1215/G1215,1))),IF(Q1215&gt;0,AU1215/Q1215,0))/MAX(0.1,N(Parameter!$M$21)))</f>
        <v>0.15</v>
      </c>
      <c r="AW1215" s="57" t="n">
        <f aca="false">AT1215*F1215</f>
        <v>141.18</v>
      </c>
      <c r="AX1215" s="57" t="n">
        <f aca="false">ROUNDUP(MAX(I1215/IF(BV1215&gt;0,BV1215,MAX(0.1,N(Cockpit!$O$6))),BY1215)/BQ1215,0)*BQ1215</f>
        <v>1</v>
      </c>
      <c r="AY1215" s="58" t="n">
        <f aca="false">IF(AV1215&gt;0,I1215/AV1215,-1)</f>
        <v>0</v>
      </c>
      <c r="AZ1215" s="58" t="n">
        <f aca="false">IF(AND(OR(BU1215="L1",BU1215="L23"),AV1215&gt;0),SUMIFS($AV$7:$AV$1576,$BU$7:$BU$1576,BU1215,$AY$7:$AY$1576,"&gt;"&amp;AY1215)+SUMIFS($AV$7:$AV$1576,$BU$7:$BU$1576,BU1215,$AY$7:$AY$1576,AY1215,$BO$7:$BO$1576,"&lt;="&amp;BO1215),"")</f>
        <v>125.989267761272</v>
      </c>
      <c r="BA1215" s="65" t="n">
        <f aca="false">IF(AZ1215="",0,MAX(0,MIN(1,(IF(BU1215="L1",Parameter!$E$5,Parameter!$E$6+Parameter!$E$7)-(AZ1215-AV1215))/AV1215)))</f>
        <v>0</v>
      </c>
      <c r="BB1215" s="55" t="str">
        <f aca="false">IF(AF1215&lt;=0,"",IF(BU1215="Aussen","Aussenlager",IF(BU1215="-","Nicht im Lift",IF(AK1215&gt;=1,"Lift",IF(AK1215&lt;=0,"Aussenlager","teilweise")))))</f>
        <v/>
      </c>
      <c r="BC1215" s="55" t="str">
        <f aca="false">IF(AN1215&lt;=0,"",IF(BU1215="Aussen","Aussenlager",IF(BU1215="-","Nicht im Lift",IF(AS1215&gt;=1,"Lift",IF(AS1215&lt;=0,"Aussenlager","teilweise")))))</f>
        <v>Aussenlager</v>
      </c>
      <c r="BD1215" s="55" t="str">
        <f aca="false">IF(AV1215&lt;=0,"",IF(BU1215="Aussen","Aussenlager",IF(BU1215="-","Nicht im Lift",IF(BA1215&gt;=1,"Lift",IF(BA1215&lt;=0,"Aussenlager","teilweise")))))</f>
        <v>Aussenlager</v>
      </c>
      <c r="BE1215" s="55" t="str">
        <f aca="false">IF(A1215="","",IF(BN1215=1,"Neu; ","")&amp;IF(AND(BN1215=0,BI1215&lt;0),"negativer Bestand (Export "&amp;BI1215&amp;"); ","")&amp;IF(I1215&lt;=0,"Kein Verbrauch; ","")&amp;IF(CD1215&gt;0,"Lift "&amp;U1215&amp;" lt. Liftbericht (Fach "&amp;V1215&amp;" Stk); ",IF(BR1215=1,"Lose – Fläche geschätzt; ",""))&amp;IF(G1215&gt;AP1215,"Überbestand "&amp;ROUND(G1215-AP1215,0)&amp;" Stk / CHF "&amp;ROUND((G1215-AP1215)*F1215,0)&amp;"; ","")&amp;IF(AND(BW1215=1,BX1215&lt;BY1215),"MAX &lt; MB+LG; ","")&amp;IF(AND(CC1215&gt;0,CB1215*10&gt;CC1215),"zu hoch für Tablar; ","")&amp;IF(AND(BN1215=0,OR(BW1215=1,Y1215&lt;&gt;"",S1215&lt;&gt;"",T1215&lt;&gt;"",Z1215&lt;&gt;"")),"manuell übersteuert; ","")&amp;IF(AND(BR1215=0,Q1215=0),"Gebinde unbekannt / Stellmass fehlt; ","")&amp;IF(AND(BR1215=0,N(T1215)&lt;=0,N(P1215)&lt;=0),"Menge pro Gebinde fehlt (Ist = 1 Gebinde); ","")&amp;BM1215)</f>
        <v>negativer Bestand (Export -4); Kein Verbrauch; Lose – Fläche geschätzt; </v>
      </c>
      <c r="BF1215" s="55"/>
      <c r="BG1215" s="55"/>
      <c r="BH1215" s="62"/>
      <c r="BI1215" s="57" t="n">
        <v>-4</v>
      </c>
      <c r="BJ1215" s="57" t="n">
        <v>4</v>
      </c>
      <c r="BK1215" s="56" t="n">
        <v>-564.72</v>
      </c>
      <c r="BL1215" s="57" t="n">
        <v>0</v>
      </c>
      <c r="BM1215" s="55"/>
      <c r="BN1215" s="60" t="n">
        <v>0</v>
      </c>
      <c r="BO1215" s="60" t="n">
        <v>1215</v>
      </c>
      <c r="BP1215" s="55" t="str">
        <f aca="false">IF(S1215&lt;&gt;"",UPPER(TRIM(S1215)),IF(O1215="","LOSE",O1215))</f>
        <v>LOSE</v>
      </c>
      <c r="BQ1215" s="57" t="n">
        <f aca="false">IF(BP1215="LOSE",1,IF(N(T1215)&gt;0,T1215,IF(N(P1215)&gt;0,P1215,MAX(1,G1215))))</f>
        <v>1</v>
      </c>
      <c r="BR1215" s="60" t="n">
        <f aca="false">IF(BP1215="LOSE",1,0)</f>
        <v>1</v>
      </c>
      <c r="BS1215" s="59" t="n">
        <f aca="false">IF(BR1215=0,0,IF(N(R1215)&gt;0,R1215,IFERROR(VLOOKUP(D1215,Parameter!$A$35:$C$64,3,0)+0,0)))</f>
        <v>0.15</v>
      </c>
      <c r="BT1215" s="55" t="n">
        <f aca="false">IF(Y1215&lt;&gt;"",Y1215,X1215)</f>
        <v>2</v>
      </c>
      <c r="BU1215" s="55" t="str">
        <f aca="false">IF(BT1215=1,"L1",IF(OR(BT1215=2,BT1215=3),"L23",IF(BT1215="Aussen","Aussen","-")))</f>
        <v>L23</v>
      </c>
      <c r="BV1215" s="66" t="n">
        <f aca="false">IF(N(Z1215)&gt;0,Z1215,0)</f>
        <v>0</v>
      </c>
      <c r="BW1215" s="60" t="n">
        <f aca="false">IF(ISNUMBER(AC1215),1,0)</f>
        <v>0</v>
      </c>
      <c r="BX1215" s="57" t="n">
        <f aca="false">N(AC1215)</f>
        <v>0</v>
      </c>
      <c r="BY1215" s="57" t="n">
        <f aca="false">N(L1215)+N(M1215)</f>
        <v>1</v>
      </c>
      <c r="BZ1215" s="57" t="n">
        <f aca="false">ROUNDUP(G1215/BQ1215,0)</f>
        <v>0</v>
      </c>
      <c r="CA1215" s="57" t="n">
        <f aca="false">ROUNDUP(BX1215/BQ1215,0)</f>
        <v>0</v>
      </c>
      <c r="CB1215" s="60" t="n">
        <f aca="false">IF(BR1215=1,0,IFERROR(VLOOKUP(BP1215,'Gebinde-Kategorie'!$A$5:$M$45,5,0)+0,0))</f>
        <v>0</v>
      </c>
      <c r="CC1215" s="60" t="n">
        <f aca="false">IFERROR(IF(OR(BT1215=1,BT1215=2,BT1215=3),N(INDEX(Parameter!$I$5:$I$7,BT1215)),0),0)</f>
        <v>0</v>
      </c>
      <c r="CD1215" s="59" t="n">
        <f aca="false">IF(AND(Parameter!$B$21="Ja",ISNUMBER(U1215),N(V1215)&gt;0),IFERROR(N(INDEX(Parameter!$L$5:$L$7,U1215))*INDEX(Parameter!$E$5:$E$7,U1215)*V1215/SUMIFS($V$7:$V$1576,$U$7:$U$1576,U1215),0),0)</f>
        <v>0</v>
      </c>
    </row>
    <row r="1216" customFormat="false" ht="15" hidden="false" customHeight="false" outlineLevel="0" collapsed="false">
      <c r="A1216" s="55" t="s">
        <v>2170</v>
      </c>
      <c r="B1216" s="55" t="s">
        <v>1392</v>
      </c>
      <c r="C1216" s="55" t="s">
        <v>160</v>
      </c>
      <c r="D1216" s="55" t="s">
        <v>178</v>
      </c>
      <c r="E1216" s="55" t="s">
        <v>210</v>
      </c>
      <c r="F1216" s="56" t="n">
        <v>63.26</v>
      </c>
      <c r="G1216" s="57" t="n">
        <f aca="false">MAX(0,IF(AND(Parameter!$B$21="Ja",ISNUMBER(W1216)),W1216,IF(Parameter!$B$20="Jahresanfang 2025 + Export",BJ1216+BI1216,BI1216)))</f>
        <v>0</v>
      </c>
      <c r="H1216" s="57" t="n">
        <f aca="false">G1216*F1216</f>
        <v>0</v>
      </c>
      <c r="I1216" s="57" t="n">
        <f aca="false">BL1216*Parameter!$B$18</f>
        <v>2</v>
      </c>
      <c r="J1216" s="58" t="n">
        <v>25</v>
      </c>
      <c r="K1216" s="59" t="n">
        <v>0.08</v>
      </c>
      <c r="L1216" s="57" t="n">
        <v>0</v>
      </c>
      <c r="M1216" s="57" t="n">
        <v>1</v>
      </c>
      <c r="N1216" s="60" t="n">
        <v>35</v>
      </c>
      <c r="O1216" s="55" t="s">
        <v>163</v>
      </c>
      <c r="P1216" s="57"/>
      <c r="Q1216" s="60" t="n">
        <f aca="false">IF(BR1216=1,0,IFERROR(VLOOKUP(BP1216,'Gebinde-Kategorie'!$A$5:$M$45,13,0)+0,0))</f>
        <v>0</v>
      </c>
      <c r="R1216" s="61"/>
      <c r="S1216" s="62"/>
      <c r="T1216" s="62"/>
      <c r="U1216" s="55"/>
      <c r="V1216" s="57"/>
      <c r="W1216" s="57"/>
      <c r="X1216" s="55" t="n">
        <f aca="false">IF(A1216="","",IF(AND(Parameter!$B$21="Ja",ISNUMBER(U1216)),U1216,IF(IFERROR(VLOOKUP(D1216,Parameter!$A$35:$C$64,2,0),"Nein")="2+3",IF(ISNUMBER(SEARCH("grosser Artikel",BM1216)),2,IFERROR(VLOOKUP(BP1216,Parameter!$F$35:$G$64,2,0),2)),IF(OR(IFERROR(VLOOKUP(D1216,Parameter!$A$35:$C$64,2,0),"Nein")="Nein",IFERROR(VLOOKUP(D1216,Parameter!$A$35:$C$64,2,0),"Nein")=""),"-",VLOOKUP(D1216,Parameter!$A$35:$C$64,2,0)))))</f>
        <v>2</v>
      </c>
      <c r="Y1216" s="62"/>
      <c r="Z1216" s="63"/>
      <c r="AA1216" s="57" t="n">
        <f aca="false">AP1216</f>
        <v>1</v>
      </c>
      <c r="AB1216" s="57" t="n">
        <f aca="false">MAX(AP1216,G1216)</f>
        <v>1</v>
      </c>
      <c r="AC1216" s="64"/>
      <c r="AD1216" s="57" t="n">
        <f aca="false">IF(LEFT(Cockpit!$C$5,1)="A",G1216,IF(BW1216=1,BX1216,IF(LEFT(Cockpit!$C$5,1)="B",AH1216,MAX(AH1216,G1216))))</f>
        <v>0</v>
      </c>
      <c r="AE1216" s="57" t="n">
        <f aca="false">IF(BR1216=1,0,ROUNDUP(AD1216/BQ1216,0))</f>
        <v>0</v>
      </c>
      <c r="AF1216" s="59" t="n">
        <f aca="false">IF(CD1216&gt;0,CD1216*MAX(1,AD1216/V1216),IF(BR1216=1,IF(AD1216&lt;=0,0,BS1216*MAX(1,IF(G1216&gt;0,AD1216/G1216,1))),IF(Q1216&gt;0,AE1216/Q1216,0))/MAX(0.1,N(Parameter!$M$21)))</f>
        <v>0</v>
      </c>
      <c r="AG1216" s="57" t="n">
        <f aca="false">AD1216*F1216</f>
        <v>0</v>
      </c>
      <c r="AH1216" s="57" t="n">
        <f aca="false">ROUNDUP(MAX(I1216/IF(BV1216&gt;0,BV1216,MAX(0.1,N(Cockpit!$C$6))),BY1216)/BQ1216,0)*BQ1216</f>
        <v>1</v>
      </c>
      <c r="AI1216" s="58" t="n">
        <f aca="false">IF(AF1216&gt;0,I1216/AF1216,-1)</f>
        <v>-1</v>
      </c>
      <c r="AJ1216" s="58" t="str">
        <f aca="false">IF(AND(OR(BU1216="L1",BU1216="L23"),AF1216&gt;0),SUMIFS($AF$7:$AF$1576,$BU$7:$BU$1576,BU1216,$AI$7:$AI$1576,"&gt;"&amp;AI1216)+SUMIFS($AF$7:$AF$1576,$BU$7:$BU$1576,BU1216,$AI$7:$AI$1576,AI1216,$BO$7:$BO$1576,"&lt;="&amp;BO1216),"")</f>
        <v/>
      </c>
      <c r="AK1216" s="65" t="n">
        <f aca="false">IF(AJ1216="",0,MAX(0,MIN(1,(IF(BU1216="L1",Parameter!$E$5,Parameter!$E$6+Parameter!$E$7)-(AJ1216-AF1216))/AF1216)))</f>
        <v>0</v>
      </c>
      <c r="AL1216" s="57" t="n">
        <f aca="false">IF(LEFT(Cockpit!$I$5,1)="A",G1216,IF(BW1216=1,BX1216,IF(LEFT(Cockpit!$I$5,1)="B",AP1216,MAX(AP1216,G1216))))</f>
        <v>1</v>
      </c>
      <c r="AM1216" s="57" t="n">
        <f aca="false">IF(BR1216=1,0,ROUNDUP(AL1216/BQ1216,0))</f>
        <v>0</v>
      </c>
      <c r="AN1216" s="59" t="n">
        <f aca="false">IF(CD1216&gt;0,CD1216*MAX(1,AL1216/V1216),IF(BR1216=1,IF(AL1216&lt;=0,0,BS1216*MAX(1,IF(G1216&gt;0,AL1216/G1216,1))),IF(Q1216&gt;0,AM1216/Q1216,0))/MAX(0.1,N(Parameter!$M$21)))</f>
        <v>0.03</v>
      </c>
      <c r="AO1216" s="57" t="n">
        <f aca="false">AL1216*F1216</f>
        <v>63.26</v>
      </c>
      <c r="AP1216" s="57" t="n">
        <f aca="false">ROUNDUP(MAX(I1216/IF(BV1216&gt;0,BV1216,MAX(0.1,N(Cockpit!$I$6))),BY1216)/BQ1216,0)*BQ1216</f>
        <v>1</v>
      </c>
      <c r="AQ1216" s="58" t="n">
        <f aca="false">IF(AN1216&gt;0,I1216/AN1216,-1)</f>
        <v>66.6666666666667</v>
      </c>
      <c r="AR1216" s="58" t="n">
        <f aca="false">IF(AND(OR(BU1216="L1",BU1216="L23"),AN1216&gt;0),SUMIFS($AN$7:$AN$1576,$BU$7:$BU$1576,BU1216,$AQ$7:$AQ$1576,"&gt;"&amp;AQ1216)+SUMIFS($AN$7:$AN$1576,$BU$7:$BU$1576,BU1216,$AQ$7:$AQ$1576,AQ1216,$BO$7:$BO$1576,"&lt;="&amp;BO1216),"")</f>
        <v>76.2122947285559</v>
      </c>
      <c r="AS1216" s="65" t="n">
        <f aca="false">IF(AR1216="",0,MAX(0,MIN(1,(IF(BU1216="L1",Parameter!$E$5,Parameter!$E$6+Parameter!$E$7)-(AR1216-AN1216))/AN1216)))</f>
        <v>1</v>
      </c>
      <c r="AT1216" s="57" t="n">
        <f aca="false">IF(LEFT(Cockpit!$O$5,1)="A",G1216,IF(BW1216=1,BX1216,IF(LEFT(Cockpit!$O$5,1)="B",AX1216,MAX(AX1216,G1216))))</f>
        <v>1</v>
      </c>
      <c r="AU1216" s="57" t="n">
        <f aca="false">IF(BR1216=1,0,ROUNDUP(AT1216/BQ1216,0))</f>
        <v>0</v>
      </c>
      <c r="AV1216" s="59" t="n">
        <f aca="false">IF(CD1216&gt;0,CD1216*MAX(1,AT1216/V1216),IF(BR1216=1,IF(AT1216&lt;=0,0,BS1216*MAX(1,IF(G1216&gt;0,AT1216/G1216,1))),IF(Q1216&gt;0,AU1216/Q1216,0))/MAX(0.1,N(Parameter!$M$21)))</f>
        <v>0.03</v>
      </c>
      <c r="AW1216" s="57" t="n">
        <f aca="false">AT1216*F1216</f>
        <v>63.26</v>
      </c>
      <c r="AX1216" s="57" t="n">
        <f aca="false">ROUNDUP(MAX(I1216/IF(BV1216&gt;0,BV1216,MAX(0.1,N(Cockpit!$O$6))),BY1216)/BQ1216,0)*BQ1216</f>
        <v>1</v>
      </c>
      <c r="AY1216" s="58" t="n">
        <f aca="false">IF(AV1216&gt;0,I1216/AV1216,-1)</f>
        <v>66.6666666666667</v>
      </c>
      <c r="AZ1216" s="58" t="n">
        <f aca="false">IF(AND(OR(BU1216="L1",BU1216="L23"),AV1216&gt;0),SUMIFS($AV$7:$AV$1576,$BU$7:$BU$1576,BU1216,$AY$7:$AY$1576,"&gt;"&amp;AY1216)+SUMIFS($AV$7:$AV$1576,$BU$7:$BU$1576,BU1216,$AY$7:$AY$1576,AY1216,$BO$7:$BO$1576,"&lt;="&amp;BO1216),"")</f>
        <v>74.923511844773</v>
      </c>
      <c r="BA1216" s="65" t="n">
        <f aca="false">IF(AZ1216="",0,MAX(0,MIN(1,(IF(BU1216="L1",Parameter!$E$5,Parameter!$E$6+Parameter!$E$7)-(AZ1216-AV1216))/AV1216)))</f>
        <v>1</v>
      </c>
      <c r="BB1216" s="55" t="str">
        <f aca="false">IF(AF1216&lt;=0,"",IF(BU1216="Aussen","Aussenlager",IF(BU1216="-","Nicht im Lift",IF(AK1216&gt;=1,"Lift",IF(AK1216&lt;=0,"Aussenlager","teilweise")))))</f>
        <v/>
      </c>
      <c r="BC1216" s="55" t="str">
        <f aca="false">IF(AN1216&lt;=0,"",IF(BU1216="Aussen","Aussenlager",IF(BU1216="-","Nicht im Lift",IF(AS1216&gt;=1,"Lift",IF(AS1216&lt;=0,"Aussenlager","teilweise")))))</f>
        <v>Lift</v>
      </c>
      <c r="BD1216" s="55" t="str">
        <f aca="false">IF(AV1216&lt;=0,"",IF(BU1216="Aussen","Aussenlager",IF(BU1216="-","Nicht im Lift",IF(BA1216&gt;=1,"Lift",IF(BA1216&lt;=0,"Aussenlager","teilweise")))))</f>
        <v>Lift</v>
      </c>
      <c r="BE1216" s="55" t="str">
        <f aca="false">IF(A1216="","",IF(BN1216=1,"Neu; ","")&amp;IF(AND(BN1216=0,BI1216&lt;0),"negativer Bestand (Export "&amp;BI1216&amp;"); ","")&amp;IF(I1216&lt;=0,"Kein Verbrauch; ","")&amp;IF(CD1216&gt;0,"Lift "&amp;U1216&amp;" lt. Liftbericht (Fach "&amp;V1216&amp;" Stk); ",IF(BR1216=1,"Lose – Fläche geschätzt; ",""))&amp;IF(G1216&gt;AP1216,"Überbestand "&amp;ROUND(G1216-AP1216,0)&amp;" Stk / CHF "&amp;ROUND((G1216-AP1216)*F1216,0)&amp;"; ","")&amp;IF(AND(BW1216=1,BX1216&lt;BY1216),"MAX &lt; MB+LG; ","")&amp;IF(AND(CC1216&gt;0,CB1216*10&gt;CC1216),"zu hoch für Tablar; ","")&amp;IF(AND(BN1216=0,OR(BW1216=1,Y1216&lt;&gt;"",S1216&lt;&gt;"",T1216&lt;&gt;"",Z1216&lt;&gt;"")),"manuell übersteuert; ","")&amp;IF(AND(BR1216=0,Q1216=0),"Gebinde unbekannt / Stellmass fehlt; ","")&amp;IF(AND(BR1216=0,N(T1216)&lt;=0,N(P1216)&lt;=0),"Menge pro Gebinde fehlt (Ist = 1 Gebinde); ","")&amp;BM1216)</f>
        <v>negativer Bestand (Export -9); Lose – Fläche geschätzt; </v>
      </c>
      <c r="BF1216" s="55"/>
      <c r="BG1216" s="55"/>
      <c r="BH1216" s="62"/>
      <c r="BI1216" s="57" t="n">
        <v>-9</v>
      </c>
      <c r="BJ1216" s="57" t="n">
        <v>27</v>
      </c>
      <c r="BK1216" s="56" t="n">
        <v>-569.34</v>
      </c>
      <c r="BL1216" s="57" t="n">
        <v>2</v>
      </c>
      <c r="BM1216" s="55"/>
      <c r="BN1216" s="60" t="n">
        <v>0</v>
      </c>
      <c r="BO1216" s="60" t="n">
        <v>1216</v>
      </c>
      <c r="BP1216" s="55" t="str">
        <f aca="false">IF(S1216&lt;&gt;"",UPPER(TRIM(S1216)),IF(O1216="","LOSE",O1216))</f>
        <v>LOSE</v>
      </c>
      <c r="BQ1216" s="57" t="n">
        <f aca="false">IF(BP1216="LOSE",1,IF(N(T1216)&gt;0,T1216,IF(N(P1216)&gt;0,P1216,MAX(1,G1216))))</f>
        <v>1</v>
      </c>
      <c r="BR1216" s="60" t="n">
        <f aca="false">IF(BP1216="LOSE",1,0)</f>
        <v>1</v>
      </c>
      <c r="BS1216" s="59" t="n">
        <f aca="false">IF(BR1216=0,0,IF(N(R1216)&gt;0,R1216,IFERROR(VLOOKUP(D1216,Parameter!$A$35:$C$64,3,0)+0,0)))</f>
        <v>0.03</v>
      </c>
      <c r="BT1216" s="55" t="n">
        <f aca="false">IF(Y1216&lt;&gt;"",Y1216,X1216)</f>
        <v>2</v>
      </c>
      <c r="BU1216" s="55" t="str">
        <f aca="false">IF(BT1216=1,"L1",IF(OR(BT1216=2,BT1216=3),"L23",IF(BT1216="Aussen","Aussen","-")))</f>
        <v>L23</v>
      </c>
      <c r="BV1216" s="66" t="n">
        <f aca="false">IF(N(Z1216)&gt;0,Z1216,0)</f>
        <v>0</v>
      </c>
      <c r="BW1216" s="60" t="n">
        <f aca="false">IF(ISNUMBER(AC1216),1,0)</f>
        <v>0</v>
      </c>
      <c r="BX1216" s="57" t="n">
        <f aca="false">N(AC1216)</f>
        <v>0</v>
      </c>
      <c r="BY1216" s="57" t="n">
        <f aca="false">N(L1216)+N(M1216)</f>
        <v>1</v>
      </c>
      <c r="BZ1216" s="57" t="n">
        <f aca="false">ROUNDUP(G1216/BQ1216,0)</f>
        <v>0</v>
      </c>
      <c r="CA1216" s="57" t="n">
        <f aca="false">ROUNDUP(BX1216/BQ1216,0)</f>
        <v>0</v>
      </c>
      <c r="CB1216" s="60" t="n">
        <f aca="false">IF(BR1216=1,0,IFERROR(VLOOKUP(BP1216,'Gebinde-Kategorie'!$A$5:$M$45,5,0)+0,0))</f>
        <v>0</v>
      </c>
      <c r="CC1216" s="60" t="n">
        <f aca="false">IFERROR(IF(OR(BT1216=1,BT1216=2,BT1216=3),N(INDEX(Parameter!$I$5:$I$7,BT1216)),0),0)</f>
        <v>0</v>
      </c>
      <c r="CD1216" s="59" t="n">
        <f aca="false">IF(AND(Parameter!$B$21="Ja",ISNUMBER(U1216),N(V1216)&gt;0),IFERROR(N(INDEX(Parameter!$L$5:$L$7,U1216))*INDEX(Parameter!$E$5:$E$7,U1216)*V1216/SUMIFS($V$7:$V$1576,$U$7:$U$1576,U1216),0),0)</f>
        <v>0</v>
      </c>
    </row>
    <row r="1217" customFormat="false" ht="15" hidden="false" customHeight="false" outlineLevel="0" collapsed="false">
      <c r="A1217" s="55" t="s">
        <v>2171</v>
      </c>
      <c r="B1217" s="55" t="s">
        <v>460</v>
      </c>
      <c r="C1217" s="55" t="s">
        <v>160</v>
      </c>
      <c r="D1217" s="55" t="s">
        <v>168</v>
      </c>
      <c r="E1217" s="55" t="s">
        <v>210</v>
      </c>
      <c r="F1217" s="56" t="n">
        <v>2.9</v>
      </c>
      <c r="G1217" s="57" t="n">
        <f aca="false">MAX(0,IF(AND(Parameter!$B$21="Ja",ISNUMBER(W1217)),W1217,IF(Parameter!$B$20="Jahresanfang 2025 + Export",BJ1217+BI1217,BI1217)))</f>
        <v>0</v>
      </c>
      <c r="H1217" s="57" t="n">
        <f aca="false">G1217*F1217</f>
        <v>0</v>
      </c>
      <c r="I1217" s="57" t="n">
        <f aca="false">BL1217*Parameter!$B$18</f>
        <v>403</v>
      </c>
      <c r="J1217" s="58" t="n">
        <v>227</v>
      </c>
      <c r="K1217" s="59" t="n">
        <v>1.77533039647577</v>
      </c>
      <c r="L1217" s="57" t="n">
        <v>39</v>
      </c>
      <c r="M1217" s="57" t="n">
        <v>405</v>
      </c>
      <c r="N1217" s="60" t="n">
        <v>35</v>
      </c>
      <c r="O1217" s="55" t="s">
        <v>218</v>
      </c>
      <c r="P1217" s="57" t="n">
        <v>196</v>
      </c>
      <c r="Q1217" s="60" t="n">
        <f aca="false">IF(BR1217=1,0,IFERROR(VLOOKUP(BP1217,'Gebinde-Kategorie'!$A$5:$M$45,13,0)+0,0))</f>
        <v>12</v>
      </c>
      <c r="R1217" s="61"/>
      <c r="S1217" s="62"/>
      <c r="T1217" s="62"/>
      <c r="U1217" s="55"/>
      <c r="V1217" s="57"/>
      <c r="W1217" s="57"/>
      <c r="X1217" s="55" t="n">
        <f aca="false">IF(A1217="","",IF(AND(Parameter!$B$21="Ja",ISNUMBER(U1217)),U1217,IF(IFERROR(VLOOKUP(D1217,Parameter!$A$35:$C$64,2,0),"Nein")="2+3",IF(ISNUMBER(SEARCH("grosser Artikel",BM1217)),2,IFERROR(VLOOKUP(BP1217,Parameter!$F$35:$G$64,2,0),2)),IF(OR(IFERROR(VLOOKUP(D1217,Parameter!$A$35:$C$64,2,0),"Nein")="Nein",IFERROR(VLOOKUP(D1217,Parameter!$A$35:$C$64,2,0),"Nein")=""),"-",VLOOKUP(D1217,Parameter!$A$35:$C$64,2,0)))))</f>
        <v>2</v>
      </c>
      <c r="Y1217" s="62"/>
      <c r="Z1217" s="63"/>
      <c r="AA1217" s="57" t="n">
        <f aca="false">AP1217</f>
        <v>588</v>
      </c>
      <c r="AB1217" s="57" t="n">
        <f aca="false">MAX(AP1217,G1217)</f>
        <v>588</v>
      </c>
      <c r="AC1217" s="64"/>
      <c r="AD1217" s="57" t="n">
        <f aca="false">IF(LEFT(Cockpit!$C$5,1)="A",G1217,IF(BW1217=1,BX1217,IF(LEFT(Cockpit!$C$5,1)="B",AH1217,MAX(AH1217,G1217))))</f>
        <v>0</v>
      </c>
      <c r="AE1217" s="57" t="n">
        <f aca="false">IF(BR1217=1,0,ROUNDUP(AD1217/BQ1217,0))</f>
        <v>0</v>
      </c>
      <c r="AF1217" s="59" t="n">
        <f aca="false">IF(CD1217&gt;0,CD1217*MAX(1,AD1217/V1217),IF(BR1217=1,IF(AD1217&lt;=0,0,BS1217*MAX(1,IF(G1217&gt;0,AD1217/G1217,1))),IF(Q1217&gt;0,AE1217/Q1217,0))/MAX(0.1,N(Parameter!$M$21)))</f>
        <v>0</v>
      </c>
      <c r="AG1217" s="57" t="n">
        <f aca="false">AD1217*F1217</f>
        <v>0</v>
      </c>
      <c r="AH1217" s="57" t="n">
        <f aca="false">ROUNDUP(MAX(I1217/IF(BV1217&gt;0,BV1217,MAX(0.1,N(Cockpit!$C$6))),BY1217)/BQ1217,0)*BQ1217</f>
        <v>588</v>
      </c>
      <c r="AI1217" s="58" t="n">
        <f aca="false">IF(AF1217&gt;0,I1217/AF1217,-1)</f>
        <v>-1</v>
      </c>
      <c r="AJ1217" s="58" t="str">
        <f aca="false">IF(AND(OR(BU1217="L1",BU1217="L23"),AF1217&gt;0),SUMIFS($AF$7:$AF$1576,$BU$7:$BU$1576,BU1217,$AI$7:$AI$1576,"&gt;"&amp;AI1217)+SUMIFS($AF$7:$AF$1576,$BU$7:$BU$1576,BU1217,$AI$7:$AI$1576,AI1217,$BO$7:$BO$1576,"&lt;="&amp;BO1217),"")</f>
        <v/>
      </c>
      <c r="AK1217" s="65" t="n">
        <f aca="false">IF(AJ1217="",0,MAX(0,MIN(1,(IF(BU1217="L1",Parameter!$E$5,Parameter!$E$6+Parameter!$E$7)-(AJ1217-AF1217))/AF1217)))</f>
        <v>0</v>
      </c>
      <c r="AL1217" s="57" t="n">
        <f aca="false">IF(LEFT(Cockpit!$I$5,1)="A",G1217,IF(BW1217=1,BX1217,IF(LEFT(Cockpit!$I$5,1)="B",AP1217,MAX(AP1217,G1217))))</f>
        <v>588</v>
      </c>
      <c r="AM1217" s="57" t="n">
        <f aca="false">IF(BR1217=1,0,ROUNDUP(AL1217/BQ1217,0))</f>
        <v>3</v>
      </c>
      <c r="AN1217" s="59" t="n">
        <f aca="false">IF(CD1217&gt;0,CD1217*MAX(1,AL1217/V1217),IF(BR1217=1,IF(AL1217&lt;=0,0,BS1217*MAX(1,IF(G1217&gt;0,AL1217/G1217,1))),IF(Q1217&gt;0,AM1217/Q1217,0))/MAX(0.1,N(Parameter!$M$21)))</f>
        <v>0.25</v>
      </c>
      <c r="AO1217" s="57" t="n">
        <f aca="false">AL1217*F1217</f>
        <v>1705.2</v>
      </c>
      <c r="AP1217" s="57" t="n">
        <f aca="false">ROUNDUP(MAX(I1217/IF(BV1217&gt;0,BV1217,MAX(0.1,N(Cockpit!$I$6))),BY1217)/BQ1217,0)*BQ1217</f>
        <v>588</v>
      </c>
      <c r="AQ1217" s="58" t="n">
        <f aca="false">IF(AN1217&gt;0,I1217/AN1217,-1)</f>
        <v>1612</v>
      </c>
      <c r="AR1217" s="58" t="n">
        <f aca="false">IF(AND(OR(BU1217="L1",BU1217="L23"),AN1217&gt;0),SUMIFS($AN$7:$AN$1576,$BU$7:$BU$1576,BU1217,$AQ$7:$AQ$1576,"&gt;"&amp;AQ1217)+SUMIFS($AN$7:$AN$1576,$BU$7:$BU$1576,BU1217,$AQ$7:$AQ$1576,AQ1217,$BO$7:$BO$1576,"&lt;="&amp;BO1217),"")</f>
        <v>18.7596773399059</v>
      </c>
      <c r="AS1217" s="65" t="n">
        <f aca="false">IF(AR1217="",0,MAX(0,MIN(1,(IF(BU1217="L1",Parameter!$E$5,Parameter!$E$6+Parameter!$E$7)-(AR1217-AN1217))/AN1217)))</f>
        <v>1</v>
      </c>
      <c r="AT1217" s="57" t="n">
        <f aca="false">IF(LEFT(Cockpit!$O$5,1)="A",G1217,IF(BW1217=1,BX1217,IF(LEFT(Cockpit!$O$5,1)="B",AX1217,MAX(AX1217,G1217))))</f>
        <v>588</v>
      </c>
      <c r="AU1217" s="57" t="n">
        <f aca="false">IF(BR1217=1,0,ROUNDUP(AT1217/BQ1217,0))</f>
        <v>3</v>
      </c>
      <c r="AV1217" s="59" t="n">
        <f aca="false">IF(CD1217&gt;0,CD1217*MAX(1,AT1217/V1217),IF(BR1217=1,IF(AT1217&lt;=0,0,BS1217*MAX(1,IF(G1217&gt;0,AT1217/G1217,1))),IF(Q1217&gt;0,AU1217/Q1217,0))/MAX(0.1,N(Parameter!$M$21)))</f>
        <v>0.25</v>
      </c>
      <c r="AW1217" s="57" t="n">
        <f aca="false">AT1217*F1217</f>
        <v>1705.2</v>
      </c>
      <c r="AX1217" s="57" t="n">
        <f aca="false">ROUNDUP(MAX(I1217/IF(BV1217&gt;0,BV1217,MAX(0.1,N(Cockpit!$O$6))),BY1217)/BQ1217,0)*BQ1217</f>
        <v>588</v>
      </c>
      <c r="AY1217" s="58" t="n">
        <f aca="false">IF(AV1217&gt;0,I1217/AV1217,-1)</f>
        <v>1612</v>
      </c>
      <c r="AZ1217" s="58" t="n">
        <f aca="false">IF(AND(OR(BU1217="L1",BU1217="L23"),AV1217&gt;0),SUMIFS($AV$7:$AV$1576,$BU$7:$BU$1576,BU1217,$AY$7:$AY$1576,"&gt;"&amp;AY1217)+SUMIFS($AV$7:$AV$1576,$BU$7:$BU$1576,BU1217,$AY$7:$AY$1576,AY1217,$BO$7:$BO$1576,"&lt;="&amp;BO1217),"")</f>
        <v>17.7369500671786</v>
      </c>
      <c r="BA1217" s="65" t="n">
        <f aca="false">IF(AZ1217="",0,MAX(0,MIN(1,(IF(BU1217="L1",Parameter!$E$5,Parameter!$E$6+Parameter!$E$7)-(AZ1217-AV1217))/AV1217)))</f>
        <v>1</v>
      </c>
      <c r="BB1217" s="55" t="str">
        <f aca="false">IF(AF1217&lt;=0,"",IF(BU1217="Aussen","Aussenlager",IF(BU1217="-","Nicht im Lift",IF(AK1217&gt;=1,"Lift",IF(AK1217&lt;=0,"Aussenlager","teilweise")))))</f>
        <v/>
      </c>
      <c r="BC1217" s="55" t="str">
        <f aca="false">IF(AN1217&lt;=0,"",IF(BU1217="Aussen","Aussenlager",IF(BU1217="-","Nicht im Lift",IF(AS1217&gt;=1,"Lift",IF(AS1217&lt;=0,"Aussenlager","teilweise")))))</f>
        <v>Lift</v>
      </c>
      <c r="BD1217" s="55" t="str">
        <f aca="false">IF(AV1217&lt;=0,"",IF(BU1217="Aussen","Aussenlager",IF(BU1217="-","Nicht im Lift",IF(BA1217&gt;=1,"Lift",IF(BA1217&lt;=0,"Aussenlager","teilweise")))))</f>
        <v>Lift</v>
      </c>
      <c r="BE1217" s="55" t="str">
        <f aca="false">IF(A1217="","",IF(BN1217=1,"Neu; ","")&amp;IF(AND(BN1217=0,BI1217&lt;0),"negativer Bestand (Export "&amp;BI1217&amp;"); ","")&amp;IF(I1217&lt;=0,"Kein Verbrauch; ","")&amp;IF(CD1217&gt;0,"Lift "&amp;U1217&amp;" lt. Liftbericht (Fach "&amp;V1217&amp;" Stk); ",IF(BR1217=1,"Lose – Fläche geschätzt; ",""))&amp;IF(G1217&gt;AP1217,"Überbestand "&amp;ROUND(G1217-AP1217,0)&amp;" Stk / CHF "&amp;ROUND((G1217-AP1217)*F1217,0)&amp;"; ","")&amp;IF(AND(BW1217=1,BX1217&lt;BY1217),"MAX &lt; MB+LG; ","")&amp;IF(AND(CC1217&gt;0,CB1217*10&gt;CC1217),"zu hoch für Tablar; ","")&amp;IF(AND(BN1217=0,OR(BW1217=1,Y1217&lt;&gt;"",S1217&lt;&gt;"",T1217&lt;&gt;"",Z1217&lt;&gt;"")),"manuell übersteuert; ","")&amp;IF(AND(BR1217=0,Q1217=0),"Gebinde unbekannt / Stellmass fehlt; ","")&amp;IF(AND(BR1217=0,N(T1217)&lt;=0,N(P1217)&lt;=0),"Menge pro Gebinde fehlt (Ist = 1 Gebinde); ","")&amp;BM1217)</f>
        <v>negativer Bestand (Export -133); gehört dieser Artikel ins KTL ?</v>
      </c>
      <c r="BF1217" s="55"/>
      <c r="BG1217" s="55"/>
      <c r="BH1217" s="62"/>
      <c r="BI1217" s="57" t="n">
        <v>-133</v>
      </c>
      <c r="BJ1217" s="57" t="n">
        <v>252</v>
      </c>
      <c r="BK1217" s="56" t="n">
        <v>-574.46</v>
      </c>
      <c r="BL1217" s="57" t="n">
        <v>403</v>
      </c>
      <c r="BM1217" s="55" t="s">
        <v>461</v>
      </c>
      <c r="BN1217" s="60" t="n">
        <v>0</v>
      </c>
      <c r="BO1217" s="60" t="n">
        <v>1217</v>
      </c>
      <c r="BP1217" s="55" t="str">
        <f aca="false">IF(S1217&lt;&gt;"",UPPER(TRIM(S1217)),IF(O1217="","LOSE",O1217))</f>
        <v>S63</v>
      </c>
      <c r="BQ1217" s="57" t="n">
        <f aca="false">IF(BP1217="LOSE",1,IF(N(T1217)&gt;0,T1217,IF(N(P1217)&gt;0,P1217,MAX(1,G1217))))</f>
        <v>196</v>
      </c>
      <c r="BR1217" s="60" t="n">
        <f aca="false">IF(BP1217="LOSE",1,0)</f>
        <v>0</v>
      </c>
      <c r="BS1217" s="59" t="n">
        <f aca="false">IF(BR1217=0,0,IF(N(R1217)&gt;0,R1217,IFERROR(VLOOKUP(D1217,Parameter!$A$35:$C$64,3,0)+0,0)))</f>
        <v>0</v>
      </c>
      <c r="BT1217" s="55" t="n">
        <f aca="false">IF(Y1217&lt;&gt;"",Y1217,X1217)</f>
        <v>2</v>
      </c>
      <c r="BU1217" s="55" t="str">
        <f aca="false">IF(BT1217=1,"L1",IF(OR(BT1217=2,BT1217=3),"L23",IF(BT1217="Aussen","Aussen","-")))</f>
        <v>L23</v>
      </c>
      <c r="BV1217" s="66" t="n">
        <f aca="false">IF(N(Z1217)&gt;0,Z1217,0)</f>
        <v>0</v>
      </c>
      <c r="BW1217" s="60" t="n">
        <f aca="false">IF(ISNUMBER(AC1217),1,0)</f>
        <v>0</v>
      </c>
      <c r="BX1217" s="57" t="n">
        <f aca="false">N(AC1217)</f>
        <v>0</v>
      </c>
      <c r="BY1217" s="57" t="n">
        <f aca="false">N(L1217)+N(M1217)</f>
        <v>444</v>
      </c>
      <c r="BZ1217" s="57" t="n">
        <f aca="false">ROUNDUP(G1217/BQ1217,0)</f>
        <v>0</v>
      </c>
      <c r="CA1217" s="57" t="n">
        <f aca="false">ROUNDUP(BX1217/BQ1217,0)</f>
        <v>0</v>
      </c>
      <c r="CB1217" s="60" t="n">
        <f aca="false">IF(BR1217=1,0,IFERROR(VLOOKUP(BP1217,'Gebinde-Kategorie'!$A$5:$M$45,5,0)+0,0))</f>
        <v>31</v>
      </c>
      <c r="CC1217" s="60" t="n">
        <f aca="false">IFERROR(IF(OR(BT1217=1,BT1217=2,BT1217=3),N(INDEX(Parameter!$I$5:$I$7,BT1217)),0),0)</f>
        <v>0</v>
      </c>
      <c r="CD1217" s="59" t="n">
        <f aca="false">IF(AND(Parameter!$B$21="Ja",ISNUMBER(U1217),N(V1217)&gt;0),IFERROR(N(INDEX(Parameter!$L$5:$L$7,U1217))*INDEX(Parameter!$E$5:$E$7,U1217)*V1217/SUMIFS($V$7:$V$1576,$U$7:$U$1576,U1217),0),0)</f>
        <v>0</v>
      </c>
    </row>
    <row r="1218" customFormat="false" ht="15" hidden="false" customHeight="false" outlineLevel="0" collapsed="false">
      <c r="A1218" s="55" t="s">
        <v>2172</v>
      </c>
      <c r="B1218" s="55" t="s">
        <v>511</v>
      </c>
      <c r="C1218" s="55" t="s">
        <v>160</v>
      </c>
      <c r="D1218" s="55" t="s">
        <v>168</v>
      </c>
      <c r="E1218" s="55" t="s">
        <v>210</v>
      </c>
      <c r="F1218" s="56" t="n">
        <v>301.79</v>
      </c>
      <c r="G1218" s="57" t="n">
        <f aca="false">MAX(0,IF(AND(Parameter!$B$21="Ja",ISNUMBER(W1218)),W1218,IF(Parameter!$B$20="Jahresanfang 2025 + Export",BJ1218+BI1218,BI1218)))</f>
        <v>0</v>
      </c>
      <c r="H1218" s="57" t="n">
        <f aca="false">G1218*F1218</f>
        <v>0</v>
      </c>
      <c r="I1218" s="57" t="n">
        <f aca="false">BL1218*Parameter!$B$18</f>
        <v>15</v>
      </c>
      <c r="J1218" s="58" t="n">
        <v>10</v>
      </c>
      <c r="K1218" s="59" t="n">
        <v>1.5</v>
      </c>
      <c r="L1218" s="57" t="n">
        <v>1</v>
      </c>
      <c r="M1218" s="57" t="n">
        <v>10</v>
      </c>
      <c r="N1218" s="60" t="n">
        <v>35</v>
      </c>
      <c r="O1218" s="55" t="s">
        <v>163</v>
      </c>
      <c r="P1218" s="57"/>
      <c r="Q1218" s="60" t="n">
        <f aca="false">IF(BR1218=1,0,IFERROR(VLOOKUP(BP1218,'Gebinde-Kategorie'!$A$5:$M$45,13,0)+0,0))</f>
        <v>0</v>
      </c>
      <c r="R1218" s="61"/>
      <c r="S1218" s="62"/>
      <c r="T1218" s="62"/>
      <c r="U1218" s="55"/>
      <c r="V1218" s="57"/>
      <c r="W1218" s="57"/>
      <c r="X1218" s="55" t="n">
        <f aca="false">IF(A1218="","",IF(AND(Parameter!$B$21="Ja",ISNUMBER(U1218)),U1218,IF(IFERROR(VLOOKUP(D1218,Parameter!$A$35:$C$64,2,0),"Nein")="2+3",IF(ISNUMBER(SEARCH("grosser Artikel",BM1218)),2,IFERROR(VLOOKUP(BP1218,Parameter!$F$35:$G$64,2,0),2)),IF(OR(IFERROR(VLOOKUP(D1218,Parameter!$A$35:$C$64,2,0),"Nein")="Nein",IFERROR(VLOOKUP(D1218,Parameter!$A$35:$C$64,2,0),"Nein")=""),"-",VLOOKUP(D1218,Parameter!$A$35:$C$64,2,0)))))</f>
        <v>2</v>
      </c>
      <c r="Y1218" s="62"/>
      <c r="Z1218" s="63"/>
      <c r="AA1218" s="57" t="n">
        <f aca="false">AP1218</f>
        <v>11</v>
      </c>
      <c r="AB1218" s="57" t="n">
        <f aca="false">MAX(AP1218,G1218)</f>
        <v>11</v>
      </c>
      <c r="AC1218" s="64"/>
      <c r="AD1218" s="57" t="n">
        <f aca="false">IF(LEFT(Cockpit!$C$5,1)="A",G1218,IF(BW1218=1,BX1218,IF(LEFT(Cockpit!$C$5,1)="B",AH1218,MAX(AH1218,G1218))))</f>
        <v>0</v>
      </c>
      <c r="AE1218" s="57" t="n">
        <f aca="false">IF(BR1218=1,0,ROUNDUP(AD1218/BQ1218,0))</f>
        <v>0</v>
      </c>
      <c r="AF1218" s="59" t="n">
        <f aca="false">IF(CD1218&gt;0,CD1218*MAX(1,AD1218/V1218),IF(BR1218=1,IF(AD1218&lt;=0,0,BS1218*MAX(1,IF(G1218&gt;0,AD1218/G1218,1))),IF(Q1218&gt;0,AE1218/Q1218,0))/MAX(0.1,N(Parameter!$M$21)))</f>
        <v>0</v>
      </c>
      <c r="AG1218" s="57" t="n">
        <f aca="false">AD1218*F1218</f>
        <v>0</v>
      </c>
      <c r="AH1218" s="57" t="n">
        <f aca="false">ROUNDUP(MAX(I1218/IF(BV1218&gt;0,BV1218,MAX(0.1,N(Cockpit!$C$6))),BY1218)/BQ1218,0)*BQ1218</f>
        <v>11</v>
      </c>
      <c r="AI1218" s="58" t="n">
        <f aca="false">IF(AF1218&gt;0,I1218/AF1218,-1)</f>
        <v>-1</v>
      </c>
      <c r="AJ1218" s="58" t="str">
        <f aca="false">IF(AND(OR(BU1218="L1",BU1218="L23"),AF1218&gt;0),SUMIFS($AF$7:$AF$1576,$BU$7:$BU$1576,BU1218,$AI$7:$AI$1576,"&gt;"&amp;AI1218)+SUMIFS($AF$7:$AF$1576,$BU$7:$BU$1576,BU1218,$AI$7:$AI$1576,AI1218,$BO$7:$BO$1576,"&lt;="&amp;BO1218),"")</f>
        <v/>
      </c>
      <c r="AK1218" s="65" t="n">
        <f aca="false">IF(AJ1218="",0,MAX(0,MIN(1,(IF(BU1218="L1",Parameter!$E$5,Parameter!$E$6+Parameter!$E$7)-(AJ1218-AF1218))/AF1218)))</f>
        <v>0</v>
      </c>
      <c r="AL1218" s="57" t="n">
        <f aca="false">IF(LEFT(Cockpit!$I$5,1)="A",G1218,IF(BW1218=1,BX1218,IF(LEFT(Cockpit!$I$5,1)="B",AP1218,MAX(AP1218,G1218))))</f>
        <v>11</v>
      </c>
      <c r="AM1218" s="57" t="n">
        <f aca="false">IF(BR1218=1,0,ROUNDUP(AL1218/BQ1218,0))</f>
        <v>0</v>
      </c>
      <c r="AN1218" s="59" t="n">
        <f aca="false">IF(CD1218&gt;0,CD1218*MAX(1,AL1218/V1218),IF(BR1218=1,IF(AL1218&lt;=0,0,BS1218*MAX(1,IF(G1218&gt;0,AL1218/G1218,1))),IF(Q1218&gt;0,AM1218/Q1218,0))/MAX(0.1,N(Parameter!$M$21)))</f>
        <v>0.15</v>
      </c>
      <c r="AO1218" s="57" t="n">
        <f aca="false">AL1218*F1218</f>
        <v>3319.69</v>
      </c>
      <c r="AP1218" s="57" t="n">
        <f aca="false">ROUNDUP(MAX(I1218/IF(BV1218&gt;0,BV1218,MAX(0.1,N(Cockpit!$I$6))),BY1218)/BQ1218,0)*BQ1218</f>
        <v>11</v>
      </c>
      <c r="AQ1218" s="58" t="n">
        <f aca="false">IF(AN1218&gt;0,I1218/AN1218,-1)</f>
        <v>100</v>
      </c>
      <c r="AR1218" s="58" t="n">
        <f aca="false">IF(AND(OR(BU1218="L1",BU1218="L23"),AN1218&gt;0),SUMIFS($AN$7:$AN$1576,$BU$7:$BU$1576,BU1218,$AQ$7:$AQ$1576,"&gt;"&amp;AQ1218)+SUMIFS($AN$7:$AN$1576,$BU$7:$BU$1576,BU1218,$AQ$7:$AQ$1576,AQ1218,$BO$7:$BO$1576,"&lt;="&amp;BO1218),"")</f>
        <v>69.5467780230392</v>
      </c>
      <c r="AS1218" s="65" t="n">
        <f aca="false">IF(AR1218="",0,MAX(0,MIN(1,(IF(BU1218="L1",Parameter!$E$5,Parameter!$E$6+Parameter!$E$7)-(AR1218-AN1218))/AN1218)))</f>
        <v>1</v>
      </c>
      <c r="AT1218" s="57" t="n">
        <f aca="false">IF(LEFT(Cockpit!$O$5,1)="A",G1218,IF(BW1218=1,BX1218,IF(LEFT(Cockpit!$O$5,1)="B",AX1218,MAX(AX1218,G1218))))</f>
        <v>11</v>
      </c>
      <c r="AU1218" s="57" t="n">
        <f aca="false">IF(BR1218=1,0,ROUNDUP(AT1218/BQ1218,0))</f>
        <v>0</v>
      </c>
      <c r="AV1218" s="59" t="n">
        <f aca="false">IF(CD1218&gt;0,CD1218*MAX(1,AT1218/V1218),IF(BR1218=1,IF(AT1218&lt;=0,0,BS1218*MAX(1,IF(G1218&gt;0,AT1218/G1218,1))),IF(Q1218&gt;0,AU1218/Q1218,0))/MAX(0.1,N(Parameter!$M$21)))</f>
        <v>0.15</v>
      </c>
      <c r="AW1218" s="57" t="n">
        <f aca="false">AT1218*F1218</f>
        <v>3319.69</v>
      </c>
      <c r="AX1218" s="57" t="n">
        <f aca="false">ROUNDUP(MAX(I1218/IF(BV1218&gt;0,BV1218,MAX(0.1,N(Cockpit!$O$6))),BY1218)/BQ1218,0)*BQ1218</f>
        <v>11</v>
      </c>
      <c r="AY1218" s="58" t="n">
        <f aca="false">IF(AV1218&gt;0,I1218/AV1218,-1)</f>
        <v>100</v>
      </c>
      <c r="AZ1218" s="58" t="n">
        <f aca="false">IF(AND(OR(BU1218="L1",BU1218="L23"),AV1218&gt;0),SUMIFS($AV$7:$AV$1576,$BU$7:$BU$1576,BU1218,$AY$7:$AY$1576,"&gt;"&amp;AY1218)+SUMIFS($AV$7:$AV$1576,$BU$7:$BU$1576,BU1218,$AY$7:$AY$1576,AY1218,$BO$7:$BO$1576,"&lt;="&amp;BO1218),"")</f>
        <v>64.107161805923</v>
      </c>
      <c r="BA1218" s="65" t="n">
        <f aca="false">IF(AZ1218="",0,MAX(0,MIN(1,(IF(BU1218="L1",Parameter!$E$5,Parameter!$E$6+Parameter!$E$7)-(AZ1218-AV1218))/AV1218)))</f>
        <v>1</v>
      </c>
      <c r="BB1218" s="55" t="str">
        <f aca="false">IF(AF1218&lt;=0,"",IF(BU1218="Aussen","Aussenlager",IF(BU1218="-","Nicht im Lift",IF(AK1218&gt;=1,"Lift",IF(AK1218&lt;=0,"Aussenlager","teilweise")))))</f>
        <v/>
      </c>
      <c r="BC1218" s="55" t="str">
        <f aca="false">IF(AN1218&lt;=0,"",IF(BU1218="Aussen","Aussenlager",IF(BU1218="-","Nicht im Lift",IF(AS1218&gt;=1,"Lift",IF(AS1218&lt;=0,"Aussenlager","teilweise")))))</f>
        <v>Lift</v>
      </c>
      <c r="BD1218" s="55" t="str">
        <f aca="false">IF(AV1218&lt;=0,"",IF(BU1218="Aussen","Aussenlager",IF(BU1218="-","Nicht im Lift",IF(BA1218&gt;=1,"Lift",IF(BA1218&lt;=0,"Aussenlager","teilweise")))))</f>
        <v>Lift</v>
      </c>
      <c r="BE1218" s="55" t="str">
        <f aca="false">IF(A1218="","",IF(BN1218=1,"Neu; ","")&amp;IF(AND(BN1218=0,BI1218&lt;0),"negativer Bestand (Export "&amp;BI1218&amp;"); ","")&amp;IF(I1218&lt;=0,"Kein Verbrauch; ","")&amp;IF(CD1218&gt;0,"Lift "&amp;U1218&amp;" lt. Liftbericht (Fach "&amp;V1218&amp;" Stk); ",IF(BR1218=1,"Lose – Fläche geschätzt; ",""))&amp;IF(G1218&gt;AP1218,"Überbestand "&amp;ROUND(G1218-AP1218,0)&amp;" Stk / CHF "&amp;ROUND((G1218-AP1218)*F1218,0)&amp;"; ","")&amp;IF(AND(BW1218=1,BX1218&lt;BY1218),"MAX &lt; MB+LG; ","")&amp;IF(AND(CC1218&gt;0,CB1218*10&gt;CC1218),"zu hoch für Tablar; ","")&amp;IF(AND(BN1218=0,OR(BW1218=1,Y1218&lt;&gt;"",S1218&lt;&gt;"",T1218&lt;&gt;"",Z1218&lt;&gt;"")),"manuell übersteuert; ","")&amp;IF(AND(BR1218=0,Q1218=0),"Gebinde unbekannt / Stellmass fehlt; ","")&amp;IF(AND(BR1218=0,N(T1218)&lt;=0,N(P1218)&lt;=0),"Menge pro Gebinde fehlt (Ist = 1 Gebinde); ","")&amp;BM1218)</f>
        <v>negativer Bestand (Export -2); Lose – Fläche geschätzt; </v>
      </c>
      <c r="BF1218" s="55"/>
      <c r="BG1218" s="55"/>
      <c r="BH1218" s="62"/>
      <c r="BI1218" s="57" t="n">
        <v>-2</v>
      </c>
      <c r="BJ1218" s="57" t="n">
        <v>3</v>
      </c>
      <c r="BK1218" s="56" t="n">
        <v>-580.570000000002</v>
      </c>
      <c r="BL1218" s="57" t="n">
        <v>15</v>
      </c>
      <c r="BM1218" s="55"/>
      <c r="BN1218" s="60" t="n">
        <v>0</v>
      </c>
      <c r="BO1218" s="60" t="n">
        <v>1218</v>
      </c>
      <c r="BP1218" s="55" t="str">
        <f aca="false">IF(S1218&lt;&gt;"",UPPER(TRIM(S1218)),IF(O1218="","LOSE",O1218))</f>
        <v>LOSE</v>
      </c>
      <c r="BQ1218" s="57" t="n">
        <f aca="false">IF(BP1218="LOSE",1,IF(N(T1218)&gt;0,T1218,IF(N(P1218)&gt;0,P1218,MAX(1,G1218))))</f>
        <v>1</v>
      </c>
      <c r="BR1218" s="60" t="n">
        <f aca="false">IF(BP1218="LOSE",1,0)</f>
        <v>1</v>
      </c>
      <c r="BS1218" s="59" t="n">
        <f aca="false">IF(BR1218=0,0,IF(N(R1218)&gt;0,R1218,IFERROR(VLOOKUP(D1218,Parameter!$A$35:$C$64,3,0)+0,0)))</f>
        <v>0.15</v>
      </c>
      <c r="BT1218" s="55" t="n">
        <f aca="false">IF(Y1218&lt;&gt;"",Y1218,X1218)</f>
        <v>2</v>
      </c>
      <c r="BU1218" s="55" t="str">
        <f aca="false">IF(BT1218=1,"L1",IF(OR(BT1218=2,BT1218=3),"L23",IF(BT1218="Aussen","Aussen","-")))</f>
        <v>L23</v>
      </c>
      <c r="BV1218" s="66" t="n">
        <f aca="false">IF(N(Z1218)&gt;0,Z1218,0)</f>
        <v>0</v>
      </c>
      <c r="BW1218" s="60" t="n">
        <f aca="false">IF(ISNUMBER(AC1218),1,0)</f>
        <v>0</v>
      </c>
      <c r="BX1218" s="57" t="n">
        <f aca="false">N(AC1218)</f>
        <v>0</v>
      </c>
      <c r="BY1218" s="57" t="n">
        <f aca="false">N(L1218)+N(M1218)</f>
        <v>11</v>
      </c>
      <c r="BZ1218" s="57" t="n">
        <f aca="false">ROUNDUP(G1218/BQ1218,0)</f>
        <v>0</v>
      </c>
      <c r="CA1218" s="57" t="n">
        <f aca="false">ROUNDUP(BX1218/BQ1218,0)</f>
        <v>0</v>
      </c>
      <c r="CB1218" s="60" t="n">
        <f aca="false">IF(BR1218=1,0,IFERROR(VLOOKUP(BP1218,'Gebinde-Kategorie'!$A$5:$M$45,5,0)+0,0))</f>
        <v>0</v>
      </c>
      <c r="CC1218" s="60" t="n">
        <f aca="false">IFERROR(IF(OR(BT1218=1,BT1218=2,BT1218=3),N(INDEX(Parameter!$I$5:$I$7,BT1218)),0),0)</f>
        <v>0</v>
      </c>
      <c r="CD1218" s="59" t="n">
        <f aca="false">IF(AND(Parameter!$B$21="Ja",ISNUMBER(U1218),N(V1218)&gt;0),IFERROR(N(INDEX(Parameter!$L$5:$L$7,U1218))*INDEX(Parameter!$E$5:$E$7,U1218)*V1218/SUMIFS($V$7:$V$1576,$U$7:$U$1576,U1218),0),0)</f>
        <v>0</v>
      </c>
    </row>
    <row r="1219" customFormat="false" ht="15" hidden="false" customHeight="false" outlineLevel="0" collapsed="false">
      <c r="A1219" s="55" t="s">
        <v>2173</v>
      </c>
      <c r="B1219" s="55" t="s">
        <v>1565</v>
      </c>
      <c r="C1219" s="55" t="s">
        <v>160</v>
      </c>
      <c r="D1219" s="55" t="s">
        <v>178</v>
      </c>
      <c r="E1219" s="55" t="s">
        <v>210</v>
      </c>
      <c r="F1219" s="56" t="n">
        <v>7.16</v>
      </c>
      <c r="G1219" s="57" t="n">
        <f aca="false">MAX(0,IF(AND(Parameter!$B$21="Ja",ISNUMBER(W1219)),W1219,IF(Parameter!$B$20="Jahresanfang 2025 + Export",BJ1219+BI1219,BI1219)))</f>
        <v>0</v>
      </c>
      <c r="H1219" s="57" t="n">
        <f aca="false">G1219*F1219</f>
        <v>0</v>
      </c>
      <c r="I1219" s="57" t="n">
        <f aca="false">BL1219*Parameter!$B$18</f>
        <v>0</v>
      </c>
      <c r="J1219" s="58" t="n">
        <v>74</v>
      </c>
      <c r="K1219" s="59" t="n">
        <v>0</v>
      </c>
      <c r="L1219" s="57" t="n">
        <v>0</v>
      </c>
      <c r="M1219" s="57" t="n">
        <v>1</v>
      </c>
      <c r="N1219" s="60" t="n">
        <v>63</v>
      </c>
      <c r="O1219" s="55" t="s">
        <v>225</v>
      </c>
      <c r="P1219" s="57" t="n">
        <v>33</v>
      </c>
      <c r="Q1219" s="60" t="n">
        <f aca="false">IF(BR1219=1,0,IFERROR(VLOOKUP(BP1219,'Gebinde-Kategorie'!$A$5:$M$45,13,0)+0,0))</f>
        <v>26</v>
      </c>
      <c r="R1219" s="61"/>
      <c r="S1219" s="62"/>
      <c r="T1219" s="62"/>
      <c r="U1219" s="55"/>
      <c r="V1219" s="57"/>
      <c r="W1219" s="57"/>
      <c r="X1219" s="55" t="n">
        <f aca="false">IF(A1219="","",IF(AND(Parameter!$B$21="Ja",ISNUMBER(U1219)),U1219,IF(IFERROR(VLOOKUP(D1219,Parameter!$A$35:$C$64,2,0),"Nein")="2+3",IF(ISNUMBER(SEARCH("grosser Artikel",BM1219)),2,IFERROR(VLOOKUP(BP1219,Parameter!$F$35:$G$64,2,0),2)),IF(OR(IFERROR(VLOOKUP(D1219,Parameter!$A$35:$C$64,2,0),"Nein")="Nein",IFERROR(VLOOKUP(D1219,Parameter!$A$35:$C$64,2,0),"Nein")=""),"-",VLOOKUP(D1219,Parameter!$A$35:$C$64,2,0)))))</f>
        <v>3</v>
      </c>
      <c r="Y1219" s="62"/>
      <c r="Z1219" s="63"/>
      <c r="AA1219" s="57" t="n">
        <f aca="false">AP1219</f>
        <v>33</v>
      </c>
      <c r="AB1219" s="57" t="n">
        <f aca="false">MAX(AP1219,G1219)</f>
        <v>33</v>
      </c>
      <c r="AC1219" s="64"/>
      <c r="AD1219" s="57" t="n">
        <f aca="false">IF(LEFT(Cockpit!$C$5,1)="A",G1219,IF(BW1219=1,BX1219,IF(LEFT(Cockpit!$C$5,1)="B",AH1219,MAX(AH1219,G1219))))</f>
        <v>0</v>
      </c>
      <c r="AE1219" s="57" t="n">
        <f aca="false">IF(BR1219=1,0,ROUNDUP(AD1219/BQ1219,0))</f>
        <v>0</v>
      </c>
      <c r="AF1219" s="59" t="n">
        <f aca="false">IF(CD1219&gt;0,CD1219*MAX(1,AD1219/V1219),IF(BR1219=1,IF(AD1219&lt;=0,0,BS1219*MAX(1,IF(G1219&gt;0,AD1219/G1219,1))),IF(Q1219&gt;0,AE1219/Q1219,0))/MAX(0.1,N(Parameter!$M$21)))</f>
        <v>0</v>
      </c>
      <c r="AG1219" s="57" t="n">
        <f aca="false">AD1219*F1219</f>
        <v>0</v>
      </c>
      <c r="AH1219" s="57" t="n">
        <f aca="false">ROUNDUP(MAX(I1219/IF(BV1219&gt;0,BV1219,MAX(0.1,N(Cockpit!$C$6))),BY1219)/BQ1219,0)*BQ1219</f>
        <v>33</v>
      </c>
      <c r="AI1219" s="58" t="n">
        <f aca="false">IF(AF1219&gt;0,I1219/AF1219,-1)</f>
        <v>-1</v>
      </c>
      <c r="AJ1219" s="58" t="str">
        <f aca="false">IF(AND(OR(BU1219="L1",BU1219="L23"),AF1219&gt;0),SUMIFS($AF$7:$AF$1576,$BU$7:$BU$1576,BU1219,$AI$7:$AI$1576,"&gt;"&amp;AI1219)+SUMIFS($AF$7:$AF$1576,$BU$7:$BU$1576,BU1219,$AI$7:$AI$1576,AI1219,$BO$7:$BO$1576,"&lt;="&amp;BO1219),"")</f>
        <v/>
      </c>
      <c r="AK1219" s="65" t="n">
        <f aca="false">IF(AJ1219="",0,MAX(0,MIN(1,(IF(BU1219="L1",Parameter!$E$5,Parameter!$E$6+Parameter!$E$7)-(AJ1219-AF1219))/AF1219)))</f>
        <v>0</v>
      </c>
      <c r="AL1219" s="57" t="n">
        <f aca="false">IF(LEFT(Cockpit!$I$5,1)="A",G1219,IF(BW1219=1,BX1219,IF(LEFT(Cockpit!$I$5,1)="B",AP1219,MAX(AP1219,G1219))))</f>
        <v>33</v>
      </c>
      <c r="AM1219" s="57" t="n">
        <f aca="false">IF(BR1219=1,0,ROUNDUP(AL1219/BQ1219,0))</f>
        <v>1</v>
      </c>
      <c r="AN1219" s="59" t="n">
        <f aca="false">IF(CD1219&gt;0,CD1219*MAX(1,AL1219/V1219),IF(BR1219=1,IF(AL1219&lt;=0,0,BS1219*MAX(1,IF(G1219&gt;0,AL1219/G1219,1))),IF(Q1219&gt;0,AM1219/Q1219,0))/MAX(0.1,N(Parameter!$M$21)))</f>
        <v>0.0384615384615385</v>
      </c>
      <c r="AO1219" s="57" t="n">
        <f aca="false">AL1219*F1219</f>
        <v>236.28</v>
      </c>
      <c r="AP1219" s="57" t="n">
        <f aca="false">ROUNDUP(MAX(I1219/IF(BV1219&gt;0,BV1219,MAX(0.1,N(Cockpit!$I$6))),BY1219)/BQ1219,0)*BQ1219</f>
        <v>33</v>
      </c>
      <c r="AQ1219" s="58" t="n">
        <f aca="false">IF(AN1219&gt;0,I1219/AN1219,-1)</f>
        <v>0</v>
      </c>
      <c r="AR1219" s="58" t="n">
        <f aca="false">IF(AND(OR(BU1219="L1",BU1219="L23"),AN1219&gt;0),SUMIFS($AN$7:$AN$1576,$BU$7:$BU$1576,BU1219,$AQ$7:$AQ$1576,"&gt;"&amp;AQ1219)+SUMIFS($AN$7:$AN$1576,$BU$7:$BU$1576,BU1219,$AQ$7:$AQ$1576,AQ1219,$BO$7:$BO$1576,"&lt;="&amp;BO1219),"")</f>
        <v>135.968178850183</v>
      </c>
      <c r="AS1219" s="65" t="n">
        <f aca="false">IF(AR1219="",0,MAX(0,MIN(1,(IF(BU1219="L1",Parameter!$E$5,Parameter!$E$6+Parameter!$E$7)-(AR1219-AN1219))/AN1219)))</f>
        <v>0</v>
      </c>
      <c r="AT1219" s="57" t="n">
        <f aca="false">IF(LEFT(Cockpit!$O$5,1)="A",G1219,IF(BW1219=1,BX1219,IF(LEFT(Cockpit!$O$5,1)="B",AX1219,MAX(AX1219,G1219))))</f>
        <v>33</v>
      </c>
      <c r="AU1219" s="57" t="n">
        <f aca="false">IF(BR1219=1,0,ROUNDUP(AT1219/BQ1219,0))</f>
        <v>1</v>
      </c>
      <c r="AV1219" s="59" t="n">
        <f aca="false">IF(CD1219&gt;0,CD1219*MAX(1,AT1219/V1219),IF(BR1219=1,IF(AT1219&lt;=0,0,BS1219*MAX(1,IF(G1219&gt;0,AT1219/G1219,1))),IF(Q1219&gt;0,AU1219/Q1219,0))/MAX(0.1,N(Parameter!$M$21)))</f>
        <v>0.0384615384615385</v>
      </c>
      <c r="AW1219" s="57" t="n">
        <f aca="false">AT1219*F1219</f>
        <v>236.28</v>
      </c>
      <c r="AX1219" s="57" t="n">
        <f aca="false">ROUNDUP(MAX(I1219/IF(BV1219&gt;0,BV1219,MAX(0.1,N(Cockpit!$O$6))),BY1219)/BQ1219,0)*BQ1219</f>
        <v>33</v>
      </c>
      <c r="AY1219" s="58" t="n">
        <f aca="false">IF(AV1219&gt;0,I1219/AV1219,-1)</f>
        <v>0</v>
      </c>
      <c r="AZ1219" s="58" t="n">
        <f aca="false">IF(AND(OR(BU1219="L1",BU1219="L23"),AV1219&gt;0),SUMIFS($AV$7:$AV$1576,$BU$7:$BU$1576,BU1219,$AY$7:$AY$1576,"&gt;"&amp;AY1219)+SUMIFS($AV$7:$AV$1576,$BU$7:$BU$1576,BU1219,$AY$7:$AY$1576,AY1219,$BO$7:$BO$1576,"&lt;="&amp;BO1219),"")</f>
        <v>126.027729299733</v>
      </c>
      <c r="BA1219" s="65" t="n">
        <f aca="false">IF(AZ1219="",0,MAX(0,MIN(1,(IF(BU1219="L1",Parameter!$E$5,Parameter!$E$6+Parameter!$E$7)-(AZ1219-AV1219))/AV1219)))</f>
        <v>0</v>
      </c>
      <c r="BB1219" s="55" t="str">
        <f aca="false">IF(AF1219&lt;=0,"",IF(BU1219="Aussen","Aussenlager",IF(BU1219="-","Nicht im Lift",IF(AK1219&gt;=1,"Lift",IF(AK1219&lt;=0,"Aussenlager","teilweise")))))</f>
        <v/>
      </c>
      <c r="BC1219" s="55" t="str">
        <f aca="false">IF(AN1219&lt;=0,"",IF(BU1219="Aussen","Aussenlager",IF(BU1219="-","Nicht im Lift",IF(AS1219&gt;=1,"Lift",IF(AS1219&lt;=0,"Aussenlager","teilweise")))))</f>
        <v>Aussenlager</v>
      </c>
      <c r="BD1219" s="55" t="str">
        <f aca="false">IF(AV1219&lt;=0,"",IF(BU1219="Aussen","Aussenlager",IF(BU1219="-","Nicht im Lift",IF(BA1219&gt;=1,"Lift",IF(BA1219&lt;=0,"Aussenlager","teilweise")))))</f>
        <v>Aussenlager</v>
      </c>
      <c r="BE1219" s="55" t="str">
        <f aca="false">IF(A1219="","",IF(BN1219=1,"Neu; ","")&amp;IF(AND(BN1219=0,BI1219&lt;0),"negativer Bestand (Export "&amp;BI1219&amp;"); ","")&amp;IF(I1219&lt;=0,"Kein Verbrauch; ","")&amp;IF(CD1219&gt;0,"Lift "&amp;U1219&amp;" lt. Liftbericht (Fach "&amp;V1219&amp;" Stk); ",IF(BR1219=1,"Lose – Fläche geschätzt; ",""))&amp;IF(G1219&gt;AP1219,"Überbestand "&amp;ROUND(G1219-AP1219,0)&amp;" Stk / CHF "&amp;ROUND((G1219-AP1219)*F1219,0)&amp;"; ","")&amp;IF(AND(BW1219=1,BX1219&lt;BY1219),"MAX &lt; MB+LG; ","")&amp;IF(AND(CC1219&gt;0,CB1219*10&gt;CC1219),"zu hoch für Tablar; ","")&amp;IF(AND(BN1219=0,OR(BW1219=1,Y1219&lt;&gt;"",S1219&lt;&gt;"",T1219&lt;&gt;"",Z1219&lt;&gt;"")),"manuell übersteuert; ","")&amp;IF(AND(BR1219=0,Q1219=0),"Gebinde unbekannt / Stellmass fehlt; ","")&amp;IF(AND(BR1219=0,N(T1219)&lt;=0,N(P1219)&lt;=0),"Menge pro Gebinde fehlt (Ist = 1 Gebinde); ","")&amp;BM1219)</f>
        <v>negativer Bestand (Export -82); Kein Verbrauch; </v>
      </c>
      <c r="BF1219" s="55"/>
      <c r="BG1219" s="55"/>
      <c r="BH1219" s="62"/>
      <c r="BI1219" s="57" t="n">
        <v>-82</v>
      </c>
      <c r="BJ1219" s="57" t="n">
        <v>115</v>
      </c>
      <c r="BK1219" s="56" t="n">
        <v>-587.12</v>
      </c>
      <c r="BL1219" s="57" t="n">
        <v>0</v>
      </c>
      <c r="BM1219" s="55"/>
      <c r="BN1219" s="60" t="n">
        <v>0</v>
      </c>
      <c r="BO1219" s="60" t="n">
        <v>1219</v>
      </c>
      <c r="BP1219" s="55" t="str">
        <f aca="false">IF(S1219&lt;&gt;"",UPPER(TRIM(S1219)),IF(O1219="","LOSE",O1219))</f>
        <v>S52</v>
      </c>
      <c r="BQ1219" s="57" t="n">
        <f aca="false">IF(BP1219="LOSE",1,IF(N(T1219)&gt;0,T1219,IF(N(P1219)&gt;0,P1219,MAX(1,G1219))))</f>
        <v>33</v>
      </c>
      <c r="BR1219" s="60" t="n">
        <f aca="false">IF(BP1219="LOSE",1,0)</f>
        <v>0</v>
      </c>
      <c r="BS1219" s="59" t="n">
        <f aca="false">IF(BR1219=0,0,IF(N(R1219)&gt;0,R1219,IFERROR(VLOOKUP(D1219,Parameter!$A$35:$C$64,3,0)+0,0)))</f>
        <v>0</v>
      </c>
      <c r="BT1219" s="55" t="n">
        <f aca="false">IF(Y1219&lt;&gt;"",Y1219,X1219)</f>
        <v>3</v>
      </c>
      <c r="BU1219" s="55" t="str">
        <f aca="false">IF(BT1219=1,"L1",IF(OR(BT1219=2,BT1219=3),"L23",IF(BT1219="Aussen","Aussen","-")))</f>
        <v>L23</v>
      </c>
      <c r="BV1219" s="66" t="n">
        <f aca="false">IF(N(Z1219)&gt;0,Z1219,0)</f>
        <v>0</v>
      </c>
      <c r="BW1219" s="60" t="n">
        <f aca="false">IF(ISNUMBER(AC1219),1,0)</f>
        <v>0</v>
      </c>
      <c r="BX1219" s="57" t="n">
        <f aca="false">N(AC1219)</f>
        <v>0</v>
      </c>
      <c r="BY1219" s="57" t="n">
        <f aca="false">N(L1219)+N(M1219)</f>
        <v>1</v>
      </c>
      <c r="BZ1219" s="57" t="n">
        <f aca="false">ROUNDUP(G1219/BQ1219,0)</f>
        <v>0</v>
      </c>
      <c r="CA1219" s="57" t="n">
        <f aca="false">ROUNDUP(BX1219/BQ1219,0)</f>
        <v>0</v>
      </c>
      <c r="CB1219" s="60" t="n">
        <f aca="false">IF(BR1219=1,0,IFERROR(VLOOKUP(BP1219,'Gebinde-Kategorie'!$A$5:$M$45,5,0)+0,0))</f>
        <v>21</v>
      </c>
      <c r="CC1219" s="60" t="n">
        <f aca="false">IFERROR(IF(OR(BT1219=1,BT1219=2,BT1219=3),N(INDEX(Parameter!$I$5:$I$7,BT1219)),0),0)</f>
        <v>0</v>
      </c>
      <c r="CD1219" s="59" t="n">
        <f aca="false">IF(AND(Parameter!$B$21="Ja",ISNUMBER(U1219),N(V1219)&gt;0),IFERROR(N(INDEX(Parameter!$L$5:$L$7,U1219))*INDEX(Parameter!$E$5:$E$7,U1219)*V1219/SUMIFS($V$7:$V$1576,$U$7:$U$1576,U1219),0),0)</f>
        <v>0</v>
      </c>
    </row>
    <row r="1220" customFormat="false" ht="15" hidden="false" customHeight="false" outlineLevel="0" collapsed="false">
      <c r="A1220" s="55" t="s">
        <v>2174</v>
      </c>
      <c r="B1220" s="55" t="s">
        <v>587</v>
      </c>
      <c r="C1220" s="55" t="s">
        <v>160</v>
      </c>
      <c r="D1220" s="55" t="s">
        <v>178</v>
      </c>
      <c r="E1220" s="55" t="s">
        <v>210</v>
      </c>
      <c r="F1220" s="56" t="n">
        <v>29.25</v>
      </c>
      <c r="G1220" s="57" t="n">
        <f aca="false">MAX(0,IF(AND(Parameter!$B$21="Ja",ISNUMBER(W1220)),W1220,IF(Parameter!$B$20="Jahresanfang 2025 + Export",BJ1220+BI1220,BI1220)))</f>
        <v>0</v>
      </c>
      <c r="H1220" s="57" t="n">
        <f aca="false">G1220*F1220</f>
        <v>0</v>
      </c>
      <c r="I1220" s="57" t="n">
        <f aca="false">BL1220*Parameter!$B$18</f>
        <v>47</v>
      </c>
      <c r="J1220" s="58" t="n">
        <v>66</v>
      </c>
      <c r="K1220" s="59" t="n">
        <v>0.712121212121212</v>
      </c>
      <c r="L1220" s="57" t="n">
        <v>1</v>
      </c>
      <c r="M1220" s="57" t="n">
        <v>45</v>
      </c>
      <c r="N1220" s="60" t="n">
        <v>14</v>
      </c>
      <c r="O1220" s="55" t="s">
        <v>319</v>
      </c>
      <c r="P1220" s="57" t="n">
        <v>124</v>
      </c>
      <c r="Q1220" s="60" t="n">
        <f aca="false">IF(BR1220=1,0,IFERROR(VLOOKUP(BP1220,'Gebinde-Kategorie'!$A$5:$M$45,13,0)+0,0))</f>
        <v>52</v>
      </c>
      <c r="R1220" s="61"/>
      <c r="S1220" s="62"/>
      <c r="T1220" s="62"/>
      <c r="U1220" s="55"/>
      <c r="V1220" s="57"/>
      <c r="W1220" s="57"/>
      <c r="X1220" s="55" t="n">
        <f aca="false">IF(A1220="","",IF(AND(Parameter!$B$21="Ja",ISNUMBER(U1220)),U1220,IF(IFERROR(VLOOKUP(D1220,Parameter!$A$35:$C$64,2,0),"Nein")="2+3",IF(ISNUMBER(SEARCH("grosser Artikel",BM1220)),2,IFERROR(VLOOKUP(BP1220,Parameter!$F$35:$G$64,2,0),2)),IF(OR(IFERROR(VLOOKUP(D1220,Parameter!$A$35:$C$64,2,0),"Nein")="Nein",IFERROR(VLOOKUP(D1220,Parameter!$A$35:$C$64,2,0),"Nein")=""),"-",VLOOKUP(D1220,Parameter!$A$35:$C$64,2,0)))))</f>
        <v>3</v>
      </c>
      <c r="Y1220" s="62"/>
      <c r="Z1220" s="63"/>
      <c r="AA1220" s="57" t="n">
        <f aca="false">AP1220</f>
        <v>124</v>
      </c>
      <c r="AB1220" s="57" t="n">
        <f aca="false">MAX(AP1220,G1220)</f>
        <v>124</v>
      </c>
      <c r="AC1220" s="64"/>
      <c r="AD1220" s="57" t="n">
        <f aca="false">IF(LEFT(Cockpit!$C$5,1)="A",G1220,IF(BW1220=1,BX1220,IF(LEFT(Cockpit!$C$5,1)="B",AH1220,MAX(AH1220,G1220))))</f>
        <v>0</v>
      </c>
      <c r="AE1220" s="57" t="n">
        <f aca="false">IF(BR1220=1,0,ROUNDUP(AD1220/BQ1220,0))</f>
        <v>0</v>
      </c>
      <c r="AF1220" s="59" t="n">
        <f aca="false">IF(CD1220&gt;0,CD1220*MAX(1,AD1220/V1220),IF(BR1220=1,IF(AD1220&lt;=0,0,BS1220*MAX(1,IF(G1220&gt;0,AD1220/G1220,1))),IF(Q1220&gt;0,AE1220/Q1220,0))/MAX(0.1,N(Parameter!$M$21)))</f>
        <v>0</v>
      </c>
      <c r="AG1220" s="57" t="n">
        <f aca="false">AD1220*F1220</f>
        <v>0</v>
      </c>
      <c r="AH1220" s="57" t="n">
        <f aca="false">ROUNDUP(MAX(I1220/IF(BV1220&gt;0,BV1220,MAX(0.1,N(Cockpit!$C$6))),BY1220)/BQ1220,0)*BQ1220</f>
        <v>124</v>
      </c>
      <c r="AI1220" s="58" t="n">
        <f aca="false">IF(AF1220&gt;0,I1220/AF1220,-1)</f>
        <v>-1</v>
      </c>
      <c r="AJ1220" s="58" t="str">
        <f aca="false">IF(AND(OR(BU1220="L1",BU1220="L23"),AF1220&gt;0),SUMIFS($AF$7:$AF$1576,$BU$7:$BU$1576,BU1220,$AI$7:$AI$1576,"&gt;"&amp;AI1220)+SUMIFS($AF$7:$AF$1576,$BU$7:$BU$1576,BU1220,$AI$7:$AI$1576,AI1220,$BO$7:$BO$1576,"&lt;="&amp;BO1220),"")</f>
        <v/>
      </c>
      <c r="AK1220" s="65" t="n">
        <f aca="false">IF(AJ1220="",0,MAX(0,MIN(1,(IF(BU1220="L1",Parameter!$E$5,Parameter!$E$6+Parameter!$E$7)-(AJ1220-AF1220))/AF1220)))</f>
        <v>0</v>
      </c>
      <c r="AL1220" s="57" t="n">
        <f aca="false">IF(LEFT(Cockpit!$I$5,1)="A",G1220,IF(BW1220=1,BX1220,IF(LEFT(Cockpit!$I$5,1)="B",AP1220,MAX(AP1220,G1220))))</f>
        <v>124</v>
      </c>
      <c r="AM1220" s="57" t="n">
        <f aca="false">IF(BR1220=1,0,ROUNDUP(AL1220/BQ1220,0))</f>
        <v>1</v>
      </c>
      <c r="AN1220" s="59" t="n">
        <f aca="false">IF(CD1220&gt;0,CD1220*MAX(1,AL1220/V1220),IF(BR1220=1,IF(AL1220&lt;=0,0,BS1220*MAX(1,IF(G1220&gt;0,AL1220/G1220,1))),IF(Q1220&gt;0,AM1220/Q1220,0))/MAX(0.1,N(Parameter!$M$21)))</f>
        <v>0.0192307692307692</v>
      </c>
      <c r="AO1220" s="57" t="n">
        <f aca="false">AL1220*F1220</f>
        <v>3627</v>
      </c>
      <c r="AP1220" s="57" t="n">
        <f aca="false">ROUNDUP(MAX(I1220/IF(BV1220&gt;0,BV1220,MAX(0.1,N(Cockpit!$I$6))),BY1220)/BQ1220,0)*BQ1220</f>
        <v>124</v>
      </c>
      <c r="AQ1220" s="58" t="n">
        <f aca="false">IF(AN1220&gt;0,I1220/AN1220,-1)</f>
        <v>2444</v>
      </c>
      <c r="AR1220" s="58" t="n">
        <f aca="false">IF(AND(OR(BU1220="L1",BU1220="L23"),AN1220&gt;0),SUMIFS($AN$7:$AN$1576,$BU$7:$BU$1576,BU1220,$AQ$7:$AQ$1576,"&gt;"&amp;AQ1220)+SUMIFS($AN$7:$AN$1576,$BU$7:$BU$1576,BU1220,$AQ$7:$AQ$1576,AQ1220,$BO$7:$BO$1576,"&lt;="&amp;BO1220),"")</f>
        <v>15.5932799208998</v>
      </c>
      <c r="AS1220" s="65" t="n">
        <f aca="false">IF(AR1220="",0,MAX(0,MIN(1,(IF(BU1220="L1",Parameter!$E$5,Parameter!$E$6+Parameter!$E$7)-(AR1220-AN1220))/AN1220)))</f>
        <v>1</v>
      </c>
      <c r="AT1220" s="57" t="n">
        <f aca="false">IF(LEFT(Cockpit!$O$5,1)="A",G1220,IF(BW1220=1,BX1220,IF(LEFT(Cockpit!$O$5,1)="B",AX1220,MAX(AX1220,G1220))))</f>
        <v>124</v>
      </c>
      <c r="AU1220" s="57" t="n">
        <f aca="false">IF(BR1220=1,0,ROUNDUP(AT1220/BQ1220,0))</f>
        <v>1</v>
      </c>
      <c r="AV1220" s="59" t="n">
        <f aca="false">IF(CD1220&gt;0,CD1220*MAX(1,AT1220/V1220),IF(BR1220=1,IF(AT1220&lt;=0,0,BS1220*MAX(1,IF(G1220&gt;0,AT1220/G1220,1))),IF(Q1220&gt;0,AU1220/Q1220,0))/MAX(0.1,N(Parameter!$M$21)))</f>
        <v>0.0192307692307692</v>
      </c>
      <c r="AW1220" s="57" t="n">
        <f aca="false">AT1220*F1220</f>
        <v>3627</v>
      </c>
      <c r="AX1220" s="57" t="n">
        <f aca="false">ROUNDUP(MAX(I1220/IF(BV1220&gt;0,BV1220,MAX(0.1,N(Cockpit!$O$6))),BY1220)/BQ1220,0)*BQ1220</f>
        <v>124</v>
      </c>
      <c r="AY1220" s="58" t="n">
        <f aca="false">IF(AV1220&gt;0,I1220/AV1220,-1)</f>
        <v>2444</v>
      </c>
      <c r="AZ1220" s="58" t="n">
        <f aca="false">IF(AND(OR(BU1220="L1",BU1220="L23"),AV1220&gt;0),SUMIFS($AV$7:$AV$1576,$BU$7:$BU$1576,BU1220,$AY$7:$AY$1576,"&gt;"&amp;AY1220)+SUMIFS($AV$7:$AV$1576,$BU$7:$BU$1576,BU1220,$AY$7:$AY$1576,AY1220,$BO$7:$BO$1576,"&lt;="&amp;BO1220),"")</f>
        <v>14.3974757250956</v>
      </c>
      <c r="BA1220" s="65" t="n">
        <f aca="false">IF(AZ1220="",0,MAX(0,MIN(1,(IF(BU1220="L1",Parameter!$E$5,Parameter!$E$6+Parameter!$E$7)-(AZ1220-AV1220))/AV1220)))</f>
        <v>1</v>
      </c>
      <c r="BB1220" s="55" t="str">
        <f aca="false">IF(AF1220&lt;=0,"",IF(BU1220="Aussen","Aussenlager",IF(BU1220="-","Nicht im Lift",IF(AK1220&gt;=1,"Lift",IF(AK1220&lt;=0,"Aussenlager","teilweise")))))</f>
        <v/>
      </c>
      <c r="BC1220" s="55" t="str">
        <f aca="false">IF(AN1220&lt;=0,"",IF(BU1220="Aussen","Aussenlager",IF(BU1220="-","Nicht im Lift",IF(AS1220&gt;=1,"Lift",IF(AS1220&lt;=0,"Aussenlager","teilweise")))))</f>
        <v>Lift</v>
      </c>
      <c r="BD1220" s="55" t="str">
        <f aca="false">IF(AV1220&lt;=0,"",IF(BU1220="Aussen","Aussenlager",IF(BU1220="-","Nicht im Lift",IF(BA1220&gt;=1,"Lift",IF(BA1220&lt;=0,"Aussenlager","teilweise")))))</f>
        <v>Lift</v>
      </c>
      <c r="BE1220" s="55" t="str">
        <f aca="false">IF(A1220="","",IF(BN1220=1,"Neu; ","")&amp;IF(AND(BN1220=0,BI1220&lt;0),"negativer Bestand (Export "&amp;BI1220&amp;"); ","")&amp;IF(I1220&lt;=0,"Kein Verbrauch; ","")&amp;IF(CD1220&gt;0,"Lift "&amp;U1220&amp;" lt. Liftbericht (Fach "&amp;V1220&amp;" Stk); ",IF(BR1220=1,"Lose – Fläche geschätzt; ",""))&amp;IF(G1220&gt;AP1220,"Überbestand "&amp;ROUND(G1220-AP1220,0)&amp;" Stk / CHF "&amp;ROUND((G1220-AP1220)*F1220,0)&amp;"; ","")&amp;IF(AND(BW1220=1,BX1220&lt;BY1220),"MAX &lt; MB+LG; ","")&amp;IF(AND(CC1220&gt;0,CB1220*10&gt;CC1220),"zu hoch für Tablar; ","")&amp;IF(AND(BN1220=0,OR(BW1220=1,Y1220&lt;&gt;"",S1220&lt;&gt;"",T1220&lt;&gt;"",Z1220&lt;&gt;"")),"manuell übersteuert; ","")&amp;IF(AND(BR1220=0,Q1220=0),"Gebinde unbekannt / Stellmass fehlt; ","")&amp;IF(AND(BR1220=0,N(T1220)&lt;=0,N(P1220)&lt;=0),"Menge pro Gebinde fehlt (Ist = 1 Gebinde); ","")&amp;BM1220)</f>
        <v>negativer Bestand (Export -23); </v>
      </c>
      <c r="BF1220" s="55"/>
      <c r="BG1220" s="55"/>
      <c r="BH1220" s="62"/>
      <c r="BI1220" s="57" t="n">
        <v>-23</v>
      </c>
      <c r="BJ1220" s="57" t="n">
        <v>50</v>
      </c>
      <c r="BK1220" s="56" t="n">
        <v>-588.750000000001</v>
      </c>
      <c r="BL1220" s="57" t="n">
        <v>47</v>
      </c>
      <c r="BM1220" s="55"/>
      <c r="BN1220" s="60" t="n">
        <v>0</v>
      </c>
      <c r="BO1220" s="60" t="n">
        <v>1220</v>
      </c>
      <c r="BP1220" s="55" t="str">
        <f aca="false">IF(S1220&lt;&gt;"",UPPER(TRIM(S1220)),IF(O1220="","LOSE",O1220))</f>
        <v>S41</v>
      </c>
      <c r="BQ1220" s="57" t="n">
        <f aca="false">IF(BP1220="LOSE",1,IF(N(T1220)&gt;0,T1220,IF(N(P1220)&gt;0,P1220,MAX(1,G1220))))</f>
        <v>124</v>
      </c>
      <c r="BR1220" s="60" t="n">
        <f aca="false">IF(BP1220="LOSE",1,0)</f>
        <v>0</v>
      </c>
      <c r="BS1220" s="59" t="n">
        <f aca="false">IF(BR1220=0,0,IF(N(R1220)&gt;0,R1220,IFERROR(VLOOKUP(D1220,Parameter!$A$35:$C$64,3,0)+0,0)))</f>
        <v>0</v>
      </c>
      <c r="BT1220" s="55" t="n">
        <f aca="false">IF(Y1220&lt;&gt;"",Y1220,X1220)</f>
        <v>3</v>
      </c>
      <c r="BU1220" s="55" t="str">
        <f aca="false">IF(BT1220=1,"L1",IF(OR(BT1220=2,BT1220=3),"L23",IF(BT1220="Aussen","Aussen","-")))</f>
        <v>L23</v>
      </c>
      <c r="BV1220" s="66" t="n">
        <f aca="false">IF(N(Z1220)&gt;0,Z1220,0)</f>
        <v>0</v>
      </c>
      <c r="BW1220" s="60" t="n">
        <f aca="false">IF(ISNUMBER(AC1220),1,0)</f>
        <v>0</v>
      </c>
      <c r="BX1220" s="57" t="n">
        <f aca="false">N(AC1220)</f>
        <v>0</v>
      </c>
      <c r="BY1220" s="57" t="n">
        <f aca="false">N(L1220)+N(M1220)</f>
        <v>46</v>
      </c>
      <c r="BZ1220" s="57" t="n">
        <f aca="false">ROUNDUP(G1220/BQ1220,0)</f>
        <v>0</v>
      </c>
      <c r="CA1220" s="57" t="n">
        <f aca="false">ROUNDUP(BX1220/BQ1220,0)</f>
        <v>0</v>
      </c>
      <c r="CB1220" s="60" t="n">
        <f aca="false">IF(BR1220=1,0,IFERROR(VLOOKUP(BP1220,'Gebinde-Kategorie'!$A$5:$M$45,5,0)+0,0))</f>
        <v>11</v>
      </c>
      <c r="CC1220" s="60" t="n">
        <f aca="false">IFERROR(IF(OR(BT1220=1,BT1220=2,BT1220=3),N(INDEX(Parameter!$I$5:$I$7,BT1220)),0),0)</f>
        <v>0</v>
      </c>
      <c r="CD1220" s="59" t="n">
        <f aca="false">IF(AND(Parameter!$B$21="Ja",ISNUMBER(U1220),N(V1220)&gt;0),IFERROR(N(INDEX(Parameter!$L$5:$L$7,U1220))*INDEX(Parameter!$E$5:$E$7,U1220)*V1220/SUMIFS($V$7:$V$1576,$U$7:$U$1576,U1220),0),0)</f>
        <v>0</v>
      </c>
    </row>
    <row r="1221" customFormat="false" ht="15" hidden="false" customHeight="false" outlineLevel="0" collapsed="false">
      <c r="A1221" s="55" t="s">
        <v>2175</v>
      </c>
      <c r="B1221" s="55" t="s">
        <v>565</v>
      </c>
      <c r="C1221" s="55" t="s">
        <v>160</v>
      </c>
      <c r="D1221" s="55" t="s">
        <v>168</v>
      </c>
      <c r="E1221" s="55" t="s">
        <v>210</v>
      </c>
      <c r="F1221" s="56" t="n">
        <v>800.37</v>
      </c>
      <c r="G1221" s="57" t="n">
        <f aca="false">MAX(0,IF(AND(Parameter!$B$21="Ja",ISNUMBER(W1221)),W1221,IF(Parameter!$B$20="Jahresanfang 2025 + Export",BJ1221+BI1221,BI1221)))</f>
        <v>0</v>
      </c>
      <c r="H1221" s="57" t="n">
        <f aca="false">G1221*F1221</f>
        <v>0</v>
      </c>
      <c r="I1221" s="57" t="n">
        <f aca="false">BL1221*Parameter!$B$18</f>
        <v>8</v>
      </c>
      <c r="J1221" s="58" t="n">
        <v>9.5</v>
      </c>
      <c r="K1221" s="59" t="n">
        <v>0.842105263157895</v>
      </c>
      <c r="L1221" s="57" t="n">
        <v>0</v>
      </c>
      <c r="M1221" s="57" t="n">
        <v>5</v>
      </c>
      <c r="N1221" s="60" t="n">
        <v>28</v>
      </c>
      <c r="O1221" s="55" t="s">
        <v>169</v>
      </c>
      <c r="P1221" s="57" t="n">
        <v>4.5</v>
      </c>
      <c r="Q1221" s="60" t="n">
        <f aca="false">IF(BR1221=1,0,IFERROR(VLOOKUP(BP1221,'Gebinde-Kategorie'!$A$5:$M$45,13,0)+0,0))</f>
        <v>6</v>
      </c>
      <c r="R1221" s="61"/>
      <c r="S1221" s="62"/>
      <c r="T1221" s="62"/>
      <c r="U1221" s="55"/>
      <c r="V1221" s="57"/>
      <c r="W1221" s="57"/>
      <c r="X1221" s="55" t="n">
        <f aca="false">IF(A1221="","",IF(AND(Parameter!$B$21="Ja",ISNUMBER(U1221)),U1221,IF(IFERROR(VLOOKUP(D1221,Parameter!$A$35:$C$64,2,0),"Nein")="2+3",IF(ISNUMBER(SEARCH("grosser Artikel",BM1221)),2,IFERROR(VLOOKUP(BP1221,Parameter!$F$35:$G$64,2,0),2)),IF(OR(IFERROR(VLOOKUP(D1221,Parameter!$A$35:$C$64,2,0),"Nein")="Nein",IFERROR(VLOOKUP(D1221,Parameter!$A$35:$C$64,2,0),"Nein")=""),"-",VLOOKUP(D1221,Parameter!$A$35:$C$64,2,0)))))</f>
        <v>2</v>
      </c>
      <c r="Y1221" s="62"/>
      <c r="Z1221" s="63"/>
      <c r="AA1221" s="57" t="n">
        <f aca="false">AP1221</f>
        <v>9</v>
      </c>
      <c r="AB1221" s="57" t="n">
        <f aca="false">MAX(AP1221,G1221)</f>
        <v>9</v>
      </c>
      <c r="AC1221" s="64"/>
      <c r="AD1221" s="57" t="n">
        <f aca="false">IF(LEFT(Cockpit!$C$5,1)="A",G1221,IF(BW1221=1,BX1221,IF(LEFT(Cockpit!$C$5,1)="B",AH1221,MAX(AH1221,G1221))))</f>
        <v>0</v>
      </c>
      <c r="AE1221" s="57" t="n">
        <f aca="false">IF(BR1221=1,0,ROUNDUP(AD1221/BQ1221,0))</f>
        <v>0</v>
      </c>
      <c r="AF1221" s="59" t="n">
        <f aca="false">IF(CD1221&gt;0,CD1221*MAX(1,AD1221/V1221),IF(BR1221=1,IF(AD1221&lt;=0,0,BS1221*MAX(1,IF(G1221&gt;0,AD1221/G1221,1))),IF(Q1221&gt;0,AE1221/Q1221,0))/MAX(0.1,N(Parameter!$M$21)))</f>
        <v>0</v>
      </c>
      <c r="AG1221" s="57" t="n">
        <f aca="false">AD1221*F1221</f>
        <v>0</v>
      </c>
      <c r="AH1221" s="57" t="n">
        <f aca="false">ROUNDUP(MAX(I1221/IF(BV1221&gt;0,BV1221,MAX(0.1,N(Cockpit!$C$6))),BY1221)/BQ1221,0)*BQ1221</f>
        <v>9</v>
      </c>
      <c r="AI1221" s="58" t="n">
        <f aca="false">IF(AF1221&gt;0,I1221/AF1221,-1)</f>
        <v>-1</v>
      </c>
      <c r="AJ1221" s="58" t="str">
        <f aca="false">IF(AND(OR(BU1221="L1",BU1221="L23"),AF1221&gt;0),SUMIFS($AF$7:$AF$1576,$BU$7:$BU$1576,BU1221,$AI$7:$AI$1576,"&gt;"&amp;AI1221)+SUMIFS($AF$7:$AF$1576,$BU$7:$BU$1576,BU1221,$AI$7:$AI$1576,AI1221,$BO$7:$BO$1576,"&lt;="&amp;BO1221),"")</f>
        <v/>
      </c>
      <c r="AK1221" s="65" t="n">
        <f aca="false">IF(AJ1221="",0,MAX(0,MIN(1,(IF(BU1221="L1",Parameter!$E$5,Parameter!$E$6+Parameter!$E$7)-(AJ1221-AF1221))/AF1221)))</f>
        <v>0</v>
      </c>
      <c r="AL1221" s="57" t="n">
        <f aca="false">IF(LEFT(Cockpit!$I$5,1)="A",G1221,IF(BW1221=1,BX1221,IF(LEFT(Cockpit!$I$5,1)="B",AP1221,MAX(AP1221,G1221))))</f>
        <v>9</v>
      </c>
      <c r="AM1221" s="57" t="n">
        <f aca="false">IF(BR1221=1,0,ROUNDUP(AL1221/BQ1221,0))</f>
        <v>2</v>
      </c>
      <c r="AN1221" s="59" t="n">
        <f aca="false">IF(CD1221&gt;0,CD1221*MAX(1,AL1221/V1221),IF(BR1221=1,IF(AL1221&lt;=0,0,BS1221*MAX(1,IF(G1221&gt;0,AL1221/G1221,1))),IF(Q1221&gt;0,AM1221/Q1221,0))/MAX(0.1,N(Parameter!$M$21)))</f>
        <v>0.333333333333333</v>
      </c>
      <c r="AO1221" s="57" t="n">
        <f aca="false">AL1221*F1221</f>
        <v>7203.33</v>
      </c>
      <c r="AP1221" s="57" t="n">
        <f aca="false">ROUNDUP(MAX(I1221/IF(BV1221&gt;0,BV1221,MAX(0.1,N(Cockpit!$I$6))),BY1221)/BQ1221,0)*BQ1221</f>
        <v>9</v>
      </c>
      <c r="AQ1221" s="58" t="n">
        <f aca="false">IF(AN1221&gt;0,I1221/AN1221,-1)</f>
        <v>24</v>
      </c>
      <c r="AR1221" s="58" t="n">
        <f aca="false">IF(AND(OR(BU1221="L1",BU1221="L23"),AN1221&gt;0),SUMIFS($AN$7:$AN$1576,$BU$7:$BU$1576,BU1221,$AQ$7:$AQ$1576,"&gt;"&amp;AQ1221)+SUMIFS($AN$7:$AN$1576,$BU$7:$BU$1576,BU1221,$AQ$7:$AQ$1576,AQ1221,$BO$7:$BO$1576,"&lt;="&amp;BO1221),"")</f>
        <v>98.9629474092086</v>
      </c>
      <c r="AS1221" s="65" t="n">
        <f aca="false">IF(AR1221="",0,MAX(0,MIN(1,(IF(BU1221="L1",Parameter!$E$5,Parameter!$E$6+Parameter!$E$7)-(AR1221-AN1221))/AN1221)))</f>
        <v>1</v>
      </c>
      <c r="AT1221" s="57" t="n">
        <f aca="false">IF(LEFT(Cockpit!$O$5,1)="A",G1221,IF(BW1221=1,BX1221,IF(LEFT(Cockpit!$O$5,1)="B",AX1221,MAX(AX1221,G1221))))</f>
        <v>9</v>
      </c>
      <c r="AU1221" s="57" t="n">
        <f aca="false">IF(BR1221=1,0,ROUNDUP(AT1221/BQ1221,0))</f>
        <v>2</v>
      </c>
      <c r="AV1221" s="59" t="n">
        <f aca="false">IF(CD1221&gt;0,CD1221*MAX(1,AT1221/V1221),IF(BR1221=1,IF(AT1221&lt;=0,0,BS1221*MAX(1,IF(G1221&gt;0,AT1221/G1221,1))),IF(Q1221&gt;0,AU1221/Q1221,0))/MAX(0.1,N(Parameter!$M$21)))</f>
        <v>0.333333333333333</v>
      </c>
      <c r="AW1221" s="57" t="n">
        <f aca="false">AT1221*F1221</f>
        <v>7203.33</v>
      </c>
      <c r="AX1221" s="57" t="n">
        <f aca="false">ROUNDUP(MAX(I1221/IF(BV1221&gt;0,BV1221,MAX(0.1,N(Cockpit!$O$6))),BY1221)/BQ1221,0)*BQ1221</f>
        <v>9</v>
      </c>
      <c r="AY1221" s="58" t="n">
        <f aca="false">IF(AV1221&gt;0,I1221/AV1221,-1)</f>
        <v>24</v>
      </c>
      <c r="AZ1221" s="58" t="n">
        <f aca="false">IF(AND(OR(BU1221="L1",BU1221="L23"),AV1221&gt;0),SUMIFS($AV$7:$AV$1576,$BU$7:$BU$1576,BU1221,$AY$7:$AY$1576,"&gt;"&amp;AY1221)+SUMIFS($AV$7:$AV$1576,$BU$7:$BU$1576,BU1221,$AY$7:$AY$1576,AY1221,$BO$7:$BO$1576,"&lt;="&amp;BO1221),"")</f>
        <v>89.772497858759</v>
      </c>
      <c r="BA1221" s="65" t="n">
        <f aca="false">IF(AZ1221="",0,MAX(0,MIN(1,(IF(BU1221="L1",Parameter!$E$5,Parameter!$E$6+Parameter!$E$7)-(AZ1221-AV1221))/AV1221)))</f>
        <v>1</v>
      </c>
      <c r="BB1221" s="55" t="str">
        <f aca="false">IF(AF1221&lt;=0,"",IF(BU1221="Aussen","Aussenlager",IF(BU1221="-","Nicht im Lift",IF(AK1221&gt;=1,"Lift",IF(AK1221&lt;=0,"Aussenlager","teilweise")))))</f>
        <v/>
      </c>
      <c r="BC1221" s="55" t="str">
        <f aca="false">IF(AN1221&lt;=0,"",IF(BU1221="Aussen","Aussenlager",IF(BU1221="-","Nicht im Lift",IF(AS1221&gt;=1,"Lift",IF(AS1221&lt;=0,"Aussenlager","teilweise")))))</f>
        <v>Lift</v>
      </c>
      <c r="BD1221" s="55" t="str">
        <f aca="false">IF(AV1221&lt;=0,"",IF(BU1221="Aussen","Aussenlager",IF(BU1221="-","Nicht im Lift",IF(BA1221&gt;=1,"Lift",IF(BA1221&lt;=0,"Aussenlager","teilweise")))))</f>
        <v>Lift</v>
      </c>
      <c r="BE1221" s="55" t="str">
        <f aca="false">IF(A1221="","",IF(BN1221=1,"Neu; ","")&amp;IF(AND(BN1221=0,BI1221&lt;0),"negativer Bestand (Export "&amp;BI1221&amp;"); ","")&amp;IF(I1221&lt;=0,"Kein Verbrauch; ","")&amp;IF(CD1221&gt;0,"Lift "&amp;U1221&amp;" lt. Liftbericht (Fach "&amp;V1221&amp;" Stk); ",IF(BR1221=1,"Lose – Fläche geschätzt; ",""))&amp;IF(G1221&gt;AP1221,"Überbestand "&amp;ROUND(G1221-AP1221,0)&amp;" Stk / CHF "&amp;ROUND((G1221-AP1221)*F1221,0)&amp;"; ","")&amp;IF(AND(BW1221=1,BX1221&lt;BY1221),"MAX &lt; MB+LG; ","")&amp;IF(AND(CC1221&gt;0,CB1221*10&gt;CC1221),"zu hoch für Tablar; ","")&amp;IF(AND(BN1221=0,OR(BW1221=1,Y1221&lt;&gt;"",S1221&lt;&gt;"",T1221&lt;&gt;"",Z1221&lt;&gt;"")),"manuell übersteuert; ","")&amp;IF(AND(BR1221=0,Q1221=0),"Gebinde unbekannt / Stellmass fehlt; ","")&amp;IF(AND(BR1221=0,N(T1221)&lt;=0,N(P1221)&lt;=0),"Menge pro Gebinde fehlt (Ist = 1 Gebinde); ","")&amp;BM1221)</f>
        <v>negativer Bestand (Export -1); nicht im KTL vorhanden</v>
      </c>
      <c r="BF1221" s="55"/>
      <c r="BG1221" s="55"/>
      <c r="BH1221" s="62"/>
      <c r="BI1221" s="57" t="n">
        <v>-1</v>
      </c>
      <c r="BJ1221" s="57" t="n">
        <v>8</v>
      </c>
      <c r="BK1221" s="56" t="n">
        <v>-591.01</v>
      </c>
      <c r="BL1221" s="57" t="n">
        <v>8</v>
      </c>
      <c r="BM1221" s="55" t="s">
        <v>222</v>
      </c>
      <c r="BN1221" s="60" t="n">
        <v>0</v>
      </c>
      <c r="BO1221" s="60" t="n">
        <v>1221</v>
      </c>
      <c r="BP1221" s="55" t="str">
        <f aca="false">IF(S1221&lt;&gt;"",UPPER(TRIM(S1221)),IF(O1221="","LOSE",O1221))</f>
        <v>S71</v>
      </c>
      <c r="BQ1221" s="57" t="n">
        <f aca="false">IF(BP1221="LOSE",1,IF(N(T1221)&gt;0,T1221,IF(N(P1221)&gt;0,P1221,MAX(1,G1221))))</f>
        <v>4.5</v>
      </c>
      <c r="BR1221" s="60" t="n">
        <f aca="false">IF(BP1221="LOSE",1,0)</f>
        <v>0</v>
      </c>
      <c r="BS1221" s="59" t="n">
        <f aca="false">IF(BR1221=0,0,IF(N(R1221)&gt;0,R1221,IFERROR(VLOOKUP(D1221,Parameter!$A$35:$C$64,3,0)+0,0)))</f>
        <v>0</v>
      </c>
      <c r="BT1221" s="55" t="n">
        <f aca="false">IF(Y1221&lt;&gt;"",Y1221,X1221)</f>
        <v>2</v>
      </c>
      <c r="BU1221" s="55" t="str">
        <f aca="false">IF(BT1221=1,"L1",IF(OR(BT1221=2,BT1221=3),"L23",IF(BT1221="Aussen","Aussen","-")))</f>
        <v>L23</v>
      </c>
      <c r="BV1221" s="66" t="n">
        <f aca="false">IF(N(Z1221)&gt;0,Z1221,0)</f>
        <v>0</v>
      </c>
      <c r="BW1221" s="60" t="n">
        <f aca="false">IF(ISNUMBER(AC1221),1,0)</f>
        <v>0</v>
      </c>
      <c r="BX1221" s="57" t="n">
        <f aca="false">N(AC1221)</f>
        <v>0</v>
      </c>
      <c r="BY1221" s="57" t="n">
        <f aca="false">N(L1221)+N(M1221)</f>
        <v>5</v>
      </c>
      <c r="BZ1221" s="57" t="n">
        <f aca="false">ROUNDUP(G1221/BQ1221,0)</f>
        <v>0</v>
      </c>
      <c r="CA1221" s="57" t="n">
        <f aca="false">ROUNDUP(BX1221/BQ1221,0)</f>
        <v>0</v>
      </c>
      <c r="CB1221" s="60" t="n">
        <f aca="false">IF(BR1221=1,0,IFERROR(VLOOKUP(BP1221,'Gebinde-Kategorie'!$A$5:$M$45,5,0)+0,0))</f>
        <v>20</v>
      </c>
      <c r="CC1221" s="60" t="n">
        <f aca="false">IFERROR(IF(OR(BT1221=1,BT1221=2,BT1221=3),N(INDEX(Parameter!$I$5:$I$7,BT1221)),0),0)</f>
        <v>0</v>
      </c>
      <c r="CD1221" s="59" t="n">
        <f aca="false">IF(AND(Parameter!$B$21="Ja",ISNUMBER(U1221),N(V1221)&gt;0),IFERROR(N(INDEX(Parameter!$L$5:$L$7,U1221))*INDEX(Parameter!$E$5:$E$7,U1221)*V1221/SUMIFS($V$7:$V$1576,$U$7:$U$1576,U1221),0),0)</f>
        <v>0</v>
      </c>
    </row>
    <row r="1222" customFormat="false" ht="15" hidden="false" customHeight="false" outlineLevel="0" collapsed="false">
      <c r="A1222" s="55" t="s">
        <v>2176</v>
      </c>
      <c r="B1222" s="55" t="s">
        <v>2177</v>
      </c>
      <c r="C1222" s="55" t="s">
        <v>160</v>
      </c>
      <c r="D1222" s="55" t="s">
        <v>178</v>
      </c>
      <c r="E1222" s="55" t="s">
        <v>210</v>
      </c>
      <c r="F1222" s="56" t="n">
        <v>296.55</v>
      </c>
      <c r="G1222" s="57" t="n">
        <f aca="false">MAX(0,IF(AND(Parameter!$B$21="Ja",ISNUMBER(W1222)),W1222,IF(Parameter!$B$20="Jahresanfang 2025 + Export",BJ1222+BI1222,BI1222)))</f>
        <v>0</v>
      </c>
      <c r="H1222" s="57" t="n">
        <f aca="false">G1222*F1222</f>
        <v>0</v>
      </c>
      <c r="I1222" s="57" t="n">
        <f aca="false">BL1222*Parameter!$B$18</f>
        <v>1</v>
      </c>
      <c r="J1222" s="58" t="n">
        <v>33</v>
      </c>
      <c r="K1222" s="59" t="n">
        <v>0.0303030303030303</v>
      </c>
      <c r="L1222" s="57" t="n">
        <v>0</v>
      </c>
      <c r="M1222" s="57" t="n">
        <v>1</v>
      </c>
      <c r="N1222" s="60" t="n">
        <v>63</v>
      </c>
      <c r="O1222" s="55" t="s">
        <v>218</v>
      </c>
      <c r="P1222" s="57" t="n">
        <v>35</v>
      </c>
      <c r="Q1222" s="60" t="n">
        <f aca="false">IF(BR1222=1,0,IFERROR(VLOOKUP(BP1222,'Gebinde-Kategorie'!$A$5:$M$45,13,0)+0,0))</f>
        <v>12</v>
      </c>
      <c r="R1222" s="61"/>
      <c r="S1222" s="62"/>
      <c r="T1222" s="62"/>
      <c r="U1222" s="55"/>
      <c r="V1222" s="57"/>
      <c r="W1222" s="57"/>
      <c r="X1222" s="55" t="n">
        <f aca="false">IF(A1222="","",IF(AND(Parameter!$B$21="Ja",ISNUMBER(U1222)),U1222,IF(IFERROR(VLOOKUP(D1222,Parameter!$A$35:$C$64,2,0),"Nein")="2+3",IF(ISNUMBER(SEARCH("grosser Artikel",BM1222)),2,IFERROR(VLOOKUP(BP1222,Parameter!$F$35:$G$64,2,0),2)),IF(OR(IFERROR(VLOOKUP(D1222,Parameter!$A$35:$C$64,2,0),"Nein")="Nein",IFERROR(VLOOKUP(D1222,Parameter!$A$35:$C$64,2,0),"Nein")=""),"-",VLOOKUP(D1222,Parameter!$A$35:$C$64,2,0)))))</f>
        <v>2</v>
      </c>
      <c r="Y1222" s="62"/>
      <c r="Z1222" s="63"/>
      <c r="AA1222" s="57" t="n">
        <f aca="false">AP1222</f>
        <v>35</v>
      </c>
      <c r="AB1222" s="57" t="n">
        <f aca="false">MAX(AP1222,G1222)</f>
        <v>35</v>
      </c>
      <c r="AC1222" s="64"/>
      <c r="AD1222" s="57" t="n">
        <f aca="false">IF(LEFT(Cockpit!$C$5,1)="A",G1222,IF(BW1222=1,BX1222,IF(LEFT(Cockpit!$C$5,1)="B",AH1222,MAX(AH1222,G1222))))</f>
        <v>0</v>
      </c>
      <c r="AE1222" s="57" t="n">
        <f aca="false">IF(BR1222=1,0,ROUNDUP(AD1222/BQ1222,0))</f>
        <v>0</v>
      </c>
      <c r="AF1222" s="59" t="n">
        <f aca="false">IF(CD1222&gt;0,CD1222*MAX(1,AD1222/V1222),IF(BR1222=1,IF(AD1222&lt;=0,0,BS1222*MAX(1,IF(G1222&gt;0,AD1222/G1222,1))),IF(Q1222&gt;0,AE1222/Q1222,0))/MAX(0.1,N(Parameter!$M$21)))</f>
        <v>0</v>
      </c>
      <c r="AG1222" s="57" t="n">
        <f aca="false">AD1222*F1222</f>
        <v>0</v>
      </c>
      <c r="AH1222" s="57" t="n">
        <f aca="false">ROUNDUP(MAX(I1222/IF(BV1222&gt;0,BV1222,MAX(0.1,N(Cockpit!$C$6))),BY1222)/BQ1222,0)*BQ1222</f>
        <v>35</v>
      </c>
      <c r="AI1222" s="58" t="n">
        <f aca="false">IF(AF1222&gt;0,I1222/AF1222,-1)</f>
        <v>-1</v>
      </c>
      <c r="AJ1222" s="58" t="str">
        <f aca="false">IF(AND(OR(BU1222="L1",BU1222="L23"),AF1222&gt;0),SUMIFS($AF$7:$AF$1576,$BU$7:$BU$1576,BU1222,$AI$7:$AI$1576,"&gt;"&amp;AI1222)+SUMIFS($AF$7:$AF$1576,$BU$7:$BU$1576,BU1222,$AI$7:$AI$1576,AI1222,$BO$7:$BO$1576,"&lt;="&amp;BO1222),"")</f>
        <v/>
      </c>
      <c r="AK1222" s="65" t="n">
        <f aca="false">IF(AJ1222="",0,MAX(0,MIN(1,(IF(BU1222="L1",Parameter!$E$5,Parameter!$E$6+Parameter!$E$7)-(AJ1222-AF1222))/AF1222)))</f>
        <v>0</v>
      </c>
      <c r="AL1222" s="57" t="n">
        <f aca="false">IF(LEFT(Cockpit!$I$5,1)="A",G1222,IF(BW1222=1,BX1222,IF(LEFT(Cockpit!$I$5,1)="B",AP1222,MAX(AP1222,G1222))))</f>
        <v>35</v>
      </c>
      <c r="AM1222" s="57" t="n">
        <f aca="false">IF(BR1222=1,0,ROUNDUP(AL1222/BQ1222,0))</f>
        <v>1</v>
      </c>
      <c r="AN1222" s="59" t="n">
        <f aca="false">IF(CD1222&gt;0,CD1222*MAX(1,AL1222/V1222),IF(BR1222=1,IF(AL1222&lt;=0,0,BS1222*MAX(1,IF(G1222&gt;0,AL1222/G1222,1))),IF(Q1222&gt;0,AM1222/Q1222,0))/MAX(0.1,N(Parameter!$M$21)))</f>
        <v>0.0833333333333333</v>
      </c>
      <c r="AO1222" s="57" t="n">
        <f aca="false">AL1222*F1222</f>
        <v>10379.25</v>
      </c>
      <c r="AP1222" s="57" t="n">
        <f aca="false">ROUNDUP(MAX(I1222/IF(BV1222&gt;0,BV1222,MAX(0.1,N(Cockpit!$I$6))),BY1222)/BQ1222,0)*BQ1222</f>
        <v>35</v>
      </c>
      <c r="AQ1222" s="58" t="n">
        <f aca="false">IF(AN1222&gt;0,I1222/AN1222,-1)</f>
        <v>12</v>
      </c>
      <c r="AR1222" s="58" t="n">
        <f aca="false">IF(AND(OR(BU1222="L1",BU1222="L23"),AN1222&gt;0),SUMIFS($AN$7:$AN$1576,$BU$7:$BU$1576,BU1222,$AQ$7:$AQ$1576,"&gt;"&amp;AQ1222)+SUMIFS($AN$7:$AN$1576,$BU$7:$BU$1576,BU1222,$AQ$7:$AQ$1576,AQ1222,$BO$7:$BO$1576,"&lt;="&amp;BO1222),"")</f>
        <v>107.687306383568</v>
      </c>
      <c r="AS1222" s="65" t="n">
        <f aca="false">IF(AR1222="",0,MAX(0,MIN(1,(IF(BU1222="L1",Parameter!$E$5,Parameter!$E$6+Parameter!$E$7)-(AR1222-AN1222))/AN1222)))</f>
        <v>0</v>
      </c>
      <c r="AT1222" s="57" t="n">
        <f aca="false">IF(LEFT(Cockpit!$O$5,1)="A",G1222,IF(BW1222=1,BX1222,IF(LEFT(Cockpit!$O$5,1)="B",AX1222,MAX(AX1222,G1222))))</f>
        <v>35</v>
      </c>
      <c r="AU1222" s="57" t="n">
        <f aca="false">IF(BR1222=1,0,ROUNDUP(AT1222/BQ1222,0))</f>
        <v>1</v>
      </c>
      <c r="AV1222" s="59" t="n">
        <f aca="false">IF(CD1222&gt;0,CD1222*MAX(1,AT1222/V1222),IF(BR1222=1,IF(AT1222&lt;=0,0,BS1222*MAX(1,IF(G1222&gt;0,AT1222/G1222,1))),IF(Q1222&gt;0,AU1222/Q1222,0))/MAX(0.1,N(Parameter!$M$21)))</f>
        <v>0.0833333333333333</v>
      </c>
      <c r="AW1222" s="57" t="n">
        <f aca="false">AT1222*F1222</f>
        <v>10379.25</v>
      </c>
      <c r="AX1222" s="57" t="n">
        <f aca="false">ROUNDUP(MAX(I1222/IF(BV1222&gt;0,BV1222,MAX(0.1,N(Cockpit!$O$6))),BY1222)/BQ1222,0)*BQ1222</f>
        <v>35</v>
      </c>
      <c r="AY1222" s="58" t="n">
        <f aca="false">IF(AV1222&gt;0,I1222/AV1222,-1)</f>
        <v>12</v>
      </c>
      <c r="AZ1222" s="58" t="n">
        <f aca="false">IF(AND(OR(BU1222="L1",BU1222="L23"),AV1222&gt;0),SUMIFS($AV$7:$AV$1576,$BU$7:$BU$1576,BU1222,$AY$7:$AY$1576,"&gt;"&amp;AY1222)+SUMIFS($AV$7:$AV$1576,$BU$7:$BU$1576,BU1222,$AY$7:$AY$1576,AY1222,$BO$7:$BO$1576,"&lt;="&amp;BO1222),"")</f>
        <v>97.746856833118</v>
      </c>
      <c r="BA1222" s="65" t="n">
        <f aca="false">IF(AZ1222="",0,MAX(0,MIN(1,(IF(BU1222="L1",Parameter!$E$5,Parameter!$E$6+Parameter!$E$7)-(AZ1222-AV1222))/AV1222)))</f>
        <v>1</v>
      </c>
      <c r="BB1222" s="55" t="str">
        <f aca="false">IF(AF1222&lt;=0,"",IF(BU1222="Aussen","Aussenlager",IF(BU1222="-","Nicht im Lift",IF(AK1222&gt;=1,"Lift",IF(AK1222&lt;=0,"Aussenlager","teilweise")))))</f>
        <v/>
      </c>
      <c r="BC1222" s="55" t="str">
        <f aca="false">IF(AN1222&lt;=0,"",IF(BU1222="Aussen","Aussenlager",IF(BU1222="-","Nicht im Lift",IF(AS1222&gt;=1,"Lift",IF(AS1222&lt;=0,"Aussenlager","teilweise")))))</f>
        <v>Aussenlager</v>
      </c>
      <c r="BD1222" s="55" t="str">
        <f aca="false">IF(AV1222&lt;=0,"",IF(BU1222="Aussen","Aussenlager",IF(BU1222="-","Nicht im Lift",IF(BA1222&gt;=1,"Lift",IF(BA1222&lt;=0,"Aussenlager","teilweise")))))</f>
        <v>Lift</v>
      </c>
      <c r="BE1222" s="55" t="str">
        <f aca="false">IF(A1222="","",IF(BN1222=1,"Neu; ","")&amp;IF(AND(BN1222=0,BI1222&lt;0),"negativer Bestand (Export "&amp;BI1222&amp;"); ","")&amp;IF(I1222&lt;=0,"Kein Verbrauch; ","")&amp;IF(CD1222&gt;0,"Lift "&amp;U1222&amp;" lt. Liftbericht (Fach "&amp;V1222&amp;" Stk); ",IF(BR1222=1,"Lose – Fläche geschätzt; ",""))&amp;IF(G1222&gt;AP1222,"Überbestand "&amp;ROUND(G1222-AP1222,0)&amp;" Stk / CHF "&amp;ROUND((G1222-AP1222)*F1222,0)&amp;"; ","")&amp;IF(AND(BW1222=1,BX1222&lt;BY1222),"MAX &lt; MB+LG; ","")&amp;IF(AND(CC1222&gt;0,CB1222*10&gt;CC1222),"zu hoch für Tablar; ","")&amp;IF(AND(BN1222=0,OR(BW1222=1,Y1222&lt;&gt;"",S1222&lt;&gt;"",T1222&lt;&gt;"",Z1222&lt;&gt;"")),"manuell übersteuert; ","")&amp;IF(AND(BR1222=0,Q1222=0),"Gebinde unbekannt / Stellmass fehlt; ","")&amp;IF(AND(BR1222=0,N(T1222)&lt;=0,N(P1222)&lt;=0),"Menge pro Gebinde fehlt (Ist = 1 Gebinde); ","")&amp;BM1222)</f>
        <v>negativer Bestand (Export -2); </v>
      </c>
      <c r="BF1222" s="55"/>
      <c r="BG1222" s="55"/>
      <c r="BH1222" s="62"/>
      <c r="BI1222" s="57" t="n">
        <v>-2</v>
      </c>
      <c r="BJ1222" s="57" t="n">
        <v>34</v>
      </c>
      <c r="BK1222" s="56" t="n">
        <v>-593.1</v>
      </c>
      <c r="BL1222" s="57" t="n">
        <v>1</v>
      </c>
      <c r="BM1222" s="55"/>
      <c r="BN1222" s="60" t="n">
        <v>0</v>
      </c>
      <c r="BO1222" s="60" t="n">
        <v>1222</v>
      </c>
      <c r="BP1222" s="55" t="str">
        <f aca="false">IF(S1222&lt;&gt;"",UPPER(TRIM(S1222)),IF(O1222="","LOSE",O1222))</f>
        <v>S63</v>
      </c>
      <c r="BQ1222" s="57" t="n">
        <f aca="false">IF(BP1222="LOSE",1,IF(N(T1222)&gt;0,T1222,IF(N(P1222)&gt;0,P1222,MAX(1,G1222))))</f>
        <v>35</v>
      </c>
      <c r="BR1222" s="60" t="n">
        <f aca="false">IF(BP1222="LOSE",1,0)</f>
        <v>0</v>
      </c>
      <c r="BS1222" s="59" t="n">
        <f aca="false">IF(BR1222=0,0,IF(N(R1222)&gt;0,R1222,IFERROR(VLOOKUP(D1222,Parameter!$A$35:$C$64,3,0)+0,0)))</f>
        <v>0</v>
      </c>
      <c r="BT1222" s="55" t="n">
        <f aca="false">IF(Y1222&lt;&gt;"",Y1222,X1222)</f>
        <v>2</v>
      </c>
      <c r="BU1222" s="55" t="str">
        <f aca="false">IF(BT1222=1,"L1",IF(OR(BT1222=2,BT1222=3),"L23",IF(BT1222="Aussen","Aussen","-")))</f>
        <v>L23</v>
      </c>
      <c r="BV1222" s="66" t="n">
        <f aca="false">IF(N(Z1222)&gt;0,Z1222,0)</f>
        <v>0</v>
      </c>
      <c r="BW1222" s="60" t="n">
        <f aca="false">IF(ISNUMBER(AC1222),1,0)</f>
        <v>0</v>
      </c>
      <c r="BX1222" s="57" t="n">
        <f aca="false">N(AC1222)</f>
        <v>0</v>
      </c>
      <c r="BY1222" s="57" t="n">
        <f aca="false">N(L1222)+N(M1222)</f>
        <v>1</v>
      </c>
      <c r="BZ1222" s="57" t="n">
        <f aca="false">ROUNDUP(G1222/BQ1222,0)</f>
        <v>0</v>
      </c>
      <c r="CA1222" s="57" t="n">
        <f aca="false">ROUNDUP(BX1222/BQ1222,0)</f>
        <v>0</v>
      </c>
      <c r="CB1222" s="60" t="n">
        <f aca="false">IF(BR1222=1,0,IFERROR(VLOOKUP(BP1222,'Gebinde-Kategorie'!$A$5:$M$45,5,0)+0,0))</f>
        <v>31</v>
      </c>
      <c r="CC1222" s="60" t="n">
        <f aca="false">IFERROR(IF(OR(BT1222=1,BT1222=2,BT1222=3),N(INDEX(Parameter!$I$5:$I$7,BT1222)),0),0)</f>
        <v>0</v>
      </c>
      <c r="CD1222" s="59" t="n">
        <f aca="false">IF(AND(Parameter!$B$21="Ja",ISNUMBER(U1222),N(V1222)&gt;0),IFERROR(N(INDEX(Parameter!$L$5:$L$7,U1222))*INDEX(Parameter!$E$5:$E$7,U1222)*V1222/SUMIFS($V$7:$V$1576,$U$7:$U$1576,U1222),0),0)</f>
        <v>0</v>
      </c>
    </row>
    <row r="1223" customFormat="false" ht="15" hidden="false" customHeight="false" outlineLevel="0" collapsed="false">
      <c r="A1223" s="55" t="s">
        <v>2178</v>
      </c>
      <c r="B1223" s="55" t="s">
        <v>598</v>
      </c>
      <c r="C1223" s="55" t="s">
        <v>160</v>
      </c>
      <c r="D1223" s="55" t="s">
        <v>168</v>
      </c>
      <c r="E1223" s="55" t="s">
        <v>210</v>
      </c>
      <c r="F1223" s="56" t="n">
        <v>35.5</v>
      </c>
      <c r="G1223" s="57" t="n">
        <f aca="false">MAX(0,IF(AND(Parameter!$B$21="Ja",ISNUMBER(W1223)),W1223,IF(Parameter!$B$20="Jahresanfang 2025 + Export",BJ1223+BI1223,BI1223)))</f>
        <v>0</v>
      </c>
      <c r="H1223" s="57" t="n">
        <f aca="false">G1223*F1223</f>
        <v>0</v>
      </c>
      <c r="I1223" s="57" t="n">
        <f aca="false">BL1223*Parameter!$B$18</f>
        <v>0</v>
      </c>
      <c r="J1223" s="58" t="n">
        <v>8.5</v>
      </c>
      <c r="K1223" s="59" t="n">
        <v>0</v>
      </c>
      <c r="L1223" s="57" t="n">
        <v>0</v>
      </c>
      <c r="M1223" s="57" t="n">
        <v>1</v>
      </c>
      <c r="N1223" s="60" t="n">
        <v>42</v>
      </c>
      <c r="O1223" s="55" t="s">
        <v>163</v>
      </c>
      <c r="P1223" s="57"/>
      <c r="Q1223" s="60" t="n">
        <f aca="false">IF(BR1223=1,0,IFERROR(VLOOKUP(BP1223,'Gebinde-Kategorie'!$A$5:$M$45,13,0)+0,0))</f>
        <v>0</v>
      </c>
      <c r="R1223" s="61"/>
      <c r="S1223" s="62"/>
      <c r="T1223" s="62"/>
      <c r="U1223" s="55"/>
      <c r="V1223" s="57"/>
      <c r="W1223" s="57"/>
      <c r="X1223" s="55" t="n">
        <f aca="false">IF(A1223="","",IF(AND(Parameter!$B$21="Ja",ISNUMBER(U1223)),U1223,IF(IFERROR(VLOOKUP(D1223,Parameter!$A$35:$C$64,2,0),"Nein")="2+3",IF(ISNUMBER(SEARCH("grosser Artikel",BM1223)),2,IFERROR(VLOOKUP(BP1223,Parameter!$F$35:$G$64,2,0),2)),IF(OR(IFERROR(VLOOKUP(D1223,Parameter!$A$35:$C$64,2,0),"Nein")="Nein",IFERROR(VLOOKUP(D1223,Parameter!$A$35:$C$64,2,0),"Nein")=""),"-",VLOOKUP(D1223,Parameter!$A$35:$C$64,2,0)))))</f>
        <v>2</v>
      </c>
      <c r="Y1223" s="62"/>
      <c r="Z1223" s="63"/>
      <c r="AA1223" s="57" t="n">
        <f aca="false">AP1223</f>
        <v>1</v>
      </c>
      <c r="AB1223" s="57" t="n">
        <f aca="false">MAX(AP1223,G1223)</f>
        <v>1</v>
      </c>
      <c r="AC1223" s="64"/>
      <c r="AD1223" s="57" t="n">
        <f aca="false">IF(LEFT(Cockpit!$C$5,1)="A",G1223,IF(BW1223=1,BX1223,IF(LEFT(Cockpit!$C$5,1)="B",AH1223,MAX(AH1223,G1223))))</f>
        <v>0</v>
      </c>
      <c r="AE1223" s="57" t="n">
        <f aca="false">IF(BR1223=1,0,ROUNDUP(AD1223/BQ1223,0))</f>
        <v>0</v>
      </c>
      <c r="AF1223" s="59" t="n">
        <f aca="false">IF(CD1223&gt;0,CD1223*MAX(1,AD1223/V1223),IF(BR1223=1,IF(AD1223&lt;=0,0,BS1223*MAX(1,IF(G1223&gt;0,AD1223/G1223,1))),IF(Q1223&gt;0,AE1223/Q1223,0))/MAX(0.1,N(Parameter!$M$21)))</f>
        <v>0</v>
      </c>
      <c r="AG1223" s="57" t="n">
        <f aca="false">AD1223*F1223</f>
        <v>0</v>
      </c>
      <c r="AH1223" s="57" t="n">
        <f aca="false">ROUNDUP(MAX(I1223/IF(BV1223&gt;0,BV1223,MAX(0.1,N(Cockpit!$C$6))),BY1223)/BQ1223,0)*BQ1223</f>
        <v>1</v>
      </c>
      <c r="AI1223" s="58" t="n">
        <f aca="false">IF(AF1223&gt;0,I1223/AF1223,-1)</f>
        <v>-1</v>
      </c>
      <c r="AJ1223" s="58" t="str">
        <f aca="false">IF(AND(OR(BU1223="L1",BU1223="L23"),AF1223&gt;0),SUMIFS($AF$7:$AF$1576,$BU$7:$BU$1576,BU1223,$AI$7:$AI$1576,"&gt;"&amp;AI1223)+SUMIFS($AF$7:$AF$1576,$BU$7:$BU$1576,BU1223,$AI$7:$AI$1576,AI1223,$BO$7:$BO$1576,"&lt;="&amp;BO1223),"")</f>
        <v/>
      </c>
      <c r="AK1223" s="65" t="n">
        <f aca="false">IF(AJ1223="",0,MAX(0,MIN(1,(IF(BU1223="L1",Parameter!$E$5,Parameter!$E$6+Parameter!$E$7)-(AJ1223-AF1223))/AF1223)))</f>
        <v>0</v>
      </c>
      <c r="AL1223" s="57" t="n">
        <f aca="false">IF(LEFT(Cockpit!$I$5,1)="A",G1223,IF(BW1223=1,BX1223,IF(LEFT(Cockpit!$I$5,1)="B",AP1223,MAX(AP1223,G1223))))</f>
        <v>1</v>
      </c>
      <c r="AM1223" s="57" t="n">
        <f aca="false">IF(BR1223=1,0,ROUNDUP(AL1223/BQ1223,0))</f>
        <v>0</v>
      </c>
      <c r="AN1223" s="59" t="n">
        <f aca="false">IF(CD1223&gt;0,CD1223*MAX(1,AL1223/V1223),IF(BR1223=1,IF(AL1223&lt;=0,0,BS1223*MAX(1,IF(G1223&gt;0,AL1223/G1223,1))),IF(Q1223&gt;0,AM1223/Q1223,0))/MAX(0.1,N(Parameter!$M$21)))</f>
        <v>0.15</v>
      </c>
      <c r="AO1223" s="57" t="n">
        <f aca="false">AL1223*F1223</f>
        <v>35.5</v>
      </c>
      <c r="AP1223" s="57" t="n">
        <f aca="false">ROUNDUP(MAX(I1223/IF(BV1223&gt;0,BV1223,MAX(0.1,N(Cockpit!$I$6))),BY1223)/BQ1223,0)*BQ1223</f>
        <v>1</v>
      </c>
      <c r="AQ1223" s="58" t="n">
        <f aca="false">IF(AN1223&gt;0,I1223/AN1223,-1)</f>
        <v>0</v>
      </c>
      <c r="AR1223" s="58" t="n">
        <f aca="false">IF(AND(OR(BU1223="L1",BU1223="L23"),AN1223&gt;0),SUMIFS($AN$7:$AN$1576,$BU$7:$BU$1576,BU1223,$AQ$7:$AQ$1576,"&gt;"&amp;AQ1223)+SUMIFS($AN$7:$AN$1576,$BU$7:$BU$1576,BU1223,$AQ$7:$AQ$1576,AQ1223,$BO$7:$BO$1576,"&lt;="&amp;BO1223),"")</f>
        <v>136.118178850183</v>
      </c>
      <c r="AS1223" s="65" t="n">
        <f aca="false">IF(AR1223="",0,MAX(0,MIN(1,(IF(BU1223="L1",Parameter!$E$5,Parameter!$E$6+Parameter!$E$7)-(AR1223-AN1223))/AN1223)))</f>
        <v>0</v>
      </c>
      <c r="AT1223" s="57" t="n">
        <f aca="false">IF(LEFT(Cockpit!$O$5,1)="A",G1223,IF(BW1223=1,BX1223,IF(LEFT(Cockpit!$O$5,1)="B",AX1223,MAX(AX1223,G1223))))</f>
        <v>1</v>
      </c>
      <c r="AU1223" s="57" t="n">
        <f aca="false">IF(BR1223=1,0,ROUNDUP(AT1223/BQ1223,0))</f>
        <v>0</v>
      </c>
      <c r="AV1223" s="59" t="n">
        <f aca="false">IF(CD1223&gt;0,CD1223*MAX(1,AT1223/V1223),IF(BR1223=1,IF(AT1223&lt;=0,0,BS1223*MAX(1,IF(G1223&gt;0,AT1223/G1223,1))),IF(Q1223&gt;0,AU1223/Q1223,0))/MAX(0.1,N(Parameter!$M$21)))</f>
        <v>0.15</v>
      </c>
      <c r="AW1223" s="57" t="n">
        <f aca="false">AT1223*F1223</f>
        <v>35.5</v>
      </c>
      <c r="AX1223" s="57" t="n">
        <f aca="false">ROUNDUP(MAX(I1223/IF(BV1223&gt;0,BV1223,MAX(0.1,N(Cockpit!$O$6))),BY1223)/BQ1223,0)*BQ1223</f>
        <v>1</v>
      </c>
      <c r="AY1223" s="58" t="n">
        <f aca="false">IF(AV1223&gt;0,I1223/AV1223,-1)</f>
        <v>0</v>
      </c>
      <c r="AZ1223" s="58" t="n">
        <f aca="false">IF(AND(OR(BU1223="L1",BU1223="L23"),AV1223&gt;0),SUMIFS($AV$7:$AV$1576,$BU$7:$BU$1576,BU1223,$AY$7:$AY$1576,"&gt;"&amp;AY1223)+SUMIFS($AV$7:$AV$1576,$BU$7:$BU$1576,BU1223,$AY$7:$AY$1576,AY1223,$BO$7:$BO$1576,"&lt;="&amp;BO1223),"")</f>
        <v>126.177729299733</v>
      </c>
      <c r="BA1223" s="65" t="n">
        <f aca="false">IF(AZ1223="",0,MAX(0,MIN(1,(IF(BU1223="L1",Parameter!$E$5,Parameter!$E$6+Parameter!$E$7)-(AZ1223-AV1223))/AV1223)))</f>
        <v>0</v>
      </c>
      <c r="BB1223" s="55" t="str">
        <f aca="false">IF(AF1223&lt;=0,"",IF(BU1223="Aussen","Aussenlager",IF(BU1223="-","Nicht im Lift",IF(AK1223&gt;=1,"Lift",IF(AK1223&lt;=0,"Aussenlager","teilweise")))))</f>
        <v/>
      </c>
      <c r="BC1223" s="55" t="str">
        <f aca="false">IF(AN1223&lt;=0,"",IF(BU1223="Aussen","Aussenlager",IF(BU1223="-","Nicht im Lift",IF(AS1223&gt;=1,"Lift",IF(AS1223&lt;=0,"Aussenlager","teilweise")))))</f>
        <v>Aussenlager</v>
      </c>
      <c r="BD1223" s="55" t="str">
        <f aca="false">IF(AV1223&lt;=0,"",IF(BU1223="Aussen","Aussenlager",IF(BU1223="-","Nicht im Lift",IF(BA1223&gt;=1,"Lift",IF(BA1223&lt;=0,"Aussenlager","teilweise")))))</f>
        <v>Aussenlager</v>
      </c>
      <c r="BE1223" s="55" t="str">
        <f aca="false">IF(A1223="","",IF(BN1223=1,"Neu; ","")&amp;IF(AND(BN1223=0,BI1223&lt;0),"negativer Bestand (Export "&amp;BI1223&amp;"); ","")&amp;IF(I1223&lt;=0,"Kein Verbrauch; ","")&amp;IF(CD1223&gt;0,"Lift "&amp;U1223&amp;" lt. Liftbericht (Fach "&amp;V1223&amp;" Stk); ",IF(BR1223=1,"Lose – Fläche geschätzt; ",""))&amp;IF(G1223&gt;AP1223,"Überbestand "&amp;ROUND(G1223-AP1223,0)&amp;" Stk / CHF "&amp;ROUND((G1223-AP1223)*F1223,0)&amp;"; ","")&amp;IF(AND(BW1223=1,BX1223&lt;BY1223),"MAX &lt; MB+LG; ","")&amp;IF(AND(CC1223&gt;0,CB1223*10&gt;CC1223),"zu hoch für Tablar; ","")&amp;IF(AND(BN1223=0,OR(BW1223=1,Y1223&lt;&gt;"",S1223&lt;&gt;"",T1223&lt;&gt;"",Z1223&lt;&gt;"")),"manuell übersteuert; ","")&amp;IF(AND(BR1223=0,Q1223=0),"Gebinde unbekannt / Stellmass fehlt; ","")&amp;IF(AND(BR1223=0,N(T1223)&lt;=0,N(P1223)&lt;=0),"Menge pro Gebinde fehlt (Ist = 1 Gebinde); ","")&amp;BM1223)</f>
        <v>negativer Bestand (Export -17); Kein Verbrauch; Lose – Fläche geschätzt; </v>
      </c>
      <c r="BF1223" s="55"/>
      <c r="BG1223" s="55"/>
      <c r="BH1223" s="62"/>
      <c r="BI1223" s="57" t="n">
        <v>-17</v>
      </c>
      <c r="BJ1223" s="57" t="n">
        <v>17</v>
      </c>
      <c r="BK1223" s="56" t="n">
        <v>-603.5</v>
      </c>
      <c r="BL1223" s="57" t="n">
        <v>0</v>
      </c>
      <c r="BM1223" s="55"/>
      <c r="BN1223" s="60" t="n">
        <v>0</v>
      </c>
      <c r="BO1223" s="60" t="n">
        <v>1223</v>
      </c>
      <c r="BP1223" s="55" t="str">
        <f aca="false">IF(S1223&lt;&gt;"",UPPER(TRIM(S1223)),IF(O1223="","LOSE",O1223))</f>
        <v>LOSE</v>
      </c>
      <c r="BQ1223" s="57" t="n">
        <f aca="false">IF(BP1223="LOSE",1,IF(N(T1223)&gt;0,T1223,IF(N(P1223)&gt;0,P1223,MAX(1,G1223))))</f>
        <v>1</v>
      </c>
      <c r="BR1223" s="60" t="n">
        <f aca="false">IF(BP1223="LOSE",1,0)</f>
        <v>1</v>
      </c>
      <c r="BS1223" s="59" t="n">
        <f aca="false">IF(BR1223=0,0,IF(N(R1223)&gt;0,R1223,IFERROR(VLOOKUP(D1223,Parameter!$A$35:$C$64,3,0)+0,0)))</f>
        <v>0.15</v>
      </c>
      <c r="BT1223" s="55" t="n">
        <f aca="false">IF(Y1223&lt;&gt;"",Y1223,X1223)</f>
        <v>2</v>
      </c>
      <c r="BU1223" s="55" t="str">
        <f aca="false">IF(BT1223=1,"L1",IF(OR(BT1223=2,BT1223=3),"L23",IF(BT1223="Aussen","Aussen","-")))</f>
        <v>L23</v>
      </c>
      <c r="BV1223" s="66" t="n">
        <f aca="false">IF(N(Z1223)&gt;0,Z1223,0)</f>
        <v>0</v>
      </c>
      <c r="BW1223" s="60" t="n">
        <f aca="false">IF(ISNUMBER(AC1223),1,0)</f>
        <v>0</v>
      </c>
      <c r="BX1223" s="57" t="n">
        <f aca="false">N(AC1223)</f>
        <v>0</v>
      </c>
      <c r="BY1223" s="57" t="n">
        <f aca="false">N(L1223)+N(M1223)</f>
        <v>1</v>
      </c>
      <c r="BZ1223" s="57" t="n">
        <f aca="false">ROUNDUP(G1223/BQ1223,0)</f>
        <v>0</v>
      </c>
      <c r="CA1223" s="57" t="n">
        <f aca="false">ROUNDUP(BX1223/BQ1223,0)</f>
        <v>0</v>
      </c>
      <c r="CB1223" s="60" t="n">
        <f aca="false">IF(BR1223=1,0,IFERROR(VLOOKUP(BP1223,'Gebinde-Kategorie'!$A$5:$M$45,5,0)+0,0))</f>
        <v>0</v>
      </c>
      <c r="CC1223" s="60" t="n">
        <f aca="false">IFERROR(IF(OR(BT1223=1,BT1223=2,BT1223=3),N(INDEX(Parameter!$I$5:$I$7,BT1223)),0),0)</f>
        <v>0</v>
      </c>
      <c r="CD1223" s="59" t="n">
        <f aca="false">IF(AND(Parameter!$B$21="Ja",ISNUMBER(U1223),N(V1223)&gt;0),IFERROR(N(INDEX(Parameter!$L$5:$L$7,U1223))*INDEX(Parameter!$E$5:$E$7,U1223)*V1223/SUMIFS($V$7:$V$1576,$U$7:$U$1576,U1223),0),0)</f>
        <v>0</v>
      </c>
    </row>
    <row r="1224" customFormat="false" ht="15" hidden="false" customHeight="false" outlineLevel="0" collapsed="false">
      <c r="A1224" s="55" t="s">
        <v>2179</v>
      </c>
      <c r="B1224" s="55" t="s">
        <v>338</v>
      </c>
      <c r="C1224" s="55" t="s">
        <v>160</v>
      </c>
      <c r="D1224" s="55" t="s">
        <v>168</v>
      </c>
      <c r="E1224" s="55" t="s">
        <v>210</v>
      </c>
      <c r="F1224" s="56" t="n">
        <v>75.62</v>
      </c>
      <c r="G1224" s="57" t="n">
        <f aca="false">MAX(0,IF(AND(Parameter!$B$21="Ja",ISNUMBER(W1224)),W1224,IF(Parameter!$B$20="Jahresanfang 2025 + Export",BJ1224+BI1224,BI1224)))</f>
        <v>0</v>
      </c>
      <c r="H1224" s="57" t="n">
        <f aca="false">G1224*F1224</f>
        <v>0</v>
      </c>
      <c r="I1224" s="57" t="n">
        <f aca="false">BL1224*Parameter!$B$18</f>
        <v>3</v>
      </c>
      <c r="J1224" s="58" t="n">
        <v>134.5</v>
      </c>
      <c r="K1224" s="59" t="n">
        <v>0.0223048327137547</v>
      </c>
      <c r="L1224" s="57" t="n">
        <v>0</v>
      </c>
      <c r="M1224" s="57" t="n">
        <v>5</v>
      </c>
      <c r="N1224" s="60" t="n">
        <v>70</v>
      </c>
      <c r="O1224" s="55" t="s">
        <v>169</v>
      </c>
      <c r="P1224" s="57" t="n">
        <v>10</v>
      </c>
      <c r="Q1224" s="60" t="n">
        <f aca="false">IF(BR1224=1,0,IFERROR(VLOOKUP(BP1224,'Gebinde-Kategorie'!$A$5:$M$45,13,0)+0,0))</f>
        <v>6</v>
      </c>
      <c r="R1224" s="61"/>
      <c r="S1224" s="62"/>
      <c r="T1224" s="62"/>
      <c r="U1224" s="55"/>
      <c r="V1224" s="57"/>
      <c r="W1224" s="57"/>
      <c r="X1224" s="55" t="n">
        <f aca="false">IF(A1224="","",IF(AND(Parameter!$B$21="Ja",ISNUMBER(U1224)),U1224,IF(IFERROR(VLOOKUP(D1224,Parameter!$A$35:$C$64,2,0),"Nein")="2+3",IF(ISNUMBER(SEARCH("grosser Artikel",BM1224)),2,IFERROR(VLOOKUP(BP1224,Parameter!$F$35:$G$64,2,0),2)),IF(OR(IFERROR(VLOOKUP(D1224,Parameter!$A$35:$C$64,2,0),"Nein")="Nein",IFERROR(VLOOKUP(D1224,Parameter!$A$35:$C$64,2,0),"Nein")=""),"-",VLOOKUP(D1224,Parameter!$A$35:$C$64,2,0)))))</f>
        <v>2</v>
      </c>
      <c r="Y1224" s="62"/>
      <c r="Z1224" s="63"/>
      <c r="AA1224" s="57" t="n">
        <f aca="false">AP1224</f>
        <v>10</v>
      </c>
      <c r="AB1224" s="57" t="n">
        <f aca="false">MAX(AP1224,G1224)</f>
        <v>10</v>
      </c>
      <c r="AC1224" s="64"/>
      <c r="AD1224" s="57" t="n">
        <f aca="false">IF(LEFT(Cockpit!$C$5,1)="A",G1224,IF(BW1224=1,BX1224,IF(LEFT(Cockpit!$C$5,1)="B",AH1224,MAX(AH1224,G1224))))</f>
        <v>0</v>
      </c>
      <c r="AE1224" s="57" t="n">
        <f aca="false">IF(BR1224=1,0,ROUNDUP(AD1224/BQ1224,0))</f>
        <v>0</v>
      </c>
      <c r="AF1224" s="59" t="n">
        <f aca="false">IF(CD1224&gt;0,CD1224*MAX(1,AD1224/V1224),IF(BR1224=1,IF(AD1224&lt;=0,0,BS1224*MAX(1,IF(G1224&gt;0,AD1224/G1224,1))),IF(Q1224&gt;0,AE1224/Q1224,0))/MAX(0.1,N(Parameter!$M$21)))</f>
        <v>0</v>
      </c>
      <c r="AG1224" s="57" t="n">
        <f aca="false">AD1224*F1224</f>
        <v>0</v>
      </c>
      <c r="AH1224" s="57" t="n">
        <f aca="false">ROUNDUP(MAX(I1224/IF(BV1224&gt;0,BV1224,MAX(0.1,N(Cockpit!$C$6))),BY1224)/BQ1224,0)*BQ1224</f>
        <v>10</v>
      </c>
      <c r="AI1224" s="58" t="n">
        <f aca="false">IF(AF1224&gt;0,I1224/AF1224,-1)</f>
        <v>-1</v>
      </c>
      <c r="AJ1224" s="58" t="str">
        <f aca="false">IF(AND(OR(BU1224="L1",BU1224="L23"),AF1224&gt;0),SUMIFS($AF$7:$AF$1576,$BU$7:$BU$1576,BU1224,$AI$7:$AI$1576,"&gt;"&amp;AI1224)+SUMIFS($AF$7:$AF$1576,$BU$7:$BU$1576,BU1224,$AI$7:$AI$1576,AI1224,$BO$7:$BO$1576,"&lt;="&amp;BO1224),"")</f>
        <v/>
      </c>
      <c r="AK1224" s="65" t="n">
        <f aca="false">IF(AJ1224="",0,MAX(0,MIN(1,(IF(BU1224="L1",Parameter!$E$5,Parameter!$E$6+Parameter!$E$7)-(AJ1224-AF1224))/AF1224)))</f>
        <v>0</v>
      </c>
      <c r="AL1224" s="57" t="n">
        <f aca="false">IF(LEFT(Cockpit!$I$5,1)="A",G1224,IF(BW1224=1,BX1224,IF(LEFT(Cockpit!$I$5,1)="B",AP1224,MAX(AP1224,G1224))))</f>
        <v>10</v>
      </c>
      <c r="AM1224" s="57" t="n">
        <f aca="false">IF(BR1224=1,0,ROUNDUP(AL1224/BQ1224,0))</f>
        <v>1</v>
      </c>
      <c r="AN1224" s="59" t="n">
        <f aca="false">IF(CD1224&gt;0,CD1224*MAX(1,AL1224/V1224),IF(BR1224=1,IF(AL1224&lt;=0,0,BS1224*MAX(1,IF(G1224&gt;0,AL1224/G1224,1))),IF(Q1224&gt;0,AM1224/Q1224,0))/MAX(0.1,N(Parameter!$M$21)))</f>
        <v>0.166666666666667</v>
      </c>
      <c r="AO1224" s="57" t="n">
        <f aca="false">AL1224*F1224</f>
        <v>756.2</v>
      </c>
      <c r="AP1224" s="57" t="n">
        <f aca="false">ROUNDUP(MAX(I1224/IF(BV1224&gt;0,BV1224,MAX(0.1,N(Cockpit!$I$6))),BY1224)/BQ1224,0)*BQ1224</f>
        <v>10</v>
      </c>
      <c r="AQ1224" s="58" t="n">
        <f aca="false">IF(AN1224&gt;0,I1224/AN1224,-1)</f>
        <v>18</v>
      </c>
      <c r="AR1224" s="58" t="n">
        <f aca="false">IF(AND(OR(BU1224="L1",BU1224="L23"),AN1224&gt;0),SUMIFS($AN$7:$AN$1576,$BU$7:$BU$1576,BU1224,$AQ$7:$AQ$1576,"&gt;"&amp;AQ1224)+SUMIFS($AN$7:$AN$1576,$BU$7:$BU$1576,BU1224,$AQ$7:$AQ$1576,AQ1224,$BO$7:$BO$1576,"&lt;="&amp;BO1224),"")</f>
        <v>100.634742281003</v>
      </c>
      <c r="AS1224" s="65" t="n">
        <f aca="false">IF(AR1224="",0,MAX(0,MIN(1,(IF(BU1224="L1",Parameter!$E$5,Parameter!$E$6+Parameter!$E$7)-(AR1224-AN1224))/AN1224)))</f>
        <v>0</v>
      </c>
      <c r="AT1224" s="57" t="n">
        <f aca="false">IF(LEFT(Cockpit!$O$5,1)="A",G1224,IF(BW1224=1,BX1224,IF(LEFT(Cockpit!$O$5,1)="B",AX1224,MAX(AX1224,G1224))))</f>
        <v>10</v>
      </c>
      <c r="AU1224" s="57" t="n">
        <f aca="false">IF(BR1224=1,0,ROUNDUP(AT1224/BQ1224,0))</f>
        <v>1</v>
      </c>
      <c r="AV1224" s="59" t="n">
        <f aca="false">IF(CD1224&gt;0,CD1224*MAX(1,AT1224/V1224),IF(BR1224=1,IF(AT1224&lt;=0,0,BS1224*MAX(1,IF(G1224&gt;0,AT1224/G1224,1))),IF(Q1224&gt;0,AU1224/Q1224,0))/MAX(0.1,N(Parameter!$M$21)))</f>
        <v>0.166666666666667</v>
      </c>
      <c r="AW1224" s="57" t="n">
        <f aca="false">AT1224*F1224</f>
        <v>756.2</v>
      </c>
      <c r="AX1224" s="57" t="n">
        <f aca="false">ROUNDUP(MAX(I1224/IF(BV1224&gt;0,BV1224,MAX(0.1,N(Cockpit!$O$6))),BY1224)/BQ1224,0)*BQ1224</f>
        <v>10</v>
      </c>
      <c r="AY1224" s="58" t="n">
        <f aca="false">IF(AV1224&gt;0,I1224/AV1224,-1)</f>
        <v>18</v>
      </c>
      <c r="AZ1224" s="58" t="n">
        <f aca="false">IF(AND(OR(BU1224="L1",BU1224="L23"),AV1224&gt;0),SUMIFS($AV$7:$AV$1576,$BU$7:$BU$1576,BU1224,$AY$7:$AY$1576,"&gt;"&amp;AY1224)+SUMIFS($AV$7:$AV$1576,$BU$7:$BU$1576,BU1224,$AY$7:$AY$1576,AY1224,$BO$7:$BO$1576,"&lt;="&amp;BO1224),"")</f>
        <v>92.7942927305539</v>
      </c>
      <c r="BA1224" s="65" t="n">
        <f aca="false">IF(AZ1224="",0,MAX(0,MIN(1,(IF(BU1224="L1",Parameter!$E$5,Parameter!$E$6+Parameter!$E$7)-(AZ1224-AV1224))/AV1224)))</f>
        <v>1</v>
      </c>
      <c r="BB1224" s="55" t="str">
        <f aca="false">IF(AF1224&lt;=0,"",IF(BU1224="Aussen","Aussenlager",IF(BU1224="-","Nicht im Lift",IF(AK1224&gt;=1,"Lift",IF(AK1224&lt;=0,"Aussenlager","teilweise")))))</f>
        <v/>
      </c>
      <c r="BC1224" s="55" t="str">
        <f aca="false">IF(AN1224&lt;=0,"",IF(BU1224="Aussen","Aussenlager",IF(BU1224="-","Nicht im Lift",IF(AS1224&gt;=1,"Lift",IF(AS1224&lt;=0,"Aussenlager","teilweise")))))</f>
        <v>Aussenlager</v>
      </c>
      <c r="BD1224" s="55" t="str">
        <f aca="false">IF(AV1224&lt;=0,"",IF(BU1224="Aussen","Aussenlager",IF(BU1224="-","Nicht im Lift",IF(BA1224&gt;=1,"Lift",IF(BA1224&lt;=0,"Aussenlager","teilweise")))))</f>
        <v>Lift</v>
      </c>
      <c r="BE1224" s="55" t="str">
        <f aca="false">IF(A1224="","",IF(BN1224=1,"Neu; ","")&amp;IF(AND(BN1224=0,BI1224&lt;0),"negativer Bestand (Export "&amp;BI1224&amp;"); ","")&amp;IF(I1224&lt;=0,"Kein Verbrauch; ","")&amp;IF(CD1224&gt;0,"Lift "&amp;U1224&amp;" lt. Liftbericht (Fach "&amp;V1224&amp;" Stk); ",IF(BR1224=1,"Lose – Fläche geschätzt; ",""))&amp;IF(G1224&gt;AP1224,"Überbestand "&amp;ROUND(G1224-AP1224,0)&amp;" Stk / CHF "&amp;ROUND((G1224-AP1224)*F1224,0)&amp;"; ","")&amp;IF(AND(BW1224=1,BX1224&lt;BY1224),"MAX &lt; MB+LG; ","")&amp;IF(AND(CC1224&gt;0,CB1224*10&gt;CC1224),"zu hoch für Tablar; ","")&amp;IF(AND(BN1224=0,OR(BW1224=1,Y1224&lt;&gt;"",S1224&lt;&gt;"",T1224&lt;&gt;"",Z1224&lt;&gt;"")),"manuell übersteuert; ","")&amp;IF(AND(BR1224=0,Q1224=0),"Gebinde unbekannt / Stellmass fehlt; ","")&amp;IF(AND(BR1224=0,N(T1224)&lt;=0,N(P1224)&lt;=0),"Menge pro Gebinde fehlt (Ist = 1 Gebinde); ","")&amp;BM1224)</f>
        <v>negativer Bestand (Export -8); Bis auf 10stk?</v>
      </c>
      <c r="BF1224" s="55"/>
      <c r="BG1224" s="55"/>
      <c r="BH1224" s="62"/>
      <c r="BI1224" s="57" t="n">
        <v>-8</v>
      </c>
      <c r="BJ1224" s="57" t="n">
        <v>136</v>
      </c>
      <c r="BK1224" s="56" t="n">
        <v>-604.96</v>
      </c>
      <c r="BL1224" s="57" t="n">
        <v>3</v>
      </c>
      <c r="BM1224" s="55" t="s">
        <v>2180</v>
      </c>
      <c r="BN1224" s="60" t="n">
        <v>0</v>
      </c>
      <c r="BO1224" s="60" t="n">
        <v>1224</v>
      </c>
      <c r="BP1224" s="55" t="str">
        <f aca="false">IF(S1224&lt;&gt;"",UPPER(TRIM(S1224)),IF(O1224="","LOSE",O1224))</f>
        <v>S71</v>
      </c>
      <c r="BQ1224" s="57" t="n">
        <f aca="false">IF(BP1224="LOSE",1,IF(N(T1224)&gt;0,T1224,IF(N(P1224)&gt;0,P1224,MAX(1,G1224))))</f>
        <v>10</v>
      </c>
      <c r="BR1224" s="60" t="n">
        <f aca="false">IF(BP1224="LOSE",1,0)</f>
        <v>0</v>
      </c>
      <c r="BS1224" s="59" t="n">
        <f aca="false">IF(BR1224=0,0,IF(N(R1224)&gt;0,R1224,IFERROR(VLOOKUP(D1224,Parameter!$A$35:$C$64,3,0)+0,0)))</f>
        <v>0</v>
      </c>
      <c r="BT1224" s="55" t="n">
        <f aca="false">IF(Y1224&lt;&gt;"",Y1224,X1224)</f>
        <v>2</v>
      </c>
      <c r="BU1224" s="55" t="str">
        <f aca="false">IF(BT1224=1,"L1",IF(OR(BT1224=2,BT1224=3),"L23",IF(BT1224="Aussen","Aussen","-")))</f>
        <v>L23</v>
      </c>
      <c r="BV1224" s="66" t="n">
        <f aca="false">IF(N(Z1224)&gt;0,Z1224,0)</f>
        <v>0</v>
      </c>
      <c r="BW1224" s="60" t="n">
        <f aca="false">IF(ISNUMBER(AC1224),1,0)</f>
        <v>0</v>
      </c>
      <c r="BX1224" s="57" t="n">
        <f aca="false">N(AC1224)</f>
        <v>0</v>
      </c>
      <c r="BY1224" s="57" t="n">
        <f aca="false">N(L1224)+N(M1224)</f>
        <v>5</v>
      </c>
      <c r="BZ1224" s="57" t="n">
        <f aca="false">ROUNDUP(G1224/BQ1224,0)</f>
        <v>0</v>
      </c>
      <c r="CA1224" s="57" t="n">
        <f aca="false">ROUNDUP(BX1224/BQ1224,0)</f>
        <v>0</v>
      </c>
      <c r="CB1224" s="60" t="n">
        <f aca="false">IF(BR1224=1,0,IFERROR(VLOOKUP(BP1224,'Gebinde-Kategorie'!$A$5:$M$45,5,0)+0,0))</f>
        <v>20</v>
      </c>
      <c r="CC1224" s="60" t="n">
        <f aca="false">IFERROR(IF(OR(BT1224=1,BT1224=2,BT1224=3),N(INDEX(Parameter!$I$5:$I$7,BT1224)),0),0)</f>
        <v>0</v>
      </c>
      <c r="CD1224" s="59" t="n">
        <f aca="false">IF(AND(Parameter!$B$21="Ja",ISNUMBER(U1224),N(V1224)&gt;0),IFERROR(N(INDEX(Parameter!$L$5:$L$7,U1224))*INDEX(Parameter!$E$5:$E$7,U1224)*V1224/SUMIFS($V$7:$V$1576,$U$7:$U$1576,U1224),0),0)</f>
        <v>0</v>
      </c>
    </row>
    <row r="1225" customFormat="false" ht="15" hidden="false" customHeight="false" outlineLevel="0" collapsed="false">
      <c r="A1225" s="55" t="s">
        <v>2181</v>
      </c>
      <c r="B1225" s="55" t="s">
        <v>760</v>
      </c>
      <c r="C1225" s="55" t="s">
        <v>160</v>
      </c>
      <c r="D1225" s="55" t="s">
        <v>178</v>
      </c>
      <c r="E1225" s="55" t="s">
        <v>210</v>
      </c>
      <c r="F1225" s="56" t="n">
        <v>55.29</v>
      </c>
      <c r="G1225" s="57" t="n">
        <f aca="false">MAX(0,IF(AND(Parameter!$B$21="Ja",ISNUMBER(W1225)),W1225,IF(Parameter!$B$20="Jahresanfang 2025 + Export",BJ1225+BI1225,BI1225)))</f>
        <v>0</v>
      </c>
      <c r="H1225" s="57" t="n">
        <f aca="false">G1225*F1225</f>
        <v>0</v>
      </c>
      <c r="I1225" s="57" t="n">
        <f aca="false">BL1225*Parameter!$B$18</f>
        <v>6</v>
      </c>
      <c r="J1225" s="58" t="n">
        <v>24</v>
      </c>
      <c r="K1225" s="59" t="n">
        <v>0.25</v>
      </c>
      <c r="L1225" s="57" t="n">
        <v>0</v>
      </c>
      <c r="M1225" s="57" t="n">
        <v>5</v>
      </c>
      <c r="N1225" s="60" t="n">
        <v>14</v>
      </c>
      <c r="O1225" s="55" t="s">
        <v>411</v>
      </c>
      <c r="P1225" s="57" t="n">
        <v>19</v>
      </c>
      <c r="Q1225" s="60" t="n">
        <f aca="false">IF(BR1225=1,0,IFERROR(VLOOKUP(BP1225,'Gebinde-Kategorie'!$A$5:$M$45,13,0)+0,0))</f>
        <v>132</v>
      </c>
      <c r="R1225" s="61"/>
      <c r="S1225" s="62"/>
      <c r="T1225" s="62"/>
      <c r="U1225" s="55"/>
      <c r="V1225" s="57"/>
      <c r="W1225" s="57"/>
      <c r="X1225" s="55" t="n">
        <f aca="false">IF(A1225="","",IF(AND(Parameter!$B$21="Ja",ISNUMBER(U1225)),U1225,IF(IFERROR(VLOOKUP(D1225,Parameter!$A$35:$C$64,2,0),"Nein")="2+3",IF(ISNUMBER(SEARCH("grosser Artikel",BM1225)),2,IFERROR(VLOOKUP(BP1225,Parameter!$F$35:$G$64,2,0),2)),IF(OR(IFERROR(VLOOKUP(D1225,Parameter!$A$35:$C$64,2,0),"Nein")="Nein",IFERROR(VLOOKUP(D1225,Parameter!$A$35:$C$64,2,0),"Nein")=""),"-",VLOOKUP(D1225,Parameter!$A$35:$C$64,2,0)))))</f>
        <v>3</v>
      </c>
      <c r="Y1225" s="62"/>
      <c r="Z1225" s="63"/>
      <c r="AA1225" s="57" t="n">
        <f aca="false">AP1225</f>
        <v>19</v>
      </c>
      <c r="AB1225" s="57" t="n">
        <f aca="false">MAX(AP1225,G1225)</f>
        <v>19</v>
      </c>
      <c r="AC1225" s="64"/>
      <c r="AD1225" s="57" t="n">
        <f aca="false">IF(LEFT(Cockpit!$C$5,1)="A",G1225,IF(BW1225=1,BX1225,IF(LEFT(Cockpit!$C$5,1)="B",AH1225,MAX(AH1225,G1225))))</f>
        <v>0</v>
      </c>
      <c r="AE1225" s="57" t="n">
        <f aca="false">IF(BR1225=1,0,ROUNDUP(AD1225/BQ1225,0))</f>
        <v>0</v>
      </c>
      <c r="AF1225" s="59" t="n">
        <f aca="false">IF(CD1225&gt;0,CD1225*MAX(1,AD1225/V1225),IF(BR1225=1,IF(AD1225&lt;=0,0,BS1225*MAX(1,IF(G1225&gt;0,AD1225/G1225,1))),IF(Q1225&gt;0,AE1225/Q1225,0))/MAX(0.1,N(Parameter!$M$21)))</f>
        <v>0</v>
      </c>
      <c r="AG1225" s="57" t="n">
        <f aca="false">AD1225*F1225</f>
        <v>0</v>
      </c>
      <c r="AH1225" s="57" t="n">
        <f aca="false">ROUNDUP(MAX(I1225/IF(BV1225&gt;0,BV1225,MAX(0.1,N(Cockpit!$C$6))),BY1225)/BQ1225,0)*BQ1225</f>
        <v>19</v>
      </c>
      <c r="AI1225" s="58" t="n">
        <f aca="false">IF(AF1225&gt;0,I1225/AF1225,-1)</f>
        <v>-1</v>
      </c>
      <c r="AJ1225" s="58" t="str">
        <f aca="false">IF(AND(OR(BU1225="L1",BU1225="L23"),AF1225&gt;0),SUMIFS($AF$7:$AF$1576,$BU$7:$BU$1576,BU1225,$AI$7:$AI$1576,"&gt;"&amp;AI1225)+SUMIFS($AF$7:$AF$1576,$BU$7:$BU$1576,BU1225,$AI$7:$AI$1576,AI1225,$BO$7:$BO$1576,"&lt;="&amp;BO1225),"")</f>
        <v/>
      </c>
      <c r="AK1225" s="65" t="n">
        <f aca="false">IF(AJ1225="",0,MAX(0,MIN(1,(IF(BU1225="L1",Parameter!$E$5,Parameter!$E$6+Parameter!$E$7)-(AJ1225-AF1225))/AF1225)))</f>
        <v>0</v>
      </c>
      <c r="AL1225" s="57" t="n">
        <f aca="false">IF(LEFT(Cockpit!$I$5,1)="A",G1225,IF(BW1225=1,BX1225,IF(LEFT(Cockpit!$I$5,1)="B",AP1225,MAX(AP1225,G1225))))</f>
        <v>19</v>
      </c>
      <c r="AM1225" s="57" t="n">
        <f aca="false">IF(BR1225=1,0,ROUNDUP(AL1225/BQ1225,0))</f>
        <v>1</v>
      </c>
      <c r="AN1225" s="59" t="n">
        <f aca="false">IF(CD1225&gt;0,CD1225*MAX(1,AL1225/V1225),IF(BR1225=1,IF(AL1225&lt;=0,0,BS1225*MAX(1,IF(G1225&gt;0,AL1225/G1225,1))),IF(Q1225&gt;0,AM1225/Q1225,0))/MAX(0.1,N(Parameter!$M$21)))</f>
        <v>0.00757575757575758</v>
      </c>
      <c r="AO1225" s="57" t="n">
        <f aca="false">AL1225*F1225</f>
        <v>1050.51</v>
      </c>
      <c r="AP1225" s="57" t="n">
        <f aca="false">ROUNDUP(MAX(I1225/IF(BV1225&gt;0,BV1225,MAX(0.1,N(Cockpit!$I$6))),BY1225)/BQ1225,0)*BQ1225</f>
        <v>19</v>
      </c>
      <c r="AQ1225" s="58" t="n">
        <f aca="false">IF(AN1225&gt;0,I1225/AN1225,-1)</f>
        <v>792</v>
      </c>
      <c r="AR1225" s="58" t="n">
        <f aca="false">IF(AND(OR(BU1225="L1",BU1225="L23"),AN1225&gt;0),SUMIFS($AN$7:$AN$1576,$BU$7:$BU$1576,BU1225,$AQ$7:$AQ$1576,"&gt;"&amp;AQ1225)+SUMIFS($AN$7:$AN$1576,$BU$7:$BU$1576,BU1225,$AQ$7:$AQ$1576,AQ1225,$BO$7:$BO$1576,"&lt;="&amp;BO1225),"")</f>
        <v>26.2604563676414</v>
      </c>
      <c r="AS1225" s="65" t="n">
        <f aca="false">IF(AR1225="",0,MAX(0,MIN(1,(IF(BU1225="L1",Parameter!$E$5,Parameter!$E$6+Parameter!$E$7)-(AR1225-AN1225))/AN1225)))</f>
        <v>1</v>
      </c>
      <c r="AT1225" s="57" t="n">
        <f aca="false">IF(LEFT(Cockpit!$O$5,1)="A",G1225,IF(BW1225=1,BX1225,IF(LEFT(Cockpit!$O$5,1)="B",AX1225,MAX(AX1225,G1225))))</f>
        <v>19</v>
      </c>
      <c r="AU1225" s="57" t="n">
        <f aca="false">IF(BR1225=1,0,ROUNDUP(AT1225/BQ1225,0))</f>
        <v>1</v>
      </c>
      <c r="AV1225" s="59" t="n">
        <f aca="false">IF(CD1225&gt;0,CD1225*MAX(1,AT1225/V1225),IF(BR1225=1,IF(AT1225&lt;=0,0,BS1225*MAX(1,IF(G1225&gt;0,AT1225/G1225,1))),IF(Q1225&gt;0,AU1225/Q1225,0))/MAX(0.1,N(Parameter!$M$21)))</f>
        <v>0.00757575757575758</v>
      </c>
      <c r="AW1225" s="57" t="n">
        <f aca="false">AT1225*F1225</f>
        <v>1050.51</v>
      </c>
      <c r="AX1225" s="57" t="n">
        <f aca="false">ROUNDUP(MAX(I1225/IF(BV1225&gt;0,BV1225,MAX(0.1,N(Cockpit!$O$6))),BY1225)/BQ1225,0)*BQ1225</f>
        <v>19</v>
      </c>
      <c r="AY1225" s="58" t="n">
        <f aca="false">IF(AV1225&gt;0,I1225/AV1225,-1)</f>
        <v>792</v>
      </c>
      <c r="AZ1225" s="58" t="n">
        <f aca="false">IF(AND(OR(BU1225="L1",BU1225="L23"),AV1225&gt;0),SUMIFS($AV$7:$AV$1576,$BU$7:$BU$1576,BU1225,$AY$7:$AY$1576,"&gt;"&amp;AY1225)+SUMIFS($AV$7:$AV$1576,$BU$7:$BU$1576,BU1225,$AY$7:$AY$1576,AY1225,$BO$7:$BO$1576,"&lt;="&amp;BO1225),"")</f>
        <v>26.1608060179911</v>
      </c>
      <c r="BA1225" s="65" t="n">
        <f aca="false">IF(AZ1225="",0,MAX(0,MIN(1,(IF(BU1225="L1",Parameter!$E$5,Parameter!$E$6+Parameter!$E$7)-(AZ1225-AV1225))/AV1225)))</f>
        <v>1</v>
      </c>
      <c r="BB1225" s="55" t="str">
        <f aca="false">IF(AF1225&lt;=0,"",IF(BU1225="Aussen","Aussenlager",IF(BU1225="-","Nicht im Lift",IF(AK1225&gt;=1,"Lift",IF(AK1225&lt;=0,"Aussenlager","teilweise")))))</f>
        <v/>
      </c>
      <c r="BC1225" s="55" t="str">
        <f aca="false">IF(AN1225&lt;=0,"",IF(BU1225="Aussen","Aussenlager",IF(BU1225="-","Nicht im Lift",IF(AS1225&gt;=1,"Lift",IF(AS1225&lt;=0,"Aussenlager","teilweise")))))</f>
        <v>Lift</v>
      </c>
      <c r="BD1225" s="55" t="str">
        <f aca="false">IF(AV1225&lt;=0,"",IF(BU1225="Aussen","Aussenlager",IF(BU1225="-","Nicht im Lift",IF(BA1225&gt;=1,"Lift",IF(BA1225&lt;=0,"Aussenlager","teilweise")))))</f>
        <v>Lift</v>
      </c>
      <c r="BE1225" s="55" t="str">
        <f aca="false">IF(A1225="","",IF(BN1225=1,"Neu; ","")&amp;IF(AND(BN1225=0,BI1225&lt;0),"negativer Bestand (Export "&amp;BI1225&amp;"); ","")&amp;IF(I1225&lt;=0,"Kein Verbrauch; ","")&amp;IF(CD1225&gt;0,"Lift "&amp;U1225&amp;" lt. Liftbericht (Fach "&amp;V1225&amp;" Stk); ",IF(BR1225=1,"Lose – Fläche geschätzt; ",""))&amp;IF(G1225&gt;AP1225,"Überbestand "&amp;ROUND(G1225-AP1225,0)&amp;" Stk / CHF "&amp;ROUND((G1225-AP1225)*F1225,0)&amp;"; ","")&amp;IF(AND(BW1225=1,BX1225&lt;BY1225),"MAX &lt; MB+LG; ","")&amp;IF(AND(CC1225&gt;0,CB1225*10&gt;CC1225),"zu hoch für Tablar; ","")&amp;IF(AND(BN1225=0,OR(BW1225=1,Y1225&lt;&gt;"",S1225&lt;&gt;"",T1225&lt;&gt;"",Z1225&lt;&gt;"")),"manuell übersteuert; ","")&amp;IF(AND(BR1225=0,Q1225=0),"Gebinde unbekannt / Stellmass fehlt; ","")&amp;IF(AND(BR1225=0,N(T1225)&lt;=0,N(P1225)&lt;=0),"Menge pro Gebinde fehlt (Ist = 1 Gebinde); ","")&amp;BM1225)</f>
        <v>negativer Bestand (Export -11); </v>
      </c>
      <c r="BF1225" s="55"/>
      <c r="BG1225" s="55"/>
      <c r="BH1225" s="62"/>
      <c r="BI1225" s="57" t="n">
        <v>-11</v>
      </c>
      <c r="BJ1225" s="57" t="n">
        <v>27</v>
      </c>
      <c r="BK1225" s="56" t="n">
        <v>-608.19</v>
      </c>
      <c r="BL1225" s="57" t="n">
        <v>6</v>
      </c>
      <c r="BM1225" s="55"/>
      <c r="BN1225" s="60" t="n">
        <v>0</v>
      </c>
      <c r="BO1225" s="60" t="n">
        <v>1225</v>
      </c>
      <c r="BP1225" s="55" t="str">
        <f aca="false">IF(S1225&lt;&gt;"",UPPER(TRIM(S1225)),IF(O1225="","LOSE",O1225))</f>
        <v>S32</v>
      </c>
      <c r="BQ1225" s="57" t="n">
        <f aca="false">IF(BP1225="LOSE",1,IF(N(T1225)&gt;0,T1225,IF(N(P1225)&gt;0,P1225,MAX(1,G1225))))</f>
        <v>19</v>
      </c>
      <c r="BR1225" s="60" t="n">
        <f aca="false">IF(BP1225="LOSE",1,0)</f>
        <v>0</v>
      </c>
      <c r="BS1225" s="59" t="n">
        <f aca="false">IF(BR1225=0,0,IF(N(R1225)&gt;0,R1225,IFERROR(VLOOKUP(D1225,Parameter!$A$35:$C$64,3,0)+0,0)))</f>
        <v>0</v>
      </c>
      <c r="BT1225" s="55" t="n">
        <f aca="false">IF(Y1225&lt;&gt;"",Y1225,X1225)</f>
        <v>3</v>
      </c>
      <c r="BU1225" s="55" t="str">
        <f aca="false">IF(BT1225=1,"L1",IF(OR(BT1225=2,BT1225=3),"L23",IF(BT1225="Aussen","Aussen","-")))</f>
        <v>L23</v>
      </c>
      <c r="BV1225" s="66" t="n">
        <f aca="false">IF(N(Z1225)&gt;0,Z1225,0)</f>
        <v>0</v>
      </c>
      <c r="BW1225" s="60" t="n">
        <f aca="false">IF(ISNUMBER(AC1225),1,0)</f>
        <v>0</v>
      </c>
      <c r="BX1225" s="57" t="n">
        <f aca="false">N(AC1225)</f>
        <v>0</v>
      </c>
      <c r="BY1225" s="57" t="n">
        <f aca="false">N(L1225)+N(M1225)</f>
        <v>5</v>
      </c>
      <c r="BZ1225" s="57" t="n">
        <f aca="false">ROUNDUP(G1225/BQ1225,0)</f>
        <v>0</v>
      </c>
      <c r="CA1225" s="57" t="n">
        <f aca="false">ROUNDUP(BX1225/BQ1225,0)</f>
        <v>0</v>
      </c>
      <c r="CB1225" s="60" t="n">
        <f aca="false">IF(BR1225=1,0,IFERROR(VLOOKUP(BP1225,'Gebinde-Kategorie'!$A$5:$M$45,5,0)+0,0))</f>
        <v>8</v>
      </c>
      <c r="CC1225" s="60" t="n">
        <f aca="false">IFERROR(IF(OR(BT1225=1,BT1225=2,BT1225=3),N(INDEX(Parameter!$I$5:$I$7,BT1225)),0),0)</f>
        <v>0</v>
      </c>
      <c r="CD1225" s="59" t="n">
        <f aca="false">IF(AND(Parameter!$B$21="Ja",ISNUMBER(U1225),N(V1225)&gt;0),IFERROR(N(INDEX(Parameter!$L$5:$L$7,U1225))*INDEX(Parameter!$E$5:$E$7,U1225)*V1225/SUMIFS($V$7:$V$1576,$U$7:$U$1576,U1225),0),0)</f>
        <v>0</v>
      </c>
    </row>
    <row r="1226" customFormat="false" ht="15" hidden="false" customHeight="false" outlineLevel="0" collapsed="false">
      <c r="A1226" s="55" t="s">
        <v>2182</v>
      </c>
      <c r="B1226" s="55" t="s">
        <v>2183</v>
      </c>
      <c r="C1226" s="55" t="s">
        <v>160</v>
      </c>
      <c r="D1226" s="55" t="s">
        <v>178</v>
      </c>
      <c r="E1226" s="55" t="s">
        <v>210</v>
      </c>
      <c r="F1226" s="56" t="n">
        <v>688</v>
      </c>
      <c r="G1226" s="57" t="n">
        <f aca="false">MAX(0,IF(AND(Parameter!$B$21="Ja",ISNUMBER(W1226)),W1226,IF(Parameter!$B$20="Jahresanfang 2025 + Export",BJ1226+BI1226,BI1226)))</f>
        <v>0</v>
      </c>
      <c r="H1226" s="57" t="n">
        <f aca="false">G1226*F1226</f>
        <v>0</v>
      </c>
      <c r="I1226" s="57" t="n">
        <f aca="false">BL1226*Parameter!$B$18</f>
        <v>69</v>
      </c>
      <c r="J1226" s="58" t="n">
        <v>21</v>
      </c>
      <c r="K1226" s="59" t="n">
        <v>3.28571428571429</v>
      </c>
      <c r="L1226" s="57" t="n">
        <v>10</v>
      </c>
      <c r="M1226" s="57" t="n">
        <v>5</v>
      </c>
      <c r="N1226" s="60" t="n">
        <v>30</v>
      </c>
      <c r="O1226" s="55" t="s">
        <v>293</v>
      </c>
      <c r="P1226" s="57" t="n">
        <v>11</v>
      </c>
      <c r="Q1226" s="60" t="n">
        <f aca="false">IF(BR1226=1,0,IFERROR(VLOOKUP(BP1226,'Gebinde-Kategorie'!$A$5:$M$45,13,0)+0,0))</f>
        <v>26</v>
      </c>
      <c r="R1226" s="61"/>
      <c r="S1226" s="62"/>
      <c r="T1226" s="62"/>
      <c r="U1226" s="55"/>
      <c r="V1226" s="57"/>
      <c r="W1226" s="57"/>
      <c r="X1226" s="55" t="n">
        <f aca="false">IF(A1226="","",IF(AND(Parameter!$B$21="Ja",ISNUMBER(U1226)),U1226,IF(IFERROR(VLOOKUP(D1226,Parameter!$A$35:$C$64,2,0),"Nein")="2+3",IF(ISNUMBER(SEARCH("grosser Artikel",BM1226)),2,IFERROR(VLOOKUP(BP1226,Parameter!$F$35:$G$64,2,0),2)),IF(OR(IFERROR(VLOOKUP(D1226,Parameter!$A$35:$C$64,2,0),"Nein")="Nein",IFERROR(VLOOKUP(D1226,Parameter!$A$35:$C$64,2,0),"Nein")=""),"-",VLOOKUP(D1226,Parameter!$A$35:$C$64,2,0)))))</f>
        <v>3</v>
      </c>
      <c r="Y1226" s="62"/>
      <c r="Z1226" s="63"/>
      <c r="AA1226" s="57" t="n">
        <f aca="false">AP1226</f>
        <v>44</v>
      </c>
      <c r="AB1226" s="57" t="n">
        <f aca="false">MAX(AP1226,G1226)</f>
        <v>44</v>
      </c>
      <c r="AC1226" s="64"/>
      <c r="AD1226" s="57" t="n">
        <f aca="false">IF(LEFT(Cockpit!$C$5,1)="A",G1226,IF(BW1226=1,BX1226,IF(LEFT(Cockpit!$C$5,1)="B",AH1226,MAX(AH1226,G1226))))</f>
        <v>0</v>
      </c>
      <c r="AE1226" s="57" t="n">
        <f aca="false">IF(BR1226=1,0,ROUNDUP(AD1226/BQ1226,0))</f>
        <v>0</v>
      </c>
      <c r="AF1226" s="59" t="n">
        <f aca="false">IF(CD1226&gt;0,CD1226*MAX(1,AD1226/V1226),IF(BR1226=1,IF(AD1226&lt;=0,0,BS1226*MAX(1,IF(G1226&gt;0,AD1226/G1226,1))),IF(Q1226&gt;0,AE1226/Q1226,0))/MAX(0.1,N(Parameter!$M$21)))</f>
        <v>0</v>
      </c>
      <c r="AG1226" s="57" t="n">
        <f aca="false">AD1226*F1226</f>
        <v>0</v>
      </c>
      <c r="AH1226" s="57" t="n">
        <f aca="false">ROUNDUP(MAX(I1226/IF(BV1226&gt;0,BV1226,MAX(0.1,N(Cockpit!$C$6))),BY1226)/BQ1226,0)*BQ1226</f>
        <v>44</v>
      </c>
      <c r="AI1226" s="58" t="n">
        <f aca="false">IF(AF1226&gt;0,I1226/AF1226,-1)</f>
        <v>-1</v>
      </c>
      <c r="AJ1226" s="58" t="str">
        <f aca="false">IF(AND(OR(BU1226="L1",BU1226="L23"),AF1226&gt;0),SUMIFS($AF$7:$AF$1576,$BU$7:$BU$1576,BU1226,$AI$7:$AI$1576,"&gt;"&amp;AI1226)+SUMIFS($AF$7:$AF$1576,$BU$7:$BU$1576,BU1226,$AI$7:$AI$1576,AI1226,$BO$7:$BO$1576,"&lt;="&amp;BO1226),"")</f>
        <v/>
      </c>
      <c r="AK1226" s="65" t="n">
        <f aca="false">IF(AJ1226="",0,MAX(0,MIN(1,(IF(BU1226="L1",Parameter!$E$5,Parameter!$E$6+Parameter!$E$7)-(AJ1226-AF1226))/AF1226)))</f>
        <v>0</v>
      </c>
      <c r="AL1226" s="57" t="n">
        <f aca="false">IF(LEFT(Cockpit!$I$5,1)="A",G1226,IF(BW1226=1,BX1226,IF(LEFT(Cockpit!$I$5,1)="B",AP1226,MAX(AP1226,G1226))))</f>
        <v>44</v>
      </c>
      <c r="AM1226" s="57" t="n">
        <f aca="false">IF(BR1226=1,0,ROUNDUP(AL1226/BQ1226,0))</f>
        <v>4</v>
      </c>
      <c r="AN1226" s="59" t="n">
        <f aca="false">IF(CD1226&gt;0,CD1226*MAX(1,AL1226/V1226),IF(BR1226=1,IF(AL1226&lt;=0,0,BS1226*MAX(1,IF(G1226&gt;0,AL1226/G1226,1))),IF(Q1226&gt;0,AM1226/Q1226,0))/MAX(0.1,N(Parameter!$M$21)))</f>
        <v>0.153846153846154</v>
      </c>
      <c r="AO1226" s="57" t="n">
        <f aca="false">AL1226*F1226</f>
        <v>30272</v>
      </c>
      <c r="AP1226" s="57" t="n">
        <f aca="false">ROUNDUP(MAX(I1226/IF(BV1226&gt;0,BV1226,MAX(0.1,N(Cockpit!$I$6))),BY1226)/BQ1226,0)*BQ1226</f>
        <v>44</v>
      </c>
      <c r="AQ1226" s="58" t="n">
        <f aca="false">IF(AN1226&gt;0,I1226/AN1226,-1)</f>
        <v>448.5</v>
      </c>
      <c r="AR1226" s="58" t="n">
        <f aca="false">IF(AND(OR(BU1226="L1",BU1226="L23"),AN1226&gt;0),SUMIFS($AN$7:$AN$1576,$BU$7:$BU$1576,BU1226,$AQ$7:$AQ$1576,"&gt;"&amp;AQ1226)+SUMIFS($AN$7:$AN$1576,$BU$7:$BU$1576,BU1226,$AQ$7:$AQ$1576,AQ1226,$BO$7:$BO$1576,"&lt;="&amp;BO1226),"")</f>
        <v>35.7347443019294</v>
      </c>
      <c r="AS1226" s="65" t="n">
        <f aca="false">IF(AR1226="",0,MAX(0,MIN(1,(IF(BU1226="L1",Parameter!$E$5,Parameter!$E$6+Parameter!$E$7)-(AR1226-AN1226))/AN1226)))</f>
        <v>1</v>
      </c>
      <c r="AT1226" s="57" t="n">
        <f aca="false">IF(LEFT(Cockpit!$O$5,1)="A",G1226,IF(BW1226=1,BX1226,IF(LEFT(Cockpit!$O$5,1)="B",AX1226,MAX(AX1226,G1226))))</f>
        <v>33</v>
      </c>
      <c r="AU1226" s="57" t="n">
        <f aca="false">IF(BR1226=1,0,ROUNDUP(AT1226/BQ1226,0))</f>
        <v>3</v>
      </c>
      <c r="AV1226" s="59" t="n">
        <f aca="false">IF(CD1226&gt;0,CD1226*MAX(1,AT1226/V1226),IF(BR1226=1,IF(AT1226&lt;=0,0,BS1226*MAX(1,IF(G1226&gt;0,AT1226/G1226,1))),IF(Q1226&gt;0,AU1226/Q1226,0))/MAX(0.1,N(Parameter!$M$21)))</f>
        <v>0.115384615384615</v>
      </c>
      <c r="AW1226" s="57" t="n">
        <f aca="false">AT1226*F1226</f>
        <v>22704</v>
      </c>
      <c r="AX1226" s="57" t="n">
        <f aca="false">ROUNDUP(MAX(I1226/IF(BV1226&gt;0,BV1226,MAX(0.1,N(Cockpit!$O$6))),BY1226)/BQ1226,0)*BQ1226</f>
        <v>33</v>
      </c>
      <c r="AY1226" s="58" t="n">
        <f aca="false">IF(AV1226&gt;0,I1226/AV1226,-1)</f>
        <v>598</v>
      </c>
      <c r="AZ1226" s="58" t="n">
        <f aca="false">IF(AND(OR(BU1226="L1",BU1226="L23"),AV1226&gt;0),SUMIFS($AV$7:$AV$1576,$BU$7:$BU$1576,BU1226,$AY$7:$AY$1576,"&gt;"&amp;AY1226)+SUMIFS($AV$7:$AV$1576,$BU$7:$BU$1576,BU1226,$AY$7:$AY$1576,AY1226,$BO$7:$BO$1576,"&lt;="&amp;BO1226),"")</f>
        <v>30.4291476763327</v>
      </c>
      <c r="BA1226" s="65" t="n">
        <f aca="false">IF(AZ1226="",0,MAX(0,MIN(1,(IF(BU1226="L1",Parameter!$E$5,Parameter!$E$6+Parameter!$E$7)-(AZ1226-AV1226))/AV1226)))</f>
        <v>1</v>
      </c>
      <c r="BB1226" s="55" t="str">
        <f aca="false">IF(AF1226&lt;=0,"",IF(BU1226="Aussen","Aussenlager",IF(BU1226="-","Nicht im Lift",IF(AK1226&gt;=1,"Lift",IF(AK1226&lt;=0,"Aussenlager","teilweise")))))</f>
        <v/>
      </c>
      <c r="BC1226" s="55" t="str">
        <f aca="false">IF(AN1226&lt;=0,"",IF(BU1226="Aussen","Aussenlager",IF(BU1226="-","Nicht im Lift",IF(AS1226&gt;=1,"Lift",IF(AS1226&lt;=0,"Aussenlager","teilweise")))))</f>
        <v>Lift</v>
      </c>
      <c r="BD1226" s="55" t="str">
        <f aca="false">IF(AV1226&lt;=0,"",IF(BU1226="Aussen","Aussenlager",IF(BU1226="-","Nicht im Lift",IF(BA1226&gt;=1,"Lift",IF(BA1226&lt;=0,"Aussenlager","teilweise")))))</f>
        <v>Lift</v>
      </c>
      <c r="BE1226" s="55" t="str">
        <f aca="false">IF(A1226="","",IF(BN1226=1,"Neu; ","")&amp;IF(AND(BN1226=0,BI1226&lt;0),"negativer Bestand (Export "&amp;BI1226&amp;"); ","")&amp;IF(I1226&lt;=0,"Kein Verbrauch; ","")&amp;IF(CD1226&gt;0,"Lift "&amp;U1226&amp;" lt. Liftbericht (Fach "&amp;V1226&amp;" Stk); ",IF(BR1226=1,"Lose – Fläche geschätzt; ",""))&amp;IF(G1226&gt;AP1226,"Überbestand "&amp;ROUND(G1226-AP1226,0)&amp;" Stk / CHF "&amp;ROUND((G1226-AP1226)*F1226,0)&amp;"; ","")&amp;IF(AND(BW1226=1,BX1226&lt;BY1226),"MAX &lt; MB+LG; ","")&amp;IF(AND(CC1226&gt;0,CB1226*10&gt;CC1226),"zu hoch für Tablar; ","")&amp;IF(AND(BN1226=0,OR(BW1226=1,Y1226&lt;&gt;"",S1226&lt;&gt;"",T1226&lt;&gt;"",Z1226&lt;&gt;"")),"manuell übersteuert; ","")&amp;IF(AND(BR1226=0,Q1226=0),"Gebinde unbekannt / Stellmass fehlt; ","")&amp;IF(AND(BR1226=0,N(T1226)&lt;=0,N(P1226)&lt;=0),"Menge pro Gebinde fehlt (Ist = 1 Gebinde); ","")&amp;BM1226)</f>
        <v>negativer Bestand (Export -2); </v>
      </c>
      <c r="BF1226" s="55"/>
      <c r="BG1226" s="55"/>
      <c r="BH1226" s="62"/>
      <c r="BI1226" s="57" t="n">
        <v>-2</v>
      </c>
      <c r="BJ1226" s="57" t="n">
        <v>21</v>
      </c>
      <c r="BK1226" s="56" t="n">
        <v>-619.999999999998</v>
      </c>
      <c r="BL1226" s="57" t="n">
        <v>69</v>
      </c>
      <c r="BM1226" s="55"/>
      <c r="BN1226" s="60" t="n">
        <v>0</v>
      </c>
      <c r="BO1226" s="60" t="n">
        <v>1226</v>
      </c>
      <c r="BP1226" s="55" t="str">
        <f aca="false">IF(S1226&lt;&gt;"",UPPER(TRIM(S1226)),IF(O1226="","LOSE",O1226))</f>
        <v>S51</v>
      </c>
      <c r="BQ1226" s="57" t="n">
        <f aca="false">IF(BP1226="LOSE",1,IF(N(T1226)&gt;0,T1226,IF(N(P1226)&gt;0,P1226,MAX(1,G1226))))</f>
        <v>11</v>
      </c>
      <c r="BR1226" s="60" t="n">
        <f aca="false">IF(BP1226="LOSE",1,0)</f>
        <v>0</v>
      </c>
      <c r="BS1226" s="59" t="n">
        <f aca="false">IF(BR1226=0,0,IF(N(R1226)&gt;0,R1226,IFERROR(VLOOKUP(D1226,Parameter!$A$35:$C$64,3,0)+0,0)))</f>
        <v>0</v>
      </c>
      <c r="BT1226" s="55" t="n">
        <f aca="false">IF(Y1226&lt;&gt;"",Y1226,X1226)</f>
        <v>3</v>
      </c>
      <c r="BU1226" s="55" t="str">
        <f aca="false">IF(BT1226=1,"L1",IF(OR(BT1226=2,BT1226=3),"L23",IF(BT1226="Aussen","Aussen","-")))</f>
        <v>L23</v>
      </c>
      <c r="BV1226" s="66" t="n">
        <f aca="false">IF(N(Z1226)&gt;0,Z1226,0)</f>
        <v>0</v>
      </c>
      <c r="BW1226" s="60" t="n">
        <f aca="false">IF(ISNUMBER(AC1226),1,0)</f>
        <v>0</v>
      </c>
      <c r="BX1226" s="57" t="n">
        <f aca="false">N(AC1226)</f>
        <v>0</v>
      </c>
      <c r="BY1226" s="57" t="n">
        <f aca="false">N(L1226)+N(M1226)</f>
        <v>15</v>
      </c>
      <c r="BZ1226" s="57" t="n">
        <f aca="false">ROUNDUP(G1226/BQ1226,0)</f>
        <v>0</v>
      </c>
      <c r="CA1226" s="57" t="n">
        <f aca="false">ROUNDUP(BX1226/BQ1226,0)</f>
        <v>0</v>
      </c>
      <c r="CB1226" s="60" t="n">
        <f aca="false">IF(BR1226=1,0,IFERROR(VLOOKUP(BP1226,'Gebinde-Kategorie'!$A$5:$M$45,5,0)+0,0))</f>
        <v>11</v>
      </c>
      <c r="CC1226" s="60" t="n">
        <f aca="false">IFERROR(IF(OR(BT1226=1,BT1226=2,BT1226=3),N(INDEX(Parameter!$I$5:$I$7,BT1226)),0),0)</f>
        <v>0</v>
      </c>
      <c r="CD1226" s="59" t="n">
        <f aca="false">IF(AND(Parameter!$B$21="Ja",ISNUMBER(U1226),N(V1226)&gt;0),IFERROR(N(INDEX(Parameter!$L$5:$L$7,U1226))*INDEX(Parameter!$E$5:$E$7,U1226)*V1226/SUMIFS($V$7:$V$1576,$U$7:$U$1576,U1226),0),0)</f>
        <v>0</v>
      </c>
    </row>
    <row r="1227" customFormat="false" ht="15" hidden="false" customHeight="false" outlineLevel="0" collapsed="false">
      <c r="A1227" s="55" t="s">
        <v>2184</v>
      </c>
      <c r="B1227" s="55" t="s">
        <v>2185</v>
      </c>
      <c r="C1227" s="55" t="s">
        <v>160</v>
      </c>
      <c r="D1227" s="55" t="s">
        <v>178</v>
      </c>
      <c r="E1227" s="55" t="s">
        <v>210</v>
      </c>
      <c r="F1227" s="56" t="n">
        <v>310.56</v>
      </c>
      <c r="G1227" s="57" t="n">
        <f aca="false">MAX(0,IF(AND(Parameter!$B$21="Ja",ISNUMBER(W1227)),W1227,IF(Parameter!$B$20="Jahresanfang 2025 + Export",BJ1227+BI1227,BI1227)))</f>
        <v>0</v>
      </c>
      <c r="H1227" s="57" t="n">
        <f aca="false">G1227*F1227</f>
        <v>0</v>
      </c>
      <c r="I1227" s="57" t="n">
        <f aca="false">BL1227*Parameter!$B$18</f>
        <v>1</v>
      </c>
      <c r="J1227" s="58" t="n">
        <v>9.5</v>
      </c>
      <c r="K1227" s="59" t="n">
        <v>0.105263157894737</v>
      </c>
      <c r="L1227" s="57" t="n">
        <v>0</v>
      </c>
      <c r="M1227" s="57" t="n">
        <v>1</v>
      </c>
      <c r="N1227" s="60" t="n">
        <v>35</v>
      </c>
      <c r="O1227" s="55" t="s">
        <v>225</v>
      </c>
      <c r="P1227" s="57" t="n">
        <v>12</v>
      </c>
      <c r="Q1227" s="60" t="n">
        <f aca="false">IF(BR1227=1,0,IFERROR(VLOOKUP(BP1227,'Gebinde-Kategorie'!$A$5:$M$45,13,0)+0,0))</f>
        <v>26</v>
      </c>
      <c r="R1227" s="61"/>
      <c r="S1227" s="62"/>
      <c r="T1227" s="62"/>
      <c r="U1227" s="55"/>
      <c r="V1227" s="57"/>
      <c r="W1227" s="57"/>
      <c r="X1227" s="55" t="n">
        <f aca="false">IF(A1227="","",IF(AND(Parameter!$B$21="Ja",ISNUMBER(U1227)),U1227,IF(IFERROR(VLOOKUP(D1227,Parameter!$A$35:$C$64,2,0),"Nein")="2+3",IF(ISNUMBER(SEARCH("grosser Artikel",BM1227)),2,IFERROR(VLOOKUP(BP1227,Parameter!$F$35:$G$64,2,0),2)),IF(OR(IFERROR(VLOOKUP(D1227,Parameter!$A$35:$C$64,2,0),"Nein")="Nein",IFERROR(VLOOKUP(D1227,Parameter!$A$35:$C$64,2,0),"Nein")=""),"-",VLOOKUP(D1227,Parameter!$A$35:$C$64,2,0)))))</f>
        <v>3</v>
      </c>
      <c r="Y1227" s="62"/>
      <c r="Z1227" s="63"/>
      <c r="AA1227" s="57" t="n">
        <f aca="false">AP1227</f>
        <v>12</v>
      </c>
      <c r="AB1227" s="57" t="n">
        <f aca="false">MAX(AP1227,G1227)</f>
        <v>12</v>
      </c>
      <c r="AC1227" s="64"/>
      <c r="AD1227" s="57" t="n">
        <f aca="false">IF(LEFT(Cockpit!$C$5,1)="A",G1227,IF(BW1227=1,BX1227,IF(LEFT(Cockpit!$C$5,1)="B",AH1227,MAX(AH1227,G1227))))</f>
        <v>0</v>
      </c>
      <c r="AE1227" s="57" t="n">
        <f aca="false">IF(BR1227=1,0,ROUNDUP(AD1227/BQ1227,0))</f>
        <v>0</v>
      </c>
      <c r="AF1227" s="59" t="n">
        <f aca="false">IF(CD1227&gt;0,CD1227*MAX(1,AD1227/V1227),IF(BR1227=1,IF(AD1227&lt;=0,0,BS1227*MAX(1,IF(G1227&gt;0,AD1227/G1227,1))),IF(Q1227&gt;0,AE1227/Q1227,0))/MAX(0.1,N(Parameter!$M$21)))</f>
        <v>0</v>
      </c>
      <c r="AG1227" s="57" t="n">
        <f aca="false">AD1227*F1227</f>
        <v>0</v>
      </c>
      <c r="AH1227" s="57" t="n">
        <f aca="false">ROUNDUP(MAX(I1227/IF(BV1227&gt;0,BV1227,MAX(0.1,N(Cockpit!$C$6))),BY1227)/BQ1227,0)*BQ1227</f>
        <v>12</v>
      </c>
      <c r="AI1227" s="58" t="n">
        <f aca="false">IF(AF1227&gt;0,I1227/AF1227,-1)</f>
        <v>-1</v>
      </c>
      <c r="AJ1227" s="58" t="str">
        <f aca="false">IF(AND(OR(BU1227="L1",BU1227="L23"),AF1227&gt;0),SUMIFS($AF$7:$AF$1576,$BU$7:$BU$1576,BU1227,$AI$7:$AI$1576,"&gt;"&amp;AI1227)+SUMIFS($AF$7:$AF$1576,$BU$7:$BU$1576,BU1227,$AI$7:$AI$1576,AI1227,$BO$7:$BO$1576,"&lt;="&amp;BO1227),"")</f>
        <v/>
      </c>
      <c r="AK1227" s="65" t="n">
        <f aca="false">IF(AJ1227="",0,MAX(0,MIN(1,(IF(BU1227="L1",Parameter!$E$5,Parameter!$E$6+Parameter!$E$7)-(AJ1227-AF1227))/AF1227)))</f>
        <v>0</v>
      </c>
      <c r="AL1227" s="57" t="n">
        <f aca="false">IF(LEFT(Cockpit!$I$5,1)="A",G1227,IF(BW1227=1,BX1227,IF(LEFT(Cockpit!$I$5,1)="B",AP1227,MAX(AP1227,G1227))))</f>
        <v>12</v>
      </c>
      <c r="AM1227" s="57" t="n">
        <f aca="false">IF(BR1227=1,0,ROUNDUP(AL1227/BQ1227,0))</f>
        <v>1</v>
      </c>
      <c r="AN1227" s="59" t="n">
        <f aca="false">IF(CD1227&gt;0,CD1227*MAX(1,AL1227/V1227),IF(BR1227=1,IF(AL1227&lt;=0,0,BS1227*MAX(1,IF(G1227&gt;0,AL1227/G1227,1))),IF(Q1227&gt;0,AM1227/Q1227,0))/MAX(0.1,N(Parameter!$M$21)))</f>
        <v>0.0384615384615385</v>
      </c>
      <c r="AO1227" s="57" t="n">
        <f aca="false">AL1227*F1227</f>
        <v>3726.72</v>
      </c>
      <c r="AP1227" s="57" t="n">
        <f aca="false">ROUNDUP(MAX(I1227/IF(BV1227&gt;0,BV1227,MAX(0.1,N(Cockpit!$I$6))),BY1227)/BQ1227,0)*BQ1227</f>
        <v>12</v>
      </c>
      <c r="AQ1227" s="58" t="n">
        <f aca="false">IF(AN1227&gt;0,I1227/AN1227,-1)</f>
        <v>26</v>
      </c>
      <c r="AR1227" s="58" t="n">
        <f aca="false">IF(AND(OR(BU1227="L1",BU1227="L23"),AN1227&gt;0),SUMIFS($AN$7:$AN$1576,$BU$7:$BU$1576,BU1227,$AQ$7:$AQ$1576,"&gt;"&amp;AQ1227)+SUMIFS($AN$7:$AN$1576,$BU$7:$BU$1576,BU1227,$AQ$7:$AQ$1576,AQ1227,$BO$7:$BO$1576,"&lt;="&amp;BO1227),"")</f>
        <v>97.4308961271573</v>
      </c>
      <c r="AS1227" s="65" t="n">
        <f aca="false">IF(AR1227="",0,MAX(0,MIN(1,(IF(BU1227="L1",Parameter!$E$5,Parameter!$E$6+Parameter!$E$7)-(AR1227-AN1227))/AN1227)))</f>
        <v>1</v>
      </c>
      <c r="AT1227" s="57" t="n">
        <f aca="false">IF(LEFT(Cockpit!$O$5,1)="A",G1227,IF(BW1227=1,BX1227,IF(LEFT(Cockpit!$O$5,1)="B",AX1227,MAX(AX1227,G1227))))</f>
        <v>12</v>
      </c>
      <c r="AU1227" s="57" t="n">
        <f aca="false">IF(BR1227=1,0,ROUNDUP(AT1227/BQ1227,0))</f>
        <v>1</v>
      </c>
      <c r="AV1227" s="59" t="n">
        <f aca="false">IF(CD1227&gt;0,CD1227*MAX(1,AT1227/V1227),IF(BR1227=1,IF(AT1227&lt;=0,0,BS1227*MAX(1,IF(G1227&gt;0,AT1227/G1227,1))),IF(Q1227&gt;0,AU1227/Q1227,0))/MAX(0.1,N(Parameter!$M$21)))</f>
        <v>0.0384615384615385</v>
      </c>
      <c r="AW1227" s="57" t="n">
        <f aca="false">AT1227*F1227</f>
        <v>3726.72</v>
      </c>
      <c r="AX1227" s="57" t="n">
        <f aca="false">ROUNDUP(MAX(I1227/IF(BV1227&gt;0,BV1227,MAX(0.1,N(Cockpit!$O$6))),BY1227)/BQ1227,0)*BQ1227</f>
        <v>12</v>
      </c>
      <c r="AY1227" s="58" t="n">
        <f aca="false">IF(AV1227&gt;0,I1227/AV1227,-1)</f>
        <v>26</v>
      </c>
      <c r="AZ1227" s="58" t="n">
        <f aca="false">IF(AND(OR(BU1227="L1",BU1227="L23"),AV1227&gt;0),SUMIFS($AV$7:$AV$1576,$BU$7:$BU$1576,BU1227,$AY$7:$AY$1576,"&gt;"&amp;AY1227)+SUMIFS($AV$7:$AV$1576,$BU$7:$BU$1576,BU1227,$AY$7:$AY$1576,AY1227,$BO$7:$BO$1576,"&lt;="&amp;BO1227),"")</f>
        <v>88.2404465767077</v>
      </c>
      <c r="BA1227" s="65" t="n">
        <f aca="false">IF(AZ1227="",0,MAX(0,MIN(1,(IF(BU1227="L1",Parameter!$E$5,Parameter!$E$6+Parameter!$E$7)-(AZ1227-AV1227))/AV1227)))</f>
        <v>1</v>
      </c>
      <c r="BB1227" s="55" t="str">
        <f aca="false">IF(AF1227&lt;=0,"",IF(BU1227="Aussen","Aussenlager",IF(BU1227="-","Nicht im Lift",IF(AK1227&gt;=1,"Lift",IF(AK1227&lt;=0,"Aussenlager","teilweise")))))</f>
        <v/>
      </c>
      <c r="BC1227" s="55" t="str">
        <f aca="false">IF(AN1227&lt;=0,"",IF(BU1227="Aussen","Aussenlager",IF(BU1227="-","Nicht im Lift",IF(AS1227&gt;=1,"Lift",IF(AS1227&lt;=0,"Aussenlager","teilweise")))))</f>
        <v>Lift</v>
      </c>
      <c r="BD1227" s="55" t="str">
        <f aca="false">IF(AV1227&lt;=0,"",IF(BU1227="Aussen","Aussenlager",IF(BU1227="-","Nicht im Lift",IF(BA1227&gt;=1,"Lift",IF(BA1227&lt;=0,"Aussenlager","teilweise")))))</f>
        <v>Lift</v>
      </c>
      <c r="BE1227" s="55" t="str">
        <f aca="false">IF(A1227="","",IF(BN1227=1,"Neu; ","")&amp;IF(AND(BN1227=0,BI1227&lt;0),"negativer Bestand (Export "&amp;BI1227&amp;"); ","")&amp;IF(I1227&lt;=0,"Kein Verbrauch; ","")&amp;IF(CD1227&gt;0,"Lift "&amp;U1227&amp;" lt. Liftbericht (Fach "&amp;V1227&amp;" Stk); ",IF(BR1227=1,"Lose – Fläche geschätzt; ",""))&amp;IF(G1227&gt;AP1227,"Überbestand "&amp;ROUND(G1227-AP1227,0)&amp;" Stk / CHF "&amp;ROUND((G1227-AP1227)*F1227,0)&amp;"; ","")&amp;IF(AND(BW1227=1,BX1227&lt;BY1227),"MAX &lt; MB+LG; ","")&amp;IF(AND(CC1227&gt;0,CB1227*10&gt;CC1227),"zu hoch für Tablar; ","")&amp;IF(AND(BN1227=0,OR(BW1227=1,Y1227&lt;&gt;"",S1227&lt;&gt;"",T1227&lt;&gt;"",Z1227&lt;&gt;"")),"manuell übersteuert; ","")&amp;IF(AND(BR1227=0,Q1227=0),"Gebinde unbekannt / Stellmass fehlt; ","")&amp;IF(AND(BR1227=0,N(T1227)&lt;=0,N(P1227)&lt;=0),"Menge pro Gebinde fehlt (Ist = 1 Gebinde); ","")&amp;BM1227)</f>
        <v>negativer Bestand (Export -2); </v>
      </c>
      <c r="BF1227" s="55"/>
      <c r="BG1227" s="55"/>
      <c r="BH1227" s="62"/>
      <c r="BI1227" s="57" t="n">
        <v>-2</v>
      </c>
      <c r="BJ1227" s="57" t="n">
        <v>10</v>
      </c>
      <c r="BK1227" s="56" t="n">
        <v>-621.12</v>
      </c>
      <c r="BL1227" s="57" t="n">
        <v>1</v>
      </c>
      <c r="BM1227" s="55"/>
      <c r="BN1227" s="60" t="n">
        <v>0</v>
      </c>
      <c r="BO1227" s="60" t="n">
        <v>1227</v>
      </c>
      <c r="BP1227" s="55" t="str">
        <f aca="false">IF(S1227&lt;&gt;"",UPPER(TRIM(S1227)),IF(O1227="","LOSE",O1227))</f>
        <v>S52</v>
      </c>
      <c r="BQ1227" s="57" t="n">
        <f aca="false">IF(BP1227="LOSE",1,IF(N(T1227)&gt;0,T1227,IF(N(P1227)&gt;0,P1227,MAX(1,G1227))))</f>
        <v>12</v>
      </c>
      <c r="BR1227" s="60" t="n">
        <f aca="false">IF(BP1227="LOSE",1,0)</f>
        <v>0</v>
      </c>
      <c r="BS1227" s="59" t="n">
        <f aca="false">IF(BR1227=0,0,IF(N(R1227)&gt;0,R1227,IFERROR(VLOOKUP(D1227,Parameter!$A$35:$C$64,3,0)+0,0)))</f>
        <v>0</v>
      </c>
      <c r="BT1227" s="55" t="n">
        <f aca="false">IF(Y1227&lt;&gt;"",Y1227,X1227)</f>
        <v>3</v>
      </c>
      <c r="BU1227" s="55" t="str">
        <f aca="false">IF(BT1227=1,"L1",IF(OR(BT1227=2,BT1227=3),"L23",IF(BT1227="Aussen","Aussen","-")))</f>
        <v>L23</v>
      </c>
      <c r="BV1227" s="66" t="n">
        <f aca="false">IF(N(Z1227)&gt;0,Z1227,0)</f>
        <v>0</v>
      </c>
      <c r="BW1227" s="60" t="n">
        <f aca="false">IF(ISNUMBER(AC1227),1,0)</f>
        <v>0</v>
      </c>
      <c r="BX1227" s="57" t="n">
        <f aca="false">N(AC1227)</f>
        <v>0</v>
      </c>
      <c r="BY1227" s="57" t="n">
        <f aca="false">N(L1227)+N(M1227)</f>
        <v>1</v>
      </c>
      <c r="BZ1227" s="57" t="n">
        <f aca="false">ROUNDUP(G1227/BQ1227,0)</f>
        <v>0</v>
      </c>
      <c r="CA1227" s="57" t="n">
        <f aca="false">ROUNDUP(BX1227/BQ1227,0)</f>
        <v>0</v>
      </c>
      <c r="CB1227" s="60" t="n">
        <f aca="false">IF(BR1227=1,0,IFERROR(VLOOKUP(BP1227,'Gebinde-Kategorie'!$A$5:$M$45,5,0)+0,0))</f>
        <v>21</v>
      </c>
      <c r="CC1227" s="60" t="n">
        <f aca="false">IFERROR(IF(OR(BT1227=1,BT1227=2,BT1227=3),N(INDEX(Parameter!$I$5:$I$7,BT1227)),0),0)</f>
        <v>0</v>
      </c>
      <c r="CD1227" s="59" t="n">
        <f aca="false">IF(AND(Parameter!$B$21="Ja",ISNUMBER(U1227),N(V1227)&gt;0),IFERROR(N(INDEX(Parameter!$L$5:$L$7,U1227))*INDEX(Parameter!$E$5:$E$7,U1227)*V1227/SUMIFS($V$7:$V$1576,$U$7:$U$1576,U1227),0),0)</f>
        <v>0</v>
      </c>
    </row>
    <row r="1228" customFormat="false" ht="15" hidden="false" customHeight="false" outlineLevel="0" collapsed="false">
      <c r="A1228" s="55" t="s">
        <v>2186</v>
      </c>
      <c r="B1228" s="55" t="s">
        <v>494</v>
      </c>
      <c r="C1228" s="55" t="s">
        <v>160</v>
      </c>
      <c r="D1228" s="55" t="s">
        <v>178</v>
      </c>
      <c r="E1228" s="55" t="s">
        <v>210</v>
      </c>
      <c r="F1228" s="56" t="n">
        <v>24</v>
      </c>
      <c r="G1228" s="57" t="n">
        <f aca="false">MAX(0,IF(AND(Parameter!$B$21="Ja",ISNUMBER(W1228)),W1228,IF(Parameter!$B$20="Jahresanfang 2025 + Export",BJ1228+BI1228,BI1228)))</f>
        <v>0</v>
      </c>
      <c r="H1228" s="57" t="n">
        <f aca="false">G1228*F1228</f>
        <v>0</v>
      </c>
      <c r="I1228" s="57" t="n">
        <f aca="false">BL1228*Parameter!$B$18</f>
        <v>43</v>
      </c>
      <c r="J1228" s="58" t="n">
        <v>32</v>
      </c>
      <c r="K1228" s="59" t="n">
        <v>1.34375</v>
      </c>
      <c r="L1228" s="57" t="n">
        <v>4</v>
      </c>
      <c r="M1228" s="57" t="n">
        <v>45</v>
      </c>
      <c r="N1228" s="60" t="n">
        <v>35</v>
      </c>
      <c r="O1228" s="55" t="s">
        <v>225</v>
      </c>
      <c r="P1228" s="57" t="n">
        <v>40</v>
      </c>
      <c r="Q1228" s="60" t="n">
        <f aca="false">IF(BR1228=1,0,IFERROR(VLOOKUP(BP1228,'Gebinde-Kategorie'!$A$5:$M$45,13,0)+0,0))</f>
        <v>26</v>
      </c>
      <c r="R1228" s="61"/>
      <c r="S1228" s="62"/>
      <c r="T1228" s="62"/>
      <c r="U1228" s="55"/>
      <c r="V1228" s="57"/>
      <c r="W1228" s="57"/>
      <c r="X1228" s="55" t="n">
        <f aca="false">IF(A1228="","",IF(AND(Parameter!$B$21="Ja",ISNUMBER(U1228)),U1228,IF(IFERROR(VLOOKUP(D1228,Parameter!$A$35:$C$64,2,0),"Nein")="2+3",IF(ISNUMBER(SEARCH("grosser Artikel",BM1228)),2,IFERROR(VLOOKUP(BP1228,Parameter!$F$35:$G$64,2,0),2)),IF(OR(IFERROR(VLOOKUP(D1228,Parameter!$A$35:$C$64,2,0),"Nein")="Nein",IFERROR(VLOOKUP(D1228,Parameter!$A$35:$C$64,2,0),"Nein")=""),"-",VLOOKUP(D1228,Parameter!$A$35:$C$64,2,0)))))</f>
        <v>3</v>
      </c>
      <c r="Y1228" s="62"/>
      <c r="Z1228" s="63"/>
      <c r="AA1228" s="57" t="n">
        <f aca="false">AP1228</f>
        <v>80</v>
      </c>
      <c r="AB1228" s="57" t="n">
        <f aca="false">MAX(AP1228,G1228)</f>
        <v>80</v>
      </c>
      <c r="AC1228" s="64"/>
      <c r="AD1228" s="57" t="n">
        <f aca="false">IF(LEFT(Cockpit!$C$5,1)="A",G1228,IF(BW1228=1,BX1228,IF(LEFT(Cockpit!$C$5,1)="B",AH1228,MAX(AH1228,G1228))))</f>
        <v>0</v>
      </c>
      <c r="AE1228" s="57" t="n">
        <f aca="false">IF(BR1228=1,0,ROUNDUP(AD1228/BQ1228,0))</f>
        <v>0</v>
      </c>
      <c r="AF1228" s="59" t="n">
        <f aca="false">IF(CD1228&gt;0,CD1228*MAX(1,AD1228/V1228),IF(BR1228=1,IF(AD1228&lt;=0,0,BS1228*MAX(1,IF(G1228&gt;0,AD1228/G1228,1))),IF(Q1228&gt;0,AE1228/Q1228,0))/MAX(0.1,N(Parameter!$M$21)))</f>
        <v>0</v>
      </c>
      <c r="AG1228" s="57" t="n">
        <f aca="false">AD1228*F1228</f>
        <v>0</v>
      </c>
      <c r="AH1228" s="57" t="n">
        <f aca="false">ROUNDUP(MAX(I1228/IF(BV1228&gt;0,BV1228,MAX(0.1,N(Cockpit!$C$6))),BY1228)/BQ1228,0)*BQ1228</f>
        <v>80</v>
      </c>
      <c r="AI1228" s="58" t="n">
        <f aca="false">IF(AF1228&gt;0,I1228/AF1228,-1)</f>
        <v>-1</v>
      </c>
      <c r="AJ1228" s="58" t="str">
        <f aca="false">IF(AND(OR(BU1228="L1",BU1228="L23"),AF1228&gt;0),SUMIFS($AF$7:$AF$1576,$BU$7:$BU$1576,BU1228,$AI$7:$AI$1576,"&gt;"&amp;AI1228)+SUMIFS($AF$7:$AF$1576,$BU$7:$BU$1576,BU1228,$AI$7:$AI$1576,AI1228,$BO$7:$BO$1576,"&lt;="&amp;BO1228),"")</f>
        <v/>
      </c>
      <c r="AK1228" s="65" t="n">
        <f aca="false">IF(AJ1228="",0,MAX(0,MIN(1,(IF(BU1228="L1",Parameter!$E$5,Parameter!$E$6+Parameter!$E$7)-(AJ1228-AF1228))/AF1228)))</f>
        <v>0</v>
      </c>
      <c r="AL1228" s="57" t="n">
        <f aca="false">IF(LEFT(Cockpit!$I$5,1)="A",G1228,IF(BW1228=1,BX1228,IF(LEFT(Cockpit!$I$5,1)="B",AP1228,MAX(AP1228,G1228))))</f>
        <v>80</v>
      </c>
      <c r="AM1228" s="57" t="n">
        <f aca="false">IF(BR1228=1,0,ROUNDUP(AL1228/BQ1228,0))</f>
        <v>2</v>
      </c>
      <c r="AN1228" s="59" t="n">
        <f aca="false">IF(CD1228&gt;0,CD1228*MAX(1,AL1228/V1228),IF(BR1228=1,IF(AL1228&lt;=0,0,BS1228*MAX(1,IF(G1228&gt;0,AL1228/G1228,1))),IF(Q1228&gt;0,AM1228/Q1228,0))/MAX(0.1,N(Parameter!$M$21)))</f>
        <v>0.0769230769230769</v>
      </c>
      <c r="AO1228" s="57" t="n">
        <f aca="false">AL1228*F1228</f>
        <v>1920</v>
      </c>
      <c r="AP1228" s="57" t="n">
        <f aca="false">ROUNDUP(MAX(I1228/IF(BV1228&gt;0,BV1228,MAX(0.1,N(Cockpit!$I$6))),BY1228)/BQ1228,0)*BQ1228</f>
        <v>80</v>
      </c>
      <c r="AQ1228" s="58" t="n">
        <f aca="false">IF(AN1228&gt;0,I1228/AN1228,-1)</f>
        <v>559</v>
      </c>
      <c r="AR1228" s="58" t="n">
        <f aca="false">IF(AND(OR(BU1228="L1",BU1228="L23"),AN1228&gt;0),SUMIFS($AN$7:$AN$1576,$BU$7:$BU$1576,BU1228,$AQ$7:$AQ$1576,"&gt;"&amp;AQ1228)+SUMIFS($AN$7:$AN$1576,$BU$7:$BU$1576,BU1228,$AQ$7:$AQ$1576,AQ1228,$BO$7:$BO$1576,"&lt;="&amp;BO1228),"")</f>
        <v>32.0031991803843</v>
      </c>
      <c r="AS1228" s="65" t="n">
        <f aca="false">IF(AR1228="",0,MAX(0,MIN(1,(IF(BU1228="L1",Parameter!$E$5,Parameter!$E$6+Parameter!$E$7)-(AR1228-AN1228))/AN1228)))</f>
        <v>1</v>
      </c>
      <c r="AT1228" s="57" t="n">
        <f aca="false">IF(LEFT(Cockpit!$O$5,1)="A",G1228,IF(BW1228=1,BX1228,IF(LEFT(Cockpit!$O$5,1)="B",AX1228,MAX(AX1228,G1228))))</f>
        <v>80</v>
      </c>
      <c r="AU1228" s="57" t="n">
        <f aca="false">IF(BR1228=1,0,ROUNDUP(AT1228/BQ1228,0))</f>
        <v>2</v>
      </c>
      <c r="AV1228" s="59" t="n">
        <f aca="false">IF(CD1228&gt;0,CD1228*MAX(1,AT1228/V1228),IF(BR1228=1,IF(AT1228&lt;=0,0,BS1228*MAX(1,IF(G1228&gt;0,AT1228/G1228,1))),IF(Q1228&gt;0,AU1228/Q1228,0))/MAX(0.1,N(Parameter!$M$21)))</f>
        <v>0.0769230769230769</v>
      </c>
      <c r="AW1228" s="57" t="n">
        <f aca="false">AT1228*F1228</f>
        <v>1920</v>
      </c>
      <c r="AX1228" s="57" t="n">
        <f aca="false">ROUNDUP(MAX(I1228/IF(BV1228&gt;0,BV1228,MAX(0.1,N(Cockpit!$O$6))),BY1228)/BQ1228,0)*BQ1228</f>
        <v>80</v>
      </c>
      <c r="AY1228" s="58" t="n">
        <f aca="false">IF(AV1228&gt;0,I1228/AV1228,-1)</f>
        <v>559</v>
      </c>
      <c r="AZ1228" s="58" t="n">
        <f aca="false">IF(AND(OR(BU1228="L1",BU1228="L23"),AV1228&gt;0),SUMIFS($AV$7:$AV$1576,$BU$7:$BU$1576,BU1228,$AY$7:$AY$1576,"&gt;"&amp;AY1228)+SUMIFS($AV$7:$AV$1576,$BU$7:$BU$1576,BU1228,$AY$7:$AY$1576,AY1228,$BO$7:$BO$1576,"&lt;="&amp;BO1228),"")</f>
        <v>30.9132191604042</v>
      </c>
      <c r="BA1228" s="65" t="n">
        <f aca="false">IF(AZ1228="",0,MAX(0,MIN(1,(IF(BU1228="L1",Parameter!$E$5,Parameter!$E$6+Parameter!$E$7)-(AZ1228-AV1228))/AV1228)))</f>
        <v>1</v>
      </c>
      <c r="BB1228" s="55" t="str">
        <f aca="false">IF(AF1228&lt;=0,"",IF(BU1228="Aussen","Aussenlager",IF(BU1228="-","Nicht im Lift",IF(AK1228&gt;=1,"Lift",IF(AK1228&lt;=0,"Aussenlager","teilweise")))))</f>
        <v/>
      </c>
      <c r="BC1228" s="55" t="str">
        <f aca="false">IF(AN1228&lt;=0,"",IF(BU1228="Aussen","Aussenlager",IF(BU1228="-","Nicht im Lift",IF(AS1228&gt;=1,"Lift",IF(AS1228&lt;=0,"Aussenlager","teilweise")))))</f>
        <v>Lift</v>
      </c>
      <c r="BD1228" s="55" t="str">
        <f aca="false">IF(AV1228&lt;=0,"",IF(BU1228="Aussen","Aussenlager",IF(BU1228="-","Nicht im Lift",IF(BA1228&gt;=1,"Lift",IF(BA1228&lt;=0,"Aussenlager","teilweise")))))</f>
        <v>Lift</v>
      </c>
      <c r="BE1228" s="55" t="str">
        <f aca="false">IF(A1228="","",IF(BN1228=1,"Neu; ","")&amp;IF(AND(BN1228=0,BI1228&lt;0),"negativer Bestand (Export "&amp;BI1228&amp;"); ","")&amp;IF(I1228&lt;=0,"Kein Verbrauch; ","")&amp;IF(CD1228&gt;0,"Lift "&amp;U1228&amp;" lt. Liftbericht (Fach "&amp;V1228&amp;" Stk); ",IF(BR1228=1,"Lose – Fläche geschätzt; ",""))&amp;IF(G1228&gt;AP1228,"Überbestand "&amp;ROUND(G1228-AP1228,0)&amp;" Stk / CHF "&amp;ROUND((G1228-AP1228)*F1228,0)&amp;"; ","")&amp;IF(AND(BW1228=1,BX1228&lt;BY1228),"MAX &lt; MB+LG; ","")&amp;IF(AND(CC1228&gt;0,CB1228*10&gt;CC1228),"zu hoch für Tablar; ","")&amp;IF(AND(BN1228=0,OR(BW1228=1,Y1228&lt;&gt;"",S1228&lt;&gt;"",T1228&lt;&gt;"",Z1228&lt;&gt;"")),"manuell übersteuert; ","")&amp;IF(AND(BR1228=0,Q1228=0),"Gebinde unbekannt / Stellmass fehlt; ","")&amp;IF(AND(BR1228=0,N(T1228)&lt;=0,N(P1228)&lt;=0),"Menge pro Gebinde fehlt (Ist = 1 Gebinde); ","")&amp;BM1228)</f>
        <v>negativer Bestand (Export -26); </v>
      </c>
      <c r="BF1228" s="55"/>
      <c r="BG1228" s="55"/>
      <c r="BH1228" s="62"/>
      <c r="BI1228" s="57" t="n">
        <v>-26</v>
      </c>
      <c r="BJ1228" s="57" t="n">
        <v>54</v>
      </c>
      <c r="BK1228" s="56" t="n">
        <v>-623.46</v>
      </c>
      <c r="BL1228" s="57" t="n">
        <v>43</v>
      </c>
      <c r="BM1228" s="55"/>
      <c r="BN1228" s="60" t="n">
        <v>0</v>
      </c>
      <c r="BO1228" s="60" t="n">
        <v>1228</v>
      </c>
      <c r="BP1228" s="55" t="str">
        <f aca="false">IF(S1228&lt;&gt;"",UPPER(TRIM(S1228)),IF(O1228="","LOSE",O1228))</f>
        <v>S52</v>
      </c>
      <c r="BQ1228" s="57" t="n">
        <f aca="false">IF(BP1228="LOSE",1,IF(N(T1228)&gt;0,T1228,IF(N(P1228)&gt;0,P1228,MAX(1,G1228))))</f>
        <v>40</v>
      </c>
      <c r="BR1228" s="60" t="n">
        <f aca="false">IF(BP1228="LOSE",1,0)</f>
        <v>0</v>
      </c>
      <c r="BS1228" s="59" t="n">
        <f aca="false">IF(BR1228=0,0,IF(N(R1228)&gt;0,R1228,IFERROR(VLOOKUP(D1228,Parameter!$A$35:$C$64,3,0)+0,0)))</f>
        <v>0</v>
      </c>
      <c r="BT1228" s="55" t="n">
        <f aca="false">IF(Y1228&lt;&gt;"",Y1228,X1228)</f>
        <v>3</v>
      </c>
      <c r="BU1228" s="55" t="str">
        <f aca="false">IF(BT1228=1,"L1",IF(OR(BT1228=2,BT1228=3),"L23",IF(BT1228="Aussen","Aussen","-")))</f>
        <v>L23</v>
      </c>
      <c r="BV1228" s="66" t="n">
        <f aca="false">IF(N(Z1228)&gt;0,Z1228,0)</f>
        <v>0</v>
      </c>
      <c r="BW1228" s="60" t="n">
        <f aca="false">IF(ISNUMBER(AC1228),1,0)</f>
        <v>0</v>
      </c>
      <c r="BX1228" s="57" t="n">
        <f aca="false">N(AC1228)</f>
        <v>0</v>
      </c>
      <c r="BY1228" s="57" t="n">
        <f aca="false">N(L1228)+N(M1228)</f>
        <v>49</v>
      </c>
      <c r="BZ1228" s="57" t="n">
        <f aca="false">ROUNDUP(G1228/BQ1228,0)</f>
        <v>0</v>
      </c>
      <c r="CA1228" s="57" t="n">
        <f aca="false">ROUNDUP(BX1228/BQ1228,0)</f>
        <v>0</v>
      </c>
      <c r="CB1228" s="60" t="n">
        <f aca="false">IF(BR1228=1,0,IFERROR(VLOOKUP(BP1228,'Gebinde-Kategorie'!$A$5:$M$45,5,0)+0,0))</f>
        <v>21</v>
      </c>
      <c r="CC1228" s="60" t="n">
        <f aca="false">IFERROR(IF(OR(BT1228=1,BT1228=2,BT1228=3),N(INDEX(Parameter!$I$5:$I$7,BT1228)),0),0)</f>
        <v>0</v>
      </c>
      <c r="CD1228" s="59" t="n">
        <f aca="false">IF(AND(Parameter!$B$21="Ja",ISNUMBER(U1228),N(V1228)&gt;0),IFERROR(N(INDEX(Parameter!$L$5:$L$7,U1228))*INDEX(Parameter!$E$5:$E$7,U1228)*V1228/SUMIFS($V$7:$V$1576,$U$7:$U$1576,U1228),0),0)</f>
        <v>0</v>
      </c>
    </row>
    <row r="1229" customFormat="false" ht="15" hidden="false" customHeight="false" outlineLevel="0" collapsed="false">
      <c r="A1229" s="55" t="s">
        <v>2187</v>
      </c>
      <c r="B1229" s="55" t="s">
        <v>2188</v>
      </c>
      <c r="C1229" s="55" t="s">
        <v>446</v>
      </c>
      <c r="D1229" s="55" t="s">
        <v>168</v>
      </c>
      <c r="E1229" s="55" t="s">
        <v>210</v>
      </c>
      <c r="F1229" s="56" t="n">
        <v>160.38</v>
      </c>
      <c r="G1229" s="57" t="n">
        <f aca="false">MAX(0,IF(AND(Parameter!$B$21="Ja",ISNUMBER(W1229)),W1229,IF(Parameter!$B$20="Jahresanfang 2025 + Export",BJ1229+BI1229,BI1229)))</f>
        <v>0</v>
      </c>
      <c r="H1229" s="57" t="n">
        <f aca="false">G1229*F1229</f>
        <v>0</v>
      </c>
      <c r="I1229" s="57" t="n">
        <f aca="false">BL1229*Parameter!$B$18</f>
        <v>0</v>
      </c>
      <c r="J1229" s="58" t="n">
        <v>2</v>
      </c>
      <c r="K1229" s="59" t="n">
        <v>0</v>
      </c>
      <c r="L1229" s="57" t="n">
        <v>0</v>
      </c>
      <c r="M1229" s="57" t="n">
        <v>1</v>
      </c>
      <c r="N1229" s="60" t="n">
        <v>56</v>
      </c>
      <c r="O1229" s="55" t="s">
        <v>163</v>
      </c>
      <c r="P1229" s="57"/>
      <c r="Q1229" s="60" t="n">
        <f aca="false">IF(BR1229=1,0,IFERROR(VLOOKUP(BP1229,'Gebinde-Kategorie'!$A$5:$M$45,13,0)+0,0))</f>
        <v>0</v>
      </c>
      <c r="R1229" s="61"/>
      <c r="S1229" s="62"/>
      <c r="T1229" s="62"/>
      <c r="U1229" s="55"/>
      <c r="V1229" s="57"/>
      <c r="W1229" s="57"/>
      <c r="X1229" s="55" t="n">
        <f aca="false">IF(A1229="","",IF(AND(Parameter!$B$21="Ja",ISNUMBER(U1229)),U1229,IF(IFERROR(VLOOKUP(D1229,Parameter!$A$35:$C$64,2,0),"Nein")="2+3",IF(ISNUMBER(SEARCH("grosser Artikel",BM1229)),2,IFERROR(VLOOKUP(BP1229,Parameter!$F$35:$G$64,2,0),2)),IF(OR(IFERROR(VLOOKUP(D1229,Parameter!$A$35:$C$64,2,0),"Nein")="Nein",IFERROR(VLOOKUP(D1229,Parameter!$A$35:$C$64,2,0),"Nein")=""),"-",VLOOKUP(D1229,Parameter!$A$35:$C$64,2,0)))))</f>
        <v>2</v>
      </c>
      <c r="Y1229" s="62"/>
      <c r="Z1229" s="63"/>
      <c r="AA1229" s="57" t="n">
        <f aca="false">AP1229</f>
        <v>1</v>
      </c>
      <c r="AB1229" s="57" t="n">
        <f aca="false">MAX(AP1229,G1229)</f>
        <v>1</v>
      </c>
      <c r="AC1229" s="64"/>
      <c r="AD1229" s="57" t="n">
        <f aca="false">IF(LEFT(Cockpit!$C$5,1)="A",G1229,IF(BW1229=1,BX1229,IF(LEFT(Cockpit!$C$5,1)="B",AH1229,MAX(AH1229,G1229))))</f>
        <v>0</v>
      </c>
      <c r="AE1229" s="57" t="n">
        <f aca="false">IF(BR1229=1,0,ROUNDUP(AD1229/BQ1229,0))</f>
        <v>0</v>
      </c>
      <c r="AF1229" s="59" t="n">
        <f aca="false">IF(CD1229&gt;0,CD1229*MAX(1,AD1229/V1229),IF(BR1229=1,IF(AD1229&lt;=0,0,BS1229*MAX(1,IF(G1229&gt;0,AD1229/G1229,1))),IF(Q1229&gt;0,AE1229/Q1229,0))/MAX(0.1,N(Parameter!$M$21)))</f>
        <v>0</v>
      </c>
      <c r="AG1229" s="57" t="n">
        <f aca="false">AD1229*F1229</f>
        <v>0</v>
      </c>
      <c r="AH1229" s="57" t="n">
        <f aca="false">ROUNDUP(MAX(I1229/IF(BV1229&gt;0,BV1229,MAX(0.1,N(Cockpit!$C$6))),BY1229)/BQ1229,0)*BQ1229</f>
        <v>1</v>
      </c>
      <c r="AI1229" s="58" t="n">
        <f aca="false">IF(AF1229&gt;0,I1229/AF1229,-1)</f>
        <v>-1</v>
      </c>
      <c r="AJ1229" s="58" t="str">
        <f aca="false">IF(AND(OR(BU1229="L1",BU1229="L23"),AF1229&gt;0),SUMIFS($AF$7:$AF$1576,$BU$7:$BU$1576,BU1229,$AI$7:$AI$1576,"&gt;"&amp;AI1229)+SUMIFS($AF$7:$AF$1576,$BU$7:$BU$1576,BU1229,$AI$7:$AI$1576,AI1229,$BO$7:$BO$1576,"&lt;="&amp;BO1229),"")</f>
        <v/>
      </c>
      <c r="AK1229" s="65" t="n">
        <f aca="false">IF(AJ1229="",0,MAX(0,MIN(1,(IF(BU1229="L1",Parameter!$E$5,Parameter!$E$6+Parameter!$E$7)-(AJ1229-AF1229))/AF1229)))</f>
        <v>0</v>
      </c>
      <c r="AL1229" s="57" t="n">
        <f aca="false">IF(LEFT(Cockpit!$I$5,1)="A",G1229,IF(BW1229=1,BX1229,IF(LEFT(Cockpit!$I$5,1)="B",AP1229,MAX(AP1229,G1229))))</f>
        <v>1</v>
      </c>
      <c r="AM1229" s="57" t="n">
        <f aca="false">IF(BR1229=1,0,ROUNDUP(AL1229/BQ1229,0))</f>
        <v>0</v>
      </c>
      <c r="AN1229" s="59" t="n">
        <f aca="false">IF(CD1229&gt;0,CD1229*MAX(1,AL1229/V1229),IF(BR1229=1,IF(AL1229&lt;=0,0,BS1229*MAX(1,IF(G1229&gt;0,AL1229/G1229,1))),IF(Q1229&gt;0,AM1229/Q1229,0))/MAX(0.1,N(Parameter!$M$21)))</f>
        <v>0.15</v>
      </c>
      <c r="AO1229" s="57" t="n">
        <f aca="false">AL1229*F1229</f>
        <v>160.38</v>
      </c>
      <c r="AP1229" s="57" t="n">
        <f aca="false">ROUNDUP(MAX(I1229/IF(BV1229&gt;0,BV1229,MAX(0.1,N(Cockpit!$I$6))),BY1229)/BQ1229,0)*BQ1229</f>
        <v>1</v>
      </c>
      <c r="AQ1229" s="58" t="n">
        <f aca="false">IF(AN1229&gt;0,I1229/AN1229,-1)</f>
        <v>0</v>
      </c>
      <c r="AR1229" s="58" t="n">
        <f aca="false">IF(AND(OR(BU1229="L1",BU1229="L23"),AN1229&gt;0),SUMIFS($AN$7:$AN$1576,$BU$7:$BU$1576,BU1229,$AQ$7:$AQ$1576,"&gt;"&amp;AQ1229)+SUMIFS($AN$7:$AN$1576,$BU$7:$BU$1576,BU1229,$AQ$7:$AQ$1576,AQ1229,$BO$7:$BO$1576,"&lt;="&amp;BO1229),"")</f>
        <v>136.268178850183</v>
      </c>
      <c r="AS1229" s="65" t="n">
        <f aca="false">IF(AR1229="",0,MAX(0,MIN(1,(IF(BU1229="L1",Parameter!$E$5,Parameter!$E$6+Parameter!$E$7)-(AR1229-AN1229))/AN1229)))</f>
        <v>0</v>
      </c>
      <c r="AT1229" s="57" t="n">
        <f aca="false">IF(LEFT(Cockpit!$O$5,1)="A",G1229,IF(BW1229=1,BX1229,IF(LEFT(Cockpit!$O$5,1)="B",AX1229,MAX(AX1229,G1229))))</f>
        <v>1</v>
      </c>
      <c r="AU1229" s="57" t="n">
        <f aca="false">IF(BR1229=1,0,ROUNDUP(AT1229/BQ1229,0))</f>
        <v>0</v>
      </c>
      <c r="AV1229" s="59" t="n">
        <f aca="false">IF(CD1229&gt;0,CD1229*MAX(1,AT1229/V1229),IF(BR1229=1,IF(AT1229&lt;=0,0,BS1229*MAX(1,IF(G1229&gt;0,AT1229/G1229,1))),IF(Q1229&gt;0,AU1229/Q1229,0))/MAX(0.1,N(Parameter!$M$21)))</f>
        <v>0.15</v>
      </c>
      <c r="AW1229" s="57" t="n">
        <f aca="false">AT1229*F1229</f>
        <v>160.38</v>
      </c>
      <c r="AX1229" s="57" t="n">
        <f aca="false">ROUNDUP(MAX(I1229/IF(BV1229&gt;0,BV1229,MAX(0.1,N(Cockpit!$O$6))),BY1229)/BQ1229,0)*BQ1229</f>
        <v>1</v>
      </c>
      <c r="AY1229" s="58" t="n">
        <f aca="false">IF(AV1229&gt;0,I1229/AV1229,-1)</f>
        <v>0</v>
      </c>
      <c r="AZ1229" s="58" t="n">
        <f aca="false">IF(AND(OR(BU1229="L1",BU1229="L23"),AV1229&gt;0),SUMIFS($AV$7:$AV$1576,$BU$7:$BU$1576,BU1229,$AY$7:$AY$1576,"&gt;"&amp;AY1229)+SUMIFS($AV$7:$AV$1576,$BU$7:$BU$1576,BU1229,$AY$7:$AY$1576,AY1229,$BO$7:$BO$1576,"&lt;="&amp;BO1229),"")</f>
        <v>126.327729299733</v>
      </c>
      <c r="BA1229" s="65" t="n">
        <f aca="false">IF(AZ1229="",0,MAX(0,MIN(1,(IF(BU1229="L1",Parameter!$E$5,Parameter!$E$6+Parameter!$E$7)-(AZ1229-AV1229))/AV1229)))</f>
        <v>0</v>
      </c>
      <c r="BB1229" s="55" t="str">
        <f aca="false">IF(AF1229&lt;=0,"",IF(BU1229="Aussen","Aussenlager",IF(BU1229="-","Nicht im Lift",IF(AK1229&gt;=1,"Lift",IF(AK1229&lt;=0,"Aussenlager","teilweise")))))</f>
        <v/>
      </c>
      <c r="BC1229" s="55" t="str">
        <f aca="false">IF(AN1229&lt;=0,"",IF(BU1229="Aussen","Aussenlager",IF(BU1229="-","Nicht im Lift",IF(AS1229&gt;=1,"Lift",IF(AS1229&lt;=0,"Aussenlager","teilweise")))))</f>
        <v>Aussenlager</v>
      </c>
      <c r="BD1229" s="55" t="str">
        <f aca="false">IF(AV1229&lt;=0,"",IF(BU1229="Aussen","Aussenlager",IF(BU1229="-","Nicht im Lift",IF(BA1229&gt;=1,"Lift",IF(BA1229&lt;=0,"Aussenlager","teilweise")))))</f>
        <v>Aussenlager</v>
      </c>
      <c r="BE1229" s="55" t="str">
        <f aca="false">IF(A1229="","",IF(BN1229=1,"Neu; ","")&amp;IF(AND(BN1229=0,BI1229&lt;0),"negativer Bestand (Export "&amp;BI1229&amp;"); ","")&amp;IF(I1229&lt;=0,"Kein Verbrauch; ","")&amp;IF(CD1229&gt;0,"Lift "&amp;U1229&amp;" lt. Liftbericht (Fach "&amp;V1229&amp;" Stk); ",IF(BR1229=1,"Lose – Fläche geschätzt; ",""))&amp;IF(G1229&gt;AP1229,"Überbestand "&amp;ROUND(G1229-AP1229,0)&amp;" Stk / CHF "&amp;ROUND((G1229-AP1229)*F1229,0)&amp;"; ","")&amp;IF(AND(BW1229=1,BX1229&lt;BY1229),"MAX &lt; MB+LG; ","")&amp;IF(AND(CC1229&gt;0,CB1229*10&gt;CC1229),"zu hoch für Tablar; ","")&amp;IF(AND(BN1229=0,OR(BW1229=1,Y1229&lt;&gt;"",S1229&lt;&gt;"",T1229&lt;&gt;"",Z1229&lt;&gt;"")),"manuell übersteuert; ","")&amp;IF(AND(BR1229=0,Q1229=0),"Gebinde unbekannt / Stellmass fehlt; ","")&amp;IF(AND(BR1229=0,N(T1229)&lt;=0,N(P1229)&lt;=0),"Menge pro Gebinde fehlt (Ist = 1 Gebinde); ","")&amp;BM1229)</f>
        <v>negativer Bestand (Export -4); Kein Verbrauch; Lose – Fläche geschätzt; </v>
      </c>
      <c r="BF1229" s="55"/>
      <c r="BG1229" s="55"/>
      <c r="BH1229" s="62"/>
      <c r="BI1229" s="57" t="n">
        <v>-4</v>
      </c>
      <c r="BJ1229" s="57" t="n">
        <v>4</v>
      </c>
      <c r="BK1229" s="56" t="n">
        <v>-641.52</v>
      </c>
      <c r="BL1229" s="57" t="n">
        <v>0</v>
      </c>
      <c r="BM1229" s="55"/>
      <c r="BN1229" s="60" t="n">
        <v>0</v>
      </c>
      <c r="BO1229" s="60" t="n">
        <v>1229</v>
      </c>
      <c r="BP1229" s="55" t="str">
        <f aca="false">IF(S1229&lt;&gt;"",UPPER(TRIM(S1229)),IF(O1229="","LOSE",O1229))</f>
        <v>LOSE</v>
      </c>
      <c r="BQ1229" s="57" t="n">
        <f aca="false">IF(BP1229="LOSE",1,IF(N(T1229)&gt;0,T1229,IF(N(P1229)&gt;0,P1229,MAX(1,G1229))))</f>
        <v>1</v>
      </c>
      <c r="BR1229" s="60" t="n">
        <f aca="false">IF(BP1229="LOSE",1,0)</f>
        <v>1</v>
      </c>
      <c r="BS1229" s="59" t="n">
        <f aca="false">IF(BR1229=0,0,IF(N(R1229)&gt;0,R1229,IFERROR(VLOOKUP(D1229,Parameter!$A$35:$C$64,3,0)+0,0)))</f>
        <v>0.15</v>
      </c>
      <c r="BT1229" s="55" t="n">
        <f aca="false">IF(Y1229&lt;&gt;"",Y1229,X1229)</f>
        <v>2</v>
      </c>
      <c r="BU1229" s="55" t="str">
        <f aca="false">IF(BT1229=1,"L1",IF(OR(BT1229=2,BT1229=3),"L23",IF(BT1229="Aussen","Aussen","-")))</f>
        <v>L23</v>
      </c>
      <c r="BV1229" s="66" t="n">
        <f aca="false">IF(N(Z1229)&gt;0,Z1229,0)</f>
        <v>0</v>
      </c>
      <c r="BW1229" s="60" t="n">
        <f aca="false">IF(ISNUMBER(AC1229),1,0)</f>
        <v>0</v>
      </c>
      <c r="BX1229" s="57" t="n">
        <f aca="false">N(AC1229)</f>
        <v>0</v>
      </c>
      <c r="BY1229" s="57" t="n">
        <f aca="false">N(L1229)+N(M1229)</f>
        <v>1</v>
      </c>
      <c r="BZ1229" s="57" t="n">
        <f aca="false">ROUNDUP(G1229/BQ1229,0)</f>
        <v>0</v>
      </c>
      <c r="CA1229" s="57" t="n">
        <f aca="false">ROUNDUP(BX1229/BQ1229,0)</f>
        <v>0</v>
      </c>
      <c r="CB1229" s="60" t="n">
        <f aca="false">IF(BR1229=1,0,IFERROR(VLOOKUP(BP1229,'Gebinde-Kategorie'!$A$5:$M$45,5,0)+0,0))</f>
        <v>0</v>
      </c>
      <c r="CC1229" s="60" t="n">
        <f aca="false">IFERROR(IF(OR(BT1229=1,BT1229=2,BT1229=3),N(INDEX(Parameter!$I$5:$I$7,BT1229)),0),0)</f>
        <v>0</v>
      </c>
      <c r="CD1229" s="59" t="n">
        <f aca="false">IF(AND(Parameter!$B$21="Ja",ISNUMBER(U1229),N(V1229)&gt;0),IFERROR(N(INDEX(Parameter!$L$5:$L$7,U1229))*INDEX(Parameter!$E$5:$E$7,U1229)*V1229/SUMIFS($V$7:$V$1576,$U$7:$U$1576,U1229),0),0)</f>
        <v>0</v>
      </c>
    </row>
    <row r="1230" customFormat="false" ht="15" hidden="false" customHeight="false" outlineLevel="0" collapsed="false">
      <c r="A1230" s="55" t="s">
        <v>2189</v>
      </c>
      <c r="B1230" s="55" t="s">
        <v>2190</v>
      </c>
      <c r="C1230" s="55" t="s">
        <v>446</v>
      </c>
      <c r="D1230" s="55" t="s">
        <v>168</v>
      </c>
      <c r="E1230" s="55" t="s">
        <v>210</v>
      </c>
      <c r="F1230" s="56" t="n">
        <v>160.8</v>
      </c>
      <c r="G1230" s="57" t="n">
        <f aca="false">MAX(0,IF(AND(Parameter!$B$21="Ja",ISNUMBER(W1230)),W1230,IF(Parameter!$B$20="Jahresanfang 2025 + Export",BJ1230+BI1230,BI1230)))</f>
        <v>0</v>
      </c>
      <c r="H1230" s="57" t="n">
        <f aca="false">G1230*F1230</f>
        <v>0</v>
      </c>
      <c r="I1230" s="57" t="n">
        <f aca="false">BL1230*Parameter!$B$18</f>
        <v>0</v>
      </c>
      <c r="J1230" s="58" t="n">
        <v>2</v>
      </c>
      <c r="K1230" s="59" t="n">
        <v>0</v>
      </c>
      <c r="L1230" s="57" t="n">
        <v>0</v>
      </c>
      <c r="M1230" s="57" t="n">
        <v>1</v>
      </c>
      <c r="N1230" s="60" t="n">
        <v>56</v>
      </c>
      <c r="O1230" s="55" t="s">
        <v>163</v>
      </c>
      <c r="P1230" s="57"/>
      <c r="Q1230" s="60" t="n">
        <f aca="false">IF(BR1230=1,0,IFERROR(VLOOKUP(BP1230,'Gebinde-Kategorie'!$A$5:$M$45,13,0)+0,0))</f>
        <v>0</v>
      </c>
      <c r="R1230" s="61"/>
      <c r="S1230" s="62"/>
      <c r="T1230" s="62"/>
      <c r="U1230" s="55"/>
      <c r="V1230" s="57"/>
      <c r="W1230" s="57"/>
      <c r="X1230" s="55" t="n">
        <f aca="false">IF(A1230="","",IF(AND(Parameter!$B$21="Ja",ISNUMBER(U1230)),U1230,IF(IFERROR(VLOOKUP(D1230,Parameter!$A$35:$C$64,2,0),"Nein")="2+3",IF(ISNUMBER(SEARCH("grosser Artikel",BM1230)),2,IFERROR(VLOOKUP(BP1230,Parameter!$F$35:$G$64,2,0),2)),IF(OR(IFERROR(VLOOKUP(D1230,Parameter!$A$35:$C$64,2,0),"Nein")="Nein",IFERROR(VLOOKUP(D1230,Parameter!$A$35:$C$64,2,0),"Nein")=""),"-",VLOOKUP(D1230,Parameter!$A$35:$C$64,2,0)))))</f>
        <v>2</v>
      </c>
      <c r="Y1230" s="62"/>
      <c r="Z1230" s="63"/>
      <c r="AA1230" s="57" t="n">
        <f aca="false">AP1230</f>
        <v>1</v>
      </c>
      <c r="AB1230" s="57" t="n">
        <f aca="false">MAX(AP1230,G1230)</f>
        <v>1</v>
      </c>
      <c r="AC1230" s="64"/>
      <c r="AD1230" s="57" t="n">
        <f aca="false">IF(LEFT(Cockpit!$C$5,1)="A",G1230,IF(BW1230=1,BX1230,IF(LEFT(Cockpit!$C$5,1)="B",AH1230,MAX(AH1230,G1230))))</f>
        <v>0</v>
      </c>
      <c r="AE1230" s="57" t="n">
        <f aca="false">IF(BR1230=1,0,ROUNDUP(AD1230/BQ1230,0))</f>
        <v>0</v>
      </c>
      <c r="AF1230" s="59" t="n">
        <f aca="false">IF(CD1230&gt;0,CD1230*MAX(1,AD1230/V1230),IF(BR1230=1,IF(AD1230&lt;=0,0,BS1230*MAX(1,IF(G1230&gt;0,AD1230/G1230,1))),IF(Q1230&gt;0,AE1230/Q1230,0))/MAX(0.1,N(Parameter!$M$21)))</f>
        <v>0</v>
      </c>
      <c r="AG1230" s="57" t="n">
        <f aca="false">AD1230*F1230</f>
        <v>0</v>
      </c>
      <c r="AH1230" s="57" t="n">
        <f aca="false">ROUNDUP(MAX(I1230/IF(BV1230&gt;0,BV1230,MAX(0.1,N(Cockpit!$C$6))),BY1230)/BQ1230,0)*BQ1230</f>
        <v>1</v>
      </c>
      <c r="AI1230" s="58" t="n">
        <f aca="false">IF(AF1230&gt;0,I1230/AF1230,-1)</f>
        <v>-1</v>
      </c>
      <c r="AJ1230" s="58" t="str">
        <f aca="false">IF(AND(OR(BU1230="L1",BU1230="L23"),AF1230&gt;0),SUMIFS($AF$7:$AF$1576,$BU$7:$BU$1576,BU1230,$AI$7:$AI$1576,"&gt;"&amp;AI1230)+SUMIFS($AF$7:$AF$1576,$BU$7:$BU$1576,BU1230,$AI$7:$AI$1576,AI1230,$BO$7:$BO$1576,"&lt;="&amp;BO1230),"")</f>
        <v/>
      </c>
      <c r="AK1230" s="65" t="n">
        <f aca="false">IF(AJ1230="",0,MAX(0,MIN(1,(IF(BU1230="L1",Parameter!$E$5,Parameter!$E$6+Parameter!$E$7)-(AJ1230-AF1230))/AF1230)))</f>
        <v>0</v>
      </c>
      <c r="AL1230" s="57" t="n">
        <f aca="false">IF(LEFT(Cockpit!$I$5,1)="A",G1230,IF(BW1230=1,BX1230,IF(LEFT(Cockpit!$I$5,1)="B",AP1230,MAX(AP1230,G1230))))</f>
        <v>1</v>
      </c>
      <c r="AM1230" s="57" t="n">
        <f aca="false">IF(BR1230=1,0,ROUNDUP(AL1230/BQ1230,0))</f>
        <v>0</v>
      </c>
      <c r="AN1230" s="59" t="n">
        <f aca="false">IF(CD1230&gt;0,CD1230*MAX(1,AL1230/V1230),IF(BR1230=1,IF(AL1230&lt;=0,0,BS1230*MAX(1,IF(G1230&gt;0,AL1230/G1230,1))),IF(Q1230&gt;0,AM1230/Q1230,0))/MAX(0.1,N(Parameter!$M$21)))</f>
        <v>0.15</v>
      </c>
      <c r="AO1230" s="57" t="n">
        <f aca="false">AL1230*F1230</f>
        <v>160.8</v>
      </c>
      <c r="AP1230" s="57" t="n">
        <f aca="false">ROUNDUP(MAX(I1230/IF(BV1230&gt;0,BV1230,MAX(0.1,N(Cockpit!$I$6))),BY1230)/BQ1230,0)*BQ1230</f>
        <v>1</v>
      </c>
      <c r="AQ1230" s="58" t="n">
        <f aca="false">IF(AN1230&gt;0,I1230/AN1230,-1)</f>
        <v>0</v>
      </c>
      <c r="AR1230" s="58" t="n">
        <f aca="false">IF(AND(OR(BU1230="L1",BU1230="L23"),AN1230&gt;0),SUMIFS($AN$7:$AN$1576,$BU$7:$BU$1576,BU1230,$AQ$7:$AQ$1576,"&gt;"&amp;AQ1230)+SUMIFS($AN$7:$AN$1576,$BU$7:$BU$1576,BU1230,$AQ$7:$AQ$1576,AQ1230,$BO$7:$BO$1576,"&lt;="&amp;BO1230),"")</f>
        <v>136.418178850183</v>
      </c>
      <c r="AS1230" s="65" t="n">
        <f aca="false">IF(AR1230="",0,MAX(0,MIN(1,(IF(BU1230="L1",Parameter!$E$5,Parameter!$E$6+Parameter!$E$7)-(AR1230-AN1230))/AN1230)))</f>
        <v>0</v>
      </c>
      <c r="AT1230" s="57" t="n">
        <f aca="false">IF(LEFT(Cockpit!$O$5,1)="A",G1230,IF(BW1230=1,BX1230,IF(LEFT(Cockpit!$O$5,1)="B",AX1230,MAX(AX1230,G1230))))</f>
        <v>1</v>
      </c>
      <c r="AU1230" s="57" t="n">
        <f aca="false">IF(BR1230=1,0,ROUNDUP(AT1230/BQ1230,0))</f>
        <v>0</v>
      </c>
      <c r="AV1230" s="59" t="n">
        <f aca="false">IF(CD1230&gt;0,CD1230*MAX(1,AT1230/V1230),IF(BR1230=1,IF(AT1230&lt;=0,0,BS1230*MAX(1,IF(G1230&gt;0,AT1230/G1230,1))),IF(Q1230&gt;0,AU1230/Q1230,0))/MAX(0.1,N(Parameter!$M$21)))</f>
        <v>0.15</v>
      </c>
      <c r="AW1230" s="57" t="n">
        <f aca="false">AT1230*F1230</f>
        <v>160.8</v>
      </c>
      <c r="AX1230" s="57" t="n">
        <f aca="false">ROUNDUP(MAX(I1230/IF(BV1230&gt;0,BV1230,MAX(0.1,N(Cockpit!$O$6))),BY1230)/BQ1230,0)*BQ1230</f>
        <v>1</v>
      </c>
      <c r="AY1230" s="58" t="n">
        <f aca="false">IF(AV1230&gt;0,I1230/AV1230,-1)</f>
        <v>0</v>
      </c>
      <c r="AZ1230" s="58" t="n">
        <f aca="false">IF(AND(OR(BU1230="L1",BU1230="L23"),AV1230&gt;0),SUMIFS($AV$7:$AV$1576,$BU$7:$BU$1576,BU1230,$AY$7:$AY$1576,"&gt;"&amp;AY1230)+SUMIFS($AV$7:$AV$1576,$BU$7:$BU$1576,BU1230,$AY$7:$AY$1576,AY1230,$BO$7:$BO$1576,"&lt;="&amp;BO1230),"")</f>
        <v>126.477729299733</v>
      </c>
      <c r="BA1230" s="65" t="n">
        <f aca="false">IF(AZ1230="",0,MAX(0,MIN(1,(IF(BU1230="L1",Parameter!$E$5,Parameter!$E$6+Parameter!$E$7)-(AZ1230-AV1230))/AV1230)))</f>
        <v>0</v>
      </c>
      <c r="BB1230" s="55" t="str">
        <f aca="false">IF(AF1230&lt;=0,"",IF(BU1230="Aussen","Aussenlager",IF(BU1230="-","Nicht im Lift",IF(AK1230&gt;=1,"Lift",IF(AK1230&lt;=0,"Aussenlager","teilweise")))))</f>
        <v/>
      </c>
      <c r="BC1230" s="55" t="str">
        <f aca="false">IF(AN1230&lt;=0,"",IF(BU1230="Aussen","Aussenlager",IF(BU1230="-","Nicht im Lift",IF(AS1230&gt;=1,"Lift",IF(AS1230&lt;=0,"Aussenlager","teilweise")))))</f>
        <v>Aussenlager</v>
      </c>
      <c r="BD1230" s="55" t="str">
        <f aca="false">IF(AV1230&lt;=0,"",IF(BU1230="Aussen","Aussenlager",IF(BU1230="-","Nicht im Lift",IF(BA1230&gt;=1,"Lift",IF(BA1230&lt;=0,"Aussenlager","teilweise")))))</f>
        <v>Aussenlager</v>
      </c>
      <c r="BE1230" s="55" t="str">
        <f aca="false">IF(A1230="","",IF(BN1230=1,"Neu; ","")&amp;IF(AND(BN1230=0,BI1230&lt;0),"negativer Bestand (Export "&amp;BI1230&amp;"); ","")&amp;IF(I1230&lt;=0,"Kein Verbrauch; ","")&amp;IF(CD1230&gt;0,"Lift "&amp;U1230&amp;" lt. Liftbericht (Fach "&amp;V1230&amp;" Stk); ",IF(BR1230=1,"Lose – Fläche geschätzt; ",""))&amp;IF(G1230&gt;AP1230,"Überbestand "&amp;ROUND(G1230-AP1230,0)&amp;" Stk / CHF "&amp;ROUND((G1230-AP1230)*F1230,0)&amp;"; ","")&amp;IF(AND(BW1230=1,BX1230&lt;BY1230),"MAX &lt; MB+LG; ","")&amp;IF(AND(CC1230&gt;0,CB1230*10&gt;CC1230),"zu hoch für Tablar; ","")&amp;IF(AND(BN1230=0,OR(BW1230=1,Y1230&lt;&gt;"",S1230&lt;&gt;"",T1230&lt;&gt;"",Z1230&lt;&gt;"")),"manuell übersteuert; ","")&amp;IF(AND(BR1230=0,Q1230=0),"Gebinde unbekannt / Stellmass fehlt; ","")&amp;IF(AND(BR1230=0,N(T1230)&lt;=0,N(P1230)&lt;=0),"Menge pro Gebinde fehlt (Ist = 1 Gebinde); ","")&amp;BM1230)</f>
        <v>negativer Bestand (Export -4); Kein Verbrauch; Lose – Fläche geschätzt; </v>
      </c>
      <c r="BF1230" s="55"/>
      <c r="BG1230" s="55"/>
      <c r="BH1230" s="62"/>
      <c r="BI1230" s="57" t="n">
        <v>-4</v>
      </c>
      <c r="BJ1230" s="57" t="n">
        <v>4</v>
      </c>
      <c r="BK1230" s="56" t="n">
        <v>-643.2</v>
      </c>
      <c r="BL1230" s="57" t="n">
        <v>0</v>
      </c>
      <c r="BM1230" s="55"/>
      <c r="BN1230" s="60" t="n">
        <v>0</v>
      </c>
      <c r="BO1230" s="60" t="n">
        <v>1230</v>
      </c>
      <c r="BP1230" s="55" t="str">
        <f aca="false">IF(S1230&lt;&gt;"",UPPER(TRIM(S1230)),IF(O1230="","LOSE",O1230))</f>
        <v>LOSE</v>
      </c>
      <c r="BQ1230" s="57" t="n">
        <f aca="false">IF(BP1230="LOSE",1,IF(N(T1230)&gt;0,T1230,IF(N(P1230)&gt;0,P1230,MAX(1,G1230))))</f>
        <v>1</v>
      </c>
      <c r="BR1230" s="60" t="n">
        <f aca="false">IF(BP1230="LOSE",1,0)</f>
        <v>1</v>
      </c>
      <c r="BS1230" s="59" t="n">
        <f aca="false">IF(BR1230=0,0,IF(N(R1230)&gt;0,R1230,IFERROR(VLOOKUP(D1230,Parameter!$A$35:$C$64,3,0)+0,0)))</f>
        <v>0.15</v>
      </c>
      <c r="BT1230" s="55" t="n">
        <f aca="false">IF(Y1230&lt;&gt;"",Y1230,X1230)</f>
        <v>2</v>
      </c>
      <c r="BU1230" s="55" t="str">
        <f aca="false">IF(BT1230=1,"L1",IF(OR(BT1230=2,BT1230=3),"L23",IF(BT1230="Aussen","Aussen","-")))</f>
        <v>L23</v>
      </c>
      <c r="BV1230" s="66" t="n">
        <f aca="false">IF(N(Z1230)&gt;0,Z1230,0)</f>
        <v>0</v>
      </c>
      <c r="BW1230" s="60" t="n">
        <f aca="false">IF(ISNUMBER(AC1230),1,0)</f>
        <v>0</v>
      </c>
      <c r="BX1230" s="57" t="n">
        <f aca="false">N(AC1230)</f>
        <v>0</v>
      </c>
      <c r="BY1230" s="57" t="n">
        <f aca="false">N(L1230)+N(M1230)</f>
        <v>1</v>
      </c>
      <c r="BZ1230" s="57" t="n">
        <f aca="false">ROUNDUP(G1230/BQ1230,0)</f>
        <v>0</v>
      </c>
      <c r="CA1230" s="57" t="n">
        <f aca="false">ROUNDUP(BX1230/BQ1230,0)</f>
        <v>0</v>
      </c>
      <c r="CB1230" s="60" t="n">
        <f aca="false">IF(BR1230=1,0,IFERROR(VLOOKUP(BP1230,'Gebinde-Kategorie'!$A$5:$M$45,5,0)+0,0))</f>
        <v>0</v>
      </c>
      <c r="CC1230" s="60" t="n">
        <f aca="false">IFERROR(IF(OR(BT1230=1,BT1230=2,BT1230=3),N(INDEX(Parameter!$I$5:$I$7,BT1230)),0),0)</f>
        <v>0</v>
      </c>
      <c r="CD1230" s="59" t="n">
        <f aca="false">IF(AND(Parameter!$B$21="Ja",ISNUMBER(U1230),N(V1230)&gt;0),IFERROR(N(INDEX(Parameter!$L$5:$L$7,U1230))*INDEX(Parameter!$E$5:$E$7,U1230)*V1230/SUMIFS($V$7:$V$1576,$U$7:$U$1576,U1230),0),0)</f>
        <v>0</v>
      </c>
    </row>
    <row r="1231" customFormat="false" ht="15" hidden="false" customHeight="false" outlineLevel="0" collapsed="false">
      <c r="A1231" s="55" t="s">
        <v>2191</v>
      </c>
      <c r="B1231" s="55" t="s">
        <v>1107</v>
      </c>
      <c r="C1231" s="55" t="s">
        <v>160</v>
      </c>
      <c r="D1231" s="55" t="s">
        <v>178</v>
      </c>
      <c r="E1231" s="55" t="s">
        <v>210</v>
      </c>
      <c r="F1231" s="56" t="n">
        <v>36.02</v>
      </c>
      <c r="G1231" s="57" t="n">
        <f aca="false">MAX(0,IF(AND(Parameter!$B$21="Ja",ISNUMBER(W1231)),W1231,IF(Parameter!$B$20="Jahresanfang 2025 + Export",BJ1231+BI1231,BI1231)))</f>
        <v>0</v>
      </c>
      <c r="H1231" s="57" t="n">
        <f aca="false">G1231*F1231</f>
        <v>0</v>
      </c>
      <c r="I1231" s="57" t="n">
        <f aca="false">BL1231*Parameter!$B$18</f>
        <v>2</v>
      </c>
      <c r="J1231" s="58" t="n">
        <v>54.5</v>
      </c>
      <c r="K1231" s="59" t="n">
        <v>0.036697247706422</v>
      </c>
      <c r="L1231" s="57" t="n">
        <v>0</v>
      </c>
      <c r="M1231" s="57" t="n">
        <v>1</v>
      </c>
      <c r="N1231" s="60" t="n">
        <v>56</v>
      </c>
      <c r="O1231" s="55" t="s">
        <v>225</v>
      </c>
      <c r="P1231" s="57" t="n">
        <v>13</v>
      </c>
      <c r="Q1231" s="60" t="n">
        <f aca="false">IF(BR1231=1,0,IFERROR(VLOOKUP(BP1231,'Gebinde-Kategorie'!$A$5:$M$45,13,0)+0,0))</f>
        <v>26</v>
      </c>
      <c r="R1231" s="61"/>
      <c r="S1231" s="62"/>
      <c r="T1231" s="62"/>
      <c r="U1231" s="55"/>
      <c r="V1231" s="57"/>
      <c r="W1231" s="57"/>
      <c r="X1231" s="55" t="n">
        <f aca="false">IF(A1231="","",IF(AND(Parameter!$B$21="Ja",ISNUMBER(U1231)),U1231,IF(IFERROR(VLOOKUP(D1231,Parameter!$A$35:$C$64,2,0),"Nein")="2+3",IF(ISNUMBER(SEARCH("grosser Artikel",BM1231)),2,IFERROR(VLOOKUP(BP1231,Parameter!$F$35:$G$64,2,0),2)),IF(OR(IFERROR(VLOOKUP(D1231,Parameter!$A$35:$C$64,2,0),"Nein")="Nein",IFERROR(VLOOKUP(D1231,Parameter!$A$35:$C$64,2,0),"Nein")=""),"-",VLOOKUP(D1231,Parameter!$A$35:$C$64,2,0)))))</f>
        <v>3</v>
      </c>
      <c r="Y1231" s="62"/>
      <c r="Z1231" s="63"/>
      <c r="AA1231" s="57" t="n">
        <f aca="false">AP1231</f>
        <v>13</v>
      </c>
      <c r="AB1231" s="57" t="n">
        <f aca="false">MAX(AP1231,G1231)</f>
        <v>13</v>
      </c>
      <c r="AC1231" s="64"/>
      <c r="AD1231" s="57" t="n">
        <f aca="false">IF(LEFT(Cockpit!$C$5,1)="A",G1231,IF(BW1231=1,BX1231,IF(LEFT(Cockpit!$C$5,1)="B",AH1231,MAX(AH1231,G1231))))</f>
        <v>0</v>
      </c>
      <c r="AE1231" s="57" t="n">
        <f aca="false">IF(BR1231=1,0,ROUNDUP(AD1231/BQ1231,0))</f>
        <v>0</v>
      </c>
      <c r="AF1231" s="59" t="n">
        <f aca="false">IF(CD1231&gt;0,CD1231*MAX(1,AD1231/V1231),IF(BR1231=1,IF(AD1231&lt;=0,0,BS1231*MAX(1,IF(G1231&gt;0,AD1231/G1231,1))),IF(Q1231&gt;0,AE1231/Q1231,0))/MAX(0.1,N(Parameter!$M$21)))</f>
        <v>0</v>
      </c>
      <c r="AG1231" s="57" t="n">
        <f aca="false">AD1231*F1231</f>
        <v>0</v>
      </c>
      <c r="AH1231" s="57" t="n">
        <f aca="false">ROUNDUP(MAX(I1231/IF(BV1231&gt;0,BV1231,MAX(0.1,N(Cockpit!$C$6))),BY1231)/BQ1231,0)*BQ1231</f>
        <v>13</v>
      </c>
      <c r="AI1231" s="58" t="n">
        <f aca="false">IF(AF1231&gt;0,I1231/AF1231,-1)</f>
        <v>-1</v>
      </c>
      <c r="AJ1231" s="58" t="str">
        <f aca="false">IF(AND(OR(BU1231="L1",BU1231="L23"),AF1231&gt;0),SUMIFS($AF$7:$AF$1576,$BU$7:$BU$1576,BU1231,$AI$7:$AI$1576,"&gt;"&amp;AI1231)+SUMIFS($AF$7:$AF$1576,$BU$7:$BU$1576,BU1231,$AI$7:$AI$1576,AI1231,$BO$7:$BO$1576,"&lt;="&amp;BO1231),"")</f>
        <v/>
      </c>
      <c r="AK1231" s="65" t="n">
        <f aca="false">IF(AJ1231="",0,MAX(0,MIN(1,(IF(BU1231="L1",Parameter!$E$5,Parameter!$E$6+Parameter!$E$7)-(AJ1231-AF1231))/AF1231)))</f>
        <v>0</v>
      </c>
      <c r="AL1231" s="57" t="n">
        <f aca="false">IF(LEFT(Cockpit!$I$5,1)="A",G1231,IF(BW1231=1,BX1231,IF(LEFT(Cockpit!$I$5,1)="B",AP1231,MAX(AP1231,G1231))))</f>
        <v>13</v>
      </c>
      <c r="AM1231" s="57" t="n">
        <f aca="false">IF(BR1231=1,0,ROUNDUP(AL1231/BQ1231,0))</f>
        <v>1</v>
      </c>
      <c r="AN1231" s="59" t="n">
        <f aca="false">IF(CD1231&gt;0,CD1231*MAX(1,AL1231/V1231),IF(BR1231=1,IF(AL1231&lt;=0,0,BS1231*MAX(1,IF(G1231&gt;0,AL1231/G1231,1))),IF(Q1231&gt;0,AM1231/Q1231,0))/MAX(0.1,N(Parameter!$M$21)))</f>
        <v>0.0384615384615385</v>
      </c>
      <c r="AO1231" s="57" t="n">
        <f aca="false">AL1231*F1231</f>
        <v>468.26</v>
      </c>
      <c r="AP1231" s="57" t="n">
        <f aca="false">ROUNDUP(MAX(I1231/IF(BV1231&gt;0,BV1231,MAX(0.1,N(Cockpit!$I$6))),BY1231)/BQ1231,0)*BQ1231</f>
        <v>13</v>
      </c>
      <c r="AQ1231" s="58" t="n">
        <f aca="false">IF(AN1231&gt;0,I1231/AN1231,-1)</f>
        <v>52</v>
      </c>
      <c r="AR1231" s="58" t="n">
        <f aca="false">IF(AND(OR(BU1231="L1",BU1231="L23"),AN1231&gt;0),SUMIFS($AN$7:$AN$1576,$BU$7:$BU$1576,BU1231,$AQ$7:$AQ$1576,"&gt;"&amp;AQ1231)+SUMIFS($AN$7:$AN$1576,$BU$7:$BU$1576,BU1231,$AQ$7:$AQ$1576,AQ1231,$BO$7:$BO$1576,"&lt;="&amp;BO1231),"")</f>
        <v>82.3298704861317</v>
      </c>
      <c r="AS1231" s="65" t="n">
        <f aca="false">IF(AR1231="",0,MAX(0,MIN(1,(IF(BU1231="L1",Parameter!$E$5,Parameter!$E$6+Parameter!$E$7)-(AR1231-AN1231))/AN1231)))</f>
        <v>1</v>
      </c>
      <c r="AT1231" s="57" t="n">
        <f aca="false">IF(LEFT(Cockpit!$O$5,1)="A",G1231,IF(BW1231=1,BX1231,IF(LEFT(Cockpit!$O$5,1)="B",AX1231,MAX(AX1231,G1231))))</f>
        <v>13</v>
      </c>
      <c r="AU1231" s="57" t="n">
        <f aca="false">IF(BR1231=1,0,ROUNDUP(AT1231/BQ1231,0))</f>
        <v>1</v>
      </c>
      <c r="AV1231" s="59" t="n">
        <f aca="false">IF(CD1231&gt;0,CD1231*MAX(1,AT1231/V1231),IF(BR1231=1,IF(AT1231&lt;=0,0,BS1231*MAX(1,IF(G1231&gt;0,AT1231/G1231,1))),IF(Q1231&gt;0,AU1231/Q1231,0))/MAX(0.1,N(Parameter!$M$21)))</f>
        <v>0.0384615384615385</v>
      </c>
      <c r="AW1231" s="57" t="n">
        <f aca="false">AT1231*F1231</f>
        <v>468.26</v>
      </c>
      <c r="AX1231" s="57" t="n">
        <f aca="false">ROUNDUP(MAX(I1231/IF(BV1231&gt;0,BV1231,MAX(0.1,N(Cockpit!$O$6))),BY1231)/BQ1231,0)*BQ1231</f>
        <v>13</v>
      </c>
      <c r="AY1231" s="58" t="n">
        <f aca="false">IF(AV1231&gt;0,I1231/AV1231,-1)</f>
        <v>52</v>
      </c>
      <c r="AZ1231" s="58" t="n">
        <f aca="false">IF(AND(OR(BU1231="L1",BU1231="L23"),AV1231&gt;0),SUMIFS($AV$7:$AV$1576,$BU$7:$BU$1576,BU1231,$AY$7:$AY$1576,"&gt;"&amp;AY1231)+SUMIFS($AV$7:$AV$1576,$BU$7:$BU$1576,BU1231,$AY$7:$AY$1576,AY1231,$BO$7:$BO$1576,"&lt;="&amp;BO1231),"")</f>
        <v>78.7477542690154</v>
      </c>
      <c r="BA1231" s="65" t="n">
        <f aca="false">IF(AZ1231="",0,MAX(0,MIN(1,(IF(BU1231="L1",Parameter!$E$5,Parameter!$E$6+Parameter!$E$7)-(AZ1231-AV1231))/AV1231)))</f>
        <v>1</v>
      </c>
      <c r="BB1231" s="55" t="str">
        <f aca="false">IF(AF1231&lt;=0,"",IF(BU1231="Aussen","Aussenlager",IF(BU1231="-","Nicht im Lift",IF(AK1231&gt;=1,"Lift",IF(AK1231&lt;=0,"Aussenlager","teilweise")))))</f>
        <v/>
      </c>
      <c r="BC1231" s="55" t="str">
        <f aca="false">IF(AN1231&lt;=0,"",IF(BU1231="Aussen","Aussenlager",IF(BU1231="-","Nicht im Lift",IF(AS1231&gt;=1,"Lift",IF(AS1231&lt;=0,"Aussenlager","teilweise")))))</f>
        <v>Lift</v>
      </c>
      <c r="BD1231" s="55" t="str">
        <f aca="false">IF(AV1231&lt;=0,"",IF(BU1231="Aussen","Aussenlager",IF(BU1231="-","Nicht im Lift",IF(BA1231&gt;=1,"Lift",IF(BA1231&lt;=0,"Aussenlager","teilweise")))))</f>
        <v>Lift</v>
      </c>
      <c r="BE1231" s="55" t="str">
        <f aca="false">IF(A1231="","",IF(BN1231=1,"Neu; ","")&amp;IF(AND(BN1231=0,BI1231&lt;0),"negativer Bestand (Export "&amp;BI1231&amp;"); ","")&amp;IF(I1231&lt;=0,"Kein Verbrauch; ","")&amp;IF(CD1231&gt;0,"Lift "&amp;U1231&amp;" lt. Liftbericht (Fach "&amp;V1231&amp;" Stk); ",IF(BR1231=1,"Lose – Fläche geschätzt; ",""))&amp;IF(G1231&gt;AP1231,"Überbestand "&amp;ROUND(G1231-AP1231,0)&amp;" Stk / CHF "&amp;ROUND((G1231-AP1231)*F1231,0)&amp;"; ","")&amp;IF(AND(BW1231=1,BX1231&lt;BY1231),"MAX &lt; MB+LG; ","")&amp;IF(AND(CC1231&gt;0,CB1231*10&gt;CC1231),"zu hoch für Tablar; ","")&amp;IF(AND(BN1231=0,OR(BW1231=1,Y1231&lt;&gt;"",S1231&lt;&gt;"",T1231&lt;&gt;"",Z1231&lt;&gt;"")),"manuell übersteuert; ","")&amp;IF(AND(BR1231=0,Q1231=0),"Gebinde unbekannt / Stellmass fehlt; ","")&amp;IF(AND(BR1231=0,N(T1231)&lt;=0,N(P1231)&lt;=0),"Menge pro Gebinde fehlt (Ist = 1 Gebinde); ","")&amp;BM1231)</f>
        <v>negativer Bestand (Export -18); </v>
      </c>
      <c r="BF1231" s="55"/>
      <c r="BG1231" s="55"/>
      <c r="BH1231" s="62"/>
      <c r="BI1231" s="57" t="n">
        <v>-18</v>
      </c>
      <c r="BJ1231" s="57" t="n">
        <v>63</v>
      </c>
      <c r="BK1231" s="56" t="n">
        <v>-648.36</v>
      </c>
      <c r="BL1231" s="57" t="n">
        <v>2</v>
      </c>
      <c r="BM1231" s="55"/>
      <c r="BN1231" s="60" t="n">
        <v>0</v>
      </c>
      <c r="BO1231" s="60" t="n">
        <v>1231</v>
      </c>
      <c r="BP1231" s="55" t="str">
        <f aca="false">IF(S1231&lt;&gt;"",UPPER(TRIM(S1231)),IF(O1231="","LOSE",O1231))</f>
        <v>S52</v>
      </c>
      <c r="BQ1231" s="57" t="n">
        <f aca="false">IF(BP1231="LOSE",1,IF(N(T1231)&gt;0,T1231,IF(N(P1231)&gt;0,P1231,MAX(1,G1231))))</f>
        <v>13</v>
      </c>
      <c r="BR1231" s="60" t="n">
        <f aca="false">IF(BP1231="LOSE",1,0)</f>
        <v>0</v>
      </c>
      <c r="BS1231" s="59" t="n">
        <f aca="false">IF(BR1231=0,0,IF(N(R1231)&gt;0,R1231,IFERROR(VLOOKUP(D1231,Parameter!$A$35:$C$64,3,0)+0,0)))</f>
        <v>0</v>
      </c>
      <c r="BT1231" s="55" t="n">
        <f aca="false">IF(Y1231&lt;&gt;"",Y1231,X1231)</f>
        <v>3</v>
      </c>
      <c r="BU1231" s="55" t="str">
        <f aca="false">IF(BT1231=1,"L1",IF(OR(BT1231=2,BT1231=3),"L23",IF(BT1231="Aussen","Aussen","-")))</f>
        <v>L23</v>
      </c>
      <c r="BV1231" s="66" t="n">
        <f aca="false">IF(N(Z1231)&gt;0,Z1231,0)</f>
        <v>0</v>
      </c>
      <c r="BW1231" s="60" t="n">
        <f aca="false">IF(ISNUMBER(AC1231),1,0)</f>
        <v>0</v>
      </c>
      <c r="BX1231" s="57" t="n">
        <f aca="false">N(AC1231)</f>
        <v>0</v>
      </c>
      <c r="BY1231" s="57" t="n">
        <f aca="false">N(L1231)+N(M1231)</f>
        <v>1</v>
      </c>
      <c r="BZ1231" s="57" t="n">
        <f aca="false">ROUNDUP(G1231/BQ1231,0)</f>
        <v>0</v>
      </c>
      <c r="CA1231" s="57" t="n">
        <f aca="false">ROUNDUP(BX1231/BQ1231,0)</f>
        <v>0</v>
      </c>
      <c r="CB1231" s="60" t="n">
        <f aca="false">IF(BR1231=1,0,IFERROR(VLOOKUP(BP1231,'Gebinde-Kategorie'!$A$5:$M$45,5,0)+0,0))</f>
        <v>21</v>
      </c>
      <c r="CC1231" s="60" t="n">
        <f aca="false">IFERROR(IF(OR(BT1231=1,BT1231=2,BT1231=3),N(INDEX(Parameter!$I$5:$I$7,BT1231)),0),0)</f>
        <v>0</v>
      </c>
      <c r="CD1231" s="59" t="n">
        <f aca="false">IF(AND(Parameter!$B$21="Ja",ISNUMBER(U1231),N(V1231)&gt;0),IFERROR(N(INDEX(Parameter!$L$5:$L$7,U1231))*INDEX(Parameter!$E$5:$E$7,U1231)*V1231/SUMIFS($V$7:$V$1576,$U$7:$U$1576,U1231),0),0)</f>
        <v>0</v>
      </c>
    </row>
    <row r="1232" customFormat="false" ht="15" hidden="false" customHeight="false" outlineLevel="0" collapsed="false">
      <c r="A1232" s="55" t="s">
        <v>2192</v>
      </c>
      <c r="B1232" s="55" t="s">
        <v>2193</v>
      </c>
      <c r="C1232" s="55" t="s">
        <v>446</v>
      </c>
      <c r="D1232" s="55" t="s">
        <v>168</v>
      </c>
      <c r="E1232" s="55" t="s">
        <v>210</v>
      </c>
      <c r="F1232" s="56" t="n">
        <v>93.59</v>
      </c>
      <c r="G1232" s="57" t="n">
        <f aca="false">MAX(0,IF(AND(Parameter!$B$21="Ja",ISNUMBER(W1232)),W1232,IF(Parameter!$B$20="Jahresanfang 2025 + Export",BJ1232+BI1232,BI1232)))</f>
        <v>0</v>
      </c>
      <c r="H1232" s="57" t="n">
        <f aca="false">G1232*F1232</f>
        <v>0</v>
      </c>
      <c r="I1232" s="57" t="n">
        <f aca="false">BL1232*Parameter!$B$18</f>
        <v>0</v>
      </c>
      <c r="J1232" s="58" t="n">
        <v>3.5</v>
      </c>
      <c r="K1232" s="59" t="n">
        <v>0</v>
      </c>
      <c r="L1232" s="57" t="n">
        <v>0</v>
      </c>
      <c r="M1232" s="57" t="n">
        <v>1</v>
      </c>
      <c r="N1232" s="60" t="n">
        <v>56</v>
      </c>
      <c r="O1232" s="55" t="s">
        <v>163</v>
      </c>
      <c r="P1232" s="57"/>
      <c r="Q1232" s="60" t="n">
        <f aca="false">IF(BR1232=1,0,IFERROR(VLOOKUP(BP1232,'Gebinde-Kategorie'!$A$5:$M$45,13,0)+0,0))</f>
        <v>0</v>
      </c>
      <c r="R1232" s="61"/>
      <c r="S1232" s="62"/>
      <c r="T1232" s="62"/>
      <c r="U1232" s="55"/>
      <c r="V1232" s="57"/>
      <c r="W1232" s="57"/>
      <c r="X1232" s="55" t="n">
        <f aca="false">IF(A1232="","",IF(AND(Parameter!$B$21="Ja",ISNUMBER(U1232)),U1232,IF(IFERROR(VLOOKUP(D1232,Parameter!$A$35:$C$64,2,0),"Nein")="2+3",IF(ISNUMBER(SEARCH("grosser Artikel",BM1232)),2,IFERROR(VLOOKUP(BP1232,Parameter!$F$35:$G$64,2,0),2)),IF(OR(IFERROR(VLOOKUP(D1232,Parameter!$A$35:$C$64,2,0),"Nein")="Nein",IFERROR(VLOOKUP(D1232,Parameter!$A$35:$C$64,2,0),"Nein")=""),"-",VLOOKUP(D1232,Parameter!$A$35:$C$64,2,0)))))</f>
        <v>2</v>
      </c>
      <c r="Y1232" s="62"/>
      <c r="Z1232" s="63"/>
      <c r="AA1232" s="57" t="n">
        <f aca="false">AP1232</f>
        <v>1</v>
      </c>
      <c r="AB1232" s="57" t="n">
        <f aca="false">MAX(AP1232,G1232)</f>
        <v>1</v>
      </c>
      <c r="AC1232" s="64"/>
      <c r="AD1232" s="57" t="n">
        <f aca="false">IF(LEFT(Cockpit!$C$5,1)="A",G1232,IF(BW1232=1,BX1232,IF(LEFT(Cockpit!$C$5,1)="B",AH1232,MAX(AH1232,G1232))))</f>
        <v>0</v>
      </c>
      <c r="AE1232" s="57" t="n">
        <f aca="false">IF(BR1232=1,0,ROUNDUP(AD1232/BQ1232,0))</f>
        <v>0</v>
      </c>
      <c r="AF1232" s="59" t="n">
        <f aca="false">IF(CD1232&gt;0,CD1232*MAX(1,AD1232/V1232),IF(BR1232=1,IF(AD1232&lt;=0,0,BS1232*MAX(1,IF(G1232&gt;0,AD1232/G1232,1))),IF(Q1232&gt;0,AE1232/Q1232,0))/MAX(0.1,N(Parameter!$M$21)))</f>
        <v>0</v>
      </c>
      <c r="AG1232" s="57" t="n">
        <f aca="false">AD1232*F1232</f>
        <v>0</v>
      </c>
      <c r="AH1232" s="57" t="n">
        <f aca="false">ROUNDUP(MAX(I1232/IF(BV1232&gt;0,BV1232,MAX(0.1,N(Cockpit!$C$6))),BY1232)/BQ1232,0)*BQ1232</f>
        <v>1</v>
      </c>
      <c r="AI1232" s="58" t="n">
        <f aca="false">IF(AF1232&gt;0,I1232/AF1232,-1)</f>
        <v>-1</v>
      </c>
      <c r="AJ1232" s="58" t="str">
        <f aca="false">IF(AND(OR(BU1232="L1",BU1232="L23"),AF1232&gt;0),SUMIFS($AF$7:$AF$1576,$BU$7:$BU$1576,BU1232,$AI$7:$AI$1576,"&gt;"&amp;AI1232)+SUMIFS($AF$7:$AF$1576,$BU$7:$BU$1576,BU1232,$AI$7:$AI$1576,AI1232,$BO$7:$BO$1576,"&lt;="&amp;BO1232),"")</f>
        <v/>
      </c>
      <c r="AK1232" s="65" t="n">
        <f aca="false">IF(AJ1232="",0,MAX(0,MIN(1,(IF(BU1232="L1",Parameter!$E$5,Parameter!$E$6+Parameter!$E$7)-(AJ1232-AF1232))/AF1232)))</f>
        <v>0</v>
      </c>
      <c r="AL1232" s="57" t="n">
        <f aca="false">IF(LEFT(Cockpit!$I$5,1)="A",G1232,IF(BW1232=1,BX1232,IF(LEFT(Cockpit!$I$5,1)="B",AP1232,MAX(AP1232,G1232))))</f>
        <v>1</v>
      </c>
      <c r="AM1232" s="57" t="n">
        <f aca="false">IF(BR1232=1,0,ROUNDUP(AL1232/BQ1232,0))</f>
        <v>0</v>
      </c>
      <c r="AN1232" s="59" t="n">
        <f aca="false">IF(CD1232&gt;0,CD1232*MAX(1,AL1232/V1232),IF(BR1232=1,IF(AL1232&lt;=0,0,BS1232*MAX(1,IF(G1232&gt;0,AL1232/G1232,1))),IF(Q1232&gt;0,AM1232/Q1232,0))/MAX(0.1,N(Parameter!$M$21)))</f>
        <v>0.15</v>
      </c>
      <c r="AO1232" s="57" t="n">
        <f aca="false">AL1232*F1232</f>
        <v>93.59</v>
      </c>
      <c r="AP1232" s="57" t="n">
        <f aca="false">ROUNDUP(MAX(I1232/IF(BV1232&gt;0,BV1232,MAX(0.1,N(Cockpit!$I$6))),BY1232)/BQ1232,0)*BQ1232</f>
        <v>1</v>
      </c>
      <c r="AQ1232" s="58" t="n">
        <f aca="false">IF(AN1232&gt;0,I1232/AN1232,-1)</f>
        <v>0</v>
      </c>
      <c r="AR1232" s="58" t="n">
        <f aca="false">IF(AND(OR(BU1232="L1",BU1232="L23"),AN1232&gt;0),SUMIFS($AN$7:$AN$1576,$BU$7:$BU$1576,BU1232,$AQ$7:$AQ$1576,"&gt;"&amp;AQ1232)+SUMIFS($AN$7:$AN$1576,$BU$7:$BU$1576,BU1232,$AQ$7:$AQ$1576,AQ1232,$BO$7:$BO$1576,"&lt;="&amp;BO1232),"")</f>
        <v>136.568178850183</v>
      </c>
      <c r="AS1232" s="65" t="n">
        <f aca="false">IF(AR1232="",0,MAX(0,MIN(1,(IF(BU1232="L1",Parameter!$E$5,Parameter!$E$6+Parameter!$E$7)-(AR1232-AN1232))/AN1232)))</f>
        <v>0</v>
      </c>
      <c r="AT1232" s="57" t="n">
        <f aca="false">IF(LEFT(Cockpit!$O$5,1)="A",G1232,IF(BW1232=1,BX1232,IF(LEFT(Cockpit!$O$5,1)="B",AX1232,MAX(AX1232,G1232))))</f>
        <v>1</v>
      </c>
      <c r="AU1232" s="57" t="n">
        <f aca="false">IF(BR1232=1,0,ROUNDUP(AT1232/BQ1232,0))</f>
        <v>0</v>
      </c>
      <c r="AV1232" s="59" t="n">
        <f aca="false">IF(CD1232&gt;0,CD1232*MAX(1,AT1232/V1232),IF(BR1232=1,IF(AT1232&lt;=0,0,BS1232*MAX(1,IF(G1232&gt;0,AT1232/G1232,1))),IF(Q1232&gt;0,AU1232/Q1232,0))/MAX(0.1,N(Parameter!$M$21)))</f>
        <v>0.15</v>
      </c>
      <c r="AW1232" s="57" t="n">
        <f aca="false">AT1232*F1232</f>
        <v>93.59</v>
      </c>
      <c r="AX1232" s="57" t="n">
        <f aca="false">ROUNDUP(MAX(I1232/IF(BV1232&gt;0,BV1232,MAX(0.1,N(Cockpit!$O$6))),BY1232)/BQ1232,0)*BQ1232</f>
        <v>1</v>
      </c>
      <c r="AY1232" s="58" t="n">
        <f aca="false">IF(AV1232&gt;0,I1232/AV1232,-1)</f>
        <v>0</v>
      </c>
      <c r="AZ1232" s="58" t="n">
        <f aca="false">IF(AND(OR(BU1232="L1",BU1232="L23"),AV1232&gt;0),SUMIFS($AV$7:$AV$1576,$BU$7:$BU$1576,BU1232,$AY$7:$AY$1576,"&gt;"&amp;AY1232)+SUMIFS($AV$7:$AV$1576,$BU$7:$BU$1576,BU1232,$AY$7:$AY$1576,AY1232,$BO$7:$BO$1576,"&lt;="&amp;BO1232),"")</f>
        <v>126.627729299733</v>
      </c>
      <c r="BA1232" s="65" t="n">
        <f aca="false">IF(AZ1232="",0,MAX(0,MIN(1,(IF(BU1232="L1",Parameter!$E$5,Parameter!$E$6+Parameter!$E$7)-(AZ1232-AV1232))/AV1232)))</f>
        <v>0</v>
      </c>
      <c r="BB1232" s="55" t="str">
        <f aca="false">IF(AF1232&lt;=0,"",IF(BU1232="Aussen","Aussenlager",IF(BU1232="-","Nicht im Lift",IF(AK1232&gt;=1,"Lift",IF(AK1232&lt;=0,"Aussenlager","teilweise")))))</f>
        <v/>
      </c>
      <c r="BC1232" s="55" t="str">
        <f aca="false">IF(AN1232&lt;=0,"",IF(BU1232="Aussen","Aussenlager",IF(BU1232="-","Nicht im Lift",IF(AS1232&gt;=1,"Lift",IF(AS1232&lt;=0,"Aussenlager","teilweise")))))</f>
        <v>Aussenlager</v>
      </c>
      <c r="BD1232" s="55" t="str">
        <f aca="false">IF(AV1232&lt;=0,"",IF(BU1232="Aussen","Aussenlager",IF(BU1232="-","Nicht im Lift",IF(BA1232&gt;=1,"Lift",IF(BA1232&lt;=0,"Aussenlager","teilweise")))))</f>
        <v>Aussenlager</v>
      </c>
      <c r="BE1232" s="55" t="str">
        <f aca="false">IF(A1232="","",IF(BN1232=1,"Neu; ","")&amp;IF(AND(BN1232=0,BI1232&lt;0),"negativer Bestand (Export "&amp;BI1232&amp;"); ","")&amp;IF(I1232&lt;=0,"Kein Verbrauch; ","")&amp;IF(CD1232&gt;0,"Lift "&amp;U1232&amp;" lt. Liftbericht (Fach "&amp;V1232&amp;" Stk); ",IF(BR1232=1,"Lose – Fläche geschätzt; ",""))&amp;IF(G1232&gt;AP1232,"Überbestand "&amp;ROUND(G1232-AP1232,0)&amp;" Stk / CHF "&amp;ROUND((G1232-AP1232)*F1232,0)&amp;"; ","")&amp;IF(AND(BW1232=1,BX1232&lt;BY1232),"MAX &lt; MB+LG; ","")&amp;IF(AND(CC1232&gt;0,CB1232*10&gt;CC1232),"zu hoch für Tablar; ","")&amp;IF(AND(BN1232=0,OR(BW1232=1,Y1232&lt;&gt;"",S1232&lt;&gt;"",T1232&lt;&gt;"",Z1232&lt;&gt;"")),"manuell übersteuert; ","")&amp;IF(AND(BR1232=0,Q1232=0),"Gebinde unbekannt / Stellmass fehlt; ","")&amp;IF(AND(BR1232=0,N(T1232)&lt;=0,N(P1232)&lt;=0),"Menge pro Gebinde fehlt (Ist = 1 Gebinde); ","")&amp;BM1232)</f>
        <v>negativer Bestand (Export -7); Kein Verbrauch; Lose – Fläche geschätzt; Neuer Art.</v>
      </c>
      <c r="BF1232" s="55"/>
      <c r="BG1232" s="55"/>
      <c r="BH1232" s="62"/>
      <c r="BI1232" s="57" t="n">
        <v>-7</v>
      </c>
      <c r="BJ1232" s="57" t="n">
        <v>7</v>
      </c>
      <c r="BK1232" s="56" t="n">
        <v>-655.13</v>
      </c>
      <c r="BL1232" s="57" t="n">
        <v>0</v>
      </c>
      <c r="BM1232" s="55" t="s">
        <v>501</v>
      </c>
      <c r="BN1232" s="60" t="n">
        <v>0</v>
      </c>
      <c r="BO1232" s="60" t="n">
        <v>1232</v>
      </c>
      <c r="BP1232" s="55" t="str">
        <f aca="false">IF(S1232&lt;&gt;"",UPPER(TRIM(S1232)),IF(O1232="","LOSE",O1232))</f>
        <v>LOSE</v>
      </c>
      <c r="BQ1232" s="57" t="n">
        <f aca="false">IF(BP1232="LOSE",1,IF(N(T1232)&gt;0,T1232,IF(N(P1232)&gt;0,P1232,MAX(1,G1232))))</f>
        <v>1</v>
      </c>
      <c r="BR1232" s="60" t="n">
        <f aca="false">IF(BP1232="LOSE",1,0)</f>
        <v>1</v>
      </c>
      <c r="BS1232" s="59" t="n">
        <f aca="false">IF(BR1232=0,0,IF(N(R1232)&gt;0,R1232,IFERROR(VLOOKUP(D1232,Parameter!$A$35:$C$64,3,0)+0,0)))</f>
        <v>0.15</v>
      </c>
      <c r="BT1232" s="55" t="n">
        <f aca="false">IF(Y1232&lt;&gt;"",Y1232,X1232)</f>
        <v>2</v>
      </c>
      <c r="BU1232" s="55" t="str">
        <f aca="false">IF(BT1232=1,"L1",IF(OR(BT1232=2,BT1232=3),"L23",IF(BT1232="Aussen","Aussen","-")))</f>
        <v>L23</v>
      </c>
      <c r="BV1232" s="66" t="n">
        <f aca="false">IF(N(Z1232)&gt;0,Z1232,0)</f>
        <v>0</v>
      </c>
      <c r="BW1232" s="60" t="n">
        <f aca="false">IF(ISNUMBER(AC1232),1,0)</f>
        <v>0</v>
      </c>
      <c r="BX1232" s="57" t="n">
        <f aca="false">N(AC1232)</f>
        <v>0</v>
      </c>
      <c r="BY1232" s="57" t="n">
        <f aca="false">N(L1232)+N(M1232)</f>
        <v>1</v>
      </c>
      <c r="BZ1232" s="57" t="n">
        <f aca="false">ROUNDUP(G1232/BQ1232,0)</f>
        <v>0</v>
      </c>
      <c r="CA1232" s="57" t="n">
        <f aca="false">ROUNDUP(BX1232/BQ1232,0)</f>
        <v>0</v>
      </c>
      <c r="CB1232" s="60" t="n">
        <f aca="false">IF(BR1232=1,0,IFERROR(VLOOKUP(BP1232,'Gebinde-Kategorie'!$A$5:$M$45,5,0)+0,0))</f>
        <v>0</v>
      </c>
      <c r="CC1232" s="60" t="n">
        <f aca="false">IFERROR(IF(OR(BT1232=1,BT1232=2,BT1232=3),N(INDEX(Parameter!$I$5:$I$7,BT1232)),0),0)</f>
        <v>0</v>
      </c>
      <c r="CD1232" s="59" t="n">
        <f aca="false">IF(AND(Parameter!$B$21="Ja",ISNUMBER(U1232),N(V1232)&gt;0),IFERROR(N(INDEX(Parameter!$L$5:$L$7,U1232))*INDEX(Parameter!$E$5:$E$7,U1232)*V1232/SUMIFS($V$7:$V$1576,$U$7:$U$1576,U1232),0),0)</f>
        <v>0</v>
      </c>
    </row>
    <row r="1233" customFormat="false" ht="15" hidden="false" customHeight="false" outlineLevel="0" collapsed="false">
      <c r="A1233" s="55" t="s">
        <v>2194</v>
      </c>
      <c r="B1233" s="55" t="s">
        <v>2195</v>
      </c>
      <c r="C1233" s="55" t="s">
        <v>160</v>
      </c>
      <c r="D1233" s="55" t="s">
        <v>168</v>
      </c>
      <c r="E1233" s="55" t="s">
        <v>210</v>
      </c>
      <c r="F1233" s="56" t="n">
        <v>131.25</v>
      </c>
      <c r="G1233" s="57" t="n">
        <f aca="false">MAX(0,IF(AND(Parameter!$B$21="Ja",ISNUMBER(W1233)),W1233,IF(Parameter!$B$20="Jahresanfang 2025 + Export",BJ1233+BI1233,BI1233)))</f>
        <v>0</v>
      </c>
      <c r="H1233" s="57" t="n">
        <f aca="false">G1233*F1233</f>
        <v>0</v>
      </c>
      <c r="I1233" s="57" t="n">
        <f aca="false">BL1233*Parameter!$B$18</f>
        <v>6</v>
      </c>
      <c r="J1233" s="58" t="n">
        <v>9.5</v>
      </c>
      <c r="K1233" s="59" t="n">
        <v>0.631578947368421</v>
      </c>
      <c r="L1233" s="57" t="n">
        <v>0</v>
      </c>
      <c r="M1233" s="57" t="n">
        <v>5</v>
      </c>
      <c r="N1233" s="60" t="n">
        <v>21</v>
      </c>
      <c r="O1233" s="55" t="s">
        <v>251</v>
      </c>
      <c r="P1233" s="57" t="n">
        <v>6</v>
      </c>
      <c r="Q1233" s="60" t="n">
        <f aca="false">IF(BR1233=1,0,IFERROR(VLOOKUP(BP1233,'Gebinde-Kategorie'!$A$5:$M$45,13,0)+0,0))</f>
        <v>6</v>
      </c>
      <c r="R1233" s="61"/>
      <c r="S1233" s="62"/>
      <c r="T1233" s="62"/>
      <c r="U1233" s="55"/>
      <c r="V1233" s="57"/>
      <c r="W1233" s="57"/>
      <c r="X1233" s="55" t="n">
        <f aca="false">IF(A1233="","",IF(AND(Parameter!$B$21="Ja",ISNUMBER(U1233)),U1233,IF(IFERROR(VLOOKUP(D1233,Parameter!$A$35:$C$64,2,0),"Nein")="2+3",IF(ISNUMBER(SEARCH("grosser Artikel",BM1233)),2,IFERROR(VLOOKUP(BP1233,Parameter!$F$35:$G$64,2,0),2)),IF(OR(IFERROR(VLOOKUP(D1233,Parameter!$A$35:$C$64,2,0),"Nein")="Nein",IFERROR(VLOOKUP(D1233,Parameter!$A$35:$C$64,2,0),"Nein")=""),"-",VLOOKUP(D1233,Parameter!$A$35:$C$64,2,0)))))</f>
        <v>2</v>
      </c>
      <c r="Y1233" s="62"/>
      <c r="Z1233" s="63"/>
      <c r="AA1233" s="57" t="n">
        <f aca="false">AP1233</f>
        <v>6</v>
      </c>
      <c r="AB1233" s="57" t="n">
        <f aca="false">MAX(AP1233,G1233)</f>
        <v>6</v>
      </c>
      <c r="AC1233" s="64"/>
      <c r="AD1233" s="57" t="n">
        <f aca="false">IF(LEFT(Cockpit!$C$5,1)="A",G1233,IF(BW1233=1,BX1233,IF(LEFT(Cockpit!$C$5,1)="B",AH1233,MAX(AH1233,G1233))))</f>
        <v>0</v>
      </c>
      <c r="AE1233" s="57" t="n">
        <f aca="false">IF(BR1233=1,0,ROUNDUP(AD1233/BQ1233,0))</f>
        <v>0</v>
      </c>
      <c r="AF1233" s="59" t="n">
        <f aca="false">IF(CD1233&gt;0,CD1233*MAX(1,AD1233/V1233),IF(BR1233=1,IF(AD1233&lt;=0,0,BS1233*MAX(1,IF(G1233&gt;0,AD1233/G1233,1))),IF(Q1233&gt;0,AE1233/Q1233,0))/MAX(0.1,N(Parameter!$M$21)))</f>
        <v>0</v>
      </c>
      <c r="AG1233" s="57" t="n">
        <f aca="false">AD1233*F1233</f>
        <v>0</v>
      </c>
      <c r="AH1233" s="57" t="n">
        <f aca="false">ROUNDUP(MAX(I1233/IF(BV1233&gt;0,BV1233,MAX(0.1,N(Cockpit!$C$6))),BY1233)/BQ1233,0)*BQ1233</f>
        <v>6</v>
      </c>
      <c r="AI1233" s="58" t="n">
        <f aca="false">IF(AF1233&gt;0,I1233/AF1233,-1)</f>
        <v>-1</v>
      </c>
      <c r="AJ1233" s="58" t="str">
        <f aca="false">IF(AND(OR(BU1233="L1",BU1233="L23"),AF1233&gt;0),SUMIFS($AF$7:$AF$1576,$BU$7:$BU$1576,BU1233,$AI$7:$AI$1576,"&gt;"&amp;AI1233)+SUMIFS($AF$7:$AF$1576,$BU$7:$BU$1576,BU1233,$AI$7:$AI$1576,AI1233,$BO$7:$BO$1576,"&lt;="&amp;BO1233),"")</f>
        <v/>
      </c>
      <c r="AK1233" s="65" t="n">
        <f aca="false">IF(AJ1233="",0,MAX(0,MIN(1,(IF(BU1233="L1",Parameter!$E$5,Parameter!$E$6+Parameter!$E$7)-(AJ1233-AF1233))/AF1233)))</f>
        <v>0</v>
      </c>
      <c r="AL1233" s="57" t="n">
        <f aca="false">IF(LEFT(Cockpit!$I$5,1)="A",G1233,IF(BW1233=1,BX1233,IF(LEFT(Cockpit!$I$5,1)="B",AP1233,MAX(AP1233,G1233))))</f>
        <v>6</v>
      </c>
      <c r="AM1233" s="57" t="n">
        <f aca="false">IF(BR1233=1,0,ROUNDUP(AL1233/BQ1233,0))</f>
        <v>1</v>
      </c>
      <c r="AN1233" s="59" t="n">
        <f aca="false">IF(CD1233&gt;0,CD1233*MAX(1,AL1233/V1233),IF(BR1233=1,IF(AL1233&lt;=0,0,BS1233*MAX(1,IF(G1233&gt;0,AL1233/G1233,1))),IF(Q1233&gt;0,AM1233/Q1233,0))/MAX(0.1,N(Parameter!$M$21)))</f>
        <v>0.166666666666667</v>
      </c>
      <c r="AO1233" s="57" t="n">
        <f aca="false">AL1233*F1233</f>
        <v>787.5</v>
      </c>
      <c r="AP1233" s="57" t="n">
        <f aca="false">ROUNDUP(MAX(I1233/IF(BV1233&gt;0,BV1233,MAX(0.1,N(Cockpit!$I$6))),BY1233)/BQ1233,0)*BQ1233</f>
        <v>6</v>
      </c>
      <c r="AQ1233" s="58" t="n">
        <f aca="false">IF(AN1233&gt;0,I1233/AN1233,-1)</f>
        <v>36</v>
      </c>
      <c r="AR1233" s="58" t="n">
        <f aca="false">IF(AND(OR(BU1233="L1",BU1233="L23"),AN1233&gt;0),SUMIFS($AN$7:$AN$1576,$BU$7:$BU$1576,BU1233,$AQ$7:$AQ$1576,"&gt;"&amp;AQ1233)+SUMIFS($AN$7:$AN$1576,$BU$7:$BU$1576,BU1233,$AQ$7:$AQ$1576,AQ1233,$BO$7:$BO$1576,"&lt;="&amp;BO1233),"")</f>
        <v>93.5491012553624</v>
      </c>
      <c r="AS1233" s="65" t="n">
        <f aca="false">IF(AR1233="",0,MAX(0,MIN(1,(IF(BU1233="L1",Parameter!$E$5,Parameter!$E$6+Parameter!$E$7)-(AR1233-AN1233))/AN1233)))</f>
        <v>1</v>
      </c>
      <c r="AT1233" s="57" t="n">
        <f aca="false">IF(LEFT(Cockpit!$O$5,1)="A",G1233,IF(BW1233=1,BX1233,IF(LEFT(Cockpit!$O$5,1)="B",AX1233,MAX(AX1233,G1233))))</f>
        <v>6</v>
      </c>
      <c r="AU1233" s="57" t="n">
        <f aca="false">IF(BR1233=1,0,ROUNDUP(AT1233/BQ1233,0))</f>
        <v>1</v>
      </c>
      <c r="AV1233" s="59" t="n">
        <f aca="false">IF(CD1233&gt;0,CD1233*MAX(1,AT1233/V1233),IF(BR1233=1,IF(AT1233&lt;=0,0,BS1233*MAX(1,IF(G1233&gt;0,AT1233/G1233,1))),IF(Q1233&gt;0,AU1233/Q1233,0))/MAX(0.1,N(Parameter!$M$21)))</f>
        <v>0.166666666666667</v>
      </c>
      <c r="AW1233" s="57" t="n">
        <f aca="false">AT1233*F1233</f>
        <v>787.5</v>
      </c>
      <c r="AX1233" s="57" t="n">
        <f aca="false">ROUNDUP(MAX(I1233/IF(BV1233&gt;0,BV1233,MAX(0.1,N(Cockpit!$O$6))),BY1233)/BQ1233,0)*BQ1233</f>
        <v>6</v>
      </c>
      <c r="AY1233" s="58" t="n">
        <f aca="false">IF(AV1233&gt;0,I1233/AV1233,-1)</f>
        <v>36</v>
      </c>
      <c r="AZ1233" s="58" t="n">
        <f aca="false">IF(AND(OR(BU1233="L1",BU1233="L23"),AV1233&gt;0),SUMIFS($AV$7:$AV$1576,$BU$7:$BU$1576,BU1233,$AY$7:$AY$1576,"&gt;"&amp;AY1233)+SUMIFS($AV$7:$AV$1576,$BU$7:$BU$1576,BU1233,$AY$7:$AY$1576,AY1233,$BO$7:$BO$1576,"&lt;="&amp;BO1233),"")</f>
        <v>85.3336517049129</v>
      </c>
      <c r="BA1233" s="65" t="n">
        <f aca="false">IF(AZ1233="",0,MAX(0,MIN(1,(IF(BU1233="L1",Parameter!$E$5,Parameter!$E$6+Parameter!$E$7)-(AZ1233-AV1233))/AV1233)))</f>
        <v>1</v>
      </c>
      <c r="BB1233" s="55" t="str">
        <f aca="false">IF(AF1233&lt;=0,"",IF(BU1233="Aussen","Aussenlager",IF(BU1233="-","Nicht im Lift",IF(AK1233&gt;=1,"Lift",IF(AK1233&lt;=0,"Aussenlager","teilweise")))))</f>
        <v/>
      </c>
      <c r="BC1233" s="55" t="str">
        <f aca="false">IF(AN1233&lt;=0,"",IF(BU1233="Aussen","Aussenlager",IF(BU1233="-","Nicht im Lift",IF(AS1233&gt;=1,"Lift",IF(AS1233&lt;=0,"Aussenlager","teilweise")))))</f>
        <v>Lift</v>
      </c>
      <c r="BD1233" s="55" t="str">
        <f aca="false">IF(AV1233&lt;=0,"",IF(BU1233="Aussen","Aussenlager",IF(BU1233="-","Nicht im Lift",IF(BA1233&gt;=1,"Lift",IF(BA1233&lt;=0,"Aussenlager","teilweise")))))</f>
        <v>Lift</v>
      </c>
      <c r="BE1233" s="55" t="str">
        <f aca="false">IF(A1233="","",IF(BN1233=1,"Neu; ","")&amp;IF(AND(BN1233=0,BI1233&lt;0),"negativer Bestand (Export "&amp;BI1233&amp;"); ","")&amp;IF(I1233&lt;=0,"Kein Verbrauch; ","")&amp;IF(CD1233&gt;0,"Lift "&amp;U1233&amp;" lt. Liftbericht (Fach "&amp;V1233&amp;" Stk); ",IF(BR1233=1,"Lose – Fläche geschätzt; ",""))&amp;IF(G1233&gt;AP1233,"Überbestand "&amp;ROUND(G1233-AP1233,0)&amp;" Stk / CHF "&amp;ROUND((G1233-AP1233)*F1233,0)&amp;"; ","")&amp;IF(AND(BW1233=1,BX1233&lt;BY1233),"MAX &lt; MB+LG; ","")&amp;IF(AND(CC1233&gt;0,CB1233*10&gt;CC1233),"zu hoch für Tablar; ","")&amp;IF(AND(BN1233=0,OR(BW1233=1,Y1233&lt;&gt;"",S1233&lt;&gt;"",T1233&lt;&gt;"",Z1233&lt;&gt;"")),"manuell übersteuert; ","")&amp;IF(AND(BR1233=0,Q1233=0),"Gebinde unbekannt / Stellmass fehlt; ","")&amp;IF(AND(BR1233=0,N(T1233)&lt;=0,N(P1233)&lt;=0),"Menge pro Gebinde fehlt (Ist = 1 Gebinde); ","")&amp;BM1233)</f>
        <v>negativer Bestand (Export -5); grosser Artikel &amp; nicht im KTL</v>
      </c>
      <c r="BF1233" s="55"/>
      <c r="BG1233" s="55"/>
      <c r="BH1233" s="62"/>
      <c r="BI1233" s="57" t="n">
        <v>-5</v>
      </c>
      <c r="BJ1233" s="57" t="n">
        <v>13</v>
      </c>
      <c r="BK1233" s="56" t="n">
        <v>-656.25</v>
      </c>
      <c r="BL1233" s="57" t="n">
        <v>6</v>
      </c>
      <c r="BM1233" s="55" t="s">
        <v>253</v>
      </c>
      <c r="BN1233" s="60" t="n">
        <v>0</v>
      </c>
      <c r="BO1233" s="60" t="n">
        <v>1233</v>
      </c>
      <c r="BP1233" s="55" t="str">
        <f aca="false">IF(S1233&lt;&gt;"",UPPER(TRIM(S1233)),IF(O1233="","LOSE",O1233))</f>
        <v>S72</v>
      </c>
      <c r="BQ1233" s="57" t="n">
        <f aca="false">IF(BP1233="LOSE",1,IF(N(T1233)&gt;0,T1233,IF(N(P1233)&gt;0,P1233,MAX(1,G1233))))</f>
        <v>6</v>
      </c>
      <c r="BR1233" s="60" t="n">
        <f aca="false">IF(BP1233="LOSE",1,0)</f>
        <v>0</v>
      </c>
      <c r="BS1233" s="59" t="n">
        <f aca="false">IF(BR1233=0,0,IF(N(R1233)&gt;0,R1233,IFERROR(VLOOKUP(D1233,Parameter!$A$35:$C$64,3,0)+0,0)))</f>
        <v>0</v>
      </c>
      <c r="BT1233" s="55" t="n">
        <f aca="false">IF(Y1233&lt;&gt;"",Y1233,X1233)</f>
        <v>2</v>
      </c>
      <c r="BU1233" s="55" t="str">
        <f aca="false">IF(BT1233=1,"L1",IF(OR(BT1233=2,BT1233=3),"L23",IF(BT1233="Aussen","Aussen","-")))</f>
        <v>L23</v>
      </c>
      <c r="BV1233" s="66" t="n">
        <f aca="false">IF(N(Z1233)&gt;0,Z1233,0)</f>
        <v>0</v>
      </c>
      <c r="BW1233" s="60" t="n">
        <f aca="false">IF(ISNUMBER(AC1233),1,0)</f>
        <v>0</v>
      </c>
      <c r="BX1233" s="57" t="n">
        <f aca="false">N(AC1233)</f>
        <v>0</v>
      </c>
      <c r="BY1233" s="57" t="n">
        <f aca="false">N(L1233)+N(M1233)</f>
        <v>5</v>
      </c>
      <c r="BZ1233" s="57" t="n">
        <f aca="false">ROUNDUP(G1233/BQ1233,0)</f>
        <v>0</v>
      </c>
      <c r="CA1233" s="57" t="n">
        <f aca="false">ROUNDUP(BX1233/BQ1233,0)</f>
        <v>0</v>
      </c>
      <c r="CB1233" s="60" t="n">
        <f aca="false">IF(BR1233=1,0,IFERROR(VLOOKUP(BP1233,'Gebinde-Kategorie'!$A$5:$M$45,5,0)+0,0))</f>
        <v>40</v>
      </c>
      <c r="CC1233" s="60" t="n">
        <f aca="false">IFERROR(IF(OR(BT1233=1,BT1233=2,BT1233=3),N(INDEX(Parameter!$I$5:$I$7,BT1233)),0),0)</f>
        <v>0</v>
      </c>
      <c r="CD1233" s="59" t="n">
        <f aca="false">IF(AND(Parameter!$B$21="Ja",ISNUMBER(U1233),N(V1233)&gt;0),IFERROR(N(INDEX(Parameter!$L$5:$L$7,U1233))*INDEX(Parameter!$E$5:$E$7,U1233)*V1233/SUMIFS($V$7:$V$1576,$U$7:$U$1576,U1233),0),0)</f>
        <v>0</v>
      </c>
    </row>
    <row r="1234" customFormat="false" ht="15" hidden="false" customHeight="false" outlineLevel="0" collapsed="false">
      <c r="A1234" s="55" t="s">
        <v>2196</v>
      </c>
      <c r="B1234" s="55" t="s">
        <v>2197</v>
      </c>
      <c r="C1234" s="55" t="s">
        <v>446</v>
      </c>
      <c r="D1234" s="55" t="s">
        <v>168</v>
      </c>
      <c r="E1234" s="55" t="s">
        <v>210</v>
      </c>
      <c r="F1234" s="56" t="n">
        <v>94.82</v>
      </c>
      <c r="G1234" s="57" t="n">
        <f aca="false">MAX(0,IF(AND(Parameter!$B$21="Ja",ISNUMBER(W1234)),W1234,IF(Parameter!$B$20="Jahresanfang 2025 + Export",BJ1234+BI1234,BI1234)))</f>
        <v>0</v>
      </c>
      <c r="H1234" s="57" t="n">
        <f aca="false">G1234*F1234</f>
        <v>0</v>
      </c>
      <c r="I1234" s="57" t="n">
        <f aca="false">BL1234*Parameter!$B$18</f>
        <v>0</v>
      </c>
      <c r="J1234" s="58" t="n">
        <v>3.5</v>
      </c>
      <c r="K1234" s="59" t="n">
        <v>0</v>
      </c>
      <c r="L1234" s="57" t="n">
        <v>0</v>
      </c>
      <c r="M1234" s="57" t="n">
        <v>1</v>
      </c>
      <c r="N1234" s="60" t="n">
        <v>56</v>
      </c>
      <c r="O1234" s="55" t="s">
        <v>163</v>
      </c>
      <c r="P1234" s="57"/>
      <c r="Q1234" s="60" t="n">
        <f aca="false">IF(BR1234=1,0,IFERROR(VLOOKUP(BP1234,'Gebinde-Kategorie'!$A$5:$M$45,13,0)+0,0))</f>
        <v>0</v>
      </c>
      <c r="R1234" s="61"/>
      <c r="S1234" s="62"/>
      <c r="T1234" s="62"/>
      <c r="U1234" s="55"/>
      <c r="V1234" s="57"/>
      <c r="W1234" s="57"/>
      <c r="X1234" s="55" t="n">
        <f aca="false">IF(A1234="","",IF(AND(Parameter!$B$21="Ja",ISNUMBER(U1234)),U1234,IF(IFERROR(VLOOKUP(D1234,Parameter!$A$35:$C$64,2,0),"Nein")="2+3",IF(ISNUMBER(SEARCH("grosser Artikel",BM1234)),2,IFERROR(VLOOKUP(BP1234,Parameter!$F$35:$G$64,2,0),2)),IF(OR(IFERROR(VLOOKUP(D1234,Parameter!$A$35:$C$64,2,0),"Nein")="Nein",IFERROR(VLOOKUP(D1234,Parameter!$A$35:$C$64,2,0),"Nein")=""),"-",VLOOKUP(D1234,Parameter!$A$35:$C$64,2,0)))))</f>
        <v>2</v>
      </c>
      <c r="Y1234" s="62"/>
      <c r="Z1234" s="63"/>
      <c r="AA1234" s="57" t="n">
        <f aca="false">AP1234</f>
        <v>1</v>
      </c>
      <c r="AB1234" s="57" t="n">
        <f aca="false">MAX(AP1234,G1234)</f>
        <v>1</v>
      </c>
      <c r="AC1234" s="64"/>
      <c r="AD1234" s="57" t="n">
        <f aca="false">IF(LEFT(Cockpit!$C$5,1)="A",G1234,IF(BW1234=1,BX1234,IF(LEFT(Cockpit!$C$5,1)="B",AH1234,MAX(AH1234,G1234))))</f>
        <v>0</v>
      </c>
      <c r="AE1234" s="57" t="n">
        <f aca="false">IF(BR1234=1,0,ROUNDUP(AD1234/BQ1234,0))</f>
        <v>0</v>
      </c>
      <c r="AF1234" s="59" t="n">
        <f aca="false">IF(CD1234&gt;0,CD1234*MAX(1,AD1234/V1234),IF(BR1234=1,IF(AD1234&lt;=0,0,BS1234*MAX(1,IF(G1234&gt;0,AD1234/G1234,1))),IF(Q1234&gt;0,AE1234/Q1234,0))/MAX(0.1,N(Parameter!$M$21)))</f>
        <v>0</v>
      </c>
      <c r="AG1234" s="57" t="n">
        <f aca="false">AD1234*F1234</f>
        <v>0</v>
      </c>
      <c r="AH1234" s="57" t="n">
        <f aca="false">ROUNDUP(MAX(I1234/IF(BV1234&gt;0,BV1234,MAX(0.1,N(Cockpit!$C$6))),BY1234)/BQ1234,0)*BQ1234</f>
        <v>1</v>
      </c>
      <c r="AI1234" s="58" t="n">
        <f aca="false">IF(AF1234&gt;0,I1234/AF1234,-1)</f>
        <v>-1</v>
      </c>
      <c r="AJ1234" s="58" t="str">
        <f aca="false">IF(AND(OR(BU1234="L1",BU1234="L23"),AF1234&gt;0),SUMIFS($AF$7:$AF$1576,$BU$7:$BU$1576,BU1234,$AI$7:$AI$1576,"&gt;"&amp;AI1234)+SUMIFS($AF$7:$AF$1576,$BU$7:$BU$1576,BU1234,$AI$7:$AI$1576,AI1234,$BO$7:$BO$1576,"&lt;="&amp;BO1234),"")</f>
        <v/>
      </c>
      <c r="AK1234" s="65" t="n">
        <f aca="false">IF(AJ1234="",0,MAX(0,MIN(1,(IF(BU1234="L1",Parameter!$E$5,Parameter!$E$6+Parameter!$E$7)-(AJ1234-AF1234))/AF1234)))</f>
        <v>0</v>
      </c>
      <c r="AL1234" s="57" t="n">
        <f aca="false">IF(LEFT(Cockpit!$I$5,1)="A",G1234,IF(BW1234=1,BX1234,IF(LEFT(Cockpit!$I$5,1)="B",AP1234,MAX(AP1234,G1234))))</f>
        <v>1</v>
      </c>
      <c r="AM1234" s="57" t="n">
        <f aca="false">IF(BR1234=1,0,ROUNDUP(AL1234/BQ1234,0))</f>
        <v>0</v>
      </c>
      <c r="AN1234" s="59" t="n">
        <f aca="false">IF(CD1234&gt;0,CD1234*MAX(1,AL1234/V1234),IF(BR1234=1,IF(AL1234&lt;=0,0,BS1234*MAX(1,IF(G1234&gt;0,AL1234/G1234,1))),IF(Q1234&gt;0,AM1234/Q1234,0))/MAX(0.1,N(Parameter!$M$21)))</f>
        <v>0.15</v>
      </c>
      <c r="AO1234" s="57" t="n">
        <f aca="false">AL1234*F1234</f>
        <v>94.82</v>
      </c>
      <c r="AP1234" s="57" t="n">
        <f aca="false">ROUNDUP(MAX(I1234/IF(BV1234&gt;0,BV1234,MAX(0.1,N(Cockpit!$I$6))),BY1234)/BQ1234,0)*BQ1234</f>
        <v>1</v>
      </c>
      <c r="AQ1234" s="58" t="n">
        <f aca="false">IF(AN1234&gt;0,I1234/AN1234,-1)</f>
        <v>0</v>
      </c>
      <c r="AR1234" s="58" t="n">
        <f aca="false">IF(AND(OR(BU1234="L1",BU1234="L23"),AN1234&gt;0),SUMIFS($AN$7:$AN$1576,$BU$7:$BU$1576,BU1234,$AQ$7:$AQ$1576,"&gt;"&amp;AQ1234)+SUMIFS($AN$7:$AN$1576,$BU$7:$BU$1576,BU1234,$AQ$7:$AQ$1576,AQ1234,$BO$7:$BO$1576,"&lt;="&amp;BO1234),"")</f>
        <v>136.718178850183</v>
      </c>
      <c r="AS1234" s="65" t="n">
        <f aca="false">IF(AR1234="",0,MAX(0,MIN(1,(IF(BU1234="L1",Parameter!$E$5,Parameter!$E$6+Parameter!$E$7)-(AR1234-AN1234))/AN1234)))</f>
        <v>0</v>
      </c>
      <c r="AT1234" s="57" t="n">
        <f aca="false">IF(LEFT(Cockpit!$O$5,1)="A",G1234,IF(BW1234=1,BX1234,IF(LEFT(Cockpit!$O$5,1)="B",AX1234,MAX(AX1234,G1234))))</f>
        <v>1</v>
      </c>
      <c r="AU1234" s="57" t="n">
        <f aca="false">IF(BR1234=1,0,ROUNDUP(AT1234/BQ1234,0))</f>
        <v>0</v>
      </c>
      <c r="AV1234" s="59" t="n">
        <f aca="false">IF(CD1234&gt;0,CD1234*MAX(1,AT1234/V1234),IF(BR1234=1,IF(AT1234&lt;=0,0,BS1234*MAX(1,IF(G1234&gt;0,AT1234/G1234,1))),IF(Q1234&gt;0,AU1234/Q1234,0))/MAX(0.1,N(Parameter!$M$21)))</f>
        <v>0.15</v>
      </c>
      <c r="AW1234" s="57" t="n">
        <f aca="false">AT1234*F1234</f>
        <v>94.82</v>
      </c>
      <c r="AX1234" s="57" t="n">
        <f aca="false">ROUNDUP(MAX(I1234/IF(BV1234&gt;0,BV1234,MAX(0.1,N(Cockpit!$O$6))),BY1234)/BQ1234,0)*BQ1234</f>
        <v>1</v>
      </c>
      <c r="AY1234" s="58" t="n">
        <f aca="false">IF(AV1234&gt;0,I1234/AV1234,-1)</f>
        <v>0</v>
      </c>
      <c r="AZ1234" s="58" t="n">
        <f aca="false">IF(AND(OR(BU1234="L1",BU1234="L23"),AV1234&gt;0),SUMIFS($AV$7:$AV$1576,$BU$7:$BU$1576,BU1234,$AY$7:$AY$1576,"&gt;"&amp;AY1234)+SUMIFS($AV$7:$AV$1576,$BU$7:$BU$1576,BU1234,$AY$7:$AY$1576,AY1234,$BO$7:$BO$1576,"&lt;="&amp;BO1234),"")</f>
        <v>126.777729299733</v>
      </c>
      <c r="BA1234" s="65" t="n">
        <f aca="false">IF(AZ1234="",0,MAX(0,MIN(1,(IF(BU1234="L1",Parameter!$E$5,Parameter!$E$6+Parameter!$E$7)-(AZ1234-AV1234))/AV1234)))</f>
        <v>0</v>
      </c>
      <c r="BB1234" s="55" t="str">
        <f aca="false">IF(AF1234&lt;=0,"",IF(BU1234="Aussen","Aussenlager",IF(BU1234="-","Nicht im Lift",IF(AK1234&gt;=1,"Lift",IF(AK1234&lt;=0,"Aussenlager","teilweise")))))</f>
        <v/>
      </c>
      <c r="BC1234" s="55" t="str">
        <f aca="false">IF(AN1234&lt;=0,"",IF(BU1234="Aussen","Aussenlager",IF(BU1234="-","Nicht im Lift",IF(AS1234&gt;=1,"Lift",IF(AS1234&lt;=0,"Aussenlager","teilweise")))))</f>
        <v>Aussenlager</v>
      </c>
      <c r="BD1234" s="55" t="str">
        <f aca="false">IF(AV1234&lt;=0,"",IF(BU1234="Aussen","Aussenlager",IF(BU1234="-","Nicht im Lift",IF(BA1234&gt;=1,"Lift",IF(BA1234&lt;=0,"Aussenlager","teilweise")))))</f>
        <v>Aussenlager</v>
      </c>
      <c r="BE1234" s="55" t="str">
        <f aca="false">IF(A1234="","",IF(BN1234=1,"Neu; ","")&amp;IF(AND(BN1234=0,BI1234&lt;0),"negativer Bestand (Export "&amp;BI1234&amp;"); ","")&amp;IF(I1234&lt;=0,"Kein Verbrauch; ","")&amp;IF(CD1234&gt;0,"Lift "&amp;U1234&amp;" lt. Liftbericht (Fach "&amp;V1234&amp;" Stk); ",IF(BR1234=1,"Lose – Fläche geschätzt; ",""))&amp;IF(G1234&gt;AP1234,"Überbestand "&amp;ROUND(G1234-AP1234,0)&amp;" Stk / CHF "&amp;ROUND((G1234-AP1234)*F1234,0)&amp;"; ","")&amp;IF(AND(BW1234=1,BX1234&lt;BY1234),"MAX &lt; MB+LG; ","")&amp;IF(AND(CC1234&gt;0,CB1234*10&gt;CC1234),"zu hoch für Tablar; ","")&amp;IF(AND(BN1234=0,OR(BW1234=1,Y1234&lt;&gt;"",S1234&lt;&gt;"",T1234&lt;&gt;"",Z1234&lt;&gt;"")),"manuell übersteuert; ","")&amp;IF(AND(BR1234=0,Q1234=0),"Gebinde unbekannt / Stellmass fehlt; ","")&amp;IF(AND(BR1234=0,N(T1234)&lt;=0,N(P1234)&lt;=0),"Menge pro Gebinde fehlt (Ist = 1 Gebinde); ","")&amp;BM1234)</f>
        <v>negativer Bestand (Export -7); Kein Verbrauch; Lose – Fläche geschätzt; Neuer Art.</v>
      </c>
      <c r="BF1234" s="55"/>
      <c r="BG1234" s="55"/>
      <c r="BH1234" s="62"/>
      <c r="BI1234" s="57" t="n">
        <v>-7</v>
      </c>
      <c r="BJ1234" s="57" t="n">
        <v>7</v>
      </c>
      <c r="BK1234" s="56" t="n">
        <v>-663.74</v>
      </c>
      <c r="BL1234" s="57" t="n">
        <v>0</v>
      </c>
      <c r="BM1234" s="55" t="s">
        <v>501</v>
      </c>
      <c r="BN1234" s="60" t="n">
        <v>0</v>
      </c>
      <c r="BO1234" s="60" t="n">
        <v>1234</v>
      </c>
      <c r="BP1234" s="55" t="str">
        <f aca="false">IF(S1234&lt;&gt;"",UPPER(TRIM(S1234)),IF(O1234="","LOSE",O1234))</f>
        <v>LOSE</v>
      </c>
      <c r="BQ1234" s="57" t="n">
        <f aca="false">IF(BP1234="LOSE",1,IF(N(T1234)&gt;0,T1234,IF(N(P1234)&gt;0,P1234,MAX(1,G1234))))</f>
        <v>1</v>
      </c>
      <c r="BR1234" s="60" t="n">
        <f aca="false">IF(BP1234="LOSE",1,0)</f>
        <v>1</v>
      </c>
      <c r="BS1234" s="59" t="n">
        <f aca="false">IF(BR1234=0,0,IF(N(R1234)&gt;0,R1234,IFERROR(VLOOKUP(D1234,Parameter!$A$35:$C$64,3,0)+0,0)))</f>
        <v>0.15</v>
      </c>
      <c r="BT1234" s="55" t="n">
        <f aca="false">IF(Y1234&lt;&gt;"",Y1234,X1234)</f>
        <v>2</v>
      </c>
      <c r="BU1234" s="55" t="str">
        <f aca="false">IF(BT1234=1,"L1",IF(OR(BT1234=2,BT1234=3),"L23",IF(BT1234="Aussen","Aussen","-")))</f>
        <v>L23</v>
      </c>
      <c r="BV1234" s="66" t="n">
        <f aca="false">IF(N(Z1234)&gt;0,Z1234,0)</f>
        <v>0</v>
      </c>
      <c r="BW1234" s="60" t="n">
        <f aca="false">IF(ISNUMBER(AC1234),1,0)</f>
        <v>0</v>
      </c>
      <c r="BX1234" s="57" t="n">
        <f aca="false">N(AC1234)</f>
        <v>0</v>
      </c>
      <c r="BY1234" s="57" t="n">
        <f aca="false">N(L1234)+N(M1234)</f>
        <v>1</v>
      </c>
      <c r="BZ1234" s="57" t="n">
        <f aca="false">ROUNDUP(G1234/BQ1234,0)</f>
        <v>0</v>
      </c>
      <c r="CA1234" s="57" t="n">
        <f aca="false">ROUNDUP(BX1234/BQ1234,0)</f>
        <v>0</v>
      </c>
      <c r="CB1234" s="60" t="n">
        <f aca="false">IF(BR1234=1,0,IFERROR(VLOOKUP(BP1234,'Gebinde-Kategorie'!$A$5:$M$45,5,0)+0,0))</f>
        <v>0</v>
      </c>
      <c r="CC1234" s="60" t="n">
        <f aca="false">IFERROR(IF(OR(BT1234=1,BT1234=2,BT1234=3),N(INDEX(Parameter!$I$5:$I$7,BT1234)),0),0)</f>
        <v>0</v>
      </c>
      <c r="CD1234" s="59" t="n">
        <f aca="false">IF(AND(Parameter!$B$21="Ja",ISNUMBER(U1234),N(V1234)&gt;0),IFERROR(N(INDEX(Parameter!$L$5:$L$7,U1234))*INDEX(Parameter!$E$5:$E$7,U1234)*V1234/SUMIFS($V$7:$V$1576,$U$7:$U$1576,U1234),0),0)</f>
        <v>0</v>
      </c>
    </row>
    <row r="1235" customFormat="false" ht="15" hidden="false" customHeight="false" outlineLevel="0" collapsed="false">
      <c r="A1235" s="55" t="s">
        <v>2198</v>
      </c>
      <c r="B1235" s="55" t="s">
        <v>2114</v>
      </c>
      <c r="C1235" s="55" t="s">
        <v>160</v>
      </c>
      <c r="D1235" s="55" t="s">
        <v>178</v>
      </c>
      <c r="E1235" s="55" t="s">
        <v>210</v>
      </c>
      <c r="F1235" s="56" t="n">
        <v>54.19</v>
      </c>
      <c r="G1235" s="57" t="n">
        <f aca="false">MAX(0,IF(AND(Parameter!$B$21="Ja",ISNUMBER(W1235)),W1235,IF(Parameter!$B$20="Jahresanfang 2025 + Export",BJ1235+BI1235,BI1235)))</f>
        <v>8</v>
      </c>
      <c r="H1235" s="57" t="n">
        <f aca="false">G1235*F1235</f>
        <v>433.52</v>
      </c>
      <c r="I1235" s="57" t="n">
        <f aca="false">BL1235*Parameter!$B$18</f>
        <v>254</v>
      </c>
      <c r="J1235" s="58" t="n">
        <v>77.5</v>
      </c>
      <c r="K1235" s="59" t="n">
        <v>3.27741935483871</v>
      </c>
      <c r="L1235" s="57" t="n">
        <v>14</v>
      </c>
      <c r="M1235" s="57" t="n">
        <v>30</v>
      </c>
      <c r="N1235" s="60" t="n">
        <v>21</v>
      </c>
      <c r="O1235" s="55" t="s">
        <v>293</v>
      </c>
      <c r="P1235" s="57" t="n">
        <v>54</v>
      </c>
      <c r="Q1235" s="60" t="n">
        <f aca="false">IF(BR1235=1,0,IFERROR(VLOOKUP(BP1235,'Gebinde-Kategorie'!$A$5:$M$45,13,0)+0,0))</f>
        <v>26</v>
      </c>
      <c r="R1235" s="61"/>
      <c r="S1235" s="62"/>
      <c r="T1235" s="62"/>
      <c r="U1235" s="55"/>
      <c r="V1235" s="57"/>
      <c r="W1235" s="57"/>
      <c r="X1235" s="55" t="n">
        <f aca="false">IF(A1235="","",IF(AND(Parameter!$B$21="Ja",ISNUMBER(U1235)),U1235,IF(IFERROR(VLOOKUP(D1235,Parameter!$A$35:$C$64,2,0),"Nein")="2+3",IF(ISNUMBER(SEARCH("grosser Artikel",BM1235)),2,IFERROR(VLOOKUP(BP1235,Parameter!$F$35:$G$64,2,0),2)),IF(OR(IFERROR(VLOOKUP(D1235,Parameter!$A$35:$C$64,2,0),"Nein")="Nein",IFERROR(VLOOKUP(D1235,Parameter!$A$35:$C$64,2,0),"Nein")=""),"-",VLOOKUP(D1235,Parameter!$A$35:$C$64,2,0)))))</f>
        <v>3</v>
      </c>
      <c r="Y1235" s="62"/>
      <c r="Z1235" s="63"/>
      <c r="AA1235" s="57" t="n">
        <f aca="false">AP1235</f>
        <v>162</v>
      </c>
      <c r="AB1235" s="57" t="n">
        <f aca="false">MAX(AP1235,G1235)</f>
        <v>162</v>
      </c>
      <c r="AC1235" s="64"/>
      <c r="AD1235" s="57" t="n">
        <f aca="false">IF(LEFT(Cockpit!$C$5,1)="A",G1235,IF(BW1235=1,BX1235,IF(LEFT(Cockpit!$C$5,1)="B",AH1235,MAX(AH1235,G1235))))</f>
        <v>8</v>
      </c>
      <c r="AE1235" s="57" t="n">
        <f aca="false">IF(BR1235=1,0,ROUNDUP(AD1235/BQ1235,0))</f>
        <v>1</v>
      </c>
      <c r="AF1235" s="59" t="n">
        <f aca="false">IF(CD1235&gt;0,CD1235*MAX(1,AD1235/V1235),IF(BR1235=1,IF(AD1235&lt;=0,0,BS1235*MAX(1,IF(G1235&gt;0,AD1235/G1235,1))),IF(Q1235&gt;0,AE1235/Q1235,0))/MAX(0.1,N(Parameter!$M$21)))</f>
        <v>0.0384615384615385</v>
      </c>
      <c r="AG1235" s="57" t="n">
        <f aca="false">AD1235*F1235</f>
        <v>433.52</v>
      </c>
      <c r="AH1235" s="57" t="n">
        <f aca="false">ROUNDUP(MAX(I1235/IF(BV1235&gt;0,BV1235,MAX(0.1,N(Cockpit!$C$6))),BY1235)/BQ1235,0)*BQ1235</f>
        <v>162</v>
      </c>
      <c r="AI1235" s="58" t="n">
        <f aca="false">IF(AF1235&gt;0,I1235/AF1235,-1)</f>
        <v>6604</v>
      </c>
      <c r="AJ1235" s="58" t="n">
        <f aca="false">IF(AND(OR(BU1235="L1",BU1235="L23"),AF1235&gt;0),SUMIFS($AF$7:$AF$1576,$BU$7:$BU$1576,BU1235,$AI$7:$AI$1576,"&gt;"&amp;AI1235)+SUMIFS($AF$7:$AF$1576,$BU$7:$BU$1576,BU1235,$AI$7:$AI$1576,AI1235,$BO$7:$BO$1576,"&lt;="&amp;BO1235),"")</f>
        <v>3.42085774129252</v>
      </c>
      <c r="AK1235" s="65" t="n">
        <f aca="false">IF(AJ1235="",0,MAX(0,MIN(1,(IF(BU1235="L1",Parameter!$E$5,Parameter!$E$6+Parameter!$E$7)-(AJ1235-AF1235))/AF1235)))</f>
        <v>1</v>
      </c>
      <c r="AL1235" s="57" t="n">
        <f aca="false">IF(LEFT(Cockpit!$I$5,1)="A",G1235,IF(BW1235=1,BX1235,IF(LEFT(Cockpit!$I$5,1)="B",AP1235,MAX(AP1235,G1235))))</f>
        <v>162</v>
      </c>
      <c r="AM1235" s="57" t="n">
        <f aca="false">IF(BR1235=1,0,ROUNDUP(AL1235/BQ1235,0))</f>
        <v>3</v>
      </c>
      <c r="AN1235" s="59" t="n">
        <f aca="false">IF(CD1235&gt;0,CD1235*MAX(1,AL1235/V1235),IF(BR1235=1,IF(AL1235&lt;=0,0,BS1235*MAX(1,IF(G1235&gt;0,AL1235/G1235,1))),IF(Q1235&gt;0,AM1235/Q1235,0))/MAX(0.1,N(Parameter!$M$21)))</f>
        <v>0.115384615384615</v>
      </c>
      <c r="AO1235" s="57" t="n">
        <f aca="false">AL1235*F1235</f>
        <v>8778.78</v>
      </c>
      <c r="AP1235" s="57" t="n">
        <f aca="false">ROUNDUP(MAX(I1235/IF(BV1235&gt;0,BV1235,MAX(0.1,N(Cockpit!$I$6))),BY1235)/BQ1235,0)*BQ1235</f>
        <v>162</v>
      </c>
      <c r="AQ1235" s="58" t="n">
        <f aca="false">IF(AN1235&gt;0,I1235/AN1235,-1)</f>
        <v>2201.33333333333</v>
      </c>
      <c r="AR1235" s="58" t="n">
        <f aca="false">IF(AND(OR(BU1235="L1",BU1235="L23"),AN1235&gt;0),SUMIFS($AN$7:$AN$1576,$BU$7:$BU$1576,BU1235,$AQ$7:$AQ$1576,"&gt;"&amp;AQ1235)+SUMIFS($AN$7:$AN$1576,$BU$7:$BU$1576,BU1235,$AQ$7:$AQ$1576,AQ1235,$BO$7:$BO$1576,"&lt;="&amp;BO1235),"")</f>
        <v>16.6833032309231</v>
      </c>
      <c r="AS1235" s="65" t="n">
        <f aca="false">IF(AR1235="",0,MAX(0,MIN(1,(IF(BU1235="L1",Parameter!$E$5,Parameter!$E$6+Parameter!$E$7)-(AR1235-AN1235))/AN1235)))</f>
        <v>1</v>
      </c>
      <c r="AT1235" s="57" t="n">
        <f aca="false">IF(LEFT(Cockpit!$O$5,1)="A",G1235,IF(BW1235=1,BX1235,IF(LEFT(Cockpit!$O$5,1)="B",AX1235,MAX(AX1235,G1235))))</f>
        <v>108</v>
      </c>
      <c r="AU1235" s="57" t="n">
        <f aca="false">IF(BR1235=1,0,ROUNDUP(AT1235/BQ1235,0))</f>
        <v>2</v>
      </c>
      <c r="AV1235" s="59" t="n">
        <f aca="false">IF(CD1235&gt;0,CD1235*MAX(1,AT1235/V1235),IF(BR1235=1,IF(AT1235&lt;=0,0,BS1235*MAX(1,IF(G1235&gt;0,AT1235/G1235,1))),IF(Q1235&gt;0,AU1235/Q1235,0))/MAX(0.1,N(Parameter!$M$21)))</f>
        <v>0.0769230769230769</v>
      </c>
      <c r="AW1235" s="57" t="n">
        <f aca="false">AT1235*F1235</f>
        <v>5852.52</v>
      </c>
      <c r="AX1235" s="57" t="n">
        <f aca="false">ROUNDUP(MAX(I1235/IF(BV1235&gt;0,BV1235,MAX(0.1,N(Cockpit!$O$6))),BY1235)/BQ1235,0)*BQ1235</f>
        <v>108</v>
      </c>
      <c r="AY1235" s="58" t="n">
        <f aca="false">IF(AV1235&gt;0,I1235/AV1235,-1)</f>
        <v>3302</v>
      </c>
      <c r="AZ1235" s="58" t="n">
        <f aca="false">IF(AND(OR(BU1235="L1",BU1235="L23"),AV1235&gt;0),SUMIFS($AV$7:$AV$1576,$BU$7:$BU$1576,BU1235,$AY$7:$AY$1576,"&gt;"&amp;AY1235)+SUMIFS($AV$7:$AV$1576,$BU$7:$BU$1576,BU1235,$AY$7:$AY$1576,AY1235,$BO$7:$BO$1576,"&lt;="&amp;BO1235),"")</f>
        <v>12.7662196986588</v>
      </c>
      <c r="BA1235" s="65" t="n">
        <f aca="false">IF(AZ1235="",0,MAX(0,MIN(1,(IF(BU1235="L1",Parameter!$E$5,Parameter!$E$6+Parameter!$E$7)-(AZ1235-AV1235))/AV1235)))</f>
        <v>1</v>
      </c>
      <c r="BB1235" s="55" t="str">
        <f aca="false">IF(AF1235&lt;=0,"",IF(BU1235="Aussen","Aussenlager",IF(BU1235="-","Nicht im Lift",IF(AK1235&gt;=1,"Lift",IF(AK1235&lt;=0,"Aussenlager","teilweise")))))</f>
        <v>Lift</v>
      </c>
      <c r="BC1235" s="55" t="str">
        <f aca="false">IF(AN1235&lt;=0,"",IF(BU1235="Aussen","Aussenlager",IF(BU1235="-","Nicht im Lift",IF(AS1235&gt;=1,"Lift",IF(AS1235&lt;=0,"Aussenlager","teilweise")))))</f>
        <v>Lift</v>
      </c>
      <c r="BD1235" s="55" t="str">
        <f aca="false">IF(AV1235&lt;=0,"",IF(BU1235="Aussen","Aussenlager",IF(BU1235="-","Nicht im Lift",IF(BA1235&gt;=1,"Lift",IF(BA1235&lt;=0,"Aussenlager","teilweise")))))</f>
        <v>Lift</v>
      </c>
      <c r="BE1235" s="55" t="str">
        <f aca="false">IF(A1235="","",IF(BN1235=1,"Neu; ","")&amp;IF(AND(BN1235=0,BI1235&lt;0),"negativer Bestand (Export "&amp;BI1235&amp;"); ","")&amp;IF(I1235&lt;=0,"Kein Verbrauch; ","")&amp;IF(CD1235&gt;0,"Lift "&amp;U1235&amp;" lt. Liftbericht (Fach "&amp;V1235&amp;" Stk); ",IF(BR1235=1,"Lose – Fläche geschätzt; ",""))&amp;IF(G1235&gt;AP1235,"Überbestand "&amp;ROUND(G1235-AP1235,0)&amp;" Stk / CHF "&amp;ROUND((G1235-AP1235)*F1235,0)&amp;"; ","")&amp;IF(AND(BW1235=1,BX1235&lt;BY1235),"MAX &lt; MB+LG; ","")&amp;IF(AND(CC1235&gt;0,CB1235*10&gt;CC1235),"zu hoch für Tablar; ","")&amp;IF(AND(BN1235=0,OR(BW1235=1,Y1235&lt;&gt;"",S1235&lt;&gt;"",T1235&lt;&gt;"",Z1235&lt;&gt;"")),"manuell übersteuert; ","")&amp;IF(AND(BR1235=0,Q1235=0),"Gebinde unbekannt / Stellmass fehlt; ","")&amp;IF(AND(BR1235=0,N(T1235)&lt;=0,N(P1235)&lt;=0),"Menge pro Gebinde fehlt (Ist = 1 Gebinde); ","")&amp;BM1235)</f>
        <v/>
      </c>
      <c r="BF1235" s="55"/>
      <c r="BG1235" s="55"/>
      <c r="BH1235" s="62"/>
      <c r="BI1235" s="57" t="n">
        <v>8</v>
      </c>
      <c r="BJ1235" s="57" t="n">
        <v>56</v>
      </c>
      <c r="BK1235" s="56" t="n">
        <v>-673.040000000002</v>
      </c>
      <c r="BL1235" s="57" t="n">
        <v>254</v>
      </c>
      <c r="BM1235" s="55"/>
      <c r="BN1235" s="60" t="n">
        <v>0</v>
      </c>
      <c r="BO1235" s="60" t="n">
        <v>1235</v>
      </c>
      <c r="BP1235" s="55" t="str">
        <f aca="false">IF(S1235&lt;&gt;"",UPPER(TRIM(S1235)),IF(O1235="","LOSE",O1235))</f>
        <v>S51</v>
      </c>
      <c r="BQ1235" s="57" t="n">
        <f aca="false">IF(BP1235="LOSE",1,IF(N(T1235)&gt;0,T1235,IF(N(P1235)&gt;0,P1235,MAX(1,G1235))))</f>
        <v>54</v>
      </c>
      <c r="BR1235" s="60" t="n">
        <f aca="false">IF(BP1235="LOSE",1,0)</f>
        <v>0</v>
      </c>
      <c r="BS1235" s="59" t="n">
        <f aca="false">IF(BR1235=0,0,IF(N(R1235)&gt;0,R1235,IFERROR(VLOOKUP(D1235,Parameter!$A$35:$C$64,3,0)+0,0)))</f>
        <v>0</v>
      </c>
      <c r="BT1235" s="55" t="n">
        <f aca="false">IF(Y1235&lt;&gt;"",Y1235,X1235)</f>
        <v>3</v>
      </c>
      <c r="BU1235" s="55" t="str">
        <f aca="false">IF(BT1235=1,"L1",IF(OR(BT1235=2,BT1235=3),"L23",IF(BT1235="Aussen","Aussen","-")))</f>
        <v>L23</v>
      </c>
      <c r="BV1235" s="66" t="n">
        <f aca="false">IF(N(Z1235)&gt;0,Z1235,0)</f>
        <v>0</v>
      </c>
      <c r="BW1235" s="60" t="n">
        <f aca="false">IF(ISNUMBER(AC1235),1,0)</f>
        <v>0</v>
      </c>
      <c r="BX1235" s="57" t="n">
        <f aca="false">N(AC1235)</f>
        <v>0</v>
      </c>
      <c r="BY1235" s="57" t="n">
        <f aca="false">N(L1235)+N(M1235)</f>
        <v>44</v>
      </c>
      <c r="BZ1235" s="57" t="n">
        <f aca="false">ROUNDUP(G1235/BQ1235,0)</f>
        <v>1</v>
      </c>
      <c r="CA1235" s="57" t="n">
        <f aca="false">ROUNDUP(BX1235/BQ1235,0)</f>
        <v>0</v>
      </c>
      <c r="CB1235" s="60" t="n">
        <f aca="false">IF(BR1235=1,0,IFERROR(VLOOKUP(BP1235,'Gebinde-Kategorie'!$A$5:$M$45,5,0)+0,0))</f>
        <v>11</v>
      </c>
      <c r="CC1235" s="60" t="n">
        <f aca="false">IFERROR(IF(OR(BT1235=1,BT1235=2,BT1235=3),N(INDEX(Parameter!$I$5:$I$7,BT1235)),0),0)</f>
        <v>0</v>
      </c>
      <c r="CD1235" s="59" t="n">
        <f aca="false">IF(AND(Parameter!$B$21="Ja",ISNUMBER(U1235),N(V1235)&gt;0),IFERROR(N(INDEX(Parameter!$L$5:$L$7,U1235))*INDEX(Parameter!$E$5:$E$7,U1235)*V1235/SUMIFS($V$7:$V$1576,$U$7:$U$1576,U1235),0),0)</f>
        <v>0</v>
      </c>
    </row>
    <row r="1236" customFormat="false" ht="15" hidden="false" customHeight="false" outlineLevel="0" collapsed="false">
      <c r="A1236" s="55" t="s">
        <v>2199</v>
      </c>
      <c r="B1236" s="55" t="s">
        <v>2200</v>
      </c>
      <c r="C1236" s="55" t="s">
        <v>446</v>
      </c>
      <c r="D1236" s="55" t="s">
        <v>168</v>
      </c>
      <c r="E1236" s="55" t="s">
        <v>210</v>
      </c>
      <c r="F1236" s="56" t="n">
        <v>67.89</v>
      </c>
      <c r="G1236" s="57" t="n">
        <f aca="false">MAX(0,IF(AND(Parameter!$B$21="Ja",ISNUMBER(W1236)),W1236,IF(Parameter!$B$20="Jahresanfang 2025 + Export",BJ1236+BI1236,BI1236)))</f>
        <v>0</v>
      </c>
      <c r="H1236" s="57" t="n">
        <f aca="false">G1236*F1236</f>
        <v>0</v>
      </c>
      <c r="I1236" s="57" t="n">
        <f aca="false">BL1236*Parameter!$B$18</f>
        <v>0</v>
      </c>
      <c r="J1236" s="58" t="n">
        <v>5</v>
      </c>
      <c r="K1236" s="59" t="n">
        <v>0</v>
      </c>
      <c r="L1236" s="57" t="n">
        <v>0</v>
      </c>
      <c r="M1236" s="57" t="n">
        <v>1</v>
      </c>
      <c r="N1236" s="60" t="n">
        <v>56</v>
      </c>
      <c r="O1236" s="55" t="s">
        <v>163</v>
      </c>
      <c r="P1236" s="57"/>
      <c r="Q1236" s="60" t="n">
        <f aca="false">IF(BR1236=1,0,IFERROR(VLOOKUP(BP1236,'Gebinde-Kategorie'!$A$5:$M$45,13,0)+0,0))</f>
        <v>0</v>
      </c>
      <c r="R1236" s="61"/>
      <c r="S1236" s="62"/>
      <c r="T1236" s="62"/>
      <c r="U1236" s="55"/>
      <c r="V1236" s="57"/>
      <c r="W1236" s="57"/>
      <c r="X1236" s="55" t="n">
        <f aca="false">IF(A1236="","",IF(AND(Parameter!$B$21="Ja",ISNUMBER(U1236)),U1236,IF(IFERROR(VLOOKUP(D1236,Parameter!$A$35:$C$64,2,0),"Nein")="2+3",IF(ISNUMBER(SEARCH("grosser Artikel",BM1236)),2,IFERROR(VLOOKUP(BP1236,Parameter!$F$35:$G$64,2,0),2)),IF(OR(IFERROR(VLOOKUP(D1236,Parameter!$A$35:$C$64,2,0),"Nein")="Nein",IFERROR(VLOOKUP(D1236,Parameter!$A$35:$C$64,2,0),"Nein")=""),"-",VLOOKUP(D1236,Parameter!$A$35:$C$64,2,0)))))</f>
        <v>2</v>
      </c>
      <c r="Y1236" s="62"/>
      <c r="Z1236" s="63"/>
      <c r="AA1236" s="57" t="n">
        <f aca="false">AP1236</f>
        <v>1</v>
      </c>
      <c r="AB1236" s="57" t="n">
        <f aca="false">MAX(AP1236,G1236)</f>
        <v>1</v>
      </c>
      <c r="AC1236" s="64"/>
      <c r="AD1236" s="57" t="n">
        <f aca="false">IF(LEFT(Cockpit!$C$5,1)="A",G1236,IF(BW1236=1,BX1236,IF(LEFT(Cockpit!$C$5,1)="B",AH1236,MAX(AH1236,G1236))))</f>
        <v>0</v>
      </c>
      <c r="AE1236" s="57" t="n">
        <f aca="false">IF(BR1236=1,0,ROUNDUP(AD1236/BQ1236,0))</f>
        <v>0</v>
      </c>
      <c r="AF1236" s="59" t="n">
        <f aca="false">IF(CD1236&gt;0,CD1236*MAX(1,AD1236/V1236),IF(BR1236=1,IF(AD1236&lt;=0,0,BS1236*MAX(1,IF(G1236&gt;0,AD1236/G1236,1))),IF(Q1236&gt;0,AE1236/Q1236,0))/MAX(0.1,N(Parameter!$M$21)))</f>
        <v>0</v>
      </c>
      <c r="AG1236" s="57" t="n">
        <f aca="false">AD1236*F1236</f>
        <v>0</v>
      </c>
      <c r="AH1236" s="57" t="n">
        <f aca="false">ROUNDUP(MAX(I1236/IF(BV1236&gt;0,BV1236,MAX(0.1,N(Cockpit!$C$6))),BY1236)/BQ1236,0)*BQ1236</f>
        <v>1</v>
      </c>
      <c r="AI1236" s="58" t="n">
        <f aca="false">IF(AF1236&gt;0,I1236/AF1236,-1)</f>
        <v>-1</v>
      </c>
      <c r="AJ1236" s="58" t="str">
        <f aca="false">IF(AND(OR(BU1236="L1",BU1236="L23"),AF1236&gt;0),SUMIFS($AF$7:$AF$1576,$BU$7:$BU$1576,BU1236,$AI$7:$AI$1576,"&gt;"&amp;AI1236)+SUMIFS($AF$7:$AF$1576,$BU$7:$BU$1576,BU1236,$AI$7:$AI$1576,AI1236,$BO$7:$BO$1576,"&lt;="&amp;BO1236),"")</f>
        <v/>
      </c>
      <c r="AK1236" s="65" t="n">
        <f aca="false">IF(AJ1236="",0,MAX(0,MIN(1,(IF(BU1236="L1",Parameter!$E$5,Parameter!$E$6+Parameter!$E$7)-(AJ1236-AF1236))/AF1236)))</f>
        <v>0</v>
      </c>
      <c r="AL1236" s="57" t="n">
        <f aca="false">IF(LEFT(Cockpit!$I$5,1)="A",G1236,IF(BW1236=1,BX1236,IF(LEFT(Cockpit!$I$5,1)="B",AP1236,MAX(AP1236,G1236))))</f>
        <v>1</v>
      </c>
      <c r="AM1236" s="57" t="n">
        <f aca="false">IF(BR1236=1,0,ROUNDUP(AL1236/BQ1236,0))</f>
        <v>0</v>
      </c>
      <c r="AN1236" s="59" t="n">
        <f aca="false">IF(CD1236&gt;0,CD1236*MAX(1,AL1236/V1236),IF(BR1236=1,IF(AL1236&lt;=0,0,BS1236*MAX(1,IF(G1236&gt;0,AL1236/G1236,1))),IF(Q1236&gt;0,AM1236/Q1236,0))/MAX(0.1,N(Parameter!$M$21)))</f>
        <v>0.15</v>
      </c>
      <c r="AO1236" s="57" t="n">
        <f aca="false">AL1236*F1236</f>
        <v>67.89</v>
      </c>
      <c r="AP1236" s="57" t="n">
        <f aca="false">ROUNDUP(MAX(I1236/IF(BV1236&gt;0,BV1236,MAX(0.1,N(Cockpit!$I$6))),BY1236)/BQ1236,0)*BQ1236</f>
        <v>1</v>
      </c>
      <c r="AQ1236" s="58" t="n">
        <f aca="false">IF(AN1236&gt;0,I1236/AN1236,-1)</f>
        <v>0</v>
      </c>
      <c r="AR1236" s="58" t="n">
        <f aca="false">IF(AND(OR(BU1236="L1",BU1236="L23"),AN1236&gt;0),SUMIFS($AN$7:$AN$1576,$BU$7:$BU$1576,BU1236,$AQ$7:$AQ$1576,"&gt;"&amp;AQ1236)+SUMIFS($AN$7:$AN$1576,$BU$7:$BU$1576,BU1236,$AQ$7:$AQ$1576,AQ1236,$BO$7:$BO$1576,"&lt;="&amp;BO1236),"")</f>
        <v>136.868178850183</v>
      </c>
      <c r="AS1236" s="65" t="n">
        <f aca="false">IF(AR1236="",0,MAX(0,MIN(1,(IF(BU1236="L1",Parameter!$E$5,Parameter!$E$6+Parameter!$E$7)-(AR1236-AN1236))/AN1236)))</f>
        <v>0</v>
      </c>
      <c r="AT1236" s="57" t="n">
        <f aca="false">IF(LEFT(Cockpit!$O$5,1)="A",G1236,IF(BW1236=1,BX1236,IF(LEFT(Cockpit!$O$5,1)="B",AX1236,MAX(AX1236,G1236))))</f>
        <v>1</v>
      </c>
      <c r="AU1236" s="57" t="n">
        <f aca="false">IF(BR1236=1,0,ROUNDUP(AT1236/BQ1236,0))</f>
        <v>0</v>
      </c>
      <c r="AV1236" s="59" t="n">
        <f aca="false">IF(CD1236&gt;0,CD1236*MAX(1,AT1236/V1236),IF(BR1236=1,IF(AT1236&lt;=0,0,BS1236*MAX(1,IF(G1236&gt;0,AT1236/G1236,1))),IF(Q1236&gt;0,AU1236/Q1236,0))/MAX(0.1,N(Parameter!$M$21)))</f>
        <v>0.15</v>
      </c>
      <c r="AW1236" s="57" t="n">
        <f aca="false">AT1236*F1236</f>
        <v>67.89</v>
      </c>
      <c r="AX1236" s="57" t="n">
        <f aca="false">ROUNDUP(MAX(I1236/IF(BV1236&gt;0,BV1236,MAX(0.1,N(Cockpit!$O$6))),BY1236)/BQ1236,0)*BQ1236</f>
        <v>1</v>
      </c>
      <c r="AY1236" s="58" t="n">
        <f aca="false">IF(AV1236&gt;0,I1236/AV1236,-1)</f>
        <v>0</v>
      </c>
      <c r="AZ1236" s="58" t="n">
        <f aca="false">IF(AND(OR(BU1236="L1",BU1236="L23"),AV1236&gt;0),SUMIFS($AV$7:$AV$1576,$BU$7:$BU$1576,BU1236,$AY$7:$AY$1576,"&gt;"&amp;AY1236)+SUMIFS($AV$7:$AV$1576,$BU$7:$BU$1576,BU1236,$AY$7:$AY$1576,AY1236,$BO$7:$BO$1576,"&lt;="&amp;BO1236),"")</f>
        <v>126.927729299733</v>
      </c>
      <c r="BA1236" s="65" t="n">
        <f aca="false">IF(AZ1236="",0,MAX(0,MIN(1,(IF(BU1236="L1",Parameter!$E$5,Parameter!$E$6+Parameter!$E$7)-(AZ1236-AV1236))/AV1236)))</f>
        <v>0</v>
      </c>
      <c r="BB1236" s="55" t="str">
        <f aca="false">IF(AF1236&lt;=0,"",IF(BU1236="Aussen","Aussenlager",IF(BU1236="-","Nicht im Lift",IF(AK1236&gt;=1,"Lift",IF(AK1236&lt;=0,"Aussenlager","teilweise")))))</f>
        <v/>
      </c>
      <c r="BC1236" s="55" t="str">
        <f aca="false">IF(AN1236&lt;=0,"",IF(BU1236="Aussen","Aussenlager",IF(BU1236="-","Nicht im Lift",IF(AS1236&gt;=1,"Lift",IF(AS1236&lt;=0,"Aussenlager","teilweise")))))</f>
        <v>Aussenlager</v>
      </c>
      <c r="BD1236" s="55" t="str">
        <f aca="false">IF(AV1236&lt;=0,"",IF(BU1236="Aussen","Aussenlager",IF(BU1236="-","Nicht im Lift",IF(BA1236&gt;=1,"Lift",IF(BA1236&lt;=0,"Aussenlager","teilweise")))))</f>
        <v>Aussenlager</v>
      </c>
      <c r="BE1236" s="55" t="str">
        <f aca="false">IF(A1236="","",IF(BN1236=1,"Neu; ","")&amp;IF(AND(BN1236=0,BI1236&lt;0),"negativer Bestand (Export "&amp;BI1236&amp;"); ","")&amp;IF(I1236&lt;=0,"Kein Verbrauch; ","")&amp;IF(CD1236&gt;0,"Lift "&amp;U1236&amp;" lt. Liftbericht (Fach "&amp;V1236&amp;" Stk); ",IF(BR1236=1,"Lose – Fläche geschätzt; ",""))&amp;IF(G1236&gt;AP1236,"Überbestand "&amp;ROUND(G1236-AP1236,0)&amp;" Stk / CHF "&amp;ROUND((G1236-AP1236)*F1236,0)&amp;"; ","")&amp;IF(AND(BW1236=1,BX1236&lt;BY1236),"MAX &lt; MB+LG; ","")&amp;IF(AND(CC1236&gt;0,CB1236*10&gt;CC1236),"zu hoch für Tablar; ","")&amp;IF(AND(BN1236=0,OR(BW1236=1,Y1236&lt;&gt;"",S1236&lt;&gt;"",T1236&lt;&gt;"",Z1236&lt;&gt;"")),"manuell übersteuert; ","")&amp;IF(AND(BR1236=0,Q1236=0),"Gebinde unbekannt / Stellmass fehlt; ","")&amp;IF(AND(BR1236=0,N(T1236)&lt;=0,N(P1236)&lt;=0),"Menge pro Gebinde fehlt (Ist = 1 Gebinde); ","")&amp;BM1236)</f>
        <v>negativer Bestand (Export -10); Kein Verbrauch; Lose – Fläche geschätzt; </v>
      </c>
      <c r="BF1236" s="55"/>
      <c r="BG1236" s="55"/>
      <c r="BH1236" s="62"/>
      <c r="BI1236" s="57" t="n">
        <v>-10</v>
      </c>
      <c r="BJ1236" s="57" t="n">
        <v>10</v>
      </c>
      <c r="BK1236" s="56" t="n">
        <v>-678.9</v>
      </c>
      <c r="BL1236" s="57" t="n">
        <v>0</v>
      </c>
      <c r="BM1236" s="55"/>
      <c r="BN1236" s="60" t="n">
        <v>0</v>
      </c>
      <c r="BO1236" s="60" t="n">
        <v>1236</v>
      </c>
      <c r="BP1236" s="55" t="str">
        <f aca="false">IF(S1236&lt;&gt;"",UPPER(TRIM(S1236)),IF(O1236="","LOSE",O1236))</f>
        <v>LOSE</v>
      </c>
      <c r="BQ1236" s="57" t="n">
        <f aca="false">IF(BP1236="LOSE",1,IF(N(T1236)&gt;0,T1236,IF(N(P1236)&gt;0,P1236,MAX(1,G1236))))</f>
        <v>1</v>
      </c>
      <c r="BR1236" s="60" t="n">
        <f aca="false">IF(BP1236="LOSE",1,0)</f>
        <v>1</v>
      </c>
      <c r="BS1236" s="59" t="n">
        <f aca="false">IF(BR1236=0,0,IF(N(R1236)&gt;0,R1236,IFERROR(VLOOKUP(D1236,Parameter!$A$35:$C$64,3,0)+0,0)))</f>
        <v>0.15</v>
      </c>
      <c r="BT1236" s="55" t="n">
        <f aca="false">IF(Y1236&lt;&gt;"",Y1236,X1236)</f>
        <v>2</v>
      </c>
      <c r="BU1236" s="55" t="str">
        <f aca="false">IF(BT1236=1,"L1",IF(OR(BT1236=2,BT1236=3),"L23",IF(BT1236="Aussen","Aussen","-")))</f>
        <v>L23</v>
      </c>
      <c r="BV1236" s="66" t="n">
        <f aca="false">IF(N(Z1236)&gt;0,Z1236,0)</f>
        <v>0</v>
      </c>
      <c r="BW1236" s="60" t="n">
        <f aca="false">IF(ISNUMBER(AC1236),1,0)</f>
        <v>0</v>
      </c>
      <c r="BX1236" s="57" t="n">
        <f aca="false">N(AC1236)</f>
        <v>0</v>
      </c>
      <c r="BY1236" s="57" t="n">
        <f aca="false">N(L1236)+N(M1236)</f>
        <v>1</v>
      </c>
      <c r="BZ1236" s="57" t="n">
        <f aca="false">ROUNDUP(G1236/BQ1236,0)</f>
        <v>0</v>
      </c>
      <c r="CA1236" s="57" t="n">
        <f aca="false">ROUNDUP(BX1236/BQ1236,0)</f>
        <v>0</v>
      </c>
      <c r="CB1236" s="60" t="n">
        <f aca="false">IF(BR1236=1,0,IFERROR(VLOOKUP(BP1236,'Gebinde-Kategorie'!$A$5:$M$45,5,0)+0,0))</f>
        <v>0</v>
      </c>
      <c r="CC1236" s="60" t="n">
        <f aca="false">IFERROR(IF(OR(BT1236=1,BT1236=2,BT1236=3),N(INDEX(Parameter!$I$5:$I$7,BT1236)),0),0)</f>
        <v>0</v>
      </c>
      <c r="CD1236" s="59" t="n">
        <f aca="false">IF(AND(Parameter!$B$21="Ja",ISNUMBER(U1236),N(V1236)&gt;0),IFERROR(N(INDEX(Parameter!$L$5:$L$7,U1236))*INDEX(Parameter!$E$5:$E$7,U1236)*V1236/SUMIFS($V$7:$V$1576,$U$7:$U$1576,U1236),0),0)</f>
        <v>0</v>
      </c>
    </row>
    <row r="1237" customFormat="false" ht="15" hidden="false" customHeight="false" outlineLevel="0" collapsed="false">
      <c r="A1237" s="55" t="s">
        <v>2201</v>
      </c>
      <c r="B1237" s="55" t="s">
        <v>657</v>
      </c>
      <c r="C1237" s="55" t="s">
        <v>160</v>
      </c>
      <c r="D1237" s="55" t="s">
        <v>168</v>
      </c>
      <c r="E1237" s="55" t="s">
        <v>210</v>
      </c>
      <c r="F1237" s="56" t="n">
        <v>201.92</v>
      </c>
      <c r="G1237" s="57" t="n">
        <f aca="false">MAX(0,IF(AND(Parameter!$B$21="Ja",ISNUMBER(W1237)),W1237,IF(Parameter!$B$20="Jahresanfang 2025 + Export",BJ1237+BI1237,BI1237)))</f>
        <v>8</v>
      </c>
      <c r="H1237" s="57" t="n">
        <f aca="false">G1237*F1237</f>
        <v>1615.36</v>
      </c>
      <c r="I1237" s="57" t="n">
        <f aca="false">BL1237*Parameter!$B$18</f>
        <v>55</v>
      </c>
      <c r="J1237" s="58" t="n">
        <v>17.5</v>
      </c>
      <c r="K1237" s="59" t="n">
        <v>3.14285714285714</v>
      </c>
      <c r="L1237" s="57" t="n">
        <v>5</v>
      </c>
      <c r="M1237" s="57" t="n">
        <v>10</v>
      </c>
      <c r="N1237" s="60" t="n">
        <v>28</v>
      </c>
      <c r="O1237" s="55" t="s">
        <v>163</v>
      </c>
      <c r="P1237" s="57"/>
      <c r="Q1237" s="60" t="n">
        <f aca="false">IF(BR1237=1,0,IFERROR(VLOOKUP(BP1237,'Gebinde-Kategorie'!$A$5:$M$45,13,0)+0,0))</f>
        <v>0</v>
      </c>
      <c r="R1237" s="61"/>
      <c r="S1237" s="62"/>
      <c r="T1237" s="62"/>
      <c r="U1237" s="55" t="n">
        <v>1</v>
      </c>
      <c r="V1237" s="57" t="n">
        <v>22</v>
      </c>
      <c r="W1237" s="57" t="n">
        <v>8</v>
      </c>
      <c r="X1237" s="55" t="n">
        <f aca="false">IF(A1237="","",IF(AND(Parameter!$B$21="Ja",ISNUMBER(U1237)),U1237,IF(IFERROR(VLOOKUP(D1237,Parameter!$A$35:$C$64,2,0),"Nein")="2+3",IF(ISNUMBER(SEARCH("grosser Artikel",BM1237)),2,IFERROR(VLOOKUP(BP1237,Parameter!$F$35:$G$64,2,0),2)),IF(OR(IFERROR(VLOOKUP(D1237,Parameter!$A$35:$C$64,2,0),"Nein")="Nein",IFERROR(VLOOKUP(D1237,Parameter!$A$35:$C$64,2,0),"Nein")=""),"-",VLOOKUP(D1237,Parameter!$A$35:$C$64,2,0)))))</f>
        <v>1</v>
      </c>
      <c r="Y1237" s="62"/>
      <c r="Z1237" s="63"/>
      <c r="AA1237" s="57" t="n">
        <f aca="false">AP1237</f>
        <v>28</v>
      </c>
      <c r="AB1237" s="57" t="n">
        <f aca="false">MAX(AP1237,G1237)</f>
        <v>28</v>
      </c>
      <c r="AC1237" s="64"/>
      <c r="AD1237" s="57" t="n">
        <f aca="false">IF(LEFT(Cockpit!$C$5,1)="A",G1237,IF(BW1237=1,BX1237,IF(LEFT(Cockpit!$C$5,1)="B",AH1237,MAX(AH1237,G1237))))</f>
        <v>8</v>
      </c>
      <c r="AE1237" s="57" t="n">
        <f aca="false">IF(BR1237=1,0,ROUNDUP(AD1237/BQ1237,0))</f>
        <v>0</v>
      </c>
      <c r="AF1237" s="59" t="n">
        <f aca="false">IF(CD1237&gt;0,CD1237*MAX(1,AD1237/V1237),IF(BR1237=1,IF(AD1237&lt;=0,0,BS1237*MAX(1,IF(G1237&gt;0,AD1237/G1237,1))),IF(Q1237&gt;0,AE1237/Q1237,0))/MAX(0.1,N(Parameter!$M$21)))</f>
        <v>1.7608286252354</v>
      </c>
      <c r="AG1237" s="57" t="n">
        <f aca="false">AD1237*F1237</f>
        <v>1615.36</v>
      </c>
      <c r="AH1237" s="57" t="n">
        <f aca="false">ROUNDUP(MAX(I1237/IF(BV1237&gt;0,BV1237,MAX(0.1,N(Cockpit!$C$6))),BY1237)/BQ1237,0)*BQ1237</f>
        <v>28</v>
      </c>
      <c r="AI1237" s="58" t="n">
        <f aca="false">IF(AF1237&gt;0,I1237/AF1237,-1)</f>
        <v>31.2352941176471</v>
      </c>
      <c r="AJ1237" s="58" t="n">
        <f aca="false">IF(AND(OR(BU1237="L1",BU1237="L23"),AF1237&gt;0),SUMIFS($AF$7:$AF$1576,$BU$7:$BU$1576,BU1237,$AI$7:$AI$1576,"&gt;"&amp;AI1237)+SUMIFS($AF$7:$AF$1576,$BU$7:$BU$1576,BU1237,$AI$7:$AI$1576,AI1237,$BO$7:$BO$1576,"&lt;="&amp;BO1237),"")</f>
        <v>3.76177024482109</v>
      </c>
      <c r="AK1237" s="65" t="n">
        <f aca="false">IF(AJ1237="",0,MAX(0,MIN(1,(IF(BU1237="L1",Parameter!$E$5,Parameter!$E$6+Parameter!$E$7)-(AJ1237-AF1237))/AF1237)))</f>
        <v>1</v>
      </c>
      <c r="AL1237" s="57" t="n">
        <f aca="false">IF(LEFT(Cockpit!$I$5,1)="A",G1237,IF(BW1237=1,BX1237,IF(LEFT(Cockpit!$I$5,1)="B",AP1237,MAX(AP1237,G1237))))</f>
        <v>28</v>
      </c>
      <c r="AM1237" s="57" t="n">
        <f aca="false">IF(BR1237=1,0,ROUNDUP(AL1237/BQ1237,0))</f>
        <v>0</v>
      </c>
      <c r="AN1237" s="59" t="n">
        <f aca="false">IF(CD1237&gt;0,CD1237*MAX(1,AL1237/V1237),IF(BR1237=1,IF(AL1237&lt;=0,0,BS1237*MAX(1,IF(G1237&gt;0,AL1237/G1237,1))),IF(Q1237&gt;0,AM1237/Q1237,0))/MAX(0.1,N(Parameter!$M$21)))</f>
        <v>2.24105461393597</v>
      </c>
      <c r="AO1237" s="57" t="n">
        <f aca="false">AL1237*F1237</f>
        <v>5653.76</v>
      </c>
      <c r="AP1237" s="57" t="n">
        <f aca="false">ROUNDUP(MAX(I1237/IF(BV1237&gt;0,BV1237,MAX(0.1,N(Cockpit!$I$6))),BY1237)/BQ1237,0)*BQ1237</f>
        <v>28</v>
      </c>
      <c r="AQ1237" s="58" t="n">
        <f aca="false">IF(AN1237&gt;0,I1237/AN1237,-1)</f>
        <v>24.5420168067227</v>
      </c>
      <c r="AR1237" s="58" t="n">
        <f aca="false">IF(AND(OR(BU1237="L1",BU1237="L23"),AN1237&gt;0),SUMIFS($AN$7:$AN$1576,$BU$7:$BU$1576,BU1237,$AQ$7:$AQ$1576,"&gt;"&amp;AQ1237)+SUMIFS($AN$7:$AN$1576,$BU$7:$BU$1576,BU1237,$AQ$7:$AQ$1576,AQ1237,$BO$7:$BO$1576,"&lt;="&amp;BO1237),"")</f>
        <v>8.88418079096045</v>
      </c>
      <c r="AS1237" s="65" t="n">
        <f aca="false">IF(AR1237="",0,MAX(0,MIN(1,(IF(BU1237="L1",Parameter!$E$5,Parameter!$E$6+Parameter!$E$7)-(AR1237-AN1237))/AN1237)))</f>
        <v>1</v>
      </c>
      <c r="AT1237" s="57" t="n">
        <f aca="false">IF(LEFT(Cockpit!$O$5,1)="A",G1237,IF(BW1237=1,BX1237,IF(LEFT(Cockpit!$O$5,1)="B",AX1237,MAX(AX1237,G1237))))</f>
        <v>19</v>
      </c>
      <c r="AU1237" s="57" t="n">
        <f aca="false">IF(BR1237=1,0,ROUNDUP(AT1237/BQ1237,0))</f>
        <v>0</v>
      </c>
      <c r="AV1237" s="59" t="n">
        <f aca="false">IF(CD1237&gt;0,CD1237*MAX(1,AT1237/V1237),IF(BR1237=1,IF(AT1237&lt;=0,0,BS1237*MAX(1,IF(G1237&gt;0,AT1237/G1237,1))),IF(Q1237&gt;0,AU1237/Q1237,0))/MAX(0.1,N(Parameter!$M$21)))</f>
        <v>1.7608286252354</v>
      </c>
      <c r="AW1237" s="57" t="n">
        <f aca="false">AT1237*F1237</f>
        <v>3836.48</v>
      </c>
      <c r="AX1237" s="57" t="n">
        <f aca="false">ROUNDUP(MAX(I1237/IF(BV1237&gt;0,BV1237,MAX(0.1,N(Cockpit!$O$6))),BY1237)/BQ1237,0)*BQ1237</f>
        <v>19</v>
      </c>
      <c r="AY1237" s="58" t="n">
        <f aca="false">IF(AV1237&gt;0,I1237/AV1237,-1)</f>
        <v>31.2352941176471</v>
      </c>
      <c r="AZ1237" s="58" t="n">
        <f aca="false">IF(AND(OR(BU1237="L1",BU1237="L23"),AV1237&gt;0),SUMIFS($AV$7:$AV$1576,$BU$7:$BU$1576,BU1237,$AY$7:$AY$1576,"&gt;"&amp;AY1237)+SUMIFS($AV$7:$AV$1576,$BU$7:$BU$1576,BU1237,$AY$7:$AY$1576,AY1237,$BO$7:$BO$1576,"&lt;="&amp;BO1237),"")</f>
        <v>5.20244821092279</v>
      </c>
      <c r="BA1237" s="65" t="n">
        <f aca="false">IF(AZ1237="",0,MAX(0,MIN(1,(IF(BU1237="L1",Parameter!$E$5,Parameter!$E$6+Parameter!$E$7)-(AZ1237-AV1237))/AV1237)))</f>
        <v>1</v>
      </c>
      <c r="BB1237" s="55" t="str">
        <f aca="false">IF(AF1237&lt;=0,"",IF(BU1237="Aussen","Aussenlager",IF(BU1237="-","Nicht im Lift",IF(AK1237&gt;=1,"Lift",IF(AK1237&lt;=0,"Aussenlager","teilweise")))))</f>
        <v>Lift</v>
      </c>
      <c r="BC1237" s="55" t="str">
        <f aca="false">IF(AN1237&lt;=0,"",IF(BU1237="Aussen","Aussenlager",IF(BU1237="-","Nicht im Lift",IF(AS1237&gt;=1,"Lift",IF(AS1237&lt;=0,"Aussenlager","teilweise")))))</f>
        <v>Lift</v>
      </c>
      <c r="BD1237" s="55" t="str">
        <f aca="false">IF(AV1237&lt;=0,"",IF(BU1237="Aussen","Aussenlager",IF(BU1237="-","Nicht im Lift",IF(BA1237&gt;=1,"Lift",IF(BA1237&lt;=0,"Aussenlager","teilweise")))))</f>
        <v>Lift</v>
      </c>
      <c r="BE1237" s="55" t="str">
        <f aca="false">IF(A1237="","",IF(BN1237=1,"Neu; ","")&amp;IF(AND(BN1237=0,BI1237&lt;0),"negativer Bestand (Export "&amp;BI1237&amp;"); ","")&amp;IF(I1237&lt;=0,"Kein Verbrauch; ","")&amp;IF(CD1237&gt;0,"Lift "&amp;U1237&amp;" lt. Liftbericht (Fach "&amp;V1237&amp;" Stk); ",IF(BR1237=1,"Lose – Fläche geschätzt; ",""))&amp;IF(G1237&gt;AP1237,"Überbestand "&amp;ROUND(G1237-AP1237,0)&amp;" Stk / CHF "&amp;ROUND((G1237-AP1237)*F1237,0)&amp;"; ","")&amp;IF(AND(BW1237=1,BX1237&lt;BY1237),"MAX &lt; MB+LG; ","")&amp;IF(AND(CC1237&gt;0,CB1237*10&gt;CC1237),"zu hoch für Tablar; ","")&amp;IF(AND(BN1237=0,OR(BW1237=1,Y1237&lt;&gt;"",S1237&lt;&gt;"",T1237&lt;&gt;"",Z1237&lt;&gt;"")),"manuell übersteuert; ","")&amp;IF(AND(BR1237=0,Q1237=0),"Gebinde unbekannt / Stellmass fehlt; ","")&amp;IF(AND(BR1237=0,N(T1237)&lt;=0,N(P1237)&lt;=0),"Menge pro Gebinde fehlt (Ist = 1 Gebinde); ","")&amp;BM1237)</f>
        <v>negativer Bestand (Export -3); Lift 1 lt. Liftbericht (Fach 22 Stk); </v>
      </c>
      <c r="BF1237" s="55"/>
      <c r="BG1237" s="55"/>
      <c r="BH1237" s="62"/>
      <c r="BI1237" s="57" t="n">
        <v>-3</v>
      </c>
      <c r="BJ1237" s="57" t="n">
        <v>15</v>
      </c>
      <c r="BK1237" s="56" t="n">
        <v>-687.960000000004</v>
      </c>
      <c r="BL1237" s="57" t="n">
        <v>55</v>
      </c>
      <c r="BM1237" s="55"/>
      <c r="BN1237" s="60" t="n">
        <v>0</v>
      </c>
      <c r="BO1237" s="60" t="n">
        <v>1237</v>
      </c>
      <c r="BP1237" s="55" t="str">
        <f aca="false">IF(S1237&lt;&gt;"",UPPER(TRIM(S1237)),IF(O1237="","LOSE",O1237))</f>
        <v>LOSE</v>
      </c>
      <c r="BQ1237" s="57" t="n">
        <f aca="false">IF(BP1237="LOSE",1,IF(N(T1237)&gt;0,T1237,IF(N(P1237)&gt;0,P1237,MAX(1,G1237))))</f>
        <v>1</v>
      </c>
      <c r="BR1237" s="60" t="n">
        <f aca="false">IF(BP1237="LOSE",1,0)</f>
        <v>1</v>
      </c>
      <c r="BS1237" s="59" t="n">
        <f aca="false">IF(BR1237=0,0,IF(N(R1237)&gt;0,R1237,IFERROR(VLOOKUP(D1237,Parameter!$A$35:$C$64,3,0)+0,0)))</f>
        <v>0.15</v>
      </c>
      <c r="BT1237" s="55" t="n">
        <f aca="false">IF(Y1237&lt;&gt;"",Y1237,X1237)</f>
        <v>1</v>
      </c>
      <c r="BU1237" s="55" t="str">
        <f aca="false">IF(BT1237=1,"L1",IF(OR(BT1237=2,BT1237=3),"L23",IF(BT1237="Aussen","Aussen","-")))</f>
        <v>L1</v>
      </c>
      <c r="BV1237" s="66" t="n">
        <f aca="false">IF(N(Z1237)&gt;0,Z1237,0)</f>
        <v>0</v>
      </c>
      <c r="BW1237" s="60" t="n">
        <f aca="false">IF(ISNUMBER(AC1237),1,0)</f>
        <v>0</v>
      </c>
      <c r="BX1237" s="57" t="n">
        <f aca="false">N(AC1237)</f>
        <v>0</v>
      </c>
      <c r="BY1237" s="57" t="n">
        <f aca="false">N(L1237)+N(M1237)</f>
        <v>15</v>
      </c>
      <c r="BZ1237" s="57" t="n">
        <f aca="false">ROUNDUP(G1237/BQ1237,0)</f>
        <v>8</v>
      </c>
      <c r="CA1237" s="57" t="n">
        <f aca="false">ROUNDUP(BX1237/BQ1237,0)</f>
        <v>0</v>
      </c>
      <c r="CB1237" s="60" t="n">
        <f aca="false">IF(BR1237=1,0,IFERROR(VLOOKUP(BP1237,'Gebinde-Kategorie'!$A$5:$M$45,5,0)+0,0))</f>
        <v>0</v>
      </c>
      <c r="CC1237" s="60" t="n">
        <f aca="false">IFERROR(IF(OR(BT1237=1,BT1237=2,BT1237=3),N(INDEX(Parameter!$I$5:$I$7,BT1237)),0),0)</f>
        <v>0</v>
      </c>
      <c r="CD1237" s="59" t="n">
        <f aca="false">IF(AND(Parameter!$B$21="Ja",ISNUMBER(U1237),N(V1237)&gt;0),IFERROR(N(INDEX(Parameter!$L$5:$L$7,U1237))*INDEX(Parameter!$E$5:$E$7,U1237)*V1237/SUMIFS($V$7:$V$1576,$U$7:$U$1576,U1237),0),0)</f>
        <v>1.7608286252354</v>
      </c>
    </row>
    <row r="1238" customFormat="false" ht="15" hidden="false" customHeight="false" outlineLevel="0" collapsed="false">
      <c r="A1238" s="55" t="s">
        <v>2202</v>
      </c>
      <c r="B1238" s="55" t="s">
        <v>527</v>
      </c>
      <c r="C1238" s="55" t="s">
        <v>160</v>
      </c>
      <c r="D1238" s="55" t="s">
        <v>168</v>
      </c>
      <c r="E1238" s="55" t="s">
        <v>210</v>
      </c>
      <c r="F1238" s="56" t="n">
        <v>185.97</v>
      </c>
      <c r="G1238" s="57" t="n">
        <f aca="false">MAX(0,IF(AND(Parameter!$B$21="Ja",ISNUMBER(W1238)),W1238,IF(Parameter!$B$20="Jahresanfang 2025 + Export",BJ1238+BI1238,BI1238)))</f>
        <v>0</v>
      </c>
      <c r="H1238" s="57" t="n">
        <f aca="false">G1238*F1238</f>
        <v>0</v>
      </c>
      <c r="I1238" s="57" t="n">
        <f aca="false">BL1238*Parameter!$B$18</f>
        <v>9</v>
      </c>
      <c r="J1238" s="58" t="n">
        <v>6</v>
      </c>
      <c r="K1238" s="59" t="n">
        <v>1.5</v>
      </c>
      <c r="L1238" s="57" t="n">
        <v>0</v>
      </c>
      <c r="M1238" s="57" t="n">
        <v>10</v>
      </c>
      <c r="N1238" s="60" t="n">
        <v>35</v>
      </c>
      <c r="O1238" s="55" t="s">
        <v>169</v>
      </c>
      <c r="P1238" s="57" t="n">
        <v>10</v>
      </c>
      <c r="Q1238" s="60" t="n">
        <f aca="false">IF(BR1238=1,0,IFERROR(VLOOKUP(BP1238,'Gebinde-Kategorie'!$A$5:$M$45,13,0)+0,0))</f>
        <v>6</v>
      </c>
      <c r="R1238" s="61"/>
      <c r="S1238" s="62"/>
      <c r="T1238" s="62"/>
      <c r="U1238" s="55"/>
      <c r="V1238" s="57"/>
      <c r="W1238" s="57"/>
      <c r="X1238" s="55" t="n">
        <f aca="false">IF(A1238="","",IF(AND(Parameter!$B$21="Ja",ISNUMBER(U1238)),U1238,IF(IFERROR(VLOOKUP(D1238,Parameter!$A$35:$C$64,2,0),"Nein")="2+3",IF(ISNUMBER(SEARCH("grosser Artikel",BM1238)),2,IFERROR(VLOOKUP(BP1238,Parameter!$F$35:$G$64,2,0),2)),IF(OR(IFERROR(VLOOKUP(D1238,Parameter!$A$35:$C$64,2,0),"Nein")="Nein",IFERROR(VLOOKUP(D1238,Parameter!$A$35:$C$64,2,0),"Nein")=""),"-",VLOOKUP(D1238,Parameter!$A$35:$C$64,2,0)))))</f>
        <v>2</v>
      </c>
      <c r="Y1238" s="62"/>
      <c r="Z1238" s="63"/>
      <c r="AA1238" s="57" t="n">
        <f aca="false">AP1238</f>
        <v>10</v>
      </c>
      <c r="AB1238" s="57" t="n">
        <f aca="false">MAX(AP1238,G1238)</f>
        <v>10</v>
      </c>
      <c r="AC1238" s="64"/>
      <c r="AD1238" s="57" t="n">
        <f aca="false">IF(LEFT(Cockpit!$C$5,1)="A",G1238,IF(BW1238=1,BX1238,IF(LEFT(Cockpit!$C$5,1)="B",AH1238,MAX(AH1238,G1238))))</f>
        <v>0</v>
      </c>
      <c r="AE1238" s="57" t="n">
        <f aca="false">IF(BR1238=1,0,ROUNDUP(AD1238/BQ1238,0))</f>
        <v>0</v>
      </c>
      <c r="AF1238" s="59" t="n">
        <f aca="false">IF(CD1238&gt;0,CD1238*MAX(1,AD1238/V1238),IF(BR1238=1,IF(AD1238&lt;=0,0,BS1238*MAX(1,IF(G1238&gt;0,AD1238/G1238,1))),IF(Q1238&gt;0,AE1238/Q1238,0))/MAX(0.1,N(Parameter!$M$21)))</f>
        <v>0</v>
      </c>
      <c r="AG1238" s="57" t="n">
        <f aca="false">AD1238*F1238</f>
        <v>0</v>
      </c>
      <c r="AH1238" s="57" t="n">
        <f aca="false">ROUNDUP(MAX(I1238/IF(BV1238&gt;0,BV1238,MAX(0.1,N(Cockpit!$C$6))),BY1238)/BQ1238,0)*BQ1238</f>
        <v>10</v>
      </c>
      <c r="AI1238" s="58" t="n">
        <f aca="false">IF(AF1238&gt;0,I1238/AF1238,-1)</f>
        <v>-1</v>
      </c>
      <c r="AJ1238" s="58" t="str">
        <f aca="false">IF(AND(OR(BU1238="L1",BU1238="L23"),AF1238&gt;0),SUMIFS($AF$7:$AF$1576,$BU$7:$BU$1576,BU1238,$AI$7:$AI$1576,"&gt;"&amp;AI1238)+SUMIFS($AF$7:$AF$1576,$BU$7:$BU$1576,BU1238,$AI$7:$AI$1576,AI1238,$BO$7:$BO$1576,"&lt;="&amp;BO1238),"")</f>
        <v/>
      </c>
      <c r="AK1238" s="65" t="n">
        <f aca="false">IF(AJ1238="",0,MAX(0,MIN(1,(IF(BU1238="L1",Parameter!$E$5,Parameter!$E$6+Parameter!$E$7)-(AJ1238-AF1238))/AF1238)))</f>
        <v>0</v>
      </c>
      <c r="AL1238" s="57" t="n">
        <f aca="false">IF(LEFT(Cockpit!$I$5,1)="A",G1238,IF(BW1238=1,BX1238,IF(LEFT(Cockpit!$I$5,1)="B",AP1238,MAX(AP1238,G1238))))</f>
        <v>10</v>
      </c>
      <c r="AM1238" s="57" t="n">
        <f aca="false">IF(BR1238=1,0,ROUNDUP(AL1238/BQ1238,0))</f>
        <v>1</v>
      </c>
      <c r="AN1238" s="59" t="n">
        <f aca="false">IF(CD1238&gt;0,CD1238*MAX(1,AL1238/V1238),IF(BR1238=1,IF(AL1238&lt;=0,0,BS1238*MAX(1,IF(G1238&gt;0,AL1238/G1238,1))),IF(Q1238&gt;0,AM1238/Q1238,0))/MAX(0.1,N(Parameter!$M$21)))</f>
        <v>0.166666666666667</v>
      </c>
      <c r="AO1238" s="57" t="n">
        <f aca="false">AL1238*F1238</f>
        <v>1859.7</v>
      </c>
      <c r="AP1238" s="57" t="n">
        <f aca="false">ROUNDUP(MAX(I1238/IF(BV1238&gt;0,BV1238,MAX(0.1,N(Cockpit!$I$6))),BY1238)/BQ1238,0)*BQ1238</f>
        <v>10</v>
      </c>
      <c r="AQ1238" s="58" t="n">
        <f aca="false">IF(AN1238&gt;0,I1238/AN1238,-1)</f>
        <v>54</v>
      </c>
      <c r="AR1238" s="58" t="n">
        <f aca="false">IF(AND(OR(BU1238="L1",BU1238="L23"),AN1238&gt;0),SUMIFS($AN$7:$AN$1576,$BU$7:$BU$1576,BU1238,$AQ$7:$AQ$1576,"&gt;"&amp;AQ1238)+SUMIFS($AN$7:$AN$1576,$BU$7:$BU$1576,BU1238,$AQ$7:$AQ$1576,AQ1238,$BO$7:$BO$1576,"&lt;="&amp;BO1238),"")</f>
        <v>79.9760243322855</v>
      </c>
      <c r="AS1238" s="65" t="n">
        <f aca="false">IF(AR1238="",0,MAX(0,MIN(1,(IF(BU1238="L1",Parameter!$E$5,Parameter!$E$6+Parameter!$E$7)-(AR1238-AN1238))/AN1238)))</f>
        <v>1</v>
      </c>
      <c r="AT1238" s="57" t="n">
        <f aca="false">IF(LEFT(Cockpit!$O$5,1)="A",G1238,IF(BW1238=1,BX1238,IF(LEFT(Cockpit!$O$5,1)="B",AX1238,MAX(AX1238,G1238))))</f>
        <v>10</v>
      </c>
      <c r="AU1238" s="57" t="n">
        <f aca="false">IF(BR1238=1,0,ROUNDUP(AT1238/BQ1238,0))</f>
        <v>1</v>
      </c>
      <c r="AV1238" s="59" t="n">
        <f aca="false">IF(CD1238&gt;0,CD1238*MAX(1,AT1238/V1238),IF(BR1238=1,IF(AT1238&lt;=0,0,BS1238*MAX(1,IF(G1238&gt;0,AT1238/G1238,1))),IF(Q1238&gt;0,AU1238/Q1238,0))/MAX(0.1,N(Parameter!$M$21)))</f>
        <v>0.166666666666667</v>
      </c>
      <c r="AW1238" s="57" t="n">
        <f aca="false">AT1238*F1238</f>
        <v>1859.7</v>
      </c>
      <c r="AX1238" s="57" t="n">
        <f aca="false">ROUNDUP(MAX(I1238/IF(BV1238&gt;0,BV1238,MAX(0.1,N(Cockpit!$O$6))),BY1238)/BQ1238,0)*BQ1238</f>
        <v>10</v>
      </c>
      <c r="AY1238" s="58" t="n">
        <f aca="false">IF(AV1238&gt;0,I1238/AV1238,-1)</f>
        <v>54</v>
      </c>
      <c r="AZ1238" s="58" t="n">
        <f aca="false">IF(AND(OR(BU1238="L1",BU1238="L23"),AV1238&gt;0),SUMIFS($AV$7:$AV$1576,$BU$7:$BU$1576,BU1238,$AY$7:$AY$1576,"&gt;"&amp;AY1238)+SUMIFS($AV$7:$AV$1576,$BU$7:$BU$1576,BU1238,$AY$7:$AY$1576,AY1238,$BO$7:$BO$1576,"&lt;="&amp;BO1238),"")</f>
        <v>77.1439081151693</v>
      </c>
      <c r="BA1238" s="65" t="n">
        <f aca="false">IF(AZ1238="",0,MAX(0,MIN(1,(IF(BU1238="L1",Parameter!$E$5,Parameter!$E$6+Parameter!$E$7)-(AZ1238-AV1238))/AV1238)))</f>
        <v>1</v>
      </c>
      <c r="BB1238" s="55" t="str">
        <f aca="false">IF(AF1238&lt;=0,"",IF(BU1238="Aussen","Aussenlager",IF(BU1238="-","Nicht im Lift",IF(AK1238&gt;=1,"Lift",IF(AK1238&lt;=0,"Aussenlager","teilweise")))))</f>
        <v/>
      </c>
      <c r="BC1238" s="55" t="str">
        <f aca="false">IF(AN1238&lt;=0,"",IF(BU1238="Aussen","Aussenlager",IF(BU1238="-","Nicht im Lift",IF(AS1238&gt;=1,"Lift",IF(AS1238&lt;=0,"Aussenlager","teilweise")))))</f>
        <v>Lift</v>
      </c>
      <c r="BD1238" s="55" t="str">
        <f aca="false">IF(AV1238&lt;=0,"",IF(BU1238="Aussen","Aussenlager",IF(BU1238="-","Nicht im Lift",IF(BA1238&gt;=1,"Lift",IF(BA1238&lt;=0,"Aussenlager","teilweise")))))</f>
        <v>Lift</v>
      </c>
      <c r="BE1238" s="55" t="str">
        <f aca="false">IF(A1238="","",IF(BN1238=1,"Neu; ","")&amp;IF(AND(BN1238=0,BI1238&lt;0),"negativer Bestand (Export "&amp;BI1238&amp;"); ","")&amp;IF(I1238&lt;=0,"Kein Verbrauch; ","")&amp;IF(CD1238&gt;0,"Lift "&amp;U1238&amp;" lt. Liftbericht (Fach "&amp;V1238&amp;" Stk); ",IF(BR1238=1,"Lose – Fläche geschätzt; ",""))&amp;IF(G1238&gt;AP1238,"Überbestand "&amp;ROUND(G1238-AP1238,0)&amp;" Stk / CHF "&amp;ROUND((G1238-AP1238)*F1238,0)&amp;"; ","")&amp;IF(AND(BW1238=1,BX1238&lt;BY1238),"MAX &lt; MB+LG; ","")&amp;IF(AND(CC1238&gt;0,CB1238*10&gt;CC1238),"zu hoch für Tablar; ","")&amp;IF(AND(BN1238=0,OR(BW1238=1,Y1238&lt;&gt;"",S1238&lt;&gt;"",T1238&lt;&gt;"",Z1238&lt;&gt;"")),"manuell übersteuert; ","")&amp;IF(AND(BR1238=0,Q1238=0),"Gebinde unbekannt / Stellmass fehlt; ","")&amp;IF(AND(BR1238=0,N(T1238)&lt;=0,N(P1238)&lt;=0),"Menge pro Gebinde fehlt (Ist = 1 Gebinde); ","")&amp;BM1238)</f>
        <v>negativer Bestand (Export -4); </v>
      </c>
      <c r="BF1238" s="55"/>
      <c r="BG1238" s="55"/>
      <c r="BH1238" s="62"/>
      <c r="BI1238" s="57" t="n">
        <v>-4</v>
      </c>
      <c r="BJ1238" s="57" t="n">
        <v>6</v>
      </c>
      <c r="BK1238" s="56" t="n">
        <v>-689.16</v>
      </c>
      <c r="BL1238" s="57" t="n">
        <v>9</v>
      </c>
      <c r="BM1238" s="55"/>
      <c r="BN1238" s="60" t="n">
        <v>0</v>
      </c>
      <c r="BO1238" s="60" t="n">
        <v>1238</v>
      </c>
      <c r="BP1238" s="55" t="str">
        <f aca="false">IF(S1238&lt;&gt;"",UPPER(TRIM(S1238)),IF(O1238="","LOSE",O1238))</f>
        <v>S71</v>
      </c>
      <c r="BQ1238" s="57" t="n">
        <f aca="false">IF(BP1238="LOSE",1,IF(N(T1238)&gt;0,T1238,IF(N(P1238)&gt;0,P1238,MAX(1,G1238))))</f>
        <v>10</v>
      </c>
      <c r="BR1238" s="60" t="n">
        <f aca="false">IF(BP1238="LOSE",1,0)</f>
        <v>0</v>
      </c>
      <c r="BS1238" s="59" t="n">
        <f aca="false">IF(BR1238=0,0,IF(N(R1238)&gt;0,R1238,IFERROR(VLOOKUP(D1238,Parameter!$A$35:$C$64,3,0)+0,0)))</f>
        <v>0</v>
      </c>
      <c r="BT1238" s="55" t="n">
        <f aca="false">IF(Y1238&lt;&gt;"",Y1238,X1238)</f>
        <v>2</v>
      </c>
      <c r="BU1238" s="55" t="str">
        <f aca="false">IF(BT1238=1,"L1",IF(OR(BT1238=2,BT1238=3),"L23",IF(BT1238="Aussen","Aussen","-")))</f>
        <v>L23</v>
      </c>
      <c r="BV1238" s="66" t="n">
        <f aca="false">IF(N(Z1238)&gt;0,Z1238,0)</f>
        <v>0</v>
      </c>
      <c r="BW1238" s="60" t="n">
        <f aca="false">IF(ISNUMBER(AC1238),1,0)</f>
        <v>0</v>
      </c>
      <c r="BX1238" s="57" t="n">
        <f aca="false">N(AC1238)</f>
        <v>0</v>
      </c>
      <c r="BY1238" s="57" t="n">
        <f aca="false">N(L1238)+N(M1238)</f>
        <v>10</v>
      </c>
      <c r="BZ1238" s="57" t="n">
        <f aca="false">ROUNDUP(G1238/BQ1238,0)</f>
        <v>0</v>
      </c>
      <c r="CA1238" s="57" t="n">
        <f aca="false">ROUNDUP(BX1238/BQ1238,0)</f>
        <v>0</v>
      </c>
      <c r="CB1238" s="60" t="n">
        <f aca="false">IF(BR1238=1,0,IFERROR(VLOOKUP(BP1238,'Gebinde-Kategorie'!$A$5:$M$45,5,0)+0,0))</f>
        <v>20</v>
      </c>
      <c r="CC1238" s="60" t="n">
        <f aca="false">IFERROR(IF(OR(BT1238=1,BT1238=2,BT1238=3),N(INDEX(Parameter!$I$5:$I$7,BT1238)),0),0)</f>
        <v>0</v>
      </c>
      <c r="CD1238" s="59" t="n">
        <f aca="false">IF(AND(Parameter!$B$21="Ja",ISNUMBER(U1238),N(V1238)&gt;0),IFERROR(N(INDEX(Parameter!$L$5:$L$7,U1238))*INDEX(Parameter!$E$5:$E$7,U1238)*V1238/SUMIFS($V$7:$V$1576,$U$7:$U$1576,U1238),0),0)</f>
        <v>0</v>
      </c>
    </row>
    <row r="1239" customFormat="false" ht="15" hidden="false" customHeight="false" outlineLevel="0" collapsed="false">
      <c r="A1239" s="55" t="s">
        <v>2203</v>
      </c>
      <c r="B1239" s="55" t="s">
        <v>1855</v>
      </c>
      <c r="C1239" s="55" t="s">
        <v>160</v>
      </c>
      <c r="D1239" s="55" t="s">
        <v>178</v>
      </c>
      <c r="E1239" s="55" t="s">
        <v>210</v>
      </c>
      <c r="F1239" s="56" t="n">
        <v>63.53</v>
      </c>
      <c r="G1239" s="57" t="n">
        <f aca="false">MAX(0,IF(AND(Parameter!$B$21="Ja",ISNUMBER(W1239)),W1239,IF(Parameter!$B$20="Jahresanfang 2025 + Export",BJ1239+BI1239,BI1239)))</f>
        <v>0</v>
      </c>
      <c r="H1239" s="57" t="n">
        <f aca="false">G1239*F1239</f>
        <v>0</v>
      </c>
      <c r="I1239" s="57" t="n">
        <f aca="false">BL1239*Parameter!$B$18</f>
        <v>19</v>
      </c>
      <c r="J1239" s="58" t="n">
        <v>32.5</v>
      </c>
      <c r="K1239" s="59" t="n">
        <v>0.584615384615385</v>
      </c>
      <c r="L1239" s="57" t="n">
        <v>1</v>
      </c>
      <c r="M1239" s="57" t="n">
        <v>25</v>
      </c>
      <c r="N1239" s="60" t="n">
        <v>21</v>
      </c>
      <c r="O1239" s="55" t="s">
        <v>284</v>
      </c>
      <c r="P1239" s="57" t="n">
        <v>60</v>
      </c>
      <c r="Q1239" s="60" t="n">
        <f aca="false">IF(BR1239=1,0,IFERROR(VLOOKUP(BP1239,'Gebinde-Kategorie'!$A$5:$M$45,13,0)+0,0))</f>
        <v>12</v>
      </c>
      <c r="R1239" s="61"/>
      <c r="S1239" s="62"/>
      <c r="T1239" s="62"/>
      <c r="U1239" s="55"/>
      <c r="V1239" s="57"/>
      <c r="W1239" s="57"/>
      <c r="X1239" s="55" t="n">
        <f aca="false">IF(A1239="","",IF(AND(Parameter!$B$21="Ja",ISNUMBER(U1239)),U1239,IF(IFERROR(VLOOKUP(D1239,Parameter!$A$35:$C$64,2,0),"Nein")="2+3",IF(ISNUMBER(SEARCH("grosser Artikel",BM1239)),2,IFERROR(VLOOKUP(BP1239,Parameter!$F$35:$G$64,2,0),2)),IF(OR(IFERROR(VLOOKUP(D1239,Parameter!$A$35:$C$64,2,0),"Nein")="Nein",IFERROR(VLOOKUP(D1239,Parameter!$A$35:$C$64,2,0),"Nein")=""),"-",VLOOKUP(D1239,Parameter!$A$35:$C$64,2,0)))))</f>
        <v>2</v>
      </c>
      <c r="Y1239" s="62"/>
      <c r="Z1239" s="63"/>
      <c r="AA1239" s="57" t="n">
        <f aca="false">AP1239</f>
        <v>60</v>
      </c>
      <c r="AB1239" s="57" t="n">
        <f aca="false">MAX(AP1239,G1239)</f>
        <v>60</v>
      </c>
      <c r="AC1239" s="64"/>
      <c r="AD1239" s="57" t="n">
        <f aca="false">IF(LEFT(Cockpit!$C$5,1)="A",G1239,IF(BW1239=1,BX1239,IF(LEFT(Cockpit!$C$5,1)="B",AH1239,MAX(AH1239,G1239))))</f>
        <v>0</v>
      </c>
      <c r="AE1239" s="57" t="n">
        <f aca="false">IF(BR1239=1,0,ROUNDUP(AD1239/BQ1239,0))</f>
        <v>0</v>
      </c>
      <c r="AF1239" s="59" t="n">
        <f aca="false">IF(CD1239&gt;0,CD1239*MAX(1,AD1239/V1239),IF(BR1239=1,IF(AD1239&lt;=0,0,BS1239*MAX(1,IF(G1239&gt;0,AD1239/G1239,1))),IF(Q1239&gt;0,AE1239/Q1239,0))/MAX(0.1,N(Parameter!$M$21)))</f>
        <v>0</v>
      </c>
      <c r="AG1239" s="57" t="n">
        <f aca="false">AD1239*F1239</f>
        <v>0</v>
      </c>
      <c r="AH1239" s="57" t="n">
        <f aca="false">ROUNDUP(MAX(I1239/IF(BV1239&gt;0,BV1239,MAX(0.1,N(Cockpit!$C$6))),BY1239)/BQ1239,0)*BQ1239</f>
        <v>60</v>
      </c>
      <c r="AI1239" s="58" t="n">
        <f aca="false">IF(AF1239&gt;0,I1239/AF1239,-1)</f>
        <v>-1</v>
      </c>
      <c r="AJ1239" s="58" t="str">
        <f aca="false">IF(AND(OR(BU1239="L1",BU1239="L23"),AF1239&gt;0),SUMIFS($AF$7:$AF$1576,$BU$7:$BU$1576,BU1239,$AI$7:$AI$1576,"&gt;"&amp;AI1239)+SUMIFS($AF$7:$AF$1576,$BU$7:$BU$1576,BU1239,$AI$7:$AI$1576,AI1239,$BO$7:$BO$1576,"&lt;="&amp;BO1239),"")</f>
        <v/>
      </c>
      <c r="AK1239" s="65" t="n">
        <f aca="false">IF(AJ1239="",0,MAX(0,MIN(1,(IF(BU1239="L1",Parameter!$E$5,Parameter!$E$6+Parameter!$E$7)-(AJ1239-AF1239))/AF1239)))</f>
        <v>0</v>
      </c>
      <c r="AL1239" s="57" t="n">
        <f aca="false">IF(LEFT(Cockpit!$I$5,1)="A",G1239,IF(BW1239=1,BX1239,IF(LEFT(Cockpit!$I$5,1)="B",AP1239,MAX(AP1239,G1239))))</f>
        <v>60</v>
      </c>
      <c r="AM1239" s="57" t="n">
        <f aca="false">IF(BR1239=1,0,ROUNDUP(AL1239/BQ1239,0))</f>
        <v>1</v>
      </c>
      <c r="AN1239" s="59" t="n">
        <f aca="false">IF(CD1239&gt;0,CD1239*MAX(1,AL1239/V1239),IF(BR1239=1,IF(AL1239&lt;=0,0,BS1239*MAX(1,IF(G1239&gt;0,AL1239/G1239,1))),IF(Q1239&gt;0,AM1239/Q1239,0))/MAX(0.1,N(Parameter!$M$21)))</f>
        <v>0.0833333333333333</v>
      </c>
      <c r="AO1239" s="57" t="n">
        <f aca="false">AL1239*F1239</f>
        <v>3811.8</v>
      </c>
      <c r="AP1239" s="57" t="n">
        <f aca="false">ROUNDUP(MAX(I1239/IF(BV1239&gt;0,BV1239,MAX(0.1,N(Cockpit!$I$6))),BY1239)/BQ1239,0)*BQ1239</f>
        <v>60</v>
      </c>
      <c r="AQ1239" s="58" t="n">
        <f aca="false">IF(AN1239&gt;0,I1239/AN1239,-1)</f>
        <v>228</v>
      </c>
      <c r="AR1239" s="58" t="n">
        <f aca="false">IF(AND(OR(BU1239="L1",BU1239="L23"),AN1239&gt;0),SUMIFS($AN$7:$AN$1576,$BU$7:$BU$1576,BU1239,$AQ$7:$AQ$1576,"&gt;"&amp;AQ1239)+SUMIFS($AN$7:$AN$1576,$BU$7:$BU$1576,BU1239,$AQ$7:$AQ$1576,AQ1239,$BO$7:$BO$1576,"&lt;="&amp;BO1239),"")</f>
        <v>47.7132764461137</v>
      </c>
      <c r="AS1239" s="65" t="n">
        <f aca="false">IF(AR1239="",0,MAX(0,MIN(1,(IF(BU1239="L1",Parameter!$E$5,Parameter!$E$6+Parameter!$E$7)-(AR1239-AN1239))/AN1239)))</f>
        <v>1</v>
      </c>
      <c r="AT1239" s="57" t="n">
        <f aca="false">IF(LEFT(Cockpit!$O$5,1)="A",G1239,IF(BW1239=1,BX1239,IF(LEFT(Cockpit!$O$5,1)="B",AX1239,MAX(AX1239,G1239))))</f>
        <v>60</v>
      </c>
      <c r="AU1239" s="57" t="n">
        <f aca="false">IF(BR1239=1,0,ROUNDUP(AT1239/BQ1239,0))</f>
        <v>1</v>
      </c>
      <c r="AV1239" s="59" t="n">
        <f aca="false">IF(CD1239&gt;0,CD1239*MAX(1,AT1239/V1239),IF(BR1239=1,IF(AT1239&lt;=0,0,BS1239*MAX(1,IF(G1239&gt;0,AT1239/G1239,1))),IF(Q1239&gt;0,AU1239/Q1239,0))/MAX(0.1,N(Parameter!$M$21)))</f>
        <v>0.0833333333333333</v>
      </c>
      <c r="AW1239" s="57" t="n">
        <f aca="false">AT1239*F1239</f>
        <v>3811.8</v>
      </c>
      <c r="AX1239" s="57" t="n">
        <f aca="false">ROUNDUP(MAX(I1239/IF(BV1239&gt;0,BV1239,MAX(0.1,N(Cockpit!$O$6))),BY1239)/BQ1239,0)*BQ1239</f>
        <v>60</v>
      </c>
      <c r="AY1239" s="58" t="n">
        <f aca="false">IF(AV1239&gt;0,I1239/AV1239,-1)</f>
        <v>228</v>
      </c>
      <c r="AZ1239" s="58" t="n">
        <f aca="false">IF(AND(OR(BU1239="L1",BU1239="L23"),AV1239&gt;0),SUMIFS($AV$7:$AV$1576,$BU$7:$BU$1576,BU1239,$AY$7:$AY$1576,"&gt;"&amp;AY1239)+SUMIFS($AV$7:$AV$1576,$BU$7:$BU$1576,BU1239,$AY$7:$AY$1576,AY1239,$BO$7:$BO$1576,"&lt;="&amp;BO1239),"")</f>
        <v>44.3246883675256</v>
      </c>
      <c r="BA1239" s="65" t="n">
        <f aca="false">IF(AZ1239="",0,MAX(0,MIN(1,(IF(BU1239="L1",Parameter!$E$5,Parameter!$E$6+Parameter!$E$7)-(AZ1239-AV1239))/AV1239)))</f>
        <v>1</v>
      </c>
      <c r="BB1239" s="55" t="str">
        <f aca="false">IF(AF1239&lt;=0,"",IF(BU1239="Aussen","Aussenlager",IF(BU1239="-","Nicht im Lift",IF(AK1239&gt;=1,"Lift",IF(AK1239&lt;=0,"Aussenlager","teilweise")))))</f>
        <v/>
      </c>
      <c r="BC1239" s="55" t="str">
        <f aca="false">IF(AN1239&lt;=0,"",IF(BU1239="Aussen","Aussenlager",IF(BU1239="-","Nicht im Lift",IF(AS1239&gt;=1,"Lift",IF(AS1239&lt;=0,"Aussenlager","teilweise")))))</f>
        <v>Lift</v>
      </c>
      <c r="BD1239" s="55" t="str">
        <f aca="false">IF(AV1239&lt;=0,"",IF(BU1239="Aussen","Aussenlager",IF(BU1239="-","Nicht im Lift",IF(BA1239&gt;=1,"Lift",IF(BA1239&lt;=0,"Aussenlager","teilweise")))))</f>
        <v>Lift</v>
      </c>
      <c r="BE1239" s="55" t="str">
        <f aca="false">IF(A1239="","",IF(BN1239=1,"Neu; ","")&amp;IF(AND(BN1239=0,BI1239&lt;0),"negativer Bestand (Export "&amp;BI1239&amp;"); ","")&amp;IF(I1239&lt;=0,"Kein Verbrauch; ","")&amp;IF(CD1239&gt;0,"Lift "&amp;U1239&amp;" lt. Liftbericht (Fach "&amp;V1239&amp;" Stk); ",IF(BR1239=1,"Lose – Fläche geschätzt; ",""))&amp;IF(G1239&gt;AP1239,"Überbestand "&amp;ROUND(G1239-AP1239,0)&amp;" Stk / CHF "&amp;ROUND((G1239-AP1239)*F1239,0)&amp;"; ","")&amp;IF(AND(BW1239=1,BX1239&lt;BY1239),"MAX &lt; MB+LG; ","")&amp;IF(AND(CC1239&gt;0,CB1239*10&gt;CC1239),"zu hoch für Tablar; ","")&amp;IF(AND(BN1239=0,OR(BW1239=1,Y1239&lt;&gt;"",S1239&lt;&gt;"",T1239&lt;&gt;"",Z1239&lt;&gt;"")),"manuell übersteuert; ","")&amp;IF(AND(BR1239=0,Q1239=0),"Gebinde unbekannt / Stellmass fehlt; ","")&amp;IF(AND(BR1239=0,N(T1239)&lt;=0,N(P1239)&lt;=0),"Menge pro Gebinde fehlt (Ist = 1 Gebinde); ","")&amp;BM1239)</f>
        <v>negativer Bestand (Export -20); B&amp;R</v>
      </c>
      <c r="BF1239" s="55"/>
      <c r="BG1239" s="55"/>
      <c r="BH1239" s="62"/>
      <c r="BI1239" s="57" t="n">
        <v>-20</v>
      </c>
      <c r="BJ1239" s="57" t="n">
        <v>36</v>
      </c>
      <c r="BK1239" s="56" t="n">
        <v>-693.88</v>
      </c>
      <c r="BL1239" s="57" t="n">
        <v>19</v>
      </c>
      <c r="BM1239" s="55" t="s">
        <v>2204</v>
      </c>
      <c r="BN1239" s="60" t="n">
        <v>0</v>
      </c>
      <c r="BO1239" s="60" t="n">
        <v>1239</v>
      </c>
      <c r="BP1239" s="55" t="str">
        <f aca="false">IF(S1239&lt;&gt;"",UPPER(TRIM(S1239)),IF(O1239="","LOSE",O1239))</f>
        <v>S62</v>
      </c>
      <c r="BQ1239" s="57" t="n">
        <f aca="false">IF(BP1239="LOSE",1,IF(N(T1239)&gt;0,T1239,IF(N(P1239)&gt;0,P1239,MAX(1,G1239))))</f>
        <v>60</v>
      </c>
      <c r="BR1239" s="60" t="n">
        <f aca="false">IF(BP1239="LOSE",1,0)</f>
        <v>0</v>
      </c>
      <c r="BS1239" s="59" t="n">
        <f aca="false">IF(BR1239=0,0,IF(N(R1239)&gt;0,R1239,IFERROR(VLOOKUP(D1239,Parameter!$A$35:$C$64,3,0)+0,0)))</f>
        <v>0</v>
      </c>
      <c r="BT1239" s="55" t="n">
        <f aca="false">IF(Y1239&lt;&gt;"",Y1239,X1239)</f>
        <v>2</v>
      </c>
      <c r="BU1239" s="55" t="str">
        <f aca="false">IF(BT1239=1,"L1",IF(OR(BT1239=2,BT1239=3),"L23",IF(BT1239="Aussen","Aussen","-")))</f>
        <v>L23</v>
      </c>
      <c r="BV1239" s="66" t="n">
        <f aca="false">IF(N(Z1239)&gt;0,Z1239,0)</f>
        <v>0</v>
      </c>
      <c r="BW1239" s="60" t="n">
        <f aca="false">IF(ISNUMBER(AC1239),1,0)</f>
        <v>0</v>
      </c>
      <c r="BX1239" s="57" t="n">
        <f aca="false">N(AC1239)</f>
        <v>0</v>
      </c>
      <c r="BY1239" s="57" t="n">
        <f aca="false">N(L1239)+N(M1239)</f>
        <v>26</v>
      </c>
      <c r="BZ1239" s="57" t="n">
        <f aca="false">ROUNDUP(G1239/BQ1239,0)</f>
        <v>0</v>
      </c>
      <c r="CA1239" s="57" t="n">
        <f aca="false">ROUNDUP(BX1239/BQ1239,0)</f>
        <v>0</v>
      </c>
      <c r="CB1239" s="60" t="n">
        <f aca="false">IF(BR1239=1,0,IFERROR(VLOOKUP(BP1239,'Gebinde-Kategorie'!$A$5:$M$45,5,0)+0,0))</f>
        <v>21</v>
      </c>
      <c r="CC1239" s="60" t="n">
        <f aca="false">IFERROR(IF(OR(BT1239=1,BT1239=2,BT1239=3),N(INDEX(Parameter!$I$5:$I$7,BT1239)),0),0)</f>
        <v>0</v>
      </c>
      <c r="CD1239" s="59" t="n">
        <f aca="false">IF(AND(Parameter!$B$21="Ja",ISNUMBER(U1239),N(V1239)&gt;0),IFERROR(N(INDEX(Parameter!$L$5:$L$7,U1239))*INDEX(Parameter!$E$5:$E$7,U1239)*V1239/SUMIFS($V$7:$V$1576,$U$7:$U$1576,U1239),0),0)</f>
        <v>0</v>
      </c>
    </row>
    <row r="1240" customFormat="false" ht="15" hidden="false" customHeight="false" outlineLevel="0" collapsed="false">
      <c r="A1240" s="55" t="s">
        <v>2205</v>
      </c>
      <c r="B1240" s="55" t="s">
        <v>2206</v>
      </c>
      <c r="C1240" s="55" t="s">
        <v>160</v>
      </c>
      <c r="D1240" s="55" t="s">
        <v>178</v>
      </c>
      <c r="E1240" s="55" t="s">
        <v>210</v>
      </c>
      <c r="F1240" s="56" t="n">
        <v>139.36</v>
      </c>
      <c r="G1240" s="57" t="n">
        <f aca="false">MAX(0,IF(AND(Parameter!$B$21="Ja",ISNUMBER(W1240)),W1240,IF(Parameter!$B$20="Jahresanfang 2025 + Export",BJ1240+BI1240,BI1240)))</f>
        <v>0</v>
      </c>
      <c r="H1240" s="57" t="n">
        <f aca="false">G1240*F1240</f>
        <v>0</v>
      </c>
      <c r="I1240" s="57" t="n">
        <f aca="false">BL1240*Parameter!$B$18</f>
        <v>3</v>
      </c>
      <c r="J1240" s="58" t="n">
        <v>110.5</v>
      </c>
      <c r="K1240" s="59" t="n">
        <v>0.0271493212669683</v>
      </c>
      <c r="L1240" s="57" t="n">
        <v>0</v>
      </c>
      <c r="M1240" s="57" t="n">
        <v>5</v>
      </c>
      <c r="N1240" s="60" t="n">
        <v>63</v>
      </c>
      <c r="O1240" s="55" t="s">
        <v>284</v>
      </c>
      <c r="P1240" s="57" t="n">
        <v>110</v>
      </c>
      <c r="Q1240" s="60" t="n">
        <f aca="false">IF(BR1240=1,0,IFERROR(VLOOKUP(BP1240,'Gebinde-Kategorie'!$A$5:$M$45,13,0)+0,0))</f>
        <v>12</v>
      </c>
      <c r="R1240" s="61"/>
      <c r="S1240" s="62"/>
      <c r="T1240" s="62"/>
      <c r="U1240" s="55"/>
      <c r="V1240" s="57"/>
      <c r="W1240" s="57"/>
      <c r="X1240" s="55" t="n">
        <f aca="false">IF(A1240="","",IF(AND(Parameter!$B$21="Ja",ISNUMBER(U1240)),U1240,IF(IFERROR(VLOOKUP(D1240,Parameter!$A$35:$C$64,2,0),"Nein")="2+3",IF(ISNUMBER(SEARCH("grosser Artikel",BM1240)),2,IFERROR(VLOOKUP(BP1240,Parameter!$F$35:$G$64,2,0),2)),IF(OR(IFERROR(VLOOKUP(D1240,Parameter!$A$35:$C$64,2,0),"Nein")="Nein",IFERROR(VLOOKUP(D1240,Parameter!$A$35:$C$64,2,0),"Nein")=""),"-",VLOOKUP(D1240,Parameter!$A$35:$C$64,2,0)))))</f>
        <v>2</v>
      </c>
      <c r="Y1240" s="62"/>
      <c r="Z1240" s="63"/>
      <c r="AA1240" s="57" t="n">
        <f aca="false">AP1240</f>
        <v>110</v>
      </c>
      <c r="AB1240" s="57" t="n">
        <f aca="false">MAX(AP1240,G1240)</f>
        <v>110</v>
      </c>
      <c r="AC1240" s="64"/>
      <c r="AD1240" s="57" t="n">
        <f aca="false">IF(LEFT(Cockpit!$C$5,1)="A",G1240,IF(BW1240=1,BX1240,IF(LEFT(Cockpit!$C$5,1)="B",AH1240,MAX(AH1240,G1240))))</f>
        <v>0</v>
      </c>
      <c r="AE1240" s="57" t="n">
        <f aca="false">IF(BR1240=1,0,ROUNDUP(AD1240/BQ1240,0))</f>
        <v>0</v>
      </c>
      <c r="AF1240" s="59" t="n">
        <f aca="false">IF(CD1240&gt;0,CD1240*MAX(1,AD1240/V1240),IF(BR1240=1,IF(AD1240&lt;=0,0,BS1240*MAX(1,IF(G1240&gt;0,AD1240/G1240,1))),IF(Q1240&gt;0,AE1240/Q1240,0))/MAX(0.1,N(Parameter!$M$21)))</f>
        <v>0</v>
      </c>
      <c r="AG1240" s="57" t="n">
        <f aca="false">AD1240*F1240</f>
        <v>0</v>
      </c>
      <c r="AH1240" s="57" t="n">
        <f aca="false">ROUNDUP(MAX(I1240/IF(BV1240&gt;0,BV1240,MAX(0.1,N(Cockpit!$C$6))),BY1240)/BQ1240,0)*BQ1240</f>
        <v>110</v>
      </c>
      <c r="AI1240" s="58" t="n">
        <f aca="false">IF(AF1240&gt;0,I1240/AF1240,-1)</f>
        <v>-1</v>
      </c>
      <c r="AJ1240" s="58" t="str">
        <f aca="false">IF(AND(OR(BU1240="L1",BU1240="L23"),AF1240&gt;0),SUMIFS($AF$7:$AF$1576,$BU$7:$BU$1576,BU1240,$AI$7:$AI$1576,"&gt;"&amp;AI1240)+SUMIFS($AF$7:$AF$1576,$BU$7:$BU$1576,BU1240,$AI$7:$AI$1576,AI1240,$BO$7:$BO$1576,"&lt;="&amp;BO1240),"")</f>
        <v/>
      </c>
      <c r="AK1240" s="65" t="n">
        <f aca="false">IF(AJ1240="",0,MAX(0,MIN(1,(IF(BU1240="L1",Parameter!$E$5,Parameter!$E$6+Parameter!$E$7)-(AJ1240-AF1240))/AF1240)))</f>
        <v>0</v>
      </c>
      <c r="AL1240" s="57" t="n">
        <f aca="false">IF(LEFT(Cockpit!$I$5,1)="A",G1240,IF(BW1240=1,BX1240,IF(LEFT(Cockpit!$I$5,1)="B",AP1240,MAX(AP1240,G1240))))</f>
        <v>110</v>
      </c>
      <c r="AM1240" s="57" t="n">
        <f aca="false">IF(BR1240=1,0,ROUNDUP(AL1240/BQ1240,0))</f>
        <v>1</v>
      </c>
      <c r="AN1240" s="59" t="n">
        <f aca="false">IF(CD1240&gt;0,CD1240*MAX(1,AL1240/V1240),IF(BR1240=1,IF(AL1240&lt;=0,0,BS1240*MAX(1,IF(G1240&gt;0,AL1240/G1240,1))),IF(Q1240&gt;0,AM1240/Q1240,0))/MAX(0.1,N(Parameter!$M$21)))</f>
        <v>0.0833333333333333</v>
      </c>
      <c r="AO1240" s="57" t="n">
        <f aca="false">AL1240*F1240</f>
        <v>15329.6</v>
      </c>
      <c r="AP1240" s="57" t="n">
        <f aca="false">ROUNDUP(MAX(I1240/IF(BV1240&gt;0,BV1240,MAX(0.1,N(Cockpit!$I$6))),BY1240)/BQ1240,0)*BQ1240</f>
        <v>110</v>
      </c>
      <c r="AQ1240" s="58" t="n">
        <f aca="false">IF(AN1240&gt;0,I1240/AN1240,-1)</f>
        <v>36</v>
      </c>
      <c r="AR1240" s="58" t="n">
        <f aca="false">IF(AND(OR(BU1240="L1",BU1240="L23"),AN1240&gt;0),SUMIFS($AN$7:$AN$1576,$BU$7:$BU$1576,BU1240,$AQ$7:$AQ$1576,"&gt;"&amp;AQ1240)+SUMIFS($AN$7:$AN$1576,$BU$7:$BU$1576,BU1240,$AQ$7:$AQ$1576,AQ1240,$BO$7:$BO$1576,"&lt;="&amp;BO1240),"")</f>
        <v>93.6324345886957</v>
      </c>
      <c r="AS1240" s="65" t="n">
        <f aca="false">IF(AR1240="",0,MAX(0,MIN(1,(IF(BU1240="L1",Parameter!$E$5,Parameter!$E$6+Parameter!$E$7)-(AR1240-AN1240))/AN1240)))</f>
        <v>1</v>
      </c>
      <c r="AT1240" s="57" t="n">
        <f aca="false">IF(LEFT(Cockpit!$O$5,1)="A",G1240,IF(BW1240=1,BX1240,IF(LEFT(Cockpit!$O$5,1)="B",AX1240,MAX(AX1240,G1240))))</f>
        <v>110</v>
      </c>
      <c r="AU1240" s="57" t="n">
        <f aca="false">IF(BR1240=1,0,ROUNDUP(AT1240/BQ1240,0))</f>
        <v>1</v>
      </c>
      <c r="AV1240" s="59" t="n">
        <f aca="false">IF(CD1240&gt;0,CD1240*MAX(1,AT1240/V1240),IF(BR1240=1,IF(AT1240&lt;=0,0,BS1240*MAX(1,IF(G1240&gt;0,AT1240/G1240,1))),IF(Q1240&gt;0,AU1240/Q1240,0))/MAX(0.1,N(Parameter!$M$21)))</f>
        <v>0.0833333333333333</v>
      </c>
      <c r="AW1240" s="57" t="n">
        <f aca="false">AT1240*F1240</f>
        <v>15329.6</v>
      </c>
      <c r="AX1240" s="57" t="n">
        <f aca="false">ROUNDUP(MAX(I1240/IF(BV1240&gt;0,BV1240,MAX(0.1,N(Cockpit!$O$6))),BY1240)/BQ1240,0)*BQ1240</f>
        <v>110</v>
      </c>
      <c r="AY1240" s="58" t="n">
        <f aca="false">IF(AV1240&gt;0,I1240/AV1240,-1)</f>
        <v>36</v>
      </c>
      <c r="AZ1240" s="58" t="n">
        <f aca="false">IF(AND(OR(BU1240="L1",BU1240="L23"),AV1240&gt;0),SUMIFS($AV$7:$AV$1576,$BU$7:$BU$1576,BU1240,$AY$7:$AY$1576,"&gt;"&amp;AY1240)+SUMIFS($AV$7:$AV$1576,$BU$7:$BU$1576,BU1240,$AY$7:$AY$1576,AY1240,$BO$7:$BO$1576,"&lt;="&amp;BO1240),"")</f>
        <v>85.4169850382462</v>
      </c>
      <c r="BA1240" s="65" t="n">
        <f aca="false">IF(AZ1240="",0,MAX(0,MIN(1,(IF(BU1240="L1",Parameter!$E$5,Parameter!$E$6+Parameter!$E$7)-(AZ1240-AV1240))/AV1240)))</f>
        <v>1</v>
      </c>
      <c r="BB1240" s="55" t="str">
        <f aca="false">IF(AF1240&lt;=0,"",IF(BU1240="Aussen","Aussenlager",IF(BU1240="-","Nicht im Lift",IF(AK1240&gt;=1,"Lift",IF(AK1240&lt;=0,"Aussenlager","teilweise")))))</f>
        <v/>
      </c>
      <c r="BC1240" s="55" t="str">
        <f aca="false">IF(AN1240&lt;=0,"",IF(BU1240="Aussen","Aussenlager",IF(BU1240="-","Nicht im Lift",IF(AS1240&gt;=1,"Lift",IF(AS1240&lt;=0,"Aussenlager","teilweise")))))</f>
        <v>Lift</v>
      </c>
      <c r="BD1240" s="55" t="str">
        <f aca="false">IF(AV1240&lt;=0,"",IF(BU1240="Aussen","Aussenlager",IF(BU1240="-","Nicht im Lift",IF(BA1240&gt;=1,"Lift",IF(BA1240&lt;=0,"Aussenlager","teilweise")))))</f>
        <v>Lift</v>
      </c>
      <c r="BE1240" s="55" t="str">
        <f aca="false">IF(A1240="","",IF(BN1240=1,"Neu; ","")&amp;IF(AND(BN1240=0,BI1240&lt;0),"negativer Bestand (Export "&amp;BI1240&amp;"); ","")&amp;IF(I1240&lt;=0,"Kein Verbrauch; ","")&amp;IF(CD1240&gt;0,"Lift "&amp;U1240&amp;" lt. Liftbericht (Fach "&amp;V1240&amp;" Stk); ",IF(BR1240=1,"Lose – Fläche geschätzt; ",""))&amp;IF(G1240&gt;AP1240,"Überbestand "&amp;ROUND(G1240-AP1240,0)&amp;" Stk / CHF "&amp;ROUND((G1240-AP1240)*F1240,0)&amp;"; ","")&amp;IF(AND(BW1240=1,BX1240&lt;BY1240),"MAX &lt; MB+LG; ","")&amp;IF(AND(CC1240&gt;0,CB1240*10&gt;CC1240),"zu hoch für Tablar; ","")&amp;IF(AND(BN1240=0,OR(BW1240=1,Y1240&lt;&gt;"",S1240&lt;&gt;"",T1240&lt;&gt;"",Z1240&lt;&gt;"")),"manuell übersteuert; ","")&amp;IF(AND(BR1240=0,Q1240=0),"Gebinde unbekannt / Stellmass fehlt; ","")&amp;IF(AND(BR1240=0,N(T1240)&lt;=0,N(P1240)&lt;=0),"Menge pro Gebinde fehlt (Ist = 1 Gebinde); ","")&amp;BM1240)</f>
        <v>negativer Bestand (Export -5); i.o</v>
      </c>
      <c r="BF1240" s="55"/>
      <c r="BG1240" s="55"/>
      <c r="BH1240" s="62"/>
      <c r="BI1240" s="57" t="n">
        <v>-5</v>
      </c>
      <c r="BJ1240" s="57" t="n">
        <v>112</v>
      </c>
      <c r="BK1240" s="56" t="n">
        <v>-696.8</v>
      </c>
      <c r="BL1240" s="57" t="n">
        <v>3</v>
      </c>
      <c r="BM1240" s="55" t="s">
        <v>525</v>
      </c>
      <c r="BN1240" s="60" t="n">
        <v>0</v>
      </c>
      <c r="BO1240" s="60" t="n">
        <v>1240</v>
      </c>
      <c r="BP1240" s="55" t="str">
        <f aca="false">IF(S1240&lt;&gt;"",UPPER(TRIM(S1240)),IF(O1240="","LOSE",O1240))</f>
        <v>S62</v>
      </c>
      <c r="BQ1240" s="57" t="n">
        <f aca="false">IF(BP1240="LOSE",1,IF(N(T1240)&gt;0,T1240,IF(N(P1240)&gt;0,P1240,MAX(1,G1240))))</f>
        <v>110</v>
      </c>
      <c r="BR1240" s="60" t="n">
        <f aca="false">IF(BP1240="LOSE",1,0)</f>
        <v>0</v>
      </c>
      <c r="BS1240" s="59" t="n">
        <f aca="false">IF(BR1240=0,0,IF(N(R1240)&gt;0,R1240,IFERROR(VLOOKUP(D1240,Parameter!$A$35:$C$64,3,0)+0,0)))</f>
        <v>0</v>
      </c>
      <c r="BT1240" s="55" t="n">
        <f aca="false">IF(Y1240&lt;&gt;"",Y1240,X1240)</f>
        <v>2</v>
      </c>
      <c r="BU1240" s="55" t="str">
        <f aca="false">IF(BT1240=1,"L1",IF(OR(BT1240=2,BT1240=3),"L23",IF(BT1240="Aussen","Aussen","-")))</f>
        <v>L23</v>
      </c>
      <c r="BV1240" s="66" t="n">
        <f aca="false">IF(N(Z1240)&gt;0,Z1240,0)</f>
        <v>0</v>
      </c>
      <c r="BW1240" s="60" t="n">
        <f aca="false">IF(ISNUMBER(AC1240),1,0)</f>
        <v>0</v>
      </c>
      <c r="BX1240" s="57" t="n">
        <f aca="false">N(AC1240)</f>
        <v>0</v>
      </c>
      <c r="BY1240" s="57" t="n">
        <f aca="false">N(L1240)+N(M1240)</f>
        <v>5</v>
      </c>
      <c r="BZ1240" s="57" t="n">
        <f aca="false">ROUNDUP(G1240/BQ1240,0)</f>
        <v>0</v>
      </c>
      <c r="CA1240" s="57" t="n">
        <f aca="false">ROUNDUP(BX1240/BQ1240,0)</f>
        <v>0</v>
      </c>
      <c r="CB1240" s="60" t="n">
        <f aca="false">IF(BR1240=1,0,IFERROR(VLOOKUP(BP1240,'Gebinde-Kategorie'!$A$5:$M$45,5,0)+0,0))</f>
        <v>21</v>
      </c>
      <c r="CC1240" s="60" t="n">
        <f aca="false">IFERROR(IF(OR(BT1240=1,BT1240=2,BT1240=3),N(INDEX(Parameter!$I$5:$I$7,BT1240)),0),0)</f>
        <v>0</v>
      </c>
      <c r="CD1240" s="59" t="n">
        <f aca="false">IF(AND(Parameter!$B$21="Ja",ISNUMBER(U1240),N(V1240)&gt;0),IFERROR(N(INDEX(Parameter!$L$5:$L$7,U1240))*INDEX(Parameter!$E$5:$E$7,U1240)*V1240/SUMIFS($V$7:$V$1576,$U$7:$U$1576,U1240),0),0)</f>
        <v>0</v>
      </c>
    </row>
    <row r="1241" customFormat="false" ht="15" hidden="false" customHeight="false" outlineLevel="0" collapsed="false">
      <c r="A1241" s="55" t="s">
        <v>2207</v>
      </c>
      <c r="B1241" s="55" t="s">
        <v>511</v>
      </c>
      <c r="C1241" s="55" t="s">
        <v>160</v>
      </c>
      <c r="D1241" s="55" t="s">
        <v>168</v>
      </c>
      <c r="E1241" s="55" t="s">
        <v>210</v>
      </c>
      <c r="F1241" s="56" t="n">
        <v>348.62</v>
      </c>
      <c r="G1241" s="57" t="n">
        <f aca="false">MAX(0,IF(AND(Parameter!$B$21="Ja",ISNUMBER(W1241)),W1241,IF(Parameter!$B$20="Jahresanfang 2025 + Export",BJ1241+BI1241,BI1241)))</f>
        <v>0</v>
      </c>
      <c r="H1241" s="57" t="n">
        <f aca="false">G1241*F1241</f>
        <v>0</v>
      </c>
      <c r="I1241" s="57" t="n">
        <f aca="false">BL1241*Parameter!$B$18</f>
        <v>1</v>
      </c>
      <c r="J1241" s="58" t="n">
        <v>7.5</v>
      </c>
      <c r="K1241" s="59" t="n">
        <v>0.133333333333333</v>
      </c>
      <c r="L1241" s="57" t="n">
        <v>0</v>
      </c>
      <c r="M1241" s="57" t="n">
        <v>1</v>
      </c>
      <c r="N1241" s="60" t="n">
        <v>35</v>
      </c>
      <c r="O1241" s="55" t="s">
        <v>163</v>
      </c>
      <c r="P1241" s="57"/>
      <c r="Q1241" s="60" t="n">
        <f aca="false">IF(BR1241=1,0,IFERROR(VLOOKUP(BP1241,'Gebinde-Kategorie'!$A$5:$M$45,13,0)+0,0))</f>
        <v>0</v>
      </c>
      <c r="R1241" s="61"/>
      <c r="S1241" s="62"/>
      <c r="T1241" s="62"/>
      <c r="U1241" s="55"/>
      <c r="V1241" s="57"/>
      <c r="W1241" s="57"/>
      <c r="X1241" s="55" t="n">
        <f aca="false">IF(A1241="","",IF(AND(Parameter!$B$21="Ja",ISNUMBER(U1241)),U1241,IF(IFERROR(VLOOKUP(D1241,Parameter!$A$35:$C$64,2,0),"Nein")="2+3",IF(ISNUMBER(SEARCH("grosser Artikel",BM1241)),2,IFERROR(VLOOKUP(BP1241,Parameter!$F$35:$G$64,2,0),2)),IF(OR(IFERROR(VLOOKUP(D1241,Parameter!$A$35:$C$64,2,0),"Nein")="Nein",IFERROR(VLOOKUP(D1241,Parameter!$A$35:$C$64,2,0),"Nein")=""),"-",VLOOKUP(D1241,Parameter!$A$35:$C$64,2,0)))))</f>
        <v>2</v>
      </c>
      <c r="Y1241" s="62"/>
      <c r="Z1241" s="63"/>
      <c r="AA1241" s="57" t="n">
        <f aca="false">AP1241</f>
        <v>1</v>
      </c>
      <c r="AB1241" s="57" t="n">
        <f aca="false">MAX(AP1241,G1241)</f>
        <v>1</v>
      </c>
      <c r="AC1241" s="64"/>
      <c r="AD1241" s="57" t="n">
        <f aca="false">IF(LEFT(Cockpit!$C$5,1)="A",G1241,IF(BW1241=1,BX1241,IF(LEFT(Cockpit!$C$5,1)="B",AH1241,MAX(AH1241,G1241))))</f>
        <v>0</v>
      </c>
      <c r="AE1241" s="57" t="n">
        <f aca="false">IF(BR1241=1,0,ROUNDUP(AD1241/BQ1241,0))</f>
        <v>0</v>
      </c>
      <c r="AF1241" s="59" t="n">
        <f aca="false">IF(CD1241&gt;0,CD1241*MAX(1,AD1241/V1241),IF(BR1241=1,IF(AD1241&lt;=0,0,BS1241*MAX(1,IF(G1241&gt;0,AD1241/G1241,1))),IF(Q1241&gt;0,AE1241/Q1241,0))/MAX(0.1,N(Parameter!$M$21)))</f>
        <v>0</v>
      </c>
      <c r="AG1241" s="57" t="n">
        <f aca="false">AD1241*F1241</f>
        <v>0</v>
      </c>
      <c r="AH1241" s="57" t="n">
        <f aca="false">ROUNDUP(MAX(I1241/IF(BV1241&gt;0,BV1241,MAX(0.1,N(Cockpit!$C$6))),BY1241)/BQ1241,0)*BQ1241</f>
        <v>1</v>
      </c>
      <c r="AI1241" s="58" t="n">
        <f aca="false">IF(AF1241&gt;0,I1241/AF1241,-1)</f>
        <v>-1</v>
      </c>
      <c r="AJ1241" s="58" t="str">
        <f aca="false">IF(AND(OR(BU1241="L1",BU1241="L23"),AF1241&gt;0),SUMIFS($AF$7:$AF$1576,$BU$7:$BU$1576,BU1241,$AI$7:$AI$1576,"&gt;"&amp;AI1241)+SUMIFS($AF$7:$AF$1576,$BU$7:$BU$1576,BU1241,$AI$7:$AI$1576,AI1241,$BO$7:$BO$1576,"&lt;="&amp;BO1241),"")</f>
        <v/>
      </c>
      <c r="AK1241" s="65" t="n">
        <f aca="false">IF(AJ1241="",0,MAX(0,MIN(1,(IF(BU1241="L1",Parameter!$E$5,Parameter!$E$6+Parameter!$E$7)-(AJ1241-AF1241))/AF1241)))</f>
        <v>0</v>
      </c>
      <c r="AL1241" s="57" t="n">
        <f aca="false">IF(LEFT(Cockpit!$I$5,1)="A",G1241,IF(BW1241=1,BX1241,IF(LEFT(Cockpit!$I$5,1)="B",AP1241,MAX(AP1241,G1241))))</f>
        <v>1</v>
      </c>
      <c r="AM1241" s="57" t="n">
        <f aca="false">IF(BR1241=1,0,ROUNDUP(AL1241/BQ1241,0))</f>
        <v>0</v>
      </c>
      <c r="AN1241" s="59" t="n">
        <f aca="false">IF(CD1241&gt;0,CD1241*MAX(1,AL1241/V1241),IF(BR1241=1,IF(AL1241&lt;=0,0,BS1241*MAX(1,IF(G1241&gt;0,AL1241/G1241,1))),IF(Q1241&gt;0,AM1241/Q1241,0))/MAX(0.1,N(Parameter!$M$21)))</f>
        <v>0.15</v>
      </c>
      <c r="AO1241" s="57" t="n">
        <f aca="false">AL1241*F1241</f>
        <v>348.62</v>
      </c>
      <c r="AP1241" s="57" t="n">
        <f aca="false">ROUNDUP(MAX(I1241/IF(BV1241&gt;0,BV1241,MAX(0.1,N(Cockpit!$I$6))),BY1241)/BQ1241,0)*BQ1241</f>
        <v>1</v>
      </c>
      <c r="AQ1241" s="58" t="n">
        <f aca="false">IF(AN1241&gt;0,I1241/AN1241,-1)</f>
        <v>6.66666666666667</v>
      </c>
      <c r="AR1241" s="58" t="n">
        <f aca="false">IF(AND(OR(BU1241="L1",BU1241="L23"),AN1241&gt;0),SUMIFS($AN$7:$AN$1576,$BU$7:$BU$1576,BU1241,$AQ$7:$AQ$1576,"&gt;"&amp;AQ1241)+SUMIFS($AN$7:$AN$1576,$BU$7:$BU$1576,BU1241,$AQ$7:$AQ$1576,AQ1241,$BO$7:$BO$1576,"&lt;="&amp;BO1241),"")</f>
        <v>111.292434588696</v>
      </c>
      <c r="AS1241" s="65" t="n">
        <f aca="false">IF(AR1241="",0,MAX(0,MIN(1,(IF(BU1241="L1",Parameter!$E$5,Parameter!$E$6+Parameter!$E$7)-(AR1241-AN1241))/AN1241)))</f>
        <v>0</v>
      </c>
      <c r="AT1241" s="57" t="n">
        <f aca="false">IF(LEFT(Cockpit!$O$5,1)="A",G1241,IF(BW1241=1,BX1241,IF(LEFT(Cockpit!$O$5,1)="B",AX1241,MAX(AX1241,G1241))))</f>
        <v>1</v>
      </c>
      <c r="AU1241" s="57" t="n">
        <f aca="false">IF(BR1241=1,0,ROUNDUP(AT1241/BQ1241,0))</f>
        <v>0</v>
      </c>
      <c r="AV1241" s="59" t="n">
        <f aca="false">IF(CD1241&gt;0,CD1241*MAX(1,AT1241/V1241),IF(BR1241=1,IF(AT1241&lt;=0,0,BS1241*MAX(1,IF(G1241&gt;0,AT1241/G1241,1))),IF(Q1241&gt;0,AU1241/Q1241,0))/MAX(0.1,N(Parameter!$M$21)))</f>
        <v>0.15</v>
      </c>
      <c r="AW1241" s="57" t="n">
        <f aca="false">AT1241*F1241</f>
        <v>348.62</v>
      </c>
      <c r="AX1241" s="57" t="n">
        <f aca="false">ROUNDUP(MAX(I1241/IF(BV1241&gt;0,BV1241,MAX(0.1,N(Cockpit!$O$6))),BY1241)/BQ1241,0)*BQ1241</f>
        <v>1</v>
      </c>
      <c r="AY1241" s="58" t="n">
        <f aca="false">IF(AV1241&gt;0,I1241/AV1241,-1)</f>
        <v>6.66666666666667</v>
      </c>
      <c r="AZ1241" s="58" t="n">
        <f aca="false">IF(AND(OR(BU1241="L1",BU1241="L23"),AV1241&gt;0),SUMIFS($AV$7:$AV$1576,$BU$7:$BU$1576,BU1241,$AY$7:$AY$1576,"&gt;"&amp;AY1241)+SUMIFS($AV$7:$AV$1576,$BU$7:$BU$1576,BU1241,$AY$7:$AY$1576,AY1241,$BO$7:$BO$1576,"&lt;="&amp;BO1241),"")</f>
        <v>101.351985038246</v>
      </c>
      <c r="BA1241" s="65" t="n">
        <f aca="false">IF(AZ1241="",0,MAX(0,MIN(1,(IF(BU1241="L1",Parameter!$E$5,Parameter!$E$6+Parameter!$E$7)-(AZ1241-AV1241))/AV1241)))</f>
        <v>0</v>
      </c>
      <c r="BB1241" s="55" t="str">
        <f aca="false">IF(AF1241&lt;=0,"",IF(BU1241="Aussen","Aussenlager",IF(BU1241="-","Nicht im Lift",IF(AK1241&gt;=1,"Lift",IF(AK1241&lt;=0,"Aussenlager","teilweise")))))</f>
        <v/>
      </c>
      <c r="BC1241" s="55" t="str">
        <f aca="false">IF(AN1241&lt;=0,"",IF(BU1241="Aussen","Aussenlager",IF(BU1241="-","Nicht im Lift",IF(AS1241&gt;=1,"Lift",IF(AS1241&lt;=0,"Aussenlager","teilweise")))))</f>
        <v>Aussenlager</v>
      </c>
      <c r="BD1241" s="55" t="str">
        <f aca="false">IF(AV1241&lt;=0,"",IF(BU1241="Aussen","Aussenlager",IF(BU1241="-","Nicht im Lift",IF(BA1241&gt;=1,"Lift",IF(BA1241&lt;=0,"Aussenlager","teilweise")))))</f>
        <v>Aussenlager</v>
      </c>
      <c r="BE1241" s="55" t="str">
        <f aca="false">IF(A1241="","",IF(BN1241=1,"Neu; ","")&amp;IF(AND(BN1241=0,BI1241&lt;0),"negativer Bestand (Export "&amp;BI1241&amp;"); ","")&amp;IF(I1241&lt;=0,"Kein Verbrauch; ","")&amp;IF(CD1241&gt;0,"Lift "&amp;U1241&amp;" lt. Liftbericht (Fach "&amp;V1241&amp;" Stk); ",IF(BR1241=1,"Lose – Fläche geschätzt; ",""))&amp;IF(G1241&gt;AP1241,"Überbestand "&amp;ROUND(G1241-AP1241,0)&amp;" Stk / CHF "&amp;ROUND((G1241-AP1241)*F1241,0)&amp;"; ","")&amp;IF(AND(BW1241=1,BX1241&lt;BY1241),"MAX &lt; MB+LG; ","")&amp;IF(AND(CC1241&gt;0,CB1241*10&gt;CC1241),"zu hoch für Tablar; ","")&amp;IF(AND(BN1241=0,OR(BW1241=1,Y1241&lt;&gt;"",S1241&lt;&gt;"",T1241&lt;&gt;"",Z1241&lt;&gt;"")),"manuell übersteuert; ","")&amp;IF(AND(BR1241=0,Q1241=0),"Gebinde unbekannt / Stellmass fehlt; ","")&amp;IF(AND(BR1241=0,N(T1241)&lt;=0,N(P1241)&lt;=0),"Menge pro Gebinde fehlt (Ist = 1 Gebinde); ","")&amp;BM1241)</f>
        <v>negativer Bestand (Export -2); Lose – Fläche geschätzt; </v>
      </c>
      <c r="BF1241" s="55"/>
      <c r="BG1241" s="55"/>
      <c r="BH1241" s="62"/>
      <c r="BI1241" s="57" t="n">
        <v>-2</v>
      </c>
      <c r="BJ1241" s="57" t="n">
        <v>8</v>
      </c>
      <c r="BK1241" s="56" t="n">
        <v>-697.24</v>
      </c>
      <c r="BL1241" s="57" t="n">
        <v>1</v>
      </c>
      <c r="BM1241" s="55"/>
      <c r="BN1241" s="60" t="n">
        <v>0</v>
      </c>
      <c r="BO1241" s="60" t="n">
        <v>1241</v>
      </c>
      <c r="BP1241" s="55" t="str">
        <f aca="false">IF(S1241&lt;&gt;"",UPPER(TRIM(S1241)),IF(O1241="","LOSE",O1241))</f>
        <v>LOSE</v>
      </c>
      <c r="BQ1241" s="57" t="n">
        <f aca="false">IF(BP1241="LOSE",1,IF(N(T1241)&gt;0,T1241,IF(N(P1241)&gt;0,P1241,MAX(1,G1241))))</f>
        <v>1</v>
      </c>
      <c r="BR1241" s="60" t="n">
        <f aca="false">IF(BP1241="LOSE",1,0)</f>
        <v>1</v>
      </c>
      <c r="BS1241" s="59" t="n">
        <f aca="false">IF(BR1241=0,0,IF(N(R1241)&gt;0,R1241,IFERROR(VLOOKUP(D1241,Parameter!$A$35:$C$64,3,0)+0,0)))</f>
        <v>0.15</v>
      </c>
      <c r="BT1241" s="55" t="n">
        <f aca="false">IF(Y1241&lt;&gt;"",Y1241,X1241)</f>
        <v>2</v>
      </c>
      <c r="BU1241" s="55" t="str">
        <f aca="false">IF(BT1241=1,"L1",IF(OR(BT1241=2,BT1241=3),"L23",IF(BT1241="Aussen","Aussen","-")))</f>
        <v>L23</v>
      </c>
      <c r="BV1241" s="66" t="n">
        <f aca="false">IF(N(Z1241)&gt;0,Z1241,0)</f>
        <v>0</v>
      </c>
      <c r="BW1241" s="60" t="n">
        <f aca="false">IF(ISNUMBER(AC1241),1,0)</f>
        <v>0</v>
      </c>
      <c r="BX1241" s="57" t="n">
        <f aca="false">N(AC1241)</f>
        <v>0</v>
      </c>
      <c r="BY1241" s="57" t="n">
        <f aca="false">N(L1241)+N(M1241)</f>
        <v>1</v>
      </c>
      <c r="BZ1241" s="57" t="n">
        <f aca="false">ROUNDUP(G1241/BQ1241,0)</f>
        <v>0</v>
      </c>
      <c r="CA1241" s="57" t="n">
        <f aca="false">ROUNDUP(BX1241/BQ1241,0)</f>
        <v>0</v>
      </c>
      <c r="CB1241" s="60" t="n">
        <f aca="false">IF(BR1241=1,0,IFERROR(VLOOKUP(BP1241,'Gebinde-Kategorie'!$A$5:$M$45,5,0)+0,0))</f>
        <v>0</v>
      </c>
      <c r="CC1241" s="60" t="n">
        <f aca="false">IFERROR(IF(OR(BT1241=1,BT1241=2,BT1241=3),N(INDEX(Parameter!$I$5:$I$7,BT1241)),0),0)</f>
        <v>0</v>
      </c>
      <c r="CD1241" s="59" t="n">
        <f aca="false">IF(AND(Parameter!$B$21="Ja",ISNUMBER(U1241),N(V1241)&gt;0),IFERROR(N(INDEX(Parameter!$L$5:$L$7,U1241))*INDEX(Parameter!$E$5:$E$7,U1241)*V1241/SUMIFS($V$7:$V$1576,$U$7:$U$1576,U1241),0),0)</f>
        <v>0</v>
      </c>
    </row>
    <row r="1242" customFormat="false" ht="15" hidden="false" customHeight="false" outlineLevel="0" collapsed="false">
      <c r="A1242" s="55" t="s">
        <v>2208</v>
      </c>
      <c r="B1242" s="55" t="s">
        <v>1392</v>
      </c>
      <c r="C1242" s="55" t="s">
        <v>160</v>
      </c>
      <c r="D1242" s="55" t="s">
        <v>178</v>
      </c>
      <c r="E1242" s="55" t="s">
        <v>210</v>
      </c>
      <c r="F1242" s="56" t="n">
        <v>77.59</v>
      </c>
      <c r="G1242" s="57" t="n">
        <f aca="false">MAX(0,IF(AND(Parameter!$B$21="Ja",ISNUMBER(W1242)),W1242,IF(Parameter!$B$20="Jahresanfang 2025 + Export",BJ1242+BI1242,BI1242)))</f>
        <v>0</v>
      </c>
      <c r="H1242" s="57" t="n">
        <f aca="false">G1242*F1242</f>
        <v>0</v>
      </c>
      <c r="I1242" s="57" t="n">
        <f aca="false">BL1242*Parameter!$B$18</f>
        <v>4</v>
      </c>
      <c r="J1242" s="58" t="n">
        <v>24</v>
      </c>
      <c r="K1242" s="59" t="n">
        <v>0.166666666666667</v>
      </c>
      <c r="L1242" s="57" t="n">
        <v>0</v>
      </c>
      <c r="M1242" s="57" t="n">
        <v>5</v>
      </c>
      <c r="N1242" s="60" t="n">
        <v>35</v>
      </c>
      <c r="O1242" s="55" t="s">
        <v>163</v>
      </c>
      <c r="P1242" s="57"/>
      <c r="Q1242" s="60" t="n">
        <f aca="false">IF(BR1242=1,0,IFERROR(VLOOKUP(BP1242,'Gebinde-Kategorie'!$A$5:$M$45,13,0)+0,0))</f>
        <v>0</v>
      </c>
      <c r="R1242" s="61"/>
      <c r="S1242" s="62"/>
      <c r="T1242" s="62"/>
      <c r="U1242" s="55"/>
      <c r="V1242" s="57"/>
      <c r="W1242" s="57"/>
      <c r="X1242" s="55" t="n">
        <f aca="false">IF(A1242="","",IF(AND(Parameter!$B$21="Ja",ISNUMBER(U1242)),U1242,IF(IFERROR(VLOOKUP(D1242,Parameter!$A$35:$C$64,2,0),"Nein")="2+3",IF(ISNUMBER(SEARCH("grosser Artikel",BM1242)),2,IFERROR(VLOOKUP(BP1242,Parameter!$F$35:$G$64,2,0),2)),IF(OR(IFERROR(VLOOKUP(D1242,Parameter!$A$35:$C$64,2,0),"Nein")="Nein",IFERROR(VLOOKUP(D1242,Parameter!$A$35:$C$64,2,0),"Nein")=""),"-",VLOOKUP(D1242,Parameter!$A$35:$C$64,2,0)))))</f>
        <v>2</v>
      </c>
      <c r="Y1242" s="62"/>
      <c r="Z1242" s="63"/>
      <c r="AA1242" s="57" t="n">
        <f aca="false">AP1242</f>
        <v>5</v>
      </c>
      <c r="AB1242" s="57" t="n">
        <f aca="false">MAX(AP1242,G1242)</f>
        <v>5</v>
      </c>
      <c r="AC1242" s="64"/>
      <c r="AD1242" s="57" t="n">
        <f aca="false">IF(LEFT(Cockpit!$C$5,1)="A",G1242,IF(BW1242=1,BX1242,IF(LEFT(Cockpit!$C$5,1)="B",AH1242,MAX(AH1242,G1242))))</f>
        <v>0</v>
      </c>
      <c r="AE1242" s="57" t="n">
        <f aca="false">IF(BR1242=1,0,ROUNDUP(AD1242/BQ1242,0))</f>
        <v>0</v>
      </c>
      <c r="AF1242" s="59" t="n">
        <f aca="false">IF(CD1242&gt;0,CD1242*MAX(1,AD1242/V1242),IF(BR1242=1,IF(AD1242&lt;=0,0,BS1242*MAX(1,IF(G1242&gt;0,AD1242/G1242,1))),IF(Q1242&gt;0,AE1242/Q1242,0))/MAX(0.1,N(Parameter!$M$21)))</f>
        <v>0</v>
      </c>
      <c r="AG1242" s="57" t="n">
        <f aca="false">AD1242*F1242</f>
        <v>0</v>
      </c>
      <c r="AH1242" s="57" t="n">
        <f aca="false">ROUNDUP(MAX(I1242/IF(BV1242&gt;0,BV1242,MAX(0.1,N(Cockpit!$C$6))),BY1242)/BQ1242,0)*BQ1242</f>
        <v>5</v>
      </c>
      <c r="AI1242" s="58" t="n">
        <f aca="false">IF(AF1242&gt;0,I1242/AF1242,-1)</f>
        <v>-1</v>
      </c>
      <c r="AJ1242" s="58" t="str">
        <f aca="false">IF(AND(OR(BU1242="L1",BU1242="L23"),AF1242&gt;0),SUMIFS($AF$7:$AF$1576,$BU$7:$BU$1576,BU1242,$AI$7:$AI$1576,"&gt;"&amp;AI1242)+SUMIFS($AF$7:$AF$1576,$BU$7:$BU$1576,BU1242,$AI$7:$AI$1576,AI1242,$BO$7:$BO$1576,"&lt;="&amp;BO1242),"")</f>
        <v/>
      </c>
      <c r="AK1242" s="65" t="n">
        <f aca="false">IF(AJ1242="",0,MAX(0,MIN(1,(IF(BU1242="L1",Parameter!$E$5,Parameter!$E$6+Parameter!$E$7)-(AJ1242-AF1242))/AF1242)))</f>
        <v>0</v>
      </c>
      <c r="AL1242" s="57" t="n">
        <f aca="false">IF(LEFT(Cockpit!$I$5,1)="A",G1242,IF(BW1242=1,BX1242,IF(LEFT(Cockpit!$I$5,1)="B",AP1242,MAX(AP1242,G1242))))</f>
        <v>5</v>
      </c>
      <c r="AM1242" s="57" t="n">
        <f aca="false">IF(BR1242=1,0,ROUNDUP(AL1242/BQ1242,0))</f>
        <v>0</v>
      </c>
      <c r="AN1242" s="59" t="n">
        <f aca="false">IF(CD1242&gt;0,CD1242*MAX(1,AL1242/V1242),IF(BR1242=1,IF(AL1242&lt;=0,0,BS1242*MAX(1,IF(G1242&gt;0,AL1242/G1242,1))),IF(Q1242&gt;0,AM1242/Q1242,0))/MAX(0.1,N(Parameter!$M$21)))</f>
        <v>0.03</v>
      </c>
      <c r="AO1242" s="57" t="n">
        <f aca="false">AL1242*F1242</f>
        <v>387.95</v>
      </c>
      <c r="AP1242" s="57" t="n">
        <f aca="false">ROUNDUP(MAX(I1242/IF(BV1242&gt;0,BV1242,MAX(0.1,N(Cockpit!$I$6))),BY1242)/BQ1242,0)*BQ1242</f>
        <v>5</v>
      </c>
      <c r="AQ1242" s="58" t="n">
        <f aca="false">IF(AN1242&gt;0,I1242/AN1242,-1)</f>
        <v>133.333333333333</v>
      </c>
      <c r="AR1242" s="58" t="n">
        <f aca="false">IF(AND(OR(BU1242="L1",BU1242="L23"),AN1242&gt;0),SUMIFS($AN$7:$AN$1576,$BU$7:$BU$1576,BU1242,$AQ$7:$AQ$1576,"&gt;"&amp;AQ1242)+SUMIFS($AN$7:$AN$1576,$BU$7:$BU$1576,BU1242,$AQ$7:$AQ$1576,AQ1242,$BO$7:$BO$1576,"&lt;="&amp;BO1242),"")</f>
        <v>59.942223827235</v>
      </c>
      <c r="AS1242" s="65" t="n">
        <f aca="false">IF(AR1242="",0,MAX(0,MIN(1,(IF(BU1242="L1",Parameter!$E$5,Parameter!$E$6+Parameter!$E$7)-(AR1242-AN1242))/AN1242)))</f>
        <v>1</v>
      </c>
      <c r="AT1242" s="57" t="n">
        <f aca="false">IF(LEFT(Cockpit!$O$5,1)="A",G1242,IF(BW1242=1,BX1242,IF(LEFT(Cockpit!$O$5,1)="B",AX1242,MAX(AX1242,G1242))))</f>
        <v>5</v>
      </c>
      <c r="AU1242" s="57" t="n">
        <f aca="false">IF(BR1242=1,0,ROUNDUP(AT1242/BQ1242,0))</f>
        <v>0</v>
      </c>
      <c r="AV1242" s="59" t="n">
        <f aca="false">IF(CD1242&gt;0,CD1242*MAX(1,AT1242/V1242),IF(BR1242=1,IF(AT1242&lt;=0,0,BS1242*MAX(1,IF(G1242&gt;0,AT1242/G1242,1))),IF(Q1242&gt;0,AU1242/Q1242,0))/MAX(0.1,N(Parameter!$M$21)))</f>
        <v>0.03</v>
      </c>
      <c r="AW1242" s="57" t="n">
        <f aca="false">AT1242*F1242</f>
        <v>387.95</v>
      </c>
      <c r="AX1242" s="57" t="n">
        <f aca="false">ROUNDUP(MAX(I1242/IF(BV1242&gt;0,BV1242,MAX(0.1,N(Cockpit!$O$6))),BY1242)/BQ1242,0)*BQ1242</f>
        <v>5</v>
      </c>
      <c r="AY1242" s="58" t="n">
        <f aca="false">IF(AV1242&gt;0,I1242/AV1242,-1)</f>
        <v>133.333333333333</v>
      </c>
      <c r="AZ1242" s="58" t="n">
        <f aca="false">IF(AND(OR(BU1242="L1",BU1242="L23"),AV1242&gt;0),SUMIFS($AV$7:$AV$1576,$BU$7:$BU$1576,BU1242,$AY$7:$AY$1576,"&gt;"&amp;AY1242)+SUMIFS($AV$7:$AV$1576,$BU$7:$BU$1576,BU1242,$AY$7:$AY$1576,AY1242,$BO$7:$BO$1576,"&lt;="&amp;BO1242),"")</f>
        <v>54.6046909434521</v>
      </c>
      <c r="BA1242" s="65" t="n">
        <f aca="false">IF(AZ1242="",0,MAX(0,MIN(1,(IF(BU1242="L1",Parameter!$E$5,Parameter!$E$6+Parameter!$E$7)-(AZ1242-AV1242))/AV1242)))</f>
        <v>1</v>
      </c>
      <c r="BB1242" s="55" t="str">
        <f aca="false">IF(AF1242&lt;=0,"",IF(BU1242="Aussen","Aussenlager",IF(BU1242="-","Nicht im Lift",IF(AK1242&gt;=1,"Lift",IF(AK1242&lt;=0,"Aussenlager","teilweise")))))</f>
        <v/>
      </c>
      <c r="BC1242" s="55" t="str">
        <f aca="false">IF(AN1242&lt;=0,"",IF(BU1242="Aussen","Aussenlager",IF(BU1242="-","Nicht im Lift",IF(AS1242&gt;=1,"Lift",IF(AS1242&lt;=0,"Aussenlager","teilweise")))))</f>
        <v>Lift</v>
      </c>
      <c r="BD1242" s="55" t="str">
        <f aca="false">IF(AV1242&lt;=0,"",IF(BU1242="Aussen","Aussenlager",IF(BU1242="-","Nicht im Lift",IF(BA1242&gt;=1,"Lift",IF(BA1242&lt;=0,"Aussenlager","teilweise")))))</f>
        <v>Lift</v>
      </c>
      <c r="BE1242" s="55" t="str">
        <f aca="false">IF(A1242="","",IF(BN1242=1,"Neu; ","")&amp;IF(AND(BN1242=0,BI1242&lt;0),"negativer Bestand (Export "&amp;BI1242&amp;"); ","")&amp;IF(I1242&lt;=0,"Kein Verbrauch; ","")&amp;IF(CD1242&gt;0,"Lift "&amp;U1242&amp;" lt. Liftbericht (Fach "&amp;V1242&amp;" Stk); ",IF(BR1242=1,"Lose – Fläche geschätzt; ",""))&amp;IF(G1242&gt;AP1242,"Überbestand "&amp;ROUND(G1242-AP1242,0)&amp;" Stk / CHF "&amp;ROUND((G1242-AP1242)*F1242,0)&amp;"; ","")&amp;IF(AND(BW1242=1,BX1242&lt;BY1242),"MAX &lt; MB+LG; ","")&amp;IF(AND(CC1242&gt;0,CB1242*10&gt;CC1242),"zu hoch für Tablar; ","")&amp;IF(AND(BN1242=0,OR(BW1242=1,Y1242&lt;&gt;"",S1242&lt;&gt;"",T1242&lt;&gt;"",Z1242&lt;&gt;"")),"manuell übersteuert; ","")&amp;IF(AND(BR1242=0,Q1242=0),"Gebinde unbekannt / Stellmass fehlt; ","")&amp;IF(AND(BR1242=0,N(T1242)&lt;=0,N(P1242)&lt;=0),"Menge pro Gebinde fehlt (Ist = 1 Gebinde); ","")&amp;BM1242)</f>
        <v>negativer Bestand (Export -9); Lose – Fläche geschätzt; </v>
      </c>
      <c r="BF1242" s="55"/>
      <c r="BG1242" s="55"/>
      <c r="BH1242" s="62"/>
      <c r="BI1242" s="57" t="n">
        <v>-9</v>
      </c>
      <c r="BJ1242" s="57" t="n">
        <v>26</v>
      </c>
      <c r="BK1242" s="56" t="n">
        <v>-698.31</v>
      </c>
      <c r="BL1242" s="57" t="n">
        <v>4</v>
      </c>
      <c r="BM1242" s="55"/>
      <c r="BN1242" s="60" t="n">
        <v>0</v>
      </c>
      <c r="BO1242" s="60" t="n">
        <v>1242</v>
      </c>
      <c r="BP1242" s="55" t="str">
        <f aca="false">IF(S1242&lt;&gt;"",UPPER(TRIM(S1242)),IF(O1242="","LOSE",O1242))</f>
        <v>LOSE</v>
      </c>
      <c r="BQ1242" s="57" t="n">
        <f aca="false">IF(BP1242="LOSE",1,IF(N(T1242)&gt;0,T1242,IF(N(P1242)&gt;0,P1242,MAX(1,G1242))))</f>
        <v>1</v>
      </c>
      <c r="BR1242" s="60" t="n">
        <f aca="false">IF(BP1242="LOSE",1,0)</f>
        <v>1</v>
      </c>
      <c r="BS1242" s="59" t="n">
        <f aca="false">IF(BR1242=0,0,IF(N(R1242)&gt;0,R1242,IFERROR(VLOOKUP(D1242,Parameter!$A$35:$C$64,3,0)+0,0)))</f>
        <v>0.03</v>
      </c>
      <c r="BT1242" s="55" t="n">
        <f aca="false">IF(Y1242&lt;&gt;"",Y1242,X1242)</f>
        <v>2</v>
      </c>
      <c r="BU1242" s="55" t="str">
        <f aca="false">IF(BT1242=1,"L1",IF(OR(BT1242=2,BT1242=3),"L23",IF(BT1242="Aussen","Aussen","-")))</f>
        <v>L23</v>
      </c>
      <c r="BV1242" s="66" t="n">
        <f aca="false">IF(N(Z1242)&gt;0,Z1242,0)</f>
        <v>0</v>
      </c>
      <c r="BW1242" s="60" t="n">
        <f aca="false">IF(ISNUMBER(AC1242),1,0)</f>
        <v>0</v>
      </c>
      <c r="BX1242" s="57" t="n">
        <f aca="false">N(AC1242)</f>
        <v>0</v>
      </c>
      <c r="BY1242" s="57" t="n">
        <f aca="false">N(L1242)+N(M1242)</f>
        <v>5</v>
      </c>
      <c r="BZ1242" s="57" t="n">
        <f aca="false">ROUNDUP(G1242/BQ1242,0)</f>
        <v>0</v>
      </c>
      <c r="CA1242" s="57" t="n">
        <f aca="false">ROUNDUP(BX1242/BQ1242,0)</f>
        <v>0</v>
      </c>
      <c r="CB1242" s="60" t="n">
        <f aca="false">IF(BR1242=1,0,IFERROR(VLOOKUP(BP1242,'Gebinde-Kategorie'!$A$5:$M$45,5,0)+0,0))</f>
        <v>0</v>
      </c>
      <c r="CC1242" s="60" t="n">
        <f aca="false">IFERROR(IF(OR(BT1242=1,BT1242=2,BT1242=3),N(INDEX(Parameter!$I$5:$I$7,BT1242)),0),0)</f>
        <v>0</v>
      </c>
      <c r="CD1242" s="59" t="n">
        <f aca="false">IF(AND(Parameter!$B$21="Ja",ISNUMBER(U1242),N(V1242)&gt;0),IFERROR(N(INDEX(Parameter!$L$5:$L$7,U1242))*INDEX(Parameter!$E$5:$E$7,U1242)*V1242/SUMIFS($V$7:$V$1576,$U$7:$U$1576,U1242),0),0)</f>
        <v>0</v>
      </c>
    </row>
    <row r="1243" customFormat="false" ht="15" hidden="false" customHeight="false" outlineLevel="0" collapsed="false">
      <c r="A1243" s="55" t="s">
        <v>2209</v>
      </c>
      <c r="B1243" s="55" t="s">
        <v>1040</v>
      </c>
      <c r="C1243" s="55" t="s">
        <v>160</v>
      </c>
      <c r="D1243" s="55" t="s">
        <v>178</v>
      </c>
      <c r="E1243" s="55" t="s">
        <v>210</v>
      </c>
      <c r="F1243" s="56" t="n">
        <v>16.2</v>
      </c>
      <c r="G1243" s="57" t="n">
        <f aca="false">MAX(0,IF(AND(Parameter!$B$21="Ja",ISNUMBER(W1243)),W1243,IF(Parameter!$B$20="Jahresanfang 2025 + Export",BJ1243+BI1243,BI1243)))</f>
        <v>0</v>
      </c>
      <c r="H1243" s="57" t="n">
        <f aca="false">G1243*F1243</f>
        <v>0</v>
      </c>
      <c r="I1243" s="57" t="n">
        <f aca="false">BL1243*Parameter!$B$18</f>
        <v>2</v>
      </c>
      <c r="J1243" s="58" t="n">
        <v>59.5</v>
      </c>
      <c r="K1243" s="59" t="n">
        <v>0.0336134453781513</v>
      </c>
      <c r="L1243" s="57" t="n">
        <v>0</v>
      </c>
      <c r="M1243" s="57" t="n">
        <v>1</v>
      </c>
      <c r="N1243" s="60" t="n">
        <v>28</v>
      </c>
      <c r="O1243" s="55" t="s">
        <v>179</v>
      </c>
      <c r="P1243" s="57" t="n">
        <v>40</v>
      </c>
      <c r="Q1243" s="60" t="n">
        <f aca="false">IF(BR1243=1,0,IFERROR(VLOOKUP(BP1243,'Gebinde-Kategorie'!$A$5:$M$45,13,0)+0,0))</f>
        <v>12</v>
      </c>
      <c r="R1243" s="61"/>
      <c r="S1243" s="62"/>
      <c r="T1243" s="62"/>
      <c r="U1243" s="55"/>
      <c r="V1243" s="57"/>
      <c r="W1243" s="57"/>
      <c r="X1243" s="55" t="n">
        <f aca="false">IF(A1243="","",IF(AND(Parameter!$B$21="Ja",ISNUMBER(U1243)),U1243,IF(IFERROR(VLOOKUP(D1243,Parameter!$A$35:$C$64,2,0),"Nein")="2+3",IF(ISNUMBER(SEARCH("grosser Artikel",BM1243)),2,IFERROR(VLOOKUP(BP1243,Parameter!$F$35:$G$64,2,0),2)),IF(OR(IFERROR(VLOOKUP(D1243,Parameter!$A$35:$C$64,2,0),"Nein")="Nein",IFERROR(VLOOKUP(D1243,Parameter!$A$35:$C$64,2,0),"Nein")=""),"-",VLOOKUP(D1243,Parameter!$A$35:$C$64,2,0)))))</f>
        <v>2</v>
      </c>
      <c r="Y1243" s="62"/>
      <c r="Z1243" s="63"/>
      <c r="AA1243" s="57" t="n">
        <f aca="false">AP1243</f>
        <v>40</v>
      </c>
      <c r="AB1243" s="57" t="n">
        <f aca="false">MAX(AP1243,G1243)</f>
        <v>40</v>
      </c>
      <c r="AC1243" s="64"/>
      <c r="AD1243" s="57" t="n">
        <f aca="false">IF(LEFT(Cockpit!$C$5,1)="A",G1243,IF(BW1243=1,BX1243,IF(LEFT(Cockpit!$C$5,1)="B",AH1243,MAX(AH1243,G1243))))</f>
        <v>0</v>
      </c>
      <c r="AE1243" s="57" t="n">
        <f aca="false">IF(BR1243=1,0,ROUNDUP(AD1243/BQ1243,0))</f>
        <v>0</v>
      </c>
      <c r="AF1243" s="59" t="n">
        <f aca="false">IF(CD1243&gt;0,CD1243*MAX(1,AD1243/V1243),IF(BR1243=1,IF(AD1243&lt;=0,0,BS1243*MAX(1,IF(G1243&gt;0,AD1243/G1243,1))),IF(Q1243&gt;0,AE1243/Q1243,0))/MAX(0.1,N(Parameter!$M$21)))</f>
        <v>0</v>
      </c>
      <c r="AG1243" s="57" t="n">
        <f aca="false">AD1243*F1243</f>
        <v>0</v>
      </c>
      <c r="AH1243" s="57" t="n">
        <f aca="false">ROUNDUP(MAX(I1243/IF(BV1243&gt;0,BV1243,MAX(0.1,N(Cockpit!$C$6))),BY1243)/BQ1243,0)*BQ1243</f>
        <v>40</v>
      </c>
      <c r="AI1243" s="58" t="n">
        <f aca="false">IF(AF1243&gt;0,I1243/AF1243,-1)</f>
        <v>-1</v>
      </c>
      <c r="AJ1243" s="58" t="str">
        <f aca="false">IF(AND(OR(BU1243="L1",BU1243="L23"),AF1243&gt;0),SUMIFS($AF$7:$AF$1576,$BU$7:$BU$1576,BU1243,$AI$7:$AI$1576,"&gt;"&amp;AI1243)+SUMIFS($AF$7:$AF$1576,$BU$7:$BU$1576,BU1243,$AI$7:$AI$1576,AI1243,$BO$7:$BO$1576,"&lt;="&amp;BO1243),"")</f>
        <v/>
      </c>
      <c r="AK1243" s="65" t="n">
        <f aca="false">IF(AJ1243="",0,MAX(0,MIN(1,(IF(BU1243="L1",Parameter!$E$5,Parameter!$E$6+Parameter!$E$7)-(AJ1243-AF1243))/AF1243)))</f>
        <v>0</v>
      </c>
      <c r="AL1243" s="57" t="n">
        <f aca="false">IF(LEFT(Cockpit!$I$5,1)="A",G1243,IF(BW1243=1,BX1243,IF(LEFT(Cockpit!$I$5,1)="B",AP1243,MAX(AP1243,G1243))))</f>
        <v>40</v>
      </c>
      <c r="AM1243" s="57" t="n">
        <f aca="false">IF(BR1243=1,0,ROUNDUP(AL1243/BQ1243,0))</f>
        <v>1</v>
      </c>
      <c r="AN1243" s="59" t="n">
        <f aca="false">IF(CD1243&gt;0,CD1243*MAX(1,AL1243/V1243),IF(BR1243=1,IF(AL1243&lt;=0,0,BS1243*MAX(1,IF(G1243&gt;0,AL1243/G1243,1))),IF(Q1243&gt;0,AM1243/Q1243,0))/MAX(0.1,N(Parameter!$M$21)))</f>
        <v>0.0833333333333333</v>
      </c>
      <c r="AO1243" s="57" t="n">
        <f aca="false">AL1243*F1243</f>
        <v>648</v>
      </c>
      <c r="AP1243" s="57" t="n">
        <f aca="false">ROUNDUP(MAX(I1243/IF(BV1243&gt;0,BV1243,MAX(0.1,N(Cockpit!$I$6))),BY1243)/BQ1243,0)*BQ1243</f>
        <v>40</v>
      </c>
      <c r="AQ1243" s="58" t="n">
        <f aca="false">IF(AN1243&gt;0,I1243/AN1243,-1)</f>
        <v>24</v>
      </c>
      <c r="AR1243" s="58" t="n">
        <f aca="false">IF(AND(OR(BU1243="L1",BU1243="L23"),AN1243&gt;0),SUMIFS($AN$7:$AN$1576,$BU$7:$BU$1576,BU1243,$AQ$7:$AQ$1576,"&gt;"&amp;AQ1243)+SUMIFS($AN$7:$AN$1576,$BU$7:$BU$1576,BU1243,$AQ$7:$AQ$1576,AQ1243,$BO$7:$BO$1576,"&lt;="&amp;BO1243),"")</f>
        <v>99.0462807425419</v>
      </c>
      <c r="AS1243" s="65" t="n">
        <f aca="false">IF(AR1243="",0,MAX(0,MIN(1,(IF(BU1243="L1",Parameter!$E$5,Parameter!$E$6+Parameter!$E$7)-(AR1243-AN1243))/AN1243)))</f>
        <v>1</v>
      </c>
      <c r="AT1243" s="57" t="n">
        <f aca="false">IF(LEFT(Cockpit!$O$5,1)="A",G1243,IF(BW1243=1,BX1243,IF(LEFT(Cockpit!$O$5,1)="B",AX1243,MAX(AX1243,G1243))))</f>
        <v>40</v>
      </c>
      <c r="AU1243" s="57" t="n">
        <f aca="false">IF(BR1243=1,0,ROUNDUP(AT1243/BQ1243,0))</f>
        <v>1</v>
      </c>
      <c r="AV1243" s="59" t="n">
        <f aca="false">IF(CD1243&gt;0,CD1243*MAX(1,AT1243/V1243),IF(BR1243=1,IF(AT1243&lt;=0,0,BS1243*MAX(1,IF(G1243&gt;0,AT1243/G1243,1))),IF(Q1243&gt;0,AU1243/Q1243,0))/MAX(0.1,N(Parameter!$M$21)))</f>
        <v>0.0833333333333333</v>
      </c>
      <c r="AW1243" s="57" t="n">
        <f aca="false">AT1243*F1243</f>
        <v>648</v>
      </c>
      <c r="AX1243" s="57" t="n">
        <f aca="false">ROUNDUP(MAX(I1243/IF(BV1243&gt;0,BV1243,MAX(0.1,N(Cockpit!$O$6))),BY1243)/BQ1243,0)*BQ1243</f>
        <v>40</v>
      </c>
      <c r="AY1243" s="58" t="n">
        <f aca="false">IF(AV1243&gt;0,I1243/AV1243,-1)</f>
        <v>24</v>
      </c>
      <c r="AZ1243" s="58" t="n">
        <f aca="false">IF(AND(OR(BU1243="L1",BU1243="L23"),AV1243&gt;0),SUMIFS($AV$7:$AV$1576,$BU$7:$BU$1576,BU1243,$AY$7:$AY$1576,"&gt;"&amp;AY1243)+SUMIFS($AV$7:$AV$1576,$BU$7:$BU$1576,BU1243,$AY$7:$AY$1576,AY1243,$BO$7:$BO$1576,"&lt;="&amp;BO1243),"")</f>
        <v>89.8558311920924</v>
      </c>
      <c r="BA1243" s="65" t="n">
        <f aca="false">IF(AZ1243="",0,MAX(0,MIN(1,(IF(BU1243="L1",Parameter!$E$5,Parameter!$E$6+Parameter!$E$7)-(AZ1243-AV1243))/AV1243)))</f>
        <v>1</v>
      </c>
      <c r="BB1243" s="55" t="str">
        <f aca="false">IF(AF1243&lt;=0,"",IF(BU1243="Aussen","Aussenlager",IF(BU1243="-","Nicht im Lift",IF(AK1243&gt;=1,"Lift",IF(AK1243&lt;=0,"Aussenlager","teilweise")))))</f>
        <v/>
      </c>
      <c r="BC1243" s="55" t="str">
        <f aca="false">IF(AN1243&lt;=0,"",IF(BU1243="Aussen","Aussenlager",IF(BU1243="-","Nicht im Lift",IF(AS1243&gt;=1,"Lift",IF(AS1243&lt;=0,"Aussenlager","teilweise")))))</f>
        <v>Lift</v>
      </c>
      <c r="BD1243" s="55" t="str">
        <f aca="false">IF(AV1243&lt;=0,"",IF(BU1243="Aussen","Aussenlager",IF(BU1243="-","Nicht im Lift",IF(BA1243&gt;=1,"Lift",IF(BA1243&lt;=0,"Aussenlager","teilweise")))))</f>
        <v>Lift</v>
      </c>
      <c r="BE1243" s="55" t="str">
        <f aca="false">IF(A1243="","",IF(BN1243=1,"Neu; ","")&amp;IF(AND(BN1243=0,BI1243&lt;0),"negativer Bestand (Export "&amp;BI1243&amp;"); ","")&amp;IF(I1243&lt;=0,"Kein Verbrauch; ","")&amp;IF(CD1243&gt;0,"Lift "&amp;U1243&amp;" lt. Liftbericht (Fach "&amp;V1243&amp;" Stk); ",IF(BR1243=1,"Lose – Fläche geschätzt; ",""))&amp;IF(G1243&gt;AP1243,"Überbestand "&amp;ROUND(G1243-AP1243,0)&amp;" Stk / CHF "&amp;ROUND((G1243-AP1243)*F1243,0)&amp;"; ","")&amp;IF(AND(BW1243=1,BX1243&lt;BY1243),"MAX &lt; MB+LG; ","")&amp;IF(AND(CC1243&gt;0,CB1243*10&gt;CC1243),"zu hoch für Tablar; ","")&amp;IF(AND(BN1243=0,OR(BW1243=1,Y1243&lt;&gt;"",S1243&lt;&gt;"",T1243&lt;&gt;"",Z1243&lt;&gt;"")),"manuell übersteuert; ","")&amp;IF(AND(BR1243=0,Q1243=0),"Gebinde unbekannt / Stellmass fehlt; ","")&amp;IF(AND(BR1243=0,N(T1243)&lt;=0,N(P1243)&lt;=0),"Menge pro Gebinde fehlt (Ist = 1 Gebinde); ","")&amp;BM1243)</f>
        <v>negativer Bestand (Export -44); </v>
      </c>
      <c r="BF1243" s="55"/>
      <c r="BG1243" s="55"/>
      <c r="BH1243" s="62"/>
      <c r="BI1243" s="57" t="n">
        <v>-44</v>
      </c>
      <c r="BJ1243" s="57" t="n">
        <v>61</v>
      </c>
      <c r="BK1243" s="56" t="n">
        <v>-712.8</v>
      </c>
      <c r="BL1243" s="57" t="n">
        <v>2</v>
      </c>
      <c r="BM1243" s="55"/>
      <c r="BN1243" s="60" t="n">
        <v>0</v>
      </c>
      <c r="BO1243" s="60" t="n">
        <v>1243</v>
      </c>
      <c r="BP1243" s="55" t="str">
        <f aca="false">IF(S1243&lt;&gt;"",UPPER(TRIM(S1243)),IF(O1243="","LOSE",O1243))</f>
        <v>S61</v>
      </c>
      <c r="BQ1243" s="57" t="n">
        <f aca="false">IF(BP1243="LOSE",1,IF(N(T1243)&gt;0,T1243,IF(N(P1243)&gt;0,P1243,MAX(1,G1243))))</f>
        <v>40</v>
      </c>
      <c r="BR1243" s="60" t="n">
        <f aca="false">IF(BP1243="LOSE",1,0)</f>
        <v>0</v>
      </c>
      <c r="BS1243" s="59" t="n">
        <f aca="false">IF(BR1243=0,0,IF(N(R1243)&gt;0,R1243,IFERROR(VLOOKUP(D1243,Parameter!$A$35:$C$64,3,0)+0,0)))</f>
        <v>0</v>
      </c>
      <c r="BT1243" s="55" t="n">
        <f aca="false">IF(Y1243&lt;&gt;"",Y1243,X1243)</f>
        <v>2</v>
      </c>
      <c r="BU1243" s="55" t="str">
        <f aca="false">IF(BT1243=1,"L1",IF(OR(BT1243=2,BT1243=3),"L23",IF(BT1243="Aussen","Aussen","-")))</f>
        <v>L23</v>
      </c>
      <c r="BV1243" s="66" t="n">
        <f aca="false">IF(N(Z1243)&gt;0,Z1243,0)</f>
        <v>0</v>
      </c>
      <c r="BW1243" s="60" t="n">
        <f aca="false">IF(ISNUMBER(AC1243),1,0)</f>
        <v>0</v>
      </c>
      <c r="BX1243" s="57" t="n">
        <f aca="false">N(AC1243)</f>
        <v>0</v>
      </c>
      <c r="BY1243" s="57" t="n">
        <f aca="false">N(L1243)+N(M1243)</f>
        <v>1</v>
      </c>
      <c r="BZ1243" s="57" t="n">
        <f aca="false">ROUNDUP(G1243/BQ1243,0)</f>
        <v>0</v>
      </c>
      <c r="CA1243" s="57" t="n">
        <f aca="false">ROUNDUP(BX1243/BQ1243,0)</f>
        <v>0</v>
      </c>
      <c r="CB1243" s="60" t="n">
        <f aca="false">IF(BR1243=1,0,IFERROR(VLOOKUP(BP1243,'Gebinde-Kategorie'!$A$5:$M$45,5,0)+0,0))</f>
        <v>11</v>
      </c>
      <c r="CC1243" s="60" t="n">
        <f aca="false">IFERROR(IF(OR(BT1243=1,BT1243=2,BT1243=3),N(INDEX(Parameter!$I$5:$I$7,BT1243)),0),0)</f>
        <v>0</v>
      </c>
      <c r="CD1243" s="59" t="n">
        <f aca="false">IF(AND(Parameter!$B$21="Ja",ISNUMBER(U1243),N(V1243)&gt;0),IFERROR(N(INDEX(Parameter!$L$5:$L$7,U1243))*INDEX(Parameter!$E$5:$E$7,U1243)*V1243/SUMIFS($V$7:$V$1576,$U$7:$U$1576,U1243),0),0)</f>
        <v>0</v>
      </c>
    </row>
    <row r="1244" customFormat="false" ht="15" hidden="false" customHeight="false" outlineLevel="0" collapsed="false">
      <c r="A1244" s="55" t="s">
        <v>2210</v>
      </c>
      <c r="B1244" s="55" t="s">
        <v>2211</v>
      </c>
      <c r="C1244" s="55" t="s">
        <v>160</v>
      </c>
      <c r="D1244" s="55" t="s">
        <v>178</v>
      </c>
      <c r="E1244" s="55" t="s">
        <v>210</v>
      </c>
      <c r="F1244" s="56" t="n">
        <v>79.39</v>
      </c>
      <c r="G1244" s="57" t="n">
        <f aca="false">MAX(0,IF(AND(Parameter!$B$21="Ja",ISNUMBER(W1244)),W1244,IF(Parameter!$B$20="Jahresanfang 2025 + Export",BJ1244+BI1244,BI1244)))</f>
        <v>0</v>
      </c>
      <c r="H1244" s="57" t="n">
        <f aca="false">G1244*F1244</f>
        <v>0</v>
      </c>
      <c r="I1244" s="57" t="n">
        <f aca="false">BL1244*Parameter!$B$18</f>
        <v>3</v>
      </c>
      <c r="J1244" s="58" t="n">
        <v>6.5</v>
      </c>
      <c r="K1244" s="59" t="n">
        <v>0.461538461538462</v>
      </c>
      <c r="L1244" s="57" t="n">
        <v>0</v>
      </c>
      <c r="M1244" s="57" t="n">
        <v>5</v>
      </c>
      <c r="N1244" s="60" t="n">
        <v>35</v>
      </c>
      <c r="O1244" s="55" t="s">
        <v>163</v>
      </c>
      <c r="P1244" s="57"/>
      <c r="Q1244" s="60" t="n">
        <f aca="false">IF(BR1244=1,0,IFERROR(VLOOKUP(BP1244,'Gebinde-Kategorie'!$A$5:$M$45,13,0)+0,0))</f>
        <v>0</v>
      </c>
      <c r="R1244" s="61"/>
      <c r="S1244" s="62"/>
      <c r="T1244" s="62"/>
      <c r="U1244" s="55"/>
      <c r="V1244" s="57"/>
      <c r="W1244" s="57"/>
      <c r="X1244" s="55" t="n">
        <f aca="false">IF(A1244="","",IF(AND(Parameter!$B$21="Ja",ISNUMBER(U1244)),U1244,IF(IFERROR(VLOOKUP(D1244,Parameter!$A$35:$C$64,2,0),"Nein")="2+3",IF(ISNUMBER(SEARCH("grosser Artikel",BM1244)),2,IFERROR(VLOOKUP(BP1244,Parameter!$F$35:$G$64,2,0),2)),IF(OR(IFERROR(VLOOKUP(D1244,Parameter!$A$35:$C$64,2,0),"Nein")="Nein",IFERROR(VLOOKUP(D1244,Parameter!$A$35:$C$64,2,0),"Nein")=""),"-",VLOOKUP(D1244,Parameter!$A$35:$C$64,2,0)))))</f>
        <v>2</v>
      </c>
      <c r="Y1244" s="62"/>
      <c r="Z1244" s="63"/>
      <c r="AA1244" s="57" t="n">
        <f aca="false">AP1244</f>
        <v>5</v>
      </c>
      <c r="AB1244" s="57" t="n">
        <f aca="false">MAX(AP1244,G1244)</f>
        <v>5</v>
      </c>
      <c r="AC1244" s="64"/>
      <c r="AD1244" s="57" t="n">
        <f aca="false">IF(LEFT(Cockpit!$C$5,1)="A",G1244,IF(BW1244=1,BX1244,IF(LEFT(Cockpit!$C$5,1)="B",AH1244,MAX(AH1244,G1244))))</f>
        <v>0</v>
      </c>
      <c r="AE1244" s="57" t="n">
        <f aca="false">IF(BR1244=1,0,ROUNDUP(AD1244/BQ1244,0))</f>
        <v>0</v>
      </c>
      <c r="AF1244" s="59" t="n">
        <f aca="false">IF(CD1244&gt;0,CD1244*MAX(1,AD1244/V1244),IF(BR1244=1,IF(AD1244&lt;=0,0,BS1244*MAX(1,IF(G1244&gt;0,AD1244/G1244,1))),IF(Q1244&gt;0,AE1244/Q1244,0))/MAX(0.1,N(Parameter!$M$21)))</f>
        <v>0</v>
      </c>
      <c r="AG1244" s="57" t="n">
        <f aca="false">AD1244*F1244</f>
        <v>0</v>
      </c>
      <c r="AH1244" s="57" t="n">
        <f aca="false">ROUNDUP(MAX(I1244/IF(BV1244&gt;0,BV1244,MAX(0.1,N(Cockpit!$C$6))),BY1244)/BQ1244,0)*BQ1244</f>
        <v>5</v>
      </c>
      <c r="AI1244" s="58" t="n">
        <f aca="false">IF(AF1244&gt;0,I1244/AF1244,-1)</f>
        <v>-1</v>
      </c>
      <c r="AJ1244" s="58" t="str">
        <f aca="false">IF(AND(OR(BU1244="L1",BU1244="L23"),AF1244&gt;0),SUMIFS($AF$7:$AF$1576,$BU$7:$BU$1576,BU1244,$AI$7:$AI$1576,"&gt;"&amp;AI1244)+SUMIFS($AF$7:$AF$1576,$BU$7:$BU$1576,BU1244,$AI$7:$AI$1576,AI1244,$BO$7:$BO$1576,"&lt;="&amp;BO1244),"")</f>
        <v/>
      </c>
      <c r="AK1244" s="65" t="n">
        <f aca="false">IF(AJ1244="",0,MAX(0,MIN(1,(IF(BU1244="L1",Parameter!$E$5,Parameter!$E$6+Parameter!$E$7)-(AJ1244-AF1244))/AF1244)))</f>
        <v>0</v>
      </c>
      <c r="AL1244" s="57" t="n">
        <f aca="false">IF(LEFT(Cockpit!$I$5,1)="A",G1244,IF(BW1244=1,BX1244,IF(LEFT(Cockpit!$I$5,1)="B",AP1244,MAX(AP1244,G1244))))</f>
        <v>5</v>
      </c>
      <c r="AM1244" s="57" t="n">
        <f aca="false">IF(BR1244=1,0,ROUNDUP(AL1244/BQ1244,0))</f>
        <v>0</v>
      </c>
      <c r="AN1244" s="59" t="n">
        <f aca="false">IF(CD1244&gt;0,CD1244*MAX(1,AL1244/V1244),IF(BR1244=1,IF(AL1244&lt;=0,0,BS1244*MAX(1,IF(G1244&gt;0,AL1244/G1244,1))),IF(Q1244&gt;0,AM1244/Q1244,0))/MAX(0.1,N(Parameter!$M$21)))</f>
        <v>0.03</v>
      </c>
      <c r="AO1244" s="57" t="n">
        <f aca="false">AL1244*F1244</f>
        <v>396.95</v>
      </c>
      <c r="AP1244" s="57" t="n">
        <f aca="false">ROUNDUP(MAX(I1244/IF(BV1244&gt;0,BV1244,MAX(0.1,N(Cockpit!$I$6))),BY1244)/BQ1244,0)*BQ1244</f>
        <v>5</v>
      </c>
      <c r="AQ1244" s="58" t="n">
        <f aca="false">IF(AN1244&gt;0,I1244/AN1244,-1)</f>
        <v>100</v>
      </c>
      <c r="AR1244" s="58" t="n">
        <f aca="false">IF(AND(OR(BU1244="L1",BU1244="L23"),AN1244&gt;0),SUMIFS($AN$7:$AN$1576,$BU$7:$BU$1576,BU1244,$AQ$7:$AQ$1576,"&gt;"&amp;AQ1244)+SUMIFS($AN$7:$AN$1576,$BU$7:$BU$1576,BU1244,$AQ$7:$AQ$1576,AQ1244,$BO$7:$BO$1576,"&lt;="&amp;BO1244),"")</f>
        <v>69.5767780230392</v>
      </c>
      <c r="AS1244" s="65" t="n">
        <f aca="false">IF(AR1244="",0,MAX(0,MIN(1,(IF(BU1244="L1",Parameter!$E$5,Parameter!$E$6+Parameter!$E$7)-(AR1244-AN1244))/AN1244)))</f>
        <v>1</v>
      </c>
      <c r="AT1244" s="57" t="n">
        <f aca="false">IF(LEFT(Cockpit!$O$5,1)="A",G1244,IF(BW1244=1,BX1244,IF(LEFT(Cockpit!$O$5,1)="B",AX1244,MAX(AX1244,G1244))))</f>
        <v>5</v>
      </c>
      <c r="AU1244" s="57" t="n">
        <f aca="false">IF(BR1244=1,0,ROUNDUP(AT1244/BQ1244,0))</f>
        <v>0</v>
      </c>
      <c r="AV1244" s="59" t="n">
        <f aca="false">IF(CD1244&gt;0,CD1244*MAX(1,AT1244/V1244),IF(BR1244=1,IF(AT1244&lt;=0,0,BS1244*MAX(1,IF(G1244&gt;0,AT1244/G1244,1))),IF(Q1244&gt;0,AU1244/Q1244,0))/MAX(0.1,N(Parameter!$M$21)))</f>
        <v>0.03</v>
      </c>
      <c r="AW1244" s="57" t="n">
        <f aca="false">AT1244*F1244</f>
        <v>396.95</v>
      </c>
      <c r="AX1244" s="57" t="n">
        <f aca="false">ROUNDUP(MAX(I1244/IF(BV1244&gt;0,BV1244,MAX(0.1,N(Cockpit!$O$6))),BY1244)/BQ1244,0)*BQ1244</f>
        <v>5</v>
      </c>
      <c r="AY1244" s="58" t="n">
        <f aca="false">IF(AV1244&gt;0,I1244/AV1244,-1)</f>
        <v>100</v>
      </c>
      <c r="AZ1244" s="58" t="n">
        <f aca="false">IF(AND(OR(BU1244="L1",BU1244="L23"),AV1244&gt;0),SUMIFS($AV$7:$AV$1576,$BU$7:$BU$1576,BU1244,$AY$7:$AY$1576,"&gt;"&amp;AY1244)+SUMIFS($AV$7:$AV$1576,$BU$7:$BU$1576,BU1244,$AY$7:$AY$1576,AY1244,$BO$7:$BO$1576,"&lt;="&amp;BO1244),"")</f>
        <v>64.137161805923</v>
      </c>
      <c r="BA1244" s="65" t="n">
        <f aca="false">IF(AZ1244="",0,MAX(0,MIN(1,(IF(BU1244="L1",Parameter!$E$5,Parameter!$E$6+Parameter!$E$7)-(AZ1244-AV1244))/AV1244)))</f>
        <v>1</v>
      </c>
      <c r="BB1244" s="55" t="str">
        <f aca="false">IF(AF1244&lt;=0,"",IF(BU1244="Aussen","Aussenlager",IF(BU1244="-","Nicht im Lift",IF(AK1244&gt;=1,"Lift",IF(AK1244&lt;=0,"Aussenlager","teilweise")))))</f>
        <v/>
      </c>
      <c r="BC1244" s="55" t="str">
        <f aca="false">IF(AN1244&lt;=0,"",IF(BU1244="Aussen","Aussenlager",IF(BU1244="-","Nicht im Lift",IF(AS1244&gt;=1,"Lift",IF(AS1244&lt;=0,"Aussenlager","teilweise")))))</f>
        <v>Lift</v>
      </c>
      <c r="BD1244" s="55" t="str">
        <f aca="false">IF(AV1244&lt;=0,"",IF(BU1244="Aussen","Aussenlager",IF(BU1244="-","Nicht im Lift",IF(BA1244&gt;=1,"Lift",IF(BA1244&lt;=0,"Aussenlager","teilweise")))))</f>
        <v>Lift</v>
      </c>
      <c r="BE1244" s="55" t="str">
        <f aca="false">IF(A1244="","",IF(BN1244=1,"Neu; ","")&amp;IF(AND(BN1244=0,BI1244&lt;0),"negativer Bestand (Export "&amp;BI1244&amp;"); ","")&amp;IF(I1244&lt;=0,"Kein Verbrauch; ","")&amp;IF(CD1244&gt;0,"Lift "&amp;U1244&amp;" lt. Liftbericht (Fach "&amp;V1244&amp;" Stk); ",IF(BR1244=1,"Lose – Fläche geschätzt; ",""))&amp;IF(G1244&gt;AP1244,"Überbestand "&amp;ROUND(G1244-AP1244,0)&amp;" Stk / CHF "&amp;ROUND((G1244-AP1244)*F1244,0)&amp;"; ","")&amp;IF(AND(BW1244=1,BX1244&lt;BY1244),"MAX &lt; MB+LG; ","")&amp;IF(AND(CC1244&gt;0,CB1244*10&gt;CC1244),"zu hoch für Tablar; ","")&amp;IF(AND(BN1244=0,OR(BW1244=1,Y1244&lt;&gt;"",S1244&lt;&gt;"",T1244&lt;&gt;"",Z1244&lt;&gt;"")),"manuell übersteuert; ","")&amp;IF(AND(BR1244=0,Q1244=0),"Gebinde unbekannt / Stellmass fehlt; ","")&amp;IF(AND(BR1244=0,N(T1244)&lt;=0,N(P1244)&lt;=0),"Menge pro Gebinde fehlt (Ist = 1 Gebinde); ","")&amp;BM1244)</f>
        <v>negativer Bestand (Export -9); Lose – Fläche geschätzt; </v>
      </c>
      <c r="BF1244" s="55"/>
      <c r="BG1244" s="55"/>
      <c r="BH1244" s="62"/>
      <c r="BI1244" s="57" t="n">
        <v>-9</v>
      </c>
      <c r="BJ1244" s="57" t="n">
        <v>9</v>
      </c>
      <c r="BK1244" s="56" t="n">
        <v>-714.51</v>
      </c>
      <c r="BL1244" s="57" t="n">
        <v>3</v>
      </c>
      <c r="BM1244" s="55"/>
      <c r="BN1244" s="60" t="n">
        <v>0</v>
      </c>
      <c r="BO1244" s="60" t="n">
        <v>1244</v>
      </c>
      <c r="BP1244" s="55" t="str">
        <f aca="false">IF(S1244&lt;&gt;"",UPPER(TRIM(S1244)),IF(O1244="","LOSE",O1244))</f>
        <v>LOSE</v>
      </c>
      <c r="BQ1244" s="57" t="n">
        <f aca="false">IF(BP1244="LOSE",1,IF(N(T1244)&gt;0,T1244,IF(N(P1244)&gt;0,P1244,MAX(1,G1244))))</f>
        <v>1</v>
      </c>
      <c r="BR1244" s="60" t="n">
        <f aca="false">IF(BP1244="LOSE",1,0)</f>
        <v>1</v>
      </c>
      <c r="BS1244" s="59" t="n">
        <f aca="false">IF(BR1244=0,0,IF(N(R1244)&gt;0,R1244,IFERROR(VLOOKUP(D1244,Parameter!$A$35:$C$64,3,0)+0,0)))</f>
        <v>0.03</v>
      </c>
      <c r="BT1244" s="55" t="n">
        <f aca="false">IF(Y1244&lt;&gt;"",Y1244,X1244)</f>
        <v>2</v>
      </c>
      <c r="BU1244" s="55" t="str">
        <f aca="false">IF(BT1244=1,"L1",IF(OR(BT1244=2,BT1244=3),"L23",IF(BT1244="Aussen","Aussen","-")))</f>
        <v>L23</v>
      </c>
      <c r="BV1244" s="66" t="n">
        <f aca="false">IF(N(Z1244)&gt;0,Z1244,0)</f>
        <v>0</v>
      </c>
      <c r="BW1244" s="60" t="n">
        <f aca="false">IF(ISNUMBER(AC1244),1,0)</f>
        <v>0</v>
      </c>
      <c r="BX1244" s="57" t="n">
        <f aca="false">N(AC1244)</f>
        <v>0</v>
      </c>
      <c r="BY1244" s="57" t="n">
        <f aca="false">N(L1244)+N(M1244)</f>
        <v>5</v>
      </c>
      <c r="BZ1244" s="57" t="n">
        <f aca="false">ROUNDUP(G1244/BQ1244,0)</f>
        <v>0</v>
      </c>
      <c r="CA1244" s="57" t="n">
        <f aca="false">ROUNDUP(BX1244/BQ1244,0)</f>
        <v>0</v>
      </c>
      <c r="CB1244" s="60" t="n">
        <f aca="false">IF(BR1244=1,0,IFERROR(VLOOKUP(BP1244,'Gebinde-Kategorie'!$A$5:$M$45,5,0)+0,0))</f>
        <v>0</v>
      </c>
      <c r="CC1244" s="60" t="n">
        <f aca="false">IFERROR(IF(OR(BT1244=1,BT1244=2,BT1244=3),N(INDEX(Parameter!$I$5:$I$7,BT1244)),0),0)</f>
        <v>0</v>
      </c>
      <c r="CD1244" s="59" t="n">
        <f aca="false">IF(AND(Parameter!$B$21="Ja",ISNUMBER(U1244),N(V1244)&gt;0),IFERROR(N(INDEX(Parameter!$L$5:$L$7,U1244))*INDEX(Parameter!$E$5:$E$7,U1244)*V1244/SUMIFS($V$7:$V$1576,$U$7:$U$1576,U1244),0),0)</f>
        <v>0</v>
      </c>
    </row>
    <row r="1245" customFormat="false" ht="15" hidden="false" customHeight="false" outlineLevel="0" collapsed="false">
      <c r="A1245" s="55" t="s">
        <v>2212</v>
      </c>
      <c r="B1245" s="55" t="s">
        <v>2213</v>
      </c>
      <c r="C1245" s="55" t="s">
        <v>160</v>
      </c>
      <c r="D1245" s="55" t="s">
        <v>178</v>
      </c>
      <c r="E1245" s="55" t="s">
        <v>210</v>
      </c>
      <c r="F1245" s="56" t="n">
        <v>51.08</v>
      </c>
      <c r="G1245" s="57" t="n">
        <f aca="false">MAX(0,IF(AND(Parameter!$B$21="Ja",ISNUMBER(W1245)),W1245,IF(Parameter!$B$20="Jahresanfang 2025 + Export",BJ1245+BI1245,BI1245)))</f>
        <v>0</v>
      </c>
      <c r="H1245" s="57" t="n">
        <f aca="false">G1245*F1245</f>
        <v>0</v>
      </c>
      <c r="I1245" s="57" t="n">
        <f aca="false">BL1245*Parameter!$B$18</f>
        <v>5</v>
      </c>
      <c r="J1245" s="58" t="n">
        <v>63.5</v>
      </c>
      <c r="K1245" s="59" t="n">
        <v>0.078740157480315</v>
      </c>
      <c r="L1245" s="57" t="n">
        <v>0</v>
      </c>
      <c r="M1245" s="57" t="n">
        <v>5</v>
      </c>
      <c r="N1245" s="60" t="n">
        <v>21</v>
      </c>
      <c r="O1245" s="55" t="s">
        <v>218</v>
      </c>
      <c r="P1245" s="57" t="n">
        <v>71</v>
      </c>
      <c r="Q1245" s="60" t="n">
        <f aca="false">IF(BR1245=1,0,IFERROR(VLOOKUP(BP1245,'Gebinde-Kategorie'!$A$5:$M$45,13,0)+0,0))</f>
        <v>12</v>
      </c>
      <c r="R1245" s="61"/>
      <c r="S1245" s="62"/>
      <c r="T1245" s="62"/>
      <c r="U1245" s="55"/>
      <c r="V1245" s="57"/>
      <c r="W1245" s="57"/>
      <c r="X1245" s="55" t="n">
        <f aca="false">IF(A1245="","",IF(AND(Parameter!$B$21="Ja",ISNUMBER(U1245)),U1245,IF(IFERROR(VLOOKUP(D1245,Parameter!$A$35:$C$64,2,0),"Nein")="2+3",IF(ISNUMBER(SEARCH("grosser Artikel",BM1245)),2,IFERROR(VLOOKUP(BP1245,Parameter!$F$35:$G$64,2,0),2)),IF(OR(IFERROR(VLOOKUP(D1245,Parameter!$A$35:$C$64,2,0),"Nein")="Nein",IFERROR(VLOOKUP(D1245,Parameter!$A$35:$C$64,2,0),"Nein")=""),"-",VLOOKUP(D1245,Parameter!$A$35:$C$64,2,0)))))</f>
        <v>2</v>
      </c>
      <c r="Y1245" s="62"/>
      <c r="Z1245" s="63"/>
      <c r="AA1245" s="57" t="n">
        <f aca="false">AP1245</f>
        <v>71</v>
      </c>
      <c r="AB1245" s="57" t="n">
        <f aca="false">MAX(AP1245,G1245)</f>
        <v>71</v>
      </c>
      <c r="AC1245" s="64"/>
      <c r="AD1245" s="57" t="n">
        <f aca="false">IF(LEFT(Cockpit!$C$5,1)="A",G1245,IF(BW1245=1,BX1245,IF(LEFT(Cockpit!$C$5,1)="B",AH1245,MAX(AH1245,G1245))))</f>
        <v>0</v>
      </c>
      <c r="AE1245" s="57" t="n">
        <f aca="false">IF(BR1245=1,0,ROUNDUP(AD1245/BQ1245,0))</f>
        <v>0</v>
      </c>
      <c r="AF1245" s="59" t="n">
        <f aca="false">IF(CD1245&gt;0,CD1245*MAX(1,AD1245/V1245),IF(BR1245=1,IF(AD1245&lt;=0,0,BS1245*MAX(1,IF(G1245&gt;0,AD1245/G1245,1))),IF(Q1245&gt;0,AE1245/Q1245,0))/MAX(0.1,N(Parameter!$M$21)))</f>
        <v>0</v>
      </c>
      <c r="AG1245" s="57" t="n">
        <f aca="false">AD1245*F1245</f>
        <v>0</v>
      </c>
      <c r="AH1245" s="57" t="n">
        <f aca="false">ROUNDUP(MAX(I1245/IF(BV1245&gt;0,BV1245,MAX(0.1,N(Cockpit!$C$6))),BY1245)/BQ1245,0)*BQ1245</f>
        <v>71</v>
      </c>
      <c r="AI1245" s="58" t="n">
        <f aca="false">IF(AF1245&gt;0,I1245/AF1245,-1)</f>
        <v>-1</v>
      </c>
      <c r="AJ1245" s="58" t="str">
        <f aca="false">IF(AND(OR(BU1245="L1",BU1245="L23"),AF1245&gt;0),SUMIFS($AF$7:$AF$1576,$BU$7:$BU$1576,BU1245,$AI$7:$AI$1576,"&gt;"&amp;AI1245)+SUMIFS($AF$7:$AF$1576,$BU$7:$BU$1576,BU1245,$AI$7:$AI$1576,AI1245,$BO$7:$BO$1576,"&lt;="&amp;BO1245),"")</f>
        <v/>
      </c>
      <c r="AK1245" s="65" t="n">
        <f aca="false">IF(AJ1245="",0,MAX(0,MIN(1,(IF(BU1245="L1",Parameter!$E$5,Parameter!$E$6+Parameter!$E$7)-(AJ1245-AF1245))/AF1245)))</f>
        <v>0</v>
      </c>
      <c r="AL1245" s="57" t="n">
        <f aca="false">IF(LEFT(Cockpit!$I$5,1)="A",G1245,IF(BW1245=1,BX1245,IF(LEFT(Cockpit!$I$5,1)="B",AP1245,MAX(AP1245,G1245))))</f>
        <v>71</v>
      </c>
      <c r="AM1245" s="57" t="n">
        <f aca="false">IF(BR1245=1,0,ROUNDUP(AL1245/BQ1245,0))</f>
        <v>1</v>
      </c>
      <c r="AN1245" s="59" t="n">
        <f aca="false">IF(CD1245&gt;0,CD1245*MAX(1,AL1245/V1245),IF(BR1245=1,IF(AL1245&lt;=0,0,BS1245*MAX(1,IF(G1245&gt;0,AL1245/G1245,1))),IF(Q1245&gt;0,AM1245/Q1245,0))/MAX(0.1,N(Parameter!$M$21)))</f>
        <v>0.0833333333333333</v>
      </c>
      <c r="AO1245" s="57" t="n">
        <f aca="false">AL1245*F1245</f>
        <v>3626.68</v>
      </c>
      <c r="AP1245" s="57" t="n">
        <f aca="false">ROUNDUP(MAX(I1245/IF(BV1245&gt;0,BV1245,MAX(0.1,N(Cockpit!$I$6))),BY1245)/BQ1245,0)*BQ1245</f>
        <v>71</v>
      </c>
      <c r="AQ1245" s="58" t="n">
        <f aca="false">IF(AN1245&gt;0,I1245/AN1245,-1)</f>
        <v>60</v>
      </c>
      <c r="AR1245" s="58" t="n">
        <f aca="false">IF(AND(OR(BU1245="L1",BU1245="L23"),AN1245&gt;0),SUMIFS($AN$7:$AN$1576,$BU$7:$BU$1576,BU1245,$AQ$7:$AQ$1576,"&gt;"&amp;AQ1245)+SUMIFS($AN$7:$AN$1576,$BU$7:$BU$1576,BU1245,$AQ$7:$AQ$1576,AQ1245,$BO$7:$BO$1576,"&lt;="&amp;BO1245),"")</f>
        <v>77.7260243322855</v>
      </c>
      <c r="AS1245" s="65" t="n">
        <f aca="false">IF(AR1245="",0,MAX(0,MIN(1,(IF(BU1245="L1",Parameter!$E$5,Parameter!$E$6+Parameter!$E$7)-(AR1245-AN1245))/AN1245)))</f>
        <v>1</v>
      </c>
      <c r="AT1245" s="57" t="n">
        <f aca="false">IF(LEFT(Cockpit!$O$5,1)="A",G1245,IF(BW1245=1,BX1245,IF(LEFT(Cockpit!$O$5,1)="B",AX1245,MAX(AX1245,G1245))))</f>
        <v>71</v>
      </c>
      <c r="AU1245" s="57" t="n">
        <f aca="false">IF(BR1245=1,0,ROUNDUP(AT1245/BQ1245,0))</f>
        <v>1</v>
      </c>
      <c r="AV1245" s="59" t="n">
        <f aca="false">IF(CD1245&gt;0,CD1245*MAX(1,AT1245/V1245),IF(BR1245=1,IF(AT1245&lt;=0,0,BS1245*MAX(1,IF(G1245&gt;0,AT1245/G1245,1))),IF(Q1245&gt;0,AU1245/Q1245,0))/MAX(0.1,N(Parameter!$M$21)))</f>
        <v>0.0833333333333333</v>
      </c>
      <c r="AW1245" s="57" t="n">
        <f aca="false">AT1245*F1245</f>
        <v>3626.68</v>
      </c>
      <c r="AX1245" s="57" t="n">
        <f aca="false">ROUNDUP(MAX(I1245/IF(BV1245&gt;0,BV1245,MAX(0.1,N(Cockpit!$O$6))),BY1245)/BQ1245,0)*BQ1245</f>
        <v>71</v>
      </c>
      <c r="AY1245" s="58" t="n">
        <f aca="false">IF(AV1245&gt;0,I1245/AV1245,-1)</f>
        <v>60</v>
      </c>
      <c r="AZ1245" s="58" t="n">
        <f aca="false">IF(AND(OR(BU1245="L1",BU1245="L23"),AV1245&gt;0),SUMIFS($AV$7:$AV$1576,$BU$7:$BU$1576,BU1245,$AY$7:$AY$1576,"&gt;"&amp;AY1245)+SUMIFS($AV$7:$AV$1576,$BU$7:$BU$1576,BU1245,$AY$7:$AY$1576,AY1245,$BO$7:$BO$1576,"&lt;="&amp;BO1245),"")</f>
        <v>75.9272414485026</v>
      </c>
      <c r="BA1245" s="65" t="n">
        <f aca="false">IF(AZ1245="",0,MAX(0,MIN(1,(IF(BU1245="L1",Parameter!$E$5,Parameter!$E$6+Parameter!$E$7)-(AZ1245-AV1245))/AV1245)))</f>
        <v>1</v>
      </c>
      <c r="BB1245" s="55" t="str">
        <f aca="false">IF(AF1245&lt;=0,"",IF(BU1245="Aussen","Aussenlager",IF(BU1245="-","Nicht im Lift",IF(AK1245&gt;=1,"Lift",IF(AK1245&lt;=0,"Aussenlager","teilweise")))))</f>
        <v/>
      </c>
      <c r="BC1245" s="55" t="str">
        <f aca="false">IF(AN1245&lt;=0,"",IF(BU1245="Aussen","Aussenlager",IF(BU1245="-","Nicht im Lift",IF(AS1245&gt;=1,"Lift",IF(AS1245&lt;=0,"Aussenlager","teilweise")))))</f>
        <v>Lift</v>
      </c>
      <c r="BD1245" s="55" t="str">
        <f aca="false">IF(AV1245&lt;=0,"",IF(BU1245="Aussen","Aussenlager",IF(BU1245="-","Nicht im Lift",IF(BA1245&gt;=1,"Lift",IF(BA1245&lt;=0,"Aussenlager","teilweise")))))</f>
        <v>Lift</v>
      </c>
      <c r="BE1245" s="55" t="str">
        <f aca="false">IF(A1245="","",IF(BN1245=1,"Neu; ","")&amp;IF(AND(BN1245=0,BI1245&lt;0),"negativer Bestand (Export "&amp;BI1245&amp;"); ","")&amp;IF(I1245&lt;=0,"Kein Verbrauch; ","")&amp;IF(CD1245&gt;0,"Lift "&amp;U1245&amp;" lt. Liftbericht (Fach "&amp;V1245&amp;" Stk); ",IF(BR1245=1,"Lose – Fläche geschätzt; ",""))&amp;IF(G1245&gt;AP1245,"Überbestand "&amp;ROUND(G1245-AP1245,0)&amp;" Stk / CHF "&amp;ROUND((G1245-AP1245)*F1245,0)&amp;"; ","")&amp;IF(AND(BW1245=1,BX1245&lt;BY1245),"MAX &lt; MB+LG; ","")&amp;IF(AND(CC1245&gt;0,CB1245*10&gt;CC1245),"zu hoch für Tablar; ","")&amp;IF(AND(BN1245=0,OR(BW1245=1,Y1245&lt;&gt;"",S1245&lt;&gt;"",T1245&lt;&gt;"",Z1245&lt;&gt;"")),"manuell übersteuert; ","")&amp;IF(AND(BR1245=0,Q1245=0),"Gebinde unbekannt / Stellmass fehlt; ","")&amp;IF(AND(BR1245=0,N(T1245)&lt;=0,N(P1245)&lt;=0),"Menge pro Gebinde fehlt (Ist = 1 Gebinde); ","")&amp;BM1245)</f>
        <v>negativer Bestand (Export -14); Überbestand; Braucht es diesen Artikel ?</v>
      </c>
      <c r="BF1245" s="55"/>
      <c r="BG1245" s="55"/>
      <c r="BH1245" s="62"/>
      <c r="BI1245" s="57" t="n">
        <v>-14</v>
      </c>
      <c r="BJ1245" s="57" t="n">
        <v>67</v>
      </c>
      <c r="BK1245" s="56" t="n">
        <v>-715.12</v>
      </c>
      <c r="BL1245" s="57" t="n">
        <v>5</v>
      </c>
      <c r="BM1245" s="55" t="s">
        <v>2214</v>
      </c>
      <c r="BN1245" s="60" t="n">
        <v>0</v>
      </c>
      <c r="BO1245" s="60" t="n">
        <v>1245</v>
      </c>
      <c r="BP1245" s="55" t="str">
        <f aca="false">IF(S1245&lt;&gt;"",UPPER(TRIM(S1245)),IF(O1245="","LOSE",O1245))</f>
        <v>S63</v>
      </c>
      <c r="BQ1245" s="57" t="n">
        <f aca="false">IF(BP1245="LOSE",1,IF(N(T1245)&gt;0,T1245,IF(N(P1245)&gt;0,P1245,MAX(1,G1245))))</f>
        <v>71</v>
      </c>
      <c r="BR1245" s="60" t="n">
        <f aca="false">IF(BP1245="LOSE",1,0)</f>
        <v>0</v>
      </c>
      <c r="BS1245" s="59" t="n">
        <f aca="false">IF(BR1245=0,0,IF(N(R1245)&gt;0,R1245,IFERROR(VLOOKUP(D1245,Parameter!$A$35:$C$64,3,0)+0,0)))</f>
        <v>0</v>
      </c>
      <c r="BT1245" s="55" t="n">
        <f aca="false">IF(Y1245&lt;&gt;"",Y1245,X1245)</f>
        <v>2</v>
      </c>
      <c r="BU1245" s="55" t="str">
        <f aca="false">IF(BT1245=1,"L1",IF(OR(BT1245=2,BT1245=3),"L23",IF(BT1245="Aussen","Aussen","-")))</f>
        <v>L23</v>
      </c>
      <c r="BV1245" s="66" t="n">
        <f aca="false">IF(N(Z1245)&gt;0,Z1245,0)</f>
        <v>0</v>
      </c>
      <c r="BW1245" s="60" t="n">
        <f aca="false">IF(ISNUMBER(AC1245),1,0)</f>
        <v>0</v>
      </c>
      <c r="BX1245" s="57" t="n">
        <f aca="false">N(AC1245)</f>
        <v>0</v>
      </c>
      <c r="BY1245" s="57" t="n">
        <f aca="false">N(L1245)+N(M1245)</f>
        <v>5</v>
      </c>
      <c r="BZ1245" s="57" t="n">
        <f aca="false">ROUNDUP(G1245/BQ1245,0)</f>
        <v>0</v>
      </c>
      <c r="CA1245" s="57" t="n">
        <f aca="false">ROUNDUP(BX1245/BQ1245,0)</f>
        <v>0</v>
      </c>
      <c r="CB1245" s="60" t="n">
        <f aca="false">IF(BR1245=1,0,IFERROR(VLOOKUP(BP1245,'Gebinde-Kategorie'!$A$5:$M$45,5,0)+0,0))</f>
        <v>31</v>
      </c>
      <c r="CC1245" s="60" t="n">
        <f aca="false">IFERROR(IF(OR(BT1245=1,BT1245=2,BT1245=3),N(INDEX(Parameter!$I$5:$I$7,BT1245)),0),0)</f>
        <v>0</v>
      </c>
      <c r="CD1245" s="59" t="n">
        <f aca="false">IF(AND(Parameter!$B$21="Ja",ISNUMBER(U1245),N(V1245)&gt;0),IFERROR(N(INDEX(Parameter!$L$5:$L$7,U1245))*INDEX(Parameter!$E$5:$E$7,U1245)*V1245/SUMIFS($V$7:$V$1576,$U$7:$U$1576,U1245),0),0)</f>
        <v>0</v>
      </c>
    </row>
    <row r="1246" customFormat="false" ht="15" hidden="false" customHeight="false" outlineLevel="0" collapsed="false">
      <c r="A1246" s="55" t="s">
        <v>2215</v>
      </c>
      <c r="B1246" s="55" t="s">
        <v>2216</v>
      </c>
      <c r="C1246" s="55" t="s">
        <v>446</v>
      </c>
      <c r="D1246" s="55" t="s">
        <v>168</v>
      </c>
      <c r="E1246" s="55" t="s">
        <v>210</v>
      </c>
      <c r="F1246" s="56" t="n">
        <v>72.6</v>
      </c>
      <c r="G1246" s="57" t="n">
        <f aca="false">MAX(0,IF(AND(Parameter!$B$21="Ja",ISNUMBER(W1246)),W1246,IF(Parameter!$B$20="Jahresanfang 2025 + Export",BJ1246+BI1246,BI1246)))</f>
        <v>0</v>
      </c>
      <c r="H1246" s="57" t="n">
        <f aca="false">G1246*F1246</f>
        <v>0</v>
      </c>
      <c r="I1246" s="57" t="n">
        <f aca="false">BL1246*Parameter!$B$18</f>
        <v>0</v>
      </c>
      <c r="J1246" s="58" t="n">
        <v>5</v>
      </c>
      <c r="K1246" s="59" t="n">
        <v>0</v>
      </c>
      <c r="L1246" s="57" t="n">
        <v>0</v>
      </c>
      <c r="M1246" s="57" t="n">
        <v>1</v>
      </c>
      <c r="N1246" s="60" t="n">
        <v>56</v>
      </c>
      <c r="O1246" s="55" t="s">
        <v>163</v>
      </c>
      <c r="P1246" s="57"/>
      <c r="Q1246" s="60" t="n">
        <f aca="false">IF(BR1246=1,0,IFERROR(VLOOKUP(BP1246,'Gebinde-Kategorie'!$A$5:$M$45,13,0)+0,0))</f>
        <v>0</v>
      </c>
      <c r="R1246" s="61"/>
      <c r="S1246" s="62"/>
      <c r="T1246" s="62"/>
      <c r="U1246" s="55"/>
      <c r="V1246" s="57"/>
      <c r="W1246" s="57"/>
      <c r="X1246" s="55" t="n">
        <f aca="false">IF(A1246="","",IF(AND(Parameter!$B$21="Ja",ISNUMBER(U1246)),U1246,IF(IFERROR(VLOOKUP(D1246,Parameter!$A$35:$C$64,2,0),"Nein")="2+3",IF(ISNUMBER(SEARCH("grosser Artikel",BM1246)),2,IFERROR(VLOOKUP(BP1246,Parameter!$F$35:$G$64,2,0),2)),IF(OR(IFERROR(VLOOKUP(D1246,Parameter!$A$35:$C$64,2,0),"Nein")="Nein",IFERROR(VLOOKUP(D1246,Parameter!$A$35:$C$64,2,0),"Nein")=""),"-",VLOOKUP(D1246,Parameter!$A$35:$C$64,2,0)))))</f>
        <v>2</v>
      </c>
      <c r="Y1246" s="62"/>
      <c r="Z1246" s="63"/>
      <c r="AA1246" s="57" t="n">
        <f aca="false">AP1246</f>
        <v>1</v>
      </c>
      <c r="AB1246" s="57" t="n">
        <f aca="false">MAX(AP1246,G1246)</f>
        <v>1</v>
      </c>
      <c r="AC1246" s="64"/>
      <c r="AD1246" s="57" t="n">
        <f aca="false">IF(LEFT(Cockpit!$C$5,1)="A",G1246,IF(BW1246=1,BX1246,IF(LEFT(Cockpit!$C$5,1)="B",AH1246,MAX(AH1246,G1246))))</f>
        <v>0</v>
      </c>
      <c r="AE1246" s="57" t="n">
        <f aca="false">IF(BR1246=1,0,ROUNDUP(AD1246/BQ1246,0))</f>
        <v>0</v>
      </c>
      <c r="AF1246" s="59" t="n">
        <f aca="false">IF(CD1246&gt;0,CD1246*MAX(1,AD1246/V1246),IF(BR1246=1,IF(AD1246&lt;=0,0,BS1246*MAX(1,IF(G1246&gt;0,AD1246/G1246,1))),IF(Q1246&gt;0,AE1246/Q1246,0))/MAX(0.1,N(Parameter!$M$21)))</f>
        <v>0</v>
      </c>
      <c r="AG1246" s="57" t="n">
        <f aca="false">AD1246*F1246</f>
        <v>0</v>
      </c>
      <c r="AH1246" s="57" t="n">
        <f aca="false">ROUNDUP(MAX(I1246/IF(BV1246&gt;0,BV1246,MAX(0.1,N(Cockpit!$C$6))),BY1246)/BQ1246,0)*BQ1246</f>
        <v>1</v>
      </c>
      <c r="AI1246" s="58" t="n">
        <f aca="false">IF(AF1246&gt;0,I1246/AF1246,-1)</f>
        <v>-1</v>
      </c>
      <c r="AJ1246" s="58" t="str">
        <f aca="false">IF(AND(OR(BU1246="L1",BU1246="L23"),AF1246&gt;0),SUMIFS($AF$7:$AF$1576,$BU$7:$BU$1576,BU1246,$AI$7:$AI$1576,"&gt;"&amp;AI1246)+SUMIFS($AF$7:$AF$1576,$BU$7:$BU$1576,BU1246,$AI$7:$AI$1576,AI1246,$BO$7:$BO$1576,"&lt;="&amp;BO1246),"")</f>
        <v/>
      </c>
      <c r="AK1246" s="65" t="n">
        <f aca="false">IF(AJ1246="",0,MAX(0,MIN(1,(IF(BU1246="L1",Parameter!$E$5,Parameter!$E$6+Parameter!$E$7)-(AJ1246-AF1246))/AF1246)))</f>
        <v>0</v>
      </c>
      <c r="AL1246" s="57" t="n">
        <f aca="false">IF(LEFT(Cockpit!$I$5,1)="A",G1246,IF(BW1246=1,BX1246,IF(LEFT(Cockpit!$I$5,1)="B",AP1246,MAX(AP1246,G1246))))</f>
        <v>1</v>
      </c>
      <c r="AM1246" s="57" t="n">
        <f aca="false">IF(BR1246=1,0,ROUNDUP(AL1246/BQ1246,0))</f>
        <v>0</v>
      </c>
      <c r="AN1246" s="59" t="n">
        <f aca="false">IF(CD1246&gt;0,CD1246*MAX(1,AL1246/V1246),IF(BR1246=1,IF(AL1246&lt;=0,0,BS1246*MAX(1,IF(G1246&gt;0,AL1246/G1246,1))),IF(Q1246&gt;0,AM1246/Q1246,0))/MAX(0.1,N(Parameter!$M$21)))</f>
        <v>0.15</v>
      </c>
      <c r="AO1246" s="57" t="n">
        <f aca="false">AL1246*F1246</f>
        <v>72.6</v>
      </c>
      <c r="AP1246" s="57" t="n">
        <f aca="false">ROUNDUP(MAX(I1246/IF(BV1246&gt;0,BV1246,MAX(0.1,N(Cockpit!$I$6))),BY1246)/BQ1246,0)*BQ1246</f>
        <v>1</v>
      </c>
      <c r="AQ1246" s="58" t="n">
        <f aca="false">IF(AN1246&gt;0,I1246/AN1246,-1)</f>
        <v>0</v>
      </c>
      <c r="AR1246" s="58" t="n">
        <f aca="false">IF(AND(OR(BU1246="L1",BU1246="L23"),AN1246&gt;0),SUMIFS($AN$7:$AN$1576,$BU$7:$BU$1576,BU1246,$AQ$7:$AQ$1576,"&gt;"&amp;AQ1246)+SUMIFS($AN$7:$AN$1576,$BU$7:$BU$1576,BU1246,$AQ$7:$AQ$1576,AQ1246,$BO$7:$BO$1576,"&lt;="&amp;BO1246),"")</f>
        <v>137.018178850183</v>
      </c>
      <c r="AS1246" s="65" t="n">
        <f aca="false">IF(AR1246="",0,MAX(0,MIN(1,(IF(BU1246="L1",Parameter!$E$5,Parameter!$E$6+Parameter!$E$7)-(AR1246-AN1246))/AN1246)))</f>
        <v>0</v>
      </c>
      <c r="AT1246" s="57" t="n">
        <f aca="false">IF(LEFT(Cockpit!$O$5,1)="A",G1246,IF(BW1246=1,BX1246,IF(LEFT(Cockpit!$O$5,1)="B",AX1246,MAX(AX1246,G1246))))</f>
        <v>1</v>
      </c>
      <c r="AU1246" s="57" t="n">
        <f aca="false">IF(BR1246=1,0,ROUNDUP(AT1246/BQ1246,0))</f>
        <v>0</v>
      </c>
      <c r="AV1246" s="59" t="n">
        <f aca="false">IF(CD1246&gt;0,CD1246*MAX(1,AT1246/V1246),IF(BR1246=1,IF(AT1246&lt;=0,0,BS1246*MAX(1,IF(G1246&gt;0,AT1246/G1246,1))),IF(Q1246&gt;0,AU1246/Q1246,0))/MAX(0.1,N(Parameter!$M$21)))</f>
        <v>0.15</v>
      </c>
      <c r="AW1246" s="57" t="n">
        <f aca="false">AT1246*F1246</f>
        <v>72.6</v>
      </c>
      <c r="AX1246" s="57" t="n">
        <f aca="false">ROUNDUP(MAX(I1246/IF(BV1246&gt;0,BV1246,MAX(0.1,N(Cockpit!$O$6))),BY1246)/BQ1246,0)*BQ1246</f>
        <v>1</v>
      </c>
      <c r="AY1246" s="58" t="n">
        <f aca="false">IF(AV1246&gt;0,I1246/AV1246,-1)</f>
        <v>0</v>
      </c>
      <c r="AZ1246" s="58" t="n">
        <f aca="false">IF(AND(OR(BU1246="L1",BU1246="L23"),AV1246&gt;0),SUMIFS($AV$7:$AV$1576,$BU$7:$BU$1576,BU1246,$AY$7:$AY$1576,"&gt;"&amp;AY1246)+SUMIFS($AV$7:$AV$1576,$BU$7:$BU$1576,BU1246,$AY$7:$AY$1576,AY1246,$BO$7:$BO$1576,"&lt;="&amp;BO1246),"")</f>
        <v>127.077729299733</v>
      </c>
      <c r="BA1246" s="65" t="n">
        <f aca="false">IF(AZ1246="",0,MAX(0,MIN(1,(IF(BU1246="L1",Parameter!$E$5,Parameter!$E$6+Parameter!$E$7)-(AZ1246-AV1246))/AV1246)))</f>
        <v>0</v>
      </c>
      <c r="BB1246" s="55" t="str">
        <f aca="false">IF(AF1246&lt;=0,"",IF(BU1246="Aussen","Aussenlager",IF(BU1246="-","Nicht im Lift",IF(AK1246&gt;=1,"Lift",IF(AK1246&lt;=0,"Aussenlager","teilweise")))))</f>
        <v/>
      </c>
      <c r="BC1246" s="55" t="str">
        <f aca="false">IF(AN1246&lt;=0,"",IF(BU1246="Aussen","Aussenlager",IF(BU1246="-","Nicht im Lift",IF(AS1246&gt;=1,"Lift",IF(AS1246&lt;=0,"Aussenlager","teilweise")))))</f>
        <v>Aussenlager</v>
      </c>
      <c r="BD1246" s="55" t="str">
        <f aca="false">IF(AV1246&lt;=0,"",IF(BU1246="Aussen","Aussenlager",IF(BU1246="-","Nicht im Lift",IF(BA1246&gt;=1,"Lift",IF(BA1246&lt;=0,"Aussenlager","teilweise")))))</f>
        <v>Aussenlager</v>
      </c>
      <c r="BE1246" s="55" t="str">
        <f aca="false">IF(A1246="","",IF(BN1246=1,"Neu; ","")&amp;IF(AND(BN1246=0,BI1246&lt;0),"negativer Bestand (Export "&amp;BI1246&amp;"); ","")&amp;IF(I1246&lt;=0,"Kein Verbrauch; ","")&amp;IF(CD1246&gt;0,"Lift "&amp;U1246&amp;" lt. Liftbericht (Fach "&amp;V1246&amp;" Stk); ",IF(BR1246=1,"Lose – Fläche geschätzt; ",""))&amp;IF(G1246&gt;AP1246,"Überbestand "&amp;ROUND(G1246-AP1246,0)&amp;" Stk / CHF "&amp;ROUND((G1246-AP1246)*F1246,0)&amp;"; ","")&amp;IF(AND(BW1246=1,BX1246&lt;BY1246),"MAX &lt; MB+LG; ","")&amp;IF(AND(CC1246&gt;0,CB1246*10&gt;CC1246),"zu hoch für Tablar; ","")&amp;IF(AND(BN1246=0,OR(BW1246=1,Y1246&lt;&gt;"",S1246&lt;&gt;"",T1246&lt;&gt;"",Z1246&lt;&gt;"")),"manuell übersteuert; ","")&amp;IF(AND(BR1246=0,Q1246=0),"Gebinde unbekannt / Stellmass fehlt; ","")&amp;IF(AND(BR1246=0,N(T1246)&lt;=0,N(P1246)&lt;=0),"Menge pro Gebinde fehlt (Ist = 1 Gebinde); ","")&amp;BM1246)</f>
        <v>negativer Bestand (Export -10); Kein Verbrauch; Lose – Fläche geschätzt; Neu</v>
      </c>
      <c r="BF1246" s="55"/>
      <c r="BG1246" s="55"/>
      <c r="BH1246" s="62"/>
      <c r="BI1246" s="57" t="n">
        <v>-10</v>
      </c>
      <c r="BJ1246" s="57" t="n">
        <v>10</v>
      </c>
      <c r="BK1246" s="56" t="n">
        <v>-726</v>
      </c>
      <c r="BL1246" s="57" t="n">
        <v>0</v>
      </c>
      <c r="BM1246" s="55" t="s">
        <v>615</v>
      </c>
      <c r="BN1246" s="60" t="n">
        <v>0</v>
      </c>
      <c r="BO1246" s="60" t="n">
        <v>1246</v>
      </c>
      <c r="BP1246" s="55" t="str">
        <f aca="false">IF(S1246&lt;&gt;"",UPPER(TRIM(S1246)),IF(O1246="","LOSE",O1246))</f>
        <v>LOSE</v>
      </c>
      <c r="BQ1246" s="57" t="n">
        <f aca="false">IF(BP1246="LOSE",1,IF(N(T1246)&gt;0,T1246,IF(N(P1246)&gt;0,P1246,MAX(1,G1246))))</f>
        <v>1</v>
      </c>
      <c r="BR1246" s="60" t="n">
        <f aca="false">IF(BP1246="LOSE",1,0)</f>
        <v>1</v>
      </c>
      <c r="BS1246" s="59" t="n">
        <f aca="false">IF(BR1246=0,0,IF(N(R1246)&gt;0,R1246,IFERROR(VLOOKUP(D1246,Parameter!$A$35:$C$64,3,0)+0,0)))</f>
        <v>0.15</v>
      </c>
      <c r="BT1246" s="55" t="n">
        <f aca="false">IF(Y1246&lt;&gt;"",Y1246,X1246)</f>
        <v>2</v>
      </c>
      <c r="BU1246" s="55" t="str">
        <f aca="false">IF(BT1246=1,"L1",IF(OR(BT1246=2,BT1246=3),"L23",IF(BT1246="Aussen","Aussen","-")))</f>
        <v>L23</v>
      </c>
      <c r="BV1246" s="66" t="n">
        <f aca="false">IF(N(Z1246)&gt;0,Z1246,0)</f>
        <v>0</v>
      </c>
      <c r="BW1246" s="60" t="n">
        <f aca="false">IF(ISNUMBER(AC1246),1,0)</f>
        <v>0</v>
      </c>
      <c r="BX1246" s="57" t="n">
        <f aca="false">N(AC1246)</f>
        <v>0</v>
      </c>
      <c r="BY1246" s="57" t="n">
        <f aca="false">N(L1246)+N(M1246)</f>
        <v>1</v>
      </c>
      <c r="BZ1246" s="57" t="n">
        <f aca="false">ROUNDUP(G1246/BQ1246,0)</f>
        <v>0</v>
      </c>
      <c r="CA1246" s="57" t="n">
        <f aca="false">ROUNDUP(BX1246/BQ1246,0)</f>
        <v>0</v>
      </c>
      <c r="CB1246" s="60" t="n">
        <f aca="false">IF(BR1246=1,0,IFERROR(VLOOKUP(BP1246,'Gebinde-Kategorie'!$A$5:$M$45,5,0)+0,0))</f>
        <v>0</v>
      </c>
      <c r="CC1246" s="60" t="n">
        <f aca="false">IFERROR(IF(OR(BT1246=1,BT1246=2,BT1246=3),N(INDEX(Parameter!$I$5:$I$7,BT1246)),0),0)</f>
        <v>0</v>
      </c>
      <c r="CD1246" s="59" t="n">
        <f aca="false">IF(AND(Parameter!$B$21="Ja",ISNUMBER(U1246),N(V1246)&gt;0),IFERROR(N(INDEX(Parameter!$L$5:$L$7,U1246))*INDEX(Parameter!$E$5:$E$7,U1246)*V1246/SUMIFS($V$7:$V$1576,$U$7:$U$1576,U1246),0),0)</f>
        <v>0</v>
      </c>
    </row>
    <row r="1247" customFormat="false" ht="15" hidden="false" customHeight="false" outlineLevel="0" collapsed="false">
      <c r="A1247" s="55" t="s">
        <v>2217</v>
      </c>
      <c r="B1247" s="55" t="s">
        <v>2218</v>
      </c>
      <c r="C1247" s="55" t="s">
        <v>160</v>
      </c>
      <c r="D1247" s="55" t="s">
        <v>178</v>
      </c>
      <c r="E1247" s="55" t="s">
        <v>210</v>
      </c>
      <c r="F1247" s="56" t="n">
        <v>731.7</v>
      </c>
      <c r="G1247" s="57" t="n">
        <f aca="false">MAX(0,IF(AND(Parameter!$B$21="Ja",ISNUMBER(W1247)),W1247,IF(Parameter!$B$20="Jahresanfang 2025 + Export",BJ1247+BI1247,BI1247)))</f>
        <v>0</v>
      </c>
      <c r="H1247" s="57" t="n">
        <f aca="false">G1247*F1247</f>
        <v>0</v>
      </c>
      <c r="I1247" s="57" t="n">
        <f aca="false">BL1247*Parameter!$B$18</f>
        <v>0</v>
      </c>
      <c r="J1247" s="58" t="n">
        <v>5</v>
      </c>
      <c r="K1247" s="59" t="n">
        <v>0</v>
      </c>
      <c r="L1247" s="57" t="n">
        <v>0</v>
      </c>
      <c r="M1247" s="57" t="n">
        <v>1</v>
      </c>
      <c r="N1247" s="60" t="n">
        <v>14</v>
      </c>
      <c r="O1247" s="55" t="s">
        <v>225</v>
      </c>
      <c r="P1247" s="57" t="n">
        <v>4</v>
      </c>
      <c r="Q1247" s="60" t="n">
        <f aca="false">IF(BR1247=1,0,IFERROR(VLOOKUP(BP1247,'Gebinde-Kategorie'!$A$5:$M$45,13,0)+0,0))</f>
        <v>26</v>
      </c>
      <c r="R1247" s="61"/>
      <c r="S1247" s="62"/>
      <c r="T1247" s="62"/>
      <c r="U1247" s="55"/>
      <c r="V1247" s="57"/>
      <c r="W1247" s="57"/>
      <c r="X1247" s="55" t="n">
        <f aca="false">IF(A1247="","",IF(AND(Parameter!$B$21="Ja",ISNUMBER(U1247)),U1247,IF(IFERROR(VLOOKUP(D1247,Parameter!$A$35:$C$64,2,0),"Nein")="2+3",IF(ISNUMBER(SEARCH("grosser Artikel",BM1247)),2,IFERROR(VLOOKUP(BP1247,Parameter!$F$35:$G$64,2,0),2)),IF(OR(IFERROR(VLOOKUP(D1247,Parameter!$A$35:$C$64,2,0),"Nein")="Nein",IFERROR(VLOOKUP(D1247,Parameter!$A$35:$C$64,2,0),"Nein")=""),"-",VLOOKUP(D1247,Parameter!$A$35:$C$64,2,0)))))</f>
        <v>3</v>
      </c>
      <c r="Y1247" s="62"/>
      <c r="Z1247" s="63"/>
      <c r="AA1247" s="57" t="n">
        <f aca="false">AP1247</f>
        <v>4</v>
      </c>
      <c r="AB1247" s="57" t="n">
        <f aca="false">MAX(AP1247,G1247)</f>
        <v>4</v>
      </c>
      <c r="AC1247" s="64"/>
      <c r="AD1247" s="57" t="n">
        <f aca="false">IF(LEFT(Cockpit!$C$5,1)="A",G1247,IF(BW1247=1,BX1247,IF(LEFT(Cockpit!$C$5,1)="B",AH1247,MAX(AH1247,G1247))))</f>
        <v>0</v>
      </c>
      <c r="AE1247" s="57" t="n">
        <f aca="false">IF(BR1247=1,0,ROUNDUP(AD1247/BQ1247,0))</f>
        <v>0</v>
      </c>
      <c r="AF1247" s="59" t="n">
        <f aca="false">IF(CD1247&gt;0,CD1247*MAX(1,AD1247/V1247),IF(BR1247=1,IF(AD1247&lt;=0,0,BS1247*MAX(1,IF(G1247&gt;0,AD1247/G1247,1))),IF(Q1247&gt;0,AE1247/Q1247,0))/MAX(0.1,N(Parameter!$M$21)))</f>
        <v>0</v>
      </c>
      <c r="AG1247" s="57" t="n">
        <f aca="false">AD1247*F1247</f>
        <v>0</v>
      </c>
      <c r="AH1247" s="57" t="n">
        <f aca="false">ROUNDUP(MAX(I1247/IF(BV1247&gt;0,BV1247,MAX(0.1,N(Cockpit!$C$6))),BY1247)/BQ1247,0)*BQ1247</f>
        <v>4</v>
      </c>
      <c r="AI1247" s="58" t="n">
        <f aca="false">IF(AF1247&gt;0,I1247/AF1247,-1)</f>
        <v>-1</v>
      </c>
      <c r="AJ1247" s="58" t="str">
        <f aca="false">IF(AND(OR(BU1247="L1",BU1247="L23"),AF1247&gt;0),SUMIFS($AF$7:$AF$1576,$BU$7:$BU$1576,BU1247,$AI$7:$AI$1576,"&gt;"&amp;AI1247)+SUMIFS($AF$7:$AF$1576,$BU$7:$BU$1576,BU1247,$AI$7:$AI$1576,AI1247,$BO$7:$BO$1576,"&lt;="&amp;BO1247),"")</f>
        <v/>
      </c>
      <c r="AK1247" s="65" t="n">
        <f aca="false">IF(AJ1247="",0,MAX(0,MIN(1,(IF(BU1247="L1",Parameter!$E$5,Parameter!$E$6+Parameter!$E$7)-(AJ1247-AF1247))/AF1247)))</f>
        <v>0</v>
      </c>
      <c r="AL1247" s="57" t="n">
        <f aca="false">IF(LEFT(Cockpit!$I$5,1)="A",G1247,IF(BW1247=1,BX1247,IF(LEFT(Cockpit!$I$5,1)="B",AP1247,MAX(AP1247,G1247))))</f>
        <v>4</v>
      </c>
      <c r="AM1247" s="57" t="n">
        <f aca="false">IF(BR1247=1,0,ROUNDUP(AL1247/BQ1247,0))</f>
        <v>1</v>
      </c>
      <c r="AN1247" s="59" t="n">
        <f aca="false">IF(CD1247&gt;0,CD1247*MAX(1,AL1247/V1247),IF(BR1247=1,IF(AL1247&lt;=0,0,BS1247*MAX(1,IF(G1247&gt;0,AL1247/G1247,1))),IF(Q1247&gt;0,AM1247/Q1247,0))/MAX(0.1,N(Parameter!$M$21)))</f>
        <v>0.0384615384615385</v>
      </c>
      <c r="AO1247" s="57" t="n">
        <f aca="false">AL1247*F1247</f>
        <v>2926.8</v>
      </c>
      <c r="AP1247" s="57" t="n">
        <f aca="false">ROUNDUP(MAX(I1247/IF(BV1247&gt;0,BV1247,MAX(0.1,N(Cockpit!$I$6))),BY1247)/BQ1247,0)*BQ1247</f>
        <v>4</v>
      </c>
      <c r="AQ1247" s="58" t="n">
        <f aca="false">IF(AN1247&gt;0,I1247/AN1247,-1)</f>
        <v>0</v>
      </c>
      <c r="AR1247" s="58" t="n">
        <f aca="false">IF(AND(OR(BU1247="L1",BU1247="L23"),AN1247&gt;0),SUMIFS($AN$7:$AN$1576,$BU$7:$BU$1576,BU1247,$AQ$7:$AQ$1576,"&gt;"&amp;AQ1247)+SUMIFS($AN$7:$AN$1576,$BU$7:$BU$1576,BU1247,$AQ$7:$AQ$1576,AQ1247,$BO$7:$BO$1576,"&lt;="&amp;BO1247),"")</f>
        <v>137.056640388644</v>
      </c>
      <c r="AS1247" s="65" t="n">
        <f aca="false">IF(AR1247="",0,MAX(0,MIN(1,(IF(BU1247="L1",Parameter!$E$5,Parameter!$E$6+Parameter!$E$7)-(AR1247-AN1247))/AN1247)))</f>
        <v>0</v>
      </c>
      <c r="AT1247" s="57" t="n">
        <f aca="false">IF(LEFT(Cockpit!$O$5,1)="A",G1247,IF(BW1247=1,BX1247,IF(LEFT(Cockpit!$O$5,1)="B",AX1247,MAX(AX1247,G1247))))</f>
        <v>4</v>
      </c>
      <c r="AU1247" s="57" t="n">
        <f aca="false">IF(BR1247=1,0,ROUNDUP(AT1247/BQ1247,0))</f>
        <v>1</v>
      </c>
      <c r="AV1247" s="59" t="n">
        <f aca="false">IF(CD1247&gt;0,CD1247*MAX(1,AT1247/V1247),IF(BR1247=1,IF(AT1247&lt;=0,0,BS1247*MAX(1,IF(G1247&gt;0,AT1247/G1247,1))),IF(Q1247&gt;0,AU1247/Q1247,0))/MAX(0.1,N(Parameter!$M$21)))</f>
        <v>0.0384615384615385</v>
      </c>
      <c r="AW1247" s="57" t="n">
        <f aca="false">AT1247*F1247</f>
        <v>2926.8</v>
      </c>
      <c r="AX1247" s="57" t="n">
        <f aca="false">ROUNDUP(MAX(I1247/IF(BV1247&gt;0,BV1247,MAX(0.1,N(Cockpit!$O$6))),BY1247)/BQ1247,0)*BQ1247</f>
        <v>4</v>
      </c>
      <c r="AY1247" s="58" t="n">
        <f aca="false">IF(AV1247&gt;0,I1247/AV1247,-1)</f>
        <v>0</v>
      </c>
      <c r="AZ1247" s="58" t="n">
        <f aca="false">IF(AND(OR(BU1247="L1",BU1247="L23"),AV1247&gt;0),SUMIFS($AV$7:$AV$1576,$BU$7:$BU$1576,BU1247,$AY$7:$AY$1576,"&gt;"&amp;AY1247)+SUMIFS($AV$7:$AV$1576,$BU$7:$BU$1576,BU1247,$AY$7:$AY$1576,AY1247,$BO$7:$BO$1576,"&lt;="&amp;BO1247),"")</f>
        <v>127.116190838195</v>
      </c>
      <c r="BA1247" s="65" t="n">
        <f aca="false">IF(AZ1247="",0,MAX(0,MIN(1,(IF(BU1247="L1",Parameter!$E$5,Parameter!$E$6+Parameter!$E$7)-(AZ1247-AV1247))/AV1247)))</f>
        <v>0</v>
      </c>
      <c r="BB1247" s="55" t="str">
        <f aca="false">IF(AF1247&lt;=0,"",IF(BU1247="Aussen","Aussenlager",IF(BU1247="-","Nicht im Lift",IF(AK1247&gt;=1,"Lift",IF(AK1247&lt;=0,"Aussenlager","teilweise")))))</f>
        <v/>
      </c>
      <c r="BC1247" s="55" t="str">
        <f aca="false">IF(AN1247&lt;=0,"",IF(BU1247="Aussen","Aussenlager",IF(BU1247="-","Nicht im Lift",IF(AS1247&gt;=1,"Lift",IF(AS1247&lt;=0,"Aussenlager","teilweise")))))</f>
        <v>Aussenlager</v>
      </c>
      <c r="BD1247" s="55" t="str">
        <f aca="false">IF(AV1247&lt;=0,"",IF(BU1247="Aussen","Aussenlager",IF(BU1247="-","Nicht im Lift",IF(BA1247&gt;=1,"Lift",IF(BA1247&lt;=0,"Aussenlager","teilweise")))))</f>
        <v>Aussenlager</v>
      </c>
      <c r="BE1247" s="55" t="str">
        <f aca="false">IF(A1247="","",IF(BN1247=1,"Neu; ","")&amp;IF(AND(BN1247=0,BI1247&lt;0),"negativer Bestand (Export "&amp;BI1247&amp;"); ","")&amp;IF(I1247&lt;=0,"Kein Verbrauch; ","")&amp;IF(CD1247&gt;0,"Lift "&amp;U1247&amp;" lt. Liftbericht (Fach "&amp;V1247&amp;" Stk); ",IF(BR1247=1,"Lose – Fläche geschätzt; ",""))&amp;IF(G1247&gt;AP1247,"Überbestand "&amp;ROUND(G1247-AP1247,0)&amp;" Stk / CHF "&amp;ROUND((G1247-AP1247)*F1247,0)&amp;"; ","")&amp;IF(AND(BW1247=1,BX1247&lt;BY1247),"MAX &lt; MB+LG; ","")&amp;IF(AND(CC1247&gt;0,CB1247*10&gt;CC1247),"zu hoch für Tablar; ","")&amp;IF(AND(BN1247=0,OR(BW1247=1,Y1247&lt;&gt;"",S1247&lt;&gt;"",T1247&lt;&gt;"",Z1247&lt;&gt;"")),"manuell übersteuert; ","")&amp;IF(AND(BR1247=0,Q1247=0),"Gebinde unbekannt / Stellmass fehlt; ","")&amp;IF(AND(BR1247=0,N(T1247)&lt;=0,N(P1247)&lt;=0),"Menge pro Gebinde fehlt (Ist = 1 Gebinde); ","")&amp;BM1247)</f>
        <v>negativer Bestand (Export -1); Kein Verbrauch; </v>
      </c>
      <c r="BF1247" s="55"/>
      <c r="BG1247" s="55"/>
      <c r="BH1247" s="62"/>
      <c r="BI1247" s="57" t="n">
        <v>-1</v>
      </c>
      <c r="BJ1247" s="57" t="n">
        <v>5</v>
      </c>
      <c r="BK1247" s="56" t="n">
        <v>-731.7</v>
      </c>
      <c r="BL1247" s="57" t="n">
        <v>0</v>
      </c>
      <c r="BM1247" s="55"/>
      <c r="BN1247" s="60" t="n">
        <v>0</v>
      </c>
      <c r="BO1247" s="60" t="n">
        <v>1247</v>
      </c>
      <c r="BP1247" s="55" t="str">
        <f aca="false">IF(S1247&lt;&gt;"",UPPER(TRIM(S1247)),IF(O1247="","LOSE",O1247))</f>
        <v>S52</v>
      </c>
      <c r="BQ1247" s="57" t="n">
        <f aca="false">IF(BP1247="LOSE",1,IF(N(T1247)&gt;0,T1247,IF(N(P1247)&gt;0,P1247,MAX(1,G1247))))</f>
        <v>4</v>
      </c>
      <c r="BR1247" s="60" t="n">
        <f aca="false">IF(BP1247="LOSE",1,0)</f>
        <v>0</v>
      </c>
      <c r="BS1247" s="59" t="n">
        <f aca="false">IF(BR1247=0,0,IF(N(R1247)&gt;0,R1247,IFERROR(VLOOKUP(D1247,Parameter!$A$35:$C$64,3,0)+0,0)))</f>
        <v>0</v>
      </c>
      <c r="BT1247" s="55" t="n">
        <f aca="false">IF(Y1247&lt;&gt;"",Y1247,X1247)</f>
        <v>3</v>
      </c>
      <c r="BU1247" s="55" t="str">
        <f aca="false">IF(BT1247=1,"L1",IF(OR(BT1247=2,BT1247=3),"L23",IF(BT1247="Aussen","Aussen","-")))</f>
        <v>L23</v>
      </c>
      <c r="BV1247" s="66" t="n">
        <f aca="false">IF(N(Z1247)&gt;0,Z1247,0)</f>
        <v>0</v>
      </c>
      <c r="BW1247" s="60" t="n">
        <f aca="false">IF(ISNUMBER(AC1247),1,0)</f>
        <v>0</v>
      </c>
      <c r="BX1247" s="57" t="n">
        <f aca="false">N(AC1247)</f>
        <v>0</v>
      </c>
      <c r="BY1247" s="57" t="n">
        <f aca="false">N(L1247)+N(M1247)</f>
        <v>1</v>
      </c>
      <c r="BZ1247" s="57" t="n">
        <f aca="false">ROUNDUP(G1247/BQ1247,0)</f>
        <v>0</v>
      </c>
      <c r="CA1247" s="57" t="n">
        <f aca="false">ROUNDUP(BX1247/BQ1247,0)</f>
        <v>0</v>
      </c>
      <c r="CB1247" s="60" t="n">
        <f aca="false">IF(BR1247=1,0,IFERROR(VLOOKUP(BP1247,'Gebinde-Kategorie'!$A$5:$M$45,5,0)+0,0))</f>
        <v>21</v>
      </c>
      <c r="CC1247" s="60" t="n">
        <f aca="false">IFERROR(IF(OR(BT1247=1,BT1247=2,BT1247=3),N(INDEX(Parameter!$I$5:$I$7,BT1247)),0),0)</f>
        <v>0</v>
      </c>
      <c r="CD1247" s="59" t="n">
        <f aca="false">IF(AND(Parameter!$B$21="Ja",ISNUMBER(U1247),N(V1247)&gt;0),IFERROR(N(INDEX(Parameter!$L$5:$L$7,U1247))*INDEX(Parameter!$E$5:$E$7,U1247)*V1247/SUMIFS($V$7:$V$1576,$U$7:$U$1576,U1247),0),0)</f>
        <v>0</v>
      </c>
    </row>
    <row r="1248" customFormat="false" ht="15" hidden="false" customHeight="false" outlineLevel="0" collapsed="false">
      <c r="A1248" s="55" t="s">
        <v>2219</v>
      </c>
      <c r="B1248" s="55" t="s">
        <v>1946</v>
      </c>
      <c r="C1248" s="55" t="s">
        <v>160</v>
      </c>
      <c r="D1248" s="55" t="s">
        <v>168</v>
      </c>
      <c r="E1248" s="55" t="s">
        <v>210</v>
      </c>
      <c r="F1248" s="56" t="n">
        <v>183.46</v>
      </c>
      <c r="G1248" s="57" t="n">
        <f aca="false">MAX(0,IF(AND(Parameter!$B$21="Ja",ISNUMBER(W1248)),W1248,IF(Parameter!$B$20="Jahresanfang 2025 + Export",BJ1248+BI1248,BI1248)))</f>
        <v>0</v>
      </c>
      <c r="H1248" s="57" t="n">
        <f aca="false">G1248*F1248</f>
        <v>0</v>
      </c>
      <c r="I1248" s="57" t="n">
        <f aca="false">BL1248*Parameter!$B$18</f>
        <v>67</v>
      </c>
      <c r="J1248" s="58" t="n">
        <v>18.5</v>
      </c>
      <c r="K1248" s="59" t="n">
        <v>3.62162162162162</v>
      </c>
      <c r="L1248" s="57" t="n">
        <v>10</v>
      </c>
      <c r="M1248" s="57" t="n">
        <v>30</v>
      </c>
      <c r="N1248" s="60" t="n">
        <v>44</v>
      </c>
      <c r="O1248" s="55" t="s">
        <v>169</v>
      </c>
      <c r="P1248" s="57" t="n">
        <v>18</v>
      </c>
      <c r="Q1248" s="60" t="n">
        <f aca="false">IF(BR1248=1,0,IFERROR(VLOOKUP(BP1248,'Gebinde-Kategorie'!$A$5:$M$45,13,0)+0,0))</f>
        <v>6</v>
      </c>
      <c r="R1248" s="61"/>
      <c r="S1248" s="62"/>
      <c r="T1248" s="62"/>
      <c r="U1248" s="55"/>
      <c r="V1248" s="57"/>
      <c r="W1248" s="57"/>
      <c r="X1248" s="55" t="n">
        <f aca="false">IF(A1248="","",IF(AND(Parameter!$B$21="Ja",ISNUMBER(U1248)),U1248,IF(IFERROR(VLOOKUP(D1248,Parameter!$A$35:$C$64,2,0),"Nein")="2+3",IF(ISNUMBER(SEARCH("grosser Artikel",BM1248)),2,IFERROR(VLOOKUP(BP1248,Parameter!$F$35:$G$64,2,0),2)),IF(OR(IFERROR(VLOOKUP(D1248,Parameter!$A$35:$C$64,2,0),"Nein")="Nein",IFERROR(VLOOKUP(D1248,Parameter!$A$35:$C$64,2,0),"Nein")=""),"-",VLOOKUP(D1248,Parameter!$A$35:$C$64,2,0)))))</f>
        <v>2</v>
      </c>
      <c r="Y1248" s="62"/>
      <c r="Z1248" s="63"/>
      <c r="AA1248" s="57" t="n">
        <f aca="false">AP1248</f>
        <v>54</v>
      </c>
      <c r="AB1248" s="57" t="n">
        <f aca="false">MAX(AP1248,G1248)</f>
        <v>54</v>
      </c>
      <c r="AC1248" s="64"/>
      <c r="AD1248" s="57" t="n">
        <f aca="false">IF(LEFT(Cockpit!$C$5,1)="A",G1248,IF(BW1248=1,BX1248,IF(LEFT(Cockpit!$C$5,1)="B",AH1248,MAX(AH1248,G1248))))</f>
        <v>0</v>
      </c>
      <c r="AE1248" s="57" t="n">
        <f aca="false">IF(BR1248=1,0,ROUNDUP(AD1248/BQ1248,0))</f>
        <v>0</v>
      </c>
      <c r="AF1248" s="59" t="n">
        <f aca="false">IF(CD1248&gt;0,CD1248*MAX(1,AD1248/V1248),IF(BR1248=1,IF(AD1248&lt;=0,0,BS1248*MAX(1,IF(G1248&gt;0,AD1248/G1248,1))),IF(Q1248&gt;0,AE1248/Q1248,0))/MAX(0.1,N(Parameter!$M$21)))</f>
        <v>0</v>
      </c>
      <c r="AG1248" s="57" t="n">
        <f aca="false">AD1248*F1248</f>
        <v>0</v>
      </c>
      <c r="AH1248" s="57" t="n">
        <f aca="false">ROUNDUP(MAX(I1248/IF(BV1248&gt;0,BV1248,MAX(0.1,N(Cockpit!$C$6))),BY1248)/BQ1248,0)*BQ1248</f>
        <v>54</v>
      </c>
      <c r="AI1248" s="58" t="n">
        <f aca="false">IF(AF1248&gt;0,I1248/AF1248,-1)</f>
        <v>-1</v>
      </c>
      <c r="AJ1248" s="58" t="str">
        <f aca="false">IF(AND(OR(BU1248="L1",BU1248="L23"),AF1248&gt;0),SUMIFS($AF$7:$AF$1576,$BU$7:$BU$1576,BU1248,$AI$7:$AI$1576,"&gt;"&amp;AI1248)+SUMIFS($AF$7:$AF$1576,$BU$7:$BU$1576,BU1248,$AI$7:$AI$1576,AI1248,$BO$7:$BO$1576,"&lt;="&amp;BO1248),"")</f>
        <v/>
      </c>
      <c r="AK1248" s="65" t="n">
        <f aca="false">IF(AJ1248="",0,MAX(0,MIN(1,(IF(BU1248="L1",Parameter!$E$5,Parameter!$E$6+Parameter!$E$7)-(AJ1248-AF1248))/AF1248)))</f>
        <v>0</v>
      </c>
      <c r="AL1248" s="57" t="n">
        <f aca="false">IF(LEFT(Cockpit!$I$5,1)="A",G1248,IF(BW1248=1,BX1248,IF(LEFT(Cockpit!$I$5,1)="B",AP1248,MAX(AP1248,G1248))))</f>
        <v>54</v>
      </c>
      <c r="AM1248" s="57" t="n">
        <f aca="false">IF(BR1248=1,0,ROUNDUP(AL1248/BQ1248,0))</f>
        <v>3</v>
      </c>
      <c r="AN1248" s="59" t="n">
        <f aca="false">IF(CD1248&gt;0,CD1248*MAX(1,AL1248/V1248),IF(BR1248=1,IF(AL1248&lt;=0,0,BS1248*MAX(1,IF(G1248&gt;0,AL1248/G1248,1))),IF(Q1248&gt;0,AM1248/Q1248,0))/MAX(0.1,N(Parameter!$M$21)))</f>
        <v>0.5</v>
      </c>
      <c r="AO1248" s="57" t="n">
        <f aca="false">AL1248*F1248</f>
        <v>9906.84</v>
      </c>
      <c r="AP1248" s="57" t="n">
        <f aca="false">ROUNDUP(MAX(I1248/IF(BV1248&gt;0,BV1248,MAX(0.1,N(Cockpit!$I$6))),BY1248)/BQ1248,0)*BQ1248</f>
        <v>54</v>
      </c>
      <c r="AQ1248" s="58" t="n">
        <f aca="false">IF(AN1248&gt;0,I1248/AN1248,-1)</f>
        <v>134</v>
      </c>
      <c r="AR1248" s="58" t="n">
        <f aca="false">IF(AND(OR(BU1248="L1",BU1248="L23"),AN1248&gt;0),SUMIFS($AN$7:$AN$1576,$BU$7:$BU$1576,BU1248,$AQ$7:$AQ$1576,"&gt;"&amp;AQ1248)+SUMIFS($AN$7:$AN$1576,$BU$7:$BU$1576,BU1248,$AQ$7:$AQ$1576,AQ1248,$BO$7:$BO$1576,"&lt;="&amp;BO1248),"")</f>
        <v>59.432223827235</v>
      </c>
      <c r="AS1248" s="65" t="n">
        <f aca="false">IF(AR1248="",0,MAX(0,MIN(1,(IF(BU1248="L1",Parameter!$E$5,Parameter!$E$6+Parameter!$E$7)-(AR1248-AN1248))/AN1248)))</f>
        <v>1</v>
      </c>
      <c r="AT1248" s="57" t="n">
        <f aca="false">IF(LEFT(Cockpit!$O$5,1)="A",G1248,IF(BW1248=1,BX1248,IF(LEFT(Cockpit!$O$5,1)="B",AX1248,MAX(AX1248,G1248))))</f>
        <v>54</v>
      </c>
      <c r="AU1248" s="57" t="n">
        <f aca="false">IF(BR1248=1,0,ROUNDUP(AT1248/BQ1248,0))</f>
        <v>3</v>
      </c>
      <c r="AV1248" s="59" t="n">
        <f aca="false">IF(CD1248&gt;0,CD1248*MAX(1,AT1248/V1248),IF(BR1248=1,IF(AT1248&lt;=0,0,BS1248*MAX(1,IF(G1248&gt;0,AT1248/G1248,1))),IF(Q1248&gt;0,AU1248/Q1248,0))/MAX(0.1,N(Parameter!$M$21)))</f>
        <v>0.5</v>
      </c>
      <c r="AW1248" s="57" t="n">
        <f aca="false">AT1248*F1248</f>
        <v>9906.84</v>
      </c>
      <c r="AX1248" s="57" t="n">
        <f aca="false">ROUNDUP(MAX(I1248/IF(BV1248&gt;0,BV1248,MAX(0.1,N(Cockpit!$O$6))),BY1248)/BQ1248,0)*BQ1248</f>
        <v>54</v>
      </c>
      <c r="AY1248" s="58" t="n">
        <f aca="false">IF(AV1248&gt;0,I1248/AV1248,-1)</f>
        <v>134</v>
      </c>
      <c r="AZ1248" s="58" t="n">
        <f aca="false">IF(AND(OR(BU1248="L1",BU1248="L23"),AV1248&gt;0),SUMIFS($AV$7:$AV$1576,$BU$7:$BU$1576,BU1248,$AY$7:$AY$1576,"&gt;"&amp;AY1248)+SUMIFS($AV$7:$AV$1576,$BU$7:$BU$1576,BU1248,$AY$7:$AY$1576,AY1248,$BO$7:$BO$1576,"&lt;="&amp;BO1248),"")</f>
        <v>54.0946909434521</v>
      </c>
      <c r="BA1248" s="65" t="n">
        <f aca="false">IF(AZ1248="",0,MAX(0,MIN(1,(IF(BU1248="L1",Parameter!$E$5,Parameter!$E$6+Parameter!$E$7)-(AZ1248-AV1248))/AV1248)))</f>
        <v>1</v>
      </c>
      <c r="BB1248" s="55" t="str">
        <f aca="false">IF(AF1248&lt;=0,"",IF(BU1248="Aussen","Aussenlager",IF(BU1248="-","Nicht im Lift",IF(AK1248&gt;=1,"Lift",IF(AK1248&lt;=0,"Aussenlager","teilweise")))))</f>
        <v/>
      </c>
      <c r="BC1248" s="55" t="str">
        <f aca="false">IF(AN1248&lt;=0,"",IF(BU1248="Aussen","Aussenlager",IF(BU1248="-","Nicht im Lift",IF(AS1248&gt;=1,"Lift",IF(AS1248&lt;=0,"Aussenlager","teilweise")))))</f>
        <v>Lift</v>
      </c>
      <c r="BD1248" s="55" t="str">
        <f aca="false">IF(AV1248&lt;=0,"",IF(BU1248="Aussen","Aussenlager",IF(BU1248="-","Nicht im Lift",IF(BA1248&gt;=1,"Lift",IF(BA1248&lt;=0,"Aussenlager","teilweise")))))</f>
        <v>Lift</v>
      </c>
      <c r="BE1248" s="55" t="str">
        <f aca="false">IF(A1248="","",IF(BN1248=1,"Neu; ","")&amp;IF(AND(BN1248=0,BI1248&lt;0),"negativer Bestand (Export "&amp;BI1248&amp;"); ","")&amp;IF(I1248&lt;=0,"Kein Verbrauch; ","")&amp;IF(CD1248&gt;0,"Lift "&amp;U1248&amp;" lt. Liftbericht (Fach "&amp;V1248&amp;" Stk); ",IF(BR1248=1,"Lose – Fläche geschätzt; ",""))&amp;IF(G1248&gt;AP1248,"Überbestand "&amp;ROUND(G1248-AP1248,0)&amp;" Stk / CHF "&amp;ROUND((G1248-AP1248)*F1248,0)&amp;"; ","")&amp;IF(AND(BW1248=1,BX1248&lt;BY1248),"MAX &lt; MB+LG; ","")&amp;IF(AND(CC1248&gt;0,CB1248*10&gt;CC1248),"zu hoch für Tablar; ","")&amp;IF(AND(BN1248=0,OR(BW1248=1,Y1248&lt;&gt;"",S1248&lt;&gt;"",T1248&lt;&gt;"",Z1248&lt;&gt;"")),"manuell übersteuert; ","")&amp;IF(AND(BR1248=0,Q1248=0),"Gebinde unbekannt / Stellmass fehlt; ","")&amp;IF(AND(BR1248=0,N(T1248)&lt;=0,N(P1248)&lt;=0),"Menge pro Gebinde fehlt (Ist = 1 Gebinde); ","")&amp;BM1248)</f>
        <v>negativer Bestand (Export -5); grosser Artikel &amp; nicht im KTL</v>
      </c>
      <c r="BF1248" s="55"/>
      <c r="BG1248" s="55"/>
      <c r="BH1248" s="62"/>
      <c r="BI1248" s="57" t="n">
        <v>-5</v>
      </c>
      <c r="BJ1248" s="57" t="n">
        <v>12</v>
      </c>
      <c r="BK1248" s="56" t="n">
        <v>-731.78</v>
      </c>
      <c r="BL1248" s="57" t="n">
        <v>67</v>
      </c>
      <c r="BM1248" s="55" t="s">
        <v>253</v>
      </c>
      <c r="BN1248" s="60" t="n">
        <v>0</v>
      </c>
      <c r="BO1248" s="60" t="n">
        <v>1248</v>
      </c>
      <c r="BP1248" s="55" t="str">
        <f aca="false">IF(S1248&lt;&gt;"",UPPER(TRIM(S1248)),IF(O1248="","LOSE",O1248))</f>
        <v>S71</v>
      </c>
      <c r="BQ1248" s="57" t="n">
        <f aca="false">IF(BP1248="LOSE",1,IF(N(T1248)&gt;0,T1248,IF(N(P1248)&gt;0,P1248,MAX(1,G1248))))</f>
        <v>18</v>
      </c>
      <c r="BR1248" s="60" t="n">
        <f aca="false">IF(BP1248="LOSE",1,0)</f>
        <v>0</v>
      </c>
      <c r="BS1248" s="59" t="n">
        <f aca="false">IF(BR1248=0,0,IF(N(R1248)&gt;0,R1248,IFERROR(VLOOKUP(D1248,Parameter!$A$35:$C$64,3,0)+0,0)))</f>
        <v>0</v>
      </c>
      <c r="BT1248" s="55" t="n">
        <f aca="false">IF(Y1248&lt;&gt;"",Y1248,X1248)</f>
        <v>2</v>
      </c>
      <c r="BU1248" s="55" t="str">
        <f aca="false">IF(BT1248=1,"L1",IF(OR(BT1248=2,BT1248=3),"L23",IF(BT1248="Aussen","Aussen","-")))</f>
        <v>L23</v>
      </c>
      <c r="BV1248" s="66" t="n">
        <f aca="false">IF(N(Z1248)&gt;0,Z1248,0)</f>
        <v>0</v>
      </c>
      <c r="BW1248" s="60" t="n">
        <f aca="false">IF(ISNUMBER(AC1248),1,0)</f>
        <v>0</v>
      </c>
      <c r="BX1248" s="57" t="n">
        <f aca="false">N(AC1248)</f>
        <v>0</v>
      </c>
      <c r="BY1248" s="57" t="n">
        <f aca="false">N(L1248)+N(M1248)</f>
        <v>40</v>
      </c>
      <c r="BZ1248" s="57" t="n">
        <f aca="false">ROUNDUP(G1248/BQ1248,0)</f>
        <v>0</v>
      </c>
      <c r="CA1248" s="57" t="n">
        <f aca="false">ROUNDUP(BX1248/BQ1248,0)</f>
        <v>0</v>
      </c>
      <c r="CB1248" s="60" t="n">
        <f aca="false">IF(BR1248=1,0,IFERROR(VLOOKUP(BP1248,'Gebinde-Kategorie'!$A$5:$M$45,5,0)+0,0))</f>
        <v>20</v>
      </c>
      <c r="CC1248" s="60" t="n">
        <f aca="false">IFERROR(IF(OR(BT1248=1,BT1248=2,BT1248=3),N(INDEX(Parameter!$I$5:$I$7,BT1248)),0),0)</f>
        <v>0</v>
      </c>
      <c r="CD1248" s="59" t="n">
        <f aca="false">IF(AND(Parameter!$B$21="Ja",ISNUMBER(U1248),N(V1248)&gt;0),IFERROR(N(INDEX(Parameter!$L$5:$L$7,U1248))*INDEX(Parameter!$E$5:$E$7,U1248)*V1248/SUMIFS($V$7:$V$1576,$U$7:$U$1576,U1248),0),0)</f>
        <v>0</v>
      </c>
    </row>
    <row r="1249" customFormat="false" ht="15" hidden="false" customHeight="false" outlineLevel="0" collapsed="false">
      <c r="A1249" s="55" t="s">
        <v>2220</v>
      </c>
      <c r="B1249" s="55" t="s">
        <v>2221</v>
      </c>
      <c r="C1249" s="55" t="s">
        <v>446</v>
      </c>
      <c r="D1249" s="55" t="s">
        <v>168</v>
      </c>
      <c r="E1249" s="55" t="s">
        <v>210</v>
      </c>
      <c r="F1249" s="56" t="n">
        <v>104.82</v>
      </c>
      <c r="G1249" s="57" t="n">
        <f aca="false">MAX(0,IF(AND(Parameter!$B$21="Ja",ISNUMBER(W1249)),W1249,IF(Parameter!$B$20="Jahresanfang 2025 + Export",BJ1249+BI1249,BI1249)))</f>
        <v>0</v>
      </c>
      <c r="H1249" s="57" t="n">
        <f aca="false">G1249*F1249</f>
        <v>0</v>
      </c>
      <c r="I1249" s="57" t="n">
        <f aca="false">BL1249*Parameter!$B$18</f>
        <v>0</v>
      </c>
      <c r="J1249" s="58" t="n">
        <v>3.5</v>
      </c>
      <c r="K1249" s="59" t="n">
        <v>0</v>
      </c>
      <c r="L1249" s="57" t="n">
        <v>0</v>
      </c>
      <c r="M1249" s="57" t="n">
        <v>1</v>
      </c>
      <c r="N1249" s="60" t="n">
        <v>56</v>
      </c>
      <c r="O1249" s="55" t="s">
        <v>163</v>
      </c>
      <c r="P1249" s="57"/>
      <c r="Q1249" s="60" t="n">
        <f aca="false">IF(BR1249=1,0,IFERROR(VLOOKUP(BP1249,'Gebinde-Kategorie'!$A$5:$M$45,13,0)+0,0))</f>
        <v>0</v>
      </c>
      <c r="R1249" s="61"/>
      <c r="S1249" s="62"/>
      <c r="T1249" s="62"/>
      <c r="U1249" s="55"/>
      <c r="V1249" s="57"/>
      <c r="W1249" s="57"/>
      <c r="X1249" s="55" t="n">
        <f aca="false">IF(A1249="","",IF(AND(Parameter!$B$21="Ja",ISNUMBER(U1249)),U1249,IF(IFERROR(VLOOKUP(D1249,Parameter!$A$35:$C$64,2,0),"Nein")="2+3",IF(ISNUMBER(SEARCH("grosser Artikel",BM1249)),2,IFERROR(VLOOKUP(BP1249,Parameter!$F$35:$G$64,2,0),2)),IF(OR(IFERROR(VLOOKUP(D1249,Parameter!$A$35:$C$64,2,0),"Nein")="Nein",IFERROR(VLOOKUP(D1249,Parameter!$A$35:$C$64,2,0),"Nein")=""),"-",VLOOKUP(D1249,Parameter!$A$35:$C$64,2,0)))))</f>
        <v>2</v>
      </c>
      <c r="Y1249" s="62"/>
      <c r="Z1249" s="63"/>
      <c r="AA1249" s="57" t="n">
        <f aca="false">AP1249</f>
        <v>1</v>
      </c>
      <c r="AB1249" s="57" t="n">
        <f aca="false">MAX(AP1249,G1249)</f>
        <v>1</v>
      </c>
      <c r="AC1249" s="64"/>
      <c r="AD1249" s="57" t="n">
        <f aca="false">IF(LEFT(Cockpit!$C$5,1)="A",G1249,IF(BW1249=1,BX1249,IF(LEFT(Cockpit!$C$5,1)="B",AH1249,MAX(AH1249,G1249))))</f>
        <v>0</v>
      </c>
      <c r="AE1249" s="57" t="n">
        <f aca="false">IF(BR1249=1,0,ROUNDUP(AD1249/BQ1249,0))</f>
        <v>0</v>
      </c>
      <c r="AF1249" s="59" t="n">
        <f aca="false">IF(CD1249&gt;0,CD1249*MAX(1,AD1249/V1249),IF(BR1249=1,IF(AD1249&lt;=0,0,BS1249*MAX(1,IF(G1249&gt;0,AD1249/G1249,1))),IF(Q1249&gt;0,AE1249/Q1249,0))/MAX(0.1,N(Parameter!$M$21)))</f>
        <v>0</v>
      </c>
      <c r="AG1249" s="57" t="n">
        <f aca="false">AD1249*F1249</f>
        <v>0</v>
      </c>
      <c r="AH1249" s="57" t="n">
        <f aca="false">ROUNDUP(MAX(I1249/IF(BV1249&gt;0,BV1249,MAX(0.1,N(Cockpit!$C$6))),BY1249)/BQ1249,0)*BQ1249</f>
        <v>1</v>
      </c>
      <c r="AI1249" s="58" t="n">
        <f aca="false">IF(AF1249&gt;0,I1249/AF1249,-1)</f>
        <v>-1</v>
      </c>
      <c r="AJ1249" s="58" t="str">
        <f aca="false">IF(AND(OR(BU1249="L1",BU1249="L23"),AF1249&gt;0),SUMIFS($AF$7:$AF$1576,$BU$7:$BU$1576,BU1249,$AI$7:$AI$1576,"&gt;"&amp;AI1249)+SUMIFS($AF$7:$AF$1576,$BU$7:$BU$1576,BU1249,$AI$7:$AI$1576,AI1249,$BO$7:$BO$1576,"&lt;="&amp;BO1249),"")</f>
        <v/>
      </c>
      <c r="AK1249" s="65" t="n">
        <f aca="false">IF(AJ1249="",0,MAX(0,MIN(1,(IF(BU1249="L1",Parameter!$E$5,Parameter!$E$6+Parameter!$E$7)-(AJ1249-AF1249))/AF1249)))</f>
        <v>0</v>
      </c>
      <c r="AL1249" s="57" t="n">
        <f aca="false">IF(LEFT(Cockpit!$I$5,1)="A",G1249,IF(BW1249=1,BX1249,IF(LEFT(Cockpit!$I$5,1)="B",AP1249,MAX(AP1249,G1249))))</f>
        <v>1</v>
      </c>
      <c r="AM1249" s="57" t="n">
        <f aca="false">IF(BR1249=1,0,ROUNDUP(AL1249/BQ1249,0))</f>
        <v>0</v>
      </c>
      <c r="AN1249" s="59" t="n">
        <f aca="false">IF(CD1249&gt;0,CD1249*MAX(1,AL1249/V1249),IF(BR1249=1,IF(AL1249&lt;=0,0,BS1249*MAX(1,IF(G1249&gt;0,AL1249/G1249,1))),IF(Q1249&gt;0,AM1249/Q1249,0))/MAX(0.1,N(Parameter!$M$21)))</f>
        <v>0.15</v>
      </c>
      <c r="AO1249" s="57" t="n">
        <f aca="false">AL1249*F1249</f>
        <v>104.82</v>
      </c>
      <c r="AP1249" s="57" t="n">
        <f aca="false">ROUNDUP(MAX(I1249/IF(BV1249&gt;0,BV1249,MAX(0.1,N(Cockpit!$I$6))),BY1249)/BQ1249,0)*BQ1249</f>
        <v>1</v>
      </c>
      <c r="AQ1249" s="58" t="n">
        <f aca="false">IF(AN1249&gt;0,I1249/AN1249,-1)</f>
        <v>0</v>
      </c>
      <c r="AR1249" s="58" t="n">
        <f aca="false">IF(AND(OR(BU1249="L1",BU1249="L23"),AN1249&gt;0),SUMIFS($AN$7:$AN$1576,$BU$7:$BU$1576,BU1249,$AQ$7:$AQ$1576,"&gt;"&amp;AQ1249)+SUMIFS($AN$7:$AN$1576,$BU$7:$BU$1576,BU1249,$AQ$7:$AQ$1576,AQ1249,$BO$7:$BO$1576,"&lt;="&amp;BO1249),"")</f>
        <v>137.206640388644</v>
      </c>
      <c r="AS1249" s="65" t="n">
        <f aca="false">IF(AR1249="",0,MAX(0,MIN(1,(IF(BU1249="L1",Parameter!$E$5,Parameter!$E$6+Parameter!$E$7)-(AR1249-AN1249))/AN1249)))</f>
        <v>0</v>
      </c>
      <c r="AT1249" s="57" t="n">
        <f aca="false">IF(LEFT(Cockpit!$O$5,1)="A",G1249,IF(BW1249=1,BX1249,IF(LEFT(Cockpit!$O$5,1)="B",AX1249,MAX(AX1249,G1249))))</f>
        <v>1</v>
      </c>
      <c r="AU1249" s="57" t="n">
        <f aca="false">IF(BR1249=1,0,ROUNDUP(AT1249/BQ1249,0))</f>
        <v>0</v>
      </c>
      <c r="AV1249" s="59" t="n">
        <f aca="false">IF(CD1249&gt;0,CD1249*MAX(1,AT1249/V1249),IF(BR1249=1,IF(AT1249&lt;=0,0,BS1249*MAX(1,IF(G1249&gt;0,AT1249/G1249,1))),IF(Q1249&gt;0,AU1249/Q1249,0))/MAX(0.1,N(Parameter!$M$21)))</f>
        <v>0.15</v>
      </c>
      <c r="AW1249" s="57" t="n">
        <f aca="false">AT1249*F1249</f>
        <v>104.82</v>
      </c>
      <c r="AX1249" s="57" t="n">
        <f aca="false">ROUNDUP(MAX(I1249/IF(BV1249&gt;0,BV1249,MAX(0.1,N(Cockpit!$O$6))),BY1249)/BQ1249,0)*BQ1249</f>
        <v>1</v>
      </c>
      <c r="AY1249" s="58" t="n">
        <f aca="false">IF(AV1249&gt;0,I1249/AV1249,-1)</f>
        <v>0</v>
      </c>
      <c r="AZ1249" s="58" t="n">
        <f aca="false">IF(AND(OR(BU1249="L1",BU1249="L23"),AV1249&gt;0),SUMIFS($AV$7:$AV$1576,$BU$7:$BU$1576,BU1249,$AY$7:$AY$1576,"&gt;"&amp;AY1249)+SUMIFS($AV$7:$AV$1576,$BU$7:$BU$1576,BU1249,$AY$7:$AY$1576,AY1249,$BO$7:$BO$1576,"&lt;="&amp;BO1249),"")</f>
        <v>127.266190838195</v>
      </c>
      <c r="BA1249" s="65" t="n">
        <f aca="false">IF(AZ1249="",0,MAX(0,MIN(1,(IF(BU1249="L1",Parameter!$E$5,Parameter!$E$6+Parameter!$E$7)-(AZ1249-AV1249))/AV1249)))</f>
        <v>0</v>
      </c>
      <c r="BB1249" s="55" t="str">
        <f aca="false">IF(AF1249&lt;=0,"",IF(BU1249="Aussen","Aussenlager",IF(BU1249="-","Nicht im Lift",IF(AK1249&gt;=1,"Lift",IF(AK1249&lt;=0,"Aussenlager","teilweise")))))</f>
        <v/>
      </c>
      <c r="BC1249" s="55" t="str">
        <f aca="false">IF(AN1249&lt;=0,"",IF(BU1249="Aussen","Aussenlager",IF(BU1249="-","Nicht im Lift",IF(AS1249&gt;=1,"Lift",IF(AS1249&lt;=0,"Aussenlager","teilweise")))))</f>
        <v>Aussenlager</v>
      </c>
      <c r="BD1249" s="55" t="str">
        <f aca="false">IF(AV1249&lt;=0,"",IF(BU1249="Aussen","Aussenlager",IF(BU1249="-","Nicht im Lift",IF(BA1249&gt;=1,"Lift",IF(BA1249&lt;=0,"Aussenlager","teilweise")))))</f>
        <v>Aussenlager</v>
      </c>
      <c r="BE1249" s="55" t="str">
        <f aca="false">IF(A1249="","",IF(BN1249=1,"Neu; ","")&amp;IF(AND(BN1249=0,BI1249&lt;0),"negativer Bestand (Export "&amp;BI1249&amp;"); ","")&amp;IF(I1249&lt;=0,"Kein Verbrauch; ","")&amp;IF(CD1249&gt;0,"Lift "&amp;U1249&amp;" lt. Liftbericht (Fach "&amp;V1249&amp;" Stk); ",IF(BR1249=1,"Lose – Fläche geschätzt; ",""))&amp;IF(G1249&gt;AP1249,"Überbestand "&amp;ROUND(G1249-AP1249,0)&amp;" Stk / CHF "&amp;ROUND((G1249-AP1249)*F1249,0)&amp;"; ","")&amp;IF(AND(BW1249=1,BX1249&lt;BY1249),"MAX &lt; MB+LG; ","")&amp;IF(AND(CC1249&gt;0,CB1249*10&gt;CC1249),"zu hoch für Tablar; ","")&amp;IF(AND(BN1249=0,OR(BW1249=1,Y1249&lt;&gt;"",S1249&lt;&gt;"",T1249&lt;&gt;"",Z1249&lt;&gt;"")),"manuell übersteuert; ","")&amp;IF(AND(BR1249=0,Q1249=0),"Gebinde unbekannt / Stellmass fehlt; ","")&amp;IF(AND(BR1249=0,N(T1249)&lt;=0,N(P1249)&lt;=0),"Menge pro Gebinde fehlt (Ist = 1 Gebinde); ","")&amp;BM1249)</f>
        <v>negativer Bestand (Export -7); Kein Verbrauch; Lose – Fläche geschätzt; Neuer Art.</v>
      </c>
      <c r="BF1249" s="55"/>
      <c r="BG1249" s="55"/>
      <c r="BH1249" s="62"/>
      <c r="BI1249" s="57" t="n">
        <v>-7</v>
      </c>
      <c r="BJ1249" s="57" t="n">
        <v>7</v>
      </c>
      <c r="BK1249" s="56" t="n">
        <v>-733.74</v>
      </c>
      <c r="BL1249" s="57" t="n">
        <v>0</v>
      </c>
      <c r="BM1249" s="55" t="s">
        <v>501</v>
      </c>
      <c r="BN1249" s="60" t="n">
        <v>0</v>
      </c>
      <c r="BO1249" s="60" t="n">
        <v>1249</v>
      </c>
      <c r="BP1249" s="55" t="str">
        <f aca="false">IF(S1249&lt;&gt;"",UPPER(TRIM(S1249)),IF(O1249="","LOSE",O1249))</f>
        <v>LOSE</v>
      </c>
      <c r="BQ1249" s="57" t="n">
        <f aca="false">IF(BP1249="LOSE",1,IF(N(T1249)&gt;0,T1249,IF(N(P1249)&gt;0,P1249,MAX(1,G1249))))</f>
        <v>1</v>
      </c>
      <c r="BR1249" s="60" t="n">
        <f aca="false">IF(BP1249="LOSE",1,0)</f>
        <v>1</v>
      </c>
      <c r="BS1249" s="59" t="n">
        <f aca="false">IF(BR1249=0,0,IF(N(R1249)&gt;0,R1249,IFERROR(VLOOKUP(D1249,Parameter!$A$35:$C$64,3,0)+0,0)))</f>
        <v>0.15</v>
      </c>
      <c r="BT1249" s="55" t="n">
        <f aca="false">IF(Y1249&lt;&gt;"",Y1249,X1249)</f>
        <v>2</v>
      </c>
      <c r="BU1249" s="55" t="str">
        <f aca="false">IF(BT1249=1,"L1",IF(OR(BT1249=2,BT1249=3),"L23",IF(BT1249="Aussen","Aussen","-")))</f>
        <v>L23</v>
      </c>
      <c r="BV1249" s="66" t="n">
        <f aca="false">IF(N(Z1249)&gt;0,Z1249,0)</f>
        <v>0</v>
      </c>
      <c r="BW1249" s="60" t="n">
        <f aca="false">IF(ISNUMBER(AC1249),1,0)</f>
        <v>0</v>
      </c>
      <c r="BX1249" s="57" t="n">
        <f aca="false">N(AC1249)</f>
        <v>0</v>
      </c>
      <c r="BY1249" s="57" t="n">
        <f aca="false">N(L1249)+N(M1249)</f>
        <v>1</v>
      </c>
      <c r="BZ1249" s="57" t="n">
        <f aca="false">ROUNDUP(G1249/BQ1249,0)</f>
        <v>0</v>
      </c>
      <c r="CA1249" s="57" t="n">
        <f aca="false">ROUNDUP(BX1249/BQ1249,0)</f>
        <v>0</v>
      </c>
      <c r="CB1249" s="60" t="n">
        <f aca="false">IF(BR1249=1,0,IFERROR(VLOOKUP(BP1249,'Gebinde-Kategorie'!$A$5:$M$45,5,0)+0,0))</f>
        <v>0</v>
      </c>
      <c r="CC1249" s="60" t="n">
        <f aca="false">IFERROR(IF(OR(BT1249=1,BT1249=2,BT1249=3),N(INDEX(Parameter!$I$5:$I$7,BT1249)),0),0)</f>
        <v>0</v>
      </c>
      <c r="CD1249" s="59" t="n">
        <f aca="false">IF(AND(Parameter!$B$21="Ja",ISNUMBER(U1249),N(V1249)&gt;0),IFERROR(N(INDEX(Parameter!$L$5:$L$7,U1249))*INDEX(Parameter!$E$5:$E$7,U1249)*V1249/SUMIFS($V$7:$V$1576,$U$7:$U$1576,U1249),0),0)</f>
        <v>0</v>
      </c>
    </row>
    <row r="1250" customFormat="false" ht="15" hidden="false" customHeight="false" outlineLevel="0" collapsed="false">
      <c r="A1250" s="55" t="s">
        <v>2222</v>
      </c>
      <c r="B1250" s="55" t="s">
        <v>2223</v>
      </c>
      <c r="C1250" s="55" t="s">
        <v>160</v>
      </c>
      <c r="D1250" s="55" t="s">
        <v>178</v>
      </c>
      <c r="E1250" s="55" t="s">
        <v>210</v>
      </c>
      <c r="F1250" s="56" t="n">
        <v>148.8</v>
      </c>
      <c r="G1250" s="57" t="n">
        <f aca="false">MAX(0,IF(AND(Parameter!$B$21="Ja",ISNUMBER(W1250)),W1250,IF(Parameter!$B$20="Jahresanfang 2025 + Export",BJ1250+BI1250,BI1250)))</f>
        <v>0</v>
      </c>
      <c r="H1250" s="57" t="n">
        <f aca="false">G1250*F1250</f>
        <v>0</v>
      </c>
      <c r="I1250" s="57" t="n">
        <f aca="false">BL1250*Parameter!$B$18</f>
        <v>29</v>
      </c>
      <c r="J1250" s="58" t="n">
        <v>19</v>
      </c>
      <c r="K1250" s="59" t="n">
        <v>1.52631578947368</v>
      </c>
      <c r="L1250" s="57" t="n">
        <v>3</v>
      </c>
      <c r="M1250" s="57" t="n">
        <v>20</v>
      </c>
      <c r="N1250" s="60" t="n">
        <v>31</v>
      </c>
      <c r="O1250" s="55" t="s">
        <v>465</v>
      </c>
      <c r="P1250" s="57" t="n">
        <v>37</v>
      </c>
      <c r="Q1250" s="60" t="n">
        <f aca="false">IF(BR1250=1,0,IFERROR(VLOOKUP(BP1250,'Gebinde-Kategorie'!$A$5:$M$45,13,0)+0,0))</f>
        <v>66</v>
      </c>
      <c r="R1250" s="61"/>
      <c r="S1250" s="62"/>
      <c r="T1250" s="62"/>
      <c r="U1250" s="55"/>
      <c r="V1250" s="57"/>
      <c r="W1250" s="57"/>
      <c r="X1250" s="55" t="n">
        <f aca="false">IF(A1250="","",IF(AND(Parameter!$B$21="Ja",ISNUMBER(U1250)),U1250,IF(IFERROR(VLOOKUP(D1250,Parameter!$A$35:$C$64,2,0),"Nein")="2+3",IF(ISNUMBER(SEARCH("grosser Artikel",BM1250)),2,IFERROR(VLOOKUP(BP1250,Parameter!$F$35:$G$64,2,0),2)),IF(OR(IFERROR(VLOOKUP(D1250,Parameter!$A$35:$C$64,2,0),"Nein")="Nein",IFERROR(VLOOKUP(D1250,Parameter!$A$35:$C$64,2,0),"Nein")=""),"-",VLOOKUP(D1250,Parameter!$A$35:$C$64,2,0)))))</f>
        <v>3</v>
      </c>
      <c r="Y1250" s="62"/>
      <c r="Z1250" s="63"/>
      <c r="AA1250" s="57" t="n">
        <f aca="false">AP1250</f>
        <v>37</v>
      </c>
      <c r="AB1250" s="57" t="n">
        <f aca="false">MAX(AP1250,G1250)</f>
        <v>37</v>
      </c>
      <c r="AC1250" s="64"/>
      <c r="AD1250" s="57" t="n">
        <f aca="false">IF(LEFT(Cockpit!$C$5,1)="A",G1250,IF(BW1250=1,BX1250,IF(LEFT(Cockpit!$C$5,1)="B",AH1250,MAX(AH1250,G1250))))</f>
        <v>0</v>
      </c>
      <c r="AE1250" s="57" t="n">
        <f aca="false">IF(BR1250=1,0,ROUNDUP(AD1250/BQ1250,0))</f>
        <v>0</v>
      </c>
      <c r="AF1250" s="59" t="n">
        <f aca="false">IF(CD1250&gt;0,CD1250*MAX(1,AD1250/V1250),IF(BR1250=1,IF(AD1250&lt;=0,0,BS1250*MAX(1,IF(G1250&gt;0,AD1250/G1250,1))),IF(Q1250&gt;0,AE1250/Q1250,0))/MAX(0.1,N(Parameter!$M$21)))</f>
        <v>0</v>
      </c>
      <c r="AG1250" s="57" t="n">
        <f aca="false">AD1250*F1250</f>
        <v>0</v>
      </c>
      <c r="AH1250" s="57" t="n">
        <f aca="false">ROUNDUP(MAX(I1250/IF(BV1250&gt;0,BV1250,MAX(0.1,N(Cockpit!$C$6))),BY1250)/BQ1250,0)*BQ1250</f>
        <v>37</v>
      </c>
      <c r="AI1250" s="58" t="n">
        <f aca="false">IF(AF1250&gt;0,I1250/AF1250,-1)</f>
        <v>-1</v>
      </c>
      <c r="AJ1250" s="58" t="str">
        <f aca="false">IF(AND(OR(BU1250="L1",BU1250="L23"),AF1250&gt;0),SUMIFS($AF$7:$AF$1576,$BU$7:$BU$1576,BU1250,$AI$7:$AI$1576,"&gt;"&amp;AI1250)+SUMIFS($AF$7:$AF$1576,$BU$7:$BU$1576,BU1250,$AI$7:$AI$1576,AI1250,$BO$7:$BO$1576,"&lt;="&amp;BO1250),"")</f>
        <v/>
      </c>
      <c r="AK1250" s="65" t="n">
        <f aca="false">IF(AJ1250="",0,MAX(0,MIN(1,(IF(BU1250="L1",Parameter!$E$5,Parameter!$E$6+Parameter!$E$7)-(AJ1250-AF1250))/AF1250)))</f>
        <v>0</v>
      </c>
      <c r="AL1250" s="57" t="n">
        <f aca="false">IF(LEFT(Cockpit!$I$5,1)="A",G1250,IF(BW1250=1,BX1250,IF(LEFT(Cockpit!$I$5,1)="B",AP1250,MAX(AP1250,G1250))))</f>
        <v>37</v>
      </c>
      <c r="AM1250" s="57" t="n">
        <f aca="false">IF(BR1250=1,0,ROUNDUP(AL1250/BQ1250,0))</f>
        <v>1</v>
      </c>
      <c r="AN1250" s="59" t="n">
        <f aca="false">IF(CD1250&gt;0,CD1250*MAX(1,AL1250/V1250),IF(BR1250=1,IF(AL1250&lt;=0,0,BS1250*MAX(1,IF(G1250&gt;0,AL1250/G1250,1))),IF(Q1250&gt;0,AM1250/Q1250,0))/MAX(0.1,N(Parameter!$M$21)))</f>
        <v>0.0151515151515152</v>
      </c>
      <c r="AO1250" s="57" t="n">
        <f aca="false">AL1250*F1250</f>
        <v>5505.6</v>
      </c>
      <c r="AP1250" s="57" t="n">
        <f aca="false">ROUNDUP(MAX(I1250/IF(BV1250&gt;0,BV1250,MAX(0.1,N(Cockpit!$I$6))),BY1250)/BQ1250,0)*BQ1250</f>
        <v>37</v>
      </c>
      <c r="AQ1250" s="58" t="n">
        <f aca="false">IF(AN1250&gt;0,I1250/AN1250,-1)</f>
        <v>1914</v>
      </c>
      <c r="AR1250" s="58" t="n">
        <f aca="false">IF(AND(OR(BU1250="L1",BU1250="L23"),AN1250&gt;0),SUMIFS($AN$7:$AN$1576,$BU$7:$BU$1576,BU1250,$AQ$7:$AQ$1576,"&gt;"&amp;AQ1250)+SUMIFS($AN$7:$AN$1576,$BU$7:$BU$1576,BU1250,$AQ$7:$AQ$1576,AQ1250,$BO$7:$BO$1576,"&lt;="&amp;BO1250),"")</f>
        <v>17.6059663166296</v>
      </c>
      <c r="AS1250" s="65" t="n">
        <f aca="false">IF(AR1250="",0,MAX(0,MIN(1,(IF(BU1250="L1",Parameter!$E$5,Parameter!$E$6+Parameter!$E$7)-(AR1250-AN1250))/AN1250)))</f>
        <v>1</v>
      </c>
      <c r="AT1250" s="57" t="n">
        <f aca="false">IF(LEFT(Cockpit!$O$5,1)="A",G1250,IF(BW1250=1,BX1250,IF(LEFT(Cockpit!$O$5,1)="B",AX1250,MAX(AX1250,G1250))))</f>
        <v>37</v>
      </c>
      <c r="AU1250" s="57" t="n">
        <f aca="false">IF(BR1250=1,0,ROUNDUP(AT1250/BQ1250,0))</f>
        <v>1</v>
      </c>
      <c r="AV1250" s="59" t="n">
        <f aca="false">IF(CD1250&gt;0,CD1250*MAX(1,AT1250/V1250),IF(BR1250=1,IF(AT1250&lt;=0,0,BS1250*MAX(1,IF(G1250&gt;0,AT1250/G1250,1))),IF(Q1250&gt;0,AU1250/Q1250,0))/MAX(0.1,N(Parameter!$M$21)))</f>
        <v>0.0151515151515152</v>
      </c>
      <c r="AW1250" s="57" t="n">
        <f aca="false">AT1250*F1250</f>
        <v>5505.6</v>
      </c>
      <c r="AX1250" s="57" t="n">
        <f aca="false">ROUNDUP(MAX(I1250/IF(BV1250&gt;0,BV1250,MAX(0.1,N(Cockpit!$O$6))),BY1250)/BQ1250,0)*BQ1250</f>
        <v>37</v>
      </c>
      <c r="AY1250" s="58" t="n">
        <f aca="false">IF(AV1250&gt;0,I1250/AV1250,-1)</f>
        <v>1914</v>
      </c>
      <c r="AZ1250" s="58" t="n">
        <f aca="false">IF(AND(OR(BU1250="L1",BU1250="L23"),AV1250&gt;0),SUMIFS($AV$7:$AV$1576,$BU$7:$BU$1576,BU1250,$AY$7:$AY$1576,"&gt;"&amp;AY1250)+SUMIFS($AV$7:$AV$1576,$BU$7:$BU$1576,BU1250,$AY$7:$AY$1576,AY1250,$BO$7:$BO$1576,"&lt;="&amp;BO1250),"")</f>
        <v>16.4165723772357</v>
      </c>
      <c r="BA1250" s="65" t="n">
        <f aca="false">IF(AZ1250="",0,MAX(0,MIN(1,(IF(BU1250="L1",Parameter!$E$5,Parameter!$E$6+Parameter!$E$7)-(AZ1250-AV1250))/AV1250)))</f>
        <v>1</v>
      </c>
      <c r="BB1250" s="55" t="str">
        <f aca="false">IF(AF1250&lt;=0,"",IF(BU1250="Aussen","Aussenlager",IF(BU1250="-","Nicht im Lift",IF(AK1250&gt;=1,"Lift",IF(AK1250&lt;=0,"Aussenlager","teilweise")))))</f>
        <v/>
      </c>
      <c r="BC1250" s="55" t="str">
        <f aca="false">IF(AN1250&lt;=0,"",IF(BU1250="Aussen","Aussenlager",IF(BU1250="-","Nicht im Lift",IF(AS1250&gt;=1,"Lift",IF(AS1250&lt;=0,"Aussenlager","teilweise")))))</f>
        <v>Lift</v>
      </c>
      <c r="BD1250" s="55" t="str">
        <f aca="false">IF(AV1250&lt;=0,"",IF(BU1250="Aussen","Aussenlager",IF(BU1250="-","Nicht im Lift",IF(BA1250&gt;=1,"Lift",IF(BA1250&lt;=0,"Aussenlager","teilweise")))))</f>
        <v>Lift</v>
      </c>
      <c r="BE1250" s="55" t="str">
        <f aca="false">IF(A1250="","",IF(BN1250=1,"Neu; ","")&amp;IF(AND(BN1250=0,BI1250&lt;0),"negativer Bestand (Export "&amp;BI1250&amp;"); ","")&amp;IF(I1250&lt;=0,"Kein Verbrauch; ","")&amp;IF(CD1250&gt;0,"Lift "&amp;U1250&amp;" lt. Liftbericht (Fach "&amp;V1250&amp;" Stk); ",IF(BR1250=1,"Lose – Fläche geschätzt; ",""))&amp;IF(G1250&gt;AP1250,"Überbestand "&amp;ROUND(G1250-AP1250,0)&amp;" Stk / CHF "&amp;ROUND((G1250-AP1250)*F1250,0)&amp;"; ","")&amp;IF(AND(BW1250=1,BX1250&lt;BY1250),"MAX &lt; MB+LG; ","")&amp;IF(AND(CC1250&gt;0,CB1250*10&gt;CC1250),"zu hoch für Tablar; ","")&amp;IF(AND(BN1250=0,OR(BW1250=1,Y1250&lt;&gt;"",S1250&lt;&gt;"",T1250&lt;&gt;"",Z1250&lt;&gt;"")),"manuell übersteuert; ","")&amp;IF(AND(BR1250=0,Q1250=0),"Gebinde unbekannt / Stellmass fehlt; ","")&amp;IF(AND(BR1250=0,N(T1250)&lt;=0,N(P1250)&lt;=0),"Menge pro Gebinde fehlt (Ist = 1 Gebinde); ","")&amp;BM1250)</f>
        <v>negativer Bestand (Export -5); </v>
      </c>
      <c r="BF1250" s="55"/>
      <c r="BG1250" s="55"/>
      <c r="BH1250" s="62"/>
      <c r="BI1250" s="57" t="n">
        <v>-5</v>
      </c>
      <c r="BJ1250" s="57" t="n">
        <v>24</v>
      </c>
      <c r="BK1250" s="56" t="n">
        <v>-738.000000000001</v>
      </c>
      <c r="BL1250" s="57" t="n">
        <v>29</v>
      </c>
      <c r="BM1250" s="55"/>
      <c r="BN1250" s="60" t="n">
        <v>0</v>
      </c>
      <c r="BO1250" s="60" t="n">
        <v>1250</v>
      </c>
      <c r="BP1250" s="55" t="str">
        <f aca="false">IF(S1250&lt;&gt;"",UPPER(TRIM(S1250)),IF(O1250="","LOSE",O1250))</f>
        <v>S33</v>
      </c>
      <c r="BQ1250" s="57" t="n">
        <f aca="false">IF(BP1250="LOSE",1,IF(N(T1250)&gt;0,T1250,IF(N(P1250)&gt;0,P1250,MAX(1,G1250))))</f>
        <v>37</v>
      </c>
      <c r="BR1250" s="60" t="n">
        <f aca="false">IF(BP1250="LOSE",1,0)</f>
        <v>0</v>
      </c>
      <c r="BS1250" s="59" t="n">
        <f aca="false">IF(BR1250=0,0,IF(N(R1250)&gt;0,R1250,IFERROR(VLOOKUP(D1250,Parameter!$A$35:$C$64,3,0)+0,0)))</f>
        <v>0</v>
      </c>
      <c r="BT1250" s="55" t="n">
        <f aca="false">IF(Y1250&lt;&gt;"",Y1250,X1250)</f>
        <v>3</v>
      </c>
      <c r="BU1250" s="55" t="str">
        <f aca="false">IF(BT1250=1,"L1",IF(OR(BT1250=2,BT1250=3),"L23",IF(BT1250="Aussen","Aussen","-")))</f>
        <v>L23</v>
      </c>
      <c r="BV1250" s="66" t="n">
        <f aca="false">IF(N(Z1250)&gt;0,Z1250,0)</f>
        <v>0</v>
      </c>
      <c r="BW1250" s="60" t="n">
        <f aca="false">IF(ISNUMBER(AC1250),1,0)</f>
        <v>0</v>
      </c>
      <c r="BX1250" s="57" t="n">
        <f aca="false">N(AC1250)</f>
        <v>0</v>
      </c>
      <c r="BY1250" s="57" t="n">
        <f aca="false">N(L1250)+N(M1250)</f>
        <v>23</v>
      </c>
      <c r="BZ1250" s="57" t="n">
        <f aca="false">ROUNDUP(G1250/BQ1250,0)</f>
        <v>0</v>
      </c>
      <c r="CA1250" s="57" t="n">
        <f aca="false">ROUNDUP(BX1250/BQ1250,0)</f>
        <v>0</v>
      </c>
      <c r="CB1250" s="60" t="n">
        <f aca="false">IF(BR1250=1,0,IFERROR(VLOOKUP(BP1250,'Gebinde-Kategorie'!$A$5:$M$45,5,0)+0,0))</f>
        <v>8</v>
      </c>
      <c r="CC1250" s="60" t="n">
        <f aca="false">IFERROR(IF(OR(BT1250=1,BT1250=2,BT1250=3),N(INDEX(Parameter!$I$5:$I$7,BT1250)),0),0)</f>
        <v>0</v>
      </c>
      <c r="CD1250" s="59" t="n">
        <f aca="false">IF(AND(Parameter!$B$21="Ja",ISNUMBER(U1250),N(V1250)&gt;0),IFERROR(N(INDEX(Parameter!$L$5:$L$7,U1250))*INDEX(Parameter!$E$5:$E$7,U1250)*V1250/SUMIFS($V$7:$V$1576,$U$7:$U$1576,U1250),0),0)</f>
        <v>0</v>
      </c>
    </row>
    <row r="1251" customFormat="false" ht="15" hidden="false" customHeight="false" outlineLevel="0" collapsed="false">
      <c r="A1251" s="55" t="s">
        <v>2224</v>
      </c>
      <c r="B1251" s="55" t="s">
        <v>580</v>
      </c>
      <c r="C1251" s="55" t="s">
        <v>160</v>
      </c>
      <c r="D1251" s="55" t="s">
        <v>178</v>
      </c>
      <c r="E1251" s="55" t="s">
        <v>210</v>
      </c>
      <c r="F1251" s="56" t="n">
        <v>59.75</v>
      </c>
      <c r="G1251" s="57" t="n">
        <f aca="false">MAX(0,IF(AND(Parameter!$B$21="Ja",ISNUMBER(W1251)),W1251,IF(Parameter!$B$20="Jahresanfang 2025 + Export",BJ1251+BI1251,BI1251)))</f>
        <v>0</v>
      </c>
      <c r="H1251" s="57" t="n">
        <f aca="false">G1251*F1251</f>
        <v>0</v>
      </c>
      <c r="I1251" s="57" t="n">
        <f aca="false">BL1251*Parameter!$B$18</f>
        <v>29</v>
      </c>
      <c r="J1251" s="58" t="n">
        <v>77.5</v>
      </c>
      <c r="K1251" s="59" t="n">
        <v>0.374193548387097</v>
      </c>
      <c r="L1251" s="57" t="n">
        <v>4</v>
      </c>
      <c r="M1251" s="57" t="n">
        <v>30</v>
      </c>
      <c r="N1251" s="60" t="n">
        <v>21</v>
      </c>
      <c r="O1251" s="55" t="s">
        <v>225</v>
      </c>
      <c r="P1251" s="57" t="n">
        <v>90</v>
      </c>
      <c r="Q1251" s="60" t="n">
        <f aca="false">IF(BR1251=1,0,IFERROR(VLOOKUP(BP1251,'Gebinde-Kategorie'!$A$5:$M$45,13,0)+0,0))</f>
        <v>26</v>
      </c>
      <c r="R1251" s="61"/>
      <c r="S1251" s="62"/>
      <c r="T1251" s="62"/>
      <c r="U1251" s="55"/>
      <c r="V1251" s="57"/>
      <c r="W1251" s="57"/>
      <c r="X1251" s="55" t="n">
        <f aca="false">IF(A1251="","",IF(AND(Parameter!$B$21="Ja",ISNUMBER(U1251)),U1251,IF(IFERROR(VLOOKUP(D1251,Parameter!$A$35:$C$64,2,0),"Nein")="2+3",IF(ISNUMBER(SEARCH("grosser Artikel",BM1251)),2,IFERROR(VLOOKUP(BP1251,Parameter!$F$35:$G$64,2,0),2)),IF(OR(IFERROR(VLOOKUP(D1251,Parameter!$A$35:$C$64,2,0),"Nein")="Nein",IFERROR(VLOOKUP(D1251,Parameter!$A$35:$C$64,2,0),"Nein")=""),"-",VLOOKUP(D1251,Parameter!$A$35:$C$64,2,0)))))</f>
        <v>3</v>
      </c>
      <c r="Y1251" s="62"/>
      <c r="Z1251" s="63"/>
      <c r="AA1251" s="57" t="n">
        <f aca="false">AP1251</f>
        <v>90</v>
      </c>
      <c r="AB1251" s="57" t="n">
        <f aca="false">MAX(AP1251,G1251)</f>
        <v>90</v>
      </c>
      <c r="AC1251" s="64"/>
      <c r="AD1251" s="57" t="n">
        <f aca="false">IF(LEFT(Cockpit!$C$5,1)="A",G1251,IF(BW1251=1,BX1251,IF(LEFT(Cockpit!$C$5,1)="B",AH1251,MAX(AH1251,G1251))))</f>
        <v>0</v>
      </c>
      <c r="AE1251" s="57" t="n">
        <f aca="false">IF(BR1251=1,0,ROUNDUP(AD1251/BQ1251,0))</f>
        <v>0</v>
      </c>
      <c r="AF1251" s="59" t="n">
        <f aca="false">IF(CD1251&gt;0,CD1251*MAX(1,AD1251/V1251),IF(BR1251=1,IF(AD1251&lt;=0,0,BS1251*MAX(1,IF(G1251&gt;0,AD1251/G1251,1))),IF(Q1251&gt;0,AE1251/Q1251,0))/MAX(0.1,N(Parameter!$M$21)))</f>
        <v>0</v>
      </c>
      <c r="AG1251" s="57" t="n">
        <f aca="false">AD1251*F1251</f>
        <v>0</v>
      </c>
      <c r="AH1251" s="57" t="n">
        <f aca="false">ROUNDUP(MAX(I1251/IF(BV1251&gt;0,BV1251,MAX(0.1,N(Cockpit!$C$6))),BY1251)/BQ1251,0)*BQ1251</f>
        <v>90</v>
      </c>
      <c r="AI1251" s="58" t="n">
        <f aca="false">IF(AF1251&gt;0,I1251/AF1251,-1)</f>
        <v>-1</v>
      </c>
      <c r="AJ1251" s="58" t="str">
        <f aca="false">IF(AND(OR(BU1251="L1",BU1251="L23"),AF1251&gt;0),SUMIFS($AF$7:$AF$1576,$BU$7:$BU$1576,BU1251,$AI$7:$AI$1576,"&gt;"&amp;AI1251)+SUMIFS($AF$7:$AF$1576,$BU$7:$BU$1576,BU1251,$AI$7:$AI$1576,AI1251,$BO$7:$BO$1576,"&lt;="&amp;BO1251),"")</f>
        <v/>
      </c>
      <c r="AK1251" s="65" t="n">
        <f aca="false">IF(AJ1251="",0,MAX(0,MIN(1,(IF(BU1251="L1",Parameter!$E$5,Parameter!$E$6+Parameter!$E$7)-(AJ1251-AF1251))/AF1251)))</f>
        <v>0</v>
      </c>
      <c r="AL1251" s="57" t="n">
        <f aca="false">IF(LEFT(Cockpit!$I$5,1)="A",G1251,IF(BW1251=1,BX1251,IF(LEFT(Cockpit!$I$5,1)="B",AP1251,MAX(AP1251,G1251))))</f>
        <v>90</v>
      </c>
      <c r="AM1251" s="57" t="n">
        <f aca="false">IF(BR1251=1,0,ROUNDUP(AL1251/BQ1251,0))</f>
        <v>1</v>
      </c>
      <c r="AN1251" s="59" t="n">
        <f aca="false">IF(CD1251&gt;0,CD1251*MAX(1,AL1251/V1251),IF(BR1251=1,IF(AL1251&lt;=0,0,BS1251*MAX(1,IF(G1251&gt;0,AL1251/G1251,1))),IF(Q1251&gt;0,AM1251/Q1251,0))/MAX(0.1,N(Parameter!$M$21)))</f>
        <v>0.0384615384615385</v>
      </c>
      <c r="AO1251" s="57" t="n">
        <f aca="false">AL1251*F1251</f>
        <v>5377.5</v>
      </c>
      <c r="AP1251" s="57" t="n">
        <f aca="false">ROUNDUP(MAX(I1251/IF(BV1251&gt;0,BV1251,MAX(0.1,N(Cockpit!$I$6))),BY1251)/BQ1251,0)*BQ1251</f>
        <v>90</v>
      </c>
      <c r="AQ1251" s="58" t="n">
        <f aca="false">IF(AN1251&gt;0,I1251/AN1251,-1)</f>
        <v>754</v>
      </c>
      <c r="AR1251" s="58" t="n">
        <f aca="false">IF(AND(OR(BU1251="L1",BU1251="L23"),AN1251&gt;0),SUMIFS($AN$7:$AN$1576,$BU$7:$BU$1576,BU1251,$AQ$7:$AQ$1576,"&gt;"&amp;AQ1251)+SUMIFS($AN$7:$AN$1576,$BU$7:$BU$1576,BU1251,$AQ$7:$AQ$1576,AQ1251,$BO$7:$BO$1576,"&lt;="&amp;BO1251),"")</f>
        <v>26.9463538035389</v>
      </c>
      <c r="AS1251" s="65" t="n">
        <f aca="false">IF(AR1251="",0,MAX(0,MIN(1,(IF(BU1251="L1",Parameter!$E$5,Parameter!$E$6+Parameter!$E$7)-(AR1251-AN1251))/AN1251)))</f>
        <v>1</v>
      </c>
      <c r="AT1251" s="57" t="n">
        <f aca="false">IF(LEFT(Cockpit!$O$5,1)="A",G1251,IF(BW1251=1,BX1251,IF(LEFT(Cockpit!$O$5,1)="B",AX1251,MAX(AX1251,G1251))))</f>
        <v>90</v>
      </c>
      <c r="AU1251" s="57" t="n">
        <f aca="false">IF(BR1251=1,0,ROUNDUP(AT1251/BQ1251,0))</f>
        <v>1</v>
      </c>
      <c r="AV1251" s="59" t="n">
        <f aca="false">IF(CD1251&gt;0,CD1251*MAX(1,AT1251/V1251),IF(BR1251=1,IF(AT1251&lt;=0,0,BS1251*MAX(1,IF(G1251&gt;0,AT1251/G1251,1))),IF(Q1251&gt;0,AU1251/Q1251,0))/MAX(0.1,N(Parameter!$M$21)))</f>
        <v>0.0384615384615385</v>
      </c>
      <c r="AW1251" s="57" t="n">
        <f aca="false">AT1251*F1251</f>
        <v>5377.5</v>
      </c>
      <c r="AX1251" s="57" t="n">
        <f aca="false">ROUNDUP(MAX(I1251/IF(BV1251&gt;0,BV1251,MAX(0.1,N(Cockpit!$O$6))),BY1251)/BQ1251,0)*BQ1251</f>
        <v>90</v>
      </c>
      <c r="AY1251" s="58" t="n">
        <f aca="false">IF(AV1251&gt;0,I1251/AV1251,-1)</f>
        <v>754</v>
      </c>
      <c r="AZ1251" s="58" t="n">
        <f aca="false">IF(AND(OR(BU1251="L1",BU1251="L23"),AV1251&gt;0),SUMIFS($AV$7:$AV$1576,$BU$7:$BU$1576,BU1251,$AY$7:$AY$1576,"&gt;"&amp;AY1251)+SUMIFS($AV$7:$AV$1576,$BU$7:$BU$1576,BU1251,$AY$7:$AY$1576,AY1251,$BO$7:$BO$1576,"&lt;="&amp;BO1251),"")</f>
        <v>27.0133701205552</v>
      </c>
      <c r="BA1251" s="65" t="n">
        <f aca="false">IF(AZ1251="",0,MAX(0,MIN(1,(IF(BU1251="L1",Parameter!$E$5,Parameter!$E$6+Parameter!$E$7)-(AZ1251-AV1251))/AV1251)))</f>
        <v>1</v>
      </c>
      <c r="BB1251" s="55" t="str">
        <f aca="false">IF(AF1251&lt;=0,"",IF(BU1251="Aussen","Aussenlager",IF(BU1251="-","Nicht im Lift",IF(AK1251&gt;=1,"Lift",IF(AK1251&lt;=0,"Aussenlager","teilweise")))))</f>
        <v/>
      </c>
      <c r="BC1251" s="55" t="str">
        <f aca="false">IF(AN1251&lt;=0,"",IF(BU1251="Aussen","Aussenlager",IF(BU1251="-","Nicht im Lift",IF(AS1251&gt;=1,"Lift",IF(AS1251&lt;=0,"Aussenlager","teilweise")))))</f>
        <v>Lift</v>
      </c>
      <c r="BD1251" s="55" t="str">
        <f aca="false">IF(AV1251&lt;=0,"",IF(BU1251="Aussen","Aussenlager",IF(BU1251="-","Nicht im Lift",IF(BA1251&gt;=1,"Lift",IF(BA1251&lt;=0,"Aussenlager","teilweise")))))</f>
        <v>Lift</v>
      </c>
      <c r="BE1251" s="55" t="str">
        <f aca="false">IF(A1251="","",IF(BN1251=1,"Neu; ","")&amp;IF(AND(BN1251=0,BI1251&lt;0),"negativer Bestand (Export "&amp;BI1251&amp;"); ","")&amp;IF(I1251&lt;=0,"Kein Verbrauch; ","")&amp;IF(CD1251&gt;0,"Lift "&amp;U1251&amp;" lt. Liftbericht (Fach "&amp;V1251&amp;" Stk); ",IF(BR1251=1,"Lose – Fläche geschätzt; ",""))&amp;IF(G1251&gt;AP1251,"Überbestand "&amp;ROUND(G1251-AP1251,0)&amp;" Stk / CHF "&amp;ROUND((G1251-AP1251)*F1251,0)&amp;"; ","")&amp;IF(AND(BW1251=1,BX1251&lt;BY1251),"MAX &lt; MB+LG; ","")&amp;IF(AND(CC1251&gt;0,CB1251*10&gt;CC1251),"zu hoch für Tablar; ","")&amp;IF(AND(BN1251=0,OR(BW1251=1,Y1251&lt;&gt;"",S1251&lt;&gt;"",T1251&lt;&gt;"",Z1251&lt;&gt;"")),"manuell übersteuert; ","")&amp;IF(AND(BR1251=0,Q1251=0),"Gebinde unbekannt / Stellmass fehlt; ","")&amp;IF(AND(BR1251=0,N(T1251)&lt;=0,N(P1251)&lt;=0),"Menge pro Gebinde fehlt (Ist = 1 Gebinde); ","")&amp;BM1251)</f>
        <v>negativer Bestand (Export -13); </v>
      </c>
      <c r="BF1251" s="55"/>
      <c r="BG1251" s="55"/>
      <c r="BH1251" s="62"/>
      <c r="BI1251" s="57" t="n">
        <v>-13</v>
      </c>
      <c r="BJ1251" s="57" t="n">
        <v>83</v>
      </c>
      <c r="BK1251" s="56" t="n">
        <v>-750.190000000001</v>
      </c>
      <c r="BL1251" s="57" t="n">
        <v>29</v>
      </c>
      <c r="BM1251" s="55"/>
      <c r="BN1251" s="60" t="n">
        <v>0</v>
      </c>
      <c r="BO1251" s="60" t="n">
        <v>1251</v>
      </c>
      <c r="BP1251" s="55" t="str">
        <f aca="false">IF(S1251&lt;&gt;"",UPPER(TRIM(S1251)),IF(O1251="","LOSE",O1251))</f>
        <v>S52</v>
      </c>
      <c r="BQ1251" s="57" t="n">
        <f aca="false">IF(BP1251="LOSE",1,IF(N(T1251)&gt;0,T1251,IF(N(P1251)&gt;0,P1251,MAX(1,G1251))))</f>
        <v>90</v>
      </c>
      <c r="BR1251" s="60" t="n">
        <f aca="false">IF(BP1251="LOSE",1,0)</f>
        <v>0</v>
      </c>
      <c r="BS1251" s="59" t="n">
        <f aca="false">IF(BR1251=0,0,IF(N(R1251)&gt;0,R1251,IFERROR(VLOOKUP(D1251,Parameter!$A$35:$C$64,3,0)+0,0)))</f>
        <v>0</v>
      </c>
      <c r="BT1251" s="55" t="n">
        <f aca="false">IF(Y1251&lt;&gt;"",Y1251,X1251)</f>
        <v>3</v>
      </c>
      <c r="BU1251" s="55" t="str">
        <f aca="false">IF(BT1251=1,"L1",IF(OR(BT1251=2,BT1251=3),"L23",IF(BT1251="Aussen","Aussen","-")))</f>
        <v>L23</v>
      </c>
      <c r="BV1251" s="66" t="n">
        <f aca="false">IF(N(Z1251)&gt;0,Z1251,0)</f>
        <v>0</v>
      </c>
      <c r="BW1251" s="60" t="n">
        <f aca="false">IF(ISNUMBER(AC1251),1,0)</f>
        <v>0</v>
      </c>
      <c r="BX1251" s="57" t="n">
        <f aca="false">N(AC1251)</f>
        <v>0</v>
      </c>
      <c r="BY1251" s="57" t="n">
        <f aca="false">N(L1251)+N(M1251)</f>
        <v>34</v>
      </c>
      <c r="BZ1251" s="57" t="n">
        <f aca="false">ROUNDUP(G1251/BQ1251,0)</f>
        <v>0</v>
      </c>
      <c r="CA1251" s="57" t="n">
        <f aca="false">ROUNDUP(BX1251/BQ1251,0)</f>
        <v>0</v>
      </c>
      <c r="CB1251" s="60" t="n">
        <f aca="false">IF(BR1251=1,0,IFERROR(VLOOKUP(BP1251,'Gebinde-Kategorie'!$A$5:$M$45,5,0)+0,0))</f>
        <v>21</v>
      </c>
      <c r="CC1251" s="60" t="n">
        <f aca="false">IFERROR(IF(OR(BT1251=1,BT1251=2,BT1251=3),N(INDEX(Parameter!$I$5:$I$7,BT1251)),0),0)</f>
        <v>0</v>
      </c>
      <c r="CD1251" s="59" t="n">
        <f aca="false">IF(AND(Parameter!$B$21="Ja",ISNUMBER(U1251),N(V1251)&gt;0),IFERROR(N(INDEX(Parameter!$L$5:$L$7,U1251))*INDEX(Parameter!$E$5:$E$7,U1251)*V1251/SUMIFS($V$7:$V$1576,$U$7:$U$1576,U1251),0),0)</f>
        <v>0</v>
      </c>
    </row>
    <row r="1252" customFormat="false" ht="15" hidden="false" customHeight="false" outlineLevel="0" collapsed="false">
      <c r="A1252" s="55" t="s">
        <v>2225</v>
      </c>
      <c r="B1252" s="55" t="s">
        <v>1512</v>
      </c>
      <c r="C1252" s="55" t="s">
        <v>160</v>
      </c>
      <c r="D1252" s="55" t="s">
        <v>178</v>
      </c>
      <c r="E1252" s="55" t="s">
        <v>210</v>
      </c>
      <c r="F1252" s="56" t="n">
        <v>1.67</v>
      </c>
      <c r="G1252" s="57" t="n">
        <f aca="false">MAX(0,IF(AND(Parameter!$B$21="Ja",ISNUMBER(W1252)),W1252,IF(Parameter!$B$20="Jahresanfang 2025 + Export",BJ1252+BI1252,BI1252)))</f>
        <v>0</v>
      </c>
      <c r="H1252" s="57" t="n">
        <f aca="false">G1252*F1252</f>
        <v>0</v>
      </c>
      <c r="I1252" s="57" t="n">
        <f aca="false">BL1252*Parameter!$B$18</f>
        <v>206</v>
      </c>
      <c r="J1252" s="58" t="n">
        <v>397.5</v>
      </c>
      <c r="K1252" s="59" t="n">
        <v>0.518238993710692</v>
      </c>
      <c r="L1252" s="57" t="n">
        <v>12</v>
      </c>
      <c r="M1252" s="57" t="n">
        <v>250</v>
      </c>
      <c r="N1252" s="60" t="n">
        <v>105</v>
      </c>
      <c r="O1252" s="55" t="s">
        <v>163</v>
      </c>
      <c r="P1252" s="57"/>
      <c r="Q1252" s="60" t="n">
        <f aca="false">IF(BR1252=1,0,IFERROR(VLOOKUP(BP1252,'Gebinde-Kategorie'!$A$5:$M$45,13,0)+0,0))</f>
        <v>0</v>
      </c>
      <c r="R1252" s="61"/>
      <c r="S1252" s="62"/>
      <c r="T1252" s="62"/>
      <c r="U1252" s="55"/>
      <c r="V1252" s="57"/>
      <c r="W1252" s="57"/>
      <c r="X1252" s="55" t="n">
        <f aca="false">IF(A1252="","",IF(AND(Parameter!$B$21="Ja",ISNUMBER(U1252)),U1252,IF(IFERROR(VLOOKUP(D1252,Parameter!$A$35:$C$64,2,0),"Nein")="2+3",IF(ISNUMBER(SEARCH("grosser Artikel",BM1252)),2,IFERROR(VLOOKUP(BP1252,Parameter!$F$35:$G$64,2,0),2)),IF(OR(IFERROR(VLOOKUP(D1252,Parameter!$A$35:$C$64,2,0),"Nein")="Nein",IFERROR(VLOOKUP(D1252,Parameter!$A$35:$C$64,2,0),"Nein")=""),"-",VLOOKUP(D1252,Parameter!$A$35:$C$64,2,0)))))</f>
        <v>2</v>
      </c>
      <c r="Y1252" s="62"/>
      <c r="Z1252" s="63"/>
      <c r="AA1252" s="57" t="n">
        <f aca="false">AP1252</f>
        <v>262</v>
      </c>
      <c r="AB1252" s="57" t="n">
        <f aca="false">MAX(AP1252,G1252)</f>
        <v>262</v>
      </c>
      <c r="AC1252" s="64"/>
      <c r="AD1252" s="57" t="n">
        <f aca="false">IF(LEFT(Cockpit!$C$5,1)="A",G1252,IF(BW1252=1,BX1252,IF(LEFT(Cockpit!$C$5,1)="B",AH1252,MAX(AH1252,G1252))))</f>
        <v>0</v>
      </c>
      <c r="AE1252" s="57" t="n">
        <f aca="false">IF(BR1252=1,0,ROUNDUP(AD1252/BQ1252,0))</f>
        <v>0</v>
      </c>
      <c r="AF1252" s="59" t="n">
        <f aca="false">IF(CD1252&gt;0,CD1252*MAX(1,AD1252/V1252),IF(BR1252=1,IF(AD1252&lt;=0,0,BS1252*MAX(1,IF(G1252&gt;0,AD1252/G1252,1))),IF(Q1252&gt;0,AE1252/Q1252,0))/MAX(0.1,N(Parameter!$M$21)))</f>
        <v>0</v>
      </c>
      <c r="AG1252" s="57" t="n">
        <f aca="false">AD1252*F1252</f>
        <v>0</v>
      </c>
      <c r="AH1252" s="57" t="n">
        <f aca="false">ROUNDUP(MAX(I1252/IF(BV1252&gt;0,BV1252,MAX(0.1,N(Cockpit!$C$6))),BY1252)/BQ1252,0)*BQ1252</f>
        <v>262</v>
      </c>
      <c r="AI1252" s="58" t="n">
        <f aca="false">IF(AF1252&gt;0,I1252/AF1252,-1)</f>
        <v>-1</v>
      </c>
      <c r="AJ1252" s="58" t="str">
        <f aca="false">IF(AND(OR(BU1252="L1",BU1252="L23"),AF1252&gt;0),SUMIFS($AF$7:$AF$1576,$BU$7:$BU$1576,BU1252,$AI$7:$AI$1576,"&gt;"&amp;AI1252)+SUMIFS($AF$7:$AF$1576,$BU$7:$BU$1576,BU1252,$AI$7:$AI$1576,AI1252,$BO$7:$BO$1576,"&lt;="&amp;BO1252),"")</f>
        <v/>
      </c>
      <c r="AK1252" s="65" t="n">
        <f aca="false">IF(AJ1252="",0,MAX(0,MIN(1,(IF(BU1252="L1",Parameter!$E$5,Parameter!$E$6+Parameter!$E$7)-(AJ1252-AF1252))/AF1252)))</f>
        <v>0</v>
      </c>
      <c r="AL1252" s="57" t="n">
        <f aca="false">IF(LEFT(Cockpit!$I$5,1)="A",G1252,IF(BW1252=1,BX1252,IF(LEFT(Cockpit!$I$5,1)="B",AP1252,MAX(AP1252,G1252))))</f>
        <v>262</v>
      </c>
      <c r="AM1252" s="57" t="n">
        <f aca="false">IF(BR1252=1,0,ROUNDUP(AL1252/BQ1252,0))</f>
        <v>0</v>
      </c>
      <c r="AN1252" s="59" t="n">
        <f aca="false">IF(CD1252&gt;0,CD1252*MAX(1,AL1252/V1252),IF(BR1252=1,IF(AL1252&lt;=0,0,BS1252*MAX(1,IF(G1252&gt;0,AL1252/G1252,1))),IF(Q1252&gt;0,AM1252/Q1252,0))/MAX(0.1,N(Parameter!$M$21)))</f>
        <v>0.03</v>
      </c>
      <c r="AO1252" s="57" t="n">
        <f aca="false">AL1252*F1252</f>
        <v>437.54</v>
      </c>
      <c r="AP1252" s="57" t="n">
        <f aca="false">ROUNDUP(MAX(I1252/IF(BV1252&gt;0,BV1252,MAX(0.1,N(Cockpit!$I$6))),BY1252)/BQ1252,0)*BQ1252</f>
        <v>262</v>
      </c>
      <c r="AQ1252" s="58" t="n">
        <f aca="false">IF(AN1252&gt;0,I1252/AN1252,-1)</f>
        <v>6866.66666666667</v>
      </c>
      <c r="AR1252" s="58" t="n">
        <f aca="false">IF(AND(OR(BU1252="L1",BU1252="L23"),AN1252&gt;0),SUMIFS($AN$7:$AN$1576,$BU$7:$BU$1576,BU1252,$AQ$7:$AQ$1576,"&gt;"&amp;AQ1252)+SUMIFS($AN$7:$AN$1576,$BU$7:$BU$1576,BU1252,$AQ$7:$AQ$1576,AQ1252,$BO$7:$BO$1576,"&lt;="&amp;BO1252),"")</f>
        <v>8.79592243505287</v>
      </c>
      <c r="AS1252" s="65" t="n">
        <f aca="false">IF(AR1252="",0,MAX(0,MIN(1,(IF(BU1252="L1",Parameter!$E$5,Parameter!$E$6+Parameter!$E$7)-(AR1252-AN1252))/AN1252)))</f>
        <v>1</v>
      </c>
      <c r="AT1252" s="57" t="n">
        <f aca="false">IF(LEFT(Cockpit!$O$5,1)="A",G1252,IF(BW1252=1,BX1252,IF(LEFT(Cockpit!$O$5,1)="B",AX1252,MAX(AX1252,G1252))))</f>
        <v>262</v>
      </c>
      <c r="AU1252" s="57" t="n">
        <f aca="false">IF(BR1252=1,0,ROUNDUP(AT1252/BQ1252,0))</f>
        <v>0</v>
      </c>
      <c r="AV1252" s="59" t="n">
        <f aca="false">IF(CD1252&gt;0,CD1252*MAX(1,AT1252/V1252),IF(BR1252=1,IF(AT1252&lt;=0,0,BS1252*MAX(1,IF(G1252&gt;0,AT1252/G1252,1))),IF(Q1252&gt;0,AU1252/Q1252,0))/MAX(0.1,N(Parameter!$M$21)))</f>
        <v>0.03</v>
      </c>
      <c r="AW1252" s="57" t="n">
        <f aca="false">AT1252*F1252</f>
        <v>437.54</v>
      </c>
      <c r="AX1252" s="57" t="n">
        <f aca="false">ROUNDUP(MAX(I1252/IF(BV1252&gt;0,BV1252,MAX(0.1,N(Cockpit!$O$6))),BY1252)/BQ1252,0)*BQ1252</f>
        <v>262</v>
      </c>
      <c r="AY1252" s="58" t="n">
        <f aca="false">IF(AV1252&gt;0,I1252/AV1252,-1)</f>
        <v>6866.66666666667</v>
      </c>
      <c r="AZ1252" s="58" t="n">
        <f aca="false">IF(AND(OR(BU1252="L1",BU1252="L23"),AV1252&gt;0),SUMIFS($AV$7:$AV$1576,$BU$7:$BU$1576,BU1252,$AY$7:$AY$1576,"&gt;"&amp;AY1252)+SUMIFS($AV$7:$AV$1576,$BU$7:$BU$1576,BU1252,$AY$7:$AY$1576,AY1252,$BO$7:$BO$1576,"&lt;="&amp;BO1252),"")</f>
        <v>8.4783233674538</v>
      </c>
      <c r="BA1252" s="65" t="n">
        <f aca="false">IF(AZ1252="",0,MAX(0,MIN(1,(IF(BU1252="L1",Parameter!$E$5,Parameter!$E$6+Parameter!$E$7)-(AZ1252-AV1252))/AV1252)))</f>
        <v>1</v>
      </c>
      <c r="BB1252" s="55" t="str">
        <f aca="false">IF(AF1252&lt;=0,"",IF(BU1252="Aussen","Aussenlager",IF(BU1252="-","Nicht im Lift",IF(AK1252&gt;=1,"Lift",IF(AK1252&lt;=0,"Aussenlager","teilweise")))))</f>
        <v/>
      </c>
      <c r="BC1252" s="55" t="str">
        <f aca="false">IF(AN1252&lt;=0,"",IF(BU1252="Aussen","Aussenlager",IF(BU1252="-","Nicht im Lift",IF(AS1252&gt;=1,"Lift",IF(AS1252&lt;=0,"Aussenlager","teilweise")))))</f>
        <v>Lift</v>
      </c>
      <c r="BD1252" s="55" t="str">
        <f aca="false">IF(AV1252&lt;=0,"",IF(BU1252="Aussen","Aussenlager",IF(BU1252="-","Nicht im Lift",IF(BA1252&gt;=1,"Lift",IF(BA1252&lt;=0,"Aussenlager","teilweise")))))</f>
        <v>Lift</v>
      </c>
      <c r="BE1252" s="55" t="str">
        <f aca="false">IF(A1252="","",IF(BN1252=1,"Neu; ","")&amp;IF(AND(BN1252=0,BI1252&lt;0),"negativer Bestand (Export "&amp;BI1252&amp;"); ","")&amp;IF(I1252&lt;=0,"Kein Verbrauch; ","")&amp;IF(CD1252&gt;0,"Lift "&amp;U1252&amp;" lt. Liftbericht (Fach "&amp;V1252&amp;" Stk); ",IF(BR1252=1,"Lose – Fläche geschätzt; ",""))&amp;IF(G1252&gt;AP1252,"Überbestand "&amp;ROUND(G1252-AP1252,0)&amp;" Stk / CHF "&amp;ROUND((G1252-AP1252)*F1252,0)&amp;"; ","")&amp;IF(AND(BW1252=1,BX1252&lt;BY1252),"MAX &lt; MB+LG; ","")&amp;IF(AND(CC1252&gt;0,CB1252*10&gt;CC1252),"zu hoch für Tablar; ","")&amp;IF(AND(BN1252=0,OR(BW1252=1,Y1252&lt;&gt;"",S1252&lt;&gt;"",T1252&lt;&gt;"",Z1252&lt;&gt;"")),"manuell übersteuert; ","")&amp;IF(AND(BR1252=0,Q1252=0),"Gebinde unbekannt / Stellmass fehlt; ","")&amp;IF(AND(BR1252=0,N(T1252)&lt;=0,N(P1252)&lt;=0),"Menge pro Gebinde fehlt (Ist = 1 Gebinde); ","")&amp;BM1252)</f>
        <v>negativer Bestand (Export -452); Lose – Fläche geschätzt; </v>
      </c>
      <c r="BF1252" s="55"/>
      <c r="BG1252" s="55"/>
      <c r="BH1252" s="62"/>
      <c r="BI1252" s="57" t="n">
        <v>-452</v>
      </c>
      <c r="BJ1252" s="57" t="n">
        <v>500</v>
      </c>
      <c r="BK1252" s="56" t="n">
        <v>-754.84</v>
      </c>
      <c r="BL1252" s="57" t="n">
        <v>206</v>
      </c>
      <c r="BM1252" s="55"/>
      <c r="BN1252" s="60" t="n">
        <v>0</v>
      </c>
      <c r="BO1252" s="60" t="n">
        <v>1252</v>
      </c>
      <c r="BP1252" s="55" t="str">
        <f aca="false">IF(S1252&lt;&gt;"",UPPER(TRIM(S1252)),IF(O1252="","LOSE",O1252))</f>
        <v>LOSE</v>
      </c>
      <c r="BQ1252" s="57" t="n">
        <f aca="false">IF(BP1252="LOSE",1,IF(N(T1252)&gt;0,T1252,IF(N(P1252)&gt;0,P1252,MAX(1,G1252))))</f>
        <v>1</v>
      </c>
      <c r="BR1252" s="60" t="n">
        <f aca="false">IF(BP1252="LOSE",1,0)</f>
        <v>1</v>
      </c>
      <c r="BS1252" s="59" t="n">
        <f aca="false">IF(BR1252=0,0,IF(N(R1252)&gt;0,R1252,IFERROR(VLOOKUP(D1252,Parameter!$A$35:$C$64,3,0)+0,0)))</f>
        <v>0.03</v>
      </c>
      <c r="BT1252" s="55" t="n">
        <f aca="false">IF(Y1252&lt;&gt;"",Y1252,X1252)</f>
        <v>2</v>
      </c>
      <c r="BU1252" s="55" t="str">
        <f aca="false">IF(BT1252=1,"L1",IF(OR(BT1252=2,BT1252=3),"L23",IF(BT1252="Aussen","Aussen","-")))</f>
        <v>L23</v>
      </c>
      <c r="BV1252" s="66" t="n">
        <f aca="false">IF(N(Z1252)&gt;0,Z1252,0)</f>
        <v>0</v>
      </c>
      <c r="BW1252" s="60" t="n">
        <f aca="false">IF(ISNUMBER(AC1252),1,0)</f>
        <v>0</v>
      </c>
      <c r="BX1252" s="57" t="n">
        <f aca="false">N(AC1252)</f>
        <v>0</v>
      </c>
      <c r="BY1252" s="57" t="n">
        <f aca="false">N(L1252)+N(M1252)</f>
        <v>262</v>
      </c>
      <c r="BZ1252" s="57" t="n">
        <f aca="false">ROUNDUP(G1252/BQ1252,0)</f>
        <v>0</v>
      </c>
      <c r="CA1252" s="57" t="n">
        <f aca="false">ROUNDUP(BX1252/BQ1252,0)</f>
        <v>0</v>
      </c>
      <c r="CB1252" s="60" t="n">
        <f aca="false">IF(BR1252=1,0,IFERROR(VLOOKUP(BP1252,'Gebinde-Kategorie'!$A$5:$M$45,5,0)+0,0))</f>
        <v>0</v>
      </c>
      <c r="CC1252" s="60" t="n">
        <f aca="false">IFERROR(IF(OR(BT1252=1,BT1252=2,BT1252=3),N(INDEX(Parameter!$I$5:$I$7,BT1252)),0),0)</f>
        <v>0</v>
      </c>
      <c r="CD1252" s="59" t="n">
        <f aca="false">IF(AND(Parameter!$B$21="Ja",ISNUMBER(U1252),N(V1252)&gt;0),IFERROR(N(INDEX(Parameter!$L$5:$L$7,U1252))*INDEX(Parameter!$E$5:$E$7,U1252)*V1252/SUMIFS($V$7:$V$1576,$U$7:$U$1576,U1252),0),0)</f>
        <v>0</v>
      </c>
    </row>
    <row r="1253" customFormat="false" ht="15" hidden="false" customHeight="false" outlineLevel="0" collapsed="false">
      <c r="A1253" s="55" t="s">
        <v>2226</v>
      </c>
      <c r="B1253" s="55" t="s">
        <v>214</v>
      </c>
      <c r="C1253" s="55" t="s">
        <v>160</v>
      </c>
      <c r="D1253" s="55" t="s">
        <v>168</v>
      </c>
      <c r="E1253" s="55" t="s">
        <v>210</v>
      </c>
      <c r="F1253" s="56" t="n">
        <v>118.58</v>
      </c>
      <c r="G1253" s="57" t="n">
        <f aca="false">MAX(0,IF(AND(Parameter!$B$21="Ja",ISNUMBER(W1253)),W1253,IF(Parameter!$B$20="Jahresanfang 2025 + Export",BJ1253+BI1253,BI1253)))</f>
        <v>0</v>
      </c>
      <c r="H1253" s="57" t="n">
        <f aca="false">G1253*F1253</f>
        <v>0</v>
      </c>
      <c r="I1253" s="57" t="n">
        <f aca="false">BL1253*Parameter!$B$18</f>
        <v>17</v>
      </c>
      <c r="J1253" s="58" t="n">
        <v>18</v>
      </c>
      <c r="K1253" s="59" t="n">
        <v>0.944444444444444</v>
      </c>
      <c r="L1253" s="57" t="n">
        <v>0</v>
      </c>
      <c r="M1253" s="57" t="n">
        <v>15</v>
      </c>
      <c r="N1253" s="60" t="n">
        <v>21</v>
      </c>
      <c r="O1253" s="55" t="s">
        <v>215</v>
      </c>
      <c r="P1253" s="57" t="n">
        <v>40</v>
      </c>
      <c r="Q1253" s="60" t="n">
        <f aca="false">IF(BR1253=1,0,IFERROR(VLOOKUP(BP1253,'Gebinde-Kategorie'!$A$5:$M$45,13,0)+0,0))</f>
        <v>3</v>
      </c>
      <c r="R1253" s="61"/>
      <c r="S1253" s="62"/>
      <c r="T1253" s="62"/>
      <c r="U1253" s="55"/>
      <c r="V1253" s="57"/>
      <c r="W1253" s="57"/>
      <c r="X1253" s="55" t="n">
        <f aca="false">IF(A1253="","",IF(AND(Parameter!$B$21="Ja",ISNUMBER(U1253)),U1253,IF(IFERROR(VLOOKUP(D1253,Parameter!$A$35:$C$64,2,0),"Nein")="2+3",IF(ISNUMBER(SEARCH("grosser Artikel",BM1253)),2,IFERROR(VLOOKUP(BP1253,Parameter!$F$35:$G$64,2,0),2)),IF(OR(IFERROR(VLOOKUP(D1253,Parameter!$A$35:$C$64,2,0),"Nein")="Nein",IFERROR(VLOOKUP(D1253,Parameter!$A$35:$C$64,2,0),"Nein")=""),"-",VLOOKUP(D1253,Parameter!$A$35:$C$64,2,0)))))</f>
        <v>2</v>
      </c>
      <c r="Y1253" s="62"/>
      <c r="Z1253" s="63"/>
      <c r="AA1253" s="57" t="n">
        <f aca="false">AP1253</f>
        <v>40</v>
      </c>
      <c r="AB1253" s="57" t="n">
        <f aca="false">MAX(AP1253,G1253)</f>
        <v>40</v>
      </c>
      <c r="AC1253" s="64"/>
      <c r="AD1253" s="57" t="n">
        <f aca="false">IF(LEFT(Cockpit!$C$5,1)="A",G1253,IF(BW1253=1,BX1253,IF(LEFT(Cockpit!$C$5,1)="B",AH1253,MAX(AH1253,G1253))))</f>
        <v>0</v>
      </c>
      <c r="AE1253" s="57" t="n">
        <f aca="false">IF(BR1253=1,0,ROUNDUP(AD1253/BQ1253,0))</f>
        <v>0</v>
      </c>
      <c r="AF1253" s="59" t="n">
        <f aca="false">IF(CD1253&gt;0,CD1253*MAX(1,AD1253/V1253),IF(BR1253=1,IF(AD1253&lt;=0,0,BS1253*MAX(1,IF(G1253&gt;0,AD1253/G1253,1))),IF(Q1253&gt;0,AE1253/Q1253,0))/MAX(0.1,N(Parameter!$M$21)))</f>
        <v>0</v>
      </c>
      <c r="AG1253" s="57" t="n">
        <f aca="false">AD1253*F1253</f>
        <v>0</v>
      </c>
      <c r="AH1253" s="57" t="n">
        <f aca="false">ROUNDUP(MAX(I1253/IF(BV1253&gt;0,BV1253,MAX(0.1,N(Cockpit!$C$6))),BY1253)/BQ1253,0)*BQ1253</f>
        <v>40</v>
      </c>
      <c r="AI1253" s="58" t="n">
        <f aca="false">IF(AF1253&gt;0,I1253/AF1253,-1)</f>
        <v>-1</v>
      </c>
      <c r="AJ1253" s="58" t="str">
        <f aca="false">IF(AND(OR(BU1253="L1",BU1253="L23"),AF1253&gt;0),SUMIFS($AF$7:$AF$1576,$BU$7:$BU$1576,BU1253,$AI$7:$AI$1576,"&gt;"&amp;AI1253)+SUMIFS($AF$7:$AF$1576,$BU$7:$BU$1576,BU1253,$AI$7:$AI$1576,AI1253,$BO$7:$BO$1576,"&lt;="&amp;BO1253),"")</f>
        <v/>
      </c>
      <c r="AK1253" s="65" t="n">
        <f aca="false">IF(AJ1253="",0,MAX(0,MIN(1,(IF(BU1253="L1",Parameter!$E$5,Parameter!$E$6+Parameter!$E$7)-(AJ1253-AF1253))/AF1253)))</f>
        <v>0</v>
      </c>
      <c r="AL1253" s="57" t="n">
        <f aca="false">IF(LEFT(Cockpit!$I$5,1)="A",G1253,IF(BW1253=1,BX1253,IF(LEFT(Cockpit!$I$5,1)="B",AP1253,MAX(AP1253,G1253))))</f>
        <v>40</v>
      </c>
      <c r="AM1253" s="57" t="n">
        <f aca="false">IF(BR1253=1,0,ROUNDUP(AL1253/BQ1253,0))</f>
        <v>1</v>
      </c>
      <c r="AN1253" s="59" t="n">
        <f aca="false">IF(CD1253&gt;0,CD1253*MAX(1,AL1253/V1253),IF(BR1253=1,IF(AL1253&lt;=0,0,BS1253*MAX(1,IF(G1253&gt;0,AL1253/G1253,1))),IF(Q1253&gt;0,AM1253/Q1253,0))/MAX(0.1,N(Parameter!$M$21)))</f>
        <v>0.333333333333333</v>
      </c>
      <c r="AO1253" s="57" t="n">
        <f aca="false">AL1253*F1253</f>
        <v>4743.2</v>
      </c>
      <c r="AP1253" s="57" t="n">
        <f aca="false">ROUNDUP(MAX(I1253/IF(BV1253&gt;0,BV1253,MAX(0.1,N(Cockpit!$I$6))),BY1253)/BQ1253,0)*BQ1253</f>
        <v>40</v>
      </c>
      <c r="AQ1253" s="58" t="n">
        <f aca="false">IF(AN1253&gt;0,I1253/AN1253,-1)</f>
        <v>51</v>
      </c>
      <c r="AR1253" s="58" t="n">
        <f aca="false">IF(AND(OR(BU1253="L1",BU1253="L23"),AN1253&gt;0),SUMIFS($AN$7:$AN$1576,$BU$7:$BU$1576,BU1253,$AQ$7:$AQ$1576,"&gt;"&amp;AQ1253)+SUMIFS($AN$7:$AN$1576,$BU$7:$BU$1576,BU1253,$AQ$7:$AQ$1576,AQ1253,$BO$7:$BO$1576,"&lt;="&amp;BO1253),"")</f>
        <v>83.3035884348496</v>
      </c>
      <c r="AS1253" s="65" t="n">
        <f aca="false">IF(AR1253="",0,MAX(0,MIN(1,(IF(BU1253="L1",Parameter!$E$5,Parameter!$E$6+Parameter!$E$7)-(AR1253-AN1253))/AN1253)))</f>
        <v>1</v>
      </c>
      <c r="AT1253" s="57" t="n">
        <f aca="false">IF(LEFT(Cockpit!$O$5,1)="A",G1253,IF(BW1253=1,BX1253,IF(LEFT(Cockpit!$O$5,1)="B",AX1253,MAX(AX1253,G1253))))</f>
        <v>40</v>
      </c>
      <c r="AU1253" s="57" t="n">
        <f aca="false">IF(BR1253=1,0,ROUNDUP(AT1253/BQ1253,0))</f>
        <v>1</v>
      </c>
      <c r="AV1253" s="59" t="n">
        <f aca="false">IF(CD1253&gt;0,CD1253*MAX(1,AT1253/V1253),IF(BR1253=1,IF(AT1253&lt;=0,0,BS1253*MAX(1,IF(G1253&gt;0,AT1253/G1253,1))),IF(Q1253&gt;0,AU1253/Q1253,0))/MAX(0.1,N(Parameter!$M$21)))</f>
        <v>0.333333333333333</v>
      </c>
      <c r="AW1253" s="57" t="n">
        <f aca="false">AT1253*F1253</f>
        <v>4743.2</v>
      </c>
      <c r="AX1253" s="57" t="n">
        <f aca="false">ROUNDUP(MAX(I1253/IF(BV1253&gt;0,BV1253,MAX(0.1,N(Cockpit!$O$6))),BY1253)/BQ1253,0)*BQ1253</f>
        <v>40</v>
      </c>
      <c r="AY1253" s="58" t="n">
        <f aca="false">IF(AV1253&gt;0,I1253/AV1253,-1)</f>
        <v>51</v>
      </c>
      <c r="AZ1253" s="58" t="n">
        <f aca="false">IF(AND(OR(BU1253="L1",BU1253="L23"),AV1253&gt;0),SUMIFS($AV$7:$AV$1576,$BU$7:$BU$1576,BU1253,$AY$7:$AY$1576,"&gt;"&amp;AY1253)+SUMIFS($AV$7:$AV$1576,$BU$7:$BU$1576,BU1253,$AY$7:$AY$1576,AY1253,$BO$7:$BO$1576,"&lt;="&amp;BO1253),"")</f>
        <v>79.1964722177334</v>
      </c>
      <c r="BA1253" s="65" t="n">
        <f aca="false">IF(AZ1253="",0,MAX(0,MIN(1,(IF(BU1253="L1",Parameter!$E$5,Parameter!$E$6+Parameter!$E$7)-(AZ1253-AV1253))/AV1253)))</f>
        <v>1</v>
      </c>
      <c r="BB1253" s="55" t="str">
        <f aca="false">IF(AF1253&lt;=0,"",IF(BU1253="Aussen","Aussenlager",IF(BU1253="-","Nicht im Lift",IF(AK1253&gt;=1,"Lift",IF(AK1253&lt;=0,"Aussenlager","teilweise")))))</f>
        <v/>
      </c>
      <c r="BC1253" s="55" t="str">
        <f aca="false">IF(AN1253&lt;=0,"",IF(BU1253="Aussen","Aussenlager",IF(BU1253="-","Nicht im Lift",IF(AS1253&gt;=1,"Lift",IF(AS1253&lt;=0,"Aussenlager","teilweise")))))</f>
        <v>Lift</v>
      </c>
      <c r="BD1253" s="55" t="str">
        <f aca="false">IF(AV1253&lt;=0,"",IF(BU1253="Aussen","Aussenlager",IF(BU1253="-","Nicht im Lift",IF(BA1253&gt;=1,"Lift",IF(BA1253&lt;=0,"Aussenlager","teilweise")))))</f>
        <v>Lift</v>
      </c>
      <c r="BE1253" s="55" t="str">
        <f aca="false">IF(A1253="","",IF(BN1253=1,"Neu; ","")&amp;IF(AND(BN1253=0,BI1253&lt;0),"negativer Bestand (Export "&amp;BI1253&amp;"); ","")&amp;IF(I1253&lt;=0,"Kein Verbrauch; ","")&amp;IF(CD1253&gt;0,"Lift "&amp;U1253&amp;" lt. Liftbericht (Fach "&amp;V1253&amp;" Stk); ",IF(BR1253=1,"Lose – Fläche geschätzt; ",""))&amp;IF(G1253&gt;AP1253,"Überbestand "&amp;ROUND(G1253-AP1253,0)&amp;" Stk / CHF "&amp;ROUND((G1253-AP1253)*F1253,0)&amp;"; ","")&amp;IF(AND(BW1253=1,BX1253&lt;BY1253),"MAX &lt; MB+LG; ","")&amp;IF(AND(CC1253&gt;0,CB1253*10&gt;CC1253),"zu hoch für Tablar; ","")&amp;IF(AND(BN1253=0,OR(BW1253=1,Y1253&lt;&gt;"",S1253&lt;&gt;"",T1253&lt;&gt;"",Z1253&lt;&gt;"")),"manuell übersteuert; ","")&amp;IF(AND(BR1253=0,Q1253=0),"Gebinde unbekannt / Stellmass fehlt; ","")&amp;IF(AND(BR1253=0,N(T1253)&lt;=0,N(P1253)&lt;=0),"Menge pro Gebinde fehlt (Ist = 1 Gebinde); ","")&amp;BM1253)</f>
        <v>negativer Bestand (Export -3); </v>
      </c>
      <c r="BF1253" s="55"/>
      <c r="BG1253" s="55"/>
      <c r="BH1253" s="62"/>
      <c r="BI1253" s="57" t="n">
        <v>-3</v>
      </c>
      <c r="BJ1253" s="57" t="n">
        <v>19</v>
      </c>
      <c r="BK1253" s="56" t="n">
        <v>-755.309999999999</v>
      </c>
      <c r="BL1253" s="57" t="n">
        <v>17</v>
      </c>
      <c r="BM1253" s="55"/>
      <c r="BN1253" s="60" t="n">
        <v>0</v>
      </c>
      <c r="BO1253" s="60" t="n">
        <v>1253</v>
      </c>
      <c r="BP1253" s="55" t="str">
        <f aca="false">IF(S1253&lt;&gt;"",UPPER(TRIM(S1253)),IF(O1253="","LOSE",O1253))</f>
        <v>S81</v>
      </c>
      <c r="BQ1253" s="57" t="n">
        <f aca="false">IF(BP1253="LOSE",1,IF(N(T1253)&gt;0,T1253,IF(N(P1253)&gt;0,P1253,MAX(1,G1253))))</f>
        <v>40</v>
      </c>
      <c r="BR1253" s="60" t="n">
        <f aca="false">IF(BP1253="LOSE",1,0)</f>
        <v>0</v>
      </c>
      <c r="BS1253" s="59" t="n">
        <f aca="false">IF(BR1253=0,0,IF(N(R1253)&gt;0,R1253,IFERROR(VLOOKUP(D1253,Parameter!$A$35:$C$64,3,0)+0,0)))</f>
        <v>0</v>
      </c>
      <c r="BT1253" s="55" t="n">
        <f aca="false">IF(Y1253&lt;&gt;"",Y1253,X1253)</f>
        <v>2</v>
      </c>
      <c r="BU1253" s="55" t="str">
        <f aca="false">IF(BT1253=1,"L1",IF(OR(BT1253=2,BT1253=3),"L23",IF(BT1253="Aussen","Aussen","-")))</f>
        <v>L23</v>
      </c>
      <c r="BV1253" s="66" t="n">
        <f aca="false">IF(N(Z1253)&gt;0,Z1253,0)</f>
        <v>0</v>
      </c>
      <c r="BW1253" s="60" t="n">
        <f aca="false">IF(ISNUMBER(AC1253),1,0)</f>
        <v>0</v>
      </c>
      <c r="BX1253" s="57" t="n">
        <f aca="false">N(AC1253)</f>
        <v>0</v>
      </c>
      <c r="BY1253" s="57" t="n">
        <f aca="false">N(L1253)+N(M1253)</f>
        <v>15</v>
      </c>
      <c r="BZ1253" s="57" t="n">
        <f aca="false">ROUNDUP(G1253/BQ1253,0)</f>
        <v>0</v>
      </c>
      <c r="CA1253" s="57" t="n">
        <f aca="false">ROUNDUP(BX1253/BQ1253,0)</f>
        <v>0</v>
      </c>
      <c r="CB1253" s="60" t="n">
        <f aca="false">IF(BR1253=1,0,IFERROR(VLOOKUP(BP1253,'Gebinde-Kategorie'!$A$5:$M$45,5,0)+0,0))</f>
        <v>20</v>
      </c>
      <c r="CC1253" s="60" t="n">
        <f aca="false">IFERROR(IF(OR(BT1253=1,BT1253=2,BT1253=3),N(INDEX(Parameter!$I$5:$I$7,BT1253)),0),0)</f>
        <v>0</v>
      </c>
      <c r="CD1253" s="59" t="n">
        <f aca="false">IF(AND(Parameter!$B$21="Ja",ISNUMBER(U1253),N(V1253)&gt;0),IFERROR(N(INDEX(Parameter!$L$5:$L$7,U1253))*INDEX(Parameter!$E$5:$E$7,U1253)*V1253/SUMIFS($V$7:$V$1576,$U$7:$U$1576,U1253),0),0)</f>
        <v>0</v>
      </c>
    </row>
    <row r="1254" customFormat="false" ht="15" hidden="false" customHeight="false" outlineLevel="0" collapsed="false">
      <c r="A1254" s="55" t="s">
        <v>2227</v>
      </c>
      <c r="B1254" s="55" t="s">
        <v>177</v>
      </c>
      <c r="C1254" s="55" t="s">
        <v>160</v>
      </c>
      <c r="D1254" s="55" t="s">
        <v>178</v>
      </c>
      <c r="E1254" s="55" t="s">
        <v>210</v>
      </c>
      <c r="F1254" s="56" t="n">
        <v>292.14</v>
      </c>
      <c r="G1254" s="57" t="n">
        <f aca="false">MAX(0,IF(AND(Parameter!$B$21="Ja",ISNUMBER(W1254)),W1254,IF(Parameter!$B$20="Jahresanfang 2025 + Export",BJ1254+BI1254,BI1254)))</f>
        <v>0</v>
      </c>
      <c r="H1254" s="57" t="n">
        <f aca="false">G1254*F1254</f>
        <v>0</v>
      </c>
      <c r="I1254" s="57" t="n">
        <f aca="false">BL1254*Parameter!$B$18</f>
        <v>3</v>
      </c>
      <c r="J1254" s="58" t="n">
        <v>2.5</v>
      </c>
      <c r="K1254" s="59" t="n">
        <v>1.2</v>
      </c>
      <c r="L1254" s="57" t="n">
        <v>0</v>
      </c>
      <c r="M1254" s="57" t="n">
        <v>5</v>
      </c>
      <c r="N1254" s="60" t="n">
        <v>28</v>
      </c>
      <c r="O1254" s="55" t="s">
        <v>163</v>
      </c>
      <c r="P1254" s="57"/>
      <c r="Q1254" s="60" t="n">
        <f aca="false">IF(BR1254=1,0,IFERROR(VLOOKUP(BP1254,'Gebinde-Kategorie'!$A$5:$M$45,13,0)+0,0))</f>
        <v>0</v>
      </c>
      <c r="R1254" s="61"/>
      <c r="S1254" s="62"/>
      <c r="T1254" s="62"/>
      <c r="U1254" s="55"/>
      <c r="V1254" s="57"/>
      <c r="W1254" s="57"/>
      <c r="X1254" s="55" t="n">
        <f aca="false">IF(A1254="","",IF(AND(Parameter!$B$21="Ja",ISNUMBER(U1254)),U1254,IF(IFERROR(VLOOKUP(D1254,Parameter!$A$35:$C$64,2,0),"Nein")="2+3",IF(ISNUMBER(SEARCH("grosser Artikel",BM1254)),2,IFERROR(VLOOKUP(BP1254,Parameter!$F$35:$G$64,2,0),2)),IF(OR(IFERROR(VLOOKUP(D1254,Parameter!$A$35:$C$64,2,0),"Nein")="Nein",IFERROR(VLOOKUP(D1254,Parameter!$A$35:$C$64,2,0),"Nein")=""),"-",VLOOKUP(D1254,Parameter!$A$35:$C$64,2,0)))))</f>
        <v>2</v>
      </c>
      <c r="Y1254" s="62"/>
      <c r="Z1254" s="63"/>
      <c r="AA1254" s="57" t="n">
        <f aca="false">AP1254</f>
        <v>5</v>
      </c>
      <c r="AB1254" s="57" t="n">
        <f aca="false">MAX(AP1254,G1254)</f>
        <v>5</v>
      </c>
      <c r="AC1254" s="64"/>
      <c r="AD1254" s="57" t="n">
        <f aca="false">IF(LEFT(Cockpit!$C$5,1)="A",G1254,IF(BW1254=1,BX1254,IF(LEFT(Cockpit!$C$5,1)="B",AH1254,MAX(AH1254,G1254))))</f>
        <v>0</v>
      </c>
      <c r="AE1254" s="57" t="n">
        <f aca="false">IF(BR1254=1,0,ROUNDUP(AD1254/BQ1254,0))</f>
        <v>0</v>
      </c>
      <c r="AF1254" s="59" t="n">
        <f aca="false">IF(CD1254&gt;0,CD1254*MAX(1,AD1254/V1254),IF(BR1254=1,IF(AD1254&lt;=0,0,BS1254*MAX(1,IF(G1254&gt;0,AD1254/G1254,1))),IF(Q1254&gt;0,AE1254/Q1254,0))/MAX(0.1,N(Parameter!$M$21)))</f>
        <v>0</v>
      </c>
      <c r="AG1254" s="57" t="n">
        <f aca="false">AD1254*F1254</f>
        <v>0</v>
      </c>
      <c r="AH1254" s="57" t="n">
        <f aca="false">ROUNDUP(MAX(I1254/IF(BV1254&gt;0,BV1254,MAX(0.1,N(Cockpit!$C$6))),BY1254)/BQ1254,0)*BQ1254</f>
        <v>5</v>
      </c>
      <c r="AI1254" s="58" t="n">
        <f aca="false">IF(AF1254&gt;0,I1254/AF1254,-1)</f>
        <v>-1</v>
      </c>
      <c r="AJ1254" s="58" t="str">
        <f aca="false">IF(AND(OR(BU1254="L1",BU1254="L23"),AF1254&gt;0),SUMIFS($AF$7:$AF$1576,$BU$7:$BU$1576,BU1254,$AI$7:$AI$1576,"&gt;"&amp;AI1254)+SUMIFS($AF$7:$AF$1576,$BU$7:$BU$1576,BU1254,$AI$7:$AI$1576,AI1254,$BO$7:$BO$1576,"&lt;="&amp;BO1254),"")</f>
        <v/>
      </c>
      <c r="AK1254" s="65" t="n">
        <f aca="false">IF(AJ1254="",0,MAX(0,MIN(1,(IF(BU1254="L1",Parameter!$E$5,Parameter!$E$6+Parameter!$E$7)-(AJ1254-AF1254))/AF1254)))</f>
        <v>0</v>
      </c>
      <c r="AL1254" s="57" t="n">
        <f aca="false">IF(LEFT(Cockpit!$I$5,1)="A",G1254,IF(BW1254=1,BX1254,IF(LEFT(Cockpit!$I$5,1)="B",AP1254,MAX(AP1254,G1254))))</f>
        <v>5</v>
      </c>
      <c r="AM1254" s="57" t="n">
        <f aca="false">IF(BR1254=1,0,ROUNDUP(AL1254/BQ1254,0))</f>
        <v>0</v>
      </c>
      <c r="AN1254" s="59" t="n">
        <f aca="false">IF(CD1254&gt;0,CD1254*MAX(1,AL1254/V1254),IF(BR1254=1,IF(AL1254&lt;=0,0,BS1254*MAX(1,IF(G1254&gt;0,AL1254/G1254,1))),IF(Q1254&gt;0,AM1254/Q1254,0))/MAX(0.1,N(Parameter!$M$21)))</f>
        <v>0.03</v>
      </c>
      <c r="AO1254" s="57" t="n">
        <f aca="false">AL1254*F1254</f>
        <v>1460.7</v>
      </c>
      <c r="AP1254" s="57" t="n">
        <f aca="false">ROUNDUP(MAX(I1254/IF(BV1254&gt;0,BV1254,MAX(0.1,N(Cockpit!$I$6))),BY1254)/BQ1254,0)*BQ1254</f>
        <v>5</v>
      </c>
      <c r="AQ1254" s="58" t="n">
        <f aca="false">IF(AN1254&gt;0,I1254/AN1254,-1)</f>
        <v>100</v>
      </c>
      <c r="AR1254" s="58" t="n">
        <f aca="false">IF(AND(OR(BU1254="L1",BU1254="L23"),AN1254&gt;0),SUMIFS($AN$7:$AN$1576,$BU$7:$BU$1576,BU1254,$AQ$7:$AQ$1576,"&gt;"&amp;AQ1254)+SUMIFS($AN$7:$AN$1576,$BU$7:$BU$1576,BU1254,$AQ$7:$AQ$1576,AQ1254,$BO$7:$BO$1576,"&lt;="&amp;BO1254),"")</f>
        <v>69.6067780230392</v>
      </c>
      <c r="AS1254" s="65" t="n">
        <f aca="false">IF(AR1254="",0,MAX(0,MIN(1,(IF(BU1254="L1",Parameter!$E$5,Parameter!$E$6+Parameter!$E$7)-(AR1254-AN1254))/AN1254)))</f>
        <v>1</v>
      </c>
      <c r="AT1254" s="57" t="n">
        <f aca="false">IF(LEFT(Cockpit!$O$5,1)="A",G1254,IF(BW1254=1,BX1254,IF(LEFT(Cockpit!$O$5,1)="B",AX1254,MAX(AX1254,G1254))))</f>
        <v>5</v>
      </c>
      <c r="AU1254" s="57" t="n">
        <f aca="false">IF(BR1254=1,0,ROUNDUP(AT1254/BQ1254,0))</f>
        <v>0</v>
      </c>
      <c r="AV1254" s="59" t="n">
        <f aca="false">IF(CD1254&gt;0,CD1254*MAX(1,AT1254/V1254),IF(BR1254=1,IF(AT1254&lt;=0,0,BS1254*MAX(1,IF(G1254&gt;0,AT1254/G1254,1))),IF(Q1254&gt;0,AU1254/Q1254,0))/MAX(0.1,N(Parameter!$M$21)))</f>
        <v>0.03</v>
      </c>
      <c r="AW1254" s="57" t="n">
        <f aca="false">AT1254*F1254</f>
        <v>1460.7</v>
      </c>
      <c r="AX1254" s="57" t="n">
        <f aca="false">ROUNDUP(MAX(I1254/IF(BV1254&gt;0,BV1254,MAX(0.1,N(Cockpit!$O$6))),BY1254)/BQ1254,0)*BQ1254</f>
        <v>5</v>
      </c>
      <c r="AY1254" s="58" t="n">
        <f aca="false">IF(AV1254&gt;0,I1254/AV1254,-1)</f>
        <v>100</v>
      </c>
      <c r="AZ1254" s="58" t="n">
        <f aca="false">IF(AND(OR(BU1254="L1",BU1254="L23"),AV1254&gt;0),SUMIFS($AV$7:$AV$1576,$BU$7:$BU$1576,BU1254,$AY$7:$AY$1576,"&gt;"&amp;AY1254)+SUMIFS($AV$7:$AV$1576,$BU$7:$BU$1576,BU1254,$AY$7:$AY$1576,AY1254,$BO$7:$BO$1576,"&lt;="&amp;BO1254),"")</f>
        <v>64.167161805923</v>
      </c>
      <c r="BA1254" s="65" t="n">
        <f aca="false">IF(AZ1254="",0,MAX(0,MIN(1,(IF(BU1254="L1",Parameter!$E$5,Parameter!$E$6+Parameter!$E$7)-(AZ1254-AV1254))/AV1254)))</f>
        <v>1</v>
      </c>
      <c r="BB1254" s="55" t="str">
        <f aca="false">IF(AF1254&lt;=0,"",IF(BU1254="Aussen","Aussenlager",IF(BU1254="-","Nicht im Lift",IF(AK1254&gt;=1,"Lift",IF(AK1254&lt;=0,"Aussenlager","teilweise")))))</f>
        <v/>
      </c>
      <c r="BC1254" s="55" t="str">
        <f aca="false">IF(AN1254&lt;=0,"",IF(BU1254="Aussen","Aussenlager",IF(BU1254="-","Nicht im Lift",IF(AS1254&gt;=1,"Lift",IF(AS1254&lt;=0,"Aussenlager","teilweise")))))</f>
        <v>Lift</v>
      </c>
      <c r="BD1254" s="55" t="str">
        <f aca="false">IF(AV1254&lt;=0,"",IF(BU1254="Aussen","Aussenlager",IF(BU1254="-","Nicht im Lift",IF(BA1254&gt;=1,"Lift",IF(BA1254&lt;=0,"Aussenlager","teilweise")))))</f>
        <v>Lift</v>
      </c>
      <c r="BE1254" s="55" t="str">
        <f aca="false">IF(A1254="","",IF(BN1254=1,"Neu; ","")&amp;IF(AND(BN1254=0,BI1254&lt;0),"negativer Bestand (Export "&amp;BI1254&amp;"); ","")&amp;IF(I1254&lt;=0,"Kein Verbrauch; ","")&amp;IF(CD1254&gt;0,"Lift "&amp;U1254&amp;" lt. Liftbericht (Fach "&amp;V1254&amp;" Stk); ",IF(BR1254=1,"Lose – Fläche geschätzt; ",""))&amp;IF(G1254&gt;AP1254,"Überbestand "&amp;ROUND(G1254-AP1254,0)&amp;" Stk / CHF "&amp;ROUND((G1254-AP1254)*F1254,0)&amp;"; ","")&amp;IF(AND(BW1254=1,BX1254&lt;BY1254),"MAX &lt; MB+LG; ","")&amp;IF(AND(CC1254&gt;0,CB1254*10&gt;CC1254),"zu hoch für Tablar; ","")&amp;IF(AND(BN1254=0,OR(BW1254=1,Y1254&lt;&gt;"",S1254&lt;&gt;"",T1254&lt;&gt;"",Z1254&lt;&gt;"")),"manuell übersteuert; ","")&amp;IF(AND(BR1254=0,Q1254=0),"Gebinde unbekannt / Stellmass fehlt; ","")&amp;IF(AND(BR1254=0,N(T1254)&lt;=0,N(P1254)&lt;=0),"Menge pro Gebinde fehlt (Ist = 1 Gebinde); ","")&amp;BM1254)</f>
        <v>negativer Bestand (Export -3); Lose – Fläche geschätzt; </v>
      </c>
      <c r="BF1254" s="55"/>
      <c r="BG1254" s="55"/>
      <c r="BH1254" s="62"/>
      <c r="BI1254" s="57" t="n">
        <v>-3</v>
      </c>
      <c r="BJ1254" s="57" t="n">
        <v>4</v>
      </c>
      <c r="BK1254" s="56" t="n">
        <v>-758.74</v>
      </c>
      <c r="BL1254" s="57" t="n">
        <v>3</v>
      </c>
      <c r="BM1254" s="55"/>
      <c r="BN1254" s="60" t="n">
        <v>0</v>
      </c>
      <c r="BO1254" s="60" t="n">
        <v>1254</v>
      </c>
      <c r="BP1254" s="55" t="str">
        <f aca="false">IF(S1254&lt;&gt;"",UPPER(TRIM(S1254)),IF(O1254="","LOSE",O1254))</f>
        <v>LOSE</v>
      </c>
      <c r="BQ1254" s="57" t="n">
        <f aca="false">IF(BP1254="LOSE",1,IF(N(T1254)&gt;0,T1254,IF(N(P1254)&gt;0,P1254,MAX(1,G1254))))</f>
        <v>1</v>
      </c>
      <c r="BR1254" s="60" t="n">
        <f aca="false">IF(BP1254="LOSE",1,0)</f>
        <v>1</v>
      </c>
      <c r="BS1254" s="59" t="n">
        <f aca="false">IF(BR1254=0,0,IF(N(R1254)&gt;0,R1254,IFERROR(VLOOKUP(D1254,Parameter!$A$35:$C$64,3,0)+0,0)))</f>
        <v>0.03</v>
      </c>
      <c r="BT1254" s="55" t="n">
        <f aca="false">IF(Y1254&lt;&gt;"",Y1254,X1254)</f>
        <v>2</v>
      </c>
      <c r="BU1254" s="55" t="str">
        <f aca="false">IF(BT1254=1,"L1",IF(OR(BT1254=2,BT1254=3),"L23",IF(BT1254="Aussen","Aussen","-")))</f>
        <v>L23</v>
      </c>
      <c r="BV1254" s="66" t="n">
        <f aca="false">IF(N(Z1254)&gt;0,Z1254,0)</f>
        <v>0</v>
      </c>
      <c r="BW1254" s="60" t="n">
        <f aca="false">IF(ISNUMBER(AC1254),1,0)</f>
        <v>0</v>
      </c>
      <c r="BX1254" s="57" t="n">
        <f aca="false">N(AC1254)</f>
        <v>0</v>
      </c>
      <c r="BY1254" s="57" t="n">
        <f aca="false">N(L1254)+N(M1254)</f>
        <v>5</v>
      </c>
      <c r="BZ1254" s="57" t="n">
        <f aca="false">ROUNDUP(G1254/BQ1254,0)</f>
        <v>0</v>
      </c>
      <c r="CA1254" s="57" t="n">
        <f aca="false">ROUNDUP(BX1254/BQ1254,0)</f>
        <v>0</v>
      </c>
      <c r="CB1254" s="60" t="n">
        <f aca="false">IF(BR1254=1,0,IFERROR(VLOOKUP(BP1254,'Gebinde-Kategorie'!$A$5:$M$45,5,0)+0,0))</f>
        <v>0</v>
      </c>
      <c r="CC1254" s="60" t="n">
        <f aca="false">IFERROR(IF(OR(BT1254=1,BT1254=2,BT1254=3),N(INDEX(Parameter!$I$5:$I$7,BT1254)),0),0)</f>
        <v>0</v>
      </c>
      <c r="CD1254" s="59" t="n">
        <f aca="false">IF(AND(Parameter!$B$21="Ja",ISNUMBER(U1254),N(V1254)&gt;0),IFERROR(N(INDEX(Parameter!$L$5:$L$7,U1254))*INDEX(Parameter!$E$5:$E$7,U1254)*V1254/SUMIFS($V$7:$V$1576,$U$7:$U$1576,U1254),0),0)</f>
        <v>0</v>
      </c>
    </row>
    <row r="1255" customFormat="false" ht="15" hidden="false" customHeight="false" outlineLevel="0" collapsed="false">
      <c r="A1255" s="55" t="s">
        <v>2228</v>
      </c>
      <c r="B1255" s="55" t="s">
        <v>2229</v>
      </c>
      <c r="C1255" s="55" t="s">
        <v>160</v>
      </c>
      <c r="D1255" s="55" t="s">
        <v>168</v>
      </c>
      <c r="E1255" s="55" t="s">
        <v>210</v>
      </c>
      <c r="F1255" s="56" t="n">
        <v>380</v>
      </c>
      <c r="G1255" s="57" t="n">
        <f aca="false">MAX(0,IF(AND(Parameter!$B$21="Ja",ISNUMBER(W1255)),W1255,IF(Parameter!$B$20="Jahresanfang 2025 + Export",BJ1255+BI1255,BI1255)))</f>
        <v>0</v>
      </c>
      <c r="H1255" s="57" t="n">
        <f aca="false">G1255*F1255</f>
        <v>0</v>
      </c>
      <c r="I1255" s="57" t="n">
        <f aca="false">BL1255*Parameter!$B$18</f>
        <v>2</v>
      </c>
      <c r="J1255" s="58" t="n">
        <v>10</v>
      </c>
      <c r="K1255" s="59" t="n">
        <v>0.2</v>
      </c>
      <c r="L1255" s="57" t="n">
        <v>0</v>
      </c>
      <c r="M1255" s="57" t="n">
        <v>1</v>
      </c>
      <c r="N1255" s="60" t="n">
        <v>35</v>
      </c>
      <c r="O1255" s="55" t="s">
        <v>225</v>
      </c>
      <c r="P1255" s="57" t="n">
        <v>10</v>
      </c>
      <c r="Q1255" s="60" t="n">
        <f aca="false">IF(BR1255=1,0,IFERROR(VLOOKUP(BP1255,'Gebinde-Kategorie'!$A$5:$M$45,13,0)+0,0))</f>
        <v>26</v>
      </c>
      <c r="R1255" s="61"/>
      <c r="S1255" s="62"/>
      <c r="T1255" s="62"/>
      <c r="U1255" s="55"/>
      <c r="V1255" s="57"/>
      <c r="W1255" s="57"/>
      <c r="X1255" s="55" t="n">
        <f aca="false">IF(A1255="","",IF(AND(Parameter!$B$21="Ja",ISNUMBER(U1255)),U1255,IF(IFERROR(VLOOKUP(D1255,Parameter!$A$35:$C$64,2,0),"Nein")="2+3",IF(ISNUMBER(SEARCH("grosser Artikel",BM1255)),2,IFERROR(VLOOKUP(BP1255,Parameter!$F$35:$G$64,2,0),2)),IF(OR(IFERROR(VLOOKUP(D1255,Parameter!$A$35:$C$64,2,0),"Nein")="Nein",IFERROR(VLOOKUP(D1255,Parameter!$A$35:$C$64,2,0),"Nein")=""),"-",VLOOKUP(D1255,Parameter!$A$35:$C$64,2,0)))))</f>
        <v>3</v>
      </c>
      <c r="Y1255" s="62"/>
      <c r="Z1255" s="63"/>
      <c r="AA1255" s="57" t="n">
        <f aca="false">AP1255</f>
        <v>10</v>
      </c>
      <c r="AB1255" s="57" t="n">
        <f aca="false">MAX(AP1255,G1255)</f>
        <v>10</v>
      </c>
      <c r="AC1255" s="64"/>
      <c r="AD1255" s="57" t="n">
        <f aca="false">IF(LEFT(Cockpit!$C$5,1)="A",G1255,IF(BW1255=1,BX1255,IF(LEFT(Cockpit!$C$5,1)="B",AH1255,MAX(AH1255,G1255))))</f>
        <v>0</v>
      </c>
      <c r="AE1255" s="57" t="n">
        <f aca="false">IF(BR1255=1,0,ROUNDUP(AD1255/BQ1255,0))</f>
        <v>0</v>
      </c>
      <c r="AF1255" s="59" t="n">
        <f aca="false">IF(CD1255&gt;0,CD1255*MAX(1,AD1255/V1255),IF(BR1255=1,IF(AD1255&lt;=0,0,BS1255*MAX(1,IF(G1255&gt;0,AD1255/G1255,1))),IF(Q1255&gt;0,AE1255/Q1255,0))/MAX(0.1,N(Parameter!$M$21)))</f>
        <v>0</v>
      </c>
      <c r="AG1255" s="57" t="n">
        <f aca="false">AD1255*F1255</f>
        <v>0</v>
      </c>
      <c r="AH1255" s="57" t="n">
        <f aca="false">ROUNDUP(MAX(I1255/IF(BV1255&gt;0,BV1255,MAX(0.1,N(Cockpit!$C$6))),BY1255)/BQ1255,0)*BQ1255</f>
        <v>10</v>
      </c>
      <c r="AI1255" s="58" t="n">
        <f aca="false">IF(AF1255&gt;0,I1255/AF1255,-1)</f>
        <v>-1</v>
      </c>
      <c r="AJ1255" s="58" t="str">
        <f aca="false">IF(AND(OR(BU1255="L1",BU1255="L23"),AF1255&gt;0),SUMIFS($AF$7:$AF$1576,$BU$7:$BU$1576,BU1255,$AI$7:$AI$1576,"&gt;"&amp;AI1255)+SUMIFS($AF$7:$AF$1576,$BU$7:$BU$1576,BU1255,$AI$7:$AI$1576,AI1255,$BO$7:$BO$1576,"&lt;="&amp;BO1255),"")</f>
        <v/>
      </c>
      <c r="AK1255" s="65" t="n">
        <f aca="false">IF(AJ1255="",0,MAX(0,MIN(1,(IF(BU1255="L1",Parameter!$E$5,Parameter!$E$6+Parameter!$E$7)-(AJ1255-AF1255))/AF1255)))</f>
        <v>0</v>
      </c>
      <c r="AL1255" s="57" t="n">
        <f aca="false">IF(LEFT(Cockpit!$I$5,1)="A",G1255,IF(BW1255=1,BX1255,IF(LEFT(Cockpit!$I$5,1)="B",AP1255,MAX(AP1255,G1255))))</f>
        <v>10</v>
      </c>
      <c r="AM1255" s="57" t="n">
        <f aca="false">IF(BR1255=1,0,ROUNDUP(AL1255/BQ1255,0))</f>
        <v>1</v>
      </c>
      <c r="AN1255" s="59" t="n">
        <f aca="false">IF(CD1255&gt;0,CD1255*MAX(1,AL1255/V1255),IF(BR1255=1,IF(AL1255&lt;=0,0,BS1255*MAX(1,IF(G1255&gt;0,AL1255/G1255,1))),IF(Q1255&gt;0,AM1255/Q1255,0))/MAX(0.1,N(Parameter!$M$21)))</f>
        <v>0.0384615384615385</v>
      </c>
      <c r="AO1255" s="57" t="n">
        <f aca="false">AL1255*F1255</f>
        <v>3800</v>
      </c>
      <c r="AP1255" s="57" t="n">
        <f aca="false">ROUNDUP(MAX(I1255/IF(BV1255&gt;0,BV1255,MAX(0.1,N(Cockpit!$I$6))),BY1255)/BQ1255,0)*BQ1255</f>
        <v>10</v>
      </c>
      <c r="AQ1255" s="58" t="n">
        <f aca="false">IF(AN1255&gt;0,I1255/AN1255,-1)</f>
        <v>52</v>
      </c>
      <c r="AR1255" s="58" t="n">
        <f aca="false">IF(AND(OR(BU1255="L1",BU1255="L23"),AN1255&gt;0),SUMIFS($AN$7:$AN$1576,$BU$7:$BU$1576,BU1255,$AQ$7:$AQ$1576,"&gt;"&amp;AQ1255)+SUMIFS($AN$7:$AN$1576,$BU$7:$BU$1576,BU1255,$AQ$7:$AQ$1576,AQ1255,$BO$7:$BO$1576,"&lt;="&amp;BO1255),"")</f>
        <v>82.3683320245932</v>
      </c>
      <c r="AS1255" s="65" t="n">
        <f aca="false">IF(AR1255="",0,MAX(0,MIN(1,(IF(BU1255="L1",Parameter!$E$5,Parameter!$E$6+Parameter!$E$7)-(AR1255-AN1255))/AN1255)))</f>
        <v>1</v>
      </c>
      <c r="AT1255" s="57" t="n">
        <f aca="false">IF(LEFT(Cockpit!$O$5,1)="A",G1255,IF(BW1255=1,BX1255,IF(LEFT(Cockpit!$O$5,1)="B",AX1255,MAX(AX1255,G1255))))</f>
        <v>10</v>
      </c>
      <c r="AU1255" s="57" t="n">
        <f aca="false">IF(BR1255=1,0,ROUNDUP(AT1255/BQ1255,0))</f>
        <v>1</v>
      </c>
      <c r="AV1255" s="59" t="n">
        <f aca="false">IF(CD1255&gt;0,CD1255*MAX(1,AT1255/V1255),IF(BR1255=1,IF(AT1255&lt;=0,0,BS1255*MAX(1,IF(G1255&gt;0,AT1255/G1255,1))),IF(Q1255&gt;0,AU1255/Q1255,0))/MAX(0.1,N(Parameter!$M$21)))</f>
        <v>0.0384615384615385</v>
      </c>
      <c r="AW1255" s="57" t="n">
        <f aca="false">AT1255*F1255</f>
        <v>3800</v>
      </c>
      <c r="AX1255" s="57" t="n">
        <f aca="false">ROUNDUP(MAX(I1255/IF(BV1255&gt;0,BV1255,MAX(0.1,N(Cockpit!$O$6))),BY1255)/BQ1255,0)*BQ1255</f>
        <v>10</v>
      </c>
      <c r="AY1255" s="58" t="n">
        <f aca="false">IF(AV1255&gt;0,I1255/AV1255,-1)</f>
        <v>52</v>
      </c>
      <c r="AZ1255" s="58" t="n">
        <f aca="false">IF(AND(OR(BU1255="L1",BU1255="L23"),AV1255&gt;0),SUMIFS($AV$7:$AV$1576,$BU$7:$BU$1576,BU1255,$AY$7:$AY$1576,"&gt;"&amp;AY1255)+SUMIFS($AV$7:$AV$1576,$BU$7:$BU$1576,BU1255,$AY$7:$AY$1576,AY1255,$BO$7:$BO$1576,"&lt;="&amp;BO1255),"")</f>
        <v>78.786215807477</v>
      </c>
      <c r="BA1255" s="65" t="n">
        <f aca="false">IF(AZ1255="",0,MAX(0,MIN(1,(IF(BU1255="L1",Parameter!$E$5,Parameter!$E$6+Parameter!$E$7)-(AZ1255-AV1255))/AV1255)))</f>
        <v>1</v>
      </c>
      <c r="BB1255" s="55" t="str">
        <f aca="false">IF(AF1255&lt;=0,"",IF(BU1255="Aussen","Aussenlager",IF(BU1255="-","Nicht im Lift",IF(AK1255&gt;=1,"Lift",IF(AK1255&lt;=0,"Aussenlager","teilweise")))))</f>
        <v/>
      </c>
      <c r="BC1255" s="55" t="str">
        <f aca="false">IF(AN1255&lt;=0,"",IF(BU1255="Aussen","Aussenlager",IF(BU1255="-","Nicht im Lift",IF(AS1255&gt;=1,"Lift",IF(AS1255&lt;=0,"Aussenlager","teilweise")))))</f>
        <v>Lift</v>
      </c>
      <c r="BD1255" s="55" t="str">
        <f aca="false">IF(AV1255&lt;=0,"",IF(BU1255="Aussen","Aussenlager",IF(BU1255="-","Nicht im Lift",IF(BA1255&gt;=1,"Lift",IF(BA1255&lt;=0,"Aussenlager","teilweise")))))</f>
        <v>Lift</v>
      </c>
      <c r="BE1255" s="55" t="str">
        <f aca="false">IF(A1255="","",IF(BN1255=1,"Neu; ","")&amp;IF(AND(BN1255=0,BI1255&lt;0),"negativer Bestand (Export "&amp;BI1255&amp;"); ","")&amp;IF(I1255&lt;=0,"Kein Verbrauch; ","")&amp;IF(CD1255&gt;0,"Lift "&amp;U1255&amp;" lt. Liftbericht (Fach "&amp;V1255&amp;" Stk); ",IF(BR1255=1,"Lose – Fläche geschätzt; ",""))&amp;IF(G1255&gt;AP1255,"Überbestand "&amp;ROUND(G1255-AP1255,0)&amp;" Stk / CHF "&amp;ROUND((G1255-AP1255)*F1255,0)&amp;"; ","")&amp;IF(AND(BW1255=1,BX1255&lt;BY1255),"MAX &lt; MB+LG; ","")&amp;IF(AND(CC1255&gt;0,CB1255*10&gt;CC1255),"zu hoch für Tablar; ","")&amp;IF(AND(BN1255=0,OR(BW1255=1,Y1255&lt;&gt;"",S1255&lt;&gt;"",T1255&lt;&gt;"",Z1255&lt;&gt;"")),"manuell übersteuert; ","")&amp;IF(AND(BR1255=0,Q1255=0),"Gebinde unbekannt / Stellmass fehlt; ","")&amp;IF(AND(BR1255=0,N(T1255)&lt;=0,N(P1255)&lt;=0),"Menge pro Gebinde fehlt (Ist = 1 Gebinde); ","")&amp;BM1255)</f>
        <v>negativer Bestand (Export -2); </v>
      </c>
      <c r="BF1255" s="55"/>
      <c r="BG1255" s="55"/>
      <c r="BH1255" s="62"/>
      <c r="BI1255" s="57" t="n">
        <v>-2</v>
      </c>
      <c r="BJ1255" s="57" t="n">
        <v>11</v>
      </c>
      <c r="BK1255" s="56" t="n">
        <v>-760</v>
      </c>
      <c r="BL1255" s="57" t="n">
        <v>2</v>
      </c>
      <c r="BM1255" s="55"/>
      <c r="BN1255" s="60" t="n">
        <v>0</v>
      </c>
      <c r="BO1255" s="60" t="n">
        <v>1255</v>
      </c>
      <c r="BP1255" s="55" t="str">
        <f aca="false">IF(S1255&lt;&gt;"",UPPER(TRIM(S1255)),IF(O1255="","LOSE",O1255))</f>
        <v>S52</v>
      </c>
      <c r="BQ1255" s="57" t="n">
        <f aca="false">IF(BP1255="LOSE",1,IF(N(T1255)&gt;0,T1255,IF(N(P1255)&gt;0,P1255,MAX(1,G1255))))</f>
        <v>10</v>
      </c>
      <c r="BR1255" s="60" t="n">
        <f aca="false">IF(BP1255="LOSE",1,0)</f>
        <v>0</v>
      </c>
      <c r="BS1255" s="59" t="n">
        <f aca="false">IF(BR1255=0,0,IF(N(R1255)&gt;0,R1255,IFERROR(VLOOKUP(D1255,Parameter!$A$35:$C$64,3,0)+0,0)))</f>
        <v>0</v>
      </c>
      <c r="BT1255" s="55" t="n">
        <f aca="false">IF(Y1255&lt;&gt;"",Y1255,X1255)</f>
        <v>3</v>
      </c>
      <c r="BU1255" s="55" t="str">
        <f aca="false">IF(BT1255=1,"L1",IF(OR(BT1255=2,BT1255=3),"L23",IF(BT1255="Aussen","Aussen","-")))</f>
        <v>L23</v>
      </c>
      <c r="BV1255" s="66" t="n">
        <f aca="false">IF(N(Z1255)&gt;0,Z1255,0)</f>
        <v>0</v>
      </c>
      <c r="BW1255" s="60" t="n">
        <f aca="false">IF(ISNUMBER(AC1255),1,0)</f>
        <v>0</v>
      </c>
      <c r="BX1255" s="57" t="n">
        <f aca="false">N(AC1255)</f>
        <v>0</v>
      </c>
      <c r="BY1255" s="57" t="n">
        <f aca="false">N(L1255)+N(M1255)</f>
        <v>1</v>
      </c>
      <c r="BZ1255" s="57" t="n">
        <f aca="false">ROUNDUP(G1255/BQ1255,0)</f>
        <v>0</v>
      </c>
      <c r="CA1255" s="57" t="n">
        <f aca="false">ROUNDUP(BX1255/BQ1255,0)</f>
        <v>0</v>
      </c>
      <c r="CB1255" s="60" t="n">
        <f aca="false">IF(BR1255=1,0,IFERROR(VLOOKUP(BP1255,'Gebinde-Kategorie'!$A$5:$M$45,5,0)+0,0))</f>
        <v>21</v>
      </c>
      <c r="CC1255" s="60" t="n">
        <f aca="false">IFERROR(IF(OR(BT1255=1,BT1255=2,BT1255=3),N(INDEX(Parameter!$I$5:$I$7,BT1255)),0),0)</f>
        <v>0</v>
      </c>
      <c r="CD1255" s="59" t="n">
        <f aca="false">IF(AND(Parameter!$B$21="Ja",ISNUMBER(U1255),N(V1255)&gt;0),IFERROR(N(INDEX(Parameter!$L$5:$L$7,U1255))*INDEX(Parameter!$E$5:$E$7,U1255)*V1255/SUMIFS($V$7:$V$1576,$U$7:$U$1576,U1255),0),0)</f>
        <v>0</v>
      </c>
    </row>
    <row r="1256" customFormat="false" ht="15" hidden="false" customHeight="false" outlineLevel="0" collapsed="false">
      <c r="A1256" s="55" t="s">
        <v>2230</v>
      </c>
      <c r="B1256" s="55" t="s">
        <v>421</v>
      </c>
      <c r="C1256" s="55" t="s">
        <v>160</v>
      </c>
      <c r="D1256" s="55" t="s">
        <v>178</v>
      </c>
      <c r="E1256" s="55" t="s">
        <v>210</v>
      </c>
      <c r="F1256" s="56" t="n">
        <v>104.71</v>
      </c>
      <c r="G1256" s="57" t="n">
        <f aca="false">MAX(0,IF(AND(Parameter!$B$21="Ja",ISNUMBER(W1256)),W1256,IF(Parameter!$B$20="Jahresanfang 2025 + Export",BJ1256+BI1256,BI1256)))</f>
        <v>0</v>
      </c>
      <c r="H1256" s="57" t="n">
        <f aca="false">G1256*F1256</f>
        <v>0</v>
      </c>
      <c r="I1256" s="57" t="n">
        <f aca="false">BL1256*Parameter!$B$18</f>
        <v>143</v>
      </c>
      <c r="J1256" s="58" t="n">
        <v>60</v>
      </c>
      <c r="K1256" s="59" t="n">
        <v>2.38333333333333</v>
      </c>
      <c r="L1256" s="57" t="n">
        <v>20</v>
      </c>
      <c r="M1256" s="57" t="n">
        <v>50</v>
      </c>
      <c r="N1256" s="60" t="n">
        <v>56</v>
      </c>
      <c r="O1256" s="55" t="s">
        <v>218</v>
      </c>
      <c r="P1256" s="57" t="n">
        <v>154</v>
      </c>
      <c r="Q1256" s="60" t="n">
        <f aca="false">IF(BR1256=1,0,IFERROR(VLOOKUP(BP1256,'Gebinde-Kategorie'!$A$5:$M$45,13,0)+0,0))</f>
        <v>12</v>
      </c>
      <c r="R1256" s="61"/>
      <c r="S1256" s="62"/>
      <c r="T1256" s="62"/>
      <c r="U1256" s="55"/>
      <c r="V1256" s="57"/>
      <c r="W1256" s="57"/>
      <c r="X1256" s="55" t="n">
        <f aca="false">IF(A1256="","",IF(AND(Parameter!$B$21="Ja",ISNUMBER(U1256)),U1256,IF(IFERROR(VLOOKUP(D1256,Parameter!$A$35:$C$64,2,0),"Nein")="2+3",IF(ISNUMBER(SEARCH("grosser Artikel",BM1256)),2,IFERROR(VLOOKUP(BP1256,Parameter!$F$35:$G$64,2,0),2)),IF(OR(IFERROR(VLOOKUP(D1256,Parameter!$A$35:$C$64,2,0),"Nein")="Nein",IFERROR(VLOOKUP(D1256,Parameter!$A$35:$C$64,2,0),"Nein")=""),"-",VLOOKUP(D1256,Parameter!$A$35:$C$64,2,0)))))</f>
        <v>2</v>
      </c>
      <c r="Y1256" s="62"/>
      <c r="Z1256" s="63"/>
      <c r="AA1256" s="57" t="n">
        <f aca="false">AP1256</f>
        <v>154</v>
      </c>
      <c r="AB1256" s="57" t="n">
        <f aca="false">MAX(AP1256,G1256)</f>
        <v>154</v>
      </c>
      <c r="AC1256" s="64"/>
      <c r="AD1256" s="57" t="n">
        <f aca="false">IF(LEFT(Cockpit!$C$5,1)="A",G1256,IF(BW1256=1,BX1256,IF(LEFT(Cockpit!$C$5,1)="B",AH1256,MAX(AH1256,G1256))))</f>
        <v>0</v>
      </c>
      <c r="AE1256" s="57" t="n">
        <f aca="false">IF(BR1256=1,0,ROUNDUP(AD1256/BQ1256,0))</f>
        <v>0</v>
      </c>
      <c r="AF1256" s="59" t="n">
        <f aca="false">IF(CD1256&gt;0,CD1256*MAX(1,AD1256/V1256),IF(BR1256=1,IF(AD1256&lt;=0,0,BS1256*MAX(1,IF(G1256&gt;0,AD1256/G1256,1))),IF(Q1256&gt;0,AE1256/Q1256,0))/MAX(0.1,N(Parameter!$M$21)))</f>
        <v>0</v>
      </c>
      <c r="AG1256" s="57" t="n">
        <f aca="false">AD1256*F1256</f>
        <v>0</v>
      </c>
      <c r="AH1256" s="57" t="n">
        <f aca="false">ROUNDUP(MAX(I1256/IF(BV1256&gt;0,BV1256,MAX(0.1,N(Cockpit!$C$6))),BY1256)/BQ1256,0)*BQ1256</f>
        <v>154</v>
      </c>
      <c r="AI1256" s="58" t="n">
        <f aca="false">IF(AF1256&gt;0,I1256/AF1256,-1)</f>
        <v>-1</v>
      </c>
      <c r="AJ1256" s="58" t="str">
        <f aca="false">IF(AND(OR(BU1256="L1",BU1256="L23"),AF1256&gt;0),SUMIFS($AF$7:$AF$1576,$BU$7:$BU$1576,BU1256,$AI$7:$AI$1576,"&gt;"&amp;AI1256)+SUMIFS($AF$7:$AF$1576,$BU$7:$BU$1576,BU1256,$AI$7:$AI$1576,AI1256,$BO$7:$BO$1576,"&lt;="&amp;BO1256),"")</f>
        <v/>
      </c>
      <c r="AK1256" s="65" t="n">
        <f aca="false">IF(AJ1256="",0,MAX(0,MIN(1,(IF(BU1256="L1",Parameter!$E$5,Parameter!$E$6+Parameter!$E$7)-(AJ1256-AF1256))/AF1256)))</f>
        <v>0</v>
      </c>
      <c r="AL1256" s="57" t="n">
        <f aca="false">IF(LEFT(Cockpit!$I$5,1)="A",G1256,IF(BW1256=1,BX1256,IF(LEFT(Cockpit!$I$5,1)="B",AP1256,MAX(AP1256,G1256))))</f>
        <v>154</v>
      </c>
      <c r="AM1256" s="57" t="n">
        <f aca="false">IF(BR1256=1,0,ROUNDUP(AL1256/BQ1256,0))</f>
        <v>1</v>
      </c>
      <c r="AN1256" s="59" t="n">
        <f aca="false">IF(CD1256&gt;0,CD1256*MAX(1,AL1256/V1256),IF(BR1256=1,IF(AL1256&lt;=0,0,BS1256*MAX(1,IF(G1256&gt;0,AL1256/G1256,1))),IF(Q1256&gt;0,AM1256/Q1256,0))/MAX(0.1,N(Parameter!$M$21)))</f>
        <v>0.0833333333333333</v>
      </c>
      <c r="AO1256" s="57" t="n">
        <f aca="false">AL1256*F1256</f>
        <v>16125.34</v>
      </c>
      <c r="AP1256" s="57" t="n">
        <f aca="false">ROUNDUP(MAX(I1256/IF(BV1256&gt;0,BV1256,MAX(0.1,N(Cockpit!$I$6))),BY1256)/BQ1256,0)*BQ1256</f>
        <v>154</v>
      </c>
      <c r="AQ1256" s="58" t="n">
        <f aca="false">IF(AN1256&gt;0,I1256/AN1256,-1)</f>
        <v>1716</v>
      </c>
      <c r="AR1256" s="58" t="n">
        <f aca="false">IF(AND(OR(BU1256="L1",BU1256="L23"),AN1256&gt;0),SUMIFS($AN$7:$AN$1576,$BU$7:$BU$1576,BU1256,$AQ$7:$AQ$1576,"&gt;"&amp;AQ1256)+SUMIFS($AN$7:$AN$1576,$BU$7:$BU$1576,BU1256,$AQ$7:$AQ$1576,AQ1256,$BO$7:$BO$1576,"&lt;="&amp;BO1256),"")</f>
        <v>18.3270230376864</v>
      </c>
      <c r="AS1256" s="65" t="n">
        <f aca="false">IF(AR1256="",0,MAX(0,MIN(1,(IF(BU1256="L1",Parameter!$E$5,Parameter!$E$6+Parameter!$E$7)-(AR1256-AN1256))/AN1256)))</f>
        <v>1</v>
      </c>
      <c r="AT1256" s="57" t="n">
        <f aca="false">IF(LEFT(Cockpit!$O$5,1)="A",G1256,IF(BW1256=1,BX1256,IF(LEFT(Cockpit!$O$5,1)="B",AX1256,MAX(AX1256,G1256))))</f>
        <v>154</v>
      </c>
      <c r="AU1256" s="57" t="n">
        <f aca="false">IF(BR1256=1,0,ROUNDUP(AT1256/BQ1256,0))</f>
        <v>1</v>
      </c>
      <c r="AV1256" s="59" t="n">
        <f aca="false">IF(CD1256&gt;0,CD1256*MAX(1,AT1256/V1256),IF(BR1256=1,IF(AT1256&lt;=0,0,BS1256*MAX(1,IF(G1256&gt;0,AT1256/G1256,1))),IF(Q1256&gt;0,AU1256/Q1256,0))/MAX(0.1,N(Parameter!$M$21)))</f>
        <v>0.0833333333333333</v>
      </c>
      <c r="AW1256" s="57" t="n">
        <f aca="false">AT1256*F1256</f>
        <v>16125.34</v>
      </c>
      <c r="AX1256" s="57" t="n">
        <f aca="false">ROUNDUP(MAX(I1256/IF(BV1256&gt;0,BV1256,MAX(0.1,N(Cockpit!$O$6))),BY1256)/BQ1256,0)*BQ1256</f>
        <v>154</v>
      </c>
      <c r="AY1256" s="58" t="n">
        <f aca="false">IF(AV1256&gt;0,I1256/AV1256,-1)</f>
        <v>1716</v>
      </c>
      <c r="AZ1256" s="58" t="n">
        <f aca="false">IF(AND(OR(BU1256="L1",BU1256="L23"),AV1256&gt;0),SUMIFS($AV$7:$AV$1576,$BU$7:$BU$1576,BU1256,$AY$7:$AY$1576,"&gt;"&amp;AY1256)+SUMIFS($AV$7:$AV$1576,$BU$7:$BU$1576,BU1256,$AY$7:$AY$1576,AY1256,$BO$7:$BO$1576,"&lt;="&amp;BO1256),"")</f>
        <v>17.3042957649591</v>
      </c>
      <c r="BA1256" s="65" t="n">
        <f aca="false">IF(AZ1256="",0,MAX(0,MIN(1,(IF(BU1256="L1",Parameter!$E$5,Parameter!$E$6+Parameter!$E$7)-(AZ1256-AV1256))/AV1256)))</f>
        <v>1</v>
      </c>
      <c r="BB1256" s="55" t="str">
        <f aca="false">IF(AF1256&lt;=0,"",IF(BU1256="Aussen","Aussenlager",IF(BU1256="-","Nicht im Lift",IF(AK1256&gt;=1,"Lift",IF(AK1256&lt;=0,"Aussenlager","teilweise")))))</f>
        <v/>
      </c>
      <c r="BC1256" s="55" t="str">
        <f aca="false">IF(AN1256&lt;=0,"",IF(BU1256="Aussen","Aussenlager",IF(BU1256="-","Nicht im Lift",IF(AS1256&gt;=1,"Lift",IF(AS1256&lt;=0,"Aussenlager","teilweise")))))</f>
        <v>Lift</v>
      </c>
      <c r="BD1256" s="55" t="str">
        <f aca="false">IF(AV1256&lt;=0,"",IF(BU1256="Aussen","Aussenlager",IF(BU1256="-","Nicht im Lift",IF(BA1256&gt;=1,"Lift",IF(BA1256&lt;=0,"Aussenlager","teilweise")))))</f>
        <v>Lift</v>
      </c>
      <c r="BE1256" s="55" t="str">
        <f aca="false">IF(A1256="","",IF(BN1256=1,"Neu; ","")&amp;IF(AND(BN1256=0,BI1256&lt;0),"negativer Bestand (Export "&amp;BI1256&amp;"); ","")&amp;IF(I1256&lt;=0,"Kein Verbrauch; ","")&amp;IF(CD1256&gt;0,"Lift "&amp;U1256&amp;" lt. Liftbericht (Fach "&amp;V1256&amp;" Stk); ",IF(BR1256=1,"Lose – Fläche geschätzt; ",""))&amp;IF(G1256&gt;AP1256,"Überbestand "&amp;ROUND(G1256-AP1256,0)&amp;" Stk / CHF "&amp;ROUND((G1256-AP1256)*F1256,0)&amp;"; ","")&amp;IF(AND(BW1256=1,BX1256&lt;BY1256),"MAX &lt; MB+LG; ","")&amp;IF(AND(CC1256&gt;0,CB1256*10&gt;CC1256),"zu hoch für Tablar; ","")&amp;IF(AND(BN1256=0,OR(BW1256=1,Y1256&lt;&gt;"",S1256&lt;&gt;"",T1256&lt;&gt;"",Z1256&lt;&gt;"")),"manuell übersteuert; ","")&amp;IF(AND(BR1256=0,Q1256=0),"Gebinde unbekannt / Stellmass fehlt; ","")&amp;IF(AND(BR1256=0,N(T1256)&lt;=0,N(P1256)&lt;=0),"Menge pro Gebinde fehlt (Ist = 1 Gebinde); ","")&amp;BM1256)</f>
        <v>negativer Bestand (Export -27); </v>
      </c>
      <c r="BF1256" s="55"/>
      <c r="BG1256" s="55"/>
      <c r="BH1256" s="62"/>
      <c r="BI1256" s="57" t="n">
        <v>-27</v>
      </c>
      <c r="BJ1256" s="57" t="n">
        <v>77</v>
      </c>
      <c r="BK1256" s="56" t="n">
        <v>-762.8</v>
      </c>
      <c r="BL1256" s="57" t="n">
        <v>143</v>
      </c>
      <c r="BM1256" s="55"/>
      <c r="BN1256" s="60" t="n">
        <v>0</v>
      </c>
      <c r="BO1256" s="60" t="n">
        <v>1256</v>
      </c>
      <c r="BP1256" s="55" t="str">
        <f aca="false">IF(S1256&lt;&gt;"",UPPER(TRIM(S1256)),IF(O1256="","LOSE",O1256))</f>
        <v>S63</v>
      </c>
      <c r="BQ1256" s="57" t="n">
        <f aca="false">IF(BP1256="LOSE",1,IF(N(T1256)&gt;0,T1256,IF(N(P1256)&gt;0,P1256,MAX(1,G1256))))</f>
        <v>154</v>
      </c>
      <c r="BR1256" s="60" t="n">
        <f aca="false">IF(BP1256="LOSE",1,0)</f>
        <v>0</v>
      </c>
      <c r="BS1256" s="59" t="n">
        <f aca="false">IF(BR1256=0,0,IF(N(R1256)&gt;0,R1256,IFERROR(VLOOKUP(D1256,Parameter!$A$35:$C$64,3,0)+0,0)))</f>
        <v>0</v>
      </c>
      <c r="BT1256" s="55" t="n">
        <f aca="false">IF(Y1256&lt;&gt;"",Y1256,X1256)</f>
        <v>2</v>
      </c>
      <c r="BU1256" s="55" t="str">
        <f aca="false">IF(BT1256=1,"L1",IF(OR(BT1256=2,BT1256=3),"L23",IF(BT1256="Aussen","Aussen","-")))</f>
        <v>L23</v>
      </c>
      <c r="BV1256" s="66" t="n">
        <f aca="false">IF(N(Z1256)&gt;0,Z1256,0)</f>
        <v>0</v>
      </c>
      <c r="BW1256" s="60" t="n">
        <f aca="false">IF(ISNUMBER(AC1256),1,0)</f>
        <v>0</v>
      </c>
      <c r="BX1256" s="57" t="n">
        <f aca="false">N(AC1256)</f>
        <v>0</v>
      </c>
      <c r="BY1256" s="57" t="n">
        <f aca="false">N(L1256)+N(M1256)</f>
        <v>70</v>
      </c>
      <c r="BZ1256" s="57" t="n">
        <f aca="false">ROUNDUP(G1256/BQ1256,0)</f>
        <v>0</v>
      </c>
      <c r="CA1256" s="57" t="n">
        <f aca="false">ROUNDUP(BX1256/BQ1256,0)</f>
        <v>0</v>
      </c>
      <c r="CB1256" s="60" t="n">
        <f aca="false">IF(BR1256=1,0,IFERROR(VLOOKUP(BP1256,'Gebinde-Kategorie'!$A$5:$M$45,5,0)+0,0))</f>
        <v>31</v>
      </c>
      <c r="CC1256" s="60" t="n">
        <f aca="false">IFERROR(IF(OR(BT1256=1,BT1256=2,BT1256=3),N(INDEX(Parameter!$I$5:$I$7,BT1256)),0),0)</f>
        <v>0</v>
      </c>
      <c r="CD1256" s="59" t="n">
        <f aca="false">IF(AND(Parameter!$B$21="Ja",ISNUMBER(U1256),N(V1256)&gt;0),IFERROR(N(INDEX(Parameter!$L$5:$L$7,U1256))*INDEX(Parameter!$E$5:$E$7,U1256)*V1256/SUMIFS($V$7:$V$1576,$U$7:$U$1576,U1256),0),0)</f>
        <v>0</v>
      </c>
    </row>
    <row r="1257" customFormat="false" ht="15" hidden="false" customHeight="false" outlineLevel="0" collapsed="false">
      <c r="A1257" s="55" t="s">
        <v>2231</v>
      </c>
      <c r="B1257" s="55" t="s">
        <v>2232</v>
      </c>
      <c r="C1257" s="55" t="s">
        <v>160</v>
      </c>
      <c r="D1257" s="55" t="s">
        <v>178</v>
      </c>
      <c r="E1257" s="55" t="s">
        <v>210</v>
      </c>
      <c r="F1257" s="56" t="n">
        <v>95.87</v>
      </c>
      <c r="G1257" s="57" t="n">
        <f aca="false">MAX(0,IF(AND(Parameter!$B$21="Ja",ISNUMBER(W1257)),W1257,IF(Parameter!$B$20="Jahresanfang 2025 + Export",BJ1257+BI1257,BI1257)))</f>
        <v>0</v>
      </c>
      <c r="H1257" s="57" t="n">
        <f aca="false">G1257*F1257</f>
        <v>0</v>
      </c>
      <c r="I1257" s="57" t="n">
        <f aca="false">BL1257*Parameter!$B$18</f>
        <v>4</v>
      </c>
      <c r="J1257" s="58" t="n">
        <v>12</v>
      </c>
      <c r="K1257" s="59" t="n">
        <v>0.333333333333333</v>
      </c>
      <c r="L1257" s="57" t="n">
        <v>0</v>
      </c>
      <c r="M1257" s="57" t="n">
        <v>5</v>
      </c>
      <c r="N1257" s="60" t="n">
        <v>35</v>
      </c>
      <c r="O1257" s="55" t="s">
        <v>163</v>
      </c>
      <c r="P1257" s="57"/>
      <c r="Q1257" s="60" t="n">
        <f aca="false">IF(BR1257=1,0,IFERROR(VLOOKUP(BP1257,'Gebinde-Kategorie'!$A$5:$M$45,13,0)+0,0))</f>
        <v>0</v>
      </c>
      <c r="R1257" s="61"/>
      <c r="S1257" s="62"/>
      <c r="T1257" s="62"/>
      <c r="U1257" s="55"/>
      <c r="V1257" s="57"/>
      <c r="W1257" s="57"/>
      <c r="X1257" s="55" t="n">
        <f aca="false">IF(A1257="","",IF(AND(Parameter!$B$21="Ja",ISNUMBER(U1257)),U1257,IF(IFERROR(VLOOKUP(D1257,Parameter!$A$35:$C$64,2,0),"Nein")="2+3",IF(ISNUMBER(SEARCH("grosser Artikel",BM1257)),2,IFERROR(VLOOKUP(BP1257,Parameter!$F$35:$G$64,2,0),2)),IF(OR(IFERROR(VLOOKUP(D1257,Parameter!$A$35:$C$64,2,0),"Nein")="Nein",IFERROR(VLOOKUP(D1257,Parameter!$A$35:$C$64,2,0),"Nein")=""),"-",VLOOKUP(D1257,Parameter!$A$35:$C$64,2,0)))))</f>
        <v>2</v>
      </c>
      <c r="Y1257" s="62"/>
      <c r="Z1257" s="63"/>
      <c r="AA1257" s="57" t="n">
        <f aca="false">AP1257</f>
        <v>5</v>
      </c>
      <c r="AB1257" s="57" t="n">
        <f aca="false">MAX(AP1257,G1257)</f>
        <v>5</v>
      </c>
      <c r="AC1257" s="64"/>
      <c r="AD1257" s="57" t="n">
        <f aca="false">IF(LEFT(Cockpit!$C$5,1)="A",G1257,IF(BW1257=1,BX1257,IF(LEFT(Cockpit!$C$5,1)="B",AH1257,MAX(AH1257,G1257))))</f>
        <v>0</v>
      </c>
      <c r="AE1257" s="57" t="n">
        <f aca="false">IF(BR1257=1,0,ROUNDUP(AD1257/BQ1257,0))</f>
        <v>0</v>
      </c>
      <c r="AF1257" s="59" t="n">
        <f aca="false">IF(CD1257&gt;0,CD1257*MAX(1,AD1257/V1257),IF(BR1257=1,IF(AD1257&lt;=0,0,BS1257*MAX(1,IF(G1257&gt;0,AD1257/G1257,1))),IF(Q1257&gt;0,AE1257/Q1257,0))/MAX(0.1,N(Parameter!$M$21)))</f>
        <v>0</v>
      </c>
      <c r="AG1257" s="57" t="n">
        <f aca="false">AD1257*F1257</f>
        <v>0</v>
      </c>
      <c r="AH1257" s="57" t="n">
        <f aca="false">ROUNDUP(MAX(I1257/IF(BV1257&gt;0,BV1257,MAX(0.1,N(Cockpit!$C$6))),BY1257)/BQ1257,0)*BQ1257</f>
        <v>5</v>
      </c>
      <c r="AI1257" s="58" t="n">
        <f aca="false">IF(AF1257&gt;0,I1257/AF1257,-1)</f>
        <v>-1</v>
      </c>
      <c r="AJ1257" s="58" t="str">
        <f aca="false">IF(AND(OR(BU1257="L1",BU1257="L23"),AF1257&gt;0),SUMIFS($AF$7:$AF$1576,$BU$7:$BU$1576,BU1257,$AI$7:$AI$1576,"&gt;"&amp;AI1257)+SUMIFS($AF$7:$AF$1576,$BU$7:$BU$1576,BU1257,$AI$7:$AI$1576,AI1257,$BO$7:$BO$1576,"&lt;="&amp;BO1257),"")</f>
        <v/>
      </c>
      <c r="AK1257" s="65" t="n">
        <f aca="false">IF(AJ1257="",0,MAX(0,MIN(1,(IF(BU1257="L1",Parameter!$E$5,Parameter!$E$6+Parameter!$E$7)-(AJ1257-AF1257))/AF1257)))</f>
        <v>0</v>
      </c>
      <c r="AL1257" s="57" t="n">
        <f aca="false">IF(LEFT(Cockpit!$I$5,1)="A",G1257,IF(BW1257=1,BX1257,IF(LEFT(Cockpit!$I$5,1)="B",AP1257,MAX(AP1257,G1257))))</f>
        <v>5</v>
      </c>
      <c r="AM1257" s="57" t="n">
        <f aca="false">IF(BR1257=1,0,ROUNDUP(AL1257/BQ1257,0))</f>
        <v>0</v>
      </c>
      <c r="AN1257" s="59" t="n">
        <f aca="false">IF(CD1257&gt;0,CD1257*MAX(1,AL1257/V1257),IF(BR1257=1,IF(AL1257&lt;=0,0,BS1257*MAX(1,IF(G1257&gt;0,AL1257/G1257,1))),IF(Q1257&gt;0,AM1257/Q1257,0))/MAX(0.1,N(Parameter!$M$21)))</f>
        <v>0.03</v>
      </c>
      <c r="AO1257" s="57" t="n">
        <f aca="false">AL1257*F1257</f>
        <v>479.35</v>
      </c>
      <c r="AP1257" s="57" t="n">
        <f aca="false">ROUNDUP(MAX(I1257/IF(BV1257&gt;0,BV1257,MAX(0.1,N(Cockpit!$I$6))),BY1257)/BQ1257,0)*BQ1257</f>
        <v>5</v>
      </c>
      <c r="AQ1257" s="58" t="n">
        <f aca="false">IF(AN1257&gt;0,I1257/AN1257,-1)</f>
        <v>133.333333333333</v>
      </c>
      <c r="AR1257" s="58" t="n">
        <f aca="false">IF(AND(OR(BU1257="L1",BU1257="L23"),AN1257&gt;0),SUMIFS($AN$7:$AN$1576,$BU$7:$BU$1576,BU1257,$AQ$7:$AQ$1576,"&gt;"&amp;AQ1257)+SUMIFS($AN$7:$AN$1576,$BU$7:$BU$1576,BU1257,$AQ$7:$AQ$1576,AQ1257,$BO$7:$BO$1576,"&lt;="&amp;BO1257),"")</f>
        <v>59.972223827235</v>
      </c>
      <c r="AS1257" s="65" t="n">
        <f aca="false">IF(AR1257="",0,MAX(0,MIN(1,(IF(BU1257="L1",Parameter!$E$5,Parameter!$E$6+Parameter!$E$7)-(AR1257-AN1257))/AN1257)))</f>
        <v>1</v>
      </c>
      <c r="AT1257" s="57" t="n">
        <f aca="false">IF(LEFT(Cockpit!$O$5,1)="A",G1257,IF(BW1257=1,BX1257,IF(LEFT(Cockpit!$O$5,1)="B",AX1257,MAX(AX1257,G1257))))</f>
        <v>5</v>
      </c>
      <c r="AU1257" s="57" t="n">
        <f aca="false">IF(BR1257=1,0,ROUNDUP(AT1257/BQ1257,0))</f>
        <v>0</v>
      </c>
      <c r="AV1257" s="59" t="n">
        <f aca="false">IF(CD1257&gt;0,CD1257*MAX(1,AT1257/V1257),IF(BR1257=1,IF(AT1257&lt;=0,0,BS1257*MAX(1,IF(G1257&gt;0,AT1257/G1257,1))),IF(Q1257&gt;0,AU1257/Q1257,0))/MAX(0.1,N(Parameter!$M$21)))</f>
        <v>0.03</v>
      </c>
      <c r="AW1257" s="57" t="n">
        <f aca="false">AT1257*F1257</f>
        <v>479.35</v>
      </c>
      <c r="AX1257" s="57" t="n">
        <f aca="false">ROUNDUP(MAX(I1257/IF(BV1257&gt;0,BV1257,MAX(0.1,N(Cockpit!$O$6))),BY1257)/BQ1257,0)*BQ1257</f>
        <v>5</v>
      </c>
      <c r="AY1257" s="58" t="n">
        <f aca="false">IF(AV1257&gt;0,I1257/AV1257,-1)</f>
        <v>133.333333333333</v>
      </c>
      <c r="AZ1257" s="58" t="n">
        <f aca="false">IF(AND(OR(BU1257="L1",BU1257="L23"),AV1257&gt;0),SUMIFS($AV$7:$AV$1576,$BU$7:$BU$1576,BU1257,$AY$7:$AY$1576,"&gt;"&amp;AY1257)+SUMIFS($AV$7:$AV$1576,$BU$7:$BU$1576,BU1257,$AY$7:$AY$1576,AY1257,$BO$7:$BO$1576,"&lt;="&amp;BO1257),"")</f>
        <v>54.6346909434521</v>
      </c>
      <c r="BA1257" s="65" t="n">
        <f aca="false">IF(AZ1257="",0,MAX(0,MIN(1,(IF(BU1257="L1",Parameter!$E$5,Parameter!$E$6+Parameter!$E$7)-(AZ1257-AV1257))/AV1257)))</f>
        <v>1</v>
      </c>
      <c r="BB1257" s="55" t="str">
        <f aca="false">IF(AF1257&lt;=0,"",IF(BU1257="Aussen","Aussenlager",IF(BU1257="-","Nicht im Lift",IF(AK1257&gt;=1,"Lift",IF(AK1257&lt;=0,"Aussenlager","teilweise")))))</f>
        <v/>
      </c>
      <c r="BC1257" s="55" t="str">
        <f aca="false">IF(AN1257&lt;=0,"",IF(BU1257="Aussen","Aussenlager",IF(BU1257="-","Nicht im Lift",IF(AS1257&gt;=1,"Lift",IF(AS1257&lt;=0,"Aussenlager","teilweise")))))</f>
        <v>Lift</v>
      </c>
      <c r="BD1257" s="55" t="str">
        <f aca="false">IF(AV1257&lt;=0,"",IF(BU1257="Aussen","Aussenlager",IF(BU1257="-","Nicht im Lift",IF(BA1257&gt;=1,"Lift",IF(BA1257&lt;=0,"Aussenlager","teilweise")))))</f>
        <v>Lift</v>
      </c>
      <c r="BE1257" s="55" t="str">
        <f aca="false">IF(A1257="","",IF(BN1257=1,"Neu; ","")&amp;IF(AND(BN1257=0,BI1257&lt;0),"negativer Bestand (Export "&amp;BI1257&amp;"); ","")&amp;IF(I1257&lt;=0,"Kein Verbrauch; ","")&amp;IF(CD1257&gt;0,"Lift "&amp;U1257&amp;" lt. Liftbericht (Fach "&amp;V1257&amp;" Stk); ",IF(BR1257=1,"Lose – Fläche geschätzt; ",""))&amp;IF(G1257&gt;AP1257,"Überbestand "&amp;ROUND(G1257-AP1257,0)&amp;" Stk / CHF "&amp;ROUND((G1257-AP1257)*F1257,0)&amp;"; ","")&amp;IF(AND(BW1257=1,BX1257&lt;BY1257),"MAX &lt; MB+LG; ","")&amp;IF(AND(CC1257&gt;0,CB1257*10&gt;CC1257),"zu hoch für Tablar; ","")&amp;IF(AND(BN1257=0,OR(BW1257=1,Y1257&lt;&gt;"",S1257&lt;&gt;"",T1257&lt;&gt;"",Z1257&lt;&gt;"")),"manuell übersteuert; ","")&amp;IF(AND(BR1257=0,Q1257=0),"Gebinde unbekannt / Stellmass fehlt; ","")&amp;IF(AND(BR1257=0,N(T1257)&lt;=0,N(P1257)&lt;=0),"Menge pro Gebinde fehlt (Ist = 1 Gebinde); ","")&amp;BM1257)</f>
        <v>negativer Bestand (Export -8); Lose – Fläche geschätzt; </v>
      </c>
      <c r="BF1257" s="55"/>
      <c r="BG1257" s="55"/>
      <c r="BH1257" s="62"/>
      <c r="BI1257" s="57" t="n">
        <v>-8</v>
      </c>
      <c r="BJ1257" s="57" t="n">
        <v>14</v>
      </c>
      <c r="BK1257" s="56" t="n">
        <v>-766.96</v>
      </c>
      <c r="BL1257" s="57" t="n">
        <v>4</v>
      </c>
      <c r="BM1257" s="55"/>
      <c r="BN1257" s="60" t="n">
        <v>0</v>
      </c>
      <c r="BO1257" s="60" t="n">
        <v>1257</v>
      </c>
      <c r="BP1257" s="55" t="str">
        <f aca="false">IF(S1257&lt;&gt;"",UPPER(TRIM(S1257)),IF(O1257="","LOSE",O1257))</f>
        <v>LOSE</v>
      </c>
      <c r="BQ1257" s="57" t="n">
        <f aca="false">IF(BP1257="LOSE",1,IF(N(T1257)&gt;0,T1257,IF(N(P1257)&gt;0,P1257,MAX(1,G1257))))</f>
        <v>1</v>
      </c>
      <c r="BR1257" s="60" t="n">
        <f aca="false">IF(BP1257="LOSE",1,0)</f>
        <v>1</v>
      </c>
      <c r="BS1257" s="59" t="n">
        <f aca="false">IF(BR1257=0,0,IF(N(R1257)&gt;0,R1257,IFERROR(VLOOKUP(D1257,Parameter!$A$35:$C$64,3,0)+0,0)))</f>
        <v>0.03</v>
      </c>
      <c r="BT1257" s="55" t="n">
        <f aca="false">IF(Y1257&lt;&gt;"",Y1257,X1257)</f>
        <v>2</v>
      </c>
      <c r="BU1257" s="55" t="str">
        <f aca="false">IF(BT1257=1,"L1",IF(OR(BT1257=2,BT1257=3),"L23",IF(BT1257="Aussen","Aussen","-")))</f>
        <v>L23</v>
      </c>
      <c r="BV1257" s="66" t="n">
        <f aca="false">IF(N(Z1257)&gt;0,Z1257,0)</f>
        <v>0</v>
      </c>
      <c r="BW1257" s="60" t="n">
        <f aca="false">IF(ISNUMBER(AC1257),1,0)</f>
        <v>0</v>
      </c>
      <c r="BX1257" s="57" t="n">
        <f aca="false">N(AC1257)</f>
        <v>0</v>
      </c>
      <c r="BY1257" s="57" t="n">
        <f aca="false">N(L1257)+N(M1257)</f>
        <v>5</v>
      </c>
      <c r="BZ1257" s="57" t="n">
        <f aca="false">ROUNDUP(G1257/BQ1257,0)</f>
        <v>0</v>
      </c>
      <c r="CA1257" s="57" t="n">
        <f aca="false">ROUNDUP(BX1257/BQ1257,0)</f>
        <v>0</v>
      </c>
      <c r="CB1257" s="60" t="n">
        <f aca="false">IF(BR1257=1,0,IFERROR(VLOOKUP(BP1257,'Gebinde-Kategorie'!$A$5:$M$45,5,0)+0,0))</f>
        <v>0</v>
      </c>
      <c r="CC1257" s="60" t="n">
        <f aca="false">IFERROR(IF(OR(BT1257=1,BT1257=2,BT1257=3),N(INDEX(Parameter!$I$5:$I$7,BT1257)),0),0)</f>
        <v>0</v>
      </c>
      <c r="CD1257" s="59" t="n">
        <f aca="false">IF(AND(Parameter!$B$21="Ja",ISNUMBER(U1257),N(V1257)&gt;0),IFERROR(N(INDEX(Parameter!$L$5:$L$7,U1257))*INDEX(Parameter!$E$5:$E$7,U1257)*V1257/SUMIFS($V$7:$V$1576,$U$7:$U$1576,U1257),0),0)</f>
        <v>0</v>
      </c>
    </row>
    <row r="1258" customFormat="false" ht="15" hidden="false" customHeight="false" outlineLevel="0" collapsed="false">
      <c r="A1258" s="55" t="s">
        <v>2233</v>
      </c>
      <c r="B1258" s="55" t="s">
        <v>998</v>
      </c>
      <c r="C1258" s="55" t="s">
        <v>160</v>
      </c>
      <c r="D1258" s="55" t="s">
        <v>168</v>
      </c>
      <c r="E1258" s="55" t="s">
        <v>210</v>
      </c>
      <c r="F1258" s="56" t="n">
        <v>5.45</v>
      </c>
      <c r="G1258" s="57" t="n">
        <f aca="false">MAX(0,IF(AND(Parameter!$B$21="Ja",ISNUMBER(W1258)),W1258,IF(Parameter!$B$20="Jahresanfang 2025 + Export",BJ1258+BI1258,BI1258)))</f>
        <v>0</v>
      </c>
      <c r="H1258" s="57" t="n">
        <f aca="false">G1258*F1258</f>
        <v>0</v>
      </c>
      <c r="I1258" s="57" t="n">
        <f aca="false">BL1258*Parameter!$B$18</f>
        <v>185</v>
      </c>
      <c r="J1258" s="58" t="n">
        <v>118.5</v>
      </c>
      <c r="K1258" s="59" t="n">
        <v>1.56118143459916</v>
      </c>
      <c r="L1258" s="57" t="n">
        <v>32</v>
      </c>
      <c r="M1258" s="57" t="n">
        <v>185</v>
      </c>
      <c r="N1258" s="60" t="n">
        <v>63</v>
      </c>
      <c r="O1258" s="55" t="s">
        <v>163</v>
      </c>
      <c r="P1258" s="57"/>
      <c r="Q1258" s="60" t="n">
        <f aca="false">IF(BR1258=1,0,IFERROR(VLOOKUP(BP1258,'Gebinde-Kategorie'!$A$5:$M$45,13,0)+0,0))</f>
        <v>0</v>
      </c>
      <c r="R1258" s="61"/>
      <c r="S1258" s="62"/>
      <c r="T1258" s="62"/>
      <c r="U1258" s="55"/>
      <c r="V1258" s="57"/>
      <c r="W1258" s="57"/>
      <c r="X1258" s="55" t="n">
        <f aca="false">IF(A1258="","",IF(AND(Parameter!$B$21="Ja",ISNUMBER(U1258)),U1258,IF(IFERROR(VLOOKUP(D1258,Parameter!$A$35:$C$64,2,0),"Nein")="2+3",IF(ISNUMBER(SEARCH("grosser Artikel",BM1258)),2,IFERROR(VLOOKUP(BP1258,Parameter!$F$35:$G$64,2,0),2)),IF(OR(IFERROR(VLOOKUP(D1258,Parameter!$A$35:$C$64,2,0),"Nein")="Nein",IFERROR(VLOOKUP(D1258,Parameter!$A$35:$C$64,2,0),"Nein")=""),"-",VLOOKUP(D1258,Parameter!$A$35:$C$64,2,0)))))</f>
        <v>2</v>
      </c>
      <c r="Y1258" s="62"/>
      <c r="Z1258" s="63"/>
      <c r="AA1258" s="57" t="n">
        <f aca="false">AP1258</f>
        <v>217</v>
      </c>
      <c r="AB1258" s="57" t="n">
        <f aca="false">MAX(AP1258,G1258)</f>
        <v>217</v>
      </c>
      <c r="AC1258" s="64"/>
      <c r="AD1258" s="57" t="n">
        <f aca="false">IF(LEFT(Cockpit!$C$5,1)="A",G1258,IF(BW1258=1,BX1258,IF(LEFT(Cockpit!$C$5,1)="B",AH1258,MAX(AH1258,G1258))))</f>
        <v>0</v>
      </c>
      <c r="AE1258" s="57" t="n">
        <f aca="false">IF(BR1258=1,0,ROUNDUP(AD1258/BQ1258,0))</f>
        <v>0</v>
      </c>
      <c r="AF1258" s="59" t="n">
        <f aca="false">IF(CD1258&gt;0,CD1258*MAX(1,AD1258/V1258),IF(BR1258=1,IF(AD1258&lt;=0,0,BS1258*MAX(1,IF(G1258&gt;0,AD1258/G1258,1))),IF(Q1258&gt;0,AE1258/Q1258,0))/MAX(0.1,N(Parameter!$M$21)))</f>
        <v>0</v>
      </c>
      <c r="AG1258" s="57" t="n">
        <f aca="false">AD1258*F1258</f>
        <v>0</v>
      </c>
      <c r="AH1258" s="57" t="n">
        <f aca="false">ROUNDUP(MAX(I1258/IF(BV1258&gt;0,BV1258,MAX(0.1,N(Cockpit!$C$6))),BY1258)/BQ1258,0)*BQ1258</f>
        <v>217</v>
      </c>
      <c r="AI1258" s="58" t="n">
        <f aca="false">IF(AF1258&gt;0,I1258/AF1258,-1)</f>
        <v>-1</v>
      </c>
      <c r="AJ1258" s="58" t="str">
        <f aca="false">IF(AND(OR(BU1258="L1",BU1258="L23"),AF1258&gt;0),SUMIFS($AF$7:$AF$1576,$BU$7:$BU$1576,BU1258,$AI$7:$AI$1576,"&gt;"&amp;AI1258)+SUMIFS($AF$7:$AF$1576,$BU$7:$BU$1576,BU1258,$AI$7:$AI$1576,AI1258,$BO$7:$BO$1576,"&lt;="&amp;BO1258),"")</f>
        <v/>
      </c>
      <c r="AK1258" s="65" t="n">
        <f aca="false">IF(AJ1258="",0,MAX(0,MIN(1,(IF(BU1258="L1",Parameter!$E$5,Parameter!$E$6+Parameter!$E$7)-(AJ1258-AF1258))/AF1258)))</f>
        <v>0</v>
      </c>
      <c r="AL1258" s="57" t="n">
        <f aca="false">IF(LEFT(Cockpit!$I$5,1)="A",G1258,IF(BW1258=1,BX1258,IF(LEFT(Cockpit!$I$5,1)="B",AP1258,MAX(AP1258,G1258))))</f>
        <v>217</v>
      </c>
      <c r="AM1258" s="57" t="n">
        <f aca="false">IF(BR1258=1,0,ROUNDUP(AL1258/BQ1258,0))</f>
        <v>0</v>
      </c>
      <c r="AN1258" s="59" t="n">
        <f aca="false">IF(CD1258&gt;0,CD1258*MAX(1,AL1258/V1258),IF(BR1258=1,IF(AL1258&lt;=0,0,BS1258*MAX(1,IF(G1258&gt;0,AL1258/G1258,1))),IF(Q1258&gt;0,AM1258/Q1258,0))/MAX(0.1,N(Parameter!$M$21)))</f>
        <v>0.15</v>
      </c>
      <c r="AO1258" s="57" t="n">
        <f aca="false">AL1258*F1258</f>
        <v>1182.65</v>
      </c>
      <c r="AP1258" s="57" t="n">
        <f aca="false">ROUNDUP(MAX(I1258/IF(BV1258&gt;0,BV1258,MAX(0.1,N(Cockpit!$I$6))),BY1258)/BQ1258,0)*BQ1258</f>
        <v>217</v>
      </c>
      <c r="AQ1258" s="58" t="n">
        <f aca="false">IF(AN1258&gt;0,I1258/AN1258,-1)</f>
        <v>1233.33333333333</v>
      </c>
      <c r="AR1258" s="58" t="n">
        <f aca="false">IF(AND(OR(BU1258="L1",BU1258="L23"),AN1258&gt;0),SUMIFS($AN$7:$AN$1576,$BU$7:$BU$1576,BU1258,$AQ$7:$AQ$1576,"&gt;"&amp;AQ1258)+SUMIFS($AN$7:$AN$1576,$BU$7:$BU$1576,BU1258,$AQ$7:$AQ$1576,AQ1258,$BO$7:$BO$1576,"&lt;="&amp;BO1258),"")</f>
        <v>20.8839400337338</v>
      </c>
      <c r="AS1258" s="65" t="n">
        <f aca="false">IF(AR1258="",0,MAX(0,MIN(1,(IF(BU1258="L1",Parameter!$E$5,Parameter!$E$6+Parameter!$E$7)-(AR1258-AN1258))/AN1258)))</f>
        <v>1</v>
      </c>
      <c r="AT1258" s="57" t="n">
        <f aca="false">IF(LEFT(Cockpit!$O$5,1)="A",G1258,IF(BW1258=1,BX1258,IF(LEFT(Cockpit!$O$5,1)="B",AX1258,MAX(AX1258,G1258))))</f>
        <v>217</v>
      </c>
      <c r="AU1258" s="57" t="n">
        <f aca="false">IF(BR1258=1,0,ROUNDUP(AT1258/BQ1258,0))</f>
        <v>0</v>
      </c>
      <c r="AV1258" s="59" t="n">
        <f aca="false">IF(CD1258&gt;0,CD1258*MAX(1,AT1258/V1258),IF(BR1258=1,IF(AT1258&lt;=0,0,BS1258*MAX(1,IF(G1258&gt;0,AT1258/G1258,1))),IF(Q1258&gt;0,AU1258/Q1258,0))/MAX(0.1,N(Parameter!$M$21)))</f>
        <v>0.15</v>
      </c>
      <c r="AW1258" s="57" t="n">
        <f aca="false">AT1258*F1258</f>
        <v>1182.65</v>
      </c>
      <c r="AX1258" s="57" t="n">
        <f aca="false">ROUNDUP(MAX(I1258/IF(BV1258&gt;0,BV1258,MAX(0.1,N(Cockpit!$O$6))),BY1258)/BQ1258,0)*BQ1258</f>
        <v>217</v>
      </c>
      <c r="AY1258" s="58" t="n">
        <f aca="false">IF(AV1258&gt;0,I1258/AV1258,-1)</f>
        <v>1233.33333333333</v>
      </c>
      <c r="AZ1258" s="58" t="n">
        <f aca="false">IF(AND(OR(BU1258="L1",BU1258="L23"),AV1258&gt;0),SUMIFS($AV$7:$AV$1576,$BU$7:$BU$1576,BU1258,$AY$7:$AY$1576,"&gt;"&amp;AY1258)+SUMIFS($AV$7:$AV$1576,$BU$7:$BU$1576,BU1258,$AY$7:$AY$1576,AY1258,$BO$7:$BO$1576,"&lt;="&amp;BO1258),"")</f>
        <v>19.9445460943399</v>
      </c>
      <c r="BA1258" s="65" t="n">
        <f aca="false">IF(AZ1258="",0,MAX(0,MIN(1,(IF(BU1258="L1",Parameter!$E$5,Parameter!$E$6+Parameter!$E$7)-(AZ1258-AV1258))/AV1258)))</f>
        <v>1</v>
      </c>
      <c r="BB1258" s="55" t="str">
        <f aca="false">IF(AF1258&lt;=0,"",IF(BU1258="Aussen","Aussenlager",IF(BU1258="-","Nicht im Lift",IF(AK1258&gt;=1,"Lift",IF(AK1258&lt;=0,"Aussenlager","teilweise")))))</f>
        <v/>
      </c>
      <c r="BC1258" s="55" t="str">
        <f aca="false">IF(AN1258&lt;=0,"",IF(BU1258="Aussen","Aussenlager",IF(BU1258="-","Nicht im Lift",IF(AS1258&gt;=1,"Lift",IF(AS1258&lt;=0,"Aussenlager","teilweise")))))</f>
        <v>Lift</v>
      </c>
      <c r="BD1258" s="55" t="str">
        <f aca="false">IF(AV1258&lt;=0,"",IF(BU1258="Aussen","Aussenlager",IF(BU1258="-","Nicht im Lift",IF(BA1258&gt;=1,"Lift",IF(BA1258&lt;=0,"Aussenlager","teilweise")))))</f>
        <v>Lift</v>
      </c>
      <c r="BE1258" s="55" t="str">
        <f aca="false">IF(A1258="","",IF(BN1258=1,"Neu; ","")&amp;IF(AND(BN1258=0,BI1258&lt;0),"negativer Bestand (Export "&amp;BI1258&amp;"); ","")&amp;IF(I1258&lt;=0,"Kein Verbrauch; ","")&amp;IF(CD1258&gt;0,"Lift "&amp;U1258&amp;" lt. Liftbericht (Fach "&amp;V1258&amp;" Stk); ",IF(BR1258=1,"Lose – Fläche geschätzt; ",""))&amp;IF(G1258&gt;AP1258,"Überbestand "&amp;ROUND(G1258-AP1258,0)&amp;" Stk / CHF "&amp;ROUND((G1258-AP1258)*F1258,0)&amp;"; ","")&amp;IF(AND(BW1258=1,BX1258&lt;BY1258),"MAX &lt; MB+LG; ","")&amp;IF(AND(CC1258&gt;0,CB1258*10&gt;CC1258),"zu hoch für Tablar; ","")&amp;IF(AND(BN1258=0,OR(BW1258=1,Y1258&lt;&gt;"",S1258&lt;&gt;"",T1258&lt;&gt;"",Z1258&lt;&gt;"")),"manuell übersteuert; ","")&amp;IF(AND(BR1258=0,Q1258=0),"Gebinde unbekannt / Stellmass fehlt; ","")&amp;IF(AND(BR1258=0,N(T1258)&lt;=0,N(P1258)&lt;=0),"Menge pro Gebinde fehlt (Ist = 1 Gebinde); ","")&amp;BM1258)</f>
        <v>negativer Bestand (Export -147); Lose – Fläche geschätzt; </v>
      </c>
      <c r="BF1258" s="55"/>
      <c r="BG1258" s="55"/>
      <c r="BH1258" s="62"/>
      <c r="BI1258" s="57" t="n">
        <v>-147</v>
      </c>
      <c r="BJ1258" s="57" t="n">
        <v>197</v>
      </c>
      <c r="BK1258" s="56" t="n">
        <v>-793.27</v>
      </c>
      <c r="BL1258" s="57" t="n">
        <v>185</v>
      </c>
      <c r="BM1258" s="55"/>
      <c r="BN1258" s="60" t="n">
        <v>0</v>
      </c>
      <c r="BO1258" s="60" t="n">
        <v>1258</v>
      </c>
      <c r="BP1258" s="55" t="str">
        <f aca="false">IF(S1258&lt;&gt;"",UPPER(TRIM(S1258)),IF(O1258="","LOSE",O1258))</f>
        <v>LOSE</v>
      </c>
      <c r="BQ1258" s="57" t="n">
        <f aca="false">IF(BP1258="LOSE",1,IF(N(T1258)&gt;0,T1258,IF(N(P1258)&gt;0,P1258,MAX(1,G1258))))</f>
        <v>1</v>
      </c>
      <c r="BR1258" s="60" t="n">
        <f aca="false">IF(BP1258="LOSE",1,0)</f>
        <v>1</v>
      </c>
      <c r="BS1258" s="59" t="n">
        <f aca="false">IF(BR1258=0,0,IF(N(R1258)&gt;0,R1258,IFERROR(VLOOKUP(D1258,Parameter!$A$35:$C$64,3,0)+0,0)))</f>
        <v>0.15</v>
      </c>
      <c r="BT1258" s="55" t="n">
        <f aca="false">IF(Y1258&lt;&gt;"",Y1258,X1258)</f>
        <v>2</v>
      </c>
      <c r="BU1258" s="55" t="str">
        <f aca="false">IF(BT1258=1,"L1",IF(OR(BT1258=2,BT1258=3),"L23",IF(BT1258="Aussen","Aussen","-")))</f>
        <v>L23</v>
      </c>
      <c r="BV1258" s="66" t="n">
        <f aca="false">IF(N(Z1258)&gt;0,Z1258,0)</f>
        <v>0</v>
      </c>
      <c r="BW1258" s="60" t="n">
        <f aca="false">IF(ISNUMBER(AC1258),1,0)</f>
        <v>0</v>
      </c>
      <c r="BX1258" s="57" t="n">
        <f aca="false">N(AC1258)</f>
        <v>0</v>
      </c>
      <c r="BY1258" s="57" t="n">
        <f aca="false">N(L1258)+N(M1258)</f>
        <v>217</v>
      </c>
      <c r="BZ1258" s="57" t="n">
        <f aca="false">ROUNDUP(G1258/BQ1258,0)</f>
        <v>0</v>
      </c>
      <c r="CA1258" s="57" t="n">
        <f aca="false">ROUNDUP(BX1258/BQ1258,0)</f>
        <v>0</v>
      </c>
      <c r="CB1258" s="60" t="n">
        <f aca="false">IF(BR1258=1,0,IFERROR(VLOOKUP(BP1258,'Gebinde-Kategorie'!$A$5:$M$45,5,0)+0,0))</f>
        <v>0</v>
      </c>
      <c r="CC1258" s="60" t="n">
        <f aca="false">IFERROR(IF(OR(BT1258=1,BT1258=2,BT1258=3),N(INDEX(Parameter!$I$5:$I$7,BT1258)),0),0)</f>
        <v>0</v>
      </c>
      <c r="CD1258" s="59" t="n">
        <f aca="false">IF(AND(Parameter!$B$21="Ja",ISNUMBER(U1258),N(V1258)&gt;0),IFERROR(N(INDEX(Parameter!$L$5:$L$7,U1258))*INDEX(Parameter!$E$5:$E$7,U1258)*V1258/SUMIFS($V$7:$V$1576,$U$7:$U$1576,U1258),0),0)</f>
        <v>0</v>
      </c>
    </row>
    <row r="1259" customFormat="false" ht="15" hidden="false" customHeight="false" outlineLevel="0" collapsed="false">
      <c r="A1259" s="55" t="s">
        <v>2234</v>
      </c>
      <c r="B1259" s="55" t="s">
        <v>159</v>
      </c>
      <c r="C1259" s="55" t="s">
        <v>446</v>
      </c>
      <c r="D1259" s="55" t="s">
        <v>344</v>
      </c>
      <c r="E1259" s="55" t="s">
        <v>210</v>
      </c>
      <c r="F1259" s="56" t="n">
        <v>401.72</v>
      </c>
      <c r="G1259" s="57" t="n">
        <f aca="false">MAX(0,IF(AND(Parameter!$B$21="Ja",ISNUMBER(W1259)),W1259,IF(Parameter!$B$20="Jahresanfang 2025 + Export",BJ1259+BI1259,BI1259)))</f>
        <v>0</v>
      </c>
      <c r="H1259" s="57" t="n">
        <f aca="false">G1259*F1259</f>
        <v>0</v>
      </c>
      <c r="I1259" s="57" t="n">
        <f aca="false">BL1259*Parameter!$B$18</f>
        <v>0</v>
      </c>
      <c r="J1259" s="58" t="n">
        <v>1</v>
      </c>
      <c r="K1259" s="59" t="n">
        <v>0</v>
      </c>
      <c r="L1259" s="57" t="n">
        <v>0</v>
      </c>
      <c r="M1259" s="57" t="n">
        <v>0</v>
      </c>
      <c r="N1259" s="60" t="n">
        <v>35</v>
      </c>
      <c r="O1259" s="55" t="s">
        <v>163</v>
      </c>
      <c r="P1259" s="57"/>
      <c r="Q1259" s="60" t="n">
        <f aca="false">IF(BR1259=1,0,IFERROR(VLOOKUP(BP1259,'Gebinde-Kategorie'!$A$5:$M$45,13,0)+0,0))</f>
        <v>0</v>
      </c>
      <c r="R1259" s="61"/>
      <c r="S1259" s="62"/>
      <c r="T1259" s="62"/>
      <c r="U1259" s="55"/>
      <c r="V1259" s="57"/>
      <c r="W1259" s="57"/>
      <c r="X1259" s="55" t="str">
        <f aca="false">IF(A1259="","",IF(AND(Parameter!$B$21="Ja",ISNUMBER(U1259)),U1259,IF(IFERROR(VLOOKUP(D1259,Parameter!$A$35:$C$64,2,0),"Nein")="2+3",IF(ISNUMBER(SEARCH("grosser Artikel",BM1259)),2,IFERROR(VLOOKUP(BP1259,Parameter!$F$35:$G$64,2,0),2)),IF(OR(IFERROR(VLOOKUP(D1259,Parameter!$A$35:$C$64,2,0),"Nein")="Nein",IFERROR(VLOOKUP(D1259,Parameter!$A$35:$C$64,2,0),"Nein")=""),"-",VLOOKUP(D1259,Parameter!$A$35:$C$64,2,0)))))</f>
        <v>-</v>
      </c>
      <c r="Y1259" s="62"/>
      <c r="Z1259" s="63"/>
      <c r="AA1259" s="57" t="n">
        <f aca="false">AP1259</f>
        <v>0</v>
      </c>
      <c r="AB1259" s="57" t="n">
        <f aca="false">MAX(AP1259,G1259)</f>
        <v>0</v>
      </c>
      <c r="AC1259" s="64"/>
      <c r="AD1259" s="57" t="n">
        <f aca="false">IF(LEFT(Cockpit!$C$5,1)="A",G1259,IF(BW1259=1,BX1259,IF(LEFT(Cockpit!$C$5,1)="B",AH1259,MAX(AH1259,G1259))))</f>
        <v>0</v>
      </c>
      <c r="AE1259" s="57" t="n">
        <f aca="false">IF(BR1259=1,0,ROUNDUP(AD1259/BQ1259,0))</f>
        <v>0</v>
      </c>
      <c r="AF1259" s="59" t="n">
        <f aca="false">IF(CD1259&gt;0,CD1259*MAX(1,AD1259/V1259),IF(BR1259=1,IF(AD1259&lt;=0,0,BS1259*MAX(1,IF(G1259&gt;0,AD1259/G1259,1))),IF(Q1259&gt;0,AE1259/Q1259,0))/MAX(0.1,N(Parameter!$M$21)))</f>
        <v>0</v>
      </c>
      <c r="AG1259" s="57" t="n">
        <f aca="false">AD1259*F1259</f>
        <v>0</v>
      </c>
      <c r="AH1259" s="57" t="n">
        <f aca="false">ROUNDUP(MAX(I1259/IF(BV1259&gt;0,BV1259,MAX(0.1,N(Cockpit!$C$6))),BY1259)/BQ1259,0)*BQ1259</f>
        <v>0</v>
      </c>
      <c r="AI1259" s="58" t="n">
        <f aca="false">IF(AF1259&gt;0,I1259/AF1259,-1)</f>
        <v>-1</v>
      </c>
      <c r="AJ1259" s="58" t="str">
        <f aca="false">IF(AND(OR(BU1259="L1",BU1259="L23"),AF1259&gt;0),SUMIFS($AF$7:$AF$1576,$BU$7:$BU$1576,BU1259,$AI$7:$AI$1576,"&gt;"&amp;AI1259)+SUMIFS($AF$7:$AF$1576,$BU$7:$BU$1576,BU1259,$AI$7:$AI$1576,AI1259,$BO$7:$BO$1576,"&lt;="&amp;BO1259),"")</f>
        <v/>
      </c>
      <c r="AK1259" s="65" t="n">
        <f aca="false">IF(AJ1259="",0,MAX(0,MIN(1,(IF(BU1259="L1",Parameter!$E$5,Parameter!$E$6+Parameter!$E$7)-(AJ1259-AF1259))/AF1259)))</f>
        <v>0</v>
      </c>
      <c r="AL1259" s="57" t="n">
        <f aca="false">IF(LEFT(Cockpit!$I$5,1)="A",G1259,IF(BW1259=1,BX1259,IF(LEFT(Cockpit!$I$5,1)="B",AP1259,MAX(AP1259,G1259))))</f>
        <v>0</v>
      </c>
      <c r="AM1259" s="57" t="n">
        <f aca="false">IF(BR1259=1,0,ROUNDUP(AL1259/BQ1259,0))</f>
        <v>0</v>
      </c>
      <c r="AN1259" s="59" t="n">
        <f aca="false">IF(CD1259&gt;0,CD1259*MAX(1,AL1259/V1259),IF(BR1259=1,IF(AL1259&lt;=0,0,BS1259*MAX(1,IF(G1259&gt;0,AL1259/G1259,1))),IF(Q1259&gt;0,AM1259/Q1259,0))/MAX(0.1,N(Parameter!$M$21)))</f>
        <v>0</v>
      </c>
      <c r="AO1259" s="57" t="n">
        <f aca="false">AL1259*F1259</f>
        <v>0</v>
      </c>
      <c r="AP1259" s="57" t="n">
        <f aca="false">ROUNDUP(MAX(I1259/IF(BV1259&gt;0,BV1259,MAX(0.1,N(Cockpit!$I$6))),BY1259)/BQ1259,0)*BQ1259</f>
        <v>0</v>
      </c>
      <c r="AQ1259" s="58" t="n">
        <f aca="false">IF(AN1259&gt;0,I1259/AN1259,-1)</f>
        <v>-1</v>
      </c>
      <c r="AR1259" s="58" t="str">
        <f aca="false">IF(AND(OR(BU1259="L1",BU1259="L23"),AN1259&gt;0),SUMIFS($AN$7:$AN$1576,$BU$7:$BU$1576,BU1259,$AQ$7:$AQ$1576,"&gt;"&amp;AQ1259)+SUMIFS($AN$7:$AN$1576,$BU$7:$BU$1576,BU1259,$AQ$7:$AQ$1576,AQ1259,$BO$7:$BO$1576,"&lt;="&amp;BO1259),"")</f>
        <v/>
      </c>
      <c r="AS1259" s="65" t="n">
        <f aca="false">IF(AR1259="",0,MAX(0,MIN(1,(IF(BU1259="L1",Parameter!$E$5,Parameter!$E$6+Parameter!$E$7)-(AR1259-AN1259))/AN1259)))</f>
        <v>0</v>
      </c>
      <c r="AT1259" s="57" t="n">
        <f aca="false">IF(LEFT(Cockpit!$O$5,1)="A",G1259,IF(BW1259=1,BX1259,IF(LEFT(Cockpit!$O$5,1)="B",AX1259,MAX(AX1259,G1259))))</f>
        <v>0</v>
      </c>
      <c r="AU1259" s="57" t="n">
        <f aca="false">IF(BR1259=1,0,ROUNDUP(AT1259/BQ1259,0))</f>
        <v>0</v>
      </c>
      <c r="AV1259" s="59" t="n">
        <f aca="false">IF(CD1259&gt;0,CD1259*MAX(1,AT1259/V1259),IF(BR1259=1,IF(AT1259&lt;=0,0,BS1259*MAX(1,IF(G1259&gt;0,AT1259/G1259,1))),IF(Q1259&gt;0,AU1259/Q1259,0))/MAX(0.1,N(Parameter!$M$21)))</f>
        <v>0</v>
      </c>
      <c r="AW1259" s="57" t="n">
        <f aca="false">AT1259*F1259</f>
        <v>0</v>
      </c>
      <c r="AX1259" s="57" t="n">
        <f aca="false">ROUNDUP(MAX(I1259/IF(BV1259&gt;0,BV1259,MAX(0.1,N(Cockpit!$O$6))),BY1259)/BQ1259,0)*BQ1259</f>
        <v>0</v>
      </c>
      <c r="AY1259" s="58" t="n">
        <f aca="false">IF(AV1259&gt;0,I1259/AV1259,-1)</f>
        <v>-1</v>
      </c>
      <c r="AZ1259" s="58" t="str">
        <f aca="false">IF(AND(OR(BU1259="L1",BU1259="L23"),AV1259&gt;0),SUMIFS($AV$7:$AV$1576,$BU$7:$BU$1576,BU1259,$AY$7:$AY$1576,"&gt;"&amp;AY1259)+SUMIFS($AV$7:$AV$1576,$BU$7:$BU$1576,BU1259,$AY$7:$AY$1576,AY1259,$BO$7:$BO$1576,"&lt;="&amp;BO1259),"")</f>
        <v/>
      </c>
      <c r="BA1259" s="65" t="n">
        <f aca="false">IF(AZ1259="",0,MAX(0,MIN(1,(IF(BU1259="L1",Parameter!$E$5,Parameter!$E$6+Parameter!$E$7)-(AZ1259-AV1259))/AV1259)))</f>
        <v>0</v>
      </c>
      <c r="BB1259" s="55" t="str">
        <f aca="false">IF(AF1259&lt;=0,"",IF(BU1259="Aussen","Aussenlager",IF(BU1259="-","Nicht im Lift",IF(AK1259&gt;=1,"Lift",IF(AK1259&lt;=0,"Aussenlager","teilweise")))))</f>
        <v/>
      </c>
      <c r="BC1259" s="55" t="str">
        <f aca="false">IF(AN1259&lt;=0,"",IF(BU1259="Aussen","Aussenlager",IF(BU1259="-","Nicht im Lift",IF(AS1259&gt;=1,"Lift",IF(AS1259&lt;=0,"Aussenlager","teilweise")))))</f>
        <v/>
      </c>
      <c r="BD1259" s="55" t="str">
        <f aca="false">IF(AV1259&lt;=0,"",IF(BU1259="Aussen","Aussenlager",IF(BU1259="-","Nicht im Lift",IF(BA1259&gt;=1,"Lift",IF(BA1259&lt;=0,"Aussenlager","teilweise")))))</f>
        <v/>
      </c>
      <c r="BE1259" s="55" t="str">
        <f aca="false">IF(A1259="","",IF(BN1259=1,"Neu; ","")&amp;IF(AND(BN1259=0,BI1259&lt;0),"negativer Bestand (Export "&amp;BI1259&amp;"); ","")&amp;IF(I1259&lt;=0,"Kein Verbrauch; ","")&amp;IF(CD1259&gt;0,"Lift "&amp;U1259&amp;" lt. Liftbericht (Fach "&amp;V1259&amp;" Stk); ",IF(BR1259=1,"Lose – Fläche geschätzt; ",""))&amp;IF(G1259&gt;AP1259,"Überbestand "&amp;ROUND(G1259-AP1259,0)&amp;" Stk / CHF "&amp;ROUND((G1259-AP1259)*F1259,0)&amp;"; ","")&amp;IF(AND(BW1259=1,BX1259&lt;BY1259),"MAX &lt; MB+LG; ","")&amp;IF(AND(CC1259&gt;0,CB1259*10&gt;CC1259),"zu hoch für Tablar; ","")&amp;IF(AND(BN1259=0,OR(BW1259=1,Y1259&lt;&gt;"",S1259&lt;&gt;"",T1259&lt;&gt;"",Z1259&lt;&gt;"")),"manuell übersteuert; ","")&amp;IF(AND(BR1259=0,Q1259=0),"Gebinde unbekannt / Stellmass fehlt; ","")&amp;IF(AND(BR1259=0,N(T1259)&lt;=0,N(P1259)&lt;=0),"Menge pro Gebinde fehlt (Ist = 1 Gebinde); ","")&amp;BM1259)</f>
        <v>negativer Bestand (Export -2); Kein Verbrauch; Lose – Fläche geschätzt; </v>
      </c>
      <c r="BF1259" s="55"/>
      <c r="BG1259" s="55"/>
      <c r="BH1259" s="62"/>
      <c r="BI1259" s="57" t="n">
        <v>-2</v>
      </c>
      <c r="BJ1259" s="57" t="n">
        <v>2</v>
      </c>
      <c r="BK1259" s="56" t="n">
        <v>-803.44</v>
      </c>
      <c r="BL1259" s="57" t="n">
        <v>0</v>
      </c>
      <c r="BM1259" s="55"/>
      <c r="BN1259" s="60" t="n">
        <v>0</v>
      </c>
      <c r="BO1259" s="60" t="n">
        <v>1259</v>
      </c>
      <c r="BP1259" s="55" t="str">
        <f aca="false">IF(S1259&lt;&gt;"",UPPER(TRIM(S1259)),IF(O1259="","LOSE",O1259))</f>
        <v>LOSE</v>
      </c>
      <c r="BQ1259" s="57" t="n">
        <f aca="false">IF(BP1259="LOSE",1,IF(N(T1259)&gt;0,T1259,IF(N(P1259)&gt;0,P1259,MAX(1,G1259))))</f>
        <v>1</v>
      </c>
      <c r="BR1259" s="60" t="n">
        <f aca="false">IF(BP1259="LOSE",1,0)</f>
        <v>1</v>
      </c>
      <c r="BS1259" s="59" t="n">
        <f aca="false">IF(BR1259=0,0,IF(N(R1259)&gt;0,R1259,IFERROR(VLOOKUP(D1259,Parameter!$A$35:$C$64,3,0)+0,0)))</f>
        <v>0.15</v>
      </c>
      <c r="BT1259" s="55" t="str">
        <f aca="false">IF(Y1259&lt;&gt;"",Y1259,X1259)</f>
        <v>-</v>
      </c>
      <c r="BU1259" s="55" t="str">
        <f aca="false">IF(BT1259=1,"L1",IF(OR(BT1259=2,BT1259=3),"L23",IF(BT1259="Aussen","Aussen","-")))</f>
        <v>-</v>
      </c>
      <c r="BV1259" s="66" t="n">
        <f aca="false">IF(N(Z1259)&gt;0,Z1259,0)</f>
        <v>0</v>
      </c>
      <c r="BW1259" s="60" t="n">
        <f aca="false">IF(ISNUMBER(AC1259),1,0)</f>
        <v>0</v>
      </c>
      <c r="BX1259" s="57" t="n">
        <f aca="false">N(AC1259)</f>
        <v>0</v>
      </c>
      <c r="BY1259" s="57" t="n">
        <f aca="false">N(L1259)+N(M1259)</f>
        <v>0</v>
      </c>
      <c r="BZ1259" s="57" t="n">
        <f aca="false">ROUNDUP(G1259/BQ1259,0)</f>
        <v>0</v>
      </c>
      <c r="CA1259" s="57" t="n">
        <f aca="false">ROUNDUP(BX1259/BQ1259,0)</f>
        <v>0</v>
      </c>
      <c r="CB1259" s="60" t="n">
        <f aca="false">IF(BR1259=1,0,IFERROR(VLOOKUP(BP1259,'Gebinde-Kategorie'!$A$5:$M$45,5,0)+0,0))</f>
        <v>0</v>
      </c>
      <c r="CC1259" s="60" t="n">
        <f aca="false">IFERROR(IF(OR(BT1259=1,BT1259=2,BT1259=3),N(INDEX(Parameter!$I$5:$I$7,BT1259)),0),0)</f>
        <v>0</v>
      </c>
      <c r="CD1259" s="59" t="n">
        <f aca="false">IF(AND(Parameter!$B$21="Ja",ISNUMBER(U1259),N(V1259)&gt;0),IFERROR(N(INDEX(Parameter!$L$5:$L$7,U1259))*INDEX(Parameter!$E$5:$E$7,U1259)*V1259/SUMIFS($V$7:$V$1576,$U$7:$U$1576,U1259),0),0)</f>
        <v>0</v>
      </c>
    </row>
    <row r="1260" customFormat="false" ht="15" hidden="false" customHeight="false" outlineLevel="0" collapsed="false">
      <c r="A1260" s="55" t="s">
        <v>2235</v>
      </c>
      <c r="B1260" s="55" t="s">
        <v>2236</v>
      </c>
      <c r="C1260" s="55" t="s">
        <v>160</v>
      </c>
      <c r="D1260" s="55" t="s">
        <v>168</v>
      </c>
      <c r="E1260" s="55" t="s">
        <v>210</v>
      </c>
      <c r="F1260" s="56" t="n">
        <v>176.38</v>
      </c>
      <c r="G1260" s="57" t="n">
        <f aca="false">MAX(0,IF(AND(Parameter!$B$21="Ja",ISNUMBER(W1260)),W1260,IF(Parameter!$B$20="Jahresanfang 2025 + Export",BJ1260+BI1260,BI1260)))</f>
        <v>0</v>
      </c>
      <c r="H1260" s="57" t="n">
        <f aca="false">G1260*F1260</f>
        <v>0</v>
      </c>
      <c r="I1260" s="57" t="n">
        <f aca="false">BL1260*Parameter!$B$18</f>
        <v>2</v>
      </c>
      <c r="J1260" s="58" t="n">
        <v>4</v>
      </c>
      <c r="K1260" s="59" t="n">
        <v>0.5</v>
      </c>
      <c r="L1260" s="57" t="n">
        <v>0</v>
      </c>
      <c r="M1260" s="57" t="n">
        <v>1</v>
      </c>
      <c r="N1260" s="60" t="n">
        <v>14</v>
      </c>
      <c r="O1260" s="55" t="s">
        <v>163</v>
      </c>
      <c r="P1260" s="57"/>
      <c r="Q1260" s="60" t="n">
        <f aca="false">IF(BR1260=1,0,IFERROR(VLOOKUP(BP1260,'Gebinde-Kategorie'!$A$5:$M$45,13,0)+0,0))</f>
        <v>0</v>
      </c>
      <c r="R1260" s="61"/>
      <c r="S1260" s="62"/>
      <c r="T1260" s="62"/>
      <c r="U1260" s="55"/>
      <c r="V1260" s="57"/>
      <c r="W1260" s="57"/>
      <c r="X1260" s="55" t="n">
        <f aca="false">IF(A1260="","",IF(AND(Parameter!$B$21="Ja",ISNUMBER(U1260)),U1260,IF(IFERROR(VLOOKUP(D1260,Parameter!$A$35:$C$64,2,0),"Nein")="2+3",IF(ISNUMBER(SEARCH("grosser Artikel",BM1260)),2,IFERROR(VLOOKUP(BP1260,Parameter!$F$35:$G$64,2,0),2)),IF(OR(IFERROR(VLOOKUP(D1260,Parameter!$A$35:$C$64,2,0),"Nein")="Nein",IFERROR(VLOOKUP(D1260,Parameter!$A$35:$C$64,2,0),"Nein")=""),"-",VLOOKUP(D1260,Parameter!$A$35:$C$64,2,0)))))</f>
        <v>2</v>
      </c>
      <c r="Y1260" s="62"/>
      <c r="Z1260" s="63"/>
      <c r="AA1260" s="57" t="n">
        <f aca="false">AP1260</f>
        <v>1</v>
      </c>
      <c r="AB1260" s="57" t="n">
        <f aca="false">MAX(AP1260,G1260)</f>
        <v>1</v>
      </c>
      <c r="AC1260" s="64"/>
      <c r="AD1260" s="57" t="n">
        <f aca="false">IF(LEFT(Cockpit!$C$5,1)="A",G1260,IF(BW1260=1,BX1260,IF(LEFT(Cockpit!$C$5,1)="B",AH1260,MAX(AH1260,G1260))))</f>
        <v>0</v>
      </c>
      <c r="AE1260" s="57" t="n">
        <f aca="false">IF(BR1260=1,0,ROUNDUP(AD1260/BQ1260,0))</f>
        <v>0</v>
      </c>
      <c r="AF1260" s="59" t="n">
        <f aca="false">IF(CD1260&gt;0,CD1260*MAX(1,AD1260/V1260),IF(BR1260=1,IF(AD1260&lt;=0,0,BS1260*MAX(1,IF(G1260&gt;0,AD1260/G1260,1))),IF(Q1260&gt;0,AE1260/Q1260,0))/MAX(0.1,N(Parameter!$M$21)))</f>
        <v>0</v>
      </c>
      <c r="AG1260" s="57" t="n">
        <f aca="false">AD1260*F1260</f>
        <v>0</v>
      </c>
      <c r="AH1260" s="57" t="n">
        <f aca="false">ROUNDUP(MAX(I1260/IF(BV1260&gt;0,BV1260,MAX(0.1,N(Cockpit!$C$6))),BY1260)/BQ1260,0)*BQ1260</f>
        <v>1</v>
      </c>
      <c r="AI1260" s="58" t="n">
        <f aca="false">IF(AF1260&gt;0,I1260/AF1260,-1)</f>
        <v>-1</v>
      </c>
      <c r="AJ1260" s="58" t="str">
        <f aca="false">IF(AND(OR(BU1260="L1",BU1260="L23"),AF1260&gt;0),SUMIFS($AF$7:$AF$1576,$BU$7:$BU$1576,BU1260,$AI$7:$AI$1576,"&gt;"&amp;AI1260)+SUMIFS($AF$7:$AF$1576,$BU$7:$BU$1576,BU1260,$AI$7:$AI$1576,AI1260,$BO$7:$BO$1576,"&lt;="&amp;BO1260),"")</f>
        <v/>
      </c>
      <c r="AK1260" s="65" t="n">
        <f aca="false">IF(AJ1260="",0,MAX(0,MIN(1,(IF(BU1260="L1",Parameter!$E$5,Parameter!$E$6+Parameter!$E$7)-(AJ1260-AF1260))/AF1260)))</f>
        <v>0</v>
      </c>
      <c r="AL1260" s="57" t="n">
        <f aca="false">IF(LEFT(Cockpit!$I$5,1)="A",G1260,IF(BW1260=1,BX1260,IF(LEFT(Cockpit!$I$5,1)="B",AP1260,MAX(AP1260,G1260))))</f>
        <v>1</v>
      </c>
      <c r="AM1260" s="57" t="n">
        <f aca="false">IF(BR1260=1,0,ROUNDUP(AL1260/BQ1260,0))</f>
        <v>0</v>
      </c>
      <c r="AN1260" s="59" t="n">
        <f aca="false">IF(CD1260&gt;0,CD1260*MAX(1,AL1260/V1260),IF(BR1260=1,IF(AL1260&lt;=0,0,BS1260*MAX(1,IF(G1260&gt;0,AL1260/G1260,1))),IF(Q1260&gt;0,AM1260/Q1260,0))/MAX(0.1,N(Parameter!$M$21)))</f>
        <v>0.15</v>
      </c>
      <c r="AO1260" s="57" t="n">
        <f aca="false">AL1260*F1260</f>
        <v>176.38</v>
      </c>
      <c r="AP1260" s="57" t="n">
        <f aca="false">ROUNDUP(MAX(I1260/IF(BV1260&gt;0,BV1260,MAX(0.1,N(Cockpit!$I$6))),BY1260)/BQ1260,0)*BQ1260</f>
        <v>1</v>
      </c>
      <c r="AQ1260" s="58" t="n">
        <f aca="false">IF(AN1260&gt;0,I1260/AN1260,-1)</f>
        <v>13.3333333333333</v>
      </c>
      <c r="AR1260" s="58" t="n">
        <f aca="false">IF(AND(OR(BU1260="L1",BU1260="L23"),AN1260&gt;0),SUMIFS($AN$7:$AN$1576,$BU$7:$BU$1576,BU1260,$AQ$7:$AQ$1576,"&gt;"&amp;AQ1260)+SUMIFS($AN$7:$AN$1576,$BU$7:$BU$1576,BU1260,$AQ$7:$AQ$1576,AQ1260,$BO$7:$BO$1576,"&lt;="&amp;BO1260),"")</f>
        <v>106.468075614337</v>
      </c>
      <c r="AS1260" s="65" t="n">
        <f aca="false">IF(AR1260="",0,MAX(0,MIN(1,(IF(BU1260="L1",Parameter!$E$5,Parameter!$E$6+Parameter!$E$7)-(AR1260-AN1260))/AN1260)))</f>
        <v>0</v>
      </c>
      <c r="AT1260" s="57" t="n">
        <f aca="false">IF(LEFT(Cockpit!$O$5,1)="A",G1260,IF(BW1260=1,BX1260,IF(LEFT(Cockpit!$O$5,1)="B",AX1260,MAX(AX1260,G1260))))</f>
        <v>1</v>
      </c>
      <c r="AU1260" s="57" t="n">
        <f aca="false">IF(BR1260=1,0,ROUNDUP(AT1260/BQ1260,0))</f>
        <v>0</v>
      </c>
      <c r="AV1260" s="59" t="n">
        <f aca="false">IF(CD1260&gt;0,CD1260*MAX(1,AT1260/V1260),IF(BR1260=1,IF(AT1260&lt;=0,0,BS1260*MAX(1,IF(G1260&gt;0,AT1260/G1260,1))),IF(Q1260&gt;0,AU1260/Q1260,0))/MAX(0.1,N(Parameter!$M$21)))</f>
        <v>0.15</v>
      </c>
      <c r="AW1260" s="57" t="n">
        <f aca="false">AT1260*F1260</f>
        <v>176.38</v>
      </c>
      <c r="AX1260" s="57" t="n">
        <f aca="false">ROUNDUP(MAX(I1260/IF(BV1260&gt;0,BV1260,MAX(0.1,N(Cockpit!$O$6))),BY1260)/BQ1260,0)*BQ1260</f>
        <v>1</v>
      </c>
      <c r="AY1260" s="58" t="n">
        <f aca="false">IF(AV1260&gt;0,I1260/AV1260,-1)</f>
        <v>13.3333333333333</v>
      </c>
      <c r="AZ1260" s="58" t="n">
        <f aca="false">IF(AND(OR(BU1260="L1",BU1260="L23"),AV1260&gt;0),SUMIFS($AV$7:$AV$1576,$BU$7:$BU$1576,BU1260,$AY$7:$AY$1576,"&gt;"&amp;AY1260)+SUMIFS($AV$7:$AV$1576,$BU$7:$BU$1576,BU1260,$AY$7:$AY$1576,AY1260,$BO$7:$BO$1576,"&lt;="&amp;BO1260),"")</f>
        <v>96.5276260638872</v>
      </c>
      <c r="BA1260" s="65" t="n">
        <f aca="false">IF(AZ1260="",0,MAX(0,MIN(1,(IF(BU1260="L1",Parameter!$E$5,Parameter!$E$6+Parameter!$E$7)-(AZ1260-AV1260))/AV1260)))</f>
        <v>1</v>
      </c>
      <c r="BB1260" s="55" t="str">
        <f aca="false">IF(AF1260&lt;=0,"",IF(BU1260="Aussen","Aussenlager",IF(BU1260="-","Nicht im Lift",IF(AK1260&gt;=1,"Lift",IF(AK1260&lt;=0,"Aussenlager","teilweise")))))</f>
        <v/>
      </c>
      <c r="BC1260" s="55" t="str">
        <f aca="false">IF(AN1260&lt;=0,"",IF(BU1260="Aussen","Aussenlager",IF(BU1260="-","Nicht im Lift",IF(AS1260&gt;=1,"Lift",IF(AS1260&lt;=0,"Aussenlager","teilweise")))))</f>
        <v>Aussenlager</v>
      </c>
      <c r="BD1260" s="55" t="str">
        <f aca="false">IF(AV1260&lt;=0,"",IF(BU1260="Aussen","Aussenlager",IF(BU1260="-","Nicht im Lift",IF(BA1260&gt;=1,"Lift",IF(BA1260&lt;=0,"Aussenlager","teilweise")))))</f>
        <v>Lift</v>
      </c>
      <c r="BE1260" s="55" t="str">
        <f aca="false">IF(A1260="","",IF(BN1260=1,"Neu; ","")&amp;IF(AND(BN1260=0,BI1260&lt;0),"negativer Bestand (Export "&amp;BI1260&amp;"); ","")&amp;IF(I1260&lt;=0,"Kein Verbrauch; ","")&amp;IF(CD1260&gt;0,"Lift "&amp;U1260&amp;" lt. Liftbericht (Fach "&amp;V1260&amp;" Stk); ",IF(BR1260=1,"Lose – Fläche geschätzt; ",""))&amp;IF(G1260&gt;AP1260,"Überbestand "&amp;ROUND(G1260-AP1260,0)&amp;" Stk / CHF "&amp;ROUND((G1260-AP1260)*F1260,0)&amp;"; ","")&amp;IF(AND(BW1260=1,BX1260&lt;BY1260),"MAX &lt; MB+LG; ","")&amp;IF(AND(CC1260&gt;0,CB1260*10&gt;CC1260),"zu hoch für Tablar; ","")&amp;IF(AND(BN1260=0,OR(BW1260=1,Y1260&lt;&gt;"",S1260&lt;&gt;"",T1260&lt;&gt;"",Z1260&lt;&gt;"")),"manuell übersteuert; ","")&amp;IF(AND(BR1260=0,Q1260=0),"Gebinde unbekannt / Stellmass fehlt; ","")&amp;IF(AND(BR1260=0,N(T1260)&lt;=0,N(P1260)&lt;=0),"Menge pro Gebinde fehlt (Ist = 1 Gebinde); ","")&amp;BM1260)</f>
        <v>negativer Bestand (Export -8); Lose – Fläche geschätzt; </v>
      </c>
      <c r="BF1260" s="55"/>
      <c r="BG1260" s="55"/>
      <c r="BH1260" s="62"/>
      <c r="BI1260" s="57" t="n">
        <v>-8</v>
      </c>
      <c r="BJ1260" s="57" t="n">
        <v>8</v>
      </c>
      <c r="BK1260" s="56" t="n">
        <v>-824.48</v>
      </c>
      <c r="BL1260" s="57" t="n">
        <v>2</v>
      </c>
      <c r="BM1260" s="55"/>
      <c r="BN1260" s="60" t="n">
        <v>0</v>
      </c>
      <c r="BO1260" s="60" t="n">
        <v>1260</v>
      </c>
      <c r="BP1260" s="55" t="str">
        <f aca="false">IF(S1260&lt;&gt;"",UPPER(TRIM(S1260)),IF(O1260="","LOSE",O1260))</f>
        <v>LOSE</v>
      </c>
      <c r="BQ1260" s="57" t="n">
        <f aca="false">IF(BP1260="LOSE",1,IF(N(T1260)&gt;0,T1260,IF(N(P1260)&gt;0,P1260,MAX(1,G1260))))</f>
        <v>1</v>
      </c>
      <c r="BR1260" s="60" t="n">
        <f aca="false">IF(BP1260="LOSE",1,0)</f>
        <v>1</v>
      </c>
      <c r="BS1260" s="59" t="n">
        <f aca="false">IF(BR1260=0,0,IF(N(R1260)&gt;0,R1260,IFERROR(VLOOKUP(D1260,Parameter!$A$35:$C$64,3,0)+0,0)))</f>
        <v>0.15</v>
      </c>
      <c r="BT1260" s="55" t="n">
        <f aca="false">IF(Y1260&lt;&gt;"",Y1260,X1260)</f>
        <v>2</v>
      </c>
      <c r="BU1260" s="55" t="str">
        <f aca="false">IF(BT1260=1,"L1",IF(OR(BT1260=2,BT1260=3),"L23",IF(BT1260="Aussen","Aussen","-")))</f>
        <v>L23</v>
      </c>
      <c r="BV1260" s="66" t="n">
        <f aca="false">IF(N(Z1260)&gt;0,Z1260,0)</f>
        <v>0</v>
      </c>
      <c r="BW1260" s="60" t="n">
        <f aca="false">IF(ISNUMBER(AC1260),1,0)</f>
        <v>0</v>
      </c>
      <c r="BX1260" s="57" t="n">
        <f aca="false">N(AC1260)</f>
        <v>0</v>
      </c>
      <c r="BY1260" s="57" t="n">
        <f aca="false">N(L1260)+N(M1260)</f>
        <v>1</v>
      </c>
      <c r="BZ1260" s="57" t="n">
        <f aca="false">ROUNDUP(G1260/BQ1260,0)</f>
        <v>0</v>
      </c>
      <c r="CA1260" s="57" t="n">
        <f aca="false">ROUNDUP(BX1260/BQ1260,0)</f>
        <v>0</v>
      </c>
      <c r="CB1260" s="60" t="n">
        <f aca="false">IF(BR1260=1,0,IFERROR(VLOOKUP(BP1260,'Gebinde-Kategorie'!$A$5:$M$45,5,0)+0,0))</f>
        <v>0</v>
      </c>
      <c r="CC1260" s="60" t="n">
        <f aca="false">IFERROR(IF(OR(BT1260=1,BT1260=2,BT1260=3),N(INDEX(Parameter!$I$5:$I$7,BT1260)),0),0)</f>
        <v>0</v>
      </c>
      <c r="CD1260" s="59" t="n">
        <f aca="false">IF(AND(Parameter!$B$21="Ja",ISNUMBER(U1260),N(V1260)&gt;0),IFERROR(N(INDEX(Parameter!$L$5:$L$7,U1260))*INDEX(Parameter!$E$5:$E$7,U1260)*V1260/SUMIFS($V$7:$V$1576,$U$7:$U$1576,U1260),0),0)</f>
        <v>0</v>
      </c>
    </row>
    <row r="1261" customFormat="false" ht="15" hidden="false" customHeight="false" outlineLevel="0" collapsed="false">
      <c r="A1261" s="55" t="s">
        <v>2237</v>
      </c>
      <c r="B1261" s="55" t="s">
        <v>2238</v>
      </c>
      <c r="C1261" s="55" t="s">
        <v>160</v>
      </c>
      <c r="D1261" s="55" t="s">
        <v>178</v>
      </c>
      <c r="E1261" s="55" t="s">
        <v>210</v>
      </c>
      <c r="F1261" s="56" t="n">
        <v>55.37</v>
      </c>
      <c r="G1261" s="57" t="n">
        <f aca="false">MAX(0,IF(AND(Parameter!$B$21="Ja",ISNUMBER(W1261)),W1261,IF(Parameter!$B$20="Jahresanfang 2025 + Export",BJ1261+BI1261,BI1261)))</f>
        <v>0</v>
      </c>
      <c r="H1261" s="57" t="n">
        <f aca="false">G1261*F1261</f>
        <v>0</v>
      </c>
      <c r="I1261" s="57" t="n">
        <f aca="false">BL1261*Parameter!$B$18</f>
        <v>12</v>
      </c>
      <c r="J1261" s="58" t="n">
        <v>29.5</v>
      </c>
      <c r="K1261" s="59" t="n">
        <v>0.406779661016949</v>
      </c>
      <c r="L1261" s="57" t="n">
        <v>5</v>
      </c>
      <c r="M1261" s="57" t="n">
        <v>5</v>
      </c>
      <c r="N1261" s="60" t="n">
        <v>14</v>
      </c>
      <c r="O1261" s="55" t="s">
        <v>411</v>
      </c>
      <c r="P1261" s="57" t="n">
        <v>38</v>
      </c>
      <c r="Q1261" s="60" t="n">
        <f aca="false">IF(BR1261=1,0,IFERROR(VLOOKUP(BP1261,'Gebinde-Kategorie'!$A$5:$M$45,13,0)+0,0))</f>
        <v>132</v>
      </c>
      <c r="R1261" s="61"/>
      <c r="S1261" s="62"/>
      <c r="T1261" s="62"/>
      <c r="U1261" s="55"/>
      <c r="V1261" s="57"/>
      <c r="W1261" s="57"/>
      <c r="X1261" s="55" t="n">
        <f aca="false">IF(A1261="","",IF(AND(Parameter!$B$21="Ja",ISNUMBER(U1261)),U1261,IF(IFERROR(VLOOKUP(D1261,Parameter!$A$35:$C$64,2,0),"Nein")="2+3",IF(ISNUMBER(SEARCH("grosser Artikel",BM1261)),2,IFERROR(VLOOKUP(BP1261,Parameter!$F$35:$G$64,2,0),2)),IF(OR(IFERROR(VLOOKUP(D1261,Parameter!$A$35:$C$64,2,0),"Nein")="Nein",IFERROR(VLOOKUP(D1261,Parameter!$A$35:$C$64,2,0),"Nein")=""),"-",VLOOKUP(D1261,Parameter!$A$35:$C$64,2,0)))))</f>
        <v>3</v>
      </c>
      <c r="Y1261" s="62"/>
      <c r="Z1261" s="63"/>
      <c r="AA1261" s="57" t="n">
        <f aca="false">AP1261</f>
        <v>38</v>
      </c>
      <c r="AB1261" s="57" t="n">
        <f aca="false">MAX(AP1261,G1261)</f>
        <v>38</v>
      </c>
      <c r="AC1261" s="64"/>
      <c r="AD1261" s="57" t="n">
        <f aca="false">IF(LEFT(Cockpit!$C$5,1)="A",G1261,IF(BW1261=1,BX1261,IF(LEFT(Cockpit!$C$5,1)="B",AH1261,MAX(AH1261,G1261))))</f>
        <v>0</v>
      </c>
      <c r="AE1261" s="57" t="n">
        <f aca="false">IF(BR1261=1,0,ROUNDUP(AD1261/BQ1261,0))</f>
        <v>0</v>
      </c>
      <c r="AF1261" s="59" t="n">
        <f aca="false">IF(CD1261&gt;0,CD1261*MAX(1,AD1261/V1261),IF(BR1261=1,IF(AD1261&lt;=0,0,BS1261*MAX(1,IF(G1261&gt;0,AD1261/G1261,1))),IF(Q1261&gt;0,AE1261/Q1261,0))/MAX(0.1,N(Parameter!$M$21)))</f>
        <v>0</v>
      </c>
      <c r="AG1261" s="57" t="n">
        <f aca="false">AD1261*F1261</f>
        <v>0</v>
      </c>
      <c r="AH1261" s="57" t="n">
        <f aca="false">ROUNDUP(MAX(I1261/IF(BV1261&gt;0,BV1261,MAX(0.1,N(Cockpit!$C$6))),BY1261)/BQ1261,0)*BQ1261</f>
        <v>38</v>
      </c>
      <c r="AI1261" s="58" t="n">
        <f aca="false">IF(AF1261&gt;0,I1261/AF1261,-1)</f>
        <v>-1</v>
      </c>
      <c r="AJ1261" s="58" t="str">
        <f aca="false">IF(AND(OR(BU1261="L1",BU1261="L23"),AF1261&gt;0),SUMIFS($AF$7:$AF$1576,$BU$7:$BU$1576,BU1261,$AI$7:$AI$1576,"&gt;"&amp;AI1261)+SUMIFS($AF$7:$AF$1576,$BU$7:$BU$1576,BU1261,$AI$7:$AI$1576,AI1261,$BO$7:$BO$1576,"&lt;="&amp;BO1261),"")</f>
        <v/>
      </c>
      <c r="AK1261" s="65" t="n">
        <f aca="false">IF(AJ1261="",0,MAX(0,MIN(1,(IF(BU1261="L1",Parameter!$E$5,Parameter!$E$6+Parameter!$E$7)-(AJ1261-AF1261))/AF1261)))</f>
        <v>0</v>
      </c>
      <c r="AL1261" s="57" t="n">
        <f aca="false">IF(LEFT(Cockpit!$I$5,1)="A",G1261,IF(BW1261=1,BX1261,IF(LEFT(Cockpit!$I$5,1)="B",AP1261,MAX(AP1261,G1261))))</f>
        <v>38</v>
      </c>
      <c r="AM1261" s="57" t="n">
        <f aca="false">IF(BR1261=1,0,ROUNDUP(AL1261/BQ1261,0))</f>
        <v>1</v>
      </c>
      <c r="AN1261" s="59" t="n">
        <f aca="false">IF(CD1261&gt;0,CD1261*MAX(1,AL1261/V1261),IF(BR1261=1,IF(AL1261&lt;=0,0,BS1261*MAX(1,IF(G1261&gt;0,AL1261/G1261,1))),IF(Q1261&gt;0,AM1261/Q1261,0))/MAX(0.1,N(Parameter!$M$21)))</f>
        <v>0.00757575757575758</v>
      </c>
      <c r="AO1261" s="57" t="n">
        <f aca="false">AL1261*F1261</f>
        <v>2104.06</v>
      </c>
      <c r="AP1261" s="57" t="n">
        <f aca="false">ROUNDUP(MAX(I1261/IF(BV1261&gt;0,BV1261,MAX(0.1,N(Cockpit!$I$6))),BY1261)/BQ1261,0)*BQ1261</f>
        <v>38</v>
      </c>
      <c r="AQ1261" s="58" t="n">
        <f aca="false">IF(AN1261&gt;0,I1261/AN1261,-1)</f>
        <v>1584</v>
      </c>
      <c r="AR1261" s="58" t="n">
        <f aca="false">IF(AND(OR(BU1261="L1",BU1261="L23"),AN1261&gt;0),SUMIFS($AN$7:$AN$1576,$BU$7:$BU$1576,BU1261,$AQ$7:$AQ$1576,"&gt;"&amp;AQ1261)+SUMIFS($AN$7:$AN$1576,$BU$7:$BU$1576,BU1261,$AQ$7:$AQ$1576,AQ1261,$BO$7:$BO$1576,"&lt;="&amp;BO1261),"")</f>
        <v>18.8861342163628</v>
      </c>
      <c r="AS1261" s="65" t="n">
        <f aca="false">IF(AR1261="",0,MAX(0,MIN(1,(IF(BU1261="L1",Parameter!$E$5,Parameter!$E$6+Parameter!$E$7)-(AR1261-AN1261))/AN1261)))</f>
        <v>1</v>
      </c>
      <c r="AT1261" s="57" t="n">
        <f aca="false">IF(LEFT(Cockpit!$O$5,1)="A",G1261,IF(BW1261=1,BX1261,IF(LEFT(Cockpit!$O$5,1)="B",AX1261,MAX(AX1261,G1261))))</f>
        <v>38</v>
      </c>
      <c r="AU1261" s="57" t="n">
        <f aca="false">IF(BR1261=1,0,ROUNDUP(AT1261/BQ1261,0))</f>
        <v>1</v>
      </c>
      <c r="AV1261" s="59" t="n">
        <f aca="false">IF(CD1261&gt;0,CD1261*MAX(1,AT1261/V1261),IF(BR1261=1,IF(AT1261&lt;=0,0,BS1261*MAX(1,IF(G1261&gt;0,AT1261/G1261,1))),IF(Q1261&gt;0,AU1261/Q1261,0))/MAX(0.1,N(Parameter!$M$21)))</f>
        <v>0.00757575757575758</v>
      </c>
      <c r="AW1261" s="57" t="n">
        <f aca="false">AT1261*F1261</f>
        <v>2104.06</v>
      </c>
      <c r="AX1261" s="57" t="n">
        <f aca="false">ROUNDUP(MAX(I1261/IF(BV1261&gt;0,BV1261,MAX(0.1,N(Cockpit!$O$6))),BY1261)/BQ1261,0)*BQ1261</f>
        <v>38</v>
      </c>
      <c r="AY1261" s="58" t="n">
        <f aca="false">IF(AV1261&gt;0,I1261/AV1261,-1)</f>
        <v>1584</v>
      </c>
      <c r="AZ1261" s="58" t="n">
        <f aca="false">IF(AND(OR(BU1261="L1",BU1261="L23"),AV1261&gt;0),SUMIFS($AV$7:$AV$1576,$BU$7:$BU$1576,BU1261,$AY$7:$AY$1576,"&gt;"&amp;AY1261)+SUMIFS($AV$7:$AV$1576,$BU$7:$BU$1576,BU1261,$AY$7:$AY$1576,AY1261,$BO$7:$BO$1576,"&lt;="&amp;BO1261),"")</f>
        <v>17.8634069436355</v>
      </c>
      <c r="BA1261" s="65" t="n">
        <f aca="false">IF(AZ1261="",0,MAX(0,MIN(1,(IF(BU1261="L1",Parameter!$E$5,Parameter!$E$6+Parameter!$E$7)-(AZ1261-AV1261))/AV1261)))</f>
        <v>1</v>
      </c>
      <c r="BB1261" s="55" t="str">
        <f aca="false">IF(AF1261&lt;=0,"",IF(BU1261="Aussen","Aussenlager",IF(BU1261="-","Nicht im Lift",IF(AK1261&gt;=1,"Lift",IF(AK1261&lt;=0,"Aussenlager","teilweise")))))</f>
        <v/>
      </c>
      <c r="BC1261" s="55" t="str">
        <f aca="false">IF(AN1261&lt;=0,"",IF(BU1261="Aussen","Aussenlager",IF(BU1261="-","Nicht im Lift",IF(AS1261&gt;=1,"Lift",IF(AS1261&lt;=0,"Aussenlager","teilweise")))))</f>
        <v>Lift</v>
      </c>
      <c r="BD1261" s="55" t="str">
        <f aca="false">IF(AV1261&lt;=0,"",IF(BU1261="Aussen","Aussenlager",IF(BU1261="-","Nicht im Lift",IF(BA1261&gt;=1,"Lift",IF(BA1261&lt;=0,"Aussenlager","teilweise")))))</f>
        <v>Lift</v>
      </c>
      <c r="BE1261" s="55" t="str">
        <f aca="false">IF(A1261="","",IF(BN1261=1,"Neu; ","")&amp;IF(AND(BN1261=0,BI1261&lt;0),"negativer Bestand (Export "&amp;BI1261&amp;"); ","")&amp;IF(I1261&lt;=0,"Kein Verbrauch; ","")&amp;IF(CD1261&gt;0,"Lift "&amp;U1261&amp;" lt. Liftbericht (Fach "&amp;V1261&amp;" Stk); ",IF(BR1261=1,"Lose – Fläche geschätzt; ",""))&amp;IF(G1261&gt;AP1261,"Überbestand "&amp;ROUND(G1261-AP1261,0)&amp;" Stk / CHF "&amp;ROUND((G1261-AP1261)*F1261,0)&amp;"; ","")&amp;IF(AND(BW1261=1,BX1261&lt;BY1261),"MAX &lt; MB+LG; ","")&amp;IF(AND(CC1261&gt;0,CB1261*10&gt;CC1261),"zu hoch für Tablar; ","")&amp;IF(AND(BN1261=0,OR(BW1261=1,Y1261&lt;&gt;"",S1261&lt;&gt;"",T1261&lt;&gt;"",Z1261&lt;&gt;"")),"manuell übersteuert; ","")&amp;IF(AND(BR1261=0,Q1261=0),"Gebinde unbekannt / Stellmass fehlt; ","")&amp;IF(AND(BR1261=0,N(T1261)&lt;=0,N(P1261)&lt;=0),"Menge pro Gebinde fehlt (Ist = 1 Gebinde); ","")&amp;BM1261)</f>
        <v>negativer Bestand (Export -15); </v>
      </c>
      <c r="BF1261" s="55"/>
      <c r="BG1261" s="55"/>
      <c r="BH1261" s="62"/>
      <c r="BI1261" s="57" t="n">
        <v>-15</v>
      </c>
      <c r="BJ1261" s="57" t="n">
        <v>36</v>
      </c>
      <c r="BK1261" s="56" t="n">
        <v>-830.55</v>
      </c>
      <c r="BL1261" s="57" t="n">
        <v>12</v>
      </c>
      <c r="BM1261" s="55"/>
      <c r="BN1261" s="60" t="n">
        <v>0</v>
      </c>
      <c r="BO1261" s="60" t="n">
        <v>1261</v>
      </c>
      <c r="BP1261" s="55" t="str">
        <f aca="false">IF(S1261&lt;&gt;"",UPPER(TRIM(S1261)),IF(O1261="","LOSE",O1261))</f>
        <v>S32</v>
      </c>
      <c r="BQ1261" s="57" t="n">
        <f aca="false">IF(BP1261="LOSE",1,IF(N(T1261)&gt;0,T1261,IF(N(P1261)&gt;0,P1261,MAX(1,G1261))))</f>
        <v>38</v>
      </c>
      <c r="BR1261" s="60" t="n">
        <f aca="false">IF(BP1261="LOSE",1,0)</f>
        <v>0</v>
      </c>
      <c r="BS1261" s="59" t="n">
        <f aca="false">IF(BR1261=0,0,IF(N(R1261)&gt;0,R1261,IFERROR(VLOOKUP(D1261,Parameter!$A$35:$C$64,3,0)+0,0)))</f>
        <v>0</v>
      </c>
      <c r="BT1261" s="55" t="n">
        <f aca="false">IF(Y1261&lt;&gt;"",Y1261,X1261)</f>
        <v>3</v>
      </c>
      <c r="BU1261" s="55" t="str">
        <f aca="false">IF(BT1261=1,"L1",IF(OR(BT1261=2,BT1261=3),"L23",IF(BT1261="Aussen","Aussen","-")))</f>
        <v>L23</v>
      </c>
      <c r="BV1261" s="66" t="n">
        <f aca="false">IF(N(Z1261)&gt;0,Z1261,0)</f>
        <v>0</v>
      </c>
      <c r="BW1261" s="60" t="n">
        <f aca="false">IF(ISNUMBER(AC1261),1,0)</f>
        <v>0</v>
      </c>
      <c r="BX1261" s="57" t="n">
        <f aca="false">N(AC1261)</f>
        <v>0</v>
      </c>
      <c r="BY1261" s="57" t="n">
        <f aca="false">N(L1261)+N(M1261)</f>
        <v>10</v>
      </c>
      <c r="BZ1261" s="57" t="n">
        <f aca="false">ROUNDUP(G1261/BQ1261,0)</f>
        <v>0</v>
      </c>
      <c r="CA1261" s="57" t="n">
        <f aca="false">ROUNDUP(BX1261/BQ1261,0)</f>
        <v>0</v>
      </c>
      <c r="CB1261" s="60" t="n">
        <f aca="false">IF(BR1261=1,0,IFERROR(VLOOKUP(BP1261,'Gebinde-Kategorie'!$A$5:$M$45,5,0)+0,0))</f>
        <v>8</v>
      </c>
      <c r="CC1261" s="60" t="n">
        <f aca="false">IFERROR(IF(OR(BT1261=1,BT1261=2,BT1261=3),N(INDEX(Parameter!$I$5:$I$7,BT1261)),0),0)</f>
        <v>0</v>
      </c>
      <c r="CD1261" s="59" t="n">
        <f aca="false">IF(AND(Parameter!$B$21="Ja",ISNUMBER(U1261),N(V1261)&gt;0),IFERROR(N(INDEX(Parameter!$L$5:$L$7,U1261))*INDEX(Parameter!$E$5:$E$7,U1261)*V1261/SUMIFS($V$7:$V$1576,$U$7:$U$1576,U1261),0),0)</f>
        <v>0</v>
      </c>
    </row>
    <row r="1262" customFormat="false" ht="15" hidden="false" customHeight="false" outlineLevel="0" collapsed="false">
      <c r="A1262" s="55" t="s">
        <v>2239</v>
      </c>
      <c r="B1262" s="55" t="s">
        <v>2240</v>
      </c>
      <c r="C1262" s="55" t="s">
        <v>160</v>
      </c>
      <c r="D1262" s="55" t="s">
        <v>168</v>
      </c>
      <c r="E1262" s="55" t="s">
        <v>210</v>
      </c>
      <c r="F1262" s="56" t="n">
        <v>65.63</v>
      </c>
      <c r="G1262" s="57" t="n">
        <f aca="false">MAX(0,IF(AND(Parameter!$B$21="Ja",ISNUMBER(W1262)),W1262,IF(Parameter!$B$20="Jahresanfang 2025 + Export",BJ1262+BI1262,BI1262)))</f>
        <v>0</v>
      </c>
      <c r="H1262" s="57" t="n">
        <f aca="false">G1262*F1262</f>
        <v>0</v>
      </c>
      <c r="I1262" s="57" t="n">
        <f aca="false">BL1262*Parameter!$B$18</f>
        <v>74</v>
      </c>
      <c r="J1262" s="58" t="n">
        <v>23.5</v>
      </c>
      <c r="K1262" s="59" t="n">
        <v>3.14893617021277</v>
      </c>
      <c r="L1262" s="57" t="n">
        <v>4</v>
      </c>
      <c r="M1262" s="57" t="n">
        <v>50</v>
      </c>
      <c r="N1262" s="60" t="n">
        <v>21</v>
      </c>
      <c r="O1262" s="55" t="s">
        <v>169</v>
      </c>
      <c r="P1262" s="57" t="n">
        <v>60</v>
      </c>
      <c r="Q1262" s="60" t="n">
        <f aca="false">IF(BR1262=1,0,IFERROR(VLOOKUP(BP1262,'Gebinde-Kategorie'!$A$5:$M$45,13,0)+0,0))</f>
        <v>6</v>
      </c>
      <c r="R1262" s="61"/>
      <c r="S1262" s="62"/>
      <c r="T1262" s="62"/>
      <c r="U1262" s="55"/>
      <c r="V1262" s="57"/>
      <c r="W1262" s="57"/>
      <c r="X1262" s="55" t="n">
        <f aca="false">IF(A1262="","",IF(AND(Parameter!$B$21="Ja",ISNUMBER(U1262)),U1262,IF(IFERROR(VLOOKUP(D1262,Parameter!$A$35:$C$64,2,0),"Nein")="2+3",IF(ISNUMBER(SEARCH("grosser Artikel",BM1262)),2,IFERROR(VLOOKUP(BP1262,Parameter!$F$35:$G$64,2,0),2)),IF(OR(IFERROR(VLOOKUP(D1262,Parameter!$A$35:$C$64,2,0),"Nein")="Nein",IFERROR(VLOOKUP(D1262,Parameter!$A$35:$C$64,2,0),"Nein")=""),"-",VLOOKUP(D1262,Parameter!$A$35:$C$64,2,0)))))</f>
        <v>2</v>
      </c>
      <c r="Y1262" s="62"/>
      <c r="Z1262" s="63"/>
      <c r="AA1262" s="57" t="n">
        <f aca="false">AP1262</f>
        <v>60</v>
      </c>
      <c r="AB1262" s="57" t="n">
        <f aca="false">MAX(AP1262,G1262)</f>
        <v>60</v>
      </c>
      <c r="AC1262" s="64"/>
      <c r="AD1262" s="57" t="n">
        <f aca="false">IF(LEFT(Cockpit!$C$5,1)="A",G1262,IF(BW1262=1,BX1262,IF(LEFT(Cockpit!$C$5,1)="B",AH1262,MAX(AH1262,G1262))))</f>
        <v>0</v>
      </c>
      <c r="AE1262" s="57" t="n">
        <f aca="false">IF(BR1262=1,0,ROUNDUP(AD1262/BQ1262,0))</f>
        <v>0</v>
      </c>
      <c r="AF1262" s="59" t="n">
        <f aca="false">IF(CD1262&gt;0,CD1262*MAX(1,AD1262/V1262),IF(BR1262=1,IF(AD1262&lt;=0,0,BS1262*MAX(1,IF(G1262&gt;0,AD1262/G1262,1))),IF(Q1262&gt;0,AE1262/Q1262,0))/MAX(0.1,N(Parameter!$M$21)))</f>
        <v>0</v>
      </c>
      <c r="AG1262" s="57" t="n">
        <f aca="false">AD1262*F1262</f>
        <v>0</v>
      </c>
      <c r="AH1262" s="57" t="n">
        <f aca="false">ROUNDUP(MAX(I1262/IF(BV1262&gt;0,BV1262,MAX(0.1,N(Cockpit!$C$6))),BY1262)/BQ1262,0)*BQ1262</f>
        <v>60</v>
      </c>
      <c r="AI1262" s="58" t="n">
        <f aca="false">IF(AF1262&gt;0,I1262/AF1262,-1)</f>
        <v>-1</v>
      </c>
      <c r="AJ1262" s="58" t="str">
        <f aca="false">IF(AND(OR(BU1262="L1",BU1262="L23"),AF1262&gt;0),SUMIFS($AF$7:$AF$1576,$BU$7:$BU$1576,BU1262,$AI$7:$AI$1576,"&gt;"&amp;AI1262)+SUMIFS($AF$7:$AF$1576,$BU$7:$BU$1576,BU1262,$AI$7:$AI$1576,AI1262,$BO$7:$BO$1576,"&lt;="&amp;BO1262),"")</f>
        <v/>
      </c>
      <c r="AK1262" s="65" t="n">
        <f aca="false">IF(AJ1262="",0,MAX(0,MIN(1,(IF(BU1262="L1",Parameter!$E$5,Parameter!$E$6+Parameter!$E$7)-(AJ1262-AF1262))/AF1262)))</f>
        <v>0</v>
      </c>
      <c r="AL1262" s="57" t="n">
        <f aca="false">IF(LEFT(Cockpit!$I$5,1)="A",G1262,IF(BW1262=1,BX1262,IF(LEFT(Cockpit!$I$5,1)="B",AP1262,MAX(AP1262,G1262))))</f>
        <v>60</v>
      </c>
      <c r="AM1262" s="57" t="n">
        <f aca="false">IF(BR1262=1,0,ROUNDUP(AL1262/BQ1262,0))</f>
        <v>1</v>
      </c>
      <c r="AN1262" s="59" t="n">
        <f aca="false">IF(CD1262&gt;0,CD1262*MAX(1,AL1262/V1262),IF(BR1262=1,IF(AL1262&lt;=0,0,BS1262*MAX(1,IF(G1262&gt;0,AL1262/G1262,1))),IF(Q1262&gt;0,AM1262/Q1262,0))/MAX(0.1,N(Parameter!$M$21)))</f>
        <v>0.166666666666667</v>
      </c>
      <c r="AO1262" s="57" t="n">
        <f aca="false">AL1262*F1262</f>
        <v>3937.8</v>
      </c>
      <c r="AP1262" s="57" t="n">
        <f aca="false">ROUNDUP(MAX(I1262/IF(BV1262&gt;0,BV1262,MAX(0.1,N(Cockpit!$I$6))),BY1262)/BQ1262,0)*BQ1262</f>
        <v>60</v>
      </c>
      <c r="AQ1262" s="58" t="n">
        <f aca="false">IF(AN1262&gt;0,I1262/AN1262,-1)</f>
        <v>444</v>
      </c>
      <c r="AR1262" s="58" t="n">
        <f aca="false">IF(AND(OR(BU1262="L1",BU1262="L23"),AN1262&gt;0),SUMIFS($AN$7:$AN$1576,$BU$7:$BU$1576,BU1262,$AQ$7:$AQ$1576,"&gt;"&amp;AQ1262)+SUMIFS($AN$7:$AN$1576,$BU$7:$BU$1576,BU1262,$AQ$7:$AQ$1576,AQ1262,$BO$7:$BO$1576,"&lt;="&amp;BO1262),"")</f>
        <v>35.901410968596</v>
      </c>
      <c r="AS1262" s="65" t="n">
        <f aca="false">IF(AR1262="",0,MAX(0,MIN(1,(IF(BU1262="L1",Parameter!$E$5,Parameter!$E$6+Parameter!$E$7)-(AR1262-AN1262))/AN1262)))</f>
        <v>1</v>
      </c>
      <c r="AT1262" s="57" t="n">
        <f aca="false">IF(LEFT(Cockpit!$O$5,1)="A",G1262,IF(BW1262=1,BX1262,IF(LEFT(Cockpit!$O$5,1)="B",AX1262,MAX(AX1262,G1262))))</f>
        <v>60</v>
      </c>
      <c r="AU1262" s="57" t="n">
        <f aca="false">IF(BR1262=1,0,ROUNDUP(AT1262/BQ1262,0))</f>
        <v>1</v>
      </c>
      <c r="AV1262" s="59" t="n">
        <f aca="false">IF(CD1262&gt;0,CD1262*MAX(1,AT1262/V1262),IF(BR1262=1,IF(AT1262&lt;=0,0,BS1262*MAX(1,IF(G1262&gt;0,AT1262/G1262,1))),IF(Q1262&gt;0,AU1262/Q1262,0))/MAX(0.1,N(Parameter!$M$21)))</f>
        <v>0.166666666666667</v>
      </c>
      <c r="AW1262" s="57" t="n">
        <f aca="false">AT1262*F1262</f>
        <v>3937.8</v>
      </c>
      <c r="AX1262" s="57" t="n">
        <f aca="false">ROUNDUP(MAX(I1262/IF(BV1262&gt;0,BV1262,MAX(0.1,N(Cockpit!$O$6))),BY1262)/BQ1262,0)*BQ1262</f>
        <v>60</v>
      </c>
      <c r="AY1262" s="58" t="n">
        <f aca="false">IF(AV1262&gt;0,I1262/AV1262,-1)</f>
        <v>444</v>
      </c>
      <c r="AZ1262" s="58" t="n">
        <f aca="false">IF(AND(OR(BU1262="L1",BU1262="L23"),AV1262&gt;0),SUMIFS($AV$7:$AV$1576,$BU$7:$BU$1576,BU1262,$AY$7:$AY$1576,"&gt;"&amp;AY1262)+SUMIFS($AV$7:$AV$1576,$BU$7:$BU$1576,BU1262,$AY$7:$AY$1576,AY1262,$BO$7:$BO$1576,"&lt;="&amp;BO1262),"")</f>
        <v>35.232822890008</v>
      </c>
      <c r="BA1262" s="65" t="n">
        <f aca="false">IF(AZ1262="",0,MAX(0,MIN(1,(IF(BU1262="L1",Parameter!$E$5,Parameter!$E$6+Parameter!$E$7)-(AZ1262-AV1262))/AV1262)))</f>
        <v>1</v>
      </c>
      <c r="BB1262" s="55" t="str">
        <f aca="false">IF(AF1262&lt;=0,"",IF(BU1262="Aussen","Aussenlager",IF(BU1262="-","Nicht im Lift",IF(AK1262&gt;=1,"Lift",IF(AK1262&lt;=0,"Aussenlager","teilweise")))))</f>
        <v/>
      </c>
      <c r="BC1262" s="55" t="str">
        <f aca="false">IF(AN1262&lt;=0,"",IF(BU1262="Aussen","Aussenlager",IF(BU1262="-","Nicht im Lift",IF(AS1262&gt;=1,"Lift",IF(AS1262&lt;=0,"Aussenlager","teilweise")))))</f>
        <v>Lift</v>
      </c>
      <c r="BD1262" s="55" t="str">
        <f aca="false">IF(AV1262&lt;=0,"",IF(BU1262="Aussen","Aussenlager",IF(BU1262="-","Nicht im Lift",IF(BA1262&gt;=1,"Lift",IF(BA1262&lt;=0,"Aussenlager","teilweise")))))</f>
        <v>Lift</v>
      </c>
      <c r="BE1262" s="55" t="str">
        <f aca="false">IF(A1262="","",IF(BN1262=1,"Neu; ","")&amp;IF(AND(BN1262=0,BI1262&lt;0),"negativer Bestand (Export "&amp;BI1262&amp;"); ","")&amp;IF(I1262&lt;=0,"Kein Verbrauch; ","")&amp;IF(CD1262&gt;0,"Lift "&amp;U1262&amp;" lt. Liftbericht (Fach "&amp;V1262&amp;" Stk); ",IF(BR1262=1,"Lose – Fläche geschätzt; ",""))&amp;IF(G1262&gt;AP1262,"Überbestand "&amp;ROUND(G1262-AP1262,0)&amp;" Stk / CHF "&amp;ROUND((G1262-AP1262)*F1262,0)&amp;"; ","")&amp;IF(AND(BW1262=1,BX1262&lt;BY1262),"MAX &lt; MB+LG; ","")&amp;IF(AND(CC1262&gt;0,CB1262*10&gt;CC1262),"zu hoch für Tablar; ","")&amp;IF(AND(BN1262=0,OR(BW1262=1,Y1262&lt;&gt;"",S1262&lt;&gt;"",T1262&lt;&gt;"",Z1262&lt;&gt;"")),"manuell übersteuert; ","")&amp;IF(AND(BR1262=0,Q1262=0),"Gebinde unbekannt / Stellmass fehlt; ","")&amp;IF(AND(BR1262=0,N(T1262)&lt;=0,N(P1262)&lt;=0),"Menge pro Gebinde fehlt (Ist = 1 Gebinde); ","")&amp;BM1262)</f>
        <v>negativer Bestand (Export -3); </v>
      </c>
      <c r="BF1262" s="55"/>
      <c r="BG1262" s="55"/>
      <c r="BH1262" s="62"/>
      <c r="BI1262" s="57" t="n">
        <v>-3</v>
      </c>
      <c r="BJ1262" s="57" t="n">
        <v>35</v>
      </c>
      <c r="BK1262" s="56" t="n">
        <v>-834.590000000002</v>
      </c>
      <c r="BL1262" s="57" t="n">
        <v>74</v>
      </c>
      <c r="BM1262" s="55"/>
      <c r="BN1262" s="60" t="n">
        <v>0</v>
      </c>
      <c r="BO1262" s="60" t="n">
        <v>1262</v>
      </c>
      <c r="BP1262" s="55" t="str">
        <f aca="false">IF(S1262&lt;&gt;"",UPPER(TRIM(S1262)),IF(O1262="","LOSE",O1262))</f>
        <v>S71</v>
      </c>
      <c r="BQ1262" s="57" t="n">
        <f aca="false">IF(BP1262="LOSE",1,IF(N(T1262)&gt;0,T1262,IF(N(P1262)&gt;0,P1262,MAX(1,G1262))))</f>
        <v>60</v>
      </c>
      <c r="BR1262" s="60" t="n">
        <f aca="false">IF(BP1262="LOSE",1,0)</f>
        <v>0</v>
      </c>
      <c r="BS1262" s="59" t="n">
        <f aca="false">IF(BR1262=0,0,IF(N(R1262)&gt;0,R1262,IFERROR(VLOOKUP(D1262,Parameter!$A$35:$C$64,3,0)+0,0)))</f>
        <v>0</v>
      </c>
      <c r="BT1262" s="55" t="n">
        <f aca="false">IF(Y1262&lt;&gt;"",Y1262,X1262)</f>
        <v>2</v>
      </c>
      <c r="BU1262" s="55" t="str">
        <f aca="false">IF(BT1262=1,"L1",IF(OR(BT1262=2,BT1262=3),"L23",IF(BT1262="Aussen","Aussen","-")))</f>
        <v>L23</v>
      </c>
      <c r="BV1262" s="66" t="n">
        <f aca="false">IF(N(Z1262)&gt;0,Z1262,0)</f>
        <v>0</v>
      </c>
      <c r="BW1262" s="60" t="n">
        <f aca="false">IF(ISNUMBER(AC1262),1,0)</f>
        <v>0</v>
      </c>
      <c r="BX1262" s="57" t="n">
        <f aca="false">N(AC1262)</f>
        <v>0</v>
      </c>
      <c r="BY1262" s="57" t="n">
        <f aca="false">N(L1262)+N(M1262)</f>
        <v>54</v>
      </c>
      <c r="BZ1262" s="57" t="n">
        <f aca="false">ROUNDUP(G1262/BQ1262,0)</f>
        <v>0</v>
      </c>
      <c r="CA1262" s="57" t="n">
        <f aca="false">ROUNDUP(BX1262/BQ1262,0)</f>
        <v>0</v>
      </c>
      <c r="CB1262" s="60" t="n">
        <f aca="false">IF(BR1262=1,0,IFERROR(VLOOKUP(BP1262,'Gebinde-Kategorie'!$A$5:$M$45,5,0)+0,0))</f>
        <v>20</v>
      </c>
      <c r="CC1262" s="60" t="n">
        <f aca="false">IFERROR(IF(OR(BT1262=1,BT1262=2,BT1262=3),N(INDEX(Parameter!$I$5:$I$7,BT1262)),0),0)</f>
        <v>0</v>
      </c>
      <c r="CD1262" s="59" t="n">
        <f aca="false">IF(AND(Parameter!$B$21="Ja",ISNUMBER(U1262),N(V1262)&gt;0),IFERROR(N(INDEX(Parameter!$L$5:$L$7,U1262))*INDEX(Parameter!$E$5:$E$7,U1262)*V1262/SUMIFS($V$7:$V$1576,$U$7:$U$1576,U1262),0),0)</f>
        <v>0</v>
      </c>
    </row>
    <row r="1263" customFormat="false" ht="15" hidden="false" customHeight="false" outlineLevel="0" collapsed="false">
      <c r="A1263" s="55" t="s">
        <v>2241</v>
      </c>
      <c r="B1263" s="55" t="s">
        <v>2242</v>
      </c>
      <c r="C1263" s="55" t="s">
        <v>160</v>
      </c>
      <c r="D1263" s="55" t="s">
        <v>178</v>
      </c>
      <c r="E1263" s="55" t="s">
        <v>210</v>
      </c>
      <c r="F1263" s="56" t="n">
        <v>23.11</v>
      </c>
      <c r="G1263" s="57" t="n">
        <f aca="false">MAX(0,IF(AND(Parameter!$B$21="Ja",ISNUMBER(W1263)),W1263,IF(Parameter!$B$20="Jahresanfang 2025 + Export",BJ1263+BI1263,BI1263)))</f>
        <v>0</v>
      </c>
      <c r="H1263" s="57" t="n">
        <f aca="false">G1263*F1263</f>
        <v>0</v>
      </c>
      <c r="I1263" s="57" t="n">
        <f aca="false">BL1263*Parameter!$B$18</f>
        <v>153</v>
      </c>
      <c r="J1263" s="58" t="n">
        <v>150</v>
      </c>
      <c r="K1263" s="59" t="n">
        <v>1.02</v>
      </c>
      <c r="L1263" s="57" t="n">
        <v>10</v>
      </c>
      <c r="M1263" s="57" t="n">
        <v>130</v>
      </c>
      <c r="N1263" s="60" t="n">
        <v>14</v>
      </c>
      <c r="O1263" s="55" t="s">
        <v>225</v>
      </c>
      <c r="P1263" s="57" t="n">
        <v>279</v>
      </c>
      <c r="Q1263" s="60" t="n">
        <f aca="false">IF(BR1263=1,0,IFERROR(VLOOKUP(BP1263,'Gebinde-Kategorie'!$A$5:$M$45,13,0)+0,0))</f>
        <v>26</v>
      </c>
      <c r="R1263" s="61"/>
      <c r="S1263" s="62"/>
      <c r="T1263" s="62"/>
      <c r="U1263" s="55"/>
      <c r="V1263" s="57"/>
      <c r="W1263" s="57"/>
      <c r="X1263" s="55" t="n">
        <f aca="false">IF(A1263="","",IF(AND(Parameter!$B$21="Ja",ISNUMBER(U1263)),U1263,IF(IFERROR(VLOOKUP(D1263,Parameter!$A$35:$C$64,2,0),"Nein")="2+3",IF(ISNUMBER(SEARCH("grosser Artikel",BM1263)),2,IFERROR(VLOOKUP(BP1263,Parameter!$F$35:$G$64,2,0),2)),IF(OR(IFERROR(VLOOKUP(D1263,Parameter!$A$35:$C$64,2,0),"Nein")="Nein",IFERROR(VLOOKUP(D1263,Parameter!$A$35:$C$64,2,0),"Nein")=""),"-",VLOOKUP(D1263,Parameter!$A$35:$C$64,2,0)))))</f>
        <v>3</v>
      </c>
      <c r="Y1263" s="62"/>
      <c r="Z1263" s="63"/>
      <c r="AA1263" s="57" t="n">
        <f aca="false">AP1263</f>
        <v>279</v>
      </c>
      <c r="AB1263" s="57" t="n">
        <f aca="false">MAX(AP1263,G1263)</f>
        <v>279</v>
      </c>
      <c r="AC1263" s="64"/>
      <c r="AD1263" s="57" t="n">
        <f aca="false">IF(LEFT(Cockpit!$C$5,1)="A",G1263,IF(BW1263=1,BX1263,IF(LEFT(Cockpit!$C$5,1)="B",AH1263,MAX(AH1263,G1263))))</f>
        <v>0</v>
      </c>
      <c r="AE1263" s="57" t="n">
        <f aca="false">IF(BR1263=1,0,ROUNDUP(AD1263/BQ1263,0))</f>
        <v>0</v>
      </c>
      <c r="AF1263" s="59" t="n">
        <f aca="false">IF(CD1263&gt;0,CD1263*MAX(1,AD1263/V1263),IF(BR1263=1,IF(AD1263&lt;=0,0,BS1263*MAX(1,IF(G1263&gt;0,AD1263/G1263,1))),IF(Q1263&gt;0,AE1263/Q1263,0))/MAX(0.1,N(Parameter!$M$21)))</f>
        <v>0</v>
      </c>
      <c r="AG1263" s="57" t="n">
        <f aca="false">AD1263*F1263</f>
        <v>0</v>
      </c>
      <c r="AH1263" s="57" t="n">
        <f aca="false">ROUNDUP(MAX(I1263/IF(BV1263&gt;0,BV1263,MAX(0.1,N(Cockpit!$C$6))),BY1263)/BQ1263,0)*BQ1263</f>
        <v>279</v>
      </c>
      <c r="AI1263" s="58" t="n">
        <f aca="false">IF(AF1263&gt;0,I1263/AF1263,-1)</f>
        <v>-1</v>
      </c>
      <c r="AJ1263" s="58" t="str">
        <f aca="false">IF(AND(OR(BU1263="L1",BU1263="L23"),AF1263&gt;0),SUMIFS($AF$7:$AF$1576,$BU$7:$BU$1576,BU1263,$AI$7:$AI$1576,"&gt;"&amp;AI1263)+SUMIFS($AF$7:$AF$1576,$BU$7:$BU$1576,BU1263,$AI$7:$AI$1576,AI1263,$BO$7:$BO$1576,"&lt;="&amp;BO1263),"")</f>
        <v/>
      </c>
      <c r="AK1263" s="65" t="n">
        <f aca="false">IF(AJ1263="",0,MAX(0,MIN(1,(IF(BU1263="L1",Parameter!$E$5,Parameter!$E$6+Parameter!$E$7)-(AJ1263-AF1263))/AF1263)))</f>
        <v>0</v>
      </c>
      <c r="AL1263" s="57" t="n">
        <f aca="false">IF(LEFT(Cockpit!$I$5,1)="A",G1263,IF(BW1263=1,BX1263,IF(LEFT(Cockpit!$I$5,1)="B",AP1263,MAX(AP1263,G1263))))</f>
        <v>279</v>
      </c>
      <c r="AM1263" s="57" t="n">
        <f aca="false">IF(BR1263=1,0,ROUNDUP(AL1263/BQ1263,0))</f>
        <v>1</v>
      </c>
      <c r="AN1263" s="59" t="n">
        <f aca="false">IF(CD1263&gt;0,CD1263*MAX(1,AL1263/V1263),IF(BR1263=1,IF(AL1263&lt;=0,0,BS1263*MAX(1,IF(G1263&gt;0,AL1263/G1263,1))),IF(Q1263&gt;0,AM1263/Q1263,0))/MAX(0.1,N(Parameter!$M$21)))</f>
        <v>0.0384615384615385</v>
      </c>
      <c r="AO1263" s="57" t="n">
        <f aca="false">AL1263*F1263</f>
        <v>6447.69</v>
      </c>
      <c r="AP1263" s="57" t="n">
        <f aca="false">ROUNDUP(MAX(I1263/IF(BV1263&gt;0,BV1263,MAX(0.1,N(Cockpit!$I$6))),BY1263)/BQ1263,0)*BQ1263</f>
        <v>279</v>
      </c>
      <c r="AQ1263" s="58" t="n">
        <f aca="false">IF(AN1263&gt;0,I1263/AN1263,-1)</f>
        <v>3978</v>
      </c>
      <c r="AR1263" s="58" t="n">
        <f aca="false">IF(AND(OR(BU1263="L1",BU1263="L23"),AN1263&gt;0),SUMIFS($AN$7:$AN$1576,$BU$7:$BU$1576,BU1263,$AQ$7:$AQ$1576,"&gt;"&amp;AQ1263)+SUMIFS($AN$7:$AN$1576,$BU$7:$BU$1576,BU1263,$AQ$7:$AQ$1576,AQ1263,$BO$7:$BO$1576,"&lt;="&amp;BO1263),"")</f>
        <v>13.0500445694402</v>
      </c>
      <c r="AS1263" s="65" t="n">
        <f aca="false">IF(AR1263="",0,MAX(0,MIN(1,(IF(BU1263="L1",Parameter!$E$5,Parameter!$E$6+Parameter!$E$7)-(AR1263-AN1263))/AN1263)))</f>
        <v>1</v>
      </c>
      <c r="AT1263" s="57" t="n">
        <f aca="false">IF(LEFT(Cockpit!$O$5,1)="A",G1263,IF(BW1263=1,BX1263,IF(LEFT(Cockpit!$O$5,1)="B",AX1263,MAX(AX1263,G1263))))</f>
        <v>279</v>
      </c>
      <c r="AU1263" s="57" t="n">
        <f aca="false">IF(BR1263=1,0,ROUNDUP(AT1263/BQ1263,0))</f>
        <v>1</v>
      </c>
      <c r="AV1263" s="59" t="n">
        <f aca="false">IF(CD1263&gt;0,CD1263*MAX(1,AT1263/V1263),IF(BR1263=1,IF(AT1263&lt;=0,0,BS1263*MAX(1,IF(G1263&gt;0,AT1263/G1263,1))),IF(Q1263&gt;0,AU1263/Q1263,0))/MAX(0.1,N(Parameter!$M$21)))</f>
        <v>0.0384615384615385</v>
      </c>
      <c r="AW1263" s="57" t="n">
        <f aca="false">AT1263*F1263</f>
        <v>6447.69</v>
      </c>
      <c r="AX1263" s="57" t="n">
        <f aca="false">ROUNDUP(MAX(I1263/IF(BV1263&gt;0,BV1263,MAX(0.1,N(Cockpit!$O$6))),BY1263)/BQ1263,0)*BQ1263</f>
        <v>279</v>
      </c>
      <c r="AY1263" s="58" t="n">
        <f aca="false">IF(AV1263&gt;0,I1263/AV1263,-1)</f>
        <v>3978</v>
      </c>
      <c r="AZ1263" s="58" t="n">
        <f aca="false">IF(AND(OR(BU1263="L1",BU1263="L23"),AV1263&gt;0),SUMIFS($AV$7:$AV$1576,$BU$7:$BU$1576,BU1263,$AY$7:$AY$1576,"&gt;"&amp;AY1263)+SUMIFS($AV$7:$AV$1576,$BU$7:$BU$1576,BU1263,$AY$7:$AY$1576,AY1263,$BO$7:$BO$1576,"&lt;="&amp;BO1263),"")</f>
        <v>11.7709070403027</v>
      </c>
      <c r="BA1263" s="65" t="n">
        <f aca="false">IF(AZ1263="",0,MAX(0,MIN(1,(IF(BU1263="L1",Parameter!$E$5,Parameter!$E$6+Parameter!$E$7)-(AZ1263-AV1263))/AV1263)))</f>
        <v>1</v>
      </c>
      <c r="BB1263" s="55" t="str">
        <f aca="false">IF(AF1263&lt;=0,"",IF(BU1263="Aussen","Aussenlager",IF(BU1263="-","Nicht im Lift",IF(AK1263&gt;=1,"Lift",IF(AK1263&lt;=0,"Aussenlager","teilweise")))))</f>
        <v/>
      </c>
      <c r="BC1263" s="55" t="str">
        <f aca="false">IF(AN1263&lt;=0,"",IF(BU1263="Aussen","Aussenlager",IF(BU1263="-","Nicht im Lift",IF(AS1263&gt;=1,"Lift",IF(AS1263&lt;=0,"Aussenlager","teilweise")))))</f>
        <v>Lift</v>
      </c>
      <c r="BD1263" s="55" t="str">
        <f aca="false">IF(AV1263&lt;=0,"",IF(BU1263="Aussen","Aussenlager",IF(BU1263="-","Nicht im Lift",IF(BA1263&gt;=1,"Lift",IF(BA1263&lt;=0,"Aussenlager","teilweise")))))</f>
        <v>Lift</v>
      </c>
      <c r="BE1263" s="55" t="str">
        <f aca="false">IF(A1263="","",IF(BN1263=1,"Neu; ","")&amp;IF(AND(BN1263=0,BI1263&lt;0),"negativer Bestand (Export "&amp;BI1263&amp;"); ","")&amp;IF(I1263&lt;=0,"Kein Verbrauch; ","")&amp;IF(CD1263&gt;0,"Lift "&amp;U1263&amp;" lt. Liftbericht (Fach "&amp;V1263&amp;" Stk); ",IF(BR1263=1,"Lose – Fläche geschätzt; ",""))&amp;IF(G1263&gt;AP1263,"Überbestand "&amp;ROUND(G1263-AP1263,0)&amp;" Stk / CHF "&amp;ROUND((G1263-AP1263)*F1263,0)&amp;"; ","")&amp;IF(AND(BW1263=1,BX1263&lt;BY1263),"MAX &lt; MB+LG; ","")&amp;IF(AND(CC1263&gt;0,CB1263*10&gt;CC1263),"zu hoch für Tablar; ","")&amp;IF(AND(BN1263=0,OR(BW1263=1,Y1263&lt;&gt;"",S1263&lt;&gt;"",T1263&lt;&gt;"",Z1263&lt;&gt;"")),"manuell übersteuert; ","")&amp;IF(AND(BR1263=0,Q1263=0),"Gebinde unbekannt / Stellmass fehlt; ","")&amp;IF(AND(BR1263=0,N(T1263)&lt;=0,N(P1263)&lt;=0),"Menge pro Gebinde fehlt (Ist = 1 Gebinde); ","")&amp;BM1263)</f>
        <v>negativer Bestand (Export -37); </v>
      </c>
      <c r="BF1263" s="55"/>
      <c r="BG1263" s="55"/>
      <c r="BH1263" s="62"/>
      <c r="BI1263" s="57" t="n">
        <v>-37</v>
      </c>
      <c r="BJ1263" s="57" t="n">
        <v>169</v>
      </c>
      <c r="BK1263" s="56" t="n">
        <v>-834.749999999999</v>
      </c>
      <c r="BL1263" s="57" t="n">
        <v>153</v>
      </c>
      <c r="BM1263" s="55"/>
      <c r="BN1263" s="60" t="n">
        <v>0</v>
      </c>
      <c r="BO1263" s="60" t="n">
        <v>1263</v>
      </c>
      <c r="BP1263" s="55" t="str">
        <f aca="false">IF(S1263&lt;&gt;"",UPPER(TRIM(S1263)),IF(O1263="","LOSE",O1263))</f>
        <v>S52</v>
      </c>
      <c r="BQ1263" s="57" t="n">
        <f aca="false">IF(BP1263="LOSE",1,IF(N(T1263)&gt;0,T1263,IF(N(P1263)&gt;0,P1263,MAX(1,G1263))))</f>
        <v>279</v>
      </c>
      <c r="BR1263" s="60" t="n">
        <f aca="false">IF(BP1263="LOSE",1,0)</f>
        <v>0</v>
      </c>
      <c r="BS1263" s="59" t="n">
        <f aca="false">IF(BR1263=0,0,IF(N(R1263)&gt;0,R1263,IFERROR(VLOOKUP(D1263,Parameter!$A$35:$C$64,3,0)+0,0)))</f>
        <v>0</v>
      </c>
      <c r="BT1263" s="55" t="n">
        <f aca="false">IF(Y1263&lt;&gt;"",Y1263,X1263)</f>
        <v>3</v>
      </c>
      <c r="BU1263" s="55" t="str">
        <f aca="false">IF(BT1263=1,"L1",IF(OR(BT1263=2,BT1263=3),"L23",IF(BT1263="Aussen","Aussen","-")))</f>
        <v>L23</v>
      </c>
      <c r="BV1263" s="66" t="n">
        <f aca="false">IF(N(Z1263)&gt;0,Z1263,0)</f>
        <v>0</v>
      </c>
      <c r="BW1263" s="60" t="n">
        <f aca="false">IF(ISNUMBER(AC1263),1,0)</f>
        <v>0</v>
      </c>
      <c r="BX1263" s="57" t="n">
        <f aca="false">N(AC1263)</f>
        <v>0</v>
      </c>
      <c r="BY1263" s="57" t="n">
        <f aca="false">N(L1263)+N(M1263)</f>
        <v>140</v>
      </c>
      <c r="BZ1263" s="57" t="n">
        <f aca="false">ROUNDUP(G1263/BQ1263,0)</f>
        <v>0</v>
      </c>
      <c r="CA1263" s="57" t="n">
        <f aca="false">ROUNDUP(BX1263/BQ1263,0)</f>
        <v>0</v>
      </c>
      <c r="CB1263" s="60" t="n">
        <f aca="false">IF(BR1263=1,0,IFERROR(VLOOKUP(BP1263,'Gebinde-Kategorie'!$A$5:$M$45,5,0)+0,0))</f>
        <v>21</v>
      </c>
      <c r="CC1263" s="60" t="n">
        <f aca="false">IFERROR(IF(OR(BT1263=1,BT1263=2,BT1263=3),N(INDEX(Parameter!$I$5:$I$7,BT1263)),0),0)</f>
        <v>0</v>
      </c>
      <c r="CD1263" s="59" t="n">
        <f aca="false">IF(AND(Parameter!$B$21="Ja",ISNUMBER(U1263),N(V1263)&gt;0),IFERROR(N(INDEX(Parameter!$L$5:$L$7,U1263))*INDEX(Parameter!$E$5:$E$7,U1263)*V1263/SUMIFS($V$7:$V$1576,$U$7:$U$1576,U1263),0),0)</f>
        <v>0</v>
      </c>
    </row>
    <row r="1264" customFormat="false" ht="15" hidden="false" customHeight="false" outlineLevel="0" collapsed="false">
      <c r="A1264" s="55" t="s">
        <v>2243</v>
      </c>
      <c r="B1264" s="55" t="s">
        <v>2244</v>
      </c>
      <c r="C1264" s="55" t="s">
        <v>160</v>
      </c>
      <c r="D1264" s="55" t="s">
        <v>984</v>
      </c>
      <c r="E1264" s="55" t="s">
        <v>210</v>
      </c>
      <c r="F1264" s="56" t="n">
        <v>834.75</v>
      </c>
      <c r="G1264" s="57" t="n">
        <f aca="false">MAX(0,IF(AND(Parameter!$B$21="Ja",ISNUMBER(W1264)),W1264,IF(Parameter!$B$20="Jahresanfang 2025 + Export",BJ1264+BI1264,BI1264)))</f>
        <v>1</v>
      </c>
      <c r="H1264" s="57" t="n">
        <f aca="false">G1264*F1264</f>
        <v>834.75</v>
      </c>
      <c r="I1264" s="57" t="n">
        <f aca="false">BL1264*Parameter!$B$18</f>
        <v>0</v>
      </c>
      <c r="J1264" s="58" t="n">
        <v>2</v>
      </c>
      <c r="K1264" s="59" t="n">
        <v>0</v>
      </c>
      <c r="L1264" s="57" t="n">
        <v>1</v>
      </c>
      <c r="M1264" s="57" t="n">
        <v>1</v>
      </c>
      <c r="N1264" s="60" t="n">
        <v>7</v>
      </c>
      <c r="O1264" s="55" t="s">
        <v>163</v>
      </c>
      <c r="P1264" s="57"/>
      <c r="Q1264" s="60" t="n">
        <f aca="false">IF(BR1264=1,0,IFERROR(VLOOKUP(BP1264,'Gebinde-Kategorie'!$A$5:$M$45,13,0)+0,0))</f>
        <v>0</v>
      </c>
      <c r="R1264" s="61"/>
      <c r="S1264" s="62"/>
      <c r="T1264" s="62"/>
      <c r="U1264" s="55"/>
      <c r="V1264" s="57"/>
      <c r="W1264" s="57"/>
      <c r="X1264" s="55" t="str">
        <f aca="false">IF(A1264="","",IF(AND(Parameter!$B$21="Ja",ISNUMBER(U1264)),U1264,IF(IFERROR(VLOOKUP(D1264,Parameter!$A$35:$C$64,2,0),"Nein")="2+3",IF(ISNUMBER(SEARCH("grosser Artikel",BM1264)),2,IFERROR(VLOOKUP(BP1264,Parameter!$F$35:$G$64,2,0),2)),IF(OR(IFERROR(VLOOKUP(D1264,Parameter!$A$35:$C$64,2,0),"Nein")="Nein",IFERROR(VLOOKUP(D1264,Parameter!$A$35:$C$64,2,0),"Nein")=""),"-",VLOOKUP(D1264,Parameter!$A$35:$C$64,2,0)))))</f>
        <v>-</v>
      </c>
      <c r="Y1264" s="62"/>
      <c r="Z1264" s="63"/>
      <c r="AA1264" s="57" t="n">
        <f aca="false">AP1264</f>
        <v>2</v>
      </c>
      <c r="AB1264" s="57" t="n">
        <f aca="false">MAX(AP1264,G1264)</f>
        <v>2</v>
      </c>
      <c r="AC1264" s="64"/>
      <c r="AD1264" s="57" t="n">
        <f aca="false">IF(LEFT(Cockpit!$C$5,1)="A",G1264,IF(BW1264=1,BX1264,IF(LEFT(Cockpit!$C$5,1)="B",AH1264,MAX(AH1264,G1264))))</f>
        <v>1</v>
      </c>
      <c r="AE1264" s="57" t="n">
        <f aca="false">IF(BR1264=1,0,ROUNDUP(AD1264/BQ1264,0))</f>
        <v>0</v>
      </c>
      <c r="AF1264" s="59" t="n">
        <f aca="false">IF(CD1264&gt;0,CD1264*MAX(1,AD1264/V1264),IF(BR1264=1,IF(AD1264&lt;=0,0,BS1264*MAX(1,IF(G1264&gt;0,AD1264/G1264,1))),IF(Q1264&gt;0,AE1264/Q1264,0))/MAX(0.1,N(Parameter!$M$21)))</f>
        <v>0.15</v>
      </c>
      <c r="AG1264" s="57" t="n">
        <f aca="false">AD1264*F1264</f>
        <v>834.75</v>
      </c>
      <c r="AH1264" s="57" t="n">
        <f aca="false">ROUNDUP(MAX(I1264/IF(BV1264&gt;0,BV1264,MAX(0.1,N(Cockpit!$C$6))),BY1264)/BQ1264,0)*BQ1264</f>
        <v>2</v>
      </c>
      <c r="AI1264" s="58" t="n">
        <f aca="false">IF(AF1264&gt;0,I1264/AF1264,-1)</f>
        <v>0</v>
      </c>
      <c r="AJ1264" s="58" t="str">
        <f aca="false">IF(AND(OR(BU1264="L1",BU1264="L23"),AF1264&gt;0),SUMIFS($AF$7:$AF$1576,$BU$7:$BU$1576,BU1264,$AI$7:$AI$1576,"&gt;"&amp;AI1264)+SUMIFS($AF$7:$AF$1576,$BU$7:$BU$1576,BU1264,$AI$7:$AI$1576,AI1264,$BO$7:$BO$1576,"&lt;="&amp;BO1264),"")</f>
        <v/>
      </c>
      <c r="AK1264" s="65" t="n">
        <f aca="false">IF(AJ1264="",0,MAX(0,MIN(1,(IF(BU1264="L1",Parameter!$E$5,Parameter!$E$6+Parameter!$E$7)-(AJ1264-AF1264))/AF1264)))</f>
        <v>0</v>
      </c>
      <c r="AL1264" s="57" t="n">
        <f aca="false">IF(LEFT(Cockpit!$I$5,1)="A",G1264,IF(BW1264=1,BX1264,IF(LEFT(Cockpit!$I$5,1)="B",AP1264,MAX(AP1264,G1264))))</f>
        <v>2</v>
      </c>
      <c r="AM1264" s="57" t="n">
        <f aca="false">IF(BR1264=1,0,ROUNDUP(AL1264/BQ1264,0))</f>
        <v>0</v>
      </c>
      <c r="AN1264" s="59" t="n">
        <f aca="false">IF(CD1264&gt;0,CD1264*MAX(1,AL1264/V1264),IF(BR1264=1,IF(AL1264&lt;=0,0,BS1264*MAX(1,IF(G1264&gt;0,AL1264/G1264,1))),IF(Q1264&gt;0,AM1264/Q1264,0))/MAX(0.1,N(Parameter!$M$21)))</f>
        <v>0.3</v>
      </c>
      <c r="AO1264" s="57" t="n">
        <f aca="false">AL1264*F1264</f>
        <v>1669.5</v>
      </c>
      <c r="AP1264" s="57" t="n">
        <f aca="false">ROUNDUP(MAX(I1264/IF(BV1264&gt;0,BV1264,MAX(0.1,N(Cockpit!$I$6))),BY1264)/BQ1264,0)*BQ1264</f>
        <v>2</v>
      </c>
      <c r="AQ1264" s="58" t="n">
        <f aca="false">IF(AN1264&gt;0,I1264/AN1264,-1)</f>
        <v>0</v>
      </c>
      <c r="AR1264" s="58" t="str">
        <f aca="false">IF(AND(OR(BU1264="L1",BU1264="L23"),AN1264&gt;0),SUMIFS($AN$7:$AN$1576,$BU$7:$BU$1576,BU1264,$AQ$7:$AQ$1576,"&gt;"&amp;AQ1264)+SUMIFS($AN$7:$AN$1576,$BU$7:$BU$1576,BU1264,$AQ$7:$AQ$1576,AQ1264,$BO$7:$BO$1576,"&lt;="&amp;BO1264),"")</f>
        <v/>
      </c>
      <c r="AS1264" s="65" t="n">
        <f aca="false">IF(AR1264="",0,MAX(0,MIN(1,(IF(BU1264="L1",Parameter!$E$5,Parameter!$E$6+Parameter!$E$7)-(AR1264-AN1264))/AN1264)))</f>
        <v>0</v>
      </c>
      <c r="AT1264" s="57" t="n">
        <f aca="false">IF(LEFT(Cockpit!$O$5,1)="A",G1264,IF(BW1264=1,BX1264,IF(LEFT(Cockpit!$O$5,1)="B",AX1264,MAX(AX1264,G1264))))</f>
        <v>2</v>
      </c>
      <c r="AU1264" s="57" t="n">
        <f aca="false">IF(BR1264=1,0,ROUNDUP(AT1264/BQ1264,0))</f>
        <v>0</v>
      </c>
      <c r="AV1264" s="59" t="n">
        <f aca="false">IF(CD1264&gt;0,CD1264*MAX(1,AT1264/V1264),IF(BR1264=1,IF(AT1264&lt;=0,0,BS1264*MAX(1,IF(G1264&gt;0,AT1264/G1264,1))),IF(Q1264&gt;0,AU1264/Q1264,0))/MAX(0.1,N(Parameter!$M$21)))</f>
        <v>0.3</v>
      </c>
      <c r="AW1264" s="57" t="n">
        <f aca="false">AT1264*F1264</f>
        <v>1669.5</v>
      </c>
      <c r="AX1264" s="57" t="n">
        <f aca="false">ROUNDUP(MAX(I1264/IF(BV1264&gt;0,BV1264,MAX(0.1,N(Cockpit!$O$6))),BY1264)/BQ1264,0)*BQ1264</f>
        <v>2</v>
      </c>
      <c r="AY1264" s="58" t="n">
        <f aca="false">IF(AV1264&gt;0,I1264/AV1264,-1)</f>
        <v>0</v>
      </c>
      <c r="AZ1264" s="58" t="str">
        <f aca="false">IF(AND(OR(BU1264="L1",BU1264="L23"),AV1264&gt;0),SUMIFS($AV$7:$AV$1576,$BU$7:$BU$1576,BU1264,$AY$7:$AY$1576,"&gt;"&amp;AY1264)+SUMIFS($AV$7:$AV$1576,$BU$7:$BU$1576,BU1264,$AY$7:$AY$1576,AY1264,$BO$7:$BO$1576,"&lt;="&amp;BO1264),"")</f>
        <v/>
      </c>
      <c r="BA1264" s="65" t="n">
        <f aca="false">IF(AZ1264="",0,MAX(0,MIN(1,(IF(BU1264="L1",Parameter!$E$5,Parameter!$E$6+Parameter!$E$7)-(AZ1264-AV1264))/AV1264)))</f>
        <v>0</v>
      </c>
      <c r="BB1264" s="55" t="str">
        <f aca="false">IF(AF1264&lt;=0,"",IF(BU1264="Aussen","Aussenlager",IF(BU1264="-","Nicht im Lift",IF(AK1264&gt;=1,"Lift",IF(AK1264&lt;=0,"Aussenlager","teilweise")))))</f>
        <v>Nicht im Lift</v>
      </c>
      <c r="BC1264" s="55" t="str">
        <f aca="false">IF(AN1264&lt;=0,"",IF(BU1264="Aussen","Aussenlager",IF(BU1264="-","Nicht im Lift",IF(AS1264&gt;=1,"Lift",IF(AS1264&lt;=0,"Aussenlager","teilweise")))))</f>
        <v>Nicht im Lift</v>
      </c>
      <c r="BD1264" s="55" t="str">
        <f aca="false">IF(AV1264&lt;=0,"",IF(BU1264="Aussen","Aussenlager",IF(BU1264="-","Nicht im Lift",IF(BA1264&gt;=1,"Lift",IF(BA1264&lt;=0,"Aussenlager","teilweise")))))</f>
        <v>Nicht im Lift</v>
      </c>
      <c r="BE1264" s="55" t="str">
        <f aca="false">IF(A1264="","",IF(BN1264=1,"Neu; ","")&amp;IF(AND(BN1264=0,BI1264&lt;0),"negativer Bestand (Export "&amp;BI1264&amp;"); ","")&amp;IF(I1264&lt;=0,"Kein Verbrauch; ","")&amp;IF(CD1264&gt;0,"Lift "&amp;U1264&amp;" lt. Liftbericht (Fach "&amp;V1264&amp;" Stk); ",IF(BR1264=1,"Lose – Fläche geschätzt; ",""))&amp;IF(G1264&gt;AP1264,"Überbestand "&amp;ROUND(G1264-AP1264,0)&amp;" Stk / CHF "&amp;ROUND((G1264-AP1264)*F1264,0)&amp;"; ","")&amp;IF(AND(BW1264=1,BX1264&lt;BY1264),"MAX &lt; MB+LG; ","")&amp;IF(AND(CC1264&gt;0,CB1264*10&gt;CC1264),"zu hoch für Tablar; ","")&amp;IF(AND(BN1264=0,OR(BW1264=1,Y1264&lt;&gt;"",S1264&lt;&gt;"",T1264&lt;&gt;"",Z1264&lt;&gt;"")),"manuell übersteuert; ","")&amp;IF(AND(BR1264=0,Q1264=0),"Gebinde unbekannt / Stellmass fehlt; ","")&amp;IF(AND(BR1264=0,N(T1264)&lt;=0,N(P1264)&lt;=0),"Menge pro Gebinde fehlt (Ist = 1 Gebinde); ","")&amp;BM1264)</f>
        <v>Kein Verbrauch; Lose – Fläche geschätzt; </v>
      </c>
      <c r="BF1264" s="55"/>
      <c r="BG1264" s="55"/>
      <c r="BH1264" s="62"/>
      <c r="BI1264" s="57" t="n">
        <v>1</v>
      </c>
      <c r="BJ1264" s="57" t="n">
        <v>2</v>
      </c>
      <c r="BK1264" s="56" t="n">
        <v>-834.75</v>
      </c>
      <c r="BL1264" s="57" t="n">
        <v>0</v>
      </c>
      <c r="BM1264" s="55"/>
      <c r="BN1264" s="60" t="n">
        <v>0</v>
      </c>
      <c r="BO1264" s="60" t="n">
        <v>1264</v>
      </c>
      <c r="BP1264" s="55" t="str">
        <f aca="false">IF(S1264&lt;&gt;"",UPPER(TRIM(S1264)),IF(O1264="","LOSE",O1264))</f>
        <v>LOSE</v>
      </c>
      <c r="BQ1264" s="57" t="n">
        <f aca="false">IF(BP1264="LOSE",1,IF(N(T1264)&gt;0,T1264,IF(N(P1264)&gt;0,P1264,MAX(1,G1264))))</f>
        <v>1</v>
      </c>
      <c r="BR1264" s="60" t="n">
        <f aca="false">IF(BP1264="LOSE",1,0)</f>
        <v>1</v>
      </c>
      <c r="BS1264" s="59" t="n">
        <f aca="false">IF(BR1264=0,0,IF(N(R1264)&gt;0,R1264,IFERROR(VLOOKUP(D1264,Parameter!$A$35:$C$64,3,0)+0,0)))</f>
        <v>0.15</v>
      </c>
      <c r="BT1264" s="55" t="str">
        <f aca="false">IF(Y1264&lt;&gt;"",Y1264,X1264)</f>
        <v>-</v>
      </c>
      <c r="BU1264" s="55" t="str">
        <f aca="false">IF(BT1264=1,"L1",IF(OR(BT1264=2,BT1264=3),"L23",IF(BT1264="Aussen","Aussen","-")))</f>
        <v>-</v>
      </c>
      <c r="BV1264" s="66" t="n">
        <f aca="false">IF(N(Z1264)&gt;0,Z1264,0)</f>
        <v>0</v>
      </c>
      <c r="BW1264" s="60" t="n">
        <f aca="false">IF(ISNUMBER(AC1264),1,0)</f>
        <v>0</v>
      </c>
      <c r="BX1264" s="57" t="n">
        <f aca="false">N(AC1264)</f>
        <v>0</v>
      </c>
      <c r="BY1264" s="57" t="n">
        <f aca="false">N(L1264)+N(M1264)</f>
        <v>2</v>
      </c>
      <c r="BZ1264" s="57" t="n">
        <f aca="false">ROUNDUP(G1264/BQ1264,0)</f>
        <v>1</v>
      </c>
      <c r="CA1264" s="57" t="n">
        <f aca="false">ROUNDUP(BX1264/BQ1264,0)</f>
        <v>0</v>
      </c>
      <c r="CB1264" s="60" t="n">
        <f aca="false">IF(BR1264=1,0,IFERROR(VLOOKUP(BP1264,'Gebinde-Kategorie'!$A$5:$M$45,5,0)+0,0))</f>
        <v>0</v>
      </c>
      <c r="CC1264" s="60" t="n">
        <f aca="false">IFERROR(IF(OR(BT1264=1,BT1264=2,BT1264=3),N(INDEX(Parameter!$I$5:$I$7,BT1264)),0),0)</f>
        <v>0</v>
      </c>
      <c r="CD1264" s="59" t="n">
        <f aca="false">IF(AND(Parameter!$B$21="Ja",ISNUMBER(U1264),N(V1264)&gt;0),IFERROR(N(INDEX(Parameter!$L$5:$L$7,U1264))*INDEX(Parameter!$E$5:$E$7,U1264)*V1264/SUMIFS($V$7:$V$1576,$U$7:$U$1576,U1264),0),0)</f>
        <v>0</v>
      </c>
    </row>
    <row r="1265" customFormat="false" ht="15" hidden="false" customHeight="false" outlineLevel="0" collapsed="false">
      <c r="A1265" s="55" t="s">
        <v>2245</v>
      </c>
      <c r="B1265" s="55" t="s">
        <v>2246</v>
      </c>
      <c r="C1265" s="55" t="s">
        <v>160</v>
      </c>
      <c r="D1265" s="55" t="s">
        <v>178</v>
      </c>
      <c r="E1265" s="55" t="s">
        <v>210</v>
      </c>
      <c r="F1265" s="56" t="n">
        <v>28.7</v>
      </c>
      <c r="G1265" s="57" t="n">
        <f aca="false">MAX(0,IF(AND(Parameter!$B$21="Ja",ISNUMBER(W1265)),W1265,IF(Parameter!$B$20="Jahresanfang 2025 + Export",BJ1265+BI1265,BI1265)))</f>
        <v>0</v>
      </c>
      <c r="H1265" s="57" t="n">
        <f aca="false">G1265*F1265</f>
        <v>0</v>
      </c>
      <c r="I1265" s="57" t="n">
        <f aca="false">BL1265*Parameter!$B$18</f>
        <v>19</v>
      </c>
      <c r="J1265" s="58" t="n">
        <v>130.5</v>
      </c>
      <c r="K1265" s="59" t="n">
        <v>0.145593869731801</v>
      </c>
      <c r="L1265" s="57" t="n">
        <v>1</v>
      </c>
      <c r="M1265" s="57" t="n">
        <v>20</v>
      </c>
      <c r="N1265" s="60" t="n">
        <v>28</v>
      </c>
      <c r="O1265" s="55" t="s">
        <v>218</v>
      </c>
      <c r="P1265" s="57" t="n">
        <v>183</v>
      </c>
      <c r="Q1265" s="60" t="n">
        <f aca="false">IF(BR1265=1,0,IFERROR(VLOOKUP(BP1265,'Gebinde-Kategorie'!$A$5:$M$45,13,0)+0,0))</f>
        <v>12</v>
      </c>
      <c r="R1265" s="61"/>
      <c r="S1265" s="62"/>
      <c r="T1265" s="62"/>
      <c r="U1265" s="55"/>
      <c r="V1265" s="57"/>
      <c r="W1265" s="57"/>
      <c r="X1265" s="55" t="n">
        <f aca="false">IF(A1265="","",IF(AND(Parameter!$B$21="Ja",ISNUMBER(U1265)),U1265,IF(IFERROR(VLOOKUP(D1265,Parameter!$A$35:$C$64,2,0),"Nein")="2+3",IF(ISNUMBER(SEARCH("grosser Artikel",BM1265)),2,IFERROR(VLOOKUP(BP1265,Parameter!$F$35:$G$64,2,0),2)),IF(OR(IFERROR(VLOOKUP(D1265,Parameter!$A$35:$C$64,2,0),"Nein")="Nein",IFERROR(VLOOKUP(D1265,Parameter!$A$35:$C$64,2,0),"Nein")=""),"-",VLOOKUP(D1265,Parameter!$A$35:$C$64,2,0)))))</f>
        <v>2</v>
      </c>
      <c r="Y1265" s="62"/>
      <c r="Z1265" s="63"/>
      <c r="AA1265" s="57" t="n">
        <f aca="false">AP1265</f>
        <v>183</v>
      </c>
      <c r="AB1265" s="57" t="n">
        <f aca="false">MAX(AP1265,G1265)</f>
        <v>183</v>
      </c>
      <c r="AC1265" s="64"/>
      <c r="AD1265" s="57" t="n">
        <f aca="false">IF(LEFT(Cockpit!$C$5,1)="A",G1265,IF(BW1265=1,BX1265,IF(LEFT(Cockpit!$C$5,1)="B",AH1265,MAX(AH1265,G1265))))</f>
        <v>0</v>
      </c>
      <c r="AE1265" s="57" t="n">
        <f aca="false">IF(BR1265=1,0,ROUNDUP(AD1265/BQ1265,0))</f>
        <v>0</v>
      </c>
      <c r="AF1265" s="59" t="n">
        <f aca="false">IF(CD1265&gt;0,CD1265*MAX(1,AD1265/V1265),IF(BR1265=1,IF(AD1265&lt;=0,0,BS1265*MAX(1,IF(G1265&gt;0,AD1265/G1265,1))),IF(Q1265&gt;0,AE1265/Q1265,0))/MAX(0.1,N(Parameter!$M$21)))</f>
        <v>0</v>
      </c>
      <c r="AG1265" s="57" t="n">
        <f aca="false">AD1265*F1265</f>
        <v>0</v>
      </c>
      <c r="AH1265" s="57" t="n">
        <f aca="false">ROUNDUP(MAX(I1265/IF(BV1265&gt;0,BV1265,MAX(0.1,N(Cockpit!$C$6))),BY1265)/BQ1265,0)*BQ1265</f>
        <v>183</v>
      </c>
      <c r="AI1265" s="58" t="n">
        <f aca="false">IF(AF1265&gt;0,I1265/AF1265,-1)</f>
        <v>-1</v>
      </c>
      <c r="AJ1265" s="58" t="str">
        <f aca="false">IF(AND(OR(BU1265="L1",BU1265="L23"),AF1265&gt;0),SUMIFS($AF$7:$AF$1576,$BU$7:$BU$1576,BU1265,$AI$7:$AI$1576,"&gt;"&amp;AI1265)+SUMIFS($AF$7:$AF$1576,$BU$7:$BU$1576,BU1265,$AI$7:$AI$1576,AI1265,$BO$7:$BO$1576,"&lt;="&amp;BO1265),"")</f>
        <v/>
      </c>
      <c r="AK1265" s="65" t="n">
        <f aca="false">IF(AJ1265="",0,MAX(0,MIN(1,(IF(BU1265="L1",Parameter!$E$5,Parameter!$E$6+Parameter!$E$7)-(AJ1265-AF1265))/AF1265)))</f>
        <v>0</v>
      </c>
      <c r="AL1265" s="57" t="n">
        <f aca="false">IF(LEFT(Cockpit!$I$5,1)="A",G1265,IF(BW1265=1,BX1265,IF(LEFT(Cockpit!$I$5,1)="B",AP1265,MAX(AP1265,G1265))))</f>
        <v>183</v>
      </c>
      <c r="AM1265" s="57" t="n">
        <f aca="false">IF(BR1265=1,0,ROUNDUP(AL1265/BQ1265,0))</f>
        <v>1</v>
      </c>
      <c r="AN1265" s="59" t="n">
        <f aca="false">IF(CD1265&gt;0,CD1265*MAX(1,AL1265/V1265),IF(BR1265=1,IF(AL1265&lt;=0,0,BS1265*MAX(1,IF(G1265&gt;0,AL1265/G1265,1))),IF(Q1265&gt;0,AM1265/Q1265,0))/MAX(0.1,N(Parameter!$M$21)))</f>
        <v>0.0833333333333333</v>
      </c>
      <c r="AO1265" s="57" t="n">
        <f aca="false">AL1265*F1265</f>
        <v>5252.1</v>
      </c>
      <c r="AP1265" s="57" t="n">
        <f aca="false">ROUNDUP(MAX(I1265/IF(BV1265&gt;0,BV1265,MAX(0.1,N(Cockpit!$I$6))),BY1265)/BQ1265,0)*BQ1265</f>
        <v>183</v>
      </c>
      <c r="AQ1265" s="58" t="n">
        <f aca="false">IF(AN1265&gt;0,I1265/AN1265,-1)</f>
        <v>228</v>
      </c>
      <c r="AR1265" s="58" t="n">
        <f aca="false">IF(AND(OR(BU1265="L1",BU1265="L23"),AN1265&gt;0),SUMIFS($AN$7:$AN$1576,$BU$7:$BU$1576,BU1265,$AQ$7:$AQ$1576,"&gt;"&amp;AQ1265)+SUMIFS($AN$7:$AN$1576,$BU$7:$BU$1576,BU1265,$AQ$7:$AQ$1576,AQ1265,$BO$7:$BO$1576,"&lt;="&amp;BO1265),"")</f>
        <v>47.796609779447</v>
      </c>
      <c r="AS1265" s="65" t="n">
        <f aca="false">IF(AR1265="",0,MAX(0,MIN(1,(IF(BU1265="L1",Parameter!$E$5,Parameter!$E$6+Parameter!$E$7)-(AR1265-AN1265))/AN1265)))</f>
        <v>1</v>
      </c>
      <c r="AT1265" s="57" t="n">
        <f aca="false">IF(LEFT(Cockpit!$O$5,1)="A",G1265,IF(BW1265=1,BX1265,IF(LEFT(Cockpit!$O$5,1)="B",AX1265,MAX(AX1265,G1265))))</f>
        <v>183</v>
      </c>
      <c r="AU1265" s="57" t="n">
        <f aca="false">IF(BR1265=1,0,ROUNDUP(AT1265/BQ1265,0))</f>
        <v>1</v>
      </c>
      <c r="AV1265" s="59" t="n">
        <f aca="false">IF(CD1265&gt;0,CD1265*MAX(1,AT1265/V1265),IF(BR1265=1,IF(AT1265&lt;=0,0,BS1265*MAX(1,IF(G1265&gt;0,AT1265/G1265,1))),IF(Q1265&gt;0,AU1265/Q1265,0))/MAX(0.1,N(Parameter!$M$21)))</f>
        <v>0.0833333333333333</v>
      </c>
      <c r="AW1265" s="57" t="n">
        <f aca="false">AT1265*F1265</f>
        <v>5252.1</v>
      </c>
      <c r="AX1265" s="57" t="n">
        <f aca="false">ROUNDUP(MAX(I1265/IF(BV1265&gt;0,BV1265,MAX(0.1,N(Cockpit!$O$6))),BY1265)/BQ1265,0)*BQ1265</f>
        <v>183</v>
      </c>
      <c r="AY1265" s="58" t="n">
        <f aca="false">IF(AV1265&gt;0,I1265/AV1265,-1)</f>
        <v>228</v>
      </c>
      <c r="AZ1265" s="58" t="n">
        <f aca="false">IF(AND(OR(BU1265="L1",BU1265="L23"),AV1265&gt;0),SUMIFS($AV$7:$AV$1576,$BU$7:$BU$1576,BU1265,$AY$7:$AY$1576,"&gt;"&amp;AY1265)+SUMIFS($AV$7:$AV$1576,$BU$7:$BU$1576,BU1265,$AY$7:$AY$1576,AY1265,$BO$7:$BO$1576,"&lt;="&amp;BO1265),"")</f>
        <v>44.4080217008589</v>
      </c>
      <c r="BA1265" s="65" t="n">
        <f aca="false">IF(AZ1265="",0,MAX(0,MIN(1,(IF(BU1265="L1",Parameter!$E$5,Parameter!$E$6+Parameter!$E$7)-(AZ1265-AV1265))/AV1265)))</f>
        <v>1</v>
      </c>
      <c r="BB1265" s="55" t="str">
        <f aca="false">IF(AF1265&lt;=0,"",IF(BU1265="Aussen","Aussenlager",IF(BU1265="-","Nicht im Lift",IF(AK1265&gt;=1,"Lift",IF(AK1265&lt;=0,"Aussenlager","teilweise")))))</f>
        <v/>
      </c>
      <c r="BC1265" s="55" t="str">
        <f aca="false">IF(AN1265&lt;=0,"",IF(BU1265="Aussen","Aussenlager",IF(BU1265="-","Nicht im Lift",IF(AS1265&gt;=1,"Lift",IF(AS1265&lt;=0,"Aussenlager","teilweise")))))</f>
        <v>Lift</v>
      </c>
      <c r="BD1265" s="55" t="str">
        <f aca="false">IF(AV1265&lt;=0,"",IF(BU1265="Aussen","Aussenlager",IF(BU1265="-","Nicht im Lift",IF(BA1265&gt;=1,"Lift",IF(BA1265&lt;=0,"Aussenlager","teilweise")))))</f>
        <v>Lift</v>
      </c>
      <c r="BE1265" s="55" t="str">
        <f aca="false">IF(A1265="","",IF(BN1265=1,"Neu; ","")&amp;IF(AND(BN1265=0,BI1265&lt;0),"negativer Bestand (Export "&amp;BI1265&amp;"); ","")&amp;IF(I1265&lt;=0,"Kein Verbrauch; ","")&amp;IF(CD1265&gt;0,"Lift "&amp;U1265&amp;" lt. Liftbericht (Fach "&amp;V1265&amp;" Stk); ",IF(BR1265=1,"Lose – Fläche geschätzt; ",""))&amp;IF(G1265&gt;AP1265,"Überbestand "&amp;ROUND(G1265-AP1265,0)&amp;" Stk / CHF "&amp;ROUND((G1265-AP1265)*F1265,0)&amp;"; ","")&amp;IF(AND(BW1265=1,BX1265&lt;BY1265),"MAX &lt; MB+LG; ","")&amp;IF(AND(CC1265&gt;0,CB1265*10&gt;CC1265),"zu hoch für Tablar; ","")&amp;IF(AND(BN1265=0,OR(BW1265=1,Y1265&lt;&gt;"",S1265&lt;&gt;"",T1265&lt;&gt;"",Z1265&lt;&gt;"")),"manuell übersteuert; ","")&amp;IF(AND(BR1265=0,Q1265=0),"Gebinde unbekannt / Stellmass fehlt; ","")&amp;IF(AND(BR1265=0,N(T1265)&lt;=0,N(P1265)&lt;=0),"Menge pro Gebinde fehlt (Ist = 1 Gebinde); ","")&amp;BM1265)</f>
        <v>negativer Bestand (Export -30); Überbestand</v>
      </c>
      <c r="BF1265" s="55"/>
      <c r="BG1265" s="55"/>
      <c r="BH1265" s="62"/>
      <c r="BI1265" s="57" t="n">
        <v>-30</v>
      </c>
      <c r="BJ1265" s="57" t="n">
        <v>140</v>
      </c>
      <c r="BK1265" s="56" t="n">
        <v>-861</v>
      </c>
      <c r="BL1265" s="57" t="n">
        <v>19</v>
      </c>
      <c r="BM1265" s="55" t="s">
        <v>382</v>
      </c>
      <c r="BN1265" s="60" t="n">
        <v>0</v>
      </c>
      <c r="BO1265" s="60" t="n">
        <v>1265</v>
      </c>
      <c r="BP1265" s="55" t="str">
        <f aca="false">IF(S1265&lt;&gt;"",UPPER(TRIM(S1265)),IF(O1265="","LOSE",O1265))</f>
        <v>S63</v>
      </c>
      <c r="BQ1265" s="57" t="n">
        <f aca="false">IF(BP1265="LOSE",1,IF(N(T1265)&gt;0,T1265,IF(N(P1265)&gt;0,P1265,MAX(1,G1265))))</f>
        <v>183</v>
      </c>
      <c r="BR1265" s="60" t="n">
        <f aca="false">IF(BP1265="LOSE",1,0)</f>
        <v>0</v>
      </c>
      <c r="BS1265" s="59" t="n">
        <f aca="false">IF(BR1265=0,0,IF(N(R1265)&gt;0,R1265,IFERROR(VLOOKUP(D1265,Parameter!$A$35:$C$64,3,0)+0,0)))</f>
        <v>0</v>
      </c>
      <c r="BT1265" s="55" t="n">
        <f aca="false">IF(Y1265&lt;&gt;"",Y1265,X1265)</f>
        <v>2</v>
      </c>
      <c r="BU1265" s="55" t="str">
        <f aca="false">IF(BT1265=1,"L1",IF(OR(BT1265=2,BT1265=3),"L23",IF(BT1265="Aussen","Aussen","-")))</f>
        <v>L23</v>
      </c>
      <c r="BV1265" s="66" t="n">
        <f aca="false">IF(N(Z1265)&gt;0,Z1265,0)</f>
        <v>0</v>
      </c>
      <c r="BW1265" s="60" t="n">
        <f aca="false">IF(ISNUMBER(AC1265),1,0)</f>
        <v>0</v>
      </c>
      <c r="BX1265" s="57" t="n">
        <f aca="false">N(AC1265)</f>
        <v>0</v>
      </c>
      <c r="BY1265" s="57" t="n">
        <f aca="false">N(L1265)+N(M1265)</f>
        <v>21</v>
      </c>
      <c r="BZ1265" s="57" t="n">
        <f aca="false">ROUNDUP(G1265/BQ1265,0)</f>
        <v>0</v>
      </c>
      <c r="CA1265" s="57" t="n">
        <f aca="false">ROUNDUP(BX1265/BQ1265,0)</f>
        <v>0</v>
      </c>
      <c r="CB1265" s="60" t="n">
        <f aca="false">IF(BR1265=1,0,IFERROR(VLOOKUP(BP1265,'Gebinde-Kategorie'!$A$5:$M$45,5,0)+0,0))</f>
        <v>31</v>
      </c>
      <c r="CC1265" s="60" t="n">
        <f aca="false">IFERROR(IF(OR(BT1265=1,BT1265=2,BT1265=3),N(INDEX(Parameter!$I$5:$I$7,BT1265)),0),0)</f>
        <v>0</v>
      </c>
      <c r="CD1265" s="59" t="n">
        <f aca="false">IF(AND(Parameter!$B$21="Ja",ISNUMBER(U1265),N(V1265)&gt;0),IFERROR(N(INDEX(Parameter!$L$5:$L$7,U1265))*INDEX(Parameter!$E$5:$E$7,U1265)*V1265/SUMIFS($V$7:$V$1576,$U$7:$U$1576,U1265),0),0)</f>
        <v>0</v>
      </c>
    </row>
    <row r="1266" customFormat="false" ht="15" hidden="false" customHeight="false" outlineLevel="0" collapsed="false">
      <c r="A1266" s="55" t="s">
        <v>2247</v>
      </c>
      <c r="B1266" s="55" t="s">
        <v>2248</v>
      </c>
      <c r="C1266" s="55" t="s">
        <v>160</v>
      </c>
      <c r="D1266" s="55" t="s">
        <v>178</v>
      </c>
      <c r="E1266" s="55" t="s">
        <v>210</v>
      </c>
      <c r="F1266" s="56" t="n">
        <v>2.98</v>
      </c>
      <c r="G1266" s="57" t="n">
        <f aca="false">MAX(0,IF(AND(Parameter!$B$21="Ja",ISNUMBER(W1266)),W1266,IF(Parameter!$B$20="Jahresanfang 2025 + Export",BJ1266+BI1266,BI1266)))</f>
        <v>0</v>
      </c>
      <c r="H1266" s="57" t="n">
        <f aca="false">G1266*F1266</f>
        <v>0</v>
      </c>
      <c r="I1266" s="57" t="n">
        <f aca="false">BL1266*Parameter!$B$18</f>
        <v>370</v>
      </c>
      <c r="J1266" s="58" t="n">
        <v>236</v>
      </c>
      <c r="K1266" s="59" t="n">
        <v>1.56779661016949</v>
      </c>
      <c r="L1266" s="57" t="n">
        <v>28</v>
      </c>
      <c r="M1266" s="57" t="n">
        <v>370</v>
      </c>
      <c r="N1266" s="60" t="n">
        <v>28</v>
      </c>
      <c r="O1266" s="55" t="s">
        <v>293</v>
      </c>
      <c r="P1266" s="57" t="n">
        <v>185</v>
      </c>
      <c r="Q1266" s="60" t="n">
        <f aca="false">IF(BR1266=1,0,IFERROR(VLOOKUP(BP1266,'Gebinde-Kategorie'!$A$5:$M$45,13,0)+0,0))</f>
        <v>26</v>
      </c>
      <c r="R1266" s="61"/>
      <c r="S1266" s="62"/>
      <c r="T1266" s="62"/>
      <c r="U1266" s="55"/>
      <c r="V1266" s="57"/>
      <c r="W1266" s="57"/>
      <c r="X1266" s="55" t="n">
        <f aca="false">IF(A1266="","",IF(AND(Parameter!$B$21="Ja",ISNUMBER(U1266)),U1266,IF(IFERROR(VLOOKUP(D1266,Parameter!$A$35:$C$64,2,0),"Nein")="2+3",IF(ISNUMBER(SEARCH("grosser Artikel",BM1266)),2,IFERROR(VLOOKUP(BP1266,Parameter!$F$35:$G$64,2,0),2)),IF(OR(IFERROR(VLOOKUP(D1266,Parameter!$A$35:$C$64,2,0),"Nein")="Nein",IFERROR(VLOOKUP(D1266,Parameter!$A$35:$C$64,2,0),"Nein")=""),"-",VLOOKUP(D1266,Parameter!$A$35:$C$64,2,0)))))</f>
        <v>3</v>
      </c>
      <c r="Y1266" s="62"/>
      <c r="Z1266" s="63"/>
      <c r="AA1266" s="57" t="n">
        <f aca="false">AP1266</f>
        <v>555</v>
      </c>
      <c r="AB1266" s="57" t="n">
        <f aca="false">MAX(AP1266,G1266)</f>
        <v>555</v>
      </c>
      <c r="AC1266" s="64"/>
      <c r="AD1266" s="57" t="n">
        <f aca="false">IF(LEFT(Cockpit!$C$5,1)="A",G1266,IF(BW1266=1,BX1266,IF(LEFT(Cockpit!$C$5,1)="B",AH1266,MAX(AH1266,G1266))))</f>
        <v>0</v>
      </c>
      <c r="AE1266" s="57" t="n">
        <f aca="false">IF(BR1266=1,0,ROUNDUP(AD1266/BQ1266,0))</f>
        <v>0</v>
      </c>
      <c r="AF1266" s="59" t="n">
        <f aca="false">IF(CD1266&gt;0,CD1266*MAX(1,AD1266/V1266),IF(BR1266=1,IF(AD1266&lt;=0,0,BS1266*MAX(1,IF(G1266&gt;0,AD1266/G1266,1))),IF(Q1266&gt;0,AE1266/Q1266,0))/MAX(0.1,N(Parameter!$M$21)))</f>
        <v>0</v>
      </c>
      <c r="AG1266" s="57" t="n">
        <f aca="false">AD1266*F1266</f>
        <v>0</v>
      </c>
      <c r="AH1266" s="57" t="n">
        <f aca="false">ROUNDUP(MAX(I1266/IF(BV1266&gt;0,BV1266,MAX(0.1,N(Cockpit!$C$6))),BY1266)/BQ1266,0)*BQ1266</f>
        <v>555</v>
      </c>
      <c r="AI1266" s="58" t="n">
        <f aca="false">IF(AF1266&gt;0,I1266/AF1266,-1)</f>
        <v>-1</v>
      </c>
      <c r="AJ1266" s="58" t="str">
        <f aca="false">IF(AND(OR(BU1266="L1",BU1266="L23"),AF1266&gt;0),SUMIFS($AF$7:$AF$1576,$BU$7:$BU$1576,BU1266,$AI$7:$AI$1576,"&gt;"&amp;AI1266)+SUMIFS($AF$7:$AF$1576,$BU$7:$BU$1576,BU1266,$AI$7:$AI$1576,AI1266,$BO$7:$BO$1576,"&lt;="&amp;BO1266),"")</f>
        <v/>
      </c>
      <c r="AK1266" s="65" t="n">
        <f aca="false">IF(AJ1266="",0,MAX(0,MIN(1,(IF(BU1266="L1",Parameter!$E$5,Parameter!$E$6+Parameter!$E$7)-(AJ1266-AF1266))/AF1266)))</f>
        <v>0</v>
      </c>
      <c r="AL1266" s="57" t="n">
        <f aca="false">IF(LEFT(Cockpit!$I$5,1)="A",G1266,IF(BW1266=1,BX1266,IF(LEFT(Cockpit!$I$5,1)="B",AP1266,MAX(AP1266,G1266))))</f>
        <v>555</v>
      </c>
      <c r="AM1266" s="57" t="n">
        <f aca="false">IF(BR1266=1,0,ROUNDUP(AL1266/BQ1266,0))</f>
        <v>3</v>
      </c>
      <c r="AN1266" s="59" t="n">
        <f aca="false">IF(CD1266&gt;0,CD1266*MAX(1,AL1266/V1266),IF(BR1266=1,IF(AL1266&lt;=0,0,BS1266*MAX(1,IF(G1266&gt;0,AL1266/G1266,1))),IF(Q1266&gt;0,AM1266/Q1266,0))/MAX(0.1,N(Parameter!$M$21)))</f>
        <v>0.115384615384615</v>
      </c>
      <c r="AO1266" s="57" t="n">
        <f aca="false">AL1266*F1266</f>
        <v>1653.9</v>
      </c>
      <c r="AP1266" s="57" t="n">
        <f aca="false">ROUNDUP(MAX(I1266/IF(BV1266&gt;0,BV1266,MAX(0.1,N(Cockpit!$I$6))),BY1266)/BQ1266,0)*BQ1266</f>
        <v>555</v>
      </c>
      <c r="AQ1266" s="58" t="n">
        <f aca="false">IF(AN1266&gt;0,I1266/AN1266,-1)</f>
        <v>3206.66666666667</v>
      </c>
      <c r="AR1266" s="58" t="n">
        <f aca="false">IF(AND(OR(BU1266="L1",BU1266="L23"),AN1266&gt;0),SUMIFS($AN$7:$AN$1576,$BU$7:$BU$1576,BU1266,$AQ$7:$AQ$1576,"&gt;"&amp;AQ1266)+SUMIFS($AN$7:$AN$1576,$BU$7:$BU$1576,BU1266,$AQ$7:$AQ$1576,AQ1266,$BO$7:$BO$1576,"&lt;="&amp;BO1266),"")</f>
        <v>14.0838187662579</v>
      </c>
      <c r="AS1266" s="65" t="n">
        <f aca="false">IF(AR1266="",0,MAX(0,MIN(1,(IF(BU1266="L1",Parameter!$E$5,Parameter!$E$6+Parameter!$E$7)-(AR1266-AN1266))/AN1266)))</f>
        <v>1</v>
      </c>
      <c r="AT1266" s="57" t="n">
        <f aca="false">IF(LEFT(Cockpit!$O$5,1)="A",G1266,IF(BW1266=1,BX1266,IF(LEFT(Cockpit!$O$5,1)="B",AX1266,MAX(AX1266,G1266))))</f>
        <v>555</v>
      </c>
      <c r="AU1266" s="57" t="n">
        <f aca="false">IF(BR1266=1,0,ROUNDUP(AT1266/BQ1266,0))</f>
        <v>3</v>
      </c>
      <c r="AV1266" s="59" t="n">
        <f aca="false">IF(CD1266&gt;0,CD1266*MAX(1,AT1266/V1266),IF(BR1266=1,IF(AT1266&lt;=0,0,BS1266*MAX(1,IF(G1266&gt;0,AT1266/G1266,1))),IF(Q1266&gt;0,AU1266/Q1266,0))/MAX(0.1,N(Parameter!$M$21)))</f>
        <v>0.115384615384615</v>
      </c>
      <c r="AW1266" s="57" t="n">
        <f aca="false">AT1266*F1266</f>
        <v>1653.9</v>
      </c>
      <c r="AX1266" s="57" t="n">
        <f aca="false">ROUNDUP(MAX(I1266/IF(BV1266&gt;0,BV1266,MAX(0.1,N(Cockpit!$O$6))),BY1266)/BQ1266,0)*BQ1266</f>
        <v>555</v>
      </c>
      <c r="AY1266" s="58" t="n">
        <f aca="false">IF(AV1266&gt;0,I1266/AV1266,-1)</f>
        <v>3206.66666666667</v>
      </c>
      <c r="AZ1266" s="58" t="n">
        <f aca="false">IF(AND(OR(BU1266="L1",BU1266="L23"),AV1266&gt;0),SUMIFS($AV$7:$AV$1576,$BU$7:$BU$1576,BU1266,$AY$7:$AY$1576,"&gt;"&amp;AY1266)+SUMIFS($AV$7:$AV$1576,$BU$7:$BU$1576,BU1266,$AY$7:$AY$1576,AY1266,$BO$7:$BO$1576,"&lt;="&amp;BO1266),"")</f>
        <v>12.8816043140434</v>
      </c>
      <c r="BA1266" s="65" t="n">
        <f aca="false">IF(AZ1266="",0,MAX(0,MIN(1,(IF(BU1266="L1",Parameter!$E$5,Parameter!$E$6+Parameter!$E$7)-(AZ1266-AV1266))/AV1266)))</f>
        <v>1</v>
      </c>
      <c r="BB1266" s="55" t="str">
        <f aca="false">IF(AF1266&lt;=0,"",IF(BU1266="Aussen","Aussenlager",IF(BU1266="-","Nicht im Lift",IF(AK1266&gt;=1,"Lift",IF(AK1266&lt;=0,"Aussenlager","teilweise")))))</f>
        <v/>
      </c>
      <c r="BC1266" s="55" t="str">
        <f aca="false">IF(AN1266&lt;=0,"",IF(BU1266="Aussen","Aussenlager",IF(BU1266="-","Nicht im Lift",IF(AS1266&gt;=1,"Lift",IF(AS1266&lt;=0,"Aussenlager","teilweise")))))</f>
        <v>Lift</v>
      </c>
      <c r="BD1266" s="55" t="str">
        <f aca="false">IF(AV1266&lt;=0,"",IF(BU1266="Aussen","Aussenlager",IF(BU1266="-","Nicht im Lift",IF(BA1266&gt;=1,"Lift",IF(BA1266&lt;=0,"Aussenlager","teilweise")))))</f>
        <v>Lift</v>
      </c>
      <c r="BE1266" s="55" t="str">
        <f aca="false">IF(A1266="","",IF(BN1266=1,"Neu; ","")&amp;IF(AND(BN1266=0,BI1266&lt;0),"negativer Bestand (Export "&amp;BI1266&amp;"); ","")&amp;IF(I1266&lt;=0,"Kein Verbrauch; ","")&amp;IF(CD1266&gt;0,"Lift "&amp;U1266&amp;" lt. Liftbericht (Fach "&amp;V1266&amp;" Stk); ",IF(BR1266=1,"Lose – Fläche geschätzt; ",""))&amp;IF(G1266&gt;AP1266,"Überbestand "&amp;ROUND(G1266-AP1266,0)&amp;" Stk / CHF "&amp;ROUND((G1266-AP1266)*F1266,0)&amp;"; ","")&amp;IF(AND(BW1266=1,BX1266&lt;BY1266),"MAX &lt; MB+LG; ","")&amp;IF(AND(CC1266&gt;0,CB1266*10&gt;CC1266),"zu hoch für Tablar; ","")&amp;IF(AND(BN1266=0,OR(BW1266=1,Y1266&lt;&gt;"",S1266&lt;&gt;"",T1266&lt;&gt;"",Z1266&lt;&gt;"")),"manuell übersteuert; ","")&amp;IF(AND(BR1266=0,Q1266=0),"Gebinde unbekannt / Stellmass fehlt; ","")&amp;IF(AND(BR1266=0,N(T1266)&lt;=0,N(P1266)&lt;=0),"Menge pro Gebinde fehlt (Ist = 1 Gebinde); ","")&amp;BM1266)</f>
        <v>negativer Bestand (Export -296); </v>
      </c>
      <c r="BF1266" s="55"/>
      <c r="BG1266" s="55"/>
      <c r="BH1266" s="62"/>
      <c r="BI1266" s="57" t="n">
        <v>-296</v>
      </c>
      <c r="BJ1266" s="57" t="n">
        <v>394</v>
      </c>
      <c r="BK1266" s="56" t="n">
        <v>-874.2</v>
      </c>
      <c r="BL1266" s="57" t="n">
        <v>370</v>
      </c>
      <c r="BM1266" s="55"/>
      <c r="BN1266" s="60" t="n">
        <v>0</v>
      </c>
      <c r="BO1266" s="60" t="n">
        <v>1266</v>
      </c>
      <c r="BP1266" s="55" t="str">
        <f aca="false">IF(S1266&lt;&gt;"",UPPER(TRIM(S1266)),IF(O1266="","LOSE",O1266))</f>
        <v>S51</v>
      </c>
      <c r="BQ1266" s="57" t="n">
        <f aca="false">IF(BP1266="LOSE",1,IF(N(T1266)&gt;0,T1266,IF(N(P1266)&gt;0,P1266,MAX(1,G1266))))</f>
        <v>185</v>
      </c>
      <c r="BR1266" s="60" t="n">
        <f aca="false">IF(BP1266="LOSE",1,0)</f>
        <v>0</v>
      </c>
      <c r="BS1266" s="59" t="n">
        <f aca="false">IF(BR1266=0,0,IF(N(R1266)&gt;0,R1266,IFERROR(VLOOKUP(D1266,Parameter!$A$35:$C$64,3,0)+0,0)))</f>
        <v>0</v>
      </c>
      <c r="BT1266" s="55" t="n">
        <f aca="false">IF(Y1266&lt;&gt;"",Y1266,X1266)</f>
        <v>3</v>
      </c>
      <c r="BU1266" s="55" t="str">
        <f aca="false">IF(BT1266=1,"L1",IF(OR(BT1266=2,BT1266=3),"L23",IF(BT1266="Aussen","Aussen","-")))</f>
        <v>L23</v>
      </c>
      <c r="BV1266" s="66" t="n">
        <f aca="false">IF(N(Z1266)&gt;0,Z1266,0)</f>
        <v>0</v>
      </c>
      <c r="BW1266" s="60" t="n">
        <f aca="false">IF(ISNUMBER(AC1266),1,0)</f>
        <v>0</v>
      </c>
      <c r="BX1266" s="57" t="n">
        <f aca="false">N(AC1266)</f>
        <v>0</v>
      </c>
      <c r="BY1266" s="57" t="n">
        <f aca="false">N(L1266)+N(M1266)</f>
        <v>398</v>
      </c>
      <c r="BZ1266" s="57" t="n">
        <f aca="false">ROUNDUP(G1266/BQ1266,0)</f>
        <v>0</v>
      </c>
      <c r="CA1266" s="57" t="n">
        <f aca="false">ROUNDUP(BX1266/BQ1266,0)</f>
        <v>0</v>
      </c>
      <c r="CB1266" s="60" t="n">
        <f aca="false">IF(BR1266=1,0,IFERROR(VLOOKUP(BP1266,'Gebinde-Kategorie'!$A$5:$M$45,5,0)+0,0))</f>
        <v>11</v>
      </c>
      <c r="CC1266" s="60" t="n">
        <f aca="false">IFERROR(IF(OR(BT1266=1,BT1266=2,BT1266=3),N(INDEX(Parameter!$I$5:$I$7,BT1266)),0),0)</f>
        <v>0</v>
      </c>
      <c r="CD1266" s="59" t="n">
        <f aca="false">IF(AND(Parameter!$B$21="Ja",ISNUMBER(U1266),N(V1266)&gt;0),IFERROR(N(INDEX(Parameter!$L$5:$L$7,U1266))*INDEX(Parameter!$E$5:$E$7,U1266)*V1266/SUMIFS($V$7:$V$1576,$U$7:$U$1576,U1266),0),0)</f>
        <v>0</v>
      </c>
    </row>
    <row r="1267" customFormat="false" ht="15" hidden="false" customHeight="false" outlineLevel="0" collapsed="false">
      <c r="A1267" s="55" t="s">
        <v>2249</v>
      </c>
      <c r="B1267" s="55" t="s">
        <v>2250</v>
      </c>
      <c r="C1267" s="55" t="s">
        <v>160</v>
      </c>
      <c r="D1267" s="55" t="s">
        <v>344</v>
      </c>
      <c r="E1267" s="55" t="s">
        <v>210</v>
      </c>
      <c r="F1267" s="56" t="n">
        <v>441.82</v>
      </c>
      <c r="G1267" s="57" t="n">
        <f aca="false">MAX(0,IF(AND(Parameter!$B$21="Ja",ISNUMBER(W1267)),W1267,IF(Parameter!$B$20="Jahresanfang 2025 + Export",BJ1267+BI1267,BI1267)))</f>
        <v>0</v>
      </c>
      <c r="H1267" s="57" t="n">
        <f aca="false">G1267*F1267</f>
        <v>0</v>
      </c>
      <c r="I1267" s="57" t="n">
        <f aca="false">BL1267*Parameter!$B$18</f>
        <v>0</v>
      </c>
      <c r="J1267" s="58" t="n">
        <v>1</v>
      </c>
      <c r="K1267" s="59" t="n">
        <v>0</v>
      </c>
      <c r="L1267" s="57" t="n">
        <v>0</v>
      </c>
      <c r="M1267" s="57" t="n">
        <v>1</v>
      </c>
      <c r="N1267" s="60" t="n">
        <v>0</v>
      </c>
      <c r="O1267" s="55" t="s">
        <v>163</v>
      </c>
      <c r="P1267" s="57"/>
      <c r="Q1267" s="60" t="n">
        <f aca="false">IF(BR1267=1,0,IFERROR(VLOOKUP(BP1267,'Gebinde-Kategorie'!$A$5:$M$45,13,0)+0,0))</f>
        <v>0</v>
      </c>
      <c r="R1267" s="61"/>
      <c r="S1267" s="62"/>
      <c r="T1267" s="62"/>
      <c r="U1267" s="55"/>
      <c r="V1267" s="57"/>
      <c r="W1267" s="57"/>
      <c r="X1267" s="55" t="str">
        <f aca="false">IF(A1267="","",IF(AND(Parameter!$B$21="Ja",ISNUMBER(U1267)),U1267,IF(IFERROR(VLOOKUP(D1267,Parameter!$A$35:$C$64,2,0),"Nein")="2+3",IF(ISNUMBER(SEARCH("grosser Artikel",BM1267)),2,IFERROR(VLOOKUP(BP1267,Parameter!$F$35:$G$64,2,0),2)),IF(OR(IFERROR(VLOOKUP(D1267,Parameter!$A$35:$C$64,2,0),"Nein")="Nein",IFERROR(VLOOKUP(D1267,Parameter!$A$35:$C$64,2,0),"Nein")=""),"-",VLOOKUP(D1267,Parameter!$A$35:$C$64,2,0)))))</f>
        <v>-</v>
      </c>
      <c r="Y1267" s="62"/>
      <c r="Z1267" s="63"/>
      <c r="AA1267" s="57" t="n">
        <f aca="false">AP1267</f>
        <v>1</v>
      </c>
      <c r="AB1267" s="57" t="n">
        <f aca="false">MAX(AP1267,G1267)</f>
        <v>1</v>
      </c>
      <c r="AC1267" s="64"/>
      <c r="AD1267" s="57" t="n">
        <f aca="false">IF(LEFT(Cockpit!$C$5,1)="A",G1267,IF(BW1267=1,BX1267,IF(LEFT(Cockpit!$C$5,1)="B",AH1267,MAX(AH1267,G1267))))</f>
        <v>0</v>
      </c>
      <c r="AE1267" s="57" t="n">
        <f aca="false">IF(BR1267=1,0,ROUNDUP(AD1267/BQ1267,0))</f>
        <v>0</v>
      </c>
      <c r="AF1267" s="59" t="n">
        <f aca="false">IF(CD1267&gt;0,CD1267*MAX(1,AD1267/V1267),IF(BR1267=1,IF(AD1267&lt;=0,0,BS1267*MAX(1,IF(G1267&gt;0,AD1267/G1267,1))),IF(Q1267&gt;0,AE1267/Q1267,0))/MAX(0.1,N(Parameter!$M$21)))</f>
        <v>0</v>
      </c>
      <c r="AG1267" s="57" t="n">
        <f aca="false">AD1267*F1267</f>
        <v>0</v>
      </c>
      <c r="AH1267" s="57" t="n">
        <f aca="false">ROUNDUP(MAX(I1267/IF(BV1267&gt;0,BV1267,MAX(0.1,N(Cockpit!$C$6))),BY1267)/BQ1267,0)*BQ1267</f>
        <v>1</v>
      </c>
      <c r="AI1267" s="58" t="n">
        <f aca="false">IF(AF1267&gt;0,I1267/AF1267,-1)</f>
        <v>-1</v>
      </c>
      <c r="AJ1267" s="58" t="str">
        <f aca="false">IF(AND(OR(BU1267="L1",BU1267="L23"),AF1267&gt;0),SUMIFS($AF$7:$AF$1576,$BU$7:$BU$1576,BU1267,$AI$7:$AI$1576,"&gt;"&amp;AI1267)+SUMIFS($AF$7:$AF$1576,$BU$7:$BU$1576,BU1267,$AI$7:$AI$1576,AI1267,$BO$7:$BO$1576,"&lt;="&amp;BO1267),"")</f>
        <v/>
      </c>
      <c r="AK1267" s="65" t="n">
        <f aca="false">IF(AJ1267="",0,MAX(0,MIN(1,(IF(BU1267="L1",Parameter!$E$5,Parameter!$E$6+Parameter!$E$7)-(AJ1267-AF1267))/AF1267)))</f>
        <v>0</v>
      </c>
      <c r="AL1267" s="57" t="n">
        <f aca="false">IF(LEFT(Cockpit!$I$5,1)="A",G1267,IF(BW1267=1,BX1267,IF(LEFT(Cockpit!$I$5,1)="B",AP1267,MAX(AP1267,G1267))))</f>
        <v>1</v>
      </c>
      <c r="AM1267" s="57" t="n">
        <f aca="false">IF(BR1267=1,0,ROUNDUP(AL1267/BQ1267,0))</f>
        <v>0</v>
      </c>
      <c r="AN1267" s="59" t="n">
        <f aca="false">IF(CD1267&gt;0,CD1267*MAX(1,AL1267/V1267),IF(BR1267=1,IF(AL1267&lt;=0,0,BS1267*MAX(1,IF(G1267&gt;0,AL1267/G1267,1))),IF(Q1267&gt;0,AM1267/Q1267,0))/MAX(0.1,N(Parameter!$M$21)))</f>
        <v>0.15</v>
      </c>
      <c r="AO1267" s="57" t="n">
        <f aca="false">AL1267*F1267</f>
        <v>441.82</v>
      </c>
      <c r="AP1267" s="57" t="n">
        <f aca="false">ROUNDUP(MAX(I1267/IF(BV1267&gt;0,BV1267,MAX(0.1,N(Cockpit!$I$6))),BY1267)/BQ1267,0)*BQ1267</f>
        <v>1</v>
      </c>
      <c r="AQ1267" s="58" t="n">
        <f aca="false">IF(AN1267&gt;0,I1267/AN1267,-1)</f>
        <v>0</v>
      </c>
      <c r="AR1267" s="58" t="str">
        <f aca="false">IF(AND(OR(BU1267="L1",BU1267="L23"),AN1267&gt;0),SUMIFS($AN$7:$AN$1576,$BU$7:$BU$1576,BU1267,$AQ$7:$AQ$1576,"&gt;"&amp;AQ1267)+SUMIFS($AN$7:$AN$1576,$BU$7:$BU$1576,BU1267,$AQ$7:$AQ$1576,AQ1267,$BO$7:$BO$1576,"&lt;="&amp;BO1267),"")</f>
        <v/>
      </c>
      <c r="AS1267" s="65" t="n">
        <f aca="false">IF(AR1267="",0,MAX(0,MIN(1,(IF(BU1267="L1",Parameter!$E$5,Parameter!$E$6+Parameter!$E$7)-(AR1267-AN1267))/AN1267)))</f>
        <v>0</v>
      </c>
      <c r="AT1267" s="57" t="n">
        <f aca="false">IF(LEFT(Cockpit!$O$5,1)="A",G1267,IF(BW1267=1,BX1267,IF(LEFT(Cockpit!$O$5,1)="B",AX1267,MAX(AX1267,G1267))))</f>
        <v>1</v>
      </c>
      <c r="AU1267" s="57" t="n">
        <f aca="false">IF(BR1267=1,0,ROUNDUP(AT1267/BQ1267,0))</f>
        <v>0</v>
      </c>
      <c r="AV1267" s="59" t="n">
        <f aca="false">IF(CD1267&gt;0,CD1267*MAX(1,AT1267/V1267),IF(BR1267=1,IF(AT1267&lt;=0,0,BS1267*MAX(1,IF(G1267&gt;0,AT1267/G1267,1))),IF(Q1267&gt;0,AU1267/Q1267,0))/MAX(0.1,N(Parameter!$M$21)))</f>
        <v>0.15</v>
      </c>
      <c r="AW1267" s="57" t="n">
        <f aca="false">AT1267*F1267</f>
        <v>441.82</v>
      </c>
      <c r="AX1267" s="57" t="n">
        <f aca="false">ROUNDUP(MAX(I1267/IF(BV1267&gt;0,BV1267,MAX(0.1,N(Cockpit!$O$6))),BY1267)/BQ1267,0)*BQ1267</f>
        <v>1</v>
      </c>
      <c r="AY1267" s="58" t="n">
        <f aca="false">IF(AV1267&gt;0,I1267/AV1267,-1)</f>
        <v>0</v>
      </c>
      <c r="AZ1267" s="58" t="str">
        <f aca="false">IF(AND(OR(BU1267="L1",BU1267="L23"),AV1267&gt;0),SUMIFS($AV$7:$AV$1576,$BU$7:$BU$1576,BU1267,$AY$7:$AY$1576,"&gt;"&amp;AY1267)+SUMIFS($AV$7:$AV$1576,$BU$7:$BU$1576,BU1267,$AY$7:$AY$1576,AY1267,$BO$7:$BO$1576,"&lt;="&amp;BO1267),"")</f>
        <v/>
      </c>
      <c r="BA1267" s="65" t="n">
        <f aca="false">IF(AZ1267="",0,MAX(0,MIN(1,(IF(BU1267="L1",Parameter!$E$5,Parameter!$E$6+Parameter!$E$7)-(AZ1267-AV1267))/AV1267)))</f>
        <v>0</v>
      </c>
      <c r="BB1267" s="55" t="str">
        <f aca="false">IF(AF1267&lt;=0,"",IF(BU1267="Aussen","Aussenlager",IF(BU1267="-","Nicht im Lift",IF(AK1267&gt;=1,"Lift",IF(AK1267&lt;=0,"Aussenlager","teilweise")))))</f>
        <v/>
      </c>
      <c r="BC1267" s="55" t="str">
        <f aca="false">IF(AN1267&lt;=0,"",IF(BU1267="Aussen","Aussenlager",IF(BU1267="-","Nicht im Lift",IF(AS1267&gt;=1,"Lift",IF(AS1267&lt;=0,"Aussenlager","teilweise")))))</f>
        <v>Nicht im Lift</v>
      </c>
      <c r="BD1267" s="55" t="str">
        <f aca="false">IF(AV1267&lt;=0,"",IF(BU1267="Aussen","Aussenlager",IF(BU1267="-","Nicht im Lift",IF(BA1267&gt;=1,"Lift",IF(BA1267&lt;=0,"Aussenlager","teilweise")))))</f>
        <v>Nicht im Lift</v>
      </c>
      <c r="BE1267" s="55" t="str">
        <f aca="false">IF(A1267="","",IF(BN1267=1,"Neu; ","")&amp;IF(AND(BN1267=0,BI1267&lt;0),"negativer Bestand (Export "&amp;BI1267&amp;"); ","")&amp;IF(I1267&lt;=0,"Kein Verbrauch; ","")&amp;IF(CD1267&gt;0,"Lift "&amp;U1267&amp;" lt. Liftbericht (Fach "&amp;V1267&amp;" Stk); ",IF(BR1267=1,"Lose – Fläche geschätzt; ",""))&amp;IF(G1267&gt;AP1267,"Überbestand "&amp;ROUND(G1267-AP1267,0)&amp;" Stk / CHF "&amp;ROUND((G1267-AP1267)*F1267,0)&amp;"; ","")&amp;IF(AND(BW1267=1,BX1267&lt;BY1267),"MAX &lt; MB+LG; ","")&amp;IF(AND(CC1267&gt;0,CB1267*10&gt;CC1267),"zu hoch für Tablar; ","")&amp;IF(AND(BN1267=0,OR(BW1267=1,Y1267&lt;&gt;"",S1267&lt;&gt;"",T1267&lt;&gt;"",Z1267&lt;&gt;"")),"manuell übersteuert; ","")&amp;IF(AND(BR1267=0,Q1267=0),"Gebinde unbekannt / Stellmass fehlt; ","")&amp;IF(AND(BR1267=0,N(T1267)&lt;=0,N(P1267)&lt;=0),"Menge pro Gebinde fehlt (Ist = 1 Gebinde); ","")&amp;BM1267)</f>
        <v>negativer Bestand (Export -2); Kein Verbrauch; Lose – Fläche geschätzt; </v>
      </c>
      <c r="BF1267" s="55"/>
      <c r="BG1267" s="55"/>
      <c r="BH1267" s="62"/>
      <c r="BI1267" s="57" t="n">
        <v>-2</v>
      </c>
      <c r="BJ1267" s="57" t="n">
        <v>2</v>
      </c>
      <c r="BK1267" s="56" t="n">
        <v>-883.64</v>
      </c>
      <c r="BL1267" s="57" t="n">
        <v>0</v>
      </c>
      <c r="BM1267" s="55"/>
      <c r="BN1267" s="60" t="n">
        <v>0</v>
      </c>
      <c r="BO1267" s="60" t="n">
        <v>1267</v>
      </c>
      <c r="BP1267" s="55" t="str">
        <f aca="false">IF(S1267&lt;&gt;"",UPPER(TRIM(S1267)),IF(O1267="","LOSE",O1267))</f>
        <v>LOSE</v>
      </c>
      <c r="BQ1267" s="57" t="n">
        <f aca="false">IF(BP1267="LOSE",1,IF(N(T1267)&gt;0,T1267,IF(N(P1267)&gt;0,P1267,MAX(1,G1267))))</f>
        <v>1</v>
      </c>
      <c r="BR1267" s="60" t="n">
        <f aca="false">IF(BP1267="LOSE",1,0)</f>
        <v>1</v>
      </c>
      <c r="BS1267" s="59" t="n">
        <f aca="false">IF(BR1267=0,0,IF(N(R1267)&gt;0,R1267,IFERROR(VLOOKUP(D1267,Parameter!$A$35:$C$64,3,0)+0,0)))</f>
        <v>0.15</v>
      </c>
      <c r="BT1267" s="55" t="str">
        <f aca="false">IF(Y1267&lt;&gt;"",Y1267,X1267)</f>
        <v>-</v>
      </c>
      <c r="BU1267" s="55" t="str">
        <f aca="false">IF(BT1267=1,"L1",IF(OR(BT1267=2,BT1267=3),"L23",IF(BT1267="Aussen","Aussen","-")))</f>
        <v>-</v>
      </c>
      <c r="BV1267" s="66" t="n">
        <f aca="false">IF(N(Z1267)&gt;0,Z1267,0)</f>
        <v>0</v>
      </c>
      <c r="BW1267" s="60" t="n">
        <f aca="false">IF(ISNUMBER(AC1267),1,0)</f>
        <v>0</v>
      </c>
      <c r="BX1267" s="57" t="n">
        <f aca="false">N(AC1267)</f>
        <v>0</v>
      </c>
      <c r="BY1267" s="57" t="n">
        <f aca="false">N(L1267)+N(M1267)</f>
        <v>1</v>
      </c>
      <c r="BZ1267" s="57" t="n">
        <f aca="false">ROUNDUP(G1267/BQ1267,0)</f>
        <v>0</v>
      </c>
      <c r="CA1267" s="57" t="n">
        <f aca="false">ROUNDUP(BX1267/BQ1267,0)</f>
        <v>0</v>
      </c>
      <c r="CB1267" s="60" t="n">
        <f aca="false">IF(BR1267=1,0,IFERROR(VLOOKUP(BP1267,'Gebinde-Kategorie'!$A$5:$M$45,5,0)+0,0))</f>
        <v>0</v>
      </c>
      <c r="CC1267" s="60" t="n">
        <f aca="false">IFERROR(IF(OR(BT1267=1,BT1267=2,BT1267=3),N(INDEX(Parameter!$I$5:$I$7,BT1267)),0),0)</f>
        <v>0</v>
      </c>
      <c r="CD1267" s="59" t="n">
        <f aca="false">IF(AND(Parameter!$B$21="Ja",ISNUMBER(U1267),N(V1267)&gt;0),IFERROR(N(INDEX(Parameter!$L$5:$L$7,U1267))*INDEX(Parameter!$E$5:$E$7,U1267)*V1267/SUMIFS($V$7:$V$1576,$U$7:$U$1576,U1267),0),0)</f>
        <v>0</v>
      </c>
    </row>
    <row r="1268" customFormat="false" ht="15" hidden="false" customHeight="false" outlineLevel="0" collapsed="false">
      <c r="A1268" s="55" t="s">
        <v>2251</v>
      </c>
      <c r="B1268" s="55" t="s">
        <v>2252</v>
      </c>
      <c r="C1268" s="55" t="s">
        <v>446</v>
      </c>
      <c r="D1268" s="55" t="s">
        <v>168</v>
      </c>
      <c r="E1268" s="55" t="s">
        <v>210</v>
      </c>
      <c r="F1268" s="56" t="n">
        <v>132.27</v>
      </c>
      <c r="G1268" s="57" t="n">
        <f aca="false">MAX(0,IF(AND(Parameter!$B$21="Ja",ISNUMBER(W1268)),W1268,IF(Parameter!$B$20="Jahresanfang 2025 + Export",BJ1268+BI1268,BI1268)))</f>
        <v>0</v>
      </c>
      <c r="H1268" s="57" t="n">
        <f aca="false">G1268*F1268</f>
        <v>0</v>
      </c>
      <c r="I1268" s="57" t="n">
        <f aca="false">BL1268*Parameter!$B$18</f>
        <v>0</v>
      </c>
      <c r="J1268" s="58" t="n">
        <v>3.5</v>
      </c>
      <c r="K1268" s="59" t="n">
        <v>0</v>
      </c>
      <c r="L1268" s="57" t="n">
        <v>0</v>
      </c>
      <c r="M1268" s="57" t="n">
        <v>1</v>
      </c>
      <c r="N1268" s="60" t="n">
        <v>56</v>
      </c>
      <c r="O1268" s="55" t="s">
        <v>163</v>
      </c>
      <c r="P1268" s="57"/>
      <c r="Q1268" s="60" t="n">
        <f aca="false">IF(BR1268=1,0,IFERROR(VLOOKUP(BP1268,'Gebinde-Kategorie'!$A$5:$M$45,13,0)+0,0))</f>
        <v>0</v>
      </c>
      <c r="R1268" s="61"/>
      <c r="S1268" s="62"/>
      <c r="T1268" s="62"/>
      <c r="U1268" s="55"/>
      <c r="V1268" s="57"/>
      <c r="W1268" s="57"/>
      <c r="X1268" s="55" t="n">
        <f aca="false">IF(A1268="","",IF(AND(Parameter!$B$21="Ja",ISNUMBER(U1268)),U1268,IF(IFERROR(VLOOKUP(D1268,Parameter!$A$35:$C$64,2,0),"Nein")="2+3",IF(ISNUMBER(SEARCH("grosser Artikel",BM1268)),2,IFERROR(VLOOKUP(BP1268,Parameter!$F$35:$G$64,2,0),2)),IF(OR(IFERROR(VLOOKUP(D1268,Parameter!$A$35:$C$64,2,0),"Nein")="Nein",IFERROR(VLOOKUP(D1268,Parameter!$A$35:$C$64,2,0),"Nein")=""),"-",VLOOKUP(D1268,Parameter!$A$35:$C$64,2,0)))))</f>
        <v>2</v>
      </c>
      <c r="Y1268" s="62"/>
      <c r="Z1268" s="63"/>
      <c r="AA1268" s="57" t="n">
        <f aca="false">AP1268</f>
        <v>1</v>
      </c>
      <c r="AB1268" s="57" t="n">
        <f aca="false">MAX(AP1268,G1268)</f>
        <v>1</v>
      </c>
      <c r="AC1268" s="64"/>
      <c r="AD1268" s="57" t="n">
        <f aca="false">IF(LEFT(Cockpit!$C$5,1)="A",G1268,IF(BW1268=1,BX1268,IF(LEFT(Cockpit!$C$5,1)="B",AH1268,MAX(AH1268,G1268))))</f>
        <v>0</v>
      </c>
      <c r="AE1268" s="57" t="n">
        <f aca="false">IF(BR1268=1,0,ROUNDUP(AD1268/BQ1268,0))</f>
        <v>0</v>
      </c>
      <c r="AF1268" s="59" t="n">
        <f aca="false">IF(CD1268&gt;0,CD1268*MAX(1,AD1268/V1268),IF(BR1268=1,IF(AD1268&lt;=0,0,BS1268*MAX(1,IF(G1268&gt;0,AD1268/G1268,1))),IF(Q1268&gt;0,AE1268/Q1268,0))/MAX(0.1,N(Parameter!$M$21)))</f>
        <v>0</v>
      </c>
      <c r="AG1268" s="57" t="n">
        <f aca="false">AD1268*F1268</f>
        <v>0</v>
      </c>
      <c r="AH1268" s="57" t="n">
        <f aca="false">ROUNDUP(MAX(I1268/IF(BV1268&gt;0,BV1268,MAX(0.1,N(Cockpit!$C$6))),BY1268)/BQ1268,0)*BQ1268</f>
        <v>1</v>
      </c>
      <c r="AI1268" s="58" t="n">
        <f aca="false">IF(AF1268&gt;0,I1268/AF1268,-1)</f>
        <v>-1</v>
      </c>
      <c r="AJ1268" s="58" t="str">
        <f aca="false">IF(AND(OR(BU1268="L1",BU1268="L23"),AF1268&gt;0),SUMIFS($AF$7:$AF$1576,$BU$7:$BU$1576,BU1268,$AI$7:$AI$1576,"&gt;"&amp;AI1268)+SUMIFS($AF$7:$AF$1576,$BU$7:$BU$1576,BU1268,$AI$7:$AI$1576,AI1268,$BO$7:$BO$1576,"&lt;="&amp;BO1268),"")</f>
        <v/>
      </c>
      <c r="AK1268" s="65" t="n">
        <f aca="false">IF(AJ1268="",0,MAX(0,MIN(1,(IF(BU1268="L1",Parameter!$E$5,Parameter!$E$6+Parameter!$E$7)-(AJ1268-AF1268))/AF1268)))</f>
        <v>0</v>
      </c>
      <c r="AL1268" s="57" t="n">
        <f aca="false">IF(LEFT(Cockpit!$I$5,1)="A",G1268,IF(BW1268=1,BX1268,IF(LEFT(Cockpit!$I$5,1)="B",AP1268,MAX(AP1268,G1268))))</f>
        <v>1</v>
      </c>
      <c r="AM1268" s="57" t="n">
        <f aca="false">IF(BR1268=1,0,ROUNDUP(AL1268/BQ1268,0))</f>
        <v>0</v>
      </c>
      <c r="AN1268" s="59" t="n">
        <f aca="false">IF(CD1268&gt;0,CD1268*MAX(1,AL1268/V1268),IF(BR1268=1,IF(AL1268&lt;=0,0,BS1268*MAX(1,IF(G1268&gt;0,AL1268/G1268,1))),IF(Q1268&gt;0,AM1268/Q1268,0))/MAX(0.1,N(Parameter!$M$21)))</f>
        <v>0.15</v>
      </c>
      <c r="AO1268" s="57" t="n">
        <f aca="false">AL1268*F1268</f>
        <v>132.27</v>
      </c>
      <c r="AP1268" s="57" t="n">
        <f aca="false">ROUNDUP(MAX(I1268/IF(BV1268&gt;0,BV1268,MAX(0.1,N(Cockpit!$I$6))),BY1268)/BQ1268,0)*BQ1268</f>
        <v>1</v>
      </c>
      <c r="AQ1268" s="58" t="n">
        <f aca="false">IF(AN1268&gt;0,I1268/AN1268,-1)</f>
        <v>0</v>
      </c>
      <c r="AR1268" s="58" t="n">
        <f aca="false">IF(AND(OR(BU1268="L1",BU1268="L23"),AN1268&gt;0),SUMIFS($AN$7:$AN$1576,$BU$7:$BU$1576,BU1268,$AQ$7:$AQ$1576,"&gt;"&amp;AQ1268)+SUMIFS($AN$7:$AN$1576,$BU$7:$BU$1576,BU1268,$AQ$7:$AQ$1576,AQ1268,$BO$7:$BO$1576,"&lt;="&amp;BO1268),"")</f>
        <v>137.356640388644</v>
      </c>
      <c r="AS1268" s="65" t="n">
        <f aca="false">IF(AR1268="",0,MAX(0,MIN(1,(IF(BU1268="L1",Parameter!$E$5,Parameter!$E$6+Parameter!$E$7)-(AR1268-AN1268))/AN1268)))</f>
        <v>0</v>
      </c>
      <c r="AT1268" s="57" t="n">
        <f aca="false">IF(LEFT(Cockpit!$O$5,1)="A",G1268,IF(BW1268=1,BX1268,IF(LEFT(Cockpit!$O$5,1)="B",AX1268,MAX(AX1268,G1268))))</f>
        <v>1</v>
      </c>
      <c r="AU1268" s="57" t="n">
        <f aca="false">IF(BR1268=1,0,ROUNDUP(AT1268/BQ1268,0))</f>
        <v>0</v>
      </c>
      <c r="AV1268" s="59" t="n">
        <f aca="false">IF(CD1268&gt;0,CD1268*MAX(1,AT1268/V1268),IF(BR1268=1,IF(AT1268&lt;=0,0,BS1268*MAX(1,IF(G1268&gt;0,AT1268/G1268,1))),IF(Q1268&gt;0,AU1268/Q1268,0))/MAX(0.1,N(Parameter!$M$21)))</f>
        <v>0.15</v>
      </c>
      <c r="AW1268" s="57" t="n">
        <f aca="false">AT1268*F1268</f>
        <v>132.27</v>
      </c>
      <c r="AX1268" s="57" t="n">
        <f aca="false">ROUNDUP(MAX(I1268/IF(BV1268&gt;0,BV1268,MAX(0.1,N(Cockpit!$O$6))),BY1268)/BQ1268,0)*BQ1268</f>
        <v>1</v>
      </c>
      <c r="AY1268" s="58" t="n">
        <f aca="false">IF(AV1268&gt;0,I1268/AV1268,-1)</f>
        <v>0</v>
      </c>
      <c r="AZ1268" s="58" t="n">
        <f aca="false">IF(AND(OR(BU1268="L1",BU1268="L23"),AV1268&gt;0),SUMIFS($AV$7:$AV$1576,$BU$7:$BU$1576,BU1268,$AY$7:$AY$1576,"&gt;"&amp;AY1268)+SUMIFS($AV$7:$AV$1576,$BU$7:$BU$1576,BU1268,$AY$7:$AY$1576,AY1268,$BO$7:$BO$1576,"&lt;="&amp;BO1268),"")</f>
        <v>127.416190838195</v>
      </c>
      <c r="BA1268" s="65" t="n">
        <f aca="false">IF(AZ1268="",0,MAX(0,MIN(1,(IF(BU1268="L1",Parameter!$E$5,Parameter!$E$6+Parameter!$E$7)-(AZ1268-AV1268))/AV1268)))</f>
        <v>0</v>
      </c>
      <c r="BB1268" s="55" t="str">
        <f aca="false">IF(AF1268&lt;=0,"",IF(BU1268="Aussen","Aussenlager",IF(BU1268="-","Nicht im Lift",IF(AK1268&gt;=1,"Lift",IF(AK1268&lt;=0,"Aussenlager","teilweise")))))</f>
        <v/>
      </c>
      <c r="BC1268" s="55" t="str">
        <f aca="false">IF(AN1268&lt;=0,"",IF(BU1268="Aussen","Aussenlager",IF(BU1268="-","Nicht im Lift",IF(AS1268&gt;=1,"Lift",IF(AS1268&lt;=0,"Aussenlager","teilweise")))))</f>
        <v>Aussenlager</v>
      </c>
      <c r="BD1268" s="55" t="str">
        <f aca="false">IF(AV1268&lt;=0,"",IF(BU1268="Aussen","Aussenlager",IF(BU1268="-","Nicht im Lift",IF(BA1268&gt;=1,"Lift",IF(BA1268&lt;=0,"Aussenlager","teilweise")))))</f>
        <v>Aussenlager</v>
      </c>
      <c r="BE1268" s="55" t="str">
        <f aca="false">IF(A1268="","",IF(BN1268=1,"Neu; ","")&amp;IF(AND(BN1268=0,BI1268&lt;0),"negativer Bestand (Export "&amp;BI1268&amp;"); ","")&amp;IF(I1268&lt;=0,"Kein Verbrauch; ","")&amp;IF(CD1268&gt;0,"Lift "&amp;U1268&amp;" lt. Liftbericht (Fach "&amp;V1268&amp;" Stk); ",IF(BR1268=1,"Lose – Fläche geschätzt; ",""))&amp;IF(G1268&gt;AP1268,"Überbestand "&amp;ROUND(G1268-AP1268,0)&amp;" Stk / CHF "&amp;ROUND((G1268-AP1268)*F1268,0)&amp;"; ","")&amp;IF(AND(BW1268=1,BX1268&lt;BY1268),"MAX &lt; MB+LG; ","")&amp;IF(AND(CC1268&gt;0,CB1268*10&gt;CC1268),"zu hoch für Tablar; ","")&amp;IF(AND(BN1268=0,OR(BW1268=1,Y1268&lt;&gt;"",S1268&lt;&gt;"",T1268&lt;&gt;"",Z1268&lt;&gt;"")),"manuell übersteuert; ","")&amp;IF(AND(BR1268=0,Q1268=0),"Gebinde unbekannt / Stellmass fehlt; ","")&amp;IF(AND(BR1268=0,N(T1268)&lt;=0,N(P1268)&lt;=0),"Menge pro Gebinde fehlt (Ist = 1 Gebinde); ","")&amp;BM1268)</f>
        <v>negativer Bestand (Export -7); Kein Verbrauch; Lose – Fläche geschätzt; Neuer Art.</v>
      </c>
      <c r="BF1268" s="55"/>
      <c r="BG1268" s="55"/>
      <c r="BH1268" s="62"/>
      <c r="BI1268" s="57" t="n">
        <v>-7</v>
      </c>
      <c r="BJ1268" s="57" t="n">
        <v>7</v>
      </c>
      <c r="BK1268" s="56" t="n">
        <v>-925.89</v>
      </c>
      <c r="BL1268" s="57" t="n">
        <v>0</v>
      </c>
      <c r="BM1268" s="55" t="s">
        <v>501</v>
      </c>
      <c r="BN1268" s="60" t="n">
        <v>0</v>
      </c>
      <c r="BO1268" s="60" t="n">
        <v>1268</v>
      </c>
      <c r="BP1268" s="55" t="str">
        <f aca="false">IF(S1268&lt;&gt;"",UPPER(TRIM(S1268)),IF(O1268="","LOSE",O1268))</f>
        <v>LOSE</v>
      </c>
      <c r="BQ1268" s="57" t="n">
        <f aca="false">IF(BP1268="LOSE",1,IF(N(T1268)&gt;0,T1268,IF(N(P1268)&gt;0,P1268,MAX(1,G1268))))</f>
        <v>1</v>
      </c>
      <c r="BR1268" s="60" t="n">
        <f aca="false">IF(BP1268="LOSE",1,0)</f>
        <v>1</v>
      </c>
      <c r="BS1268" s="59" t="n">
        <f aca="false">IF(BR1268=0,0,IF(N(R1268)&gt;0,R1268,IFERROR(VLOOKUP(D1268,Parameter!$A$35:$C$64,3,0)+0,0)))</f>
        <v>0.15</v>
      </c>
      <c r="BT1268" s="55" t="n">
        <f aca="false">IF(Y1268&lt;&gt;"",Y1268,X1268)</f>
        <v>2</v>
      </c>
      <c r="BU1268" s="55" t="str">
        <f aca="false">IF(BT1268=1,"L1",IF(OR(BT1268=2,BT1268=3),"L23",IF(BT1268="Aussen","Aussen","-")))</f>
        <v>L23</v>
      </c>
      <c r="BV1268" s="66" t="n">
        <f aca="false">IF(N(Z1268)&gt;0,Z1268,0)</f>
        <v>0</v>
      </c>
      <c r="BW1268" s="60" t="n">
        <f aca="false">IF(ISNUMBER(AC1268),1,0)</f>
        <v>0</v>
      </c>
      <c r="BX1268" s="57" t="n">
        <f aca="false">N(AC1268)</f>
        <v>0</v>
      </c>
      <c r="BY1268" s="57" t="n">
        <f aca="false">N(L1268)+N(M1268)</f>
        <v>1</v>
      </c>
      <c r="BZ1268" s="57" t="n">
        <f aca="false">ROUNDUP(G1268/BQ1268,0)</f>
        <v>0</v>
      </c>
      <c r="CA1268" s="57" t="n">
        <f aca="false">ROUNDUP(BX1268/BQ1268,0)</f>
        <v>0</v>
      </c>
      <c r="CB1268" s="60" t="n">
        <f aca="false">IF(BR1268=1,0,IFERROR(VLOOKUP(BP1268,'Gebinde-Kategorie'!$A$5:$M$45,5,0)+0,0))</f>
        <v>0</v>
      </c>
      <c r="CC1268" s="60" t="n">
        <f aca="false">IFERROR(IF(OR(BT1268=1,BT1268=2,BT1268=3),N(INDEX(Parameter!$I$5:$I$7,BT1268)),0),0)</f>
        <v>0</v>
      </c>
      <c r="CD1268" s="59" t="n">
        <f aca="false">IF(AND(Parameter!$B$21="Ja",ISNUMBER(U1268),N(V1268)&gt;0),IFERROR(N(INDEX(Parameter!$L$5:$L$7,U1268))*INDEX(Parameter!$E$5:$E$7,U1268)*V1268/SUMIFS($V$7:$V$1576,$U$7:$U$1576,U1268),0),0)</f>
        <v>0</v>
      </c>
    </row>
    <row r="1269" customFormat="false" ht="15" hidden="false" customHeight="false" outlineLevel="0" collapsed="false">
      <c r="A1269" s="55" t="s">
        <v>2253</v>
      </c>
      <c r="B1269" s="55" t="s">
        <v>2254</v>
      </c>
      <c r="C1269" s="55" t="s">
        <v>160</v>
      </c>
      <c r="D1269" s="55" t="s">
        <v>178</v>
      </c>
      <c r="E1269" s="55" t="s">
        <v>210</v>
      </c>
      <c r="F1269" s="56" t="n">
        <v>5.02</v>
      </c>
      <c r="G1269" s="57" t="n">
        <f aca="false">MAX(0,IF(AND(Parameter!$B$21="Ja",ISNUMBER(W1269)),W1269,IF(Parameter!$B$20="Jahresanfang 2025 + Export",BJ1269+BI1269,BI1269)))</f>
        <v>0</v>
      </c>
      <c r="H1269" s="57" t="n">
        <f aca="false">G1269*F1269</f>
        <v>0</v>
      </c>
      <c r="I1269" s="57" t="n">
        <f aca="false">BL1269*Parameter!$B$18</f>
        <v>331</v>
      </c>
      <c r="J1269" s="58" t="n">
        <v>83</v>
      </c>
      <c r="K1269" s="59" t="n">
        <v>3.98795180722892</v>
      </c>
      <c r="L1269" s="57" t="n">
        <v>0</v>
      </c>
      <c r="M1269" s="57" t="n">
        <v>330</v>
      </c>
      <c r="N1269" s="60" t="n">
        <v>28</v>
      </c>
      <c r="O1269" s="55" t="s">
        <v>163</v>
      </c>
      <c r="P1269" s="57"/>
      <c r="Q1269" s="60" t="n">
        <f aca="false">IF(BR1269=1,0,IFERROR(VLOOKUP(BP1269,'Gebinde-Kategorie'!$A$5:$M$45,13,0)+0,0))</f>
        <v>0</v>
      </c>
      <c r="R1269" s="61"/>
      <c r="S1269" s="62"/>
      <c r="T1269" s="62"/>
      <c r="U1269" s="55"/>
      <c r="V1269" s="57"/>
      <c r="W1269" s="57"/>
      <c r="X1269" s="55" t="n">
        <f aca="false">IF(A1269="","",IF(AND(Parameter!$B$21="Ja",ISNUMBER(U1269)),U1269,IF(IFERROR(VLOOKUP(D1269,Parameter!$A$35:$C$64,2,0),"Nein")="2+3",IF(ISNUMBER(SEARCH("grosser Artikel",BM1269)),2,IFERROR(VLOOKUP(BP1269,Parameter!$F$35:$G$64,2,0),2)),IF(OR(IFERROR(VLOOKUP(D1269,Parameter!$A$35:$C$64,2,0),"Nein")="Nein",IFERROR(VLOOKUP(D1269,Parameter!$A$35:$C$64,2,0),"Nein")=""),"-",VLOOKUP(D1269,Parameter!$A$35:$C$64,2,0)))))</f>
        <v>2</v>
      </c>
      <c r="Y1269" s="62"/>
      <c r="Z1269" s="63"/>
      <c r="AA1269" s="57" t="n">
        <f aca="false">AP1269</f>
        <v>330</v>
      </c>
      <c r="AB1269" s="57" t="n">
        <f aca="false">MAX(AP1269,G1269)</f>
        <v>330</v>
      </c>
      <c r="AC1269" s="64"/>
      <c r="AD1269" s="57" t="n">
        <f aca="false">IF(LEFT(Cockpit!$C$5,1)="A",G1269,IF(BW1269=1,BX1269,IF(LEFT(Cockpit!$C$5,1)="B",AH1269,MAX(AH1269,G1269))))</f>
        <v>0</v>
      </c>
      <c r="AE1269" s="57" t="n">
        <f aca="false">IF(BR1269=1,0,ROUNDUP(AD1269/BQ1269,0))</f>
        <v>0</v>
      </c>
      <c r="AF1269" s="59" t="n">
        <f aca="false">IF(CD1269&gt;0,CD1269*MAX(1,AD1269/V1269),IF(BR1269=1,IF(AD1269&lt;=0,0,BS1269*MAX(1,IF(G1269&gt;0,AD1269/G1269,1))),IF(Q1269&gt;0,AE1269/Q1269,0))/MAX(0.1,N(Parameter!$M$21)))</f>
        <v>0</v>
      </c>
      <c r="AG1269" s="57" t="n">
        <f aca="false">AD1269*F1269</f>
        <v>0</v>
      </c>
      <c r="AH1269" s="57" t="n">
        <f aca="false">ROUNDUP(MAX(I1269/IF(BV1269&gt;0,BV1269,MAX(0.1,N(Cockpit!$C$6))),BY1269)/BQ1269,0)*BQ1269</f>
        <v>330</v>
      </c>
      <c r="AI1269" s="58" t="n">
        <f aca="false">IF(AF1269&gt;0,I1269/AF1269,-1)</f>
        <v>-1</v>
      </c>
      <c r="AJ1269" s="58" t="str">
        <f aca="false">IF(AND(OR(BU1269="L1",BU1269="L23"),AF1269&gt;0),SUMIFS($AF$7:$AF$1576,$BU$7:$BU$1576,BU1269,$AI$7:$AI$1576,"&gt;"&amp;AI1269)+SUMIFS($AF$7:$AF$1576,$BU$7:$BU$1576,BU1269,$AI$7:$AI$1576,AI1269,$BO$7:$BO$1576,"&lt;="&amp;BO1269),"")</f>
        <v/>
      </c>
      <c r="AK1269" s="65" t="n">
        <f aca="false">IF(AJ1269="",0,MAX(0,MIN(1,(IF(BU1269="L1",Parameter!$E$5,Parameter!$E$6+Parameter!$E$7)-(AJ1269-AF1269))/AF1269)))</f>
        <v>0</v>
      </c>
      <c r="AL1269" s="57" t="n">
        <f aca="false">IF(LEFT(Cockpit!$I$5,1)="A",G1269,IF(BW1269=1,BX1269,IF(LEFT(Cockpit!$I$5,1)="B",AP1269,MAX(AP1269,G1269))))</f>
        <v>330</v>
      </c>
      <c r="AM1269" s="57" t="n">
        <f aca="false">IF(BR1269=1,0,ROUNDUP(AL1269/BQ1269,0))</f>
        <v>0</v>
      </c>
      <c r="AN1269" s="59" t="n">
        <f aca="false">IF(CD1269&gt;0,CD1269*MAX(1,AL1269/V1269),IF(BR1269=1,IF(AL1269&lt;=0,0,BS1269*MAX(1,IF(G1269&gt;0,AL1269/G1269,1))),IF(Q1269&gt;0,AM1269/Q1269,0))/MAX(0.1,N(Parameter!$M$21)))</f>
        <v>0.03</v>
      </c>
      <c r="AO1269" s="57" t="n">
        <f aca="false">AL1269*F1269</f>
        <v>1656.6</v>
      </c>
      <c r="AP1269" s="57" t="n">
        <f aca="false">ROUNDUP(MAX(I1269/IF(BV1269&gt;0,BV1269,MAX(0.1,N(Cockpit!$I$6))),BY1269)/BQ1269,0)*BQ1269</f>
        <v>330</v>
      </c>
      <c r="AQ1269" s="58" t="n">
        <f aca="false">IF(AN1269&gt;0,I1269/AN1269,-1)</f>
        <v>11033.3333333333</v>
      </c>
      <c r="AR1269" s="58" t="n">
        <f aca="false">IF(AND(OR(BU1269="L1",BU1269="L23"),AN1269&gt;0),SUMIFS($AN$7:$AN$1576,$BU$7:$BU$1576,BU1269,$AQ$7:$AQ$1576,"&gt;"&amp;AQ1269)+SUMIFS($AN$7:$AN$1576,$BU$7:$BU$1576,BU1269,$AQ$7:$AQ$1576,AQ1269,$BO$7:$BO$1576,"&lt;="&amp;BO1269),"")</f>
        <v>6.80815073815074</v>
      </c>
      <c r="AS1269" s="65" t="n">
        <f aca="false">IF(AR1269="",0,MAX(0,MIN(1,(IF(BU1269="L1",Parameter!$E$5,Parameter!$E$6+Parameter!$E$7)-(AR1269-AN1269))/AN1269)))</f>
        <v>1</v>
      </c>
      <c r="AT1269" s="57" t="n">
        <f aca="false">IF(LEFT(Cockpit!$O$5,1)="A",G1269,IF(BW1269=1,BX1269,IF(LEFT(Cockpit!$O$5,1)="B",AX1269,MAX(AX1269,G1269))))</f>
        <v>330</v>
      </c>
      <c r="AU1269" s="57" t="n">
        <f aca="false">IF(BR1269=1,0,ROUNDUP(AT1269/BQ1269,0))</f>
        <v>0</v>
      </c>
      <c r="AV1269" s="59" t="n">
        <f aca="false">IF(CD1269&gt;0,CD1269*MAX(1,AT1269/V1269),IF(BR1269=1,IF(AT1269&lt;=0,0,BS1269*MAX(1,IF(G1269&gt;0,AT1269/G1269,1))),IF(Q1269&gt;0,AU1269/Q1269,0))/MAX(0.1,N(Parameter!$M$21)))</f>
        <v>0.03</v>
      </c>
      <c r="AW1269" s="57" t="n">
        <f aca="false">AT1269*F1269</f>
        <v>1656.6</v>
      </c>
      <c r="AX1269" s="57" t="n">
        <f aca="false">ROUNDUP(MAX(I1269/IF(BV1269&gt;0,BV1269,MAX(0.1,N(Cockpit!$O$6))),BY1269)/BQ1269,0)*BQ1269</f>
        <v>330</v>
      </c>
      <c r="AY1269" s="58" t="n">
        <f aca="false">IF(AV1269&gt;0,I1269/AV1269,-1)</f>
        <v>11033.3333333333</v>
      </c>
      <c r="AZ1269" s="58" t="n">
        <f aca="false">IF(AND(OR(BU1269="L1",BU1269="L23"),AV1269&gt;0),SUMIFS($AV$7:$AV$1576,$BU$7:$BU$1576,BU1269,$AY$7:$AY$1576,"&gt;"&amp;AY1269)+SUMIFS($AV$7:$AV$1576,$BU$7:$BU$1576,BU1269,$AY$7:$AY$1576,AY1269,$BO$7:$BO$1576,"&lt;="&amp;BO1269),"")</f>
        <v>6.50978243978244</v>
      </c>
      <c r="BA1269" s="65" t="n">
        <f aca="false">IF(AZ1269="",0,MAX(0,MIN(1,(IF(BU1269="L1",Parameter!$E$5,Parameter!$E$6+Parameter!$E$7)-(AZ1269-AV1269))/AV1269)))</f>
        <v>1</v>
      </c>
      <c r="BB1269" s="55" t="str">
        <f aca="false">IF(AF1269&lt;=0,"",IF(BU1269="Aussen","Aussenlager",IF(BU1269="-","Nicht im Lift",IF(AK1269&gt;=1,"Lift",IF(AK1269&lt;=0,"Aussenlager","teilweise")))))</f>
        <v/>
      </c>
      <c r="BC1269" s="55" t="str">
        <f aca="false">IF(AN1269&lt;=0,"",IF(BU1269="Aussen","Aussenlager",IF(BU1269="-","Nicht im Lift",IF(AS1269&gt;=1,"Lift",IF(AS1269&lt;=0,"Aussenlager","teilweise")))))</f>
        <v>Lift</v>
      </c>
      <c r="BD1269" s="55" t="str">
        <f aca="false">IF(AV1269&lt;=0,"",IF(BU1269="Aussen","Aussenlager",IF(BU1269="-","Nicht im Lift",IF(BA1269&gt;=1,"Lift",IF(BA1269&lt;=0,"Aussenlager","teilweise")))))</f>
        <v>Lift</v>
      </c>
      <c r="BE1269" s="55" t="str">
        <f aca="false">IF(A1269="","",IF(BN1269=1,"Neu; ","")&amp;IF(AND(BN1269=0,BI1269&lt;0),"negativer Bestand (Export "&amp;BI1269&amp;"); ","")&amp;IF(I1269&lt;=0,"Kein Verbrauch; ","")&amp;IF(CD1269&gt;0,"Lift "&amp;U1269&amp;" lt. Liftbericht (Fach "&amp;V1269&amp;" Stk); ",IF(BR1269=1,"Lose – Fläche geschätzt; ",""))&amp;IF(G1269&gt;AP1269,"Überbestand "&amp;ROUND(G1269-AP1269,0)&amp;" Stk / CHF "&amp;ROUND((G1269-AP1269)*F1269,0)&amp;"; ","")&amp;IF(AND(BW1269=1,BX1269&lt;BY1269),"MAX &lt; MB+LG; ","")&amp;IF(AND(CC1269&gt;0,CB1269*10&gt;CC1269),"zu hoch für Tablar; ","")&amp;IF(AND(BN1269=0,OR(BW1269=1,Y1269&lt;&gt;"",S1269&lt;&gt;"",T1269&lt;&gt;"",Z1269&lt;&gt;"")),"manuell übersteuert; ","")&amp;IF(AND(BR1269=0,Q1269=0),"Gebinde unbekannt / Stellmass fehlt; ","")&amp;IF(AND(BR1269=0,N(T1269)&lt;=0,N(P1269)&lt;=0),"Menge pro Gebinde fehlt (Ist = 1 Gebinde); ","")&amp;BM1269)</f>
        <v>negativer Bestand (Export -166); Lose – Fläche geschätzt; BEI MARIO</v>
      </c>
      <c r="BF1269" s="55"/>
      <c r="BG1269" s="55"/>
      <c r="BH1269" s="62"/>
      <c r="BI1269" s="57" t="n">
        <v>-166</v>
      </c>
      <c r="BJ1269" s="57" t="n">
        <v>166</v>
      </c>
      <c r="BK1269" s="56" t="n">
        <v>-929.6</v>
      </c>
      <c r="BL1269" s="57" t="n">
        <v>331</v>
      </c>
      <c r="BM1269" s="55" t="s">
        <v>2255</v>
      </c>
      <c r="BN1269" s="60" t="n">
        <v>0</v>
      </c>
      <c r="BO1269" s="60" t="n">
        <v>1269</v>
      </c>
      <c r="BP1269" s="55" t="str">
        <f aca="false">IF(S1269&lt;&gt;"",UPPER(TRIM(S1269)),IF(O1269="","LOSE",O1269))</f>
        <v>LOSE</v>
      </c>
      <c r="BQ1269" s="57" t="n">
        <f aca="false">IF(BP1269="LOSE",1,IF(N(T1269)&gt;0,T1269,IF(N(P1269)&gt;0,P1269,MAX(1,G1269))))</f>
        <v>1</v>
      </c>
      <c r="BR1269" s="60" t="n">
        <f aca="false">IF(BP1269="LOSE",1,0)</f>
        <v>1</v>
      </c>
      <c r="BS1269" s="59" t="n">
        <f aca="false">IF(BR1269=0,0,IF(N(R1269)&gt;0,R1269,IFERROR(VLOOKUP(D1269,Parameter!$A$35:$C$64,3,0)+0,0)))</f>
        <v>0.03</v>
      </c>
      <c r="BT1269" s="55" t="n">
        <f aca="false">IF(Y1269&lt;&gt;"",Y1269,X1269)</f>
        <v>2</v>
      </c>
      <c r="BU1269" s="55" t="str">
        <f aca="false">IF(BT1269=1,"L1",IF(OR(BT1269=2,BT1269=3),"L23",IF(BT1269="Aussen","Aussen","-")))</f>
        <v>L23</v>
      </c>
      <c r="BV1269" s="66" t="n">
        <f aca="false">IF(N(Z1269)&gt;0,Z1269,0)</f>
        <v>0</v>
      </c>
      <c r="BW1269" s="60" t="n">
        <f aca="false">IF(ISNUMBER(AC1269),1,0)</f>
        <v>0</v>
      </c>
      <c r="BX1269" s="57" t="n">
        <f aca="false">N(AC1269)</f>
        <v>0</v>
      </c>
      <c r="BY1269" s="57" t="n">
        <f aca="false">N(L1269)+N(M1269)</f>
        <v>330</v>
      </c>
      <c r="BZ1269" s="57" t="n">
        <f aca="false">ROUNDUP(G1269/BQ1269,0)</f>
        <v>0</v>
      </c>
      <c r="CA1269" s="57" t="n">
        <f aca="false">ROUNDUP(BX1269/BQ1269,0)</f>
        <v>0</v>
      </c>
      <c r="CB1269" s="60" t="n">
        <f aca="false">IF(BR1269=1,0,IFERROR(VLOOKUP(BP1269,'Gebinde-Kategorie'!$A$5:$M$45,5,0)+0,0))</f>
        <v>0</v>
      </c>
      <c r="CC1269" s="60" t="n">
        <f aca="false">IFERROR(IF(OR(BT1269=1,BT1269=2,BT1269=3),N(INDEX(Parameter!$I$5:$I$7,BT1269)),0),0)</f>
        <v>0</v>
      </c>
      <c r="CD1269" s="59" t="n">
        <f aca="false">IF(AND(Parameter!$B$21="Ja",ISNUMBER(U1269),N(V1269)&gt;0),IFERROR(N(INDEX(Parameter!$L$5:$L$7,U1269))*INDEX(Parameter!$E$5:$E$7,U1269)*V1269/SUMIFS($V$7:$V$1576,$U$7:$U$1576,U1269),0),0)</f>
        <v>0</v>
      </c>
    </row>
    <row r="1270" customFormat="false" ht="15" hidden="false" customHeight="false" outlineLevel="0" collapsed="false">
      <c r="A1270" s="55" t="s">
        <v>2256</v>
      </c>
      <c r="B1270" s="55" t="s">
        <v>262</v>
      </c>
      <c r="C1270" s="55" t="s">
        <v>160</v>
      </c>
      <c r="D1270" s="55" t="s">
        <v>168</v>
      </c>
      <c r="E1270" s="55" t="s">
        <v>210</v>
      </c>
      <c r="F1270" s="56" t="n">
        <v>643.09</v>
      </c>
      <c r="G1270" s="57" t="n">
        <f aca="false">MAX(0,IF(AND(Parameter!$B$21="Ja",ISNUMBER(W1270)),W1270,IF(Parameter!$B$20="Jahresanfang 2025 + Export",BJ1270+BI1270,BI1270)))</f>
        <v>0</v>
      </c>
      <c r="H1270" s="57" t="n">
        <f aca="false">G1270*F1270</f>
        <v>0</v>
      </c>
      <c r="I1270" s="57" t="n">
        <f aca="false">BL1270*Parameter!$B$18</f>
        <v>5</v>
      </c>
      <c r="J1270" s="58" t="n">
        <v>4</v>
      </c>
      <c r="K1270" s="59" t="n">
        <v>1.25</v>
      </c>
      <c r="L1270" s="57" t="n">
        <v>0</v>
      </c>
      <c r="M1270" s="57" t="n">
        <v>5</v>
      </c>
      <c r="N1270" s="60" t="n">
        <v>56</v>
      </c>
      <c r="O1270" s="55" t="s">
        <v>163</v>
      </c>
      <c r="P1270" s="57"/>
      <c r="Q1270" s="60" t="n">
        <f aca="false">IF(BR1270=1,0,IFERROR(VLOOKUP(BP1270,'Gebinde-Kategorie'!$A$5:$M$45,13,0)+0,0))</f>
        <v>0</v>
      </c>
      <c r="R1270" s="61"/>
      <c r="S1270" s="62"/>
      <c r="T1270" s="62"/>
      <c r="U1270" s="55"/>
      <c r="V1270" s="57"/>
      <c r="W1270" s="57"/>
      <c r="X1270" s="55" t="n">
        <f aca="false">IF(A1270="","",IF(AND(Parameter!$B$21="Ja",ISNUMBER(U1270)),U1270,IF(IFERROR(VLOOKUP(D1270,Parameter!$A$35:$C$64,2,0),"Nein")="2+3",IF(ISNUMBER(SEARCH("grosser Artikel",BM1270)),2,IFERROR(VLOOKUP(BP1270,Parameter!$F$35:$G$64,2,0),2)),IF(OR(IFERROR(VLOOKUP(D1270,Parameter!$A$35:$C$64,2,0),"Nein")="Nein",IFERROR(VLOOKUP(D1270,Parameter!$A$35:$C$64,2,0),"Nein")=""),"-",VLOOKUP(D1270,Parameter!$A$35:$C$64,2,0)))))</f>
        <v>2</v>
      </c>
      <c r="Y1270" s="62"/>
      <c r="Z1270" s="63"/>
      <c r="AA1270" s="57" t="n">
        <f aca="false">AP1270</f>
        <v>5</v>
      </c>
      <c r="AB1270" s="57" t="n">
        <f aca="false">MAX(AP1270,G1270)</f>
        <v>5</v>
      </c>
      <c r="AC1270" s="64"/>
      <c r="AD1270" s="57" t="n">
        <f aca="false">IF(LEFT(Cockpit!$C$5,1)="A",G1270,IF(BW1270=1,BX1270,IF(LEFT(Cockpit!$C$5,1)="B",AH1270,MAX(AH1270,G1270))))</f>
        <v>0</v>
      </c>
      <c r="AE1270" s="57" t="n">
        <f aca="false">IF(BR1270=1,0,ROUNDUP(AD1270/BQ1270,0))</f>
        <v>0</v>
      </c>
      <c r="AF1270" s="59" t="n">
        <f aca="false">IF(CD1270&gt;0,CD1270*MAX(1,AD1270/V1270),IF(BR1270=1,IF(AD1270&lt;=0,0,BS1270*MAX(1,IF(G1270&gt;0,AD1270/G1270,1))),IF(Q1270&gt;0,AE1270/Q1270,0))/MAX(0.1,N(Parameter!$M$21)))</f>
        <v>0</v>
      </c>
      <c r="AG1270" s="57" t="n">
        <f aca="false">AD1270*F1270</f>
        <v>0</v>
      </c>
      <c r="AH1270" s="57" t="n">
        <f aca="false">ROUNDUP(MAX(I1270/IF(BV1270&gt;0,BV1270,MAX(0.1,N(Cockpit!$C$6))),BY1270)/BQ1270,0)*BQ1270</f>
        <v>5</v>
      </c>
      <c r="AI1270" s="58" t="n">
        <f aca="false">IF(AF1270&gt;0,I1270/AF1270,-1)</f>
        <v>-1</v>
      </c>
      <c r="AJ1270" s="58" t="str">
        <f aca="false">IF(AND(OR(BU1270="L1",BU1270="L23"),AF1270&gt;0),SUMIFS($AF$7:$AF$1576,$BU$7:$BU$1576,BU1270,$AI$7:$AI$1576,"&gt;"&amp;AI1270)+SUMIFS($AF$7:$AF$1576,$BU$7:$BU$1576,BU1270,$AI$7:$AI$1576,AI1270,$BO$7:$BO$1576,"&lt;="&amp;BO1270),"")</f>
        <v/>
      </c>
      <c r="AK1270" s="65" t="n">
        <f aca="false">IF(AJ1270="",0,MAX(0,MIN(1,(IF(BU1270="L1",Parameter!$E$5,Parameter!$E$6+Parameter!$E$7)-(AJ1270-AF1270))/AF1270)))</f>
        <v>0</v>
      </c>
      <c r="AL1270" s="57" t="n">
        <f aca="false">IF(LEFT(Cockpit!$I$5,1)="A",G1270,IF(BW1270=1,BX1270,IF(LEFT(Cockpit!$I$5,1)="B",AP1270,MAX(AP1270,G1270))))</f>
        <v>5</v>
      </c>
      <c r="AM1270" s="57" t="n">
        <f aca="false">IF(BR1270=1,0,ROUNDUP(AL1270/BQ1270,0))</f>
        <v>0</v>
      </c>
      <c r="AN1270" s="59" t="n">
        <f aca="false">IF(CD1270&gt;0,CD1270*MAX(1,AL1270/V1270),IF(BR1270=1,IF(AL1270&lt;=0,0,BS1270*MAX(1,IF(G1270&gt;0,AL1270/G1270,1))),IF(Q1270&gt;0,AM1270/Q1270,0))/MAX(0.1,N(Parameter!$M$21)))</f>
        <v>0.15</v>
      </c>
      <c r="AO1270" s="57" t="n">
        <f aca="false">AL1270*F1270</f>
        <v>3215.45</v>
      </c>
      <c r="AP1270" s="57" t="n">
        <f aca="false">ROUNDUP(MAX(I1270/IF(BV1270&gt;0,BV1270,MAX(0.1,N(Cockpit!$I$6))),BY1270)/BQ1270,0)*BQ1270</f>
        <v>5</v>
      </c>
      <c r="AQ1270" s="58" t="n">
        <f aca="false">IF(AN1270&gt;0,I1270/AN1270,-1)</f>
        <v>33.3333333333333</v>
      </c>
      <c r="AR1270" s="58" t="n">
        <f aca="false">IF(AND(OR(BU1270="L1",BU1270="L23"),AN1270&gt;0),SUMIFS($AN$7:$AN$1576,$BU$7:$BU$1576,BU1270,$AQ$7:$AQ$1576,"&gt;"&amp;AQ1270)+SUMIFS($AN$7:$AN$1576,$BU$7:$BU$1576,BU1270,$AQ$7:$AQ$1576,AQ1270,$BO$7:$BO$1576,"&lt;="&amp;BO1270),"")</f>
        <v>94.4874345886957</v>
      </c>
      <c r="AS1270" s="65" t="n">
        <f aca="false">IF(AR1270="",0,MAX(0,MIN(1,(IF(BU1270="L1",Parameter!$E$5,Parameter!$E$6+Parameter!$E$7)-(AR1270-AN1270))/AN1270)))</f>
        <v>1</v>
      </c>
      <c r="AT1270" s="57" t="n">
        <f aca="false">IF(LEFT(Cockpit!$O$5,1)="A",G1270,IF(BW1270=1,BX1270,IF(LEFT(Cockpit!$O$5,1)="B",AX1270,MAX(AX1270,G1270))))</f>
        <v>5</v>
      </c>
      <c r="AU1270" s="57" t="n">
        <f aca="false">IF(BR1270=1,0,ROUNDUP(AT1270/BQ1270,0))</f>
        <v>0</v>
      </c>
      <c r="AV1270" s="59" t="n">
        <f aca="false">IF(CD1270&gt;0,CD1270*MAX(1,AT1270/V1270),IF(BR1270=1,IF(AT1270&lt;=0,0,BS1270*MAX(1,IF(G1270&gt;0,AT1270/G1270,1))),IF(Q1270&gt;0,AU1270/Q1270,0))/MAX(0.1,N(Parameter!$M$21)))</f>
        <v>0.15</v>
      </c>
      <c r="AW1270" s="57" t="n">
        <f aca="false">AT1270*F1270</f>
        <v>3215.45</v>
      </c>
      <c r="AX1270" s="57" t="n">
        <f aca="false">ROUNDUP(MAX(I1270/IF(BV1270&gt;0,BV1270,MAX(0.1,N(Cockpit!$O$6))),BY1270)/BQ1270,0)*BQ1270</f>
        <v>5</v>
      </c>
      <c r="AY1270" s="58" t="n">
        <f aca="false">IF(AV1270&gt;0,I1270/AV1270,-1)</f>
        <v>33.3333333333333</v>
      </c>
      <c r="AZ1270" s="58" t="n">
        <f aca="false">IF(AND(OR(BU1270="L1",BU1270="L23"),AV1270&gt;0),SUMIFS($AV$7:$AV$1576,$BU$7:$BU$1576,BU1270,$AY$7:$AY$1576,"&gt;"&amp;AY1270)+SUMIFS($AV$7:$AV$1576,$BU$7:$BU$1576,BU1270,$AY$7:$AY$1576,AY1270,$BO$7:$BO$1576,"&lt;="&amp;BO1270),"")</f>
        <v>86.2719850382462</v>
      </c>
      <c r="BA1270" s="65" t="n">
        <f aca="false">IF(AZ1270="",0,MAX(0,MIN(1,(IF(BU1270="L1",Parameter!$E$5,Parameter!$E$6+Parameter!$E$7)-(AZ1270-AV1270))/AV1270)))</f>
        <v>1</v>
      </c>
      <c r="BB1270" s="55" t="str">
        <f aca="false">IF(AF1270&lt;=0,"",IF(BU1270="Aussen","Aussenlager",IF(BU1270="-","Nicht im Lift",IF(AK1270&gt;=1,"Lift",IF(AK1270&lt;=0,"Aussenlager","teilweise")))))</f>
        <v/>
      </c>
      <c r="BC1270" s="55" t="str">
        <f aca="false">IF(AN1270&lt;=0,"",IF(BU1270="Aussen","Aussenlager",IF(BU1270="-","Nicht im Lift",IF(AS1270&gt;=1,"Lift",IF(AS1270&lt;=0,"Aussenlager","teilweise")))))</f>
        <v>Lift</v>
      </c>
      <c r="BD1270" s="55" t="str">
        <f aca="false">IF(AV1270&lt;=0,"",IF(BU1270="Aussen","Aussenlager",IF(BU1270="-","Nicht im Lift",IF(BA1270&gt;=1,"Lift",IF(BA1270&lt;=0,"Aussenlager","teilweise")))))</f>
        <v>Lift</v>
      </c>
      <c r="BE1270" s="55" t="str">
        <f aca="false">IF(A1270="","",IF(BN1270=1,"Neu; ","")&amp;IF(AND(BN1270=0,BI1270&lt;0),"negativer Bestand (Export "&amp;BI1270&amp;"); ","")&amp;IF(I1270&lt;=0,"Kein Verbrauch; ","")&amp;IF(CD1270&gt;0,"Lift "&amp;U1270&amp;" lt. Liftbericht (Fach "&amp;V1270&amp;" Stk); ",IF(BR1270=1,"Lose – Fläche geschätzt; ",""))&amp;IF(G1270&gt;AP1270,"Überbestand "&amp;ROUND(G1270-AP1270,0)&amp;" Stk / CHF "&amp;ROUND((G1270-AP1270)*F1270,0)&amp;"; ","")&amp;IF(AND(BW1270=1,BX1270&lt;BY1270),"MAX &lt; MB+LG; ","")&amp;IF(AND(CC1270&gt;0,CB1270*10&gt;CC1270),"zu hoch für Tablar; ","")&amp;IF(AND(BN1270=0,OR(BW1270=1,Y1270&lt;&gt;"",S1270&lt;&gt;"",T1270&lt;&gt;"",Z1270&lt;&gt;"")),"manuell übersteuert; ","")&amp;IF(AND(BR1270=0,Q1270=0),"Gebinde unbekannt / Stellmass fehlt; ","")&amp;IF(AND(BR1270=0,N(T1270)&lt;=0,N(P1270)&lt;=0),"Menge pro Gebinde fehlt (Ist = 1 Gebinde); ","")&amp;BM1270)</f>
        <v>negativer Bestand (Export -1); Lose – Fläche geschätzt; </v>
      </c>
      <c r="BF1270" s="55"/>
      <c r="BG1270" s="55"/>
      <c r="BH1270" s="62"/>
      <c r="BI1270" s="57" t="n">
        <v>-1</v>
      </c>
      <c r="BJ1270" s="57" t="n">
        <v>2</v>
      </c>
      <c r="BK1270" s="56" t="n">
        <v>-936.91</v>
      </c>
      <c r="BL1270" s="57" t="n">
        <v>5</v>
      </c>
      <c r="BM1270" s="55"/>
      <c r="BN1270" s="60" t="n">
        <v>0</v>
      </c>
      <c r="BO1270" s="60" t="n">
        <v>1270</v>
      </c>
      <c r="BP1270" s="55" t="str">
        <f aca="false">IF(S1270&lt;&gt;"",UPPER(TRIM(S1270)),IF(O1270="","LOSE",O1270))</f>
        <v>LOSE</v>
      </c>
      <c r="BQ1270" s="57" t="n">
        <f aca="false">IF(BP1270="LOSE",1,IF(N(T1270)&gt;0,T1270,IF(N(P1270)&gt;0,P1270,MAX(1,G1270))))</f>
        <v>1</v>
      </c>
      <c r="BR1270" s="60" t="n">
        <f aca="false">IF(BP1270="LOSE",1,0)</f>
        <v>1</v>
      </c>
      <c r="BS1270" s="59" t="n">
        <f aca="false">IF(BR1270=0,0,IF(N(R1270)&gt;0,R1270,IFERROR(VLOOKUP(D1270,Parameter!$A$35:$C$64,3,0)+0,0)))</f>
        <v>0.15</v>
      </c>
      <c r="BT1270" s="55" t="n">
        <f aca="false">IF(Y1270&lt;&gt;"",Y1270,X1270)</f>
        <v>2</v>
      </c>
      <c r="BU1270" s="55" t="str">
        <f aca="false">IF(BT1270=1,"L1",IF(OR(BT1270=2,BT1270=3),"L23",IF(BT1270="Aussen","Aussen","-")))</f>
        <v>L23</v>
      </c>
      <c r="BV1270" s="66" t="n">
        <f aca="false">IF(N(Z1270)&gt;0,Z1270,0)</f>
        <v>0</v>
      </c>
      <c r="BW1270" s="60" t="n">
        <f aca="false">IF(ISNUMBER(AC1270),1,0)</f>
        <v>0</v>
      </c>
      <c r="BX1270" s="57" t="n">
        <f aca="false">N(AC1270)</f>
        <v>0</v>
      </c>
      <c r="BY1270" s="57" t="n">
        <f aca="false">N(L1270)+N(M1270)</f>
        <v>5</v>
      </c>
      <c r="BZ1270" s="57" t="n">
        <f aca="false">ROUNDUP(G1270/BQ1270,0)</f>
        <v>0</v>
      </c>
      <c r="CA1270" s="57" t="n">
        <f aca="false">ROUNDUP(BX1270/BQ1270,0)</f>
        <v>0</v>
      </c>
      <c r="CB1270" s="60" t="n">
        <f aca="false">IF(BR1270=1,0,IFERROR(VLOOKUP(BP1270,'Gebinde-Kategorie'!$A$5:$M$45,5,0)+0,0))</f>
        <v>0</v>
      </c>
      <c r="CC1270" s="60" t="n">
        <f aca="false">IFERROR(IF(OR(BT1270=1,BT1270=2,BT1270=3),N(INDEX(Parameter!$I$5:$I$7,BT1270)),0),0)</f>
        <v>0</v>
      </c>
      <c r="CD1270" s="59" t="n">
        <f aca="false">IF(AND(Parameter!$B$21="Ja",ISNUMBER(U1270),N(V1270)&gt;0),IFERROR(N(INDEX(Parameter!$L$5:$L$7,U1270))*INDEX(Parameter!$E$5:$E$7,U1270)*V1270/SUMIFS($V$7:$V$1576,$U$7:$U$1576,U1270),0),0)</f>
        <v>0</v>
      </c>
    </row>
    <row r="1271" customFormat="false" ht="15" hidden="false" customHeight="false" outlineLevel="0" collapsed="false">
      <c r="A1271" s="55" t="s">
        <v>2257</v>
      </c>
      <c r="B1271" s="55" t="s">
        <v>2258</v>
      </c>
      <c r="C1271" s="55" t="s">
        <v>160</v>
      </c>
      <c r="D1271" s="55" t="s">
        <v>178</v>
      </c>
      <c r="E1271" s="55" t="s">
        <v>210</v>
      </c>
      <c r="F1271" s="56" t="n">
        <v>315.61</v>
      </c>
      <c r="G1271" s="57" t="n">
        <f aca="false">MAX(0,IF(AND(Parameter!$B$21="Ja",ISNUMBER(W1271)),W1271,IF(Parameter!$B$20="Jahresanfang 2025 + Export",BJ1271+BI1271,BI1271)))</f>
        <v>0</v>
      </c>
      <c r="H1271" s="57" t="n">
        <f aca="false">G1271*F1271</f>
        <v>0</v>
      </c>
      <c r="I1271" s="57" t="n">
        <f aca="false">BL1271*Parameter!$B$18</f>
        <v>1</v>
      </c>
      <c r="J1271" s="58" t="n">
        <v>6.5</v>
      </c>
      <c r="K1271" s="59" t="n">
        <v>0.153846153846154</v>
      </c>
      <c r="L1271" s="57" t="n">
        <v>0</v>
      </c>
      <c r="M1271" s="57" t="n">
        <v>1</v>
      </c>
      <c r="N1271" s="60" t="n">
        <v>21</v>
      </c>
      <c r="O1271" s="55" t="s">
        <v>293</v>
      </c>
      <c r="P1271" s="57" t="n">
        <v>4</v>
      </c>
      <c r="Q1271" s="60" t="n">
        <f aca="false">IF(BR1271=1,0,IFERROR(VLOOKUP(BP1271,'Gebinde-Kategorie'!$A$5:$M$45,13,0)+0,0))</f>
        <v>26</v>
      </c>
      <c r="R1271" s="61"/>
      <c r="S1271" s="62"/>
      <c r="T1271" s="62"/>
      <c r="U1271" s="55"/>
      <c r="V1271" s="57"/>
      <c r="W1271" s="57"/>
      <c r="X1271" s="55" t="n">
        <f aca="false">IF(A1271="","",IF(AND(Parameter!$B$21="Ja",ISNUMBER(U1271)),U1271,IF(IFERROR(VLOOKUP(D1271,Parameter!$A$35:$C$64,2,0),"Nein")="2+3",IF(ISNUMBER(SEARCH("grosser Artikel",BM1271)),2,IFERROR(VLOOKUP(BP1271,Parameter!$F$35:$G$64,2,0),2)),IF(OR(IFERROR(VLOOKUP(D1271,Parameter!$A$35:$C$64,2,0),"Nein")="Nein",IFERROR(VLOOKUP(D1271,Parameter!$A$35:$C$64,2,0),"Nein")=""),"-",VLOOKUP(D1271,Parameter!$A$35:$C$64,2,0)))))</f>
        <v>3</v>
      </c>
      <c r="Y1271" s="62"/>
      <c r="Z1271" s="63"/>
      <c r="AA1271" s="57" t="n">
        <f aca="false">AP1271</f>
        <v>4</v>
      </c>
      <c r="AB1271" s="57" t="n">
        <f aca="false">MAX(AP1271,G1271)</f>
        <v>4</v>
      </c>
      <c r="AC1271" s="64"/>
      <c r="AD1271" s="57" t="n">
        <f aca="false">IF(LEFT(Cockpit!$C$5,1)="A",G1271,IF(BW1271=1,BX1271,IF(LEFT(Cockpit!$C$5,1)="B",AH1271,MAX(AH1271,G1271))))</f>
        <v>0</v>
      </c>
      <c r="AE1271" s="57" t="n">
        <f aca="false">IF(BR1271=1,0,ROUNDUP(AD1271/BQ1271,0))</f>
        <v>0</v>
      </c>
      <c r="AF1271" s="59" t="n">
        <f aca="false">IF(CD1271&gt;0,CD1271*MAX(1,AD1271/V1271),IF(BR1271=1,IF(AD1271&lt;=0,0,BS1271*MAX(1,IF(G1271&gt;0,AD1271/G1271,1))),IF(Q1271&gt;0,AE1271/Q1271,0))/MAX(0.1,N(Parameter!$M$21)))</f>
        <v>0</v>
      </c>
      <c r="AG1271" s="57" t="n">
        <f aca="false">AD1271*F1271</f>
        <v>0</v>
      </c>
      <c r="AH1271" s="57" t="n">
        <f aca="false">ROUNDUP(MAX(I1271/IF(BV1271&gt;0,BV1271,MAX(0.1,N(Cockpit!$C$6))),BY1271)/BQ1271,0)*BQ1271</f>
        <v>4</v>
      </c>
      <c r="AI1271" s="58" t="n">
        <f aca="false">IF(AF1271&gt;0,I1271/AF1271,-1)</f>
        <v>-1</v>
      </c>
      <c r="AJ1271" s="58" t="str">
        <f aca="false">IF(AND(OR(BU1271="L1",BU1271="L23"),AF1271&gt;0),SUMIFS($AF$7:$AF$1576,$BU$7:$BU$1576,BU1271,$AI$7:$AI$1576,"&gt;"&amp;AI1271)+SUMIFS($AF$7:$AF$1576,$BU$7:$BU$1576,BU1271,$AI$7:$AI$1576,AI1271,$BO$7:$BO$1576,"&lt;="&amp;BO1271),"")</f>
        <v/>
      </c>
      <c r="AK1271" s="65" t="n">
        <f aca="false">IF(AJ1271="",0,MAX(0,MIN(1,(IF(BU1271="L1",Parameter!$E$5,Parameter!$E$6+Parameter!$E$7)-(AJ1271-AF1271))/AF1271)))</f>
        <v>0</v>
      </c>
      <c r="AL1271" s="57" t="n">
        <f aca="false">IF(LEFT(Cockpit!$I$5,1)="A",G1271,IF(BW1271=1,BX1271,IF(LEFT(Cockpit!$I$5,1)="B",AP1271,MAX(AP1271,G1271))))</f>
        <v>4</v>
      </c>
      <c r="AM1271" s="57" t="n">
        <f aca="false">IF(BR1271=1,0,ROUNDUP(AL1271/BQ1271,0))</f>
        <v>1</v>
      </c>
      <c r="AN1271" s="59" t="n">
        <f aca="false">IF(CD1271&gt;0,CD1271*MAX(1,AL1271/V1271),IF(BR1271=1,IF(AL1271&lt;=0,0,BS1271*MAX(1,IF(G1271&gt;0,AL1271/G1271,1))),IF(Q1271&gt;0,AM1271/Q1271,0))/MAX(0.1,N(Parameter!$M$21)))</f>
        <v>0.0384615384615385</v>
      </c>
      <c r="AO1271" s="57" t="n">
        <f aca="false">AL1271*F1271</f>
        <v>1262.44</v>
      </c>
      <c r="AP1271" s="57" t="n">
        <f aca="false">ROUNDUP(MAX(I1271/IF(BV1271&gt;0,BV1271,MAX(0.1,N(Cockpit!$I$6))),BY1271)/BQ1271,0)*BQ1271</f>
        <v>4</v>
      </c>
      <c r="AQ1271" s="58" t="n">
        <f aca="false">IF(AN1271&gt;0,I1271/AN1271,-1)</f>
        <v>26</v>
      </c>
      <c r="AR1271" s="58" t="n">
        <f aca="false">IF(AND(OR(BU1271="L1",BU1271="L23"),AN1271&gt;0),SUMIFS($AN$7:$AN$1576,$BU$7:$BU$1576,BU1271,$AQ$7:$AQ$1576,"&gt;"&amp;AQ1271)+SUMIFS($AN$7:$AN$1576,$BU$7:$BU$1576,BU1271,$AQ$7:$AQ$1576,AQ1271,$BO$7:$BO$1576,"&lt;="&amp;BO1271),"")</f>
        <v>97.4693576656188</v>
      </c>
      <c r="AS1271" s="65" t="n">
        <f aca="false">IF(AR1271="",0,MAX(0,MIN(1,(IF(BU1271="L1",Parameter!$E$5,Parameter!$E$6+Parameter!$E$7)-(AR1271-AN1271))/AN1271)))</f>
        <v>1</v>
      </c>
      <c r="AT1271" s="57" t="n">
        <f aca="false">IF(LEFT(Cockpit!$O$5,1)="A",G1271,IF(BW1271=1,BX1271,IF(LEFT(Cockpit!$O$5,1)="B",AX1271,MAX(AX1271,G1271))))</f>
        <v>4</v>
      </c>
      <c r="AU1271" s="57" t="n">
        <f aca="false">IF(BR1271=1,0,ROUNDUP(AT1271/BQ1271,0))</f>
        <v>1</v>
      </c>
      <c r="AV1271" s="59" t="n">
        <f aca="false">IF(CD1271&gt;0,CD1271*MAX(1,AT1271/V1271),IF(BR1271=1,IF(AT1271&lt;=0,0,BS1271*MAX(1,IF(G1271&gt;0,AT1271/G1271,1))),IF(Q1271&gt;0,AU1271/Q1271,0))/MAX(0.1,N(Parameter!$M$21)))</f>
        <v>0.0384615384615385</v>
      </c>
      <c r="AW1271" s="57" t="n">
        <f aca="false">AT1271*F1271</f>
        <v>1262.44</v>
      </c>
      <c r="AX1271" s="57" t="n">
        <f aca="false">ROUNDUP(MAX(I1271/IF(BV1271&gt;0,BV1271,MAX(0.1,N(Cockpit!$O$6))),BY1271)/BQ1271,0)*BQ1271</f>
        <v>4</v>
      </c>
      <c r="AY1271" s="58" t="n">
        <f aca="false">IF(AV1271&gt;0,I1271/AV1271,-1)</f>
        <v>26</v>
      </c>
      <c r="AZ1271" s="58" t="n">
        <f aca="false">IF(AND(OR(BU1271="L1",BU1271="L23"),AV1271&gt;0),SUMIFS($AV$7:$AV$1576,$BU$7:$BU$1576,BU1271,$AY$7:$AY$1576,"&gt;"&amp;AY1271)+SUMIFS($AV$7:$AV$1576,$BU$7:$BU$1576,BU1271,$AY$7:$AY$1576,AY1271,$BO$7:$BO$1576,"&lt;="&amp;BO1271),"")</f>
        <v>88.2789081151693</v>
      </c>
      <c r="BA1271" s="65" t="n">
        <f aca="false">IF(AZ1271="",0,MAX(0,MIN(1,(IF(BU1271="L1",Parameter!$E$5,Parameter!$E$6+Parameter!$E$7)-(AZ1271-AV1271))/AV1271)))</f>
        <v>1</v>
      </c>
      <c r="BB1271" s="55" t="str">
        <f aca="false">IF(AF1271&lt;=0,"",IF(BU1271="Aussen","Aussenlager",IF(BU1271="-","Nicht im Lift",IF(AK1271&gt;=1,"Lift",IF(AK1271&lt;=0,"Aussenlager","teilweise")))))</f>
        <v/>
      </c>
      <c r="BC1271" s="55" t="str">
        <f aca="false">IF(AN1271&lt;=0,"",IF(BU1271="Aussen","Aussenlager",IF(BU1271="-","Nicht im Lift",IF(AS1271&gt;=1,"Lift",IF(AS1271&lt;=0,"Aussenlager","teilweise")))))</f>
        <v>Lift</v>
      </c>
      <c r="BD1271" s="55" t="str">
        <f aca="false">IF(AV1271&lt;=0,"",IF(BU1271="Aussen","Aussenlager",IF(BU1271="-","Nicht im Lift",IF(BA1271&gt;=1,"Lift",IF(BA1271&lt;=0,"Aussenlager","teilweise")))))</f>
        <v>Lift</v>
      </c>
      <c r="BE1271" s="55" t="str">
        <f aca="false">IF(A1271="","",IF(BN1271=1,"Neu; ","")&amp;IF(AND(BN1271=0,BI1271&lt;0),"negativer Bestand (Export "&amp;BI1271&amp;"); ","")&amp;IF(I1271&lt;=0,"Kein Verbrauch; ","")&amp;IF(CD1271&gt;0,"Lift "&amp;U1271&amp;" lt. Liftbericht (Fach "&amp;V1271&amp;" Stk); ",IF(BR1271=1,"Lose – Fläche geschätzt; ",""))&amp;IF(G1271&gt;AP1271,"Überbestand "&amp;ROUND(G1271-AP1271,0)&amp;" Stk / CHF "&amp;ROUND((G1271-AP1271)*F1271,0)&amp;"; ","")&amp;IF(AND(BW1271=1,BX1271&lt;BY1271),"MAX &lt; MB+LG; ","")&amp;IF(AND(CC1271&gt;0,CB1271*10&gt;CC1271),"zu hoch für Tablar; ","")&amp;IF(AND(BN1271=0,OR(BW1271=1,Y1271&lt;&gt;"",S1271&lt;&gt;"",T1271&lt;&gt;"",Z1271&lt;&gt;"")),"manuell übersteuert; ","")&amp;IF(AND(BR1271=0,Q1271=0),"Gebinde unbekannt / Stellmass fehlt; ","")&amp;IF(AND(BR1271=0,N(T1271)&lt;=0,N(P1271)&lt;=0),"Menge pro Gebinde fehlt (Ist = 1 Gebinde); ","")&amp;BM1271)</f>
        <v>negativer Bestand (Export -3); Neu</v>
      </c>
      <c r="BF1271" s="55"/>
      <c r="BG1271" s="55"/>
      <c r="BH1271" s="62"/>
      <c r="BI1271" s="57" t="n">
        <v>-3</v>
      </c>
      <c r="BJ1271" s="57" t="n">
        <v>7</v>
      </c>
      <c r="BK1271" s="56" t="n">
        <v>-946.83</v>
      </c>
      <c r="BL1271" s="57" t="n">
        <v>1</v>
      </c>
      <c r="BM1271" s="55" t="s">
        <v>615</v>
      </c>
      <c r="BN1271" s="60" t="n">
        <v>0</v>
      </c>
      <c r="BO1271" s="60" t="n">
        <v>1271</v>
      </c>
      <c r="BP1271" s="55" t="str">
        <f aca="false">IF(S1271&lt;&gt;"",UPPER(TRIM(S1271)),IF(O1271="","LOSE",O1271))</f>
        <v>S51</v>
      </c>
      <c r="BQ1271" s="57" t="n">
        <f aca="false">IF(BP1271="LOSE",1,IF(N(T1271)&gt;0,T1271,IF(N(P1271)&gt;0,P1271,MAX(1,G1271))))</f>
        <v>4</v>
      </c>
      <c r="BR1271" s="60" t="n">
        <f aca="false">IF(BP1271="LOSE",1,0)</f>
        <v>0</v>
      </c>
      <c r="BS1271" s="59" t="n">
        <f aca="false">IF(BR1271=0,0,IF(N(R1271)&gt;0,R1271,IFERROR(VLOOKUP(D1271,Parameter!$A$35:$C$64,3,0)+0,0)))</f>
        <v>0</v>
      </c>
      <c r="BT1271" s="55" t="n">
        <f aca="false">IF(Y1271&lt;&gt;"",Y1271,X1271)</f>
        <v>3</v>
      </c>
      <c r="BU1271" s="55" t="str">
        <f aca="false">IF(BT1271=1,"L1",IF(OR(BT1271=2,BT1271=3),"L23",IF(BT1271="Aussen","Aussen","-")))</f>
        <v>L23</v>
      </c>
      <c r="BV1271" s="66" t="n">
        <f aca="false">IF(N(Z1271)&gt;0,Z1271,0)</f>
        <v>0</v>
      </c>
      <c r="BW1271" s="60" t="n">
        <f aca="false">IF(ISNUMBER(AC1271),1,0)</f>
        <v>0</v>
      </c>
      <c r="BX1271" s="57" t="n">
        <f aca="false">N(AC1271)</f>
        <v>0</v>
      </c>
      <c r="BY1271" s="57" t="n">
        <f aca="false">N(L1271)+N(M1271)</f>
        <v>1</v>
      </c>
      <c r="BZ1271" s="57" t="n">
        <f aca="false">ROUNDUP(G1271/BQ1271,0)</f>
        <v>0</v>
      </c>
      <c r="CA1271" s="57" t="n">
        <f aca="false">ROUNDUP(BX1271/BQ1271,0)</f>
        <v>0</v>
      </c>
      <c r="CB1271" s="60" t="n">
        <f aca="false">IF(BR1271=1,0,IFERROR(VLOOKUP(BP1271,'Gebinde-Kategorie'!$A$5:$M$45,5,0)+0,0))</f>
        <v>11</v>
      </c>
      <c r="CC1271" s="60" t="n">
        <f aca="false">IFERROR(IF(OR(BT1271=1,BT1271=2,BT1271=3),N(INDEX(Parameter!$I$5:$I$7,BT1271)),0),0)</f>
        <v>0</v>
      </c>
      <c r="CD1271" s="59" t="n">
        <f aca="false">IF(AND(Parameter!$B$21="Ja",ISNUMBER(U1271),N(V1271)&gt;0),IFERROR(N(INDEX(Parameter!$L$5:$L$7,U1271))*INDEX(Parameter!$E$5:$E$7,U1271)*V1271/SUMIFS($V$7:$V$1576,$U$7:$U$1576,U1271),0),0)</f>
        <v>0</v>
      </c>
    </row>
    <row r="1272" customFormat="false" ht="15" hidden="false" customHeight="false" outlineLevel="0" collapsed="false">
      <c r="A1272" s="55" t="s">
        <v>2259</v>
      </c>
      <c r="B1272" s="55" t="s">
        <v>2260</v>
      </c>
      <c r="C1272" s="55" t="s">
        <v>160</v>
      </c>
      <c r="D1272" s="55" t="s">
        <v>168</v>
      </c>
      <c r="E1272" s="55" t="s">
        <v>210</v>
      </c>
      <c r="F1272" s="56" t="n">
        <v>317.25</v>
      </c>
      <c r="G1272" s="57" t="n">
        <f aca="false">MAX(0,IF(AND(Parameter!$B$21="Ja",ISNUMBER(W1272)),W1272,IF(Parameter!$B$20="Jahresanfang 2025 + Export",BJ1272+BI1272,BI1272)))</f>
        <v>0</v>
      </c>
      <c r="H1272" s="57" t="n">
        <f aca="false">G1272*F1272</f>
        <v>0</v>
      </c>
      <c r="I1272" s="57" t="n">
        <f aca="false">BL1272*Parameter!$B$18</f>
        <v>2</v>
      </c>
      <c r="J1272" s="58" t="n">
        <v>9</v>
      </c>
      <c r="K1272" s="59" t="n">
        <v>0.222222222222222</v>
      </c>
      <c r="L1272" s="57" t="n">
        <v>0</v>
      </c>
      <c r="M1272" s="57" t="n">
        <v>1</v>
      </c>
      <c r="N1272" s="60" t="n">
        <v>35</v>
      </c>
      <c r="O1272" s="55" t="s">
        <v>169</v>
      </c>
      <c r="P1272" s="57" t="n">
        <v>10</v>
      </c>
      <c r="Q1272" s="60" t="n">
        <f aca="false">IF(BR1272=1,0,IFERROR(VLOOKUP(BP1272,'Gebinde-Kategorie'!$A$5:$M$45,13,0)+0,0))</f>
        <v>6</v>
      </c>
      <c r="R1272" s="61"/>
      <c r="S1272" s="62"/>
      <c r="T1272" s="62"/>
      <c r="U1272" s="55"/>
      <c r="V1272" s="57"/>
      <c r="W1272" s="57"/>
      <c r="X1272" s="55" t="n">
        <f aca="false">IF(A1272="","",IF(AND(Parameter!$B$21="Ja",ISNUMBER(U1272)),U1272,IF(IFERROR(VLOOKUP(D1272,Parameter!$A$35:$C$64,2,0),"Nein")="2+3",IF(ISNUMBER(SEARCH("grosser Artikel",BM1272)),2,IFERROR(VLOOKUP(BP1272,Parameter!$F$35:$G$64,2,0),2)),IF(OR(IFERROR(VLOOKUP(D1272,Parameter!$A$35:$C$64,2,0),"Nein")="Nein",IFERROR(VLOOKUP(D1272,Parameter!$A$35:$C$64,2,0),"Nein")=""),"-",VLOOKUP(D1272,Parameter!$A$35:$C$64,2,0)))))</f>
        <v>2</v>
      </c>
      <c r="Y1272" s="62"/>
      <c r="Z1272" s="63"/>
      <c r="AA1272" s="57" t="n">
        <f aca="false">AP1272</f>
        <v>10</v>
      </c>
      <c r="AB1272" s="57" t="n">
        <f aca="false">MAX(AP1272,G1272)</f>
        <v>10</v>
      </c>
      <c r="AC1272" s="64"/>
      <c r="AD1272" s="57" t="n">
        <f aca="false">IF(LEFT(Cockpit!$C$5,1)="A",G1272,IF(BW1272=1,BX1272,IF(LEFT(Cockpit!$C$5,1)="B",AH1272,MAX(AH1272,G1272))))</f>
        <v>0</v>
      </c>
      <c r="AE1272" s="57" t="n">
        <f aca="false">IF(BR1272=1,0,ROUNDUP(AD1272/BQ1272,0))</f>
        <v>0</v>
      </c>
      <c r="AF1272" s="59" t="n">
        <f aca="false">IF(CD1272&gt;0,CD1272*MAX(1,AD1272/V1272),IF(BR1272=1,IF(AD1272&lt;=0,0,BS1272*MAX(1,IF(G1272&gt;0,AD1272/G1272,1))),IF(Q1272&gt;0,AE1272/Q1272,0))/MAX(0.1,N(Parameter!$M$21)))</f>
        <v>0</v>
      </c>
      <c r="AG1272" s="57" t="n">
        <f aca="false">AD1272*F1272</f>
        <v>0</v>
      </c>
      <c r="AH1272" s="57" t="n">
        <f aca="false">ROUNDUP(MAX(I1272/IF(BV1272&gt;0,BV1272,MAX(0.1,N(Cockpit!$C$6))),BY1272)/BQ1272,0)*BQ1272</f>
        <v>10</v>
      </c>
      <c r="AI1272" s="58" t="n">
        <f aca="false">IF(AF1272&gt;0,I1272/AF1272,-1)</f>
        <v>-1</v>
      </c>
      <c r="AJ1272" s="58" t="str">
        <f aca="false">IF(AND(OR(BU1272="L1",BU1272="L23"),AF1272&gt;0),SUMIFS($AF$7:$AF$1576,$BU$7:$BU$1576,BU1272,$AI$7:$AI$1576,"&gt;"&amp;AI1272)+SUMIFS($AF$7:$AF$1576,$BU$7:$BU$1576,BU1272,$AI$7:$AI$1576,AI1272,$BO$7:$BO$1576,"&lt;="&amp;BO1272),"")</f>
        <v/>
      </c>
      <c r="AK1272" s="65" t="n">
        <f aca="false">IF(AJ1272="",0,MAX(0,MIN(1,(IF(BU1272="L1",Parameter!$E$5,Parameter!$E$6+Parameter!$E$7)-(AJ1272-AF1272))/AF1272)))</f>
        <v>0</v>
      </c>
      <c r="AL1272" s="57" t="n">
        <f aca="false">IF(LEFT(Cockpit!$I$5,1)="A",G1272,IF(BW1272=1,BX1272,IF(LEFT(Cockpit!$I$5,1)="B",AP1272,MAX(AP1272,G1272))))</f>
        <v>10</v>
      </c>
      <c r="AM1272" s="57" t="n">
        <f aca="false">IF(BR1272=1,0,ROUNDUP(AL1272/BQ1272,0))</f>
        <v>1</v>
      </c>
      <c r="AN1272" s="59" t="n">
        <f aca="false">IF(CD1272&gt;0,CD1272*MAX(1,AL1272/V1272),IF(BR1272=1,IF(AL1272&lt;=0,0,BS1272*MAX(1,IF(G1272&gt;0,AL1272/G1272,1))),IF(Q1272&gt;0,AM1272/Q1272,0))/MAX(0.1,N(Parameter!$M$21)))</f>
        <v>0.166666666666667</v>
      </c>
      <c r="AO1272" s="57" t="n">
        <f aca="false">AL1272*F1272</f>
        <v>3172.5</v>
      </c>
      <c r="AP1272" s="57" t="n">
        <f aca="false">ROUNDUP(MAX(I1272/IF(BV1272&gt;0,BV1272,MAX(0.1,N(Cockpit!$I$6))),BY1272)/BQ1272,0)*BQ1272</f>
        <v>10</v>
      </c>
      <c r="AQ1272" s="58" t="n">
        <f aca="false">IF(AN1272&gt;0,I1272/AN1272,-1)</f>
        <v>12</v>
      </c>
      <c r="AR1272" s="58" t="n">
        <f aca="false">IF(AND(OR(BU1272="L1",BU1272="L23"),AN1272&gt;0),SUMIFS($AN$7:$AN$1576,$BU$7:$BU$1576,BU1272,$AQ$7:$AQ$1576,"&gt;"&amp;AQ1272)+SUMIFS($AN$7:$AN$1576,$BU$7:$BU$1576,BU1272,$AQ$7:$AQ$1576,AQ1272,$BO$7:$BO$1576,"&lt;="&amp;BO1272),"")</f>
        <v>107.853973050234</v>
      </c>
      <c r="AS1272" s="65" t="n">
        <f aca="false">IF(AR1272="",0,MAX(0,MIN(1,(IF(BU1272="L1",Parameter!$E$5,Parameter!$E$6+Parameter!$E$7)-(AR1272-AN1272))/AN1272)))</f>
        <v>0</v>
      </c>
      <c r="AT1272" s="57" t="n">
        <f aca="false">IF(LEFT(Cockpit!$O$5,1)="A",G1272,IF(BW1272=1,BX1272,IF(LEFT(Cockpit!$O$5,1)="B",AX1272,MAX(AX1272,G1272))))</f>
        <v>10</v>
      </c>
      <c r="AU1272" s="57" t="n">
        <f aca="false">IF(BR1272=1,0,ROUNDUP(AT1272/BQ1272,0))</f>
        <v>1</v>
      </c>
      <c r="AV1272" s="59" t="n">
        <f aca="false">IF(CD1272&gt;0,CD1272*MAX(1,AT1272/V1272),IF(BR1272=1,IF(AT1272&lt;=0,0,BS1272*MAX(1,IF(G1272&gt;0,AT1272/G1272,1))),IF(Q1272&gt;0,AU1272/Q1272,0))/MAX(0.1,N(Parameter!$M$21)))</f>
        <v>0.166666666666667</v>
      </c>
      <c r="AW1272" s="57" t="n">
        <f aca="false">AT1272*F1272</f>
        <v>3172.5</v>
      </c>
      <c r="AX1272" s="57" t="n">
        <f aca="false">ROUNDUP(MAX(I1272/IF(BV1272&gt;0,BV1272,MAX(0.1,N(Cockpit!$O$6))),BY1272)/BQ1272,0)*BQ1272</f>
        <v>10</v>
      </c>
      <c r="AY1272" s="58" t="n">
        <f aca="false">IF(AV1272&gt;0,I1272/AV1272,-1)</f>
        <v>12</v>
      </c>
      <c r="AZ1272" s="58" t="n">
        <f aca="false">IF(AND(OR(BU1272="L1",BU1272="L23"),AV1272&gt;0),SUMIFS($AV$7:$AV$1576,$BU$7:$BU$1576,BU1272,$AY$7:$AY$1576,"&gt;"&amp;AY1272)+SUMIFS($AV$7:$AV$1576,$BU$7:$BU$1576,BU1272,$AY$7:$AY$1576,AY1272,$BO$7:$BO$1576,"&lt;="&amp;BO1272),"")</f>
        <v>97.9135234997847</v>
      </c>
      <c r="BA1272" s="65" t="n">
        <f aca="false">IF(AZ1272="",0,MAX(0,MIN(1,(IF(BU1272="L1",Parameter!$E$5,Parameter!$E$6+Parameter!$E$7)-(AZ1272-AV1272))/AV1272)))</f>
        <v>1</v>
      </c>
      <c r="BB1272" s="55" t="str">
        <f aca="false">IF(AF1272&lt;=0,"",IF(BU1272="Aussen","Aussenlager",IF(BU1272="-","Nicht im Lift",IF(AK1272&gt;=1,"Lift",IF(AK1272&lt;=0,"Aussenlager","teilweise")))))</f>
        <v/>
      </c>
      <c r="BC1272" s="55" t="str">
        <f aca="false">IF(AN1272&lt;=0,"",IF(BU1272="Aussen","Aussenlager",IF(BU1272="-","Nicht im Lift",IF(AS1272&gt;=1,"Lift",IF(AS1272&lt;=0,"Aussenlager","teilweise")))))</f>
        <v>Aussenlager</v>
      </c>
      <c r="BD1272" s="55" t="str">
        <f aca="false">IF(AV1272&lt;=0,"",IF(BU1272="Aussen","Aussenlager",IF(BU1272="-","Nicht im Lift",IF(BA1272&gt;=1,"Lift",IF(BA1272&lt;=0,"Aussenlager","teilweise")))))</f>
        <v>Lift</v>
      </c>
      <c r="BE1272" s="55" t="str">
        <f aca="false">IF(A1272="","",IF(BN1272=1,"Neu; ","")&amp;IF(AND(BN1272=0,BI1272&lt;0),"negativer Bestand (Export "&amp;BI1272&amp;"); ","")&amp;IF(I1272&lt;=0,"Kein Verbrauch; ","")&amp;IF(CD1272&gt;0,"Lift "&amp;U1272&amp;" lt. Liftbericht (Fach "&amp;V1272&amp;" Stk); ",IF(BR1272=1,"Lose – Fläche geschätzt; ",""))&amp;IF(G1272&gt;AP1272,"Überbestand "&amp;ROUND(G1272-AP1272,0)&amp;" Stk / CHF "&amp;ROUND((G1272-AP1272)*F1272,0)&amp;"; ","")&amp;IF(AND(BW1272=1,BX1272&lt;BY1272),"MAX &lt; MB+LG; ","")&amp;IF(AND(CC1272&gt;0,CB1272*10&gt;CC1272),"zu hoch für Tablar; ","")&amp;IF(AND(BN1272=0,OR(BW1272=1,Y1272&lt;&gt;"",S1272&lt;&gt;"",T1272&lt;&gt;"",Z1272&lt;&gt;"")),"manuell übersteuert; ","")&amp;IF(AND(BR1272=0,Q1272=0),"Gebinde unbekannt / Stellmass fehlt; ","")&amp;IF(AND(BR1272=0,N(T1272)&lt;=0,N(P1272)&lt;=0),"Menge pro Gebinde fehlt (Ist = 1 Gebinde); ","")&amp;BM1272)</f>
        <v>negativer Bestand (Export -3); </v>
      </c>
      <c r="BF1272" s="55"/>
      <c r="BG1272" s="55"/>
      <c r="BH1272" s="62"/>
      <c r="BI1272" s="57" t="n">
        <v>-3</v>
      </c>
      <c r="BJ1272" s="57" t="n">
        <v>10</v>
      </c>
      <c r="BK1272" s="56" t="n">
        <v>-951.75</v>
      </c>
      <c r="BL1272" s="57" t="n">
        <v>2</v>
      </c>
      <c r="BM1272" s="55"/>
      <c r="BN1272" s="60" t="n">
        <v>0</v>
      </c>
      <c r="BO1272" s="60" t="n">
        <v>1272</v>
      </c>
      <c r="BP1272" s="55" t="str">
        <f aca="false">IF(S1272&lt;&gt;"",UPPER(TRIM(S1272)),IF(O1272="","LOSE",O1272))</f>
        <v>S71</v>
      </c>
      <c r="BQ1272" s="57" t="n">
        <f aca="false">IF(BP1272="LOSE",1,IF(N(T1272)&gt;0,T1272,IF(N(P1272)&gt;0,P1272,MAX(1,G1272))))</f>
        <v>10</v>
      </c>
      <c r="BR1272" s="60" t="n">
        <f aca="false">IF(BP1272="LOSE",1,0)</f>
        <v>0</v>
      </c>
      <c r="BS1272" s="59" t="n">
        <f aca="false">IF(BR1272=0,0,IF(N(R1272)&gt;0,R1272,IFERROR(VLOOKUP(D1272,Parameter!$A$35:$C$64,3,0)+0,0)))</f>
        <v>0</v>
      </c>
      <c r="BT1272" s="55" t="n">
        <f aca="false">IF(Y1272&lt;&gt;"",Y1272,X1272)</f>
        <v>2</v>
      </c>
      <c r="BU1272" s="55" t="str">
        <f aca="false">IF(BT1272=1,"L1",IF(OR(BT1272=2,BT1272=3),"L23",IF(BT1272="Aussen","Aussen","-")))</f>
        <v>L23</v>
      </c>
      <c r="BV1272" s="66" t="n">
        <f aca="false">IF(N(Z1272)&gt;0,Z1272,0)</f>
        <v>0</v>
      </c>
      <c r="BW1272" s="60" t="n">
        <f aca="false">IF(ISNUMBER(AC1272),1,0)</f>
        <v>0</v>
      </c>
      <c r="BX1272" s="57" t="n">
        <f aca="false">N(AC1272)</f>
        <v>0</v>
      </c>
      <c r="BY1272" s="57" t="n">
        <f aca="false">N(L1272)+N(M1272)</f>
        <v>1</v>
      </c>
      <c r="BZ1272" s="57" t="n">
        <f aca="false">ROUNDUP(G1272/BQ1272,0)</f>
        <v>0</v>
      </c>
      <c r="CA1272" s="57" t="n">
        <f aca="false">ROUNDUP(BX1272/BQ1272,0)</f>
        <v>0</v>
      </c>
      <c r="CB1272" s="60" t="n">
        <f aca="false">IF(BR1272=1,0,IFERROR(VLOOKUP(BP1272,'Gebinde-Kategorie'!$A$5:$M$45,5,0)+0,0))</f>
        <v>20</v>
      </c>
      <c r="CC1272" s="60" t="n">
        <f aca="false">IFERROR(IF(OR(BT1272=1,BT1272=2,BT1272=3),N(INDEX(Parameter!$I$5:$I$7,BT1272)),0),0)</f>
        <v>0</v>
      </c>
      <c r="CD1272" s="59" t="n">
        <f aca="false">IF(AND(Parameter!$B$21="Ja",ISNUMBER(U1272),N(V1272)&gt;0),IFERROR(N(INDEX(Parameter!$L$5:$L$7,U1272))*INDEX(Parameter!$E$5:$E$7,U1272)*V1272/SUMIFS($V$7:$V$1576,$U$7:$U$1576,U1272),0),0)</f>
        <v>0</v>
      </c>
    </row>
    <row r="1273" customFormat="false" ht="15" hidden="false" customHeight="false" outlineLevel="0" collapsed="false">
      <c r="A1273" s="55" t="s">
        <v>2261</v>
      </c>
      <c r="B1273" s="55" t="s">
        <v>2262</v>
      </c>
      <c r="C1273" s="55" t="s">
        <v>160</v>
      </c>
      <c r="D1273" s="55" t="s">
        <v>178</v>
      </c>
      <c r="E1273" s="55" t="s">
        <v>210</v>
      </c>
      <c r="F1273" s="56" t="n">
        <v>87.04</v>
      </c>
      <c r="G1273" s="57" t="n">
        <f aca="false">MAX(0,IF(AND(Parameter!$B$21="Ja",ISNUMBER(W1273)),W1273,IF(Parameter!$B$20="Jahresanfang 2025 + Export",BJ1273+BI1273,BI1273)))</f>
        <v>0</v>
      </c>
      <c r="H1273" s="57" t="n">
        <f aca="false">G1273*F1273</f>
        <v>0</v>
      </c>
      <c r="I1273" s="57" t="n">
        <f aca="false">BL1273*Parameter!$B$18</f>
        <v>1</v>
      </c>
      <c r="J1273" s="58" t="n">
        <v>52</v>
      </c>
      <c r="K1273" s="59" t="n">
        <v>0.0192307692307692</v>
      </c>
      <c r="L1273" s="57" t="n">
        <v>0</v>
      </c>
      <c r="M1273" s="57" t="n">
        <v>1</v>
      </c>
      <c r="N1273" s="60" t="n">
        <v>28</v>
      </c>
      <c r="O1273" s="55" t="s">
        <v>251</v>
      </c>
      <c r="P1273" s="57" t="n">
        <v>50</v>
      </c>
      <c r="Q1273" s="60" t="n">
        <f aca="false">IF(BR1273=1,0,IFERROR(VLOOKUP(BP1273,'Gebinde-Kategorie'!$A$5:$M$45,13,0)+0,0))</f>
        <v>6</v>
      </c>
      <c r="R1273" s="61"/>
      <c r="S1273" s="62"/>
      <c r="T1273" s="62"/>
      <c r="U1273" s="55"/>
      <c r="V1273" s="57"/>
      <c r="W1273" s="57"/>
      <c r="X1273" s="55" t="n">
        <f aca="false">IF(A1273="","",IF(AND(Parameter!$B$21="Ja",ISNUMBER(U1273)),U1273,IF(IFERROR(VLOOKUP(D1273,Parameter!$A$35:$C$64,2,0),"Nein")="2+3",IF(ISNUMBER(SEARCH("grosser Artikel",BM1273)),2,IFERROR(VLOOKUP(BP1273,Parameter!$F$35:$G$64,2,0),2)),IF(OR(IFERROR(VLOOKUP(D1273,Parameter!$A$35:$C$64,2,0),"Nein")="Nein",IFERROR(VLOOKUP(D1273,Parameter!$A$35:$C$64,2,0),"Nein")=""),"-",VLOOKUP(D1273,Parameter!$A$35:$C$64,2,0)))))</f>
        <v>2</v>
      </c>
      <c r="Y1273" s="62"/>
      <c r="Z1273" s="63"/>
      <c r="AA1273" s="57" t="n">
        <f aca="false">AP1273</f>
        <v>50</v>
      </c>
      <c r="AB1273" s="57" t="n">
        <f aca="false">MAX(AP1273,G1273)</f>
        <v>50</v>
      </c>
      <c r="AC1273" s="64"/>
      <c r="AD1273" s="57" t="n">
        <f aca="false">IF(LEFT(Cockpit!$C$5,1)="A",G1273,IF(BW1273=1,BX1273,IF(LEFT(Cockpit!$C$5,1)="B",AH1273,MAX(AH1273,G1273))))</f>
        <v>0</v>
      </c>
      <c r="AE1273" s="57" t="n">
        <f aca="false">IF(BR1273=1,0,ROUNDUP(AD1273/BQ1273,0))</f>
        <v>0</v>
      </c>
      <c r="AF1273" s="59" t="n">
        <f aca="false">IF(CD1273&gt;0,CD1273*MAX(1,AD1273/V1273),IF(BR1273=1,IF(AD1273&lt;=0,0,BS1273*MAX(1,IF(G1273&gt;0,AD1273/G1273,1))),IF(Q1273&gt;0,AE1273/Q1273,0))/MAX(0.1,N(Parameter!$M$21)))</f>
        <v>0</v>
      </c>
      <c r="AG1273" s="57" t="n">
        <f aca="false">AD1273*F1273</f>
        <v>0</v>
      </c>
      <c r="AH1273" s="57" t="n">
        <f aca="false">ROUNDUP(MAX(I1273/IF(BV1273&gt;0,BV1273,MAX(0.1,N(Cockpit!$C$6))),BY1273)/BQ1273,0)*BQ1273</f>
        <v>50</v>
      </c>
      <c r="AI1273" s="58" t="n">
        <f aca="false">IF(AF1273&gt;0,I1273/AF1273,-1)</f>
        <v>-1</v>
      </c>
      <c r="AJ1273" s="58" t="str">
        <f aca="false">IF(AND(OR(BU1273="L1",BU1273="L23"),AF1273&gt;0),SUMIFS($AF$7:$AF$1576,$BU$7:$BU$1576,BU1273,$AI$7:$AI$1576,"&gt;"&amp;AI1273)+SUMIFS($AF$7:$AF$1576,$BU$7:$BU$1576,BU1273,$AI$7:$AI$1576,AI1273,$BO$7:$BO$1576,"&lt;="&amp;BO1273),"")</f>
        <v/>
      </c>
      <c r="AK1273" s="65" t="n">
        <f aca="false">IF(AJ1273="",0,MAX(0,MIN(1,(IF(BU1273="L1",Parameter!$E$5,Parameter!$E$6+Parameter!$E$7)-(AJ1273-AF1273))/AF1273)))</f>
        <v>0</v>
      </c>
      <c r="AL1273" s="57" t="n">
        <f aca="false">IF(LEFT(Cockpit!$I$5,1)="A",G1273,IF(BW1273=1,BX1273,IF(LEFT(Cockpit!$I$5,1)="B",AP1273,MAX(AP1273,G1273))))</f>
        <v>50</v>
      </c>
      <c r="AM1273" s="57" t="n">
        <f aca="false">IF(BR1273=1,0,ROUNDUP(AL1273/BQ1273,0))</f>
        <v>1</v>
      </c>
      <c r="AN1273" s="59" t="n">
        <f aca="false">IF(CD1273&gt;0,CD1273*MAX(1,AL1273/V1273),IF(BR1273=1,IF(AL1273&lt;=0,0,BS1273*MAX(1,IF(G1273&gt;0,AL1273/G1273,1))),IF(Q1273&gt;0,AM1273/Q1273,0))/MAX(0.1,N(Parameter!$M$21)))</f>
        <v>0.166666666666667</v>
      </c>
      <c r="AO1273" s="57" t="n">
        <f aca="false">AL1273*F1273</f>
        <v>4352</v>
      </c>
      <c r="AP1273" s="57" t="n">
        <f aca="false">ROUNDUP(MAX(I1273/IF(BV1273&gt;0,BV1273,MAX(0.1,N(Cockpit!$I$6))),BY1273)/BQ1273,0)*BQ1273</f>
        <v>50</v>
      </c>
      <c r="AQ1273" s="58" t="n">
        <f aca="false">IF(AN1273&gt;0,I1273/AN1273,-1)</f>
        <v>6</v>
      </c>
      <c r="AR1273" s="58" t="n">
        <f aca="false">IF(AND(OR(BU1273="L1",BU1273="L23"),AN1273&gt;0),SUMIFS($AN$7:$AN$1576,$BU$7:$BU$1576,BU1273,$AQ$7:$AQ$1576,"&gt;"&amp;AQ1273)+SUMIFS($AN$7:$AN$1576,$BU$7:$BU$1576,BU1273,$AQ$7:$AQ$1576,AQ1273,$BO$7:$BO$1576,"&lt;="&amp;BO1273),"")</f>
        <v>112.959101255362</v>
      </c>
      <c r="AS1273" s="65" t="n">
        <f aca="false">IF(AR1273="",0,MAX(0,MIN(1,(IF(BU1273="L1",Parameter!$E$5,Parameter!$E$6+Parameter!$E$7)-(AR1273-AN1273))/AN1273)))</f>
        <v>0</v>
      </c>
      <c r="AT1273" s="57" t="n">
        <f aca="false">IF(LEFT(Cockpit!$O$5,1)="A",G1273,IF(BW1273=1,BX1273,IF(LEFT(Cockpit!$O$5,1)="B",AX1273,MAX(AX1273,G1273))))</f>
        <v>50</v>
      </c>
      <c r="AU1273" s="57" t="n">
        <f aca="false">IF(BR1273=1,0,ROUNDUP(AT1273/BQ1273,0))</f>
        <v>1</v>
      </c>
      <c r="AV1273" s="59" t="n">
        <f aca="false">IF(CD1273&gt;0,CD1273*MAX(1,AT1273/V1273),IF(BR1273=1,IF(AT1273&lt;=0,0,BS1273*MAX(1,IF(G1273&gt;0,AT1273/G1273,1))),IF(Q1273&gt;0,AU1273/Q1273,0))/MAX(0.1,N(Parameter!$M$21)))</f>
        <v>0.166666666666667</v>
      </c>
      <c r="AW1273" s="57" t="n">
        <f aca="false">AT1273*F1273</f>
        <v>4352</v>
      </c>
      <c r="AX1273" s="57" t="n">
        <f aca="false">ROUNDUP(MAX(I1273/IF(BV1273&gt;0,BV1273,MAX(0.1,N(Cockpit!$O$6))),BY1273)/BQ1273,0)*BQ1273</f>
        <v>50</v>
      </c>
      <c r="AY1273" s="58" t="n">
        <f aca="false">IF(AV1273&gt;0,I1273/AV1273,-1)</f>
        <v>6</v>
      </c>
      <c r="AZ1273" s="58" t="n">
        <f aca="false">IF(AND(OR(BU1273="L1",BU1273="L23"),AV1273&gt;0),SUMIFS($AV$7:$AV$1576,$BU$7:$BU$1576,BU1273,$AY$7:$AY$1576,"&gt;"&amp;AY1273)+SUMIFS($AV$7:$AV$1576,$BU$7:$BU$1576,BU1273,$AY$7:$AY$1576,AY1273,$BO$7:$BO$1576,"&lt;="&amp;BO1273),"")</f>
        <v>103.018651704913</v>
      </c>
      <c r="BA1273" s="65" t="n">
        <f aca="false">IF(AZ1273="",0,MAX(0,MIN(1,(IF(BU1273="L1",Parameter!$E$5,Parameter!$E$6+Parameter!$E$7)-(AZ1273-AV1273))/AV1273)))</f>
        <v>0</v>
      </c>
      <c r="BB1273" s="55" t="str">
        <f aca="false">IF(AF1273&lt;=0,"",IF(BU1273="Aussen","Aussenlager",IF(BU1273="-","Nicht im Lift",IF(AK1273&gt;=1,"Lift",IF(AK1273&lt;=0,"Aussenlager","teilweise")))))</f>
        <v/>
      </c>
      <c r="BC1273" s="55" t="str">
        <f aca="false">IF(AN1273&lt;=0,"",IF(BU1273="Aussen","Aussenlager",IF(BU1273="-","Nicht im Lift",IF(AS1273&gt;=1,"Lift",IF(AS1273&lt;=0,"Aussenlager","teilweise")))))</f>
        <v>Aussenlager</v>
      </c>
      <c r="BD1273" s="55" t="str">
        <f aca="false">IF(AV1273&lt;=0,"",IF(BU1273="Aussen","Aussenlager",IF(BU1273="-","Nicht im Lift",IF(BA1273&gt;=1,"Lift",IF(BA1273&lt;=0,"Aussenlager","teilweise")))))</f>
        <v>Aussenlager</v>
      </c>
      <c r="BE1273" s="55" t="str">
        <f aca="false">IF(A1273="","",IF(BN1273=1,"Neu; ","")&amp;IF(AND(BN1273=0,BI1273&lt;0),"negativer Bestand (Export "&amp;BI1273&amp;"); ","")&amp;IF(I1273&lt;=0,"Kein Verbrauch; ","")&amp;IF(CD1273&gt;0,"Lift "&amp;U1273&amp;" lt. Liftbericht (Fach "&amp;V1273&amp;" Stk); ",IF(BR1273=1,"Lose – Fläche geschätzt; ",""))&amp;IF(G1273&gt;AP1273,"Überbestand "&amp;ROUND(G1273-AP1273,0)&amp;" Stk / CHF "&amp;ROUND((G1273-AP1273)*F1273,0)&amp;"; ","")&amp;IF(AND(BW1273=1,BX1273&lt;BY1273),"MAX &lt; MB+LG; ","")&amp;IF(AND(CC1273&gt;0,CB1273*10&gt;CC1273),"zu hoch für Tablar; ","")&amp;IF(AND(BN1273=0,OR(BW1273=1,Y1273&lt;&gt;"",S1273&lt;&gt;"",T1273&lt;&gt;"",Z1273&lt;&gt;"")),"manuell übersteuert; ","")&amp;IF(AND(BR1273=0,Q1273=0),"Gebinde unbekannt / Stellmass fehlt; ","")&amp;IF(AND(BR1273=0,N(T1273)&lt;=0,N(P1273)&lt;=0),"Menge pro Gebinde fehlt (Ist = 1 Gebinde); ","")&amp;BM1273)</f>
        <v>negativer Bestand (Export -11); überbestand</v>
      </c>
      <c r="BF1273" s="55"/>
      <c r="BG1273" s="55"/>
      <c r="BH1273" s="62"/>
      <c r="BI1273" s="57" t="n">
        <v>-11</v>
      </c>
      <c r="BJ1273" s="57" t="n">
        <v>57</v>
      </c>
      <c r="BK1273" s="56" t="n">
        <v>-957.44</v>
      </c>
      <c r="BL1273" s="57" t="n">
        <v>1</v>
      </c>
      <c r="BM1273" s="55" t="s">
        <v>1239</v>
      </c>
      <c r="BN1273" s="60" t="n">
        <v>0</v>
      </c>
      <c r="BO1273" s="60" t="n">
        <v>1273</v>
      </c>
      <c r="BP1273" s="55" t="str">
        <f aca="false">IF(S1273&lt;&gt;"",UPPER(TRIM(S1273)),IF(O1273="","LOSE",O1273))</f>
        <v>S72</v>
      </c>
      <c r="BQ1273" s="57" t="n">
        <f aca="false">IF(BP1273="LOSE",1,IF(N(T1273)&gt;0,T1273,IF(N(P1273)&gt;0,P1273,MAX(1,G1273))))</f>
        <v>50</v>
      </c>
      <c r="BR1273" s="60" t="n">
        <f aca="false">IF(BP1273="LOSE",1,0)</f>
        <v>0</v>
      </c>
      <c r="BS1273" s="59" t="n">
        <f aca="false">IF(BR1273=0,0,IF(N(R1273)&gt;0,R1273,IFERROR(VLOOKUP(D1273,Parameter!$A$35:$C$64,3,0)+0,0)))</f>
        <v>0</v>
      </c>
      <c r="BT1273" s="55" t="n">
        <f aca="false">IF(Y1273&lt;&gt;"",Y1273,X1273)</f>
        <v>2</v>
      </c>
      <c r="BU1273" s="55" t="str">
        <f aca="false">IF(BT1273=1,"L1",IF(OR(BT1273=2,BT1273=3),"L23",IF(BT1273="Aussen","Aussen","-")))</f>
        <v>L23</v>
      </c>
      <c r="BV1273" s="66" t="n">
        <f aca="false">IF(N(Z1273)&gt;0,Z1273,0)</f>
        <v>0</v>
      </c>
      <c r="BW1273" s="60" t="n">
        <f aca="false">IF(ISNUMBER(AC1273),1,0)</f>
        <v>0</v>
      </c>
      <c r="BX1273" s="57" t="n">
        <f aca="false">N(AC1273)</f>
        <v>0</v>
      </c>
      <c r="BY1273" s="57" t="n">
        <f aca="false">N(L1273)+N(M1273)</f>
        <v>1</v>
      </c>
      <c r="BZ1273" s="57" t="n">
        <f aca="false">ROUNDUP(G1273/BQ1273,0)</f>
        <v>0</v>
      </c>
      <c r="CA1273" s="57" t="n">
        <f aca="false">ROUNDUP(BX1273/BQ1273,0)</f>
        <v>0</v>
      </c>
      <c r="CB1273" s="60" t="n">
        <f aca="false">IF(BR1273=1,0,IFERROR(VLOOKUP(BP1273,'Gebinde-Kategorie'!$A$5:$M$45,5,0)+0,0))</f>
        <v>40</v>
      </c>
      <c r="CC1273" s="60" t="n">
        <f aca="false">IFERROR(IF(OR(BT1273=1,BT1273=2,BT1273=3),N(INDEX(Parameter!$I$5:$I$7,BT1273)),0),0)</f>
        <v>0</v>
      </c>
      <c r="CD1273" s="59" t="n">
        <f aca="false">IF(AND(Parameter!$B$21="Ja",ISNUMBER(U1273),N(V1273)&gt;0),IFERROR(N(INDEX(Parameter!$L$5:$L$7,U1273))*INDEX(Parameter!$E$5:$E$7,U1273)*V1273/SUMIFS($V$7:$V$1576,$U$7:$U$1576,U1273),0),0)</f>
        <v>0</v>
      </c>
    </row>
    <row r="1274" customFormat="false" ht="15" hidden="false" customHeight="false" outlineLevel="0" collapsed="false">
      <c r="A1274" s="55" t="s">
        <v>2263</v>
      </c>
      <c r="B1274" s="55" t="s">
        <v>1695</v>
      </c>
      <c r="C1274" s="55" t="s">
        <v>160</v>
      </c>
      <c r="D1274" s="55" t="s">
        <v>178</v>
      </c>
      <c r="E1274" s="55" t="s">
        <v>210</v>
      </c>
      <c r="F1274" s="56" t="n">
        <v>107</v>
      </c>
      <c r="G1274" s="57" t="n">
        <f aca="false">MAX(0,IF(AND(Parameter!$B$21="Ja",ISNUMBER(W1274)),W1274,IF(Parameter!$B$20="Jahresanfang 2025 + Export",BJ1274+BI1274,BI1274)))</f>
        <v>0</v>
      </c>
      <c r="H1274" s="57" t="n">
        <f aca="false">G1274*F1274</f>
        <v>0</v>
      </c>
      <c r="I1274" s="57" t="n">
        <f aca="false">BL1274*Parameter!$B$18</f>
        <v>56</v>
      </c>
      <c r="J1274" s="58" t="n">
        <v>34</v>
      </c>
      <c r="K1274" s="59" t="n">
        <v>1.64705882352941</v>
      </c>
      <c r="L1274" s="57" t="n">
        <v>2</v>
      </c>
      <c r="M1274" s="57" t="n">
        <v>10</v>
      </c>
      <c r="N1274" s="60" t="n">
        <v>14</v>
      </c>
      <c r="O1274" s="55" t="s">
        <v>225</v>
      </c>
      <c r="P1274" s="57" t="n">
        <v>52</v>
      </c>
      <c r="Q1274" s="60" t="n">
        <f aca="false">IF(BR1274=1,0,IFERROR(VLOOKUP(BP1274,'Gebinde-Kategorie'!$A$5:$M$45,13,0)+0,0))</f>
        <v>26</v>
      </c>
      <c r="R1274" s="61"/>
      <c r="S1274" s="62"/>
      <c r="T1274" s="62"/>
      <c r="U1274" s="55"/>
      <c r="V1274" s="57"/>
      <c r="W1274" s="57"/>
      <c r="X1274" s="55" t="n">
        <f aca="false">IF(A1274="","",IF(AND(Parameter!$B$21="Ja",ISNUMBER(U1274)),U1274,IF(IFERROR(VLOOKUP(D1274,Parameter!$A$35:$C$64,2,0),"Nein")="2+3",IF(ISNUMBER(SEARCH("grosser Artikel",BM1274)),2,IFERROR(VLOOKUP(BP1274,Parameter!$F$35:$G$64,2,0),2)),IF(OR(IFERROR(VLOOKUP(D1274,Parameter!$A$35:$C$64,2,0),"Nein")="Nein",IFERROR(VLOOKUP(D1274,Parameter!$A$35:$C$64,2,0),"Nein")=""),"-",VLOOKUP(D1274,Parameter!$A$35:$C$64,2,0)))))</f>
        <v>3</v>
      </c>
      <c r="Y1274" s="62"/>
      <c r="Z1274" s="63"/>
      <c r="AA1274" s="57" t="n">
        <f aca="false">AP1274</f>
        <v>52</v>
      </c>
      <c r="AB1274" s="57" t="n">
        <f aca="false">MAX(AP1274,G1274)</f>
        <v>52</v>
      </c>
      <c r="AC1274" s="64"/>
      <c r="AD1274" s="57" t="n">
        <f aca="false">IF(LEFT(Cockpit!$C$5,1)="A",G1274,IF(BW1274=1,BX1274,IF(LEFT(Cockpit!$C$5,1)="B",AH1274,MAX(AH1274,G1274))))</f>
        <v>0</v>
      </c>
      <c r="AE1274" s="57" t="n">
        <f aca="false">IF(BR1274=1,0,ROUNDUP(AD1274/BQ1274,0))</f>
        <v>0</v>
      </c>
      <c r="AF1274" s="59" t="n">
        <f aca="false">IF(CD1274&gt;0,CD1274*MAX(1,AD1274/V1274),IF(BR1274=1,IF(AD1274&lt;=0,0,BS1274*MAX(1,IF(G1274&gt;0,AD1274/G1274,1))),IF(Q1274&gt;0,AE1274/Q1274,0))/MAX(0.1,N(Parameter!$M$21)))</f>
        <v>0</v>
      </c>
      <c r="AG1274" s="57" t="n">
        <f aca="false">AD1274*F1274</f>
        <v>0</v>
      </c>
      <c r="AH1274" s="57" t="n">
        <f aca="false">ROUNDUP(MAX(I1274/IF(BV1274&gt;0,BV1274,MAX(0.1,N(Cockpit!$C$6))),BY1274)/BQ1274,0)*BQ1274</f>
        <v>52</v>
      </c>
      <c r="AI1274" s="58" t="n">
        <f aca="false">IF(AF1274&gt;0,I1274/AF1274,-1)</f>
        <v>-1</v>
      </c>
      <c r="AJ1274" s="58" t="str">
        <f aca="false">IF(AND(OR(BU1274="L1",BU1274="L23"),AF1274&gt;0),SUMIFS($AF$7:$AF$1576,$BU$7:$BU$1576,BU1274,$AI$7:$AI$1576,"&gt;"&amp;AI1274)+SUMIFS($AF$7:$AF$1576,$BU$7:$BU$1576,BU1274,$AI$7:$AI$1576,AI1274,$BO$7:$BO$1576,"&lt;="&amp;BO1274),"")</f>
        <v/>
      </c>
      <c r="AK1274" s="65" t="n">
        <f aca="false">IF(AJ1274="",0,MAX(0,MIN(1,(IF(BU1274="L1",Parameter!$E$5,Parameter!$E$6+Parameter!$E$7)-(AJ1274-AF1274))/AF1274)))</f>
        <v>0</v>
      </c>
      <c r="AL1274" s="57" t="n">
        <f aca="false">IF(LEFT(Cockpit!$I$5,1)="A",G1274,IF(BW1274=1,BX1274,IF(LEFT(Cockpit!$I$5,1)="B",AP1274,MAX(AP1274,G1274))))</f>
        <v>52</v>
      </c>
      <c r="AM1274" s="57" t="n">
        <f aca="false">IF(BR1274=1,0,ROUNDUP(AL1274/BQ1274,0))</f>
        <v>1</v>
      </c>
      <c r="AN1274" s="59" t="n">
        <f aca="false">IF(CD1274&gt;0,CD1274*MAX(1,AL1274/V1274),IF(BR1274=1,IF(AL1274&lt;=0,0,BS1274*MAX(1,IF(G1274&gt;0,AL1274/G1274,1))),IF(Q1274&gt;0,AM1274/Q1274,0))/MAX(0.1,N(Parameter!$M$21)))</f>
        <v>0.0384615384615385</v>
      </c>
      <c r="AO1274" s="57" t="n">
        <f aca="false">AL1274*F1274</f>
        <v>5564</v>
      </c>
      <c r="AP1274" s="57" t="n">
        <f aca="false">ROUNDUP(MAX(I1274/IF(BV1274&gt;0,BV1274,MAX(0.1,N(Cockpit!$I$6))),BY1274)/BQ1274,0)*BQ1274</f>
        <v>52</v>
      </c>
      <c r="AQ1274" s="58" t="n">
        <f aca="false">IF(AN1274&gt;0,I1274/AN1274,-1)</f>
        <v>1456</v>
      </c>
      <c r="AR1274" s="58" t="n">
        <f aca="false">IF(AND(OR(BU1274="L1",BU1274="L23"),AN1274&gt;0),SUMIFS($AN$7:$AN$1576,$BU$7:$BU$1576,BU1274,$AQ$7:$AQ$1576,"&gt;"&amp;AQ1274)+SUMIFS($AN$7:$AN$1576,$BU$7:$BU$1576,BU1274,$AQ$7:$AQ$1576,AQ1274,$BO$7:$BO$1576,"&lt;="&amp;BO1274),"")</f>
        <v>19.4113867416153</v>
      </c>
      <c r="AS1274" s="65" t="n">
        <f aca="false">IF(AR1274="",0,MAX(0,MIN(1,(IF(BU1274="L1",Parameter!$E$5,Parameter!$E$6+Parameter!$E$7)-(AR1274-AN1274))/AN1274)))</f>
        <v>1</v>
      </c>
      <c r="AT1274" s="57" t="n">
        <f aca="false">IF(LEFT(Cockpit!$O$5,1)="A",G1274,IF(BW1274=1,BX1274,IF(LEFT(Cockpit!$O$5,1)="B",AX1274,MAX(AX1274,G1274))))</f>
        <v>52</v>
      </c>
      <c r="AU1274" s="57" t="n">
        <f aca="false">IF(BR1274=1,0,ROUNDUP(AT1274/BQ1274,0))</f>
        <v>1</v>
      </c>
      <c r="AV1274" s="59" t="n">
        <f aca="false">IF(CD1274&gt;0,CD1274*MAX(1,AT1274/V1274),IF(BR1274=1,IF(AT1274&lt;=0,0,BS1274*MAX(1,IF(G1274&gt;0,AT1274/G1274,1))),IF(Q1274&gt;0,AU1274/Q1274,0))/MAX(0.1,N(Parameter!$M$21)))</f>
        <v>0.0384615384615385</v>
      </c>
      <c r="AW1274" s="57" t="n">
        <f aca="false">AT1274*F1274</f>
        <v>5564</v>
      </c>
      <c r="AX1274" s="57" t="n">
        <f aca="false">ROUNDUP(MAX(I1274/IF(BV1274&gt;0,BV1274,MAX(0.1,N(Cockpit!$O$6))),BY1274)/BQ1274,0)*BQ1274</f>
        <v>52</v>
      </c>
      <c r="AY1274" s="58" t="n">
        <f aca="false">IF(AV1274&gt;0,I1274/AV1274,-1)</f>
        <v>1456</v>
      </c>
      <c r="AZ1274" s="58" t="n">
        <f aca="false">IF(AND(OR(BU1274="L1",BU1274="L23"),AV1274&gt;0),SUMIFS($AV$7:$AV$1576,$BU$7:$BU$1576,BU1274,$AY$7:$AY$1576,"&gt;"&amp;AY1274)+SUMIFS($AV$7:$AV$1576,$BU$7:$BU$1576,BU1274,$AY$7:$AY$1576,AY1274,$BO$7:$BO$1576,"&lt;="&amp;BO1274),"")</f>
        <v>18.388659468888</v>
      </c>
      <c r="BA1274" s="65" t="n">
        <f aca="false">IF(AZ1274="",0,MAX(0,MIN(1,(IF(BU1274="L1",Parameter!$E$5,Parameter!$E$6+Parameter!$E$7)-(AZ1274-AV1274))/AV1274)))</f>
        <v>1</v>
      </c>
      <c r="BB1274" s="55" t="str">
        <f aca="false">IF(AF1274&lt;=0,"",IF(BU1274="Aussen","Aussenlager",IF(BU1274="-","Nicht im Lift",IF(AK1274&gt;=1,"Lift",IF(AK1274&lt;=0,"Aussenlager","teilweise")))))</f>
        <v/>
      </c>
      <c r="BC1274" s="55" t="str">
        <f aca="false">IF(AN1274&lt;=0,"",IF(BU1274="Aussen","Aussenlager",IF(BU1274="-","Nicht im Lift",IF(AS1274&gt;=1,"Lift",IF(AS1274&lt;=0,"Aussenlager","teilweise")))))</f>
        <v>Lift</v>
      </c>
      <c r="BD1274" s="55" t="str">
        <f aca="false">IF(AV1274&lt;=0,"",IF(BU1274="Aussen","Aussenlager",IF(BU1274="-","Nicht im Lift",IF(BA1274&gt;=1,"Lift",IF(BA1274&lt;=0,"Aussenlager","teilweise")))))</f>
        <v>Lift</v>
      </c>
      <c r="BE1274" s="55" t="str">
        <f aca="false">IF(A1274="","",IF(BN1274=1,"Neu; ","")&amp;IF(AND(BN1274=0,BI1274&lt;0),"negativer Bestand (Export "&amp;BI1274&amp;"); ","")&amp;IF(I1274&lt;=0,"Kein Verbrauch; ","")&amp;IF(CD1274&gt;0,"Lift "&amp;U1274&amp;" lt. Liftbericht (Fach "&amp;V1274&amp;" Stk); ",IF(BR1274=1,"Lose – Fläche geschätzt; ",""))&amp;IF(G1274&gt;AP1274,"Überbestand "&amp;ROUND(G1274-AP1274,0)&amp;" Stk / CHF "&amp;ROUND((G1274-AP1274)*F1274,0)&amp;"; ","")&amp;IF(AND(BW1274=1,BX1274&lt;BY1274),"MAX &lt; MB+LG; ","")&amp;IF(AND(CC1274&gt;0,CB1274*10&gt;CC1274),"zu hoch für Tablar; ","")&amp;IF(AND(BN1274=0,OR(BW1274=1,Y1274&lt;&gt;"",S1274&lt;&gt;"",T1274&lt;&gt;"",Z1274&lt;&gt;"")),"manuell übersteuert; ","")&amp;IF(AND(BR1274=0,Q1274=0),"Gebinde unbekannt / Stellmass fehlt; ","")&amp;IF(AND(BR1274=0,N(T1274)&lt;=0,N(P1274)&lt;=0),"Menge pro Gebinde fehlt (Ist = 1 Gebinde); ","")&amp;BM1274)</f>
        <v>negativer Bestand (Export -9); </v>
      </c>
      <c r="BF1274" s="55"/>
      <c r="BG1274" s="55"/>
      <c r="BH1274" s="62"/>
      <c r="BI1274" s="57" t="n">
        <v>-9</v>
      </c>
      <c r="BJ1274" s="57" t="n">
        <v>33</v>
      </c>
      <c r="BK1274" s="56" t="n">
        <v>-963</v>
      </c>
      <c r="BL1274" s="57" t="n">
        <v>56</v>
      </c>
      <c r="BM1274" s="55"/>
      <c r="BN1274" s="60" t="n">
        <v>0</v>
      </c>
      <c r="BO1274" s="60" t="n">
        <v>1274</v>
      </c>
      <c r="BP1274" s="55" t="str">
        <f aca="false">IF(S1274&lt;&gt;"",UPPER(TRIM(S1274)),IF(O1274="","LOSE",O1274))</f>
        <v>S52</v>
      </c>
      <c r="BQ1274" s="57" t="n">
        <f aca="false">IF(BP1274="LOSE",1,IF(N(T1274)&gt;0,T1274,IF(N(P1274)&gt;0,P1274,MAX(1,G1274))))</f>
        <v>52</v>
      </c>
      <c r="BR1274" s="60" t="n">
        <f aca="false">IF(BP1274="LOSE",1,0)</f>
        <v>0</v>
      </c>
      <c r="BS1274" s="59" t="n">
        <f aca="false">IF(BR1274=0,0,IF(N(R1274)&gt;0,R1274,IFERROR(VLOOKUP(D1274,Parameter!$A$35:$C$64,3,0)+0,0)))</f>
        <v>0</v>
      </c>
      <c r="BT1274" s="55" t="n">
        <f aca="false">IF(Y1274&lt;&gt;"",Y1274,X1274)</f>
        <v>3</v>
      </c>
      <c r="BU1274" s="55" t="str">
        <f aca="false">IF(BT1274=1,"L1",IF(OR(BT1274=2,BT1274=3),"L23",IF(BT1274="Aussen","Aussen","-")))</f>
        <v>L23</v>
      </c>
      <c r="BV1274" s="66" t="n">
        <f aca="false">IF(N(Z1274)&gt;0,Z1274,0)</f>
        <v>0</v>
      </c>
      <c r="BW1274" s="60" t="n">
        <f aca="false">IF(ISNUMBER(AC1274),1,0)</f>
        <v>0</v>
      </c>
      <c r="BX1274" s="57" t="n">
        <f aca="false">N(AC1274)</f>
        <v>0</v>
      </c>
      <c r="BY1274" s="57" t="n">
        <f aca="false">N(L1274)+N(M1274)</f>
        <v>12</v>
      </c>
      <c r="BZ1274" s="57" t="n">
        <f aca="false">ROUNDUP(G1274/BQ1274,0)</f>
        <v>0</v>
      </c>
      <c r="CA1274" s="57" t="n">
        <f aca="false">ROUNDUP(BX1274/BQ1274,0)</f>
        <v>0</v>
      </c>
      <c r="CB1274" s="60" t="n">
        <f aca="false">IF(BR1274=1,0,IFERROR(VLOOKUP(BP1274,'Gebinde-Kategorie'!$A$5:$M$45,5,0)+0,0))</f>
        <v>21</v>
      </c>
      <c r="CC1274" s="60" t="n">
        <f aca="false">IFERROR(IF(OR(BT1274=1,BT1274=2,BT1274=3),N(INDEX(Parameter!$I$5:$I$7,BT1274)),0),0)</f>
        <v>0</v>
      </c>
      <c r="CD1274" s="59" t="n">
        <f aca="false">IF(AND(Parameter!$B$21="Ja",ISNUMBER(U1274),N(V1274)&gt;0),IFERROR(N(INDEX(Parameter!$L$5:$L$7,U1274))*INDEX(Parameter!$E$5:$E$7,U1274)*V1274/SUMIFS($V$7:$V$1576,$U$7:$U$1576,U1274),0),0)</f>
        <v>0</v>
      </c>
    </row>
    <row r="1275" customFormat="false" ht="15" hidden="false" customHeight="false" outlineLevel="0" collapsed="false">
      <c r="A1275" s="55" t="s">
        <v>2264</v>
      </c>
      <c r="B1275" s="55" t="s">
        <v>2265</v>
      </c>
      <c r="C1275" s="55" t="s">
        <v>160</v>
      </c>
      <c r="D1275" s="55" t="s">
        <v>178</v>
      </c>
      <c r="E1275" s="55" t="s">
        <v>210</v>
      </c>
      <c r="F1275" s="56" t="n">
        <v>165.85</v>
      </c>
      <c r="G1275" s="57" t="n">
        <f aca="false">MAX(0,IF(AND(Parameter!$B$21="Ja",ISNUMBER(W1275)),W1275,IF(Parameter!$B$20="Jahresanfang 2025 + Export",BJ1275+BI1275,BI1275)))</f>
        <v>0</v>
      </c>
      <c r="H1275" s="57" t="n">
        <f aca="false">G1275*F1275</f>
        <v>0</v>
      </c>
      <c r="I1275" s="57" t="n">
        <f aca="false">BL1275*Parameter!$B$18</f>
        <v>6</v>
      </c>
      <c r="J1275" s="58" t="n">
        <v>7.5</v>
      </c>
      <c r="K1275" s="59" t="n">
        <v>0.8</v>
      </c>
      <c r="L1275" s="57" t="n">
        <v>0</v>
      </c>
      <c r="M1275" s="57" t="n">
        <v>5</v>
      </c>
      <c r="N1275" s="60" t="n">
        <v>28</v>
      </c>
      <c r="O1275" s="55" t="s">
        <v>179</v>
      </c>
      <c r="P1275" s="57" t="n">
        <v>7</v>
      </c>
      <c r="Q1275" s="60" t="n">
        <f aca="false">IF(BR1275=1,0,IFERROR(VLOOKUP(BP1275,'Gebinde-Kategorie'!$A$5:$M$45,13,0)+0,0))</f>
        <v>12</v>
      </c>
      <c r="R1275" s="61"/>
      <c r="S1275" s="62"/>
      <c r="T1275" s="62"/>
      <c r="U1275" s="55"/>
      <c r="V1275" s="57"/>
      <c r="W1275" s="57"/>
      <c r="X1275" s="55" t="n">
        <f aca="false">IF(A1275="","",IF(AND(Parameter!$B$21="Ja",ISNUMBER(U1275)),U1275,IF(IFERROR(VLOOKUP(D1275,Parameter!$A$35:$C$64,2,0),"Nein")="2+3",IF(ISNUMBER(SEARCH("grosser Artikel",BM1275)),2,IFERROR(VLOOKUP(BP1275,Parameter!$F$35:$G$64,2,0),2)),IF(OR(IFERROR(VLOOKUP(D1275,Parameter!$A$35:$C$64,2,0),"Nein")="Nein",IFERROR(VLOOKUP(D1275,Parameter!$A$35:$C$64,2,0),"Nein")=""),"-",VLOOKUP(D1275,Parameter!$A$35:$C$64,2,0)))))</f>
        <v>2</v>
      </c>
      <c r="Y1275" s="62"/>
      <c r="Z1275" s="63"/>
      <c r="AA1275" s="57" t="n">
        <f aca="false">AP1275</f>
        <v>7</v>
      </c>
      <c r="AB1275" s="57" t="n">
        <f aca="false">MAX(AP1275,G1275)</f>
        <v>7</v>
      </c>
      <c r="AC1275" s="64"/>
      <c r="AD1275" s="57" t="n">
        <f aca="false">IF(LEFT(Cockpit!$C$5,1)="A",G1275,IF(BW1275=1,BX1275,IF(LEFT(Cockpit!$C$5,1)="B",AH1275,MAX(AH1275,G1275))))</f>
        <v>0</v>
      </c>
      <c r="AE1275" s="57" t="n">
        <f aca="false">IF(BR1275=1,0,ROUNDUP(AD1275/BQ1275,0))</f>
        <v>0</v>
      </c>
      <c r="AF1275" s="59" t="n">
        <f aca="false">IF(CD1275&gt;0,CD1275*MAX(1,AD1275/V1275),IF(BR1275=1,IF(AD1275&lt;=0,0,BS1275*MAX(1,IF(G1275&gt;0,AD1275/G1275,1))),IF(Q1275&gt;0,AE1275/Q1275,0))/MAX(0.1,N(Parameter!$M$21)))</f>
        <v>0</v>
      </c>
      <c r="AG1275" s="57" t="n">
        <f aca="false">AD1275*F1275</f>
        <v>0</v>
      </c>
      <c r="AH1275" s="57" t="n">
        <f aca="false">ROUNDUP(MAX(I1275/IF(BV1275&gt;0,BV1275,MAX(0.1,N(Cockpit!$C$6))),BY1275)/BQ1275,0)*BQ1275</f>
        <v>7</v>
      </c>
      <c r="AI1275" s="58" t="n">
        <f aca="false">IF(AF1275&gt;0,I1275/AF1275,-1)</f>
        <v>-1</v>
      </c>
      <c r="AJ1275" s="58" t="str">
        <f aca="false">IF(AND(OR(BU1275="L1",BU1275="L23"),AF1275&gt;0),SUMIFS($AF$7:$AF$1576,$BU$7:$BU$1576,BU1275,$AI$7:$AI$1576,"&gt;"&amp;AI1275)+SUMIFS($AF$7:$AF$1576,$BU$7:$BU$1576,BU1275,$AI$7:$AI$1576,AI1275,$BO$7:$BO$1576,"&lt;="&amp;BO1275),"")</f>
        <v/>
      </c>
      <c r="AK1275" s="65" t="n">
        <f aca="false">IF(AJ1275="",0,MAX(0,MIN(1,(IF(BU1275="L1",Parameter!$E$5,Parameter!$E$6+Parameter!$E$7)-(AJ1275-AF1275))/AF1275)))</f>
        <v>0</v>
      </c>
      <c r="AL1275" s="57" t="n">
        <f aca="false">IF(LEFT(Cockpit!$I$5,1)="A",G1275,IF(BW1275=1,BX1275,IF(LEFT(Cockpit!$I$5,1)="B",AP1275,MAX(AP1275,G1275))))</f>
        <v>7</v>
      </c>
      <c r="AM1275" s="57" t="n">
        <f aca="false">IF(BR1275=1,0,ROUNDUP(AL1275/BQ1275,0))</f>
        <v>1</v>
      </c>
      <c r="AN1275" s="59" t="n">
        <f aca="false">IF(CD1275&gt;0,CD1275*MAX(1,AL1275/V1275),IF(BR1275=1,IF(AL1275&lt;=0,0,BS1275*MAX(1,IF(G1275&gt;0,AL1275/G1275,1))),IF(Q1275&gt;0,AM1275/Q1275,0))/MAX(0.1,N(Parameter!$M$21)))</f>
        <v>0.0833333333333333</v>
      </c>
      <c r="AO1275" s="57" t="n">
        <f aca="false">AL1275*F1275</f>
        <v>1160.95</v>
      </c>
      <c r="AP1275" s="57" t="n">
        <f aca="false">ROUNDUP(MAX(I1275/IF(BV1275&gt;0,BV1275,MAX(0.1,N(Cockpit!$I$6))),BY1275)/BQ1275,0)*BQ1275</f>
        <v>7</v>
      </c>
      <c r="AQ1275" s="58" t="n">
        <f aca="false">IF(AN1275&gt;0,I1275/AN1275,-1)</f>
        <v>72</v>
      </c>
      <c r="AR1275" s="58" t="n">
        <f aca="false">IF(AND(OR(BU1275="L1",BU1275="L23"),AN1275&gt;0),SUMIFS($AN$7:$AN$1576,$BU$7:$BU$1576,BU1275,$AQ$7:$AQ$1576,"&gt;"&amp;AQ1275)+SUMIFS($AN$7:$AN$1576,$BU$7:$BU$1576,BU1275,$AQ$7:$AQ$1576,AQ1275,$BO$7:$BO$1576,"&lt;="&amp;BO1275),"")</f>
        <v>75.7289613952226</v>
      </c>
      <c r="AS1275" s="65" t="n">
        <f aca="false">IF(AR1275="",0,MAX(0,MIN(1,(IF(BU1275="L1",Parameter!$E$5,Parameter!$E$6+Parameter!$E$7)-(AR1275-AN1275))/AN1275)))</f>
        <v>1</v>
      </c>
      <c r="AT1275" s="57" t="n">
        <f aca="false">IF(LEFT(Cockpit!$O$5,1)="A",G1275,IF(BW1275=1,BX1275,IF(LEFT(Cockpit!$O$5,1)="B",AX1275,MAX(AX1275,G1275))))</f>
        <v>7</v>
      </c>
      <c r="AU1275" s="57" t="n">
        <f aca="false">IF(BR1275=1,0,ROUNDUP(AT1275/BQ1275,0))</f>
        <v>1</v>
      </c>
      <c r="AV1275" s="59" t="n">
        <f aca="false">IF(CD1275&gt;0,CD1275*MAX(1,AT1275/V1275),IF(BR1275=1,IF(AT1275&lt;=0,0,BS1275*MAX(1,IF(G1275&gt;0,AT1275/G1275,1))),IF(Q1275&gt;0,AU1275/Q1275,0))/MAX(0.1,N(Parameter!$M$21)))</f>
        <v>0.0833333333333333</v>
      </c>
      <c r="AW1275" s="57" t="n">
        <f aca="false">AT1275*F1275</f>
        <v>1160.95</v>
      </c>
      <c r="AX1275" s="57" t="n">
        <f aca="false">ROUNDUP(MAX(I1275/IF(BV1275&gt;0,BV1275,MAX(0.1,N(Cockpit!$O$6))),BY1275)/BQ1275,0)*BQ1275</f>
        <v>7</v>
      </c>
      <c r="AY1275" s="58" t="n">
        <f aca="false">IF(AV1275&gt;0,I1275/AV1275,-1)</f>
        <v>72</v>
      </c>
      <c r="AZ1275" s="58" t="n">
        <f aca="false">IF(AND(OR(BU1275="L1",BU1275="L23"),AV1275&gt;0),SUMIFS($AV$7:$AV$1576,$BU$7:$BU$1576,BU1275,$AY$7:$AY$1576,"&gt;"&amp;AY1275)+SUMIFS($AV$7:$AV$1576,$BU$7:$BU$1576,BU1275,$AY$7:$AY$1576,AY1275,$BO$7:$BO$1576,"&lt;="&amp;BO1275),"")</f>
        <v>72.1268451781063</v>
      </c>
      <c r="BA1275" s="65" t="n">
        <f aca="false">IF(AZ1275="",0,MAX(0,MIN(1,(IF(BU1275="L1",Parameter!$E$5,Parameter!$E$6+Parameter!$E$7)-(AZ1275-AV1275))/AV1275)))</f>
        <v>1</v>
      </c>
      <c r="BB1275" s="55" t="str">
        <f aca="false">IF(AF1275&lt;=0,"",IF(BU1275="Aussen","Aussenlager",IF(BU1275="-","Nicht im Lift",IF(AK1275&gt;=1,"Lift",IF(AK1275&lt;=0,"Aussenlager","teilweise")))))</f>
        <v/>
      </c>
      <c r="BC1275" s="55" t="str">
        <f aca="false">IF(AN1275&lt;=0,"",IF(BU1275="Aussen","Aussenlager",IF(BU1275="-","Nicht im Lift",IF(AS1275&gt;=1,"Lift",IF(AS1275&lt;=0,"Aussenlager","teilweise")))))</f>
        <v>Lift</v>
      </c>
      <c r="BD1275" s="55" t="str">
        <f aca="false">IF(AV1275&lt;=0,"",IF(BU1275="Aussen","Aussenlager",IF(BU1275="-","Nicht im Lift",IF(BA1275&gt;=1,"Lift",IF(BA1275&lt;=0,"Aussenlager","teilweise")))))</f>
        <v>Lift</v>
      </c>
      <c r="BE1275" s="55" t="str">
        <f aca="false">IF(A1275="","",IF(BN1275=1,"Neu; ","")&amp;IF(AND(BN1275=0,BI1275&lt;0),"negativer Bestand (Export "&amp;BI1275&amp;"); ","")&amp;IF(I1275&lt;=0,"Kein Verbrauch; ","")&amp;IF(CD1275&gt;0,"Lift "&amp;U1275&amp;" lt. Liftbericht (Fach "&amp;V1275&amp;" Stk); ",IF(BR1275=1,"Lose – Fläche geschätzt; ",""))&amp;IF(G1275&gt;AP1275,"Überbestand "&amp;ROUND(G1275-AP1275,0)&amp;" Stk / CHF "&amp;ROUND((G1275-AP1275)*F1275,0)&amp;"; ","")&amp;IF(AND(BW1275=1,BX1275&lt;BY1275),"MAX &lt; MB+LG; ","")&amp;IF(AND(CC1275&gt;0,CB1275*10&gt;CC1275),"zu hoch für Tablar; ","")&amp;IF(AND(BN1275=0,OR(BW1275=1,Y1275&lt;&gt;"",S1275&lt;&gt;"",T1275&lt;&gt;"",Z1275&lt;&gt;"")),"manuell übersteuert; ","")&amp;IF(AND(BR1275=0,Q1275=0),"Gebinde unbekannt / Stellmass fehlt; ","")&amp;IF(AND(BR1275=0,N(T1275)&lt;=0,N(P1275)&lt;=0),"Menge pro Gebinde fehlt (Ist = 1 Gebinde); ","")&amp;BM1275)</f>
        <v>negativer Bestand (Export -6); </v>
      </c>
      <c r="BF1275" s="55"/>
      <c r="BG1275" s="55"/>
      <c r="BH1275" s="62"/>
      <c r="BI1275" s="57" t="n">
        <v>-6</v>
      </c>
      <c r="BJ1275" s="57" t="n">
        <v>8</v>
      </c>
      <c r="BK1275" s="56" t="n">
        <v>-967.26</v>
      </c>
      <c r="BL1275" s="57" t="n">
        <v>6</v>
      </c>
      <c r="BM1275" s="55"/>
      <c r="BN1275" s="60" t="n">
        <v>0</v>
      </c>
      <c r="BO1275" s="60" t="n">
        <v>1275</v>
      </c>
      <c r="BP1275" s="55" t="str">
        <f aca="false">IF(S1275&lt;&gt;"",UPPER(TRIM(S1275)),IF(O1275="","LOSE",O1275))</f>
        <v>S61</v>
      </c>
      <c r="BQ1275" s="57" t="n">
        <f aca="false">IF(BP1275="LOSE",1,IF(N(T1275)&gt;0,T1275,IF(N(P1275)&gt;0,P1275,MAX(1,G1275))))</f>
        <v>7</v>
      </c>
      <c r="BR1275" s="60" t="n">
        <f aca="false">IF(BP1275="LOSE",1,0)</f>
        <v>0</v>
      </c>
      <c r="BS1275" s="59" t="n">
        <f aca="false">IF(BR1275=0,0,IF(N(R1275)&gt;0,R1275,IFERROR(VLOOKUP(D1275,Parameter!$A$35:$C$64,3,0)+0,0)))</f>
        <v>0</v>
      </c>
      <c r="BT1275" s="55" t="n">
        <f aca="false">IF(Y1275&lt;&gt;"",Y1275,X1275)</f>
        <v>2</v>
      </c>
      <c r="BU1275" s="55" t="str">
        <f aca="false">IF(BT1275=1,"L1",IF(OR(BT1275=2,BT1275=3),"L23",IF(BT1275="Aussen","Aussen","-")))</f>
        <v>L23</v>
      </c>
      <c r="BV1275" s="66" t="n">
        <f aca="false">IF(N(Z1275)&gt;0,Z1275,0)</f>
        <v>0</v>
      </c>
      <c r="BW1275" s="60" t="n">
        <f aca="false">IF(ISNUMBER(AC1275),1,0)</f>
        <v>0</v>
      </c>
      <c r="BX1275" s="57" t="n">
        <f aca="false">N(AC1275)</f>
        <v>0</v>
      </c>
      <c r="BY1275" s="57" t="n">
        <f aca="false">N(L1275)+N(M1275)</f>
        <v>5</v>
      </c>
      <c r="BZ1275" s="57" t="n">
        <f aca="false">ROUNDUP(G1275/BQ1275,0)</f>
        <v>0</v>
      </c>
      <c r="CA1275" s="57" t="n">
        <f aca="false">ROUNDUP(BX1275/BQ1275,0)</f>
        <v>0</v>
      </c>
      <c r="CB1275" s="60" t="n">
        <f aca="false">IF(BR1275=1,0,IFERROR(VLOOKUP(BP1275,'Gebinde-Kategorie'!$A$5:$M$45,5,0)+0,0))</f>
        <v>11</v>
      </c>
      <c r="CC1275" s="60" t="n">
        <f aca="false">IFERROR(IF(OR(BT1275=1,BT1275=2,BT1275=3),N(INDEX(Parameter!$I$5:$I$7,BT1275)),0),0)</f>
        <v>0</v>
      </c>
      <c r="CD1275" s="59" t="n">
        <f aca="false">IF(AND(Parameter!$B$21="Ja",ISNUMBER(U1275),N(V1275)&gt;0),IFERROR(N(INDEX(Parameter!$L$5:$L$7,U1275))*INDEX(Parameter!$E$5:$E$7,U1275)*V1275/SUMIFS($V$7:$V$1576,$U$7:$U$1576,U1275),0),0)</f>
        <v>0</v>
      </c>
    </row>
    <row r="1276" customFormat="false" ht="15" hidden="false" customHeight="false" outlineLevel="0" collapsed="false">
      <c r="A1276" s="55" t="s">
        <v>2266</v>
      </c>
      <c r="B1276" s="55" t="s">
        <v>2267</v>
      </c>
      <c r="C1276" s="55" t="s">
        <v>160</v>
      </c>
      <c r="D1276" s="55" t="s">
        <v>178</v>
      </c>
      <c r="E1276" s="55" t="s">
        <v>210</v>
      </c>
      <c r="F1276" s="56" t="n">
        <v>329.39</v>
      </c>
      <c r="G1276" s="57" t="n">
        <f aca="false">MAX(0,IF(AND(Parameter!$B$21="Ja",ISNUMBER(W1276)),W1276,IF(Parameter!$B$20="Jahresanfang 2025 + Export",BJ1276+BI1276,BI1276)))</f>
        <v>0</v>
      </c>
      <c r="H1276" s="57" t="n">
        <f aca="false">G1276*F1276</f>
        <v>0</v>
      </c>
      <c r="I1276" s="57" t="n">
        <f aca="false">BL1276*Parameter!$B$18</f>
        <v>2</v>
      </c>
      <c r="J1276" s="58" t="n">
        <v>11</v>
      </c>
      <c r="K1276" s="59" t="n">
        <v>0.181818181818182</v>
      </c>
      <c r="L1276" s="57" t="n">
        <v>0</v>
      </c>
      <c r="M1276" s="57" t="n">
        <v>1</v>
      </c>
      <c r="N1276" s="60" t="n">
        <v>28</v>
      </c>
      <c r="O1276" s="55" t="s">
        <v>411</v>
      </c>
      <c r="P1276" s="57" t="n">
        <v>10</v>
      </c>
      <c r="Q1276" s="60" t="n">
        <f aca="false">IF(BR1276=1,0,IFERROR(VLOOKUP(BP1276,'Gebinde-Kategorie'!$A$5:$M$45,13,0)+0,0))</f>
        <v>132</v>
      </c>
      <c r="R1276" s="61"/>
      <c r="S1276" s="62"/>
      <c r="T1276" s="62"/>
      <c r="U1276" s="55"/>
      <c r="V1276" s="57"/>
      <c r="W1276" s="57"/>
      <c r="X1276" s="55" t="n">
        <f aca="false">IF(A1276="","",IF(AND(Parameter!$B$21="Ja",ISNUMBER(U1276)),U1276,IF(IFERROR(VLOOKUP(D1276,Parameter!$A$35:$C$64,2,0),"Nein")="2+3",IF(ISNUMBER(SEARCH("grosser Artikel",BM1276)),2,IFERROR(VLOOKUP(BP1276,Parameter!$F$35:$G$64,2,0),2)),IF(OR(IFERROR(VLOOKUP(D1276,Parameter!$A$35:$C$64,2,0),"Nein")="Nein",IFERROR(VLOOKUP(D1276,Parameter!$A$35:$C$64,2,0),"Nein")=""),"-",VLOOKUP(D1276,Parameter!$A$35:$C$64,2,0)))))</f>
        <v>3</v>
      </c>
      <c r="Y1276" s="62"/>
      <c r="Z1276" s="63"/>
      <c r="AA1276" s="57" t="n">
        <f aca="false">AP1276</f>
        <v>10</v>
      </c>
      <c r="AB1276" s="57" t="n">
        <f aca="false">MAX(AP1276,G1276)</f>
        <v>10</v>
      </c>
      <c r="AC1276" s="64"/>
      <c r="AD1276" s="57" t="n">
        <f aca="false">IF(LEFT(Cockpit!$C$5,1)="A",G1276,IF(BW1276=1,BX1276,IF(LEFT(Cockpit!$C$5,1)="B",AH1276,MAX(AH1276,G1276))))</f>
        <v>0</v>
      </c>
      <c r="AE1276" s="57" t="n">
        <f aca="false">IF(BR1276=1,0,ROUNDUP(AD1276/BQ1276,0))</f>
        <v>0</v>
      </c>
      <c r="AF1276" s="59" t="n">
        <f aca="false">IF(CD1276&gt;0,CD1276*MAX(1,AD1276/V1276),IF(BR1276=1,IF(AD1276&lt;=0,0,BS1276*MAX(1,IF(G1276&gt;0,AD1276/G1276,1))),IF(Q1276&gt;0,AE1276/Q1276,0))/MAX(0.1,N(Parameter!$M$21)))</f>
        <v>0</v>
      </c>
      <c r="AG1276" s="57" t="n">
        <f aca="false">AD1276*F1276</f>
        <v>0</v>
      </c>
      <c r="AH1276" s="57" t="n">
        <f aca="false">ROUNDUP(MAX(I1276/IF(BV1276&gt;0,BV1276,MAX(0.1,N(Cockpit!$C$6))),BY1276)/BQ1276,0)*BQ1276</f>
        <v>10</v>
      </c>
      <c r="AI1276" s="58" t="n">
        <f aca="false">IF(AF1276&gt;0,I1276/AF1276,-1)</f>
        <v>-1</v>
      </c>
      <c r="AJ1276" s="58" t="str">
        <f aca="false">IF(AND(OR(BU1276="L1",BU1276="L23"),AF1276&gt;0),SUMIFS($AF$7:$AF$1576,$BU$7:$BU$1576,BU1276,$AI$7:$AI$1576,"&gt;"&amp;AI1276)+SUMIFS($AF$7:$AF$1576,$BU$7:$BU$1576,BU1276,$AI$7:$AI$1576,AI1276,$BO$7:$BO$1576,"&lt;="&amp;BO1276),"")</f>
        <v/>
      </c>
      <c r="AK1276" s="65" t="n">
        <f aca="false">IF(AJ1276="",0,MAX(0,MIN(1,(IF(BU1276="L1",Parameter!$E$5,Parameter!$E$6+Parameter!$E$7)-(AJ1276-AF1276))/AF1276)))</f>
        <v>0</v>
      </c>
      <c r="AL1276" s="57" t="n">
        <f aca="false">IF(LEFT(Cockpit!$I$5,1)="A",G1276,IF(BW1276=1,BX1276,IF(LEFT(Cockpit!$I$5,1)="B",AP1276,MAX(AP1276,G1276))))</f>
        <v>10</v>
      </c>
      <c r="AM1276" s="57" t="n">
        <f aca="false">IF(BR1276=1,0,ROUNDUP(AL1276/BQ1276,0))</f>
        <v>1</v>
      </c>
      <c r="AN1276" s="59" t="n">
        <f aca="false">IF(CD1276&gt;0,CD1276*MAX(1,AL1276/V1276),IF(BR1276=1,IF(AL1276&lt;=0,0,BS1276*MAX(1,IF(G1276&gt;0,AL1276/G1276,1))),IF(Q1276&gt;0,AM1276/Q1276,0))/MAX(0.1,N(Parameter!$M$21)))</f>
        <v>0.00757575757575758</v>
      </c>
      <c r="AO1276" s="57" t="n">
        <f aca="false">AL1276*F1276</f>
        <v>3293.9</v>
      </c>
      <c r="AP1276" s="57" t="n">
        <f aca="false">ROUNDUP(MAX(I1276/IF(BV1276&gt;0,BV1276,MAX(0.1,N(Cockpit!$I$6))),BY1276)/BQ1276,0)*BQ1276</f>
        <v>10</v>
      </c>
      <c r="AQ1276" s="58" t="n">
        <f aca="false">IF(AN1276&gt;0,I1276/AN1276,-1)</f>
        <v>264</v>
      </c>
      <c r="AR1276" s="58" t="n">
        <f aca="false">IF(AND(OR(BU1276="L1",BU1276="L23"),AN1276&gt;0),SUMIFS($AN$7:$AN$1576,$BU$7:$BU$1576,BU1276,$AQ$7:$AQ$1576,"&gt;"&amp;AQ1276)+SUMIFS($AN$7:$AN$1576,$BU$7:$BU$1576,BU1276,$AQ$7:$AQ$1576,AQ1276,$BO$7:$BO$1576,"&lt;="&amp;BO1276),"")</f>
        <v>45.4261202689575</v>
      </c>
      <c r="AS1276" s="65" t="n">
        <f aca="false">IF(AR1276="",0,MAX(0,MIN(1,(IF(BU1276="L1",Parameter!$E$5,Parameter!$E$6+Parameter!$E$7)-(AR1276-AN1276))/AN1276)))</f>
        <v>1</v>
      </c>
      <c r="AT1276" s="57" t="n">
        <f aca="false">IF(LEFT(Cockpit!$O$5,1)="A",G1276,IF(BW1276=1,BX1276,IF(LEFT(Cockpit!$O$5,1)="B",AX1276,MAX(AX1276,G1276))))</f>
        <v>10</v>
      </c>
      <c r="AU1276" s="57" t="n">
        <f aca="false">IF(BR1276=1,0,ROUNDUP(AT1276/BQ1276,0))</f>
        <v>1</v>
      </c>
      <c r="AV1276" s="59" t="n">
        <f aca="false">IF(CD1276&gt;0,CD1276*MAX(1,AT1276/V1276),IF(BR1276=1,IF(AT1276&lt;=0,0,BS1276*MAX(1,IF(G1276&gt;0,AT1276/G1276,1))),IF(Q1276&gt;0,AU1276/Q1276,0))/MAX(0.1,N(Parameter!$M$21)))</f>
        <v>0.00757575757575758</v>
      </c>
      <c r="AW1276" s="57" t="n">
        <f aca="false">AT1276*F1276</f>
        <v>3293.9</v>
      </c>
      <c r="AX1276" s="57" t="n">
        <f aca="false">ROUNDUP(MAX(I1276/IF(BV1276&gt;0,BV1276,MAX(0.1,N(Cockpit!$O$6))),BY1276)/BQ1276,0)*BQ1276</f>
        <v>10</v>
      </c>
      <c r="AY1276" s="58" t="n">
        <f aca="false">IF(AV1276&gt;0,I1276/AV1276,-1)</f>
        <v>264</v>
      </c>
      <c r="AZ1276" s="58" t="n">
        <f aca="false">IF(AND(OR(BU1276="L1",BU1276="L23"),AV1276&gt;0),SUMIFS($AV$7:$AV$1576,$BU$7:$BU$1576,BU1276,$AY$7:$AY$1576,"&gt;"&amp;AY1276)+SUMIFS($AV$7:$AV$1576,$BU$7:$BU$1576,BU1276,$AY$7:$AY$1576,AY1276,$BO$7:$BO$1576,"&lt;="&amp;BO1276),"")</f>
        <v>41.7041988570361</v>
      </c>
      <c r="BA1276" s="65" t="n">
        <f aca="false">IF(AZ1276="",0,MAX(0,MIN(1,(IF(BU1276="L1",Parameter!$E$5,Parameter!$E$6+Parameter!$E$7)-(AZ1276-AV1276))/AV1276)))</f>
        <v>1</v>
      </c>
      <c r="BB1276" s="55" t="str">
        <f aca="false">IF(AF1276&lt;=0,"",IF(BU1276="Aussen","Aussenlager",IF(BU1276="-","Nicht im Lift",IF(AK1276&gt;=1,"Lift",IF(AK1276&lt;=0,"Aussenlager","teilweise")))))</f>
        <v/>
      </c>
      <c r="BC1276" s="55" t="str">
        <f aca="false">IF(AN1276&lt;=0,"",IF(BU1276="Aussen","Aussenlager",IF(BU1276="-","Nicht im Lift",IF(AS1276&gt;=1,"Lift",IF(AS1276&lt;=0,"Aussenlager","teilweise")))))</f>
        <v>Lift</v>
      </c>
      <c r="BD1276" s="55" t="str">
        <f aca="false">IF(AV1276&lt;=0,"",IF(BU1276="Aussen","Aussenlager",IF(BU1276="-","Nicht im Lift",IF(BA1276&gt;=1,"Lift",IF(BA1276&lt;=0,"Aussenlager","teilweise")))))</f>
        <v>Lift</v>
      </c>
      <c r="BE1276" s="55" t="str">
        <f aca="false">IF(A1276="","",IF(BN1276=1,"Neu; ","")&amp;IF(AND(BN1276=0,BI1276&lt;0),"negativer Bestand (Export "&amp;BI1276&amp;"); ","")&amp;IF(I1276&lt;=0,"Kein Verbrauch; ","")&amp;IF(CD1276&gt;0,"Lift "&amp;U1276&amp;" lt. Liftbericht (Fach "&amp;V1276&amp;" Stk); ",IF(BR1276=1,"Lose – Fläche geschätzt; ",""))&amp;IF(G1276&gt;AP1276,"Überbestand "&amp;ROUND(G1276-AP1276,0)&amp;" Stk / CHF "&amp;ROUND((G1276-AP1276)*F1276,0)&amp;"; ","")&amp;IF(AND(BW1276=1,BX1276&lt;BY1276),"MAX &lt; MB+LG; ","")&amp;IF(AND(CC1276&gt;0,CB1276*10&gt;CC1276),"zu hoch für Tablar; ","")&amp;IF(AND(BN1276=0,OR(BW1276=1,Y1276&lt;&gt;"",S1276&lt;&gt;"",T1276&lt;&gt;"",Z1276&lt;&gt;"")),"manuell übersteuert; ","")&amp;IF(AND(BR1276=0,Q1276=0),"Gebinde unbekannt / Stellmass fehlt; ","")&amp;IF(AND(BR1276=0,N(T1276)&lt;=0,N(P1276)&lt;=0),"Menge pro Gebinde fehlt (Ist = 1 Gebinde); ","")&amp;BM1276)</f>
        <v>negativer Bestand (Export -3); Neuer Art.</v>
      </c>
      <c r="BF1276" s="55"/>
      <c r="BG1276" s="55"/>
      <c r="BH1276" s="62"/>
      <c r="BI1276" s="57" t="n">
        <v>-3</v>
      </c>
      <c r="BJ1276" s="57" t="n">
        <v>12</v>
      </c>
      <c r="BK1276" s="56" t="n">
        <v>-988.17</v>
      </c>
      <c r="BL1276" s="57" t="n">
        <v>2</v>
      </c>
      <c r="BM1276" s="55" t="s">
        <v>501</v>
      </c>
      <c r="BN1276" s="60" t="n">
        <v>0</v>
      </c>
      <c r="BO1276" s="60" t="n">
        <v>1276</v>
      </c>
      <c r="BP1276" s="55" t="str">
        <f aca="false">IF(S1276&lt;&gt;"",UPPER(TRIM(S1276)),IF(O1276="","LOSE",O1276))</f>
        <v>S32</v>
      </c>
      <c r="BQ1276" s="57" t="n">
        <f aca="false">IF(BP1276="LOSE",1,IF(N(T1276)&gt;0,T1276,IF(N(P1276)&gt;0,P1276,MAX(1,G1276))))</f>
        <v>10</v>
      </c>
      <c r="BR1276" s="60" t="n">
        <f aca="false">IF(BP1276="LOSE",1,0)</f>
        <v>0</v>
      </c>
      <c r="BS1276" s="59" t="n">
        <f aca="false">IF(BR1276=0,0,IF(N(R1276)&gt;0,R1276,IFERROR(VLOOKUP(D1276,Parameter!$A$35:$C$64,3,0)+0,0)))</f>
        <v>0</v>
      </c>
      <c r="BT1276" s="55" t="n">
        <f aca="false">IF(Y1276&lt;&gt;"",Y1276,X1276)</f>
        <v>3</v>
      </c>
      <c r="BU1276" s="55" t="str">
        <f aca="false">IF(BT1276=1,"L1",IF(OR(BT1276=2,BT1276=3),"L23",IF(BT1276="Aussen","Aussen","-")))</f>
        <v>L23</v>
      </c>
      <c r="BV1276" s="66" t="n">
        <f aca="false">IF(N(Z1276)&gt;0,Z1276,0)</f>
        <v>0</v>
      </c>
      <c r="BW1276" s="60" t="n">
        <f aca="false">IF(ISNUMBER(AC1276),1,0)</f>
        <v>0</v>
      </c>
      <c r="BX1276" s="57" t="n">
        <f aca="false">N(AC1276)</f>
        <v>0</v>
      </c>
      <c r="BY1276" s="57" t="n">
        <f aca="false">N(L1276)+N(M1276)</f>
        <v>1</v>
      </c>
      <c r="BZ1276" s="57" t="n">
        <f aca="false">ROUNDUP(G1276/BQ1276,0)</f>
        <v>0</v>
      </c>
      <c r="CA1276" s="57" t="n">
        <f aca="false">ROUNDUP(BX1276/BQ1276,0)</f>
        <v>0</v>
      </c>
      <c r="CB1276" s="60" t="n">
        <f aca="false">IF(BR1276=1,0,IFERROR(VLOOKUP(BP1276,'Gebinde-Kategorie'!$A$5:$M$45,5,0)+0,0))</f>
        <v>8</v>
      </c>
      <c r="CC1276" s="60" t="n">
        <f aca="false">IFERROR(IF(OR(BT1276=1,BT1276=2,BT1276=3),N(INDEX(Parameter!$I$5:$I$7,BT1276)),0),0)</f>
        <v>0</v>
      </c>
      <c r="CD1276" s="59" t="n">
        <f aca="false">IF(AND(Parameter!$B$21="Ja",ISNUMBER(U1276),N(V1276)&gt;0),IFERROR(N(INDEX(Parameter!$L$5:$L$7,U1276))*INDEX(Parameter!$E$5:$E$7,U1276)*V1276/SUMIFS($V$7:$V$1576,$U$7:$U$1576,U1276),0),0)</f>
        <v>0</v>
      </c>
    </row>
    <row r="1277" customFormat="false" ht="15" hidden="false" customHeight="false" outlineLevel="0" collapsed="false">
      <c r="A1277" s="55" t="s">
        <v>2268</v>
      </c>
      <c r="B1277" s="55" t="s">
        <v>2269</v>
      </c>
      <c r="C1277" s="55" t="s">
        <v>160</v>
      </c>
      <c r="D1277" s="55" t="s">
        <v>168</v>
      </c>
      <c r="E1277" s="55" t="s">
        <v>210</v>
      </c>
      <c r="F1277" s="56" t="n">
        <v>498</v>
      </c>
      <c r="G1277" s="57" t="n">
        <f aca="false">MAX(0,IF(AND(Parameter!$B$21="Ja",ISNUMBER(W1277)),W1277,IF(Parameter!$B$20="Jahresanfang 2025 + Export",BJ1277+BI1277,BI1277)))</f>
        <v>0</v>
      </c>
      <c r="H1277" s="57" t="n">
        <f aca="false">G1277*F1277</f>
        <v>0</v>
      </c>
      <c r="I1277" s="57" t="n">
        <f aca="false">BL1277*Parameter!$B$18</f>
        <v>2</v>
      </c>
      <c r="J1277" s="58" t="n">
        <v>1</v>
      </c>
      <c r="K1277" s="59" t="n">
        <v>2</v>
      </c>
      <c r="L1277" s="57" t="n">
        <v>0</v>
      </c>
      <c r="M1277" s="57" t="n">
        <v>1</v>
      </c>
      <c r="N1277" s="60" t="n">
        <v>42</v>
      </c>
      <c r="O1277" s="55" t="s">
        <v>163</v>
      </c>
      <c r="P1277" s="57"/>
      <c r="Q1277" s="60" t="n">
        <f aca="false">IF(BR1277=1,0,IFERROR(VLOOKUP(BP1277,'Gebinde-Kategorie'!$A$5:$M$45,13,0)+0,0))</f>
        <v>0</v>
      </c>
      <c r="R1277" s="61"/>
      <c r="S1277" s="62"/>
      <c r="T1277" s="62"/>
      <c r="U1277" s="55"/>
      <c r="V1277" s="57"/>
      <c r="W1277" s="57"/>
      <c r="X1277" s="55" t="n">
        <f aca="false">IF(A1277="","",IF(AND(Parameter!$B$21="Ja",ISNUMBER(U1277)),U1277,IF(IFERROR(VLOOKUP(D1277,Parameter!$A$35:$C$64,2,0),"Nein")="2+3",IF(ISNUMBER(SEARCH("grosser Artikel",BM1277)),2,IFERROR(VLOOKUP(BP1277,Parameter!$F$35:$G$64,2,0),2)),IF(OR(IFERROR(VLOOKUP(D1277,Parameter!$A$35:$C$64,2,0),"Nein")="Nein",IFERROR(VLOOKUP(D1277,Parameter!$A$35:$C$64,2,0),"Nein")=""),"-",VLOOKUP(D1277,Parameter!$A$35:$C$64,2,0)))))</f>
        <v>2</v>
      </c>
      <c r="Y1277" s="62"/>
      <c r="Z1277" s="63"/>
      <c r="AA1277" s="57" t="n">
        <f aca="false">AP1277</f>
        <v>1</v>
      </c>
      <c r="AB1277" s="57" t="n">
        <f aca="false">MAX(AP1277,G1277)</f>
        <v>1</v>
      </c>
      <c r="AC1277" s="64"/>
      <c r="AD1277" s="57" t="n">
        <f aca="false">IF(LEFT(Cockpit!$C$5,1)="A",G1277,IF(BW1277=1,BX1277,IF(LEFT(Cockpit!$C$5,1)="B",AH1277,MAX(AH1277,G1277))))</f>
        <v>0</v>
      </c>
      <c r="AE1277" s="57" t="n">
        <f aca="false">IF(BR1277=1,0,ROUNDUP(AD1277/BQ1277,0))</f>
        <v>0</v>
      </c>
      <c r="AF1277" s="59" t="n">
        <f aca="false">IF(CD1277&gt;0,CD1277*MAX(1,AD1277/V1277),IF(BR1277=1,IF(AD1277&lt;=0,0,BS1277*MAX(1,IF(G1277&gt;0,AD1277/G1277,1))),IF(Q1277&gt;0,AE1277/Q1277,0))/MAX(0.1,N(Parameter!$M$21)))</f>
        <v>0</v>
      </c>
      <c r="AG1277" s="57" t="n">
        <f aca="false">AD1277*F1277</f>
        <v>0</v>
      </c>
      <c r="AH1277" s="57" t="n">
        <f aca="false">ROUNDUP(MAX(I1277/IF(BV1277&gt;0,BV1277,MAX(0.1,N(Cockpit!$C$6))),BY1277)/BQ1277,0)*BQ1277</f>
        <v>1</v>
      </c>
      <c r="AI1277" s="58" t="n">
        <f aca="false">IF(AF1277&gt;0,I1277/AF1277,-1)</f>
        <v>-1</v>
      </c>
      <c r="AJ1277" s="58" t="str">
        <f aca="false">IF(AND(OR(BU1277="L1",BU1277="L23"),AF1277&gt;0),SUMIFS($AF$7:$AF$1576,$BU$7:$BU$1576,BU1277,$AI$7:$AI$1576,"&gt;"&amp;AI1277)+SUMIFS($AF$7:$AF$1576,$BU$7:$BU$1576,BU1277,$AI$7:$AI$1576,AI1277,$BO$7:$BO$1576,"&lt;="&amp;BO1277),"")</f>
        <v/>
      </c>
      <c r="AK1277" s="65" t="n">
        <f aca="false">IF(AJ1277="",0,MAX(0,MIN(1,(IF(BU1277="L1",Parameter!$E$5,Parameter!$E$6+Parameter!$E$7)-(AJ1277-AF1277))/AF1277)))</f>
        <v>0</v>
      </c>
      <c r="AL1277" s="57" t="n">
        <f aca="false">IF(LEFT(Cockpit!$I$5,1)="A",G1277,IF(BW1277=1,BX1277,IF(LEFT(Cockpit!$I$5,1)="B",AP1277,MAX(AP1277,G1277))))</f>
        <v>1</v>
      </c>
      <c r="AM1277" s="57" t="n">
        <f aca="false">IF(BR1277=1,0,ROUNDUP(AL1277/BQ1277,0))</f>
        <v>0</v>
      </c>
      <c r="AN1277" s="59" t="n">
        <f aca="false">IF(CD1277&gt;0,CD1277*MAX(1,AL1277/V1277),IF(BR1277=1,IF(AL1277&lt;=0,0,BS1277*MAX(1,IF(G1277&gt;0,AL1277/G1277,1))),IF(Q1277&gt;0,AM1277/Q1277,0))/MAX(0.1,N(Parameter!$M$21)))</f>
        <v>0.15</v>
      </c>
      <c r="AO1277" s="57" t="n">
        <f aca="false">AL1277*F1277</f>
        <v>498</v>
      </c>
      <c r="AP1277" s="57" t="n">
        <f aca="false">ROUNDUP(MAX(I1277/IF(BV1277&gt;0,BV1277,MAX(0.1,N(Cockpit!$I$6))),BY1277)/BQ1277,0)*BQ1277</f>
        <v>1</v>
      </c>
      <c r="AQ1277" s="58" t="n">
        <f aca="false">IF(AN1277&gt;0,I1277/AN1277,-1)</f>
        <v>13.3333333333333</v>
      </c>
      <c r="AR1277" s="58" t="n">
        <f aca="false">IF(AND(OR(BU1277="L1",BU1277="L23"),AN1277&gt;0),SUMIFS($AN$7:$AN$1576,$BU$7:$BU$1576,BU1277,$AQ$7:$AQ$1576,"&gt;"&amp;AQ1277)+SUMIFS($AN$7:$AN$1576,$BU$7:$BU$1576,BU1277,$AQ$7:$AQ$1576,AQ1277,$BO$7:$BO$1576,"&lt;="&amp;BO1277),"")</f>
        <v>106.618075614337</v>
      </c>
      <c r="AS1277" s="65" t="n">
        <f aca="false">IF(AR1277="",0,MAX(0,MIN(1,(IF(BU1277="L1",Parameter!$E$5,Parameter!$E$6+Parameter!$E$7)-(AR1277-AN1277))/AN1277)))</f>
        <v>0</v>
      </c>
      <c r="AT1277" s="57" t="n">
        <f aca="false">IF(LEFT(Cockpit!$O$5,1)="A",G1277,IF(BW1277=1,BX1277,IF(LEFT(Cockpit!$O$5,1)="B",AX1277,MAX(AX1277,G1277))))</f>
        <v>1</v>
      </c>
      <c r="AU1277" s="57" t="n">
        <f aca="false">IF(BR1277=1,0,ROUNDUP(AT1277/BQ1277,0))</f>
        <v>0</v>
      </c>
      <c r="AV1277" s="59" t="n">
        <f aca="false">IF(CD1277&gt;0,CD1277*MAX(1,AT1277/V1277),IF(BR1277=1,IF(AT1277&lt;=0,0,BS1277*MAX(1,IF(G1277&gt;0,AT1277/G1277,1))),IF(Q1277&gt;0,AU1277/Q1277,0))/MAX(0.1,N(Parameter!$M$21)))</f>
        <v>0.15</v>
      </c>
      <c r="AW1277" s="57" t="n">
        <f aca="false">AT1277*F1277</f>
        <v>498</v>
      </c>
      <c r="AX1277" s="57" t="n">
        <f aca="false">ROUNDUP(MAX(I1277/IF(BV1277&gt;0,BV1277,MAX(0.1,N(Cockpit!$O$6))),BY1277)/BQ1277,0)*BQ1277</f>
        <v>1</v>
      </c>
      <c r="AY1277" s="58" t="n">
        <f aca="false">IF(AV1277&gt;0,I1277/AV1277,-1)</f>
        <v>13.3333333333333</v>
      </c>
      <c r="AZ1277" s="58" t="n">
        <f aca="false">IF(AND(OR(BU1277="L1",BU1277="L23"),AV1277&gt;0),SUMIFS($AV$7:$AV$1576,$BU$7:$BU$1576,BU1277,$AY$7:$AY$1576,"&gt;"&amp;AY1277)+SUMIFS($AV$7:$AV$1576,$BU$7:$BU$1576,BU1277,$AY$7:$AY$1576,AY1277,$BO$7:$BO$1576,"&lt;="&amp;BO1277),"")</f>
        <v>96.6776260638872</v>
      </c>
      <c r="BA1277" s="65" t="n">
        <f aca="false">IF(AZ1277="",0,MAX(0,MIN(1,(IF(BU1277="L1",Parameter!$E$5,Parameter!$E$6+Parameter!$E$7)-(AZ1277-AV1277))/AV1277)))</f>
        <v>1</v>
      </c>
      <c r="BB1277" s="55" t="str">
        <f aca="false">IF(AF1277&lt;=0,"",IF(BU1277="Aussen","Aussenlager",IF(BU1277="-","Nicht im Lift",IF(AK1277&gt;=1,"Lift",IF(AK1277&lt;=0,"Aussenlager","teilweise")))))</f>
        <v/>
      </c>
      <c r="BC1277" s="55" t="str">
        <f aca="false">IF(AN1277&lt;=0,"",IF(BU1277="Aussen","Aussenlager",IF(BU1277="-","Nicht im Lift",IF(AS1277&gt;=1,"Lift",IF(AS1277&lt;=0,"Aussenlager","teilweise")))))</f>
        <v>Aussenlager</v>
      </c>
      <c r="BD1277" s="55" t="str">
        <f aca="false">IF(AV1277&lt;=0,"",IF(BU1277="Aussen","Aussenlager",IF(BU1277="-","Nicht im Lift",IF(BA1277&gt;=1,"Lift",IF(BA1277&lt;=0,"Aussenlager","teilweise")))))</f>
        <v>Lift</v>
      </c>
      <c r="BE1277" s="55" t="str">
        <f aca="false">IF(A1277="","",IF(BN1277=1,"Neu; ","")&amp;IF(AND(BN1277=0,BI1277&lt;0),"negativer Bestand (Export "&amp;BI1277&amp;"); ","")&amp;IF(I1277&lt;=0,"Kein Verbrauch; ","")&amp;IF(CD1277&gt;0,"Lift "&amp;U1277&amp;" lt. Liftbericht (Fach "&amp;V1277&amp;" Stk); ",IF(BR1277=1,"Lose – Fläche geschätzt; ",""))&amp;IF(G1277&gt;AP1277,"Überbestand "&amp;ROUND(G1277-AP1277,0)&amp;" Stk / CHF "&amp;ROUND((G1277-AP1277)*F1277,0)&amp;"; ","")&amp;IF(AND(BW1277=1,BX1277&lt;BY1277),"MAX &lt; MB+LG; ","")&amp;IF(AND(CC1277&gt;0,CB1277*10&gt;CC1277),"zu hoch für Tablar; ","")&amp;IF(AND(BN1277=0,OR(BW1277=1,Y1277&lt;&gt;"",S1277&lt;&gt;"",T1277&lt;&gt;"",Z1277&lt;&gt;"")),"manuell übersteuert; ","")&amp;IF(AND(BR1277=0,Q1277=0),"Gebinde unbekannt / Stellmass fehlt; ","")&amp;IF(AND(BR1277=0,N(T1277)&lt;=0,N(P1277)&lt;=0),"Menge pro Gebinde fehlt (Ist = 1 Gebinde); ","")&amp;BM1277)</f>
        <v>negativer Bestand (Export -2); Lose – Fläche geschätzt; </v>
      </c>
      <c r="BF1277" s="55"/>
      <c r="BG1277" s="55"/>
      <c r="BH1277" s="62"/>
      <c r="BI1277" s="57" t="n">
        <v>-2</v>
      </c>
      <c r="BJ1277" s="57" t="n">
        <v>2</v>
      </c>
      <c r="BK1277" s="56" t="n">
        <v>-996</v>
      </c>
      <c r="BL1277" s="57" t="n">
        <v>2</v>
      </c>
      <c r="BM1277" s="55"/>
      <c r="BN1277" s="60" t="n">
        <v>0</v>
      </c>
      <c r="BO1277" s="60" t="n">
        <v>1277</v>
      </c>
      <c r="BP1277" s="55" t="str">
        <f aca="false">IF(S1277&lt;&gt;"",UPPER(TRIM(S1277)),IF(O1277="","LOSE",O1277))</f>
        <v>LOSE</v>
      </c>
      <c r="BQ1277" s="57" t="n">
        <f aca="false">IF(BP1277="LOSE",1,IF(N(T1277)&gt;0,T1277,IF(N(P1277)&gt;0,P1277,MAX(1,G1277))))</f>
        <v>1</v>
      </c>
      <c r="BR1277" s="60" t="n">
        <f aca="false">IF(BP1277="LOSE",1,0)</f>
        <v>1</v>
      </c>
      <c r="BS1277" s="59" t="n">
        <f aca="false">IF(BR1277=0,0,IF(N(R1277)&gt;0,R1277,IFERROR(VLOOKUP(D1277,Parameter!$A$35:$C$64,3,0)+0,0)))</f>
        <v>0.15</v>
      </c>
      <c r="BT1277" s="55" t="n">
        <f aca="false">IF(Y1277&lt;&gt;"",Y1277,X1277)</f>
        <v>2</v>
      </c>
      <c r="BU1277" s="55" t="str">
        <f aca="false">IF(BT1277=1,"L1",IF(OR(BT1277=2,BT1277=3),"L23",IF(BT1277="Aussen","Aussen","-")))</f>
        <v>L23</v>
      </c>
      <c r="BV1277" s="66" t="n">
        <f aca="false">IF(N(Z1277)&gt;0,Z1277,0)</f>
        <v>0</v>
      </c>
      <c r="BW1277" s="60" t="n">
        <f aca="false">IF(ISNUMBER(AC1277),1,0)</f>
        <v>0</v>
      </c>
      <c r="BX1277" s="57" t="n">
        <f aca="false">N(AC1277)</f>
        <v>0</v>
      </c>
      <c r="BY1277" s="57" t="n">
        <f aca="false">N(L1277)+N(M1277)</f>
        <v>1</v>
      </c>
      <c r="BZ1277" s="57" t="n">
        <f aca="false">ROUNDUP(G1277/BQ1277,0)</f>
        <v>0</v>
      </c>
      <c r="CA1277" s="57" t="n">
        <f aca="false">ROUNDUP(BX1277/BQ1277,0)</f>
        <v>0</v>
      </c>
      <c r="CB1277" s="60" t="n">
        <f aca="false">IF(BR1277=1,0,IFERROR(VLOOKUP(BP1277,'Gebinde-Kategorie'!$A$5:$M$45,5,0)+0,0))</f>
        <v>0</v>
      </c>
      <c r="CC1277" s="60" t="n">
        <f aca="false">IFERROR(IF(OR(BT1277=1,BT1277=2,BT1277=3),N(INDEX(Parameter!$I$5:$I$7,BT1277)),0),0)</f>
        <v>0</v>
      </c>
      <c r="CD1277" s="59" t="n">
        <f aca="false">IF(AND(Parameter!$B$21="Ja",ISNUMBER(U1277),N(V1277)&gt;0),IFERROR(N(INDEX(Parameter!$L$5:$L$7,U1277))*INDEX(Parameter!$E$5:$E$7,U1277)*V1277/SUMIFS($V$7:$V$1576,$U$7:$U$1576,U1277),0),0)</f>
        <v>0</v>
      </c>
    </row>
    <row r="1278" customFormat="false" ht="15" hidden="false" customHeight="false" outlineLevel="0" collapsed="false">
      <c r="A1278" s="55" t="s">
        <v>2270</v>
      </c>
      <c r="B1278" s="55" t="s">
        <v>1946</v>
      </c>
      <c r="C1278" s="55" t="s">
        <v>160</v>
      </c>
      <c r="D1278" s="55" t="s">
        <v>168</v>
      </c>
      <c r="E1278" s="55" t="s">
        <v>210</v>
      </c>
      <c r="F1278" s="56" t="n">
        <v>168</v>
      </c>
      <c r="G1278" s="57" t="n">
        <f aca="false">MAX(0,IF(AND(Parameter!$B$21="Ja",ISNUMBER(W1278)),W1278,IF(Parameter!$B$20="Jahresanfang 2025 + Export",BJ1278+BI1278,BI1278)))</f>
        <v>0</v>
      </c>
      <c r="H1278" s="57" t="n">
        <f aca="false">G1278*F1278</f>
        <v>0</v>
      </c>
      <c r="I1278" s="57" t="n">
        <f aca="false">BL1278*Parameter!$B$18</f>
        <v>2</v>
      </c>
      <c r="J1278" s="58" t="n">
        <v>22.5</v>
      </c>
      <c r="K1278" s="59" t="n">
        <v>0.0888888888888889</v>
      </c>
      <c r="L1278" s="57" t="n">
        <v>0</v>
      </c>
      <c r="M1278" s="57" t="n">
        <v>1</v>
      </c>
      <c r="N1278" s="60" t="n">
        <v>84</v>
      </c>
      <c r="O1278" s="55" t="s">
        <v>169</v>
      </c>
      <c r="P1278" s="57" t="n">
        <v>12</v>
      </c>
      <c r="Q1278" s="60" t="n">
        <f aca="false">IF(BR1278=1,0,IFERROR(VLOOKUP(BP1278,'Gebinde-Kategorie'!$A$5:$M$45,13,0)+0,0))</f>
        <v>6</v>
      </c>
      <c r="R1278" s="61"/>
      <c r="S1278" s="62"/>
      <c r="T1278" s="62"/>
      <c r="U1278" s="55"/>
      <c r="V1278" s="57"/>
      <c r="W1278" s="57"/>
      <c r="X1278" s="55" t="n">
        <f aca="false">IF(A1278="","",IF(AND(Parameter!$B$21="Ja",ISNUMBER(U1278)),U1278,IF(IFERROR(VLOOKUP(D1278,Parameter!$A$35:$C$64,2,0),"Nein")="2+3",IF(ISNUMBER(SEARCH("grosser Artikel",BM1278)),2,IFERROR(VLOOKUP(BP1278,Parameter!$F$35:$G$64,2,0),2)),IF(OR(IFERROR(VLOOKUP(D1278,Parameter!$A$35:$C$64,2,0),"Nein")="Nein",IFERROR(VLOOKUP(D1278,Parameter!$A$35:$C$64,2,0),"Nein")=""),"-",VLOOKUP(D1278,Parameter!$A$35:$C$64,2,0)))))</f>
        <v>2</v>
      </c>
      <c r="Y1278" s="62"/>
      <c r="Z1278" s="63"/>
      <c r="AA1278" s="57" t="n">
        <f aca="false">AP1278</f>
        <v>12</v>
      </c>
      <c r="AB1278" s="57" t="n">
        <f aca="false">MAX(AP1278,G1278)</f>
        <v>12</v>
      </c>
      <c r="AC1278" s="64"/>
      <c r="AD1278" s="57" t="n">
        <f aca="false">IF(LEFT(Cockpit!$C$5,1)="A",G1278,IF(BW1278=1,BX1278,IF(LEFT(Cockpit!$C$5,1)="B",AH1278,MAX(AH1278,G1278))))</f>
        <v>0</v>
      </c>
      <c r="AE1278" s="57" t="n">
        <f aca="false">IF(BR1278=1,0,ROUNDUP(AD1278/BQ1278,0))</f>
        <v>0</v>
      </c>
      <c r="AF1278" s="59" t="n">
        <f aca="false">IF(CD1278&gt;0,CD1278*MAX(1,AD1278/V1278),IF(BR1278=1,IF(AD1278&lt;=0,0,BS1278*MAX(1,IF(G1278&gt;0,AD1278/G1278,1))),IF(Q1278&gt;0,AE1278/Q1278,0))/MAX(0.1,N(Parameter!$M$21)))</f>
        <v>0</v>
      </c>
      <c r="AG1278" s="57" t="n">
        <f aca="false">AD1278*F1278</f>
        <v>0</v>
      </c>
      <c r="AH1278" s="57" t="n">
        <f aca="false">ROUNDUP(MAX(I1278/IF(BV1278&gt;0,BV1278,MAX(0.1,N(Cockpit!$C$6))),BY1278)/BQ1278,0)*BQ1278</f>
        <v>12</v>
      </c>
      <c r="AI1278" s="58" t="n">
        <f aca="false">IF(AF1278&gt;0,I1278/AF1278,-1)</f>
        <v>-1</v>
      </c>
      <c r="AJ1278" s="58" t="str">
        <f aca="false">IF(AND(OR(BU1278="L1",BU1278="L23"),AF1278&gt;0),SUMIFS($AF$7:$AF$1576,$BU$7:$BU$1576,BU1278,$AI$7:$AI$1576,"&gt;"&amp;AI1278)+SUMIFS($AF$7:$AF$1576,$BU$7:$BU$1576,BU1278,$AI$7:$AI$1576,AI1278,$BO$7:$BO$1576,"&lt;="&amp;BO1278),"")</f>
        <v/>
      </c>
      <c r="AK1278" s="65" t="n">
        <f aca="false">IF(AJ1278="",0,MAX(0,MIN(1,(IF(BU1278="L1",Parameter!$E$5,Parameter!$E$6+Parameter!$E$7)-(AJ1278-AF1278))/AF1278)))</f>
        <v>0</v>
      </c>
      <c r="AL1278" s="57" t="n">
        <f aca="false">IF(LEFT(Cockpit!$I$5,1)="A",G1278,IF(BW1278=1,BX1278,IF(LEFT(Cockpit!$I$5,1)="B",AP1278,MAX(AP1278,G1278))))</f>
        <v>12</v>
      </c>
      <c r="AM1278" s="57" t="n">
        <f aca="false">IF(BR1278=1,0,ROUNDUP(AL1278/BQ1278,0))</f>
        <v>1</v>
      </c>
      <c r="AN1278" s="59" t="n">
        <f aca="false">IF(CD1278&gt;0,CD1278*MAX(1,AL1278/V1278),IF(BR1278=1,IF(AL1278&lt;=0,0,BS1278*MAX(1,IF(G1278&gt;0,AL1278/G1278,1))),IF(Q1278&gt;0,AM1278/Q1278,0))/MAX(0.1,N(Parameter!$M$21)))</f>
        <v>0.166666666666667</v>
      </c>
      <c r="AO1278" s="57" t="n">
        <f aca="false">AL1278*F1278</f>
        <v>2016</v>
      </c>
      <c r="AP1278" s="57" t="n">
        <f aca="false">ROUNDUP(MAX(I1278/IF(BV1278&gt;0,BV1278,MAX(0.1,N(Cockpit!$I$6))),BY1278)/BQ1278,0)*BQ1278</f>
        <v>12</v>
      </c>
      <c r="AQ1278" s="58" t="n">
        <f aca="false">IF(AN1278&gt;0,I1278/AN1278,-1)</f>
        <v>12</v>
      </c>
      <c r="AR1278" s="58" t="n">
        <f aca="false">IF(AND(OR(BU1278="L1",BU1278="L23"),AN1278&gt;0),SUMIFS($AN$7:$AN$1576,$BU$7:$BU$1576,BU1278,$AQ$7:$AQ$1576,"&gt;"&amp;AQ1278)+SUMIFS($AN$7:$AN$1576,$BU$7:$BU$1576,BU1278,$AQ$7:$AQ$1576,AQ1278,$BO$7:$BO$1576,"&lt;="&amp;BO1278),"")</f>
        <v>108.020639716901</v>
      </c>
      <c r="AS1278" s="65" t="n">
        <f aca="false">IF(AR1278="",0,MAX(0,MIN(1,(IF(BU1278="L1",Parameter!$E$5,Parameter!$E$6+Parameter!$E$7)-(AR1278-AN1278))/AN1278)))</f>
        <v>0</v>
      </c>
      <c r="AT1278" s="57" t="n">
        <f aca="false">IF(LEFT(Cockpit!$O$5,1)="A",G1278,IF(BW1278=1,BX1278,IF(LEFT(Cockpit!$O$5,1)="B",AX1278,MAX(AX1278,G1278))))</f>
        <v>12</v>
      </c>
      <c r="AU1278" s="57" t="n">
        <f aca="false">IF(BR1278=1,0,ROUNDUP(AT1278/BQ1278,0))</f>
        <v>1</v>
      </c>
      <c r="AV1278" s="59" t="n">
        <f aca="false">IF(CD1278&gt;0,CD1278*MAX(1,AT1278/V1278),IF(BR1278=1,IF(AT1278&lt;=0,0,BS1278*MAX(1,IF(G1278&gt;0,AT1278/G1278,1))),IF(Q1278&gt;0,AU1278/Q1278,0))/MAX(0.1,N(Parameter!$M$21)))</f>
        <v>0.166666666666667</v>
      </c>
      <c r="AW1278" s="57" t="n">
        <f aca="false">AT1278*F1278</f>
        <v>2016</v>
      </c>
      <c r="AX1278" s="57" t="n">
        <f aca="false">ROUNDUP(MAX(I1278/IF(BV1278&gt;0,BV1278,MAX(0.1,N(Cockpit!$O$6))),BY1278)/BQ1278,0)*BQ1278</f>
        <v>12</v>
      </c>
      <c r="AY1278" s="58" t="n">
        <f aca="false">IF(AV1278&gt;0,I1278/AV1278,-1)</f>
        <v>12</v>
      </c>
      <c r="AZ1278" s="58" t="n">
        <f aca="false">IF(AND(OR(BU1278="L1",BU1278="L23"),AV1278&gt;0),SUMIFS($AV$7:$AV$1576,$BU$7:$BU$1576,BU1278,$AY$7:$AY$1576,"&gt;"&amp;AY1278)+SUMIFS($AV$7:$AV$1576,$BU$7:$BU$1576,BU1278,$AY$7:$AY$1576,AY1278,$BO$7:$BO$1576,"&lt;="&amp;BO1278),"")</f>
        <v>98.0801901664513</v>
      </c>
      <c r="BA1278" s="65" t="n">
        <f aca="false">IF(AZ1278="",0,MAX(0,MIN(1,(IF(BU1278="L1",Parameter!$E$5,Parameter!$E$6+Parameter!$E$7)-(AZ1278-AV1278))/AV1278)))</f>
        <v>1</v>
      </c>
      <c r="BB1278" s="55" t="str">
        <f aca="false">IF(AF1278&lt;=0,"",IF(BU1278="Aussen","Aussenlager",IF(BU1278="-","Nicht im Lift",IF(AK1278&gt;=1,"Lift",IF(AK1278&lt;=0,"Aussenlager","teilweise")))))</f>
        <v/>
      </c>
      <c r="BC1278" s="55" t="str">
        <f aca="false">IF(AN1278&lt;=0,"",IF(BU1278="Aussen","Aussenlager",IF(BU1278="-","Nicht im Lift",IF(AS1278&gt;=1,"Lift",IF(AS1278&lt;=0,"Aussenlager","teilweise")))))</f>
        <v>Aussenlager</v>
      </c>
      <c r="BD1278" s="55" t="str">
        <f aca="false">IF(AV1278&lt;=0,"",IF(BU1278="Aussen","Aussenlager",IF(BU1278="-","Nicht im Lift",IF(BA1278&gt;=1,"Lift",IF(BA1278&lt;=0,"Aussenlager","teilweise")))))</f>
        <v>Lift</v>
      </c>
      <c r="BE1278" s="55" t="str">
        <f aca="false">IF(A1278="","",IF(BN1278=1,"Neu; ","")&amp;IF(AND(BN1278=0,BI1278&lt;0),"negativer Bestand (Export "&amp;BI1278&amp;"); ","")&amp;IF(I1278&lt;=0,"Kein Verbrauch; ","")&amp;IF(CD1278&gt;0,"Lift "&amp;U1278&amp;" lt. Liftbericht (Fach "&amp;V1278&amp;" Stk); ",IF(BR1278=1,"Lose – Fläche geschätzt; ",""))&amp;IF(G1278&gt;AP1278,"Überbestand "&amp;ROUND(G1278-AP1278,0)&amp;" Stk / CHF "&amp;ROUND((G1278-AP1278)*F1278,0)&amp;"; ","")&amp;IF(AND(BW1278=1,BX1278&lt;BY1278),"MAX &lt; MB+LG; ","")&amp;IF(AND(CC1278&gt;0,CB1278*10&gt;CC1278),"zu hoch für Tablar; ","")&amp;IF(AND(BN1278=0,OR(BW1278=1,Y1278&lt;&gt;"",S1278&lt;&gt;"",T1278&lt;&gt;"",Z1278&lt;&gt;"")),"manuell übersteuert; ","")&amp;IF(AND(BR1278=0,Q1278=0),"Gebinde unbekannt / Stellmass fehlt; ","")&amp;IF(AND(BR1278=0,N(T1278)&lt;=0,N(P1278)&lt;=0),"Menge pro Gebinde fehlt (Ist = 1 Gebinde); ","")&amp;BM1278)</f>
        <v>negativer Bestand (Export -6); Überbestand; grosser Artikel &amp; nicht im KTL</v>
      </c>
      <c r="BF1278" s="55"/>
      <c r="BG1278" s="55"/>
      <c r="BH1278" s="62"/>
      <c r="BI1278" s="57" t="n">
        <v>-6</v>
      </c>
      <c r="BJ1278" s="57" t="n">
        <v>24</v>
      </c>
      <c r="BK1278" s="56" t="n">
        <v>-1008</v>
      </c>
      <c r="BL1278" s="57" t="n">
        <v>2</v>
      </c>
      <c r="BM1278" s="55" t="s">
        <v>350</v>
      </c>
      <c r="BN1278" s="60" t="n">
        <v>0</v>
      </c>
      <c r="BO1278" s="60" t="n">
        <v>1278</v>
      </c>
      <c r="BP1278" s="55" t="str">
        <f aca="false">IF(S1278&lt;&gt;"",UPPER(TRIM(S1278)),IF(O1278="","LOSE",O1278))</f>
        <v>S71</v>
      </c>
      <c r="BQ1278" s="57" t="n">
        <f aca="false">IF(BP1278="LOSE",1,IF(N(T1278)&gt;0,T1278,IF(N(P1278)&gt;0,P1278,MAX(1,G1278))))</f>
        <v>12</v>
      </c>
      <c r="BR1278" s="60" t="n">
        <f aca="false">IF(BP1278="LOSE",1,0)</f>
        <v>0</v>
      </c>
      <c r="BS1278" s="59" t="n">
        <f aca="false">IF(BR1278=0,0,IF(N(R1278)&gt;0,R1278,IFERROR(VLOOKUP(D1278,Parameter!$A$35:$C$64,3,0)+0,0)))</f>
        <v>0</v>
      </c>
      <c r="BT1278" s="55" t="n">
        <f aca="false">IF(Y1278&lt;&gt;"",Y1278,X1278)</f>
        <v>2</v>
      </c>
      <c r="BU1278" s="55" t="str">
        <f aca="false">IF(BT1278=1,"L1",IF(OR(BT1278=2,BT1278=3),"L23",IF(BT1278="Aussen","Aussen","-")))</f>
        <v>L23</v>
      </c>
      <c r="BV1278" s="66" t="n">
        <f aca="false">IF(N(Z1278)&gt;0,Z1278,0)</f>
        <v>0</v>
      </c>
      <c r="BW1278" s="60" t="n">
        <f aca="false">IF(ISNUMBER(AC1278),1,0)</f>
        <v>0</v>
      </c>
      <c r="BX1278" s="57" t="n">
        <f aca="false">N(AC1278)</f>
        <v>0</v>
      </c>
      <c r="BY1278" s="57" t="n">
        <f aca="false">N(L1278)+N(M1278)</f>
        <v>1</v>
      </c>
      <c r="BZ1278" s="57" t="n">
        <f aca="false">ROUNDUP(G1278/BQ1278,0)</f>
        <v>0</v>
      </c>
      <c r="CA1278" s="57" t="n">
        <f aca="false">ROUNDUP(BX1278/BQ1278,0)</f>
        <v>0</v>
      </c>
      <c r="CB1278" s="60" t="n">
        <f aca="false">IF(BR1278=1,0,IFERROR(VLOOKUP(BP1278,'Gebinde-Kategorie'!$A$5:$M$45,5,0)+0,0))</f>
        <v>20</v>
      </c>
      <c r="CC1278" s="60" t="n">
        <f aca="false">IFERROR(IF(OR(BT1278=1,BT1278=2,BT1278=3),N(INDEX(Parameter!$I$5:$I$7,BT1278)),0),0)</f>
        <v>0</v>
      </c>
      <c r="CD1278" s="59" t="n">
        <f aca="false">IF(AND(Parameter!$B$21="Ja",ISNUMBER(U1278),N(V1278)&gt;0),IFERROR(N(INDEX(Parameter!$L$5:$L$7,U1278))*INDEX(Parameter!$E$5:$E$7,U1278)*V1278/SUMIFS($V$7:$V$1576,$U$7:$U$1576,U1278),0),0)</f>
        <v>0</v>
      </c>
    </row>
    <row r="1279" customFormat="false" ht="15" hidden="false" customHeight="false" outlineLevel="0" collapsed="false">
      <c r="A1279" s="55" t="s">
        <v>2271</v>
      </c>
      <c r="B1279" s="55" t="s">
        <v>732</v>
      </c>
      <c r="C1279" s="55" t="s">
        <v>160</v>
      </c>
      <c r="D1279" s="55" t="s">
        <v>178</v>
      </c>
      <c r="E1279" s="55" t="s">
        <v>210</v>
      </c>
      <c r="F1279" s="56" t="n">
        <v>29.07</v>
      </c>
      <c r="G1279" s="57" t="n">
        <f aca="false">MAX(0,IF(AND(Parameter!$B$21="Ja",ISNUMBER(W1279)),W1279,IF(Parameter!$B$20="Jahresanfang 2025 + Export",BJ1279+BI1279,BI1279)))</f>
        <v>0</v>
      </c>
      <c r="H1279" s="57" t="n">
        <f aca="false">G1279*F1279</f>
        <v>0</v>
      </c>
      <c r="I1279" s="57" t="n">
        <f aca="false">BL1279*Parameter!$B$18</f>
        <v>72</v>
      </c>
      <c r="J1279" s="58" t="n">
        <v>66.5</v>
      </c>
      <c r="K1279" s="59" t="n">
        <v>1.08270676691729</v>
      </c>
      <c r="L1279" s="57" t="n">
        <v>5</v>
      </c>
      <c r="M1279" s="57" t="n">
        <v>70</v>
      </c>
      <c r="N1279" s="60" t="n">
        <v>28</v>
      </c>
      <c r="O1279" s="55" t="s">
        <v>293</v>
      </c>
      <c r="P1279" s="57" t="n">
        <v>12</v>
      </c>
      <c r="Q1279" s="60" t="n">
        <f aca="false">IF(BR1279=1,0,IFERROR(VLOOKUP(BP1279,'Gebinde-Kategorie'!$A$5:$M$45,13,0)+0,0))</f>
        <v>26</v>
      </c>
      <c r="R1279" s="61"/>
      <c r="S1279" s="62"/>
      <c r="T1279" s="62"/>
      <c r="U1279" s="55"/>
      <c r="V1279" s="57"/>
      <c r="W1279" s="57"/>
      <c r="X1279" s="55" t="n">
        <f aca="false">IF(A1279="","",IF(AND(Parameter!$B$21="Ja",ISNUMBER(U1279)),U1279,IF(IFERROR(VLOOKUP(D1279,Parameter!$A$35:$C$64,2,0),"Nein")="2+3",IF(ISNUMBER(SEARCH("grosser Artikel",BM1279)),2,IFERROR(VLOOKUP(BP1279,Parameter!$F$35:$G$64,2,0),2)),IF(OR(IFERROR(VLOOKUP(D1279,Parameter!$A$35:$C$64,2,0),"Nein")="Nein",IFERROR(VLOOKUP(D1279,Parameter!$A$35:$C$64,2,0),"Nein")=""),"-",VLOOKUP(D1279,Parameter!$A$35:$C$64,2,0)))))</f>
        <v>3</v>
      </c>
      <c r="Y1279" s="62"/>
      <c r="Z1279" s="63"/>
      <c r="AA1279" s="57" t="n">
        <f aca="false">AP1279</f>
        <v>84</v>
      </c>
      <c r="AB1279" s="57" t="n">
        <f aca="false">MAX(AP1279,G1279)</f>
        <v>84</v>
      </c>
      <c r="AC1279" s="64"/>
      <c r="AD1279" s="57" t="n">
        <f aca="false">IF(LEFT(Cockpit!$C$5,1)="A",G1279,IF(BW1279=1,BX1279,IF(LEFT(Cockpit!$C$5,1)="B",AH1279,MAX(AH1279,G1279))))</f>
        <v>0</v>
      </c>
      <c r="AE1279" s="57" t="n">
        <f aca="false">IF(BR1279=1,0,ROUNDUP(AD1279/BQ1279,0))</f>
        <v>0</v>
      </c>
      <c r="AF1279" s="59" t="n">
        <f aca="false">IF(CD1279&gt;0,CD1279*MAX(1,AD1279/V1279),IF(BR1279=1,IF(AD1279&lt;=0,0,BS1279*MAX(1,IF(G1279&gt;0,AD1279/G1279,1))),IF(Q1279&gt;0,AE1279/Q1279,0))/MAX(0.1,N(Parameter!$M$21)))</f>
        <v>0</v>
      </c>
      <c r="AG1279" s="57" t="n">
        <f aca="false">AD1279*F1279</f>
        <v>0</v>
      </c>
      <c r="AH1279" s="57" t="n">
        <f aca="false">ROUNDUP(MAX(I1279/IF(BV1279&gt;0,BV1279,MAX(0.1,N(Cockpit!$C$6))),BY1279)/BQ1279,0)*BQ1279</f>
        <v>84</v>
      </c>
      <c r="AI1279" s="58" t="n">
        <f aca="false">IF(AF1279&gt;0,I1279/AF1279,-1)</f>
        <v>-1</v>
      </c>
      <c r="AJ1279" s="58" t="str">
        <f aca="false">IF(AND(OR(BU1279="L1",BU1279="L23"),AF1279&gt;0),SUMIFS($AF$7:$AF$1576,$BU$7:$BU$1576,BU1279,$AI$7:$AI$1576,"&gt;"&amp;AI1279)+SUMIFS($AF$7:$AF$1576,$BU$7:$BU$1576,BU1279,$AI$7:$AI$1576,AI1279,$BO$7:$BO$1576,"&lt;="&amp;BO1279),"")</f>
        <v/>
      </c>
      <c r="AK1279" s="65" t="n">
        <f aca="false">IF(AJ1279="",0,MAX(0,MIN(1,(IF(BU1279="L1",Parameter!$E$5,Parameter!$E$6+Parameter!$E$7)-(AJ1279-AF1279))/AF1279)))</f>
        <v>0</v>
      </c>
      <c r="AL1279" s="57" t="n">
        <f aca="false">IF(LEFT(Cockpit!$I$5,1)="A",G1279,IF(BW1279=1,BX1279,IF(LEFT(Cockpit!$I$5,1)="B",AP1279,MAX(AP1279,G1279))))</f>
        <v>84</v>
      </c>
      <c r="AM1279" s="57" t="n">
        <f aca="false">IF(BR1279=1,0,ROUNDUP(AL1279/BQ1279,0))</f>
        <v>7</v>
      </c>
      <c r="AN1279" s="59" t="n">
        <f aca="false">IF(CD1279&gt;0,CD1279*MAX(1,AL1279/V1279),IF(BR1279=1,IF(AL1279&lt;=0,0,BS1279*MAX(1,IF(G1279&gt;0,AL1279/G1279,1))),IF(Q1279&gt;0,AM1279/Q1279,0))/MAX(0.1,N(Parameter!$M$21)))</f>
        <v>0.269230769230769</v>
      </c>
      <c r="AO1279" s="57" t="n">
        <f aca="false">AL1279*F1279</f>
        <v>2441.88</v>
      </c>
      <c r="AP1279" s="57" t="n">
        <f aca="false">ROUNDUP(MAX(I1279/IF(BV1279&gt;0,BV1279,MAX(0.1,N(Cockpit!$I$6))),BY1279)/BQ1279,0)*BQ1279</f>
        <v>84</v>
      </c>
      <c r="AQ1279" s="58" t="n">
        <f aca="false">IF(AN1279&gt;0,I1279/AN1279,-1)</f>
        <v>267.428571428571</v>
      </c>
      <c r="AR1279" s="58" t="n">
        <f aca="false">IF(AND(OR(BU1279="L1",BU1279="L23"),AN1279&gt;0),SUMIFS($AN$7:$AN$1576,$BU$7:$BU$1576,BU1279,$AQ$7:$AQ$1576,"&gt;"&amp;AQ1279)+SUMIFS($AN$7:$AN$1576,$BU$7:$BU$1576,BU1279,$AQ$7:$AQ$1576,AQ1279,$BO$7:$BO$1576,"&lt;="&amp;BO1279),"")</f>
        <v>45.0939990568363</v>
      </c>
      <c r="AS1279" s="65" t="n">
        <f aca="false">IF(AR1279="",0,MAX(0,MIN(1,(IF(BU1279="L1",Parameter!$E$5,Parameter!$E$6+Parameter!$E$7)-(AR1279-AN1279))/AN1279)))</f>
        <v>1</v>
      </c>
      <c r="AT1279" s="57" t="n">
        <f aca="false">IF(LEFT(Cockpit!$O$5,1)="A",G1279,IF(BW1279=1,BX1279,IF(LEFT(Cockpit!$O$5,1)="B",AX1279,MAX(AX1279,G1279))))</f>
        <v>84</v>
      </c>
      <c r="AU1279" s="57" t="n">
        <f aca="false">IF(BR1279=1,0,ROUNDUP(AT1279/BQ1279,0))</f>
        <v>7</v>
      </c>
      <c r="AV1279" s="59" t="n">
        <f aca="false">IF(CD1279&gt;0,CD1279*MAX(1,AT1279/V1279),IF(BR1279=1,IF(AT1279&lt;=0,0,BS1279*MAX(1,IF(G1279&gt;0,AT1279/G1279,1))),IF(Q1279&gt;0,AU1279/Q1279,0))/MAX(0.1,N(Parameter!$M$21)))</f>
        <v>0.269230769230769</v>
      </c>
      <c r="AW1279" s="57" t="n">
        <f aca="false">AT1279*F1279</f>
        <v>2441.88</v>
      </c>
      <c r="AX1279" s="57" t="n">
        <f aca="false">ROUNDUP(MAX(I1279/IF(BV1279&gt;0,BV1279,MAX(0.1,N(Cockpit!$O$6))),BY1279)/BQ1279,0)*BQ1279</f>
        <v>84</v>
      </c>
      <c r="AY1279" s="58" t="n">
        <f aca="false">IF(AV1279&gt;0,I1279/AV1279,-1)</f>
        <v>267.428571428571</v>
      </c>
      <c r="AZ1279" s="58" t="n">
        <f aca="false">IF(AND(OR(BU1279="L1",BU1279="L23"),AV1279&gt;0),SUMIFS($AV$7:$AV$1576,$BU$7:$BU$1576,BU1279,$AY$7:$AY$1576,"&gt;"&amp;AY1279)+SUMIFS($AV$7:$AV$1576,$BU$7:$BU$1576,BU1279,$AY$7:$AY$1576,AY1279,$BO$7:$BO$1576,"&lt;="&amp;BO1279),"")</f>
        <v>41.3720776449149</v>
      </c>
      <c r="BA1279" s="65" t="n">
        <f aca="false">IF(AZ1279="",0,MAX(0,MIN(1,(IF(BU1279="L1",Parameter!$E$5,Parameter!$E$6+Parameter!$E$7)-(AZ1279-AV1279))/AV1279)))</f>
        <v>1</v>
      </c>
      <c r="BB1279" s="55" t="str">
        <f aca="false">IF(AF1279&lt;=0,"",IF(BU1279="Aussen","Aussenlager",IF(BU1279="-","Nicht im Lift",IF(AK1279&gt;=1,"Lift",IF(AK1279&lt;=0,"Aussenlager","teilweise")))))</f>
        <v/>
      </c>
      <c r="BC1279" s="55" t="str">
        <f aca="false">IF(AN1279&lt;=0,"",IF(BU1279="Aussen","Aussenlager",IF(BU1279="-","Nicht im Lift",IF(AS1279&gt;=1,"Lift",IF(AS1279&lt;=0,"Aussenlager","teilweise")))))</f>
        <v>Lift</v>
      </c>
      <c r="BD1279" s="55" t="str">
        <f aca="false">IF(AV1279&lt;=0,"",IF(BU1279="Aussen","Aussenlager",IF(BU1279="-","Nicht im Lift",IF(BA1279&gt;=1,"Lift",IF(BA1279&lt;=0,"Aussenlager","teilweise")))))</f>
        <v>Lift</v>
      </c>
      <c r="BE1279" s="55" t="str">
        <f aca="false">IF(A1279="","",IF(BN1279=1,"Neu; ","")&amp;IF(AND(BN1279=0,BI1279&lt;0),"negativer Bestand (Export "&amp;BI1279&amp;"); ","")&amp;IF(I1279&lt;=0,"Kein Verbrauch; ","")&amp;IF(CD1279&gt;0,"Lift "&amp;U1279&amp;" lt. Liftbericht (Fach "&amp;V1279&amp;" Stk); ",IF(BR1279=1,"Lose – Fläche geschätzt; ",""))&amp;IF(G1279&gt;AP1279,"Überbestand "&amp;ROUND(G1279-AP1279,0)&amp;" Stk / CHF "&amp;ROUND((G1279-AP1279)*F1279,0)&amp;"; ","")&amp;IF(AND(BW1279=1,BX1279&lt;BY1279),"MAX &lt; MB+LG; ","")&amp;IF(AND(CC1279&gt;0,CB1279*10&gt;CC1279),"zu hoch für Tablar; ","")&amp;IF(AND(BN1279=0,OR(BW1279=1,Y1279&lt;&gt;"",S1279&lt;&gt;"",T1279&lt;&gt;"",Z1279&lt;&gt;"")),"manuell übersteuert; ","")&amp;IF(AND(BR1279=0,Q1279=0),"Gebinde unbekannt / Stellmass fehlt; ","")&amp;IF(AND(BR1279=0,N(T1279)&lt;=0,N(P1279)&lt;=0),"Menge pro Gebinde fehlt (Ist = 1 Gebinde); ","")&amp;BM1279)</f>
        <v>negativer Bestand (Export -34); </v>
      </c>
      <c r="BF1279" s="55"/>
      <c r="BG1279" s="55"/>
      <c r="BH1279" s="62"/>
      <c r="BI1279" s="57" t="n">
        <v>-34</v>
      </c>
      <c r="BJ1279" s="57" t="n">
        <v>67</v>
      </c>
      <c r="BK1279" s="56" t="n">
        <v>-1008.48</v>
      </c>
      <c r="BL1279" s="57" t="n">
        <v>72</v>
      </c>
      <c r="BM1279" s="55"/>
      <c r="BN1279" s="60" t="n">
        <v>0</v>
      </c>
      <c r="BO1279" s="60" t="n">
        <v>1279</v>
      </c>
      <c r="BP1279" s="55" t="str">
        <f aca="false">IF(S1279&lt;&gt;"",UPPER(TRIM(S1279)),IF(O1279="","LOSE",O1279))</f>
        <v>S51</v>
      </c>
      <c r="BQ1279" s="57" t="n">
        <f aca="false">IF(BP1279="LOSE",1,IF(N(T1279)&gt;0,T1279,IF(N(P1279)&gt;0,P1279,MAX(1,G1279))))</f>
        <v>12</v>
      </c>
      <c r="BR1279" s="60" t="n">
        <f aca="false">IF(BP1279="LOSE",1,0)</f>
        <v>0</v>
      </c>
      <c r="BS1279" s="59" t="n">
        <f aca="false">IF(BR1279=0,0,IF(N(R1279)&gt;0,R1279,IFERROR(VLOOKUP(D1279,Parameter!$A$35:$C$64,3,0)+0,0)))</f>
        <v>0</v>
      </c>
      <c r="BT1279" s="55" t="n">
        <f aca="false">IF(Y1279&lt;&gt;"",Y1279,X1279)</f>
        <v>3</v>
      </c>
      <c r="BU1279" s="55" t="str">
        <f aca="false">IF(BT1279=1,"L1",IF(OR(BT1279=2,BT1279=3),"L23",IF(BT1279="Aussen","Aussen","-")))</f>
        <v>L23</v>
      </c>
      <c r="BV1279" s="66" t="n">
        <f aca="false">IF(N(Z1279)&gt;0,Z1279,0)</f>
        <v>0</v>
      </c>
      <c r="BW1279" s="60" t="n">
        <f aca="false">IF(ISNUMBER(AC1279),1,0)</f>
        <v>0</v>
      </c>
      <c r="BX1279" s="57" t="n">
        <f aca="false">N(AC1279)</f>
        <v>0</v>
      </c>
      <c r="BY1279" s="57" t="n">
        <f aca="false">N(L1279)+N(M1279)</f>
        <v>75</v>
      </c>
      <c r="BZ1279" s="57" t="n">
        <f aca="false">ROUNDUP(G1279/BQ1279,0)</f>
        <v>0</v>
      </c>
      <c r="CA1279" s="57" t="n">
        <f aca="false">ROUNDUP(BX1279/BQ1279,0)</f>
        <v>0</v>
      </c>
      <c r="CB1279" s="60" t="n">
        <f aca="false">IF(BR1279=1,0,IFERROR(VLOOKUP(BP1279,'Gebinde-Kategorie'!$A$5:$M$45,5,0)+0,0))</f>
        <v>11</v>
      </c>
      <c r="CC1279" s="60" t="n">
        <f aca="false">IFERROR(IF(OR(BT1279=1,BT1279=2,BT1279=3),N(INDEX(Parameter!$I$5:$I$7,BT1279)),0),0)</f>
        <v>0</v>
      </c>
      <c r="CD1279" s="59" t="n">
        <f aca="false">IF(AND(Parameter!$B$21="Ja",ISNUMBER(U1279),N(V1279)&gt;0),IFERROR(N(INDEX(Parameter!$L$5:$L$7,U1279))*INDEX(Parameter!$E$5:$E$7,U1279)*V1279/SUMIFS($V$7:$V$1576,$U$7:$U$1576,U1279),0),0)</f>
        <v>0</v>
      </c>
    </row>
    <row r="1280" customFormat="false" ht="15" hidden="false" customHeight="false" outlineLevel="0" collapsed="false">
      <c r="A1280" s="55" t="s">
        <v>2272</v>
      </c>
      <c r="B1280" s="55" t="s">
        <v>587</v>
      </c>
      <c r="C1280" s="55" t="s">
        <v>160</v>
      </c>
      <c r="D1280" s="55" t="s">
        <v>178</v>
      </c>
      <c r="E1280" s="55" t="s">
        <v>210</v>
      </c>
      <c r="F1280" s="56" t="n">
        <v>36.23</v>
      </c>
      <c r="G1280" s="57" t="n">
        <f aca="false">MAX(0,IF(AND(Parameter!$B$21="Ja",ISNUMBER(W1280)),W1280,IF(Parameter!$B$20="Jahresanfang 2025 + Export",BJ1280+BI1280,BI1280)))</f>
        <v>0</v>
      </c>
      <c r="H1280" s="57" t="n">
        <f aca="false">G1280*F1280</f>
        <v>0</v>
      </c>
      <c r="I1280" s="57" t="n">
        <f aca="false">BL1280*Parameter!$B$18</f>
        <v>37</v>
      </c>
      <c r="J1280" s="58" t="n">
        <v>40.5</v>
      </c>
      <c r="K1280" s="59" t="n">
        <v>0.91358024691358</v>
      </c>
      <c r="L1280" s="57" t="n">
        <v>1</v>
      </c>
      <c r="M1280" s="57" t="n">
        <v>35</v>
      </c>
      <c r="N1280" s="60" t="n">
        <v>14</v>
      </c>
      <c r="O1280" s="55" t="s">
        <v>465</v>
      </c>
      <c r="P1280" s="57" t="n">
        <v>64</v>
      </c>
      <c r="Q1280" s="60" t="n">
        <f aca="false">IF(BR1280=1,0,IFERROR(VLOOKUP(BP1280,'Gebinde-Kategorie'!$A$5:$M$45,13,0)+0,0))</f>
        <v>66</v>
      </c>
      <c r="R1280" s="61"/>
      <c r="S1280" s="62"/>
      <c r="T1280" s="62"/>
      <c r="U1280" s="55"/>
      <c r="V1280" s="57"/>
      <c r="W1280" s="57"/>
      <c r="X1280" s="55" t="n">
        <f aca="false">IF(A1280="","",IF(AND(Parameter!$B$21="Ja",ISNUMBER(U1280)),U1280,IF(IFERROR(VLOOKUP(D1280,Parameter!$A$35:$C$64,2,0),"Nein")="2+3",IF(ISNUMBER(SEARCH("grosser Artikel",BM1280)),2,IFERROR(VLOOKUP(BP1280,Parameter!$F$35:$G$64,2,0),2)),IF(OR(IFERROR(VLOOKUP(D1280,Parameter!$A$35:$C$64,2,0),"Nein")="Nein",IFERROR(VLOOKUP(D1280,Parameter!$A$35:$C$64,2,0),"Nein")=""),"-",VLOOKUP(D1280,Parameter!$A$35:$C$64,2,0)))))</f>
        <v>3</v>
      </c>
      <c r="Y1280" s="62"/>
      <c r="Z1280" s="63"/>
      <c r="AA1280" s="57" t="n">
        <f aca="false">AP1280</f>
        <v>64</v>
      </c>
      <c r="AB1280" s="57" t="n">
        <f aca="false">MAX(AP1280,G1280)</f>
        <v>64</v>
      </c>
      <c r="AC1280" s="64"/>
      <c r="AD1280" s="57" t="n">
        <f aca="false">IF(LEFT(Cockpit!$C$5,1)="A",G1280,IF(BW1280=1,BX1280,IF(LEFT(Cockpit!$C$5,1)="B",AH1280,MAX(AH1280,G1280))))</f>
        <v>0</v>
      </c>
      <c r="AE1280" s="57" t="n">
        <f aca="false">IF(BR1280=1,0,ROUNDUP(AD1280/BQ1280,0))</f>
        <v>0</v>
      </c>
      <c r="AF1280" s="59" t="n">
        <f aca="false">IF(CD1280&gt;0,CD1280*MAX(1,AD1280/V1280),IF(BR1280=1,IF(AD1280&lt;=0,0,BS1280*MAX(1,IF(G1280&gt;0,AD1280/G1280,1))),IF(Q1280&gt;0,AE1280/Q1280,0))/MAX(0.1,N(Parameter!$M$21)))</f>
        <v>0</v>
      </c>
      <c r="AG1280" s="57" t="n">
        <f aca="false">AD1280*F1280</f>
        <v>0</v>
      </c>
      <c r="AH1280" s="57" t="n">
        <f aca="false">ROUNDUP(MAX(I1280/IF(BV1280&gt;0,BV1280,MAX(0.1,N(Cockpit!$C$6))),BY1280)/BQ1280,0)*BQ1280</f>
        <v>64</v>
      </c>
      <c r="AI1280" s="58" t="n">
        <f aca="false">IF(AF1280&gt;0,I1280/AF1280,-1)</f>
        <v>-1</v>
      </c>
      <c r="AJ1280" s="58" t="str">
        <f aca="false">IF(AND(OR(BU1280="L1",BU1280="L23"),AF1280&gt;0),SUMIFS($AF$7:$AF$1576,$BU$7:$BU$1576,BU1280,$AI$7:$AI$1576,"&gt;"&amp;AI1280)+SUMIFS($AF$7:$AF$1576,$BU$7:$BU$1576,BU1280,$AI$7:$AI$1576,AI1280,$BO$7:$BO$1576,"&lt;="&amp;BO1280),"")</f>
        <v/>
      </c>
      <c r="AK1280" s="65" t="n">
        <f aca="false">IF(AJ1280="",0,MAX(0,MIN(1,(IF(BU1280="L1",Parameter!$E$5,Parameter!$E$6+Parameter!$E$7)-(AJ1280-AF1280))/AF1280)))</f>
        <v>0</v>
      </c>
      <c r="AL1280" s="57" t="n">
        <f aca="false">IF(LEFT(Cockpit!$I$5,1)="A",G1280,IF(BW1280=1,BX1280,IF(LEFT(Cockpit!$I$5,1)="B",AP1280,MAX(AP1280,G1280))))</f>
        <v>64</v>
      </c>
      <c r="AM1280" s="57" t="n">
        <f aca="false">IF(BR1280=1,0,ROUNDUP(AL1280/BQ1280,0))</f>
        <v>1</v>
      </c>
      <c r="AN1280" s="59" t="n">
        <f aca="false">IF(CD1280&gt;0,CD1280*MAX(1,AL1280/V1280),IF(BR1280=1,IF(AL1280&lt;=0,0,BS1280*MAX(1,IF(G1280&gt;0,AL1280/G1280,1))),IF(Q1280&gt;0,AM1280/Q1280,0))/MAX(0.1,N(Parameter!$M$21)))</f>
        <v>0.0151515151515152</v>
      </c>
      <c r="AO1280" s="57" t="n">
        <f aca="false">AL1280*F1280</f>
        <v>2318.72</v>
      </c>
      <c r="AP1280" s="57" t="n">
        <f aca="false">ROUNDUP(MAX(I1280/IF(BV1280&gt;0,BV1280,MAX(0.1,N(Cockpit!$I$6))),BY1280)/BQ1280,0)*BQ1280</f>
        <v>64</v>
      </c>
      <c r="AQ1280" s="58" t="n">
        <f aca="false">IF(AN1280&gt;0,I1280/AN1280,-1)</f>
        <v>2442</v>
      </c>
      <c r="AR1280" s="58" t="n">
        <f aca="false">IF(AND(OR(BU1280="L1",BU1280="L23"),AN1280&gt;0),SUMIFS($AN$7:$AN$1576,$BU$7:$BU$1576,BU1280,$AQ$7:$AQ$1576,"&gt;"&amp;AQ1280)+SUMIFS($AN$7:$AN$1576,$BU$7:$BU$1576,BU1280,$AQ$7:$AQ$1576,AQ1280,$BO$7:$BO$1576,"&lt;="&amp;BO1280),"")</f>
        <v>15.6084314360513</v>
      </c>
      <c r="AS1280" s="65" t="n">
        <f aca="false">IF(AR1280="",0,MAX(0,MIN(1,(IF(BU1280="L1",Parameter!$E$5,Parameter!$E$6+Parameter!$E$7)-(AR1280-AN1280))/AN1280)))</f>
        <v>1</v>
      </c>
      <c r="AT1280" s="57" t="n">
        <f aca="false">IF(LEFT(Cockpit!$O$5,1)="A",G1280,IF(BW1280=1,BX1280,IF(LEFT(Cockpit!$O$5,1)="B",AX1280,MAX(AX1280,G1280))))</f>
        <v>64</v>
      </c>
      <c r="AU1280" s="57" t="n">
        <f aca="false">IF(BR1280=1,0,ROUNDUP(AT1280/BQ1280,0))</f>
        <v>1</v>
      </c>
      <c r="AV1280" s="59" t="n">
        <f aca="false">IF(CD1280&gt;0,CD1280*MAX(1,AT1280/V1280),IF(BR1280=1,IF(AT1280&lt;=0,0,BS1280*MAX(1,IF(G1280&gt;0,AT1280/G1280,1))),IF(Q1280&gt;0,AU1280/Q1280,0))/MAX(0.1,N(Parameter!$M$21)))</f>
        <v>0.0151515151515152</v>
      </c>
      <c r="AW1280" s="57" t="n">
        <f aca="false">AT1280*F1280</f>
        <v>2318.72</v>
      </c>
      <c r="AX1280" s="57" t="n">
        <f aca="false">ROUNDUP(MAX(I1280/IF(BV1280&gt;0,BV1280,MAX(0.1,N(Cockpit!$O$6))),BY1280)/BQ1280,0)*BQ1280</f>
        <v>64</v>
      </c>
      <c r="AY1280" s="58" t="n">
        <f aca="false">IF(AV1280&gt;0,I1280/AV1280,-1)</f>
        <v>2442</v>
      </c>
      <c r="AZ1280" s="58" t="n">
        <f aca="false">IF(AND(OR(BU1280="L1",BU1280="L23"),AV1280&gt;0),SUMIFS($AV$7:$AV$1576,$BU$7:$BU$1576,BU1280,$AY$7:$AY$1576,"&gt;"&amp;AY1280)+SUMIFS($AV$7:$AV$1576,$BU$7:$BU$1576,BU1280,$AY$7:$AY$1576,AY1280,$BO$7:$BO$1576,"&lt;="&amp;BO1280),"")</f>
        <v>14.4126272402471</v>
      </c>
      <c r="BA1280" s="65" t="n">
        <f aca="false">IF(AZ1280="",0,MAX(0,MIN(1,(IF(BU1280="L1",Parameter!$E$5,Parameter!$E$6+Parameter!$E$7)-(AZ1280-AV1280))/AV1280)))</f>
        <v>1</v>
      </c>
      <c r="BB1280" s="55" t="str">
        <f aca="false">IF(AF1280&lt;=0,"",IF(BU1280="Aussen","Aussenlager",IF(BU1280="-","Nicht im Lift",IF(AK1280&gt;=1,"Lift",IF(AK1280&lt;=0,"Aussenlager","teilweise")))))</f>
        <v/>
      </c>
      <c r="BC1280" s="55" t="str">
        <f aca="false">IF(AN1280&lt;=0,"",IF(BU1280="Aussen","Aussenlager",IF(BU1280="-","Nicht im Lift",IF(AS1280&gt;=1,"Lift",IF(AS1280&lt;=0,"Aussenlager","teilweise")))))</f>
        <v>Lift</v>
      </c>
      <c r="BD1280" s="55" t="str">
        <f aca="false">IF(AV1280&lt;=0,"",IF(BU1280="Aussen","Aussenlager",IF(BU1280="-","Nicht im Lift",IF(BA1280&gt;=1,"Lift",IF(BA1280&lt;=0,"Aussenlager","teilweise")))))</f>
        <v>Lift</v>
      </c>
      <c r="BE1280" s="55" t="str">
        <f aca="false">IF(A1280="","",IF(BN1280=1,"Neu; ","")&amp;IF(AND(BN1280=0,BI1280&lt;0),"negativer Bestand (Export "&amp;BI1280&amp;"); ","")&amp;IF(I1280&lt;=0,"Kein Verbrauch; ","")&amp;IF(CD1280&gt;0,"Lift "&amp;U1280&amp;" lt. Liftbericht (Fach "&amp;V1280&amp;" Stk); ",IF(BR1280=1,"Lose – Fläche geschätzt; ",""))&amp;IF(G1280&gt;AP1280,"Überbestand "&amp;ROUND(G1280-AP1280,0)&amp;" Stk / CHF "&amp;ROUND((G1280-AP1280)*F1280,0)&amp;"; ","")&amp;IF(AND(BW1280=1,BX1280&lt;BY1280),"MAX &lt; MB+LG; ","")&amp;IF(AND(CC1280&gt;0,CB1280*10&gt;CC1280),"zu hoch für Tablar; ","")&amp;IF(AND(BN1280=0,OR(BW1280=1,Y1280&lt;&gt;"",S1280&lt;&gt;"",T1280&lt;&gt;"",Z1280&lt;&gt;"")),"manuell übersteuert; ","")&amp;IF(AND(BR1280=0,Q1280=0),"Gebinde unbekannt / Stellmass fehlt; ","")&amp;IF(AND(BR1280=0,N(T1280)&lt;=0,N(P1280)&lt;=0),"Menge pro Gebinde fehlt (Ist = 1 Gebinde); ","")&amp;BM1280)</f>
        <v>negativer Bestand (Export -30); </v>
      </c>
      <c r="BF1280" s="55"/>
      <c r="BG1280" s="55"/>
      <c r="BH1280" s="62"/>
      <c r="BI1280" s="57" t="n">
        <v>-30</v>
      </c>
      <c r="BJ1280" s="57" t="n">
        <v>39</v>
      </c>
      <c r="BK1280" s="56" t="n">
        <v>-1026.84</v>
      </c>
      <c r="BL1280" s="57" t="n">
        <v>37</v>
      </c>
      <c r="BM1280" s="55"/>
      <c r="BN1280" s="60" t="n">
        <v>0</v>
      </c>
      <c r="BO1280" s="60" t="n">
        <v>1280</v>
      </c>
      <c r="BP1280" s="55" t="str">
        <f aca="false">IF(S1280&lt;&gt;"",UPPER(TRIM(S1280)),IF(O1280="","LOSE",O1280))</f>
        <v>S33</v>
      </c>
      <c r="BQ1280" s="57" t="n">
        <f aca="false">IF(BP1280="LOSE",1,IF(N(T1280)&gt;0,T1280,IF(N(P1280)&gt;0,P1280,MAX(1,G1280))))</f>
        <v>64</v>
      </c>
      <c r="BR1280" s="60" t="n">
        <f aca="false">IF(BP1280="LOSE",1,0)</f>
        <v>0</v>
      </c>
      <c r="BS1280" s="59" t="n">
        <f aca="false">IF(BR1280=0,0,IF(N(R1280)&gt;0,R1280,IFERROR(VLOOKUP(D1280,Parameter!$A$35:$C$64,3,0)+0,0)))</f>
        <v>0</v>
      </c>
      <c r="BT1280" s="55" t="n">
        <f aca="false">IF(Y1280&lt;&gt;"",Y1280,X1280)</f>
        <v>3</v>
      </c>
      <c r="BU1280" s="55" t="str">
        <f aca="false">IF(BT1280=1,"L1",IF(OR(BT1280=2,BT1280=3),"L23",IF(BT1280="Aussen","Aussen","-")))</f>
        <v>L23</v>
      </c>
      <c r="BV1280" s="66" t="n">
        <f aca="false">IF(N(Z1280)&gt;0,Z1280,0)</f>
        <v>0</v>
      </c>
      <c r="BW1280" s="60" t="n">
        <f aca="false">IF(ISNUMBER(AC1280),1,0)</f>
        <v>0</v>
      </c>
      <c r="BX1280" s="57" t="n">
        <f aca="false">N(AC1280)</f>
        <v>0</v>
      </c>
      <c r="BY1280" s="57" t="n">
        <f aca="false">N(L1280)+N(M1280)</f>
        <v>36</v>
      </c>
      <c r="BZ1280" s="57" t="n">
        <f aca="false">ROUNDUP(G1280/BQ1280,0)</f>
        <v>0</v>
      </c>
      <c r="CA1280" s="57" t="n">
        <f aca="false">ROUNDUP(BX1280/BQ1280,0)</f>
        <v>0</v>
      </c>
      <c r="CB1280" s="60" t="n">
        <f aca="false">IF(BR1280=1,0,IFERROR(VLOOKUP(BP1280,'Gebinde-Kategorie'!$A$5:$M$45,5,0)+0,0))</f>
        <v>8</v>
      </c>
      <c r="CC1280" s="60" t="n">
        <f aca="false">IFERROR(IF(OR(BT1280=1,BT1280=2,BT1280=3),N(INDEX(Parameter!$I$5:$I$7,BT1280)),0),0)</f>
        <v>0</v>
      </c>
      <c r="CD1280" s="59" t="n">
        <f aca="false">IF(AND(Parameter!$B$21="Ja",ISNUMBER(U1280),N(V1280)&gt;0),IFERROR(N(INDEX(Parameter!$L$5:$L$7,U1280))*INDEX(Parameter!$E$5:$E$7,U1280)*V1280/SUMIFS($V$7:$V$1576,$U$7:$U$1576,U1280),0),0)</f>
        <v>0</v>
      </c>
    </row>
    <row r="1281" customFormat="false" ht="15" hidden="false" customHeight="false" outlineLevel="0" collapsed="false">
      <c r="A1281" s="55" t="s">
        <v>2273</v>
      </c>
      <c r="B1281" s="55" t="s">
        <v>1992</v>
      </c>
      <c r="C1281" s="55" t="s">
        <v>160</v>
      </c>
      <c r="D1281" s="55" t="s">
        <v>178</v>
      </c>
      <c r="E1281" s="55" t="s">
        <v>210</v>
      </c>
      <c r="F1281" s="56" t="n">
        <v>148.35</v>
      </c>
      <c r="G1281" s="57" t="n">
        <f aca="false">MAX(0,IF(AND(Parameter!$B$21="Ja",ISNUMBER(W1281)),W1281,IF(Parameter!$B$20="Jahresanfang 2025 + Export",BJ1281+BI1281,BI1281)))</f>
        <v>0</v>
      </c>
      <c r="H1281" s="57" t="n">
        <f aca="false">G1281*F1281</f>
        <v>0</v>
      </c>
      <c r="I1281" s="57" t="n">
        <f aca="false">BL1281*Parameter!$B$18</f>
        <v>4</v>
      </c>
      <c r="J1281" s="58" t="n">
        <v>174</v>
      </c>
      <c r="K1281" s="59" t="n">
        <v>0.0229885057471264</v>
      </c>
      <c r="L1281" s="57" t="n">
        <v>0</v>
      </c>
      <c r="M1281" s="57" t="n">
        <v>5</v>
      </c>
      <c r="N1281" s="60" t="n">
        <v>63</v>
      </c>
      <c r="O1281" s="55" t="s">
        <v>284</v>
      </c>
      <c r="P1281" s="57" t="n">
        <v>180</v>
      </c>
      <c r="Q1281" s="60" t="n">
        <f aca="false">IF(BR1281=1,0,IFERROR(VLOOKUP(BP1281,'Gebinde-Kategorie'!$A$5:$M$45,13,0)+0,0))</f>
        <v>12</v>
      </c>
      <c r="R1281" s="61"/>
      <c r="S1281" s="62"/>
      <c r="T1281" s="62"/>
      <c r="U1281" s="55"/>
      <c r="V1281" s="57"/>
      <c r="W1281" s="57"/>
      <c r="X1281" s="55" t="n">
        <f aca="false">IF(A1281="","",IF(AND(Parameter!$B$21="Ja",ISNUMBER(U1281)),U1281,IF(IFERROR(VLOOKUP(D1281,Parameter!$A$35:$C$64,2,0),"Nein")="2+3",IF(ISNUMBER(SEARCH("grosser Artikel",BM1281)),2,IFERROR(VLOOKUP(BP1281,Parameter!$F$35:$G$64,2,0),2)),IF(OR(IFERROR(VLOOKUP(D1281,Parameter!$A$35:$C$64,2,0),"Nein")="Nein",IFERROR(VLOOKUP(D1281,Parameter!$A$35:$C$64,2,0),"Nein")=""),"-",VLOOKUP(D1281,Parameter!$A$35:$C$64,2,0)))))</f>
        <v>2</v>
      </c>
      <c r="Y1281" s="62"/>
      <c r="Z1281" s="63"/>
      <c r="AA1281" s="57" t="n">
        <f aca="false">AP1281</f>
        <v>180</v>
      </c>
      <c r="AB1281" s="57" t="n">
        <f aca="false">MAX(AP1281,G1281)</f>
        <v>180</v>
      </c>
      <c r="AC1281" s="64"/>
      <c r="AD1281" s="57" t="n">
        <f aca="false">IF(LEFT(Cockpit!$C$5,1)="A",G1281,IF(BW1281=1,BX1281,IF(LEFT(Cockpit!$C$5,1)="B",AH1281,MAX(AH1281,G1281))))</f>
        <v>0</v>
      </c>
      <c r="AE1281" s="57" t="n">
        <f aca="false">IF(BR1281=1,0,ROUNDUP(AD1281/BQ1281,0))</f>
        <v>0</v>
      </c>
      <c r="AF1281" s="59" t="n">
        <f aca="false">IF(CD1281&gt;0,CD1281*MAX(1,AD1281/V1281),IF(BR1281=1,IF(AD1281&lt;=0,0,BS1281*MAX(1,IF(G1281&gt;0,AD1281/G1281,1))),IF(Q1281&gt;0,AE1281/Q1281,0))/MAX(0.1,N(Parameter!$M$21)))</f>
        <v>0</v>
      </c>
      <c r="AG1281" s="57" t="n">
        <f aca="false">AD1281*F1281</f>
        <v>0</v>
      </c>
      <c r="AH1281" s="57" t="n">
        <f aca="false">ROUNDUP(MAX(I1281/IF(BV1281&gt;0,BV1281,MAX(0.1,N(Cockpit!$C$6))),BY1281)/BQ1281,0)*BQ1281</f>
        <v>180</v>
      </c>
      <c r="AI1281" s="58" t="n">
        <f aca="false">IF(AF1281&gt;0,I1281/AF1281,-1)</f>
        <v>-1</v>
      </c>
      <c r="AJ1281" s="58" t="str">
        <f aca="false">IF(AND(OR(BU1281="L1",BU1281="L23"),AF1281&gt;0),SUMIFS($AF$7:$AF$1576,$BU$7:$BU$1576,BU1281,$AI$7:$AI$1576,"&gt;"&amp;AI1281)+SUMIFS($AF$7:$AF$1576,$BU$7:$BU$1576,BU1281,$AI$7:$AI$1576,AI1281,$BO$7:$BO$1576,"&lt;="&amp;BO1281),"")</f>
        <v/>
      </c>
      <c r="AK1281" s="65" t="n">
        <f aca="false">IF(AJ1281="",0,MAX(0,MIN(1,(IF(BU1281="L1",Parameter!$E$5,Parameter!$E$6+Parameter!$E$7)-(AJ1281-AF1281))/AF1281)))</f>
        <v>0</v>
      </c>
      <c r="AL1281" s="57" t="n">
        <f aca="false">IF(LEFT(Cockpit!$I$5,1)="A",G1281,IF(BW1281=1,BX1281,IF(LEFT(Cockpit!$I$5,1)="B",AP1281,MAX(AP1281,G1281))))</f>
        <v>180</v>
      </c>
      <c r="AM1281" s="57" t="n">
        <f aca="false">IF(BR1281=1,0,ROUNDUP(AL1281/BQ1281,0))</f>
        <v>1</v>
      </c>
      <c r="AN1281" s="59" t="n">
        <f aca="false">IF(CD1281&gt;0,CD1281*MAX(1,AL1281/V1281),IF(BR1281=1,IF(AL1281&lt;=0,0,BS1281*MAX(1,IF(G1281&gt;0,AL1281/G1281,1))),IF(Q1281&gt;0,AM1281/Q1281,0))/MAX(0.1,N(Parameter!$M$21)))</f>
        <v>0.0833333333333333</v>
      </c>
      <c r="AO1281" s="57" t="n">
        <f aca="false">AL1281*F1281</f>
        <v>26703</v>
      </c>
      <c r="AP1281" s="57" t="n">
        <f aca="false">ROUNDUP(MAX(I1281/IF(BV1281&gt;0,BV1281,MAX(0.1,N(Cockpit!$I$6))),BY1281)/BQ1281,0)*BQ1281</f>
        <v>180</v>
      </c>
      <c r="AQ1281" s="58" t="n">
        <f aca="false">IF(AN1281&gt;0,I1281/AN1281,-1)</f>
        <v>48</v>
      </c>
      <c r="AR1281" s="58" t="n">
        <f aca="false">IF(AND(OR(BU1281="L1",BU1281="L23"),AN1281&gt;0),SUMIFS($AN$7:$AN$1576,$BU$7:$BU$1576,BU1281,$AQ$7:$AQ$1576,"&gt;"&amp;AQ1281)+SUMIFS($AN$7:$AN$1576,$BU$7:$BU$1576,BU1281,$AQ$7:$AQ$1576,AQ1281,$BO$7:$BO$1576,"&lt;="&amp;BO1281),"")</f>
        <v>84.2202551015163</v>
      </c>
      <c r="AS1281" s="65" t="n">
        <f aca="false">IF(AR1281="",0,MAX(0,MIN(1,(IF(BU1281="L1",Parameter!$E$5,Parameter!$E$6+Parameter!$E$7)-(AR1281-AN1281))/AN1281)))</f>
        <v>1</v>
      </c>
      <c r="AT1281" s="57" t="n">
        <f aca="false">IF(LEFT(Cockpit!$O$5,1)="A",G1281,IF(BW1281=1,BX1281,IF(LEFT(Cockpit!$O$5,1)="B",AX1281,MAX(AX1281,G1281))))</f>
        <v>180</v>
      </c>
      <c r="AU1281" s="57" t="n">
        <f aca="false">IF(BR1281=1,0,ROUNDUP(AT1281/BQ1281,0))</f>
        <v>1</v>
      </c>
      <c r="AV1281" s="59" t="n">
        <f aca="false">IF(CD1281&gt;0,CD1281*MAX(1,AT1281/V1281),IF(BR1281=1,IF(AT1281&lt;=0,0,BS1281*MAX(1,IF(G1281&gt;0,AT1281/G1281,1))),IF(Q1281&gt;0,AU1281/Q1281,0))/MAX(0.1,N(Parameter!$M$21)))</f>
        <v>0.0833333333333333</v>
      </c>
      <c r="AW1281" s="57" t="n">
        <f aca="false">AT1281*F1281</f>
        <v>26703</v>
      </c>
      <c r="AX1281" s="57" t="n">
        <f aca="false">ROUNDUP(MAX(I1281/IF(BV1281&gt;0,BV1281,MAX(0.1,N(Cockpit!$O$6))),BY1281)/BQ1281,0)*BQ1281</f>
        <v>180</v>
      </c>
      <c r="AY1281" s="58" t="n">
        <f aca="false">IF(AV1281&gt;0,I1281/AV1281,-1)</f>
        <v>48</v>
      </c>
      <c r="AZ1281" s="58" t="n">
        <f aca="false">IF(AND(OR(BU1281="L1",BU1281="L23"),AV1281&gt;0),SUMIFS($AV$7:$AV$1576,$BU$7:$BU$1576,BU1281,$AY$7:$AY$1576,"&gt;"&amp;AY1281)+SUMIFS($AV$7:$AV$1576,$BU$7:$BU$1576,BU1281,$AY$7:$AY$1576,AY1281,$BO$7:$BO$1576,"&lt;="&amp;BO1281),"")</f>
        <v>80.1131388844</v>
      </c>
      <c r="BA1281" s="65" t="n">
        <f aca="false">IF(AZ1281="",0,MAX(0,MIN(1,(IF(BU1281="L1",Parameter!$E$5,Parameter!$E$6+Parameter!$E$7)-(AZ1281-AV1281))/AV1281)))</f>
        <v>1</v>
      </c>
      <c r="BB1281" s="55" t="str">
        <f aca="false">IF(AF1281&lt;=0,"",IF(BU1281="Aussen","Aussenlager",IF(BU1281="-","Nicht im Lift",IF(AK1281&gt;=1,"Lift",IF(AK1281&lt;=0,"Aussenlager","teilweise")))))</f>
        <v/>
      </c>
      <c r="BC1281" s="55" t="str">
        <f aca="false">IF(AN1281&lt;=0,"",IF(BU1281="Aussen","Aussenlager",IF(BU1281="-","Nicht im Lift",IF(AS1281&gt;=1,"Lift",IF(AS1281&lt;=0,"Aussenlager","teilweise")))))</f>
        <v>Lift</v>
      </c>
      <c r="BD1281" s="55" t="str">
        <f aca="false">IF(AV1281&lt;=0,"",IF(BU1281="Aussen","Aussenlager",IF(BU1281="-","Nicht im Lift",IF(BA1281&gt;=1,"Lift",IF(BA1281&lt;=0,"Aussenlager","teilweise")))))</f>
        <v>Lift</v>
      </c>
      <c r="BE1281" s="55" t="str">
        <f aca="false">IF(A1281="","",IF(BN1281=1,"Neu; ","")&amp;IF(AND(BN1281=0,BI1281&lt;0),"negativer Bestand (Export "&amp;BI1281&amp;"); ","")&amp;IF(I1281&lt;=0,"Kein Verbrauch; ","")&amp;IF(CD1281&gt;0,"Lift "&amp;U1281&amp;" lt. Liftbericht (Fach "&amp;V1281&amp;" Stk); ",IF(BR1281=1,"Lose – Fläche geschätzt; ",""))&amp;IF(G1281&gt;AP1281,"Überbestand "&amp;ROUND(G1281-AP1281,0)&amp;" Stk / CHF "&amp;ROUND((G1281-AP1281)*F1281,0)&amp;"; ","")&amp;IF(AND(BW1281=1,BX1281&lt;BY1281),"MAX &lt; MB+LG; ","")&amp;IF(AND(CC1281&gt;0,CB1281*10&gt;CC1281),"zu hoch für Tablar; ","")&amp;IF(AND(BN1281=0,OR(BW1281=1,Y1281&lt;&gt;"",S1281&lt;&gt;"",T1281&lt;&gt;"",Z1281&lt;&gt;"")),"manuell übersteuert; ","")&amp;IF(AND(BR1281=0,Q1281=0),"Gebinde unbekannt / Stellmass fehlt; ","")&amp;IF(AND(BR1281=0,N(T1281)&lt;=0,N(P1281)&lt;=0),"Menge pro Gebinde fehlt (Ist = 1 Gebinde); ","")&amp;BM1281)</f>
        <v>negativer Bestand (Export -7); i.o</v>
      </c>
      <c r="BF1281" s="55"/>
      <c r="BG1281" s="55"/>
      <c r="BH1281" s="62"/>
      <c r="BI1281" s="57" t="n">
        <v>-7</v>
      </c>
      <c r="BJ1281" s="57" t="n">
        <v>176</v>
      </c>
      <c r="BK1281" s="56" t="n">
        <v>-1038.45</v>
      </c>
      <c r="BL1281" s="57" t="n">
        <v>4</v>
      </c>
      <c r="BM1281" s="55" t="s">
        <v>525</v>
      </c>
      <c r="BN1281" s="60" t="n">
        <v>0</v>
      </c>
      <c r="BO1281" s="60" t="n">
        <v>1281</v>
      </c>
      <c r="BP1281" s="55" t="str">
        <f aca="false">IF(S1281&lt;&gt;"",UPPER(TRIM(S1281)),IF(O1281="","LOSE",O1281))</f>
        <v>S62</v>
      </c>
      <c r="BQ1281" s="57" t="n">
        <f aca="false">IF(BP1281="LOSE",1,IF(N(T1281)&gt;0,T1281,IF(N(P1281)&gt;0,P1281,MAX(1,G1281))))</f>
        <v>180</v>
      </c>
      <c r="BR1281" s="60" t="n">
        <f aca="false">IF(BP1281="LOSE",1,0)</f>
        <v>0</v>
      </c>
      <c r="BS1281" s="59" t="n">
        <f aca="false">IF(BR1281=0,0,IF(N(R1281)&gt;0,R1281,IFERROR(VLOOKUP(D1281,Parameter!$A$35:$C$64,3,0)+0,0)))</f>
        <v>0</v>
      </c>
      <c r="BT1281" s="55" t="n">
        <f aca="false">IF(Y1281&lt;&gt;"",Y1281,X1281)</f>
        <v>2</v>
      </c>
      <c r="BU1281" s="55" t="str">
        <f aca="false">IF(BT1281=1,"L1",IF(OR(BT1281=2,BT1281=3),"L23",IF(BT1281="Aussen","Aussen","-")))</f>
        <v>L23</v>
      </c>
      <c r="BV1281" s="66" t="n">
        <f aca="false">IF(N(Z1281)&gt;0,Z1281,0)</f>
        <v>0</v>
      </c>
      <c r="BW1281" s="60" t="n">
        <f aca="false">IF(ISNUMBER(AC1281),1,0)</f>
        <v>0</v>
      </c>
      <c r="BX1281" s="57" t="n">
        <f aca="false">N(AC1281)</f>
        <v>0</v>
      </c>
      <c r="BY1281" s="57" t="n">
        <f aca="false">N(L1281)+N(M1281)</f>
        <v>5</v>
      </c>
      <c r="BZ1281" s="57" t="n">
        <f aca="false">ROUNDUP(G1281/BQ1281,0)</f>
        <v>0</v>
      </c>
      <c r="CA1281" s="57" t="n">
        <f aca="false">ROUNDUP(BX1281/BQ1281,0)</f>
        <v>0</v>
      </c>
      <c r="CB1281" s="60" t="n">
        <f aca="false">IF(BR1281=1,0,IFERROR(VLOOKUP(BP1281,'Gebinde-Kategorie'!$A$5:$M$45,5,0)+0,0))</f>
        <v>21</v>
      </c>
      <c r="CC1281" s="60" t="n">
        <f aca="false">IFERROR(IF(OR(BT1281=1,BT1281=2,BT1281=3),N(INDEX(Parameter!$I$5:$I$7,BT1281)),0),0)</f>
        <v>0</v>
      </c>
      <c r="CD1281" s="59" t="n">
        <f aca="false">IF(AND(Parameter!$B$21="Ja",ISNUMBER(U1281),N(V1281)&gt;0),IFERROR(N(INDEX(Parameter!$L$5:$L$7,U1281))*INDEX(Parameter!$E$5:$E$7,U1281)*V1281/SUMIFS($V$7:$V$1576,$U$7:$U$1576,U1281),0),0)</f>
        <v>0</v>
      </c>
    </row>
    <row r="1282" customFormat="false" ht="15" hidden="false" customHeight="false" outlineLevel="0" collapsed="false">
      <c r="A1282" s="55" t="s">
        <v>2274</v>
      </c>
      <c r="B1282" s="55" t="s">
        <v>2275</v>
      </c>
      <c r="C1282" s="55" t="s">
        <v>446</v>
      </c>
      <c r="D1282" s="55" t="s">
        <v>168</v>
      </c>
      <c r="E1282" s="55" t="s">
        <v>210</v>
      </c>
      <c r="F1282" s="56" t="n">
        <v>52</v>
      </c>
      <c r="G1282" s="57" t="n">
        <f aca="false">MAX(0,IF(AND(Parameter!$B$21="Ja",ISNUMBER(W1282)),W1282,IF(Parameter!$B$20="Jahresanfang 2025 + Export",BJ1282+BI1282,BI1282)))</f>
        <v>0</v>
      </c>
      <c r="H1282" s="57" t="n">
        <f aca="false">G1282*F1282</f>
        <v>0</v>
      </c>
      <c r="I1282" s="57" t="n">
        <f aca="false">BL1282*Parameter!$B$18</f>
        <v>0</v>
      </c>
      <c r="J1282" s="58" t="n">
        <v>10</v>
      </c>
      <c r="K1282" s="59" t="n">
        <v>0</v>
      </c>
      <c r="L1282" s="57" t="n">
        <v>0</v>
      </c>
      <c r="M1282" s="57" t="n">
        <v>1</v>
      </c>
      <c r="N1282" s="60" t="n">
        <v>56</v>
      </c>
      <c r="O1282" s="55" t="s">
        <v>163</v>
      </c>
      <c r="P1282" s="57"/>
      <c r="Q1282" s="60" t="n">
        <f aca="false">IF(BR1282=1,0,IFERROR(VLOOKUP(BP1282,'Gebinde-Kategorie'!$A$5:$M$45,13,0)+0,0))</f>
        <v>0</v>
      </c>
      <c r="R1282" s="61"/>
      <c r="S1282" s="62"/>
      <c r="T1282" s="62"/>
      <c r="U1282" s="55"/>
      <c r="V1282" s="57"/>
      <c r="W1282" s="57"/>
      <c r="X1282" s="55" t="n">
        <f aca="false">IF(A1282="","",IF(AND(Parameter!$B$21="Ja",ISNUMBER(U1282)),U1282,IF(IFERROR(VLOOKUP(D1282,Parameter!$A$35:$C$64,2,0),"Nein")="2+3",IF(ISNUMBER(SEARCH("grosser Artikel",BM1282)),2,IFERROR(VLOOKUP(BP1282,Parameter!$F$35:$G$64,2,0),2)),IF(OR(IFERROR(VLOOKUP(D1282,Parameter!$A$35:$C$64,2,0),"Nein")="Nein",IFERROR(VLOOKUP(D1282,Parameter!$A$35:$C$64,2,0),"Nein")=""),"-",VLOOKUP(D1282,Parameter!$A$35:$C$64,2,0)))))</f>
        <v>2</v>
      </c>
      <c r="Y1282" s="62"/>
      <c r="Z1282" s="63"/>
      <c r="AA1282" s="57" t="n">
        <f aca="false">AP1282</f>
        <v>1</v>
      </c>
      <c r="AB1282" s="57" t="n">
        <f aca="false">MAX(AP1282,G1282)</f>
        <v>1</v>
      </c>
      <c r="AC1282" s="64"/>
      <c r="AD1282" s="57" t="n">
        <f aca="false">IF(LEFT(Cockpit!$C$5,1)="A",G1282,IF(BW1282=1,BX1282,IF(LEFT(Cockpit!$C$5,1)="B",AH1282,MAX(AH1282,G1282))))</f>
        <v>0</v>
      </c>
      <c r="AE1282" s="57" t="n">
        <f aca="false">IF(BR1282=1,0,ROUNDUP(AD1282/BQ1282,0))</f>
        <v>0</v>
      </c>
      <c r="AF1282" s="59" t="n">
        <f aca="false">IF(CD1282&gt;0,CD1282*MAX(1,AD1282/V1282),IF(BR1282=1,IF(AD1282&lt;=0,0,BS1282*MAX(1,IF(G1282&gt;0,AD1282/G1282,1))),IF(Q1282&gt;0,AE1282/Q1282,0))/MAX(0.1,N(Parameter!$M$21)))</f>
        <v>0</v>
      </c>
      <c r="AG1282" s="57" t="n">
        <f aca="false">AD1282*F1282</f>
        <v>0</v>
      </c>
      <c r="AH1282" s="57" t="n">
        <f aca="false">ROUNDUP(MAX(I1282/IF(BV1282&gt;0,BV1282,MAX(0.1,N(Cockpit!$C$6))),BY1282)/BQ1282,0)*BQ1282</f>
        <v>1</v>
      </c>
      <c r="AI1282" s="58" t="n">
        <f aca="false">IF(AF1282&gt;0,I1282/AF1282,-1)</f>
        <v>-1</v>
      </c>
      <c r="AJ1282" s="58" t="str">
        <f aca="false">IF(AND(OR(BU1282="L1",BU1282="L23"),AF1282&gt;0),SUMIFS($AF$7:$AF$1576,$BU$7:$BU$1576,BU1282,$AI$7:$AI$1576,"&gt;"&amp;AI1282)+SUMIFS($AF$7:$AF$1576,$BU$7:$BU$1576,BU1282,$AI$7:$AI$1576,AI1282,$BO$7:$BO$1576,"&lt;="&amp;BO1282),"")</f>
        <v/>
      </c>
      <c r="AK1282" s="65" t="n">
        <f aca="false">IF(AJ1282="",0,MAX(0,MIN(1,(IF(BU1282="L1",Parameter!$E$5,Parameter!$E$6+Parameter!$E$7)-(AJ1282-AF1282))/AF1282)))</f>
        <v>0</v>
      </c>
      <c r="AL1282" s="57" t="n">
        <f aca="false">IF(LEFT(Cockpit!$I$5,1)="A",G1282,IF(BW1282=1,BX1282,IF(LEFT(Cockpit!$I$5,1)="B",AP1282,MAX(AP1282,G1282))))</f>
        <v>1</v>
      </c>
      <c r="AM1282" s="57" t="n">
        <f aca="false">IF(BR1282=1,0,ROUNDUP(AL1282/BQ1282,0))</f>
        <v>0</v>
      </c>
      <c r="AN1282" s="59" t="n">
        <f aca="false">IF(CD1282&gt;0,CD1282*MAX(1,AL1282/V1282),IF(BR1282=1,IF(AL1282&lt;=0,0,BS1282*MAX(1,IF(G1282&gt;0,AL1282/G1282,1))),IF(Q1282&gt;0,AM1282/Q1282,0))/MAX(0.1,N(Parameter!$M$21)))</f>
        <v>0.15</v>
      </c>
      <c r="AO1282" s="57" t="n">
        <f aca="false">AL1282*F1282</f>
        <v>52</v>
      </c>
      <c r="AP1282" s="57" t="n">
        <f aca="false">ROUNDUP(MAX(I1282/IF(BV1282&gt;0,BV1282,MAX(0.1,N(Cockpit!$I$6))),BY1282)/BQ1282,0)*BQ1282</f>
        <v>1</v>
      </c>
      <c r="AQ1282" s="58" t="n">
        <f aca="false">IF(AN1282&gt;0,I1282/AN1282,-1)</f>
        <v>0</v>
      </c>
      <c r="AR1282" s="58" t="n">
        <f aca="false">IF(AND(OR(BU1282="L1",BU1282="L23"),AN1282&gt;0),SUMIFS($AN$7:$AN$1576,$BU$7:$BU$1576,BU1282,$AQ$7:$AQ$1576,"&gt;"&amp;AQ1282)+SUMIFS($AN$7:$AN$1576,$BU$7:$BU$1576,BU1282,$AQ$7:$AQ$1576,AQ1282,$BO$7:$BO$1576,"&lt;="&amp;BO1282),"")</f>
        <v>137.506640388644</v>
      </c>
      <c r="AS1282" s="65" t="n">
        <f aca="false">IF(AR1282="",0,MAX(0,MIN(1,(IF(BU1282="L1",Parameter!$E$5,Parameter!$E$6+Parameter!$E$7)-(AR1282-AN1282))/AN1282)))</f>
        <v>0</v>
      </c>
      <c r="AT1282" s="57" t="n">
        <f aca="false">IF(LEFT(Cockpit!$O$5,1)="A",G1282,IF(BW1282=1,BX1282,IF(LEFT(Cockpit!$O$5,1)="B",AX1282,MAX(AX1282,G1282))))</f>
        <v>1</v>
      </c>
      <c r="AU1282" s="57" t="n">
        <f aca="false">IF(BR1282=1,0,ROUNDUP(AT1282/BQ1282,0))</f>
        <v>0</v>
      </c>
      <c r="AV1282" s="59" t="n">
        <f aca="false">IF(CD1282&gt;0,CD1282*MAX(1,AT1282/V1282),IF(BR1282=1,IF(AT1282&lt;=0,0,BS1282*MAX(1,IF(G1282&gt;0,AT1282/G1282,1))),IF(Q1282&gt;0,AU1282/Q1282,0))/MAX(0.1,N(Parameter!$M$21)))</f>
        <v>0.15</v>
      </c>
      <c r="AW1282" s="57" t="n">
        <f aca="false">AT1282*F1282</f>
        <v>52</v>
      </c>
      <c r="AX1282" s="57" t="n">
        <f aca="false">ROUNDUP(MAX(I1282/IF(BV1282&gt;0,BV1282,MAX(0.1,N(Cockpit!$O$6))),BY1282)/BQ1282,0)*BQ1282</f>
        <v>1</v>
      </c>
      <c r="AY1282" s="58" t="n">
        <f aca="false">IF(AV1282&gt;0,I1282/AV1282,-1)</f>
        <v>0</v>
      </c>
      <c r="AZ1282" s="58" t="n">
        <f aca="false">IF(AND(OR(BU1282="L1",BU1282="L23"),AV1282&gt;0),SUMIFS($AV$7:$AV$1576,$BU$7:$BU$1576,BU1282,$AY$7:$AY$1576,"&gt;"&amp;AY1282)+SUMIFS($AV$7:$AV$1576,$BU$7:$BU$1576,BU1282,$AY$7:$AY$1576,AY1282,$BO$7:$BO$1576,"&lt;="&amp;BO1282),"")</f>
        <v>127.566190838195</v>
      </c>
      <c r="BA1282" s="65" t="n">
        <f aca="false">IF(AZ1282="",0,MAX(0,MIN(1,(IF(BU1282="L1",Parameter!$E$5,Parameter!$E$6+Parameter!$E$7)-(AZ1282-AV1282))/AV1282)))</f>
        <v>0</v>
      </c>
      <c r="BB1282" s="55" t="str">
        <f aca="false">IF(AF1282&lt;=0,"",IF(BU1282="Aussen","Aussenlager",IF(BU1282="-","Nicht im Lift",IF(AK1282&gt;=1,"Lift",IF(AK1282&lt;=0,"Aussenlager","teilweise")))))</f>
        <v/>
      </c>
      <c r="BC1282" s="55" t="str">
        <f aca="false">IF(AN1282&lt;=0,"",IF(BU1282="Aussen","Aussenlager",IF(BU1282="-","Nicht im Lift",IF(AS1282&gt;=1,"Lift",IF(AS1282&lt;=0,"Aussenlager","teilweise")))))</f>
        <v>Aussenlager</v>
      </c>
      <c r="BD1282" s="55" t="str">
        <f aca="false">IF(AV1282&lt;=0,"",IF(BU1282="Aussen","Aussenlager",IF(BU1282="-","Nicht im Lift",IF(BA1282&gt;=1,"Lift",IF(BA1282&lt;=0,"Aussenlager","teilweise")))))</f>
        <v>Aussenlager</v>
      </c>
      <c r="BE1282" s="55" t="str">
        <f aca="false">IF(A1282="","",IF(BN1282=1,"Neu; ","")&amp;IF(AND(BN1282=0,BI1282&lt;0),"negativer Bestand (Export "&amp;BI1282&amp;"); ","")&amp;IF(I1282&lt;=0,"Kein Verbrauch; ","")&amp;IF(CD1282&gt;0,"Lift "&amp;U1282&amp;" lt. Liftbericht (Fach "&amp;V1282&amp;" Stk); ",IF(BR1282=1,"Lose – Fläche geschätzt; ",""))&amp;IF(G1282&gt;AP1282,"Überbestand "&amp;ROUND(G1282-AP1282,0)&amp;" Stk / CHF "&amp;ROUND((G1282-AP1282)*F1282,0)&amp;"; ","")&amp;IF(AND(BW1282=1,BX1282&lt;BY1282),"MAX &lt; MB+LG; ","")&amp;IF(AND(CC1282&gt;0,CB1282*10&gt;CC1282),"zu hoch für Tablar; ","")&amp;IF(AND(BN1282=0,OR(BW1282=1,Y1282&lt;&gt;"",S1282&lt;&gt;"",T1282&lt;&gt;"",Z1282&lt;&gt;"")),"manuell übersteuert; ","")&amp;IF(AND(BR1282=0,Q1282=0),"Gebinde unbekannt / Stellmass fehlt; ","")&amp;IF(AND(BR1282=0,N(T1282)&lt;=0,N(P1282)&lt;=0),"Menge pro Gebinde fehlt (Ist = 1 Gebinde); ","")&amp;BM1282)</f>
        <v>negativer Bestand (Export -20); Kein Verbrauch; Lose – Fläche geschätzt; </v>
      </c>
      <c r="BF1282" s="55"/>
      <c r="BG1282" s="55"/>
      <c r="BH1282" s="62"/>
      <c r="BI1282" s="57" t="n">
        <v>-20</v>
      </c>
      <c r="BJ1282" s="57" t="n">
        <v>20</v>
      </c>
      <c r="BK1282" s="56" t="n">
        <v>-1040</v>
      </c>
      <c r="BL1282" s="57" t="n">
        <v>0</v>
      </c>
      <c r="BM1282" s="55"/>
      <c r="BN1282" s="60" t="n">
        <v>0</v>
      </c>
      <c r="BO1282" s="60" t="n">
        <v>1282</v>
      </c>
      <c r="BP1282" s="55" t="str">
        <f aca="false">IF(S1282&lt;&gt;"",UPPER(TRIM(S1282)),IF(O1282="","LOSE",O1282))</f>
        <v>LOSE</v>
      </c>
      <c r="BQ1282" s="57" t="n">
        <f aca="false">IF(BP1282="LOSE",1,IF(N(T1282)&gt;0,T1282,IF(N(P1282)&gt;0,P1282,MAX(1,G1282))))</f>
        <v>1</v>
      </c>
      <c r="BR1282" s="60" t="n">
        <f aca="false">IF(BP1282="LOSE",1,0)</f>
        <v>1</v>
      </c>
      <c r="BS1282" s="59" t="n">
        <f aca="false">IF(BR1282=0,0,IF(N(R1282)&gt;0,R1282,IFERROR(VLOOKUP(D1282,Parameter!$A$35:$C$64,3,0)+0,0)))</f>
        <v>0.15</v>
      </c>
      <c r="BT1282" s="55" t="n">
        <f aca="false">IF(Y1282&lt;&gt;"",Y1282,X1282)</f>
        <v>2</v>
      </c>
      <c r="BU1282" s="55" t="str">
        <f aca="false">IF(BT1282=1,"L1",IF(OR(BT1282=2,BT1282=3),"L23",IF(BT1282="Aussen","Aussen","-")))</f>
        <v>L23</v>
      </c>
      <c r="BV1282" s="66" t="n">
        <f aca="false">IF(N(Z1282)&gt;0,Z1282,0)</f>
        <v>0</v>
      </c>
      <c r="BW1282" s="60" t="n">
        <f aca="false">IF(ISNUMBER(AC1282),1,0)</f>
        <v>0</v>
      </c>
      <c r="BX1282" s="57" t="n">
        <f aca="false">N(AC1282)</f>
        <v>0</v>
      </c>
      <c r="BY1282" s="57" t="n">
        <f aca="false">N(L1282)+N(M1282)</f>
        <v>1</v>
      </c>
      <c r="BZ1282" s="57" t="n">
        <f aca="false">ROUNDUP(G1282/BQ1282,0)</f>
        <v>0</v>
      </c>
      <c r="CA1282" s="57" t="n">
        <f aca="false">ROUNDUP(BX1282/BQ1282,0)</f>
        <v>0</v>
      </c>
      <c r="CB1282" s="60" t="n">
        <f aca="false">IF(BR1282=1,0,IFERROR(VLOOKUP(BP1282,'Gebinde-Kategorie'!$A$5:$M$45,5,0)+0,0))</f>
        <v>0</v>
      </c>
      <c r="CC1282" s="60" t="n">
        <f aca="false">IFERROR(IF(OR(BT1282=1,BT1282=2,BT1282=3),N(INDEX(Parameter!$I$5:$I$7,BT1282)),0),0)</f>
        <v>0</v>
      </c>
      <c r="CD1282" s="59" t="n">
        <f aca="false">IF(AND(Parameter!$B$21="Ja",ISNUMBER(U1282),N(V1282)&gt;0),IFERROR(N(INDEX(Parameter!$L$5:$L$7,U1282))*INDEX(Parameter!$E$5:$E$7,U1282)*V1282/SUMIFS($V$7:$V$1576,$U$7:$U$1576,U1282),0),0)</f>
        <v>0</v>
      </c>
    </row>
    <row r="1283" customFormat="false" ht="15" hidden="false" customHeight="false" outlineLevel="0" collapsed="false">
      <c r="A1283" s="55" t="s">
        <v>2276</v>
      </c>
      <c r="B1283" s="55" t="s">
        <v>2137</v>
      </c>
      <c r="C1283" s="55" t="s">
        <v>446</v>
      </c>
      <c r="D1283" s="55" t="s">
        <v>168</v>
      </c>
      <c r="E1283" s="55" t="s">
        <v>210</v>
      </c>
      <c r="F1283" s="56" t="n">
        <v>522</v>
      </c>
      <c r="G1283" s="57" t="n">
        <f aca="false">MAX(0,IF(AND(Parameter!$B$21="Ja",ISNUMBER(W1283)),W1283,IF(Parameter!$B$20="Jahresanfang 2025 + Export",BJ1283+BI1283,BI1283)))</f>
        <v>0</v>
      </c>
      <c r="H1283" s="57" t="n">
        <f aca="false">G1283*F1283</f>
        <v>0</v>
      </c>
      <c r="I1283" s="57" t="n">
        <f aca="false">BL1283*Parameter!$B$18</f>
        <v>0</v>
      </c>
      <c r="J1283" s="58" t="n">
        <v>2</v>
      </c>
      <c r="K1283" s="59" t="n">
        <v>0</v>
      </c>
      <c r="L1283" s="57" t="n">
        <v>0</v>
      </c>
      <c r="M1283" s="57" t="n">
        <v>1</v>
      </c>
      <c r="N1283" s="60" t="n">
        <v>35</v>
      </c>
      <c r="O1283" s="55" t="s">
        <v>163</v>
      </c>
      <c r="P1283" s="57"/>
      <c r="Q1283" s="60" t="n">
        <f aca="false">IF(BR1283=1,0,IFERROR(VLOOKUP(BP1283,'Gebinde-Kategorie'!$A$5:$M$45,13,0)+0,0))</f>
        <v>0</v>
      </c>
      <c r="R1283" s="61"/>
      <c r="S1283" s="62"/>
      <c r="T1283" s="62"/>
      <c r="U1283" s="55"/>
      <c r="V1283" s="57"/>
      <c r="W1283" s="57"/>
      <c r="X1283" s="55" t="n">
        <f aca="false">IF(A1283="","",IF(AND(Parameter!$B$21="Ja",ISNUMBER(U1283)),U1283,IF(IFERROR(VLOOKUP(D1283,Parameter!$A$35:$C$64,2,0),"Nein")="2+3",IF(ISNUMBER(SEARCH("grosser Artikel",BM1283)),2,IFERROR(VLOOKUP(BP1283,Parameter!$F$35:$G$64,2,0),2)),IF(OR(IFERROR(VLOOKUP(D1283,Parameter!$A$35:$C$64,2,0),"Nein")="Nein",IFERROR(VLOOKUP(D1283,Parameter!$A$35:$C$64,2,0),"Nein")=""),"-",VLOOKUP(D1283,Parameter!$A$35:$C$64,2,0)))))</f>
        <v>2</v>
      </c>
      <c r="Y1283" s="62"/>
      <c r="Z1283" s="63"/>
      <c r="AA1283" s="57" t="n">
        <f aca="false">AP1283</f>
        <v>1</v>
      </c>
      <c r="AB1283" s="57" t="n">
        <f aca="false">MAX(AP1283,G1283)</f>
        <v>1</v>
      </c>
      <c r="AC1283" s="64"/>
      <c r="AD1283" s="57" t="n">
        <f aca="false">IF(LEFT(Cockpit!$C$5,1)="A",G1283,IF(BW1283=1,BX1283,IF(LEFT(Cockpit!$C$5,1)="B",AH1283,MAX(AH1283,G1283))))</f>
        <v>0</v>
      </c>
      <c r="AE1283" s="57" t="n">
        <f aca="false">IF(BR1283=1,0,ROUNDUP(AD1283/BQ1283,0))</f>
        <v>0</v>
      </c>
      <c r="AF1283" s="59" t="n">
        <f aca="false">IF(CD1283&gt;0,CD1283*MAX(1,AD1283/V1283),IF(BR1283=1,IF(AD1283&lt;=0,0,BS1283*MAX(1,IF(G1283&gt;0,AD1283/G1283,1))),IF(Q1283&gt;0,AE1283/Q1283,0))/MAX(0.1,N(Parameter!$M$21)))</f>
        <v>0</v>
      </c>
      <c r="AG1283" s="57" t="n">
        <f aca="false">AD1283*F1283</f>
        <v>0</v>
      </c>
      <c r="AH1283" s="57" t="n">
        <f aca="false">ROUNDUP(MAX(I1283/IF(BV1283&gt;0,BV1283,MAX(0.1,N(Cockpit!$C$6))),BY1283)/BQ1283,0)*BQ1283</f>
        <v>1</v>
      </c>
      <c r="AI1283" s="58" t="n">
        <f aca="false">IF(AF1283&gt;0,I1283/AF1283,-1)</f>
        <v>-1</v>
      </c>
      <c r="AJ1283" s="58" t="str">
        <f aca="false">IF(AND(OR(BU1283="L1",BU1283="L23"),AF1283&gt;0),SUMIFS($AF$7:$AF$1576,$BU$7:$BU$1576,BU1283,$AI$7:$AI$1576,"&gt;"&amp;AI1283)+SUMIFS($AF$7:$AF$1576,$BU$7:$BU$1576,BU1283,$AI$7:$AI$1576,AI1283,$BO$7:$BO$1576,"&lt;="&amp;BO1283),"")</f>
        <v/>
      </c>
      <c r="AK1283" s="65" t="n">
        <f aca="false">IF(AJ1283="",0,MAX(0,MIN(1,(IF(BU1283="L1",Parameter!$E$5,Parameter!$E$6+Parameter!$E$7)-(AJ1283-AF1283))/AF1283)))</f>
        <v>0</v>
      </c>
      <c r="AL1283" s="57" t="n">
        <f aca="false">IF(LEFT(Cockpit!$I$5,1)="A",G1283,IF(BW1283=1,BX1283,IF(LEFT(Cockpit!$I$5,1)="B",AP1283,MAX(AP1283,G1283))))</f>
        <v>1</v>
      </c>
      <c r="AM1283" s="57" t="n">
        <f aca="false">IF(BR1283=1,0,ROUNDUP(AL1283/BQ1283,0))</f>
        <v>0</v>
      </c>
      <c r="AN1283" s="59" t="n">
        <f aca="false">IF(CD1283&gt;0,CD1283*MAX(1,AL1283/V1283),IF(BR1283=1,IF(AL1283&lt;=0,0,BS1283*MAX(1,IF(G1283&gt;0,AL1283/G1283,1))),IF(Q1283&gt;0,AM1283/Q1283,0))/MAX(0.1,N(Parameter!$M$21)))</f>
        <v>0.15</v>
      </c>
      <c r="AO1283" s="57" t="n">
        <f aca="false">AL1283*F1283</f>
        <v>522</v>
      </c>
      <c r="AP1283" s="57" t="n">
        <f aca="false">ROUNDUP(MAX(I1283/IF(BV1283&gt;0,BV1283,MAX(0.1,N(Cockpit!$I$6))),BY1283)/BQ1283,0)*BQ1283</f>
        <v>1</v>
      </c>
      <c r="AQ1283" s="58" t="n">
        <f aca="false">IF(AN1283&gt;0,I1283/AN1283,-1)</f>
        <v>0</v>
      </c>
      <c r="AR1283" s="58" t="n">
        <f aca="false">IF(AND(OR(BU1283="L1",BU1283="L23"),AN1283&gt;0),SUMIFS($AN$7:$AN$1576,$BU$7:$BU$1576,BU1283,$AQ$7:$AQ$1576,"&gt;"&amp;AQ1283)+SUMIFS($AN$7:$AN$1576,$BU$7:$BU$1576,BU1283,$AQ$7:$AQ$1576,AQ1283,$BO$7:$BO$1576,"&lt;="&amp;BO1283),"")</f>
        <v>137.656640388644</v>
      </c>
      <c r="AS1283" s="65" t="n">
        <f aca="false">IF(AR1283="",0,MAX(0,MIN(1,(IF(BU1283="L1",Parameter!$E$5,Parameter!$E$6+Parameter!$E$7)-(AR1283-AN1283))/AN1283)))</f>
        <v>0</v>
      </c>
      <c r="AT1283" s="57" t="n">
        <f aca="false">IF(LEFT(Cockpit!$O$5,1)="A",G1283,IF(BW1283=1,BX1283,IF(LEFT(Cockpit!$O$5,1)="B",AX1283,MAX(AX1283,G1283))))</f>
        <v>1</v>
      </c>
      <c r="AU1283" s="57" t="n">
        <f aca="false">IF(BR1283=1,0,ROUNDUP(AT1283/BQ1283,0))</f>
        <v>0</v>
      </c>
      <c r="AV1283" s="59" t="n">
        <f aca="false">IF(CD1283&gt;0,CD1283*MAX(1,AT1283/V1283),IF(BR1283=1,IF(AT1283&lt;=0,0,BS1283*MAX(1,IF(G1283&gt;0,AT1283/G1283,1))),IF(Q1283&gt;0,AU1283/Q1283,0))/MAX(0.1,N(Parameter!$M$21)))</f>
        <v>0.15</v>
      </c>
      <c r="AW1283" s="57" t="n">
        <f aca="false">AT1283*F1283</f>
        <v>522</v>
      </c>
      <c r="AX1283" s="57" t="n">
        <f aca="false">ROUNDUP(MAX(I1283/IF(BV1283&gt;0,BV1283,MAX(0.1,N(Cockpit!$O$6))),BY1283)/BQ1283,0)*BQ1283</f>
        <v>1</v>
      </c>
      <c r="AY1283" s="58" t="n">
        <f aca="false">IF(AV1283&gt;0,I1283/AV1283,-1)</f>
        <v>0</v>
      </c>
      <c r="AZ1283" s="58" t="n">
        <f aca="false">IF(AND(OR(BU1283="L1",BU1283="L23"),AV1283&gt;0),SUMIFS($AV$7:$AV$1576,$BU$7:$BU$1576,BU1283,$AY$7:$AY$1576,"&gt;"&amp;AY1283)+SUMIFS($AV$7:$AV$1576,$BU$7:$BU$1576,BU1283,$AY$7:$AY$1576,AY1283,$BO$7:$BO$1576,"&lt;="&amp;BO1283),"")</f>
        <v>127.716190838195</v>
      </c>
      <c r="BA1283" s="65" t="n">
        <f aca="false">IF(AZ1283="",0,MAX(0,MIN(1,(IF(BU1283="L1",Parameter!$E$5,Parameter!$E$6+Parameter!$E$7)-(AZ1283-AV1283))/AV1283)))</f>
        <v>0</v>
      </c>
      <c r="BB1283" s="55" t="str">
        <f aca="false">IF(AF1283&lt;=0,"",IF(BU1283="Aussen","Aussenlager",IF(BU1283="-","Nicht im Lift",IF(AK1283&gt;=1,"Lift",IF(AK1283&lt;=0,"Aussenlager","teilweise")))))</f>
        <v/>
      </c>
      <c r="BC1283" s="55" t="str">
        <f aca="false">IF(AN1283&lt;=0,"",IF(BU1283="Aussen","Aussenlager",IF(BU1283="-","Nicht im Lift",IF(AS1283&gt;=1,"Lift",IF(AS1283&lt;=0,"Aussenlager","teilweise")))))</f>
        <v>Aussenlager</v>
      </c>
      <c r="BD1283" s="55" t="str">
        <f aca="false">IF(AV1283&lt;=0,"",IF(BU1283="Aussen","Aussenlager",IF(BU1283="-","Nicht im Lift",IF(BA1283&gt;=1,"Lift",IF(BA1283&lt;=0,"Aussenlager","teilweise")))))</f>
        <v>Aussenlager</v>
      </c>
      <c r="BE1283" s="55" t="str">
        <f aca="false">IF(A1283="","",IF(BN1283=1,"Neu; ","")&amp;IF(AND(BN1283=0,BI1283&lt;0),"negativer Bestand (Export "&amp;BI1283&amp;"); ","")&amp;IF(I1283&lt;=0,"Kein Verbrauch; ","")&amp;IF(CD1283&gt;0,"Lift "&amp;U1283&amp;" lt. Liftbericht (Fach "&amp;V1283&amp;" Stk); ",IF(BR1283=1,"Lose – Fläche geschätzt; ",""))&amp;IF(G1283&gt;AP1283,"Überbestand "&amp;ROUND(G1283-AP1283,0)&amp;" Stk / CHF "&amp;ROUND((G1283-AP1283)*F1283,0)&amp;"; ","")&amp;IF(AND(BW1283=1,BX1283&lt;BY1283),"MAX &lt; MB+LG; ","")&amp;IF(AND(CC1283&gt;0,CB1283*10&gt;CC1283),"zu hoch für Tablar; ","")&amp;IF(AND(BN1283=0,OR(BW1283=1,Y1283&lt;&gt;"",S1283&lt;&gt;"",T1283&lt;&gt;"",Z1283&lt;&gt;"")),"manuell übersteuert; ","")&amp;IF(AND(BR1283=0,Q1283=0),"Gebinde unbekannt / Stellmass fehlt; ","")&amp;IF(AND(BR1283=0,N(T1283)&lt;=0,N(P1283)&lt;=0),"Menge pro Gebinde fehlt (Ist = 1 Gebinde); ","")&amp;BM1283)</f>
        <v>negativer Bestand (Export -2); Kein Verbrauch; Lose – Fläche geschätzt; </v>
      </c>
      <c r="BF1283" s="55"/>
      <c r="BG1283" s="55"/>
      <c r="BH1283" s="62"/>
      <c r="BI1283" s="57" t="n">
        <v>-2</v>
      </c>
      <c r="BJ1283" s="57" t="n">
        <v>2</v>
      </c>
      <c r="BK1283" s="56" t="n">
        <v>-1044</v>
      </c>
      <c r="BL1283" s="57" t="n">
        <v>0</v>
      </c>
      <c r="BM1283" s="55"/>
      <c r="BN1283" s="60" t="n">
        <v>0</v>
      </c>
      <c r="BO1283" s="60" t="n">
        <v>1283</v>
      </c>
      <c r="BP1283" s="55" t="str">
        <f aca="false">IF(S1283&lt;&gt;"",UPPER(TRIM(S1283)),IF(O1283="","LOSE",O1283))</f>
        <v>LOSE</v>
      </c>
      <c r="BQ1283" s="57" t="n">
        <f aca="false">IF(BP1283="LOSE",1,IF(N(T1283)&gt;0,T1283,IF(N(P1283)&gt;0,P1283,MAX(1,G1283))))</f>
        <v>1</v>
      </c>
      <c r="BR1283" s="60" t="n">
        <f aca="false">IF(BP1283="LOSE",1,0)</f>
        <v>1</v>
      </c>
      <c r="BS1283" s="59" t="n">
        <f aca="false">IF(BR1283=0,0,IF(N(R1283)&gt;0,R1283,IFERROR(VLOOKUP(D1283,Parameter!$A$35:$C$64,3,0)+0,0)))</f>
        <v>0.15</v>
      </c>
      <c r="BT1283" s="55" t="n">
        <f aca="false">IF(Y1283&lt;&gt;"",Y1283,X1283)</f>
        <v>2</v>
      </c>
      <c r="BU1283" s="55" t="str">
        <f aca="false">IF(BT1283=1,"L1",IF(OR(BT1283=2,BT1283=3),"L23",IF(BT1283="Aussen","Aussen","-")))</f>
        <v>L23</v>
      </c>
      <c r="BV1283" s="66" t="n">
        <f aca="false">IF(N(Z1283)&gt;0,Z1283,0)</f>
        <v>0</v>
      </c>
      <c r="BW1283" s="60" t="n">
        <f aca="false">IF(ISNUMBER(AC1283),1,0)</f>
        <v>0</v>
      </c>
      <c r="BX1283" s="57" t="n">
        <f aca="false">N(AC1283)</f>
        <v>0</v>
      </c>
      <c r="BY1283" s="57" t="n">
        <f aca="false">N(L1283)+N(M1283)</f>
        <v>1</v>
      </c>
      <c r="BZ1283" s="57" t="n">
        <f aca="false">ROUNDUP(G1283/BQ1283,0)</f>
        <v>0</v>
      </c>
      <c r="CA1283" s="57" t="n">
        <f aca="false">ROUNDUP(BX1283/BQ1283,0)</f>
        <v>0</v>
      </c>
      <c r="CB1283" s="60" t="n">
        <f aca="false">IF(BR1283=1,0,IFERROR(VLOOKUP(BP1283,'Gebinde-Kategorie'!$A$5:$M$45,5,0)+0,0))</f>
        <v>0</v>
      </c>
      <c r="CC1283" s="60" t="n">
        <f aca="false">IFERROR(IF(OR(BT1283=1,BT1283=2,BT1283=3),N(INDEX(Parameter!$I$5:$I$7,BT1283)),0),0)</f>
        <v>0</v>
      </c>
      <c r="CD1283" s="59" t="n">
        <f aca="false">IF(AND(Parameter!$B$21="Ja",ISNUMBER(U1283),N(V1283)&gt;0),IFERROR(N(INDEX(Parameter!$L$5:$L$7,U1283))*INDEX(Parameter!$E$5:$E$7,U1283)*V1283/SUMIFS($V$7:$V$1576,$U$7:$U$1576,U1283),0),0)</f>
        <v>0</v>
      </c>
    </row>
    <row r="1284" customFormat="false" ht="15" hidden="false" customHeight="false" outlineLevel="0" collapsed="false">
      <c r="A1284" s="55" t="s">
        <v>2277</v>
      </c>
      <c r="B1284" s="55" t="s">
        <v>198</v>
      </c>
      <c r="C1284" s="55" t="s">
        <v>446</v>
      </c>
      <c r="D1284" s="55" t="s">
        <v>344</v>
      </c>
      <c r="E1284" s="55" t="s">
        <v>210</v>
      </c>
      <c r="F1284" s="56" t="n">
        <v>548</v>
      </c>
      <c r="G1284" s="57" t="n">
        <f aca="false">MAX(0,IF(AND(Parameter!$B$21="Ja",ISNUMBER(W1284)),W1284,IF(Parameter!$B$20="Jahresanfang 2025 + Export",BJ1284+BI1284,BI1284)))</f>
        <v>0</v>
      </c>
      <c r="H1284" s="57" t="n">
        <f aca="false">G1284*F1284</f>
        <v>0</v>
      </c>
      <c r="I1284" s="57" t="n">
        <f aca="false">BL1284*Parameter!$B$18</f>
        <v>0</v>
      </c>
      <c r="J1284" s="58" t="n">
        <v>1</v>
      </c>
      <c r="K1284" s="59" t="n">
        <v>0</v>
      </c>
      <c r="L1284" s="57" t="n">
        <v>0</v>
      </c>
      <c r="M1284" s="57" t="n">
        <v>1</v>
      </c>
      <c r="N1284" s="60" t="n">
        <v>0</v>
      </c>
      <c r="O1284" s="55" t="s">
        <v>163</v>
      </c>
      <c r="P1284" s="57"/>
      <c r="Q1284" s="60" t="n">
        <f aca="false">IF(BR1284=1,0,IFERROR(VLOOKUP(BP1284,'Gebinde-Kategorie'!$A$5:$M$45,13,0)+0,0))</f>
        <v>0</v>
      </c>
      <c r="R1284" s="61"/>
      <c r="S1284" s="62"/>
      <c r="T1284" s="62"/>
      <c r="U1284" s="55"/>
      <c r="V1284" s="57"/>
      <c r="W1284" s="57"/>
      <c r="X1284" s="55" t="str">
        <f aca="false">IF(A1284="","",IF(AND(Parameter!$B$21="Ja",ISNUMBER(U1284)),U1284,IF(IFERROR(VLOOKUP(D1284,Parameter!$A$35:$C$64,2,0),"Nein")="2+3",IF(ISNUMBER(SEARCH("grosser Artikel",BM1284)),2,IFERROR(VLOOKUP(BP1284,Parameter!$F$35:$G$64,2,0),2)),IF(OR(IFERROR(VLOOKUP(D1284,Parameter!$A$35:$C$64,2,0),"Nein")="Nein",IFERROR(VLOOKUP(D1284,Parameter!$A$35:$C$64,2,0),"Nein")=""),"-",VLOOKUP(D1284,Parameter!$A$35:$C$64,2,0)))))</f>
        <v>-</v>
      </c>
      <c r="Y1284" s="62"/>
      <c r="Z1284" s="63"/>
      <c r="AA1284" s="57" t="n">
        <f aca="false">AP1284</f>
        <v>1</v>
      </c>
      <c r="AB1284" s="57" t="n">
        <f aca="false">MAX(AP1284,G1284)</f>
        <v>1</v>
      </c>
      <c r="AC1284" s="64"/>
      <c r="AD1284" s="57" t="n">
        <f aca="false">IF(LEFT(Cockpit!$C$5,1)="A",G1284,IF(BW1284=1,BX1284,IF(LEFT(Cockpit!$C$5,1)="B",AH1284,MAX(AH1284,G1284))))</f>
        <v>0</v>
      </c>
      <c r="AE1284" s="57" t="n">
        <f aca="false">IF(BR1284=1,0,ROUNDUP(AD1284/BQ1284,0))</f>
        <v>0</v>
      </c>
      <c r="AF1284" s="59" t="n">
        <f aca="false">IF(CD1284&gt;0,CD1284*MAX(1,AD1284/V1284),IF(BR1284=1,IF(AD1284&lt;=0,0,BS1284*MAX(1,IF(G1284&gt;0,AD1284/G1284,1))),IF(Q1284&gt;0,AE1284/Q1284,0))/MAX(0.1,N(Parameter!$M$21)))</f>
        <v>0</v>
      </c>
      <c r="AG1284" s="57" t="n">
        <f aca="false">AD1284*F1284</f>
        <v>0</v>
      </c>
      <c r="AH1284" s="57" t="n">
        <f aca="false">ROUNDUP(MAX(I1284/IF(BV1284&gt;0,BV1284,MAX(0.1,N(Cockpit!$C$6))),BY1284)/BQ1284,0)*BQ1284</f>
        <v>1</v>
      </c>
      <c r="AI1284" s="58" t="n">
        <f aca="false">IF(AF1284&gt;0,I1284/AF1284,-1)</f>
        <v>-1</v>
      </c>
      <c r="AJ1284" s="58" t="str">
        <f aca="false">IF(AND(OR(BU1284="L1",BU1284="L23"),AF1284&gt;0),SUMIFS($AF$7:$AF$1576,$BU$7:$BU$1576,BU1284,$AI$7:$AI$1576,"&gt;"&amp;AI1284)+SUMIFS($AF$7:$AF$1576,$BU$7:$BU$1576,BU1284,$AI$7:$AI$1576,AI1284,$BO$7:$BO$1576,"&lt;="&amp;BO1284),"")</f>
        <v/>
      </c>
      <c r="AK1284" s="65" t="n">
        <f aca="false">IF(AJ1284="",0,MAX(0,MIN(1,(IF(BU1284="L1",Parameter!$E$5,Parameter!$E$6+Parameter!$E$7)-(AJ1284-AF1284))/AF1284)))</f>
        <v>0</v>
      </c>
      <c r="AL1284" s="57" t="n">
        <f aca="false">IF(LEFT(Cockpit!$I$5,1)="A",G1284,IF(BW1284=1,BX1284,IF(LEFT(Cockpit!$I$5,1)="B",AP1284,MAX(AP1284,G1284))))</f>
        <v>1</v>
      </c>
      <c r="AM1284" s="57" t="n">
        <f aca="false">IF(BR1284=1,0,ROUNDUP(AL1284/BQ1284,0))</f>
        <v>0</v>
      </c>
      <c r="AN1284" s="59" t="n">
        <f aca="false">IF(CD1284&gt;0,CD1284*MAX(1,AL1284/V1284),IF(BR1284=1,IF(AL1284&lt;=0,0,BS1284*MAX(1,IF(G1284&gt;0,AL1284/G1284,1))),IF(Q1284&gt;0,AM1284/Q1284,0))/MAX(0.1,N(Parameter!$M$21)))</f>
        <v>0.15</v>
      </c>
      <c r="AO1284" s="57" t="n">
        <f aca="false">AL1284*F1284</f>
        <v>548</v>
      </c>
      <c r="AP1284" s="57" t="n">
        <f aca="false">ROUNDUP(MAX(I1284/IF(BV1284&gt;0,BV1284,MAX(0.1,N(Cockpit!$I$6))),BY1284)/BQ1284,0)*BQ1284</f>
        <v>1</v>
      </c>
      <c r="AQ1284" s="58" t="n">
        <f aca="false">IF(AN1284&gt;0,I1284/AN1284,-1)</f>
        <v>0</v>
      </c>
      <c r="AR1284" s="58" t="str">
        <f aca="false">IF(AND(OR(BU1284="L1",BU1284="L23"),AN1284&gt;0),SUMIFS($AN$7:$AN$1576,$BU$7:$BU$1576,BU1284,$AQ$7:$AQ$1576,"&gt;"&amp;AQ1284)+SUMIFS($AN$7:$AN$1576,$BU$7:$BU$1576,BU1284,$AQ$7:$AQ$1576,AQ1284,$BO$7:$BO$1576,"&lt;="&amp;BO1284),"")</f>
        <v/>
      </c>
      <c r="AS1284" s="65" t="n">
        <f aca="false">IF(AR1284="",0,MAX(0,MIN(1,(IF(BU1284="L1",Parameter!$E$5,Parameter!$E$6+Parameter!$E$7)-(AR1284-AN1284))/AN1284)))</f>
        <v>0</v>
      </c>
      <c r="AT1284" s="57" t="n">
        <f aca="false">IF(LEFT(Cockpit!$O$5,1)="A",G1284,IF(BW1284=1,BX1284,IF(LEFT(Cockpit!$O$5,1)="B",AX1284,MAX(AX1284,G1284))))</f>
        <v>1</v>
      </c>
      <c r="AU1284" s="57" t="n">
        <f aca="false">IF(BR1284=1,0,ROUNDUP(AT1284/BQ1284,0))</f>
        <v>0</v>
      </c>
      <c r="AV1284" s="59" t="n">
        <f aca="false">IF(CD1284&gt;0,CD1284*MAX(1,AT1284/V1284),IF(BR1284=1,IF(AT1284&lt;=0,0,BS1284*MAX(1,IF(G1284&gt;0,AT1284/G1284,1))),IF(Q1284&gt;0,AU1284/Q1284,0))/MAX(0.1,N(Parameter!$M$21)))</f>
        <v>0.15</v>
      </c>
      <c r="AW1284" s="57" t="n">
        <f aca="false">AT1284*F1284</f>
        <v>548</v>
      </c>
      <c r="AX1284" s="57" t="n">
        <f aca="false">ROUNDUP(MAX(I1284/IF(BV1284&gt;0,BV1284,MAX(0.1,N(Cockpit!$O$6))),BY1284)/BQ1284,0)*BQ1284</f>
        <v>1</v>
      </c>
      <c r="AY1284" s="58" t="n">
        <f aca="false">IF(AV1284&gt;0,I1284/AV1284,-1)</f>
        <v>0</v>
      </c>
      <c r="AZ1284" s="58" t="str">
        <f aca="false">IF(AND(OR(BU1284="L1",BU1284="L23"),AV1284&gt;0),SUMIFS($AV$7:$AV$1576,$BU$7:$BU$1576,BU1284,$AY$7:$AY$1576,"&gt;"&amp;AY1284)+SUMIFS($AV$7:$AV$1576,$BU$7:$BU$1576,BU1284,$AY$7:$AY$1576,AY1284,$BO$7:$BO$1576,"&lt;="&amp;BO1284),"")</f>
        <v/>
      </c>
      <c r="BA1284" s="65" t="n">
        <f aca="false">IF(AZ1284="",0,MAX(0,MIN(1,(IF(BU1284="L1",Parameter!$E$5,Parameter!$E$6+Parameter!$E$7)-(AZ1284-AV1284))/AV1284)))</f>
        <v>0</v>
      </c>
      <c r="BB1284" s="55" t="str">
        <f aca="false">IF(AF1284&lt;=0,"",IF(BU1284="Aussen","Aussenlager",IF(BU1284="-","Nicht im Lift",IF(AK1284&gt;=1,"Lift",IF(AK1284&lt;=0,"Aussenlager","teilweise")))))</f>
        <v/>
      </c>
      <c r="BC1284" s="55" t="str">
        <f aca="false">IF(AN1284&lt;=0,"",IF(BU1284="Aussen","Aussenlager",IF(BU1284="-","Nicht im Lift",IF(AS1284&gt;=1,"Lift",IF(AS1284&lt;=0,"Aussenlager","teilweise")))))</f>
        <v>Nicht im Lift</v>
      </c>
      <c r="BD1284" s="55" t="str">
        <f aca="false">IF(AV1284&lt;=0,"",IF(BU1284="Aussen","Aussenlager",IF(BU1284="-","Nicht im Lift",IF(BA1284&gt;=1,"Lift",IF(BA1284&lt;=0,"Aussenlager","teilweise")))))</f>
        <v>Nicht im Lift</v>
      </c>
      <c r="BE1284" s="55" t="str">
        <f aca="false">IF(A1284="","",IF(BN1284=1,"Neu; ","")&amp;IF(AND(BN1284=0,BI1284&lt;0),"negativer Bestand (Export "&amp;BI1284&amp;"); ","")&amp;IF(I1284&lt;=0,"Kein Verbrauch; ","")&amp;IF(CD1284&gt;0,"Lift "&amp;U1284&amp;" lt. Liftbericht (Fach "&amp;V1284&amp;" Stk); ",IF(BR1284=1,"Lose – Fläche geschätzt; ",""))&amp;IF(G1284&gt;AP1284,"Überbestand "&amp;ROUND(G1284-AP1284,0)&amp;" Stk / CHF "&amp;ROUND((G1284-AP1284)*F1284,0)&amp;"; ","")&amp;IF(AND(BW1284=1,BX1284&lt;BY1284),"MAX &lt; MB+LG; ","")&amp;IF(AND(CC1284&gt;0,CB1284*10&gt;CC1284),"zu hoch für Tablar; ","")&amp;IF(AND(BN1284=0,OR(BW1284=1,Y1284&lt;&gt;"",S1284&lt;&gt;"",T1284&lt;&gt;"",Z1284&lt;&gt;"")),"manuell übersteuert; ","")&amp;IF(AND(BR1284=0,Q1284=0),"Gebinde unbekannt / Stellmass fehlt; ","")&amp;IF(AND(BR1284=0,N(T1284)&lt;=0,N(P1284)&lt;=0),"Menge pro Gebinde fehlt (Ist = 1 Gebinde); ","")&amp;BM1284)</f>
        <v>negativer Bestand (Export -2); Kein Verbrauch; Lose – Fläche geschätzt; </v>
      </c>
      <c r="BF1284" s="55"/>
      <c r="BG1284" s="55"/>
      <c r="BH1284" s="62"/>
      <c r="BI1284" s="57" t="n">
        <v>-2</v>
      </c>
      <c r="BJ1284" s="57" t="n">
        <v>2</v>
      </c>
      <c r="BK1284" s="56" t="n">
        <v>-1096</v>
      </c>
      <c r="BL1284" s="57" t="n">
        <v>0</v>
      </c>
      <c r="BM1284" s="55"/>
      <c r="BN1284" s="60" t="n">
        <v>0</v>
      </c>
      <c r="BO1284" s="60" t="n">
        <v>1284</v>
      </c>
      <c r="BP1284" s="55" t="str">
        <f aca="false">IF(S1284&lt;&gt;"",UPPER(TRIM(S1284)),IF(O1284="","LOSE",O1284))</f>
        <v>LOSE</v>
      </c>
      <c r="BQ1284" s="57" t="n">
        <f aca="false">IF(BP1284="LOSE",1,IF(N(T1284)&gt;0,T1284,IF(N(P1284)&gt;0,P1284,MAX(1,G1284))))</f>
        <v>1</v>
      </c>
      <c r="BR1284" s="60" t="n">
        <f aca="false">IF(BP1284="LOSE",1,0)</f>
        <v>1</v>
      </c>
      <c r="BS1284" s="59" t="n">
        <f aca="false">IF(BR1284=0,0,IF(N(R1284)&gt;0,R1284,IFERROR(VLOOKUP(D1284,Parameter!$A$35:$C$64,3,0)+0,0)))</f>
        <v>0.15</v>
      </c>
      <c r="BT1284" s="55" t="str">
        <f aca="false">IF(Y1284&lt;&gt;"",Y1284,X1284)</f>
        <v>-</v>
      </c>
      <c r="BU1284" s="55" t="str">
        <f aca="false">IF(BT1284=1,"L1",IF(OR(BT1284=2,BT1284=3),"L23",IF(BT1284="Aussen","Aussen","-")))</f>
        <v>-</v>
      </c>
      <c r="BV1284" s="66" t="n">
        <f aca="false">IF(N(Z1284)&gt;0,Z1284,0)</f>
        <v>0</v>
      </c>
      <c r="BW1284" s="60" t="n">
        <f aca="false">IF(ISNUMBER(AC1284),1,0)</f>
        <v>0</v>
      </c>
      <c r="BX1284" s="57" t="n">
        <f aca="false">N(AC1284)</f>
        <v>0</v>
      </c>
      <c r="BY1284" s="57" t="n">
        <f aca="false">N(L1284)+N(M1284)</f>
        <v>1</v>
      </c>
      <c r="BZ1284" s="57" t="n">
        <f aca="false">ROUNDUP(G1284/BQ1284,0)</f>
        <v>0</v>
      </c>
      <c r="CA1284" s="57" t="n">
        <f aca="false">ROUNDUP(BX1284/BQ1284,0)</f>
        <v>0</v>
      </c>
      <c r="CB1284" s="60" t="n">
        <f aca="false">IF(BR1284=1,0,IFERROR(VLOOKUP(BP1284,'Gebinde-Kategorie'!$A$5:$M$45,5,0)+0,0))</f>
        <v>0</v>
      </c>
      <c r="CC1284" s="60" t="n">
        <f aca="false">IFERROR(IF(OR(BT1284=1,BT1284=2,BT1284=3),N(INDEX(Parameter!$I$5:$I$7,BT1284)),0),0)</f>
        <v>0</v>
      </c>
      <c r="CD1284" s="59" t="n">
        <f aca="false">IF(AND(Parameter!$B$21="Ja",ISNUMBER(U1284),N(V1284)&gt;0),IFERROR(N(INDEX(Parameter!$L$5:$L$7,U1284))*INDEX(Parameter!$E$5:$E$7,U1284)*V1284/SUMIFS($V$7:$V$1576,$U$7:$U$1576,U1284),0),0)</f>
        <v>0</v>
      </c>
    </row>
    <row r="1285" customFormat="false" ht="15" hidden="false" customHeight="false" outlineLevel="0" collapsed="false">
      <c r="A1285" s="55" t="s">
        <v>2278</v>
      </c>
      <c r="B1285" s="55" t="s">
        <v>2279</v>
      </c>
      <c r="C1285" s="55" t="s">
        <v>160</v>
      </c>
      <c r="D1285" s="55" t="s">
        <v>178</v>
      </c>
      <c r="E1285" s="55" t="s">
        <v>210</v>
      </c>
      <c r="F1285" s="56" t="n">
        <v>114.41</v>
      </c>
      <c r="G1285" s="57" t="n">
        <f aca="false">MAX(0,IF(AND(Parameter!$B$21="Ja",ISNUMBER(W1285)),W1285,IF(Parameter!$B$20="Jahresanfang 2025 + Export",BJ1285+BI1285,BI1285)))</f>
        <v>0</v>
      </c>
      <c r="H1285" s="57" t="n">
        <f aca="false">G1285*F1285</f>
        <v>0</v>
      </c>
      <c r="I1285" s="57" t="n">
        <f aca="false">BL1285*Parameter!$B$18</f>
        <v>5</v>
      </c>
      <c r="J1285" s="58" t="n">
        <v>11.5</v>
      </c>
      <c r="K1285" s="59" t="n">
        <v>0.434782608695652</v>
      </c>
      <c r="L1285" s="57" t="n">
        <v>0</v>
      </c>
      <c r="M1285" s="57" t="n">
        <v>5</v>
      </c>
      <c r="N1285" s="60" t="n">
        <v>56</v>
      </c>
      <c r="O1285" s="55" t="s">
        <v>411</v>
      </c>
      <c r="P1285" s="57" t="n">
        <v>8</v>
      </c>
      <c r="Q1285" s="60" t="n">
        <f aca="false">IF(BR1285=1,0,IFERROR(VLOOKUP(BP1285,'Gebinde-Kategorie'!$A$5:$M$45,13,0)+0,0))</f>
        <v>132</v>
      </c>
      <c r="R1285" s="61"/>
      <c r="S1285" s="62"/>
      <c r="T1285" s="62"/>
      <c r="U1285" s="55"/>
      <c r="V1285" s="57"/>
      <c r="W1285" s="57"/>
      <c r="X1285" s="55" t="n">
        <f aca="false">IF(A1285="","",IF(AND(Parameter!$B$21="Ja",ISNUMBER(U1285)),U1285,IF(IFERROR(VLOOKUP(D1285,Parameter!$A$35:$C$64,2,0),"Nein")="2+3",IF(ISNUMBER(SEARCH("grosser Artikel",BM1285)),2,IFERROR(VLOOKUP(BP1285,Parameter!$F$35:$G$64,2,0),2)),IF(OR(IFERROR(VLOOKUP(D1285,Parameter!$A$35:$C$64,2,0),"Nein")="Nein",IFERROR(VLOOKUP(D1285,Parameter!$A$35:$C$64,2,0),"Nein")=""),"-",VLOOKUP(D1285,Parameter!$A$35:$C$64,2,0)))))</f>
        <v>3</v>
      </c>
      <c r="Y1285" s="62"/>
      <c r="Z1285" s="63"/>
      <c r="AA1285" s="57" t="n">
        <f aca="false">AP1285</f>
        <v>8</v>
      </c>
      <c r="AB1285" s="57" t="n">
        <f aca="false">MAX(AP1285,G1285)</f>
        <v>8</v>
      </c>
      <c r="AC1285" s="64"/>
      <c r="AD1285" s="57" t="n">
        <f aca="false">IF(LEFT(Cockpit!$C$5,1)="A",G1285,IF(BW1285=1,BX1285,IF(LEFT(Cockpit!$C$5,1)="B",AH1285,MAX(AH1285,G1285))))</f>
        <v>0</v>
      </c>
      <c r="AE1285" s="57" t="n">
        <f aca="false">IF(BR1285=1,0,ROUNDUP(AD1285/BQ1285,0))</f>
        <v>0</v>
      </c>
      <c r="AF1285" s="59" t="n">
        <f aca="false">IF(CD1285&gt;0,CD1285*MAX(1,AD1285/V1285),IF(BR1285=1,IF(AD1285&lt;=0,0,BS1285*MAX(1,IF(G1285&gt;0,AD1285/G1285,1))),IF(Q1285&gt;0,AE1285/Q1285,0))/MAX(0.1,N(Parameter!$M$21)))</f>
        <v>0</v>
      </c>
      <c r="AG1285" s="57" t="n">
        <f aca="false">AD1285*F1285</f>
        <v>0</v>
      </c>
      <c r="AH1285" s="57" t="n">
        <f aca="false">ROUNDUP(MAX(I1285/IF(BV1285&gt;0,BV1285,MAX(0.1,N(Cockpit!$C$6))),BY1285)/BQ1285,0)*BQ1285</f>
        <v>8</v>
      </c>
      <c r="AI1285" s="58" t="n">
        <f aca="false">IF(AF1285&gt;0,I1285/AF1285,-1)</f>
        <v>-1</v>
      </c>
      <c r="AJ1285" s="58" t="str">
        <f aca="false">IF(AND(OR(BU1285="L1",BU1285="L23"),AF1285&gt;0),SUMIFS($AF$7:$AF$1576,$BU$7:$BU$1576,BU1285,$AI$7:$AI$1576,"&gt;"&amp;AI1285)+SUMIFS($AF$7:$AF$1576,$BU$7:$BU$1576,BU1285,$AI$7:$AI$1576,AI1285,$BO$7:$BO$1576,"&lt;="&amp;BO1285),"")</f>
        <v/>
      </c>
      <c r="AK1285" s="65" t="n">
        <f aca="false">IF(AJ1285="",0,MAX(0,MIN(1,(IF(BU1285="L1",Parameter!$E$5,Parameter!$E$6+Parameter!$E$7)-(AJ1285-AF1285))/AF1285)))</f>
        <v>0</v>
      </c>
      <c r="AL1285" s="57" t="n">
        <f aca="false">IF(LEFT(Cockpit!$I$5,1)="A",G1285,IF(BW1285=1,BX1285,IF(LEFT(Cockpit!$I$5,1)="B",AP1285,MAX(AP1285,G1285))))</f>
        <v>8</v>
      </c>
      <c r="AM1285" s="57" t="n">
        <f aca="false">IF(BR1285=1,0,ROUNDUP(AL1285/BQ1285,0))</f>
        <v>1</v>
      </c>
      <c r="AN1285" s="59" t="n">
        <f aca="false">IF(CD1285&gt;0,CD1285*MAX(1,AL1285/V1285),IF(BR1285=1,IF(AL1285&lt;=0,0,BS1285*MAX(1,IF(G1285&gt;0,AL1285/G1285,1))),IF(Q1285&gt;0,AM1285/Q1285,0))/MAX(0.1,N(Parameter!$M$21)))</f>
        <v>0.00757575757575758</v>
      </c>
      <c r="AO1285" s="57" t="n">
        <f aca="false">AL1285*F1285</f>
        <v>915.28</v>
      </c>
      <c r="AP1285" s="57" t="n">
        <f aca="false">ROUNDUP(MAX(I1285/IF(BV1285&gt;0,BV1285,MAX(0.1,N(Cockpit!$I$6))),BY1285)/BQ1285,0)*BQ1285</f>
        <v>8</v>
      </c>
      <c r="AQ1285" s="58" t="n">
        <f aca="false">IF(AN1285&gt;0,I1285/AN1285,-1)</f>
        <v>660</v>
      </c>
      <c r="AR1285" s="58" t="n">
        <f aca="false">IF(AND(OR(BU1285="L1",BU1285="L23"),AN1285&gt;0),SUMIFS($AN$7:$AN$1576,$BU$7:$BU$1576,BU1285,$AQ$7:$AQ$1576,"&gt;"&amp;AQ1285)+SUMIFS($AN$7:$AN$1576,$BU$7:$BU$1576,BU1285,$AQ$7:$AQ$1576,AQ1285,$BO$7:$BO$1576,"&lt;="&amp;BO1285),"")</f>
        <v>29.81523492242</v>
      </c>
      <c r="AS1285" s="65" t="n">
        <f aca="false">IF(AR1285="",0,MAX(0,MIN(1,(IF(BU1285="L1",Parameter!$E$5,Parameter!$E$6+Parameter!$E$7)-(AR1285-AN1285))/AN1285)))</f>
        <v>1</v>
      </c>
      <c r="AT1285" s="57" t="n">
        <f aca="false">IF(LEFT(Cockpit!$O$5,1)="A",G1285,IF(BW1285=1,BX1285,IF(LEFT(Cockpit!$O$5,1)="B",AX1285,MAX(AX1285,G1285))))</f>
        <v>8</v>
      </c>
      <c r="AU1285" s="57" t="n">
        <f aca="false">IF(BR1285=1,0,ROUNDUP(AT1285/BQ1285,0))</f>
        <v>1</v>
      </c>
      <c r="AV1285" s="59" t="n">
        <f aca="false">IF(CD1285&gt;0,CD1285*MAX(1,AT1285/V1285),IF(BR1285=1,IF(AT1285&lt;=0,0,BS1285*MAX(1,IF(G1285&gt;0,AT1285/G1285,1))),IF(Q1285&gt;0,AU1285/Q1285,0))/MAX(0.1,N(Parameter!$M$21)))</f>
        <v>0.00757575757575758</v>
      </c>
      <c r="AW1285" s="57" t="n">
        <f aca="false">AT1285*F1285</f>
        <v>915.28</v>
      </c>
      <c r="AX1285" s="57" t="n">
        <f aca="false">ROUNDUP(MAX(I1285/IF(BV1285&gt;0,BV1285,MAX(0.1,N(Cockpit!$O$6))),BY1285)/BQ1285,0)*BQ1285</f>
        <v>8</v>
      </c>
      <c r="AY1285" s="58" t="n">
        <f aca="false">IF(AV1285&gt;0,I1285/AV1285,-1)</f>
        <v>660</v>
      </c>
      <c r="AZ1285" s="58" t="n">
        <f aca="false">IF(AND(OR(BU1285="L1",BU1285="L23"),AV1285&gt;0),SUMIFS($AV$7:$AV$1576,$BU$7:$BU$1576,BU1285,$AY$7:$AY$1576,"&gt;"&amp;AY1285)+SUMIFS($AV$7:$AV$1576,$BU$7:$BU$1576,BU1285,$AY$7:$AY$1576,AY1285,$BO$7:$BO$1576,"&lt;="&amp;BO1285),"")</f>
        <v>29.526536953722</v>
      </c>
      <c r="BA1285" s="65" t="n">
        <f aca="false">IF(AZ1285="",0,MAX(0,MIN(1,(IF(BU1285="L1",Parameter!$E$5,Parameter!$E$6+Parameter!$E$7)-(AZ1285-AV1285))/AV1285)))</f>
        <v>1</v>
      </c>
      <c r="BB1285" s="55" t="str">
        <f aca="false">IF(AF1285&lt;=0,"",IF(BU1285="Aussen","Aussenlager",IF(BU1285="-","Nicht im Lift",IF(AK1285&gt;=1,"Lift",IF(AK1285&lt;=0,"Aussenlager","teilweise")))))</f>
        <v/>
      </c>
      <c r="BC1285" s="55" t="str">
        <f aca="false">IF(AN1285&lt;=0,"",IF(BU1285="Aussen","Aussenlager",IF(BU1285="-","Nicht im Lift",IF(AS1285&gt;=1,"Lift",IF(AS1285&lt;=0,"Aussenlager","teilweise")))))</f>
        <v>Lift</v>
      </c>
      <c r="BD1285" s="55" t="str">
        <f aca="false">IF(AV1285&lt;=0,"",IF(BU1285="Aussen","Aussenlager",IF(BU1285="-","Nicht im Lift",IF(BA1285&gt;=1,"Lift",IF(BA1285&lt;=0,"Aussenlager","teilweise")))))</f>
        <v>Lift</v>
      </c>
      <c r="BE1285" s="55" t="str">
        <f aca="false">IF(A1285="","",IF(BN1285=1,"Neu; ","")&amp;IF(AND(BN1285=0,BI1285&lt;0),"negativer Bestand (Export "&amp;BI1285&amp;"); ","")&amp;IF(I1285&lt;=0,"Kein Verbrauch; ","")&amp;IF(CD1285&gt;0,"Lift "&amp;U1285&amp;" lt. Liftbericht (Fach "&amp;V1285&amp;" Stk); ",IF(BR1285=1,"Lose – Fläche geschätzt; ",""))&amp;IF(G1285&gt;AP1285,"Überbestand "&amp;ROUND(G1285-AP1285,0)&amp;" Stk / CHF "&amp;ROUND((G1285-AP1285)*F1285,0)&amp;"; ","")&amp;IF(AND(BW1285=1,BX1285&lt;BY1285),"MAX &lt; MB+LG; ","")&amp;IF(AND(CC1285&gt;0,CB1285*10&gt;CC1285),"zu hoch für Tablar; ","")&amp;IF(AND(BN1285=0,OR(BW1285=1,Y1285&lt;&gt;"",S1285&lt;&gt;"",T1285&lt;&gt;"",Z1285&lt;&gt;"")),"manuell übersteuert; ","")&amp;IF(AND(BR1285=0,Q1285=0),"Gebinde unbekannt / Stellmass fehlt; ","")&amp;IF(AND(BR1285=0,N(T1285)&lt;=0,N(P1285)&lt;=0),"Menge pro Gebinde fehlt (Ist = 1 Gebinde); ","")&amp;BM1285)</f>
        <v>negativer Bestand (Export -10); nicht im KTL vorhanden</v>
      </c>
      <c r="BF1285" s="55"/>
      <c r="BG1285" s="55"/>
      <c r="BH1285" s="62"/>
      <c r="BI1285" s="57" t="n">
        <v>-10</v>
      </c>
      <c r="BJ1285" s="57" t="n">
        <v>12</v>
      </c>
      <c r="BK1285" s="56" t="n">
        <v>-1113.96</v>
      </c>
      <c r="BL1285" s="57" t="n">
        <v>5</v>
      </c>
      <c r="BM1285" s="55" t="s">
        <v>222</v>
      </c>
      <c r="BN1285" s="60" t="n">
        <v>0</v>
      </c>
      <c r="BO1285" s="60" t="n">
        <v>1285</v>
      </c>
      <c r="BP1285" s="55" t="str">
        <f aca="false">IF(S1285&lt;&gt;"",UPPER(TRIM(S1285)),IF(O1285="","LOSE",O1285))</f>
        <v>S32</v>
      </c>
      <c r="BQ1285" s="57" t="n">
        <f aca="false">IF(BP1285="LOSE",1,IF(N(T1285)&gt;0,T1285,IF(N(P1285)&gt;0,P1285,MAX(1,G1285))))</f>
        <v>8</v>
      </c>
      <c r="BR1285" s="60" t="n">
        <f aca="false">IF(BP1285="LOSE",1,0)</f>
        <v>0</v>
      </c>
      <c r="BS1285" s="59" t="n">
        <f aca="false">IF(BR1285=0,0,IF(N(R1285)&gt;0,R1285,IFERROR(VLOOKUP(D1285,Parameter!$A$35:$C$64,3,0)+0,0)))</f>
        <v>0</v>
      </c>
      <c r="BT1285" s="55" t="n">
        <f aca="false">IF(Y1285&lt;&gt;"",Y1285,X1285)</f>
        <v>3</v>
      </c>
      <c r="BU1285" s="55" t="str">
        <f aca="false">IF(BT1285=1,"L1",IF(OR(BT1285=2,BT1285=3),"L23",IF(BT1285="Aussen","Aussen","-")))</f>
        <v>L23</v>
      </c>
      <c r="BV1285" s="66" t="n">
        <f aca="false">IF(N(Z1285)&gt;0,Z1285,0)</f>
        <v>0</v>
      </c>
      <c r="BW1285" s="60" t="n">
        <f aca="false">IF(ISNUMBER(AC1285),1,0)</f>
        <v>0</v>
      </c>
      <c r="BX1285" s="57" t="n">
        <f aca="false">N(AC1285)</f>
        <v>0</v>
      </c>
      <c r="BY1285" s="57" t="n">
        <f aca="false">N(L1285)+N(M1285)</f>
        <v>5</v>
      </c>
      <c r="BZ1285" s="57" t="n">
        <f aca="false">ROUNDUP(G1285/BQ1285,0)</f>
        <v>0</v>
      </c>
      <c r="CA1285" s="57" t="n">
        <f aca="false">ROUNDUP(BX1285/BQ1285,0)</f>
        <v>0</v>
      </c>
      <c r="CB1285" s="60" t="n">
        <f aca="false">IF(BR1285=1,0,IFERROR(VLOOKUP(BP1285,'Gebinde-Kategorie'!$A$5:$M$45,5,0)+0,0))</f>
        <v>8</v>
      </c>
      <c r="CC1285" s="60" t="n">
        <f aca="false">IFERROR(IF(OR(BT1285=1,BT1285=2,BT1285=3),N(INDEX(Parameter!$I$5:$I$7,BT1285)),0),0)</f>
        <v>0</v>
      </c>
      <c r="CD1285" s="59" t="n">
        <f aca="false">IF(AND(Parameter!$B$21="Ja",ISNUMBER(U1285),N(V1285)&gt;0),IFERROR(N(INDEX(Parameter!$L$5:$L$7,U1285))*INDEX(Parameter!$E$5:$E$7,U1285)*V1285/SUMIFS($V$7:$V$1576,$U$7:$U$1576,U1285),0),0)</f>
        <v>0</v>
      </c>
    </row>
    <row r="1286" customFormat="false" ht="15" hidden="false" customHeight="false" outlineLevel="0" collapsed="false">
      <c r="A1286" s="55" t="s">
        <v>2280</v>
      </c>
      <c r="B1286" s="55" t="s">
        <v>2206</v>
      </c>
      <c r="C1286" s="55" t="s">
        <v>160</v>
      </c>
      <c r="D1286" s="55" t="s">
        <v>168</v>
      </c>
      <c r="E1286" s="55" t="s">
        <v>210</v>
      </c>
      <c r="F1286" s="56" t="n">
        <v>279.59</v>
      </c>
      <c r="G1286" s="57" t="n">
        <f aca="false">MAX(0,IF(AND(Parameter!$B$21="Ja",ISNUMBER(W1286)),W1286,IF(Parameter!$B$20="Jahresanfang 2025 + Export",BJ1286+BI1286,BI1286)))</f>
        <v>0</v>
      </c>
      <c r="H1286" s="57" t="n">
        <f aca="false">G1286*F1286</f>
        <v>0</v>
      </c>
      <c r="I1286" s="57" t="n">
        <f aca="false">BL1286*Parameter!$B$18</f>
        <v>2</v>
      </c>
      <c r="J1286" s="58" t="n">
        <v>111</v>
      </c>
      <c r="K1286" s="59" t="n">
        <v>0.018018018018018</v>
      </c>
      <c r="L1286" s="57" t="n">
        <v>0</v>
      </c>
      <c r="M1286" s="57" t="n">
        <v>1</v>
      </c>
      <c r="N1286" s="60" t="n">
        <v>28</v>
      </c>
      <c r="O1286" s="55" t="s">
        <v>163</v>
      </c>
      <c r="P1286" s="57"/>
      <c r="Q1286" s="60" t="n">
        <f aca="false">IF(BR1286=1,0,IFERROR(VLOOKUP(BP1286,'Gebinde-Kategorie'!$A$5:$M$45,13,0)+0,0))</f>
        <v>0</v>
      </c>
      <c r="R1286" s="61"/>
      <c r="S1286" s="62"/>
      <c r="T1286" s="62"/>
      <c r="U1286" s="55"/>
      <c r="V1286" s="57"/>
      <c r="W1286" s="57"/>
      <c r="X1286" s="55" t="n">
        <f aca="false">IF(A1286="","",IF(AND(Parameter!$B$21="Ja",ISNUMBER(U1286)),U1286,IF(IFERROR(VLOOKUP(D1286,Parameter!$A$35:$C$64,2,0),"Nein")="2+3",IF(ISNUMBER(SEARCH("grosser Artikel",BM1286)),2,IFERROR(VLOOKUP(BP1286,Parameter!$F$35:$G$64,2,0),2)),IF(OR(IFERROR(VLOOKUP(D1286,Parameter!$A$35:$C$64,2,0),"Nein")="Nein",IFERROR(VLOOKUP(D1286,Parameter!$A$35:$C$64,2,0),"Nein")=""),"-",VLOOKUP(D1286,Parameter!$A$35:$C$64,2,0)))))</f>
        <v>2</v>
      </c>
      <c r="Y1286" s="62"/>
      <c r="Z1286" s="63"/>
      <c r="AA1286" s="57" t="n">
        <f aca="false">AP1286</f>
        <v>1</v>
      </c>
      <c r="AB1286" s="57" t="n">
        <f aca="false">MAX(AP1286,G1286)</f>
        <v>1</v>
      </c>
      <c r="AC1286" s="64"/>
      <c r="AD1286" s="57" t="n">
        <f aca="false">IF(LEFT(Cockpit!$C$5,1)="A",G1286,IF(BW1286=1,BX1286,IF(LEFT(Cockpit!$C$5,1)="B",AH1286,MAX(AH1286,G1286))))</f>
        <v>0</v>
      </c>
      <c r="AE1286" s="57" t="n">
        <f aca="false">IF(BR1286=1,0,ROUNDUP(AD1286/BQ1286,0))</f>
        <v>0</v>
      </c>
      <c r="AF1286" s="59" t="n">
        <f aca="false">IF(CD1286&gt;0,CD1286*MAX(1,AD1286/V1286),IF(BR1286=1,IF(AD1286&lt;=0,0,BS1286*MAX(1,IF(G1286&gt;0,AD1286/G1286,1))),IF(Q1286&gt;0,AE1286/Q1286,0))/MAX(0.1,N(Parameter!$M$21)))</f>
        <v>0</v>
      </c>
      <c r="AG1286" s="57" t="n">
        <f aca="false">AD1286*F1286</f>
        <v>0</v>
      </c>
      <c r="AH1286" s="57" t="n">
        <f aca="false">ROUNDUP(MAX(I1286/IF(BV1286&gt;0,BV1286,MAX(0.1,N(Cockpit!$C$6))),BY1286)/BQ1286,0)*BQ1286</f>
        <v>1</v>
      </c>
      <c r="AI1286" s="58" t="n">
        <f aca="false">IF(AF1286&gt;0,I1286/AF1286,-1)</f>
        <v>-1</v>
      </c>
      <c r="AJ1286" s="58" t="str">
        <f aca="false">IF(AND(OR(BU1286="L1",BU1286="L23"),AF1286&gt;0),SUMIFS($AF$7:$AF$1576,$BU$7:$BU$1576,BU1286,$AI$7:$AI$1576,"&gt;"&amp;AI1286)+SUMIFS($AF$7:$AF$1576,$BU$7:$BU$1576,BU1286,$AI$7:$AI$1576,AI1286,$BO$7:$BO$1576,"&lt;="&amp;BO1286),"")</f>
        <v/>
      </c>
      <c r="AK1286" s="65" t="n">
        <f aca="false">IF(AJ1286="",0,MAX(0,MIN(1,(IF(BU1286="L1",Parameter!$E$5,Parameter!$E$6+Parameter!$E$7)-(AJ1286-AF1286))/AF1286)))</f>
        <v>0</v>
      </c>
      <c r="AL1286" s="57" t="n">
        <f aca="false">IF(LEFT(Cockpit!$I$5,1)="A",G1286,IF(BW1286=1,BX1286,IF(LEFT(Cockpit!$I$5,1)="B",AP1286,MAX(AP1286,G1286))))</f>
        <v>1</v>
      </c>
      <c r="AM1286" s="57" t="n">
        <f aca="false">IF(BR1286=1,0,ROUNDUP(AL1286/BQ1286,0))</f>
        <v>0</v>
      </c>
      <c r="AN1286" s="59" t="n">
        <f aca="false">IF(CD1286&gt;0,CD1286*MAX(1,AL1286/V1286),IF(BR1286=1,IF(AL1286&lt;=0,0,BS1286*MAX(1,IF(G1286&gt;0,AL1286/G1286,1))),IF(Q1286&gt;0,AM1286/Q1286,0))/MAX(0.1,N(Parameter!$M$21)))</f>
        <v>0.15</v>
      </c>
      <c r="AO1286" s="57" t="n">
        <f aca="false">AL1286*F1286</f>
        <v>279.59</v>
      </c>
      <c r="AP1286" s="57" t="n">
        <f aca="false">ROUNDUP(MAX(I1286/IF(BV1286&gt;0,BV1286,MAX(0.1,N(Cockpit!$I$6))),BY1286)/BQ1286,0)*BQ1286</f>
        <v>1</v>
      </c>
      <c r="AQ1286" s="58" t="n">
        <f aca="false">IF(AN1286&gt;0,I1286/AN1286,-1)</f>
        <v>13.3333333333333</v>
      </c>
      <c r="AR1286" s="58" t="n">
        <f aca="false">IF(AND(OR(BU1286="L1",BU1286="L23"),AN1286&gt;0),SUMIFS($AN$7:$AN$1576,$BU$7:$BU$1576,BU1286,$AQ$7:$AQ$1576,"&gt;"&amp;AQ1286)+SUMIFS($AN$7:$AN$1576,$BU$7:$BU$1576,BU1286,$AQ$7:$AQ$1576,AQ1286,$BO$7:$BO$1576,"&lt;="&amp;BO1286),"")</f>
        <v>106.768075614337</v>
      </c>
      <c r="AS1286" s="65" t="n">
        <f aca="false">IF(AR1286="",0,MAX(0,MIN(1,(IF(BU1286="L1",Parameter!$E$5,Parameter!$E$6+Parameter!$E$7)-(AR1286-AN1286))/AN1286)))</f>
        <v>0</v>
      </c>
      <c r="AT1286" s="57" t="n">
        <f aca="false">IF(LEFT(Cockpit!$O$5,1)="A",G1286,IF(BW1286=1,BX1286,IF(LEFT(Cockpit!$O$5,1)="B",AX1286,MAX(AX1286,G1286))))</f>
        <v>1</v>
      </c>
      <c r="AU1286" s="57" t="n">
        <f aca="false">IF(BR1286=1,0,ROUNDUP(AT1286/BQ1286,0))</f>
        <v>0</v>
      </c>
      <c r="AV1286" s="59" t="n">
        <f aca="false">IF(CD1286&gt;0,CD1286*MAX(1,AT1286/V1286),IF(BR1286=1,IF(AT1286&lt;=0,0,BS1286*MAX(1,IF(G1286&gt;0,AT1286/G1286,1))),IF(Q1286&gt;0,AU1286/Q1286,0))/MAX(0.1,N(Parameter!$M$21)))</f>
        <v>0.15</v>
      </c>
      <c r="AW1286" s="57" t="n">
        <f aca="false">AT1286*F1286</f>
        <v>279.59</v>
      </c>
      <c r="AX1286" s="57" t="n">
        <f aca="false">ROUNDUP(MAX(I1286/IF(BV1286&gt;0,BV1286,MAX(0.1,N(Cockpit!$O$6))),BY1286)/BQ1286,0)*BQ1286</f>
        <v>1</v>
      </c>
      <c r="AY1286" s="58" t="n">
        <f aca="false">IF(AV1286&gt;0,I1286/AV1286,-1)</f>
        <v>13.3333333333333</v>
      </c>
      <c r="AZ1286" s="58" t="n">
        <f aca="false">IF(AND(OR(BU1286="L1",BU1286="L23"),AV1286&gt;0),SUMIFS($AV$7:$AV$1576,$BU$7:$BU$1576,BU1286,$AY$7:$AY$1576,"&gt;"&amp;AY1286)+SUMIFS($AV$7:$AV$1576,$BU$7:$BU$1576,BU1286,$AY$7:$AY$1576,AY1286,$BO$7:$BO$1576,"&lt;="&amp;BO1286),"")</f>
        <v>96.8276260638872</v>
      </c>
      <c r="BA1286" s="65" t="n">
        <f aca="false">IF(AZ1286="",0,MAX(0,MIN(1,(IF(BU1286="L1",Parameter!$E$5,Parameter!$E$6+Parameter!$E$7)-(AZ1286-AV1286))/AV1286)))</f>
        <v>1</v>
      </c>
      <c r="BB1286" s="55" t="str">
        <f aca="false">IF(AF1286&lt;=0,"",IF(BU1286="Aussen","Aussenlager",IF(BU1286="-","Nicht im Lift",IF(AK1286&gt;=1,"Lift",IF(AK1286&lt;=0,"Aussenlager","teilweise")))))</f>
        <v/>
      </c>
      <c r="BC1286" s="55" t="str">
        <f aca="false">IF(AN1286&lt;=0,"",IF(BU1286="Aussen","Aussenlager",IF(BU1286="-","Nicht im Lift",IF(AS1286&gt;=1,"Lift",IF(AS1286&lt;=0,"Aussenlager","teilweise")))))</f>
        <v>Aussenlager</v>
      </c>
      <c r="BD1286" s="55" t="str">
        <f aca="false">IF(AV1286&lt;=0,"",IF(BU1286="Aussen","Aussenlager",IF(BU1286="-","Nicht im Lift",IF(BA1286&gt;=1,"Lift",IF(BA1286&lt;=0,"Aussenlager","teilweise")))))</f>
        <v>Lift</v>
      </c>
      <c r="BE1286" s="55" t="str">
        <f aca="false">IF(A1286="","",IF(BN1286=1,"Neu; ","")&amp;IF(AND(BN1286=0,BI1286&lt;0),"negativer Bestand (Export "&amp;BI1286&amp;"); ","")&amp;IF(I1286&lt;=0,"Kein Verbrauch; ","")&amp;IF(CD1286&gt;0,"Lift "&amp;U1286&amp;" lt. Liftbericht (Fach "&amp;V1286&amp;" Stk); ",IF(BR1286=1,"Lose – Fläche geschätzt; ",""))&amp;IF(G1286&gt;AP1286,"Überbestand "&amp;ROUND(G1286-AP1286,0)&amp;" Stk / CHF "&amp;ROUND((G1286-AP1286)*F1286,0)&amp;"; ","")&amp;IF(AND(BW1286=1,BX1286&lt;BY1286),"MAX &lt; MB+LG; ","")&amp;IF(AND(CC1286&gt;0,CB1286*10&gt;CC1286),"zu hoch für Tablar; ","")&amp;IF(AND(BN1286=0,OR(BW1286=1,Y1286&lt;&gt;"",S1286&lt;&gt;"",T1286&lt;&gt;"",Z1286&lt;&gt;"")),"manuell übersteuert; ","")&amp;IF(AND(BR1286=0,Q1286=0),"Gebinde unbekannt / Stellmass fehlt; ","")&amp;IF(AND(BR1286=0,N(T1286)&lt;=0,N(P1286)&lt;=0),"Menge pro Gebinde fehlt (Ist = 1 Gebinde); ","")&amp;BM1286)</f>
        <v>negativer Bestand (Export -4); Lose – Fläche geschätzt; </v>
      </c>
      <c r="BF1286" s="55"/>
      <c r="BG1286" s="55"/>
      <c r="BH1286" s="62"/>
      <c r="BI1286" s="57" t="n">
        <v>-4</v>
      </c>
      <c r="BJ1286" s="57" t="n">
        <v>112</v>
      </c>
      <c r="BK1286" s="56" t="n">
        <v>-1118.36</v>
      </c>
      <c r="BL1286" s="57" t="n">
        <v>2</v>
      </c>
      <c r="BM1286" s="55"/>
      <c r="BN1286" s="60" t="n">
        <v>0</v>
      </c>
      <c r="BO1286" s="60" t="n">
        <v>1286</v>
      </c>
      <c r="BP1286" s="55" t="str">
        <f aca="false">IF(S1286&lt;&gt;"",UPPER(TRIM(S1286)),IF(O1286="","LOSE",O1286))</f>
        <v>LOSE</v>
      </c>
      <c r="BQ1286" s="57" t="n">
        <f aca="false">IF(BP1286="LOSE",1,IF(N(T1286)&gt;0,T1286,IF(N(P1286)&gt;0,P1286,MAX(1,G1286))))</f>
        <v>1</v>
      </c>
      <c r="BR1286" s="60" t="n">
        <f aca="false">IF(BP1286="LOSE",1,0)</f>
        <v>1</v>
      </c>
      <c r="BS1286" s="59" t="n">
        <f aca="false">IF(BR1286=0,0,IF(N(R1286)&gt;0,R1286,IFERROR(VLOOKUP(D1286,Parameter!$A$35:$C$64,3,0)+0,0)))</f>
        <v>0.15</v>
      </c>
      <c r="BT1286" s="55" t="n">
        <f aca="false">IF(Y1286&lt;&gt;"",Y1286,X1286)</f>
        <v>2</v>
      </c>
      <c r="BU1286" s="55" t="str">
        <f aca="false">IF(BT1286=1,"L1",IF(OR(BT1286=2,BT1286=3),"L23",IF(BT1286="Aussen","Aussen","-")))</f>
        <v>L23</v>
      </c>
      <c r="BV1286" s="66" t="n">
        <f aca="false">IF(N(Z1286)&gt;0,Z1286,0)</f>
        <v>0</v>
      </c>
      <c r="BW1286" s="60" t="n">
        <f aca="false">IF(ISNUMBER(AC1286),1,0)</f>
        <v>0</v>
      </c>
      <c r="BX1286" s="57" t="n">
        <f aca="false">N(AC1286)</f>
        <v>0</v>
      </c>
      <c r="BY1286" s="57" t="n">
        <f aca="false">N(L1286)+N(M1286)</f>
        <v>1</v>
      </c>
      <c r="BZ1286" s="57" t="n">
        <f aca="false">ROUNDUP(G1286/BQ1286,0)</f>
        <v>0</v>
      </c>
      <c r="CA1286" s="57" t="n">
        <f aca="false">ROUNDUP(BX1286/BQ1286,0)</f>
        <v>0</v>
      </c>
      <c r="CB1286" s="60" t="n">
        <f aca="false">IF(BR1286=1,0,IFERROR(VLOOKUP(BP1286,'Gebinde-Kategorie'!$A$5:$M$45,5,0)+0,0))</f>
        <v>0</v>
      </c>
      <c r="CC1286" s="60" t="n">
        <f aca="false">IFERROR(IF(OR(BT1286=1,BT1286=2,BT1286=3),N(INDEX(Parameter!$I$5:$I$7,BT1286)),0),0)</f>
        <v>0</v>
      </c>
      <c r="CD1286" s="59" t="n">
        <f aca="false">IF(AND(Parameter!$B$21="Ja",ISNUMBER(U1286),N(V1286)&gt;0),IFERROR(N(INDEX(Parameter!$L$5:$L$7,U1286))*INDEX(Parameter!$E$5:$E$7,U1286)*V1286/SUMIFS($V$7:$V$1576,$U$7:$U$1576,U1286),0),0)</f>
        <v>0</v>
      </c>
    </row>
    <row r="1287" customFormat="false" ht="15" hidden="false" customHeight="false" outlineLevel="0" collapsed="false">
      <c r="A1287" s="55" t="s">
        <v>2281</v>
      </c>
      <c r="B1287" s="55" t="s">
        <v>2282</v>
      </c>
      <c r="C1287" s="55" t="s">
        <v>160</v>
      </c>
      <c r="D1287" s="55" t="s">
        <v>178</v>
      </c>
      <c r="E1287" s="55" t="s">
        <v>210</v>
      </c>
      <c r="F1287" s="56" t="n">
        <v>112.45</v>
      </c>
      <c r="G1287" s="57" t="n">
        <f aca="false">MAX(0,IF(AND(Parameter!$B$21="Ja",ISNUMBER(W1287)),W1287,IF(Parameter!$B$20="Jahresanfang 2025 + Export",BJ1287+BI1287,BI1287)))</f>
        <v>0</v>
      </c>
      <c r="H1287" s="57" t="n">
        <f aca="false">G1287*F1287</f>
        <v>0</v>
      </c>
      <c r="I1287" s="57" t="n">
        <f aca="false">BL1287*Parameter!$B$18</f>
        <v>2</v>
      </c>
      <c r="J1287" s="58" t="n">
        <v>13</v>
      </c>
      <c r="K1287" s="59" t="n">
        <v>0.153846153846154</v>
      </c>
      <c r="L1287" s="57" t="n">
        <v>0</v>
      </c>
      <c r="M1287" s="57" t="n">
        <v>1</v>
      </c>
      <c r="N1287" s="60" t="n">
        <v>56</v>
      </c>
      <c r="O1287" s="55" t="s">
        <v>411</v>
      </c>
      <c r="P1287" s="57" t="n">
        <v>6</v>
      </c>
      <c r="Q1287" s="60" t="n">
        <f aca="false">IF(BR1287=1,0,IFERROR(VLOOKUP(BP1287,'Gebinde-Kategorie'!$A$5:$M$45,13,0)+0,0))</f>
        <v>132</v>
      </c>
      <c r="R1287" s="61"/>
      <c r="S1287" s="62"/>
      <c r="T1287" s="62"/>
      <c r="U1287" s="55"/>
      <c r="V1287" s="57"/>
      <c r="W1287" s="57"/>
      <c r="X1287" s="55" t="n">
        <f aca="false">IF(A1287="","",IF(AND(Parameter!$B$21="Ja",ISNUMBER(U1287)),U1287,IF(IFERROR(VLOOKUP(D1287,Parameter!$A$35:$C$64,2,0),"Nein")="2+3",IF(ISNUMBER(SEARCH("grosser Artikel",BM1287)),2,IFERROR(VLOOKUP(BP1287,Parameter!$F$35:$G$64,2,0),2)),IF(OR(IFERROR(VLOOKUP(D1287,Parameter!$A$35:$C$64,2,0),"Nein")="Nein",IFERROR(VLOOKUP(D1287,Parameter!$A$35:$C$64,2,0),"Nein")=""),"-",VLOOKUP(D1287,Parameter!$A$35:$C$64,2,0)))))</f>
        <v>3</v>
      </c>
      <c r="Y1287" s="62"/>
      <c r="Z1287" s="63"/>
      <c r="AA1287" s="57" t="n">
        <f aca="false">AP1287</f>
        <v>6</v>
      </c>
      <c r="AB1287" s="57" t="n">
        <f aca="false">MAX(AP1287,G1287)</f>
        <v>6</v>
      </c>
      <c r="AC1287" s="64"/>
      <c r="AD1287" s="57" t="n">
        <f aca="false">IF(LEFT(Cockpit!$C$5,1)="A",G1287,IF(BW1287=1,BX1287,IF(LEFT(Cockpit!$C$5,1)="B",AH1287,MAX(AH1287,G1287))))</f>
        <v>0</v>
      </c>
      <c r="AE1287" s="57" t="n">
        <f aca="false">IF(BR1287=1,0,ROUNDUP(AD1287/BQ1287,0))</f>
        <v>0</v>
      </c>
      <c r="AF1287" s="59" t="n">
        <f aca="false">IF(CD1287&gt;0,CD1287*MAX(1,AD1287/V1287),IF(BR1287=1,IF(AD1287&lt;=0,0,BS1287*MAX(1,IF(G1287&gt;0,AD1287/G1287,1))),IF(Q1287&gt;0,AE1287/Q1287,0))/MAX(0.1,N(Parameter!$M$21)))</f>
        <v>0</v>
      </c>
      <c r="AG1287" s="57" t="n">
        <f aca="false">AD1287*F1287</f>
        <v>0</v>
      </c>
      <c r="AH1287" s="57" t="n">
        <f aca="false">ROUNDUP(MAX(I1287/IF(BV1287&gt;0,BV1287,MAX(0.1,N(Cockpit!$C$6))),BY1287)/BQ1287,0)*BQ1287</f>
        <v>6</v>
      </c>
      <c r="AI1287" s="58" t="n">
        <f aca="false">IF(AF1287&gt;0,I1287/AF1287,-1)</f>
        <v>-1</v>
      </c>
      <c r="AJ1287" s="58" t="str">
        <f aca="false">IF(AND(OR(BU1287="L1",BU1287="L23"),AF1287&gt;0),SUMIFS($AF$7:$AF$1576,$BU$7:$BU$1576,BU1287,$AI$7:$AI$1576,"&gt;"&amp;AI1287)+SUMIFS($AF$7:$AF$1576,$BU$7:$BU$1576,BU1287,$AI$7:$AI$1576,AI1287,$BO$7:$BO$1576,"&lt;="&amp;BO1287),"")</f>
        <v/>
      </c>
      <c r="AK1287" s="65" t="n">
        <f aca="false">IF(AJ1287="",0,MAX(0,MIN(1,(IF(BU1287="L1",Parameter!$E$5,Parameter!$E$6+Parameter!$E$7)-(AJ1287-AF1287))/AF1287)))</f>
        <v>0</v>
      </c>
      <c r="AL1287" s="57" t="n">
        <f aca="false">IF(LEFT(Cockpit!$I$5,1)="A",G1287,IF(BW1287=1,BX1287,IF(LEFT(Cockpit!$I$5,1)="B",AP1287,MAX(AP1287,G1287))))</f>
        <v>6</v>
      </c>
      <c r="AM1287" s="57" t="n">
        <f aca="false">IF(BR1287=1,0,ROUNDUP(AL1287/BQ1287,0))</f>
        <v>1</v>
      </c>
      <c r="AN1287" s="59" t="n">
        <f aca="false">IF(CD1287&gt;0,CD1287*MAX(1,AL1287/V1287),IF(BR1287=1,IF(AL1287&lt;=0,0,BS1287*MAX(1,IF(G1287&gt;0,AL1287/G1287,1))),IF(Q1287&gt;0,AM1287/Q1287,0))/MAX(0.1,N(Parameter!$M$21)))</f>
        <v>0.00757575757575758</v>
      </c>
      <c r="AO1287" s="57" t="n">
        <f aca="false">AL1287*F1287</f>
        <v>674.7</v>
      </c>
      <c r="AP1287" s="57" t="n">
        <f aca="false">ROUNDUP(MAX(I1287/IF(BV1287&gt;0,BV1287,MAX(0.1,N(Cockpit!$I$6))),BY1287)/BQ1287,0)*BQ1287</f>
        <v>6</v>
      </c>
      <c r="AQ1287" s="58" t="n">
        <f aca="false">IF(AN1287&gt;0,I1287/AN1287,-1)</f>
        <v>264</v>
      </c>
      <c r="AR1287" s="58" t="n">
        <f aca="false">IF(AND(OR(BU1287="L1",BU1287="L23"),AN1287&gt;0),SUMIFS($AN$7:$AN$1576,$BU$7:$BU$1576,BU1287,$AQ$7:$AQ$1576,"&gt;"&amp;AQ1287)+SUMIFS($AN$7:$AN$1576,$BU$7:$BU$1576,BU1287,$AQ$7:$AQ$1576,AQ1287,$BO$7:$BO$1576,"&lt;="&amp;BO1287),"")</f>
        <v>45.4336960265333</v>
      </c>
      <c r="AS1287" s="65" t="n">
        <f aca="false">IF(AR1287="",0,MAX(0,MIN(1,(IF(BU1287="L1",Parameter!$E$5,Parameter!$E$6+Parameter!$E$7)-(AR1287-AN1287))/AN1287)))</f>
        <v>1</v>
      </c>
      <c r="AT1287" s="57" t="n">
        <f aca="false">IF(LEFT(Cockpit!$O$5,1)="A",G1287,IF(BW1287=1,BX1287,IF(LEFT(Cockpit!$O$5,1)="B",AX1287,MAX(AX1287,G1287))))</f>
        <v>6</v>
      </c>
      <c r="AU1287" s="57" t="n">
        <f aca="false">IF(BR1287=1,0,ROUNDUP(AT1287/BQ1287,0))</f>
        <v>1</v>
      </c>
      <c r="AV1287" s="59" t="n">
        <f aca="false">IF(CD1287&gt;0,CD1287*MAX(1,AT1287/V1287),IF(BR1287=1,IF(AT1287&lt;=0,0,BS1287*MAX(1,IF(G1287&gt;0,AT1287/G1287,1))),IF(Q1287&gt;0,AU1287/Q1287,0))/MAX(0.1,N(Parameter!$M$21)))</f>
        <v>0.00757575757575758</v>
      </c>
      <c r="AW1287" s="57" t="n">
        <f aca="false">AT1287*F1287</f>
        <v>674.7</v>
      </c>
      <c r="AX1287" s="57" t="n">
        <f aca="false">ROUNDUP(MAX(I1287/IF(BV1287&gt;0,BV1287,MAX(0.1,N(Cockpit!$O$6))),BY1287)/BQ1287,0)*BQ1287</f>
        <v>6</v>
      </c>
      <c r="AY1287" s="58" t="n">
        <f aca="false">IF(AV1287&gt;0,I1287/AV1287,-1)</f>
        <v>264</v>
      </c>
      <c r="AZ1287" s="58" t="n">
        <f aca="false">IF(AND(OR(BU1287="L1",BU1287="L23"),AV1287&gt;0),SUMIFS($AV$7:$AV$1576,$BU$7:$BU$1576,BU1287,$AY$7:$AY$1576,"&gt;"&amp;AY1287)+SUMIFS($AV$7:$AV$1576,$BU$7:$BU$1576,BU1287,$AY$7:$AY$1576,AY1287,$BO$7:$BO$1576,"&lt;="&amp;BO1287),"")</f>
        <v>41.7117746146119</v>
      </c>
      <c r="BA1287" s="65" t="n">
        <f aca="false">IF(AZ1287="",0,MAX(0,MIN(1,(IF(BU1287="L1",Parameter!$E$5,Parameter!$E$6+Parameter!$E$7)-(AZ1287-AV1287))/AV1287)))</f>
        <v>1</v>
      </c>
      <c r="BB1287" s="55" t="str">
        <f aca="false">IF(AF1287&lt;=0,"",IF(BU1287="Aussen","Aussenlager",IF(BU1287="-","Nicht im Lift",IF(AK1287&gt;=1,"Lift",IF(AK1287&lt;=0,"Aussenlager","teilweise")))))</f>
        <v/>
      </c>
      <c r="BC1287" s="55" t="str">
        <f aca="false">IF(AN1287&lt;=0,"",IF(BU1287="Aussen","Aussenlager",IF(BU1287="-","Nicht im Lift",IF(AS1287&gt;=1,"Lift",IF(AS1287&lt;=0,"Aussenlager","teilweise")))))</f>
        <v>Lift</v>
      </c>
      <c r="BD1287" s="55" t="str">
        <f aca="false">IF(AV1287&lt;=0,"",IF(BU1287="Aussen","Aussenlager",IF(BU1287="-","Nicht im Lift",IF(BA1287&gt;=1,"Lift",IF(BA1287&lt;=0,"Aussenlager","teilweise")))))</f>
        <v>Lift</v>
      </c>
      <c r="BE1287" s="55" t="str">
        <f aca="false">IF(A1287="","",IF(BN1287=1,"Neu; ","")&amp;IF(AND(BN1287=0,BI1287&lt;0),"negativer Bestand (Export "&amp;BI1287&amp;"); ","")&amp;IF(I1287&lt;=0,"Kein Verbrauch; ","")&amp;IF(CD1287&gt;0,"Lift "&amp;U1287&amp;" lt. Liftbericht (Fach "&amp;V1287&amp;" Stk); ",IF(BR1287=1,"Lose – Fläche geschätzt; ",""))&amp;IF(G1287&gt;AP1287,"Überbestand "&amp;ROUND(G1287-AP1287,0)&amp;" Stk / CHF "&amp;ROUND((G1287-AP1287)*F1287,0)&amp;"; ","")&amp;IF(AND(BW1287=1,BX1287&lt;BY1287),"MAX &lt; MB+LG; ","")&amp;IF(AND(CC1287&gt;0,CB1287*10&gt;CC1287),"zu hoch für Tablar; ","")&amp;IF(AND(BN1287=0,OR(BW1287=1,Y1287&lt;&gt;"",S1287&lt;&gt;"",T1287&lt;&gt;"",Z1287&lt;&gt;"")),"manuell übersteuert; ","")&amp;IF(AND(BR1287=0,Q1287=0),"Gebinde unbekannt / Stellmass fehlt; ","")&amp;IF(AND(BR1287=0,N(T1287)&lt;=0,N(P1287)&lt;=0),"Menge pro Gebinde fehlt (Ist = 1 Gebinde); ","")&amp;BM1287)</f>
        <v>negativer Bestand (Export -10); nicht im KTL vorhanden</v>
      </c>
      <c r="BF1287" s="55"/>
      <c r="BG1287" s="55"/>
      <c r="BH1287" s="62"/>
      <c r="BI1287" s="57" t="n">
        <v>-10</v>
      </c>
      <c r="BJ1287" s="57" t="n">
        <v>14</v>
      </c>
      <c r="BK1287" s="56" t="n">
        <v>-1124.5</v>
      </c>
      <c r="BL1287" s="57" t="n">
        <v>2</v>
      </c>
      <c r="BM1287" s="55" t="s">
        <v>222</v>
      </c>
      <c r="BN1287" s="60" t="n">
        <v>0</v>
      </c>
      <c r="BO1287" s="60" t="n">
        <v>1287</v>
      </c>
      <c r="BP1287" s="55" t="str">
        <f aca="false">IF(S1287&lt;&gt;"",UPPER(TRIM(S1287)),IF(O1287="","LOSE",O1287))</f>
        <v>S32</v>
      </c>
      <c r="BQ1287" s="57" t="n">
        <f aca="false">IF(BP1287="LOSE",1,IF(N(T1287)&gt;0,T1287,IF(N(P1287)&gt;0,P1287,MAX(1,G1287))))</f>
        <v>6</v>
      </c>
      <c r="BR1287" s="60" t="n">
        <f aca="false">IF(BP1287="LOSE",1,0)</f>
        <v>0</v>
      </c>
      <c r="BS1287" s="59" t="n">
        <f aca="false">IF(BR1287=0,0,IF(N(R1287)&gt;0,R1287,IFERROR(VLOOKUP(D1287,Parameter!$A$35:$C$64,3,0)+0,0)))</f>
        <v>0</v>
      </c>
      <c r="BT1287" s="55" t="n">
        <f aca="false">IF(Y1287&lt;&gt;"",Y1287,X1287)</f>
        <v>3</v>
      </c>
      <c r="BU1287" s="55" t="str">
        <f aca="false">IF(BT1287=1,"L1",IF(OR(BT1287=2,BT1287=3),"L23",IF(BT1287="Aussen","Aussen","-")))</f>
        <v>L23</v>
      </c>
      <c r="BV1287" s="66" t="n">
        <f aca="false">IF(N(Z1287)&gt;0,Z1287,0)</f>
        <v>0</v>
      </c>
      <c r="BW1287" s="60" t="n">
        <f aca="false">IF(ISNUMBER(AC1287),1,0)</f>
        <v>0</v>
      </c>
      <c r="BX1287" s="57" t="n">
        <f aca="false">N(AC1287)</f>
        <v>0</v>
      </c>
      <c r="BY1287" s="57" t="n">
        <f aca="false">N(L1287)+N(M1287)</f>
        <v>1</v>
      </c>
      <c r="BZ1287" s="57" t="n">
        <f aca="false">ROUNDUP(G1287/BQ1287,0)</f>
        <v>0</v>
      </c>
      <c r="CA1287" s="57" t="n">
        <f aca="false">ROUNDUP(BX1287/BQ1287,0)</f>
        <v>0</v>
      </c>
      <c r="CB1287" s="60" t="n">
        <f aca="false">IF(BR1287=1,0,IFERROR(VLOOKUP(BP1287,'Gebinde-Kategorie'!$A$5:$M$45,5,0)+0,0))</f>
        <v>8</v>
      </c>
      <c r="CC1287" s="60" t="n">
        <f aca="false">IFERROR(IF(OR(BT1287=1,BT1287=2,BT1287=3),N(INDEX(Parameter!$I$5:$I$7,BT1287)),0),0)</f>
        <v>0</v>
      </c>
      <c r="CD1287" s="59" t="n">
        <f aca="false">IF(AND(Parameter!$B$21="Ja",ISNUMBER(U1287),N(V1287)&gt;0),IFERROR(N(INDEX(Parameter!$L$5:$L$7,U1287))*INDEX(Parameter!$E$5:$E$7,U1287)*V1287/SUMIFS($V$7:$V$1576,$U$7:$U$1576,U1287),0),0)</f>
        <v>0</v>
      </c>
    </row>
    <row r="1288" customFormat="false" ht="15" hidden="false" customHeight="false" outlineLevel="0" collapsed="false">
      <c r="A1288" s="55" t="s">
        <v>2283</v>
      </c>
      <c r="B1288" s="55" t="s">
        <v>1816</v>
      </c>
      <c r="C1288" s="55" t="s">
        <v>160</v>
      </c>
      <c r="D1288" s="55" t="s">
        <v>178</v>
      </c>
      <c r="E1288" s="55" t="s">
        <v>210</v>
      </c>
      <c r="F1288" s="56" t="n">
        <v>30.9</v>
      </c>
      <c r="G1288" s="57" t="n">
        <f aca="false">MAX(0,IF(AND(Parameter!$B$21="Ja",ISNUMBER(W1288)),W1288,IF(Parameter!$B$20="Jahresanfang 2025 + Export",BJ1288+BI1288,BI1288)))</f>
        <v>0</v>
      </c>
      <c r="H1288" s="57" t="n">
        <f aca="false">G1288*F1288</f>
        <v>0</v>
      </c>
      <c r="I1288" s="57" t="n">
        <f aca="false">BL1288*Parameter!$B$18</f>
        <v>42</v>
      </c>
      <c r="J1288" s="58" t="n">
        <v>132.5</v>
      </c>
      <c r="K1288" s="59" t="n">
        <v>0.316981132075472</v>
      </c>
      <c r="L1288" s="57" t="n">
        <v>8</v>
      </c>
      <c r="M1288" s="57" t="n">
        <v>40</v>
      </c>
      <c r="N1288" s="60" t="n">
        <v>70</v>
      </c>
      <c r="O1288" s="55" t="s">
        <v>293</v>
      </c>
      <c r="P1288" s="57" t="n">
        <v>113</v>
      </c>
      <c r="Q1288" s="60" t="n">
        <f aca="false">IF(BR1288=1,0,IFERROR(VLOOKUP(BP1288,'Gebinde-Kategorie'!$A$5:$M$45,13,0)+0,0))</f>
        <v>26</v>
      </c>
      <c r="R1288" s="61"/>
      <c r="S1288" s="62"/>
      <c r="T1288" s="62"/>
      <c r="U1288" s="55"/>
      <c r="V1288" s="57"/>
      <c r="W1288" s="57"/>
      <c r="X1288" s="55" t="n">
        <f aca="false">IF(A1288="","",IF(AND(Parameter!$B$21="Ja",ISNUMBER(U1288)),U1288,IF(IFERROR(VLOOKUP(D1288,Parameter!$A$35:$C$64,2,0),"Nein")="2+3",IF(ISNUMBER(SEARCH("grosser Artikel",BM1288)),2,IFERROR(VLOOKUP(BP1288,Parameter!$F$35:$G$64,2,0),2)),IF(OR(IFERROR(VLOOKUP(D1288,Parameter!$A$35:$C$64,2,0),"Nein")="Nein",IFERROR(VLOOKUP(D1288,Parameter!$A$35:$C$64,2,0),"Nein")=""),"-",VLOOKUP(D1288,Parameter!$A$35:$C$64,2,0)))))</f>
        <v>3</v>
      </c>
      <c r="Y1288" s="62"/>
      <c r="Z1288" s="63"/>
      <c r="AA1288" s="57" t="n">
        <f aca="false">AP1288</f>
        <v>113</v>
      </c>
      <c r="AB1288" s="57" t="n">
        <f aca="false">MAX(AP1288,G1288)</f>
        <v>113</v>
      </c>
      <c r="AC1288" s="64"/>
      <c r="AD1288" s="57" t="n">
        <f aca="false">IF(LEFT(Cockpit!$C$5,1)="A",G1288,IF(BW1288=1,BX1288,IF(LEFT(Cockpit!$C$5,1)="B",AH1288,MAX(AH1288,G1288))))</f>
        <v>0</v>
      </c>
      <c r="AE1288" s="57" t="n">
        <f aca="false">IF(BR1288=1,0,ROUNDUP(AD1288/BQ1288,0))</f>
        <v>0</v>
      </c>
      <c r="AF1288" s="59" t="n">
        <f aca="false">IF(CD1288&gt;0,CD1288*MAX(1,AD1288/V1288),IF(BR1288=1,IF(AD1288&lt;=0,0,BS1288*MAX(1,IF(G1288&gt;0,AD1288/G1288,1))),IF(Q1288&gt;0,AE1288/Q1288,0))/MAX(0.1,N(Parameter!$M$21)))</f>
        <v>0</v>
      </c>
      <c r="AG1288" s="57" t="n">
        <f aca="false">AD1288*F1288</f>
        <v>0</v>
      </c>
      <c r="AH1288" s="57" t="n">
        <f aca="false">ROUNDUP(MAX(I1288/IF(BV1288&gt;0,BV1288,MAX(0.1,N(Cockpit!$C$6))),BY1288)/BQ1288,0)*BQ1288</f>
        <v>113</v>
      </c>
      <c r="AI1288" s="58" t="n">
        <f aca="false">IF(AF1288&gt;0,I1288/AF1288,-1)</f>
        <v>-1</v>
      </c>
      <c r="AJ1288" s="58" t="str">
        <f aca="false">IF(AND(OR(BU1288="L1",BU1288="L23"),AF1288&gt;0),SUMIFS($AF$7:$AF$1576,$BU$7:$BU$1576,BU1288,$AI$7:$AI$1576,"&gt;"&amp;AI1288)+SUMIFS($AF$7:$AF$1576,$BU$7:$BU$1576,BU1288,$AI$7:$AI$1576,AI1288,$BO$7:$BO$1576,"&lt;="&amp;BO1288),"")</f>
        <v/>
      </c>
      <c r="AK1288" s="65" t="n">
        <f aca="false">IF(AJ1288="",0,MAX(0,MIN(1,(IF(BU1288="L1",Parameter!$E$5,Parameter!$E$6+Parameter!$E$7)-(AJ1288-AF1288))/AF1288)))</f>
        <v>0</v>
      </c>
      <c r="AL1288" s="57" t="n">
        <f aca="false">IF(LEFT(Cockpit!$I$5,1)="A",G1288,IF(BW1288=1,BX1288,IF(LEFT(Cockpit!$I$5,1)="B",AP1288,MAX(AP1288,G1288))))</f>
        <v>113</v>
      </c>
      <c r="AM1288" s="57" t="n">
        <f aca="false">IF(BR1288=1,0,ROUNDUP(AL1288/BQ1288,0))</f>
        <v>1</v>
      </c>
      <c r="AN1288" s="59" t="n">
        <f aca="false">IF(CD1288&gt;0,CD1288*MAX(1,AL1288/V1288),IF(BR1288=1,IF(AL1288&lt;=0,0,BS1288*MAX(1,IF(G1288&gt;0,AL1288/G1288,1))),IF(Q1288&gt;0,AM1288/Q1288,0))/MAX(0.1,N(Parameter!$M$21)))</f>
        <v>0.0384615384615385</v>
      </c>
      <c r="AO1288" s="57" t="n">
        <f aca="false">AL1288*F1288</f>
        <v>3491.7</v>
      </c>
      <c r="AP1288" s="57" t="n">
        <f aca="false">ROUNDUP(MAX(I1288/IF(BV1288&gt;0,BV1288,MAX(0.1,N(Cockpit!$I$6))),BY1288)/BQ1288,0)*BQ1288</f>
        <v>113</v>
      </c>
      <c r="AQ1288" s="58" t="n">
        <f aca="false">IF(AN1288&gt;0,I1288/AN1288,-1)</f>
        <v>1092</v>
      </c>
      <c r="AR1288" s="58" t="n">
        <f aca="false">IF(AND(OR(BU1288="L1",BU1288="L23"),AN1288&gt;0),SUMIFS($AN$7:$AN$1576,$BU$7:$BU$1576,BU1288,$AQ$7:$AQ$1576,"&gt;"&amp;AQ1288)+SUMIFS($AN$7:$AN$1576,$BU$7:$BU$1576,BU1288,$AQ$7:$AQ$1576,AQ1288,$BO$7:$BO$1576,"&lt;="&amp;BO1288),"")</f>
        <v>22.2276074774012</v>
      </c>
      <c r="AS1288" s="65" t="n">
        <f aca="false">IF(AR1288="",0,MAX(0,MIN(1,(IF(BU1288="L1",Parameter!$E$5,Parameter!$E$6+Parameter!$E$7)-(AR1288-AN1288))/AN1288)))</f>
        <v>1</v>
      </c>
      <c r="AT1288" s="57" t="n">
        <f aca="false">IF(LEFT(Cockpit!$O$5,1)="A",G1288,IF(BW1288=1,BX1288,IF(LEFT(Cockpit!$O$5,1)="B",AX1288,MAX(AX1288,G1288))))</f>
        <v>113</v>
      </c>
      <c r="AU1288" s="57" t="n">
        <f aca="false">IF(BR1288=1,0,ROUNDUP(AT1288/BQ1288,0))</f>
        <v>1</v>
      </c>
      <c r="AV1288" s="59" t="n">
        <f aca="false">IF(CD1288&gt;0,CD1288*MAX(1,AT1288/V1288),IF(BR1288=1,IF(AT1288&lt;=0,0,BS1288*MAX(1,IF(G1288&gt;0,AT1288/G1288,1))),IF(Q1288&gt;0,AU1288/Q1288,0))/MAX(0.1,N(Parameter!$M$21)))</f>
        <v>0.0384615384615385</v>
      </c>
      <c r="AW1288" s="57" t="n">
        <f aca="false">AT1288*F1288</f>
        <v>3491.7</v>
      </c>
      <c r="AX1288" s="57" t="n">
        <f aca="false">ROUNDUP(MAX(I1288/IF(BV1288&gt;0,BV1288,MAX(0.1,N(Cockpit!$O$6))),BY1288)/BQ1288,0)*BQ1288</f>
        <v>113</v>
      </c>
      <c r="AY1288" s="58" t="n">
        <f aca="false">IF(AV1288&gt;0,I1288/AV1288,-1)</f>
        <v>1092</v>
      </c>
      <c r="AZ1288" s="58" t="n">
        <f aca="false">IF(AND(OR(BU1288="L1",BU1288="L23"),AV1288&gt;0),SUMIFS($AV$7:$AV$1576,$BU$7:$BU$1576,BU1288,$AY$7:$AY$1576,"&gt;"&amp;AY1288)+SUMIFS($AV$7:$AV$1576,$BU$7:$BU$1576,BU1288,$AY$7:$AY$1576,AY1288,$BO$7:$BO$1576,"&lt;="&amp;BO1288),"")</f>
        <v>21.5382135380073</v>
      </c>
      <c r="BA1288" s="65" t="n">
        <f aca="false">IF(AZ1288="",0,MAX(0,MIN(1,(IF(BU1288="L1",Parameter!$E$5,Parameter!$E$6+Parameter!$E$7)-(AZ1288-AV1288))/AV1288)))</f>
        <v>1</v>
      </c>
      <c r="BB1288" s="55" t="str">
        <f aca="false">IF(AF1288&lt;=0,"",IF(BU1288="Aussen","Aussenlager",IF(BU1288="-","Nicht im Lift",IF(AK1288&gt;=1,"Lift",IF(AK1288&lt;=0,"Aussenlager","teilweise")))))</f>
        <v/>
      </c>
      <c r="BC1288" s="55" t="str">
        <f aca="false">IF(AN1288&lt;=0,"",IF(BU1288="Aussen","Aussenlager",IF(BU1288="-","Nicht im Lift",IF(AS1288&gt;=1,"Lift",IF(AS1288&lt;=0,"Aussenlager","teilweise")))))</f>
        <v>Lift</v>
      </c>
      <c r="BD1288" s="55" t="str">
        <f aca="false">IF(AV1288&lt;=0,"",IF(BU1288="Aussen","Aussenlager",IF(BU1288="-","Nicht im Lift",IF(BA1288&gt;=1,"Lift",IF(BA1288&lt;=0,"Aussenlager","teilweise")))))</f>
        <v>Lift</v>
      </c>
      <c r="BE1288" s="55" t="str">
        <f aca="false">IF(A1288="","",IF(BN1288=1,"Neu; ","")&amp;IF(AND(BN1288=0,BI1288&lt;0),"negativer Bestand (Export "&amp;BI1288&amp;"); ","")&amp;IF(I1288&lt;=0,"Kein Verbrauch; ","")&amp;IF(CD1288&gt;0,"Lift "&amp;U1288&amp;" lt. Liftbericht (Fach "&amp;V1288&amp;" Stk); ",IF(BR1288=1,"Lose – Fläche geschätzt; ",""))&amp;IF(G1288&gt;AP1288,"Überbestand "&amp;ROUND(G1288-AP1288,0)&amp;" Stk / CHF "&amp;ROUND((G1288-AP1288)*F1288,0)&amp;"; ","")&amp;IF(AND(BW1288=1,BX1288&lt;BY1288),"MAX &lt; MB+LG; ","")&amp;IF(AND(CC1288&gt;0,CB1288*10&gt;CC1288),"zu hoch für Tablar; ","")&amp;IF(AND(BN1288=0,OR(BW1288=1,Y1288&lt;&gt;"",S1288&lt;&gt;"",T1288&lt;&gt;"",Z1288&lt;&gt;"")),"manuell übersteuert; ","")&amp;IF(AND(BR1288=0,Q1288=0),"Gebinde unbekannt / Stellmass fehlt; ","")&amp;IF(AND(BR1288=0,N(T1288)&lt;=0,N(P1288)&lt;=0),"Menge pro Gebinde fehlt (Ist = 1 Gebinde); ","")&amp;BM1288)</f>
        <v>negativer Bestand (Export -43); </v>
      </c>
      <c r="BF1288" s="55"/>
      <c r="BG1288" s="55"/>
      <c r="BH1288" s="62"/>
      <c r="BI1288" s="57" t="n">
        <v>-43</v>
      </c>
      <c r="BJ1288" s="57" t="n">
        <v>154</v>
      </c>
      <c r="BK1288" s="56" t="n">
        <v>-1126.96</v>
      </c>
      <c r="BL1288" s="57" t="n">
        <v>42</v>
      </c>
      <c r="BM1288" s="55"/>
      <c r="BN1288" s="60" t="n">
        <v>0</v>
      </c>
      <c r="BO1288" s="60" t="n">
        <v>1288</v>
      </c>
      <c r="BP1288" s="55" t="str">
        <f aca="false">IF(S1288&lt;&gt;"",UPPER(TRIM(S1288)),IF(O1288="","LOSE",O1288))</f>
        <v>S51</v>
      </c>
      <c r="BQ1288" s="57" t="n">
        <f aca="false">IF(BP1288="LOSE",1,IF(N(T1288)&gt;0,T1288,IF(N(P1288)&gt;0,P1288,MAX(1,G1288))))</f>
        <v>113</v>
      </c>
      <c r="BR1288" s="60" t="n">
        <f aca="false">IF(BP1288="LOSE",1,0)</f>
        <v>0</v>
      </c>
      <c r="BS1288" s="59" t="n">
        <f aca="false">IF(BR1288=0,0,IF(N(R1288)&gt;0,R1288,IFERROR(VLOOKUP(D1288,Parameter!$A$35:$C$64,3,0)+0,0)))</f>
        <v>0</v>
      </c>
      <c r="BT1288" s="55" t="n">
        <f aca="false">IF(Y1288&lt;&gt;"",Y1288,X1288)</f>
        <v>3</v>
      </c>
      <c r="BU1288" s="55" t="str">
        <f aca="false">IF(BT1288=1,"L1",IF(OR(BT1288=2,BT1288=3),"L23",IF(BT1288="Aussen","Aussen","-")))</f>
        <v>L23</v>
      </c>
      <c r="BV1288" s="66" t="n">
        <f aca="false">IF(N(Z1288)&gt;0,Z1288,0)</f>
        <v>0</v>
      </c>
      <c r="BW1288" s="60" t="n">
        <f aca="false">IF(ISNUMBER(AC1288),1,0)</f>
        <v>0</v>
      </c>
      <c r="BX1288" s="57" t="n">
        <f aca="false">N(AC1288)</f>
        <v>0</v>
      </c>
      <c r="BY1288" s="57" t="n">
        <f aca="false">N(L1288)+N(M1288)</f>
        <v>48</v>
      </c>
      <c r="BZ1288" s="57" t="n">
        <f aca="false">ROUNDUP(G1288/BQ1288,0)</f>
        <v>0</v>
      </c>
      <c r="CA1288" s="57" t="n">
        <f aca="false">ROUNDUP(BX1288/BQ1288,0)</f>
        <v>0</v>
      </c>
      <c r="CB1288" s="60" t="n">
        <f aca="false">IF(BR1288=1,0,IFERROR(VLOOKUP(BP1288,'Gebinde-Kategorie'!$A$5:$M$45,5,0)+0,0))</f>
        <v>11</v>
      </c>
      <c r="CC1288" s="60" t="n">
        <f aca="false">IFERROR(IF(OR(BT1288=1,BT1288=2,BT1288=3),N(INDEX(Parameter!$I$5:$I$7,BT1288)),0),0)</f>
        <v>0</v>
      </c>
      <c r="CD1288" s="59" t="n">
        <f aca="false">IF(AND(Parameter!$B$21="Ja",ISNUMBER(U1288),N(V1288)&gt;0),IFERROR(N(INDEX(Parameter!$L$5:$L$7,U1288))*INDEX(Parameter!$E$5:$E$7,U1288)*V1288/SUMIFS($V$7:$V$1576,$U$7:$U$1576,U1288),0),0)</f>
        <v>0</v>
      </c>
    </row>
    <row r="1289" customFormat="false" ht="15" hidden="false" customHeight="false" outlineLevel="0" collapsed="false">
      <c r="A1289" s="55" t="s">
        <v>2284</v>
      </c>
      <c r="B1289" s="55" t="s">
        <v>395</v>
      </c>
      <c r="C1289" s="55" t="s">
        <v>160</v>
      </c>
      <c r="D1289" s="55" t="s">
        <v>178</v>
      </c>
      <c r="E1289" s="55" t="s">
        <v>210</v>
      </c>
      <c r="F1289" s="56" t="n">
        <v>0.14</v>
      </c>
      <c r="G1289" s="57" t="n">
        <f aca="false">MAX(0,IF(AND(Parameter!$B$21="Ja",ISNUMBER(W1289)),W1289,IF(Parameter!$B$20="Jahresanfang 2025 + Export",BJ1289+BI1289,BI1289)))</f>
        <v>0</v>
      </c>
      <c r="H1289" s="57" t="n">
        <f aca="false">G1289*F1289</f>
        <v>0</v>
      </c>
      <c r="I1289" s="57" t="n">
        <f aca="false">BL1289*Parameter!$B$18</f>
        <v>2173</v>
      </c>
      <c r="J1289" s="58" t="n">
        <v>1861.5</v>
      </c>
      <c r="K1289" s="59" t="n">
        <v>1.16733816814397</v>
      </c>
      <c r="L1289" s="57" t="n">
        <v>127</v>
      </c>
      <c r="M1289" s="57" t="n">
        <v>1000</v>
      </c>
      <c r="N1289" s="60" t="n">
        <v>21</v>
      </c>
      <c r="O1289" s="55" t="s">
        <v>293</v>
      </c>
      <c r="P1289" s="57" t="n">
        <v>1238</v>
      </c>
      <c r="Q1289" s="60" t="n">
        <f aca="false">IF(BR1289=1,0,IFERROR(VLOOKUP(BP1289,'Gebinde-Kategorie'!$A$5:$M$45,13,0)+0,0))</f>
        <v>26</v>
      </c>
      <c r="R1289" s="61"/>
      <c r="S1289" s="62"/>
      <c r="T1289" s="62"/>
      <c r="U1289" s="55"/>
      <c r="V1289" s="57"/>
      <c r="W1289" s="57"/>
      <c r="X1289" s="55" t="n">
        <f aca="false">IF(A1289="","",IF(AND(Parameter!$B$21="Ja",ISNUMBER(U1289)),U1289,IF(IFERROR(VLOOKUP(D1289,Parameter!$A$35:$C$64,2,0),"Nein")="2+3",IF(ISNUMBER(SEARCH("grosser Artikel",BM1289)),2,IFERROR(VLOOKUP(BP1289,Parameter!$F$35:$G$64,2,0),2)),IF(OR(IFERROR(VLOOKUP(D1289,Parameter!$A$35:$C$64,2,0),"Nein")="Nein",IFERROR(VLOOKUP(D1289,Parameter!$A$35:$C$64,2,0),"Nein")=""),"-",VLOOKUP(D1289,Parameter!$A$35:$C$64,2,0)))))</f>
        <v>3</v>
      </c>
      <c r="Y1289" s="62"/>
      <c r="Z1289" s="63"/>
      <c r="AA1289" s="57" t="n">
        <f aca="false">AP1289</f>
        <v>1238</v>
      </c>
      <c r="AB1289" s="57" t="n">
        <f aca="false">MAX(AP1289,G1289)</f>
        <v>1238</v>
      </c>
      <c r="AC1289" s="64"/>
      <c r="AD1289" s="57" t="n">
        <f aca="false">IF(LEFT(Cockpit!$C$5,1)="A",G1289,IF(BW1289=1,BX1289,IF(LEFT(Cockpit!$C$5,1)="B",AH1289,MAX(AH1289,G1289))))</f>
        <v>0</v>
      </c>
      <c r="AE1289" s="57" t="n">
        <f aca="false">IF(BR1289=1,0,ROUNDUP(AD1289/BQ1289,0))</f>
        <v>0</v>
      </c>
      <c r="AF1289" s="59" t="n">
        <f aca="false">IF(CD1289&gt;0,CD1289*MAX(1,AD1289/V1289),IF(BR1289=1,IF(AD1289&lt;=0,0,BS1289*MAX(1,IF(G1289&gt;0,AD1289/G1289,1))),IF(Q1289&gt;0,AE1289/Q1289,0))/MAX(0.1,N(Parameter!$M$21)))</f>
        <v>0</v>
      </c>
      <c r="AG1289" s="57" t="n">
        <f aca="false">AD1289*F1289</f>
        <v>0</v>
      </c>
      <c r="AH1289" s="57" t="n">
        <f aca="false">ROUNDUP(MAX(I1289/IF(BV1289&gt;0,BV1289,MAX(0.1,N(Cockpit!$C$6))),BY1289)/BQ1289,0)*BQ1289</f>
        <v>1238</v>
      </c>
      <c r="AI1289" s="58" t="n">
        <f aca="false">IF(AF1289&gt;0,I1289/AF1289,-1)</f>
        <v>-1</v>
      </c>
      <c r="AJ1289" s="58" t="str">
        <f aca="false">IF(AND(OR(BU1289="L1",BU1289="L23"),AF1289&gt;0),SUMIFS($AF$7:$AF$1576,$BU$7:$BU$1576,BU1289,$AI$7:$AI$1576,"&gt;"&amp;AI1289)+SUMIFS($AF$7:$AF$1576,$BU$7:$BU$1576,BU1289,$AI$7:$AI$1576,AI1289,$BO$7:$BO$1576,"&lt;="&amp;BO1289),"")</f>
        <v/>
      </c>
      <c r="AK1289" s="65" t="n">
        <f aca="false">IF(AJ1289="",0,MAX(0,MIN(1,(IF(BU1289="L1",Parameter!$E$5,Parameter!$E$6+Parameter!$E$7)-(AJ1289-AF1289))/AF1289)))</f>
        <v>0</v>
      </c>
      <c r="AL1289" s="57" t="n">
        <f aca="false">IF(LEFT(Cockpit!$I$5,1)="A",G1289,IF(BW1289=1,BX1289,IF(LEFT(Cockpit!$I$5,1)="B",AP1289,MAX(AP1289,G1289))))</f>
        <v>1238</v>
      </c>
      <c r="AM1289" s="57" t="n">
        <f aca="false">IF(BR1289=1,0,ROUNDUP(AL1289/BQ1289,0))</f>
        <v>1</v>
      </c>
      <c r="AN1289" s="59" t="n">
        <f aca="false">IF(CD1289&gt;0,CD1289*MAX(1,AL1289/V1289),IF(BR1289=1,IF(AL1289&lt;=0,0,BS1289*MAX(1,IF(G1289&gt;0,AL1289/G1289,1))),IF(Q1289&gt;0,AM1289/Q1289,0))/MAX(0.1,N(Parameter!$M$21)))</f>
        <v>0.0384615384615385</v>
      </c>
      <c r="AO1289" s="57" t="n">
        <f aca="false">AL1289*F1289</f>
        <v>173.32</v>
      </c>
      <c r="AP1289" s="57" t="n">
        <f aca="false">ROUNDUP(MAX(I1289/IF(BV1289&gt;0,BV1289,MAX(0.1,N(Cockpit!$I$6))),BY1289)/BQ1289,0)*BQ1289</f>
        <v>1238</v>
      </c>
      <c r="AQ1289" s="58" t="n">
        <f aca="false">IF(AN1289&gt;0,I1289/AN1289,-1)</f>
        <v>56498</v>
      </c>
      <c r="AR1289" s="58" t="n">
        <f aca="false">IF(AND(OR(BU1289="L1",BU1289="L23"),AN1289&gt;0),SUMIFS($AN$7:$AN$1576,$BU$7:$BU$1576,BU1289,$AQ$7:$AQ$1576,"&gt;"&amp;AQ1289)+SUMIFS($AN$7:$AN$1576,$BU$7:$BU$1576,BU1289,$AQ$7:$AQ$1576,AQ1289,$BO$7:$BO$1576,"&lt;="&amp;BO1289),"")</f>
        <v>1.01094321137799</v>
      </c>
      <c r="AS1289" s="65" t="n">
        <f aca="false">IF(AR1289="",0,MAX(0,MIN(1,(IF(BU1289="L1",Parameter!$E$5,Parameter!$E$6+Parameter!$E$7)-(AR1289-AN1289))/AN1289)))</f>
        <v>1</v>
      </c>
      <c r="AT1289" s="57" t="n">
        <f aca="false">IF(LEFT(Cockpit!$O$5,1)="A",G1289,IF(BW1289=1,BX1289,IF(LEFT(Cockpit!$O$5,1)="B",AX1289,MAX(AX1289,G1289))))</f>
        <v>1238</v>
      </c>
      <c r="AU1289" s="57" t="n">
        <f aca="false">IF(BR1289=1,0,ROUNDUP(AT1289/BQ1289,0))</f>
        <v>1</v>
      </c>
      <c r="AV1289" s="59" t="n">
        <f aca="false">IF(CD1289&gt;0,CD1289*MAX(1,AT1289/V1289),IF(BR1289=1,IF(AT1289&lt;=0,0,BS1289*MAX(1,IF(G1289&gt;0,AT1289/G1289,1))),IF(Q1289&gt;0,AU1289/Q1289,0))/MAX(0.1,N(Parameter!$M$21)))</f>
        <v>0.0384615384615385</v>
      </c>
      <c r="AW1289" s="57" t="n">
        <f aca="false">AT1289*F1289</f>
        <v>173.32</v>
      </c>
      <c r="AX1289" s="57" t="n">
        <f aca="false">ROUNDUP(MAX(I1289/IF(BV1289&gt;0,BV1289,MAX(0.1,N(Cockpit!$O$6))),BY1289)/BQ1289,0)*BQ1289</f>
        <v>1238</v>
      </c>
      <c r="AY1289" s="58" t="n">
        <f aca="false">IF(AV1289&gt;0,I1289/AV1289,-1)</f>
        <v>56498</v>
      </c>
      <c r="AZ1289" s="58" t="n">
        <f aca="false">IF(AND(OR(BU1289="L1",BU1289="L23"),AV1289&gt;0),SUMIFS($AV$7:$AV$1576,$BU$7:$BU$1576,BU1289,$AY$7:$AY$1576,"&gt;"&amp;AY1289)+SUMIFS($AV$7:$AV$1576,$BU$7:$BU$1576,BU1289,$AY$7:$AY$1576,AY1289,$BO$7:$BO$1576,"&lt;="&amp;BO1289),"")</f>
        <v>1.08378703422182</v>
      </c>
      <c r="BA1289" s="65" t="n">
        <f aca="false">IF(AZ1289="",0,MAX(0,MIN(1,(IF(BU1289="L1",Parameter!$E$5,Parameter!$E$6+Parameter!$E$7)-(AZ1289-AV1289))/AV1289)))</f>
        <v>1</v>
      </c>
      <c r="BB1289" s="55" t="str">
        <f aca="false">IF(AF1289&lt;=0,"",IF(BU1289="Aussen","Aussenlager",IF(BU1289="-","Nicht im Lift",IF(AK1289&gt;=1,"Lift",IF(AK1289&lt;=0,"Aussenlager","teilweise")))))</f>
        <v/>
      </c>
      <c r="BC1289" s="55" t="str">
        <f aca="false">IF(AN1289&lt;=0,"",IF(BU1289="Aussen","Aussenlager",IF(BU1289="-","Nicht im Lift",IF(AS1289&gt;=1,"Lift",IF(AS1289&lt;=0,"Aussenlager","teilweise")))))</f>
        <v>Lift</v>
      </c>
      <c r="BD1289" s="55" t="str">
        <f aca="false">IF(AV1289&lt;=0,"",IF(BU1289="Aussen","Aussenlager",IF(BU1289="-","Nicht im Lift",IF(BA1289&gt;=1,"Lift",IF(BA1289&lt;=0,"Aussenlager","teilweise")))))</f>
        <v>Lift</v>
      </c>
      <c r="BE1289" s="55" t="str">
        <f aca="false">IF(A1289="","",IF(BN1289=1,"Neu; ","")&amp;IF(AND(BN1289=0,BI1289&lt;0),"negativer Bestand (Export "&amp;BI1289&amp;"); ","")&amp;IF(I1289&lt;=0,"Kein Verbrauch; ","")&amp;IF(CD1289&gt;0,"Lift "&amp;U1289&amp;" lt. Liftbericht (Fach "&amp;V1289&amp;" Stk); ",IF(BR1289=1,"Lose – Fläche geschätzt; ",""))&amp;IF(G1289&gt;AP1289,"Überbestand "&amp;ROUND(G1289-AP1289,0)&amp;" Stk / CHF "&amp;ROUND((G1289-AP1289)*F1289,0)&amp;"; ","")&amp;IF(AND(BW1289=1,BX1289&lt;BY1289),"MAX &lt; MB+LG; ","")&amp;IF(AND(CC1289&gt;0,CB1289*10&gt;CC1289),"zu hoch für Tablar; ","")&amp;IF(AND(BN1289=0,OR(BW1289=1,Y1289&lt;&gt;"",S1289&lt;&gt;"",T1289&lt;&gt;"",Z1289&lt;&gt;"")),"manuell übersteuert; ","")&amp;IF(AND(BR1289=0,Q1289=0),"Gebinde unbekannt / Stellmass fehlt; ","")&amp;IF(AND(BR1289=0,N(T1289)&lt;=0,N(P1289)&lt;=0),"Menge pro Gebinde fehlt (Ist = 1 Gebinde); ","")&amp;BM1289)</f>
        <v>negativer Bestand (Export -2641); </v>
      </c>
      <c r="BF1289" s="55"/>
      <c r="BG1289" s="55"/>
      <c r="BH1289" s="62"/>
      <c r="BI1289" s="57" t="n">
        <v>-2641</v>
      </c>
      <c r="BJ1289" s="57" t="n">
        <v>3314</v>
      </c>
      <c r="BK1289" s="56" t="n">
        <v>-1130.58</v>
      </c>
      <c r="BL1289" s="57" t="n">
        <v>2173</v>
      </c>
      <c r="BM1289" s="55"/>
      <c r="BN1289" s="60" t="n">
        <v>0</v>
      </c>
      <c r="BO1289" s="60" t="n">
        <v>1289</v>
      </c>
      <c r="BP1289" s="55" t="str">
        <f aca="false">IF(S1289&lt;&gt;"",UPPER(TRIM(S1289)),IF(O1289="","LOSE",O1289))</f>
        <v>S51</v>
      </c>
      <c r="BQ1289" s="57" t="n">
        <f aca="false">IF(BP1289="LOSE",1,IF(N(T1289)&gt;0,T1289,IF(N(P1289)&gt;0,P1289,MAX(1,G1289))))</f>
        <v>1238</v>
      </c>
      <c r="BR1289" s="60" t="n">
        <f aca="false">IF(BP1289="LOSE",1,0)</f>
        <v>0</v>
      </c>
      <c r="BS1289" s="59" t="n">
        <f aca="false">IF(BR1289=0,0,IF(N(R1289)&gt;0,R1289,IFERROR(VLOOKUP(D1289,Parameter!$A$35:$C$64,3,0)+0,0)))</f>
        <v>0</v>
      </c>
      <c r="BT1289" s="55" t="n">
        <f aca="false">IF(Y1289&lt;&gt;"",Y1289,X1289)</f>
        <v>3</v>
      </c>
      <c r="BU1289" s="55" t="str">
        <f aca="false">IF(BT1289=1,"L1",IF(OR(BT1289=2,BT1289=3),"L23",IF(BT1289="Aussen","Aussen","-")))</f>
        <v>L23</v>
      </c>
      <c r="BV1289" s="66" t="n">
        <f aca="false">IF(N(Z1289)&gt;0,Z1289,0)</f>
        <v>0</v>
      </c>
      <c r="BW1289" s="60" t="n">
        <f aca="false">IF(ISNUMBER(AC1289),1,0)</f>
        <v>0</v>
      </c>
      <c r="BX1289" s="57" t="n">
        <f aca="false">N(AC1289)</f>
        <v>0</v>
      </c>
      <c r="BY1289" s="57" t="n">
        <f aca="false">N(L1289)+N(M1289)</f>
        <v>1127</v>
      </c>
      <c r="BZ1289" s="57" t="n">
        <f aca="false">ROUNDUP(G1289/BQ1289,0)</f>
        <v>0</v>
      </c>
      <c r="CA1289" s="57" t="n">
        <f aca="false">ROUNDUP(BX1289/BQ1289,0)</f>
        <v>0</v>
      </c>
      <c r="CB1289" s="60" t="n">
        <f aca="false">IF(BR1289=1,0,IFERROR(VLOOKUP(BP1289,'Gebinde-Kategorie'!$A$5:$M$45,5,0)+0,0))</f>
        <v>11</v>
      </c>
      <c r="CC1289" s="60" t="n">
        <f aca="false">IFERROR(IF(OR(BT1289=1,BT1289=2,BT1289=3),N(INDEX(Parameter!$I$5:$I$7,BT1289)),0),0)</f>
        <v>0</v>
      </c>
      <c r="CD1289" s="59" t="n">
        <f aca="false">IF(AND(Parameter!$B$21="Ja",ISNUMBER(U1289),N(V1289)&gt;0),IFERROR(N(INDEX(Parameter!$L$5:$L$7,U1289))*INDEX(Parameter!$E$5:$E$7,U1289)*V1289/SUMIFS($V$7:$V$1576,$U$7:$U$1576,U1289),0),0)</f>
        <v>0</v>
      </c>
    </row>
    <row r="1290" customFormat="false" ht="15" hidden="false" customHeight="false" outlineLevel="0" collapsed="false">
      <c r="A1290" s="55" t="s">
        <v>2285</v>
      </c>
      <c r="B1290" s="55" t="s">
        <v>198</v>
      </c>
      <c r="C1290" s="55" t="s">
        <v>446</v>
      </c>
      <c r="D1290" s="55" t="s">
        <v>344</v>
      </c>
      <c r="E1290" s="55" t="s">
        <v>210</v>
      </c>
      <c r="F1290" s="56" t="n">
        <v>1133.33</v>
      </c>
      <c r="G1290" s="57" t="n">
        <f aca="false">MAX(0,IF(AND(Parameter!$B$21="Ja",ISNUMBER(W1290)),W1290,IF(Parameter!$B$20="Jahresanfang 2025 + Export",BJ1290+BI1290,BI1290)))</f>
        <v>0</v>
      </c>
      <c r="H1290" s="57" t="n">
        <f aca="false">G1290*F1290</f>
        <v>0</v>
      </c>
      <c r="I1290" s="57" t="n">
        <f aca="false">BL1290*Parameter!$B$18</f>
        <v>0</v>
      </c>
      <c r="J1290" s="58" t="n">
        <v>0.5</v>
      </c>
      <c r="K1290" s="59" t="n">
        <v>0</v>
      </c>
      <c r="L1290" s="57" t="n">
        <v>0</v>
      </c>
      <c r="M1290" s="57" t="n">
        <v>0</v>
      </c>
      <c r="N1290" s="60" t="n">
        <v>70</v>
      </c>
      <c r="O1290" s="55" t="s">
        <v>163</v>
      </c>
      <c r="P1290" s="57"/>
      <c r="Q1290" s="60" t="n">
        <f aca="false">IF(BR1290=1,0,IFERROR(VLOOKUP(BP1290,'Gebinde-Kategorie'!$A$5:$M$45,13,0)+0,0))</f>
        <v>0</v>
      </c>
      <c r="R1290" s="61"/>
      <c r="S1290" s="62"/>
      <c r="T1290" s="62"/>
      <c r="U1290" s="55"/>
      <c r="V1290" s="57"/>
      <c r="W1290" s="57"/>
      <c r="X1290" s="55" t="str">
        <f aca="false">IF(A1290="","",IF(AND(Parameter!$B$21="Ja",ISNUMBER(U1290)),U1290,IF(IFERROR(VLOOKUP(D1290,Parameter!$A$35:$C$64,2,0),"Nein")="2+3",IF(ISNUMBER(SEARCH("grosser Artikel",BM1290)),2,IFERROR(VLOOKUP(BP1290,Parameter!$F$35:$G$64,2,0),2)),IF(OR(IFERROR(VLOOKUP(D1290,Parameter!$A$35:$C$64,2,0),"Nein")="Nein",IFERROR(VLOOKUP(D1290,Parameter!$A$35:$C$64,2,0),"Nein")=""),"-",VLOOKUP(D1290,Parameter!$A$35:$C$64,2,0)))))</f>
        <v>-</v>
      </c>
      <c r="Y1290" s="62"/>
      <c r="Z1290" s="63"/>
      <c r="AA1290" s="57" t="n">
        <f aca="false">AP1290</f>
        <v>0</v>
      </c>
      <c r="AB1290" s="57" t="n">
        <f aca="false">MAX(AP1290,G1290)</f>
        <v>0</v>
      </c>
      <c r="AC1290" s="64"/>
      <c r="AD1290" s="57" t="n">
        <f aca="false">IF(LEFT(Cockpit!$C$5,1)="A",G1290,IF(BW1290=1,BX1290,IF(LEFT(Cockpit!$C$5,1)="B",AH1290,MAX(AH1290,G1290))))</f>
        <v>0</v>
      </c>
      <c r="AE1290" s="57" t="n">
        <f aca="false">IF(BR1290=1,0,ROUNDUP(AD1290/BQ1290,0))</f>
        <v>0</v>
      </c>
      <c r="AF1290" s="59" t="n">
        <f aca="false">IF(CD1290&gt;0,CD1290*MAX(1,AD1290/V1290),IF(BR1290=1,IF(AD1290&lt;=0,0,BS1290*MAX(1,IF(G1290&gt;0,AD1290/G1290,1))),IF(Q1290&gt;0,AE1290/Q1290,0))/MAX(0.1,N(Parameter!$M$21)))</f>
        <v>0</v>
      </c>
      <c r="AG1290" s="57" t="n">
        <f aca="false">AD1290*F1290</f>
        <v>0</v>
      </c>
      <c r="AH1290" s="57" t="n">
        <f aca="false">ROUNDUP(MAX(I1290/IF(BV1290&gt;0,BV1290,MAX(0.1,N(Cockpit!$C$6))),BY1290)/BQ1290,0)*BQ1290</f>
        <v>0</v>
      </c>
      <c r="AI1290" s="58" t="n">
        <f aca="false">IF(AF1290&gt;0,I1290/AF1290,-1)</f>
        <v>-1</v>
      </c>
      <c r="AJ1290" s="58" t="str">
        <f aca="false">IF(AND(OR(BU1290="L1",BU1290="L23"),AF1290&gt;0),SUMIFS($AF$7:$AF$1576,$BU$7:$BU$1576,BU1290,$AI$7:$AI$1576,"&gt;"&amp;AI1290)+SUMIFS($AF$7:$AF$1576,$BU$7:$BU$1576,BU1290,$AI$7:$AI$1576,AI1290,$BO$7:$BO$1576,"&lt;="&amp;BO1290),"")</f>
        <v/>
      </c>
      <c r="AK1290" s="65" t="n">
        <f aca="false">IF(AJ1290="",0,MAX(0,MIN(1,(IF(BU1290="L1",Parameter!$E$5,Parameter!$E$6+Parameter!$E$7)-(AJ1290-AF1290))/AF1290)))</f>
        <v>0</v>
      </c>
      <c r="AL1290" s="57" t="n">
        <f aca="false">IF(LEFT(Cockpit!$I$5,1)="A",G1290,IF(BW1290=1,BX1290,IF(LEFT(Cockpit!$I$5,1)="B",AP1290,MAX(AP1290,G1290))))</f>
        <v>0</v>
      </c>
      <c r="AM1290" s="57" t="n">
        <f aca="false">IF(BR1290=1,0,ROUNDUP(AL1290/BQ1290,0))</f>
        <v>0</v>
      </c>
      <c r="AN1290" s="59" t="n">
        <f aca="false">IF(CD1290&gt;0,CD1290*MAX(1,AL1290/V1290),IF(BR1290=1,IF(AL1290&lt;=0,0,BS1290*MAX(1,IF(G1290&gt;0,AL1290/G1290,1))),IF(Q1290&gt;0,AM1290/Q1290,0))/MAX(0.1,N(Parameter!$M$21)))</f>
        <v>0</v>
      </c>
      <c r="AO1290" s="57" t="n">
        <f aca="false">AL1290*F1290</f>
        <v>0</v>
      </c>
      <c r="AP1290" s="57" t="n">
        <f aca="false">ROUNDUP(MAX(I1290/IF(BV1290&gt;0,BV1290,MAX(0.1,N(Cockpit!$I$6))),BY1290)/BQ1290,0)*BQ1290</f>
        <v>0</v>
      </c>
      <c r="AQ1290" s="58" t="n">
        <f aca="false">IF(AN1290&gt;0,I1290/AN1290,-1)</f>
        <v>-1</v>
      </c>
      <c r="AR1290" s="58" t="str">
        <f aca="false">IF(AND(OR(BU1290="L1",BU1290="L23"),AN1290&gt;0),SUMIFS($AN$7:$AN$1576,$BU$7:$BU$1576,BU1290,$AQ$7:$AQ$1576,"&gt;"&amp;AQ1290)+SUMIFS($AN$7:$AN$1576,$BU$7:$BU$1576,BU1290,$AQ$7:$AQ$1576,AQ1290,$BO$7:$BO$1576,"&lt;="&amp;BO1290),"")</f>
        <v/>
      </c>
      <c r="AS1290" s="65" t="n">
        <f aca="false">IF(AR1290="",0,MAX(0,MIN(1,(IF(BU1290="L1",Parameter!$E$5,Parameter!$E$6+Parameter!$E$7)-(AR1290-AN1290))/AN1290)))</f>
        <v>0</v>
      </c>
      <c r="AT1290" s="57" t="n">
        <f aca="false">IF(LEFT(Cockpit!$O$5,1)="A",G1290,IF(BW1290=1,BX1290,IF(LEFT(Cockpit!$O$5,1)="B",AX1290,MAX(AX1290,G1290))))</f>
        <v>0</v>
      </c>
      <c r="AU1290" s="57" t="n">
        <f aca="false">IF(BR1290=1,0,ROUNDUP(AT1290/BQ1290,0))</f>
        <v>0</v>
      </c>
      <c r="AV1290" s="59" t="n">
        <f aca="false">IF(CD1290&gt;0,CD1290*MAX(1,AT1290/V1290),IF(BR1290=1,IF(AT1290&lt;=0,0,BS1290*MAX(1,IF(G1290&gt;0,AT1290/G1290,1))),IF(Q1290&gt;0,AU1290/Q1290,0))/MAX(0.1,N(Parameter!$M$21)))</f>
        <v>0</v>
      </c>
      <c r="AW1290" s="57" t="n">
        <f aca="false">AT1290*F1290</f>
        <v>0</v>
      </c>
      <c r="AX1290" s="57" t="n">
        <f aca="false">ROUNDUP(MAX(I1290/IF(BV1290&gt;0,BV1290,MAX(0.1,N(Cockpit!$O$6))),BY1290)/BQ1290,0)*BQ1290</f>
        <v>0</v>
      </c>
      <c r="AY1290" s="58" t="n">
        <f aca="false">IF(AV1290&gt;0,I1290/AV1290,-1)</f>
        <v>-1</v>
      </c>
      <c r="AZ1290" s="58" t="str">
        <f aca="false">IF(AND(OR(BU1290="L1",BU1290="L23"),AV1290&gt;0),SUMIFS($AV$7:$AV$1576,$BU$7:$BU$1576,BU1290,$AY$7:$AY$1576,"&gt;"&amp;AY1290)+SUMIFS($AV$7:$AV$1576,$BU$7:$BU$1576,BU1290,$AY$7:$AY$1576,AY1290,$BO$7:$BO$1576,"&lt;="&amp;BO1290),"")</f>
        <v/>
      </c>
      <c r="BA1290" s="65" t="n">
        <f aca="false">IF(AZ1290="",0,MAX(0,MIN(1,(IF(BU1290="L1",Parameter!$E$5,Parameter!$E$6+Parameter!$E$7)-(AZ1290-AV1290))/AV1290)))</f>
        <v>0</v>
      </c>
      <c r="BB1290" s="55" t="str">
        <f aca="false">IF(AF1290&lt;=0,"",IF(BU1290="Aussen","Aussenlager",IF(BU1290="-","Nicht im Lift",IF(AK1290&gt;=1,"Lift",IF(AK1290&lt;=0,"Aussenlager","teilweise")))))</f>
        <v/>
      </c>
      <c r="BC1290" s="55" t="str">
        <f aca="false">IF(AN1290&lt;=0,"",IF(BU1290="Aussen","Aussenlager",IF(BU1290="-","Nicht im Lift",IF(AS1290&gt;=1,"Lift",IF(AS1290&lt;=0,"Aussenlager","teilweise")))))</f>
        <v/>
      </c>
      <c r="BD1290" s="55" t="str">
        <f aca="false">IF(AV1290&lt;=0,"",IF(BU1290="Aussen","Aussenlager",IF(BU1290="-","Nicht im Lift",IF(BA1290&gt;=1,"Lift",IF(BA1290&lt;=0,"Aussenlager","teilweise")))))</f>
        <v/>
      </c>
      <c r="BE1290" s="55" t="str">
        <f aca="false">IF(A1290="","",IF(BN1290=1,"Neu; ","")&amp;IF(AND(BN1290=0,BI1290&lt;0),"negativer Bestand (Export "&amp;BI1290&amp;"); ","")&amp;IF(I1290&lt;=0,"Kein Verbrauch; ","")&amp;IF(CD1290&gt;0,"Lift "&amp;U1290&amp;" lt. Liftbericht (Fach "&amp;V1290&amp;" Stk); ",IF(BR1290=1,"Lose – Fläche geschätzt; ",""))&amp;IF(G1290&gt;AP1290,"Überbestand "&amp;ROUND(G1290-AP1290,0)&amp;" Stk / CHF "&amp;ROUND((G1290-AP1290)*F1290,0)&amp;"; ","")&amp;IF(AND(BW1290=1,BX1290&lt;BY1290),"MAX &lt; MB+LG; ","")&amp;IF(AND(CC1290&gt;0,CB1290*10&gt;CC1290),"zu hoch für Tablar; ","")&amp;IF(AND(BN1290=0,OR(BW1290=1,Y1290&lt;&gt;"",S1290&lt;&gt;"",T1290&lt;&gt;"",Z1290&lt;&gt;"")),"manuell übersteuert; ","")&amp;IF(AND(BR1290=0,Q1290=0),"Gebinde unbekannt / Stellmass fehlt; ","")&amp;IF(AND(BR1290=0,N(T1290)&lt;=0,N(P1290)&lt;=0),"Menge pro Gebinde fehlt (Ist = 1 Gebinde); ","")&amp;BM1290)</f>
        <v>negativer Bestand (Export -1); Kein Verbrauch; Lose – Fläche geschätzt; </v>
      </c>
      <c r="BF1290" s="55"/>
      <c r="BG1290" s="55"/>
      <c r="BH1290" s="62"/>
      <c r="BI1290" s="57" t="n">
        <v>-1</v>
      </c>
      <c r="BJ1290" s="57" t="n">
        <v>1</v>
      </c>
      <c r="BK1290" s="56" t="n">
        <v>-1133.33</v>
      </c>
      <c r="BL1290" s="57" t="n">
        <v>0</v>
      </c>
      <c r="BM1290" s="55"/>
      <c r="BN1290" s="60" t="n">
        <v>0</v>
      </c>
      <c r="BO1290" s="60" t="n">
        <v>1290</v>
      </c>
      <c r="BP1290" s="55" t="str">
        <f aca="false">IF(S1290&lt;&gt;"",UPPER(TRIM(S1290)),IF(O1290="","LOSE",O1290))</f>
        <v>LOSE</v>
      </c>
      <c r="BQ1290" s="57" t="n">
        <f aca="false">IF(BP1290="LOSE",1,IF(N(T1290)&gt;0,T1290,IF(N(P1290)&gt;0,P1290,MAX(1,G1290))))</f>
        <v>1</v>
      </c>
      <c r="BR1290" s="60" t="n">
        <f aca="false">IF(BP1290="LOSE",1,0)</f>
        <v>1</v>
      </c>
      <c r="BS1290" s="59" t="n">
        <f aca="false">IF(BR1290=0,0,IF(N(R1290)&gt;0,R1290,IFERROR(VLOOKUP(D1290,Parameter!$A$35:$C$64,3,0)+0,0)))</f>
        <v>0.15</v>
      </c>
      <c r="BT1290" s="55" t="str">
        <f aca="false">IF(Y1290&lt;&gt;"",Y1290,X1290)</f>
        <v>-</v>
      </c>
      <c r="BU1290" s="55" t="str">
        <f aca="false">IF(BT1290=1,"L1",IF(OR(BT1290=2,BT1290=3),"L23",IF(BT1290="Aussen","Aussen","-")))</f>
        <v>-</v>
      </c>
      <c r="BV1290" s="66" t="n">
        <f aca="false">IF(N(Z1290)&gt;0,Z1290,0)</f>
        <v>0</v>
      </c>
      <c r="BW1290" s="60" t="n">
        <f aca="false">IF(ISNUMBER(AC1290),1,0)</f>
        <v>0</v>
      </c>
      <c r="BX1290" s="57" t="n">
        <f aca="false">N(AC1290)</f>
        <v>0</v>
      </c>
      <c r="BY1290" s="57" t="n">
        <f aca="false">N(L1290)+N(M1290)</f>
        <v>0</v>
      </c>
      <c r="BZ1290" s="57" t="n">
        <f aca="false">ROUNDUP(G1290/BQ1290,0)</f>
        <v>0</v>
      </c>
      <c r="CA1290" s="57" t="n">
        <f aca="false">ROUNDUP(BX1290/BQ1290,0)</f>
        <v>0</v>
      </c>
      <c r="CB1290" s="60" t="n">
        <f aca="false">IF(BR1290=1,0,IFERROR(VLOOKUP(BP1290,'Gebinde-Kategorie'!$A$5:$M$45,5,0)+0,0))</f>
        <v>0</v>
      </c>
      <c r="CC1290" s="60" t="n">
        <f aca="false">IFERROR(IF(OR(BT1290=1,BT1290=2,BT1290=3),N(INDEX(Parameter!$I$5:$I$7,BT1290)),0),0)</f>
        <v>0</v>
      </c>
      <c r="CD1290" s="59" t="n">
        <f aca="false">IF(AND(Parameter!$B$21="Ja",ISNUMBER(U1290),N(V1290)&gt;0),IFERROR(N(INDEX(Parameter!$L$5:$L$7,U1290))*INDEX(Parameter!$E$5:$E$7,U1290)*V1290/SUMIFS($V$7:$V$1576,$U$7:$U$1576,U1290),0),0)</f>
        <v>0</v>
      </c>
    </row>
    <row r="1291" customFormat="false" ht="15" hidden="false" customHeight="false" outlineLevel="0" collapsed="false">
      <c r="A1291" s="55" t="s">
        <v>2286</v>
      </c>
      <c r="B1291" s="55" t="s">
        <v>262</v>
      </c>
      <c r="C1291" s="55" t="s">
        <v>160</v>
      </c>
      <c r="D1291" s="55" t="s">
        <v>168</v>
      </c>
      <c r="E1291" s="55" t="s">
        <v>210</v>
      </c>
      <c r="F1291" s="56" t="n">
        <v>1160</v>
      </c>
      <c r="G1291" s="57" t="n">
        <f aca="false">MAX(0,IF(AND(Parameter!$B$21="Ja",ISNUMBER(W1291)),W1291,IF(Parameter!$B$20="Jahresanfang 2025 + Export",BJ1291+BI1291,BI1291)))</f>
        <v>0</v>
      </c>
      <c r="H1291" s="57" t="n">
        <f aca="false">G1291*F1291</f>
        <v>0</v>
      </c>
      <c r="I1291" s="57" t="n">
        <f aca="false">BL1291*Parameter!$B$18</f>
        <v>0</v>
      </c>
      <c r="J1291" s="58" t="n">
        <v>1</v>
      </c>
      <c r="K1291" s="59" t="n">
        <v>0</v>
      </c>
      <c r="L1291" s="57" t="n">
        <v>0</v>
      </c>
      <c r="M1291" s="57" t="n">
        <v>1</v>
      </c>
      <c r="N1291" s="60" t="n">
        <v>35</v>
      </c>
      <c r="O1291" s="55" t="s">
        <v>163</v>
      </c>
      <c r="P1291" s="57"/>
      <c r="Q1291" s="60" t="n">
        <f aca="false">IF(BR1291=1,0,IFERROR(VLOOKUP(BP1291,'Gebinde-Kategorie'!$A$5:$M$45,13,0)+0,0))</f>
        <v>0</v>
      </c>
      <c r="R1291" s="61"/>
      <c r="S1291" s="62"/>
      <c r="T1291" s="62"/>
      <c r="U1291" s="55"/>
      <c r="V1291" s="57"/>
      <c r="W1291" s="57"/>
      <c r="X1291" s="55" t="n">
        <f aca="false">IF(A1291="","",IF(AND(Parameter!$B$21="Ja",ISNUMBER(U1291)),U1291,IF(IFERROR(VLOOKUP(D1291,Parameter!$A$35:$C$64,2,0),"Nein")="2+3",IF(ISNUMBER(SEARCH("grosser Artikel",BM1291)),2,IFERROR(VLOOKUP(BP1291,Parameter!$F$35:$G$64,2,0),2)),IF(OR(IFERROR(VLOOKUP(D1291,Parameter!$A$35:$C$64,2,0),"Nein")="Nein",IFERROR(VLOOKUP(D1291,Parameter!$A$35:$C$64,2,0),"Nein")=""),"-",VLOOKUP(D1291,Parameter!$A$35:$C$64,2,0)))))</f>
        <v>2</v>
      </c>
      <c r="Y1291" s="62"/>
      <c r="Z1291" s="63"/>
      <c r="AA1291" s="57" t="n">
        <f aca="false">AP1291</f>
        <v>1</v>
      </c>
      <c r="AB1291" s="57" t="n">
        <f aca="false">MAX(AP1291,G1291)</f>
        <v>1</v>
      </c>
      <c r="AC1291" s="64"/>
      <c r="AD1291" s="57" t="n">
        <f aca="false">IF(LEFT(Cockpit!$C$5,1)="A",G1291,IF(BW1291=1,BX1291,IF(LEFT(Cockpit!$C$5,1)="B",AH1291,MAX(AH1291,G1291))))</f>
        <v>0</v>
      </c>
      <c r="AE1291" s="57" t="n">
        <f aca="false">IF(BR1291=1,0,ROUNDUP(AD1291/BQ1291,0))</f>
        <v>0</v>
      </c>
      <c r="AF1291" s="59" t="n">
        <f aca="false">IF(CD1291&gt;0,CD1291*MAX(1,AD1291/V1291),IF(BR1291=1,IF(AD1291&lt;=0,0,BS1291*MAX(1,IF(G1291&gt;0,AD1291/G1291,1))),IF(Q1291&gt;0,AE1291/Q1291,0))/MAX(0.1,N(Parameter!$M$21)))</f>
        <v>0</v>
      </c>
      <c r="AG1291" s="57" t="n">
        <f aca="false">AD1291*F1291</f>
        <v>0</v>
      </c>
      <c r="AH1291" s="57" t="n">
        <f aca="false">ROUNDUP(MAX(I1291/IF(BV1291&gt;0,BV1291,MAX(0.1,N(Cockpit!$C$6))),BY1291)/BQ1291,0)*BQ1291</f>
        <v>1</v>
      </c>
      <c r="AI1291" s="58" t="n">
        <f aca="false">IF(AF1291&gt;0,I1291/AF1291,-1)</f>
        <v>-1</v>
      </c>
      <c r="AJ1291" s="58" t="str">
        <f aca="false">IF(AND(OR(BU1291="L1",BU1291="L23"),AF1291&gt;0),SUMIFS($AF$7:$AF$1576,$BU$7:$BU$1576,BU1291,$AI$7:$AI$1576,"&gt;"&amp;AI1291)+SUMIFS($AF$7:$AF$1576,$BU$7:$BU$1576,BU1291,$AI$7:$AI$1576,AI1291,$BO$7:$BO$1576,"&lt;="&amp;BO1291),"")</f>
        <v/>
      </c>
      <c r="AK1291" s="65" t="n">
        <f aca="false">IF(AJ1291="",0,MAX(0,MIN(1,(IF(BU1291="L1",Parameter!$E$5,Parameter!$E$6+Parameter!$E$7)-(AJ1291-AF1291))/AF1291)))</f>
        <v>0</v>
      </c>
      <c r="AL1291" s="57" t="n">
        <f aca="false">IF(LEFT(Cockpit!$I$5,1)="A",G1291,IF(BW1291=1,BX1291,IF(LEFT(Cockpit!$I$5,1)="B",AP1291,MAX(AP1291,G1291))))</f>
        <v>1</v>
      </c>
      <c r="AM1291" s="57" t="n">
        <f aca="false">IF(BR1291=1,0,ROUNDUP(AL1291/BQ1291,0))</f>
        <v>0</v>
      </c>
      <c r="AN1291" s="59" t="n">
        <f aca="false">IF(CD1291&gt;0,CD1291*MAX(1,AL1291/V1291),IF(BR1291=1,IF(AL1291&lt;=0,0,BS1291*MAX(1,IF(G1291&gt;0,AL1291/G1291,1))),IF(Q1291&gt;0,AM1291/Q1291,0))/MAX(0.1,N(Parameter!$M$21)))</f>
        <v>0.15</v>
      </c>
      <c r="AO1291" s="57" t="n">
        <f aca="false">AL1291*F1291</f>
        <v>1160</v>
      </c>
      <c r="AP1291" s="57" t="n">
        <f aca="false">ROUNDUP(MAX(I1291/IF(BV1291&gt;0,BV1291,MAX(0.1,N(Cockpit!$I$6))),BY1291)/BQ1291,0)*BQ1291</f>
        <v>1</v>
      </c>
      <c r="AQ1291" s="58" t="n">
        <f aca="false">IF(AN1291&gt;0,I1291/AN1291,-1)</f>
        <v>0</v>
      </c>
      <c r="AR1291" s="58" t="n">
        <f aca="false">IF(AND(OR(BU1291="L1",BU1291="L23"),AN1291&gt;0),SUMIFS($AN$7:$AN$1576,$BU$7:$BU$1576,BU1291,$AQ$7:$AQ$1576,"&gt;"&amp;AQ1291)+SUMIFS($AN$7:$AN$1576,$BU$7:$BU$1576,BU1291,$AQ$7:$AQ$1576,AQ1291,$BO$7:$BO$1576,"&lt;="&amp;BO1291),"")</f>
        <v>137.806640388644</v>
      </c>
      <c r="AS1291" s="65" t="n">
        <f aca="false">IF(AR1291="",0,MAX(0,MIN(1,(IF(BU1291="L1",Parameter!$E$5,Parameter!$E$6+Parameter!$E$7)-(AR1291-AN1291))/AN1291)))</f>
        <v>0</v>
      </c>
      <c r="AT1291" s="57" t="n">
        <f aca="false">IF(LEFT(Cockpit!$O$5,1)="A",G1291,IF(BW1291=1,BX1291,IF(LEFT(Cockpit!$O$5,1)="B",AX1291,MAX(AX1291,G1291))))</f>
        <v>1</v>
      </c>
      <c r="AU1291" s="57" t="n">
        <f aca="false">IF(BR1291=1,0,ROUNDUP(AT1291/BQ1291,0))</f>
        <v>0</v>
      </c>
      <c r="AV1291" s="59" t="n">
        <f aca="false">IF(CD1291&gt;0,CD1291*MAX(1,AT1291/V1291),IF(BR1291=1,IF(AT1291&lt;=0,0,BS1291*MAX(1,IF(G1291&gt;0,AT1291/G1291,1))),IF(Q1291&gt;0,AU1291/Q1291,0))/MAX(0.1,N(Parameter!$M$21)))</f>
        <v>0.15</v>
      </c>
      <c r="AW1291" s="57" t="n">
        <f aca="false">AT1291*F1291</f>
        <v>1160</v>
      </c>
      <c r="AX1291" s="57" t="n">
        <f aca="false">ROUNDUP(MAX(I1291/IF(BV1291&gt;0,BV1291,MAX(0.1,N(Cockpit!$O$6))),BY1291)/BQ1291,0)*BQ1291</f>
        <v>1</v>
      </c>
      <c r="AY1291" s="58" t="n">
        <f aca="false">IF(AV1291&gt;0,I1291/AV1291,-1)</f>
        <v>0</v>
      </c>
      <c r="AZ1291" s="58" t="n">
        <f aca="false">IF(AND(OR(BU1291="L1",BU1291="L23"),AV1291&gt;0),SUMIFS($AV$7:$AV$1576,$BU$7:$BU$1576,BU1291,$AY$7:$AY$1576,"&gt;"&amp;AY1291)+SUMIFS($AV$7:$AV$1576,$BU$7:$BU$1576,BU1291,$AY$7:$AY$1576,AY1291,$BO$7:$BO$1576,"&lt;="&amp;BO1291),"")</f>
        <v>127.866190838195</v>
      </c>
      <c r="BA1291" s="65" t="n">
        <f aca="false">IF(AZ1291="",0,MAX(0,MIN(1,(IF(BU1291="L1",Parameter!$E$5,Parameter!$E$6+Parameter!$E$7)-(AZ1291-AV1291))/AV1291)))</f>
        <v>0</v>
      </c>
      <c r="BB1291" s="55" t="str">
        <f aca="false">IF(AF1291&lt;=0,"",IF(BU1291="Aussen","Aussenlager",IF(BU1291="-","Nicht im Lift",IF(AK1291&gt;=1,"Lift",IF(AK1291&lt;=0,"Aussenlager","teilweise")))))</f>
        <v/>
      </c>
      <c r="BC1291" s="55" t="str">
        <f aca="false">IF(AN1291&lt;=0,"",IF(BU1291="Aussen","Aussenlager",IF(BU1291="-","Nicht im Lift",IF(AS1291&gt;=1,"Lift",IF(AS1291&lt;=0,"Aussenlager","teilweise")))))</f>
        <v>Aussenlager</v>
      </c>
      <c r="BD1291" s="55" t="str">
        <f aca="false">IF(AV1291&lt;=0,"",IF(BU1291="Aussen","Aussenlager",IF(BU1291="-","Nicht im Lift",IF(BA1291&gt;=1,"Lift",IF(BA1291&lt;=0,"Aussenlager","teilweise")))))</f>
        <v>Aussenlager</v>
      </c>
      <c r="BE1291" s="55" t="str">
        <f aca="false">IF(A1291="","",IF(BN1291=1,"Neu; ","")&amp;IF(AND(BN1291=0,BI1291&lt;0),"negativer Bestand (Export "&amp;BI1291&amp;"); ","")&amp;IF(I1291&lt;=0,"Kein Verbrauch; ","")&amp;IF(CD1291&gt;0,"Lift "&amp;U1291&amp;" lt. Liftbericht (Fach "&amp;V1291&amp;" Stk); ",IF(BR1291=1,"Lose – Fläche geschätzt; ",""))&amp;IF(G1291&gt;AP1291,"Überbestand "&amp;ROUND(G1291-AP1291,0)&amp;" Stk / CHF "&amp;ROUND((G1291-AP1291)*F1291,0)&amp;"; ","")&amp;IF(AND(BW1291=1,BX1291&lt;BY1291),"MAX &lt; MB+LG; ","")&amp;IF(AND(CC1291&gt;0,CB1291*10&gt;CC1291),"zu hoch für Tablar; ","")&amp;IF(AND(BN1291=0,OR(BW1291=1,Y1291&lt;&gt;"",S1291&lt;&gt;"",T1291&lt;&gt;"",Z1291&lt;&gt;"")),"manuell übersteuert; ","")&amp;IF(AND(BR1291=0,Q1291=0),"Gebinde unbekannt / Stellmass fehlt; ","")&amp;IF(AND(BR1291=0,N(T1291)&lt;=0,N(P1291)&lt;=0),"Menge pro Gebinde fehlt (Ist = 1 Gebinde); ","")&amp;BM1291)</f>
        <v>negativer Bestand (Export -1); Kein Verbrauch; Lose – Fläche geschätzt; </v>
      </c>
      <c r="BF1291" s="55"/>
      <c r="BG1291" s="55"/>
      <c r="BH1291" s="62"/>
      <c r="BI1291" s="57" t="n">
        <v>-1</v>
      </c>
      <c r="BJ1291" s="57" t="n">
        <v>1</v>
      </c>
      <c r="BK1291" s="56" t="n">
        <v>-1160</v>
      </c>
      <c r="BL1291" s="57" t="n">
        <v>0</v>
      </c>
      <c r="BM1291" s="55"/>
      <c r="BN1291" s="60" t="n">
        <v>0</v>
      </c>
      <c r="BO1291" s="60" t="n">
        <v>1291</v>
      </c>
      <c r="BP1291" s="55" t="str">
        <f aca="false">IF(S1291&lt;&gt;"",UPPER(TRIM(S1291)),IF(O1291="","LOSE",O1291))</f>
        <v>LOSE</v>
      </c>
      <c r="BQ1291" s="57" t="n">
        <f aca="false">IF(BP1291="LOSE",1,IF(N(T1291)&gt;0,T1291,IF(N(P1291)&gt;0,P1291,MAX(1,G1291))))</f>
        <v>1</v>
      </c>
      <c r="BR1291" s="60" t="n">
        <f aca="false">IF(BP1291="LOSE",1,0)</f>
        <v>1</v>
      </c>
      <c r="BS1291" s="59" t="n">
        <f aca="false">IF(BR1291=0,0,IF(N(R1291)&gt;0,R1291,IFERROR(VLOOKUP(D1291,Parameter!$A$35:$C$64,3,0)+0,0)))</f>
        <v>0.15</v>
      </c>
      <c r="BT1291" s="55" t="n">
        <f aca="false">IF(Y1291&lt;&gt;"",Y1291,X1291)</f>
        <v>2</v>
      </c>
      <c r="BU1291" s="55" t="str">
        <f aca="false">IF(BT1291=1,"L1",IF(OR(BT1291=2,BT1291=3),"L23",IF(BT1291="Aussen","Aussen","-")))</f>
        <v>L23</v>
      </c>
      <c r="BV1291" s="66" t="n">
        <f aca="false">IF(N(Z1291)&gt;0,Z1291,0)</f>
        <v>0</v>
      </c>
      <c r="BW1291" s="60" t="n">
        <f aca="false">IF(ISNUMBER(AC1291),1,0)</f>
        <v>0</v>
      </c>
      <c r="BX1291" s="57" t="n">
        <f aca="false">N(AC1291)</f>
        <v>0</v>
      </c>
      <c r="BY1291" s="57" t="n">
        <f aca="false">N(L1291)+N(M1291)</f>
        <v>1</v>
      </c>
      <c r="BZ1291" s="57" t="n">
        <f aca="false">ROUNDUP(G1291/BQ1291,0)</f>
        <v>0</v>
      </c>
      <c r="CA1291" s="57" t="n">
        <f aca="false">ROUNDUP(BX1291/BQ1291,0)</f>
        <v>0</v>
      </c>
      <c r="CB1291" s="60" t="n">
        <f aca="false">IF(BR1291=1,0,IFERROR(VLOOKUP(BP1291,'Gebinde-Kategorie'!$A$5:$M$45,5,0)+0,0))</f>
        <v>0</v>
      </c>
      <c r="CC1291" s="60" t="n">
        <f aca="false">IFERROR(IF(OR(BT1291=1,BT1291=2,BT1291=3),N(INDEX(Parameter!$I$5:$I$7,BT1291)),0),0)</f>
        <v>0</v>
      </c>
      <c r="CD1291" s="59" t="n">
        <f aca="false">IF(AND(Parameter!$B$21="Ja",ISNUMBER(U1291),N(V1291)&gt;0),IFERROR(N(INDEX(Parameter!$L$5:$L$7,U1291))*INDEX(Parameter!$E$5:$E$7,U1291)*V1291/SUMIFS($V$7:$V$1576,$U$7:$U$1576,U1291),0),0)</f>
        <v>0</v>
      </c>
    </row>
    <row r="1292" customFormat="false" ht="15" hidden="false" customHeight="false" outlineLevel="0" collapsed="false">
      <c r="A1292" s="55" t="s">
        <v>2287</v>
      </c>
      <c r="B1292" s="55" t="s">
        <v>589</v>
      </c>
      <c r="C1292" s="55" t="s">
        <v>160</v>
      </c>
      <c r="D1292" s="55" t="s">
        <v>178</v>
      </c>
      <c r="E1292" s="55" t="s">
        <v>210</v>
      </c>
      <c r="F1292" s="56" t="n">
        <v>16.14</v>
      </c>
      <c r="G1292" s="57" t="n">
        <f aca="false">MAX(0,IF(AND(Parameter!$B$21="Ja",ISNUMBER(W1292)),W1292,IF(Parameter!$B$20="Jahresanfang 2025 + Export",BJ1292+BI1292,BI1292)))</f>
        <v>0</v>
      </c>
      <c r="H1292" s="57" t="n">
        <f aca="false">G1292*F1292</f>
        <v>0</v>
      </c>
      <c r="I1292" s="57" t="n">
        <f aca="false">BL1292*Parameter!$B$18</f>
        <v>53</v>
      </c>
      <c r="J1292" s="58" t="n">
        <v>61.5</v>
      </c>
      <c r="K1292" s="59" t="n">
        <v>0.861788617886179</v>
      </c>
      <c r="L1292" s="57" t="n">
        <v>3</v>
      </c>
      <c r="M1292" s="57" t="n">
        <v>55</v>
      </c>
      <c r="N1292" s="60" t="n">
        <v>21</v>
      </c>
      <c r="O1292" s="55" t="s">
        <v>293</v>
      </c>
      <c r="P1292" s="57" t="n">
        <v>58</v>
      </c>
      <c r="Q1292" s="60" t="n">
        <f aca="false">IF(BR1292=1,0,IFERROR(VLOOKUP(BP1292,'Gebinde-Kategorie'!$A$5:$M$45,13,0)+0,0))</f>
        <v>26</v>
      </c>
      <c r="R1292" s="61"/>
      <c r="S1292" s="62"/>
      <c r="T1292" s="62"/>
      <c r="U1292" s="55"/>
      <c r="V1292" s="57"/>
      <c r="W1292" s="57"/>
      <c r="X1292" s="55" t="n">
        <f aca="false">IF(A1292="","",IF(AND(Parameter!$B$21="Ja",ISNUMBER(U1292)),U1292,IF(IFERROR(VLOOKUP(D1292,Parameter!$A$35:$C$64,2,0),"Nein")="2+3",IF(ISNUMBER(SEARCH("grosser Artikel",BM1292)),2,IFERROR(VLOOKUP(BP1292,Parameter!$F$35:$G$64,2,0),2)),IF(OR(IFERROR(VLOOKUP(D1292,Parameter!$A$35:$C$64,2,0),"Nein")="Nein",IFERROR(VLOOKUP(D1292,Parameter!$A$35:$C$64,2,0),"Nein")=""),"-",VLOOKUP(D1292,Parameter!$A$35:$C$64,2,0)))))</f>
        <v>3</v>
      </c>
      <c r="Y1292" s="62"/>
      <c r="Z1292" s="63"/>
      <c r="AA1292" s="57" t="n">
        <f aca="false">AP1292</f>
        <v>58</v>
      </c>
      <c r="AB1292" s="57" t="n">
        <f aca="false">MAX(AP1292,G1292)</f>
        <v>58</v>
      </c>
      <c r="AC1292" s="64"/>
      <c r="AD1292" s="57" t="n">
        <f aca="false">IF(LEFT(Cockpit!$C$5,1)="A",G1292,IF(BW1292=1,BX1292,IF(LEFT(Cockpit!$C$5,1)="B",AH1292,MAX(AH1292,G1292))))</f>
        <v>0</v>
      </c>
      <c r="AE1292" s="57" t="n">
        <f aca="false">IF(BR1292=1,0,ROUNDUP(AD1292/BQ1292,0))</f>
        <v>0</v>
      </c>
      <c r="AF1292" s="59" t="n">
        <f aca="false">IF(CD1292&gt;0,CD1292*MAX(1,AD1292/V1292),IF(BR1292=1,IF(AD1292&lt;=0,0,BS1292*MAX(1,IF(G1292&gt;0,AD1292/G1292,1))),IF(Q1292&gt;0,AE1292/Q1292,0))/MAX(0.1,N(Parameter!$M$21)))</f>
        <v>0</v>
      </c>
      <c r="AG1292" s="57" t="n">
        <f aca="false">AD1292*F1292</f>
        <v>0</v>
      </c>
      <c r="AH1292" s="57" t="n">
        <f aca="false">ROUNDUP(MAX(I1292/IF(BV1292&gt;0,BV1292,MAX(0.1,N(Cockpit!$C$6))),BY1292)/BQ1292,0)*BQ1292</f>
        <v>58</v>
      </c>
      <c r="AI1292" s="58" t="n">
        <f aca="false">IF(AF1292&gt;0,I1292/AF1292,-1)</f>
        <v>-1</v>
      </c>
      <c r="AJ1292" s="58" t="str">
        <f aca="false">IF(AND(OR(BU1292="L1",BU1292="L23"),AF1292&gt;0),SUMIFS($AF$7:$AF$1576,$BU$7:$BU$1576,BU1292,$AI$7:$AI$1576,"&gt;"&amp;AI1292)+SUMIFS($AF$7:$AF$1576,$BU$7:$BU$1576,BU1292,$AI$7:$AI$1576,AI1292,$BO$7:$BO$1576,"&lt;="&amp;BO1292),"")</f>
        <v/>
      </c>
      <c r="AK1292" s="65" t="n">
        <f aca="false">IF(AJ1292="",0,MAX(0,MIN(1,(IF(BU1292="L1",Parameter!$E$5,Parameter!$E$6+Parameter!$E$7)-(AJ1292-AF1292))/AF1292)))</f>
        <v>0</v>
      </c>
      <c r="AL1292" s="57" t="n">
        <f aca="false">IF(LEFT(Cockpit!$I$5,1)="A",G1292,IF(BW1292=1,BX1292,IF(LEFT(Cockpit!$I$5,1)="B",AP1292,MAX(AP1292,G1292))))</f>
        <v>58</v>
      </c>
      <c r="AM1292" s="57" t="n">
        <f aca="false">IF(BR1292=1,0,ROUNDUP(AL1292/BQ1292,0))</f>
        <v>1</v>
      </c>
      <c r="AN1292" s="59" t="n">
        <f aca="false">IF(CD1292&gt;0,CD1292*MAX(1,AL1292/V1292),IF(BR1292=1,IF(AL1292&lt;=0,0,BS1292*MAX(1,IF(G1292&gt;0,AL1292/G1292,1))),IF(Q1292&gt;0,AM1292/Q1292,0))/MAX(0.1,N(Parameter!$M$21)))</f>
        <v>0.0384615384615385</v>
      </c>
      <c r="AO1292" s="57" t="n">
        <f aca="false">AL1292*F1292</f>
        <v>936.12</v>
      </c>
      <c r="AP1292" s="57" t="n">
        <f aca="false">ROUNDUP(MAX(I1292/IF(BV1292&gt;0,BV1292,MAX(0.1,N(Cockpit!$I$6))),BY1292)/BQ1292,0)*BQ1292</f>
        <v>58</v>
      </c>
      <c r="AQ1292" s="58" t="n">
        <f aca="false">IF(AN1292&gt;0,I1292/AN1292,-1)</f>
        <v>1378</v>
      </c>
      <c r="AR1292" s="58" t="n">
        <f aca="false">IF(AND(OR(BU1292="L1",BU1292="L23"),AN1292&gt;0),SUMIFS($AN$7:$AN$1576,$BU$7:$BU$1576,BU1292,$AQ$7:$AQ$1576,"&gt;"&amp;AQ1292)+SUMIFS($AN$7:$AN$1576,$BU$7:$BU$1576,BU1292,$AQ$7:$AQ$1576,AQ1292,$BO$7:$BO$1576,"&lt;="&amp;BO1292),"")</f>
        <v>19.8214489016775</v>
      </c>
      <c r="AS1292" s="65" t="n">
        <f aca="false">IF(AR1292="",0,MAX(0,MIN(1,(IF(BU1292="L1",Parameter!$E$5,Parameter!$E$6+Parameter!$E$7)-(AR1292-AN1292))/AN1292)))</f>
        <v>1</v>
      </c>
      <c r="AT1292" s="57" t="n">
        <f aca="false">IF(LEFT(Cockpit!$O$5,1)="A",G1292,IF(BW1292=1,BX1292,IF(LEFT(Cockpit!$O$5,1)="B",AX1292,MAX(AX1292,G1292))))</f>
        <v>58</v>
      </c>
      <c r="AU1292" s="57" t="n">
        <f aca="false">IF(BR1292=1,0,ROUNDUP(AT1292/BQ1292,0))</f>
        <v>1</v>
      </c>
      <c r="AV1292" s="59" t="n">
        <f aca="false">IF(CD1292&gt;0,CD1292*MAX(1,AT1292/V1292),IF(BR1292=1,IF(AT1292&lt;=0,0,BS1292*MAX(1,IF(G1292&gt;0,AT1292/G1292,1))),IF(Q1292&gt;0,AU1292/Q1292,0))/MAX(0.1,N(Parameter!$M$21)))</f>
        <v>0.0384615384615385</v>
      </c>
      <c r="AW1292" s="57" t="n">
        <f aca="false">AT1292*F1292</f>
        <v>936.12</v>
      </c>
      <c r="AX1292" s="57" t="n">
        <f aca="false">ROUNDUP(MAX(I1292/IF(BV1292&gt;0,BV1292,MAX(0.1,N(Cockpit!$O$6))),BY1292)/BQ1292,0)*BQ1292</f>
        <v>58</v>
      </c>
      <c r="AY1292" s="58" t="n">
        <f aca="false">IF(AV1292&gt;0,I1292/AV1292,-1)</f>
        <v>1378</v>
      </c>
      <c r="AZ1292" s="58" t="n">
        <f aca="false">IF(AND(OR(BU1292="L1",BU1292="L23"),AV1292&gt;0),SUMIFS($AV$7:$AV$1576,$BU$7:$BU$1576,BU1292,$AY$7:$AY$1576,"&gt;"&amp;AY1292)+SUMIFS($AV$7:$AV$1576,$BU$7:$BU$1576,BU1292,$AY$7:$AY$1576,AY1292,$BO$7:$BO$1576,"&lt;="&amp;BO1292),"")</f>
        <v>18.6320549622835</v>
      </c>
      <c r="BA1292" s="65" t="n">
        <f aca="false">IF(AZ1292="",0,MAX(0,MIN(1,(IF(BU1292="L1",Parameter!$E$5,Parameter!$E$6+Parameter!$E$7)-(AZ1292-AV1292))/AV1292)))</f>
        <v>1</v>
      </c>
      <c r="BB1292" s="55" t="str">
        <f aca="false">IF(AF1292&lt;=0,"",IF(BU1292="Aussen","Aussenlager",IF(BU1292="-","Nicht im Lift",IF(AK1292&gt;=1,"Lift",IF(AK1292&lt;=0,"Aussenlager","teilweise")))))</f>
        <v/>
      </c>
      <c r="BC1292" s="55" t="str">
        <f aca="false">IF(AN1292&lt;=0,"",IF(BU1292="Aussen","Aussenlager",IF(BU1292="-","Nicht im Lift",IF(AS1292&gt;=1,"Lift",IF(AS1292&lt;=0,"Aussenlager","teilweise")))))</f>
        <v>Lift</v>
      </c>
      <c r="BD1292" s="55" t="str">
        <f aca="false">IF(AV1292&lt;=0,"",IF(BU1292="Aussen","Aussenlager",IF(BU1292="-","Nicht im Lift",IF(BA1292&gt;=1,"Lift",IF(BA1292&lt;=0,"Aussenlager","teilweise")))))</f>
        <v>Lift</v>
      </c>
      <c r="BE1292" s="55" t="str">
        <f aca="false">IF(A1292="","",IF(BN1292=1,"Neu; ","")&amp;IF(AND(BN1292=0,BI1292&lt;0),"negativer Bestand (Export "&amp;BI1292&amp;"); ","")&amp;IF(I1292&lt;=0,"Kein Verbrauch; ","")&amp;IF(CD1292&gt;0,"Lift "&amp;U1292&amp;" lt. Liftbericht (Fach "&amp;V1292&amp;" Stk); ",IF(BR1292=1,"Lose – Fläche geschätzt; ",""))&amp;IF(G1292&gt;AP1292,"Überbestand "&amp;ROUND(G1292-AP1292,0)&amp;" Stk / CHF "&amp;ROUND((G1292-AP1292)*F1292,0)&amp;"; ","")&amp;IF(AND(BW1292=1,BX1292&lt;BY1292),"MAX &lt; MB+LG; ","")&amp;IF(AND(CC1292&gt;0,CB1292*10&gt;CC1292),"zu hoch für Tablar; ","")&amp;IF(AND(BN1292=0,OR(BW1292=1,Y1292&lt;&gt;"",S1292&lt;&gt;"",T1292&lt;&gt;"",Z1292&lt;&gt;"")),"manuell übersteuert; ","")&amp;IF(AND(BR1292=0,Q1292=0),"Gebinde unbekannt / Stellmass fehlt; ","")&amp;IF(AND(BR1292=0,N(T1292)&lt;=0,N(P1292)&lt;=0),"Menge pro Gebinde fehlt (Ist = 1 Gebinde); ","")&amp;BM1292)</f>
        <v>negativer Bestand (Export -66); </v>
      </c>
      <c r="BF1292" s="55"/>
      <c r="BG1292" s="55"/>
      <c r="BH1292" s="62"/>
      <c r="BI1292" s="57" t="n">
        <v>-66</v>
      </c>
      <c r="BJ1292" s="57" t="n">
        <v>76</v>
      </c>
      <c r="BK1292" s="56" t="n">
        <v>-1160.7</v>
      </c>
      <c r="BL1292" s="57" t="n">
        <v>53</v>
      </c>
      <c r="BM1292" s="55"/>
      <c r="BN1292" s="60" t="n">
        <v>0</v>
      </c>
      <c r="BO1292" s="60" t="n">
        <v>1292</v>
      </c>
      <c r="BP1292" s="55" t="str">
        <f aca="false">IF(S1292&lt;&gt;"",UPPER(TRIM(S1292)),IF(O1292="","LOSE",O1292))</f>
        <v>S51</v>
      </c>
      <c r="BQ1292" s="57" t="n">
        <f aca="false">IF(BP1292="LOSE",1,IF(N(T1292)&gt;0,T1292,IF(N(P1292)&gt;0,P1292,MAX(1,G1292))))</f>
        <v>58</v>
      </c>
      <c r="BR1292" s="60" t="n">
        <f aca="false">IF(BP1292="LOSE",1,0)</f>
        <v>0</v>
      </c>
      <c r="BS1292" s="59" t="n">
        <f aca="false">IF(BR1292=0,0,IF(N(R1292)&gt;0,R1292,IFERROR(VLOOKUP(D1292,Parameter!$A$35:$C$64,3,0)+0,0)))</f>
        <v>0</v>
      </c>
      <c r="BT1292" s="55" t="n">
        <f aca="false">IF(Y1292&lt;&gt;"",Y1292,X1292)</f>
        <v>3</v>
      </c>
      <c r="BU1292" s="55" t="str">
        <f aca="false">IF(BT1292=1,"L1",IF(OR(BT1292=2,BT1292=3),"L23",IF(BT1292="Aussen","Aussen","-")))</f>
        <v>L23</v>
      </c>
      <c r="BV1292" s="66" t="n">
        <f aca="false">IF(N(Z1292)&gt;0,Z1292,0)</f>
        <v>0</v>
      </c>
      <c r="BW1292" s="60" t="n">
        <f aca="false">IF(ISNUMBER(AC1292),1,0)</f>
        <v>0</v>
      </c>
      <c r="BX1292" s="57" t="n">
        <f aca="false">N(AC1292)</f>
        <v>0</v>
      </c>
      <c r="BY1292" s="57" t="n">
        <f aca="false">N(L1292)+N(M1292)</f>
        <v>58</v>
      </c>
      <c r="BZ1292" s="57" t="n">
        <f aca="false">ROUNDUP(G1292/BQ1292,0)</f>
        <v>0</v>
      </c>
      <c r="CA1292" s="57" t="n">
        <f aca="false">ROUNDUP(BX1292/BQ1292,0)</f>
        <v>0</v>
      </c>
      <c r="CB1292" s="60" t="n">
        <f aca="false">IF(BR1292=1,0,IFERROR(VLOOKUP(BP1292,'Gebinde-Kategorie'!$A$5:$M$45,5,0)+0,0))</f>
        <v>11</v>
      </c>
      <c r="CC1292" s="60" t="n">
        <f aca="false">IFERROR(IF(OR(BT1292=1,BT1292=2,BT1292=3),N(INDEX(Parameter!$I$5:$I$7,BT1292)),0),0)</f>
        <v>0</v>
      </c>
      <c r="CD1292" s="59" t="n">
        <f aca="false">IF(AND(Parameter!$B$21="Ja",ISNUMBER(U1292),N(V1292)&gt;0),IFERROR(N(INDEX(Parameter!$L$5:$L$7,U1292))*INDEX(Parameter!$E$5:$E$7,U1292)*V1292/SUMIFS($V$7:$V$1576,$U$7:$U$1576,U1292),0),0)</f>
        <v>0</v>
      </c>
    </row>
    <row r="1293" customFormat="false" ht="15" hidden="false" customHeight="false" outlineLevel="0" collapsed="false">
      <c r="A1293" s="55" t="s">
        <v>2288</v>
      </c>
      <c r="B1293" s="55" t="s">
        <v>987</v>
      </c>
      <c r="C1293" s="55" t="s">
        <v>160</v>
      </c>
      <c r="D1293" s="55" t="s">
        <v>178</v>
      </c>
      <c r="E1293" s="55" t="s">
        <v>210</v>
      </c>
      <c r="F1293" s="56" t="n">
        <v>116.83</v>
      </c>
      <c r="G1293" s="57" t="n">
        <f aca="false">MAX(0,IF(AND(Parameter!$B$21="Ja",ISNUMBER(W1293)),W1293,IF(Parameter!$B$20="Jahresanfang 2025 + Export",BJ1293+BI1293,BI1293)))</f>
        <v>0</v>
      </c>
      <c r="H1293" s="57" t="n">
        <f aca="false">G1293*F1293</f>
        <v>0</v>
      </c>
      <c r="I1293" s="57" t="n">
        <f aca="false">BL1293*Parameter!$B$18</f>
        <v>148.173</v>
      </c>
      <c r="J1293" s="58" t="n">
        <v>35.0785</v>
      </c>
      <c r="K1293" s="59" t="n">
        <v>4.22404036660633</v>
      </c>
      <c r="L1293" s="57" t="n">
        <v>15</v>
      </c>
      <c r="M1293" s="57" t="n">
        <v>45</v>
      </c>
      <c r="N1293" s="60" t="n">
        <v>42</v>
      </c>
      <c r="O1293" s="55" t="s">
        <v>284</v>
      </c>
      <c r="P1293" s="57" t="n">
        <v>17.887</v>
      </c>
      <c r="Q1293" s="60" t="n">
        <f aca="false">IF(BR1293=1,0,IFERROR(VLOOKUP(BP1293,'Gebinde-Kategorie'!$A$5:$M$45,13,0)+0,0))</f>
        <v>12</v>
      </c>
      <c r="R1293" s="61"/>
      <c r="S1293" s="62"/>
      <c r="T1293" s="62"/>
      <c r="U1293" s="55"/>
      <c r="V1293" s="57"/>
      <c r="W1293" s="57"/>
      <c r="X1293" s="55" t="n">
        <f aca="false">IF(A1293="","",IF(AND(Parameter!$B$21="Ja",ISNUMBER(U1293)),U1293,IF(IFERROR(VLOOKUP(D1293,Parameter!$A$35:$C$64,2,0),"Nein")="2+3",IF(ISNUMBER(SEARCH("grosser Artikel",BM1293)),2,IFERROR(VLOOKUP(BP1293,Parameter!$F$35:$G$64,2,0),2)),IF(OR(IFERROR(VLOOKUP(D1293,Parameter!$A$35:$C$64,2,0),"Nein")="Nein",IFERROR(VLOOKUP(D1293,Parameter!$A$35:$C$64,2,0),"Nein")=""),"-",VLOOKUP(D1293,Parameter!$A$35:$C$64,2,0)))))</f>
        <v>2</v>
      </c>
      <c r="Y1293" s="62"/>
      <c r="Z1293" s="63"/>
      <c r="AA1293" s="57" t="n">
        <f aca="false">AP1293</f>
        <v>89.435</v>
      </c>
      <c r="AB1293" s="57" t="n">
        <f aca="false">MAX(AP1293,G1293)</f>
        <v>89.435</v>
      </c>
      <c r="AC1293" s="64"/>
      <c r="AD1293" s="57" t="n">
        <f aca="false">IF(LEFT(Cockpit!$C$5,1)="A",G1293,IF(BW1293=1,BX1293,IF(LEFT(Cockpit!$C$5,1)="B",AH1293,MAX(AH1293,G1293))))</f>
        <v>0</v>
      </c>
      <c r="AE1293" s="57" t="n">
        <f aca="false">IF(BR1293=1,0,ROUNDUP(AD1293/BQ1293,0))</f>
        <v>0</v>
      </c>
      <c r="AF1293" s="59" t="n">
        <f aca="false">IF(CD1293&gt;0,CD1293*MAX(1,AD1293/V1293),IF(BR1293=1,IF(AD1293&lt;=0,0,BS1293*MAX(1,IF(G1293&gt;0,AD1293/G1293,1))),IF(Q1293&gt;0,AE1293/Q1293,0))/MAX(0.1,N(Parameter!$M$21)))</f>
        <v>0</v>
      </c>
      <c r="AG1293" s="57" t="n">
        <f aca="false">AD1293*F1293</f>
        <v>0</v>
      </c>
      <c r="AH1293" s="57" t="n">
        <f aca="false">ROUNDUP(MAX(I1293/IF(BV1293&gt;0,BV1293,MAX(0.1,N(Cockpit!$C$6))),BY1293)/BQ1293,0)*BQ1293</f>
        <v>89.435</v>
      </c>
      <c r="AI1293" s="58" t="n">
        <f aca="false">IF(AF1293&gt;0,I1293/AF1293,-1)</f>
        <v>-1</v>
      </c>
      <c r="AJ1293" s="58" t="str">
        <f aca="false">IF(AND(OR(BU1293="L1",BU1293="L23"),AF1293&gt;0),SUMIFS($AF$7:$AF$1576,$BU$7:$BU$1576,BU1293,$AI$7:$AI$1576,"&gt;"&amp;AI1293)+SUMIFS($AF$7:$AF$1576,$BU$7:$BU$1576,BU1293,$AI$7:$AI$1576,AI1293,$BO$7:$BO$1576,"&lt;="&amp;BO1293),"")</f>
        <v/>
      </c>
      <c r="AK1293" s="65" t="n">
        <f aca="false">IF(AJ1293="",0,MAX(0,MIN(1,(IF(BU1293="L1",Parameter!$E$5,Parameter!$E$6+Parameter!$E$7)-(AJ1293-AF1293))/AF1293)))</f>
        <v>0</v>
      </c>
      <c r="AL1293" s="57" t="n">
        <f aca="false">IF(LEFT(Cockpit!$I$5,1)="A",G1293,IF(BW1293=1,BX1293,IF(LEFT(Cockpit!$I$5,1)="B",AP1293,MAX(AP1293,G1293))))</f>
        <v>89.435</v>
      </c>
      <c r="AM1293" s="57" t="n">
        <f aca="false">IF(BR1293=1,0,ROUNDUP(AL1293/BQ1293,0))</f>
        <v>5</v>
      </c>
      <c r="AN1293" s="59" t="n">
        <f aca="false">IF(CD1293&gt;0,CD1293*MAX(1,AL1293/V1293),IF(BR1293=1,IF(AL1293&lt;=0,0,BS1293*MAX(1,IF(G1293&gt;0,AL1293/G1293,1))),IF(Q1293&gt;0,AM1293/Q1293,0))/MAX(0.1,N(Parameter!$M$21)))</f>
        <v>0.416666666666667</v>
      </c>
      <c r="AO1293" s="57" t="n">
        <f aca="false">AL1293*F1293</f>
        <v>10448.69105</v>
      </c>
      <c r="AP1293" s="57" t="n">
        <f aca="false">ROUNDUP(MAX(I1293/IF(BV1293&gt;0,BV1293,MAX(0.1,N(Cockpit!$I$6))),BY1293)/BQ1293,0)*BQ1293</f>
        <v>89.435</v>
      </c>
      <c r="AQ1293" s="58" t="n">
        <f aca="false">IF(AN1293&gt;0,I1293/AN1293,-1)</f>
        <v>355.6152</v>
      </c>
      <c r="AR1293" s="58" t="n">
        <f aca="false">IF(AND(OR(BU1293="L1",BU1293="L23"),AN1293&gt;0),SUMIFS($AN$7:$AN$1576,$BU$7:$BU$1576,BU1293,$AQ$7:$AQ$1576,"&gt;"&amp;AQ1293)+SUMIFS($AN$7:$AN$1576,$BU$7:$BU$1576,BU1293,$AQ$7:$AQ$1576,AQ1293,$BO$7:$BO$1576,"&lt;="&amp;BO1293),"")</f>
        <v>38.4821342549715</v>
      </c>
      <c r="AS1293" s="65" t="n">
        <f aca="false">IF(AR1293="",0,MAX(0,MIN(1,(IF(BU1293="L1",Parameter!$E$5,Parameter!$E$6+Parameter!$E$7)-(AR1293-AN1293))/AN1293)))</f>
        <v>1</v>
      </c>
      <c r="AT1293" s="57" t="n">
        <f aca="false">IF(LEFT(Cockpit!$O$5,1)="A",G1293,IF(BW1293=1,BX1293,IF(LEFT(Cockpit!$O$5,1)="B",AX1293,MAX(AX1293,G1293))))</f>
        <v>71.548</v>
      </c>
      <c r="AU1293" s="57" t="n">
        <f aca="false">IF(BR1293=1,0,ROUNDUP(AT1293/BQ1293,0))</f>
        <v>4</v>
      </c>
      <c r="AV1293" s="59" t="n">
        <f aca="false">IF(CD1293&gt;0,CD1293*MAX(1,AT1293/V1293),IF(BR1293=1,IF(AT1293&lt;=0,0,BS1293*MAX(1,IF(G1293&gt;0,AT1293/G1293,1))),IF(Q1293&gt;0,AU1293/Q1293,0))/MAX(0.1,N(Parameter!$M$21)))</f>
        <v>0.333333333333333</v>
      </c>
      <c r="AW1293" s="57" t="n">
        <f aca="false">AT1293*F1293</f>
        <v>8358.95284</v>
      </c>
      <c r="AX1293" s="57" t="n">
        <f aca="false">ROUNDUP(MAX(I1293/IF(BV1293&gt;0,BV1293,MAX(0.1,N(Cockpit!$O$6))),BY1293)/BQ1293,0)*BQ1293</f>
        <v>71.548</v>
      </c>
      <c r="AY1293" s="58" t="n">
        <f aca="false">IF(AV1293&gt;0,I1293/AV1293,-1)</f>
        <v>444.519</v>
      </c>
      <c r="AZ1293" s="58" t="n">
        <f aca="false">IF(AND(OR(BU1293="L1",BU1293="L23"),AV1293&gt;0),SUMIFS($AV$7:$AV$1576,$BU$7:$BU$1576,BU1293,$AY$7:$AY$1576,"&gt;"&amp;AY1293)+SUMIFS($AV$7:$AV$1576,$BU$7:$BU$1576,BU1293,$AY$7:$AY$1576,AY1293,$BO$7:$BO$1576,"&lt;="&amp;BO1293),"")</f>
        <v>35.0661562233413</v>
      </c>
      <c r="BA1293" s="65" t="n">
        <f aca="false">IF(AZ1293="",0,MAX(0,MIN(1,(IF(BU1293="L1",Parameter!$E$5,Parameter!$E$6+Parameter!$E$7)-(AZ1293-AV1293))/AV1293)))</f>
        <v>1</v>
      </c>
      <c r="BB1293" s="55" t="str">
        <f aca="false">IF(AF1293&lt;=0,"",IF(BU1293="Aussen","Aussenlager",IF(BU1293="-","Nicht im Lift",IF(AK1293&gt;=1,"Lift",IF(AK1293&lt;=0,"Aussenlager","teilweise")))))</f>
        <v/>
      </c>
      <c r="BC1293" s="55" t="str">
        <f aca="false">IF(AN1293&lt;=0,"",IF(BU1293="Aussen","Aussenlager",IF(BU1293="-","Nicht im Lift",IF(AS1293&gt;=1,"Lift",IF(AS1293&lt;=0,"Aussenlager","teilweise")))))</f>
        <v>Lift</v>
      </c>
      <c r="BD1293" s="55" t="str">
        <f aca="false">IF(AV1293&lt;=0,"",IF(BU1293="Aussen","Aussenlager",IF(BU1293="-","Nicht im Lift",IF(BA1293&gt;=1,"Lift",IF(BA1293&lt;=0,"Aussenlager","teilweise")))))</f>
        <v>Lift</v>
      </c>
      <c r="BE1293" s="55" t="str">
        <f aca="false">IF(A1293="","",IF(BN1293=1,"Neu; ","")&amp;IF(AND(BN1293=0,BI1293&lt;0),"negativer Bestand (Export "&amp;BI1293&amp;"); ","")&amp;IF(I1293&lt;=0,"Kein Verbrauch; ","")&amp;IF(CD1293&gt;0,"Lift "&amp;U1293&amp;" lt. Liftbericht (Fach "&amp;V1293&amp;" Stk); ",IF(BR1293=1,"Lose – Fläche geschätzt; ",""))&amp;IF(G1293&gt;AP1293,"Überbestand "&amp;ROUND(G1293-AP1293,0)&amp;" Stk / CHF "&amp;ROUND((G1293-AP1293)*F1293,0)&amp;"; ","")&amp;IF(AND(BW1293=1,BX1293&lt;BY1293),"MAX &lt; MB+LG; ","")&amp;IF(AND(CC1293&gt;0,CB1293*10&gt;CC1293),"zu hoch für Tablar; ","")&amp;IF(AND(BN1293=0,OR(BW1293=1,Y1293&lt;&gt;"",S1293&lt;&gt;"",T1293&lt;&gt;"",Z1293&lt;&gt;"")),"manuell übersteuert; ","")&amp;IF(AND(BR1293=0,Q1293=0),"Gebinde unbekannt / Stellmass fehlt; ","")&amp;IF(AND(BR1293=0,N(T1293)&lt;=0,N(P1293)&lt;=0),"Menge pro Gebinde fehlt (Ist = 1 Gebinde); ","")&amp;BM1293)</f>
        <v>negativer Bestand (Export -10.0179999999999); </v>
      </c>
      <c r="BF1293" s="55"/>
      <c r="BG1293" s="55"/>
      <c r="BH1293" s="62"/>
      <c r="BI1293" s="57" t="n">
        <v>-10.0179999999999</v>
      </c>
      <c r="BJ1293" s="57" t="n">
        <v>38.809</v>
      </c>
      <c r="BK1293" s="56" t="n">
        <v>-1172.3</v>
      </c>
      <c r="BL1293" s="57" t="n">
        <v>148.173</v>
      </c>
      <c r="BM1293" s="55"/>
      <c r="BN1293" s="60" t="n">
        <v>0</v>
      </c>
      <c r="BO1293" s="60" t="n">
        <v>1293</v>
      </c>
      <c r="BP1293" s="55" t="str">
        <f aca="false">IF(S1293&lt;&gt;"",UPPER(TRIM(S1293)),IF(O1293="","LOSE",O1293))</f>
        <v>S62</v>
      </c>
      <c r="BQ1293" s="57" t="n">
        <f aca="false">IF(BP1293="LOSE",1,IF(N(T1293)&gt;0,T1293,IF(N(P1293)&gt;0,P1293,MAX(1,G1293))))</f>
        <v>17.887</v>
      </c>
      <c r="BR1293" s="60" t="n">
        <f aca="false">IF(BP1293="LOSE",1,0)</f>
        <v>0</v>
      </c>
      <c r="BS1293" s="59" t="n">
        <f aca="false">IF(BR1293=0,0,IF(N(R1293)&gt;0,R1293,IFERROR(VLOOKUP(D1293,Parameter!$A$35:$C$64,3,0)+0,0)))</f>
        <v>0</v>
      </c>
      <c r="BT1293" s="55" t="n">
        <f aca="false">IF(Y1293&lt;&gt;"",Y1293,X1293)</f>
        <v>2</v>
      </c>
      <c r="BU1293" s="55" t="str">
        <f aca="false">IF(BT1293=1,"L1",IF(OR(BT1293=2,BT1293=3),"L23",IF(BT1293="Aussen","Aussen","-")))</f>
        <v>L23</v>
      </c>
      <c r="BV1293" s="66" t="n">
        <f aca="false">IF(N(Z1293)&gt;0,Z1293,0)</f>
        <v>0</v>
      </c>
      <c r="BW1293" s="60" t="n">
        <f aca="false">IF(ISNUMBER(AC1293),1,0)</f>
        <v>0</v>
      </c>
      <c r="BX1293" s="57" t="n">
        <f aca="false">N(AC1293)</f>
        <v>0</v>
      </c>
      <c r="BY1293" s="57" t="n">
        <f aca="false">N(L1293)+N(M1293)</f>
        <v>60</v>
      </c>
      <c r="BZ1293" s="57" t="n">
        <f aca="false">ROUNDUP(G1293/BQ1293,0)</f>
        <v>0</v>
      </c>
      <c r="CA1293" s="57" t="n">
        <f aca="false">ROUNDUP(BX1293/BQ1293,0)</f>
        <v>0</v>
      </c>
      <c r="CB1293" s="60" t="n">
        <f aca="false">IF(BR1293=1,0,IFERROR(VLOOKUP(BP1293,'Gebinde-Kategorie'!$A$5:$M$45,5,0)+0,0))</f>
        <v>21</v>
      </c>
      <c r="CC1293" s="60" t="n">
        <f aca="false">IFERROR(IF(OR(BT1293=1,BT1293=2,BT1293=3),N(INDEX(Parameter!$I$5:$I$7,BT1293)),0),0)</f>
        <v>0</v>
      </c>
      <c r="CD1293" s="59" t="n">
        <f aca="false">IF(AND(Parameter!$B$21="Ja",ISNUMBER(U1293),N(V1293)&gt;0),IFERROR(N(INDEX(Parameter!$L$5:$L$7,U1293))*INDEX(Parameter!$E$5:$E$7,U1293)*V1293/SUMIFS($V$7:$V$1576,$U$7:$U$1576,U1293),0),0)</f>
        <v>0</v>
      </c>
    </row>
    <row r="1294" customFormat="false" ht="15" hidden="false" customHeight="false" outlineLevel="0" collapsed="false">
      <c r="A1294" s="55" t="s">
        <v>2289</v>
      </c>
      <c r="B1294" s="55" t="s">
        <v>334</v>
      </c>
      <c r="C1294" s="55" t="s">
        <v>160</v>
      </c>
      <c r="D1294" s="55" t="s">
        <v>168</v>
      </c>
      <c r="E1294" s="55" t="s">
        <v>210</v>
      </c>
      <c r="F1294" s="56" t="n">
        <v>186.4</v>
      </c>
      <c r="G1294" s="57" t="n">
        <f aca="false">MAX(0,IF(AND(Parameter!$B$21="Ja",ISNUMBER(W1294)),W1294,IF(Parameter!$B$20="Jahresanfang 2025 + Export",BJ1294+BI1294,BI1294)))</f>
        <v>0</v>
      </c>
      <c r="H1294" s="57" t="n">
        <f aca="false">G1294*F1294</f>
        <v>0</v>
      </c>
      <c r="I1294" s="57" t="n">
        <f aca="false">BL1294*Parameter!$B$18</f>
        <v>25</v>
      </c>
      <c r="J1294" s="58" t="n">
        <v>13</v>
      </c>
      <c r="K1294" s="59" t="n">
        <v>1.92307692307692</v>
      </c>
      <c r="L1294" s="57" t="n">
        <v>1</v>
      </c>
      <c r="M1294" s="57" t="n">
        <v>10</v>
      </c>
      <c r="N1294" s="60" t="n">
        <v>21</v>
      </c>
      <c r="O1294" s="55" t="s">
        <v>169</v>
      </c>
      <c r="P1294" s="57" t="n">
        <v>15</v>
      </c>
      <c r="Q1294" s="60" t="n">
        <f aca="false">IF(BR1294=1,0,IFERROR(VLOOKUP(BP1294,'Gebinde-Kategorie'!$A$5:$M$45,13,0)+0,0))</f>
        <v>6</v>
      </c>
      <c r="R1294" s="61"/>
      <c r="S1294" s="62"/>
      <c r="T1294" s="62"/>
      <c r="U1294" s="55"/>
      <c r="V1294" s="57"/>
      <c r="W1294" s="57"/>
      <c r="X1294" s="55" t="n">
        <f aca="false">IF(A1294="","",IF(AND(Parameter!$B$21="Ja",ISNUMBER(U1294)),U1294,IF(IFERROR(VLOOKUP(D1294,Parameter!$A$35:$C$64,2,0),"Nein")="2+3",IF(ISNUMBER(SEARCH("grosser Artikel",BM1294)),2,IFERROR(VLOOKUP(BP1294,Parameter!$F$35:$G$64,2,0),2)),IF(OR(IFERROR(VLOOKUP(D1294,Parameter!$A$35:$C$64,2,0),"Nein")="Nein",IFERROR(VLOOKUP(D1294,Parameter!$A$35:$C$64,2,0),"Nein")=""),"-",VLOOKUP(D1294,Parameter!$A$35:$C$64,2,0)))))</f>
        <v>2</v>
      </c>
      <c r="Y1294" s="62"/>
      <c r="Z1294" s="63"/>
      <c r="AA1294" s="57" t="n">
        <f aca="false">AP1294</f>
        <v>15</v>
      </c>
      <c r="AB1294" s="57" t="n">
        <f aca="false">MAX(AP1294,G1294)</f>
        <v>15</v>
      </c>
      <c r="AC1294" s="64"/>
      <c r="AD1294" s="57" t="n">
        <f aca="false">IF(LEFT(Cockpit!$C$5,1)="A",G1294,IF(BW1294=1,BX1294,IF(LEFT(Cockpit!$C$5,1)="B",AH1294,MAX(AH1294,G1294))))</f>
        <v>0</v>
      </c>
      <c r="AE1294" s="57" t="n">
        <f aca="false">IF(BR1294=1,0,ROUNDUP(AD1294/BQ1294,0))</f>
        <v>0</v>
      </c>
      <c r="AF1294" s="59" t="n">
        <f aca="false">IF(CD1294&gt;0,CD1294*MAX(1,AD1294/V1294),IF(BR1294=1,IF(AD1294&lt;=0,0,BS1294*MAX(1,IF(G1294&gt;0,AD1294/G1294,1))),IF(Q1294&gt;0,AE1294/Q1294,0))/MAX(0.1,N(Parameter!$M$21)))</f>
        <v>0</v>
      </c>
      <c r="AG1294" s="57" t="n">
        <f aca="false">AD1294*F1294</f>
        <v>0</v>
      </c>
      <c r="AH1294" s="57" t="n">
        <f aca="false">ROUNDUP(MAX(I1294/IF(BV1294&gt;0,BV1294,MAX(0.1,N(Cockpit!$C$6))),BY1294)/BQ1294,0)*BQ1294</f>
        <v>15</v>
      </c>
      <c r="AI1294" s="58" t="n">
        <f aca="false">IF(AF1294&gt;0,I1294/AF1294,-1)</f>
        <v>-1</v>
      </c>
      <c r="AJ1294" s="58" t="str">
        <f aca="false">IF(AND(OR(BU1294="L1",BU1294="L23"),AF1294&gt;0),SUMIFS($AF$7:$AF$1576,$BU$7:$BU$1576,BU1294,$AI$7:$AI$1576,"&gt;"&amp;AI1294)+SUMIFS($AF$7:$AF$1576,$BU$7:$BU$1576,BU1294,$AI$7:$AI$1576,AI1294,$BO$7:$BO$1576,"&lt;="&amp;BO1294),"")</f>
        <v/>
      </c>
      <c r="AK1294" s="65" t="n">
        <f aca="false">IF(AJ1294="",0,MAX(0,MIN(1,(IF(BU1294="L1",Parameter!$E$5,Parameter!$E$6+Parameter!$E$7)-(AJ1294-AF1294))/AF1294)))</f>
        <v>0</v>
      </c>
      <c r="AL1294" s="57" t="n">
        <f aca="false">IF(LEFT(Cockpit!$I$5,1)="A",G1294,IF(BW1294=1,BX1294,IF(LEFT(Cockpit!$I$5,1)="B",AP1294,MAX(AP1294,G1294))))</f>
        <v>15</v>
      </c>
      <c r="AM1294" s="57" t="n">
        <f aca="false">IF(BR1294=1,0,ROUNDUP(AL1294/BQ1294,0))</f>
        <v>1</v>
      </c>
      <c r="AN1294" s="59" t="n">
        <f aca="false">IF(CD1294&gt;0,CD1294*MAX(1,AL1294/V1294),IF(BR1294=1,IF(AL1294&lt;=0,0,BS1294*MAX(1,IF(G1294&gt;0,AL1294/G1294,1))),IF(Q1294&gt;0,AM1294/Q1294,0))/MAX(0.1,N(Parameter!$M$21)))</f>
        <v>0.166666666666667</v>
      </c>
      <c r="AO1294" s="57" t="n">
        <f aca="false">AL1294*F1294</f>
        <v>2796</v>
      </c>
      <c r="AP1294" s="57" t="n">
        <f aca="false">ROUNDUP(MAX(I1294/IF(BV1294&gt;0,BV1294,MAX(0.1,N(Cockpit!$I$6))),BY1294)/BQ1294,0)*BQ1294</f>
        <v>15</v>
      </c>
      <c r="AQ1294" s="58" t="n">
        <f aca="false">IF(AN1294&gt;0,I1294/AN1294,-1)</f>
        <v>150</v>
      </c>
      <c r="AR1294" s="58" t="n">
        <f aca="false">IF(AND(OR(BU1294="L1",BU1294="L23"),AN1294&gt;0),SUMIFS($AN$7:$AN$1576,$BU$7:$BU$1576,BU1294,$AQ$7:$AQ$1576,"&gt;"&amp;AQ1294)+SUMIFS($AN$7:$AN$1576,$BU$7:$BU$1576,BU1294,$AQ$7:$AQ$1576,AQ1294,$BO$7:$BO$1576,"&lt;="&amp;BO1294),"")</f>
        <v>55.0615944566056</v>
      </c>
      <c r="AS1294" s="65" t="n">
        <f aca="false">IF(AR1294="",0,MAX(0,MIN(1,(IF(BU1294="L1",Parameter!$E$5,Parameter!$E$6+Parameter!$E$7)-(AR1294-AN1294))/AN1294)))</f>
        <v>1</v>
      </c>
      <c r="AT1294" s="57" t="n">
        <f aca="false">IF(LEFT(Cockpit!$O$5,1)="A",G1294,IF(BW1294=1,BX1294,IF(LEFT(Cockpit!$O$5,1)="B",AX1294,MAX(AX1294,G1294))))</f>
        <v>15</v>
      </c>
      <c r="AU1294" s="57" t="n">
        <f aca="false">IF(BR1294=1,0,ROUNDUP(AT1294/BQ1294,0))</f>
        <v>1</v>
      </c>
      <c r="AV1294" s="59" t="n">
        <f aca="false">IF(CD1294&gt;0,CD1294*MAX(1,AT1294/V1294),IF(BR1294=1,IF(AT1294&lt;=0,0,BS1294*MAX(1,IF(G1294&gt;0,AT1294/G1294,1))),IF(Q1294&gt;0,AU1294/Q1294,0))/MAX(0.1,N(Parameter!$M$21)))</f>
        <v>0.166666666666667</v>
      </c>
      <c r="AW1294" s="57" t="n">
        <f aca="false">AT1294*F1294</f>
        <v>2796</v>
      </c>
      <c r="AX1294" s="57" t="n">
        <f aca="false">ROUNDUP(MAX(I1294/IF(BV1294&gt;0,BV1294,MAX(0.1,N(Cockpit!$O$6))),BY1294)/BQ1294,0)*BQ1294</f>
        <v>15</v>
      </c>
      <c r="AY1294" s="58" t="n">
        <f aca="false">IF(AV1294&gt;0,I1294/AV1294,-1)</f>
        <v>150</v>
      </c>
      <c r="AZ1294" s="58" t="n">
        <f aca="false">IF(AND(OR(BU1294="L1",BU1294="L23"),AV1294&gt;0),SUMIFS($AV$7:$AV$1576,$BU$7:$BU$1576,BU1294,$AY$7:$AY$1576,"&gt;"&amp;AY1294)+SUMIFS($AV$7:$AV$1576,$BU$7:$BU$1576,BU1294,$AY$7:$AY$1576,AY1294,$BO$7:$BO$1576,"&lt;="&amp;BO1294),"")</f>
        <v>51.3998191485803</v>
      </c>
      <c r="BA1294" s="65" t="n">
        <f aca="false">IF(AZ1294="",0,MAX(0,MIN(1,(IF(BU1294="L1",Parameter!$E$5,Parameter!$E$6+Parameter!$E$7)-(AZ1294-AV1294))/AV1294)))</f>
        <v>1</v>
      </c>
      <c r="BB1294" s="55" t="str">
        <f aca="false">IF(AF1294&lt;=0,"",IF(BU1294="Aussen","Aussenlager",IF(BU1294="-","Nicht im Lift",IF(AK1294&gt;=1,"Lift",IF(AK1294&lt;=0,"Aussenlager","teilweise")))))</f>
        <v/>
      </c>
      <c r="BC1294" s="55" t="str">
        <f aca="false">IF(AN1294&lt;=0,"",IF(BU1294="Aussen","Aussenlager",IF(BU1294="-","Nicht im Lift",IF(AS1294&gt;=1,"Lift",IF(AS1294&lt;=0,"Aussenlager","teilweise")))))</f>
        <v>Lift</v>
      </c>
      <c r="BD1294" s="55" t="str">
        <f aca="false">IF(AV1294&lt;=0,"",IF(BU1294="Aussen","Aussenlager",IF(BU1294="-","Nicht im Lift",IF(BA1294&gt;=1,"Lift",IF(BA1294&lt;=0,"Aussenlager","teilweise")))))</f>
        <v>Lift</v>
      </c>
      <c r="BE1294" s="55" t="str">
        <f aca="false">IF(A1294="","",IF(BN1294=1,"Neu; ","")&amp;IF(AND(BN1294=0,BI1294&lt;0),"negativer Bestand (Export "&amp;BI1294&amp;"); ","")&amp;IF(I1294&lt;=0,"Kein Verbrauch; ","")&amp;IF(CD1294&gt;0,"Lift "&amp;U1294&amp;" lt. Liftbericht (Fach "&amp;V1294&amp;" Stk); ",IF(BR1294=1,"Lose – Fläche geschätzt; ",""))&amp;IF(G1294&gt;AP1294,"Überbestand "&amp;ROUND(G1294-AP1294,0)&amp;" Stk / CHF "&amp;ROUND((G1294-AP1294)*F1294,0)&amp;"; ","")&amp;IF(AND(BW1294=1,BX1294&lt;BY1294),"MAX &lt; MB+LG; ","")&amp;IF(AND(CC1294&gt;0,CB1294*10&gt;CC1294),"zu hoch für Tablar; ","")&amp;IF(AND(BN1294=0,OR(BW1294=1,Y1294&lt;&gt;"",S1294&lt;&gt;"",T1294&lt;&gt;"",Z1294&lt;&gt;"")),"manuell übersteuert; ","")&amp;IF(AND(BR1294=0,Q1294=0),"Gebinde unbekannt / Stellmass fehlt; ","")&amp;IF(AND(BR1294=0,N(T1294)&lt;=0,N(P1294)&lt;=0),"Menge pro Gebinde fehlt (Ist = 1 Gebinde); ","")&amp;BM1294)</f>
        <v>negativer Bestand (Export -5); </v>
      </c>
      <c r="BF1294" s="55"/>
      <c r="BG1294" s="55"/>
      <c r="BH1294" s="62"/>
      <c r="BI1294" s="57" t="n">
        <v>-5</v>
      </c>
      <c r="BJ1294" s="57" t="n">
        <v>15</v>
      </c>
      <c r="BK1294" s="56" t="n">
        <v>-1177.7</v>
      </c>
      <c r="BL1294" s="57" t="n">
        <v>25</v>
      </c>
      <c r="BM1294" s="55"/>
      <c r="BN1294" s="60" t="n">
        <v>0</v>
      </c>
      <c r="BO1294" s="60" t="n">
        <v>1294</v>
      </c>
      <c r="BP1294" s="55" t="str">
        <f aca="false">IF(S1294&lt;&gt;"",UPPER(TRIM(S1294)),IF(O1294="","LOSE",O1294))</f>
        <v>S71</v>
      </c>
      <c r="BQ1294" s="57" t="n">
        <f aca="false">IF(BP1294="LOSE",1,IF(N(T1294)&gt;0,T1294,IF(N(P1294)&gt;0,P1294,MAX(1,G1294))))</f>
        <v>15</v>
      </c>
      <c r="BR1294" s="60" t="n">
        <f aca="false">IF(BP1294="LOSE",1,0)</f>
        <v>0</v>
      </c>
      <c r="BS1294" s="59" t="n">
        <f aca="false">IF(BR1294=0,0,IF(N(R1294)&gt;0,R1294,IFERROR(VLOOKUP(D1294,Parameter!$A$35:$C$64,3,0)+0,0)))</f>
        <v>0</v>
      </c>
      <c r="BT1294" s="55" t="n">
        <f aca="false">IF(Y1294&lt;&gt;"",Y1294,X1294)</f>
        <v>2</v>
      </c>
      <c r="BU1294" s="55" t="str">
        <f aca="false">IF(BT1294=1,"L1",IF(OR(BT1294=2,BT1294=3),"L23",IF(BT1294="Aussen","Aussen","-")))</f>
        <v>L23</v>
      </c>
      <c r="BV1294" s="66" t="n">
        <f aca="false">IF(N(Z1294)&gt;0,Z1294,0)</f>
        <v>0</v>
      </c>
      <c r="BW1294" s="60" t="n">
        <f aca="false">IF(ISNUMBER(AC1294),1,0)</f>
        <v>0</v>
      </c>
      <c r="BX1294" s="57" t="n">
        <f aca="false">N(AC1294)</f>
        <v>0</v>
      </c>
      <c r="BY1294" s="57" t="n">
        <f aca="false">N(L1294)+N(M1294)</f>
        <v>11</v>
      </c>
      <c r="BZ1294" s="57" t="n">
        <f aca="false">ROUNDUP(G1294/BQ1294,0)</f>
        <v>0</v>
      </c>
      <c r="CA1294" s="57" t="n">
        <f aca="false">ROUNDUP(BX1294/BQ1294,0)</f>
        <v>0</v>
      </c>
      <c r="CB1294" s="60" t="n">
        <f aca="false">IF(BR1294=1,0,IFERROR(VLOOKUP(BP1294,'Gebinde-Kategorie'!$A$5:$M$45,5,0)+0,0))</f>
        <v>20</v>
      </c>
      <c r="CC1294" s="60" t="n">
        <f aca="false">IFERROR(IF(OR(BT1294=1,BT1294=2,BT1294=3),N(INDEX(Parameter!$I$5:$I$7,BT1294)),0),0)</f>
        <v>0</v>
      </c>
      <c r="CD1294" s="59" t="n">
        <f aca="false">IF(AND(Parameter!$B$21="Ja",ISNUMBER(U1294),N(V1294)&gt;0),IFERROR(N(INDEX(Parameter!$L$5:$L$7,U1294))*INDEX(Parameter!$E$5:$E$7,U1294)*V1294/SUMIFS($V$7:$V$1576,$U$7:$U$1576,U1294),0),0)</f>
        <v>0</v>
      </c>
    </row>
    <row r="1295" customFormat="false" ht="15" hidden="false" customHeight="false" outlineLevel="0" collapsed="false">
      <c r="A1295" s="55" t="s">
        <v>2290</v>
      </c>
      <c r="B1295" s="55" t="s">
        <v>1028</v>
      </c>
      <c r="C1295" s="55" t="s">
        <v>160</v>
      </c>
      <c r="D1295" s="55" t="s">
        <v>178</v>
      </c>
      <c r="E1295" s="55" t="s">
        <v>210</v>
      </c>
      <c r="F1295" s="56" t="n">
        <v>48.23</v>
      </c>
      <c r="G1295" s="57" t="n">
        <f aca="false">MAX(0,IF(AND(Parameter!$B$21="Ja",ISNUMBER(W1295)),W1295,IF(Parameter!$B$20="Jahresanfang 2025 + Export",BJ1295+BI1295,BI1295)))</f>
        <v>0</v>
      </c>
      <c r="H1295" s="57" t="n">
        <f aca="false">G1295*F1295</f>
        <v>0</v>
      </c>
      <c r="I1295" s="57" t="n">
        <f aca="false">BL1295*Parameter!$B$18</f>
        <v>308</v>
      </c>
      <c r="J1295" s="58" t="n">
        <v>83.5</v>
      </c>
      <c r="K1295" s="59" t="n">
        <v>3.68862275449102</v>
      </c>
      <c r="L1295" s="57" t="n">
        <v>17</v>
      </c>
      <c r="M1295" s="57" t="n">
        <v>100</v>
      </c>
      <c r="N1295" s="60" t="n">
        <v>21</v>
      </c>
      <c r="O1295" s="55" t="s">
        <v>284</v>
      </c>
      <c r="P1295" s="57" t="n">
        <v>180</v>
      </c>
      <c r="Q1295" s="60" t="n">
        <f aca="false">IF(BR1295=1,0,IFERROR(VLOOKUP(BP1295,'Gebinde-Kategorie'!$A$5:$M$45,13,0)+0,0))</f>
        <v>12</v>
      </c>
      <c r="R1295" s="61"/>
      <c r="S1295" s="62"/>
      <c r="T1295" s="62"/>
      <c r="U1295" s="55"/>
      <c r="V1295" s="57"/>
      <c r="W1295" s="57"/>
      <c r="X1295" s="55" t="n">
        <f aca="false">IF(A1295="","",IF(AND(Parameter!$B$21="Ja",ISNUMBER(U1295)),U1295,IF(IFERROR(VLOOKUP(D1295,Parameter!$A$35:$C$64,2,0),"Nein")="2+3",IF(ISNUMBER(SEARCH("grosser Artikel",BM1295)),2,IFERROR(VLOOKUP(BP1295,Parameter!$F$35:$G$64,2,0),2)),IF(OR(IFERROR(VLOOKUP(D1295,Parameter!$A$35:$C$64,2,0),"Nein")="Nein",IFERROR(VLOOKUP(D1295,Parameter!$A$35:$C$64,2,0),"Nein")=""),"-",VLOOKUP(D1295,Parameter!$A$35:$C$64,2,0)))))</f>
        <v>2</v>
      </c>
      <c r="Y1295" s="62"/>
      <c r="Z1295" s="63"/>
      <c r="AA1295" s="57" t="n">
        <f aca="false">AP1295</f>
        <v>180</v>
      </c>
      <c r="AB1295" s="57" t="n">
        <f aca="false">MAX(AP1295,G1295)</f>
        <v>180</v>
      </c>
      <c r="AC1295" s="64"/>
      <c r="AD1295" s="57" t="n">
        <f aca="false">IF(LEFT(Cockpit!$C$5,1)="A",G1295,IF(BW1295=1,BX1295,IF(LEFT(Cockpit!$C$5,1)="B",AH1295,MAX(AH1295,G1295))))</f>
        <v>0</v>
      </c>
      <c r="AE1295" s="57" t="n">
        <f aca="false">IF(BR1295=1,0,ROUNDUP(AD1295/BQ1295,0))</f>
        <v>0</v>
      </c>
      <c r="AF1295" s="59" t="n">
        <f aca="false">IF(CD1295&gt;0,CD1295*MAX(1,AD1295/V1295),IF(BR1295=1,IF(AD1295&lt;=0,0,BS1295*MAX(1,IF(G1295&gt;0,AD1295/G1295,1))),IF(Q1295&gt;0,AE1295/Q1295,0))/MAX(0.1,N(Parameter!$M$21)))</f>
        <v>0</v>
      </c>
      <c r="AG1295" s="57" t="n">
        <f aca="false">AD1295*F1295</f>
        <v>0</v>
      </c>
      <c r="AH1295" s="57" t="n">
        <f aca="false">ROUNDUP(MAX(I1295/IF(BV1295&gt;0,BV1295,MAX(0.1,N(Cockpit!$C$6))),BY1295)/BQ1295,0)*BQ1295</f>
        <v>180</v>
      </c>
      <c r="AI1295" s="58" t="n">
        <f aca="false">IF(AF1295&gt;0,I1295/AF1295,-1)</f>
        <v>-1</v>
      </c>
      <c r="AJ1295" s="58" t="str">
        <f aca="false">IF(AND(OR(BU1295="L1",BU1295="L23"),AF1295&gt;0),SUMIFS($AF$7:$AF$1576,$BU$7:$BU$1576,BU1295,$AI$7:$AI$1576,"&gt;"&amp;AI1295)+SUMIFS($AF$7:$AF$1576,$BU$7:$BU$1576,BU1295,$AI$7:$AI$1576,AI1295,$BO$7:$BO$1576,"&lt;="&amp;BO1295),"")</f>
        <v/>
      </c>
      <c r="AK1295" s="65" t="n">
        <f aca="false">IF(AJ1295="",0,MAX(0,MIN(1,(IF(BU1295="L1",Parameter!$E$5,Parameter!$E$6+Parameter!$E$7)-(AJ1295-AF1295))/AF1295)))</f>
        <v>0</v>
      </c>
      <c r="AL1295" s="57" t="n">
        <f aca="false">IF(LEFT(Cockpit!$I$5,1)="A",G1295,IF(BW1295=1,BX1295,IF(LEFT(Cockpit!$I$5,1)="B",AP1295,MAX(AP1295,G1295))))</f>
        <v>180</v>
      </c>
      <c r="AM1295" s="57" t="n">
        <f aca="false">IF(BR1295=1,0,ROUNDUP(AL1295/BQ1295,0))</f>
        <v>1</v>
      </c>
      <c r="AN1295" s="59" t="n">
        <f aca="false">IF(CD1295&gt;0,CD1295*MAX(1,AL1295/V1295),IF(BR1295=1,IF(AL1295&lt;=0,0,BS1295*MAX(1,IF(G1295&gt;0,AL1295/G1295,1))),IF(Q1295&gt;0,AM1295/Q1295,0))/MAX(0.1,N(Parameter!$M$21)))</f>
        <v>0.0833333333333333</v>
      </c>
      <c r="AO1295" s="57" t="n">
        <f aca="false">AL1295*F1295</f>
        <v>8681.4</v>
      </c>
      <c r="AP1295" s="57" t="n">
        <f aca="false">ROUNDUP(MAX(I1295/IF(BV1295&gt;0,BV1295,MAX(0.1,N(Cockpit!$I$6))),BY1295)/BQ1295,0)*BQ1295</f>
        <v>180</v>
      </c>
      <c r="AQ1295" s="58" t="n">
        <f aca="false">IF(AN1295&gt;0,I1295/AN1295,-1)</f>
        <v>3696</v>
      </c>
      <c r="AR1295" s="58" t="n">
        <f aca="false">IF(AND(OR(BU1295="L1",BU1295="L23"),AN1295&gt;0),SUMIFS($AN$7:$AN$1576,$BU$7:$BU$1576,BU1295,$AQ$7:$AQ$1576,"&gt;"&amp;AQ1295)+SUMIFS($AN$7:$AN$1576,$BU$7:$BU$1576,BU1295,$AQ$7:$AQ$1576,AQ1295,$BO$7:$BO$1576,"&lt;="&amp;BO1295),"")</f>
        <v>13.4252261511435</v>
      </c>
      <c r="AS1295" s="65" t="n">
        <f aca="false">IF(AR1295="",0,MAX(0,MIN(1,(IF(BU1295="L1",Parameter!$E$5,Parameter!$E$6+Parameter!$E$7)-(AR1295-AN1295))/AN1295)))</f>
        <v>1</v>
      </c>
      <c r="AT1295" s="57" t="n">
        <f aca="false">IF(LEFT(Cockpit!$O$5,1)="A",G1295,IF(BW1295=1,BX1295,IF(LEFT(Cockpit!$O$5,1)="B",AX1295,MAX(AX1295,G1295))))</f>
        <v>180</v>
      </c>
      <c r="AU1295" s="57" t="n">
        <f aca="false">IF(BR1295=1,0,ROUNDUP(AT1295/BQ1295,0))</f>
        <v>1</v>
      </c>
      <c r="AV1295" s="59" t="n">
        <f aca="false">IF(CD1295&gt;0,CD1295*MAX(1,AT1295/V1295),IF(BR1295=1,IF(AT1295&lt;=0,0,BS1295*MAX(1,IF(G1295&gt;0,AT1295/G1295,1))),IF(Q1295&gt;0,AU1295/Q1295,0))/MAX(0.1,N(Parameter!$M$21)))</f>
        <v>0.0833333333333333</v>
      </c>
      <c r="AW1295" s="57" t="n">
        <f aca="false">AT1295*F1295</f>
        <v>8681.4</v>
      </c>
      <c r="AX1295" s="57" t="n">
        <f aca="false">ROUNDUP(MAX(I1295/IF(BV1295&gt;0,BV1295,MAX(0.1,N(Cockpit!$O$6))),BY1295)/BQ1295,0)*BQ1295</f>
        <v>180</v>
      </c>
      <c r="AY1295" s="58" t="n">
        <f aca="false">IF(AV1295&gt;0,I1295/AV1295,-1)</f>
        <v>3696</v>
      </c>
      <c r="AZ1295" s="58" t="n">
        <f aca="false">IF(AND(OR(BU1295="L1",BU1295="L23"),AV1295&gt;0),SUMIFS($AV$7:$AV$1576,$BU$7:$BU$1576,BU1295,$AY$7:$AY$1576,"&gt;"&amp;AY1295)+SUMIFS($AV$7:$AV$1576,$BU$7:$BU$1576,BU1295,$AY$7:$AY$1576,AY1295,$BO$7:$BO$1576,"&lt;="&amp;BO1295),"")</f>
        <v>12.146088622006</v>
      </c>
      <c r="BA1295" s="65" t="n">
        <f aca="false">IF(AZ1295="",0,MAX(0,MIN(1,(IF(BU1295="L1",Parameter!$E$5,Parameter!$E$6+Parameter!$E$7)-(AZ1295-AV1295))/AV1295)))</f>
        <v>1</v>
      </c>
      <c r="BB1295" s="55" t="str">
        <f aca="false">IF(AF1295&lt;=0,"",IF(BU1295="Aussen","Aussenlager",IF(BU1295="-","Nicht im Lift",IF(AK1295&gt;=1,"Lift",IF(AK1295&lt;=0,"Aussenlager","teilweise")))))</f>
        <v/>
      </c>
      <c r="BC1295" s="55" t="str">
        <f aca="false">IF(AN1295&lt;=0,"",IF(BU1295="Aussen","Aussenlager",IF(BU1295="-","Nicht im Lift",IF(AS1295&gt;=1,"Lift",IF(AS1295&lt;=0,"Aussenlager","teilweise")))))</f>
        <v>Lift</v>
      </c>
      <c r="BD1295" s="55" t="str">
        <f aca="false">IF(AV1295&lt;=0,"",IF(BU1295="Aussen","Aussenlager",IF(BU1295="-","Nicht im Lift",IF(BA1295&gt;=1,"Lift",IF(BA1295&lt;=0,"Aussenlager","teilweise")))))</f>
        <v>Lift</v>
      </c>
      <c r="BE1295" s="55" t="str">
        <f aca="false">IF(A1295="","",IF(BN1295=1,"Neu; ","")&amp;IF(AND(BN1295=0,BI1295&lt;0),"negativer Bestand (Export "&amp;BI1295&amp;"); ","")&amp;IF(I1295&lt;=0,"Kein Verbrauch; ","")&amp;IF(CD1295&gt;0,"Lift "&amp;U1295&amp;" lt. Liftbericht (Fach "&amp;V1295&amp;" Stk); ",IF(BR1295=1,"Lose – Fläche geschätzt; ",""))&amp;IF(G1295&gt;AP1295,"Überbestand "&amp;ROUND(G1295-AP1295,0)&amp;" Stk / CHF "&amp;ROUND((G1295-AP1295)*F1295,0)&amp;"; ","")&amp;IF(AND(BW1295=1,BX1295&lt;BY1295),"MAX &lt; MB+LG; ","")&amp;IF(AND(CC1295&gt;0,CB1295*10&gt;CC1295),"zu hoch für Tablar; ","")&amp;IF(AND(BN1295=0,OR(BW1295=1,Y1295&lt;&gt;"",S1295&lt;&gt;"",T1295&lt;&gt;"",Z1295&lt;&gt;"")),"manuell übersteuert; ","")&amp;IF(AND(BR1295=0,Q1295=0),"Gebinde unbekannt / Stellmass fehlt; ","")&amp;IF(AND(BR1295=0,N(T1295)&lt;=0,N(P1295)&lt;=0),"Menge pro Gebinde fehlt (Ist = 1 Gebinde); ","")&amp;BM1295)</f>
        <v>negativer Bestand (Export -23); </v>
      </c>
      <c r="BF1295" s="55"/>
      <c r="BG1295" s="55"/>
      <c r="BH1295" s="62"/>
      <c r="BI1295" s="57" t="n">
        <v>-23</v>
      </c>
      <c r="BJ1295" s="57" t="n">
        <v>95</v>
      </c>
      <c r="BK1295" s="56" t="n">
        <v>-1179.59</v>
      </c>
      <c r="BL1295" s="57" t="n">
        <v>308</v>
      </c>
      <c r="BM1295" s="55"/>
      <c r="BN1295" s="60" t="n">
        <v>0</v>
      </c>
      <c r="BO1295" s="60" t="n">
        <v>1295</v>
      </c>
      <c r="BP1295" s="55" t="str">
        <f aca="false">IF(S1295&lt;&gt;"",UPPER(TRIM(S1295)),IF(O1295="","LOSE",O1295))</f>
        <v>S62</v>
      </c>
      <c r="BQ1295" s="57" t="n">
        <f aca="false">IF(BP1295="LOSE",1,IF(N(T1295)&gt;0,T1295,IF(N(P1295)&gt;0,P1295,MAX(1,G1295))))</f>
        <v>180</v>
      </c>
      <c r="BR1295" s="60" t="n">
        <f aca="false">IF(BP1295="LOSE",1,0)</f>
        <v>0</v>
      </c>
      <c r="BS1295" s="59" t="n">
        <f aca="false">IF(BR1295=0,0,IF(N(R1295)&gt;0,R1295,IFERROR(VLOOKUP(D1295,Parameter!$A$35:$C$64,3,0)+0,0)))</f>
        <v>0</v>
      </c>
      <c r="BT1295" s="55" t="n">
        <f aca="false">IF(Y1295&lt;&gt;"",Y1295,X1295)</f>
        <v>2</v>
      </c>
      <c r="BU1295" s="55" t="str">
        <f aca="false">IF(BT1295=1,"L1",IF(OR(BT1295=2,BT1295=3),"L23",IF(BT1295="Aussen","Aussen","-")))</f>
        <v>L23</v>
      </c>
      <c r="BV1295" s="66" t="n">
        <f aca="false">IF(N(Z1295)&gt;0,Z1295,0)</f>
        <v>0</v>
      </c>
      <c r="BW1295" s="60" t="n">
        <f aca="false">IF(ISNUMBER(AC1295),1,0)</f>
        <v>0</v>
      </c>
      <c r="BX1295" s="57" t="n">
        <f aca="false">N(AC1295)</f>
        <v>0</v>
      </c>
      <c r="BY1295" s="57" t="n">
        <f aca="false">N(L1295)+N(M1295)</f>
        <v>117</v>
      </c>
      <c r="BZ1295" s="57" t="n">
        <f aca="false">ROUNDUP(G1295/BQ1295,0)</f>
        <v>0</v>
      </c>
      <c r="CA1295" s="57" t="n">
        <f aca="false">ROUNDUP(BX1295/BQ1295,0)</f>
        <v>0</v>
      </c>
      <c r="CB1295" s="60" t="n">
        <f aca="false">IF(BR1295=1,0,IFERROR(VLOOKUP(BP1295,'Gebinde-Kategorie'!$A$5:$M$45,5,0)+0,0))</f>
        <v>21</v>
      </c>
      <c r="CC1295" s="60" t="n">
        <f aca="false">IFERROR(IF(OR(BT1295=1,BT1295=2,BT1295=3),N(INDEX(Parameter!$I$5:$I$7,BT1295)),0),0)</f>
        <v>0</v>
      </c>
      <c r="CD1295" s="59" t="n">
        <f aca="false">IF(AND(Parameter!$B$21="Ja",ISNUMBER(U1295),N(V1295)&gt;0),IFERROR(N(INDEX(Parameter!$L$5:$L$7,U1295))*INDEX(Parameter!$E$5:$E$7,U1295)*V1295/SUMIFS($V$7:$V$1576,$U$7:$U$1576,U1295),0),0)</f>
        <v>0</v>
      </c>
    </row>
    <row r="1296" customFormat="false" ht="15" hidden="false" customHeight="false" outlineLevel="0" collapsed="false">
      <c r="A1296" s="55" t="s">
        <v>2291</v>
      </c>
      <c r="B1296" s="55" t="s">
        <v>803</v>
      </c>
      <c r="C1296" s="55" t="s">
        <v>160</v>
      </c>
      <c r="D1296" s="55" t="s">
        <v>178</v>
      </c>
      <c r="E1296" s="55" t="s">
        <v>210</v>
      </c>
      <c r="F1296" s="56" t="n">
        <v>107.44</v>
      </c>
      <c r="G1296" s="57" t="n">
        <f aca="false">MAX(0,IF(AND(Parameter!$B$21="Ja",ISNUMBER(W1296)),W1296,IF(Parameter!$B$20="Jahresanfang 2025 + Export",BJ1296+BI1296,BI1296)))</f>
        <v>0</v>
      </c>
      <c r="H1296" s="57" t="n">
        <f aca="false">G1296*F1296</f>
        <v>0</v>
      </c>
      <c r="I1296" s="57" t="n">
        <f aca="false">BL1296*Parameter!$B$18</f>
        <v>9</v>
      </c>
      <c r="J1296" s="58" t="n">
        <v>85</v>
      </c>
      <c r="K1296" s="59" t="n">
        <v>0.105882352941177</v>
      </c>
      <c r="L1296" s="57" t="n">
        <v>3</v>
      </c>
      <c r="M1296" s="57" t="n">
        <v>10</v>
      </c>
      <c r="N1296" s="60" t="n">
        <v>126</v>
      </c>
      <c r="O1296" s="55" t="s">
        <v>411</v>
      </c>
      <c r="P1296" s="57" t="n">
        <v>32</v>
      </c>
      <c r="Q1296" s="60" t="n">
        <f aca="false">IF(BR1296=1,0,IFERROR(VLOOKUP(BP1296,'Gebinde-Kategorie'!$A$5:$M$45,13,0)+0,0))</f>
        <v>132</v>
      </c>
      <c r="R1296" s="61"/>
      <c r="S1296" s="62"/>
      <c r="T1296" s="62"/>
      <c r="U1296" s="55"/>
      <c r="V1296" s="57"/>
      <c r="W1296" s="57"/>
      <c r="X1296" s="55" t="n">
        <f aca="false">IF(A1296="","",IF(AND(Parameter!$B$21="Ja",ISNUMBER(U1296)),U1296,IF(IFERROR(VLOOKUP(D1296,Parameter!$A$35:$C$64,2,0),"Nein")="2+3",IF(ISNUMBER(SEARCH("grosser Artikel",BM1296)),2,IFERROR(VLOOKUP(BP1296,Parameter!$F$35:$G$64,2,0),2)),IF(OR(IFERROR(VLOOKUP(D1296,Parameter!$A$35:$C$64,2,0),"Nein")="Nein",IFERROR(VLOOKUP(D1296,Parameter!$A$35:$C$64,2,0),"Nein")=""),"-",VLOOKUP(D1296,Parameter!$A$35:$C$64,2,0)))))</f>
        <v>3</v>
      </c>
      <c r="Y1296" s="62"/>
      <c r="Z1296" s="63"/>
      <c r="AA1296" s="57" t="n">
        <f aca="false">AP1296</f>
        <v>32</v>
      </c>
      <c r="AB1296" s="57" t="n">
        <f aca="false">MAX(AP1296,G1296)</f>
        <v>32</v>
      </c>
      <c r="AC1296" s="64"/>
      <c r="AD1296" s="57" t="n">
        <f aca="false">IF(LEFT(Cockpit!$C$5,1)="A",G1296,IF(BW1296=1,BX1296,IF(LEFT(Cockpit!$C$5,1)="B",AH1296,MAX(AH1296,G1296))))</f>
        <v>0</v>
      </c>
      <c r="AE1296" s="57" t="n">
        <f aca="false">IF(BR1296=1,0,ROUNDUP(AD1296/BQ1296,0))</f>
        <v>0</v>
      </c>
      <c r="AF1296" s="59" t="n">
        <f aca="false">IF(CD1296&gt;0,CD1296*MAX(1,AD1296/V1296),IF(BR1296=1,IF(AD1296&lt;=0,0,BS1296*MAX(1,IF(G1296&gt;0,AD1296/G1296,1))),IF(Q1296&gt;0,AE1296/Q1296,0))/MAX(0.1,N(Parameter!$M$21)))</f>
        <v>0</v>
      </c>
      <c r="AG1296" s="57" t="n">
        <f aca="false">AD1296*F1296</f>
        <v>0</v>
      </c>
      <c r="AH1296" s="57" t="n">
        <f aca="false">ROUNDUP(MAX(I1296/IF(BV1296&gt;0,BV1296,MAX(0.1,N(Cockpit!$C$6))),BY1296)/BQ1296,0)*BQ1296</f>
        <v>32</v>
      </c>
      <c r="AI1296" s="58" t="n">
        <f aca="false">IF(AF1296&gt;0,I1296/AF1296,-1)</f>
        <v>-1</v>
      </c>
      <c r="AJ1296" s="58" t="str">
        <f aca="false">IF(AND(OR(BU1296="L1",BU1296="L23"),AF1296&gt;0),SUMIFS($AF$7:$AF$1576,$BU$7:$BU$1576,BU1296,$AI$7:$AI$1576,"&gt;"&amp;AI1296)+SUMIFS($AF$7:$AF$1576,$BU$7:$BU$1576,BU1296,$AI$7:$AI$1576,AI1296,$BO$7:$BO$1576,"&lt;="&amp;BO1296),"")</f>
        <v/>
      </c>
      <c r="AK1296" s="65" t="n">
        <f aca="false">IF(AJ1296="",0,MAX(0,MIN(1,(IF(BU1296="L1",Parameter!$E$5,Parameter!$E$6+Parameter!$E$7)-(AJ1296-AF1296))/AF1296)))</f>
        <v>0</v>
      </c>
      <c r="AL1296" s="57" t="n">
        <f aca="false">IF(LEFT(Cockpit!$I$5,1)="A",G1296,IF(BW1296=1,BX1296,IF(LEFT(Cockpit!$I$5,1)="B",AP1296,MAX(AP1296,G1296))))</f>
        <v>32</v>
      </c>
      <c r="AM1296" s="57" t="n">
        <f aca="false">IF(BR1296=1,0,ROUNDUP(AL1296/BQ1296,0))</f>
        <v>1</v>
      </c>
      <c r="AN1296" s="59" t="n">
        <f aca="false">IF(CD1296&gt;0,CD1296*MAX(1,AL1296/V1296),IF(BR1296=1,IF(AL1296&lt;=0,0,BS1296*MAX(1,IF(G1296&gt;0,AL1296/G1296,1))),IF(Q1296&gt;0,AM1296/Q1296,0))/MAX(0.1,N(Parameter!$M$21)))</f>
        <v>0.00757575757575758</v>
      </c>
      <c r="AO1296" s="57" t="n">
        <f aca="false">AL1296*F1296</f>
        <v>3438.08</v>
      </c>
      <c r="AP1296" s="57" t="n">
        <f aca="false">ROUNDUP(MAX(I1296/IF(BV1296&gt;0,BV1296,MAX(0.1,N(Cockpit!$I$6))),BY1296)/BQ1296,0)*BQ1296</f>
        <v>32</v>
      </c>
      <c r="AQ1296" s="58" t="n">
        <f aca="false">IF(AN1296&gt;0,I1296/AN1296,-1)</f>
        <v>1188</v>
      </c>
      <c r="AR1296" s="58" t="n">
        <f aca="false">IF(AND(OR(BU1296="L1",BU1296="L23"),AN1296&gt;0),SUMIFS($AN$7:$AN$1576,$BU$7:$BU$1576,BU1296,$AQ$7:$AQ$1576,"&gt;"&amp;AQ1296)+SUMIFS($AN$7:$AN$1576,$BU$7:$BU$1576,BU1296,$AQ$7:$AQ$1576,AQ1296,$BO$7:$BO$1576,"&lt;="&amp;BO1296),"")</f>
        <v>21.1153308651246</v>
      </c>
      <c r="AS1296" s="65" t="n">
        <f aca="false">IF(AR1296="",0,MAX(0,MIN(1,(IF(BU1296="L1",Parameter!$E$5,Parameter!$E$6+Parameter!$E$7)-(AR1296-AN1296))/AN1296)))</f>
        <v>1</v>
      </c>
      <c r="AT1296" s="57" t="n">
        <f aca="false">IF(LEFT(Cockpit!$O$5,1)="A",G1296,IF(BW1296=1,BX1296,IF(LEFT(Cockpit!$O$5,1)="B",AX1296,MAX(AX1296,G1296))))</f>
        <v>32</v>
      </c>
      <c r="AU1296" s="57" t="n">
        <f aca="false">IF(BR1296=1,0,ROUNDUP(AT1296/BQ1296,0))</f>
        <v>1</v>
      </c>
      <c r="AV1296" s="59" t="n">
        <f aca="false">IF(CD1296&gt;0,CD1296*MAX(1,AT1296/V1296),IF(BR1296=1,IF(AT1296&lt;=0,0,BS1296*MAX(1,IF(G1296&gt;0,AT1296/G1296,1))),IF(Q1296&gt;0,AU1296/Q1296,0))/MAX(0.1,N(Parameter!$M$21)))</f>
        <v>0.00757575757575758</v>
      </c>
      <c r="AW1296" s="57" t="n">
        <f aca="false">AT1296*F1296</f>
        <v>3438.08</v>
      </c>
      <c r="AX1296" s="57" t="n">
        <f aca="false">ROUNDUP(MAX(I1296/IF(BV1296&gt;0,BV1296,MAX(0.1,N(Cockpit!$O$6))),BY1296)/BQ1296,0)*BQ1296</f>
        <v>32</v>
      </c>
      <c r="AY1296" s="58" t="n">
        <f aca="false">IF(AV1296&gt;0,I1296/AV1296,-1)</f>
        <v>1188</v>
      </c>
      <c r="AZ1296" s="58" t="n">
        <f aca="false">IF(AND(OR(BU1296="L1",BU1296="L23"),AV1296&gt;0),SUMIFS($AV$7:$AV$1576,$BU$7:$BU$1576,BU1296,$AY$7:$AY$1576,"&gt;"&amp;AY1296)+SUMIFS($AV$7:$AV$1576,$BU$7:$BU$1576,BU1296,$AY$7:$AY$1576,AY1296,$BO$7:$BO$1576,"&lt;="&amp;BO1296),"")</f>
        <v>20.4259369257307</v>
      </c>
      <c r="BA1296" s="65" t="n">
        <f aca="false">IF(AZ1296="",0,MAX(0,MIN(1,(IF(BU1296="L1",Parameter!$E$5,Parameter!$E$6+Parameter!$E$7)-(AZ1296-AV1296))/AV1296)))</f>
        <v>1</v>
      </c>
      <c r="BB1296" s="55" t="str">
        <f aca="false">IF(AF1296&lt;=0,"",IF(BU1296="Aussen","Aussenlager",IF(BU1296="-","Nicht im Lift",IF(AK1296&gt;=1,"Lift",IF(AK1296&lt;=0,"Aussenlager","teilweise")))))</f>
        <v/>
      </c>
      <c r="BC1296" s="55" t="str">
        <f aca="false">IF(AN1296&lt;=0,"",IF(BU1296="Aussen","Aussenlager",IF(BU1296="-","Nicht im Lift",IF(AS1296&gt;=1,"Lift",IF(AS1296&lt;=0,"Aussenlager","teilweise")))))</f>
        <v>Lift</v>
      </c>
      <c r="BD1296" s="55" t="str">
        <f aca="false">IF(AV1296&lt;=0,"",IF(BU1296="Aussen","Aussenlager",IF(BU1296="-","Nicht im Lift",IF(BA1296&gt;=1,"Lift",IF(BA1296&lt;=0,"Aussenlager","teilweise")))))</f>
        <v>Lift</v>
      </c>
      <c r="BE1296" s="55" t="str">
        <f aca="false">IF(A1296="","",IF(BN1296=1,"Neu; ","")&amp;IF(AND(BN1296=0,BI1296&lt;0),"negativer Bestand (Export "&amp;BI1296&amp;"); ","")&amp;IF(I1296&lt;=0,"Kein Verbrauch; ","")&amp;IF(CD1296&gt;0,"Lift "&amp;U1296&amp;" lt. Liftbericht (Fach "&amp;V1296&amp;" Stk); ",IF(BR1296=1,"Lose – Fläche geschätzt; ",""))&amp;IF(G1296&gt;AP1296,"Überbestand "&amp;ROUND(G1296-AP1296,0)&amp;" Stk / CHF "&amp;ROUND((G1296-AP1296)*F1296,0)&amp;"; ","")&amp;IF(AND(BW1296=1,BX1296&lt;BY1296),"MAX &lt; MB+LG; ","")&amp;IF(AND(CC1296&gt;0,CB1296*10&gt;CC1296),"zu hoch für Tablar; ","")&amp;IF(AND(BN1296=0,OR(BW1296=1,Y1296&lt;&gt;"",S1296&lt;&gt;"",T1296&lt;&gt;"",Z1296&lt;&gt;"")),"manuell übersteuert; ","")&amp;IF(AND(BR1296=0,Q1296=0),"Gebinde unbekannt / Stellmass fehlt; ","")&amp;IF(AND(BR1296=0,N(T1296)&lt;=0,N(P1296)&lt;=0),"Menge pro Gebinde fehlt (Ist = 1 Gebinde); ","")&amp;BM1296)</f>
        <v>negativer Bestand (Export -11); </v>
      </c>
      <c r="BF1296" s="55"/>
      <c r="BG1296" s="55"/>
      <c r="BH1296" s="62"/>
      <c r="BI1296" s="57" t="n">
        <v>-11</v>
      </c>
      <c r="BJ1296" s="57" t="n">
        <v>90</v>
      </c>
      <c r="BK1296" s="56" t="n">
        <v>-1181.84</v>
      </c>
      <c r="BL1296" s="57" t="n">
        <v>9</v>
      </c>
      <c r="BM1296" s="55"/>
      <c r="BN1296" s="60" t="n">
        <v>0</v>
      </c>
      <c r="BO1296" s="60" t="n">
        <v>1296</v>
      </c>
      <c r="BP1296" s="55" t="str">
        <f aca="false">IF(S1296&lt;&gt;"",UPPER(TRIM(S1296)),IF(O1296="","LOSE",O1296))</f>
        <v>S32</v>
      </c>
      <c r="BQ1296" s="57" t="n">
        <f aca="false">IF(BP1296="LOSE",1,IF(N(T1296)&gt;0,T1296,IF(N(P1296)&gt;0,P1296,MAX(1,G1296))))</f>
        <v>32</v>
      </c>
      <c r="BR1296" s="60" t="n">
        <f aca="false">IF(BP1296="LOSE",1,0)</f>
        <v>0</v>
      </c>
      <c r="BS1296" s="59" t="n">
        <f aca="false">IF(BR1296=0,0,IF(N(R1296)&gt;0,R1296,IFERROR(VLOOKUP(D1296,Parameter!$A$35:$C$64,3,0)+0,0)))</f>
        <v>0</v>
      </c>
      <c r="BT1296" s="55" t="n">
        <f aca="false">IF(Y1296&lt;&gt;"",Y1296,X1296)</f>
        <v>3</v>
      </c>
      <c r="BU1296" s="55" t="str">
        <f aca="false">IF(BT1296=1,"L1",IF(OR(BT1296=2,BT1296=3),"L23",IF(BT1296="Aussen","Aussen","-")))</f>
        <v>L23</v>
      </c>
      <c r="BV1296" s="66" t="n">
        <f aca="false">IF(N(Z1296)&gt;0,Z1296,0)</f>
        <v>0</v>
      </c>
      <c r="BW1296" s="60" t="n">
        <f aca="false">IF(ISNUMBER(AC1296),1,0)</f>
        <v>0</v>
      </c>
      <c r="BX1296" s="57" t="n">
        <f aca="false">N(AC1296)</f>
        <v>0</v>
      </c>
      <c r="BY1296" s="57" t="n">
        <f aca="false">N(L1296)+N(M1296)</f>
        <v>13</v>
      </c>
      <c r="BZ1296" s="57" t="n">
        <f aca="false">ROUNDUP(G1296/BQ1296,0)</f>
        <v>0</v>
      </c>
      <c r="CA1296" s="57" t="n">
        <f aca="false">ROUNDUP(BX1296/BQ1296,0)</f>
        <v>0</v>
      </c>
      <c r="CB1296" s="60" t="n">
        <f aca="false">IF(BR1296=1,0,IFERROR(VLOOKUP(BP1296,'Gebinde-Kategorie'!$A$5:$M$45,5,0)+0,0))</f>
        <v>8</v>
      </c>
      <c r="CC1296" s="60" t="n">
        <f aca="false">IFERROR(IF(OR(BT1296=1,BT1296=2,BT1296=3),N(INDEX(Parameter!$I$5:$I$7,BT1296)),0),0)</f>
        <v>0</v>
      </c>
      <c r="CD1296" s="59" t="n">
        <f aca="false">IF(AND(Parameter!$B$21="Ja",ISNUMBER(U1296),N(V1296)&gt;0),IFERROR(N(INDEX(Parameter!$L$5:$L$7,U1296))*INDEX(Parameter!$E$5:$E$7,U1296)*V1296/SUMIFS($V$7:$V$1576,$U$7:$U$1576,U1296),0),0)</f>
        <v>0</v>
      </c>
    </row>
    <row r="1297" customFormat="false" ht="15" hidden="false" customHeight="false" outlineLevel="0" collapsed="false">
      <c r="A1297" s="55" t="s">
        <v>2292</v>
      </c>
      <c r="B1297" s="55" t="s">
        <v>2293</v>
      </c>
      <c r="C1297" s="55" t="s">
        <v>446</v>
      </c>
      <c r="D1297" s="55" t="s">
        <v>168</v>
      </c>
      <c r="E1297" s="55" t="s">
        <v>210</v>
      </c>
      <c r="F1297" s="56" t="n">
        <v>49.41</v>
      </c>
      <c r="G1297" s="57" t="n">
        <f aca="false">MAX(0,IF(AND(Parameter!$B$21="Ja",ISNUMBER(W1297)),W1297,IF(Parameter!$B$20="Jahresanfang 2025 + Export",BJ1297+BI1297,BI1297)))</f>
        <v>0</v>
      </c>
      <c r="H1297" s="57" t="n">
        <f aca="false">G1297*F1297</f>
        <v>0</v>
      </c>
      <c r="I1297" s="57" t="n">
        <f aca="false">BL1297*Parameter!$B$18</f>
        <v>0</v>
      </c>
      <c r="J1297" s="58" t="n">
        <v>12</v>
      </c>
      <c r="K1297" s="59" t="n">
        <v>0</v>
      </c>
      <c r="L1297" s="57" t="n">
        <v>0</v>
      </c>
      <c r="M1297" s="57" t="n">
        <v>1</v>
      </c>
      <c r="N1297" s="60" t="n">
        <v>56</v>
      </c>
      <c r="O1297" s="55" t="s">
        <v>163</v>
      </c>
      <c r="P1297" s="57"/>
      <c r="Q1297" s="60" t="n">
        <f aca="false">IF(BR1297=1,0,IFERROR(VLOOKUP(BP1297,'Gebinde-Kategorie'!$A$5:$M$45,13,0)+0,0))</f>
        <v>0</v>
      </c>
      <c r="R1297" s="61"/>
      <c r="S1297" s="62"/>
      <c r="T1297" s="62"/>
      <c r="U1297" s="55"/>
      <c r="V1297" s="57"/>
      <c r="W1297" s="57"/>
      <c r="X1297" s="55" t="n">
        <f aca="false">IF(A1297="","",IF(AND(Parameter!$B$21="Ja",ISNUMBER(U1297)),U1297,IF(IFERROR(VLOOKUP(D1297,Parameter!$A$35:$C$64,2,0),"Nein")="2+3",IF(ISNUMBER(SEARCH("grosser Artikel",BM1297)),2,IFERROR(VLOOKUP(BP1297,Parameter!$F$35:$G$64,2,0),2)),IF(OR(IFERROR(VLOOKUP(D1297,Parameter!$A$35:$C$64,2,0),"Nein")="Nein",IFERROR(VLOOKUP(D1297,Parameter!$A$35:$C$64,2,0),"Nein")=""),"-",VLOOKUP(D1297,Parameter!$A$35:$C$64,2,0)))))</f>
        <v>2</v>
      </c>
      <c r="Y1297" s="62"/>
      <c r="Z1297" s="63"/>
      <c r="AA1297" s="57" t="n">
        <f aca="false">AP1297</f>
        <v>1</v>
      </c>
      <c r="AB1297" s="57" t="n">
        <f aca="false">MAX(AP1297,G1297)</f>
        <v>1</v>
      </c>
      <c r="AC1297" s="64"/>
      <c r="AD1297" s="57" t="n">
        <f aca="false">IF(LEFT(Cockpit!$C$5,1)="A",G1297,IF(BW1297=1,BX1297,IF(LEFT(Cockpit!$C$5,1)="B",AH1297,MAX(AH1297,G1297))))</f>
        <v>0</v>
      </c>
      <c r="AE1297" s="57" t="n">
        <f aca="false">IF(BR1297=1,0,ROUNDUP(AD1297/BQ1297,0))</f>
        <v>0</v>
      </c>
      <c r="AF1297" s="59" t="n">
        <f aca="false">IF(CD1297&gt;0,CD1297*MAX(1,AD1297/V1297),IF(BR1297=1,IF(AD1297&lt;=0,0,BS1297*MAX(1,IF(G1297&gt;0,AD1297/G1297,1))),IF(Q1297&gt;0,AE1297/Q1297,0))/MAX(0.1,N(Parameter!$M$21)))</f>
        <v>0</v>
      </c>
      <c r="AG1297" s="57" t="n">
        <f aca="false">AD1297*F1297</f>
        <v>0</v>
      </c>
      <c r="AH1297" s="57" t="n">
        <f aca="false">ROUNDUP(MAX(I1297/IF(BV1297&gt;0,BV1297,MAX(0.1,N(Cockpit!$C$6))),BY1297)/BQ1297,0)*BQ1297</f>
        <v>1</v>
      </c>
      <c r="AI1297" s="58" t="n">
        <f aca="false">IF(AF1297&gt;0,I1297/AF1297,-1)</f>
        <v>-1</v>
      </c>
      <c r="AJ1297" s="58" t="str">
        <f aca="false">IF(AND(OR(BU1297="L1",BU1297="L23"),AF1297&gt;0),SUMIFS($AF$7:$AF$1576,$BU$7:$BU$1576,BU1297,$AI$7:$AI$1576,"&gt;"&amp;AI1297)+SUMIFS($AF$7:$AF$1576,$BU$7:$BU$1576,BU1297,$AI$7:$AI$1576,AI1297,$BO$7:$BO$1576,"&lt;="&amp;BO1297),"")</f>
        <v/>
      </c>
      <c r="AK1297" s="65" t="n">
        <f aca="false">IF(AJ1297="",0,MAX(0,MIN(1,(IF(BU1297="L1",Parameter!$E$5,Parameter!$E$6+Parameter!$E$7)-(AJ1297-AF1297))/AF1297)))</f>
        <v>0</v>
      </c>
      <c r="AL1297" s="57" t="n">
        <f aca="false">IF(LEFT(Cockpit!$I$5,1)="A",G1297,IF(BW1297=1,BX1297,IF(LEFT(Cockpit!$I$5,1)="B",AP1297,MAX(AP1297,G1297))))</f>
        <v>1</v>
      </c>
      <c r="AM1297" s="57" t="n">
        <f aca="false">IF(BR1297=1,0,ROUNDUP(AL1297/BQ1297,0))</f>
        <v>0</v>
      </c>
      <c r="AN1297" s="59" t="n">
        <f aca="false">IF(CD1297&gt;0,CD1297*MAX(1,AL1297/V1297),IF(BR1297=1,IF(AL1297&lt;=0,0,BS1297*MAX(1,IF(G1297&gt;0,AL1297/G1297,1))),IF(Q1297&gt;0,AM1297/Q1297,0))/MAX(0.1,N(Parameter!$M$21)))</f>
        <v>0.15</v>
      </c>
      <c r="AO1297" s="57" t="n">
        <f aca="false">AL1297*F1297</f>
        <v>49.41</v>
      </c>
      <c r="AP1297" s="57" t="n">
        <f aca="false">ROUNDUP(MAX(I1297/IF(BV1297&gt;0,BV1297,MAX(0.1,N(Cockpit!$I$6))),BY1297)/BQ1297,0)*BQ1297</f>
        <v>1</v>
      </c>
      <c r="AQ1297" s="58" t="n">
        <f aca="false">IF(AN1297&gt;0,I1297/AN1297,-1)</f>
        <v>0</v>
      </c>
      <c r="AR1297" s="58" t="n">
        <f aca="false">IF(AND(OR(BU1297="L1",BU1297="L23"),AN1297&gt;0),SUMIFS($AN$7:$AN$1576,$BU$7:$BU$1576,BU1297,$AQ$7:$AQ$1576,"&gt;"&amp;AQ1297)+SUMIFS($AN$7:$AN$1576,$BU$7:$BU$1576,BU1297,$AQ$7:$AQ$1576,AQ1297,$BO$7:$BO$1576,"&lt;="&amp;BO1297),"")</f>
        <v>137.956640388644</v>
      </c>
      <c r="AS1297" s="65" t="n">
        <f aca="false">IF(AR1297="",0,MAX(0,MIN(1,(IF(BU1297="L1",Parameter!$E$5,Parameter!$E$6+Parameter!$E$7)-(AR1297-AN1297))/AN1297)))</f>
        <v>0</v>
      </c>
      <c r="AT1297" s="57" t="n">
        <f aca="false">IF(LEFT(Cockpit!$O$5,1)="A",G1297,IF(BW1297=1,BX1297,IF(LEFT(Cockpit!$O$5,1)="B",AX1297,MAX(AX1297,G1297))))</f>
        <v>1</v>
      </c>
      <c r="AU1297" s="57" t="n">
        <f aca="false">IF(BR1297=1,0,ROUNDUP(AT1297/BQ1297,0))</f>
        <v>0</v>
      </c>
      <c r="AV1297" s="59" t="n">
        <f aca="false">IF(CD1297&gt;0,CD1297*MAX(1,AT1297/V1297),IF(BR1297=1,IF(AT1297&lt;=0,0,BS1297*MAX(1,IF(G1297&gt;0,AT1297/G1297,1))),IF(Q1297&gt;0,AU1297/Q1297,0))/MAX(0.1,N(Parameter!$M$21)))</f>
        <v>0.15</v>
      </c>
      <c r="AW1297" s="57" t="n">
        <f aca="false">AT1297*F1297</f>
        <v>49.41</v>
      </c>
      <c r="AX1297" s="57" t="n">
        <f aca="false">ROUNDUP(MAX(I1297/IF(BV1297&gt;0,BV1297,MAX(0.1,N(Cockpit!$O$6))),BY1297)/BQ1297,0)*BQ1297</f>
        <v>1</v>
      </c>
      <c r="AY1297" s="58" t="n">
        <f aca="false">IF(AV1297&gt;0,I1297/AV1297,-1)</f>
        <v>0</v>
      </c>
      <c r="AZ1297" s="58" t="n">
        <f aca="false">IF(AND(OR(BU1297="L1",BU1297="L23"),AV1297&gt;0),SUMIFS($AV$7:$AV$1576,$BU$7:$BU$1576,BU1297,$AY$7:$AY$1576,"&gt;"&amp;AY1297)+SUMIFS($AV$7:$AV$1576,$BU$7:$BU$1576,BU1297,$AY$7:$AY$1576,AY1297,$BO$7:$BO$1576,"&lt;="&amp;BO1297),"")</f>
        <v>128.016190838195</v>
      </c>
      <c r="BA1297" s="65" t="n">
        <f aca="false">IF(AZ1297="",0,MAX(0,MIN(1,(IF(BU1297="L1",Parameter!$E$5,Parameter!$E$6+Parameter!$E$7)-(AZ1297-AV1297))/AV1297)))</f>
        <v>0</v>
      </c>
      <c r="BB1297" s="55" t="str">
        <f aca="false">IF(AF1297&lt;=0,"",IF(BU1297="Aussen","Aussenlager",IF(BU1297="-","Nicht im Lift",IF(AK1297&gt;=1,"Lift",IF(AK1297&lt;=0,"Aussenlager","teilweise")))))</f>
        <v/>
      </c>
      <c r="BC1297" s="55" t="str">
        <f aca="false">IF(AN1297&lt;=0,"",IF(BU1297="Aussen","Aussenlager",IF(BU1297="-","Nicht im Lift",IF(AS1297&gt;=1,"Lift",IF(AS1297&lt;=0,"Aussenlager","teilweise")))))</f>
        <v>Aussenlager</v>
      </c>
      <c r="BD1297" s="55" t="str">
        <f aca="false">IF(AV1297&lt;=0,"",IF(BU1297="Aussen","Aussenlager",IF(BU1297="-","Nicht im Lift",IF(BA1297&gt;=1,"Lift",IF(BA1297&lt;=0,"Aussenlager","teilweise")))))</f>
        <v>Aussenlager</v>
      </c>
      <c r="BE1297" s="55" t="str">
        <f aca="false">IF(A1297="","",IF(BN1297=1,"Neu; ","")&amp;IF(AND(BN1297=0,BI1297&lt;0),"negativer Bestand (Export "&amp;BI1297&amp;"); ","")&amp;IF(I1297&lt;=0,"Kein Verbrauch; ","")&amp;IF(CD1297&gt;0,"Lift "&amp;U1297&amp;" lt. Liftbericht (Fach "&amp;V1297&amp;" Stk); ",IF(BR1297=1,"Lose – Fläche geschätzt; ",""))&amp;IF(G1297&gt;AP1297,"Überbestand "&amp;ROUND(G1297-AP1297,0)&amp;" Stk / CHF "&amp;ROUND((G1297-AP1297)*F1297,0)&amp;"; ","")&amp;IF(AND(BW1297=1,BX1297&lt;BY1297),"MAX &lt; MB+LG; ","")&amp;IF(AND(CC1297&gt;0,CB1297*10&gt;CC1297),"zu hoch für Tablar; ","")&amp;IF(AND(BN1297=0,OR(BW1297=1,Y1297&lt;&gt;"",S1297&lt;&gt;"",T1297&lt;&gt;"",Z1297&lt;&gt;"")),"manuell übersteuert; ","")&amp;IF(AND(BR1297=0,Q1297=0),"Gebinde unbekannt / Stellmass fehlt; ","")&amp;IF(AND(BR1297=0,N(T1297)&lt;=0,N(P1297)&lt;=0),"Menge pro Gebinde fehlt (Ist = 1 Gebinde); ","")&amp;BM1297)</f>
        <v>negativer Bestand (Export -24); Kein Verbrauch; Lose – Fläche geschätzt; Neuer Art.</v>
      </c>
      <c r="BF1297" s="55"/>
      <c r="BG1297" s="55"/>
      <c r="BH1297" s="62"/>
      <c r="BI1297" s="57" t="n">
        <v>-24</v>
      </c>
      <c r="BJ1297" s="57" t="n">
        <v>24</v>
      </c>
      <c r="BK1297" s="56" t="n">
        <v>-1185.84</v>
      </c>
      <c r="BL1297" s="57" t="n">
        <v>0</v>
      </c>
      <c r="BM1297" s="55" t="s">
        <v>501</v>
      </c>
      <c r="BN1297" s="60" t="n">
        <v>0</v>
      </c>
      <c r="BO1297" s="60" t="n">
        <v>1297</v>
      </c>
      <c r="BP1297" s="55" t="str">
        <f aca="false">IF(S1297&lt;&gt;"",UPPER(TRIM(S1297)),IF(O1297="","LOSE",O1297))</f>
        <v>LOSE</v>
      </c>
      <c r="BQ1297" s="57" t="n">
        <f aca="false">IF(BP1297="LOSE",1,IF(N(T1297)&gt;0,T1297,IF(N(P1297)&gt;0,P1297,MAX(1,G1297))))</f>
        <v>1</v>
      </c>
      <c r="BR1297" s="60" t="n">
        <f aca="false">IF(BP1297="LOSE",1,0)</f>
        <v>1</v>
      </c>
      <c r="BS1297" s="59" t="n">
        <f aca="false">IF(BR1297=0,0,IF(N(R1297)&gt;0,R1297,IFERROR(VLOOKUP(D1297,Parameter!$A$35:$C$64,3,0)+0,0)))</f>
        <v>0.15</v>
      </c>
      <c r="BT1297" s="55" t="n">
        <f aca="false">IF(Y1297&lt;&gt;"",Y1297,X1297)</f>
        <v>2</v>
      </c>
      <c r="BU1297" s="55" t="str">
        <f aca="false">IF(BT1297=1,"L1",IF(OR(BT1297=2,BT1297=3),"L23",IF(BT1297="Aussen","Aussen","-")))</f>
        <v>L23</v>
      </c>
      <c r="BV1297" s="66" t="n">
        <f aca="false">IF(N(Z1297)&gt;0,Z1297,0)</f>
        <v>0</v>
      </c>
      <c r="BW1297" s="60" t="n">
        <f aca="false">IF(ISNUMBER(AC1297),1,0)</f>
        <v>0</v>
      </c>
      <c r="BX1297" s="57" t="n">
        <f aca="false">N(AC1297)</f>
        <v>0</v>
      </c>
      <c r="BY1297" s="57" t="n">
        <f aca="false">N(L1297)+N(M1297)</f>
        <v>1</v>
      </c>
      <c r="BZ1297" s="57" t="n">
        <f aca="false">ROUNDUP(G1297/BQ1297,0)</f>
        <v>0</v>
      </c>
      <c r="CA1297" s="57" t="n">
        <f aca="false">ROUNDUP(BX1297/BQ1297,0)</f>
        <v>0</v>
      </c>
      <c r="CB1297" s="60" t="n">
        <f aca="false">IF(BR1297=1,0,IFERROR(VLOOKUP(BP1297,'Gebinde-Kategorie'!$A$5:$M$45,5,0)+0,0))</f>
        <v>0</v>
      </c>
      <c r="CC1297" s="60" t="n">
        <f aca="false">IFERROR(IF(OR(BT1297=1,BT1297=2,BT1297=3),N(INDEX(Parameter!$I$5:$I$7,BT1297)),0),0)</f>
        <v>0</v>
      </c>
      <c r="CD1297" s="59" t="n">
        <f aca="false">IF(AND(Parameter!$B$21="Ja",ISNUMBER(U1297),N(V1297)&gt;0),IFERROR(N(INDEX(Parameter!$L$5:$L$7,U1297))*INDEX(Parameter!$E$5:$E$7,U1297)*V1297/SUMIFS($V$7:$V$1576,$U$7:$U$1576,U1297),0),0)</f>
        <v>0</v>
      </c>
    </row>
    <row r="1298" customFormat="false" ht="15" hidden="false" customHeight="false" outlineLevel="0" collapsed="false">
      <c r="A1298" s="55" t="s">
        <v>2294</v>
      </c>
      <c r="B1298" s="55" t="s">
        <v>2295</v>
      </c>
      <c r="C1298" s="55" t="s">
        <v>446</v>
      </c>
      <c r="D1298" s="55" t="s">
        <v>168</v>
      </c>
      <c r="E1298" s="55" t="s">
        <v>210</v>
      </c>
      <c r="F1298" s="56" t="n">
        <v>59.5</v>
      </c>
      <c r="G1298" s="57" t="n">
        <f aca="false">MAX(0,IF(AND(Parameter!$B$21="Ja",ISNUMBER(W1298)),W1298,IF(Parameter!$B$20="Jahresanfang 2025 + Export",BJ1298+BI1298,BI1298)))</f>
        <v>0</v>
      </c>
      <c r="H1298" s="57" t="n">
        <f aca="false">G1298*F1298</f>
        <v>0</v>
      </c>
      <c r="I1298" s="57" t="n">
        <f aca="false">BL1298*Parameter!$B$18</f>
        <v>0</v>
      </c>
      <c r="J1298" s="58" t="n">
        <v>10</v>
      </c>
      <c r="K1298" s="59" t="n">
        <v>0</v>
      </c>
      <c r="L1298" s="57" t="n">
        <v>0</v>
      </c>
      <c r="M1298" s="57" t="n">
        <v>1</v>
      </c>
      <c r="N1298" s="60" t="n">
        <v>56</v>
      </c>
      <c r="O1298" s="55" t="s">
        <v>163</v>
      </c>
      <c r="P1298" s="57"/>
      <c r="Q1298" s="60" t="n">
        <f aca="false">IF(BR1298=1,0,IFERROR(VLOOKUP(BP1298,'Gebinde-Kategorie'!$A$5:$M$45,13,0)+0,0))</f>
        <v>0</v>
      </c>
      <c r="R1298" s="61"/>
      <c r="S1298" s="62"/>
      <c r="T1298" s="62"/>
      <c r="U1298" s="55"/>
      <c r="V1298" s="57"/>
      <c r="W1298" s="57"/>
      <c r="X1298" s="55" t="n">
        <f aca="false">IF(A1298="","",IF(AND(Parameter!$B$21="Ja",ISNUMBER(U1298)),U1298,IF(IFERROR(VLOOKUP(D1298,Parameter!$A$35:$C$64,2,0),"Nein")="2+3",IF(ISNUMBER(SEARCH("grosser Artikel",BM1298)),2,IFERROR(VLOOKUP(BP1298,Parameter!$F$35:$G$64,2,0),2)),IF(OR(IFERROR(VLOOKUP(D1298,Parameter!$A$35:$C$64,2,0),"Nein")="Nein",IFERROR(VLOOKUP(D1298,Parameter!$A$35:$C$64,2,0),"Nein")=""),"-",VLOOKUP(D1298,Parameter!$A$35:$C$64,2,0)))))</f>
        <v>2</v>
      </c>
      <c r="Y1298" s="62"/>
      <c r="Z1298" s="63"/>
      <c r="AA1298" s="57" t="n">
        <f aca="false">AP1298</f>
        <v>1</v>
      </c>
      <c r="AB1298" s="57" t="n">
        <f aca="false">MAX(AP1298,G1298)</f>
        <v>1</v>
      </c>
      <c r="AC1298" s="64"/>
      <c r="AD1298" s="57" t="n">
        <f aca="false">IF(LEFT(Cockpit!$C$5,1)="A",G1298,IF(BW1298=1,BX1298,IF(LEFT(Cockpit!$C$5,1)="B",AH1298,MAX(AH1298,G1298))))</f>
        <v>0</v>
      </c>
      <c r="AE1298" s="57" t="n">
        <f aca="false">IF(BR1298=1,0,ROUNDUP(AD1298/BQ1298,0))</f>
        <v>0</v>
      </c>
      <c r="AF1298" s="59" t="n">
        <f aca="false">IF(CD1298&gt;0,CD1298*MAX(1,AD1298/V1298),IF(BR1298=1,IF(AD1298&lt;=0,0,BS1298*MAX(1,IF(G1298&gt;0,AD1298/G1298,1))),IF(Q1298&gt;0,AE1298/Q1298,0))/MAX(0.1,N(Parameter!$M$21)))</f>
        <v>0</v>
      </c>
      <c r="AG1298" s="57" t="n">
        <f aca="false">AD1298*F1298</f>
        <v>0</v>
      </c>
      <c r="AH1298" s="57" t="n">
        <f aca="false">ROUNDUP(MAX(I1298/IF(BV1298&gt;0,BV1298,MAX(0.1,N(Cockpit!$C$6))),BY1298)/BQ1298,0)*BQ1298</f>
        <v>1</v>
      </c>
      <c r="AI1298" s="58" t="n">
        <f aca="false">IF(AF1298&gt;0,I1298/AF1298,-1)</f>
        <v>-1</v>
      </c>
      <c r="AJ1298" s="58" t="str">
        <f aca="false">IF(AND(OR(BU1298="L1",BU1298="L23"),AF1298&gt;0),SUMIFS($AF$7:$AF$1576,$BU$7:$BU$1576,BU1298,$AI$7:$AI$1576,"&gt;"&amp;AI1298)+SUMIFS($AF$7:$AF$1576,$BU$7:$BU$1576,BU1298,$AI$7:$AI$1576,AI1298,$BO$7:$BO$1576,"&lt;="&amp;BO1298),"")</f>
        <v/>
      </c>
      <c r="AK1298" s="65" t="n">
        <f aca="false">IF(AJ1298="",0,MAX(0,MIN(1,(IF(BU1298="L1",Parameter!$E$5,Parameter!$E$6+Parameter!$E$7)-(AJ1298-AF1298))/AF1298)))</f>
        <v>0</v>
      </c>
      <c r="AL1298" s="57" t="n">
        <f aca="false">IF(LEFT(Cockpit!$I$5,1)="A",G1298,IF(BW1298=1,BX1298,IF(LEFT(Cockpit!$I$5,1)="B",AP1298,MAX(AP1298,G1298))))</f>
        <v>1</v>
      </c>
      <c r="AM1298" s="57" t="n">
        <f aca="false">IF(BR1298=1,0,ROUNDUP(AL1298/BQ1298,0))</f>
        <v>0</v>
      </c>
      <c r="AN1298" s="59" t="n">
        <f aca="false">IF(CD1298&gt;0,CD1298*MAX(1,AL1298/V1298),IF(BR1298=1,IF(AL1298&lt;=0,0,BS1298*MAX(1,IF(G1298&gt;0,AL1298/G1298,1))),IF(Q1298&gt;0,AM1298/Q1298,0))/MAX(0.1,N(Parameter!$M$21)))</f>
        <v>0.15</v>
      </c>
      <c r="AO1298" s="57" t="n">
        <f aca="false">AL1298*F1298</f>
        <v>59.5</v>
      </c>
      <c r="AP1298" s="57" t="n">
        <f aca="false">ROUNDUP(MAX(I1298/IF(BV1298&gt;0,BV1298,MAX(0.1,N(Cockpit!$I$6))),BY1298)/BQ1298,0)*BQ1298</f>
        <v>1</v>
      </c>
      <c r="AQ1298" s="58" t="n">
        <f aca="false">IF(AN1298&gt;0,I1298/AN1298,-1)</f>
        <v>0</v>
      </c>
      <c r="AR1298" s="58" t="n">
        <f aca="false">IF(AND(OR(BU1298="L1",BU1298="L23"),AN1298&gt;0),SUMIFS($AN$7:$AN$1576,$BU$7:$BU$1576,BU1298,$AQ$7:$AQ$1576,"&gt;"&amp;AQ1298)+SUMIFS($AN$7:$AN$1576,$BU$7:$BU$1576,BU1298,$AQ$7:$AQ$1576,AQ1298,$BO$7:$BO$1576,"&lt;="&amp;BO1298),"")</f>
        <v>138.106640388644</v>
      </c>
      <c r="AS1298" s="65" t="n">
        <f aca="false">IF(AR1298="",0,MAX(0,MIN(1,(IF(BU1298="L1",Parameter!$E$5,Parameter!$E$6+Parameter!$E$7)-(AR1298-AN1298))/AN1298)))</f>
        <v>0</v>
      </c>
      <c r="AT1298" s="57" t="n">
        <f aca="false">IF(LEFT(Cockpit!$O$5,1)="A",G1298,IF(BW1298=1,BX1298,IF(LEFT(Cockpit!$O$5,1)="B",AX1298,MAX(AX1298,G1298))))</f>
        <v>1</v>
      </c>
      <c r="AU1298" s="57" t="n">
        <f aca="false">IF(BR1298=1,0,ROUNDUP(AT1298/BQ1298,0))</f>
        <v>0</v>
      </c>
      <c r="AV1298" s="59" t="n">
        <f aca="false">IF(CD1298&gt;0,CD1298*MAX(1,AT1298/V1298),IF(BR1298=1,IF(AT1298&lt;=0,0,BS1298*MAX(1,IF(G1298&gt;0,AT1298/G1298,1))),IF(Q1298&gt;0,AU1298/Q1298,0))/MAX(0.1,N(Parameter!$M$21)))</f>
        <v>0.15</v>
      </c>
      <c r="AW1298" s="57" t="n">
        <f aca="false">AT1298*F1298</f>
        <v>59.5</v>
      </c>
      <c r="AX1298" s="57" t="n">
        <f aca="false">ROUNDUP(MAX(I1298/IF(BV1298&gt;0,BV1298,MAX(0.1,N(Cockpit!$O$6))),BY1298)/BQ1298,0)*BQ1298</f>
        <v>1</v>
      </c>
      <c r="AY1298" s="58" t="n">
        <f aca="false">IF(AV1298&gt;0,I1298/AV1298,-1)</f>
        <v>0</v>
      </c>
      <c r="AZ1298" s="58" t="n">
        <f aca="false">IF(AND(OR(BU1298="L1",BU1298="L23"),AV1298&gt;0),SUMIFS($AV$7:$AV$1576,$BU$7:$BU$1576,BU1298,$AY$7:$AY$1576,"&gt;"&amp;AY1298)+SUMIFS($AV$7:$AV$1576,$BU$7:$BU$1576,BU1298,$AY$7:$AY$1576,AY1298,$BO$7:$BO$1576,"&lt;="&amp;BO1298),"")</f>
        <v>128.166190838195</v>
      </c>
      <c r="BA1298" s="65" t="n">
        <f aca="false">IF(AZ1298="",0,MAX(0,MIN(1,(IF(BU1298="L1",Parameter!$E$5,Parameter!$E$6+Parameter!$E$7)-(AZ1298-AV1298))/AV1298)))</f>
        <v>0</v>
      </c>
      <c r="BB1298" s="55" t="str">
        <f aca="false">IF(AF1298&lt;=0,"",IF(BU1298="Aussen","Aussenlager",IF(BU1298="-","Nicht im Lift",IF(AK1298&gt;=1,"Lift",IF(AK1298&lt;=0,"Aussenlager","teilweise")))))</f>
        <v/>
      </c>
      <c r="BC1298" s="55" t="str">
        <f aca="false">IF(AN1298&lt;=0,"",IF(BU1298="Aussen","Aussenlager",IF(BU1298="-","Nicht im Lift",IF(AS1298&gt;=1,"Lift",IF(AS1298&lt;=0,"Aussenlager","teilweise")))))</f>
        <v>Aussenlager</v>
      </c>
      <c r="BD1298" s="55" t="str">
        <f aca="false">IF(AV1298&lt;=0,"",IF(BU1298="Aussen","Aussenlager",IF(BU1298="-","Nicht im Lift",IF(BA1298&gt;=1,"Lift",IF(BA1298&lt;=0,"Aussenlager","teilweise")))))</f>
        <v>Aussenlager</v>
      </c>
      <c r="BE1298" s="55" t="str">
        <f aca="false">IF(A1298="","",IF(BN1298=1,"Neu; ","")&amp;IF(AND(BN1298=0,BI1298&lt;0),"negativer Bestand (Export "&amp;BI1298&amp;"); ","")&amp;IF(I1298&lt;=0,"Kein Verbrauch; ","")&amp;IF(CD1298&gt;0,"Lift "&amp;U1298&amp;" lt. Liftbericht (Fach "&amp;V1298&amp;" Stk); ",IF(BR1298=1,"Lose – Fläche geschätzt; ",""))&amp;IF(G1298&gt;AP1298,"Überbestand "&amp;ROUND(G1298-AP1298,0)&amp;" Stk / CHF "&amp;ROUND((G1298-AP1298)*F1298,0)&amp;"; ","")&amp;IF(AND(BW1298=1,BX1298&lt;BY1298),"MAX &lt; MB+LG; ","")&amp;IF(AND(CC1298&gt;0,CB1298*10&gt;CC1298),"zu hoch für Tablar; ","")&amp;IF(AND(BN1298=0,OR(BW1298=1,Y1298&lt;&gt;"",S1298&lt;&gt;"",T1298&lt;&gt;"",Z1298&lt;&gt;"")),"manuell übersteuert; ","")&amp;IF(AND(BR1298=0,Q1298=0),"Gebinde unbekannt / Stellmass fehlt; ","")&amp;IF(AND(BR1298=0,N(T1298)&lt;=0,N(P1298)&lt;=0),"Menge pro Gebinde fehlt (Ist = 1 Gebinde); ","")&amp;BM1298)</f>
        <v>negativer Bestand (Export -20); Kein Verbrauch; Lose – Fläche geschätzt; </v>
      </c>
      <c r="BF1298" s="55"/>
      <c r="BG1298" s="55"/>
      <c r="BH1298" s="62"/>
      <c r="BI1298" s="57" t="n">
        <v>-20</v>
      </c>
      <c r="BJ1298" s="57" t="n">
        <v>20</v>
      </c>
      <c r="BK1298" s="56" t="n">
        <v>-1190</v>
      </c>
      <c r="BL1298" s="57" t="n">
        <v>0</v>
      </c>
      <c r="BM1298" s="55"/>
      <c r="BN1298" s="60" t="n">
        <v>0</v>
      </c>
      <c r="BO1298" s="60" t="n">
        <v>1298</v>
      </c>
      <c r="BP1298" s="55" t="str">
        <f aca="false">IF(S1298&lt;&gt;"",UPPER(TRIM(S1298)),IF(O1298="","LOSE",O1298))</f>
        <v>LOSE</v>
      </c>
      <c r="BQ1298" s="57" t="n">
        <f aca="false">IF(BP1298="LOSE",1,IF(N(T1298)&gt;0,T1298,IF(N(P1298)&gt;0,P1298,MAX(1,G1298))))</f>
        <v>1</v>
      </c>
      <c r="BR1298" s="60" t="n">
        <f aca="false">IF(BP1298="LOSE",1,0)</f>
        <v>1</v>
      </c>
      <c r="BS1298" s="59" t="n">
        <f aca="false">IF(BR1298=0,0,IF(N(R1298)&gt;0,R1298,IFERROR(VLOOKUP(D1298,Parameter!$A$35:$C$64,3,0)+0,0)))</f>
        <v>0.15</v>
      </c>
      <c r="BT1298" s="55" t="n">
        <f aca="false">IF(Y1298&lt;&gt;"",Y1298,X1298)</f>
        <v>2</v>
      </c>
      <c r="BU1298" s="55" t="str">
        <f aca="false">IF(BT1298=1,"L1",IF(OR(BT1298=2,BT1298=3),"L23",IF(BT1298="Aussen","Aussen","-")))</f>
        <v>L23</v>
      </c>
      <c r="BV1298" s="66" t="n">
        <f aca="false">IF(N(Z1298)&gt;0,Z1298,0)</f>
        <v>0</v>
      </c>
      <c r="BW1298" s="60" t="n">
        <f aca="false">IF(ISNUMBER(AC1298),1,0)</f>
        <v>0</v>
      </c>
      <c r="BX1298" s="57" t="n">
        <f aca="false">N(AC1298)</f>
        <v>0</v>
      </c>
      <c r="BY1298" s="57" t="n">
        <f aca="false">N(L1298)+N(M1298)</f>
        <v>1</v>
      </c>
      <c r="BZ1298" s="57" t="n">
        <f aca="false">ROUNDUP(G1298/BQ1298,0)</f>
        <v>0</v>
      </c>
      <c r="CA1298" s="57" t="n">
        <f aca="false">ROUNDUP(BX1298/BQ1298,0)</f>
        <v>0</v>
      </c>
      <c r="CB1298" s="60" t="n">
        <f aca="false">IF(BR1298=1,0,IFERROR(VLOOKUP(BP1298,'Gebinde-Kategorie'!$A$5:$M$45,5,0)+0,0))</f>
        <v>0</v>
      </c>
      <c r="CC1298" s="60" t="n">
        <f aca="false">IFERROR(IF(OR(BT1298=1,BT1298=2,BT1298=3),N(INDEX(Parameter!$I$5:$I$7,BT1298)),0),0)</f>
        <v>0</v>
      </c>
      <c r="CD1298" s="59" t="n">
        <f aca="false">IF(AND(Parameter!$B$21="Ja",ISNUMBER(U1298),N(V1298)&gt;0),IFERROR(N(INDEX(Parameter!$L$5:$L$7,U1298))*INDEX(Parameter!$E$5:$E$7,U1298)*V1298/SUMIFS($V$7:$V$1576,$U$7:$U$1576,U1298),0),0)</f>
        <v>0</v>
      </c>
    </row>
    <row r="1299" customFormat="false" ht="15" hidden="false" customHeight="false" outlineLevel="0" collapsed="false">
      <c r="A1299" s="55" t="s">
        <v>2296</v>
      </c>
      <c r="B1299" s="55" t="s">
        <v>395</v>
      </c>
      <c r="C1299" s="55" t="s">
        <v>160</v>
      </c>
      <c r="D1299" s="55" t="s">
        <v>168</v>
      </c>
      <c r="E1299" s="55" t="s">
        <v>210</v>
      </c>
      <c r="F1299" s="56" t="n">
        <v>1.59</v>
      </c>
      <c r="G1299" s="57" t="n">
        <f aca="false">MAX(0,IF(AND(Parameter!$B$21="Ja",ISNUMBER(W1299)),W1299,IF(Parameter!$B$20="Jahresanfang 2025 + Export",BJ1299+BI1299,BI1299)))</f>
        <v>0</v>
      </c>
      <c r="H1299" s="57" t="n">
        <f aca="false">G1299*F1299</f>
        <v>0</v>
      </c>
      <c r="I1299" s="57" t="n">
        <f aca="false">BL1299*Parameter!$B$18</f>
        <v>5534</v>
      </c>
      <c r="J1299" s="58" t="n">
        <v>1501.5</v>
      </c>
      <c r="K1299" s="59" t="n">
        <v>3.68564768564769</v>
      </c>
      <c r="L1299" s="57" t="n">
        <v>322</v>
      </c>
      <c r="M1299" s="57" t="n">
        <v>600</v>
      </c>
      <c r="N1299" s="60" t="n">
        <v>21</v>
      </c>
      <c r="O1299" s="55" t="s">
        <v>218</v>
      </c>
      <c r="P1299" s="57" t="n">
        <v>300</v>
      </c>
      <c r="Q1299" s="60" t="n">
        <f aca="false">IF(BR1299=1,0,IFERROR(VLOOKUP(BP1299,'Gebinde-Kategorie'!$A$5:$M$45,13,0)+0,0))</f>
        <v>12</v>
      </c>
      <c r="R1299" s="61"/>
      <c r="S1299" s="62"/>
      <c r="T1299" s="62"/>
      <c r="U1299" s="55"/>
      <c r="V1299" s="57"/>
      <c r="W1299" s="57"/>
      <c r="X1299" s="55" t="n">
        <f aca="false">IF(A1299="","",IF(AND(Parameter!$B$21="Ja",ISNUMBER(U1299)),U1299,IF(IFERROR(VLOOKUP(D1299,Parameter!$A$35:$C$64,2,0),"Nein")="2+3",IF(ISNUMBER(SEARCH("grosser Artikel",BM1299)),2,IFERROR(VLOOKUP(BP1299,Parameter!$F$35:$G$64,2,0),2)),IF(OR(IFERROR(VLOOKUP(D1299,Parameter!$A$35:$C$64,2,0),"Nein")="Nein",IFERROR(VLOOKUP(D1299,Parameter!$A$35:$C$64,2,0),"Nein")=""),"-",VLOOKUP(D1299,Parameter!$A$35:$C$64,2,0)))))</f>
        <v>2</v>
      </c>
      <c r="Y1299" s="62"/>
      <c r="Z1299" s="63"/>
      <c r="AA1299" s="57" t="n">
        <f aca="false">AP1299</f>
        <v>3000</v>
      </c>
      <c r="AB1299" s="57" t="n">
        <f aca="false">MAX(AP1299,G1299)</f>
        <v>3000</v>
      </c>
      <c r="AC1299" s="64"/>
      <c r="AD1299" s="57" t="n">
        <f aca="false">IF(LEFT(Cockpit!$C$5,1)="A",G1299,IF(BW1299=1,BX1299,IF(LEFT(Cockpit!$C$5,1)="B",AH1299,MAX(AH1299,G1299))))</f>
        <v>0</v>
      </c>
      <c r="AE1299" s="57" t="n">
        <f aca="false">IF(BR1299=1,0,ROUNDUP(AD1299/BQ1299,0))</f>
        <v>0</v>
      </c>
      <c r="AF1299" s="59" t="n">
        <f aca="false">IF(CD1299&gt;0,CD1299*MAX(1,AD1299/V1299),IF(BR1299=1,IF(AD1299&lt;=0,0,BS1299*MAX(1,IF(G1299&gt;0,AD1299/G1299,1))),IF(Q1299&gt;0,AE1299/Q1299,0))/MAX(0.1,N(Parameter!$M$21)))</f>
        <v>0</v>
      </c>
      <c r="AG1299" s="57" t="n">
        <f aca="false">AD1299*F1299</f>
        <v>0</v>
      </c>
      <c r="AH1299" s="57" t="n">
        <f aca="false">ROUNDUP(MAX(I1299/IF(BV1299&gt;0,BV1299,MAX(0.1,N(Cockpit!$C$6))),BY1299)/BQ1299,0)*BQ1299</f>
        <v>3000</v>
      </c>
      <c r="AI1299" s="58" t="n">
        <f aca="false">IF(AF1299&gt;0,I1299/AF1299,-1)</f>
        <v>-1</v>
      </c>
      <c r="AJ1299" s="58" t="str">
        <f aca="false">IF(AND(OR(BU1299="L1",BU1299="L23"),AF1299&gt;0),SUMIFS($AF$7:$AF$1576,$BU$7:$BU$1576,BU1299,$AI$7:$AI$1576,"&gt;"&amp;AI1299)+SUMIFS($AF$7:$AF$1576,$BU$7:$BU$1576,BU1299,$AI$7:$AI$1576,AI1299,$BO$7:$BO$1576,"&lt;="&amp;BO1299),"")</f>
        <v/>
      </c>
      <c r="AK1299" s="65" t="n">
        <f aca="false">IF(AJ1299="",0,MAX(0,MIN(1,(IF(BU1299="L1",Parameter!$E$5,Parameter!$E$6+Parameter!$E$7)-(AJ1299-AF1299))/AF1299)))</f>
        <v>0</v>
      </c>
      <c r="AL1299" s="57" t="n">
        <f aca="false">IF(LEFT(Cockpit!$I$5,1)="A",G1299,IF(BW1299=1,BX1299,IF(LEFT(Cockpit!$I$5,1)="B",AP1299,MAX(AP1299,G1299))))</f>
        <v>3000</v>
      </c>
      <c r="AM1299" s="57" t="n">
        <f aca="false">IF(BR1299=1,0,ROUNDUP(AL1299/BQ1299,0))</f>
        <v>10</v>
      </c>
      <c r="AN1299" s="59" t="n">
        <f aca="false">IF(CD1299&gt;0,CD1299*MAX(1,AL1299/V1299),IF(BR1299=1,IF(AL1299&lt;=0,0,BS1299*MAX(1,IF(G1299&gt;0,AL1299/G1299,1))),IF(Q1299&gt;0,AM1299/Q1299,0))/MAX(0.1,N(Parameter!$M$21)))</f>
        <v>0.833333333333333</v>
      </c>
      <c r="AO1299" s="57" t="n">
        <f aca="false">AL1299*F1299</f>
        <v>4770</v>
      </c>
      <c r="AP1299" s="57" t="n">
        <f aca="false">ROUNDUP(MAX(I1299/IF(BV1299&gt;0,BV1299,MAX(0.1,N(Cockpit!$I$6))),BY1299)/BQ1299,0)*BQ1299</f>
        <v>3000</v>
      </c>
      <c r="AQ1299" s="58" t="n">
        <f aca="false">IF(AN1299&gt;0,I1299/AN1299,-1)</f>
        <v>6640.8</v>
      </c>
      <c r="AR1299" s="58" t="n">
        <f aca="false">IF(AND(OR(BU1299="L1",BU1299="L23"),AN1299&gt;0),SUMIFS($AN$7:$AN$1576,$BU$7:$BU$1576,BU1299,$AQ$7:$AQ$1576,"&gt;"&amp;AQ1299)+SUMIFS($AN$7:$AN$1576,$BU$7:$BU$1576,BU1299,$AQ$7:$AQ$1576,AQ1299,$BO$7:$BO$1576,"&lt;="&amp;BO1299),"")</f>
        <v>9.88508327421371</v>
      </c>
      <c r="AS1299" s="65" t="n">
        <f aca="false">IF(AR1299="",0,MAX(0,MIN(1,(IF(BU1299="L1",Parameter!$E$5,Parameter!$E$6+Parameter!$E$7)-(AR1299-AN1299))/AN1299)))</f>
        <v>1</v>
      </c>
      <c r="AT1299" s="57" t="n">
        <f aca="false">IF(LEFT(Cockpit!$O$5,1)="A",G1299,IF(BW1299=1,BX1299,IF(LEFT(Cockpit!$O$5,1)="B",AX1299,MAX(AX1299,G1299))))</f>
        <v>2100</v>
      </c>
      <c r="AU1299" s="57" t="n">
        <f aca="false">IF(BR1299=1,0,ROUNDUP(AT1299/BQ1299,0))</f>
        <v>7</v>
      </c>
      <c r="AV1299" s="59" t="n">
        <f aca="false">IF(CD1299&gt;0,CD1299*MAX(1,AT1299/V1299),IF(BR1299=1,IF(AT1299&lt;=0,0,BS1299*MAX(1,IF(G1299&gt;0,AT1299/G1299,1))),IF(Q1299&gt;0,AU1299/Q1299,0))/MAX(0.1,N(Parameter!$M$21)))</f>
        <v>0.583333333333333</v>
      </c>
      <c r="AW1299" s="57" t="n">
        <f aca="false">AT1299*F1299</f>
        <v>3339</v>
      </c>
      <c r="AX1299" s="57" t="n">
        <f aca="false">ROUNDUP(MAX(I1299/IF(BV1299&gt;0,BV1299,MAX(0.1,N(Cockpit!$O$6))),BY1299)/BQ1299,0)*BQ1299</f>
        <v>2100</v>
      </c>
      <c r="AY1299" s="58" t="n">
        <f aca="false">IF(AV1299&gt;0,I1299/AV1299,-1)</f>
        <v>9486.85714285714</v>
      </c>
      <c r="AZ1299" s="58" t="n">
        <f aca="false">IF(AND(OR(BU1299="L1",BU1299="L23"),AV1299&gt;0),SUMIFS($AV$7:$AV$1576,$BU$7:$BU$1576,BU1299,$AY$7:$AY$1576,"&gt;"&amp;AY1299)+SUMIFS($AV$7:$AV$1576,$BU$7:$BU$1576,BU1299,$AY$7:$AY$1576,AY1299,$BO$7:$BO$1576,"&lt;="&amp;BO1299),"")</f>
        <v>7.50198709503057</v>
      </c>
      <c r="BA1299" s="65" t="n">
        <f aca="false">IF(AZ1299="",0,MAX(0,MIN(1,(IF(BU1299="L1",Parameter!$E$5,Parameter!$E$6+Parameter!$E$7)-(AZ1299-AV1299))/AV1299)))</f>
        <v>1</v>
      </c>
      <c r="BB1299" s="55" t="str">
        <f aca="false">IF(AF1299&lt;=0,"",IF(BU1299="Aussen","Aussenlager",IF(BU1299="-","Nicht im Lift",IF(AK1299&gt;=1,"Lift",IF(AK1299&lt;=0,"Aussenlager","teilweise")))))</f>
        <v/>
      </c>
      <c r="BC1299" s="55" t="str">
        <f aca="false">IF(AN1299&lt;=0,"",IF(BU1299="Aussen","Aussenlager",IF(BU1299="-","Nicht im Lift",IF(AS1299&gt;=1,"Lift",IF(AS1299&lt;=0,"Aussenlager","teilweise")))))</f>
        <v>Lift</v>
      </c>
      <c r="BD1299" s="55" t="str">
        <f aca="false">IF(AV1299&lt;=0,"",IF(BU1299="Aussen","Aussenlager",IF(BU1299="-","Nicht im Lift",IF(BA1299&gt;=1,"Lift",IF(BA1299&lt;=0,"Aussenlager","teilweise")))))</f>
        <v>Lift</v>
      </c>
      <c r="BE1299" s="55" t="str">
        <f aca="false">IF(A1299="","",IF(BN1299=1,"Neu; ","")&amp;IF(AND(BN1299=0,BI1299&lt;0),"negativer Bestand (Export "&amp;BI1299&amp;"); ","")&amp;IF(I1299&lt;=0,"Kein Verbrauch; ","")&amp;IF(CD1299&gt;0,"Lift "&amp;U1299&amp;" lt. Liftbericht (Fach "&amp;V1299&amp;" Stk); ",IF(BR1299=1,"Lose – Fläche geschätzt; ",""))&amp;IF(G1299&gt;AP1299,"Überbestand "&amp;ROUND(G1299-AP1299,0)&amp;" Stk / CHF "&amp;ROUND((G1299-AP1299)*F1299,0)&amp;"; ","")&amp;IF(AND(BW1299=1,BX1299&lt;BY1299),"MAX &lt; MB+LG; ","")&amp;IF(AND(CC1299&gt;0,CB1299*10&gt;CC1299),"zu hoch für Tablar; ","")&amp;IF(AND(BN1299=0,OR(BW1299=1,Y1299&lt;&gt;"",S1299&lt;&gt;"",T1299&lt;&gt;"",Z1299&lt;&gt;"")),"manuell übersteuert; ","")&amp;IF(AND(BR1299=0,Q1299=0),"Gebinde unbekannt / Stellmass fehlt; ","")&amp;IF(AND(BR1299=0,N(T1299)&lt;=0,N(P1299)&lt;=0),"Menge pro Gebinde fehlt (Ist = 1 Gebinde); ","")&amp;BM1299)</f>
        <v>negativer Bestand (Export -641); grosse  Artikelmenge</v>
      </c>
      <c r="BF1299" s="55"/>
      <c r="BG1299" s="55"/>
      <c r="BH1299" s="62"/>
      <c r="BI1299" s="57" t="n">
        <v>-641</v>
      </c>
      <c r="BJ1299" s="57" t="n">
        <v>1750</v>
      </c>
      <c r="BK1299" s="56" t="n">
        <v>-1191.49</v>
      </c>
      <c r="BL1299" s="57" t="n">
        <v>5534</v>
      </c>
      <c r="BM1299" s="55" t="s">
        <v>1594</v>
      </c>
      <c r="BN1299" s="60" t="n">
        <v>0</v>
      </c>
      <c r="BO1299" s="60" t="n">
        <v>1299</v>
      </c>
      <c r="BP1299" s="55" t="str">
        <f aca="false">IF(S1299&lt;&gt;"",UPPER(TRIM(S1299)),IF(O1299="","LOSE",O1299))</f>
        <v>S63</v>
      </c>
      <c r="BQ1299" s="57" t="n">
        <f aca="false">IF(BP1299="LOSE",1,IF(N(T1299)&gt;0,T1299,IF(N(P1299)&gt;0,P1299,MAX(1,G1299))))</f>
        <v>300</v>
      </c>
      <c r="BR1299" s="60" t="n">
        <f aca="false">IF(BP1299="LOSE",1,0)</f>
        <v>0</v>
      </c>
      <c r="BS1299" s="59" t="n">
        <f aca="false">IF(BR1299=0,0,IF(N(R1299)&gt;0,R1299,IFERROR(VLOOKUP(D1299,Parameter!$A$35:$C$64,3,0)+0,0)))</f>
        <v>0</v>
      </c>
      <c r="BT1299" s="55" t="n">
        <f aca="false">IF(Y1299&lt;&gt;"",Y1299,X1299)</f>
        <v>2</v>
      </c>
      <c r="BU1299" s="55" t="str">
        <f aca="false">IF(BT1299=1,"L1",IF(OR(BT1299=2,BT1299=3),"L23",IF(BT1299="Aussen","Aussen","-")))</f>
        <v>L23</v>
      </c>
      <c r="BV1299" s="66" t="n">
        <f aca="false">IF(N(Z1299)&gt;0,Z1299,0)</f>
        <v>0</v>
      </c>
      <c r="BW1299" s="60" t="n">
        <f aca="false">IF(ISNUMBER(AC1299),1,0)</f>
        <v>0</v>
      </c>
      <c r="BX1299" s="57" t="n">
        <f aca="false">N(AC1299)</f>
        <v>0</v>
      </c>
      <c r="BY1299" s="57" t="n">
        <f aca="false">N(L1299)+N(M1299)</f>
        <v>922</v>
      </c>
      <c r="BZ1299" s="57" t="n">
        <f aca="false">ROUNDUP(G1299/BQ1299,0)</f>
        <v>0</v>
      </c>
      <c r="CA1299" s="57" t="n">
        <f aca="false">ROUNDUP(BX1299/BQ1299,0)</f>
        <v>0</v>
      </c>
      <c r="CB1299" s="60" t="n">
        <f aca="false">IF(BR1299=1,0,IFERROR(VLOOKUP(BP1299,'Gebinde-Kategorie'!$A$5:$M$45,5,0)+0,0))</f>
        <v>31</v>
      </c>
      <c r="CC1299" s="60" t="n">
        <f aca="false">IFERROR(IF(OR(BT1299=1,BT1299=2,BT1299=3),N(INDEX(Parameter!$I$5:$I$7,BT1299)),0),0)</f>
        <v>0</v>
      </c>
      <c r="CD1299" s="59" t="n">
        <f aca="false">IF(AND(Parameter!$B$21="Ja",ISNUMBER(U1299),N(V1299)&gt;0),IFERROR(N(INDEX(Parameter!$L$5:$L$7,U1299))*INDEX(Parameter!$E$5:$E$7,U1299)*V1299/SUMIFS($V$7:$V$1576,$U$7:$U$1576,U1299),0),0)</f>
        <v>0</v>
      </c>
    </row>
    <row r="1300" customFormat="false" ht="15" hidden="false" customHeight="false" outlineLevel="0" collapsed="false">
      <c r="A1300" s="55" t="s">
        <v>2297</v>
      </c>
      <c r="B1300" s="55" t="s">
        <v>2298</v>
      </c>
      <c r="C1300" s="55" t="s">
        <v>160</v>
      </c>
      <c r="D1300" s="55" t="s">
        <v>168</v>
      </c>
      <c r="E1300" s="55" t="s">
        <v>210</v>
      </c>
      <c r="F1300" s="56" t="n">
        <v>659.54</v>
      </c>
      <c r="G1300" s="57" t="n">
        <f aca="false">MAX(0,IF(AND(Parameter!$B$21="Ja",ISNUMBER(W1300)),W1300,IF(Parameter!$B$20="Jahresanfang 2025 + Export",BJ1300+BI1300,BI1300)))</f>
        <v>0</v>
      </c>
      <c r="H1300" s="57" t="n">
        <f aca="false">G1300*F1300</f>
        <v>0</v>
      </c>
      <c r="I1300" s="57" t="n">
        <f aca="false">BL1300*Parameter!$B$18</f>
        <v>8</v>
      </c>
      <c r="J1300" s="58" t="n">
        <v>1</v>
      </c>
      <c r="K1300" s="59" t="n">
        <v>8</v>
      </c>
      <c r="L1300" s="57" t="n">
        <v>0</v>
      </c>
      <c r="M1300" s="57" t="n">
        <v>2</v>
      </c>
      <c r="N1300" s="60" t="n">
        <v>14</v>
      </c>
      <c r="O1300" s="55" t="s">
        <v>163</v>
      </c>
      <c r="P1300" s="57"/>
      <c r="Q1300" s="60" t="n">
        <f aca="false">IF(BR1300=1,0,IFERROR(VLOOKUP(BP1300,'Gebinde-Kategorie'!$A$5:$M$45,13,0)+0,0))</f>
        <v>0</v>
      </c>
      <c r="R1300" s="61"/>
      <c r="S1300" s="62"/>
      <c r="T1300" s="62"/>
      <c r="U1300" s="55"/>
      <c r="V1300" s="57"/>
      <c r="W1300" s="57"/>
      <c r="X1300" s="55" t="n">
        <f aca="false">IF(A1300="","",IF(AND(Parameter!$B$21="Ja",ISNUMBER(U1300)),U1300,IF(IFERROR(VLOOKUP(D1300,Parameter!$A$35:$C$64,2,0),"Nein")="2+3",IF(ISNUMBER(SEARCH("grosser Artikel",BM1300)),2,IFERROR(VLOOKUP(BP1300,Parameter!$F$35:$G$64,2,0),2)),IF(OR(IFERROR(VLOOKUP(D1300,Parameter!$A$35:$C$64,2,0),"Nein")="Nein",IFERROR(VLOOKUP(D1300,Parameter!$A$35:$C$64,2,0),"Nein")=""),"-",VLOOKUP(D1300,Parameter!$A$35:$C$64,2,0)))))</f>
        <v>2</v>
      </c>
      <c r="Y1300" s="62"/>
      <c r="Z1300" s="63"/>
      <c r="AA1300" s="57" t="n">
        <f aca="false">AP1300</f>
        <v>4</v>
      </c>
      <c r="AB1300" s="57" t="n">
        <f aca="false">MAX(AP1300,G1300)</f>
        <v>4</v>
      </c>
      <c r="AC1300" s="64"/>
      <c r="AD1300" s="57" t="n">
        <f aca="false">IF(LEFT(Cockpit!$C$5,1)="A",G1300,IF(BW1300=1,BX1300,IF(LEFT(Cockpit!$C$5,1)="B",AH1300,MAX(AH1300,G1300))))</f>
        <v>0</v>
      </c>
      <c r="AE1300" s="57" t="n">
        <f aca="false">IF(BR1300=1,0,ROUNDUP(AD1300/BQ1300,0))</f>
        <v>0</v>
      </c>
      <c r="AF1300" s="59" t="n">
        <f aca="false">IF(CD1300&gt;0,CD1300*MAX(1,AD1300/V1300),IF(BR1300=1,IF(AD1300&lt;=0,0,BS1300*MAX(1,IF(G1300&gt;0,AD1300/G1300,1))),IF(Q1300&gt;0,AE1300/Q1300,0))/MAX(0.1,N(Parameter!$M$21)))</f>
        <v>0</v>
      </c>
      <c r="AG1300" s="57" t="n">
        <f aca="false">AD1300*F1300</f>
        <v>0</v>
      </c>
      <c r="AH1300" s="57" t="n">
        <f aca="false">ROUNDUP(MAX(I1300/IF(BV1300&gt;0,BV1300,MAX(0.1,N(Cockpit!$C$6))),BY1300)/BQ1300,0)*BQ1300</f>
        <v>4</v>
      </c>
      <c r="AI1300" s="58" t="n">
        <f aca="false">IF(AF1300&gt;0,I1300/AF1300,-1)</f>
        <v>-1</v>
      </c>
      <c r="AJ1300" s="58" t="str">
        <f aca="false">IF(AND(OR(BU1300="L1",BU1300="L23"),AF1300&gt;0),SUMIFS($AF$7:$AF$1576,$BU$7:$BU$1576,BU1300,$AI$7:$AI$1576,"&gt;"&amp;AI1300)+SUMIFS($AF$7:$AF$1576,$BU$7:$BU$1576,BU1300,$AI$7:$AI$1576,AI1300,$BO$7:$BO$1576,"&lt;="&amp;BO1300),"")</f>
        <v/>
      </c>
      <c r="AK1300" s="65" t="n">
        <f aca="false">IF(AJ1300="",0,MAX(0,MIN(1,(IF(BU1300="L1",Parameter!$E$5,Parameter!$E$6+Parameter!$E$7)-(AJ1300-AF1300))/AF1300)))</f>
        <v>0</v>
      </c>
      <c r="AL1300" s="57" t="n">
        <f aca="false">IF(LEFT(Cockpit!$I$5,1)="A",G1300,IF(BW1300=1,BX1300,IF(LEFT(Cockpit!$I$5,1)="B",AP1300,MAX(AP1300,G1300))))</f>
        <v>4</v>
      </c>
      <c r="AM1300" s="57" t="n">
        <f aca="false">IF(BR1300=1,0,ROUNDUP(AL1300/BQ1300,0))</f>
        <v>0</v>
      </c>
      <c r="AN1300" s="59" t="n">
        <f aca="false">IF(CD1300&gt;0,CD1300*MAX(1,AL1300/V1300),IF(BR1300=1,IF(AL1300&lt;=0,0,BS1300*MAX(1,IF(G1300&gt;0,AL1300/G1300,1))),IF(Q1300&gt;0,AM1300/Q1300,0))/MAX(0.1,N(Parameter!$M$21)))</f>
        <v>0.15</v>
      </c>
      <c r="AO1300" s="57" t="n">
        <f aca="false">AL1300*F1300</f>
        <v>2638.16</v>
      </c>
      <c r="AP1300" s="57" t="n">
        <f aca="false">ROUNDUP(MAX(I1300/IF(BV1300&gt;0,BV1300,MAX(0.1,N(Cockpit!$I$6))),BY1300)/BQ1300,0)*BQ1300</f>
        <v>4</v>
      </c>
      <c r="AQ1300" s="58" t="n">
        <f aca="false">IF(AN1300&gt;0,I1300/AN1300,-1)</f>
        <v>53.3333333333333</v>
      </c>
      <c r="AR1300" s="58" t="n">
        <f aca="false">IF(AND(OR(BU1300="L1",BU1300="L23"),AN1300&gt;0),SUMIFS($AN$7:$AN$1576,$BU$7:$BU$1576,BU1300,$AQ$7:$AQ$1576,"&gt;"&amp;AQ1300)+SUMIFS($AN$7:$AN$1576,$BU$7:$BU$1576,BU1300,$AQ$7:$AQ$1576,AQ1300,$BO$7:$BO$1576,"&lt;="&amp;BO1300),"")</f>
        <v>81.6760243322855</v>
      </c>
      <c r="AS1300" s="65" t="n">
        <f aca="false">IF(AR1300="",0,MAX(0,MIN(1,(IF(BU1300="L1",Parameter!$E$5,Parameter!$E$6+Parameter!$E$7)-(AR1300-AN1300))/AN1300)))</f>
        <v>1</v>
      </c>
      <c r="AT1300" s="57" t="n">
        <f aca="false">IF(LEFT(Cockpit!$O$5,1)="A",G1300,IF(BW1300=1,BX1300,IF(LEFT(Cockpit!$O$5,1)="B",AX1300,MAX(AX1300,G1300))))</f>
        <v>3</v>
      </c>
      <c r="AU1300" s="57" t="n">
        <f aca="false">IF(BR1300=1,0,ROUNDUP(AT1300/BQ1300,0))</f>
        <v>0</v>
      </c>
      <c r="AV1300" s="59" t="n">
        <f aca="false">IF(CD1300&gt;0,CD1300*MAX(1,AT1300/V1300),IF(BR1300=1,IF(AT1300&lt;=0,0,BS1300*MAX(1,IF(G1300&gt;0,AT1300/G1300,1))),IF(Q1300&gt;0,AU1300/Q1300,0))/MAX(0.1,N(Parameter!$M$21)))</f>
        <v>0.15</v>
      </c>
      <c r="AW1300" s="57" t="n">
        <f aca="false">AT1300*F1300</f>
        <v>1978.62</v>
      </c>
      <c r="AX1300" s="57" t="n">
        <f aca="false">ROUNDUP(MAX(I1300/IF(BV1300&gt;0,BV1300,MAX(0.1,N(Cockpit!$O$6))),BY1300)/BQ1300,0)*BQ1300</f>
        <v>3</v>
      </c>
      <c r="AY1300" s="58" t="n">
        <f aca="false">IF(AV1300&gt;0,I1300/AV1300,-1)</f>
        <v>53.3333333333333</v>
      </c>
      <c r="AZ1300" s="58" t="n">
        <f aca="false">IF(AND(OR(BU1300="L1",BU1300="L23"),AV1300&gt;0),SUMIFS($AV$7:$AV$1576,$BU$7:$BU$1576,BU1300,$AY$7:$AY$1576,"&gt;"&amp;AY1300)+SUMIFS($AV$7:$AV$1576,$BU$7:$BU$1576,BU1300,$AY$7:$AY$1576,AY1300,$BO$7:$BO$1576,"&lt;="&amp;BO1300),"")</f>
        <v>78.0939081151693</v>
      </c>
      <c r="BA1300" s="65" t="n">
        <f aca="false">IF(AZ1300="",0,MAX(0,MIN(1,(IF(BU1300="L1",Parameter!$E$5,Parameter!$E$6+Parameter!$E$7)-(AZ1300-AV1300))/AV1300)))</f>
        <v>1</v>
      </c>
      <c r="BB1300" s="55" t="str">
        <f aca="false">IF(AF1300&lt;=0,"",IF(BU1300="Aussen","Aussenlager",IF(BU1300="-","Nicht im Lift",IF(AK1300&gt;=1,"Lift",IF(AK1300&lt;=0,"Aussenlager","teilweise")))))</f>
        <v/>
      </c>
      <c r="BC1300" s="55" t="str">
        <f aca="false">IF(AN1300&lt;=0,"",IF(BU1300="Aussen","Aussenlager",IF(BU1300="-","Nicht im Lift",IF(AS1300&gt;=1,"Lift",IF(AS1300&lt;=0,"Aussenlager","teilweise")))))</f>
        <v>Lift</v>
      </c>
      <c r="BD1300" s="55" t="str">
        <f aca="false">IF(AV1300&lt;=0,"",IF(BU1300="Aussen","Aussenlager",IF(BU1300="-","Nicht im Lift",IF(BA1300&gt;=1,"Lift",IF(BA1300&lt;=0,"Aussenlager","teilweise")))))</f>
        <v>Lift</v>
      </c>
      <c r="BE1300" s="55" t="str">
        <f aca="false">IF(A1300="","",IF(BN1300=1,"Neu; ","")&amp;IF(AND(BN1300=0,BI1300&lt;0),"negativer Bestand (Export "&amp;BI1300&amp;"); ","")&amp;IF(I1300&lt;=0,"Kein Verbrauch; ","")&amp;IF(CD1300&gt;0,"Lift "&amp;U1300&amp;" lt. Liftbericht (Fach "&amp;V1300&amp;" Stk); ",IF(BR1300=1,"Lose – Fläche geschätzt; ",""))&amp;IF(G1300&gt;AP1300,"Überbestand "&amp;ROUND(G1300-AP1300,0)&amp;" Stk / CHF "&amp;ROUND((G1300-AP1300)*F1300,0)&amp;"; ","")&amp;IF(AND(BW1300=1,BX1300&lt;BY1300),"MAX &lt; MB+LG; ","")&amp;IF(AND(CC1300&gt;0,CB1300*10&gt;CC1300),"zu hoch für Tablar; ","")&amp;IF(AND(BN1300=0,OR(BW1300=1,Y1300&lt;&gt;"",S1300&lt;&gt;"",T1300&lt;&gt;"",Z1300&lt;&gt;"")),"manuell übersteuert; ","")&amp;IF(AND(BR1300=0,Q1300=0),"Gebinde unbekannt / Stellmass fehlt; ","")&amp;IF(AND(BR1300=0,N(T1300)&lt;=0,N(P1300)&lt;=0),"Menge pro Gebinde fehlt (Ist = 1 Gebinde); ","")&amp;BM1300)</f>
        <v>negativer Bestand (Export -2); Lose – Fläche geschätzt; </v>
      </c>
      <c r="BF1300" s="55"/>
      <c r="BG1300" s="55"/>
      <c r="BH1300" s="62"/>
      <c r="BI1300" s="57" t="n">
        <v>-2</v>
      </c>
      <c r="BJ1300" s="57" t="n">
        <v>2</v>
      </c>
      <c r="BK1300" s="56" t="n">
        <v>-1191.98</v>
      </c>
      <c r="BL1300" s="57" t="n">
        <v>8</v>
      </c>
      <c r="BM1300" s="55"/>
      <c r="BN1300" s="60" t="n">
        <v>0</v>
      </c>
      <c r="BO1300" s="60" t="n">
        <v>1300</v>
      </c>
      <c r="BP1300" s="55" t="str">
        <f aca="false">IF(S1300&lt;&gt;"",UPPER(TRIM(S1300)),IF(O1300="","LOSE",O1300))</f>
        <v>LOSE</v>
      </c>
      <c r="BQ1300" s="57" t="n">
        <f aca="false">IF(BP1300="LOSE",1,IF(N(T1300)&gt;0,T1300,IF(N(P1300)&gt;0,P1300,MAX(1,G1300))))</f>
        <v>1</v>
      </c>
      <c r="BR1300" s="60" t="n">
        <f aca="false">IF(BP1300="LOSE",1,0)</f>
        <v>1</v>
      </c>
      <c r="BS1300" s="59" t="n">
        <f aca="false">IF(BR1300=0,0,IF(N(R1300)&gt;0,R1300,IFERROR(VLOOKUP(D1300,Parameter!$A$35:$C$64,3,0)+0,0)))</f>
        <v>0.15</v>
      </c>
      <c r="BT1300" s="55" t="n">
        <f aca="false">IF(Y1300&lt;&gt;"",Y1300,X1300)</f>
        <v>2</v>
      </c>
      <c r="BU1300" s="55" t="str">
        <f aca="false">IF(BT1300=1,"L1",IF(OR(BT1300=2,BT1300=3),"L23",IF(BT1300="Aussen","Aussen","-")))</f>
        <v>L23</v>
      </c>
      <c r="BV1300" s="66" t="n">
        <f aca="false">IF(N(Z1300)&gt;0,Z1300,0)</f>
        <v>0</v>
      </c>
      <c r="BW1300" s="60" t="n">
        <f aca="false">IF(ISNUMBER(AC1300),1,0)</f>
        <v>0</v>
      </c>
      <c r="BX1300" s="57" t="n">
        <f aca="false">N(AC1300)</f>
        <v>0</v>
      </c>
      <c r="BY1300" s="57" t="n">
        <f aca="false">N(L1300)+N(M1300)</f>
        <v>2</v>
      </c>
      <c r="BZ1300" s="57" t="n">
        <f aca="false">ROUNDUP(G1300/BQ1300,0)</f>
        <v>0</v>
      </c>
      <c r="CA1300" s="57" t="n">
        <f aca="false">ROUNDUP(BX1300/BQ1300,0)</f>
        <v>0</v>
      </c>
      <c r="CB1300" s="60" t="n">
        <f aca="false">IF(BR1300=1,0,IFERROR(VLOOKUP(BP1300,'Gebinde-Kategorie'!$A$5:$M$45,5,0)+0,0))</f>
        <v>0</v>
      </c>
      <c r="CC1300" s="60" t="n">
        <f aca="false">IFERROR(IF(OR(BT1300=1,BT1300=2,BT1300=3),N(INDEX(Parameter!$I$5:$I$7,BT1300)),0),0)</f>
        <v>0</v>
      </c>
      <c r="CD1300" s="59" t="n">
        <f aca="false">IF(AND(Parameter!$B$21="Ja",ISNUMBER(U1300),N(V1300)&gt;0),IFERROR(N(INDEX(Parameter!$L$5:$L$7,U1300))*INDEX(Parameter!$E$5:$E$7,U1300)*V1300/SUMIFS($V$7:$V$1576,$U$7:$U$1576,U1300),0),0)</f>
        <v>0</v>
      </c>
    </row>
    <row r="1301" customFormat="false" ht="15" hidden="false" customHeight="false" outlineLevel="0" collapsed="false">
      <c r="A1301" s="55" t="s">
        <v>2299</v>
      </c>
      <c r="B1301" s="55" t="s">
        <v>524</v>
      </c>
      <c r="C1301" s="55" t="s">
        <v>160</v>
      </c>
      <c r="D1301" s="55" t="s">
        <v>178</v>
      </c>
      <c r="E1301" s="55" t="s">
        <v>210</v>
      </c>
      <c r="F1301" s="56" t="n">
        <v>28.42</v>
      </c>
      <c r="G1301" s="57" t="n">
        <f aca="false">MAX(0,IF(AND(Parameter!$B$21="Ja",ISNUMBER(W1301)),W1301,IF(Parameter!$B$20="Jahresanfang 2025 + Export",BJ1301+BI1301,BI1301)))</f>
        <v>0</v>
      </c>
      <c r="H1301" s="57" t="n">
        <f aca="false">G1301*F1301</f>
        <v>0</v>
      </c>
      <c r="I1301" s="57" t="n">
        <f aca="false">BL1301*Parameter!$B$18</f>
        <v>11</v>
      </c>
      <c r="J1301" s="58" t="n">
        <v>41</v>
      </c>
      <c r="K1301" s="59" t="n">
        <v>0.268292682926829</v>
      </c>
      <c r="L1301" s="57" t="n">
        <v>1</v>
      </c>
      <c r="M1301" s="57" t="n">
        <v>15</v>
      </c>
      <c r="N1301" s="60" t="n">
        <v>28</v>
      </c>
      <c r="O1301" s="55" t="s">
        <v>293</v>
      </c>
      <c r="P1301" s="57" t="n">
        <v>50</v>
      </c>
      <c r="Q1301" s="60" t="n">
        <f aca="false">IF(BR1301=1,0,IFERROR(VLOOKUP(BP1301,'Gebinde-Kategorie'!$A$5:$M$45,13,0)+0,0))</f>
        <v>26</v>
      </c>
      <c r="R1301" s="61"/>
      <c r="S1301" s="62"/>
      <c r="T1301" s="62"/>
      <c r="U1301" s="55"/>
      <c r="V1301" s="57"/>
      <c r="W1301" s="57"/>
      <c r="X1301" s="55" t="n">
        <f aca="false">IF(A1301="","",IF(AND(Parameter!$B$21="Ja",ISNUMBER(U1301)),U1301,IF(IFERROR(VLOOKUP(D1301,Parameter!$A$35:$C$64,2,0),"Nein")="2+3",IF(ISNUMBER(SEARCH("grosser Artikel",BM1301)),2,IFERROR(VLOOKUP(BP1301,Parameter!$F$35:$G$64,2,0),2)),IF(OR(IFERROR(VLOOKUP(D1301,Parameter!$A$35:$C$64,2,0),"Nein")="Nein",IFERROR(VLOOKUP(D1301,Parameter!$A$35:$C$64,2,0),"Nein")=""),"-",VLOOKUP(D1301,Parameter!$A$35:$C$64,2,0)))))</f>
        <v>3</v>
      </c>
      <c r="Y1301" s="62"/>
      <c r="Z1301" s="63"/>
      <c r="AA1301" s="57" t="n">
        <f aca="false">AP1301</f>
        <v>50</v>
      </c>
      <c r="AB1301" s="57" t="n">
        <f aca="false">MAX(AP1301,G1301)</f>
        <v>50</v>
      </c>
      <c r="AC1301" s="64"/>
      <c r="AD1301" s="57" t="n">
        <f aca="false">IF(LEFT(Cockpit!$C$5,1)="A",G1301,IF(BW1301=1,BX1301,IF(LEFT(Cockpit!$C$5,1)="B",AH1301,MAX(AH1301,G1301))))</f>
        <v>0</v>
      </c>
      <c r="AE1301" s="57" t="n">
        <f aca="false">IF(BR1301=1,0,ROUNDUP(AD1301/BQ1301,0))</f>
        <v>0</v>
      </c>
      <c r="AF1301" s="59" t="n">
        <f aca="false">IF(CD1301&gt;0,CD1301*MAX(1,AD1301/V1301),IF(BR1301=1,IF(AD1301&lt;=0,0,BS1301*MAX(1,IF(G1301&gt;0,AD1301/G1301,1))),IF(Q1301&gt;0,AE1301/Q1301,0))/MAX(0.1,N(Parameter!$M$21)))</f>
        <v>0</v>
      </c>
      <c r="AG1301" s="57" t="n">
        <f aca="false">AD1301*F1301</f>
        <v>0</v>
      </c>
      <c r="AH1301" s="57" t="n">
        <f aca="false">ROUNDUP(MAX(I1301/IF(BV1301&gt;0,BV1301,MAX(0.1,N(Cockpit!$C$6))),BY1301)/BQ1301,0)*BQ1301</f>
        <v>50</v>
      </c>
      <c r="AI1301" s="58" t="n">
        <f aca="false">IF(AF1301&gt;0,I1301/AF1301,-1)</f>
        <v>-1</v>
      </c>
      <c r="AJ1301" s="58" t="str">
        <f aca="false">IF(AND(OR(BU1301="L1",BU1301="L23"),AF1301&gt;0),SUMIFS($AF$7:$AF$1576,$BU$7:$BU$1576,BU1301,$AI$7:$AI$1576,"&gt;"&amp;AI1301)+SUMIFS($AF$7:$AF$1576,$BU$7:$BU$1576,BU1301,$AI$7:$AI$1576,AI1301,$BO$7:$BO$1576,"&lt;="&amp;BO1301),"")</f>
        <v/>
      </c>
      <c r="AK1301" s="65" t="n">
        <f aca="false">IF(AJ1301="",0,MAX(0,MIN(1,(IF(BU1301="L1",Parameter!$E$5,Parameter!$E$6+Parameter!$E$7)-(AJ1301-AF1301))/AF1301)))</f>
        <v>0</v>
      </c>
      <c r="AL1301" s="57" t="n">
        <f aca="false">IF(LEFT(Cockpit!$I$5,1)="A",G1301,IF(BW1301=1,BX1301,IF(LEFT(Cockpit!$I$5,1)="B",AP1301,MAX(AP1301,G1301))))</f>
        <v>50</v>
      </c>
      <c r="AM1301" s="57" t="n">
        <f aca="false">IF(BR1301=1,0,ROUNDUP(AL1301/BQ1301,0))</f>
        <v>1</v>
      </c>
      <c r="AN1301" s="59" t="n">
        <f aca="false">IF(CD1301&gt;0,CD1301*MAX(1,AL1301/V1301),IF(BR1301=1,IF(AL1301&lt;=0,0,BS1301*MAX(1,IF(G1301&gt;0,AL1301/G1301,1))),IF(Q1301&gt;0,AM1301/Q1301,0))/MAX(0.1,N(Parameter!$M$21)))</f>
        <v>0.0384615384615385</v>
      </c>
      <c r="AO1301" s="57" t="n">
        <f aca="false">AL1301*F1301</f>
        <v>1421</v>
      </c>
      <c r="AP1301" s="57" t="n">
        <f aca="false">ROUNDUP(MAX(I1301/IF(BV1301&gt;0,BV1301,MAX(0.1,N(Cockpit!$I$6))),BY1301)/BQ1301,0)*BQ1301</f>
        <v>50</v>
      </c>
      <c r="AQ1301" s="58" t="n">
        <f aca="false">IF(AN1301&gt;0,I1301/AN1301,-1)</f>
        <v>286</v>
      </c>
      <c r="AR1301" s="58" t="n">
        <f aca="false">IF(AND(OR(BU1301="L1",BU1301="L23"),AN1301&gt;0),SUMIFS($AN$7:$AN$1576,$BU$7:$BU$1576,BU1301,$AQ$7:$AQ$1576,"&gt;"&amp;AQ1301)+SUMIFS($AN$7:$AN$1576,$BU$7:$BU$1576,BU1301,$AQ$7:$AQ$1576,AQ1301,$BO$7:$BO$1576,"&lt;="&amp;BO1301),"")</f>
        <v>44.2927170055542</v>
      </c>
      <c r="AS1301" s="65" t="n">
        <f aca="false">IF(AR1301="",0,MAX(0,MIN(1,(IF(BU1301="L1",Parameter!$E$5,Parameter!$E$6+Parameter!$E$7)-(AR1301-AN1301))/AN1301)))</f>
        <v>1</v>
      </c>
      <c r="AT1301" s="57" t="n">
        <f aca="false">IF(LEFT(Cockpit!$O$5,1)="A",G1301,IF(BW1301=1,BX1301,IF(LEFT(Cockpit!$O$5,1)="B",AX1301,MAX(AX1301,G1301))))</f>
        <v>50</v>
      </c>
      <c r="AU1301" s="57" t="n">
        <f aca="false">IF(BR1301=1,0,ROUNDUP(AT1301/BQ1301,0))</f>
        <v>1</v>
      </c>
      <c r="AV1301" s="59" t="n">
        <f aca="false">IF(CD1301&gt;0,CD1301*MAX(1,AT1301/V1301),IF(BR1301=1,IF(AT1301&lt;=0,0,BS1301*MAX(1,IF(G1301&gt;0,AT1301/G1301,1))),IF(Q1301&gt;0,AU1301/Q1301,0))/MAX(0.1,N(Parameter!$M$21)))</f>
        <v>0.0384615384615385</v>
      </c>
      <c r="AW1301" s="57" t="n">
        <f aca="false">AT1301*F1301</f>
        <v>1421</v>
      </c>
      <c r="AX1301" s="57" t="n">
        <f aca="false">ROUNDUP(MAX(I1301/IF(BV1301&gt;0,BV1301,MAX(0.1,N(Cockpit!$O$6))),BY1301)/BQ1301,0)*BQ1301</f>
        <v>50</v>
      </c>
      <c r="AY1301" s="58" t="n">
        <f aca="false">IF(AV1301&gt;0,I1301/AV1301,-1)</f>
        <v>286</v>
      </c>
      <c r="AZ1301" s="58" t="n">
        <f aca="false">IF(AND(OR(BU1301="L1",BU1301="L23"),AV1301&gt;0),SUMIFS($AV$7:$AV$1576,$BU$7:$BU$1576,BU1301,$AY$7:$AY$1576,"&gt;"&amp;AY1301)+SUMIFS($AV$7:$AV$1576,$BU$7:$BU$1576,BU1301,$AY$7:$AY$1576,AY1301,$BO$7:$BO$1576,"&lt;="&amp;BO1301),"")</f>
        <v>40.5707955936328</v>
      </c>
      <c r="BA1301" s="65" t="n">
        <f aca="false">IF(AZ1301="",0,MAX(0,MIN(1,(IF(BU1301="L1",Parameter!$E$5,Parameter!$E$6+Parameter!$E$7)-(AZ1301-AV1301))/AV1301)))</f>
        <v>1</v>
      </c>
      <c r="BB1301" s="55" t="str">
        <f aca="false">IF(AF1301&lt;=0,"",IF(BU1301="Aussen","Aussenlager",IF(BU1301="-","Nicht im Lift",IF(AK1301&gt;=1,"Lift",IF(AK1301&lt;=0,"Aussenlager","teilweise")))))</f>
        <v/>
      </c>
      <c r="BC1301" s="55" t="str">
        <f aca="false">IF(AN1301&lt;=0,"",IF(BU1301="Aussen","Aussenlager",IF(BU1301="-","Nicht im Lift",IF(AS1301&gt;=1,"Lift",IF(AS1301&lt;=0,"Aussenlager","teilweise")))))</f>
        <v>Lift</v>
      </c>
      <c r="BD1301" s="55" t="str">
        <f aca="false">IF(AV1301&lt;=0,"",IF(BU1301="Aussen","Aussenlager",IF(BU1301="-","Nicht im Lift",IF(BA1301&gt;=1,"Lift",IF(BA1301&lt;=0,"Aussenlager","teilweise")))))</f>
        <v>Lift</v>
      </c>
      <c r="BE1301" s="55" t="str">
        <f aca="false">IF(A1301="","",IF(BN1301=1,"Neu; ","")&amp;IF(AND(BN1301=0,BI1301&lt;0),"negativer Bestand (Export "&amp;BI1301&amp;"); ","")&amp;IF(I1301&lt;=0,"Kein Verbrauch; ","")&amp;IF(CD1301&gt;0,"Lift "&amp;U1301&amp;" lt. Liftbericht (Fach "&amp;V1301&amp;" Stk); ",IF(BR1301=1,"Lose – Fläche geschätzt; ",""))&amp;IF(G1301&gt;AP1301,"Überbestand "&amp;ROUND(G1301-AP1301,0)&amp;" Stk / CHF "&amp;ROUND((G1301-AP1301)*F1301,0)&amp;"; ","")&amp;IF(AND(BW1301=1,BX1301&lt;BY1301),"MAX &lt; MB+LG; ","")&amp;IF(AND(CC1301&gt;0,CB1301*10&gt;CC1301),"zu hoch für Tablar; ","")&amp;IF(AND(BN1301=0,OR(BW1301=1,Y1301&lt;&gt;"",S1301&lt;&gt;"",T1301&lt;&gt;"",Z1301&lt;&gt;"")),"manuell übersteuert; ","")&amp;IF(AND(BR1301=0,Q1301=0),"Gebinde unbekannt / Stellmass fehlt; ","")&amp;IF(AND(BR1301=0,N(T1301)&lt;=0,N(P1301)&lt;=0),"Menge pro Gebinde fehlt (Ist = 1 Gebinde); ","")&amp;BM1301)</f>
        <v>negativer Bestand (Export -29); </v>
      </c>
      <c r="BF1301" s="55"/>
      <c r="BG1301" s="55"/>
      <c r="BH1301" s="62"/>
      <c r="BI1301" s="57" t="n">
        <v>-29</v>
      </c>
      <c r="BJ1301" s="57" t="n">
        <v>47</v>
      </c>
      <c r="BK1301" s="56" t="n">
        <v>-1194.54</v>
      </c>
      <c r="BL1301" s="57" t="n">
        <v>11</v>
      </c>
      <c r="BM1301" s="55"/>
      <c r="BN1301" s="60" t="n">
        <v>0</v>
      </c>
      <c r="BO1301" s="60" t="n">
        <v>1301</v>
      </c>
      <c r="BP1301" s="55" t="str">
        <f aca="false">IF(S1301&lt;&gt;"",UPPER(TRIM(S1301)),IF(O1301="","LOSE",O1301))</f>
        <v>S51</v>
      </c>
      <c r="BQ1301" s="57" t="n">
        <f aca="false">IF(BP1301="LOSE",1,IF(N(T1301)&gt;0,T1301,IF(N(P1301)&gt;0,P1301,MAX(1,G1301))))</f>
        <v>50</v>
      </c>
      <c r="BR1301" s="60" t="n">
        <f aca="false">IF(BP1301="LOSE",1,0)</f>
        <v>0</v>
      </c>
      <c r="BS1301" s="59" t="n">
        <f aca="false">IF(BR1301=0,0,IF(N(R1301)&gt;0,R1301,IFERROR(VLOOKUP(D1301,Parameter!$A$35:$C$64,3,0)+0,0)))</f>
        <v>0</v>
      </c>
      <c r="BT1301" s="55" t="n">
        <f aca="false">IF(Y1301&lt;&gt;"",Y1301,X1301)</f>
        <v>3</v>
      </c>
      <c r="BU1301" s="55" t="str">
        <f aca="false">IF(BT1301=1,"L1",IF(OR(BT1301=2,BT1301=3),"L23",IF(BT1301="Aussen","Aussen","-")))</f>
        <v>L23</v>
      </c>
      <c r="BV1301" s="66" t="n">
        <f aca="false">IF(N(Z1301)&gt;0,Z1301,0)</f>
        <v>0</v>
      </c>
      <c r="BW1301" s="60" t="n">
        <f aca="false">IF(ISNUMBER(AC1301),1,0)</f>
        <v>0</v>
      </c>
      <c r="BX1301" s="57" t="n">
        <f aca="false">N(AC1301)</f>
        <v>0</v>
      </c>
      <c r="BY1301" s="57" t="n">
        <f aca="false">N(L1301)+N(M1301)</f>
        <v>16</v>
      </c>
      <c r="BZ1301" s="57" t="n">
        <f aca="false">ROUNDUP(G1301/BQ1301,0)</f>
        <v>0</v>
      </c>
      <c r="CA1301" s="57" t="n">
        <f aca="false">ROUNDUP(BX1301/BQ1301,0)</f>
        <v>0</v>
      </c>
      <c r="CB1301" s="60" t="n">
        <f aca="false">IF(BR1301=1,0,IFERROR(VLOOKUP(BP1301,'Gebinde-Kategorie'!$A$5:$M$45,5,0)+0,0))</f>
        <v>11</v>
      </c>
      <c r="CC1301" s="60" t="n">
        <f aca="false">IFERROR(IF(OR(BT1301=1,BT1301=2,BT1301=3),N(INDEX(Parameter!$I$5:$I$7,BT1301)),0),0)</f>
        <v>0</v>
      </c>
      <c r="CD1301" s="59" t="n">
        <f aca="false">IF(AND(Parameter!$B$21="Ja",ISNUMBER(U1301),N(V1301)&gt;0),IFERROR(N(INDEX(Parameter!$L$5:$L$7,U1301))*INDEX(Parameter!$E$5:$E$7,U1301)*V1301/SUMIFS($V$7:$V$1576,$U$7:$U$1576,U1301),0),0)</f>
        <v>0</v>
      </c>
    </row>
    <row r="1302" customFormat="false" ht="15" hidden="false" customHeight="false" outlineLevel="0" collapsed="false">
      <c r="A1302" s="55" t="s">
        <v>2300</v>
      </c>
      <c r="B1302" s="55" t="s">
        <v>395</v>
      </c>
      <c r="C1302" s="55" t="s">
        <v>160</v>
      </c>
      <c r="D1302" s="55" t="s">
        <v>168</v>
      </c>
      <c r="E1302" s="55" t="s">
        <v>210</v>
      </c>
      <c r="F1302" s="56" t="n">
        <v>0.19</v>
      </c>
      <c r="G1302" s="57" t="n">
        <f aca="false">MAX(0,IF(AND(Parameter!$B$21="Ja",ISNUMBER(W1302)),W1302,IF(Parameter!$B$20="Jahresanfang 2025 + Export",BJ1302+BI1302,BI1302)))</f>
        <v>0</v>
      </c>
      <c r="H1302" s="57" t="n">
        <f aca="false">G1302*F1302</f>
        <v>0</v>
      </c>
      <c r="I1302" s="57" t="n">
        <f aca="false">BL1302*Parameter!$B$18</f>
        <v>3712</v>
      </c>
      <c r="J1302" s="58" t="n">
        <v>5621.5</v>
      </c>
      <c r="K1302" s="59" t="n">
        <v>0.660321978119719</v>
      </c>
      <c r="L1302" s="57" t="n">
        <v>216</v>
      </c>
      <c r="M1302" s="57" t="n">
        <v>2000</v>
      </c>
      <c r="N1302" s="60" t="n">
        <v>21</v>
      </c>
      <c r="O1302" s="55" t="s">
        <v>218</v>
      </c>
      <c r="P1302" s="57" t="n">
        <v>2200</v>
      </c>
      <c r="Q1302" s="60" t="n">
        <f aca="false">IF(BR1302=1,0,IFERROR(VLOOKUP(BP1302,'Gebinde-Kategorie'!$A$5:$M$45,13,0)+0,0))</f>
        <v>12</v>
      </c>
      <c r="R1302" s="61"/>
      <c r="S1302" s="62"/>
      <c r="T1302" s="62"/>
      <c r="U1302" s="55"/>
      <c r="V1302" s="57"/>
      <c r="W1302" s="57"/>
      <c r="X1302" s="55" t="n">
        <f aca="false">IF(A1302="","",IF(AND(Parameter!$B$21="Ja",ISNUMBER(U1302)),U1302,IF(IFERROR(VLOOKUP(D1302,Parameter!$A$35:$C$64,2,0),"Nein")="2+3",IF(ISNUMBER(SEARCH("grosser Artikel",BM1302)),2,IFERROR(VLOOKUP(BP1302,Parameter!$F$35:$G$64,2,0),2)),IF(OR(IFERROR(VLOOKUP(D1302,Parameter!$A$35:$C$64,2,0),"Nein")="Nein",IFERROR(VLOOKUP(D1302,Parameter!$A$35:$C$64,2,0),"Nein")=""),"-",VLOOKUP(D1302,Parameter!$A$35:$C$64,2,0)))))</f>
        <v>2</v>
      </c>
      <c r="Y1302" s="62"/>
      <c r="Z1302" s="63"/>
      <c r="AA1302" s="57" t="n">
        <f aca="false">AP1302</f>
        <v>4400</v>
      </c>
      <c r="AB1302" s="57" t="n">
        <f aca="false">MAX(AP1302,G1302)</f>
        <v>4400</v>
      </c>
      <c r="AC1302" s="64"/>
      <c r="AD1302" s="57" t="n">
        <f aca="false">IF(LEFT(Cockpit!$C$5,1)="A",G1302,IF(BW1302=1,BX1302,IF(LEFT(Cockpit!$C$5,1)="B",AH1302,MAX(AH1302,G1302))))</f>
        <v>0</v>
      </c>
      <c r="AE1302" s="57" t="n">
        <f aca="false">IF(BR1302=1,0,ROUNDUP(AD1302/BQ1302,0))</f>
        <v>0</v>
      </c>
      <c r="AF1302" s="59" t="n">
        <f aca="false">IF(CD1302&gt;0,CD1302*MAX(1,AD1302/V1302),IF(BR1302=1,IF(AD1302&lt;=0,0,BS1302*MAX(1,IF(G1302&gt;0,AD1302/G1302,1))),IF(Q1302&gt;0,AE1302/Q1302,0))/MAX(0.1,N(Parameter!$M$21)))</f>
        <v>0</v>
      </c>
      <c r="AG1302" s="57" t="n">
        <f aca="false">AD1302*F1302</f>
        <v>0</v>
      </c>
      <c r="AH1302" s="57" t="n">
        <f aca="false">ROUNDUP(MAX(I1302/IF(BV1302&gt;0,BV1302,MAX(0.1,N(Cockpit!$C$6))),BY1302)/BQ1302,0)*BQ1302</f>
        <v>4400</v>
      </c>
      <c r="AI1302" s="58" t="n">
        <f aca="false">IF(AF1302&gt;0,I1302/AF1302,-1)</f>
        <v>-1</v>
      </c>
      <c r="AJ1302" s="58" t="str">
        <f aca="false">IF(AND(OR(BU1302="L1",BU1302="L23"),AF1302&gt;0),SUMIFS($AF$7:$AF$1576,$BU$7:$BU$1576,BU1302,$AI$7:$AI$1576,"&gt;"&amp;AI1302)+SUMIFS($AF$7:$AF$1576,$BU$7:$BU$1576,BU1302,$AI$7:$AI$1576,AI1302,$BO$7:$BO$1576,"&lt;="&amp;BO1302),"")</f>
        <v/>
      </c>
      <c r="AK1302" s="65" t="n">
        <f aca="false">IF(AJ1302="",0,MAX(0,MIN(1,(IF(BU1302="L1",Parameter!$E$5,Parameter!$E$6+Parameter!$E$7)-(AJ1302-AF1302))/AF1302)))</f>
        <v>0</v>
      </c>
      <c r="AL1302" s="57" t="n">
        <f aca="false">IF(LEFT(Cockpit!$I$5,1)="A",G1302,IF(BW1302=1,BX1302,IF(LEFT(Cockpit!$I$5,1)="B",AP1302,MAX(AP1302,G1302))))</f>
        <v>4400</v>
      </c>
      <c r="AM1302" s="57" t="n">
        <f aca="false">IF(BR1302=1,0,ROUNDUP(AL1302/BQ1302,0))</f>
        <v>2</v>
      </c>
      <c r="AN1302" s="59" t="n">
        <f aca="false">IF(CD1302&gt;0,CD1302*MAX(1,AL1302/V1302),IF(BR1302=1,IF(AL1302&lt;=0,0,BS1302*MAX(1,IF(G1302&gt;0,AL1302/G1302,1))),IF(Q1302&gt;0,AM1302/Q1302,0))/MAX(0.1,N(Parameter!$M$21)))</f>
        <v>0.166666666666667</v>
      </c>
      <c r="AO1302" s="57" t="n">
        <f aca="false">AL1302*F1302</f>
        <v>836</v>
      </c>
      <c r="AP1302" s="57" t="n">
        <f aca="false">ROUNDUP(MAX(I1302/IF(BV1302&gt;0,BV1302,MAX(0.1,N(Cockpit!$I$6))),BY1302)/BQ1302,0)*BQ1302</f>
        <v>4400</v>
      </c>
      <c r="AQ1302" s="58" t="n">
        <f aca="false">IF(AN1302&gt;0,I1302/AN1302,-1)</f>
        <v>22272</v>
      </c>
      <c r="AR1302" s="58" t="n">
        <f aca="false">IF(AND(OR(BU1302="L1",BU1302="L23"),AN1302&gt;0),SUMIFS($AN$7:$AN$1576,$BU$7:$BU$1576,BU1302,$AQ$7:$AQ$1576,"&gt;"&amp;AQ1302)+SUMIFS($AN$7:$AN$1576,$BU$7:$BU$1576,BU1302,$AQ$7:$AQ$1576,AQ1302,$BO$7:$BO$1576,"&lt;="&amp;BO1302),"")</f>
        <v>3.75266173440087</v>
      </c>
      <c r="AS1302" s="65" t="n">
        <f aca="false">IF(AR1302="",0,MAX(0,MIN(1,(IF(BU1302="L1",Parameter!$E$5,Parameter!$E$6+Parameter!$E$7)-(AR1302-AN1302))/AN1302)))</f>
        <v>1</v>
      </c>
      <c r="AT1302" s="57" t="n">
        <f aca="false">IF(LEFT(Cockpit!$O$5,1)="A",G1302,IF(BW1302=1,BX1302,IF(LEFT(Cockpit!$O$5,1)="B",AX1302,MAX(AX1302,G1302))))</f>
        <v>4400</v>
      </c>
      <c r="AU1302" s="57" t="n">
        <f aca="false">IF(BR1302=1,0,ROUNDUP(AT1302/BQ1302,0))</f>
        <v>2</v>
      </c>
      <c r="AV1302" s="59" t="n">
        <f aca="false">IF(CD1302&gt;0,CD1302*MAX(1,AT1302/V1302),IF(BR1302=1,IF(AT1302&lt;=0,0,BS1302*MAX(1,IF(G1302&gt;0,AT1302/G1302,1))),IF(Q1302&gt;0,AU1302/Q1302,0))/MAX(0.1,N(Parameter!$M$21)))</f>
        <v>0.166666666666667</v>
      </c>
      <c r="AW1302" s="57" t="n">
        <f aca="false">AT1302*F1302</f>
        <v>836</v>
      </c>
      <c r="AX1302" s="57" t="n">
        <f aca="false">ROUNDUP(MAX(I1302/IF(BV1302&gt;0,BV1302,MAX(0.1,N(Cockpit!$O$6))),BY1302)/BQ1302,0)*BQ1302</f>
        <v>4400</v>
      </c>
      <c r="AY1302" s="58" t="n">
        <f aca="false">IF(AV1302&gt;0,I1302/AV1302,-1)</f>
        <v>22272</v>
      </c>
      <c r="AZ1302" s="58" t="n">
        <f aca="false">IF(AND(OR(BU1302="L1",BU1302="L23"),AV1302&gt;0),SUMIFS($AV$7:$AV$1576,$BU$7:$BU$1576,BU1302,$AY$7:$AY$1576,"&gt;"&amp;AY1302)+SUMIFS($AV$7:$AV$1576,$BU$7:$BU$1576,BU1302,$AY$7:$AY$1576,AY1302,$BO$7:$BO$1576,"&lt;="&amp;BO1302),"")</f>
        <v>4.11047059220972</v>
      </c>
      <c r="BA1302" s="65" t="n">
        <f aca="false">IF(AZ1302="",0,MAX(0,MIN(1,(IF(BU1302="L1",Parameter!$E$5,Parameter!$E$6+Parameter!$E$7)-(AZ1302-AV1302))/AV1302)))</f>
        <v>1</v>
      </c>
      <c r="BB1302" s="55" t="str">
        <f aca="false">IF(AF1302&lt;=0,"",IF(BU1302="Aussen","Aussenlager",IF(BU1302="-","Nicht im Lift",IF(AK1302&gt;=1,"Lift",IF(AK1302&lt;=0,"Aussenlager","teilweise")))))</f>
        <v/>
      </c>
      <c r="BC1302" s="55" t="str">
        <f aca="false">IF(AN1302&lt;=0,"",IF(BU1302="Aussen","Aussenlager",IF(BU1302="-","Nicht im Lift",IF(AS1302&gt;=1,"Lift",IF(AS1302&lt;=0,"Aussenlager","teilweise")))))</f>
        <v>Lift</v>
      </c>
      <c r="BD1302" s="55" t="str">
        <f aca="false">IF(AV1302&lt;=0,"",IF(BU1302="Aussen","Aussenlager",IF(BU1302="-","Nicht im Lift",IF(BA1302&gt;=1,"Lift",IF(BA1302&lt;=0,"Aussenlager","teilweise")))))</f>
        <v>Lift</v>
      </c>
      <c r="BE1302" s="55" t="str">
        <f aca="false">IF(A1302="","",IF(BN1302=1,"Neu; ","")&amp;IF(AND(BN1302=0,BI1302&lt;0),"negativer Bestand (Export "&amp;BI1302&amp;"); ","")&amp;IF(I1302&lt;=0,"Kein Verbrauch; ","")&amp;IF(CD1302&gt;0,"Lift "&amp;U1302&amp;" lt. Liftbericht (Fach "&amp;V1302&amp;" Stk); ",IF(BR1302=1,"Lose – Fläche geschätzt; ",""))&amp;IF(G1302&gt;AP1302,"Überbestand "&amp;ROUND(G1302-AP1302,0)&amp;" Stk / CHF "&amp;ROUND((G1302-AP1302)*F1302,0)&amp;"; ","")&amp;IF(AND(BW1302=1,BX1302&lt;BY1302),"MAX &lt; MB+LG; ","")&amp;IF(AND(CC1302&gt;0,CB1302*10&gt;CC1302),"zu hoch für Tablar; ","")&amp;IF(AND(BN1302=0,OR(BW1302=1,Y1302&lt;&gt;"",S1302&lt;&gt;"",T1302&lt;&gt;"",Z1302&lt;&gt;"")),"manuell übersteuert; ","")&amp;IF(AND(BR1302=0,Q1302=0),"Gebinde unbekannt / Stellmass fehlt; ","")&amp;IF(AND(BR1302=0,N(T1302)&lt;=0,N(P1302)&lt;=0),"Menge pro Gebinde fehlt (Ist = 1 Gebinde); ","")&amp;BM1302)</f>
        <v>negativer Bestand (Export -6299); grosse  Artikelmenge</v>
      </c>
      <c r="BF1302" s="55"/>
      <c r="BG1302" s="55"/>
      <c r="BH1302" s="62"/>
      <c r="BI1302" s="57" t="n">
        <v>-6299</v>
      </c>
      <c r="BJ1302" s="57" t="n">
        <v>7360</v>
      </c>
      <c r="BK1302" s="56" t="n">
        <v>-1196.81</v>
      </c>
      <c r="BL1302" s="57" t="n">
        <v>3712</v>
      </c>
      <c r="BM1302" s="55" t="s">
        <v>1594</v>
      </c>
      <c r="BN1302" s="60" t="n">
        <v>0</v>
      </c>
      <c r="BO1302" s="60" t="n">
        <v>1302</v>
      </c>
      <c r="BP1302" s="55" t="str">
        <f aca="false">IF(S1302&lt;&gt;"",UPPER(TRIM(S1302)),IF(O1302="","LOSE",O1302))</f>
        <v>S63</v>
      </c>
      <c r="BQ1302" s="57" t="n">
        <f aca="false">IF(BP1302="LOSE",1,IF(N(T1302)&gt;0,T1302,IF(N(P1302)&gt;0,P1302,MAX(1,G1302))))</f>
        <v>2200</v>
      </c>
      <c r="BR1302" s="60" t="n">
        <f aca="false">IF(BP1302="LOSE",1,0)</f>
        <v>0</v>
      </c>
      <c r="BS1302" s="59" t="n">
        <f aca="false">IF(BR1302=0,0,IF(N(R1302)&gt;0,R1302,IFERROR(VLOOKUP(D1302,Parameter!$A$35:$C$64,3,0)+0,0)))</f>
        <v>0</v>
      </c>
      <c r="BT1302" s="55" t="n">
        <f aca="false">IF(Y1302&lt;&gt;"",Y1302,X1302)</f>
        <v>2</v>
      </c>
      <c r="BU1302" s="55" t="str">
        <f aca="false">IF(BT1302=1,"L1",IF(OR(BT1302=2,BT1302=3),"L23",IF(BT1302="Aussen","Aussen","-")))</f>
        <v>L23</v>
      </c>
      <c r="BV1302" s="66" t="n">
        <f aca="false">IF(N(Z1302)&gt;0,Z1302,0)</f>
        <v>0</v>
      </c>
      <c r="BW1302" s="60" t="n">
        <f aca="false">IF(ISNUMBER(AC1302),1,0)</f>
        <v>0</v>
      </c>
      <c r="BX1302" s="57" t="n">
        <f aca="false">N(AC1302)</f>
        <v>0</v>
      </c>
      <c r="BY1302" s="57" t="n">
        <f aca="false">N(L1302)+N(M1302)</f>
        <v>2216</v>
      </c>
      <c r="BZ1302" s="57" t="n">
        <f aca="false">ROUNDUP(G1302/BQ1302,0)</f>
        <v>0</v>
      </c>
      <c r="CA1302" s="57" t="n">
        <f aca="false">ROUNDUP(BX1302/BQ1302,0)</f>
        <v>0</v>
      </c>
      <c r="CB1302" s="60" t="n">
        <f aca="false">IF(BR1302=1,0,IFERROR(VLOOKUP(BP1302,'Gebinde-Kategorie'!$A$5:$M$45,5,0)+0,0))</f>
        <v>31</v>
      </c>
      <c r="CC1302" s="60" t="n">
        <f aca="false">IFERROR(IF(OR(BT1302=1,BT1302=2,BT1302=3),N(INDEX(Parameter!$I$5:$I$7,BT1302)),0),0)</f>
        <v>0</v>
      </c>
      <c r="CD1302" s="59" t="n">
        <f aca="false">IF(AND(Parameter!$B$21="Ja",ISNUMBER(U1302),N(V1302)&gt;0),IFERROR(N(INDEX(Parameter!$L$5:$L$7,U1302))*INDEX(Parameter!$E$5:$E$7,U1302)*V1302/SUMIFS($V$7:$V$1576,$U$7:$U$1576,U1302),0),0)</f>
        <v>0</v>
      </c>
    </row>
    <row r="1303" customFormat="false" ht="15" hidden="false" customHeight="false" outlineLevel="0" collapsed="false">
      <c r="A1303" s="55" t="s">
        <v>2301</v>
      </c>
      <c r="B1303" s="55" t="s">
        <v>2302</v>
      </c>
      <c r="C1303" s="55" t="s">
        <v>160</v>
      </c>
      <c r="D1303" s="55" t="s">
        <v>178</v>
      </c>
      <c r="E1303" s="55" t="s">
        <v>210</v>
      </c>
      <c r="F1303" s="56" t="n">
        <v>983.67</v>
      </c>
      <c r="G1303" s="57" t="n">
        <f aca="false">MAX(0,IF(AND(Parameter!$B$21="Ja",ISNUMBER(W1303)),W1303,IF(Parameter!$B$20="Jahresanfang 2025 + Export",BJ1303+BI1303,BI1303)))</f>
        <v>0</v>
      </c>
      <c r="H1303" s="57" t="n">
        <f aca="false">G1303*F1303</f>
        <v>0</v>
      </c>
      <c r="I1303" s="57" t="n">
        <f aca="false">BL1303*Parameter!$B$18</f>
        <v>12</v>
      </c>
      <c r="J1303" s="58" t="n">
        <v>14</v>
      </c>
      <c r="K1303" s="59" t="n">
        <v>0.857142857142857</v>
      </c>
      <c r="L1303" s="57" t="n">
        <v>1</v>
      </c>
      <c r="M1303" s="57" t="n">
        <v>5</v>
      </c>
      <c r="N1303" s="60" t="n">
        <v>28</v>
      </c>
      <c r="O1303" s="55" t="s">
        <v>284</v>
      </c>
      <c r="P1303" s="57" t="n">
        <v>35</v>
      </c>
      <c r="Q1303" s="60" t="n">
        <f aca="false">IF(BR1303=1,0,IFERROR(VLOOKUP(BP1303,'Gebinde-Kategorie'!$A$5:$M$45,13,0)+0,0))</f>
        <v>12</v>
      </c>
      <c r="R1303" s="61"/>
      <c r="S1303" s="62"/>
      <c r="T1303" s="62"/>
      <c r="U1303" s="55"/>
      <c r="V1303" s="57"/>
      <c r="W1303" s="57"/>
      <c r="X1303" s="55" t="n">
        <f aca="false">IF(A1303="","",IF(AND(Parameter!$B$21="Ja",ISNUMBER(U1303)),U1303,IF(IFERROR(VLOOKUP(D1303,Parameter!$A$35:$C$64,2,0),"Nein")="2+3",IF(ISNUMBER(SEARCH("grosser Artikel",BM1303)),2,IFERROR(VLOOKUP(BP1303,Parameter!$F$35:$G$64,2,0),2)),IF(OR(IFERROR(VLOOKUP(D1303,Parameter!$A$35:$C$64,2,0),"Nein")="Nein",IFERROR(VLOOKUP(D1303,Parameter!$A$35:$C$64,2,0),"Nein")=""),"-",VLOOKUP(D1303,Parameter!$A$35:$C$64,2,0)))))</f>
        <v>2</v>
      </c>
      <c r="Y1303" s="62"/>
      <c r="Z1303" s="63"/>
      <c r="AA1303" s="57" t="n">
        <f aca="false">AP1303</f>
        <v>35</v>
      </c>
      <c r="AB1303" s="57" t="n">
        <f aca="false">MAX(AP1303,G1303)</f>
        <v>35</v>
      </c>
      <c r="AC1303" s="64"/>
      <c r="AD1303" s="57" t="n">
        <f aca="false">IF(LEFT(Cockpit!$C$5,1)="A",G1303,IF(BW1303=1,BX1303,IF(LEFT(Cockpit!$C$5,1)="B",AH1303,MAX(AH1303,G1303))))</f>
        <v>0</v>
      </c>
      <c r="AE1303" s="57" t="n">
        <f aca="false">IF(BR1303=1,0,ROUNDUP(AD1303/BQ1303,0))</f>
        <v>0</v>
      </c>
      <c r="AF1303" s="59" t="n">
        <f aca="false">IF(CD1303&gt;0,CD1303*MAX(1,AD1303/V1303),IF(BR1303=1,IF(AD1303&lt;=0,0,BS1303*MAX(1,IF(G1303&gt;0,AD1303/G1303,1))),IF(Q1303&gt;0,AE1303/Q1303,0))/MAX(0.1,N(Parameter!$M$21)))</f>
        <v>0</v>
      </c>
      <c r="AG1303" s="57" t="n">
        <f aca="false">AD1303*F1303</f>
        <v>0</v>
      </c>
      <c r="AH1303" s="57" t="n">
        <f aca="false">ROUNDUP(MAX(I1303/IF(BV1303&gt;0,BV1303,MAX(0.1,N(Cockpit!$C$6))),BY1303)/BQ1303,0)*BQ1303</f>
        <v>35</v>
      </c>
      <c r="AI1303" s="58" t="n">
        <f aca="false">IF(AF1303&gt;0,I1303/AF1303,-1)</f>
        <v>-1</v>
      </c>
      <c r="AJ1303" s="58" t="str">
        <f aca="false">IF(AND(OR(BU1303="L1",BU1303="L23"),AF1303&gt;0),SUMIFS($AF$7:$AF$1576,$BU$7:$BU$1576,BU1303,$AI$7:$AI$1576,"&gt;"&amp;AI1303)+SUMIFS($AF$7:$AF$1576,$BU$7:$BU$1576,BU1303,$AI$7:$AI$1576,AI1303,$BO$7:$BO$1576,"&lt;="&amp;BO1303),"")</f>
        <v/>
      </c>
      <c r="AK1303" s="65" t="n">
        <f aca="false">IF(AJ1303="",0,MAX(0,MIN(1,(IF(BU1303="L1",Parameter!$E$5,Parameter!$E$6+Parameter!$E$7)-(AJ1303-AF1303))/AF1303)))</f>
        <v>0</v>
      </c>
      <c r="AL1303" s="57" t="n">
        <f aca="false">IF(LEFT(Cockpit!$I$5,1)="A",G1303,IF(BW1303=1,BX1303,IF(LEFT(Cockpit!$I$5,1)="B",AP1303,MAX(AP1303,G1303))))</f>
        <v>35</v>
      </c>
      <c r="AM1303" s="57" t="n">
        <f aca="false">IF(BR1303=1,0,ROUNDUP(AL1303/BQ1303,0))</f>
        <v>1</v>
      </c>
      <c r="AN1303" s="59" t="n">
        <f aca="false">IF(CD1303&gt;0,CD1303*MAX(1,AL1303/V1303),IF(BR1303=1,IF(AL1303&lt;=0,0,BS1303*MAX(1,IF(G1303&gt;0,AL1303/G1303,1))),IF(Q1303&gt;0,AM1303/Q1303,0))/MAX(0.1,N(Parameter!$M$21)))</f>
        <v>0.0833333333333333</v>
      </c>
      <c r="AO1303" s="57" t="n">
        <f aca="false">AL1303*F1303</f>
        <v>34428.45</v>
      </c>
      <c r="AP1303" s="57" t="n">
        <f aca="false">ROUNDUP(MAX(I1303/IF(BV1303&gt;0,BV1303,MAX(0.1,N(Cockpit!$I$6))),BY1303)/BQ1303,0)*BQ1303</f>
        <v>35</v>
      </c>
      <c r="AQ1303" s="58" t="n">
        <f aca="false">IF(AN1303&gt;0,I1303/AN1303,-1)</f>
        <v>144</v>
      </c>
      <c r="AR1303" s="58" t="n">
        <f aca="false">IF(AND(OR(BU1303="L1",BU1303="L23"),AN1303&gt;0),SUMIFS($AN$7:$AN$1576,$BU$7:$BU$1576,BU1303,$AQ$7:$AQ$1576,"&gt;"&amp;AQ1303)+SUMIFS($AN$7:$AN$1576,$BU$7:$BU$1576,BU1303,$AQ$7:$AQ$1576,AQ1303,$BO$7:$BO$1576,"&lt;="&amp;BO1303),"")</f>
        <v>56.8463263913376</v>
      </c>
      <c r="AS1303" s="65" t="n">
        <f aca="false">IF(AR1303="",0,MAX(0,MIN(1,(IF(BU1303="L1",Parameter!$E$5,Parameter!$E$6+Parameter!$E$7)-(AR1303-AN1303))/AN1303)))</f>
        <v>1</v>
      </c>
      <c r="AT1303" s="57" t="n">
        <f aca="false">IF(LEFT(Cockpit!$O$5,1)="A",G1303,IF(BW1303=1,BX1303,IF(LEFT(Cockpit!$O$5,1)="B",AX1303,MAX(AX1303,G1303))))</f>
        <v>35</v>
      </c>
      <c r="AU1303" s="57" t="n">
        <f aca="false">IF(BR1303=1,0,ROUNDUP(AT1303/BQ1303,0))</f>
        <v>1</v>
      </c>
      <c r="AV1303" s="59" t="n">
        <f aca="false">IF(CD1303&gt;0,CD1303*MAX(1,AT1303/V1303),IF(BR1303=1,IF(AT1303&lt;=0,0,BS1303*MAX(1,IF(G1303&gt;0,AT1303/G1303,1))),IF(Q1303&gt;0,AU1303/Q1303,0))/MAX(0.1,N(Parameter!$M$21)))</f>
        <v>0.0833333333333333</v>
      </c>
      <c r="AW1303" s="57" t="n">
        <f aca="false">AT1303*F1303</f>
        <v>34428.45</v>
      </c>
      <c r="AX1303" s="57" t="n">
        <f aca="false">ROUNDUP(MAX(I1303/IF(BV1303&gt;0,BV1303,MAX(0.1,N(Cockpit!$O$6))),BY1303)/BQ1303,0)*BQ1303</f>
        <v>35</v>
      </c>
      <c r="AY1303" s="58" t="n">
        <f aca="false">IF(AV1303&gt;0,I1303/AV1303,-1)</f>
        <v>144</v>
      </c>
      <c r="AZ1303" s="58" t="n">
        <f aca="false">IF(AND(OR(BU1303="L1",BU1303="L23"),AV1303&gt;0),SUMIFS($AV$7:$AV$1576,$BU$7:$BU$1576,BU1303,$AY$7:$AY$1576,"&gt;"&amp;AY1303)+SUMIFS($AV$7:$AV$1576,$BU$7:$BU$1576,BU1303,$AY$7:$AY$1576,AY1303,$BO$7:$BO$1576,"&lt;="&amp;BO1303),"")</f>
        <v>52.1754601742213</v>
      </c>
      <c r="BA1303" s="65" t="n">
        <f aca="false">IF(AZ1303="",0,MAX(0,MIN(1,(IF(BU1303="L1",Parameter!$E$5,Parameter!$E$6+Parameter!$E$7)-(AZ1303-AV1303))/AV1303)))</f>
        <v>1</v>
      </c>
      <c r="BB1303" s="55" t="str">
        <f aca="false">IF(AF1303&lt;=0,"",IF(BU1303="Aussen","Aussenlager",IF(BU1303="-","Nicht im Lift",IF(AK1303&gt;=1,"Lift",IF(AK1303&lt;=0,"Aussenlager","teilweise")))))</f>
        <v/>
      </c>
      <c r="BC1303" s="55" t="str">
        <f aca="false">IF(AN1303&lt;=0,"",IF(BU1303="Aussen","Aussenlager",IF(BU1303="-","Nicht im Lift",IF(AS1303&gt;=1,"Lift",IF(AS1303&lt;=0,"Aussenlager","teilweise")))))</f>
        <v>Lift</v>
      </c>
      <c r="BD1303" s="55" t="str">
        <f aca="false">IF(AV1303&lt;=0,"",IF(BU1303="Aussen","Aussenlager",IF(BU1303="-","Nicht im Lift",IF(BA1303&gt;=1,"Lift",IF(BA1303&lt;=0,"Aussenlager","teilweise")))))</f>
        <v>Lift</v>
      </c>
      <c r="BE1303" s="55" t="str">
        <f aca="false">IF(A1303="","",IF(BN1303=1,"Neu; ","")&amp;IF(AND(BN1303=0,BI1303&lt;0),"negativer Bestand (Export "&amp;BI1303&amp;"); ","")&amp;IF(I1303&lt;=0,"Kein Verbrauch; ","")&amp;IF(CD1303&gt;0,"Lift "&amp;U1303&amp;" lt. Liftbericht (Fach "&amp;V1303&amp;" Stk); ",IF(BR1303=1,"Lose – Fläche geschätzt; ",""))&amp;IF(G1303&gt;AP1303,"Überbestand "&amp;ROUND(G1303-AP1303,0)&amp;" Stk / CHF "&amp;ROUND((G1303-AP1303)*F1303,0)&amp;"; ","")&amp;IF(AND(BW1303=1,BX1303&lt;BY1303),"MAX &lt; MB+LG; ","")&amp;IF(AND(CC1303&gt;0,CB1303*10&gt;CC1303),"zu hoch für Tablar; ","")&amp;IF(AND(BN1303=0,OR(BW1303=1,Y1303&lt;&gt;"",S1303&lt;&gt;"",T1303&lt;&gt;"",Z1303&lt;&gt;"")),"manuell übersteuert; ","")&amp;IF(AND(BR1303=0,Q1303=0),"Gebinde unbekannt / Stellmass fehlt; ","")&amp;IF(AND(BR1303=0,N(T1303)&lt;=0,N(P1303)&lt;=0),"Menge pro Gebinde fehlt (Ist = 1 Gebinde); ","")&amp;BM1303)</f>
        <v>negativer Bestand (Export -4); </v>
      </c>
      <c r="BF1303" s="55"/>
      <c r="BG1303" s="55"/>
      <c r="BH1303" s="62"/>
      <c r="BI1303" s="57" t="n">
        <v>-4</v>
      </c>
      <c r="BJ1303" s="57" t="n">
        <v>17</v>
      </c>
      <c r="BK1303" s="56" t="n">
        <v>-1203.92</v>
      </c>
      <c r="BL1303" s="57" t="n">
        <v>12</v>
      </c>
      <c r="BM1303" s="55"/>
      <c r="BN1303" s="60" t="n">
        <v>0</v>
      </c>
      <c r="BO1303" s="60" t="n">
        <v>1303</v>
      </c>
      <c r="BP1303" s="55" t="str">
        <f aca="false">IF(S1303&lt;&gt;"",UPPER(TRIM(S1303)),IF(O1303="","LOSE",O1303))</f>
        <v>S62</v>
      </c>
      <c r="BQ1303" s="57" t="n">
        <f aca="false">IF(BP1303="LOSE",1,IF(N(T1303)&gt;0,T1303,IF(N(P1303)&gt;0,P1303,MAX(1,G1303))))</f>
        <v>35</v>
      </c>
      <c r="BR1303" s="60" t="n">
        <f aca="false">IF(BP1303="LOSE",1,0)</f>
        <v>0</v>
      </c>
      <c r="BS1303" s="59" t="n">
        <f aca="false">IF(BR1303=0,0,IF(N(R1303)&gt;0,R1303,IFERROR(VLOOKUP(D1303,Parameter!$A$35:$C$64,3,0)+0,0)))</f>
        <v>0</v>
      </c>
      <c r="BT1303" s="55" t="n">
        <f aca="false">IF(Y1303&lt;&gt;"",Y1303,X1303)</f>
        <v>2</v>
      </c>
      <c r="BU1303" s="55" t="str">
        <f aca="false">IF(BT1303=1,"L1",IF(OR(BT1303=2,BT1303=3),"L23",IF(BT1303="Aussen","Aussen","-")))</f>
        <v>L23</v>
      </c>
      <c r="BV1303" s="66" t="n">
        <f aca="false">IF(N(Z1303)&gt;0,Z1303,0)</f>
        <v>0</v>
      </c>
      <c r="BW1303" s="60" t="n">
        <f aca="false">IF(ISNUMBER(AC1303),1,0)</f>
        <v>0</v>
      </c>
      <c r="BX1303" s="57" t="n">
        <f aca="false">N(AC1303)</f>
        <v>0</v>
      </c>
      <c r="BY1303" s="57" t="n">
        <f aca="false">N(L1303)+N(M1303)</f>
        <v>6</v>
      </c>
      <c r="BZ1303" s="57" t="n">
        <f aca="false">ROUNDUP(G1303/BQ1303,0)</f>
        <v>0</v>
      </c>
      <c r="CA1303" s="57" t="n">
        <f aca="false">ROUNDUP(BX1303/BQ1303,0)</f>
        <v>0</v>
      </c>
      <c r="CB1303" s="60" t="n">
        <f aca="false">IF(BR1303=1,0,IFERROR(VLOOKUP(BP1303,'Gebinde-Kategorie'!$A$5:$M$45,5,0)+0,0))</f>
        <v>21</v>
      </c>
      <c r="CC1303" s="60" t="n">
        <f aca="false">IFERROR(IF(OR(BT1303=1,BT1303=2,BT1303=3),N(INDEX(Parameter!$I$5:$I$7,BT1303)),0),0)</f>
        <v>0</v>
      </c>
      <c r="CD1303" s="59" t="n">
        <f aca="false">IF(AND(Parameter!$B$21="Ja",ISNUMBER(U1303),N(V1303)&gt;0),IFERROR(N(INDEX(Parameter!$L$5:$L$7,U1303))*INDEX(Parameter!$E$5:$E$7,U1303)*V1303/SUMIFS($V$7:$V$1576,$U$7:$U$1576,U1303),0),0)</f>
        <v>0</v>
      </c>
    </row>
    <row r="1304" customFormat="false" ht="15" hidden="false" customHeight="false" outlineLevel="0" collapsed="false">
      <c r="A1304" s="55" t="s">
        <v>2303</v>
      </c>
      <c r="B1304" s="55" t="s">
        <v>2304</v>
      </c>
      <c r="C1304" s="55" t="s">
        <v>160</v>
      </c>
      <c r="D1304" s="55" t="s">
        <v>178</v>
      </c>
      <c r="E1304" s="55" t="s">
        <v>210</v>
      </c>
      <c r="F1304" s="56" t="n">
        <v>64.57</v>
      </c>
      <c r="G1304" s="57" t="n">
        <f aca="false">MAX(0,IF(AND(Parameter!$B$21="Ja",ISNUMBER(W1304)),W1304,IF(Parameter!$B$20="Jahresanfang 2025 + Export",BJ1304+BI1304,BI1304)))</f>
        <v>0</v>
      </c>
      <c r="H1304" s="57" t="n">
        <f aca="false">G1304*F1304</f>
        <v>0</v>
      </c>
      <c r="I1304" s="57" t="n">
        <f aca="false">BL1304*Parameter!$B$18</f>
        <v>71</v>
      </c>
      <c r="J1304" s="58" t="n">
        <v>29.5</v>
      </c>
      <c r="K1304" s="59" t="n">
        <v>2.40677966101695</v>
      </c>
      <c r="L1304" s="57" t="n">
        <v>4</v>
      </c>
      <c r="M1304" s="57" t="n">
        <v>20</v>
      </c>
      <c r="N1304" s="60" t="n">
        <v>21</v>
      </c>
      <c r="O1304" s="55" t="s">
        <v>293</v>
      </c>
      <c r="P1304" s="57" t="n">
        <v>64</v>
      </c>
      <c r="Q1304" s="60" t="n">
        <f aca="false">IF(BR1304=1,0,IFERROR(VLOOKUP(BP1304,'Gebinde-Kategorie'!$A$5:$M$45,13,0)+0,0))</f>
        <v>26</v>
      </c>
      <c r="R1304" s="61"/>
      <c r="S1304" s="62"/>
      <c r="T1304" s="62"/>
      <c r="U1304" s="55"/>
      <c r="V1304" s="57"/>
      <c r="W1304" s="57"/>
      <c r="X1304" s="55" t="n">
        <f aca="false">IF(A1304="","",IF(AND(Parameter!$B$21="Ja",ISNUMBER(U1304)),U1304,IF(IFERROR(VLOOKUP(D1304,Parameter!$A$35:$C$64,2,0),"Nein")="2+3",IF(ISNUMBER(SEARCH("grosser Artikel",BM1304)),2,IFERROR(VLOOKUP(BP1304,Parameter!$F$35:$G$64,2,0),2)),IF(OR(IFERROR(VLOOKUP(D1304,Parameter!$A$35:$C$64,2,0),"Nein")="Nein",IFERROR(VLOOKUP(D1304,Parameter!$A$35:$C$64,2,0),"Nein")=""),"-",VLOOKUP(D1304,Parameter!$A$35:$C$64,2,0)))))</f>
        <v>3</v>
      </c>
      <c r="Y1304" s="62"/>
      <c r="Z1304" s="63"/>
      <c r="AA1304" s="57" t="n">
        <f aca="false">AP1304</f>
        <v>64</v>
      </c>
      <c r="AB1304" s="57" t="n">
        <f aca="false">MAX(AP1304,G1304)</f>
        <v>64</v>
      </c>
      <c r="AC1304" s="64"/>
      <c r="AD1304" s="57" t="n">
        <f aca="false">IF(LEFT(Cockpit!$C$5,1)="A",G1304,IF(BW1304=1,BX1304,IF(LEFT(Cockpit!$C$5,1)="B",AH1304,MAX(AH1304,G1304))))</f>
        <v>0</v>
      </c>
      <c r="AE1304" s="57" t="n">
        <f aca="false">IF(BR1304=1,0,ROUNDUP(AD1304/BQ1304,0))</f>
        <v>0</v>
      </c>
      <c r="AF1304" s="59" t="n">
        <f aca="false">IF(CD1304&gt;0,CD1304*MAX(1,AD1304/V1304),IF(BR1304=1,IF(AD1304&lt;=0,0,BS1304*MAX(1,IF(G1304&gt;0,AD1304/G1304,1))),IF(Q1304&gt;0,AE1304/Q1304,0))/MAX(0.1,N(Parameter!$M$21)))</f>
        <v>0</v>
      </c>
      <c r="AG1304" s="57" t="n">
        <f aca="false">AD1304*F1304</f>
        <v>0</v>
      </c>
      <c r="AH1304" s="57" t="n">
        <f aca="false">ROUNDUP(MAX(I1304/IF(BV1304&gt;0,BV1304,MAX(0.1,N(Cockpit!$C$6))),BY1304)/BQ1304,0)*BQ1304</f>
        <v>64</v>
      </c>
      <c r="AI1304" s="58" t="n">
        <f aca="false">IF(AF1304&gt;0,I1304/AF1304,-1)</f>
        <v>-1</v>
      </c>
      <c r="AJ1304" s="58" t="str">
        <f aca="false">IF(AND(OR(BU1304="L1",BU1304="L23"),AF1304&gt;0),SUMIFS($AF$7:$AF$1576,$BU$7:$BU$1576,BU1304,$AI$7:$AI$1576,"&gt;"&amp;AI1304)+SUMIFS($AF$7:$AF$1576,$BU$7:$BU$1576,BU1304,$AI$7:$AI$1576,AI1304,$BO$7:$BO$1576,"&lt;="&amp;BO1304),"")</f>
        <v/>
      </c>
      <c r="AK1304" s="65" t="n">
        <f aca="false">IF(AJ1304="",0,MAX(0,MIN(1,(IF(BU1304="L1",Parameter!$E$5,Parameter!$E$6+Parameter!$E$7)-(AJ1304-AF1304))/AF1304)))</f>
        <v>0</v>
      </c>
      <c r="AL1304" s="57" t="n">
        <f aca="false">IF(LEFT(Cockpit!$I$5,1)="A",G1304,IF(BW1304=1,BX1304,IF(LEFT(Cockpit!$I$5,1)="B",AP1304,MAX(AP1304,G1304))))</f>
        <v>64</v>
      </c>
      <c r="AM1304" s="57" t="n">
        <f aca="false">IF(BR1304=1,0,ROUNDUP(AL1304/BQ1304,0))</f>
        <v>1</v>
      </c>
      <c r="AN1304" s="59" t="n">
        <f aca="false">IF(CD1304&gt;0,CD1304*MAX(1,AL1304/V1304),IF(BR1304=1,IF(AL1304&lt;=0,0,BS1304*MAX(1,IF(G1304&gt;0,AL1304/G1304,1))),IF(Q1304&gt;0,AM1304/Q1304,0))/MAX(0.1,N(Parameter!$M$21)))</f>
        <v>0.0384615384615385</v>
      </c>
      <c r="AO1304" s="57" t="n">
        <f aca="false">AL1304*F1304</f>
        <v>4132.48</v>
      </c>
      <c r="AP1304" s="57" t="n">
        <f aca="false">ROUNDUP(MAX(I1304/IF(BV1304&gt;0,BV1304,MAX(0.1,N(Cockpit!$I$6))),BY1304)/BQ1304,0)*BQ1304</f>
        <v>64</v>
      </c>
      <c r="AQ1304" s="58" t="n">
        <f aca="false">IF(AN1304&gt;0,I1304/AN1304,-1)</f>
        <v>1846</v>
      </c>
      <c r="AR1304" s="58" t="n">
        <f aca="false">IF(AND(OR(BU1304="L1",BU1304="L23"),AN1304&gt;0),SUMIFS($AN$7:$AN$1576,$BU$7:$BU$1576,BU1304,$AQ$7:$AQ$1576,"&gt;"&amp;AQ1304)+SUMIFS($AN$7:$AN$1576,$BU$7:$BU$1576,BU1304,$AQ$7:$AQ$1576,AQ1304,$BO$7:$BO$1576,"&lt;="&amp;BO1304),"")</f>
        <v>17.7005661612295</v>
      </c>
      <c r="AS1304" s="65" t="n">
        <f aca="false">IF(AR1304="",0,MAX(0,MIN(1,(IF(BU1304="L1",Parameter!$E$5,Parameter!$E$6+Parameter!$E$7)-(AR1304-AN1304))/AN1304)))</f>
        <v>1</v>
      </c>
      <c r="AT1304" s="57" t="n">
        <f aca="false">IF(LEFT(Cockpit!$O$5,1)="A",G1304,IF(BW1304=1,BX1304,IF(LEFT(Cockpit!$O$5,1)="B",AX1304,MAX(AX1304,G1304))))</f>
        <v>64</v>
      </c>
      <c r="AU1304" s="57" t="n">
        <f aca="false">IF(BR1304=1,0,ROUNDUP(AT1304/BQ1304,0))</f>
        <v>1</v>
      </c>
      <c r="AV1304" s="59" t="n">
        <f aca="false">IF(CD1304&gt;0,CD1304*MAX(1,AT1304/V1304),IF(BR1304=1,IF(AT1304&lt;=0,0,BS1304*MAX(1,IF(G1304&gt;0,AT1304/G1304,1))),IF(Q1304&gt;0,AU1304/Q1304,0))/MAX(0.1,N(Parameter!$M$21)))</f>
        <v>0.0384615384615385</v>
      </c>
      <c r="AW1304" s="57" t="n">
        <f aca="false">AT1304*F1304</f>
        <v>4132.48</v>
      </c>
      <c r="AX1304" s="57" t="n">
        <f aca="false">ROUNDUP(MAX(I1304/IF(BV1304&gt;0,BV1304,MAX(0.1,N(Cockpit!$O$6))),BY1304)/BQ1304,0)*BQ1304</f>
        <v>64</v>
      </c>
      <c r="AY1304" s="58" t="n">
        <f aca="false">IF(AV1304&gt;0,I1304/AV1304,-1)</f>
        <v>1846</v>
      </c>
      <c r="AZ1304" s="58" t="n">
        <f aca="false">IF(AND(OR(BU1304="L1",BU1304="L23"),AV1304&gt;0),SUMIFS($AV$7:$AV$1576,$BU$7:$BU$1576,BU1304,$AY$7:$AY$1576,"&gt;"&amp;AY1304)+SUMIFS($AV$7:$AV$1576,$BU$7:$BU$1576,BU1304,$AY$7:$AY$1576,AY1304,$BO$7:$BO$1576,"&lt;="&amp;BO1304),"")</f>
        <v>16.6778388885022</v>
      </c>
      <c r="BA1304" s="65" t="n">
        <f aca="false">IF(AZ1304="",0,MAX(0,MIN(1,(IF(BU1304="L1",Parameter!$E$5,Parameter!$E$6+Parameter!$E$7)-(AZ1304-AV1304))/AV1304)))</f>
        <v>1</v>
      </c>
      <c r="BB1304" s="55" t="str">
        <f aca="false">IF(AF1304&lt;=0,"",IF(BU1304="Aussen","Aussenlager",IF(BU1304="-","Nicht im Lift",IF(AK1304&gt;=1,"Lift",IF(AK1304&lt;=0,"Aussenlager","teilweise")))))</f>
        <v/>
      </c>
      <c r="BC1304" s="55" t="str">
        <f aca="false">IF(AN1304&lt;=0,"",IF(BU1304="Aussen","Aussenlager",IF(BU1304="-","Nicht im Lift",IF(AS1304&gt;=1,"Lift",IF(AS1304&lt;=0,"Aussenlager","teilweise")))))</f>
        <v>Lift</v>
      </c>
      <c r="BD1304" s="55" t="str">
        <f aca="false">IF(AV1304&lt;=0,"",IF(BU1304="Aussen","Aussenlager",IF(BU1304="-","Nicht im Lift",IF(BA1304&gt;=1,"Lift",IF(BA1304&lt;=0,"Aussenlager","teilweise")))))</f>
        <v>Lift</v>
      </c>
      <c r="BE1304" s="55" t="str">
        <f aca="false">IF(A1304="","",IF(BN1304=1,"Neu; ","")&amp;IF(AND(BN1304=0,BI1304&lt;0),"negativer Bestand (Export "&amp;BI1304&amp;"); ","")&amp;IF(I1304&lt;=0,"Kein Verbrauch; ","")&amp;IF(CD1304&gt;0,"Lift "&amp;U1304&amp;" lt. Liftbericht (Fach "&amp;V1304&amp;" Stk); ",IF(BR1304=1,"Lose – Fläche geschätzt; ",""))&amp;IF(G1304&gt;AP1304,"Überbestand "&amp;ROUND(G1304-AP1304,0)&amp;" Stk / CHF "&amp;ROUND((G1304-AP1304)*F1304,0)&amp;"; ","")&amp;IF(AND(BW1304=1,BX1304&lt;BY1304),"MAX &lt; MB+LG; ","")&amp;IF(AND(CC1304&gt;0,CB1304*10&gt;CC1304),"zu hoch für Tablar; ","")&amp;IF(AND(BN1304=0,OR(BW1304=1,Y1304&lt;&gt;"",S1304&lt;&gt;"",T1304&lt;&gt;"",Z1304&lt;&gt;"")),"manuell übersteuert; ","")&amp;IF(AND(BR1304=0,Q1304=0),"Gebinde unbekannt / Stellmass fehlt; ","")&amp;IF(AND(BR1304=0,N(T1304)&lt;=0,N(P1304)&lt;=0),"Menge pro Gebinde fehlt (Ist = 1 Gebinde); ","")&amp;BM1304)</f>
        <v>negativer Bestand (Export -9); </v>
      </c>
      <c r="BF1304" s="55"/>
      <c r="BG1304" s="55"/>
      <c r="BH1304" s="62"/>
      <c r="BI1304" s="57" t="n">
        <v>-9</v>
      </c>
      <c r="BJ1304" s="57" t="n">
        <v>35</v>
      </c>
      <c r="BK1304" s="56" t="n">
        <v>-1206.58</v>
      </c>
      <c r="BL1304" s="57" t="n">
        <v>71</v>
      </c>
      <c r="BM1304" s="55"/>
      <c r="BN1304" s="60" t="n">
        <v>0</v>
      </c>
      <c r="BO1304" s="60" t="n">
        <v>1304</v>
      </c>
      <c r="BP1304" s="55" t="str">
        <f aca="false">IF(S1304&lt;&gt;"",UPPER(TRIM(S1304)),IF(O1304="","LOSE",O1304))</f>
        <v>S51</v>
      </c>
      <c r="BQ1304" s="57" t="n">
        <f aca="false">IF(BP1304="LOSE",1,IF(N(T1304)&gt;0,T1304,IF(N(P1304)&gt;0,P1304,MAX(1,G1304))))</f>
        <v>64</v>
      </c>
      <c r="BR1304" s="60" t="n">
        <f aca="false">IF(BP1304="LOSE",1,0)</f>
        <v>0</v>
      </c>
      <c r="BS1304" s="59" t="n">
        <f aca="false">IF(BR1304=0,0,IF(N(R1304)&gt;0,R1304,IFERROR(VLOOKUP(D1304,Parameter!$A$35:$C$64,3,0)+0,0)))</f>
        <v>0</v>
      </c>
      <c r="BT1304" s="55" t="n">
        <f aca="false">IF(Y1304&lt;&gt;"",Y1304,X1304)</f>
        <v>3</v>
      </c>
      <c r="BU1304" s="55" t="str">
        <f aca="false">IF(BT1304=1,"L1",IF(OR(BT1304=2,BT1304=3),"L23",IF(BT1304="Aussen","Aussen","-")))</f>
        <v>L23</v>
      </c>
      <c r="BV1304" s="66" t="n">
        <f aca="false">IF(N(Z1304)&gt;0,Z1304,0)</f>
        <v>0</v>
      </c>
      <c r="BW1304" s="60" t="n">
        <f aca="false">IF(ISNUMBER(AC1304),1,0)</f>
        <v>0</v>
      </c>
      <c r="BX1304" s="57" t="n">
        <f aca="false">N(AC1304)</f>
        <v>0</v>
      </c>
      <c r="BY1304" s="57" t="n">
        <f aca="false">N(L1304)+N(M1304)</f>
        <v>24</v>
      </c>
      <c r="BZ1304" s="57" t="n">
        <f aca="false">ROUNDUP(G1304/BQ1304,0)</f>
        <v>0</v>
      </c>
      <c r="CA1304" s="57" t="n">
        <f aca="false">ROUNDUP(BX1304/BQ1304,0)</f>
        <v>0</v>
      </c>
      <c r="CB1304" s="60" t="n">
        <f aca="false">IF(BR1304=1,0,IFERROR(VLOOKUP(BP1304,'Gebinde-Kategorie'!$A$5:$M$45,5,0)+0,0))</f>
        <v>11</v>
      </c>
      <c r="CC1304" s="60" t="n">
        <f aca="false">IFERROR(IF(OR(BT1304=1,BT1304=2,BT1304=3),N(INDEX(Parameter!$I$5:$I$7,BT1304)),0),0)</f>
        <v>0</v>
      </c>
      <c r="CD1304" s="59" t="n">
        <f aca="false">IF(AND(Parameter!$B$21="Ja",ISNUMBER(U1304),N(V1304)&gt;0),IFERROR(N(INDEX(Parameter!$L$5:$L$7,U1304))*INDEX(Parameter!$E$5:$E$7,U1304)*V1304/SUMIFS($V$7:$V$1576,$U$7:$U$1576,U1304),0),0)</f>
        <v>0</v>
      </c>
    </row>
    <row r="1305" customFormat="false" ht="15" hidden="false" customHeight="false" outlineLevel="0" collapsed="false">
      <c r="A1305" s="55" t="s">
        <v>2305</v>
      </c>
      <c r="B1305" s="55" t="s">
        <v>1140</v>
      </c>
      <c r="C1305" s="55" t="s">
        <v>160</v>
      </c>
      <c r="D1305" s="55" t="s">
        <v>178</v>
      </c>
      <c r="E1305" s="55" t="s">
        <v>210</v>
      </c>
      <c r="F1305" s="56" t="n">
        <v>108.99</v>
      </c>
      <c r="G1305" s="57" t="n">
        <f aca="false">MAX(0,IF(AND(Parameter!$B$21="Ja",ISNUMBER(W1305)),W1305,IF(Parameter!$B$20="Jahresanfang 2025 + Export",BJ1305+BI1305,BI1305)))</f>
        <v>0</v>
      </c>
      <c r="H1305" s="57" t="n">
        <f aca="false">G1305*F1305</f>
        <v>0</v>
      </c>
      <c r="I1305" s="57" t="n">
        <f aca="false">BL1305*Parameter!$B$18</f>
        <v>68</v>
      </c>
      <c r="J1305" s="58" t="n">
        <v>22</v>
      </c>
      <c r="K1305" s="59" t="n">
        <v>3.09090909090909</v>
      </c>
      <c r="L1305" s="57" t="n">
        <v>4</v>
      </c>
      <c r="M1305" s="57" t="n">
        <v>35</v>
      </c>
      <c r="N1305" s="60" t="n">
        <v>21</v>
      </c>
      <c r="O1305" s="55" t="s">
        <v>293</v>
      </c>
      <c r="P1305" s="57" t="n">
        <v>56</v>
      </c>
      <c r="Q1305" s="60" t="n">
        <f aca="false">IF(BR1305=1,0,IFERROR(VLOOKUP(BP1305,'Gebinde-Kategorie'!$A$5:$M$45,13,0)+0,0))</f>
        <v>26</v>
      </c>
      <c r="R1305" s="61"/>
      <c r="S1305" s="62"/>
      <c r="T1305" s="62"/>
      <c r="U1305" s="55"/>
      <c r="V1305" s="57"/>
      <c r="W1305" s="57"/>
      <c r="X1305" s="55" t="n">
        <f aca="false">IF(A1305="","",IF(AND(Parameter!$B$21="Ja",ISNUMBER(U1305)),U1305,IF(IFERROR(VLOOKUP(D1305,Parameter!$A$35:$C$64,2,0),"Nein")="2+3",IF(ISNUMBER(SEARCH("grosser Artikel",BM1305)),2,IFERROR(VLOOKUP(BP1305,Parameter!$F$35:$G$64,2,0),2)),IF(OR(IFERROR(VLOOKUP(D1305,Parameter!$A$35:$C$64,2,0),"Nein")="Nein",IFERROR(VLOOKUP(D1305,Parameter!$A$35:$C$64,2,0),"Nein")=""),"-",VLOOKUP(D1305,Parameter!$A$35:$C$64,2,0)))))</f>
        <v>3</v>
      </c>
      <c r="Y1305" s="62"/>
      <c r="Z1305" s="63"/>
      <c r="AA1305" s="57" t="n">
        <f aca="false">AP1305</f>
        <v>56</v>
      </c>
      <c r="AB1305" s="57" t="n">
        <f aca="false">MAX(AP1305,G1305)</f>
        <v>56</v>
      </c>
      <c r="AC1305" s="64"/>
      <c r="AD1305" s="57" t="n">
        <f aca="false">IF(LEFT(Cockpit!$C$5,1)="A",G1305,IF(BW1305=1,BX1305,IF(LEFT(Cockpit!$C$5,1)="B",AH1305,MAX(AH1305,G1305))))</f>
        <v>0</v>
      </c>
      <c r="AE1305" s="57" t="n">
        <f aca="false">IF(BR1305=1,0,ROUNDUP(AD1305/BQ1305,0))</f>
        <v>0</v>
      </c>
      <c r="AF1305" s="59" t="n">
        <f aca="false">IF(CD1305&gt;0,CD1305*MAX(1,AD1305/V1305),IF(BR1305=1,IF(AD1305&lt;=0,0,BS1305*MAX(1,IF(G1305&gt;0,AD1305/G1305,1))),IF(Q1305&gt;0,AE1305/Q1305,0))/MAX(0.1,N(Parameter!$M$21)))</f>
        <v>0</v>
      </c>
      <c r="AG1305" s="57" t="n">
        <f aca="false">AD1305*F1305</f>
        <v>0</v>
      </c>
      <c r="AH1305" s="57" t="n">
        <f aca="false">ROUNDUP(MAX(I1305/IF(BV1305&gt;0,BV1305,MAX(0.1,N(Cockpit!$C$6))),BY1305)/BQ1305,0)*BQ1305</f>
        <v>56</v>
      </c>
      <c r="AI1305" s="58" t="n">
        <f aca="false">IF(AF1305&gt;0,I1305/AF1305,-1)</f>
        <v>-1</v>
      </c>
      <c r="AJ1305" s="58" t="str">
        <f aca="false">IF(AND(OR(BU1305="L1",BU1305="L23"),AF1305&gt;0),SUMIFS($AF$7:$AF$1576,$BU$7:$BU$1576,BU1305,$AI$7:$AI$1576,"&gt;"&amp;AI1305)+SUMIFS($AF$7:$AF$1576,$BU$7:$BU$1576,BU1305,$AI$7:$AI$1576,AI1305,$BO$7:$BO$1576,"&lt;="&amp;BO1305),"")</f>
        <v/>
      </c>
      <c r="AK1305" s="65" t="n">
        <f aca="false">IF(AJ1305="",0,MAX(0,MIN(1,(IF(BU1305="L1",Parameter!$E$5,Parameter!$E$6+Parameter!$E$7)-(AJ1305-AF1305))/AF1305)))</f>
        <v>0</v>
      </c>
      <c r="AL1305" s="57" t="n">
        <f aca="false">IF(LEFT(Cockpit!$I$5,1)="A",G1305,IF(BW1305=1,BX1305,IF(LEFT(Cockpit!$I$5,1)="B",AP1305,MAX(AP1305,G1305))))</f>
        <v>56</v>
      </c>
      <c r="AM1305" s="57" t="n">
        <f aca="false">IF(BR1305=1,0,ROUNDUP(AL1305/BQ1305,0))</f>
        <v>1</v>
      </c>
      <c r="AN1305" s="59" t="n">
        <f aca="false">IF(CD1305&gt;0,CD1305*MAX(1,AL1305/V1305),IF(BR1305=1,IF(AL1305&lt;=0,0,BS1305*MAX(1,IF(G1305&gt;0,AL1305/G1305,1))),IF(Q1305&gt;0,AM1305/Q1305,0))/MAX(0.1,N(Parameter!$M$21)))</f>
        <v>0.0384615384615385</v>
      </c>
      <c r="AO1305" s="57" t="n">
        <f aca="false">AL1305*F1305</f>
        <v>6103.44</v>
      </c>
      <c r="AP1305" s="57" t="n">
        <f aca="false">ROUNDUP(MAX(I1305/IF(BV1305&gt;0,BV1305,MAX(0.1,N(Cockpit!$I$6))),BY1305)/BQ1305,0)*BQ1305</f>
        <v>56</v>
      </c>
      <c r="AQ1305" s="58" t="n">
        <f aca="false">IF(AN1305&gt;0,I1305/AN1305,-1)</f>
        <v>1768</v>
      </c>
      <c r="AR1305" s="58" t="n">
        <f aca="false">IF(AND(OR(BU1305="L1",BU1305="L23"),AN1305&gt;0),SUMIFS($AN$7:$AN$1576,$BU$7:$BU$1576,BU1305,$AQ$7:$AQ$1576,"&gt;"&amp;AQ1305)+SUMIFS($AN$7:$AN$1576,$BU$7:$BU$1576,BU1305,$AQ$7:$AQ$1576,AQ1305,$BO$7:$BO$1576,"&lt;="&amp;BO1305),"")</f>
        <v>18.1300533407167</v>
      </c>
      <c r="AS1305" s="65" t="n">
        <f aca="false">IF(AR1305="",0,MAX(0,MIN(1,(IF(BU1305="L1",Parameter!$E$5,Parameter!$E$6+Parameter!$E$7)-(AR1305-AN1305))/AN1305)))</f>
        <v>1</v>
      </c>
      <c r="AT1305" s="57" t="n">
        <f aca="false">IF(LEFT(Cockpit!$O$5,1)="A",G1305,IF(BW1305=1,BX1305,IF(LEFT(Cockpit!$O$5,1)="B",AX1305,MAX(AX1305,G1305))))</f>
        <v>56</v>
      </c>
      <c r="AU1305" s="57" t="n">
        <f aca="false">IF(BR1305=1,0,ROUNDUP(AT1305/BQ1305,0))</f>
        <v>1</v>
      </c>
      <c r="AV1305" s="59" t="n">
        <f aca="false">IF(CD1305&gt;0,CD1305*MAX(1,AT1305/V1305),IF(BR1305=1,IF(AT1305&lt;=0,0,BS1305*MAX(1,IF(G1305&gt;0,AT1305/G1305,1))),IF(Q1305&gt;0,AU1305/Q1305,0))/MAX(0.1,N(Parameter!$M$21)))</f>
        <v>0.0384615384615385</v>
      </c>
      <c r="AW1305" s="57" t="n">
        <f aca="false">AT1305*F1305</f>
        <v>6103.44</v>
      </c>
      <c r="AX1305" s="57" t="n">
        <f aca="false">ROUNDUP(MAX(I1305/IF(BV1305&gt;0,BV1305,MAX(0.1,N(Cockpit!$O$6))),BY1305)/BQ1305,0)*BQ1305</f>
        <v>56</v>
      </c>
      <c r="AY1305" s="58" t="n">
        <f aca="false">IF(AV1305&gt;0,I1305/AV1305,-1)</f>
        <v>1768</v>
      </c>
      <c r="AZ1305" s="58" t="n">
        <f aca="false">IF(AND(OR(BU1305="L1",BU1305="L23"),AV1305&gt;0),SUMIFS($AV$7:$AV$1576,$BU$7:$BU$1576,BU1305,$AY$7:$AY$1576,"&gt;"&amp;AY1305)+SUMIFS($AV$7:$AV$1576,$BU$7:$BU$1576,BU1305,$AY$7:$AY$1576,AY1305,$BO$7:$BO$1576,"&lt;="&amp;BO1305),"")</f>
        <v>17.1073260679894</v>
      </c>
      <c r="BA1305" s="65" t="n">
        <f aca="false">IF(AZ1305="",0,MAX(0,MIN(1,(IF(BU1305="L1",Parameter!$E$5,Parameter!$E$6+Parameter!$E$7)-(AZ1305-AV1305))/AV1305)))</f>
        <v>1</v>
      </c>
      <c r="BB1305" s="55" t="str">
        <f aca="false">IF(AF1305&lt;=0,"",IF(BU1305="Aussen","Aussenlager",IF(BU1305="-","Nicht im Lift",IF(AK1305&gt;=1,"Lift",IF(AK1305&lt;=0,"Aussenlager","teilweise")))))</f>
        <v/>
      </c>
      <c r="BC1305" s="55" t="str">
        <f aca="false">IF(AN1305&lt;=0,"",IF(BU1305="Aussen","Aussenlager",IF(BU1305="-","Nicht im Lift",IF(AS1305&gt;=1,"Lift",IF(AS1305&lt;=0,"Aussenlager","teilweise")))))</f>
        <v>Lift</v>
      </c>
      <c r="BD1305" s="55" t="str">
        <f aca="false">IF(AV1305&lt;=0,"",IF(BU1305="Aussen","Aussenlager",IF(BU1305="-","Nicht im Lift",IF(BA1305&gt;=1,"Lift",IF(BA1305&lt;=0,"Aussenlager","teilweise")))))</f>
        <v>Lift</v>
      </c>
      <c r="BE1305" s="55" t="str">
        <f aca="false">IF(A1305="","",IF(BN1305=1,"Neu; ","")&amp;IF(AND(BN1305=0,BI1305&lt;0),"negativer Bestand (Export "&amp;BI1305&amp;"); ","")&amp;IF(I1305&lt;=0,"Kein Verbrauch; ","")&amp;IF(CD1305&gt;0,"Lift "&amp;U1305&amp;" lt. Liftbericht (Fach "&amp;V1305&amp;" Stk); ",IF(BR1305=1,"Lose – Fläche geschätzt; ",""))&amp;IF(G1305&gt;AP1305,"Überbestand "&amp;ROUND(G1305-AP1305,0)&amp;" Stk / CHF "&amp;ROUND((G1305-AP1305)*F1305,0)&amp;"; ","")&amp;IF(AND(BW1305=1,BX1305&lt;BY1305),"MAX &lt; MB+LG; ","")&amp;IF(AND(CC1305&gt;0,CB1305*10&gt;CC1305),"zu hoch für Tablar; ","")&amp;IF(AND(BN1305=0,OR(BW1305=1,Y1305&lt;&gt;"",S1305&lt;&gt;"",T1305&lt;&gt;"",Z1305&lt;&gt;"")),"manuell übersteuert; ","")&amp;IF(AND(BR1305=0,Q1305=0),"Gebinde unbekannt / Stellmass fehlt; ","")&amp;IF(AND(BR1305=0,N(T1305)&lt;=0,N(P1305)&lt;=0),"Menge pro Gebinde fehlt (Ist = 1 Gebinde); ","")&amp;BM1305)</f>
        <v>negativer Bestand (Export -6); </v>
      </c>
      <c r="BF1305" s="55"/>
      <c r="BG1305" s="55"/>
      <c r="BH1305" s="62"/>
      <c r="BI1305" s="57" t="n">
        <v>-6</v>
      </c>
      <c r="BJ1305" s="57" t="n">
        <v>26</v>
      </c>
      <c r="BK1305" s="56" t="n">
        <v>-1221</v>
      </c>
      <c r="BL1305" s="57" t="n">
        <v>68</v>
      </c>
      <c r="BM1305" s="55"/>
      <c r="BN1305" s="60" t="n">
        <v>0</v>
      </c>
      <c r="BO1305" s="60" t="n">
        <v>1305</v>
      </c>
      <c r="BP1305" s="55" t="str">
        <f aca="false">IF(S1305&lt;&gt;"",UPPER(TRIM(S1305)),IF(O1305="","LOSE",O1305))</f>
        <v>S51</v>
      </c>
      <c r="BQ1305" s="57" t="n">
        <f aca="false">IF(BP1305="LOSE",1,IF(N(T1305)&gt;0,T1305,IF(N(P1305)&gt;0,P1305,MAX(1,G1305))))</f>
        <v>56</v>
      </c>
      <c r="BR1305" s="60" t="n">
        <f aca="false">IF(BP1305="LOSE",1,0)</f>
        <v>0</v>
      </c>
      <c r="BS1305" s="59" t="n">
        <f aca="false">IF(BR1305=0,0,IF(N(R1305)&gt;0,R1305,IFERROR(VLOOKUP(D1305,Parameter!$A$35:$C$64,3,0)+0,0)))</f>
        <v>0</v>
      </c>
      <c r="BT1305" s="55" t="n">
        <f aca="false">IF(Y1305&lt;&gt;"",Y1305,X1305)</f>
        <v>3</v>
      </c>
      <c r="BU1305" s="55" t="str">
        <f aca="false">IF(BT1305=1,"L1",IF(OR(BT1305=2,BT1305=3),"L23",IF(BT1305="Aussen","Aussen","-")))</f>
        <v>L23</v>
      </c>
      <c r="BV1305" s="66" t="n">
        <f aca="false">IF(N(Z1305)&gt;0,Z1305,0)</f>
        <v>0</v>
      </c>
      <c r="BW1305" s="60" t="n">
        <f aca="false">IF(ISNUMBER(AC1305),1,0)</f>
        <v>0</v>
      </c>
      <c r="BX1305" s="57" t="n">
        <f aca="false">N(AC1305)</f>
        <v>0</v>
      </c>
      <c r="BY1305" s="57" t="n">
        <f aca="false">N(L1305)+N(M1305)</f>
        <v>39</v>
      </c>
      <c r="BZ1305" s="57" t="n">
        <f aca="false">ROUNDUP(G1305/BQ1305,0)</f>
        <v>0</v>
      </c>
      <c r="CA1305" s="57" t="n">
        <f aca="false">ROUNDUP(BX1305/BQ1305,0)</f>
        <v>0</v>
      </c>
      <c r="CB1305" s="60" t="n">
        <f aca="false">IF(BR1305=1,0,IFERROR(VLOOKUP(BP1305,'Gebinde-Kategorie'!$A$5:$M$45,5,0)+0,0))</f>
        <v>11</v>
      </c>
      <c r="CC1305" s="60" t="n">
        <f aca="false">IFERROR(IF(OR(BT1305=1,BT1305=2,BT1305=3),N(INDEX(Parameter!$I$5:$I$7,BT1305)),0),0)</f>
        <v>0</v>
      </c>
      <c r="CD1305" s="59" t="n">
        <f aca="false">IF(AND(Parameter!$B$21="Ja",ISNUMBER(U1305),N(V1305)&gt;0),IFERROR(N(INDEX(Parameter!$L$5:$L$7,U1305))*INDEX(Parameter!$E$5:$E$7,U1305)*V1305/SUMIFS($V$7:$V$1576,$U$7:$U$1576,U1305),0),0)</f>
        <v>0</v>
      </c>
    </row>
    <row r="1306" customFormat="false" ht="15" hidden="false" customHeight="false" outlineLevel="0" collapsed="false">
      <c r="A1306" s="55" t="s">
        <v>2306</v>
      </c>
      <c r="B1306" s="55" t="s">
        <v>395</v>
      </c>
      <c r="C1306" s="55" t="s">
        <v>160</v>
      </c>
      <c r="D1306" s="55" t="s">
        <v>168</v>
      </c>
      <c r="E1306" s="55" t="s">
        <v>210</v>
      </c>
      <c r="F1306" s="56" t="n">
        <v>0.6</v>
      </c>
      <c r="G1306" s="57" t="n">
        <f aca="false">MAX(0,IF(AND(Parameter!$B$21="Ja",ISNUMBER(W1306)),W1306,IF(Parameter!$B$20="Jahresanfang 2025 + Export",BJ1306+BI1306,BI1306)))</f>
        <v>0</v>
      </c>
      <c r="H1306" s="57" t="n">
        <f aca="false">G1306*F1306</f>
        <v>0</v>
      </c>
      <c r="I1306" s="57" t="n">
        <f aca="false">BL1306*Parameter!$B$18</f>
        <v>2375</v>
      </c>
      <c r="J1306" s="58" t="n">
        <v>2079</v>
      </c>
      <c r="K1306" s="59" t="n">
        <v>1.14237614237614</v>
      </c>
      <c r="L1306" s="57" t="n">
        <v>600</v>
      </c>
      <c r="M1306" s="57" t="n">
        <v>500</v>
      </c>
      <c r="N1306" s="60" t="n">
        <v>91</v>
      </c>
      <c r="O1306" s="55" t="s">
        <v>169</v>
      </c>
      <c r="P1306" s="57" t="n">
        <v>750</v>
      </c>
      <c r="Q1306" s="60" t="n">
        <f aca="false">IF(BR1306=1,0,IFERROR(VLOOKUP(BP1306,'Gebinde-Kategorie'!$A$5:$M$45,13,0)+0,0))</f>
        <v>6</v>
      </c>
      <c r="R1306" s="61"/>
      <c r="S1306" s="62"/>
      <c r="T1306" s="62"/>
      <c r="U1306" s="55"/>
      <c r="V1306" s="57"/>
      <c r="W1306" s="57"/>
      <c r="X1306" s="55" t="n">
        <f aca="false">IF(A1306="","",IF(AND(Parameter!$B$21="Ja",ISNUMBER(U1306)),U1306,IF(IFERROR(VLOOKUP(D1306,Parameter!$A$35:$C$64,2,0),"Nein")="2+3",IF(ISNUMBER(SEARCH("grosser Artikel",BM1306)),2,IFERROR(VLOOKUP(BP1306,Parameter!$F$35:$G$64,2,0),2)),IF(OR(IFERROR(VLOOKUP(D1306,Parameter!$A$35:$C$64,2,0),"Nein")="Nein",IFERROR(VLOOKUP(D1306,Parameter!$A$35:$C$64,2,0),"Nein")=""),"-",VLOOKUP(D1306,Parameter!$A$35:$C$64,2,0)))))</f>
        <v>2</v>
      </c>
      <c r="Y1306" s="62"/>
      <c r="Z1306" s="63"/>
      <c r="AA1306" s="57" t="n">
        <f aca="false">AP1306</f>
        <v>1500</v>
      </c>
      <c r="AB1306" s="57" t="n">
        <f aca="false">MAX(AP1306,G1306)</f>
        <v>1500</v>
      </c>
      <c r="AC1306" s="64"/>
      <c r="AD1306" s="57" t="n">
        <f aca="false">IF(LEFT(Cockpit!$C$5,1)="A",G1306,IF(BW1306=1,BX1306,IF(LEFT(Cockpit!$C$5,1)="B",AH1306,MAX(AH1306,G1306))))</f>
        <v>0</v>
      </c>
      <c r="AE1306" s="57" t="n">
        <f aca="false">IF(BR1306=1,0,ROUNDUP(AD1306/BQ1306,0))</f>
        <v>0</v>
      </c>
      <c r="AF1306" s="59" t="n">
        <f aca="false">IF(CD1306&gt;0,CD1306*MAX(1,AD1306/V1306),IF(BR1306=1,IF(AD1306&lt;=0,0,BS1306*MAX(1,IF(G1306&gt;0,AD1306/G1306,1))),IF(Q1306&gt;0,AE1306/Q1306,0))/MAX(0.1,N(Parameter!$M$21)))</f>
        <v>0</v>
      </c>
      <c r="AG1306" s="57" t="n">
        <f aca="false">AD1306*F1306</f>
        <v>0</v>
      </c>
      <c r="AH1306" s="57" t="n">
        <f aca="false">ROUNDUP(MAX(I1306/IF(BV1306&gt;0,BV1306,MAX(0.1,N(Cockpit!$C$6))),BY1306)/BQ1306,0)*BQ1306</f>
        <v>1500</v>
      </c>
      <c r="AI1306" s="58" t="n">
        <f aca="false">IF(AF1306&gt;0,I1306/AF1306,-1)</f>
        <v>-1</v>
      </c>
      <c r="AJ1306" s="58" t="str">
        <f aca="false">IF(AND(OR(BU1306="L1",BU1306="L23"),AF1306&gt;0),SUMIFS($AF$7:$AF$1576,$BU$7:$BU$1576,BU1306,$AI$7:$AI$1576,"&gt;"&amp;AI1306)+SUMIFS($AF$7:$AF$1576,$BU$7:$BU$1576,BU1306,$AI$7:$AI$1576,AI1306,$BO$7:$BO$1576,"&lt;="&amp;BO1306),"")</f>
        <v/>
      </c>
      <c r="AK1306" s="65" t="n">
        <f aca="false">IF(AJ1306="",0,MAX(0,MIN(1,(IF(BU1306="L1",Parameter!$E$5,Parameter!$E$6+Parameter!$E$7)-(AJ1306-AF1306))/AF1306)))</f>
        <v>0</v>
      </c>
      <c r="AL1306" s="57" t="n">
        <f aca="false">IF(LEFT(Cockpit!$I$5,1)="A",G1306,IF(BW1306=1,BX1306,IF(LEFT(Cockpit!$I$5,1)="B",AP1306,MAX(AP1306,G1306))))</f>
        <v>1500</v>
      </c>
      <c r="AM1306" s="57" t="n">
        <f aca="false">IF(BR1306=1,0,ROUNDUP(AL1306/BQ1306,0))</f>
        <v>2</v>
      </c>
      <c r="AN1306" s="59" t="n">
        <f aca="false">IF(CD1306&gt;0,CD1306*MAX(1,AL1306/V1306),IF(BR1306=1,IF(AL1306&lt;=0,0,BS1306*MAX(1,IF(G1306&gt;0,AL1306/G1306,1))),IF(Q1306&gt;0,AM1306/Q1306,0))/MAX(0.1,N(Parameter!$M$21)))</f>
        <v>0.333333333333333</v>
      </c>
      <c r="AO1306" s="57" t="n">
        <f aca="false">AL1306*F1306</f>
        <v>900</v>
      </c>
      <c r="AP1306" s="57" t="n">
        <f aca="false">ROUNDUP(MAX(I1306/IF(BV1306&gt;0,BV1306,MAX(0.1,N(Cockpit!$I$6))),BY1306)/BQ1306,0)*BQ1306</f>
        <v>1500</v>
      </c>
      <c r="AQ1306" s="58" t="n">
        <f aca="false">IF(AN1306&gt;0,I1306/AN1306,-1)</f>
        <v>7125</v>
      </c>
      <c r="AR1306" s="58" t="n">
        <f aca="false">IF(AND(OR(BU1306="L1",BU1306="L23"),AN1306&gt;0),SUMIFS($AN$7:$AN$1576,$BU$7:$BU$1576,BU1306,$AQ$7:$AQ$1576,"&gt;"&amp;AQ1306)+SUMIFS($AN$7:$AN$1576,$BU$7:$BU$1576,BU1306,$AQ$7:$AQ$1576,AQ1306,$BO$7:$BO$1576,"&lt;="&amp;BO1306),"")</f>
        <v>8.73825445086315</v>
      </c>
      <c r="AS1306" s="65" t="n">
        <f aca="false">IF(AR1306="",0,MAX(0,MIN(1,(IF(BU1306="L1",Parameter!$E$5,Parameter!$E$6+Parameter!$E$7)-(AR1306-AN1306))/AN1306)))</f>
        <v>1</v>
      </c>
      <c r="AT1306" s="57" t="n">
        <f aca="false">IF(LEFT(Cockpit!$O$5,1)="A",G1306,IF(BW1306=1,BX1306,IF(LEFT(Cockpit!$O$5,1)="B",AX1306,MAX(AX1306,G1306))))</f>
        <v>1500</v>
      </c>
      <c r="AU1306" s="57" t="n">
        <f aca="false">IF(BR1306=1,0,ROUNDUP(AT1306/BQ1306,0))</f>
        <v>2</v>
      </c>
      <c r="AV1306" s="59" t="n">
        <f aca="false">IF(CD1306&gt;0,CD1306*MAX(1,AT1306/V1306),IF(BR1306=1,IF(AT1306&lt;=0,0,BS1306*MAX(1,IF(G1306&gt;0,AT1306/G1306,1))),IF(Q1306&gt;0,AU1306/Q1306,0))/MAX(0.1,N(Parameter!$M$21)))</f>
        <v>0.333333333333333</v>
      </c>
      <c r="AW1306" s="57" t="n">
        <f aca="false">AT1306*F1306</f>
        <v>900</v>
      </c>
      <c r="AX1306" s="57" t="n">
        <f aca="false">ROUNDUP(MAX(I1306/IF(BV1306&gt;0,BV1306,MAX(0.1,N(Cockpit!$O$6))),BY1306)/BQ1306,0)*BQ1306</f>
        <v>1500</v>
      </c>
      <c r="AY1306" s="58" t="n">
        <f aca="false">IF(AV1306&gt;0,I1306/AV1306,-1)</f>
        <v>7125</v>
      </c>
      <c r="AZ1306" s="58" t="n">
        <f aca="false">IF(AND(OR(BU1306="L1",BU1306="L23"),AV1306&gt;0),SUMIFS($AV$7:$AV$1576,$BU$7:$BU$1576,BU1306,$AY$7:$AY$1576,"&gt;"&amp;AY1306)+SUMIFS($AV$7:$AV$1576,$BU$7:$BU$1576,BU1306,$AY$7:$AY$1576,AY1306,$BO$7:$BO$1576,"&lt;="&amp;BO1306),"")</f>
        <v>8.42065538326408</v>
      </c>
      <c r="BA1306" s="65" t="n">
        <f aca="false">IF(AZ1306="",0,MAX(0,MIN(1,(IF(BU1306="L1",Parameter!$E$5,Parameter!$E$6+Parameter!$E$7)-(AZ1306-AV1306))/AV1306)))</f>
        <v>1</v>
      </c>
      <c r="BB1306" s="55" t="str">
        <f aca="false">IF(AF1306&lt;=0,"",IF(BU1306="Aussen","Aussenlager",IF(BU1306="-","Nicht im Lift",IF(AK1306&gt;=1,"Lift",IF(AK1306&lt;=0,"Aussenlager","teilweise")))))</f>
        <v/>
      </c>
      <c r="BC1306" s="55" t="str">
        <f aca="false">IF(AN1306&lt;=0,"",IF(BU1306="Aussen","Aussenlager",IF(BU1306="-","Nicht im Lift",IF(AS1306&gt;=1,"Lift",IF(AS1306&lt;=0,"Aussenlager","teilweise")))))</f>
        <v>Lift</v>
      </c>
      <c r="BD1306" s="55" t="str">
        <f aca="false">IF(AV1306&lt;=0,"",IF(BU1306="Aussen","Aussenlager",IF(BU1306="-","Nicht im Lift",IF(BA1306&gt;=1,"Lift",IF(BA1306&lt;=0,"Aussenlager","teilweise")))))</f>
        <v>Lift</v>
      </c>
      <c r="BE1306" s="55" t="str">
        <f aca="false">IF(A1306="","",IF(BN1306=1,"Neu; ","")&amp;IF(AND(BN1306=0,BI1306&lt;0),"negativer Bestand (Export "&amp;BI1306&amp;"); ","")&amp;IF(I1306&lt;=0,"Kein Verbrauch; ","")&amp;IF(CD1306&gt;0,"Lift "&amp;U1306&amp;" lt. Liftbericht (Fach "&amp;V1306&amp;" Stk); ",IF(BR1306=1,"Lose – Fläche geschätzt; ",""))&amp;IF(G1306&gt;AP1306,"Überbestand "&amp;ROUND(G1306-AP1306,0)&amp;" Stk / CHF "&amp;ROUND((G1306-AP1306)*F1306,0)&amp;"; ","")&amp;IF(AND(BW1306=1,BX1306&lt;BY1306),"MAX &lt; MB+LG; ","")&amp;IF(AND(CC1306&gt;0,CB1306*10&gt;CC1306),"zu hoch für Tablar; ","")&amp;IF(AND(BN1306=0,OR(BW1306=1,Y1306&lt;&gt;"",S1306&lt;&gt;"",T1306&lt;&gt;"",Z1306&lt;&gt;"")),"manuell übersteuert; ","")&amp;IF(AND(BR1306=0,Q1306=0),"Gebinde unbekannt / Stellmass fehlt; ","")&amp;IF(AND(BR1306=0,N(T1306)&lt;=0,N(P1306)&lt;=0),"Menge pro Gebinde fehlt (Ist = 1 Gebinde); ","")&amp;BM1306)</f>
        <v>negativer Bestand (Export -1973); grosse  Artikelmenge</v>
      </c>
      <c r="BF1306" s="55"/>
      <c r="BG1306" s="55"/>
      <c r="BH1306" s="62"/>
      <c r="BI1306" s="57" t="n">
        <v>-1973</v>
      </c>
      <c r="BJ1306" s="57" t="n">
        <v>3180</v>
      </c>
      <c r="BK1306" s="56" t="n">
        <v>-1221.58</v>
      </c>
      <c r="BL1306" s="57" t="n">
        <v>2375</v>
      </c>
      <c r="BM1306" s="55" t="s">
        <v>1594</v>
      </c>
      <c r="BN1306" s="60" t="n">
        <v>0</v>
      </c>
      <c r="BO1306" s="60" t="n">
        <v>1306</v>
      </c>
      <c r="BP1306" s="55" t="str">
        <f aca="false">IF(S1306&lt;&gt;"",UPPER(TRIM(S1306)),IF(O1306="","LOSE",O1306))</f>
        <v>S71</v>
      </c>
      <c r="BQ1306" s="57" t="n">
        <f aca="false">IF(BP1306="LOSE",1,IF(N(T1306)&gt;0,T1306,IF(N(P1306)&gt;0,P1306,MAX(1,G1306))))</f>
        <v>750</v>
      </c>
      <c r="BR1306" s="60" t="n">
        <f aca="false">IF(BP1306="LOSE",1,0)</f>
        <v>0</v>
      </c>
      <c r="BS1306" s="59" t="n">
        <f aca="false">IF(BR1306=0,0,IF(N(R1306)&gt;0,R1306,IFERROR(VLOOKUP(D1306,Parameter!$A$35:$C$64,3,0)+0,0)))</f>
        <v>0</v>
      </c>
      <c r="BT1306" s="55" t="n">
        <f aca="false">IF(Y1306&lt;&gt;"",Y1306,X1306)</f>
        <v>2</v>
      </c>
      <c r="BU1306" s="55" t="str">
        <f aca="false">IF(BT1306=1,"L1",IF(OR(BT1306=2,BT1306=3),"L23",IF(BT1306="Aussen","Aussen","-")))</f>
        <v>L23</v>
      </c>
      <c r="BV1306" s="66" t="n">
        <f aca="false">IF(N(Z1306)&gt;0,Z1306,0)</f>
        <v>0</v>
      </c>
      <c r="BW1306" s="60" t="n">
        <f aca="false">IF(ISNUMBER(AC1306),1,0)</f>
        <v>0</v>
      </c>
      <c r="BX1306" s="57" t="n">
        <f aca="false">N(AC1306)</f>
        <v>0</v>
      </c>
      <c r="BY1306" s="57" t="n">
        <f aca="false">N(L1306)+N(M1306)</f>
        <v>1100</v>
      </c>
      <c r="BZ1306" s="57" t="n">
        <f aca="false">ROUNDUP(G1306/BQ1306,0)</f>
        <v>0</v>
      </c>
      <c r="CA1306" s="57" t="n">
        <f aca="false">ROUNDUP(BX1306/BQ1306,0)</f>
        <v>0</v>
      </c>
      <c r="CB1306" s="60" t="n">
        <f aca="false">IF(BR1306=1,0,IFERROR(VLOOKUP(BP1306,'Gebinde-Kategorie'!$A$5:$M$45,5,0)+0,0))</f>
        <v>20</v>
      </c>
      <c r="CC1306" s="60" t="n">
        <f aca="false">IFERROR(IF(OR(BT1306=1,BT1306=2,BT1306=3),N(INDEX(Parameter!$I$5:$I$7,BT1306)),0),0)</f>
        <v>0</v>
      </c>
      <c r="CD1306" s="59" t="n">
        <f aca="false">IF(AND(Parameter!$B$21="Ja",ISNUMBER(U1306),N(V1306)&gt;0),IFERROR(N(INDEX(Parameter!$L$5:$L$7,U1306))*INDEX(Parameter!$E$5:$E$7,U1306)*V1306/SUMIFS($V$7:$V$1576,$U$7:$U$1576,U1306),0),0)</f>
        <v>0</v>
      </c>
    </row>
    <row r="1307" customFormat="false" ht="15" hidden="false" customHeight="false" outlineLevel="0" collapsed="false">
      <c r="A1307" s="55" t="s">
        <v>2307</v>
      </c>
      <c r="B1307" s="55" t="s">
        <v>2167</v>
      </c>
      <c r="C1307" s="55" t="s">
        <v>446</v>
      </c>
      <c r="D1307" s="55" t="s">
        <v>168</v>
      </c>
      <c r="E1307" s="55" t="s">
        <v>210</v>
      </c>
      <c r="F1307" s="56" t="n">
        <v>50.01</v>
      </c>
      <c r="G1307" s="57" t="n">
        <f aca="false">MAX(0,IF(AND(Parameter!$B$21="Ja",ISNUMBER(W1307)),W1307,IF(Parameter!$B$20="Jahresanfang 2025 + Export",BJ1307+BI1307,BI1307)))</f>
        <v>0</v>
      </c>
      <c r="H1307" s="57" t="n">
        <f aca="false">G1307*F1307</f>
        <v>0</v>
      </c>
      <c r="I1307" s="57" t="n">
        <f aca="false">BL1307*Parameter!$B$18</f>
        <v>33</v>
      </c>
      <c r="J1307" s="58" t="n">
        <v>20.5</v>
      </c>
      <c r="K1307" s="59" t="n">
        <v>1.60975609756098</v>
      </c>
      <c r="L1307" s="57" t="n">
        <v>1</v>
      </c>
      <c r="M1307" s="57" t="n">
        <v>20</v>
      </c>
      <c r="N1307" s="60" t="n">
        <v>21</v>
      </c>
      <c r="O1307" s="55" t="s">
        <v>163</v>
      </c>
      <c r="P1307" s="57"/>
      <c r="Q1307" s="60" t="n">
        <f aca="false">IF(BR1307=1,0,IFERROR(VLOOKUP(BP1307,'Gebinde-Kategorie'!$A$5:$M$45,13,0)+0,0))</f>
        <v>0</v>
      </c>
      <c r="R1307" s="61"/>
      <c r="S1307" s="62"/>
      <c r="T1307" s="62"/>
      <c r="U1307" s="55"/>
      <c r="V1307" s="57"/>
      <c r="W1307" s="57"/>
      <c r="X1307" s="55" t="n">
        <f aca="false">IF(A1307="","",IF(AND(Parameter!$B$21="Ja",ISNUMBER(U1307)),U1307,IF(IFERROR(VLOOKUP(D1307,Parameter!$A$35:$C$64,2,0),"Nein")="2+3",IF(ISNUMBER(SEARCH("grosser Artikel",BM1307)),2,IFERROR(VLOOKUP(BP1307,Parameter!$F$35:$G$64,2,0),2)),IF(OR(IFERROR(VLOOKUP(D1307,Parameter!$A$35:$C$64,2,0),"Nein")="Nein",IFERROR(VLOOKUP(D1307,Parameter!$A$35:$C$64,2,0),"Nein")=""),"-",VLOOKUP(D1307,Parameter!$A$35:$C$64,2,0)))))</f>
        <v>2</v>
      </c>
      <c r="Y1307" s="62"/>
      <c r="Z1307" s="63"/>
      <c r="AA1307" s="57" t="n">
        <f aca="false">AP1307</f>
        <v>21</v>
      </c>
      <c r="AB1307" s="57" t="n">
        <f aca="false">MAX(AP1307,G1307)</f>
        <v>21</v>
      </c>
      <c r="AC1307" s="64"/>
      <c r="AD1307" s="57" t="n">
        <f aca="false">IF(LEFT(Cockpit!$C$5,1)="A",G1307,IF(BW1307=1,BX1307,IF(LEFT(Cockpit!$C$5,1)="B",AH1307,MAX(AH1307,G1307))))</f>
        <v>0</v>
      </c>
      <c r="AE1307" s="57" t="n">
        <f aca="false">IF(BR1307=1,0,ROUNDUP(AD1307/BQ1307,0))</f>
        <v>0</v>
      </c>
      <c r="AF1307" s="59" t="n">
        <f aca="false">IF(CD1307&gt;0,CD1307*MAX(1,AD1307/V1307),IF(BR1307=1,IF(AD1307&lt;=0,0,BS1307*MAX(1,IF(G1307&gt;0,AD1307/G1307,1))),IF(Q1307&gt;0,AE1307/Q1307,0))/MAX(0.1,N(Parameter!$M$21)))</f>
        <v>0</v>
      </c>
      <c r="AG1307" s="57" t="n">
        <f aca="false">AD1307*F1307</f>
        <v>0</v>
      </c>
      <c r="AH1307" s="57" t="n">
        <f aca="false">ROUNDUP(MAX(I1307/IF(BV1307&gt;0,BV1307,MAX(0.1,N(Cockpit!$C$6))),BY1307)/BQ1307,0)*BQ1307</f>
        <v>21</v>
      </c>
      <c r="AI1307" s="58" t="n">
        <f aca="false">IF(AF1307&gt;0,I1307/AF1307,-1)</f>
        <v>-1</v>
      </c>
      <c r="AJ1307" s="58" t="str">
        <f aca="false">IF(AND(OR(BU1307="L1",BU1307="L23"),AF1307&gt;0),SUMIFS($AF$7:$AF$1576,$BU$7:$BU$1576,BU1307,$AI$7:$AI$1576,"&gt;"&amp;AI1307)+SUMIFS($AF$7:$AF$1576,$BU$7:$BU$1576,BU1307,$AI$7:$AI$1576,AI1307,$BO$7:$BO$1576,"&lt;="&amp;BO1307),"")</f>
        <v/>
      </c>
      <c r="AK1307" s="65" t="n">
        <f aca="false">IF(AJ1307="",0,MAX(0,MIN(1,(IF(BU1307="L1",Parameter!$E$5,Parameter!$E$6+Parameter!$E$7)-(AJ1307-AF1307))/AF1307)))</f>
        <v>0</v>
      </c>
      <c r="AL1307" s="57" t="n">
        <f aca="false">IF(LEFT(Cockpit!$I$5,1)="A",G1307,IF(BW1307=1,BX1307,IF(LEFT(Cockpit!$I$5,1)="B",AP1307,MAX(AP1307,G1307))))</f>
        <v>21</v>
      </c>
      <c r="AM1307" s="57" t="n">
        <f aca="false">IF(BR1307=1,0,ROUNDUP(AL1307/BQ1307,0))</f>
        <v>0</v>
      </c>
      <c r="AN1307" s="59" t="n">
        <f aca="false">IF(CD1307&gt;0,CD1307*MAX(1,AL1307/V1307),IF(BR1307=1,IF(AL1307&lt;=0,0,BS1307*MAX(1,IF(G1307&gt;0,AL1307/G1307,1))),IF(Q1307&gt;0,AM1307/Q1307,0))/MAX(0.1,N(Parameter!$M$21)))</f>
        <v>0.15</v>
      </c>
      <c r="AO1307" s="57" t="n">
        <f aca="false">AL1307*F1307</f>
        <v>1050.21</v>
      </c>
      <c r="AP1307" s="57" t="n">
        <f aca="false">ROUNDUP(MAX(I1307/IF(BV1307&gt;0,BV1307,MAX(0.1,N(Cockpit!$I$6))),BY1307)/BQ1307,0)*BQ1307</f>
        <v>21</v>
      </c>
      <c r="AQ1307" s="58" t="n">
        <f aca="false">IF(AN1307&gt;0,I1307/AN1307,-1)</f>
        <v>220</v>
      </c>
      <c r="AR1307" s="58" t="n">
        <f aca="false">IF(AND(OR(BU1307="L1",BU1307="L23"),AN1307&gt;0),SUMIFS($AN$7:$AN$1576,$BU$7:$BU$1576,BU1307,$AQ$7:$AQ$1576,"&gt;"&amp;AQ1307)+SUMIFS($AN$7:$AN$1576,$BU$7:$BU$1576,BU1307,$AQ$7:$AQ$1576,AQ1307,$BO$7:$BO$1576,"&lt;="&amp;BO1307),"")</f>
        <v>48.0147915976288</v>
      </c>
      <c r="AS1307" s="65" t="n">
        <f aca="false">IF(AR1307="",0,MAX(0,MIN(1,(IF(BU1307="L1",Parameter!$E$5,Parameter!$E$6+Parameter!$E$7)-(AR1307-AN1307))/AN1307)))</f>
        <v>1</v>
      </c>
      <c r="AT1307" s="57" t="n">
        <f aca="false">IF(LEFT(Cockpit!$O$5,1)="A",G1307,IF(BW1307=1,BX1307,IF(LEFT(Cockpit!$O$5,1)="B",AX1307,MAX(AX1307,G1307))))</f>
        <v>21</v>
      </c>
      <c r="AU1307" s="57" t="n">
        <f aca="false">IF(BR1307=1,0,ROUNDUP(AT1307/BQ1307,0))</f>
        <v>0</v>
      </c>
      <c r="AV1307" s="59" t="n">
        <f aca="false">IF(CD1307&gt;0,CD1307*MAX(1,AT1307/V1307),IF(BR1307=1,IF(AT1307&lt;=0,0,BS1307*MAX(1,IF(G1307&gt;0,AT1307/G1307,1))),IF(Q1307&gt;0,AU1307/Q1307,0))/MAX(0.1,N(Parameter!$M$21)))</f>
        <v>0.15</v>
      </c>
      <c r="AW1307" s="57" t="n">
        <f aca="false">AT1307*F1307</f>
        <v>1050.21</v>
      </c>
      <c r="AX1307" s="57" t="n">
        <f aca="false">ROUNDUP(MAX(I1307/IF(BV1307&gt;0,BV1307,MAX(0.1,N(Cockpit!$O$6))),BY1307)/BQ1307,0)*BQ1307</f>
        <v>21</v>
      </c>
      <c r="AY1307" s="58" t="n">
        <f aca="false">IF(AV1307&gt;0,I1307/AV1307,-1)</f>
        <v>220</v>
      </c>
      <c r="AZ1307" s="58" t="n">
        <f aca="false">IF(AND(OR(BU1307="L1",BU1307="L23"),AV1307&gt;0),SUMIFS($AV$7:$AV$1576,$BU$7:$BU$1576,BU1307,$AY$7:$AY$1576,"&gt;"&amp;AY1307)+SUMIFS($AV$7:$AV$1576,$BU$7:$BU$1576,BU1307,$AY$7:$AY$1576,AY1307,$BO$7:$BO$1576,"&lt;="&amp;BO1307),"")</f>
        <v>45.2943853372226</v>
      </c>
      <c r="BA1307" s="65" t="n">
        <f aca="false">IF(AZ1307="",0,MAX(0,MIN(1,(IF(BU1307="L1",Parameter!$E$5,Parameter!$E$6+Parameter!$E$7)-(AZ1307-AV1307))/AV1307)))</f>
        <v>1</v>
      </c>
      <c r="BB1307" s="55" t="str">
        <f aca="false">IF(AF1307&lt;=0,"",IF(BU1307="Aussen","Aussenlager",IF(BU1307="-","Nicht im Lift",IF(AK1307&gt;=1,"Lift",IF(AK1307&lt;=0,"Aussenlager","teilweise")))))</f>
        <v/>
      </c>
      <c r="BC1307" s="55" t="str">
        <f aca="false">IF(AN1307&lt;=0,"",IF(BU1307="Aussen","Aussenlager",IF(BU1307="-","Nicht im Lift",IF(AS1307&gt;=1,"Lift",IF(AS1307&lt;=0,"Aussenlager","teilweise")))))</f>
        <v>Lift</v>
      </c>
      <c r="BD1307" s="55" t="str">
        <f aca="false">IF(AV1307&lt;=0,"",IF(BU1307="Aussen","Aussenlager",IF(BU1307="-","Nicht im Lift",IF(BA1307&gt;=1,"Lift",IF(BA1307&lt;=0,"Aussenlager","teilweise")))))</f>
        <v>Lift</v>
      </c>
      <c r="BE1307" s="55" t="str">
        <f aca="false">IF(A1307="","",IF(BN1307=1,"Neu; ","")&amp;IF(AND(BN1307=0,BI1307&lt;0),"negativer Bestand (Export "&amp;BI1307&amp;"); ","")&amp;IF(I1307&lt;=0,"Kein Verbrauch; ","")&amp;IF(CD1307&gt;0,"Lift "&amp;U1307&amp;" lt. Liftbericht (Fach "&amp;V1307&amp;" Stk); ",IF(BR1307=1,"Lose – Fläche geschätzt; ",""))&amp;IF(G1307&gt;AP1307,"Überbestand "&amp;ROUND(G1307-AP1307,0)&amp;" Stk / CHF "&amp;ROUND((G1307-AP1307)*F1307,0)&amp;"; ","")&amp;IF(AND(BW1307=1,BX1307&lt;BY1307),"MAX &lt; MB+LG; ","")&amp;IF(AND(CC1307&gt;0,CB1307*10&gt;CC1307),"zu hoch für Tablar; ","")&amp;IF(AND(BN1307=0,OR(BW1307=1,Y1307&lt;&gt;"",S1307&lt;&gt;"",T1307&lt;&gt;"",Z1307&lt;&gt;"")),"manuell übersteuert; ","")&amp;IF(AND(BR1307=0,Q1307=0),"Gebinde unbekannt / Stellmass fehlt; ","")&amp;IF(AND(BR1307=0,N(T1307)&lt;=0,N(P1307)&lt;=0),"Menge pro Gebinde fehlt (Ist = 1 Gebinde); ","")&amp;BM1307)</f>
        <v>negativer Bestand (Export -25); Lose – Fläche geschätzt; </v>
      </c>
      <c r="BF1307" s="55"/>
      <c r="BG1307" s="55"/>
      <c r="BH1307" s="62"/>
      <c r="BI1307" s="57" t="n">
        <v>-25</v>
      </c>
      <c r="BJ1307" s="57" t="n">
        <v>25</v>
      </c>
      <c r="BK1307" s="56" t="n">
        <v>-1239.5</v>
      </c>
      <c r="BL1307" s="57" t="n">
        <v>33</v>
      </c>
      <c r="BM1307" s="55"/>
      <c r="BN1307" s="60" t="n">
        <v>0</v>
      </c>
      <c r="BO1307" s="60" t="n">
        <v>1307</v>
      </c>
      <c r="BP1307" s="55" t="str">
        <f aca="false">IF(S1307&lt;&gt;"",UPPER(TRIM(S1307)),IF(O1307="","LOSE",O1307))</f>
        <v>LOSE</v>
      </c>
      <c r="BQ1307" s="57" t="n">
        <f aca="false">IF(BP1307="LOSE",1,IF(N(T1307)&gt;0,T1307,IF(N(P1307)&gt;0,P1307,MAX(1,G1307))))</f>
        <v>1</v>
      </c>
      <c r="BR1307" s="60" t="n">
        <f aca="false">IF(BP1307="LOSE",1,0)</f>
        <v>1</v>
      </c>
      <c r="BS1307" s="59" t="n">
        <f aca="false">IF(BR1307=0,0,IF(N(R1307)&gt;0,R1307,IFERROR(VLOOKUP(D1307,Parameter!$A$35:$C$64,3,0)+0,0)))</f>
        <v>0.15</v>
      </c>
      <c r="BT1307" s="55" t="n">
        <f aca="false">IF(Y1307&lt;&gt;"",Y1307,X1307)</f>
        <v>2</v>
      </c>
      <c r="BU1307" s="55" t="str">
        <f aca="false">IF(BT1307=1,"L1",IF(OR(BT1307=2,BT1307=3),"L23",IF(BT1307="Aussen","Aussen","-")))</f>
        <v>L23</v>
      </c>
      <c r="BV1307" s="66" t="n">
        <f aca="false">IF(N(Z1307)&gt;0,Z1307,0)</f>
        <v>0</v>
      </c>
      <c r="BW1307" s="60" t="n">
        <f aca="false">IF(ISNUMBER(AC1307),1,0)</f>
        <v>0</v>
      </c>
      <c r="BX1307" s="57" t="n">
        <f aca="false">N(AC1307)</f>
        <v>0</v>
      </c>
      <c r="BY1307" s="57" t="n">
        <f aca="false">N(L1307)+N(M1307)</f>
        <v>21</v>
      </c>
      <c r="BZ1307" s="57" t="n">
        <f aca="false">ROUNDUP(G1307/BQ1307,0)</f>
        <v>0</v>
      </c>
      <c r="CA1307" s="57" t="n">
        <f aca="false">ROUNDUP(BX1307/BQ1307,0)</f>
        <v>0</v>
      </c>
      <c r="CB1307" s="60" t="n">
        <f aca="false">IF(BR1307=1,0,IFERROR(VLOOKUP(BP1307,'Gebinde-Kategorie'!$A$5:$M$45,5,0)+0,0))</f>
        <v>0</v>
      </c>
      <c r="CC1307" s="60" t="n">
        <f aca="false">IFERROR(IF(OR(BT1307=1,BT1307=2,BT1307=3),N(INDEX(Parameter!$I$5:$I$7,BT1307)),0),0)</f>
        <v>0</v>
      </c>
      <c r="CD1307" s="59" t="n">
        <f aca="false">IF(AND(Parameter!$B$21="Ja",ISNUMBER(U1307),N(V1307)&gt;0),IFERROR(N(INDEX(Parameter!$L$5:$L$7,U1307))*INDEX(Parameter!$E$5:$E$7,U1307)*V1307/SUMIFS($V$7:$V$1576,$U$7:$U$1576,U1307),0),0)</f>
        <v>0</v>
      </c>
    </row>
    <row r="1308" customFormat="false" ht="15" hidden="false" customHeight="false" outlineLevel="0" collapsed="false">
      <c r="A1308" s="55" t="s">
        <v>2308</v>
      </c>
      <c r="B1308" s="55" t="s">
        <v>2309</v>
      </c>
      <c r="C1308" s="55" t="s">
        <v>160</v>
      </c>
      <c r="D1308" s="55" t="s">
        <v>178</v>
      </c>
      <c r="E1308" s="55" t="s">
        <v>210</v>
      </c>
      <c r="F1308" s="56" t="n">
        <v>28.8</v>
      </c>
      <c r="G1308" s="57" t="n">
        <f aca="false">MAX(0,IF(AND(Parameter!$B$21="Ja",ISNUMBER(W1308)),W1308,IF(Parameter!$B$20="Jahresanfang 2025 + Export",BJ1308+BI1308,BI1308)))</f>
        <v>0</v>
      </c>
      <c r="H1308" s="57" t="n">
        <f aca="false">G1308*F1308</f>
        <v>0</v>
      </c>
      <c r="I1308" s="57" t="n">
        <f aca="false">BL1308*Parameter!$B$18</f>
        <v>180</v>
      </c>
      <c r="J1308" s="58" t="n">
        <v>93</v>
      </c>
      <c r="K1308" s="59" t="n">
        <v>1.93548387096774</v>
      </c>
      <c r="L1308" s="57" t="n">
        <v>4</v>
      </c>
      <c r="M1308" s="57" t="n">
        <v>130</v>
      </c>
      <c r="N1308" s="60" t="n">
        <v>7</v>
      </c>
      <c r="O1308" s="55" t="s">
        <v>225</v>
      </c>
      <c r="P1308" s="57" t="n">
        <v>87</v>
      </c>
      <c r="Q1308" s="60" t="n">
        <f aca="false">IF(BR1308=1,0,IFERROR(VLOOKUP(BP1308,'Gebinde-Kategorie'!$A$5:$M$45,13,0)+0,0))</f>
        <v>26</v>
      </c>
      <c r="R1308" s="61"/>
      <c r="S1308" s="62"/>
      <c r="T1308" s="62"/>
      <c r="U1308" s="55"/>
      <c r="V1308" s="57"/>
      <c r="W1308" s="57"/>
      <c r="X1308" s="55" t="n">
        <f aca="false">IF(A1308="","",IF(AND(Parameter!$B$21="Ja",ISNUMBER(U1308)),U1308,IF(IFERROR(VLOOKUP(D1308,Parameter!$A$35:$C$64,2,0),"Nein")="2+3",IF(ISNUMBER(SEARCH("grosser Artikel",BM1308)),2,IFERROR(VLOOKUP(BP1308,Parameter!$F$35:$G$64,2,0),2)),IF(OR(IFERROR(VLOOKUP(D1308,Parameter!$A$35:$C$64,2,0),"Nein")="Nein",IFERROR(VLOOKUP(D1308,Parameter!$A$35:$C$64,2,0),"Nein")=""),"-",VLOOKUP(D1308,Parameter!$A$35:$C$64,2,0)))))</f>
        <v>3</v>
      </c>
      <c r="Y1308" s="62"/>
      <c r="Z1308" s="63"/>
      <c r="AA1308" s="57" t="n">
        <f aca="false">AP1308</f>
        <v>174</v>
      </c>
      <c r="AB1308" s="57" t="n">
        <f aca="false">MAX(AP1308,G1308)</f>
        <v>174</v>
      </c>
      <c r="AC1308" s="64"/>
      <c r="AD1308" s="57" t="n">
        <f aca="false">IF(LEFT(Cockpit!$C$5,1)="A",G1308,IF(BW1308=1,BX1308,IF(LEFT(Cockpit!$C$5,1)="B",AH1308,MAX(AH1308,G1308))))</f>
        <v>0</v>
      </c>
      <c r="AE1308" s="57" t="n">
        <f aca="false">IF(BR1308=1,0,ROUNDUP(AD1308/BQ1308,0))</f>
        <v>0</v>
      </c>
      <c r="AF1308" s="59" t="n">
        <f aca="false">IF(CD1308&gt;0,CD1308*MAX(1,AD1308/V1308),IF(BR1308=1,IF(AD1308&lt;=0,0,BS1308*MAX(1,IF(G1308&gt;0,AD1308/G1308,1))),IF(Q1308&gt;0,AE1308/Q1308,0))/MAX(0.1,N(Parameter!$M$21)))</f>
        <v>0</v>
      </c>
      <c r="AG1308" s="57" t="n">
        <f aca="false">AD1308*F1308</f>
        <v>0</v>
      </c>
      <c r="AH1308" s="57" t="n">
        <f aca="false">ROUNDUP(MAX(I1308/IF(BV1308&gt;0,BV1308,MAX(0.1,N(Cockpit!$C$6))),BY1308)/BQ1308,0)*BQ1308</f>
        <v>174</v>
      </c>
      <c r="AI1308" s="58" t="n">
        <f aca="false">IF(AF1308&gt;0,I1308/AF1308,-1)</f>
        <v>-1</v>
      </c>
      <c r="AJ1308" s="58" t="str">
        <f aca="false">IF(AND(OR(BU1308="L1",BU1308="L23"),AF1308&gt;0),SUMIFS($AF$7:$AF$1576,$BU$7:$BU$1576,BU1308,$AI$7:$AI$1576,"&gt;"&amp;AI1308)+SUMIFS($AF$7:$AF$1576,$BU$7:$BU$1576,BU1308,$AI$7:$AI$1576,AI1308,$BO$7:$BO$1576,"&lt;="&amp;BO1308),"")</f>
        <v/>
      </c>
      <c r="AK1308" s="65" t="n">
        <f aca="false">IF(AJ1308="",0,MAX(0,MIN(1,(IF(BU1308="L1",Parameter!$E$5,Parameter!$E$6+Parameter!$E$7)-(AJ1308-AF1308))/AF1308)))</f>
        <v>0</v>
      </c>
      <c r="AL1308" s="57" t="n">
        <f aca="false">IF(LEFT(Cockpit!$I$5,1)="A",G1308,IF(BW1308=1,BX1308,IF(LEFT(Cockpit!$I$5,1)="B",AP1308,MAX(AP1308,G1308))))</f>
        <v>174</v>
      </c>
      <c r="AM1308" s="57" t="n">
        <f aca="false">IF(BR1308=1,0,ROUNDUP(AL1308/BQ1308,0))</f>
        <v>2</v>
      </c>
      <c r="AN1308" s="59" t="n">
        <f aca="false">IF(CD1308&gt;0,CD1308*MAX(1,AL1308/V1308),IF(BR1308=1,IF(AL1308&lt;=0,0,BS1308*MAX(1,IF(G1308&gt;0,AL1308/G1308,1))),IF(Q1308&gt;0,AM1308/Q1308,0))/MAX(0.1,N(Parameter!$M$21)))</f>
        <v>0.0769230769230769</v>
      </c>
      <c r="AO1308" s="57" t="n">
        <f aca="false">AL1308*F1308</f>
        <v>5011.2</v>
      </c>
      <c r="AP1308" s="57" t="n">
        <f aca="false">ROUNDUP(MAX(I1308/IF(BV1308&gt;0,BV1308,MAX(0.1,N(Cockpit!$I$6))),BY1308)/BQ1308,0)*BQ1308</f>
        <v>174</v>
      </c>
      <c r="AQ1308" s="58" t="n">
        <f aca="false">IF(AN1308&gt;0,I1308/AN1308,-1)</f>
        <v>2340</v>
      </c>
      <c r="AR1308" s="58" t="n">
        <f aca="false">IF(AND(OR(BU1308="L1",BU1308="L23"),AN1308&gt;0),SUMIFS($AN$7:$AN$1576,$BU$7:$BU$1576,BU1308,$AQ$7:$AQ$1576,"&gt;"&amp;AQ1308)+SUMIFS($AN$7:$AN$1576,$BU$7:$BU$1576,BU1308,$AQ$7:$AQ$1576,AQ1308,$BO$7:$BO$1576,"&lt;="&amp;BO1308),"")</f>
        <v>16.3692006668205</v>
      </c>
      <c r="AS1308" s="65" t="n">
        <f aca="false">IF(AR1308="",0,MAX(0,MIN(1,(IF(BU1308="L1",Parameter!$E$5,Parameter!$E$6+Parameter!$E$7)-(AR1308-AN1308))/AN1308)))</f>
        <v>1</v>
      </c>
      <c r="AT1308" s="57" t="n">
        <f aca="false">IF(LEFT(Cockpit!$O$5,1)="A",G1308,IF(BW1308=1,BX1308,IF(LEFT(Cockpit!$O$5,1)="B",AX1308,MAX(AX1308,G1308))))</f>
        <v>174</v>
      </c>
      <c r="AU1308" s="57" t="n">
        <f aca="false">IF(BR1308=1,0,ROUNDUP(AT1308/BQ1308,0))</f>
        <v>2</v>
      </c>
      <c r="AV1308" s="59" t="n">
        <f aca="false">IF(CD1308&gt;0,CD1308*MAX(1,AT1308/V1308),IF(BR1308=1,IF(AT1308&lt;=0,0,BS1308*MAX(1,IF(G1308&gt;0,AT1308/G1308,1))),IF(Q1308&gt;0,AU1308/Q1308,0))/MAX(0.1,N(Parameter!$M$21)))</f>
        <v>0.0769230769230769</v>
      </c>
      <c r="AW1308" s="57" t="n">
        <f aca="false">AT1308*F1308</f>
        <v>5011.2</v>
      </c>
      <c r="AX1308" s="57" t="n">
        <f aca="false">ROUNDUP(MAX(I1308/IF(BV1308&gt;0,BV1308,MAX(0.1,N(Cockpit!$O$6))),BY1308)/BQ1308,0)*BQ1308</f>
        <v>174</v>
      </c>
      <c r="AY1308" s="58" t="n">
        <f aca="false">IF(AV1308&gt;0,I1308/AV1308,-1)</f>
        <v>2340</v>
      </c>
      <c r="AZ1308" s="58" t="n">
        <f aca="false">IF(AND(OR(BU1308="L1",BU1308="L23"),AV1308&gt;0),SUMIFS($AV$7:$AV$1576,$BU$7:$BU$1576,BU1308,$AY$7:$AY$1576,"&gt;"&amp;AY1308)+SUMIFS($AV$7:$AV$1576,$BU$7:$BU$1576,BU1308,$AY$7:$AY$1576,AY1308,$BO$7:$BO$1576,"&lt;="&amp;BO1308),"")</f>
        <v>15.1733964710163</v>
      </c>
      <c r="BA1308" s="65" t="n">
        <f aca="false">IF(AZ1308="",0,MAX(0,MIN(1,(IF(BU1308="L1",Parameter!$E$5,Parameter!$E$6+Parameter!$E$7)-(AZ1308-AV1308))/AV1308)))</f>
        <v>1</v>
      </c>
      <c r="BB1308" s="55" t="str">
        <f aca="false">IF(AF1308&lt;=0,"",IF(BU1308="Aussen","Aussenlager",IF(BU1308="-","Nicht im Lift",IF(AK1308&gt;=1,"Lift",IF(AK1308&lt;=0,"Aussenlager","teilweise")))))</f>
        <v/>
      </c>
      <c r="BC1308" s="55" t="str">
        <f aca="false">IF(AN1308&lt;=0,"",IF(BU1308="Aussen","Aussenlager",IF(BU1308="-","Nicht im Lift",IF(AS1308&gt;=1,"Lift",IF(AS1308&lt;=0,"Aussenlager","teilweise")))))</f>
        <v>Lift</v>
      </c>
      <c r="BD1308" s="55" t="str">
        <f aca="false">IF(AV1308&lt;=0,"",IF(BU1308="Aussen","Aussenlager",IF(BU1308="-","Nicht im Lift",IF(BA1308&gt;=1,"Lift",IF(BA1308&lt;=0,"Aussenlager","teilweise")))))</f>
        <v>Lift</v>
      </c>
      <c r="BE1308" s="55" t="str">
        <f aca="false">IF(A1308="","",IF(BN1308=1,"Neu; ","")&amp;IF(AND(BN1308=0,BI1308&lt;0),"negativer Bestand (Export "&amp;BI1308&amp;"); ","")&amp;IF(I1308&lt;=0,"Kein Verbrauch; ","")&amp;IF(CD1308&gt;0,"Lift "&amp;U1308&amp;" lt. Liftbericht (Fach "&amp;V1308&amp;" Stk); ",IF(BR1308=1,"Lose – Fläche geschätzt; ",""))&amp;IF(G1308&gt;AP1308,"Überbestand "&amp;ROUND(G1308-AP1308,0)&amp;" Stk / CHF "&amp;ROUND((G1308-AP1308)*F1308,0)&amp;"; ","")&amp;IF(AND(BW1308=1,BX1308&lt;BY1308),"MAX &lt; MB+LG; ","")&amp;IF(AND(CC1308&gt;0,CB1308*10&gt;CC1308),"zu hoch für Tablar; ","")&amp;IF(AND(BN1308=0,OR(BW1308=1,Y1308&lt;&gt;"",S1308&lt;&gt;"",T1308&lt;&gt;"",Z1308&lt;&gt;"")),"manuell übersteuert; ","")&amp;IF(AND(BR1308=0,Q1308=0),"Gebinde unbekannt / Stellmass fehlt; ","")&amp;IF(AND(BR1308=0,N(T1308)&lt;=0,N(P1308)&lt;=0),"Menge pro Gebinde fehlt (Ist = 1 Gebinde); ","")&amp;BM1308)</f>
        <v>negativer Bestand (Export -44); </v>
      </c>
      <c r="BF1308" s="55"/>
      <c r="BG1308" s="55"/>
      <c r="BH1308" s="62"/>
      <c r="BI1308" s="57" t="n">
        <v>-44</v>
      </c>
      <c r="BJ1308" s="57" t="n">
        <v>123</v>
      </c>
      <c r="BK1308" s="56" t="n">
        <v>-1264.74</v>
      </c>
      <c r="BL1308" s="57" t="n">
        <v>180</v>
      </c>
      <c r="BM1308" s="55"/>
      <c r="BN1308" s="60" t="n">
        <v>0</v>
      </c>
      <c r="BO1308" s="60" t="n">
        <v>1308</v>
      </c>
      <c r="BP1308" s="55" t="str">
        <f aca="false">IF(S1308&lt;&gt;"",UPPER(TRIM(S1308)),IF(O1308="","LOSE",O1308))</f>
        <v>S52</v>
      </c>
      <c r="BQ1308" s="57" t="n">
        <f aca="false">IF(BP1308="LOSE",1,IF(N(T1308)&gt;0,T1308,IF(N(P1308)&gt;0,P1308,MAX(1,G1308))))</f>
        <v>87</v>
      </c>
      <c r="BR1308" s="60" t="n">
        <f aca="false">IF(BP1308="LOSE",1,0)</f>
        <v>0</v>
      </c>
      <c r="BS1308" s="59" t="n">
        <f aca="false">IF(BR1308=0,0,IF(N(R1308)&gt;0,R1308,IFERROR(VLOOKUP(D1308,Parameter!$A$35:$C$64,3,0)+0,0)))</f>
        <v>0</v>
      </c>
      <c r="BT1308" s="55" t="n">
        <f aca="false">IF(Y1308&lt;&gt;"",Y1308,X1308)</f>
        <v>3</v>
      </c>
      <c r="BU1308" s="55" t="str">
        <f aca="false">IF(BT1308=1,"L1",IF(OR(BT1308=2,BT1308=3),"L23",IF(BT1308="Aussen","Aussen","-")))</f>
        <v>L23</v>
      </c>
      <c r="BV1308" s="66" t="n">
        <f aca="false">IF(N(Z1308)&gt;0,Z1308,0)</f>
        <v>0</v>
      </c>
      <c r="BW1308" s="60" t="n">
        <f aca="false">IF(ISNUMBER(AC1308),1,0)</f>
        <v>0</v>
      </c>
      <c r="BX1308" s="57" t="n">
        <f aca="false">N(AC1308)</f>
        <v>0</v>
      </c>
      <c r="BY1308" s="57" t="n">
        <f aca="false">N(L1308)+N(M1308)</f>
        <v>134</v>
      </c>
      <c r="BZ1308" s="57" t="n">
        <f aca="false">ROUNDUP(G1308/BQ1308,0)</f>
        <v>0</v>
      </c>
      <c r="CA1308" s="57" t="n">
        <f aca="false">ROUNDUP(BX1308/BQ1308,0)</f>
        <v>0</v>
      </c>
      <c r="CB1308" s="60" t="n">
        <f aca="false">IF(BR1308=1,0,IFERROR(VLOOKUP(BP1308,'Gebinde-Kategorie'!$A$5:$M$45,5,0)+0,0))</f>
        <v>21</v>
      </c>
      <c r="CC1308" s="60" t="n">
        <f aca="false">IFERROR(IF(OR(BT1308=1,BT1308=2,BT1308=3),N(INDEX(Parameter!$I$5:$I$7,BT1308)),0),0)</f>
        <v>0</v>
      </c>
      <c r="CD1308" s="59" t="n">
        <f aca="false">IF(AND(Parameter!$B$21="Ja",ISNUMBER(U1308),N(V1308)&gt;0),IFERROR(N(INDEX(Parameter!$L$5:$L$7,U1308))*INDEX(Parameter!$E$5:$E$7,U1308)*V1308/SUMIFS($V$7:$V$1576,$U$7:$U$1576,U1308),0),0)</f>
        <v>0</v>
      </c>
    </row>
    <row r="1309" customFormat="false" ht="15" hidden="false" customHeight="false" outlineLevel="0" collapsed="false">
      <c r="A1309" s="55" t="s">
        <v>2310</v>
      </c>
      <c r="B1309" s="55" t="s">
        <v>415</v>
      </c>
      <c r="C1309" s="55" t="s">
        <v>160</v>
      </c>
      <c r="D1309" s="55" t="s">
        <v>178</v>
      </c>
      <c r="E1309" s="55" t="s">
        <v>210</v>
      </c>
      <c r="F1309" s="56" t="n">
        <v>24.31</v>
      </c>
      <c r="G1309" s="57" t="n">
        <f aca="false">MAX(0,IF(AND(Parameter!$B$21="Ja",ISNUMBER(W1309)),W1309,IF(Parameter!$B$20="Jahresanfang 2025 + Export",BJ1309+BI1309,BI1309)))</f>
        <v>0</v>
      </c>
      <c r="H1309" s="57" t="n">
        <f aca="false">G1309*F1309</f>
        <v>0</v>
      </c>
      <c r="I1309" s="57" t="n">
        <f aca="false">BL1309*Parameter!$B$18</f>
        <v>77</v>
      </c>
      <c r="J1309" s="58" t="n">
        <v>57.5</v>
      </c>
      <c r="K1309" s="59" t="n">
        <v>1.33913043478261</v>
      </c>
      <c r="L1309" s="57" t="n">
        <v>2</v>
      </c>
      <c r="M1309" s="57" t="n">
        <v>75</v>
      </c>
      <c r="N1309" s="60" t="n">
        <v>14</v>
      </c>
      <c r="O1309" s="55" t="s">
        <v>293</v>
      </c>
      <c r="P1309" s="57" t="n">
        <v>164</v>
      </c>
      <c r="Q1309" s="60" t="n">
        <f aca="false">IF(BR1309=1,0,IFERROR(VLOOKUP(BP1309,'Gebinde-Kategorie'!$A$5:$M$45,13,0)+0,0))</f>
        <v>26</v>
      </c>
      <c r="R1309" s="61"/>
      <c r="S1309" s="62"/>
      <c r="T1309" s="62"/>
      <c r="U1309" s="55"/>
      <c r="V1309" s="57"/>
      <c r="W1309" s="57"/>
      <c r="X1309" s="55" t="n">
        <f aca="false">IF(A1309="","",IF(AND(Parameter!$B$21="Ja",ISNUMBER(U1309)),U1309,IF(IFERROR(VLOOKUP(D1309,Parameter!$A$35:$C$64,2,0),"Nein")="2+3",IF(ISNUMBER(SEARCH("grosser Artikel",BM1309)),2,IFERROR(VLOOKUP(BP1309,Parameter!$F$35:$G$64,2,0),2)),IF(OR(IFERROR(VLOOKUP(D1309,Parameter!$A$35:$C$64,2,0),"Nein")="Nein",IFERROR(VLOOKUP(D1309,Parameter!$A$35:$C$64,2,0),"Nein")=""),"-",VLOOKUP(D1309,Parameter!$A$35:$C$64,2,0)))))</f>
        <v>3</v>
      </c>
      <c r="Y1309" s="62"/>
      <c r="Z1309" s="63"/>
      <c r="AA1309" s="57" t="n">
        <f aca="false">AP1309</f>
        <v>164</v>
      </c>
      <c r="AB1309" s="57" t="n">
        <f aca="false">MAX(AP1309,G1309)</f>
        <v>164</v>
      </c>
      <c r="AC1309" s="64"/>
      <c r="AD1309" s="57" t="n">
        <f aca="false">IF(LEFT(Cockpit!$C$5,1)="A",G1309,IF(BW1309=1,BX1309,IF(LEFT(Cockpit!$C$5,1)="B",AH1309,MAX(AH1309,G1309))))</f>
        <v>0</v>
      </c>
      <c r="AE1309" s="57" t="n">
        <f aca="false">IF(BR1309=1,0,ROUNDUP(AD1309/BQ1309,0))</f>
        <v>0</v>
      </c>
      <c r="AF1309" s="59" t="n">
        <f aca="false">IF(CD1309&gt;0,CD1309*MAX(1,AD1309/V1309),IF(BR1309=1,IF(AD1309&lt;=0,0,BS1309*MAX(1,IF(G1309&gt;0,AD1309/G1309,1))),IF(Q1309&gt;0,AE1309/Q1309,0))/MAX(0.1,N(Parameter!$M$21)))</f>
        <v>0</v>
      </c>
      <c r="AG1309" s="57" t="n">
        <f aca="false">AD1309*F1309</f>
        <v>0</v>
      </c>
      <c r="AH1309" s="57" t="n">
        <f aca="false">ROUNDUP(MAX(I1309/IF(BV1309&gt;0,BV1309,MAX(0.1,N(Cockpit!$C$6))),BY1309)/BQ1309,0)*BQ1309</f>
        <v>164</v>
      </c>
      <c r="AI1309" s="58" t="n">
        <f aca="false">IF(AF1309&gt;0,I1309/AF1309,-1)</f>
        <v>-1</v>
      </c>
      <c r="AJ1309" s="58" t="str">
        <f aca="false">IF(AND(OR(BU1309="L1",BU1309="L23"),AF1309&gt;0),SUMIFS($AF$7:$AF$1576,$BU$7:$BU$1576,BU1309,$AI$7:$AI$1576,"&gt;"&amp;AI1309)+SUMIFS($AF$7:$AF$1576,$BU$7:$BU$1576,BU1309,$AI$7:$AI$1576,AI1309,$BO$7:$BO$1576,"&lt;="&amp;BO1309),"")</f>
        <v/>
      </c>
      <c r="AK1309" s="65" t="n">
        <f aca="false">IF(AJ1309="",0,MAX(0,MIN(1,(IF(BU1309="L1",Parameter!$E$5,Parameter!$E$6+Parameter!$E$7)-(AJ1309-AF1309))/AF1309)))</f>
        <v>0</v>
      </c>
      <c r="AL1309" s="57" t="n">
        <f aca="false">IF(LEFT(Cockpit!$I$5,1)="A",G1309,IF(BW1309=1,BX1309,IF(LEFT(Cockpit!$I$5,1)="B",AP1309,MAX(AP1309,G1309))))</f>
        <v>164</v>
      </c>
      <c r="AM1309" s="57" t="n">
        <f aca="false">IF(BR1309=1,0,ROUNDUP(AL1309/BQ1309,0))</f>
        <v>1</v>
      </c>
      <c r="AN1309" s="59" t="n">
        <f aca="false">IF(CD1309&gt;0,CD1309*MAX(1,AL1309/V1309),IF(BR1309=1,IF(AL1309&lt;=0,0,BS1309*MAX(1,IF(G1309&gt;0,AL1309/G1309,1))),IF(Q1309&gt;0,AM1309/Q1309,0))/MAX(0.1,N(Parameter!$M$21)))</f>
        <v>0.0384615384615385</v>
      </c>
      <c r="AO1309" s="57" t="n">
        <f aca="false">AL1309*F1309</f>
        <v>3986.84</v>
      </c>
      <c r="AP1309" s="57" t="n">
        <f aca="false">ROUNDUP(MAX(I1309/IF(BV1309&gt;0,BV1309,MAX(0.1,N(Cockpit!$I$6))),BY1309)/BQ1309,0)*BQ1309</f>
        <v>164</v>
      </c>
      <c r="AQ1309" s="58" t="n">
        <f aca="false">IF(AN1309&gt;0,I1309/AN1309,-1)</f>
        <v>2002</v>
      </c>
      <c r="AR1309" s="58" t="n">
        <f aca="false">IF(AND(OR(BU1309="L1",BU1309="L23"),AN1309&gt;0),SUMIFS($AN$7:$AN$1576,$BU$7:$BU$1576,BU1309,$AQ$7:$AQ$1576,"&gt;"&amp;AQ1309)+SUMIFS($AN$7:$AN$1576,$BU$7:$BU$1576,BU1309,$AQ$7:$AQ$1576,AQ1309,$BO$7:$BO$1576,"&lt;="&amp;BO1309),"")</f>
        <v>17.2654457261091</v>
      </c>
      <c r="AS1309" s="65" t="n">
        <f aca="false">IF(AR1309="",0,MAX(0,MIN(1,(IF(BU1309="L1",Parameter!$E$5,Parameter!$E$6+Parameter!$E$7)-(AR1309-AN1309))/AN1309)))</f>
        <v>1</v>
      </c>
      <c r="AT1309" s="57" t="n">
        <f aca="false">IF(LEFT(Cockpit!$O$5,1)="A",G1309,IF(BW1309=1,BX1309,IF(LEFT(Cockpit!$O$5,1)="B",AX1309,MAX(AX1309,G1309))))</f>
        <v>164</v>
      </c>
      <c r="AU1309" s="57" t="n">
        <f aca="false">IF(BR1309=1,0,ROUNDUP(AT1309/BQ1309,0))</f>
        <v>1</v>
      </c>
      <c r="AV1309" s="59" t="n">
        <f aca="false">IF(CD1309&gt;0,CD1309*MAX(1,AT1309/V1309),IF(BR1309=1,IF(AT1309&lt;=0,0,BS1309*MAX(1,IF(G1309&gt;0,AT1309/G1309,1))),IF(Q1309&gt;0,AU1309/Q1309,0))/MAX(0.1,N(Parameter!$M$21)))</f>
        <v>0.0384615384615385</v>
      </c>
      <c r="AW1309" s="57" t="n">
        <f aca="false">AT1309*F1309</f>
        <v>3986.84</v>
      </c>
      <c r="AX1309" s="57" t="n">
        <f aca="false">ROUNDUP(MAX(I1309/IF(BV1309&gt;0,BV1309,MAX(0.1,N(Cockpit!$O$6))),BY1309)/BQ1309,0)*BQ1309</f>
        <v>164</v>
      </c>
      <c r="AY1309" s="58" t="n">
        <f aca="false">IF(AV1309&gt;0,I1309/AV1309,-1)</f>
        <v>2002</v>
      </c>
      <c r="AZ1309" s="58" t="n">
        <f aca="false">IF(AND(OR(BU1309="L1",BU1309="L23"),AV1309&gt;0),SUMIFS($AV$7:$AV$1576,$BU$7:$BU$1576,BU1309,$AY$7:$AY$1576,"&gt;"&amp;AY1309)+SUMIFS($AV$7:$AV$1576,$BU$7:$BU$1576,BU1309,$AY$7:$AY$1576,AY1309,$BO$7:$BO$1576,"&lt;="&amp;BO1309),"")</f>
        <v>15.9927184533818</v>
      </c>
      <c r="BA1309" s="65" t="n">
        <f aca="false">IF(AZ1309="",0,MAX(0,MIN(1,(IF(BU1309="L1",Parameter!$E$5,Parameter!$E$6+Parameter!$E$7)-(AZ1309-AV1309))/AV1309)))</f>
        <v>1</v>
      </c>
      <c r="BB1309" s="55" t="str">
        <f aca="false">IF(AF1309&lt;=0,"",IF(BU1309="Aussen","Aussenlager",IF(BU1309="-","Nicht im Lift",IF(AK1309&gt;=1,"Lift",IF(AK1309&lt;=0,"Aussenlager","teilweise")))))</f>
        <v/>
      </c>
      <c r="BC1309" s="55" t="str">
        <f aca="false">IF(AN1309&lt;=0,"",IF(BU1309="Aussen","Aussenlager",IF(BU1309="-","Nicht im Lift",IF(AS1309&gt;=1,"Lift",IF(AS1309&lt;=0,"Aussenlager","teilweise")))))</f>
        <v>Lift</v>
      </c>
      <c r="BD1309" s="55" t="str">
        <f aca="false">IF(AV1309&lt;=0,"",IF(BU1309="Aussen","Aussenlager",IF(BU1309="-","Nicht im Lift",IF(BA1309&gt;=1,"Lift",IF(BA1309&lt;=0,"Aussenlager","teilweise")))))</f>
        <v>Lift</v>
      </c>
      <c r="BE1309" s="55" t="str">
        <f aca="false">IF(A1309="","",IF(BN1309=1,"Neu; ","")&amp;IF(AND(BN1309=0,BI1309&lt;0),"negativer Bestand (Export "&amp;BI1309&amp;"); ","")&amp;IF(I1309&lt;=0,"Kein Verbrauch; ","")&amp;IF(CD1309&gt;0,"Lift "&amp;U1309&amp;" lt. Liftbericht (Fach "&amp;V1309&amp;" Stk); ",IF(BR1309=1,"Lose – Fläche geschätzt; ",""))&amp;IF(G1309&gt;AP1309,"Überbestand "&amp;ROUND(G1309-AP1309,0)&amp;" Stk / CHF "&amp;ROUND((G1309-AP1309)*F1309,0)&amp;"; ","")&amp;IF(AND(BW1309=1,BX1309&lt;BY1309),"MAX &lt; MB+LG; ","")&amp;IF(AND(CC1309&gt;0,CB1309*10&gt;CC1309),"zu hoch für Tablar; ","")&amp;IF(AND(BN1309=0,OR(BW1309=1,Y1309&lt;&gt;"",S1309&lt;&gt;"",T1309&lt;&gt;"",Z1309&lt;&gt;"")),"manuell übersteuert; ","")&amp;IF(AND(BR1309=0,Q1309=0),"Gebinde unbekannt / Stellmass fehlt; ","")&amp;IF(AND(BR1309=0,N(T1309)&lt;=0,N(P1309)&lt;=0),"Menge pro Gebinde fehlt (Ist = 1 Gebinde); ","")&amp;BM1309)</f>
        <v>negativer Bestand (Export -34); </v>
      </c>
      <c r="BF1309" s="55"/>
      <c r="BG1309" s="55"/>
      <c r="BH1309" s="62"/>
      <c r="BI1309" s="57" t="n">
        <v>-34</v>
      </c>
      <c r="BJ1309" s="57" t="n">
        <v>71</v>
      </c>
      <c r="BK1309" s="56" t="n">
        <v>-1282.14</v>
      </c>
      <c r="BL1309" s="57" t="n">
        <v>77</v>
      </c>
      <c r="BM1309" s="55"/>
      <c r="BN1309" s="60" t="n">
        <v>0</v>
      </c>
      <c r="BO1309" s="60" t="n">
        <v>1309</v>
      </c>
      <c r="BP1309" s="55" t="str">
        <f aca="false">IF(S1309&lt;&gt;"",UPPER(TRIM(S1309)),IF(O1309="","LOSE",O1309))</f>
        <v>S51</v>
      </c>
      <c r="BQ1309" s="57" t="n">
        <f aca="false">IF(BP1309="LOSE",1,IF(N(T1309)&gt;0,T1309,IF(N(P1309)&gt;0,P1309,MAX(1,G1309))))</f>
        <v>164</v>
      </c>
      <c r="BR1309" s="60" t="n">
        <f aca="false">IF(BP1309="LOSE",1,0)</f>
        <v>0</v>
      </c>
      <c r="BS1309" s="59" t="n">
        <f aca="false">IF(BR1309=0,0,IF(N(R1309)&gt;0,R1309,IFERROR(VLOOKUP(D1309,Parameter!$A$35:$C$64,3,0)+0,0)))</f>
        <v>0</v>
      </c>
      <c r="BT1309" s="55" t="n">
        <f aca="false">IF(Y1309&lt;&gt;"",Y1309,X1309)</f>
        <v>3</v>
      </c>
      <c r="BU1309" s="55" t="str">
        <f aca="false">IF(BT1309=1,"L1",IF(OR(BT1309=2,BT1309=3),"L23",IF(BT1309="Aussen","Aussen","-")))</f>
        <v>L23</v>
      </c>
      <c r="BV1309" s="66" t="n">
        <f aca="false">IF(N(Z1309)&gt;0,Z1309,0)</f>
        <v>0</v>
      </c>
      <c r="BW1309" s="60" t="n">
        <f aca="false">IF(ISNUMBER(AC1309),1,0)</f>
        <v>0</v>
      </c>
      <c r="BX1309" s="57" t="n">
        <f aca="false">N(AC1309)</f>
        <v>0</v>
      </c>
      <c r="BY1309" s="57" t="n">
        <f aca="false">N(L1309)+N(M1309)</f>
        <v>77</v>
      </c>
      <c r="BZ1309" s="57" t="n">
        <f aca="false">ROUNDUP(G1309/BQ1309,0)</f>
        <v>0</v>
      </c>
      <c r="CA1309" s="57" t="n">
        <f aca="false">ROUNDUP(BX1309/BQ1309,0)</f>
        <v>0</v>
      </c>
      <c r="CB1309" s="60" t="n">
        <f aca="false">IF(BR1309=1,0,IFERROR(VLOOKUP(BP1309,'Gebinde-Kategorie'!$A$5:$M$45,5,0)+0,0))</f>
        <v>11</v>
      </c>
      <c r="CC1309" s="60" t="n">
        <f aca="false">IFERROR(IF(OR(BT1309=1,BT1309=2,BT1309=3),N(INDEX(Parameter!$I$5:$I$7,BT1309)),0),0)</f>
        <v>0</v>
      </c>
      <c r="CD1309" s="59" t="n">
        <f aca="false">IF(AND(Parameter!$B$21="Ja",ISNUMBER(U1309),N(V1309)&gt;0),IFERROR(N(INDEX(Parameter!$L$5:$L$7,U1309))*INDEX(Parameter!$E$5:$E$7,U1309)*V1309/SUMIFS($V$7:$V$1576,$U$7:$U$1576,U1309),0),0)</f>
        <v>0</v>
      </c>
    </row>
    <row r="1310" customFormat="false" ht="15" hidden="false" customHeight="false" outlineLevel="0" collapsed="false">
      <c r="A1310" s="55" t="s">
        <v>2311</v>
      </c>
      <c r="B1310" s="55" t="s">
        <v>415</v>
      </c>
      <c r="C1310" s="55" t="s">
        <v>160</v>
      </c>
      <c r="D1310" s="55" t="s">
        <v>178</v>
      </c>
      <c r="E1310" s="55" t="s">
        <v>210</v>
      </c>
      <c r="F1310" s="56" t="n">
        <v>47.59</v>
      </c>
      <c r="G1310" s="57" t="n">
        <f aca="false">MAX(0,IF(AND(Parameter!$B$21="Ja",ISNUMBER(W1310)),W1310,IF(Parameter!$B$20="Jahresanfang 2025 + Export",BJ1310+BI1310,BI1310)))</f>
        <v>0</v>
      </c>
      <c r="H1310" s="57" t="n">
        <f aca="false">G1310*F1310</f>
        <v>0</v>
      </c>
      <c r="I1310" s="57" t="n">
        <f aca="false">BL1310*Parameter!$B$18</f>
        <v>0</v>
      </c>
      <c r="J1310" s="58" t="n">
        <v>147.5</v>
      </c>
      <c r="K1310" s="59" t="n">
        <v>0</v>
      </c>
      <c r="L1310" s="57" t="n">
        <v>0</v>
      </c>
      <c r="M1310" s="57" t="n">
        <v>1</v>
      </c>
      <c r="N1310" s="60" t="n">
        <v>28</v>
      </c>
      <c r="O1310" s="55" t="s">
        <v>225</v>
      </c>
      <c r="P1310" s="57" t="n">
        <v>246</v>
      </c>
      <c r="Q1310" s="60" t="n">
        <f aca="false">IF(BR1310=1,0,IFERROR(VLOOKUP(BP1310,'Gebinde-Kategorie'!$A$5:$M$45,13,0)+0,0))</f>
        <v>26</v>
      </c>
      <c r="R1310" s="61"/>
      <c r="S1310" s="62"/>
      <c r="T1310" s="62"/>
      <c r="U1310" s="55"/>
      <c r="V1310" s="57"/>
      <c r="W1310" s="57"/>
      <c r="X1310" s="55" t="n">
        <f aca="false">IF(A1310="","",IF(AND(Parameter!$B$21="Ja",ISNUMBER(U1310)),U1310,IF(IFERROR(VLOOKUP(D1310,Parameter!$A$35:$C$64,2,0),"Nein")="2+3",IF(ISNUMBER(SEARCH("grosser Artikel",BM1310)),2,IFERROR(VLOOKUP(BP1310,Parameter!$F$35:$G$64,2,0),2)),IF(OR(IFERROR(VLOOKUP(D1310,Parameter!$A$35:$C$64,2,0),"Nein")="Nein",IFERROR(VLOOKUP(D1310,Parameter!$A$35:$C$64,2,0),"Nein")=""),"-",VLOOKUP(D1310,Parameter!$A$35:$C$64,2,0)))))</f>
        <v>3</v>
      </c>
      <c r="Y1310" s="62"/>
      <c r="Z1310" s="63"/>
      <c r="AA1310" s="57" t="n">
        <f aca="false">AP1310</f>
        <v>246</v>
      </c>
      <c r="AB1310" s="57" t="n">
        <f aca="false">MAX(AP1310,G1310)</f>
        <v>246</v>
      </c>
      <c r="AC1310" s="64"/>
      <c r="AD1310" s="57" t="n">
        <f aca="false">IF(LEFT(Cockpit!$C$5,1)="A",G1310,IF(BW1310=1,BX1310,IF(LEFT(Cockpit!$C$5,1)="B",AH1310,MAX(AH1310,G1310))))</f>
        <v>0</v>
      </c>
      <c r="AE1310" s="57" t="n">
        <f aca="false">IF(BR1310=1,0,ROUNDUP(AD1310/BQ1310,0))</f>
        <v>0</v>
      </c>
      <c r="AF1310" s="59" t="n">
        <f aca="false">IF(CD1310&gt;0,CD1310*MAX(1,AD1310/V1310),IF(BR1310=1,IF(AD1310&lt;=0,0,BS1310*MAX(1,IF(G1310&gt;0,AD1310/G1310,1))),IF(Q1310&gt;0,AE1310/Q1310,0))/MAX(0.1,N(Parameter!$M$21)))</f>
        <v>0</v>
      </c>
      <c r="AG1310" s="57" t="n">
        <f aca="false">AD1310*F1310</f>
        <v>0</v>
      </c>
      <c r="AH1310" s="57" t="n">
        <f aca="false">ROUNDUP(MAX(I1310/IF(BV1310&gt;0,BV1310,MAX(0.1,N(Cockpit!$C$6))),BY1310)/BQ1310,0)*BQ1310</f>
        <v>246</v>
      </c>
      <c r="AI1310" s="58" t="n">
        <f aca="false">IF(AF1310&gt;0,I1310/AF1310,-1)</f>
        <v>-1</v>
      </c>
      <c r="AJ1310" s="58" t="str">
        <f aca="false">IF(AND(OR(BU1310="L1",BU1310="L23"),AF1310&gt;0),SUMIFS($AF$7:$AF$1576,$BU$7:$BU$1576,BU1310,$AI$7:$AI$1576,"&gt;"&amp;AI1310)+SUMIFS($AF$7:$AF$1576,$BU$7:$BU$1576,BU1310,$AI$7:$AI$1576,AI1310,$BO$7:$BO$1576,"&lt;="&amp;BO1310),"")</f>
        <v/>
      </c>
      <c r="AK1310" s="65" t="n">
        <f aca="false">IF(AJ1310="",0,MAX(0,MIN(1,(IF(BU1310="L1",Parameter!$E$5,Parameter!$E$6+Parameter!$E$7)-(AJ1310-AF1310))/AF1310)))</f>
        <v>0</v>
      </c>
      <c r="AL1310" s="57" t="n">
        <f aca="false">IF(LEFT(Cockpit!$I$5,1)="A",G1310,IF(BW1310=1,BX1310,IF(LEFT(Cockpit!$I$5,1)="B",AP1310,MAX(AP1310,G1310))))</f>
        <v>246</v>
      </c>
      <c r="AM1310" s="57" t="n">
        <f aca="false">IF(BR1310=1,0,ROUNDUP(AL1310/BQ1310,0))</f>
        <v>1</v>
      </c>
      <c r="AN1310" s="59" t="n">
        <f aca="false">IF(CD1310&gt;0,CD1310*MAX(1,AL1310/V1310),IF(BR1310=1,IF(AL1310&lt;=0,0,BS1310*MAX(1,IF(G1310&gt;0,AL1310/G1310,1))),IF(Q1310&gt;0,AM1310/Q1310,0))/MAX(0.1,N(Parameter!$M$21)))</f>
        <v>0.0384615384615385</v>
      </c>
      <c r="AO1310" s="57" t="n">
        <f aca="false">AL1310*F1310</f>
        <v>11707.14</v>
      </c>
      <c r="AP1310" s="57" t="n">
        <f aca="false">ROUNDUP(MAX(I1310/IF(BV1310&gt;0,BV1310,MAX(0.1,N(Cockpit!$I$6))),BY1310)/BQ1310,0)*BQ1310</f>
        <v>246</v>
      </c>
      <c r="AQ1310" s="58" t="n">
        <f aca="false">IF(AN1310&gt;0,I1310/AN1310,-1)</f>
        <v>0</v>
      </c>
      <c r="AR1310" s="58" t="n">
        <f aca="false">IF(AND(OR(BU1310="L1",BU1310="L23"),AN1310&gt;0),SUMIFS($AN$7:$AN$1576,$BU$7:$BU$1576,BU1310,$AQ$7:$AQ$1576,"&gt;"&amp;AQ1310)+SUMIFS($AN$7:$AN$1576,$BU$7:$BU$1576,BU1310,$AQ$7:$AQ$1576,AQ1310,$BO$7:$BO$1576,"&lt;="&amp;BO1310),"")</f>
        <v>138.145101927106</v>
      </c>
      <c r="AS1310" s="65" t="n">
        <f aca="false">IF(AR1310="",0,MAX(0,MIN(1,(IF(BU1310="L1",Parameter!$E$5,Parameter!$E$6+Parameter!$E$7)-(AR1310-AN1310))/AN1310)))</f>
        <v>0</v>
      </c>
      <c r="AT1310" s="57" t="n">
        <f aca="false">IF(LEFT(Cockpit!$O$5,1)="A",G1310,IF(BW1310=1,BX1310,IF(LEFT(Cockpit!$O$5,1)="B",AX1310,MAX(AX1310,G1310))))</f>
        <v>246</v>
      </c>
      <c r="AU1310" s="57" t="n">
        <f aca="false">IF(BR1310=1,0,ROUNDUP(AT1310/BQ1310,0))</f>
        <v>1</v>
      </c>
      <c r="AV1310" s="59" t="n">
        <f aca="false">IF(CD1310&gt;0,CD1310*MAX(1,AT1310/V1310),IF(BR1310=1,IF(AT1310&lt;=0,0,BS1310*MAX(1,IF(G1310&gt;0,AT1310/G1310,1))),IF(Q1310&gt;0,AU1310/Q1310,0))/MAX(0.1,N(Parameter!$M$21)))</f>
        <v>0.0384615384615385</v>
      </c>
      <c r="AW1310" s="57" t="n">
        <f aca="false">AT1310*F1310</f>
        <v>11707.14</v>
      </c>
      <c r="AX1310" s="57" t="n">
        <f aca="false">ROUNDUP(MAX(I1310/IF(BV1310&gt;0,BV1310,MAX(0.1,N(Cockpit!$O$6))),BY1310)/BQ1310,0)*BQ1310</f>
        <v>246</v>
      </c>
      <c r="AY1310" s="58" t="n">
        <f aca="false">IF(AV1310&gt;0,I1310/AV1310,-1)</f>
        <v>0</v>
      </c>
      <c r="AZ1310" s="58" t="n">
        <f aca="false">IF(AND(OR(BU1310="L1",BU1310="L23"),AV1310&gt;0),SUMIFS($AV$7:$AV$1576,$BU$7:$BU$1576,BU1310,$AY$7:$AY$1576,"&gt;"&amp;AY1310)+SUMIFS($AV$7:$AV$1576,$BU$7:$BU$1576,BU1310,$AY$7:$AY$1576,AY1310,$BO$7:$BO$1576,"&lt;="&amp;BO1310),"")</f>
        <v>128.204652376656</v>
      </c>
      <c r="BA1310" s="65" t="n">
        <f aca="false">IF(AZ1310="",0,MAX(0,MIN(1,(IF(BU1310="L1",Parameter!$E$5,Parameter!$E$6+Parameter!$E$7)-(AZ1310-AV1310))/AV1310)))</f>
        <v>0</v>
      </c>
      <c r="BB1310" s="55" t="str">
        <f aca="false">IF(AF1310&lt;=0,"",IF(BU1310="Aussen","Aussenlager",IF(BU1310="-","Nicht im Lift",IF(AK1310&gt;=1,"Lift",IF(AK1310&lt;=0,"Aussenlager","teilweise")))))</f>
        <v/>
      </c>
      <c r="BC1310" s="55" t="str">
        <f aca="false">IF(AN1310&lt;=0,"",IF(BU1310="Aussen","Aussenlager",IF(BU1310="-","Nicht im Lift",IF(AS1310&gt;=1,"Lift",IF(AS1310&lt;=0,"Aussenlager","teilweise")))))</f>
        <v>Aussenlager</v>
      </c>
      <c r="BD1310" s="55" t="str">
        <f aca="false">IF(AV1310&lt;=0,"",IF(BU1310="Aussen","Aussenlager",IF(BU1310="-","Nicht im Lift",IF(BA1310&gt;=1,"Lift",IF(BA1310&lt;=0,"Aussenlager","teilweise")))))</f>
        <v>Aussenlager</v>
      </c>
      <c r="BE1310" s="55" t="str">
        <f aca="false">IF(A1310="","",IF(BN1310=1,"Neu; ","")&amp;IF(AND(BN1310=0,BI1310&lt;0),"negativer Bestand (Export "&amp;BI1310&amp;"); ","")&amp;IF(I1310&lt;=0,"Kein Verbrauch; ","")&amp;IF(CD1310&gt;0,"Lift "&amp;U1310&amp;" lt. Liftbericht (Fach "&amp;V1310&amp;" Stk); ",IF(BR1310=1,"Lose – Fläche geschätzt; ",""))&amp;IF(G1310&gt;AP1310,"Überbestand "&amp;ROUND(G1310-AP1310,0)&amp;" Stk / CHF "&amp;ROUND((G1310-AP1310)*F1310,0)&amp;"; ","")&amp;IF(AND(BW1310=1,BX1310&lt;BY1310),"MAX &lt; MB+LG; ","")&amp;IF(AND(CC1310&gt;0,CB1310*10&gt;CC1310),"zu hoch für Tablar; ","")&amp;IF(AND(BN1310=0,OR(BW1310=1,Y1310&lt;&gt;"",S1310&lt;&gt;"",T1310&lt;&gt;"",Z1310&lt;&gt;"")),"manuell übersteuert; ","")&amp;IF(AND(BR1310=0,Q1310=0),"Gebinde unbekannt / Stellmass fehlt; ","")&amp;IF(AND(BR1310=0,N(T1310)&lt;=0,N(P1310)&lt;=0),"Menge pro Gebinde fehlt (Ist = 1 Gebinde); ","")&amp;BM1310)</f>
        <v>negativer Bestand (Export -27); Kein Verbrauch; </v>
      </c>
      <c r="BF1310" s="55"/>
      <c r="BG1310" s="55"/>
      <c r="BH1310" s="62"/>
      <c r="BI1310" s="57" t="n">
        <v>-27</v>
      </c>
      <c r="BJ1310" s="57" t="n">
        <v>164</v>
      </c>
      <c r="BK1310" s="56" t="n">
        <v>-1284.93</v>
      </c>
      <c r="BL1310" s="57" t="n">
        <v>0</v>
      </c>
      <c r="BM1310" s="55"/>
      <c r="BN1310" s="60" t="n">
        <v>0</v>
      </c>
      <c r="BO1310" s="60" t="n">
        <v>1310</v>
      </c>
      <c r="BP1310" s="55" t="str">
        <f aca="false">IF(S1310&lt;&gt;"",UPPER(TRIM(S1310)),IF(O1310="","LOSE",O1310))</f>
        <v>S52</v>
      </c>
      <c r="BQ1310" s="57" t="n">
        <f aca="false">IF(BP1310="LOSE",1,IF(N(T1310)&gt;0,T1310,IF(N(P1310)&gt;0,P1310,MAX(1,G1310))))</f>
        <v>246</v>
      </c>
      <c r="BR1310" s="60" t="n">
        <f aca="false">IF(BP1310="LOSE",1,0)</f>
        <v>0</v>
      </c>
      <c r="BS1310" s="59" t="n">
        <f aca="false">IF(BR1310=0,0,IF(N(R1310)&gt;0,R1310,IFERROR(VLOOKUP(D1310,Parameter!$A$35:$C$64,3,0)+0,0)))</f>
        <v>0</v>
      </c>
      <c r="BT1310" s="55" t="n">
        <f aca="false">IF(Y1310&lt;&gt;"",Y1310,X1310)</f>
        <v>3</v>
      </c>
      <c r="BU1310" s="55" t="str">
        <f aca="false">IF(BT1310=1,"L1",IF(OR(BT1310=2,BT1310=3),"L23",IF(BT1310="Aussen","Aussen","-")))</f>
        <v>L23</v>
      </c>
      <c r="BV1310" s="66" t="n">
        <f aca="false">IF(N(Z1310)&gt;0,Z1310,0)</f>
        <v>0</v>
      </c>
      <c r="BW1310" s="60" t="n">
        <f aca="false">IF(ISNUMBER(AC1310),1,0)</f>
        <v>0</v>
      </c>
      <c r="BX1310" s="57" t="n">
        <f aca="false">N(AC1310)</f>
        <v>0</v>
      </c>
      <c r="BY1310" s="57" t="n">
        <f aca="false">N(L1310)+N(M1310)</f>
        <v>1</v>
      </c>
      <c r="BZ1310" s="57" t="n">
        <f aca="false">ROUNDUP(G1310/BQ1310,0)</f>
        <v>0</v>
      </c>
      <c r="CA1310" s="57" t="n">
        <f aca="false">ROUNDUP(BX1310/BQ1310,0)</f>
        <v>0</v>
      </c>
      <c r="CB1310" s="60" t="n">
        <f aca="false">IF(BR1310=1,0,IFERROR(VLOOKUP(BP1310,'Gebinde-Kategorie'!$A$5:$M$45,5,0)+0,0))</f>
        <v>21</v>
      </c>
      <c r="CC1310" s="60" t="n">
        <f aca="false">IFERROR(IF(OR(BT1310=1,BT1310=2,BT1310=3),N(INDEX(Parameter!$I$5:$I$7,BT1310)),0),0)</f>
        <v>0</v>
      </c>
      <c r="CD1310" s="59" t="n">
        <f aca="false">IF(AND(Parameter!$B$21="Ja",ISNUMBER(U1310),N(V1310)&gt;0),IFERROR(N(INDEX(Parameter!$L$5:$L$7,U1310))*INDEX(Parameter!$E$5:$E$7,U1310)*V1310/SUMIFS($V$7:$V$1576,$U$7:$U$1576,U1310),0),0)</f>
        <v>0</v>
      </c>
    </row>
    <row r="1311" customFormat="false" ht="15" hidden="false" customHeight="false" outlineLevel="0" collapsed="false">
      <c r="A1311" s="55" t="s">
        <v>2312</v>
      </c>
      <c r="B1311" s="55" t="s">
        <v>2313</v>
      </c>
      <c r="C1311" s="55" t="s">
        <v>446</v>
      </c>
      <c r="D1311" s="55" t="s">
        <v>168</v>
      </c>
      <c r="E1311" s="55" t="s">
        <v>210</v>
      </c>
      <c r="F1311" s="56" t="n">
        <v>65</v>
      </c>
      <c r="G1311" s="57" t="n">
        <f aca="false">MAX(0,IF(AND(Parameter!$B$21="Ja",ISNUMBER(W1311)),W1311,IF(Parameter!$B$20="Jahresanfang 2025 + Export",BJ1311+BI1311,BI1311)))</f>
        <v>0</v>
      </c>
      <c r="H1311" s="57" t="n">
        <f aca="false">G1311*F1311</f>
        <v>0</v>
      </c>
      <c r="I1311" s="57" t="n">
        <f aca="false">BL1311*Parameter!$B$18</f>
        <v>0</v>
      </c>
      <c r="J1311" s="58" t="n">
        <v>10</v>
      </c>
      <c r="K1311" s="59" t="n">
        <v>0</v>
      </c>
      <c r="L1311" s="57" t="n">
        <v>0</v>
      </c>
      <c r="M1311" s="57" t="n">
        <v>1</v>
      </c>
      <c r="N1311" s="60" t="n">
        <v>56</v>
      </c>
      <c r="O1311" s="55" t="s">
        <v>163</v>
      </c>
      <c r="P1311" s="57"/>
      <c r="Q1311" s="60" t="n">
        <f aca="false">IF(BR1311=1,0,IFERROR(VLOOKUP(BP1311,'Gebinde-Kategorie'!$A$5:$M$45,13,0)+0,0))</f>
        <v>0</v>
      </c>
      <c r="R1311" s="61"/>
      <c r="S1311" s="62"/>
      <c r="T1311" s="62"/>
      <c r="U1311" s="55"/>
      <c r="V1311" s="57"/>
      <c r="W1311" s="57"/>
      <c r="X1311" s="55" t="n">
        <f aca="false">IF(A1311="","",IF(AND(Parameter!$B$21="Ja",ISNUMBER(U1311)),U1311,IF(IFERROR(VLOOKUP(D1311,Parameter!$A$35:$C$64,2,0),"Nein")="2+3",IF(ISNUMBER(SEARCH("grosser Artikel",BM1311)),2,IFERROR(VLOOKUP(BP1311,Parameter!$F$35:$G$64,2,0),2)),IF(OR(IFERROR(VLOOKUP(D1311,Parameter!$A$35:$C$64,2,0),"Nein")="Nein",IFERROR(VLOOKUP(D1311,Parameter!$A$35:$C$64,2,0),"Nein")=""),"-",VLOOKUP(D1311,Parameter!$A$35:$C$64,2,0)))))</f>
        <v>2</v>
      </c>
      <c r="Y1311" s="62"/>
      <c r="Z1311" s="63"/>
      <c r="AA1311" s="57" t="n">
        <f aca="false">AP1311</f>
        <v>1</v>
      </c>
      <c r="AB1311" s="57" t="n">
        <f aca="false">MAX(AP1311,G1311)</f>
        <v>1</v>
      </c>
      <c r="AC1311" s="64"/>
      <c r="AD1311" s="57" t="n">
        <f aca="false">IF(LEFT(Cockpit!$C$5,1)="A",G1311,IF(BW1311=1,BX1311,IF(LEFT(Cockpit!$C$5,1)="B",AH1311,MAX(AH1311,G1311))))</f>
        <v>0</v>
      </c>
      <c r="AE1311" s="57" t="n">
        <f aca="false">IF(BR1311=1,0,ROUNDUP(AD1311/BQ1311,0))</f>
        <v>0</v>
      </c>
      <c r="AF1311" s="59" t="n">
        <f aca="false">IF(CD1311&gt;0,CD1311*MAX(1,AD1311/V1311),IF(BR1311=1,IF(AD1311&lt;=0,0,BS1311*MAX(1,IF(G1311&gt;0,AD1311/G1311,1))),IF(Q1311&gt;0,AE1311/Q1311,0))/MAX(0.1,N(Parameter!$M$21)))</f>
        <v>0</v>
      </c>
      <c r="AG1311" s="57" t="n">
        <f aca="false">AD1311*F1311</f>
        <v>0</v>
      </c>
      <c r="AH1311" s="57" t="n">
        <f aca="false">ROUNDUP(MAX(I1311/IF(BV1311&gt;0,BV1311,MAX(0.1,N(Cockpit!$C$6))),BY1311)/BQ1311,0)*BQ1311</f>
        <v>1</v>
      </c>
      <c r="AI1311" s="58" t="n">
        <f aca="false">IF(AF1311&gt;0,I1311/AF1311,-1)</f>
        <v>-1</v>
      </c>
      <c r="AJ1311" s="58" t="str">
        <f aca="false">IF(AND(OR(BU1311="L1",BU1311="L23"),AF1311&gt;0),SUMIFS($AF$7:$AF$1576,$BU$7:$BU$1576,BU1311,$AI$7:$AI$1576,"&gt;"&amp;AI1311)+SUMIFS($AF$7:$AF$1576,$BU$7:$BU$1576,BU1311,$AI$7:$AI$1576,AI1311,$BO$7:$BO$1576,"&lt;="&amp;BO1311),"")</f>
        <v/>
      </c>
      <c r="AK1311" s="65" t="n">
        <f aca="false">IF(AJ1311="",0,MAX(0,MIN(1,(IF(BU1311="L1",Parameter!$E$5,Parameter!$E$6+Parameter!$E$7)-(AJ1311-AF1311))/AF1311)))</f>
        <v>0</v>
      </c>
      <c r="AL1311" s="57" t="n">
        <f aca="false">IF(LEFT(Cockpit!$I$5,1)="A",G1311,IF(BW1311=1,BX1311,IF(LEFT(Cockpit!$I$5,1)="B",AP1311,MAX(AP1311,G1311))))</f>
        <v>1</v>
      </c>
      <c r="AM1311" s="57" t="n">
        <f aca="false">IF(BR1311=1,0,ROUNDUP(AL1311/BQ1311,0))</f>
        <v>0</v>
      </c>
      <c r="AN1311" s="59" t="n">
        <f aca="false">IF(CD1311&gt;0,CD1311*MAX(1,AL1311/V1311),IF(BR1311=1,IF(AL1311&lt;=0,0,BS1311*MAX(1,IF(G1311&gt;0,AL1311/G1311,1))),IF(Q1311&gt;0,AM1311/Q1311,0))/MAX(0.1,N(Parameter!$M$21)))</f>
        <v>0.15</v>
      </c>
      <c r="AO1311" s="57" t="n">
        <f aca="false">AL1311*F1311</f>
        <v>65</v>
      </c>
      <c r="AP1311" s="57" t="n">
        <f aca="false">ROUNDUP(MAX(I1311/IF(BV1311&gt;0,BV1311,MAX(0.1,N(Cockpit!$I$6))),BY1311)/BQ1311,0)*BQ1311</f>
        <v>1</v>
      </c>
      <c r="AQ1311" s="58" t="n">
        <f aca="false">IF(AN1311&gt;0,I1311/AN1311,-1)</f>
        <v>0</v>
      </c>
      <c r="AR1311" s="58" t="n">
        <f aca="false">IF(AND(OR(BU1311="L1",BU1311="L23"),AN1311&gt;0),SUMIFS($AN$7:$AN$1576,$BU$7:$BU$1576,BU1311,$AQ$7:$AQ$1576,"&gt;"&amp;AQ1311)+SUMIFS($AN$7:$AN$1576,$BU$7:$BU$1576,BU1311,$AQ$7:$AQ$1576,AQ1311,$BO$7:$BO$1576,"&lt;="&amp;BO1311),"")</f>
        <v>138.295101927106</v>
      </c>
      <c r="AS1311" s="65" t="n">
        <f aca="false">IF(AR1311="",0,MAX(0,MIN(1,(IF(BU1311="L1",Parameter!$E$5,Parameter!$E$6+Parameter!$E$7)-(AR1311-AN1311))/AN1311)))</f>
        <v>0</v>
      </c>
      <c r="AT1311" s="57" t="n">
        <f aca="false">IF(LEFT(Cockpit!$O$5,1)="A",G1311,IF(BW1311=1,BX1311,IF(LEFT(Cockpit!$O$5,1)="B",AX1311,MAX(AX1311,G1311))))</f>
        <v>1</v>
      </c>
      <c r="AU1311" s="57" t="n">
        <f aca="false">IF(BR1311=1,0,ROUNDUP(AT1311/BQ1311,0))</f>
        <v>0</v>
      </c>
      <c r="AV1311" s="59" t="n">
        <f aca="false">IF(CD1311&gt;0,CD1311*MAX(1,AT1311/V1311),IF(BR1311=1,IF(AT1311&lt;=0,0,BS1311*MAX(1,IF(G1311&gt;0,AT1311/G1311,1))),IF(Q1311&gt;0,AU1311/Q1311,0))/MAX(0.1,N(Parameter!$M$21)))</f>
        <v>0.15</v>
      </c>
      <c r="AW1311" s="57" t="n">
        <f aca="false">AT1311*F1311</f>
        <v>65</v>
      </c>
      <c r="AX1311" s="57" t="n">
        <f aca="false">ROUNDUP(MAX(I1311/IF(BV1311&gt;0,BV1311,MAX(0.1,N(Cockpit!$O$6))),BY1311)/BQ1311,0)*BQ1311</f>
        <v>1</v>
      </c>
      <c r="AY1311" s="58" t="n">
        <f aca="false">IF(AV1311&gt;0,I1311/AV1311,-1)</f>
        <v>0</v>
      </c>
      <c r="AZ1311" s="58" t="n">
        <f aca="false">IF(AND(OR(BU1311="L1",BU1311="L23"),AV1311&gt;0),SUMIFS($AV$7:$AV$1576,$BU$7:$BU$1576,BU1311,$AY$7:$AY$1576,"&gt;"&amp;AY1311)+SUMIFS($AV$7:$AV$1576,$BU$7:$BU$1576,BU1311,$AY$7:$AY$1576,AY1311,$BO$7:$BO$1576,"&lt;="&amp;BO1311),"")</f>
        <v>128.354652376656</v>
      </c>
      <c r="BA1311" s="65" t="n">
        <f aca="false">IF(AZ1311="",0,MAX(0,MIN(1,(IF(BU1311="L1",Parameter!$E$5,Parameter!$E$6+Parameter!$E$7)-(AZ1311-AV1311))/AV1311)))</f>
        <v>0</v>
      </c>
      <c r="BB1311" s="55" t="str">
        <f aca="false">IF(AF1311&lt;=0,"",IF(BU1311="Aussen","Aussenlager",IF(BU1311="-","Nicht im Lift",IF(AK1311&gt;=1,"Lift",IF(AK1311&lt;=0,"Aussenlager","teilweise")))))</f>
        <v/>
      </c>
      <c r="BC1311" s="55" t="str">
        <f aca="false">IF(AN1311&lt;=0,"",IF(BU1311="Aussen","Aussenlager",IF(BU1311="-","Nicht im Lift",IF(AS1311&gt;=1,"Lift",IF(AS1311&lt;=0,"Aussenlager","teilweise")))))</f>
        <v>Aussenlager</v>
      </c>
      <c r="BD1311" s="55" t="str">
        <f aca="false">IF(AV1311&lt;=0,"",IF(BU1311="Aussen","Aussenlager",IF(BU1311="-","Nicht im Lift",IF(BA1311&gt;=1,"Lift",IF(BA1311&lt;=0,"Aussenlager","teilweise")))))</f>
        <v>Aussenlager</v>
      </c>
      <c r="BE1311" s="55" t="str">
        <f aca="false">IF(A1311="","",IF(BN1311=1,"Neu; ","")&amp;IF(AND(BN1311=0,BI1311&lt;0),"negativer Bestand (Export "&amp;BI1311&amp;"); ","")&amp;IF(I1311&lt;=0,"Kein Verbrauch; ","")&amp;IF(CD1311&gt;0,"Lift "&amp;U1311&amp;" lt. Liftbericht (Fach "&amp;V1311&amp;" Stk); ",IF(BR1311=1,"Lose – Fläche geschätzt; ",""))&amp;IF(G1311&gt;AP1311,"Überbestand "&amp;ROUND(G1311-AP1311,0)&amp;" Stk / CHF "&amp;ROUND((G1311-AP1311)*F1311,0)&amp;"; ","")&amp;IF(AND(BW1311=1,BX1311&lt;BY1311),"MAX &lt; MB+LG; ","")&amp;IF(AND(CC1311&gt;0,CB1311*10&gt;CC1311),"zu hoch für Tablar; ","")&amp;IF(AND(BN1311=0,OR(BW1311=1,Y1311&lt;&gt;"",S1311&lt;&gt;"",T1311&lt;&gt;"",Z1311&lt;&gt;"")),"manuell übersteuert; ","")&amp;IF(AND(BR1311=0,Q1311=0),"Gebinde unbekannt / Stellmass fehlt; ","")&amp;IF(AND(BR1311=0,N(T1311)&lt;=0,N(P1311)&lt;=0),"Menge pro Gebinde fehlt (Ist = 1 Gebinde); ","")&amp;BM1311)</f>
        <v>negativer Bestand (Export -20); Kein Verbrauch; Lose – Fläche geschätzt; </v>
      </c>
      <c r="BF1311" s="55"/>
      <c r="BG1311" s="55"/>
      <c r="BH1311" s="62"/>
      <c r="BI1311" s="57" t="n">
        <v>-20</v>
      </c>
      <c r="BJ1311" s="57" t="n">
        <v>20</v>
      </c>
      <c r="BK1311" s="56" t="n">
        <v>-1300</v>
      </c>
      <c r="BL1311" s="57" t="n">
        <v>0</v>
      </c>
      <c r="BM1311" s="55"/>
      <c r="BN1311" s="60" t="n">
        <v>0</v>
      </c>
      <c r="BO1311" s="60" t="n">
        <v>1311</v>
      </c>
      <c r="BP1311" s="55" t="str">
        <f aca="false">IF(S1311&lt;&gt;"",UPPER(TRIM(S1311)),IF(O1311="","LOSE",O1311))</f>
        <v>LOSE</v>
      </c>
      <c r="BQ1311" s="57" t="n">
        <f aca="false">IF(BP1311="LOSE",1,IF(N(T1311)&gt;0,T1311,IF(N(P1311)&gt;0,P1311,MAX(1,G1311))))</f>
        <v>1</v>
      </c>
      <c r="BR1311" s="60" t="n">
        <f aca="false">IF(BP1311="LOSE",1,0)</f>
        <v>1</v>
      </c>
      <c r="BS1311" s="59" t="n">
        <f aca="false">IF(BR1311=0,0,IF(N(R1311)&gt;0,R1311,IFERROR(VLOOKUP(D1311,Parameter!$A$35:$C$64,3,0)+0,0)))</f>
        <v>0.15</v>
      </c>
      <c r="BT1311" s="55" t="n">
        <f aca="false">IF(Y1311&lt;&gt;"",Y1311,X1311)</f>
        <v>2</v>
      </c>
      <c r="BU1311" s="55" t="str">
        <f aca="false">IF(BT1311=1,"L1",IF(OR(BT1311=2,BT1311=3),"L23",IF(BT1311="Aussen","Aussen","-")))</f>
        <v>L23</v>
      </c>
      <c r="BV1311" s="66" t="n">
        <f aca="false">IF(N(Z1311)&gt;0,Z1311,0)</f>
        <v>0</v>
      </c>
      <c r="BW1311" s="60" t="n">
        <f aca="false">IF(ISNUMBER(AC1311),1,0)</f>
        <v>0</v>
      </c>
      <c r="BX1311" s="57" t="n">
        <f aca="false">N(AC1311)</f>
        <v>0</v>
      </c>
      <c r="BY1311" s="57" t="n">
        <f aca="false">N(L1311)+N(M1311)</f>
        <v>1</v>
      </c>
      <c r="BZ1311" s="57" t="n">
        <f aca="false">ROUNDUP(G1311/BQ1311,0)</f>
        <v>0</v>
      </c>
      <c r="CA1311" s="57" t="n">
        <f aca="false">ROUNDUP(BX1311/BQ1311,0)</f>
        <v>0</v>
      </c>
      <c r="CB1311" s="60" t="n">
        <f aca="false">IF(BR1311=1,0,IFERROR(VLOOKUP(BP1311,'Gebinde-Kategorie'!$A$5:$M$45,5,0)+0,0))</f>
        <v>0</v>
      </c>
      <c r="CC1311" s="60" t="n">
        <f aca="false">IFERROR(IF(OR(BT1311=1,BT1311=2,BT1311=3),N(INDEX(Parameter!$I$5:$I$7,BT1311)),0),0)</f>
        <v>0</v>
      </c>
      <c r="CD1311" s="59" t="n">
        <f aca="false">IF(AND(Parameter!$B$21="Ja",ISNUMBER(U1311),N(V1311)&gt;0),IFERROR(N(INDEX(Parameter!$L$5:$L$7,U1311))*INDEX(Parameter!$E$5:$E$7,U1311)*V1311/SUMIFS($V$7:$V$1576,$U$7:$U$1576,U1311),0),0)</f>
        <v>0</v>
      </c>
    </row>
    <row r="1312" customFormat="false" ht="15" hidden="false" customHeight="false" outlineLevel="0" collapsed="false">
      <c r="A1312" s="55" t="s">
        <v>2314</v>
      </c>
      <c r="B1312" s="55" t="s">
        <v>2315</v>
      </c>
      <c r="C1312" s="55" t="s">
        <v>446</v>
      </c>
      <c r="D1312" s="55" t="s">
        <v>168</v>
      </c>
      <c r="E1312" s="55" t="s">
        <v>210</v>
      </c>
      <c r="F1312" s="56" t="n">
        <v>65</v>
      </c>
      <c r="G1312" s="57" t="n">
        <f aca="false">MAX(0,IF(AND(Parameter!$B$21="Ja",ISNUMBER(W1312)),W1312,IF(Parameter!$B$20="Jahresanfang 2025 + Export",BJ1312+BI1312,BI1312)))</f>
        <v>0</v>
      </c>
      <c r="H1312" s="57" t="n">
        <f aca="false">G1312*F1312</f>
        <v>0</v>
      </c>
      <c r="I1312" s="57" t="n">
        <f aca="false">BL1312*Parameter!$B$18</f>
        <v>0</v>
      </c>
      <c r="J1312" s="58" t="n">
        <v>10</v>
      </c>
      <c r="K1312" s="59" t="n">
        <v>0</v>
      </c>
      <c r="L1312" s="57" t="n">
        <v>0</v>
      </c>
      <c r="M1312" s="57" t="n">
        <v>1</v>
      </c>
      <c r="N1312" s="60" t="n">
        <v>56</v>
      </c>
      <c r="O1312" s="55" t="s">
        <v>163</v>
      </c>
      <c r="P1312" s="57"/>
      <c r="Q1312" s="60" t="n">
        <f aca="false">IF(BR1312=1,0,IFERROR(VLOOKUP(BP1312,'Gebinde-Kategorie'!$A$5:$M$45,13,0)+0,0))</f>
        <v>0</v>
      </c>
      <c r="R1312" s="61"/>
      <c r="S1312" s="62"/>
      <c r="T1312" s="62"/>
      <c r="U1312" s="55"/>
      <c r="V1312" s="57"/>
      <c r="W1312" s="57"/>
      <c r="X1312" s="55" t="n">
        <f aca="false">IF(A1312="","",IF(AND(Parameter!$B$21="Ja",ISNUMBER(U1312)),U1312,IF(IFERROR(VLOOKUP(D1312,Parameter!$A$35:$C$64,2,0),"Nein")="2+3",IF(ISNUMBER(SEARCH("grosser Artikel",BM1312)),2,IFERROR(VLOOKUP(BP1312,Parameter!$F$35:$G$64,2,0),2)),IF(OR(IFERROR(VLOOKUP(D1312,Parameter!$A$35:$C$64,2,0),"Nein")="Nein",IFERROR(VLOOKUP(D1312,Parameter!$A$35:$C$64,2,0),"Nein")=""),"-",VLOOKUP(D1312,Parameter!$A$35:$C$64,2,0)))))</f>
        <v>2</v>
      </c>
      <c r="Y1312" s="62"/>
      <c r="Z1312" s="63"/>
      <c r="AA1312" s="57" t="n">
        <f aca="false">AP1312</f>
        <v>1</v>
      </c>
      <c r="AB1312" s="57" t="n">
        <f aca="false">MAX(AP1312,G1312)</f>
        <v>1</v>
      </c>
      <c r="AC1312" s="64"/>
      <c r="AD1312" s="57" t="n">
        <f aca="false">IF(LEFT(Cockpit!$C$5,1)="A",G1312,IF(BW1312=1,BX1312,IF(LEFT(Cockpit!$C$5,1)="B",AH1312,MAX(AH1312,G1312))))</f>
        <v>0</v>
      </c>
      <c r="AE1312" s="57" t="n">
        <f aca="false">IF(BR1312=1,0,ROUNDUP(AD1312/BQ1312,0))</f>
        <v>0</v>
      </c>
      <c r="AF1312" s="59" t="n">
        <f aca="false">IF(CD1312&gt;0,CD1312*MAX(1,AD1312/V1312),IF(BR1312=1,IF(AD1312&lt;=0,0,BS1312*MAX(1,IF(G1312&gt;0,AD1312/G1312,1))),IF(Q1312&gt;0,AE1312/Q1312,0))/MAX(0.1,N(Parameter!$M$21)))</f>
        <v>0</v>
      </c>
      <c r="AG1312" s="57" t="n">
        <f aca="false">AD1312*F1312</f>
        <v>0</v>
      </c>
      <c r="AH1312" s="57" t="n">
        <f aca="false">ROUNDUP(MAX(I1312/IF(BV1312&gt;0,BV1312,MAX(0.1,N(Cockpit!$C$6))),BY1312)/BQ1312,0)*BQ1312</f>
        <v>1</v>
      </c>
      <c r="AI1312" s="58" t="n">
        <f aca="false">IF(AF1312&gt;0,I1312/AF1312,-1)</f>
        <v>-1</v>
      </c>
      <c r="AJ1312" s="58" t="str">
        <f aca="false">IF(AND(OR(BU1312="L1",BU1312="L23"),AF1312&gt;0),SUMIFS($AF$7:$AF$1576,$BU$7:$BU$1576,BU1312,$AI$7:$AI$1576,"&gt;"&amp;AI1312)+SUMIFS($AF$7:$AF$1576,$BU$7:$BU$1576,BU1312,$AI$7:$AI$1576,AI1312,$BO$7:$BO$1576,"&lt;="&amp;BO1312),"")</f>
        <v/>
      </c>
      <c r="AK1312" s="65" t="n">
        <f aca="false">IF(AJ1312="",0,MAX(0,MIN(1,(IF(BU1312="L1",Parameter!$E$5,Parameter!$E$6+Parameter!$E$7)-(AJ1312-AF1312))/AF1312)))</f>
        <v>0</v>
      </c>
      <c r="AL1312" s="57" t="n">
        <f aca="false">IF(LEFT(Cockpit!$I$5,1)="A",G1312,IF(BW1312=1,BX1312,IF(LEFT(Cockpit!$I$5,1)="B",AP1312,MAX(AP1312,G1312))))</f>
        <v>1</v>
      </c>
      <c r="AM1312" s="57" t="n">
        <f aca="false">IF(BR1312=1,0,ROUNDUP(AL1312/BQ1312,0))</f>
        <v>0</v>
      </c>
      <c r="AN1312" s="59" t="n">
        <f aca="false">IF(CD1312&gt;0,CD1312*MAX(1,AL1312/V1312),IF(BR1312=1,IF(AL1312&lt;=0,0,BS1312*MAX(1,IF(G1312&gt;0,AL1312/G1312,1))),IF(Q1312&gt;0,AM1312/Q1312,0))/MAX(0.1,N(Parameter!$M$21)))</f>
        <v>0.15</v>
      </c>
      <c r="AO1312" s="57" t="n">
        <f aca="false">AL1312*F1312</f>
        <v>65</v>
      </c>
      <c r="AP1312" s="57" t="n">
        <f aca="false">ROUNDUP(MAX(I1312/IF(BV1312&gt;0,BV1312,MAX(0.1,N(Cockpit!$I$6))),BY1312)/BQ1312,0)*BQ1312</f>
        <v>1</v>
      </c>
      <c r="AQ1312" s="58" t="n">
        <f aca="false">IF(AN1312&gt;0,I1312/AN1312,-1)</f>
        <v>0</v>
      </c>
      <c r="AR1312" s="58" t="n">
        <f aca="false">IF(AND(OR(BU1312="L1",BU1312="L23"),AN1312&gt;0),SUMIFS($AN$7:$AN$1576,$BU$7:$BU$1576,BU1312,$AQ$7:$AQ$1576,"&gt;"&amp;AQ1312)+SUMIFS($AN$7:$AN$1576,$BU$7:$BU$1576,BU1312,$AQ$7:$AQ$1576,AQ1312,$BO$7:$BO$1576,"&lt;="&amp;BO1312),"")</f>
        <v>138.445101927106</v>
      </c>
      <c r="AS1312" s="65" t="n">
        <f aca="false">IF(AR1312="",0,MAX(0,MIN(1,(IF(BU1312="L1",Parameter!$E$5,Parameter!$E$6+Parameter!$E$7)-(AR1312-AN1312))/AN1312)))</f>
        <v>0</v>
      </c>
      <c r="AT1312" s="57" t="n">
        <f aca="false">IF(LEFT(Cockpit!$O$5,1)="A",G1312,IF(BW1312=1,BX1312,IF(LEFT(Cockpit!$O$5,1)="B",AX1312,MAX(AX1312,G1312))))</f>
        <v>1</v>
      </c>
      <c r="AU1312" s="57" t="n">
        <f aca="false">IF(BR1312=1,0,ROUNDUP(AT1312/BQ1312,0))</f>
        <v>0</v>
      </c>
      <c r="AV1312" s="59" t="n">
        <f aca="false">IF(CD1312&gt;0,CD1312*MAX(1,AT1312/V1312),IF(BR1312=1,IF(AT1312&lt;=0,0,BS1312*MAX(1,IF(G1312&gt;0,AT1312/G1312,1))),IF(Q1312&gt;0,AU1312/Q1312,0))/MAX(0.1,N(Parameter!$M$21)))</f>
        <v>0.15</v>
      </c>
      <c r="AW1312" s="57" t="n">
        <f aca="false">AT1312*F1312</f>
        <v>65</v>
      </c>
      <c r="AX1312" s="57" t="n">
        <f aca="false">ROUNDUP(MAX(I1312/IF(BV1312&gt;0,BV1312,MAX(0.1,N(Cockpit!$O$6))),BY1312)/BQ1312,0)*BQ1312</f>
        <v>1</v>
      </c>
      <c r="AY1312" s="58" t="n">
        <f aca="false">IF(AV1312&gt;0,I1312/AV1312,-1)</f>
        <v>0</v>
      </c>
      <c r="AZ1312" s="58" t="n">
        <f aca="false">IF(AND(OR(BU1312="L1",BU1312="L23"),AV1312&gt;0),SUMIFS($AV$7:$AV$1576,$BU$7:$BU$1576,BU1312,$AY$7:$AY$1576,"&gt;"&amp;AY1312)+SUMIFS($AV$7:$AV$1576,$BU$7:$BU$1576,BU1312,$AY$7:$AY$1576,AY1312,$BO$7:$BO$1576,"&lt;="&amp;BO1312),"")</f>
        <v>128.504652376656</v>
      </c>
      <c r="BA1312" s="65" t="n">
        <f aca="false">IF(AZ1312="",0,MAX(0,MIN(1,(IF(BU1312="L1",Parameter!$E$5,Parameter!$E$6+Parameter!$E$7)-(AZ1312-AV1312))/AV1312)))</f>
        <v>0</v>
      </c>
      <c r="BB1312" s="55" t="str">
        <f aca="false">IF(AF1312&lt;=0,"",IF(BU1312="Aussen","Aussenlager",IF(BU1312="-","Nicht im Lift",IF(AK1312&gt;=1,"Lift",IF(AK1312&lt;=0,"Aussenlager","teilweise")))))</f>
        <v/>
      </c>
      <c r="BC1312" s="55" t="str">
        <f aca="false">IF(AN1312&lt;=0,"",IF(BU1312="Aussen","Aussenlager",IF(BU1312="-","Nicht im Lift",IF(AS1312&gt;=1,"Lift",IF(AS1312&lt;=0,"Aussenlager","teilweise")))))</f>
        <v>Aussenlager</v>
      </c>
      <c r="BD1312" s="55" t="str">
        <f aca="false">IF(AV1312&lt;=0,"",IF(BU1312="Aussen","Aussenlager",IF(BU1312="-","Nicht im Lift",IF(BA1312&gt;=1,"Lift",IF(BA1312&lt;=0,"Aussenlager","teilweise")))))</f>
        <v>Aussenlager</v>
      </c>
      <c r="BE1312" s="55" t="str">
        <f aca="false">IF(A1312="","",IF(BN1312=1,"Neu; ","")&amp;IF(AND(BN1312=0,BI1312&lt;0),"negativer Bestand (Export "&amp;BI1312&amp;"); ","")&amp;IF(I1312&lt;=0,"Kein Verbrauch; ","")&amp;IF(CD1312&gt;0,"Lift "&amp;U1312&amp;" lt. Liftbericht (Fach "&amp;V1312&amp;" Stk); ",IF(BR1312=1,"Lose – Fläche geschätzt; ",""))&amp;IF(G1312&gt;AP1312,"Überbestand "&amp;ROUND(G1312-AP1312,0)&amp;" Stk / CHF "&amp;ROUND((G1312-AP1312)*F1312,0)&amp;"; ","")&amp;IF(AND(BW1312=1,BX1312&lt;BY1312),"MAX &lt; MB+LG; ","")&amp;IF(AND(CC1312&gt;0,CB1312*10&gt;CC1312),"zu hoch für Tablar; ","")&amp;IF(AND(BN1312=0,OR(BW1312=1,Y1312&lt;&gt;"",S1312&lt;&gt;"",T1312&lt;&gt;"",Z1312&lt;&gt;"")),"manuell übersteuert; ","")&amp;IF(AND(BR1312=0,Q1312=0),"Gebinde unbekannt / Stellmass fehlt; ","")&amp;IF(AND(BR1312=0,N(T1312)&lt;=0,N(P1312)&lt;=0),"Menge pro Gebinde fehlt (Ist = 1 Gebinde); ","")&amp;BM1312)</f>
        <v>negativer Bestand (Export -20); Kein Verbrauch; Lose – Fläche geschätzt; </v>
      </c>
      <c r="BF1312" s="55"/>
      <c r="BG1312" s="55"/>
      <c r="BH1312" s="62"/>
      <c r="BI1312" s="57" t="n">
        <v>-20</v>
      </c>
      <c r="BJ1312" s="57" t="n">
        <v>20</v>
      </c>
      <c r="BK1312" s="56" t="n">
        <v>-1300</v>
      </c>
      <c r="BL1312" s="57" t="n">
        <v>0</v>
      </c>
      <c r="BM1312" s="55"/>
      <c r="BN1312" s="60" t="n">
        <v>0</v>
      </c>
      <c r="BO1312" s="60" t="n">
        <v>1312</v>
      </c>
      <c r="BP1312" s="55" t="str">
        <f aca="false">IF(S1312&lt;&gt;"",UPPER(TRIM(S1312)),IF(O1312="","LOSE",O1312))</f>
        <v>LOSE</v>
      </c>
      <c r="BQ1312" s="57" t="n">
        <f aca="false">IF(BP1312="LOSE",1,IF(N(T1312)&gt;0,T1312,IF(N(P1312)&gt;0,P1312,MAX(1,G1312))))</f>
        <v>1</v>
      </c>
      <c r="BR1312" s="60" t="n">
        <f aca="false">IF(BP1312="LOSE",1,0)</f>
        <v>1</v>
      </c>
      <c r="BS1312" s="59" t="n">
        <f aca="false">IF(BR1312=0,0,IF(N(R1312)&gt;0,R1312,IFERROR(VLOOKUP(D1312,Parameter!$A$35:$C$64,3,0)+0,0)))</f>
        <v>0.15</v>
      </c>
      <c r="BT1312" s="55" t="n">
        <f aca="false">IF(Y1312&lt;&gt;"",Y1312,X1312)</f>
        <v>2</v>
      </c>
      <c r="BU1312" s="55" t="str">
        <f aca="false">IF(BT1312=1,"L1",IF(OR(BT1312=2,BT1312=3),"L23",IF(BT1312="Aussen","Aussen","-")))</f>
        <v>L23</v>
      </c>
      <c r="BV1312" s="66" t="n">
        <f aca="false">IF(N(Z1312)&gt;0,Z1312,0)</f>
        <v>0</v>
      </c>
      <c r="BW1312" s="60" t="n">
        <f aca="false">IF(ISNUMBER(AC1312),1,0)</f>
        <v>0</v>
      </c>
      <c r="BX1312" s="57" t="n">
        <f aca="false">N(AC1312)</f>
        <v>0</v>
      </c>
      <c r="BY1312" s="57" t="n">
        <f aca="false">N(L1312)+N(M1312)</f>
        <v>1</v>
      </c>
      <c r="BZ1312" s="57" t="n">
        <f aca="false">ROUNDUP(G1312/BQ1312,0)</f>
        <v>0</v>
      </c>
      <c r="CA1312" s="57" t="n">
        <f aca="false">ROUNDUP(BX1312/BQ1312,0)</f>
        <v>0</v>
      </c>
      <c r="CB1312" s="60" t="n">
        <f aca="false">IF(BR1312=1,0,IFERROR(VLOOKUP(BP1312,'Gebinde-Kategorie'!$A$5:$M$45,5,0)+0,0))</f>
        <v>0</v>
      </c>
      <c r="CC1312" s="60" t="n">
        <f aca="false">IFERROR(IF(OR(BT1312=1,BT1312=2,BT1312=3),N(INDEX(Parameter!$I$5:$I$7,BT1312)),0),0)</f>
        <v>0</v>
      </c>
      <c r="CD1312" s="59" t="n">
        <f aca="false">IF(AND(Parameter!$B$21="Ja",ISNUMBER(U1312),N(V1312)&gt;0),IFERROR(N(INDEX(Parameter!$L$5:$L$7,U1312))*INDEX(Parameter!$E$5:$E$7,U1312)*V1312/SUMIFS($V$7:$V$1576,$U$7:$U$1576,U1312),0),0)</f>
        <v>0</v>
      </c>
    </row>
    <row r="1313" customFormat="false" ht="15" hidden="false" customHeight="false" outlineLevel="0" collapsed="false">
      <c r="A1313" s="55" t="s">
        <v>2316</v>
      </c>
      <c r="B1313" s="55" t="s">
        <v>2317</v>
      </c>
      <c r="C1313" s="55" t="s">
        <v>160</v>
      </c>
      <c r="D1313" s="55" t="s">
        <v>344</v>
      </c>
      <c r="E1313" s="55" t="s">
        <v>210</v>
      </c>
      <c r="F1313" s="56" t="n">
        <v>1309.41</v>
      </c>
      <c r="G1313" s="57" t="n">
        <f aca="false">MAX(0,IF(AND(Parameter!$B$21="Ja",ISNUMBER(W1313)),W1313,IF(Parameter!$B$20="Jahresanfang 2025 + Export",BJ1313+BI1313,BI1313)))</f>
        <v>0</v>
      </c>
      <c r="H1313" s="57" t="n">
        <f aca="false">G1313*F1313</f>
        <v>0</v>
      </c>
      <c r="I1313" s="57" t="n">
        <f aca="false">BL1313*Parameter!$B$18</f>
        <v>0</v>
      </c>
      <c r="J1313" s="58" t="n">
        <v>0.5</v>
      </c>
      <c r="K1313" s="59" t="n">
        <v>0</v>
      </c>
      <c r="L1313" s="57" t="n">
        <v>0</v>
      </c>
      <c r="M1313" s="57" t="n">
        <v>1</v>
      </c>
      <c r="N1313" s="60" t="n">
        <v>77</v>
      </c>
      <c r="O1313" s="55" t="s">
        <v>163</v>
      </c>
      <c r="P1313" s="57"/>
      <c r="Q1313" s="60" t="n">
        <f aca="false">IF(BR1313=1,0,IFERROR(VLOOKUP(BP1313,'Gebinde-Kategorie'!$A$5:$M$45,13,0)+0,0))</f>
        <v>0</v>
      </c>
      <c r="R1313" s="61"/>
      <c r="S1313" s="62"/>
      <c r="T1313" s="62"/>
      <c r="U1313" s="55"/>
      <c r="V1313" s="57"/>
      <c r="W1313" s="57"/>
      <c r="X1313" s="55" t="str">
        <f aca="false">IF(A1313="","",IF(AND(Parameter!$B$21="Ja",ISNUMBER(U1313)),U1313,IF(IFERROR(VLOOKUP(D1313,Parameter!$A$35:$C$64,2,0),"Nein")="2+3",IF(ISNUMBER(SEARCH("grosser Artikel",BM1313)),2,IFERROR(VLOOKUP(BP1313,Parameter!$F$35:$G$64,2,0),2)),IF(OR(IFERROR(VLOOKUP(D1313,Parameter!$A$35:$C$64,2,0),"Nein")="Nein",IFERROR(VLOOKUP(D1313,Parameter!$A$35:$C$64,2,0),"Nein")=""),"-",VLOOKUP(D1313,Parameter!$A$35:$C$64,2,0)))))</f>
        <v>-</v>
      </c>
      <c r="Y1313" s="62"/>
      <c r="Z1313" s="63"/>
      <c r="AA1313" s="57" t="n">
        <f aca="false">AP1313</f>
        <v>1</v>
      </c>
      <c r="AB1313" s="57" t="n">
        <f aca="false">MAX(AP1313,G1313)</f>
        <v>1</v>
      </c>
      <c r="AC1313" s="64"/>
      <c r="AD1313" s="57" t="n">
        <f aca="false">IF(LEFT(Cockpit!$C$5,1)="A",G1313,IF(BW1313=1,BX1313,IF(LEFT(Cockpit!$C$5,1)="B",AH1313,MAX(AH1313,G1313))))</f>
        <v>0</v>
      </c>
      <c r="AE1313" s="57" t="n">
        <f aca="false">IF(BR1313=1,0,ROUNDUP(AD1313/BQ1313,0))</f>
        <v>0</v>
      </c>
      <c r="AF1313" s="59" t="n">
        <f aca="false">IF(CD1313&gt;0,CD1313*MAX(1,AD1313/V1313),IF(BR1313=1,IF(AD1313&lt;=0,0,BS1313*MAX(1,IF(G1313&gt;0,AD1313/G1313,1))),IF(Q1313&gt;0,AE1313/Q1313,0))/MAX(0.1,N(Parameter!$M$21)))</f>
        <v>0</v>
      </c>
      <c r="AG1313" s="57" t="n">
        <f aca="false">AD1313*F1313</f>
        <v>0</v>
      </c>
      <c r="AH1313" s="57" t="n">
        <f aca="false">ROUNDUP(MAX(I1313/IF(BV1313&gt;0,BV1313,MAX(0.1,N(Cockpit!$C$6))),BY1313)/BQ1313,0)*BQ1313</f>
        <v>1</v>
      </c>
      <c r="AI1313" s="58" t="n">
        <f aca="false">IF(AF1313&gt;0,I1313/AF1313,-1)</f>
        <v>-1</v>
      </c>
      <c r="AJ1313" s="58" t="str">
        <f aca="false">IF(AND(OR(BU1313="L1",BU1313="L23"),AF1313&gt;0),SUMIFS($AF$7:$AF$1576,$BU$7:$BU$1576,BU1313,$AI$7:$AI$1576,"&gt;"&amp;AI1313)+SUMIFS($AF$7:$AF$1576,$BU$7:$BU$1576,BU1313,$AI$7:$AI$1576,AI1313,$BO$7:$BO$1576,"&lt;="&amp;BO1313),"")</f>
        <v/>
      </c>
      <c r="AK1313" s="65" t="n">
        <f aca="false">IF(AJ1313="",0,MAX(0,MIN(1,(IF(BU1313="L1",Parameter!$E$5,Parameter!$E$6+Parameter!$E$7)-(AJ1313-AF1313))/AF1313)))</f>
        <v>0</v>
      </c>
      <c r="AL1313" s="57" t="n">
        <f aca="false">IF(LEFT(Cockpit!$I$5,1)="A",G1313,IF(BW1313=1,BX1313,IF(LEFT(Cockpit!$I$5,1)="B",AP1313,MAX(AP1313,G1313))))</f>
        <v>1</v>
      </c>
      <c r="AM1313" s="57" t="n">
        <f aca="false">IF(BR1313=1,0,ROUNDUP(AL1313/BQ1313,0))</f>
        <v>0</v>
      </c>
      <c r="AN1313" s="59" t="n">
        <f aca="false">IF(CD1313&gt;0,CD1313*MAX(1,AL1313/V1313),IF(BR1313=1,IF(AL1313&lt;=0,0,BS1313*MAX(1,IF(G1313&gt;0,AL1313/G1313,1))),IF(Q1313&gt;0,AM1313/Q1313,0))/MAX(0.1,N(Parameter!$M$21)))</f>
        <v>0.15</v>
      </c>
      <c r="AO1313" s="57" t="n">
        <f aca="false">AL1313*F1313</f>
        <v>1309.41</v>
      </c>
      <c r="AP1313" s="57" t="n">
        <f aca="false">ROUNDUP(MAX(I1313/IF(BV1313&gt;0,BV1313,MAX(0.1,N(Cockpit!$I$6))),BY1313)/BQ1313,0)*BQ1313</f>
        <v>1</v>
      </c>
      <c r="AQ1313" s="58" t="n">
        <f aca="false">IF(AN1313&gt;0,I1313/AN1313,-1)</f>
        <v>0</v>
      </c>
      <c r="AR1313" s="58" t="str">
        <f aca="false">IF(AND(OR(BU1313="L1",BU1313="L23"),AN1313&gt;0),SUMIFS($AN$7:$AN$1576,$BU$7:$BU$1576,BU1313,$AQ$7:$AQ$1576,"&gt;"&amp;AQ1313)+SUMIFS($AN$7:$AN$1576,$BU$7:$BU$1576,BU1313,$AQ$7:$AQ$1576,AQ1313,$BO$7:$BO$1576,"&lt;="&amp;BO1313),"")</f>
        <v/>
      </c>
      <c r="AS1313" s="65" t="n">
        <f aca="false">IF(AR1313="",0,MAX(0,MIN(1,(IF(BU1313="L1",Parameter!$E$5,Parameter!$E$6+Parameter!$E$7)-(AR1313-AN1313))/AN1313)))</f>
        <v>0</v>
      </c>
      <c r="AT1313" s="57" t="n">
        <f aca="false">IF(LEFT(Cockpit!$O$5,1)="A",G1313,IF(BW1313=1,BX1313,IF(LEFT(Cockpit!$O$5,1)="B",AX1313,MAX(AX1313,G1313))))</f>
        <v>1</v>
      </c>
      <c r="AU1313" s="57" t="n">
        <f aca="false">IF(BR1313=1,0,ROUNDUP(AT1313/BQ1313,0))</f>
        <v>0</v>
      </c>
      <c r="AV1313" s="59" t="n">
        <f aca="false">IF(CD1313&gt;0,CD1313*MAX(1,AT1313/V1313),IF(BR1313=1,IF(AT1313&lt;=0,0,BS1313*MAX(1,IF(G1313&gt;0,AT1313/G1313,1))),IF(Q1313&gt;0,AU1313/Q1313,0))/MAX(0.1,N(Parameter!$M$21)))</f>
        <v>0.15</v>
      </c>
      <c r="AW1313" s="57" t="n">
        <f aca="false">AT1313*F1313</f>
        <v>1309.41</v>
      </c>
      <c r="AX1313" s="57" t="n">
        <f aca="false">ROUNDUP(MAX(I1313/IF(BV1313&gt;0,BV1313,MAX(0.1,N(Cockpit!$O$6))),BY1313)/BQ1313,0)*BQ1313</f>
        <v>1</v>
      </c>
      <c r="AY1313" s="58" t="n">
        <f aca="false">IF(AV1313&gt;0,I1313/AV1313,-1)</f>
        <v>0</v>
      </c>
      <c r="AZ1313" s="58" t="str">
        <f aca="false">IF(AND(OR(BU1313="L1",BU1313="L23"),AV1313&gt;0),SUMIFS($AV$7:$AV$1576,$BU$7:$BU$1576,BU1313,$AY$7:$AY$1576,"&gt;"&amp;AY1313)+SUMIFS($AV$7:$AV$1576,$BU$7:$BU$1576,BU1313,$AY$7:$AY$1576,AY1313,$BO$7:$BO$1576,"&lt;="&amp;BO1313),"")</f>
        <v/>
      </c>
      <c r="BA1313" s="65" t="n">
        <f aca="false">IF(AZ1313="",0,MAX(0,MIN(1,(IF(BU1313="L1",Parameter!$E$5,Parameter!$E$6+Parameter!$E$7)-(AZ1313-AV1313))/AV1313)))</f>
        <v>0</v>
      </c>
      <c r="BB1313" s="55" t="str">
        <f aca="false">IF(AF1313&lt;=0,"",IF(BU1313="Aussen","Aussenlager",IF(BU1313="-","Nicht im Lift",IF(AK1313&gt;=1,"Lift",IF(AK1313&lt;=0,"Aussenlager","teilweise")))))</f>
        <v/>
      </c>
      <c r="BC1313" s="55" t="str">
        <f aca="false">IF(AN1313&lt;=0,"",IF(BU1313="Aussen","Aussenlager",IF(BU1313="-","Nicht im Lift",IF(AS1313&gt;=1,"Lift",IF(AS1313&lt;=0,"Aussenlager","teilweise")))))</f>
        <v>Nicht im Lift</v>
      </c>
      <c r="BD1313" s="55" t="str">
        <f aca="false">IF(AV1313&lt;=0,"",IF(BU1313="Aussen","Aussenlager",IF(BU1313="-","Nicht im Lift",IF(BA1313&gt;=1,"Lift",IF(BA1313&lt;=0,"Aussenlager","teilweise")))))</f>
        <v>Nicht im Lift</v>
      </c>
      <c r="BE1313" s="55" t="str">
        <f aca="false">IF(A1313="","",IF(BN1313=1,"Neu; ","")&amp;IF(AND(BN1313=0,BI1313&lt;0),"negativer Bestand (Export "&amp;BI1313&amp;"); ","")&amp;IF(I1313&lt;=0,"Kein Verbrauch; ","")&amp;IF(CD1313&gt;0,"Lift "&amp;U1313&amp;" lt. Liftbericht (Fach "&amp;V1313&amp;" Stk); ",IF(BR1313=1,"Lose – Fläche geschätzt; ",""))&amp;IF(G1313&gt;AP1313,"Überbestand "&amp;ROUND(G1313-AP1313,0)&amp;" Stk / CHF "&amp;ROUND((G1313-AP1313)*F1313,0)&amp;"; ","")&amp;IF(AND(BW1313=1,BX1313&lt;BY1313),"MAX &lt; MB+LG; ","")&amp;IF(AND(CC1313&gt;0,CB1313*10&gt;CC1313),"zu hoch für Tablar; ","")&amp;IF(AND(BN1313=0,OR(BW1313=1,Y1313&lt;&gt;"",S1313&lt;&gt;"",T1313&lt;&gt;"",Z1313&lt;&gt;"")),"manuell übersteuert; ","")&amp;IF(AND(BR1313=0,Q1313=0),"Gebinde unbekannt / Stellmass fehlt; ","")&amp;IF(AND(BR1313=0,N(T1313)&lt;=0,N(P1313)&lt;=0),"Menge pro Gebinde fehlt (Ist = 1 Gebinde); ","")&amp;BM1313)</f>
        <v>negativer Bestand (Export -1); Kein Verbrauch; Lose – Fläche geschätzt; </v>
      </c>
      <c r="BF1313" s="55"/>
      <c r="BG1313" s="55"/>
      <c r="BH1313" s="62"/>
      <c r="BI1313" s="57" t="n">
        <v>-1</v>
      </c>
      <c r="BJ1313" s="57" t="n">
        <v>1</v>
      </c>
      <c r="BK1313" s="56" t="n">
        <v>-1309.41</v>
      </c>
      <c r="BL1313" s="57" t="n">
        <v>0</v>
      </c>
      <c r="BM1313" s="55"/>
      <c r="BN1313" s="60" t="n">
        <v>0</v>
      </c>
      <c r="BO1313" s="60" t="n">
        <v>1313</v>
      </c>
      <c r="BP1313" s="55" t="str">
        <f aca="false">IF(S1313&lt;&gt;"",UPPER(TRIM(S1313)),IF(O1313="","LOSE",O1313))</f>
        <v>LOSE</v>
      </c>
      <c r="BQ1313" s="57" t="n">
        <f aca="false">IF(BP1313="LOSE",1,IF(N(T1313)&gt;0,T1313,IF(N(P1313)&gt;0,P1313,MAX(1,G1313))))</f>
        <v>1</v>
      </c>
      <c r="BR1313" s="60" t="n">
        <f aca="false">IF(BP1313="LOSE",1,0)</f>
        <v>1</v>
      </c>
      <c r="BS1313" s="59" t="n">
        <f aca="false">IF(BR1313=0,0,IF(N(R1313)&gt;0,R1313,IFERROR(VLOOKUP(D1313,Parameter!$A$35:$C$64,3,0)+0,0)))</f>
        <v>0.15</v>
      </c>
      <c r="BT1313" s="55" t="str">
        <f aca="false">IF(Y1313&lt;&gt;"",Y1313,X1313)</f>
        <v>-</v>
      </c>
      <c r="BU1313" s="55" t="str">
        <f aca="false">IF(BT1313=1,"L1",IF(OR(BT1313=2,BT1313=3),"L23",IF(BT1313="Aussen","Aussen","-")))</f>
        <v>-</v>
      </c>
      <c r="BV1313" s="66" t="n">
        <f aca="false">IF(N(Z1313)&gt;0,Z1313,0)</f>
        <v>0</v>
      </c>
      <c r="BW1313" s="60" t="n">
        <f aca="false">IF(ISNUMBER(AC1313),1,0)</f>
        <v>0</v>
      </c>
      <c r="BX1313" s="57" t="n">
        <f aca="false">N(AC1313)</f>
        <v>0</v>
      </c>
      <c r="BY1313" s="57" t="n">
        <f aca="false">N(L1313)+N(M1313)</f>
        <v>1</v>
      </c>
      <c r="BZ1313" s="57" t="n">
        <f aca="false">ROUNDUP(G1313/BQ1313,0)</f>
        <v>0</v>
      </c>
      <c r="CA1313" s="57" t="n">
        <f aca="false">ROUNDUP(BX1313/BQ1313,0)</f>
        <v>0</v>
      </c>
      <c r="CB1313" s="60" t="n">
        <f aca="false">IF(BR1313=1,0,IFERROR(VLOOKUP(BP1313,'Gebinde-Kategorie'!$A$5:$M$45,5,0)+0,0))</f>
        <v>0</v>
      </c>
      <c r="CC1313" s="60" t="n">
        <f aca="false">IFERROR(IF(OR(BT1313=1,BT1313=2,BT1313=3),N(INDEX(Parameter!$I$5:$I$7,BT1313)),0),0)</f>
        <v>0</v>
      </c>
      <c r="CD1313" s="59" t="n">
        <f aca="false">IF(AND(Parameter!$B$21="Ja",ISNUMBER(U1313),N(V1313)&gt;0),IFERROR(N(INDEX(Parameter!$L$5:$L$7,U1313))*INDEX(Parameter!$E$5:$E$7,U1313)*V1313/SUMIFS($V$7:$V$1576,$U$7:$U$1576,U1313),0),0)</f>
        <v>0</v>
      </c>
    </row>
    <row r="1314" customFormat="false" ht="15" hidden="false" customHeight="false" outlineLevel="0" collapsed="false">
      <c r="A1314" s="55" t="s">
        <v>2318</v>
      </c>
      <c r="B1314" s="55" t="s">
        <v>2319</v>
      </c>
      <c r="C1314" s="55" t="s">
        <v>160</v>
      </c>
      <c r="D1314" s="55" t="s">
        <v>178</v>
      </c>
      <c r="E1314" s="55" t="s">
        <v>210</v>
      </c>
      <c r="F1314" s="56" t="n">
        <v>1.9</v>
      </c>
      <c r="G1314" s="57" t="n">
        <f aca="false">MAX(0,IF(AND(Parameter!$B$21="Ja",ISNUMBER(W1314)),W1314,IF(Parameter!$B$20="Jahresanfang 2025 + Export",BJ1314+BI1314,BI1314)))</f>
        <v>0</v>
      </c>
      <c r="H1314" s="57" t="n">
        <f aca="false">G1314*F1314</f>
        <v>0</v>
      </c>
      <c r="I1314" s="57" t="n">
        <f aca="false">BL1314*Parameter!$B$18</f>
        <v>320</v>
      </c>
      <c r="J1314" s="58" t="n">
        <v>708</v>
      </c>
      <c r="K1314" s="59" t="n">
        <v>0.451977401129944</v>
      </c>
      <c r="L1314" s="57" t="n">
        <v>49</v>
      </c>
      <c r="M1314" s="57" t="n">
        <v>320</v>
      </c>
      <c r="N1314" s="60" t="n">
        <v>56</v>
      </c>
      <c r="O1314" s="55" t="s">
        <v>319</v>
      </c>
      <c r="P1314" s="57" t="n">
        <v>360</v>
      </c>
      <c r="Q1314" s="60" t="n">
        <f aca="false">IF(BR1314=1,0,IFERROR(VLOOKUP(BP1314,'Gebinde-Kategorie'!$A$5:$M$45,13,0)+0,0))</f>
        <v>52</v>
      </c>
      <c r="R1314" s="61"/>
      <c r="S1314" s="62"/>
      <c r="T1314" s="62"/>
      <c r="U1314" s="55"/>
      <c r="V1314" s="57"/>
      <c r="W1314" s="57"/>
      <c r="X1314" s="55" t="n">
        <f aca="false">IF(A1314="","",IF(AND(Parameter!$B$21="Ja",ISNUMBER(U1314)),U1314,IF(IFERROR(VLOOKUP(D1314,Parameter!$A$35:$C$64,2,0),"Nein")="2+3",IF(ISNUMBER(SEARCH("grosser Artikel",BM1314)),2,IFERROR(VLOOKUP(BP1314,Parameter!$F$35:$G$64,2,0),2)),IF(OR(IFERROR(VLOOKUP(D1314,Parameter!$A$35:$C$64,2,0),"Nein")="Nein",IFERROR(VLOOKUP(D1314,Parameter!$A$35:$C$64,2,0),"Nein")=""),"-",VLOOKUP(D1314,Parameter!$A$35:$C$64,2,0)))))</f>
        <v>3</v>
      </c>
      <c r="Y1314" s="62"/>
      <c r="Z1314" s="63"/>
      <c r="AA1314" s="57" t="n">
        <f aca="false">AP1314</f>
        <v>720</v>
      </c>
      <c r="AB1314" s="57" t="n">
        <f aca="false">MAX(AP1314,G1314)</f>
        <v>720</v>
      </c>
      <c r="AC1314" s="64"/>
      <c r="AD1314" s="57" t="n">
        <f aca="false">IF(LEFT(Cockpit!$C$5,1)="A",G1314,IF(BW1314=1,BX1314,IF(LEFT(Cockpit!$C$5,1)="B",AH1314,MAX(AH1314,G1314))))</f>
        <v>0</v>
      </c>
      <c r="AE1314" s="57" t="n">
        <f aca="false">IF(BR1314=1,0,ROUNDUP(AD1314/BQ1314,0))</f>
        <v>0</v>
      </c>
      <c r="AF1314" s="59" t="n">
        <f aca="false">IF(CD1314&gt;0,CD1314*MAX(1,AD1314/V1314),IF(BR1314=1,IF(AD1314&lt;=0,0,BS1314*MAX(1,IF(G1314&gt;0,AD1314/G1314,1))),IF(Q1314&gt;0,AE1314/Q1314,0))/MAX(0.1,N(Parameter!$M$21)))</f>
        <v>0</v>
      </c>
      <c r="AG1314" s="57" t="n">
        <f aca="false">AD1314*F1314</f>
        <v>0</v>
      </c>
      <c r="AH1314" s="57" t="n">
        <f aca="false">ROUNDUP(MAX(I1314/IF(BV1314&gt;0,BV1314,MAX(0.1,N(Cockpit!$C$6))),BY1314)/BQ1314,0)*BQ1314</f>
        <v>720</v>
      </c>
      <c r="AI1314" s="58" t="n">
        <f aca="false">IF(AF1314&gt;0,I1314/AF1314,-1)</f>
        <v>-1</v>
      </c>
      <c r="AJ1314" s="58" t="str">
        <f aca="false">IF(AND(OR(BU1314="L1",BU1314="L23"),AF1314&gt;0),SUMIFS($AF$7:$AF$1576,$BU$7:$BU$1576,BU1314,$AI$7:$AI$1576,"&gt;"&amp;AI1314)+SUMIFS($AF$7:$AF$1576,$BU$7:$BU$1576,BU1314,$AI$7:$AI$1576,AI1314,$BO$7:$BO$1576,"&lt;="&amp;BO1314),"")</f>
        <v/>
      </c>
      <c r="AK1314" s="65" t="n">
        <f aca="false">IF(AJ1314="",0,MAX(0,MIN(1,(IF(BU1314="L1",Parameter!$E$5,Parameter!$E$6+Parameter!$E$7)-(AJ1314-AF1314))/AF1314)))</f>
        <v>0</v>
      </c>
      <c r="AL1314" s="57" t="n">
        <f aca="false">IF(LEFT(Cockpit!$I$5,1)="A",G1314,IF(BW1314=1,BX1314,IF(LEFT(Cockpit!$I$5,1)="B",AP1314,MAX(AP1314,G1314))))</f>
        <v>720</v>
      </c>
      <c r="AM1314" s="57" t="n">
        <f aca="false">IF(BR1314=1,0,ROUNDUP(AL1314/BQ1314,0))</f>
        <v>2</v>
      </c>
      <c r="AN1314" s="59" t="n">
        <f aca="false">IF(CD1314&gt;0,CD1314*MAX(1,AL1314/V1314),IF(BR1314=1,IF(AL1314&lt;=0,0,BS1314*MAX(1,IF(G1314&gt;0,AL1314/G1314,1))),IF(Q1314&gt;0,AM1314/Q1314,0))/MAX(0.1,N(Parameter!$M$21)))</f>
        <v>0.0384615384615385</v>
      </c>
      <c r="AO1314" s="57" t="n">
        <f aca="false">AL1314*F1314</f>
        <v>1368</v>
      </c>
      <c r="AP1314" s="57" t="n">
        <f aca="false">ROUNDUP(MAX(I1314/IF(BV1314&gt;0,BV1314,MAX(0.1,N(Cockpit!$I$6))),BY1314)/BQ1314,0)*BQ1314</f>
        <v>720</v>
      </c>
      <c r="AQ1314" s="58" t="n">
        <f aca="false">IF(AN1314&gt;0,I1314/AN1314,-1)</f>
        <v>8320</v>
      </c>
      <c r="AR1314" s="58" t="n">
        <f aca="false">IF(AND(OR(BU1314="L1",BU1314="L23"),AN1314&gt;0),SUMIFS($AN$7:$AN$1576,$BU$7:$BU$1576,BU1314,$AQ$7:$AQ$1576,"&gt;"&amp;AQ1314)+SUMIFS($AN$7:$AN$1576,$BU$7:$BU$1576,BU1314,$AQ$7:$AQ$1576,AQ1314,$BO$7:$BO$1576,"&lt;="&amp;BO1314),"")</f>
        <v>7.99041653998176</v>
      </c>
      <c r="AS1314" s="65" t="n">
        <f aca="false">IF(AR1314="",0,MAX(0,MIN(1,(IF(BU1314="L1",Parameter!$E$5,Parameter!$E$6+Parameter!$E$7)-(AR1314-AN1314))/AN1314)))</f>
        <v>1</v>
      </c>
      <c r="AT1314" s="57" t="n">
        <f aca="false">IF(LEFT(Cockpit!$O$5,1)="A",G1314,IF(BW1314=1,BX1314,IF(LEFT(Cockpit!$O$5,1)="B",AX1314,MAX(AX1314,G1314))))</f>
        <v>720</v>
      </c>
      <c r="AU1314" s="57" t="n">
        <f aca="false">IF(BR1314=1,0,ROUNDUP(AT1314/BQ1314,0))</f>
        <v>2</v>
      </c>
      <c r="AV1314" s="59" t="n">
        <f aca="false">IF(CD1314&gt;0,CD1314*MAX(1,AT1314/V1314),IF(BR1314=1,IF(AT1314&lt;=0,0,BS1314*MAX(1,IF(G1314&gt;0,AT1314/G1314,1))),IF(Q1314&gt;0,AU1314/Q1314,0))/MAX(0.1,N(Parameter!$M$21)))</f>
        <v>0.0384615384615385</v>
      </c>
      <c r="AW1314" s="57" t="n">
        <f aca="false">AT1314*F1314</f>
        <v>1368</v>
      </c>
      <c r="AX1314" s="57" t="n">
        <f aca="false">ROUNDUP(MAX(I1314/IF(BV1314&gt;0,BV1314,MAX(0.1,N(Cockpit!$O$6))),BY1314)/BQ1314,0)*BQ1314</f>
        <v>720</v>
      </c>
      <c r="AY1314" s="58" t="n">
        <f aca="false">IF(AV1314&gt;0,I1314/AV1314,-1)</f>
        <v>8320</v>
      </c>
      <c r="AZ1314" s="58" t="n">
        <f aca="false">IF(AND(OR(BU1314="L1",BU1314="L23"),AV1314&gt;0),SUMIFS($AV$7:$AV$1576,$BU$7:$BU$1576,BU1314,$AY$7:$AY$1576,"&gt;"&amp;AY1314)+SUMIFS($AV$7:$AV$1576,$BU$7:$BU$1576,BU1314,$AY$7:$AY$1576,AY1314,$BO$7:$BO$1576,"&lt;="&amp;BO1314),"")</f>
        <v>8.00615080571602</v>
      </c>
      <c r="BA1314" s="65" t="n">
        <f aca="false">IF(AZ1314="",0,MAX(0,MIN(1,(IF(BU1314="L1",Parameter!$E$5,Parameter!$E$6+Parameter!$E$7)-(AZ1314-AV1314))/AV1314)))</f>
        <v>1</v>
      </c>
      <c r="BB1314" s="55" t="str">
        <f aca="false">IF(AF1314&lt;=0,"",IF(BU1314="Aussen","Aussenlager",IF(BU1314="-","Nicht im Lift",IF(AK1314&gt;=1,"Lift",IF(AK1314&lt;=0,"Aussenlager","teilweise")))))</f>
        <v/>
      </c>
      <c r="BC1314" s="55" t="str">
        <f aca="false">IF(AN1314&lt;=0,"",IF(BU1314="Aussen","Aussenlager",IF(BU1314="-","Nicht im Lift",IF(AS1314&gt;=1,"Lift",IF(AS1314&lt;=0,"Aussenlager","teilweise")))))</f>
        <v>Lift</v>
      </c>
      <c r="BD1314" s="55" t="str">
        <f aca="false">IF(AV1314&lt;=0,"",IF(BU1314="Aussen","Aussenlager",IF(BU1314="-","Nicht im Lift",IF(BA1314&gt;=1,"Lift",IF(BA1314&lt;=0,"Aussenlager","teilweise")))))</f>
        <v>Lift</v>
      </c>
      <c r="BE1314" s="55" t="str">
        <f aca="false">IF(A1314="","",IF(BN1314=1,"Neu; ","")&amp;IF(AND(BN1314=0,BI1314&lt;0),"negativer Bestand (Export "&amp;BI1314&amp;"); ","")&amp;IF(I1314&lt;=0,"Kein Verbrauch; ","")&amp;IF(CD1314&gt;0,"Lift "&amp;U1314&amp;" lt. Liftbericht (Fach "&amp;V1314&amp;" Stk); ",IF(BR1314=1,"Lose – Fläche geschätzt; ",""))&amp;IF(G1314&gt;AP1314,"Überbestand "&amp;ROUND(G1314-AP1314,0)&amp;" Stk / CHF "&amp;ROUND((G1314-AP1314)*F1314,0)&amp;"; ","")&amp;IF(AND(BW1314=1,BX1314&lt;BY1314),"MAX &lt; MB+LG; ","")&amp;IF(AND(CC1314&gt;0,CB1314*10&gt;CC1314),"zu hoch für Tablar; ","")&amp;IF(AND(BN1314=0,OR(BW1314=1,Y1314&lt;&gt;"",S1314&lt;&gt;"",T1314&lt;&gt;"",Z1314&lt;&gt;"")),"manuell übersteuert; ","")&amp;IF(AND(BR1314=0,Q1314=0),"Gebinde unbekannt / Stellmass fehlt; ","")&amp;IF(AND(BR1314=0,N(T1314)&lt;=0,N(P1314)&lt;=0),"Menge pro Gebinde fehlt (Ist = 1 Gebinde); ","")&amp;BM1314)</f>
        <v>negativer Bestand (Export -695); </v>
      </c>
      <c r="BF1314" s="55"/>
      <c r="BG1314" s="55"/>
      <c r="BH1314" s="62"/>
      <c r="BI1314" s="57" t="n">
        <v>-695</v>
      </c>
      <c r="BJ1314" s="57" t="n">
        <v>939</v>
      </c>
      <c r="BK1314" s="56" t="n">
        <v>-1320.5</v>
      </c>
      <c r="BL1314" s="57" t="n">
        <v>320</v>
      </c>
      <c r="BM1314" s="55"/>
      <c r="BN1314" s="60" t="n">
        <v>0</v>
      </c>
      <c r="BO1314" s="60" t="n">
        <v>1314</v>
      </c>
      <c r="BP1314" s="55" t="str">
        <f aca="false">IF(S1314&lt;&gt;"",UPPER(TRIM(S1314)),IF(O1314="","LOSE",O1314))</f>
        <v>S41</v>
      </c>
      <c r="BQ1314" s="57" t="n">
        <f aca="false">IF(BP1314="LOSE",1,IF(N(T1314)&gt;0,T1314,IF(N(P1314)&gt;0,P1314,MAX(1,G1314))))</f>
        <v>360</v>
      </c>
      <c r="BR1314" s="60" t="n">
        <f aca="false">IF(BP1314="LOSE",1,0)</f>
        <v>0</v>
      </c>
      <c r="BS1314" s="59" t="n">
        <f aca="false">IF(BR1314=0,0,IF(N(R1314)&gt;0,R1314,IFERROR(VLOOKUP(D1314,Parameter!$A$35:$C$64,3,0)+0,0)))</f>
        <v>0</v>
      </c>
      <c r="BT1314" s="55" t="n">
        <f aca="false">IF(Y1314&lt;&gt;"",Y1314,X1314)</f>
        <v>3</v>
      </c>
      <c r="BU1314" s="55" t="str">
        <f aca="false">IF(BT1314=1,"L1",IF(OR(BT1314=2,BT1314=3),"L23",IF(BT1314="Aussen","Aussen","-")))</f>
        <v>L23</v>
      </c>
      <c r="BV1314" s="66" t="n">
        <f aca="false">IF(N(Z1314)&gt;0,Z1314,0)</f>
        <v>0</v>
      </c>
      <c r="BW1314" s="60" t="n">
        <f aca="false">IF(ISNUMBER(AC1314),1,0)</f>
        <v>0</v>
      </c>
      <c r="BX1314" s="57" t="n">
        <f aca="false">N(AC1314)</f>
        <v>0</v>
      </c>
      <c r="BY1314" s="57" t="n">
        <f aca="false">N(L1314)+N(M1314)</f>
        <v>369</v>
      </c>
      <c r="BZ1314" s="57" t="n">
        <f aca="false">ROUNDUP(G1314/BQ1314,0)</f>
        <v>0</v>
      </c>
      <c r="CA1314" s="57" t="n">
        <f aca="false">ROUNDUP(BX1314/BQ1314,0)</f>
        <v>0</v>
      </c>
      <c r="CB1314" s="60" t="n">
        <f aca="false">IF(BR1314=1,0,IFERROR(VLOOKUP(BP1314,'Gebinde-Kategorie'!$A$5:$M$45,5,0)+0,0))</f>
        <v>11</v>
      </c>
      <c r="CC1314" s="60" t="n">
        <f aca="false">IFERROR(IF(OR(BT1314=1,BT1314=2,BT1314=3),N(INDEX(Parameter!$I$5:$I$7,BT1314)),0),0)</f>
        <v>0</v>
      </c>
      <c r="CD1314" s="59" t="n">
        <f aca="false">IF(AND(Parameter!$B$21="Ja",ISNUMBER(U1314),N(V1314)&gt;0),IFERROR(N(INDEX(Parameter!$L$5:$L$7,U1314))*INDEX(Parameter!$E$5:$E$7,U1314)*V1314/SUMIFS($V$7:$V$1576,$U$7:$U$1576,U1314),0),0)</f>
        <v>0</v>
      </c>
    </row>
    <row r="1315" customFormat="false" ht="15" hidden="false" customHeight="false" outlineLevel="0" collapsed="false">
      <c r="A1315" s="55" t="s">
        <v>2320</v>
      </c>
      <c r="B1315" s="55" t="s">
        <v>2321</v>
      </c>
      <c r="C1315" s="55" t="s">
        <v>160</v>
      </c>
      <c r="D1315" s="55" t="s">
        <v>178</v>
      </c>
      <c r="E1315" s="55" t="s">
        <v>210</v>
      </c>
      <c r="F1315" s="56" t="n">
        <v>148.68</v>
      </c>
      <c r="G1315" s="57" t="n">
        <f aca="false">MAX(0,IF(AND(Parameter!$B$21="Ja",ISNUMBER(W1315)),W1315,IF(Parameter!$B$20="Jahresanfang 2025 + Export",BJ1315+BI1315,BI1315)))</f>
        <v>0</v>
      </c>
      <c r="H1315" s="57" t="n">
        <f aca="false">G1315*F1315</f>
        <v>0</v>
      </c>
      <c r="I1315" s="57" t="n">
        <f aca="false">BL1315*Parameter!$B$18</f>
        <v>33</v>
      </c>
      <c r="J1315" s="58" t="n">
        <v>20</v>
      </c>
      <c r="K1315" s="59" t="n">
        <v>1.65</v>
      </c>
      <c r="L1315" s="57" t="n">
        <v>2</v>
      </c>
      <c r="M1315" s="57" t="n">
        <v>25</v>
      </c>
      <c r="N1315" s="60" t="n">
        <v>30</v>
      </c>
      <c r="O1315" s="55" t="s">
        <v>465</v>
      </c>
      <c r="P1315" s="57" t="n">
        <v>37</v>
      </c>
      <c r="Q1315" s="60" t="n">
        <f aca="false">IF(BR1315=1,0,IFERROR(VLOOKUP(BP1315,'Gebinde-Kategorie'!$A$5:$M$45,13,0)+0,0))</f>
        <v>66</v>
      </c>
      <c r="R1315" s="61"/>
      <c r="S1315" s="62"/>
      <c r="T1315" s="62"/>
      <c r="U1315" s="55"/>
      <c r="V1315" s="57"/>
      <c r="W1315" s="57"/>
      <c r="X1315" s="55" t="n">
        <f aca="false">IF(A1315="","",IF(AND(Parameter!$B$21="Ja",ISNUMBER(U1315)),U1315,IF(IFERROR(VLOOKUP(D1315,Parameter!$A$35:$C$64,2,0),"Nein")="2+3",IF(ISNUMBER(SEARCH("grosser Artikel",BM1315)),2,IFERROR(VLOOKUP(BP1315,Parameter!$F$35:$G$64,2,0),2)),IF(OR(IFERROR(VLOOKUP(D1315,Parameter!$A$35:$C$64,2,0),"Nein")="Nein",IFERROR(VLOOKUP(D1315,Parameter!$A$35:$C$64,2,0),"Nein")=""),"-",VLOOKUP(D1315,Parameter!$A$35:$C$64,2,0)))))</f>
        <v>3</v>
      </c>
      <c r="Y1315" s="62"/>
      <c r="Z1315" s="63"/>
      <c r="AA1315" s="57" t="n">
        <f aca="false">AP1315</f>
        <v>37</v>
      </c>
      <c r="AB1315" s="57" t="n">
        <f aca="false">MAX(AP1315,G1315)</f>
        <v>37</v>
      </c>
      <c r="AC1315" s="64"/>
      <c r="AD1315" s="57" t="n">
        <f aca="false">IF(LEFT(Cockpit!$C$5,1)="A",G1315,IF(BW1315=1,BX1315,IF(LEFT(Cockpit!$C$5,1)="B",AH1315,MAX(AH1315,G1315))))</f>
        <v>0</v>
      </c>
      <c r="AE1315" s="57" t="n">
        <f aca="false">IF(BR1315=1,0,ROUNDUP(AD1315/BQ1315,0))</f>
        <v>0</v>
      </c>
      <c r="AF1315" s="59" t="n">
        <f aca="false">IF(CD1315&gt;0,CD1315*MAX(1,AD1315/V1315),IF(BR1315=1,IF(AD1315&lt;=0,0,BS1315*MAX(1,IF(G1315&gt;0,AD1315/G1315,1))),IF(Q1315&gt;0,AE1315/Q1315,0))/MAX(0.1,N(Parameter!$M$21)))</f>
        <v>0</v>
      </c>
      <c r="AG1315" s="57" t="n">
        <f aca="false">AD1315*F1315</f>
        <v>0</v>
      </c>
      <c r="AH1315" s="57" t="n">
        <f aca="false">ROUNDUP(MAX(I1315/IF(BV1315&gt;0,BV1315,MAX(0.1,N(Cockpit!$C$6))),BY1315)/BQ1315,0)*BQ1315</f>
        <v>37</v>
      </c>
      <c r="AI1315" s="58" t="n">
        <f aca="false">IF(AF1315&gt;0,I1315/AF1315,-1)</f>
        <v>-1</v>
      </c>
      <c r="AJ1315" s="58" t="str">
        <f aca="false">IF(AND(OR(BU1315="L1",BU1315="L23"),AF1315&gt;0),SUMIFS($AF$7:$AF$1576,$BU$7:$BU$1576,BU1315,$AI$7:$AI$1576,"&gt;"&amp;AI1315)+SUMIFS($AF$7:$AF$1576,$BU$7:$BU$1576,BU1315,$AI$7:$AI$1576,AI1315,$BO$7:$BO$1576,"&lt;="&amp;BO1315),"")</f>
        <v/>
      </c>
      <c r="AK1315" s="65" t="n">
        <f aca="false">IF(AJ1315="",0,MAX(0,MIN(1,(IF(BU1315="L1",Parameter!$E$5,Parameter!$E$6+Parameter!$E$7)-(AJ1315-AF1315))/AF1315)))</f>
        <v>0</v>
      </c>
      <c r="AL1315" s="57" t="n">
        <f aca="false">IF(LEFT(Cockpit!$I$5,1)="A",G1315,IF(BW1315=1,BX1315,IF(LEFT(Cockpit!$I$5,1)="B",AP1315,MAX(AP1315,G1315))))</f>
        <v>37</v>
      </c>
      <c r="AM1315" s="57" t="n">
        <f aca="false">IF(BR1315=1,0,ROUNDUP(AL1315/BQ1315,0))</f>
        <v>1</v>
      </c>
      <c r="AN1315" s="59" t="n">
        <f aca="false">IF(CD1315&gt;0,CD1315*MAX(1,AL1315/V1315),IF(BR1315=1,IF(AL1315&lt;=0,0,BS1315*MAX(1,IF(G1315&gt;0,AL1315/G1315,1))),IF(Q1315&gt;0,AM1315/Q1315,0))/MAX(0.1,N(Parameter!$M$21)))</f>
        <v>0.0151515151515152</v>
      </c>
      <c r="AO1315" s="57" t="n">
        <f aca="false">AL1315*F1315</f>
        <v>5501.16</v>
      </c>
      <c r="AP1315" s="57" t="n">
        <f aca="false">ROUNDUP(MAX(I1315/IF(BV1315&gt;0,BV1315,MAX(0.1,N(Cockpit!$I$6))),BY1315)/BQ1315,0)*BQ1315</f>
        <v>37</v>
      </c>
      <c r="AQ1315" s="58" t="n">
        <f aca="false">IF(AN1315&gt;0,I1315/AN1315,-1)</f>
        <v>2178</v>
      </c>
      <c r="AR1315" s="58" t="n">
        <f aca="false">IF(AND(OR(BU1315="L1",BU1315="L23"),AN1315&gt;0),SUMIFS($AN$7:$AN$1576,$BU$7:$BU$1576,BU1315,$AQ$7:$AQ$1576,"&gt;"&amp;AQ1315)+SUMIFS($AN$7:$AN$1576,$BU$7:$BU$1576,BU1315,$AQ$7:$AQ$1576,AQ1315,$BO$7:$BO$1576,"&lt;="&amp;BO1315),"")</f>
        <v>16.876582174202</v>
      </c>
      <c r="AS1315" s="65" t="n">
        <f aca="false">IF(AR1315="",0,MAX(0,MIN(1,(IF(BU1315="L1",Parameter!$E$5,Parameter!$E$6+Parameter!$E$7)-(AR1315-AN1315))/AN1315)))</f>
        <v>1</v>
      </c>
      <c r="AT1315" s="57" t="n">
        <f aca="false">IF(LEFT(Cockpit!$O$5,1)="A",G1315,IF(BW1315=1,BX1315,IF(LEFT(Cockpit!$O$5,1)="B",AX1315,MAX(AX1315,G1315))))</f>
        <v>37</v>
      </c>
      <c r="AU1315" s="57" t="n">
        <f aca="false">IF(BR1315=1,0,ROUNDUP(AT1315/BQ1315,0))</f>
        <v>1</v>
      </c>
      <c r="AV1315" s="59" t="n">
        <f aca="false">IF(CD1315&gt;0,CD1315*MAX(1,AT1315/V1315),IF(BR1315=1,IF(AT1315&lt;=0,0,BS1315*MAX(1,IF(G1315&gt;0,AT1315/G1315,1))),IF(Q1315&gt;0,AU1315/Q1315,0))/MAX(0.1,N(Parameter!$M$21)))</f>
        <v>0.0151515151515152</v>
      </c>
      <c r="AW1315" s="57" t="n">
        <f aca="false">AT1315*F1315</f>
        <v>5501.16</v>
      </c>
      <c r="AX1315" s="57" t="n">
        <f aca="false">ROUNDUP(MAX(I1315/IF(BV1315&gt;0,BV1315,MAX(0.1,N(Cockpit!$O$6))),BY1315)/BQ1315,0)*BQ1315</f>
        <v>37</v>
      </c>
      <c r="AY1315" s="58" t="n">
        <f aca="false">IF(AV1315&gt;0,I1315/AV1315,-1)</f>
        <v>2178</v>
      </c>
      <c r="AZ1315" s="58" t="n">
        <f aca="false">IF(AND(OR(BU1315="L1",BU1315="L23"),AV1315&gt;0),SUMIFS($AV$7:$AV$1576,$BU$7:$BU$1576,BU1315,$AY$7:$AY$1576,"&gt;"&amp;AY1315)+SUMIFS($AV$7:$AV$1576,$BU$7:$BU$1576,BU1315,$AY$7:$AY$1576,AY1315,$BO$7:$BO$1576,"&lt;="&amp;BO1315),"")</f>
        <v>15.5653933630132</v>
      </c>
      <c r="BA1315" s="65" t="n">
        <f aca="false">IF(AZ1315="",0,MAX(0,MIN(1,(IF(BU1315="L1",Parameter!$E$5,Parameter!$E$6+Parameter!$E$7)-(AZ1315-AV1315))/AV1315)))</f>
        <v>1</v>
      </c>
      <c r="BB1315" s="55" t="str">
        <f aca="false">IF(AF1315&lt;=0,"",IF(BU1315="Aussen","Aussenlager",IF(BU1315="-","Nicht im Lift",IF(AK1315&gt;=1,"Lift",IF(AK1315&lt;=0,"Aussenlager","teilweise")))))</f>
        <v/>
      </c>
      <c r="BC1315" s="55" t="str">
        <f aca="false">IF(AN1315&lt;=0,"",IF(BU1315="Aussen","Aussenlager",IF(BU1315="-","Nicht im Lift",IF(AS1315&gt;=1,"Lift",IF(AS1315&lt;=0,"Aussenlager","teilweise")))))</f>
        <v>Lift</v>
      </c>
      <c r="BD1315" s="55" t="str">
        <f aca="false">IF(AV1315&lt;=0,"",IF(BU1315="Aussen","Aussenlager",IF(BU1315="-","Nicht im Lift",IF(BA1315&gt;=1,"Lift",IF(BA1315&lt;=0,"Aussenlager","teilweise")))))</f>
        <v>Lift</v>
      </c>
      <c r="BE1315" s="55" t="str">
        <f aca="false">IF(A1315="","",IF(BN1315=1,"Neu; ","")&amp;IF(AND(BN1315=0,BI1315&lt;0),"negativer Bestand (Export "&amp;BI1315&amp;"); ","")&amp;IF(I1315&lt;=0,"Kein Verbrauch; ","")&amp;IF(CD1315&gt;0,"Lift "&amp;U1315&amp;" lt. Liftbericht (Fach "&amp;V1315&amp;" Stk); ",IF(BR1315=1,"Lose – Fläche geschätzt; ",""))&amp;IF(G1315&gt;AP1315,"Überbestand "&amp;ROUND(G1315-AP1315,0)&amp;" Stk / CHF "&amp;ROUND((G1315-AP1315)*F1315,0)&amp;"; ","")&amp;IF(AND(BW1315=1,BX1315&lt;BY1315),"MAX &lt; MB+LG; ","")&amp;IF(AND(CC1315&gt;0,CB1315*10&gt;CC1315),"zu hoch für Tablar; ","")&amp;IF(AND(BN1315=0,OR(BW1315=1,Y1315&lt;&gt;"",S1315&lt;&gt;"",T1315&lt;&gt;"",Z1315&lt;&gt;"")),"manuell übersteuert; ","")&amp;IF(AND(BR1315=0,Q1315=0),"Gebinde unbekannt / Stellmass fehlt; ","")&amp;IF(AND(BR1315=0,N(T1315)&lt;=0,N(P1315)&lt;=0),"Menge pro Gebinde fehlt (Ist = 1 Gebinde); ","")&amp;BM1315)</f>
        <v>negativer Bestand (Export -9); </v>
      </c>
      <c r="BF1315" s="55"/>
      <c r="BG1315" s="55"/>
      <c r="BH1315" s="62"/>
      <c r="BI1315" s="57" t="n">
        <v>-9</v>
      </c>
      <c r="BJ1315" s="57" t="n">
        <v>21</v>
      </c>
      <c r="BK1315" s="56" t="n">
        <v>-1335.06</v>
      </c>
      <c r="BL1315" s="57" t="n">
        <v>33</v>
      </c>
      <c r="BM1315" s="55"/>
      <c r="BN1315" s="60" t="n">
        <v>0</v>
      </c>
      <c r="BO1315" s="60" t="n">
        <v>1315</v>
      </c>
      <c r="BP1315" s="55" t="str">
        <f aca="false">IF(S1315&lt;&gt;"",UPPER(TRIM(S1315)),IF(O1315="","LOSE",O1315))</f>
        <v>S33</v>
      </c>
      <c r="BQ1315" s="57" t="n">
        <f aca="false">IF(BP1315="LOSE",1,IF(N(T1315)&gt;0,T1315,IF(N(P1315)&gt;0,P1315,MAX(1,G1315))))</f>
        <v>37</v>
      </c>
      <c r="BR1315" s="60" t="n">
        <f aca="false">IF(BP1315="LOSE",1,0)</f>
        <v>0</v>
      </c>
      <c r="BS1315" s="59" t="n">
        <f aca="false">IF(BR1315=0,0,IF(N(R1315)&gt;0,R1315,IFERROR(VLOOKUP(D1315,Parameter!$A$35:$C$64,3,0)+0,0)))</f>
        <v>0</v>
      </c>
      <c r="BT1315" s="55" t="n">
        <f aca="false">IF(Y1315&lt;&gt;"",Y1315,X1315)</f>
        <v>3</v>
      </c>
      <c r="BU1315" s="55" t="str">
        <f aca="false">IF(BT1315=1,"L1",IF(OR(BT1315=2,BT1315=3),"L23",IF(BT1315="Aussen","Aussen","-")))</f>
        <v>L23</v>
      </c>
      <c r="BV1315" s="66" t="n">
        <f aca="false">IF(N(Z1315)&gt;0,Z1315,0)</f>
        <v>0</v>
      </c>
      <c r="BW1315" s="60" t="n">
        <f aca="false">IF(ISNUMBER(AC1315),1,0)</f>
        <v>0</v>
      </c>
      <c r="BX1315" s="57" t="n">
        <f aca="false">N(AC1315)</f>
        <v>0</v>
      </c>
      <c r="BY1315" s="57" t="n">
        <f aca="false">N(L1315)+N(M1315)</f>
        <v>27</v>
      </c>
      <c r="BZ1315" s="57" t="n">
        <f aca="false">ROUNDUP(G1315/BQ1315,0)</f>
        <v>0</v>
      </c>
      <c r="CA1315" s="57" t="n">
        <f aca="false">ROUNDUP(BX1315/BQ1315,0)</f>
        <v>0</v>
      </c>
      <c r="CB1315" s="60" t="n">
        <f aca="false">IF(BR1315=1,0,IFERROR(VLOOKUP(BP1315,'Gebinde-Kategorie'!$A$5:$M$45,5,0)+0,0))</f>
        <v>8</v>
      </c>
      <c r="CC1315" s="60" t="n">
        <f aca="false">IFERROR(IF(OR(BT1315=1,BT1315=2,BT1315=3),N(INDEX(Parameter!$I$5:$I$7,BT1315)),0),0)</f>
        <v>0</v>
      </c>
      <c r="CD1315" s="59" t="n">
        <f aca="false">IF(AND(Parameter!$B$21="Ja",ISNUMBER(U1315),N(V1315)&gt;0),IFERROR(N(INDEX(Parameter!$L$5:$L$7,U1315))*INDEX(Parameter!$E$5:$E$7,U1315)*V1315/SUMIFS($V$7:$V$1576,$U$7:$U$1576,U1315),0),0)</f>
        <v>0</v>
      </c>
    </row>
    <row r="1316" customFormat="false" ht="15" hidden="false" customHeight="false" outlineLevel="0" collapsed="false">
      <c r="A1316" s="55" t="s">
        <v>2322</v>
      </c>
      <c r="B1316" s="55" t="s">
        <v>2323</v>
      </c>
      <c r="C1316" s="55" t="s">
        <v>160</v>
      </c>
      <c r="D1316" s="55" t="s">
        <v>178</v>
      </c>
      <c r="E1316" s="55" t="s">
        <v>210</v>
      </c>
      <c r="F1316" s="56" t="n">
        <v>31.25</v>
      </c>
      <c r="G1316" s="57" t="n">
        <f aca="false">MAX(0,IF(AND(Parameter!$B$21="Ja",ISNUMBER(W1316)),W1316,IF(Parameter!$B$20="Jahresanfang 2025 + Export",BJ1316+BI1316,BI1316)))</f>
        <v>6</v>
      </c>
      <c r="H1316" s="57" t="n">
        <f aca="false">G1316*F1316</f>
        <v>187.5</v>
      </c>
      <c r="I1316" s="57" t="n">
        <f aca="false">BL1316*Parameter!$B$18</f>
        <v>29</v>
      </c>
      <c r="J1316" s="58" t="n">
        <v>17</v>
      </c>
      <c r="K1316" s="59" t="n">
        <v>1.70588235294118</v>
      </c>
      <c r="L1316" s="57" t="n">
        <v>1</v>
      </c>
      <c r="M1316" s="57" t="n">
        <v>30</v>
      </c>
      <c r="N1316" s="60" t="n">
        <v>14</v>
      </c>
      <c r="O1316" s="55" t="s">
        <v>218</v>
      </c>
      <c r="P1316" s="57" t="n">
        <v>39</v>
      </c>
      <c r="Q1316" s="60" t="n">
        <f aca="false">IF(BR1316=1,0,IFERROR(VLOOKUP(BP1316,'Gebinde-Kategorie'!$A$5:$M$45,13,0)+0,0))</f>
        <v>12</v>
      </c>
      <c r="R1316" s="61"/>
      <c r="S1316" s="62"/>
      <c r="T1316" s="62"/>
      <c r="U1316" s="55"/>
      <c r="V1316" s="57"/>
      <c r="W1316" s="57"/>
      <c r="X1316" s="55" t="n">
        <f aca="false">IF(A1316="","",IF(AND(Parameter!$B$21="Ja",ISNUMBER(U1316)),U1316,IF(IFERROR(VLOOKUP(D1316,Parameter!$A$35:$C$64,2,0),"Nein")="2+3",IF(ISNUMBER(SEARCH("grosser Artikel",BM1316)),2,IFERROR(VLOOKUP(BP1316,Parameter!$F$35:$G$64,2,0),2)),IF(OR(IFERROR(VLOOKUP(D1316,Parameter!$A$35:$C$64,2,0),"Nein")="Nein",IFERROR(VLOOKUP(D1316,Parameter!$A$35:$C$64,2,0),"Nein")=""),"-",VLOOKUP(D1316,Parameter!$A$35:$C$64,2,0)))))</f>
        <v>2</v>
      </c>
      <c r="Y1316" s="62"/>
      <c r="Z1316" s="63"/>
      <c r="AA1316" s="57" t="n">
        <f aca="false">AP1316</f>
        <v>39</v>
      </c>
      <c r="AB1316" s="57" t="n">
        <f aca="false">MAX(AP1316,G1316)</f>
        <v>39</v>
      </c>
      <c r="AC1316" s="64"/>
      <c r="AD1316" s="57" t="n">
        <f aca="false">IF(LEFT(Cockpit!$C$5,1)="A",G1316,IF(BW1316=1,BX1316,IF(LEFT(Cockpit!$C$5,1)="B",AH1316,MAX(AH1316,G1316))))</f>
        <v>6</v>
      </c>
      <c r="AE1316" s="57" t="n">
        <f aca="false">IF(BR1316=1,0,ROUNDUP(AD1316/BQ1316,0))</f>
        <v>1</v>
      </c>
      <c r="AF1316" s="59" t="n">
        <f aca="false">IF(CD1316&gt;0,CD1316*MAX(1,AD1316/V1316),IF(BR1316=1,IF(AD1316&lt;=0,0,BS1316*MAX(1,IF(G1316&gt;0,AD1316/G1316,1))),IF(Q1316&gt;0,AE1316/Q1316,0))/MAX(0.1,N(Parameter!$M$21)))</f>
        <v>0.0833333333333333</v>
      </c>
      <c r="AG1316" s="57" t="n">
        <f aca="false">AD1316*F1316</f>
        <v>187.5</v>
      </c>
      <c r="AH1316" s="57" t="n">
        <f aca="false">ROUNDUP(MAX(I1316/IF(BV1316&gt;0,BV1316,MAX(0.1,N(Cockpit!$C$6))),BY1316)/BQ1316,0)*BQ1316</f>
        <v>39</v>
      </c>
      <c r="AI1316" s="58" t="n">
        <f aca="false">IF(AF1316&gt;0,I1316/AF1316,-1)</f>
        <v>348</v>
      </c>
      <c r="AJ1316" s="58" t="n">
        <f aca="false">IF(AND(OR(BU1316="L1",BU1316="L23"),AF1316&gt;0),SUMIFS($AF$7:$AF$1576,$BU$7:$BU$1576,BU1316,$AI$7:$AI$1576,"&gt;"&amp;AI1316)+SUMIFS($AF$7:$AF$1576,$BU$7:$BU$1576,BU1316,$AI$7:$AI$1576,AI1316,$BO$7:$BO$1576,"&lt;="&amp;BO1316),"")</f>
        <v>14.3574615722442</v>
      </c>
      <c r="AK1316" s="65" t="n">
        <f aca="false">IF(AJ1316="",0,MAX(0,MIN(1,(IF(BU1316="L1",Parameter!$E$5,Parameter!$E$6+Parameter!$E$7)-(AJ1316-AF1316))/AF1316)))</f>
        <v>1</v>
      </c>
      <c r="AL1316" s="57" t="n">
        <f aca="false">IF(LEFT(Cockpit!$I$5,1)="A",G1316,IF(BW1316=1,BX1316,IF(LEFT(Cockpit!$I$5,1)="B",AP1316,MAX(AP1316,G1316))))</f>
        <v>39</v>
      </c>
      <c r="AM1316" s="57" t="n">
        <f aca="false">IF(BR1316=1,0,ROUNDUP(AL1316/BQ1316,0))</f>
        <v>1</v>
      </c>
      <c r="AN1316" s="59" t="n">
        <f aca="false">IF(CD1316&gt;0,CD1316*MAX(1,AL1316/V1316),IF(BR1316=1,IF(AL1316&lt;=0,0,BS1316*MAX(1,IF(G1316&gt;0,AL1316/G1316,1))),IF(Q1316&gt;0,AM1316/Q1316,0))/MAX(0.1,N(Parameter!$M$21)))</f>
        <v>0.0833333333333333</v>
      </c>
      <c r="AO1316" s="57" t="n">
        <f aca="false">AL1316*F1316</f>
        <v>1218.75</v>
      </c>
      <c r="AP1316" s="57" t="n">
        <f aca="false">ROUNDUP(MAX(I1316/IF(BV1316&gt;0,BV1316,MAX(0.1,N(Cockpit!$I$6))),BY1316)/BQ1316,0)*BQ1316</f>
        <v>39</v>
      </c>
      <c r="AQ1316" s="58" t="n">
        <f aca="false">IF(AN1316&gt;0,I1316/AN1316,-1)</f>
        <v>348</v>
      </c>
      <c r="AR1316" s="58" t="n">
        <f aca="false">IF(AND(OR(BU1316="L1",BU1316="L23"),AN1316&gt;0),SUMIFS($AN$7:$AN$1576,$BU$7:$BU$1576,BU1316,$AQ$7:$AQ$1576,"&gt;"&amp;AQ1316)+SUMIFS($AN$7:$AN$1576,$BU$7:$BU$1576,BU1316,$AQ$7:$AQ$1576,AQ1316,$BO$7:$BO$1576,"&lt;="&amp;BO1316),"")</f>
        <v>38.7988009216382</v>
      </c>
      <c r="AS1316" s="65" t="n">
        <f aca="false">IF(AR1316="",0,MAX(0,MIN(1,(IF(BU1316="L1",Parameter!$E$5,Parameter!$E$6+Parameter!$E$7)-(AR1316-AN1316))/AN1316)))</f>
        <v>1</v>
      </c>
      <c r="AT1316" s="57" t="n">
        <f aca="false">IF(LEFT(Cockpit!$O$5,1)="A",G1316,IF(BW1316=1,BX1316,IF(LEFT(Cockpit!$O$5,1)="B",AX1316,MAX(AX1316,G1316))))</f>
        <v>39</v>
      </c>
      <c r="AU1316" s="57" t="n">
        <f aca="false">IF(BR1316=1,0,ROUNDUP(AT1316/BQ1316,0))</f>
        <v>1</v>
      </c>
      <c r="AV1316" s="59" t="n">
        <f aca="false">IF(CD1316&gt;0,CD1316*MAX(1,AT1316/V1316),IF(BR1316=1,IF(AT1316&lt;=0,0,BS1316*MAX(1,IF(G1316&gt;0,AT1316/G1316,1))),IF(Q1316&gt;0,AU1316/Q1316,0))/MAX(0.1,N(Parameter!$M$21)))</f>
        <v>0.0833333333333333</v>
      </c>
      <c r="AW1316" s="57" t="n">
        <f aca="false">AT1316*F1316</f>
        <v>1218.75</v>
      </c>
      <c r="AX1316" s="57" t="n">
        <f aca="false">ROUNDUP(MAX(I1316/IF(BV1316&gt;0,BV1316,MAX(0.1,N(Cockpit!$O$6))),BY1316)/BQ1316,0)*BQ1316</f>
        <v>39</v>
      </c>
      <c r="AY1316" s="58" t="n">
        <f aca="false">IF(AV1316&gt;0,I1316/AV1316,-1)</f>
        <v>348</v>
      </c>
      <c r="AZ1316" s="58" t="n">
        <f aca="false">IF(AND(OR(BU1316="L1",BU1316="L23"),AV1316&gt;0),SUMIFS($AV$7:$AV$1576,$BU$7:$BU$1576,BU1316,$AY$7:$AY$1576,"&gt;"&amp;AY1316)+SUMIFS($AV$7:$AV$1576,$BU$7:$BU$1576,BU1316,$AY$7:$AY$1576,AY1316,$BO$7:$BO$1576,"&lt;="&amp;BO1316),"")</f>
        <v>38.0468795097168</v>
      </c>
      <c r="BA1316" s="65" t="n">
        <f aca="false">IF(AZ1316="",0,MAX(0,MIN(1,(IF(BU1316="L1",Parameter!$E$5,Parameter!$E$6+Parameter!$E$7)-(AZ1316-AV1316))/AV1316)))</f>
        <v>1</v>
      </c>
      <c r="BB1316" s="55" t="str">
        <f aca="false">IF(AF1316&lt;=0,"",IF(BU1316="Aussen","Aussenlager",IF(BU1316="-","Nicht im Lift",IF(AK1316&gt;=1,"Lift",IF(AK1316&lt;=0,"Aussenlager","teilweise")))))</f>
        <v>Lift</v>
      </c>
      <c r="BC1316" s="55" t="str">
        <f aca="false">IF(AN1316&lt;=0,"",IF(BU1316="Aussen","Aussenlager",IF(BU1316="-","Nicht im Lift",IF(AS1316&gt;=1,"Lift",IF(AS1316&lt;=0,"Aussenlager","teilweise")))))</f>
        <v>Lift</v>
      </c>
      <c r="BD1316" s="55" t="str">
        <f aca="false">IF(AV1316&lt;=0,"",IF(BU1316="Aussen","Aussenlager",IF(BU1316="-","Nicht im Lift",IF(BA1316&gt;=1,"Lift",IF(BA1316&lt;=0,"Aussenlager","teilweise")))))</f>
        <v>Lift</v>
      </c>
      <c r="BE1316" s="55" t="str">
        <f aca="false">IF(A1316="","",IF(BN1316=1,"Neu; ","")&amp;IF(AND(BN1316=0,BI1316&lt;0),"negativer Bestand (Export "&amp;BI1316&amp;"); ","")&amp;IF(I1316&lt;=0,"Kein Verbrauch; ","")&amp;IF(CD1316&gt;0,"Lift "&amp;U1316&amp;" lt. Liftbericht (Fach "&amp;V1316&amp;" Stk); ",IF(BR1316=1,"Lose – Fläche geschätzt; ",""))&amp;IF(G1316&gt;AP1316,"Überbestand "&amp;ROUND(G1316-AP1316,0)&amp;" Stk / CHF "&amp;ROUND((G1316-AP1316)*F1316,0)&amp;"; ","")&amp;IF(AND(BW1316=1,BX1316&lt;BY1316),"MAX &lt; MB+LG; ","")&amp;IF(AND(CC1316&gt;0,CB1316*10&gt;CC1316),"zu hoch für Tablar; ","")&amp;IF(AND(BN1316=0,OR(BW1316=1,Y1316&lt;&gt;"",S1316&lt;&gt;"",T1316&lt;&gt;"",Z1316&lt;&gt;"")),"manuell übersteuert; ","")&amp;IF(AND(BR1316=0,Q1316=0),"Gebinde unbekannt / Stellmass fehlt; ","")&amp;IF(AND(BR1316=0,N(T1316)&lt;=0,N(P1316)&lt;=0),"Menge pro Gebinde fehlt (Ist = 1 Gebinde); ","")&amp;BM1316)</f>
        <v/>
      </c>
      <c r="BF1316" s="55"/>
      <c r="BG1316" s="55"/>
      <c r="BH1316" s="62"/>
      <c r="BI1316" s="57" t="n">
        <v>6</v>
      </c>
      <c r="BJ1316" s="57" t="n">
        <v>19</v>
      </c>
      <c r="BK1316" s="56" t="n">
        <v>-1346.56</v>
      </c>
      <c r="BL1316" s="57" t="n">
        <v>29</v>
      </c>
      <c r="BM1316" s="55"/>
      <c r="BN1316" s="60" t="n">
        <v>0</v>
      </c>
      <c r="BO1316" s="60" t="n">
        <v>1316</v>
      </c>
      <c r="BP1316" s="55" t="str">
        <f aca="false">IF(S1316&lt;&gt;"",UPPER(TRIM(S1316)),IF(O1316="","LOSE",O1316))</f>
        <v>S63</v>
      </c>
      <c r="BQ1316" s="57" t="n">
        <f aca="false">IF(BP1316="LOSE",1,IF(N(T1316)&gt;0,T1316,IF(N(P1316)&gt;0,P1316,MAX(1,G1316))))</f>
        <v>39</v>
      </c>
      <c r="BR1316" s="60" t="n">
        <f aca="false">IF(BP1316="LOSE",1,0)</f>
        <v>0</v>
      </c>
      <c r="BS1316" s="59" t="n">
        <f aca="false">IF(BR1316=0,0,IF(N(R1316)&gt;0,R1316,IFERROR(VLOOKUP(D1316,Parameter!$A$35:$C$64,3,0)+0,0)))</f>
        <v>0</v>
      </c>
      <c r="BT1316" s="55" t="n">
        <f aca="false">IF(Y1316&lt;&gt;"",Y1316,X1316)</f>
        <v>2</v>
      </c>
      <c r="BU1316" s="55" t="str">
        <f aca="false">IF(BT1316=1,"L1",IF(OR(BT1316=2,BT1316=3),"L23",IF(BT1316="Aussen","Aussen","-")))</f>
        <v>L23</v>
      </c>
      <c r="BV1316" s="66" t="n">
        <f aca="false">IF(N(Z1316)&gt;0,Z1316,0)</f>
        <v>0</v>
      </c>
      <c r="BW1316" s="60" t="n">
        <f aca="false">IF(ISNUMBER(AC1316),1,0)</f>
        <v>0</v>
      </c>
      <c r="BX1316" s="57" t="n">
        <f aca="false">N(AC1316)</f>
        <v>0</v>
      </c>
      <c r="BY1316" s="57" t="n">
        <f aca="false">N(L1316)+N(M1316)</f>
        <v>31</v>
      </c>
      <c r="BZ1316" s="57" t="n">
        <f aca="false">ROUNDUP(G1316/BQ1316,0)</f>
        <v>1</v>
      </c>
      <c r="CA1316" s="57" t="n">
        <f aca="false">ROUNDUP(BX1316/BQ1316,0)</f>
        <v>0</v>
      </c>
      <c r="CB1316" s="60" t="n">
        <f aca="false">IF(BR1316=1,0,IFERROR(VLOOKUP(BP1316,'Gebinde-Kategorie'!$A$5:$M$45,5,0)+0,0))</f>
        <v>31</v>
      </c>
      <c r="CC1316" s="60" t="n">
        <f aca="false">IFERROR(IF(OR(BT1316=1,BT1316=2,BT1316=3),N(INDEX(Parameter!$I$5:$I$7,BT1316)),0),0)</f>
        <v>0</v>
      </c>
      <c r="CD1316" s="59" t="n">
        <f aca="false">IF(AND(Parameter!$B$21="Ja",ISNUMBER(U1316),N(V1316)&gt;0),IFERROR(N(INDEX(Parameter!$L$5:$L$7,U1316))*INDEX(Parameter!$E$5:$E$7,U1316)*V1316/SUMIFS($V$7:$V$1576,$U$7:$U$1576,U1316),0),0)</f>
        <v>0</v>
      </c>
    </row>
    <row r="1317" customFormat="false" ht="15" hidden="false" customHeight="false" outlineLevel="0" collapsed="false">
      <c r="A1317" s="55" t="s">
        <v>2324</v>
      </c>
      <c r="B1317" s="55" t="s">
        <v>245</v>
      </c>
      <c r="C1317" s="55" t="s">
        <v>162</v>
      </c>
      <c r="D1317" s="55" t="s">
        <v>168</v>
      </c>
      <c r="E1317" s="55" t="s">
        <v>210</v>
      </c>
      <c r="F1317" s="56" t="n">
        <v>1415.42</v>
      </c>
      <c r="G1317" s="57" t="n">
        <f aca="false">MAX(0,IF(AND(Parameter!$B$21="Ja",ISNUMBER(W1317)),W1317,IF(Parameter!$B$20="Jahresanfang 2025 + Export",BJ1317+BI1317,BI1317)))</f>
        <v>1</v>
      </c>
      <c r="H1317" s="57" t="n">
        <f aca="false">G1317*F1317</f>
        <v>1415.42</v>
      </c>
      <c r="I1317" s="57" t="n">
        <f aca="false">BL1317*Parameter!$B$18</f>
        <v>12</v>
      </c>
      <c r="J1317" s="58" t="n">
        <v>1.5</v>
      </c>
      <c r="K1317" s="59" t="n">
        <v>8</v>
      </c>
      <c r="L1317" s="57" t="n">
        <v>0</v>
      </c>
      <c r="M1317" s="57" t="n">
        <v>5</v>
      </c>
      <c r="N1317" s="60" t="n">
        <v>70</v>
      </c>
      <c r="O1317" s="55" t="s">
        <v>163</v>
      </c>
      <c r="P1317" s="57"/>
      <c r="Q1317" s="60" t="n">
        <f aca="false">IF(BR1317=1,0,IFERROR(VLOOKUP(BP1317,'Gebinde-Kategorie'!$A$5:$M$45,13,0)+0,0))</f>
        <v>0</v>
      </c>
      <c r="R1317" s="61"/>
      <c r="S1317" s="62"/>
      <c r="T1317" s="62"/>
      <c r="U1317" s="55" t="n">
        <v>1</v>
      </c>
      <c r="V1317" s="57" t="n">
        <v>1</v>
      </c>
      <c r="W1317" s="57" t="n">
        <v>1</v>
      </c>
      <c r="X1317" s="55" t="n">
        <f aca="false">IF(A1317="","",IF(AND(Parameter!$B$21="Ja",ISNUMBER(U1317)),U1317,IF(IFERROR(VLOOKUP(D1317,Parameter!$A$35:$C$64,2,0),"Nein")="2+3",IF(ISNUMBER(SEARCH("grosser Artikel",BM1317)),2,IFERROR(VLOOKUP(BP1317,Parameter!$F$35:$G$64,2,0),2)),IF(OR(IFERROR(VLOOKUP(D1317,Parameter!$A$35:$C$64,2,0),"Nein")="Nein",IFERROR(VLOOKUP(D1317,Parameter!$A$35:$C$64,2,0),"Nein")=""),"-",VLOOKUP(D1317,Parameter!$A$35:$C$64,2,0)))))</f>
        <v>1</v>
      </c>
      <c r="Y1317" s="62"/>
      <c r="Z1317" s="63"/>
      <c r="AA1317" s="57" t="n">
        <f aca="false">AP1317</f>
        <v>6</v>
      </c>
      <c r="AB1317" s="57" t="n">
        <f aca="false">MAX(AP1317,G1317)</f>
        <v>6</v>
      </c>
      <c r="AC1317" s="64"/>
      <c r="AD1317" s="57" t="n">
        <f aca="false">IF(LEFT(Cockpit!$C$5,1)="A",G1317,IF(BW1317=1,BX1317,IF(LEFT(Cockpit!$C$5,1)="B",AH1317,MAX(AH1317,G1317))))</f>
        <v>1</v>
      </c>
      <c r="AE1317" s="57" t="n">
        <f aca="false">IF(BR1317=1,0,ROUNDUP(AD1317/BQ1317,0))</f>
        <v>0</v>
      </c>
      <c r="AF1317" s="59" t="n">
        <f aca="false">IF(CD1317&gt;0,CD1317*MAX(1,AD1317/V1317),IF(BR1317=1,IF(AD1317&lt;=0,0,BS1317*MAX(1,IF(G1317&gt;0,AD1317/G1317,1))),IF(Q1317&gt;0,AE1317/Q1317,0))/MAX(0.1,N(Parameter!$M$21)))</f>
        <v>0.0800376647834275</v>
      </c>
      <c r="AG1317" s="57" t="n">
        <f aca="false">AD1317*F1317</f>
        <v>1415.42</v>
      </c>
      <c r="AH1317" s="57" t="n">
        <f aca="false">ROUNDUP(MAX(I1317/IF(BV1317&gt;0,BV1317,MAX(0.1,N(Cockpit!$C$6))),BY1317)/BQ1317,0)*BQ1317</f>
        <v>6</v>
      </c>
      <c r="AI1317" s="58" t="n">
        <f aca="false">IF(AF1317&gt;0,I1317/AF1317,-1)</f>
        <v>149.929411764706</v>
      </c>
      <c r="AJ1317" s="58" t="n">
        <f aca="false">IF(AND(OR(BU1317="L1",BU1317="L23"),AF1317&gt;0),SUMIFS($AF$7:$AF$1576,$BU$7:$BU$1576,BU1317,$AI$7:$AI$1576,"&gt;"&amp;AI1317)+SUMIFS($AF$7:$AF$1576,$BU$7:$BU$1576,BU1317,$AI$7:$AI$1576,AI1317,$BO$7:$BO$1576,"&lt;="&amp;BO1317),"")</f>
        <v>0.0800376647834275</v>
      </c>
      <c r="AK1317" s="65" t="n">
        <f aca="false">IF(AJ1317="",0,MAX(0,MIN(1,(IF(BU1317="L1",Parameter!$E$5,Parameter!$E$6+Parameter!$E$7)-(AJ1317-AF1317))/AF1317)))</f>
        <v>1</v>
      </c>
      <c r="AL1317" s="57" t="n">
        <f aca="false">IF(LEFT(Cockpit!$I$5,1)="A",G1317,IF(BW1317=1,BX1317,IF(LEFT(Cockpit!$I$5,1)="B",AP1317,MAX(AP1317,G1317))))</f>
        <v>6</v>
      </c>
      <c r="AM1317" s="57" t="n">
        <f aca="false">IF(BR1317=1,0,ROUNDUP(AL1317/BQ1317,0))</f>
        <v>0</v>
      </c>
      <c r="AN1317" s="59" t="n">
        <f aca="false">IF(CD1317&gt;0,CD1317*MAX(1,AL1317/V1317),IF(BR1317=1,IF(AL1317&lt;=0,0,BS1317*MAX(1,IF(G1317&gt;0,AL1317/G1317,1))),IF(Q1317&gt;0,AM1317/Q1317,0))/MAX(0.1,N(Parameter!$M$21)))</f>
        <v>0.480225988700565</v>
      </c>
      <c r="AO1317" s="57" t="n">
        <f aca="false">AL1317*F1317</f>
        <v>8492.52</v>
      </c>
      <c r="AP1317" s="57" t="n">
        <f aca="false">ROUNDUP(MAX(I1317/IF(BV1317&gt;0,BV1317,MAX(0.1,N(Cockpit!$I$6))),BY1317)/BQ1317,0)*BQ1317</f>
        <v>6</v>
      </c>
      <c r="AQ1317" s="58" t="n">
        <f aca="false">IF(AN1317&gt;0,I1317/AN1317,-1)</f>
        <v>24.9882352941176</v>
      </c>
      <c r="AR1317" s="58" t="n">
        <f aca="false">IF(AND(OR(BU1317="L1",BU1317="L23"),AN1317&gt;0),SUMIFS($AN$7:$AN$1576,$BU$7:$BU$1576,BU1317,$AQ$7:$AQ$1576,"&gt;"&amp;AQ1317)+SUMIFS($AN$7:$AN$1576,$BU$7:$BU$1576,BU1317,$AQ$7:$AQ$1576,AQ1317,$BO$7:$BO$1576,"&lt;="&amp;BO1317),"")</f>
        <v>2.56120527306968</v>
      </c>
      <c r="AS1317" s="65" t="n">
        <f aca="false">IF(AR1317="",0,MAX(0,MIN(1,(IF(BU1317="L1",Parameter!$E$5,Parameter!$E$6+Parameter!$E$7)-(AR1317-AN1317))/AN1317)))</f>
        <v>1</v>
      </c>
      <c r="AT1317" s="57" t="n">
        <f aca="false">IF(LEFT(Cockpit!$O$5,1)="A",G1317,IF(BW1317=1,BX1317,IF(LEFT(Cockpit!$O$5,1)="B",AX1317,MAX(AX1317,G1317))))</f>
        <v>5</v>
      </c>
      <c r="AU1317" s="57" t="n">
        <f aca="false">IF(BR1317=1,0,ROUNDUP(AT1317/BQ1317,0))</f>
        <v>0</v>
      </c>
      <c r="AV1317" s="59" t="n">
        <f aca="false">IF(CD1317&gt;0,CD1317*MAX(1,AT1317/V1317),IF(BR1317=1,IF(AT1317&lt;=0,0,BS1317*MAX(1,IF(G1317&gt;0,AT1317/G1317,1))),IF(Q1317&gt;0,AU1317/Q1317,0))/MAX(0.1,N(Parameter!$M$21)))</f>
        <v>0.400188323917138</v>
      </c>
      <c r="AW1317" s="57" t="n">
        <f aca="false">AT1317*F1317</f>
        <v>7077.1</v>
      </c>
      <c r="AX1317" s="57" t="n">
        <f aca="false">ROUNDUP(MAX(I1317/IF(BV1317&gt;0,BV1317,MAX(0.1,N(Cockpit!$O$6))),BY1317)/BQ1317,0)*BQ1317</f>
        <v>5</v>
      </c>
      <c r="AY1317" s="58" t="n">
        <f aca="false">IF(AV1317&gt;0,I1317/AV1317,-1)</f>
        <v>29.9858823529412</v>
      </c>
      <c r="AZ1317" s="58" t="n">
        <f aca="false">IF(AND(OR(BU1317="L1",BU1317="L23"),AV1317&gt;0),SUMIFS($AV$7:$AV$1576,$BU$7:$BU$1576,BU1317,$AY$7:$AY$1576,"&gt;"&amp;AY1317)+SUMIFS($AV$7:$AV$1576,$BU$7:$BU$1576,BU1317,$AY$7:$AY$1576,AY1317,$BO$7:$BO$1576,"&lt;="&amp;BO1317),"")</f>
        <v>6.88323917137477</v>
      </c>
      <c r="BA1317" s="65" t="n">
        <f aca="false">IF(AZ1317="",0,MAX(0,MIN(1,(IF(BU1317="L1",Parameter!$E$5,Parameter!$E$6+Parameter!$E$7)-(AZ1317-AV1317))/AV1317)))</f>
        <v>1</v>
      </c>
      <c r="BB1317" s="55" t="str">
        <f aca="false">IF(AF1317&lt;=0,"",IF(BU1317="Aussen","Aussenlager",IF(BU1317="-","Nicht im Lift",IF(AK1317&gt;=1,"Lift",IF(AK1317&lt;=0,"Aussenlager","teilweise")))))</f>
        <v>Lift</v>
      </c>
      <c r="BC1317" s="55" t="str">
        <f aca="false">IF(AN1317&lt;=0,"",IF(BU1317="Aussen","Aussenlager",IF(BU1317="-","Nicht im Lift",IF(AS1317&gt;=1,"Lift",IF(AS1317&lt;=0,"Aussenlager","teilweise")))))</f>
        <v>Lift</v>
      </c>
      <c r="BD1317" s="55" t="str">
        <f aca="false">IF(AV1317&lt;=0,"",IF(BU1317="Aussen","Aussenlager",IF(BU1317="-","Nicht im Lift",IF(BA1317&gt;=1,"Lift",IF(BA1317&lt;=0,"Aussenlager","teilweise")))))</f>
        <v>Lift</v>
      </c>
      <c r="BE1317" s="55" t="str">
        <f aca="false">IF(A1317="","",IF(BN1317=1,"Neu; ","")&amp;IF(AND(BN1317=0,BI1317&lt;0),"negativer Bestand (Export "&amp;BI1317&amp;"); ","")&amp;IF(I1317&lt;=0,"Kein Verbrauch; ","")&amp;IF(CD1317&gt;0,"Lift "&amp;U1317&amp;" lt. Liftbericht (Fach "&amp;V1317&amp;" Stk); ",IF(BR1317=1,"Lose – Fläche geschätzt; ",""))&amp;IF(G1317&gt;AP1317,"Überbestand "&amp;ROUND(G1317-AP1317,0)&amp;" Stk / CHF "&amp;ROUND((G1317-AP1317)*F1317,0)&amp;"; ","")&amp;IF(AND(BW1317=1,BX1317&lt;BY1317),"MAX &lt; MB+LG; ","")&amp;IF(AND(CC1317&gt;0,CB1317*10&gt;CC1317),"zu hoch für Tablar; ","")&amp;IF(AND(BN1317=0,OR(BW1317=1,Y1317&lt;&gt;"",S1317&lt;&gt;"",T1317&lt;&gt;"",Z1317&lt;&gt;"")),"manuell übersteuert; ","")&amp;IF(AND(BR1317=0,Q1317=0),"Gebinde unbekannt / Stellmass fehlt; ","")&amp;IF(AND(BR1317=0,N(T1317)&lt;=0,N(P1317)&lt;=0),"Menge pro Gebinde fehlt (Ist = 1 Gebinde); ","")&amp;BM1317)</f>
        <v>negativer Bestand (Export -1); Lift 1 lt. Liftbericht (Fach 1 Stk); Twin</v>
      </c>
      <c r="BF1317" s="55"/>
      <c r="BG1317" s="55"/>
      <c r="BH1317" s="62"/>
      <c r="BI1317" s="57" t="n">
        <v>-1</v>
      </c>
      <c r="BJ1317" s="57" t="n">
        <v>2</v>
      </c>
      <c r="BK1317" s="56" t="n">
        <v>-1350.54</v>
      </c>
      <c r="BL1317" s="57" t="n">
        <v>12</v>
      </c>
      <c r="BM1317" s="55" t="s">
        <v>206</v>
      </c>
      <c r="BN1317" s="60" t="n">
        <v>0</v>
      </c>
      <c r="BO1317" s="60" t="n">
        <v>1317</v>
      </c>
      <c r="BP1317" s="55" t="str">
        <f aca="false">IF(S1317&lt;&gt;"",UPPER(TRIM(S1317)),IF(O1317="","LOSE",O1317))</f>
        <v>LOSE</v>
      </c>
      <c r="BQ1317" s="57" t="n">
        <f aca="false">IF(BP1317="LOSE",1,IF(N(T1317)&gt;0,T1317,IF(N(P1317)&gt;0,P1317,MAX(1,G1317))))</f>
        <v>1</v>
      </c>
      <c r="BR1317" s="60" t="n">
        <f aca="false">IF(BP1317="LOSE",1,0)</f>
        <v>1</v>
      </c>
      <c r="BS1317" s="59" t="n">
        <f aca="false">IF(BR1317=0,0,IF(N(R1317)&gt;0,R1317,IFERROR(VLOOKUP(D1317,Parameter!$A$35:$C$64,3,0)+0,0)))</f>
        <v>0.15</v>
      </c>
      <c r="BT1317" s="55" t="n">
        <f aca="false">IF(Y1317&lt;&gt;"",Y1317,X1317)</f>
        <v>1</v>
      </c>
      <c r="BU1317" s="55" t="str">
        <f aca="false">IF(BT1317=1,"L1",IF(OR(BT1317=2,BT1317=3),"L23",IF(BT1317="Aussen","Aussen","-")))</f>
        <v>L1</v>
      </c>
      <c r="BV1317" s="66" t="n">
        <f aca="false">IF(N(Z1317)&gt;0,Z1317,0)</f>
        <v>0</v>
      </c>
      <c r="BW1317" s="60" t="n">
        <f aca="false">IF(ISNUMBER(AC1317),1,0)</f>
        <v>0</v>
      </c>
      <c r="BX1317" s="57" t="n">
        <f aca="false">N(AC1317)</f>
        <v>0</v>
      </c>
      <c r="BY1317" s="57" t="n">
        <f aca="false">N(L1317)+N(M1317)</f>
        <v>5</v>
      </c>
      <c r="BZ1317" s="57" t="n">
        <f aca="false">ROUNDUP(G1317/BQ1317,0)</f>
        <v>1</v>
      </c>
      <c r="CA1317" s="57" t="n">
        <f aca="false">ROUNDUP(BX1317/BQ1317,0)</f>
        <v>0</v>
      </c>
      <c r="CB1317" s="60" t="n">
        <f aca="false">IF(BR1317=1,0,IFERROR(VLOOKUP(BP1317,'Gebinde-Kategorie'!$A$5:$M$45,5,0)+0,0))</f>
        <v>0</v>
      </c>
      <c r="CC1317" s="60" t="n">
        <f aca="false">IFERROR(IF(OR(BT1317=1,BT1317=2,BT1317=3),N(INDEX(Parameter!$I$5:$I$7,BT1317)),0),0)</f>
        <v>0</v>
      </c>
      <c r="CD1317" s="59" t="n">
        <f aca="false">IF(AND(Parameter!$B$21="Ja",ISNUMBER(U1317),N(V1317)&gt;0),IFERROR(N(INDEX(Parameter!$L$5:$L$7,U1317))*INDEX(Parameter!$E$5:$E$7,U1317)*V1317/SUMIFS($V$7:$V$1576,$U$7:$U$1576,U1317),0),0)</f>
        <v>0.0800376647834275</v>
      </c>
    </row>
    <row r="1318" customFormat="false" ht="15" hidden="false" customHeight="false" outlineLevel="0" collapsed="false">
      <c r="A1318" s="55" t="s">
        <v>2325</v>
      </c>
      <c r="B1318" s="55" t="s">
        <v>2326</v>
      </c>
      <c r="C1318" s="55" t="s">
        <v>160</v>
      </c>
      <c r="D1318" s="55" t="s">
        <v>168</v>
      </c>
      <c r="E1318" s="55" t="s">
        <v>210</v>
      </c>
      <c r="F1318" s="56" t="n">
        <v>724.26</v>
      </c>
      <c r="G1318" s="57" t="n">
        <f aca="false">MAX(0,IF(AND(Parameter!$B$21="Ja",ISNUMBER(W1318)),W1318,IF(Parameter!$B$20="Jahresanfang 2025 + Export",BJ1318+BI1318,BI1318)))</f>
        <v>0</v>
      </c>
      <c r="H1318" s="57" t="n">
        <f aca="false">G1318*F1318</f>
        <v>0</v>
      </c>
      <c r="I1318" s="57" t="n">
        <f aca="false">BL1318*Parameter!$B$18</f>
        <v>24</v>
      </c>
      <c r="J1318" s="58" t="n">
        <v>11.5</v>
      </c>
      <c r="K1318" s="59" t="n">
        <v>2.08695652173913</v>
      </c>
      <c r="L1318" s="57" t="n">
        <v>5</v>
      </c>
      <c r="M1318" s="57" t="n">
        <v>10</v>
      </c>
      <c r="N1318" s="60" t="n">
        <v>70</v>
      </c>
      <c r="O1318" s="55" t="s">
        <v>169</v>
      </c>
      <c r="P1318" s="57" t="n">
        <v>9</v>
      </c>
      <c r="Q1318" s="60" t="n">
        <f aca="false">IF(BR1318=1,0,IFERROR(VLOOKUP(BP1318,'Gebinde-Kategorie'!$A$5:$M$45,13,0)+0,0))</f>
        <v>6</v>
      </c>
      <c r="R1318" s="61"/>
      <c r="S1318" s="62"/>
      <c r="T1318" s="62"/>
      <c r="U1318" s="55"/>
      <c r="V1318" s="57"/>
      <c r="W1318" s="57"/>
      <c r="X1318" s="55" t="n">
        <f aca="false">IF(A1318="","",IF(AND(Parameter!$B$21="Ja",ISNUMBER(U1318)),U1318,IF(IFERROR(VLOOKUP(D1318,Parameter!$A$35:$C$64,2,0),"Nein")="2+3",IF(ISNUMBER(SEARCH("grosser Artikel",BM1318)),2,IFERROR(VLOOKUP(BP1318,Parameter!$F$35:$G$64,2,0),2)),IF(OR(IFERROR(VLOOKUP(D1318,Parameter!$A$35:$C$64,2,0),"Nein")="Nein",IFERROR(VLOOKUP(D1318,Parameter!$A$35:$C$64,2,0),"Nein")=""),"-",VLOOKUP(D1318,Parameter!$A$35:$C$64,2,0)))))</f>
        <v>2</v>
      </c>
      <c r="Y1318" s="62"/>
      <c r="Z1318" s="63"/>
      <c r="AA1318" s="57" t="n">
        <f aca="false">AP1318</f>
        <v>18</v>
      </c>
      <c r="AB1318" s="57" t="n">
        <f aca="false">MAX(AP1318,G1318)</f>
        <v>18</v>
      </c>
      <c r="AC1318" s="64"/>
      <c r="AD1318" s="57" t="n">
        <f aca="false">IF(LEFT(Cockpit!$C$5,1)="A",G1318,IF(BW1318=1,BX1318,IF(LEFT(Cockpit!$C$5,1)="B",AH1318,MAX(AH1318,G1318))))</f>
        <v>0</v>
      </c>
      <c r="AE1318" s="57" t="n">
        <f aca="false">IF(BR1318=1,0,ROUNDUP(AD1318/BQ1318,0))</f>
        <v>0</v>
      </c>
      <c r="AF1318" s="59" t="n">
        <f aca="false">IF(CD1318&gt;0,CD1318*MAX(1,AD1318/V1318),IF(BR1318=1,IF(AD1318&lt;=0,0,BS1318*MAX(1,IF(G1318&gt;0,AD1318/G1318,1))),IF(Q1318&gt;0,AE1318/Q1318,0))/MAX(0.1,N(Parameter!$M$21)))</f>
        <v>0</v>
      </c>
      <c r="AG1318" s="57" t="n">
        <f aca="false">AD1318*F1318</f>
        <v>0</v>
      </c>
      <c r="AH1318" s="57" t="n">
        <f aca="false">ROUNDUP(MAX(I1318/IF(BV1318&gt;0,BV1318,MAX(0.1,N(Cockpit!$C$6))),BY1318)/BQ1318,0)*BQ1318</f>
        <v>18</v>
      </c>
      <c r="AI1318" s="58" t="n">
        <f aca="false">IF(AF1318&gt;0,I1318/AF1318,-1)</f>
        <v>-1</v>
      </c>
      <c r="AJ1318" s="58" t="str">
        <f aca="false">IF(AND(OR(BU1318="L1",BU1318="L23"),AF1318&gt;0),SUMIFS($AF$7:$AF$1576,$BU$7:$BU$1576,BU1318,$AI$7:$AI$1576,"&gt;"&amp;AI1318)+SUMIFS($AF$7:$AF$1576,$BU$7:$BU$1576,BU1318,$AI$7:$AI$1576,AI1318,$BO$7:$BO$1576,"&lt;="&amp;BO1318),"")</f>
        <v/>
      </c>
      <c r="AK1318" s="65" t="n">
        <f aca="false">IF(AJ1318="",0,MAX(0,MIN(1,(IF(BU1318="L1",Parameter!$E$5,Parameter!$E$6+Parameter!$E$7)-(AJ1318-AF1318))/AF1318)))</f>
        <v>0</v>
      </c>
      <c r="AL1318" s="57" t="n">
        <f aca="false">IF(LEFT(Cockpit!$I$5,1)="A",G1318,IF(BW1318=1,BX1318,IF(LEFT(Cockpit!$I$5,1)="B",AP1318,MAX(AP1318,G1318))))</f>
        <v>18</v>
      </c>
      <c r="AM1318" s="57" t="n">
        <f aca="false">IF(BR1318=1,0,ROUNDUP(AL1318/BQ1318,0))</f>
        <v>2</v>
      </c>
      <c r="AN1318" s="59" t="n">
        <f aca="false">IF(CD1318&gt;0,CD1318*MAX(1,AL1318/V1318),IF(BR1318=1,IF(AL1318&lt;=0,0,BS1318*MAX(1,IF(G1318&gt;0,AL1318/G1318,1))),IF(Q1318&gt;0,AM1318/Q1318,0))/MAX(0.1,N(Parameter!$M$21)))</f>
        <v>0.333333333333333</v>
      </c>
      <c r="AO1318" s="57" t="n">
        <f aca="false">AL1318*F1318</f>
        <v>13036.68</v>
      </c>
      <c r="AP1318" s="57" t="n">
        <f aca="false">ROUNDUP(MAX(I1318/IF(BV1318&gt;0,BV1318,MAX(0.1,N(Cockpit!$I$6))),BY1318)/BQ1318,0)*BQ1318</f>
        <v>18</v>
      </c>
      <c r="AQ1318" s="58" t="n">
        <f aca="false">IF(AN1318&gt;0,I1318/AN1318,-1)</f>
        <v>72</v>
      </c>
      <c r="AR1318" s="58" t="n">
        <f aca="false">IF(AND(OR(BU1318="L1",BU1318="L23"),AN1318&gt;0),SUMIFS($AN$7:$AN$1576,$BU$7:$BU$1576,BU1318,$AQ$7:$AQ$1576,"&gt;"&amp;AQ1318)+SUMIFS($AN$7:$AN$1576,$BU$7:$BU$1576,BU1318,$AQ$7:$AQ$1576,AQ1318,$BO$7:$BO$1576,"&lt;="&amp;BO1318),"")</f>
        <v>76.0622947285559</v>
      </c>
      <c r="AS1318" s="65" t="n">
        <f aca="false">IF(AR1318="",0,MAX(0,MIN(1,(IF(BU1318="L1",Parameter!$E$5,Parameter!$E$6+Parameter!$E$7)-(AR1318-AN1318))/AN1318)))</f>
        <v>1</v>
      </c>
      <c r="AT1318" s="57" t="n">
        <f aca="false">IF(LEFT(Cockpit!$O$5,1)="A",G1318,IF(BW1318=1,BX1318,IF(LEFT(Cockpit!$O$5,1)="B",AX1318,MAX(AX1318,G1318))))</f>
        <v>18</v>
      </c>
      <c r="AU1318" s="57" t="n">
        <f aca="false">IF(BR1318=1,0,ROUNDUP(AT1318/BQ1318,0))</f>
        <v>2</v>
      </c>
      <c r="AV1318" s="59" t="n">
        <f aca="false">IF(CD1318&gt;0,CD1318*MAX(1,AT1318/V1318),IF(BR1318=1,IF(AT1318&lt;=0,0,BS1318*MAX(1,IF(G1318&gt;0,AT1318/G1318,1))),IF(Q1318&gt;0,AU1318/Q1318,0))/MAX(0.1,N(Parameter!$M$21)))</f>
        <v>0.333333333333333</v>
      </c>
      <c r="AW1318" s="57" t="n">
        <f aca="false">AT1318*F1318</f>
        <v>13036.68</v>
      </c>
      <c r="AX1318" s="57" t="n">
        <f aca="false">ROUNDUP(MAX(I1318/IF(BV1318&gt;0,BV1318,MAX(0.1,N(Cockpit!$O$6))),BY1318)/BQ1318,0)*BQ1318</f>
        <v>18</v>
      </c>
      <c r="AY1318" s="58" t="n">
        <f aca="false">IF(AV1318&gt;0,I1318/AV1318,-1)</f>
        <v>72</v>
      </c>
      <c r="AZ1318" s="58" t="n">
        <f aca="false">IF(AND(OR(BU1318="L1",BU1318="L23"),AV1318&gt;0),SUMIFS($AV$7:$AV$1576,$BU$7:$BU$1576,BU1318,$AY$7:$AY$1576,"&gt;"&amp;AY1318)+SUMIFS($AV$7:$AV$1576,$BU$7:$BU$1576,BU1318,$AY$7:$AY$1576,AY1318,$BO$7:$BO$1576,"&lt;="&amp;BO1318),"")</f>
        <v>72.4601785114397</v>
      </c>
      <c r="BA1318" s="65" t="n">
        <f aca="false">IF(AZ1318="",0,MAX(0,MIN(1,(IF(BU1318="L1",Parameter!$E$5,Parameter!$E$6+Parameter!$E$7)-(AZ1318-AV1318))/AV1318)))</f>
        <v>1</v>
      </c>
      <c r="BB1318" s="55" t="str">
        <f aca="false">IF(AF1318&lt;=0,"",IF(BU1318="Aussen","Aussenlager",IF(BU1318="-","Nicht im Lift",IF(AK1318&gt;=1,"Lift",IF(AK1318&lt;=0,"Aussenlager","teilweise")))))</f>
        <v/>
      </c>
      <c r="BC1318" s="55" t="str">
        <f aca="false">IF(AN1318&lt;=0,"",IF(BU1318="Aussen","Aussenlager",IF(BU1318="-","Nicht im Lift",IF(AS1318&gt;=1,"Lift",IF(AS1318&lt;=0,"Aussenlager","teilweise")))))</f>
        <v>Lift</v>
      </c>
      <c r="BD1318" s="55" t="str">
        <f aca="false">IF(AV1318&lt;=0,"",IF(BU1318="Aussen","Aussenlager",IF(BU1318="-","Nicht im Lift",IF(BA1318&gt;=1,"Lift",IF(BA1318&lt;=0,"Aussenlager","teilweise")))))</f>
        <v>Lift</v>
      </c>
      <c r="BE1318" s="55" t="str">
        <f aca="false">IF(A1318="","",IF(BN1318=1,"Neu; ","")&amp;IF(AND(BN1318=0,BI1318&lt;0),"negativer Bestand (Export "&amp;BI1318&amp;"); ","")&amp;IF(I1318&lt;=0,"Kein Verbrauch; ","")&amp;IF(CD1318&gt;0,"Lift "&amp;U1318&amp;" lt. Liftbericht (Fach "&amp;V1318&amp;" Stk); ",IF(BR1318=1,"Lose – Fläche geschätzt; ",""))&amp;IF(G1318&gt;AP1318,"Überbestand "&amp;ROUND(G1318-AP1318,0)&amp;" Stk / CHF "&amp;ROUND((G1318-AP1318)*F1318,0)&amp;"; ","")&amp;IF(AND(BW1318=1,BX1318&lt;BY1318),"MAX &lt; MB+LG; ","")&amp;IF(AND(CC1318&gt;0,CB1318*10&gt;CC1318),"zu hoch für Tablar; ","")&amp;IF(AND(BN1318=0,OR(BW1318=1,Y1318&lt;&gt;"",S1318&lt;&gt;"",T1318&lt;&gt;"",Z1318&lt;&gt;"")),"manuell übersteuert; ","")&amp;IF(AND(BR1318=0,Q1318=0),"Gebinde unbekannt / Stellmass fehlt; ","")&amp;IF(AND(BR1318=0,N(T1318)&lt;=0,N(P1318)&lt;=0),"Menge pro Gebinde fehlt (Ist = 1 Gebinde); ","")&amp;BM1318)</f>
        <v>negativer Bestand (Export -7); </v>
      </c>
      <c r="BF1318" s="55"/>
      <c r="BG1318" s="55"/>
      <c r="BH1318" s="62"/>
      <c r="BI1318" s="57" t="n">
        <v>-7</v>
      </c>
      <c r="BJ1318" s="57" t="n">
        <v>16</v>
      </c>
      <c r="BK1318" s="56" t="n">
        <v>-1388.67000000001</v>
      </c>
      <c r="BL1318" s="57" t="n">
        <v>24</v>
      </c>
      <c r="BM1318" s="55"/>
      <c r="BN1318" s="60" t="n">
        <v>0</v>
      </c>
      <c r="BO1318" s="60" t="n">
        <v>1318</v>
      </c>
      <c r="BP1318" s="55" t="str">
        <f aca="false">IF(S1318&lt;&gt;"",UPPER(TRIM(S1318)),IF(O1318="","LOSE",O1318))</f>
        <v>S71</v>
      </c>
      <c r="BQ1318" s="57" t="n">
        <f aca="false">IF(BP1318="LOSE",1,IF(N(T1318)&gt;0,T1318,IF(N(P1318)&gt;0,P1318,MAX(1,G1318))))</f>
        <v>9</v>
      </c>
      <c r="BR1318" s="60" t="n">
        <f aca="false">IF(BP1318="LOSE",1,0)</f>
        <v>0</v>
      </c>
      <c r="BS1318" s="59" t="n">
        <f aca="false">IF(BR1318=0,0,IF(N(R1318)&gt;0,R1318,IFERROR(VLOOKUP(D1318,Parameter!$A$35:$C$64,3,0)+0,0)))</f>
        <v>0</v>
      </c>
      <c r="BT1318" s="55" t="n">
        <f aca="false">IF(Y1318&lt;&gt;"",Y1318,X1318)</f>
        <v>2</v>
      </c>
      <c r="BU1318" s="55" t="str">
        <f aca="false">IF(BT1318=1,"L1",IF(OR(BT1318=2,BT1318=3),"L23",IF(BT1318="Aussen","Aussen","-")))</f>
        <v>L23</v>
      </c>
      <c r="BV1318" s="66" t="n">
        <f aca="false">IF(N(Z1318)&gt;0,Z1318,0)</f>
        <v>0</v>
      </c>
      <c r="BW1318" s="60" t="n">
        <f aca="false">IF(ISNUMBER(AC1318),1,0)</f>
        <v>0</v>
      </c>
      <c r="BX1318" s="57" t="n">
        <f aca="false">N(AC1318)</f>
        <v>0</v>
      </c>
      <c r="BY1318" s="57" t="n">
        <f aca="false">N(L1318)+N(M1318)</f>
        <v>15</v>
      </c>
      <c r="BZ1318" s="57" t="n">
        <f aca="false">ROUNDUP(G1318/BQ1318,0)</f>
        <v>0</v>
      </c>
      <c r="CA1318" s="57" t="n">
        <f aca="false">ROUNDUP(BX1318/BQ1318,0)</f>
        <v>0</v>
      </c>
      <c r="CB1318" s="60" t="n">
        <f aca="false">IF(BR1318=1,0,IFERROR(VLOOKUP(BP1318,'Gebinde-Kategorie'!$A$5:$M$45,5,0)+0,0))</f>
        <v>20</v>
      </c>
      <c r="CC1318" s="60" t="n">
        <f aca="false">IFERROR(IF(OR(BT1318=1,BT1318=2,BT1318=3),N(INDEX(Parameter!$I$5:$I$7,BT1318)),0),0)</f>
        <v>0</v>
      </c>
      <c r="CD1318" s="59" t="n">
        <f aca="false">IF(AND(Parameter!$B$21="Ja",ISNUMBER(U1318),N(V1318)&gt;0),IFERROR(N(INDEX(Parameter!$L$5:$L$7,U1318))*INDEX(Parameter!$E$5:$E$7,U1318)*V1318/SUMIFS($V$7:$V$1576,$U$7:$U$1576,U1318),0),0)</f>
        <v>0</v>
      </c>
    </row>
    <row r="1319" customFormat="false" ht="15" hidden="false" customHeight="false" outlineLevel="0" collapsed="false">
      <c r="A1319" s="55" t="s">
        <v>2327</v>
      </c>
      <c r="B1319" s="55" t="s">
        <v>2328</v>
      </c>
      <c r="C1319" s="55" t="s">
        <v>160</v>
      </c>
      <c r="D1319" s="55" t="s">
        <v>168</v>
      </c>
      <c r="E1319" s="55" t="s">
        <v>210</v>
      </c>
      <c r="F1319" s="56" t="n">
        <v>701.08</v>
      </c>
      <c r="G1319" s="57" t="n">
        <f aca="false">MAX(0,IF(AND(Parameter!$B$21="Ja",ISNUMBER(W1319)),W1319,IF(Parameter!$B$20="Jahresanfang 2025 + Export",BJ1319+BI1319,BI1319)))</f>
        <v>0</v>
      </c>
      <c r="H1319" s="57" t="n">
        <f aca="false">G1319*F1319</f>
        <v>0</v>
      </c>
      <c r="I1319" s="57" t="n">
        <f aca="false">BL1319*Parameter!$B$18</f>
        <v>2</v>
      </c>
      <c r="J1319" s="58" t="n">
        <v>3</v>
      </c>
      <c r="K1319" s="59" t="n">
        <v>0.666666666666667</v>
      </c>
      <c r="L1319" s="57" t="n">
        <v>0</v>
      </c>
      <c r="M1319" s="57" t="n">
        <v>1</v>
      </c>
      <c r="N1319" s="60" t="n">
        <v>14</v>
      </c>
      <c r="O1319" s="55" t="s">
        <v>163</v>
      </c>
      <c r="P1319" s="57"/>
      <c r="Q1319" s="60" t="n">
        <f aca="false">IF(BR1319=1,0,IFERROR(VLOOKUP(BP1319,'Gebinde-Kategorie'!$A$5:$M$45,13,0)+0,0))</f>
        <v>0</v>
      </c>
      <c r="R1319" s="61"/>
      <c r="S1319" s="62"/>
      <c r="T1319" s="62"/>
      <c r="U1319" s="55"/>
      <c r="V1319" s="57"/>
      <c r="W1319" s="57"/>
      <c r="X1319" s="55" t="n">
        <f aca="false">IF(A1319="","",IF(AND(Parameter!$B$21="Ja",ISNUMBER(U1319)),U1319,IF(IFERROR(VLOOKUP(D1319,Parameter!$A$35:$C$64,2,0),"Nein")="2+3",IF(ISNUMBER(SEARCH("grosser Artikel",BM1319)),2,IFERROR(VLOOKUP(BP1319,Parameter!$F$35:$G$64,2,0),2)),IF(OR(IFERROR(VLOOKUP(D1319,Parameter!$A$35:$C$64,2,0),"Nein")="Nein",IFERROR(VLOOKUP(D1319,Parameter!$A$35:$C$64,2,0),"Nein")=""),"-",VLOOKUP(D1319,Parameter!$A$35:$C$64,2,0)))))</f>
        <v>2</v>
      </c>
      <c r="Y1319" s="62"/>
      <c r="Z1319" s="63"/>
      <c r="AA1319" s="57" t="n">
        <f aca="false">AP1319</f>
        <v>1</v>
      </c>
      <c r="AB1319" s="57" t="n">
        <f aca="false">MAX(AP1319,G1319)</f>
        <v>1</v>
      </c>
      <c r="AC1319" s="64"/>
      <c r="AD1319" s="57" t="n">
        <f aca="false">IF(LEFT(Cockpit!$C$5,1)="A",G1319,IF(BW1319=1,BX1319,IF(LEFT(Cockpit!$C$5,1)="B",AH1319,MAX(AH1319,G1319))))</f>
        <v>0</v>
      </c>
      <c r="AE1319" s="57" t="n">
        <f aca="false">IF(BR1319=1,0,ROUNDUP(AD1319/BQ1319,0))</f>
        <v>0</v>
      </c>
      <c r="AF1319" s="59" t="n">
        <f aca="false">IF(CD1319&gt;0,CD1319*MAX(1,AD1319/V1319),IF(BR1319=1,IF(AD1319&lt;=0,0,BS1319*MAX(1,IF(G1319&gt;0,AD1319/G1319,1))),IF(Q1319&gt;0,AE1319/Q1319,0))/MAX(0.1,N(Parameter!$M$21)))</f>
        <v>0</v>
      </c>
      <c r="AG1319" s="57" t="n">
        <f aca="false">AD1319*F1319</f>
        <v>0</v>
      </c>
      <c r="AH1319" s="57" t="n">
        <f aca="false">ROUNDUP(MAX(I1319/IF(BV1319&gt;0,BV1319,MAX(0.1,N(Cockpit!$C$6))),BY1319)/BQ1319,0)*BQ1319</f>
        <v>1</v>
      </c>
      <c r="AI1319" s="58" t="n">
        <f aca="false">IF(AF1319&gt;0,I1319/AF1319,-1)</f>
        <v>-1</v>
      </c>
      <c r="AJ1319" s="58" t="str">
        <f aca="false">IF(AND(OR(BU1319="L1",BU1319="L23"),AF1319&gt;0),SUMIFS($AF$7:$AF$1576,$BU$7:$BU$1576,BU1319,$AI$7:$AI$1576,"&gt;"&amp;AI1319)+SUMIFS($AF$7:$AF$1576,$BU$7:$BU$1576,BU1319,$AI$7:$AI$1576,AI1319,$BO$7:$BO$1576,"&lt;="&amp;BO1319),"")</f>
        <v/>
      </c>
      <c r="AK1319" s="65" t="n">
        <f aca="false">IF(AJ1319="",0,MAX(0,MIN(1,(IF(BU1319="L1",Parameter!$E$5,Parameter!$E$6+Parameter!$E$7)-(AJ1319-AF1319))/AF1319)))</f>
        <v>0</v>
      </c>
      <c r="AL1319" s="57" t="n">
        <f aca="false">IF(LEFT(Cockpit!$I$5,1)="A",G1319,IF(BW1319=1,BX1319,IF(LEFT(Cockpit!$I$5,1)="B",AP1319,MAX(AP1319,G1319))))</f>
        <v>1</v>
      </c>
      <c r="AM1319" s="57" t="n">
        <f aca="false">IF(BR1319=1,0,ROUNDUP(AL1319/BQ1319,0))</f>
        <v>0</v>
      </c>
      <c r="AN1319" s="59" t="n">
        <f aca="false">IF(CD1319&gt;0,CD1319*MAX(1,AL1319/V1319),IF(BR1319=1,IF(AL1319&lt;=0,0,BS1319*MAX(1,IF(G1319&gt;0,AL1319/G1319,1))),IF(Q1319&gt;0,AM1319/Q1319,0))/MAX(0.1,N(Parameter!$M$21)))</f>
        <v>0.15</v>
      </c>
      <c r="AO1319" s="57" t="n">
        <f aca="false">AL1319*F1319</f>
        <v>701.08</v>
      </c>
      <c r="AP1319" s="57" t="n">
        <f aca="false">ROUNDUP(MAX(I1319/IF(BV1319&gt;0,BV1319,MAX(0.1,N(Cockpit!$I$6))),BY1319)/BQ1319,0)*BQ1319</f>
        <v>1</v>
      </c>
      <c r="AQ1319" s="58" t="n">
        <f aca="false">IF(AN1319&gt;0,I1319/AN1319,-1)</f>
        <v>13.3333333333333</v>
      </c>
      <c r="AR1319" s="58" t="n">
        <f aca="false">IF(AND(OR(BU1319="L1",BU1319="L23"),AN1319&gt;0),SUMIFS($AN$7:$AN$1576,$BU$7:$BU$1576,BU1319,$AQ$7:$AQ$1576,"&gt;"&amp;AQ1319)+SUMIFS($AN$7:$AN$1576,$BU$7:$BU$1576,BU1319,$AQ$7:$AQ$1576,AQ1319,$BO$7:$BO$1576,"&lt;="&amp;BO1319),"")</f>
        <v>106.918075614337</v>
      </c>
      <c r="AS1319" s="65" t="n">
        <f aca="false">IF(AR1319="",0,MAX(0,MIN(1,(IF(BU1319="L1",Parameter!$E$5,Parameter!$E$6+Parameter!$E$7)-(AR1319-AN1319))/AN1319)))</f>
        <v>0</v>
      </c>
      <c r="AT1319" s="57" t="n">
        <f aca="false">IF(LEFT(Cockpit!$O$5,1)="A",G1319,IF(BW1319=1,BX1319,IF(LEFT(Cockpit!$O$5,1)="B",AX1319,MAX(AX1319,G1319))))</f>
        <v>1</v>
      </c>
      <c r="AU1319" s="57" t="n">
        <f aca="false">IF(BR1319=1,0,ROUNDUP(AT1319/BQ1319,0))</f>
        <v>0</v>
      </c>
      <c r="AV1319" s="59" t="n">
        <f aca="false">IF(CD1319&gt;0,CD1319*MAX(1,AT1319/V1319),IF(BR1319=1,IF(AT1319&lt;=0,0,BS1319*MAX(1,IF(G1319&gt;0,AT1319/G1319,1))),IF(Q1319&gt;0,AU1319/Q1319,0))/MAX(0.1,N(Parameter!$M$21)))</f>
        <v>0.15</v>
      </c>
      <c r="AW1319" s="57" t="n">
        <f aca="false">AT1319*F1319</f>
        <v>701.08</v>
      </c>
      <c r="AX1319" s="57" t="n">
        <f aca="false">ROUNDUP(MAX(I1319/IF(BV1319&gt;0,BV1319,MAX(0.1,N(Cockpit!$O$6))),BY1319)/BQ1319,0)*BQ1319</f>
        <v>1</v>
      </c>
      <c r="AY1319" s="58" t="n">
        <f aca="false">IF(AV1319&gt;0,I1319/AV1319,-1)</f>
        <v>13.3333333333333</v>
      </c>
      <c r="AZ1319" s="58" t="n">
        <f aca="false">IF(AND(OR(BU1319="L1",BU1319="L23"),AV1319&gt;0),SUMIFS($AV$7:$AV$1576,$BU$7:$BU$1576,BU1319,$AY$7:$AY$1576,"&gt;"&amp;AY1319)+SUMIFS($AV$7:$AV$1576,$BU$7:$BU$1576,BU1319,$AY$7:$AY$1576,AY1319,$BO$7:$BO$1576,"&lt;="&amp;BO1319),"")</f>
        <v>96.9776260638872</v>
      </c>
      <c r="BA1319" s="65" t="n">
        <f aca="false">IF(AZ1319="",0,MAX(0,MIN(1,(IF(BU1319="L1",Parameter!$E$5,Parameter!$E$6+Parameter!$E$7)-(AZ1319-AV1319))/AV1319)))</f>
        <v>1</v>
      </c>
      <c r="BB1319" s="55" t="str">
        <f aca="false">IF(AF1319&lt;=0,"",IF(BU1319="Aussen","Aussenlager",IF(BU1319="-","Nicht im Lift",IF(AK1319&gt;=1,"Lift",IF(AK1319&lt;=0,"Aussenlager","teilweise")))))</f>
        <v/>
      </c>
      <c r="BC1319" s="55" t="str">
        <f aca="false">IF(AN1319&lt;=0,"",IF(BU1319="Aussen","Aussenlager",IF(BU1319="-","Nicht im Lift",IF(AS1319&gt;=1,"Lift",IF(AS1319&lt;=0,"Aussenlager","teilweise")))))</f>
        <v>Aussenlager</v>
      </c>
      <c r="BD1319" s="55" t="str">
        <f aca="false">IF(AV1319&lt;=0,"",IF(BU1319="Aussen","Aussenlager",IF(BU1319="-","Nicht im Lift",IF(BA1319&gt;=1,"Lift",IF(BA1319&lt;=0,"Aussenlager","teilweise")))))</f>
        <v>Lift</v>
      </c>
      <c r="BE1319" s="55" t="str">
        <f aca="false">IF(A1319="","",IF(BN1319=1,"Neu; ","")&amp;IF(AND(BN1319=0,BI1319&lt;0),"negativer Bestand (Export "&amp;BI1319&amp;"); ","")&amp;IF(I1319&lt;=0,"Kein Verbrauch; ","")&amp;IF(CD1319&gt;0,"Lift "&amp;U1319&amp;" lt. Liftbericht (Fach "&amp;V1319&amp;" Stk); ",IF(BR1319=1,"Lose – Fläche geschätzt; ",""))&amp;IF(G1319&gt;AP1319,"Überbestand "&amp;ROUND(G1319-AP1319,0)&amp;" Stk / CHF "&amp;ROUND((G1319-AP1319)*F1319,0)&amp;"; ","")&amp;IF(AND(BW1319=1,BX1319&lt;BY1319),"MAX &lt; MB+LG; ","")&amp;IF(AND(CC1319&gt;0,CB1319*10&gt;CC1319),"zu hoch für Tablar; ","")&amp;IF(AND(BN1319=0,OR(BW1319=1,Y1319&lt;&gt;"",S1319&lt;&gt;"",T1319&lt;&gt;"",Z1319&lt;&gt;"")),"manuell übersteuert; ","")&amp;IF(AND(BR1319=0,Q1319=0),"Gebinde unbekannt / Stellmass fehlt; ","")&amp;IF(AND(BR1319=0,N(T1319)&lt;=0,N(P1319)&lt;=0),"Menge pro Gebinde fehlt (Ist = 1 Gebinde); ","")&amp;BM1319)</f>
        <v>negativer Bestand (Export -2); Lose – Fläche geschätzt; </v>
      </c>
      <c r="BF1319" s="55"/>
      <c r="BG1319" s="55"/>
      <c r="BH1319" s="62"/>
      <c r="BI1319" s="57" t="n">
        <v>-2</v>
      </c>
      <c r="BJ1319" s="57" t="n">
        <v>2</v>
      </c>
      <c r="BK1319" s="56" t="n">
        <v>-1402.16</v>
      </c>
      <c r="BL1319" s="57" t="n">
        <v>2</v>
      </c>
      <c r="BM1319" s="55"/>
      <c r="BN1319" s="60" t="n">
        <v>0</v>
      </c>
      <c r="BO1319" s="60" t="n">
        <v>1319</v>
      </c>
      <c r="BP1319" s="55" t="str">
        <f aca="false">IF(S1319&lt;&gt;"",UPPER(TRIM(S1319)),IF(O1319="","LOSE",O1319))</f>
        <v>LOSE</v>
      </c>
      <c r="BQ1319" s="57" t="n">
        <f aca="false">IF(BP1319="LOSE",1,IF(N(T1319)&gt;0,T1319,IF(N(P1319)&gt;0,P1319,MAX(1,G1319))))</f>
        <v>1</v>
      </c>
      <c r="BR1319" s="60" t="n">
        <f aca="false">IF(BP1319="LOSE",1,0)</f>
        <v>1</v>
      </c>
      <c r="BS1319" s="59" t="n">
        <f aca="false">IF(BR1319=0,0,IF(N(R1319)&gt;0,R1319,IFERROR(VLOOKUP(D1319,Parameter!$A$35:$C$64,3,0)+0,0)))</f>
        <v>0.15</v>
      </c>
      <c r="BT1319" s="55" t="n">
        <f aca="false">IF(Y1319&lt;&gt;"",Y1319,X1319)</f>
        <v>2</v>
      </c>
      <c r="BU1319" s="55" t="str">
        <f aca="false">IF(BT1319=1,"L1",IF(OR(BT1319=2,BT1319=3),"L23",IF(BT1319="Aussen","Aussen","-")))</f>
        <v>L23</v>
      </c>
      <c r="BV1319" s="66" t="n">
        <f aca="false">IF(N(Z1319)&gt;0,Z1319,0)</f>
        <v>0</v>
      </c>
      <c r="BW1319" s="60" t="n">
        <f aca="false">IF(ISNUMBER(AC1319),1,0)</f>
        <v>0</v>
      </c>
      <c r="BX1319" s="57" t="n">
        <f aca="false">N(AC1319)</f>
        <v>0</v>
      </c>
      <c r="BY1319" s="57" t="n">
        <f aca="false">N(L1319)+N(M1319)</f>
        <v>1</v>
      </c>
      <c r="BZ1319" s="57" t="n">
        <f aca="false">ROUNDUP(G1319/BQ1319,0)</f>
        <v>0</v>
      </c>
      <c r="CA1319" s="57" t="n">
        <f aca="false">ROUNDUP(BX1319/BQ1319,0)</f>
        <v>0</v>
      </c>
      <c r="CB1319" s="60" t="n">
        <f aca="false">IF(BR1319=1,0,IFERROR(VLOOKUP(BP1319,'Gebinde-Kategorie'!$A$5:$M$45,5,0)+0,0))</f>
        <v>0</v>
      </c>
      <c r="CC1319" s="60" t="n">
        <f aca="false">IFERROR(IF(OR(BT1319=1,BT1319=2,BT1319=3),N(INDEX(Parameter!$I$5:$I$7,BT1319)),0),0)</f>
        <v>0</v>
      </c>
      <c r="CD1319" s="59" t="n">
        <f aca="false">IF(AND(Parameter!$B$21="Ja",ISNUMBER(U1319),N(V1319)&gt;0),IFERROR(N(INDEX(Parameter!$L$5:$L$7,U1319))*INDEX(Parameter!$E$5:$E$7,U1319)*V1319/SUMIFS($V$7:$V$1576,$U$7:$U$1576,U1319),0),0)</f>
        <v>0</v>
      </c>
    </row>
    <row r="1320" customFormat="false" ht="15" hidden="false" customHeight="false" outlineLevel="0" collapsed="false">
      <c r="A1320" s="55" t="s">
        <v>2329</v>
      </c>
      <c r="B1320" s="55" t="s">
        <v>2330</v>
      </c>
      <c r="C1320" s="55" t="s">
        <v>160</v>
      </c>
      <c r="D1320" s="55" t="s">
        <v>178</v>
      </c>
      <c r="E1320" s="55" t="s">
        <v>210</v>
      </c>
      <c r="F1320" s="56" t="n">
        <v>564.84</v>
      </c>
      <c r="G1320" s="57" t="n">
        <f aca="false">MAX(0,IF(AND(Parameter!$B$21="Ja",ISNUMBER(W1320)),W1320,IF(Parameter!$B$20="Jahresanfang 2025 + Export",BJ1320+BI1320,BI1320)))</f>
        <v>0</v>
      </c>
      <c r="H1320" s="57" t="n">
        <f aca="false">G1320*F1320</f>
        <v>0</v>
      </c>
      <c r="I1320" s="57" t="n">
        <f aca="false">BL1320*Parameter!$B$18</f>
        <v>15</v>
      </c>
      <c r="J1320" s="58" t="n">
        <v>3.5</v>
      </c>
      <c r="K1320" s="59" t="n">
        <v>4.28571428571429</v>
      </c>
      <c r="L1320" s="57" t="n">
        <v>0</v>
      </c>
      <c r="M1320" s="57" t="n">
        <v>10</v>
      </c>
      <c r="N1320" s="60" t="n">
        <v>21</v>
      </c>
      <c r="O1320" s="55" t="s">
        <v>218</v>
      </c>
      <c r="P1320" s="57" t="n">
        <v>8</v>
      </c>
      <c r="Q1320" s="60" t="n">
        <f aca="false">IF(BR1320=1,0,IFERROR(VLOOKUP(BP1320,'Gebinde-Kategorie'!$A$5:$M$45,13,0)+0,0))</f>
        <v>12</v>
      </c>
      <c r="R1320" s="61"/>
      <c r="S1320" s="62"/>
      <c r="T1320" s="62"/>
      <c r="U1320" s="55"/>
      <c r="V1320" s="57"/>
      <c r="W1320" s="57"/>
      <c r="X1320" s="55" t="n">
        <f aca="false">IF(A1320="","",IF(AND(Parameter!$B$21="Ja",ISNUMBER(U1320)),U1320,IF(IFERROR(VLOOKUP(D1320,Parameter!$A$35:$C$64,2,0),"Nein")="2+3",IF(ISNUMBER(SEARCH("grosser Artikel",BM1320)),2,IFERROR(VLOOKUP(BP1320,Parameter!$F$35:$G$64,2,0),2)),IF(OR(IFERROR(VLOOKUP(D1320,Parameter!$A$35:$C$64,2,0),"Nein")="Nein",IFERROR(VLOOKUP(D1320,Parameter!$A$35:$C$64,2,0),"Nein")=""),"-",VLOOKUP(D1320,Parameter!$A$35:$C$64,2,0)))))</f>
        <v>2</v>
      </c>
      <c r="Y1320" s="62"/>
      <c r="Z1320" s="63"/>
      <c r="AA1320" s="57" t="n">
        <f aca="false">AP1320</f>
        <v>16</v>
      </c>
      <c r="AB1320" s="57" t="n">
        <f aca="false">MAX(AP1320,G1320)</f>
        <v>16</v>
      </c>
      <c r="AC1320" s="64"/>
      <c r="AD1320" s="57" t="n">
        <f aca="false">IF(LEFT(Cockpit!$C$5,1)="A",G1320,IF(BW1320=1,BX1320,IF(LEFT(Cockpit!$C$5,1)="B",AH1320,MAX(AH1320,G1320))))</f>
        <v>0</v>
      </c>
      <c r="AE1320" s="57" t="n">
        <f aca="false">IF(BR1320=1,0,ROUNDUP(AD1320/BQ1320,0))</f>
        <v>0</v>
      </c>
      <c r="AF1320" s="59" t="n">
        <f aca="false">IF(CD1320&gt;0,CD1320*MAX(1,AD1320/V1320),IF(BR1320=1,IF(AD1320&lt;=0,0,BS1320*MAX(1,IF(G1320&gt;0,AD1320/G1320,1))),IF(Q1320&gt;0,AE1320/Q1320,0))/MAX(0.1,N(Parameter!$M$21)))</f>
        <v>0</v>
      </c>
      <c r="AG1320" s="57" t="n">
        <f aca="false">AD1320*F1320</f>
        <v>0</v>
      </c>
      <c r="AH1320" s="57" t="n">
        <f aca="false">ROUNDUP(MAX(I1320/IF(BV1320&gt;0,BV1320,MAX(0.1,N(Cockpit!$C$6))),BY1320)/BQ1320,0)*BQ1320</f>
        <v>16</v>
      </c>
      <c r="AI1320" s="58" t="n">
        <f aca="false">IF(AF1320&gt;0,I1320/AF1320,-1)</f>
        <v>-1</v>
      </c>
      <c r="AJ1320" s="58" t="str">
        <f aca="false">IF(AND(OR(BU1320="L1",BU1320="L23"),AF1320&gt;0),SUMIFS($AF$7:$AF$1576,$BU$7:$BU$1576,BU1320,$AI$7:$AI$1576,"&gt;"&amp;AI1320)+SUMIFS($AF$7:$AF$1576,$BU$7:$BU$1576,BU1320,$AI$7:$AI$1576,AI1320,$BO$7:$BO$1576,"&lt;="&amp;BO1320),"")</f>
        <v/>
      </c>
      <c r="AK1320" s="65" t="n">
        <f aca="false">IF(AJ1320="",0,MAX(0,MIN(1,(IF(BU1320="L1",Parameter!$E$5,Parameter!$E$6+Parameter!$E$7)-(AJ1320-AF1320))/AF1320)))</f>
        <v>0</v>
      </c>
      <c r="AL1320" s="57" t="n">
        <f aca="false">IF(LEFT(Cockpit!$I$5,1)="A",G1320,IF(BW1320=1,BX1320,IF(LEFT(Cockpit!$I$5,1)="B",AP1320,MAX(AP1320,G1320))))</f>
        <v>16</v>
      </c>
      <c r="AM1320" s="57" t="n">
        <f aca="false">IF(BR1320=1,0,ROUNDUP(AL1320/BQ1320,0))</f>
        <v>2</v>
      </c>
      <c r="AN1320" s="59" t="n">
        <f aca="false">IF(CD1320&gt;0,CD1320*MAX(1,AL1320/V1320),IF(BR1320=1,IF(AL1320&lt;=0,0,BS1320*MAX(1,IF(G1320&gt;0,AL1320/G1320,1))),IF(Q1320&gt;0,AM1320/Q1320,0))/MAX(0.1,N(Parameter!$M$21)))</f>
        <v>0.166666666666667</v>
      </c>
      <c r="AO1320" s="57" t="n">
        <f aca="false">AL1320*F1320</f>
        <v>9037.44</v>
      </c>
      <c r="AP1320" s="57" t="n">
        <f aca="false">ROUNDUP(MAX(I1320/IF(BV1320&gt;0,BV1320,MAX(0.1,N(Cockpit!$I$6))),BY1320)/BQ1320,0)*BQ1320</f>
        <v>16</v>
      </c>
      <c r="AQ1320" s="58" t="n">
        <f aca="false">IF(AN1320&gt;0,I1320/AN1320,-1)</f>
        <v>90</v>
      </c>
      <c r="AR1320" s="58" t="n">
        <f aca="false">IF(AND(OR(BU1320="L1",BU1320="L23"),AN1320&gt;0),SUMIFS($AN$7:$AN$1576,$BU$7:$BU$1576,BU1320,$AQ$7:$AQ$1576,"&gt;"&amp;AQ1320)+SUMIFS($AN$7:$AN$1576,$BU$7:$BU$1576,BU1320,$AQ$7:$AQ$1576,AQ1320,$BO$7:$BO$1576,"&lt;="&amp;BO1320),"")</f>
        <v>71.3603133765745</v>
      </c>
      <c r="AS1320" s="65" t="n">
        <f aca="false">IF(AR1320="",0,MAX(0,MIN(1,(IF(BU1320="L1",Parameter!$E$5,Parameter!$E$6+Parameter!$E$7)-(AR1320-AN1320))/AN1320)))</f>
        <v>1</v>
      </c>
      <c r="AT1320" s="57" t="n">
        <f aca="false">IF(LEFT(Cockpit!$O$5,1)="A",G1320,IF(BW1320=1,BX1320,IF(LEFT(Cockpit!$O$5,1)="B",AX1320,MAX(AX1320,G1320))))</f>
        <v>16</v>
      </c>
      <c r="AU1320" s="57" t="n">
        <f aca="false">IF(BR1320=1,0,ROUNDUP(AT1320/BQ1320,0))</f>
        <v>2</v>
      </c>
      <c r="AV1320" s="59" t="n">
        <f aca="false">IF(CD1320&gt;0,CD1320*MAX(1,AT1320/V1320),IF(BR1320=1,IF(AT1320&lt;=0,0,BS1320*MAX(1,IF(G1320&gt;0,AT1320/G1320,1))),IF(Q1320&gt;0,AU1320/Q1320,0))/MAX(0.1,N(Parameter!$M$21)))</f>
        <v>0.166666666666667</v>
      </c>
      <c r="AW1320" s="57" t="n">
        <f aca="false">AT1320*F1320</f>
        <v>9037.44</v>
      </c>
      <c r="AX1320" s="57" t="n">
        <f aca="false">ROUNDUP(MAX(I1320/IF(BV1320&gt;0,BV1320,MAX(0.1,N(Cockpit!$O$6))),BY1320)/BQ1320,0)*BQ1320</f>
        <v>16</v>
      </c>
      <c r="AY1320" s="58" t="n">
        <f aca="false">IF(AV1320&gt;0,I1320/AV1320,-1)</f>
        <v>90</v>
      </c>
      <c r="AZ1320" s="58" t="n">
        <f aca="false">IF(AND(OR(BU1320="L1",BU1320="L23"),AV1320&gt;0),SUMIFS($AV$7:$AV$1576,$BU$7:$BU$1576,BU1320,$AY$7:$AY$1576,"&gt;"&amp;AY1320)+SUMIFS($AV$7:$AV$1576,$BU$7:$BU$1576,BU1320,$AY$7:$AY$1576,AY1320,$BO$7:$BO$1576,"&lt;="&amp;BO1320),"")</f>
        <v>65.9206971594583</v>
      </c>
      <c r="BA1320" s="65" t="n">
        <f aca="false">IF(AZ1320="",0,MAX(0,MIN(1,(IF(BU1320="L1",Parameter!$E$5,Parameter!$E$6+Parameter!$E$7)-(AZ1320-AV1320))/AV1320)))</f>
        <v>1</v>
      </c>
      <c r="BB1320" s="55" t="str">
        <f aca="false">IF(AF1320&lt;=0,"",IF(BU1320="Aussen","Aussenlager",IF(BU1320="-","Nicht im Lift",IF(AK1320&gt;=1,"Lift",IF(AK1320&lt;=0,"Aussenlager","teilweise")))))</f>
        <v/>
      </c>
      <c r="BC1320" s="55" t="str">
        <f aca="false">IF(AN1320&lt;=0,"",IF(BU1320="Aussen","Aussenlager",IF(BU1320="-","Nicht im Lift",IF(AS1320&gt;=1,"Lift",IF(AS1320&lt;=0,"Aussenlager","teilweise")))))</f>
        <v>Lift</v>
      </c>
      <c r="BD1320" s="55" t="str">
        <f aca="false">IF(AV1320&lt;=0,"",IF(BU1320="Aussen","Aussenlager",IF(BU1320="-","Nicht im Lift",IF(BA1320&gt;=1,"Lift",IF(BA1320&lt;=0,"Aussenlager","teilweise")))))</f>
        <v>Lift</v>
      </c>
      <c r="BE1320" s="55" t="str">
        <f aca="false">IF(A1320="","",IF(BN1320=1,"Neu; ","")&amp;IF(AND(BN1320=0,BI1320&lt;0),"negativer Bestand (Export "&amp;BI1320&amp;"); ","")&amp;IF(I1320&lt;=0,"Kein Verbrauch; ","")&amp;IF(CD1320&gt;0,"Lift "&amp;U1320&amp;" lt. Liftbericht (Fach "&amp;V1320&amp;" Stk); ",IF(BR1320=1,"Lose – Fläche geschätzt; ",""))&amp;IF(G1320&gt;AP1320,"Überbestand "&amp;ROUND(G1320-AP1320,0)&amp;" Stk / CHF "&amp;ROUND((G1320-AP1320)*F1320,0)&amp;"; ","")&amp;IF(AND(BW1320=1,BX1320&lt;BY1320),"MAX &lt; MB+LG; ","")&amp;IF(AND(CC1320&gt;0,CB1320*10&gt;CC1320),"zu hoch für Tablar; ","")&amp;IF(AND(BN1320=0,OR(BW1320=1,Y1320&lt;&gt;"",S1320&lt;&gt;"",T1320&lt;&gt;"",Z1320&lt;&gt;"")),"manuell übersteuert; ","")&amp;IF(AND(BR1320=0,Q1320=0),"Gebinde unbekannt / Stellmass fehlt; ","")&amp;IF(AND(BR1320=0,N(T1320)&lt;=0,N(P1320)&lt;=0),"Menge pro Gebinde fehlt (Ist = 1 Gebinde); ","")&amp;BM1320)</f>
        <v>negativer Bestand (Export -3); </v>
      </c>
      <c r="BF1320" s="55"/>
      <c r="BG1320" s="55"/>
      <c r="BH1320" s="62"/>
      <c r="BI1320" s="57" t="n">
        <v>-3</v>
      </c>
      <c r="BJ1320" s="57" t="n">
        <v>4</v>
      </c>
      <c r="BK1320" s="56" t="n">
        <v>-1424.6</v>
      </c>
      <c r="BL1320" s="57" t="n">
        <v>15</v>
      </c>
      <c r="BM1320" s="55"/>
      <c r="BN1320" s="60" t="n">
        <v>0</v>
      </c>
      <c r="BO1320" s="60" t="n">
        <v>1320</v>
      </c>
      <c r="BP1320" s="55" t="str">
        <f aca="false">IF(S1320&lt;&gt;"",UPPER(TRIM(S1320)),IF(O1320="","LOSE",O1320))</f>
        <v>S63</v>
      </c>
      <c r="BQ1320" s="57" t="n">
        <f aca="false">IF(BP1320="LOSE",1,IF(N(T1320)&gt;0,T1320,IF(N(P1320)&gt;0,P1320,MAX(1,G1320))))</f>
        <v>8</v>
      </c>
      <c r="BR1320" s="60" t="n">
        <f aca="false">IF(BP1320="LOSE",1,0)</f>
        <v>0</v>
      </c>
      <c r="BS1320" s="59" t="n">
        <f aca="false">IF(BR1320=0,0,IF(N(R1320)&gt;0,R1320,IFERROR(VLOOKUP(D1320,Parameter!$A$35:$C$64,3,0)+0,0)))</f>
        <v>0</v>
      </c>
      <c r="BT1320" s="55" t="n">
        <f aca="false">IF(Y1320&lt;&gt;"",Y1320,X1320)</f>
        <v>2</v>
      </c>
      <c r="BU1320" s="55" t="str">
        <f aca="false">IF(BT1320=1,"L1",IF(OR(BT1320=2,BT1320=3),"L23",IF(BT1320="Aussen","Aussen","-")))</f>
        <v>L23</v>
      </c>
      <c r="BV1320" s="66" t="n">
        <f aca="false">IF(N(Z1320)&gt;0,Z1320,0)</f>
        <v>0</v>
      </c>
      <c r="BW1320" s="60" t="n">
        <f aca="false">IF(ISNUMBER(AC1320),1,0)</f>
        <v>0</v>
      </c>
      <c r="BX1320" s="57" t="n">
        <f aca="false">N(AC1320)</f>
        <v>0</v>
      </c>
      <c r="BY1320" s="57" t="n">
        <f aca="false">N(L1320)+N(M1320)</f>
        <v>10</v>
      </c>
      <c r="BZ1320" s="57" t="n">
        <f aca="false">ROUNDUP(G1320/BQ1320,0)</f>
        <v>0</v>
      </c>
      <c r="CA1320" s="57" t="n">
        <f aca="false">ROUNDUP(BX1320/BQ1320,0)</f>
        <v>0</v>
      </c>
      <c r="CB1320" s="60" t="n">
        <f aca="false">IF(BR1320=1,0,IFERROR(VLOOKUP(BP1320,'Gebinde-Kategorie'!$A$5:$M$45,5,0)+0,0))</f>
        <v>31</v>
      </c>
      <c r="CC1320" s="60" t="n">
        <f aca="false">IFERROR(IF(OR(BT1320=1,BT1320=2,BT1320=3),N(INDEX(Parameter!$I$5:$I$7,BT1320)),0),0)</f>
        <v>0</v>
      </c>
      <c r="CD1320" s="59" t="n">
        <f aca="false">IF(AND(Parameter!$B$21="Ja",ISNUMBER(U1320),N(V1320)&gt;0),IFERROR(N(INDEX(Parameter!$L$5:$L$7,U1320))*INDEX(Parameter!$E$5:$E$7,U1320)*V1320/SUMIFS($V$7:$V$1576,$U$7:$U$1576,U1320),0),0)</f>
        <v>0</v>
      </c>
    </row>
    <row r="1321" customFormat="false" ht="15" hidden="false" customHeight="false" outlineLevel="0" collapsed="false">
      <c r="A1321" s="55" t="s">
        <v>2331</v>
      </c>
      <c r="B1321" s="55" t="s">
        <v>569</v>
      </c>
      <c r="C1321" s="55" t="s">
        <v>160</v>
      </c>
      <c r="D1321" s="55" t="s">
        <v>168</v>
      </c>
      <c r="E1321" s="55" t="s">
        <v>210</v>
      </c>
      <c r="F1321" s="56" t="n">
        <v>189.21</v>
      </c>
      <c r="G1321" s="57" t="n">
        <f aca="false">MAX(0,IF(AND(Parameter!$B$21="Ja",ISNUMBER(W1321)),W1321,IF(Parameter!$B$20="Jahresanfang 2025 + Export",BJ1321+BI1321,BI1321)))</f>
        <v>0</v>
      </c>
      <c r="H1321" s="57" t="n">
        <f aca="false">G1321*F1321</f>
        <v>0</v>
      </c>
      <c r="I1321" s="57" t="n">
        <f aca="false">BL1321*Parameter!$B$18</f>
        <v>25</v>
      </c>
      <c r="J1321" s="58" t="n">
        <v>12</v>
      </c>
      <c r="K1321" s="59" t="n">
        <v>2.08333333333333</v>
      </c>
      <c r="L1321" s="57" t="n">
        <v>2</v>
      </c>
      <c r="M1321" s="57" t="n">
        <v>10</v>
      </c>
      <c r="N1321" s="60" t="n">
        <v>21</v>
      </c>
      <c r="O1321" s="55" t="s">
        <v>169</v>
      </c>
      <c r="P1321" s="57" t="n">
        <v>13</v>
      </c>
      <c r="Q1321" s="60" t="n">
        <f aca="false">IF(BR1321=1,0,IFERROR(VLOOKUP(BP1321,'Gebinde-Kategorie'!$A$5:$M$45,13,0)+0,0))</f>
        <v>6</v>
      </c>
      <c r="R1321" s="61"/>
      <c r="S1321" s="62"/>
      <c r="T1321" s="62"/>
      <c r="U1321" s="55"/>
      <c r="V1321" s="57"/>
      <c r="W1321" s="57"/>
      <c r="X1321" s="55" t="n">
        <f aca="false">IF(A1321="","",IF(AND(Parameter!$B$21="Ja",ISNUMBER(U1321)),U1321,IF(IFERROR(VLOOKUP(D1321,Parameter!$A$35:$C$64,2,0),"Nein")="2+3",IF(ISNUMBER(SEARCH("grosser Artikel",BM1321)),2,IFERROR(VLOOKUP(BP1321,Parameter!$F$35:$G$64,2,0),2)),IF(OR(IFERROR(VLOOKUP(D1321,Parameter!$A$35:$C$64,2,0),"Nein")="Nein",IFERROR(VLOOKUP(D1321,Parameter!$A$35:$C$64,2,0),"Nein")=""),"-",VLOOKUP(D1321,Parameter!$A$35:$C$64,2,0)))))</f>
        <v>2</v>
      </c>
      <c r="Y1321" s="62"/>
      <c r="Z1321" s="63"/>
      <c r="AA1321" s="57" t="n">
        <f aca="false">AP1321</f>
        <v>13</v>
      </c>
      <c r="AB1321" s="57" t="n">
        <f aca="false">MAX(AP1321,G1321)</f>
        <v>13</v>
      </c>
      <c r="AC1321" s="64"/>
      <c r="AD1321" s="57" t="n">
        <f aca="false">IF(LEFT(Cockpit!$C$5,1)="A",G1321,IF(BW1321=1,BX1321,IF(LEFT(Cockpit!$C$5,1)="B",AH1321,MAX(AH1321,G1321))))</f>
        <v>0</v>
      </c>
      <c r="AE1321" s="57" t="n">
        <f aca="false">IF(BR1321=1,0,ROUNDUP(AD1321/BQ1321,0))</f>
        <v>0</v>
      </c>
      <c r="AF1321" s="59" t="n">
        <f aca="false">IF(CD1321&gt;0,CD1321*MAX(1,AD1321/V1321),IF(BR1321=1,IF(AD1321&lt;=0,0,BS1321*MAX(1,IF(G1321&gt;0,AD1321/G1321,1))),IF(Q1321&gt;0,AE1321/Q1321,0))/MAX(0.1,N(Parameter!$M$21)))</f>
        <v>0</v>
      </c>
      <c r="AG1321" s="57" t="n">
        <f aca="false">AD1321*F1321</f>
        <v>0</v>
      </c>
      <c r="AH1321" s="57" t="n">
        <f aca="false">ROUNDUP(MAX(I1321/IF(BV1321&gt;0,BV1321,MAX(0.1,N(Cockpit!$C$6))),BY1321)/BQ1321,0)*BQ1321</f>
        <v>13</v>
      </c>
      <c r="AI1321" s="58" t="n">
        <f aca="false">IF(AF1321&gt;0,I1321/AF1321,-1)</f>
        <v>-1</v>
      </c>
      <c r="AJ1321" s="58" t="str">
        <f aca="false">IF(AND(OR(BU1321="L1",BU1321="L23"),AF1321&gt;0),SUMIFS($AF$7:$AF$1576,$BU$7:$BU$1576,BU1321,$AI$7:$AI$1576,"&gt;"&amp;AI1321)+SUMIFS($AF$7:$AF$1576,$BU$7:$BU$1576,BU1321,$AI$7:$AI$1576,AI1321,$BO$7:$BO$1576,"&lt;="&amp;BO1321),"")</f>
        <v/>
      </c>
      <c r="AK1321" s="65" t="n">
        <f aca="false">IF(AJ1321="",0,MAX(0,MIN(1,(IF(BU1321="L1",Parameter!$E$5,Parameter!$E$6+Parameter!$E$7)-(AJ1321-AF1321))/AF1321)))</f>
        <v>0</v>
      </c>
      <c r="AL1321" s="57" t="n">
        <f aca="false">IF(LEFT(Cockpit!$I$5,1)="A",G1321,IF(BW1321=1,BX1321,IF(LEFT(Cockpit!$I$5,1)="B",AP1321,MAX(AP1321,G1321))))</f>
        <v>13</v>
      </c>
      <c r="AM1321" s="57" t="n">
        <f aca="false">IF(BR1321=1,0,ROUNDUP(AL1321/BQ1321,0))</f>
        <v>1</v>
      </c>
      <c r="AN1321" s="59" t="n">
        <f aca="false">IF(CD1321&gt;0,CD1321*MAX(1,AL1321/V1321),IF(BR1321=1,IF(AL1321&lt;=0,0,BS1321*MAX(1,IF(G1321&gt;0,AL1321/G1321,1))),IF(Q1321&gt;0,AM1321/Q1321,0))/MAX(0.1,N(Parameter!$M$21)))</f>
        <v>0.166666666666667</v>
      </c>
      <c r="AO1321" s="57" t="n">
        <f aca="false">AL1321*F1321</f>
        <v>2459.73</v>
      </c>
      <c r="AP1321" s="57" t="n">
        <f aca="false">ROUNDUP(MAX(I1321/IF(BV1321&gt;0,BV1321,MAX(0.1,N(Cockpit!$I$6))),BY1321)/BQ1321,0)*BQ1321</f>
        <v>13</v>
      </c>
      <c r="AQ1321" s="58" t="n">
        <f aca="false">IF(AN1321&gt;0,I1321/AN1321,-1)</f>
        <v>150</v>
      </c>
      <c r="AR1321" s="58" t="n">
        <f aca="false">IF(AND(OR(BU1321="L1",BU1321="L23"),AN1321&gt;0),SUMIFS($AN$7:$AN$1576,$BU$7:$BU$1576,BU1321,$AQ$7:$AQ$1576,"&gt;"&amp;AQ1321)+SUMIFS($AN$7:$AN$1576,$BU$7:$BU$1576,BU1321,$AQ$7:$AQ$1576,AQ1321,$BO$7:$BO$1576,"&lt;="&amp;BO1321),"")</f>
        <v>55.2282611232723</v>
      </c>
      <c r="AS1321" s="65" t="n">
        <f aca="false">IF(AR1321="",0,MAX(0,MIN(1,(IF(BU1321="L1",Parameter!$E$5,Parameter!$E$6+Parameter!$E$7)-(AR1321-AN1321))/AN1321)))</f>
        <v>1</v>
      </c>
      <c r="AT1321" s="57" t="n">
        <f aca="false">IF(LEFT(Cockpit!$O$5,1)="A",G1321,IF(BW1321=1,BX1321,IF(LEFT(Cockpit!$O$5,1)="B",AX1321,MAX(AX1321,G1321))))</f>
        <v>13</v>
      </c>
      <c r="AU1321" s="57" t="n">
        <f aca="false">IF(BR1321=1,0,ROUNDUP(AT1321/BQ1321,0))</f>
        <v>1</v>
      </c>
      <c r="AV1321" s="59" t="n">
        <f aca="false">IF(CD1321&gt;0,CD1321*MAX(1,AT1321/V1321),IF(BR1321=1,IF(AT1321&lt;=0,0,BS1321*MAX(1,IF(G1321&gt;0,AT1321/G1321,1))),IF(Q1321&gt;0,AU1321/Q1321,0))/MAX(0.1,N(Parameter!$M$21)))</f>
        <v>0.166666666666667</v>
      </c>
      <c r="AW1321" s="57" t="n">
        <f aca="false">AT1321*F1321</f>
        <v>2459.73</v>
      </c>
      <c r="AX1321" s="57" t="n">
        <f aca="false">ROUNDUP(MAX(I1321/IF(BV1321&gt;0,BV1321,MAX(0.1,N(Cockpit!$O$6))),BY1321)/BQ1321,0)*BQ1321</f>
        <v>13</v>
      </c>
      <c r="AY1321" s="58" t="n">
        <f aca="false">IF(AV1321&gt;0,I1321/AV1321,-1)</f>
        <v>150</v>
      </c>
      <c r="AZ1321" s="58" t="n">
        <f aca="false">IF(AND(OR(BU1321="L1",BU1321="L23"),AV1321&gt;0),SUMIFS($AV$7:$AV$1576,$BU$7:$BU$1576,BU1321,$AY$7:$AY$1576,"&gt;"&amp;AY1321)+SUMIFS($AV$7:$AV$1576,$BU$7:$BU$1576,BU1321,$AY$7:$AY$1576,AY1321,$BO$7:$BO$1576,"&lt;="&amp;BO1321),"")</f>
        <v>51.566485815247</v>
      </c>
      <c r="BA1321" s="65" t="n">
        <f aca="false">IF(AZ1321="",0,MAX(0,MIN(1,(IF(BU1321="L1",Parameter!$E$5,Parameter!$E$6+Parameter!$E$7)-(AZ1321-AV1321))/AV1321)))</f>
        <v>1</v>
      </c>
      <c r="BB1321" s="55" t="str">
        <f aca="false">IF(AF1321&lt;=0,"",IF(BU1321="Aussen","Aussenlager",IF(BU1321="-","Nicht im Lift",IF(AK1321&gt;=1,"Lift",IF(AK1321&lt;=0,"Aussenlager","teilweise")))))</f>
        <v/>
      </c>
      <c r="BC1321" s="55" t="str">
        <f aca="false">IF(AN1321&lt;=0,"",IF(BU1321="Aussen","Aussenlager",IF(BU1321="-","Nicht im Lift",IF(AS1321&gt;=1,"Lift",IF(AS1321&lt;=0,"Aussenlager","teilweise")))))</f>
        <v>Lift</v>
      </c>
      <c r="BD1321" s="55" t="str">
        <f aca="false">IF(AV1321&lt;=0,"",IF(BU1321="Aussen","Aussenlager",IF(BU1321="-","Nicht im Lift",IF(BA1321&gt;=1,"Lift",IF(BA1321&lt;=0,"Aussenlager","teilweise")))))</f>
        <v>Lift</v>
      </c>
      <c r="BE1321" s="55" t="str">
        <f aca="false">IF(A1321="","",IF(BN1321=1,"Neu; ","")&amp;IF(AND(BN1321=0,BI1321&lt;0),"negativer Bestand (Export "&amp;BI1321&amp;"); ","")&amp;IF(I1321&lt;=0,"Kein Verbrauch; ","")&amp;IF(CD1321&gt;0,"Lift "&amp;U1321&amp;" lt. Liftbericht (Fach "&amp;V1321&amp;" Stk); ",IF(BR1321=1,"Lose – Fläche geschätzt; ",""))&amp;IF(G1321&gt;AP1321,"Überbestand "&amp;ROUND(G1321-AP1321,0)&amp;" Stk / CHF "&amp;ROUND((G1321-AP1321)*F1321,0)&amp;"; ","")&amp;IF(AND(BW1321=1,BX1321&lt;BY1321),"MAX &lt; MB+LG; ","")&amp;IF(AND(CC1321&gt;0,CB1321*10&gt;CC1321),"zu hoch für Tablar; ","")&amp;IF(AND(BN1321=0,OR(BW1321=1,Y1321&lt;&gt;"",S1321&lt;&gt;"",T1321&lt;&gt;"",Z1321&lt;&gt;"")),"manuell übersteuert; ","")&amp;IF(AND(BR1321=0,Q1321=0),"Gebinde unbekannt / Stellmass fehlt; ","")&amp;IF(AND(BR1321=0,N(T1321)&lt;=0,N(P1321)&lt;=0),"Menge pro Gebinde fehlt (Ist = 1 Gebinde); ","")&amp;BM1321)</f>
        <v>negativer Bestand (Export -6); </v>
      </c>
      <c r="BF1321" s="55"/>
      <c r="BG1321" s="55"/>
      <c r="BH1321" s="62"/>
      <c r="BI1321" s="57" t="n">
        <v>-6</v>
      </c>
      <c r="BJ1321" s="57" t="n">
        <v>14</v>
      </c>
      <c r="BK1321" s="56" t="n">
        <v>-1429.68</v>
      </c>
      <c r="BL1321" s="57" t="n">
        <v>25</v>
      </c>
      <c r="BM1321" s="55"/>
      <c r="BN1321" s="60" t="n">
        <v>0</v>
      </c>
      <c r="BO1321" s="60" t="n">
        <v>1321</v>
      </c>
      <c r="BP1321" s="55" t="str">
        <f aca="false">IF(S1321&lt;&gt;"",UPPER(TRIM(S1321)),IF(O1321="","LOSE",O1321))</f>
        <v>S71</v>
      </c>
      <c r="BQ1321" s="57" t="n">
        <f aca="false">IF(BP1321="LOSE",1,IF(N(T1321)&gt;0,T1321,IF(N(P1321)&gt;0,P1321,MAX(1,G1321))))</f>
        <v>13</v>
      </c>
      <c r="BR1321" s="60" t="n">
        <f aca="false">IF(BP1321="LOSE",1,0)</f>
        <v>0</v>
      </c>
      <c r="BS1321" s="59" t="n">
        <f aca="false">IF(BR1321=0,0,IF(N(R1321)&gt;0,R1321,IFERROR(VLOOKUP(D1321,Parameter!$A$35:$C$64,3,0)+0,0)))</f>
        <v>0</v>
      </c>
      <c r="BT1321" s="55" t="n">
        <f aca="false">IF(Y1321&lt;&gt;"",Y1321,X1321)</f>
        <v>2</v>
      </c>
      <c r="BU1321" s="55" t="str">
        <f aca="false">IF(BT1321=1,"L1",IF(OR(BT1321=2,BT1321=3),"L23",IF(BT1321="Aussen","Aussen","-")))</f>
        <v>L23</v>
      </c>
      <c r="BV1321" s="66" t="n">
        <f aca="false">IF(N(Z1321)&gt;0,Z1321,0)</f>
        <v>0</v>
      </c>
      <c r="BW1321" s="60" t="n">
        <f aca="false">IF(ISNUMBER(AC1321),1,0)</f>
        <v>0</v>
      </c>
      <c r="BX1321" s="57" t="n">
        <f aca="false">N(AC1321)</f>
        <v>0</v>
      </c>
      <c r="BY1321" s="57" t="n">
        <f aca="false">N(L1321)+N(M1321)</f>
        <v>12</v>
      </c>
      <c r="BZ1321" s="57" t="n">
        <f aca="false">ROUNDUP(G1321/BQ1321,0)</f>
        <v>0</v>
      </c>
      <c r="CA1321" s="57" t="n">
        <f aca="false">ROUNDUP(BX1321/BQ1321,0)</f>
        <v>0</v>
      </c>
      <c r="CB1321" s="60" t="n">
        <f aca="false">IF(BR1321=1,0,IFERROR(VLOOKUP(BP1321,'Gebinde-Kategorie'!$A$5:$M$45,5,0)+0,0))</f>
        <v>20</v>
      </c>
      <c r="CC1321" s="60" t="n">
        <f aca="false">IFERROR(IF(OR(BT1321=1,BT1321=2,BT1321=3),N(INDEX(Parameter!$I$5:$I$7,BT1321)),0),0)</f>
        <v>0</v>
      </c>
      <c r="CD1321" s="59" t="n">
        <f aca="false">IF(AND(Parameter!$B$21="Ja",ISNUMBER(U1321),N(V1321)&gt;0),IFERROR(N(INDEX(Parameter!$L$5:$L$7,U1321))*INDEX(Parameter!$E$5:$E$7,U1321)*V1321/SUMIFS($V$7:$V$1576,$U$7:$U$1576,U1321),0),0)</f>
        <v>0</v>
      </c>
    </row>
    <row r="1322" customFormat="false" ht="15" hidden="false" customHeight="false" outlineLevel="0" collapsed="false">
      <c r="A1322" s="55" t="s">
        <v>2332</v>
      </c>
      <c r="B1322" s="55" t="s">
        <v>2333</v>
      </c>
      <c r="C1322" s="55" t="s">
        <v>160</v>
      </c>
      <c r="D1322" s="55" t="s">
        <v>178</v>
      </c>
      <c r="E1322" s="55" t="s">
        <v>210</v>
      </c>
      <c r="F1322" s="56" t="n">
        <v>1433.79</v>
      </c>
      <c r="G1322" s="57" t="n">
        <f aca="false">MAX(0,IF(AND(Parameter!$B$21="Ja",ISNUMBER(W1322)),W1322,IF(Parameter!$B$20="Jahresanfang 2025 + Export",BJ1322+BI1322,BI1322)))</f>
        <v>0</v>
      </c>
      <c r="H1322" s="57" t="n">
        <f aca="false">G1322*F1322</f>
        <v>0</v>
      </c>
      <c r="I1322" s="57" t="n">
        <f aca="false">BL1322*Parameter!$B$18</f>
        <v>0</v>
      </c>
      <c r="J1322" s="58" t="n">
        <v>7</v>
      </c>
      <c r="K1322" s="59" t="n">
        <v>0</v>
      </c>
      <c r="L1322" s="57" t="n">
        <v>1</v>
      </c>
      <c r="M1322" s="57" t="n">
        <v>1</v>
      </c>
      <c r="N1322" s="60" t="n">
        <v>14</v>
      </c>
      <c r="O1322" s="55" t="s">
        <v>218</v>
      </c>
      <c r="P1322" s="57" t="n">
        <v>6</v>
      </c>
      <c r="Q1322" s="60" t="n">
        <f aca="false">IF(BR1322=1,0,IFERROR(VLOOKUP(BP1322,'Gebinde-Kategorie'!$A$5:$M$45,13,0)+0,0))</f>
        <v>12</v>
      </c>
      <c r="R1322" s="61"/>
      <c r="S1322" s="62"/>
      <c r="T1322" s="62"/>
      <c r="U1322" s="55"/>
      <c r="V1322" s="57"/>
      <c r="W1322" s="57"/>
      <c r="X1322" s="55" t="n">
        <f aca="false">IF(A1322="","",IF(AND(Parameter!$B$21="Ja",ISNUMBER(U1322)),U1322,IF(IFERROR(VLOOKUP(D1322,Parameter!$A$35:$C$64,2,0),"Nein")="2+3",IF(ISNUMBER(SEARCH("grosser Artikel",BM1322)),2,IFERROR(VLOOKUP(BP1322,Parameter!$F$35:$G$64,2,0),2)),IF(OR(IFERROR(VLOOKUP(D1322,Parameter!$A$35:$C$64,2,0),"Nein")="Nein",IFERROR(VLOOKUP(D1322,Parameter!$A$35:$C$64,2,0),"Nein")=""),"-",VLOOKUP(D1322,Parameter!$A$35:$C$64,2,0)))))</f>
        <v>2</v>
      </c>
      <c r="Y1322" s="62"/>
      <c r="Z1322" s="63"/>
      <c r="AA1322" s="57" t="n">
        <f aca="false">AP1322</f>
        <v>6</v>
      </c>
      <c r="AB1322" s="57" t="n">
        <f aca="false">MAX(AP1322,G1322)</f>
        <v>6</v>
      </c>
      <c r="AC1322" s="64"/>
      <c r="AD1322" s="57" t="n">
        <f aca="false">IF(LEFT(Cockpit!$C$5,1)="A",G1322,IF(BW1322=1,BX1322,IF(LEFT(Cockpit!$C$5,1)="B",AH1322,MAX(AH1322,G1322))))</f>
        <v>0</v>
      </c>
      <c r="AE1322" s="57" t="n">
        <f aca="false">IF(BR1322=1,0,ROUNDUP(AD1322/BQ1322,0))</f>
        <v>0</v>
      </c>
      <c r="AF1322" s="59" t="n">
        <f aca="false">IF(CD1322&gt;0,CD1322*MAX(1,AD1322/V1322),IF(BR1322=1,IF(AD1322&lt;=0,0,BS1322*MAX(1,IF(G1322&gt;0,AD1322/G1322,1))),IF(Q1322&gt;0,AE1322/Q1322,0))/MAX(0.1,N(Parameter!$M$21)))</f>
        <v>0</v>
      </c>
      <c r="AG1322" s="57" t="n">
        <f aca="false">AD1322*F1322</f>
        <v>0</v>
      </c>
      <c r="AH1322" s="57" t="n">
        <f aca="false">ROUNDUP(MAX(I1322/IF(BV1322&gt;0,BV1322,MAX(0.1,N(Cockpit!$C$6))),BY1322)/BQ1322,0)*BQ1322</f>
        <v>6</v>
      </c>
      <c r="AI1322" s="58" t="n">
        <f aca="false">IF(AF1322&gt;0,I1322/AF1322,-1)</f>
        <v>-1</v>
      </c>
      <c r="AJ1322" s="58" t="str">
        <f aca="false">IF(AND(OR(BU1322="L1",BU1322="L23"),AF1322&gt;0),SUMIFS($AF$7:$AF$1576,$BU$7:$BU$1576,BU1322,$AI$7:$AI$1576,"&gt;"&amp;AI1322)+SUMIFS($AF$7:$AF$1576,$BU$7:$BU$1576,BU1322,$AI$7:$AI$1576,AI1322,$BO$7:$BO$1576,"&lt;="&amp;BO1322),"")</f>
        <v/>
      </c>
      <c r="AK1322" s="65" t="n">
        <f aca="false">IF(AJ1322="",0,MAX(0,MIN(1,(IF(BU1322="L1",Parameter!$E$5,Parameter!$E$6+Parameter!$E$7)-(AJ1322-AF1322))/AF1322)))</f>
        <v>0</v>
      </c>
      <c r="AL1322" s="57" t="n">
        <f aca="false">IF(LEFT(Cockpit!$I$5,1)="A",G1322,IF(BW1322=1,BX1322,IF(LEFT(Cockpit!$I$5,1)="B",AP1322,MAX(AP1322,G1322))))</f>
        <v>6</v>
      </c>
      <c r="AM1322" s="57" t="n">
        <f aca="false">IF(BR1322=1,0,ROUNDUP(AL1322/BQ1322,0))</f>
        <v>1</v>
      </c>
      <c r="AN1322" s="59" t="n">
        <f aca="false">IF(CD1322&gt;0,CD1322*MAX(1,AL1322/V1322),IF(BR1322=1,IF(AL1322&lt;=0,0,BS1322*MAX(1,IF(G1322&gt;0,AL1322/G1322,1))),IF(Q1322&gt;0,AM1322/Q1322,0))/MAX(0.1,N(Parameter!$M$21)))</f>
        <v>0.0833333333333333</v>
      </c>
      <c r="AO1322" s="57" t="n">
        <f aca="false">AL1322*F1322</f>
        <v>8602.74</v>
      </c>
      <c r="AP1322" s="57" t="n">
        <f aca="false">ROUNDUP(MAX(I1322/IF(BV1322&gt;0,BV1322,MAX(0.1,N(Cockpit!$I$6))),BY1322)/BQ1322,0)*BQ1322</f>
        <v>6</v>
      </c>
      <c r="AQ1322" s="58" t="n">
        <f aca="false">IF(AN1322&gt;0,I1322/AN1322,-1)</f>
        <v>0</v>
      </c>
      <c r="AR1322" s="58" t="n">
        <f aca="false">IF(AND(OR(BU1322="L1",BU1322="L23"),AN1322&gt;0),SUMIFS($AN$7:$AN$1576,$BU$7:$BU$1576,BU1322,$AQ$7:$AQ$1576,"&gt;"&amp;AQ1322)+SUMIFS($AN$7:$AN$1576,$BU$7:$BU$1576,BU1322,$AQ$7:$AQ$1576,AQ1322,$BO$7:$BO$1576,"&lt;="&amp;BO1322),"")</f>
        <v>138.528435260439</v>
      </c>
      <c r="AS1322" s="65" t="n">
        <f aca="false">IF(AR1322="",0,MAX(0,MIN(1,(IF(BU1322="L1",Parameter!$E$5,Parameter!$E$6+Parameter!$E$7)-(AR1322-AN1322))/AN1322)))</f>
        <v>0</v>
      </c>
      <c r="AT1322" s="57" t="n">
        <f aca="false">IF(LEFT(Cockpit!$O$5,1)="A",G1322,IF(BW1322=1,BX1322,IF(LEFT(Cockpit!$O$5,1)="B",AX1322,MAX(AX1322,G1322))))</f>
        <v>6</v>
      </c>
      <c r="AU1322" s="57" t="n">
        <f aca="false">IF(BR1322=1,0,ROUNDUP(AT1322/BQ1322,0))</f>
        <v>1</v>
      </c>
      <c r="AV1322" s="59" t="n">
        <f aca="false">IF(CD1322&gt;0,CD1322*MAX(1,AT1322/V1322),IF(BR1322=1,IF(AT1322&lt;=0,0,BS1322*MAX(1,IF(G1322&gt;0,AT1322/G1322,1))),IF(Q1322&gt;0,AU1322/Q1322,0))/MAX(0.1,N(Parameter!$M$21)))</f>
        <v>0.0833333333333333</v>
      </c>
      <c r="AW1322" s="57" t="n">
        <f aca="false">AT1322*F1322</f>
        <v>8602.74</v>
      </c>
      <c r="AX1322" s="57" t="n">
        <f aca="false">ROUNDUP(MAX(I1322/IF(BV1322&gt;0,BV1322,MAX(0.1,N(Cockpit!$O$6))),BY1322)/BQ1322,0)*BQ1322</f>
        <v>6</v>
      </c>
      <c r="AY1322" s="58" t="n">
        <f aca="false">IF(AV1322&gt;0,I1322/AV1322,-1)</f>
        <v>0</v>
      </c>
      <c r="AZ1322" s="58" t="n">
        <f aca="false">IF(AND(OR(BU1322="L1",BU1322="L23"),AV1322&gt;0),SUMIFS($AV$7:$AV$1576,$BU$7:$BU$1576,BU1322,$AY$7:$AY$1576,"&gt;"&amp;AY1322)+SUMIFS($AV$7:$AV$1576,$BU$7:$BU$1576,BU1322,$AY$7:$AY$1576,AY1322,$BO$7:$BO$1576,"&lt;="&amp;BO1322),"")</f>
        <v>128.58798570999</v>
      </c>
      <c r="BA1322" s="65" t="n">
        <f aca="false">IF(AZ1322="",0,MAX(0,MIN(1,(IF(BU1322="L1",Parameter!$E$5,Parameter!$E$6+Parameter!$E$7)-(AZ1322-AV1322))/AV1322)))</f>
        <v>0</v>
      </c>
      <c r="BB1322" s="55" t="str">
        <f aca="false">IF(AF1322&lt;=0,"",IF(BU1322="Aussen","Aussenlager",IF(BU1322="-","Nicht im Lift",IF(AK1322&gt;=1,"Lift",IF(AK1322&lt;=0,"Aussenlager","teilweise")))))</f>
        <v/>
      </c>
      <c r="BC1322" s="55" t="str">
        <f aca="false">IF(AN1322&lt;=0,"",IF(BU1322="Aussen","Aussenlager",IF(BU1322="-","Nicht im Lift",IF(AS1322&gt;=1,"Lift",IF(AS1322&lt;=0,"Aussenlager","teilweise")))))</f>
        <v>Aussenlager</v>
      </c>
      <c r="BD1322" s="55" t="str">
        <f aca="false">IF(AV1322&lt;=0,"",IF(BU1322="Aussen","Aussenlager",IF(BU1322="-","Nicht im Lift",IF(BA1322&gt;=1,"Lift",IF(BA1322&lt;=0,"Aussenlager","teilweise")))))</f>
        <v>Aussenlager</v>
      </c>
      <c r="BE1322" s="55" t="str">
        <f aca="false">IF(A1322="","",IF(BN1322=1,"Neu; ","")&amp;IF(AND(BN1322=0,BI1322&lt;0),"negativer Bestand (Export "&amp;BI1322&amp;"); ","")&amp;IF(I1322&lt;=0,"Kein Verbrauch; ","")&amp;IF(CD1322&gt;0,"Lift "&amp;U1322&amp;" lt. Liftbericht (Fach "&amp;V1322&amp;" Stk); ",IF(BR1322=1,"Lose – Fläche geschätzt; ",""))&amp;IF(G1322&gt;AP1322,"Überbestand "&amp;ROUND(G1322-AP1322,0)&amp;" Stk / CHF "&amp;ROUND((G1322-AP1322)*F1322,0)&amp;"; ","")&amp;IF(AND(BW1322=1,BX1322&lt;BY1322),"MAX &lt; MB+LG; ","")&amp;IF(AND(CC1322&gt;0,CB1322*10&gt;CC1322),"zu hoch für Tablar; ","")&amp;IF(AND(BN1322=0,OR(BW1322=1,Y1322&lt;&gt;"",S1322&lt;&gt;"",T1322&lt;&gt;"",Z1322&lt;&gt;"")),"manuell übersteuert; ","")&amp;IF(AND(BR1322=0,Q1322=0),"Gebinde unbekannt / Stellmass fehlt; ","")&amp;IF(AND(BR1322=0,N(T1322)&lt;=0,N(P1322)&lt;=0),"Menge pro Gebinde fehlt (Ist = 1 Gebinde); ","")&amp;BM1322)</f>
        <v>negativer Bestand (Export -1); Kein Verbrauch; </v>
      </c>
      <c r="BF1322" s="55"/>
      <c r="BG1322" s="55"/>
      <c r="BH1322" s="62"/>
      <c r="BI1322" s="57" t="n">
        <v>-1</v>
      </c>
      <c r="BJ1322" s="57" t="n">
        <v>7</v>
      </c>
      <c r="BK1322" s="56" t="n">
        <v>-1433.79</v>
      </c>
      <c r="BL1322" s="57" t="n">
        <v>0</v>
      </c>
      <c r="BM1322" s="55"/>
      <c r="BN1322" s="60" t="n">
        <v>0</v>
      </c>
      <c r="BO1322" s="60" t="n">
        <v>1322</v>
      </c>
      <c r="BP1322" s="55" t="str">
        <f aca="false">IF(S1322&lt;&gt;"",UPPER(TRIM(S1322)),IF(O1322="","LOSE",O1322))</f>
        <v>S63</v>
      </c>
      <c r="BQ1322" s="57" t="n">
        <f aca="false">IF(BP1322="LOSE",1,IF(N(T1322)&gt;0,T1322,IF(N(P1322)&gt;0,P1322,MAX(1,G1322))))</f>
        <v>6</v>
      </c>
      <c r="BR1322" s="60" t="n">
        <f aca="false">IF(BP1322="LOSE",1,0)</f>
        <v>0</v>
      </c>
      <c r="BS1322" s="59" t="n">
        <f aca="false">IF(BR1322=0,0,IF(N(R1322)&gt;0,R1322,IFERROR(VLOOKUP(D1322,Parameter!$A$35:$C$64,3,0)+0,0)))</f>
        <v>0</v>
      </c>
      <c r="BT1322" s="55" t="n">
        <f aca="false">IF(Y1322&lt;&gt;"",Y1322,X1322)</f>
        <v>2</v>
      </c>
      <c r="BU1322" s="55" t="str">
        <f aca="false">IF(BT1322=1,"L1",IF(OR(BT1322=2,BT1322=3),"L23",IF(BT1322="Aussen","Aussen","-")))</f>
        <v>L23</v>
      </c>
      <c r="BV1322" s="66" t="n">
        <f aca="false">IF(N(Z1322)&gt;0,Z1322,0)</f>
        <v>0</v>
      </c>
      <c r="BW1322" s="60" t="n">
        <f aca="false">IF(ISNUMBER(AC1322),1,0)</f>
        <v>0</v>
      </c>
      <c r="BX1322" s="57" t="n">
        <f aca="false">N(AC1322)</f>
        <v>0</v>
      </c>
      <c r="BY1322" s="57" t="n">
        <f aca="false">N(L1322)+N(M1322)</f>
        <v>2</v>
      </c>
      <c r="BZ1322" s="57" t="n">
        <f aca="false">ROUNDUP(G1322/BQ1322,0)</f>
        <v>0</v>
      </c>
      <c r="CA1322" s="57" t="n">
        <f aca="false">ROUNDUP(BX1322/BQ1322,0)</f>
        <v>0</v>
      </c>
      <c r="CB1322" s="60" t="n">
        <f aca="false">IF(BR1322=1,0,IFERROR(VLOOKUP(BP1322,'Gebinde-Kategorie'!$A$5:$M$45,5,0)+0,0))</f>
        <v>31</v>
      </c>
      <c r="CC1322" s="60" t="n">
        <f aca="false">IFERROR(IF(OR(BT1322=1,BT1322=2,BT1322=3),N(INDEX(Parameter!$I$5:$I$7,BT1322)),0),0)</f>
        <v>0</v>
      </c>
      <c r="CD1322" s="59" t="n">
        <f aca="false">IF(AND(Parameter!$B$21="Ja",ISNUMBER(U1322),N(V1322)&gt;0),IFERROR(N(INDEX(Parameter!$L$5:$L$7,U1322))*INDEX(Parameter!$E$5:$E$7,U1322)*V1322/SUMIFS($V$7:$V$1576,$U$7:$U$1576,U1322),0),0)</f>
        <v>0</v>
      </c>
    </row>
    <row r="1323" customFormat="false" ht="15" hidden="false" customHeight="false" outlineLevel="0" collapsed="false">
      <c r="A1323" s="55" t="s">
        <v>2334</v>
      </c>
      <c r="B1323" s="55" t="s">
        <v>2335</v>
      </c>
      <c r="C1323" s="55" t="s">
        <v>160</v>
      </c>
      <c r="D1323" s="55" t="s">
        <v>178</v>
      </c>
      <c r="E1323" s="55" t="s">
        <v>210</v>
      </c>
      <c r="F1323" s="56" t="n">
        <v>516.55</v>
      </c>
      <c r="G1323" s="57" t="n">
        <f aca="false">MAX(0,IF(AND(Parameter!$B$21="Ja",ISNUMBER(W1323)),W1323,IF(Parameter!$B$20="Jahresanfang 2025 + Export",BJ1323+BI1323,BI1323)))</f>
        <v>0</v>
      </c>
      <c r="H1323" s="57" t="n">
        <f aca="false">G1323*F1323</f>
        <v>0</v>
      </c>
      <c r="I1323" s="57" t="n">
        <f aca="false">BL1323*Parameter!$B$18</f>
        <v>18</v>
      </c>
      <c r="J1323" s="58" t="n">
        <v>12.5</v>
      </c>
      <c r="K1323" s="59" t="n">
        <v>1.44</v>
      </c>
      <c r="L1323" s="57" t="n">
        <v>1</v>
      </c>
      <c r="M1323" s="57" t="n">
        <v>10</v>
      </c>
      <c r="N1323" s="60" t="n">
        <v>21</v>
      </c>
      <c r="O1323" s="55" t="s">
        <v>284</v>
      </c>
      <c r="P1323" s="57" t="n">
        <v>38</v>
      </c>
      <c r="Q1323" s="60" t="n">
        <f aca="false">IF(BR1323=1,0,IFERROR(VLOOKUP(BP1323,'Gebinde-Kategorie'!$A$5:$M$45,13,0)+0,0))</f>
        <v>12</v>
      </c>
      <c r="R1323" s="61"/>
      <c r="S1323" s="62"/>
      <c r="T1323" s="62"/>
      <c r="U1323" s="55"/>
      <c r="V1323" s="57"/>
      <c r="W1323" s="57"/>
      <c r="X1323" s="55" t="n">
        <f aca="false">IF(A1323="","",IF(AND(Parameter!$B$21="Ja",ISNUMBER(U1323)),U1323,IF(IFERROR(VLOOKUP(D1323,Parameter!$A$35:$C$64,2,0),"Nein")="2+3",IF(ISNUMBER(SEARCH("grosser Artikel",BM1323)),2,IFERROR(VLOOKUP(BP1323,Parameter!$F$35:$G$64,2,0),2)),IF(OR(IFERROR(VLOOKUP(D1323,Parameter!$A$35:$C$64,2,0),"Nein")="Nein",IFERROR(VLOOKUP(D1323,Parameter!$A$35:$C$64,2,0),"Nein")=""),"-",VLOOKUP(D1323,Parameter!$A$35:$C$64,2,0)))))</f>
        <v>2</v>
      </c>
      <c r="Y1323" s="62"/>
      <c r="Z1323" s="63"/>
      <c r="AA1323" s="57" t="n">
        <f aca="false">AP1323</f>
        <v>38</v>
      </c>
      <c r="AB1323" s="57" t="n">
        <f aca="false">MAX(AP1323,G1323)</f>
        <v>38</v>
      </c>
      <c r="AC1323" s="64"/>
      <c r="AD1323" s="57" t="n">
        <f aca="false">IF(LEFT(Cockpit!$C$5,1)="A",G1323,IF(BW1323=1,BX1323,IF(LEFT(Cockpit!$C$5,1)="B",AH1323,MAX(AH1323,G1323))))</f>
        <v>0</v>
      </c>
      <c r="AE1323" s="57" t="n">
        <f aca="false">IF(BR1323=1,0,ROUNDUP(AD1323/BQ1323,0))</f>
        <v>0</v>
      </c>
      <c r="AF1323" s="59" t="n">
        <f aca="false">IF(CD1323&gt;0,CD1323*MAX(1,AD1323/V1323),IF(BR1323=1,IF(AD1323&lt;=0,0,BS1323*MAX(1,IF(G1323&gt;0,AD1323/G1323,1))),IF(Q1323&gt;0,AE1323/Q1323,0))/MAX(0.1,N(Parameter!$M$21)))</f>
        <v>0</v>
      </c>
      <c r="AG1323" s="57" t="n">
        <f aca="false">AD1323*F1323</f>
        <v>0</v>
      </c>
      <c r="AH1323" s="57" t="n">
        <f aca="false">ROUNDUP(MAX(I1323/IF(BV1323&gt;0,BV1323,MAX(0.1,N(Cockpit!$C$6))),BY1323)/BQ1323,0)*BQ1323</f>
        <v>38</v>
      </c>
      <c r="AI1323" s="58" t="n">
        <f aca="false">IF(AF1323&gt;0,I1323/AF1323,-1)</f>
        <v>-1</v>
      </c>
      <c r="AJ1323" s="58" t="str">
        <f aca="false">IF(AND(OR(BU1323="L1",BU1323="L23"),AF1323&gt;0),SUMIFS($AF$7:$AF$1576,$BU$7:$BU$1576,BU1323,$AI$7:$AI$1576,"&gt;"&amp;AI1323)+SUMIFS($AF$7:$AF$1576,$BU$7:$BU$1576,BU1323,$AI$7:$AI$1576,AI1323,$BO$7:$BO$1576,"&lt;="&amp;BO1323),"")</f>
        <v/>
      </c>
      <c r="AK1323" s="65" t="n">
        <f aca="false">IF(AJ1323="",0,MAX(0,MIN(1,(IF(BU1323="L1",Parameter!$E$5,Parameter!$E$6+Parameter!$E$7)-(AJ1323-AF1323))/AF1323)))</f>
        <v>0</v>
      </c>
      <c r="AL1323" s="57" t="n">
        <f aca="false">IF(LEFT(Cockpit!$I$5,1)="A",G1323,IF(BW1323=1,BX1323,IF(LEFT(Cockpit!$I$5,1)="B",AP1323,MAX(AP1323,G1323))))</f>
        <v>38</v>
      </c>
      <c r="AM1323" s="57" t="n">
        <f aca="false">IF(BR1323=1,0,ROUNDUP(AL1323/BQ1323,0))</f>
        <v>1</v>
      </c>
      <c r="AN1323" s="59" t="n">
        <f aca="false">IF(CD1323&gt;0,CD1323*MAX(1,AL1323/V1323),IF(BR1323=1,IF(AL1323&lt;=0,0,BS1323*MAX(1,IF(G1323&gt;0,AL1323/G1323,1))),IF(Q1323&gt;0,AM1323/Q1323,0))/MAX(0.1,N(Parameter!$M$21)))</f>
        <v>0.0833333333333333</v>
      </c>
      <c r="AO1323" s="57" t="n">
        <f aca="false">AL1323*F1323</f>
        <v>19628.9</v>
      </c>
      <c r="AP1323" s="57" t="n">
        <f aca="false">ROUNDUP(MAX(I1323/IF(BV1323&gt;0,BV1323,MAX(0.1,N(Cockpit!$I$6))),BY1323)/BQ1323,0)*BQ1323</f>
        <v>38</v>
      </c>
      <c r="AQ1323" s="58" t="n">
        <f aca="false">IF(AN1323&gt;0,I1323/AN1323,-1)</f>
        <v>216</v>
      </c>
      <c r="AR1323" s="58" t="n">
        <f aca="false">IF(AND(OR(BU1323="L1",BU1323="L23"),AN1323&gt;0),SUMIFS($AN$7:$AN$1576,$BU$7:$BU$1576,BU1323,$AQ$7:$AQ$1576,"&gt;"&amp;AQ1323)+SUMIFS($AN$7:$AN$1576,$BU$7:$BU$1576,BU1323,$AQ$7:$AQ$1576,AQ1323,$BO$7:$BO$1576,"&lt;="&amp;BO1323),"")</f>
        <v>48.0981249309622</v>
      </c>
      <c r="AS1323" s="65" t="n">
        <f aca="false">IF(AR1323="",0,MAX(0,MIN(1,(IF(BU1323="L1",Parameter!$E$5,Parameter!$E$6+Parameter!$E$7)-(AR1323-AN1323))/AN1323)))</f>
        <v>1</v>
      </c>
      <c r="AT1323" s="57" t="n">
        <f aca="false">IF(LEFT(Cockpit!$O$5,1)="A",G1323,IF(BW1323=1,BX1323,IF(LEFT(Cockpit!$O$5,1)="B",AX1323,MAX(AX1323,G1323))))</f>
        <v>38</v>
      </c>
      <c r="AU1323" s="57" t="n">
        <f aca="false">IF(BR1323=1,0,ROUNDUP(AT1323/BQ1323,0))</f>
        <v>1</v>
      </c>
      <c r="AV1323" s="59" t="n">
        <f aca="false">IF(CD1323&gt;0,CD1323*MAX(1,AT1323/V1323),IF(BR1323=1,IF(AT1323&lt;=0,0,BS1323*MAX(1,IF(G1323&gt;0,AT1323/G1323,1))),IF(Q1323&gt;0,AU1323/Q1323,0))/MAX(0.1,N(Parameter!$M$21)))</f>
        <v>0.0833333333333333</v>
      </c>
      <c r="AW1323" s="57" t="n">
        <f aca="false">AT1323*F1323</f>
        <v>19628.9</v>
      </c>
      <c r="AX1323" s="57" t="n">
        <f aca="false">ROUNDUP(MAX(I1323/IF(BV1323&gt;0,BV1323,MAX(0.1,N(Cockpit!$O$6))),BY1323)/BQ1323,0)*BQ1323</f>
        <v>38</v>
      </c>
      <c r="AY1323" s="58" t="n">
        <f aca="false">IF(AV1323&gt;0,I1323/AV1323,-1)</f>
        <v>216</v>
      </c>
      <c r="AZ1323" s="58" t="n">
        <f aca="false">IF(AND(OR(BU1323="L1",BU1323="L23"),AV1323&gt;0),SUMIFS($AV$7:$AV$1576,$BU$7:$BU$1576,BU1323,$AY$7:$AY$1576,"&gt;"&amp;AY1323)+SUMIFS($AV$7:$AV$1576,$BU$7:$BU$1576,BU1323,$AY$7:$AY$1576,AY1323,$BO$7:$BO$1576,"&lt;="&amp;BO1323),"")</f>
        <v>45.3777186705559</v>
      </c>
      <c r="BA1323" s="65" t="n">
        <f aca="false">IF(AZ1323="",0,MAX(0,MIN(1,(IF(BU1323="L1",Parameter!$E$5,Parameter!$E$6+Parameter!$E$7)-(AZ1323-AV1323))/AV1323)))</f>
        <v>1</v>
      </c>
      <c r="BB1323" s="55" t="str">
        <f aca="false">IF(AF1323&lt;=0,"",IF(BU1323="Aussen","Aussenlager",IF(BU1323="-","Nicht im Lift",IF(AK1323&gt;=1,"Lift",IF(AK1323&lt;=0,"Aussenlager","teilweise")))))</f>
        <v/>
      </c>
      <c r="BC1323" s="55" t="str">
        <f aca="false">IF(AN1323&lt;=0,"",IF(BU1323="Aussen","Aussenlager",IF(BU1323="-","Nicht im Lift",IF(AS1323&gt;=1,"Lift",IF(AS1323&lt;=0,"Aussenlager","teilweise")))))</f>
        <v>Lift</v>
      </c>
      <c r="BD1323" s="55" t="str">
        <f aca="false">IF(AV1323&lt;=0,"",IF(BU1323="Aussen","Aussenlager",IF(BU1323="-","Nicht im Lift",IF(BA1323&gt;=1,"Lift",IF(BA1323&lt;=0,"Aussenlager","teilweise")))))</f>
        <v>Lift</v>
      </c>
      <c r="BE1323" s="55" t="str">
        <f aca="false">IF(A1323="","",IF(BN1323=1,"Neu; ","")&amp;IF(AND(BN1323=0,BI1323&lt;0),"negativer Bestand (Export "&amp;BI1323&amp;"); ","")&amp;IF(I1323&lt;=0,"Kein Verbrauch; ","")&amp;IF(CD1323&gt;0,"Lift "&amp;U1323&amp;" lt. Liftbericht (Fach "&amp;V1323&amp;" Stk); ",IF(BR1323=1,"Lose – Fläche geschätzt; ",""))&amp;IF(G1323&gt;AP1323,"Überbestand "&amp;ROUND(G1323-AP1323,0)&amp;" Stk / CHF "&amp;ROUND((G1323-AP1323)*F1323,0)&amp;"; ","")&amp;IF(AND(BW1323=1,BX1323&lt;BY1323),"MAX &lt; MB+LG; ","")&amp;IF(AND(CC1323&gt;0,CB1323*10&gt;CC1323),"zu hoch für Tablar; ","")&amp;IF(AND(BN1323=0,OR(BW1323=1,Y1323&lt;&gt;"",S1323&lt;&gt;"",T1323&lt;&gt;"",Z1323&lt;&gt;"")),"manuell übersteuert; ","")&amp;IF(AND(BR1323=0,Q1323=0),"Gebinde unbekannt / Stellmass fehlt; ","")&amp;IF(AND(BR1323=0,N(T1323)&lt;=0,N(P1323)&lt;=0),"Menge pro Gebinde fehlt (Ist = 1 Gebinde); ","")&amp;BM1323)</f>
        <v>negativer Bestand (Export -3); </v>
      </c>
      <c r="BF1323" s="55"/>
      <c r="BG1323" s="55"/>
      <c r="BH1323" s="62"/>
      <c r="BI1323" s="57" t="n">
        <v>-3</v>
      </c>
      <c r="BJ1323" s="57" t="n">
        <v>10</v>
      </c>
      <c r="BK1323" s="56" t="n">
        <v>-1450.15</v>
      </c>
      <c r="BL1323" s="57" t="n">
        <v>18</v>
      </c>
      <c r="BM1323" s="55"/>
      <c r="BN1323" s="60" t="n">
        <v>0</v>
      </c>
      <c r="BO1323" s="60" t="n">
        <v>1323</v>
      </c>
      <c r="BP1323" s="55" t="str">
        <f aca="false">IF(S1323&lt;&gt;"",UPPER(TRIM(S1323)),IF(O1323="","LOSE",O1323))</f>
        <v>S62</v>
      </c>
      <c r="BQ1323" s="57" t="n">
        <f aca="false">IF(BP1323="LOSE",1,IF(N(T1323)&gt;0,T1323,IF(N(P1323)&gt;0,P1323,MAX(1,G1323))))</f>
        <v>38</v>
      </c>
      <c r="BR1323" s="60" t="n">
        <f aca="false">IF(BP1323="LOSE",1,0)</f>
        <v>0</v>
      </c>
      <c r="BS1323" s="59" t="n">
        <f aca="false">IF(BR1323=0,0,IF(N(R1323)&gt;0,R1323,IFERROR(VLOOKUP(D1323,Parameter!$A$35:$C$64,3,0)+0,0)))</f>
        <v>0</v>
      </c>
      <c r="BT1323" s="55" t="n">
        <f aca="false">IF(Y1323&lt;&gt;"",Y1323,X1323)</f>
        <v>2</v>
      </c>
      <c r="BU1323" s="55" t="str">
        <f aca="false">IF(BT1323=1,"L1",IF(OR(BT1323=2,BT1323=3),"L23",IF(BT1323="Aussen","Aussen","-")))</f>
        <v>L23</v>
      </c>
      <c r="BV1323" s="66" t="n">
        <f aca="false">IF(N(Z1323)&gt;0,Z1323,0)</f>
        <v>0</v>
      </c>
      <c r="BW1323" s="60" t="n">
        <f aca="false">IF(ISNUMBER(AC1323),1,0)</f>
        <v>0</v>
      </c>
      <c r="BX1323" s="57" t="n">
        <f aca="false">N(AC1323)</f>
        <v>0</v>
      </c>
      <c r="BY1323" s="57" t="n">
        <f aca="false">N(L1323)+N(M1323)</f>
        <v>11</v>
      </c>
      <c r="BZ1323" s="57" t="n">
        <f aca="false">ROUNDUP(G1323/BQ1323,0)</f>
        <v>0</v>
      </c>
      <c r="CA1323" s="57" t="n">
        <f aca="false">ROUNDUP(BX1323/BQ1323,0)</f>
        <v>0</v>
      </c>
      <c r="CB1323" s="60" t="n">
        <f aca="false">IF(BR1323=1,0,IFERROR(VLOOKUP(BP1323,'Gebinde-Kategorie'!$A$5:$M$45,5,0)+0,0))</f>
        <v>21</v>
      </c>
      <c r="CC1323" s="60" t="n">
        <f aca="false">IFERROR(IF(OR(BT1323=1,BT1323=2,BT1323=3),N(INDEX(Parameter!$I$5:$I$7,BT1323)),0),0)</f>
        <v>0</v>
      </c>
      <c r="CD1323" s="59" t="n">
        <f aca="false">IF(AND(Parameter!$B$21="Ja",ISNUMBER(U1323),N(V1323)&gt;0),IFERROR(N(INDEX(Parameter!$L$5:$L$7,U1323))*INDEX(Parameter!$E$5:$E$7,U1323)*V1323/SUMIFS($V$7:$V$1576,$U$7:$U$1576,U1323),0),0)</f>
        <v>0</v>
      </c>
    </row>
    <row r="1324" customFormat="false" ht="15" hidden="false" customHeight="false" outlineLevel="0" collapsed="false">
      <c r="A1324" s="55" t="s">
        <v>2336</v>
      </c>
      <c r="B1324" s="55" t="s">
        <v>587</v>
      </c>
      <c r="C1324" s="55" t="s">
        <v>160</v>
      </c>
      <c r="D1324" s="55" t="s">
        <v>178</v>
      </c>
      <c r="E1324" s="55" t="s">
        <v>210</v>
      </c>
      <c r="F1324" s="56" t="n">
        <v>29.61</v>
      </c>
      <c r="G1324" s="57" t="n">
        <f aca="false">MAX(0,IF(AND(Parameter!$B$21="Ja",ISNUMBER(W1324)),W1324,IF(Parameter!$B$20="Jahresanfang 2025 + Export",BJ1324+BI1324,BI1324)))</f>
        <v>0</v>
      </c>
      <c r="H1324" s="57" t="n">
        <f aca="false">G1324*F1324</f>
        <v>0</v>
      </c>
      <c r="I1324" s="57" t="n">
        <f aca="false">BL1324*Parameter!$B$18</f>
        <v>75</v>
      </c>
      <c r="J1324" s="58" t="n">
        <v>83.5</v>
      </c>
      <c r="K1324" s="59" t="n">
        <v>0.898203592814371</v>
      </c>
      <c r="L1324" s="57" t="n">
        <v>2</v>
      </c>
      <c r="M1324" s="57" t="n">
        <v>75</v>
      </c>
      <c r="N1324" s="60" t="n">
        <v>14</v>
      </c>
      <c r="O1324" s="55" t="s">
        <v>293</v>
      </c>
      <c r="P1324" s="57" t="n">
        <v>109</v>
      </c>
      <c r="Q1324" s="60" t="n">
        <f aca="false">IF(BR1324=1,0,IFERROR(VLOOKUP(BP1324,'Gebinde-Kategorie'!$A$5:$M$45,13,0)+0,0))</f>
        <v>26</v>
      </c>
      <c r="R1324" s="61"/>
      <c r="S1324" s="62"/>
      <c r="T1324" s="62"/>
      <c r="U1324" s="55"/>
      <c r="V1324" s="57"/>
      <c r="W1324" s="57"/>
      <c r="X1324" s="55" t="n">
        <f aca="false">IF(A1324="","",IF(AND(Parameter!$B$21="Ja",ISNUMBER(U1324)),U1324,IF(IFERROR(VLOOKUP(D1324,Parameter!$A$35:$C$64,2,0),"Nein")="2+3",IF(ISNUMBER(SEARCH("grosser Artikel",BM1324)),2,IFERROR(VLOOKUP(BP1324,Parameter!$F$35:$G$64,2,0),2)),IF(OR(IFERROR(VLOOKUP(D1324,Parameter!$A$35:$C$64,2,0),"Nein")="Nein",IFERROR(VLOOKUP(D1324,Parameter!$A$35:$C$64,2,0),"Nein")=""),"-",VLOOKUP(D1324,Parameter!$A$35:$C$64,2,0)))))</f>
        <v>3</v>
      </c>
      <c r="Y1324" s="62"/>
      <c r="Z1324" s="63"/>
      <c r="AA1324" s="57" t="n">
        <f aca="false">AP1324</f>
        <v>109</v>
      </c>
      <c r="AB1324" s="57" t="n">
        <f aca="false">MAX(AP1324,G1324)</f>
        <v>109</v>
      </c>
      <c r="AC1324" s="64"/>
      <c r="AD1324" s="57" t="n">
        <f aca="false">IF(LEFT(Cockpit!$C$5,1)="A",G1324,IF(BW1324=1,BX1324,IF(LEFT(Cockpit!$C$5,1)="B",AH1324,MAX(AH1324,G1324))))</f>
        <v>0</v>
      </c>
      <c r="AE1324" s="57" t="n">
        <f aca="false">IF(BR1324=1,0,ROUNDUP(AD1324/BQ1324,0))</f>
        <v>0</v>
      </c>
      <c r="AF1324" s="59" t="n">
        <f aca="false">IF(CD1324&gt;0,CD1324*MAX(1,AD1324/V1324),IF(BR1324=1,IF(AD1324&lt;=0,0,BS1324*MAX(1,IF(G1324&gt;0,AD1324/G1324,1))),IF(Q1324&gt;0,AE1324/Q1324,0))/MAX(0.1,N(Parameter!$M$21)))</f>
        <v>0</v>
      </c>
      <c r="AG1324" s="57" t="n">
        <f aca="false">AD1324*F1324</f>
        <v>0</v>
      </c>
      <c r="AH1324" s="57" t="n">
        <f aca="false">ROUNDUP(MAX(I1324/IF(BV1324&gt;0,BV1324,MAX(0.1,N(Cockpit!$C$6))),BY1324)/BQ1324,0)*BQ1324</f>
        <v>109</v>
      </c>
      <c r="AI1324" s="58" t="n">
        <f aca="false">IF(AF1324&gt;0,I1324/AF1324,-1)</f>
        <v>-1</v>
      </c>
      <c r="AJ1324" s="58" t="str">
        <f aca="false">IF(AND(OR(BU1324="L1",BU1324="L23"),AF1324&gt;0),SUMIFS($AF$7:$AF$1576,$BU$7:$BU$1576,BU1324,$AI$7:$AI$1576,"&gt;"&amp;AI1324)+SUMIFS($AF$7:$AF$1576,$BU$7:$BU$1576,BU1324,$AI$7:$AI$1576,AI1324,$BO$7:$BO$1576,"&lt;="&amp;BO1324),"")</f>
        <v/>
      </c>
      <c r="AK1324" s="65" t="n">
        <f aca="false">IF(AJ1324="",0,MAX(0,MIN(1,(IF(BU1324="L1",Parameter!$E$5,Parameter!$E$6+Parameter!$E$7)-(AJ1324-AF1324))/AF1324)))</f>
        <v>0</v>
      </c>
      <c r="AL1324" s="57" t="n">
        <f aca="false">IF(LEFT(Cockpit!$I$5,1)="A",G1324,IF(BW1324=1,BX1324,IF(LEFT(Cockpit!$I$5,1)="B",AP1324,MAX(AP1324,G1324))))</f>
        <v>109</v>
      </c>
      <c r="AM1324" s="57" t="n">
        <f aca="false">IF(BR1324=1,0,ROUNDUP(AL1324/BQ1324,0))</f>
        <v>1</v>
      </c>
      <c r="AN1324" s="59" t="n">
        <f aca="false">IF(CD1324&gt;0,CD1324*MAX(1,AL1324/V1324),IF(BR1324=1,IF(AL1324&lt;=0,0,BS1324*MAX(1,IF(G1324&gt;0,AL1324/G1324,1))),IF(Q1324&gt;0,AM1324/Q1324,0))/MAX(0.1,N(Parameter!$M$21)))</f>
        <v>0.0384615384615385</v>
      </c>
      <c r="AO1324" s="57" t="n">
        <f aca="false">AL1324*F1324</f>
        <v>3227.49</v>
      </c>
      <c r="AP1324" s="57" t="n">
        <f aca="false">ROUNDUP(MAX(I1324/IF(BV1324&gt;0,BV1324,MAX(0.1,N(Cockpit!$I$6))),BY1324)/BQ1324,0)*BQ1324</f>
        <v>109</v>
      </c>
      <c r="AQ1324" s="58" t="n">
        <f aca="false">IF(AN1324&gt;0,I1324/AN1324,-1)</f>
        <v>1950</v>
      </c>
      <c r="AR1324" s="58" t="n">
        <f aca="false">IF(AND(OR(BU1324="L1",BU1324="L23"),AN1324&gt;0),SUMIFS($AN$7:$AN$1576,$BU$7:$BU$1576,BU1324,$AQ$7:$AQ$1576,"&gt;"&amp;AQ1324)+SUMIFS($AN$7:$AN$1576,$BU$7:$BU$1576,BU1324,$AQ$7:$AQ$1576,AQ1324,$BO$7:$BO$1576,"&lt;="&amp;BO1324),"")</f>
        <v>17.4754301860935</v>
      </c>
      <c r="AS1324" s="65" t="n">
        <f aca="false">IF(AR1324="",0,MAX(0,MIN(1,(IF(BU1324="L1",Parameter!$E$5,Parameter!$E$6+Parameter!$E$7)-(AR1324-AN1324))/AN1324)))</f>
        <v>1</v>
      </c>
      <c r="AT1324" s="57" t="n">
        <f aca="false">IF(LEFT(Cockpit!$O$5,1)="A",G1324,IF(BW1324=1,BX1324,IF(LEFT(Cockpit!$O$5,1)="B",AX1324,MAX(AX1324,G1324))))</f>
        <v>109</v>
      </c>
      <c r="AU1324" s="57" t="n">
        <f aca="false">IF(BR1324=1,0,ROUNDUP(AT1324/BQ1324,0))</f>
        <v>1</v>
      </c>
      <c r="AV1324" s="59" t="n">
        <f aca="false">IF(CD1324&gt;0,CD1324*MAX(1,AT1324/V1324),IF(BR1324=1,IF(AT1324&lt;=0,0,BS1324*MAX(1,IF(G1324&gt;0,AT1324/G1324,1))),IF(Q1324&gt;0,AU1324/Q1324,0))/MAX(0.1,N(Parameter!$M$21)))</f>
        <v>0.0384615384615385</v>
      </c>
      <c r="AW1324" s="57" t="n">
        <f aca="false">AT1324*F1324</f>
        <v>3227.49</v>
      </c>
      <c r="AX1324" s="57" t="n">
        <f aca="false">ROUNDUP(MAX(I1324/IF(BV1324&gt;0,BV1324,MAX(0.1,N(Cockpit!$O$6))),BY1324)/BQ1324,0)*BQ1324</f>
        <v>109</v>
      </c>
      <c r="AY1324" s="58" t="n">
        <f aca="false">IF(AV1324&gt;0,I1324/AV1324,-1)</f>
        <v>1950</v>
      </c>
      <c r="AZ1324" s="58" t="n">
        <f aca="false">IF(AND(OR(BU1324="L1",BU1324="L23"),AV1324&gt;0),SUMIFS($AV$7:$AV$1576,$BU$7:$BU$1576,BU1324,$AY$7:$AY$1576,"&gt;"&amp;AY1324)+SUMIFS($AV$7:$AV$1576,$BU$7:$BU$1576,BU1324,$AY$7:$AY$1576,AY1324,$BO$7:$BO$1576,"&lt;="&amp;BO1324),"")</f>
        <v>16.2860362466996</v>
      </c>
      <c r="BA1324" s="65" t="n">
        <f aca="false">IF(AZ1324="",0,MAX(0,MIN(1,(IF(BU1324="L1",Parameter!$E$5,Parameter!$E$6+Parameter!$E$7)-(AZ1324-AV1324))/AV1324)))</f>
        <v>1</v>
      </c>
      <c r="BB1324" s="55" t="str">
        <f aca="false">IF(AF1324&lt;=0,"",IF(BU1324="Aussen","Aussenlager",IF(BU1324="-","Nicht im Lift",IF(AK1324&gt;=1,"Lift",IF(AK1324&lt;=0,"Aussenlager","teilweise")))))</f>
        <v/>
      </c>
      <c r="BC1324" s="55" t="str">
        <f aca="false">IF(AN1324&lt;=0,"",IF(BU1324="Aussen","Aussenlager",IF(BU1324="-","Nicht im Lift",IF(AS1324&gt;=1,"Lift",IF(AS1324&lt;=0,"Aussenlager","teilweise")))))</f>
        <v>Lift</v>
      </c>
      <c r="BD1324" s="55" t="str">
        <f aca="false">IF(AV1324&lt;=0,"",IF(BU1324="Aussen","Aussenlager",IF(BU1324="-","Nicht im Lift",IF(BA1324&gt;=1,"Lift",IF(BA1324&lt;=0,"Aussenlager","teilweise")))))</f>
        <v>Lift</v>
      </c>
      <c r="BE1324" s="55" t="str">
        <f aca="false">IF(A1324="","",IF(BN1324=1,"Neu; ","")&amp;IF(AND(BN1324=0,BI1324&lt;0),"negativer Bestand (Export "&amp;BI1324&amp;"); ","")&amp;IF(I1324&lt;=0,"Kein Verbrauch; ","")&amp;IF(CD1324&gt;0,"Lift "&amp;U1324&amp;" lt. Liftbericht (Fach "&amp;V1324&amp;" Stk); ",IF(BR1324=1,"Lose – Fläche geschätzt; ",""))&amp;IF(G1324&gt;AP1324,"Überbestand "&amp;ROUND(G1324-AP1324,0)&amp;" Stk / CHF "&amp;ROUND((G1324-AP1324)*F1324,0)&amp;"; ","")&amp;IF(AND(BW1324=1,BX1324&lt;BY1324),"MAX &lt; MB+LG; ","")&amp;IF(AND(CC1324&gt;0,CB1324*10&gt;CC1324),"zu hoch für Tablar; ","")&amp;IF(AND(BN1324=0,OR(BW1324=1,Y1324&lt;&gt;"",S1324&lt;&gt;"",T1324&lt;&gt;"",Z1324&lt;&gt;"")),"manuell übersteuert; ","")&amp;IF(AND(BR1324=0,Q1324=0),"Gebinde unbekannt / Stellmass fehlt; ","")&amp;IF(AND(BR1324=0,N(T1324)&lt;=0,N(P1324)&lt;=0),"Menge pro Gebinde fehlt (Ist = 1 Gebinde); ","")&amp;BM1324)</f>
        <v>negativer Bestand (Export -53); </v>
      </c>
      <c r="BF1324" s="55"/>
      <c r="BG1324" s="55"/>
      <c r="BH1324" s="62"/>
      <c r="BI1324" s="57" t="n">
        <v>-53</v>
      </c>
      <c r="BJ1324" s="57" t="n">
        <v>81</v>
      </c>
      <c r="BK1324" s="56" t="n">
        <v>-1451.88</v>
      </c>
      <c r="BL1324" s="57" t="n">
        <v>75</v>
      </c>
      <c r="BM1324" s="55"/>
      <c r="BN1324" s="60" t="n">
        <v>0</v>
      </c>
      <c r="BO1324" s="60" t="n">
        <v>1324</v>
      </c>
      <c r="BP1324" s="55" t="str">
        <f aca="false">IF(S1324&lt;&gt;"",UPPER(TRIM(S1324)),IF(O1324="","LOSE",O1324))</f>
        <v>S51</v>
      </c>
      <c r="BQ1324" s="57" t="n">
        <f aca="false">IF(BP1324="LOSE",1,IF(N(T1324)&gt;0,T1324,IF(N(P1324)&gt;0,P1324,MAX(1,G1324))))</f>
        <v>109</v>
      </c>
      <c r="BR1324" s="60" t="n">
        <f aca="false">IF(BP1324="LOSE",1,0)</f>
        <v>0</v>
      </c>
      <c r="BS1324" s="59" t="n">
        <f aca="false">IF(BR1324=0,0,IF(N(R1324)&gt;0,R1324,IFERROR(VLOOKUP(D1324,Parameter!$A$35:$C$64,3,0)+0,0)))</f>
        <v>0</v>
      </c>
      <c r="BT1324" s="55" t="n">
        <f aca="false">IF(Y1324&lt;&gt;"",Y1324,X1324)</f>
        <v>3</v>
      </c>
      <c r="BU1324" s="55" t="str">
        <f aca="false">IF(BT1324=1,"L1",IF(OR(BT1324=2,BT1324=3),"L23",IF(BT1324="Aussen","Aussen","-")))</f>
        <v>L23</v>
      </c>
      <c r="BV1324" s="66" t="n">
        <f aca="false">IF(N(Z1324)&gt;0,Z1324,0)</f>
        <v>0</v>
      </c>
      <c r="BW1324" s="60" t="n">
        <f aca="false">IF(ISNUMBER(AC1324),1,0)</f>
        <v>0</v>
      </c>
      <c r="BX1324" s="57" t="n">
        <f aca="false">N(AC1324)</f>
        <v>0</v>
      </c>
      <c r="BY1324" s="57" t="n">
        <f aca="false">N(L1324)+N(M1324)</f>
        <v>77</v>
      </c>
      <c r="BZ1324" s="57" t="n">
        <f aca="false">ROUNDUP(G1324/BQ1324,0)</f>
        <v>0</v>
      </c>
      <c r="CA1324" s="57" t="n">
        <f aca="false">ROUNDUP(BX1324/BQ1324,0)</f>
        <v>0</v>
      </c>
      <c r="CB1324" s="60" t="n">
        <f aca="false">IF(BR1324=1,0,IFERROR(VLOOKUP(BP1324,'Gebinde-Kategorie'!$A$5:$M$45,5,0)+0,0))</f>
        <v>11</v>
      </c>
      <c r="CC1324" s="60" t="n">
        <f aca="false">IFERROR(IF(OR(BT1324=1,BT1324=2,BT1324=3),N(INDEX(Parameter!$I$5:$I$7,BT1324)),0),0)</f>
        <v>0</v>
      </c>
      <c r="CD1324" s="59" t="n">
        <f aca="false">IF(AND(Parameter!$B$21="Ja",ISNUMBER(U1324),N(V1324)&gt;0),IFERROR(N(INDEX(Parameter!$L$5:$L$7,U1324))*INDEX(Parameter!$E$5:$E$7,U1324)*V1324/SUMIFS($V$7:$V$1576,$U$7:$U$1576,U1324),0),0)</f>
        <v>0</v>
      </c>
    </row>
    <row r="1325" customFormat="false" ht="15" hidden="false" customHeight="false" outlineLevel="0" collapsed="false">
      <c r="A1325" s="55" t="s">
        <v>2337</v>
      </c>
      <c r="B1325" s="55" t="s">
        <v>2338</v>
      </c>
      <c r="C1325" s="55" t="s">
        <v>160</v>
      </c>
      <c r="D1325" s="55" t="s">
        <v>178</v>
      </c>
      <c r="E1325" s="55" t="s">
        <v>210</v>
      </c>
      <c r="F1325" s="56" t="n">
        <v>8.87</v>
      </c>
      <c r="G1325" s="57" t="n">
        <f aca="false">MAX(0,IF(AND(Parameter!$B$21="Ja",ISNUMBER(W1325)),W1325,IF(Parameter!$B$20="Jahresanfang 2025 + Export",BJ1325+BI1325,BI1325)))</f>
        <v>0</v>
      </c>
      <c r="H1325" s="57" t="n">
        <f aca="false">G1325*F1325</f>
        <v>0</v>
      </c>
      <c r="I1325" s="57" t="n">
        <f aca="false">BL1325*Parameter!$B$18</f>
        <v>1312</v>
      </c>
      <c r="J1325" s="58" t="n">
        <v>657.5</v>
      </c>
      <c r="K1325" s="59" t="n">
        <v>1.99543726235741</v>
      </c>
      <c r="L1325" s="57" t="n">
        <v>206</v>
      </c>
      <c r="M1325" s="57" t="n">
        <v>600</v>
      </c>
      <c r="N1325" s="60" t="n">
        <v>56</v>
      </c>
      <c r="O1325" s="55" t="s">
        <v>293</v>
      </c>
      <c r="P1325" s="57" t="n">
        <v>881</v>
      </c>
      <c r="Q1325" s="60" t="n">
        <f aca="false">IF(BR1325=1,0,IFERROR(VLOOKUP(BP1325,'Gebinde-Kategorie'!$A$5:$M$45,13,0)+0,0))</f>
        <v>26</v>
      </c>
      <c r="R1325" s="61"/>
      <c r="S1325" s="62"/>
      <c r="T1325" s="62"/>
      <c r="U1325" s="55"/>
      <c r="V1325" s="57"/>
      <c r="W1325" s="57"/>
      <c r="X1325" s="55" t="n">
        <f aca="false">IF(A1325="","",IF(AND(Parameter!$B$21="Ja",ISNUMBER(U1325)),U1325,IF(IFERROR(VLOOKUP(D1325,Parameter!$A$35:$C$64,2,0),"Nein")="2+3",IF(ISNUMBER(SEARCH("grosser Artikel",BM1325)),2,IFERROR(VLOOKUP(BP1325,Parameter!$F$35:$G$64,2,0),2)),IF(OR(IFERROR(VLOOKUP(D1325,Parameter!$A$35:$C$64,2,0),"Nein")="Nein",IFERROR(VLOOKUP(D1325,Parameter!$A$35:$C$64,2,0),"Nein")=""),"-",VLOOKUP(D1325,Parameter!$A$35:$C$64,2,0)))))</f>
        <v>3</v>
      </c>
      <c r="Y1325" s="62"/>
      <c r="Z1325" s="63"/>
      <c r="AA1325" s="57" t="n">
        <f aca="false">AP1325</f>
        <v>881</v>
      </c>
      <c r="AB1325" s="57" t="n">
        <f aca="false">MAX(AP1325,G1325)</f>
        <v>881</v>
      </c>
      <c r="AC1325" s="64"/>
      <c r="AD1325" s="57" t="n">
        <f aca="false">IF(LEFT(Cockpit!$C$5,1)="A",G1325,IF(BW1325=1,BX1325,IF(LEFT(Cockpit!$C$5,1)="B",AH1325,MAX(AH1325,G1325))))</f>
        <v>0</v>
      </c>
      <c r="AE1325" s="57" t="n">
        <f aca="false">IF(BR1325=1,0,ROUNDUP(AD1325/BQ1325,0))</f>
        <v>0</v>
      </c>
      <c r="AF1325" s="59" t="n">
        <f aca="false">IF(CD1325&gt;0,CD1325*MAX(1,AD1325/V1325),IF(BR1325=1,IF(AD1325&lt;=0,0,BS1325*MAX(1,IF(G1325&gt;0,AD1325/G1325,1))),IF(Q1325&gt;0,AE1325/Q1325,0))/MAX(0.1,N(Parameter!$M$21)))</f>
        <v>0</v>
      </c>
      <c r="AG1325" s="57" t="n">
        <f aca="false">AD1325*F1325</f>
        <v>0</v>
      </c>
      <c r="AH1325" s="57" t="n">
        <f aca="false">ROUNDUP(MAX(I1325/IF(BV1325&gt;0,BV1325,MAX(0.1,N(Cockpit!$C$6))),BY1325)/BQ1325,0)*BQ1325</f>
        <v>881</v>
      </c>
      <c r="AI1325" s="58" t="n">
        <f aca="false">IF(AF1325&gt;0,I1325/AF1325,-1)</f>
        <v>-1</v>
      </c>
      <c r="AJ1325" s="58" t="str">
        <f aca="false">IF(AND(OR(BU1325="L1",BU1325="L23"),AF1325&gt;0),SUMIFS($AF$7:$AF$1576,$BU$7:$BU$1576,BU1325,$AI$7:$AI$1576,"&gt;"&amp;AI1325)+SUMIFS($AF$7:$AF$1576,$BU$7:$BU$1576,BU1325,$AI$7:$AI$1576,AI1325,$BO$7:$BO$1576,"&lt;="&amp;BO1325),"")</f>
        <v/>
      </c>
      <c r="AK1325" s="65" t="n">
        <f aca="false">IF(AJ1325="",0,MAX(0,MIN(1,(IF(BU1325="L1",Parameter!$E$5,Parameter!$E$6+Parameter!$E$7)-(AJ1325-AF1325))/AF1325)))</f>
        <v>0</v>
      </c>
      <c r="AL1325" s="57" t="n">
        <f aca="false">IF(LEFT(Cockpit!$I$5,1)="A",G1325,IF(BW1325=1,BX1325,IF(LEFT(Cockpit!$I$5,1)="B",AP1325,MAX(AP1325,G1325))))</f>
        <v>881</v>
      </c>
      <c r="AM1325" s="57" t="n">
        <f aca="false">IF(BR1325=1,0,ROUNDUP(AL1325/BQ1325,0))</f>
        <v>1</v>
      </c>
      <c r="AN1325" s="59" t="n">
        <f aca="false">IF(CD1325&gt;0,CD1325*MAX(1,AL1325/V1325),IF(BR1325=1,IF(AL1325&lt;=0,0,BS1325*MAX(1,IF(G1325&gt;0,AL1325/G1325,1))),IF(Q1325&gt;0,AM1325/Q1325,0))/MAX(0.1,N(Parameter!$M$21)))</f>
        <v>0.0384615384615385</v>
      </c>
      <c r="AO1325" s="57" t="n">
        <f aca="false">AL1325*F1325</f>
        <v>7814.47</v>
      </c>
      <c r="AP1325" s="57" t="n">
        <f aca="false">ROUNDUP(MAX(I1325/IF(BV1325&gt;0,BV1325,MAX(0.1,N(Cockpit!$I$6))),BY1325)/BQ1325,0)*BQ1325</f>
        <v>881</v>
      </c>
      <c r="AQ1325" s="58" t="n">
        <f aca="false">IF(AN1325&gt;0,I1325/AN1325,-1)</f>
        <v>34112</v>
      </c>
      <c r="AR1325" s="58" t="n">
        <f aca="false">IF(AND(OR(BU1325="L1",BU1325="L23"),AN1325&gt;0),SUMIFS($AN$7:$AN$1576,$BU$7:$BU$1576,BU1325,$AQ$7:$AQ$1576,"&gt;"&amp;AQ1325)+SUMIFS($AN$7:$AN$1576,$BU$7:$BU$1576,BU1325,$AQ$7:$AQ$1576,AQ1325,$BO$7:$BO$1576,"&lt;="&amp;BO1325),"")</f>
        <v>2.62784466740988</v>
      </c>
      <c r="AS1325" s="65" t="n">
        <f aca="false">IF(AR1325="",0,MAX(0,MIN(1,(IF(BU1325="L1",Parameter!$E$5,Parameter!$E$6+Parameter!$E$7)-(AR1325-AN1325))/AN1325)))</f>
        <v>1</v>
      </c>
      <c r="AT1325" s="57" t="n">
        <f aca="false">IF(LEFT(Cockpit!$O$5,1)="A",G1325,IF(BW1325=1,BX1325,IF(LEFT(Cockpit!$O$5,1)="B",AX1325,MAX(AX1325,G1325))))</f>
        <v>881</v>
      </c>
      <c r="AU1325" s="57" t="n">
        <f aca="false">IF(BR1325=1,0,ROUNDUP(AT1325/BQ1325,0))</f>
        <v>1</v>
      </c>
      <c r="AV1325" s="59" t="n">
        <f aca="false">IF(CD1325&gt;0,CD1325*MAX(1,AT1325/V1325),IF(BR1325=1,IF(AT1325&lt;=0,0,BS1325*MAX(1,IF(G1325&gt;0,AT1325/G1325,1))),IF(Q1325&gt;0,AU1325/Q1325,0))/MAX(0.1,N(Parameter!$M$21)))</f>
        <v>0.0384615384615385</v>
      </c>
      <c r="AW1325" s="57" t="n">
        <f aca="false">AT1325*F1325</f>
        <v>7814.47</v>
      </c>
      <c r="AX1325" s="57" t="n">
        <f aca="false">ROUNDUP(MAX(I1325/IF(BV1325&gt;0,BV1325,MAX(0.1,N(Cockpit!$O$6))),BY1325)/BQ1325,0)*BQ1325</f>
        <v>881</v>
      </c>
      <c r="AY1325" s="58" t="n">
        <f aca="false">IF(AV1325&gt;0,I1325/AV1325,-1)</f>
        <v>34112</v>
      </c>
      <c r="AZ1325" s="58" t="n">
        <f aca="false">IF(AND(OR(BU1325="L1",BU1325="L23"),AV1325&gt;0),SUMIFS($AV$7:$AV$1576,$BU$7:$BU$1576,BU1325,$AY$7:$AY$1576,"&gt;"&amp;AY1325)+SUMIFS($AV$7:$AV$1576,$BU$7:$BU$1576,BU1325,$AY$7:$AY$1576,AY1325,$BO$7:$BO$1576,"&lt;="&amp;BO1325),"")</f>
        <v>2.43437147393669</v>
      </c>
      <c r="BA1325" s="65" t="n">
        <f aca="false">IF(AZ1325="",0,MAX(0,MIN(1,(IF(BU1325="L1",Parameter!$E$5,Parameter!$E$6+Parameter!$E$7)-(AZ1325-AV1325))/AV1325)))</f>
        <v>1</v>
      </c>
      <c r="BB1325" s="55" t="str">
        <f aca="false">IF(AF1325&lt;=0,"",IF(BU1325="Aussen","Aussenlager",IF(BU1325="-","Nicht im Lift",IF(AK1325&gt;=1,"Lift",IF(AK1325&lt;=0,"Aussenlager","teilweise")))))</f>
        <v/>
      </c>
      <c r="BC1325" s="55" t="str">
        <f aca="false">IF(AN1325&lt;=0,"",IF(BU1325="Aussen","Aussenlager",IF(BU1325="-","Nicht im Lift",IF(AS1325&gt;=1,"Lift",IF(AS1325&lt;=0,"Aussenlager","teilweise")))))</f>
        <v>Lift</v>
      </c>
      <c r="BD1325" s="55" t="str">
        <f aca="false">IF(AV1325&lt;=0,"",IF(BU1325="Aussen","Aussenlager",IF(BU1325="-","Nicht im Lift",IF(BA1325&gt;=1,"Lift",IF(BA1325&lt;=0,"Aussenlager","teilweise")))))</f>
        <v>Lift</v>
      </c>
      <c r="BE1325" s="55" t="str">
        <f aca="false">IF(A1325="","",IF(BN1325=1,"Neu; ","")&amp;IF(AND(BN1325=0,BI1325&lt;0),"negativer Bestand (Export "&amp;BI1325&amp;"); ","")&amp;IF(I1325&lt;=0,"Kein Verbrauch; ","")&amp;IF(CD1325&gt;0,"Lift "&amp;U1325&amp;" lt. Liftbericht (Fach "&amp;V1325&amp;" Stk); ",IF(BR1325=1,"Lose – Fläche geschätzt; ",""))&amp;IF(G1325&gt;AP1325,"Überbestand "&amp;ROUND(G1325-AP1325,0)&amp;" Stk / CHF "&amp;ROUND((G1325-AP1325)*F1325,0)&amp;"; ","")&amp;IF(AND(BW1325=1,BX1325&lt;BY1325),"MAX &lt; MB+LG; ","")&amp;IF(AND(CC1325&gt;0,CB1325*10&gt;CC1325),"zu hoch für Tablar; ","")&amp;IF(AND(BN1325=0,OR(BW1325=1,Y1325&lt;&gt;"",S1325&lt;&gt;"",T1325&lt;&gt;"",Z1325&lt;&gt;"")),"manuell übersteuert; ","")&amp;IF(AND(BR1325=0,Q1325=0),"Gebinde unbekannt / Stellmass fehlt; ","")&amp;IF(AND(BR1325=0,N(T1325)&lt;=0,N(P1325)&lt;=0),"Menge pro Gebinde fehlt (Ist = 1 Gebinde); ","")&amp;BM1325)</f>
        <v>negativer Bestand (Export -179); </v>
      </c>
      <c r="BF1325" s="55"/>
      <c r="BG1325" s="55"/>
      <c r="BH1325" s="62"/>
      <c r="BI1325" s="57" t="n">
        <v>-179</v>
      </c>
      <c r="BJ1325" s="57" t="n">
        <v>556</v>
      </c>
      <c r="BK1325" s="56" t="n">
        <v>-1484.94000000002</v>
      </c>
      <c r="BL1325" s="57" t="n">
        <v>1312</v>
      </c>
      <c r="BM1325" s="55"/>
      <c r="BN1325" s="60" t="n">
        <v>0</v>
      </c>
      <c r="BO1325" s="60" t="n">
        <v>1325</v>
      </c>
      <c r="BP1325" s="55" t="str">
        <f aca="false">IF(S1325&lt;&gt;"",UPPER(TRIM(S1325)),IF(O1325="","LOSE",O1325))</f>
        <v>S51</v>
      </c>
      <c r="BQ1325" s="57" t="n">
        <f aca="false">IF(BP1325="LOSE",1,IF(N(T1325)&gt;0,T1325,IF(N(P1325)&gt;0,P1325,MAX(1,G1325))))</f>
        <v>881</v>
      </c>
      <c r="BR1325" s="60" t="n">
        <f aca="false">IF(BP1325="LOSE",1,0)</f>
        <v>0</v>
      </c>
      <c r="BS1325" s="59" t="n">
        <f aca="false">IF(BR1325=0,0,IF(N(R1325)&gt;0,R1325,IFERROR(VLOOKUP(D1325,Parameter!$A$35:$C$64,3,0)+0,0)))</f>
        <v>0</v>
      </c>
      <c r="BT1325" s="55" t="n">
        <f aca="false">IF(Y1325&lt;&gt;"",Y1325,X1325)</f>
        <v>3</v>
      </c>
      <c r="BU1325" s="55" t="str">
        <f aca="false">IF(BT1325=1,"L1",IF(OR(BT1325=2,BT1325=3),"L23",IF(BT1325="Aussen","Aussen","-")))</f>
        <v>L23</v>
      </c>
      <c r="BV1325" s="66" t="n">
        <f aca="false">IF(N(Z1325)&gt;0,Z1325,0)</f>
        <v>0</v>
      </c>
      <c r="BW1325" s="60" t="n">
        <f aca="false">IF(ISNUMBER(AC1325),1,0)</f>
        <v>0</v>
      </c>
      <c r="BX1325" s="57" t="n">
        <f aca="false">N(AC1325)</f>
        <v>0</v>
      </c>
      <c r="BY1325" s="57" t="n">
        <f aca="false">N(L1325)+N(M1325)</f>
        <v>806</v>
      </c>
      <c r="BZ1325" s="57" t="n">
        <f aca="false">ROUNDUP(G1325/BQ1325,0)</f>
        <v>0</v>
      </c>
      <c r="CA1325" s="57" t="n">
        <f aca="false">ROUNDUP(BX1325/BQ1325,0)</f>
        <v>0</v>
      </c>
      <c r="CB1325" s="60" t="n">
        <f aca="false">IF(BR1325=1,0,IFERROR(VLOOKUP(BP1325,'Gebinde-Kategorie'!$A$5:$M$45,5,0)+0,0))</f>
        <v>11</v>
      </c>
      <c r="CC1325" s="60" t="n">
        <f aca="false">IFERROR(IF(OR(BT1325=1,BT1325=2,BT1325=3),N(INDEX(Parameter!$I$5:$I$7,BT1325)),0),0)</f>
        <v>0</v>
      </c>
      <c r="CD1325" s="59" t="n">
        <f aca="false">IF(AND(Parameter!$B$21="Ja",ISNUMBER(U1325),N(V1325)&gt;0),IFERROR(N(INDEX(Parameter!$L$5:$L$7,U1325))*INDEX(Parameter!$E$5:$E$7,U1325)*V1325/SUMIFS($V$7:$V$1576,$U$7:$U$1576,U1325),0),0)</f>
        <v>0</v>
      </c>
    </row>
    <row r="1326" customFormat="false" ht="15" hidden="false" customHeight="false" outlineLevel="0" collapsed="false">
      <c r="A1326" s="55" t="s">
        <v>2339</v>
      </c>
      <c r="B1326" s="55" t="s">
        <v>2340</v>
      </c>
      <c r="C1326" s="55" t="s">
        <v>160</v>
      </c>
      <c r="D1326" s="55" t="s">
        <v>178</v>
      </c>
      <c r="E1326" s="55" t="s">
        <v>210</v>
      </c>
      <c r="F1326" s="56" t="n">
        <v>55.4</v>
      </c>
      <c r="G1326" s="57" t="n">
        <f aca="false">MAX(0,IF(AND(Parameter!$B$21="Ja",ISNUMBER(W1326)),W1326,IF(Parameter!$B$20="Jahresanfang 2025 + Export",BJ1326+BI1326,BI1326)))</f>
        <v>0</v>
      </c>
      <c r="H1326" s="57" t="n">
        <f aca="false">G1326*F1326</f>
        <v>0</v>
      </c>
      <c r="I1326" s="57" t="n">
        <f aca="false">BL1326*Parameter!$B$18</f>
        <v>12</v>
      </c>
      <c r="J1326" s="58" t="n">
        <v>92</v>
      </c>
      <c r="K1326" s="59" t="n">
        <v>0.130434782608696</v>
      </c>
      <c r="L1326" s="57" t="n">
        <v>1</v>
      </c>
      <c r="M1326" s="57" t="n">
        <v>10</v>
      </c>
      <c r="N1326" s="60" t="n">
        <v>42</v>
      </c>
      <c r="O1326" s="55" t="s">
        <v>163</v>
      </c>
      <c r="P1326" s="57"/>
      <c r="Q1326" s="60" t="n">
        <f aca="false">IF(BR1326=1,0,IFERROR(VLOOKUP(BP1326,'Gebinde-Kategorie'!$A$5:$M$45,13,0)+0,0))</f>
        <v>0</v>
      </c>
      <c r="R1326" s="61"/>
      <c r="S1326" s="62"/>
      <c r="T1326" s="62"/>
      <c r="U1326" s="55"/>
      <c r="V1326" s="57"/>
      <c r="W1326" s="57"/>
      <c r="X1326" s="55" t="n">
        <f aca="false">IF(A1326="","",IF(AND(Parameter!$B$21="Ja",ISNUMBER(U1326)),U1326,IF(IFERROR(VLOOKUP(D1326,Parameter!$A$35:$C$64,2,0),"Nein")="2+3",IF(ISNUMBER(SEARCH("grosser Artikel",BM1326)),2,IFERROR(VLOOKUP(BP1326,Parameter!$F$35:$G$64,2,0),2)),IF(OR(IFERROR(VLOOKUP(D1326,Parameter!$A$35:$C$64,2,0),"Nein")="Nein",IFERROR(VLOOKUP(D1326,Parameter!$A$35:$C$64,2,0),"Nein")=""),"-",VLOOKUP(D1326,Parameter!$A$35:$C$64,2,0)))))</f>
        <v>2</v>
      </c>
      <c r="Y1326" s="62"/>
      <c r="Z1326" s="63"/>
      <c r="AA1326" s="57" t="n">
        <f aca="false">AP1326</f>
        <v>11</v>
      </c>
      <c r="AB1326" s="57" t="n">
        <f aca="false">MAX(AP1326,G1326)</f>
        <v>11</v>
      </c>
      <c r="AC1326" s="64"/>
      <c r="AD1326" s="57" t="n">
        <f aca="false">IF(LEFT(Cockpit!$C$5,1)="A",G1326,IF(BW1326=1,BX1326,IF(LEFT(Cockpit!$C$5,1)="B",AH1326,MAX(AH1326,G1326))))</f>
        <v>0</v>
      </c>
      <c r="AE1326" s="57" t="n">
        <f aca="false">IF(BR1326=1,0,ROUNDUP(AD1326/BQ1326,0))</f>
        <v>0</v>
      </c>
      <c r="AF1326" s="59" t="n">
        <f aca="false">IF(CD1326&gt;0,CD1326*MAX(1,AD1326/V1326),IF(BR1326=1,IF(AD1326&lt;=0,0,BS1326*MAX(1,IF(G1326&gt;0,AD1326/G1326,1))),IF(Q1326&gt;0,AE1326/Q1326,0))/MAX(0.1,N(Parameter!$M$21)))</f>
        <v>0</v>
      </c>
      <c r="AG1326" s="57" t="n">
        <f aca="false">AD1326*F1326</f>
        <v>0</v>
      </c>
      <c r="AH1326" s="57" t="n">
        <f aca="false">ROUNDUP(MAX(I1326/IF(BV1326&gt;0,BV1326,MAX(0.1,N(Cockpit!$C$6))),BY1326)/BQ1326,0)*BQ1326</f>
        <v>11</v>
      </c>
      <c r="AI1326" s="58" t="n">
        <f aca="false">IF(AF1326&gt;0,I1326/AF1326,-1)</f>
        <v>-1</v>
      </c>
      <c r="AJ1326" s="58" t="str">
        <f aca="false">IF(AND(OR(BU1326="L1",BU1326="L23"),AF1326&gt;0),SUMIFS($AF$7:$AF$1576,$BU$7:$BU$1576,BU1326,$AI$7:$AI$1576,"&gt;"&amp;AI1326)+SUMIFS($AF$7:$AF$1576,$BU$7:$BU$1576,BU1326,$AI$7:$AI$1576,AI1326,$BO$7:$BO$1576,"&lt;="&amp;BO1326),"")</f>
        <v/>
      </c>
      <c r="AK1326" s="65" t="n">
        <f aca="false">IF(AJ1326="",0,MAX(0,MIN(1,(IF(BU1326="L1",Parameter!$E$5,Parameter!$E$6+Parameter!$E$7)-(AJ1326-AF1326))/AF1326)))</f>
        <v>0</v>
      </c>
      <c r="AL1326" s="57" t="n">
        <f aca="false">IF(LEFT(Cockpit!$I$5,1)="A",G1326,IF(BW1326=1,BX1326,IF(LEFT(Cockpit!$I$5,1)="B",AP1326,MAX(AP1326,G1326))))</f>
        <v>11</v>
      </c>
      <c r="AM1326" s="57" t="n">
        <f aca="false">IF(BR1326=1,0,ROUNDUP(AL1326/BQ1326,0))</f>
        <v>0</v>
      </c>
      <c r="AN1326" s="59" t="n">
        <f aca="false">IF(CD1326&gt;0,CD1326*MAX(1,AL1326/V1326),IF(BR1326=1,IF(AL1326&lt;=0,0,BS1326*MAX(1,IF(G1326&gt;0,AL1326/G1326,1))),IF(Q1326&gt;0,AM1326/Q1326,0))/MAX(0.1,N(Parameter!$M$21)))</f>
        <v>0.03</v>
      </c>
      <c r="AO1326" s="57" t="n">
        <f aca="false">AL1326*F1326</f>
        <v>609.4</v>
      </c>
      <c r="AP1326" s="57" t="n">
        <f aca="false">ROUNDUP(MAX(I1326/IF(BV1326&gt;0,BV1326,MAX(0.1,N(Cockpit!$I$6))),BY1326)/BQ1326,0)*BQ1326</f>
        <v>11</v>
      </c>
      <c r="AQ1326" s="58" t="n">
        <f aca="false">IF(AN1326&gt;0,I1326/AN1326,-1)</f>
        <v>400</v>
      </c>
      <c r="AR1326" s="58" t="n">
        <f aca="false">IF(AND(OR(BU1326="L1",BU1326="L23"),AN1326&gt;0),SUMIFS($AN$7:$AN$1576,$BU$7:$BU$1576,BU1326,$AQ$7:$AQ$1576,"&gt;"&amp;AQ1326)+SUMIFS($AN$7:$AN$1576,$BU$7:$BU$1576,BU1326,$AQ$7:$AQ$1576,AQ1326,$BO$7:$BO$1576,"&lt;="&amp;BO1326),"")</f>
        <v>36.7006268734641</v>
      </c>
      <c r="AS1326" s="65" t="n">
        <f aca="false">IF(AR1326="",0,MAX(0,MIN(1,(IF(BU1326="L1",Parameter!$E$5,Parameter!$E$6+Parameter!$E$7)-(AR1326-AN1326))/AN1326)))</f>
        <v>1</v>
      </c>
      <c r="AT1326" s="57" t="n">
        <f aca="false">IF(LEFT(Cockpit!$O$5,1)="A",G1326,IF(BW1326=1,BX1326,IF(LEFT(Cockpit!$O$5,1)="B",AX1326,MAX(AX1326,G1326))))</f>
        <v>11</v>
      </c>
      <c r="AU1326" s="57" t="n">
        <f aca="false">IF(BR1326=1,0,ROUNDUP(AT1326/BQ1326,0))</f>
        <v>0</v>
      </c>
      <c r="AV1326" s="59" t="n">
        <f aca="false">IF(CD1326&gt;0,CD1326*MAX(1,AT1326/V1326),IF(BR1326=1,IF(AT1326&lt;=0,0,BS1326*MAX(1,IF(G1326&gt;0,AT1326/G1326,1))),IF(Q1326&gt;0,AU1326/Q1326,0))/MAX(0.1,N(Parameter!$M$21)))</f>
        <v>0.03</v>
      </c>
      <c r="AW1326" s="57" t="n">
        <f aca="false">AT1326*F1326</f>
        <v>609.4</v>
      </c>
      <c r="AX1326" s="57" t="n">
        <f aca="false">ROUNDUP(MAX(I1326/IF(BV1326&gt;0,BV1326,MAX(0.1,N(Cockpit!$O$6))),BY1326)/BQ1326,0)*BQ1326</f>
        <v>11</v>
      </c>
      <c r="AY1326" s="58" t="n">
        <f aca="false">IF(AV1326&gt;0,I1326/AV1326,-1)</f>
        <v>400</v>
      </c>
      <c r="AZ1326" s="58" t="n">
        <f aca="false">IF(AND(OR(BU1326="L1",BU1326="L23"),AV1326&gt;0),SUMIFS($AV$7:$AV$1576,$BU$7:$BU$1576,BU1326,$AY$7:$AY$1576,"&gt;"&amp;AY1326)+SUMIFS($AV$7:$AV$1576,$BU$7:$BU$1576,BU1326,$AY$7:$AY$1576,AY1326,$BO$7:$BO$1576,"&lt;="&amp;BO1326),"")</f>
        <v>35.8653721282094</v>
      </c>
      <c r="BA1326" s="65" t="n">
        <f aca="false">IF(AZ1326="",0,MAX(0,MIN(1,(IF(BU1326="L1",Parameter!$E$5,Parameter!$E$6+Parameter!$E$7)-(AZ1326-AV1326))/AV1326)))</f>
        <v>1</v>
      </c>
      <c r="BB1326" s="55" t="str">
        <f aca="false">IF(AF1326&lt;=0,"",IF(BU1326="Aussen","Aussenlager",IF(BU1326="-","Nicht im Lift",IF(AK1326&gt;=1,"Lift",IF(AK1326&lt;=0,"Aussenlager","teilweise")))))</f>
        <v/>
      </c>
      <c r="BC1326" s="55" t="str">
        <f aca="false">IF(AN1326&lt;=0,"",IF(BU1326="Aussen","Aussenlager",IF(BU1326="-","Nicht im Lift",IF(AS1326&gt;=1,"Lift",IF(AS1326&lt;=0,"Aussenlager","teilweise")))))</f>
        <v>Lift</v>
      </c>
      <c r="BD1326" s="55" t="str">
        <f aca="false">IF(AV1326&lt;=0,"",IF(BU1326="Aussen","Aussenlager",IF(BU1326="-","Nicht im Lift",IF(BA1326&gt;=1,"Lift",IF(BA1326&lt;=0,"Aussenlager","teilweise")))))</f>
        <v>Lift</v>
      </c>
      <c r="BE1326" s="55" t="str">
        <f aca="false">IF(A1326="","",IF(BN1326=1,"Neu; ","")&amp;IF(AND(BN1326=0,BI1326&lt;0),"negativer Bestand (Export "&amp;BI1326&amp;"); ","")&amp;IF(I1326&lt;=0,"Kein Verbrauch; ","")&amp;IF(CD1326&gt;0,"Lift "&amp;U1326&amp;" lt. Liftbericht (Fach "&amp;V1326&amp;" Stk); ",IF(BR1326=1,"Lose – Fläche geschätzt; ",""))&amp;IF(G1326&gt;AP1326,"Überbestand "&amp;ROUND(G1326-AP1326,0)&amp;" Stk / CHF "&amp;ROUND((G1326-AP1326)*F1326,0)&amp;"; ","")&amp;IF(AND(BW1326=1,BX1326&lt;BY1326),"MAX &lt; MB+LG; ","")&amp;IF(AND(CC1326&gt;0,CB1326*10&gt;CC1326),"zu hoch für Tablar; ","")&amp;IF(AND(BN1326=0,OR(BW1326=1,Y1326&lt;&gt;"",S1326&lt;&gt;"",T1326&lt;&gt;"",Z1326&lt;&gt;"")),"manuell übersteuert; ","")&amp;IF(AND(BR1326=0,Q1326=0),"Gebinde unbekannt / Stellmass fehlt; ","")&amp;IF(AND(BR1326=0,N(T1326)&lt;=0,N(P1326)&lt;=0),"Menge pro Gebinde fehlt (Ist = 1 Gebinde); ","")&amp;BM1326)</f>
        <v>negativer Bestand (Export -27); Lose – Fläche geschätzt; </v>
      </c>
      <c r="BF1326" s="55"/>
      <c r="BG1326" s="55"/>
      <c r="BH1326" s="62"/>
      <c r="BI1326" s="57" t="n">
        <v>-27</v>
      </c>
      <c r="BJ1326" s="57" t="n">
        <v>98</v>
      </c>
      <c r="BK1326" s="56" t="n">
        <v>-1495.8</v>
      </c>
      <c r="BL1326" s="57" t="n">
        <v>12</v>
      </c>
      <c r="BM1326" s="55"/>
      <c r="BN1326" s="60" t="n">
        <v>0</v>
      </c>
      <c r="BO1326" s="60" t="n">
        <v>1326</v>
      </c>
      <c r="BP1326" s="55" t="str">
        <f aca="false">IF(S1326&lt;&gt;"",UPPER(TRIM(S1326)),IF(O1326="","LOSE",O1326))</f>
        <v>LOSE</v>
      </c>
      <c r="BQ1326" s="57" t="n">
        <f aca="false">IF(BP1326="LOSE",1,IF(N(T1326)&gt;0,T1326,IF(N(P1326)&gt;0,P1326,MAX(1,G1326))))</f>
        <v>1</v>
      </c>
      <c r="BR1326" s="60" t="n">
        <f aca="false">IF(BP1326="LOSE",1,0)</f>
        <v>1</v>
      </c>
      <c r="BS1326" s="59" t="n">
        <f aca="false">IF(BR1326=0,0,IF(N(R1326)&gt;0,R1326,IFERROR(VLOOKUP(D1326,Parameter!$A$35:$C$64,3,0)+0,0)))</f>
        <v>0.03</v>
      </c>
      <c r="BT1326" s="55" t="n">
        <f aca="false">IF(Y1326&lt;&gt;"",Y1326,X1326)</f>
        <v>2</v>
      </c>
      <c r="BU1326" s="55" t="str">
        <f aca="false">IF(BT1326=1,"L1",IF(OR(BT1326=2,BT1326=3),"L23",IF(BT1326="Aussen","Aussen","-")))</f>
        <v>L23</v>
      </c>
      <c r="BV1326" s="66" t="n">
        <f aca="false">IF(N(Z1326)&gt;0,Z1326,0)</f>
        <v>0</v>
      </c>
      <c r="BW1326" s="60" t="n">
        <f aca="false">IF(ISNUMBER(AC1326),1,0)</f>
        <v>0</v>
      </c>
      <c r="BX1326" s="57" t="n">
        <f aca="false">N(AC1326)</f>
        <v>0</v>
      </c>
      <c r="BY1326" s="57" t="n">
        <f aca="false">N(L1326)+N(M1326)</f>
        <v>11</v>
      </c>
      <c r="BZ1326" s="57" t="n">
        <f aca="false">ROUNDUP(G1326/BQ1326,0)</f>
        <v>0</v>
      </c>
      <c r="CA1326" s="57" t="n">
        <f aca="false">ROUNDUP(BX1326/BQ1326,0)</f>
        <v>0</v>
      </c>
      <c r="CB1326" s="60" t="n">
        <f aca="false">IF(BR1326=1,0,IFERROR(VLOOKUP(BP1326,'Gebinde-Kategorie'!$A$5:$M$45,5,0)+0,0))</f>
        <v>0</v>
      </c>
      <c r="CC1326" s="60" t="n">
        <f aca="false">IFERROR(IF(OR(BT1326=1,BT1326=2,BT1326=3),N(INDEX(Parameter!$I$5:$I$7,BT1326)),0),0)</f>
        <v>0</v>
      </c>
      <c r="CD1326" s="59" t="n">
        <f aca="false">IF(AND(Parameter!$B$21="Ja",ISNUMBER(U1326),N(V1326)&gt;0),IFERROR(N(INDEX(Parameter!$L$5:$L$7,U1326))*INDEX(Parameter!$E$5:$E$7,U1326)*V1326/SUMIFS($V$7:$V$1576,$U$7:$U$1576,U1326),0),0)</f>
        <v>0</v>
      </c>
    </row>
    <row r="1327" customFormat="false" ht="15" hidden="false" customHeight="false" outlineLevel="0" collapsed="false">
      <c r="A1327" s="55" t="s">
        <v>2341</v>
      </c>
      <c r="B1327" s="55" t="s">
        <v>2342</v>
      </c>
      <c r="C1327" s="55" t="s">
        <v>160</v>
      </c>
      <c r="D1327" s="55" t="s">
        <v>168</v>
      </c>
      <c r="E1327" s="55" t="s">
        <v>210</v>
      </c>
      <c r="F1327" s="56" t="n">
        <v>107.09</v>
      </c>
      <c r="G1327" s="57" t="n">
        <f aca="false">MAX(0,IF(AND(Parameter!$B$21="Ja",ISNUMBER(W1327)),W1327,IF(Parameter!$B$20="Jahresanfang 2025 + Export",BJ1327+BI1327,BI1327)))</f>
        <v>0</v>
      </c>
      <c r="H1327" s="57" t="n">
        <f aca="false">G1327*F1327</f>
        <v>0</v>
      </c>
      <c r="I1327" s="57" t="n">
        <f aca="false">BL1327*Parameter!$B$18</f>
        <v>95</v>
      </c>
      <c r="J1327" s="58" t="n">
        <v>45</v>
      </c>
      <c r="K1327" s="59" t="n">
        <v>2.11111111111111</v>
      </c>
      <c r="L1327" s="57" t="n">
        <v>5</v>
      </c>
      <c r="M1327" s="57" t="n">
        <v>40</v>
      </c>
      <c r="N1327" s="60" t="n">
        <v>21</v>
      </c>
      <c r="O1327" s="55" t="s">
        <v>169</v>
      </c>
      <c r="P1327" s="57" t="n">
        <v>60</v>
      </c>
      <c r="Q1327" s="60" t="n">
        <f aca="false">IF(BR1327=1,0,IFERROR(VLOOKUP(BP1327,'Gebinde-Kategorie'!$A$5:$M$45,13,0)+0,0))</f>
        <v>6</v>
      </c>
      <c r="R1327" s="61"/>
      <c r="S1327" s="62"/>
      <c r="T1327" s="62"/>
      <c r="U1327" s="55"/>
      <c r="V1327" s="57"/>
      <c r="W1327" s="57"/>
      <c r="X1327" s="55" t="n">
        <f aca="false">IF(A1327="","",IF(AND(Parameter!$B$21="Ja",ISNUMBER(U1327)),U1327,IF(IFERROR(VLOOKUP(D1327,Parameter!$A$35:$C$64,2,0),"Nein")="2+3",IF(ISNUMBER(SEARCH("grosser Artikel",BM1327)),2,IFERROR(VLOOKUP(BP1327,Parameter!$F$35:$G$64,2,0),2)),IF(OR(IFERROR(VLOOKUP(D1327,Parameter!$A$35:$C$64,2,0),"Nein")="Nein",IFERROR(VLOOKUP(D1327,Parameter!$A$35:$C$64,2,0),"Nein")=""),"-",VLOOKUP(D1327,Parameter!$A$35:$C$64,2,0)))))</f>
        <v>2</v>
      </c>
      <c r="Y1327" s="62"/>
      <c r="Z1327" s="63"/>
      <c r="AA1327" s="57" t="n">
        <f aca="false">AP1327</f>
        <v>60</v>
      </c>
      <c r="AB1327" s="57" t="n">
        <f aca="false">MAX(AP1327,G1327)</f>
        <v>60</v>
      </c>
      <c r="AC1327" s="64"/>
      <c r="AD1327" s="57" t="n">
        <f aca="false">IF(LEFT(Cockpit!$C$5,1)="A",G1327,IF(BW1327=1,BX1327,IF(LEFT(Cockpit!$C$5,1)="B",AH1327,MAX(AH1327,G1327))))</f>
        <v>0</v>
      </c>
      <c r="AE1327" s="57" t="n">
        <f aca="false">IF(BR1327=1,0,ROUNDUP(AD1327/BQ1327,0))</f>
        <v>0</v>
      </c>
      <c r="AF1327" s="59" t="n">
        <f aca="false">IF(CD1327&gt;0,CD1327*MAX(1,AD1327/V1327),IF(BR1327=1,IF(AD1327&lt;=0,0,BS1327*MAX(1,IF(G1327&gt;0,AD1327/G1327,1))),IF(Q1327&gt;0,AE1327/Q1327,0))/MAX(0.1,N(Parameter!$M$21)))</f>
        <v>0</v>
      </c>
      <c r="AG1327" s="57" t="n">
        <f aca="false">AD1327*F1327</f>
        <v>0</v>
      </c>
      <c r="AH1327" s="57" t="n">
        <f aca="false">ROUNDUP(MAX(I1327/IF(BV1327&gt;0,BV1327,MAX(0.1,N(Cockpit!$C$6))),BY1327)/BQ1327,0)*BQ1327</f>
        <v>60</v>
      </c>
      <c r="AI1327" s="58" t="n">
        <f aca="false">IF(AF1327&gt;0,I1327/AF1327,-1)</f>
        <v>-1</v>
      </c>
      <c r="AJ1327" s="58" t="str">
        <f aca="false">IF(AND(OR(BU1327="L1",BU1327="L23"),AF1327&gt;0),SUMIFS($AF$7:$AF$1576,$BU$7:$BU$1576,BU1327,$AI$7:$AI$1576,"&gt;"&amp;AI1327)+SUMIFS($AF$7:$AF$1576,$BU$7:$BU$1576,BU1327,$AI$7:$AI$1576,AI1327,$BO$7:$BO$1576,"&lt;="&amp;BO1327),"")</f>
        <v/>
      </c>
      <c r="AK1327" s="65" t="n">
        <f aca="false">IF(AJ1327="",0,MAX(0,MIN(1,(IF(BU1327="L1",Parameter!$E$5,Parameter!$E$6+Parameter!$E$7)-(AJ1327-AF1327))/AF1327)))</f>
        <v>0</v>
      </c>
      <c r="AL1327" s="57" t="n">
        <f aca="false">IF(LEFT(Cockpit!$I$5,1)="A",G1327,IF(BW1327=1,BX1327,IF(LEFT(Cockpit!$I$5,1)="B",AP1327,MAX(AP1327,G1327))))</f>
        <v>60</v>
      </c>
      <c r="AM1327" s="57" t="n">
        <f aca="false">IF(BR1327=1,0,ROUNDUP(AL1327/BQ1327,0))</f>
        <v>1</v>
      </c>
      <c r="AN1327" s="59" t="n">
        <f aca="false">IF(CD1327&gt;0,CD1327*MAX(1,AL1327/V1327),IF(BR1327=1,IF(AL1327&lt;=0,0,BS1327*MAX(1,IF(G1327&gt;0,AL1327/G1327,1))),IF(Q1327&gt;0,AM1327/Q1327,0))/MAX(0.1,N(Parameter!$M$21)))</f>
        <v>0.166666666666667</v>
      </c>
      <c r="AO1327" s="57" t="n">
        <f aca="false">AL1327*F1327</f>
        <v>6425.4</v>
      </c>
      <c r="AP1327" s="57" t="n">
        <f aca="false">ROUNDUP(MAX(I1327/IF(BV1327&gt;0,BV1327,MAX(0.1,N(Cockpit!$I$6))),BY1327)/BQ1327,0)*BQ1327</f>
        <v>60</v>
      </c>
      <c r="AQ1327" s="58" t="n">
        <f aca="false">IF(AN1327&gt;0,I1327/AN1327,-1)</f>
        <v>570</v>
      </c>
      <c r="AR1327" s="58" t="n">
        <f aca="false">IF(AND(OR(BU1327="L1",BU1327="L23"),AN1327&gt;0),SUMIFS($AN$7:$AN$1576,$BU$7:$BU$1576,BU1327,$AQ$7:$AQ$1576,"&gt;"&amp;AQ1327)+SUMIFS($AN$7:$AN$1576,$BU$7:$BU$1576,BU1327,$AQ$7:$AQ$1576,AQ1327,$BO$7:$BO$1576,"&lt;="&amp;BO1327),"")</f>
        <v>31.9262761034612</v>
      </c>
      <c r="AS1327" s="65" t="n">
        <f aca="false">IF(AR1327="",0,MAX(0,MIN(1,(IF(BU1327="L1",Parameter!$E$5,Parameter!$E$6+Parameter!$E$7)-(AR1327-AN1327))/AN1327)))</f>
        <v>1</v>
      </c>
      <c r="AT1327" s="57" t="n">
        <f aca="false">IF(LEFT(Cockpit!$O$5,1)="A",G1327,IF(BW1327=1,BX1327,IF(LEFT(Cockpit!$O$5,1)="B",AX1327,MAX(AX1327,G1327))))</f>
        <v>60</v>
      </c>
      <c r="AU1327" s="57" t="n">
        <f aca="false">IF(BR1327=1,0,ROUNDUP(AT1327/BQ1327,0))</f>
        <v>1</v>
      </c>
      <c r="AV1327" s="59" t="n">
        <f aca="false">IF(CD1327&gt;0,CD1327*MAX(1,AT1327/V1327),IF(BR1327=1,IF(AT1327&lt;=0,0,BS1327*MAX(1,IF(G1327&gt;0,AT1327/G1327,1))),IF(Q1327&gt;0,AU1327/Q1327,0))/MAX(0.1,N(Parameter!$M$21)))</f>
        <v>0.166666666666667</v>
      </c>
      <c r="AW1327" s="57" t="n">
        <f aca="false">AT1327*F1327</f>
        <v>6425.4</v>
      </c>
      <c r="AX1327" s="57" t="n">
        <f aca="false">ROUNDUP(MAX(I1327/IF(BV1327&gt;0,BV1327,MAX(0.1,N(Cockpit!$O$6))),BY1327)/BQ1327,0)*BQ1327</f>
        <v>60</v>
      </c>
      <c r="AY1327" s="58" t="n">
        <f aca="false">IF(AV1327&gt;0,I1327/AV1327,-1)</f>
        <v>570</v>
      </c>
      <c r="AZ1327" s="58" t="n">
        <f aca="false">IF(AND(OR(BU1327="L1",BU1327="L23"),AV1327&gt;0),SUMIFS($AV$7:$AV$1576,$BU$7:$BU$1576,BU1327,$AY$7:$AY$1576,"&gt;"&amp;AY1327)+SUMIFS($AV$7:$AV$1576,$BU$7:$BU$1576,BU1327,$AY$7:$AY$1576,AY1327,$BO$7:$BO$1576,"&lt;="&amp;BO1327),"")</f>
        <v>30.8362960834812</v>
      </c>
      <c r="BA1327" s="65" t="n">
        <f aca="false">IF(AZ1327="",0,MAX(0,MIN(1,(IF(BU1327="L1",Parameter!$E$5,Parameter!$E$6+Parameter!$E$7)-(AZ1327-AV1327))/AV1327)))</f>
        <v>1</v>
      </c>
      <c r="BB1327" s="55" t="str">
        <f aca="false">IF(AF1327&lt;=0,"",IF(BU1327="Aussen","Aussenlager",IF(BU1327="-","Nicht im Lift",IF(AK1327&gt;=1,"Lift",IF(AK1327&lt;=0,"Aussenlager","teilweise")))))</f>
        <v/>
      </c>
      <c r="BC1327" s="55" t="str">
        <f aca="false">IF(AN1327&lt;=0,"",IF(BU1327="Aussen","Aussenlager",IF(BU1327="-","Nicht im Lift",IF(AS1327&gt;=1,"Lift",IF(AS1327&lt;=0,"Aussenlager","teilweise")))))</f>
        <v>Lift</v>
      </c>
      <c r="BD1327" s="55" t="str">
        <f aca="false">IF(AV1327&lt;=0,"",IF(BU1327="Aussen","Aussenlager",IF(BU1327="-","Nicht im Lift",IF(BA1327&gt;=1,"Lift",IF(BA1327&lt;=0,"Aussenlager","teilweise")))))</f>
        <v>Lift</v>
      </c>
      <c r="BE1327" s="55" t="str">
        <f aca="false">IF(A1327="","",IF(BN1327=1,"Neu; ","")&amp;IF(AND(BN1327=0,BI1327&lt;0),"negativer Bestand (Export "&amp;BI1327&amp;"); ","")&amp;IF(I1327&lt;=0,"Kein Verbrauch; ","")&amp;IF(CD1327&gt;0,"Lift "&amp;U1327&amp;" lt. Liftbericht (Fach "&amp;V1327&amp;" Stk); ",IF(BR1327=1,"Lose – Fläche geschätzt; ",""))&amp;IF(G1327&gt;AP1327,"Überbestand "&amp;ROUND(G1327-AP1327,0)&amp;" Stk / CHF "&amp;ROUND((G1327-AP1327)*F1327,0)&amp;"; ","")&amp;IF(AND(BW1327=1,BX1327&lt;BY1327),"MAX &lt; MB+LG; ","")&amp;IF(AND(CC1327&gt;0,CB1327*10&gt;CC1327),"zu hoch für Tablar; ","")&amp;IF(AND(BN1327=0,OR(BW1327=1,Y1327&lt;&gt;"",S1327&lt;&gt;"",T1327&lt;&gt;"",Z1327&lt;&gt;"")),"manuell übersteuert; ","")&amp;IF(AND(BR1327=0,Q1327=0),"Gebinde unbekannt / Stellmass fehlt; ","")&amp;IF(AND(BR1327=0,N(T1327)&lt;=0,N(P1327)&lt;=0),"Menge pro Gebinde fehlt (Ist = 1 Gebinde); ","")&amp;BM1327)</f>
        <v>negativer Bestand (Export -12); grosser Artikel &amp; nicht im KTL</v>
      </c>
      <c r="BF1327" s="55"/>
      <c r="BG1327" s="55"/>
      <c r="BH1327" s="62"/>
      <c r="BI1327" s="57" t="n">
        <v>-12</v>
      </c>
      <c r="BJ1327" s="57" t="n">
        <v>52</v>
      </c>
      <c r="BK1327" s="56" t="n">
        <v>-1519.08</v>
      </c>
      <c r="BL1327" s="57" t="n">
        <v>95</v>
      </c>
      <c r="BM1327" s="55" t="s">
        <v>253</v>
      </c>
      <c r="BN1327" s="60" t="n">
        <v>0</v>
      </c>
      <c r="BO1327" s="60" t="n">
        <v>1327</v>
      </c>
      <c r="BP1327" s="55" t="str">
        <f aca="false">IF(S1327&lt;&gt;"",UPPER(TRIM(S1327)),IF(O1327="","LOSE",O1327))</f>
        <v>S71</v>
      </c>
      <c r="BQ1327" s="57" t="n">
        <f aca="false">IF(BP1327="LOSE",1,IF(N(T1327)&gt;0,T1327,IF(N(P1327)&gt;0,P1327,MAX(1,G1327))))</f>
        <v>60</v>
      </c>
      <c r="BR1327" s="60" t="n">
        <f aca="false">IF(BP1327="LOSE",1,0)</f>
        <v>0</v>
      </c>
      <c r="BS1327" s="59" t="n">
        <f aca="false">IF(BR1327=0,0,IF(N(R1327)&gt;0,R1327,IFERROR(VLOOKUP(D1327,Parameter!$A$35:$C$64,3,0)+0,0)))</f>
        <v>0</v>
      </c>
      <c r="BT1327" s="55" t="n">
        <f aca="false">IF(Y1327&lt;&gt;"",Y1327,X1327)</f>
        <v>2</v>
      </c>
      <c r="BU1327" s="55" t="str">
        <f aca="false">IF(BT1327=1,"L1",IF(OR(BT1327=2,BT1327=3),"L23",IF(BT1327="Aussen","Aussen","-")))</f>
        <v>L23</v>
      </c>
      <c r="BV1327" s="66" t="n">
        <f aca="false">IF(N(Z1327)&gt;0,Z1327,0)</f>
        <v>0</v>
      </c>
      <c r="BW1327" s="60" t="n">
        <f aca="false">IF(ISNUMBER(AC1327),1,0)</f>
        <v>0</v>
      </c>
      <c r="BX1327" s="57" t="n">
        <f aca="false">N(AC1327)</f>
        <v>0</v>
      </c>
      <c r="BY1327" s="57" t="n">
        <f aca="false">N(L1327)+N(M1327)</f>
        <v>45</v>
      </c>
      <c r="BZ1327" s="57" t="n">
        <f aca="false">ROUNDUP(G1327/BQ1327,0)</f>
        <v>0</v>
      </c>
      <c r="CA1327" s="57" t="n">
        <f aca="false">ROUNDUP(BX1327/BQ1327,0)</f>
        <v>0</v>
      </c>
      <c r="CB1327" s="60" t="n">
        <f aca="false">IF(BR1327=1,0,IFERROR(VLOOKUP(BP1327,'Gebinde-Kategorie'!$A$5:$M$45,5,0)+0,0))</f>
        <v>20</v>
      </c>
      <c r="CC1327" s="60" t="n">
        <f aca="false">IFERROR(IF(OR(BT1327=1,BT1327=2,BT1327=3),N(INDEX(Parameter!$I$5:$I$7,BT1327)),0),0)</f>
        <v>0</v>
      </c>
      <c r="CD1327" s="59" t="n">
        <f aca="false">IF(AND(Parameter!$B$21="Ja",ISNUMBER(U1327),N(V1327)&gt;0),IFERROR(N(INDEX(Parameter!$L$5:$L$7,U1327))*INDEX(Parameter!$E$5:$E$7,U1327)*V1327/SUMIFS($V$7:$V$1576,$U$7:$U$1576,U1327),0),0)</f>
        <v>0</v>
      </c>
    </row>
    <row r="1328" customFormat="false" ht="15" hidden="false" customHeight="false" outlineLevel="0" collapsed="false">
      <c r="A1328" s="55" t="s">
        <v>2343</v>
      </c>
      <c r="B1328" s="55" t="s">
        <v>2344</v>
      </c>
      <c r="C1328" s="55" t="s">
        <v>160</v>
      </c>
      <c r="D1328" s="55" t="s">
        <v>344</v>
      </c>
      <c r="E1328" s="55" t="s">
        <v>210</v>
      </c>
      <c r="F1328" s="56" t="n">
        <v>1537.04</v>
      </c>
      <c r="G1328" s="57" t="n">
        <f aca="false">MAX(0,IF(AND(Parameter!$B$21="Ja",ISNUMBER(W1328)),W1328,IF(Parameter!$B$20="Jahresanfang 2025 + Export",BJ1328+BI1328,BI1328)))</f>
        <v>0</v>
      </c>
      <c r="H1328" s="57" t="n">
        <f aca="false">G1328*F1328</f>
        <v>0</v>
      </c>
      <c r="I1328" s="57" t="n">
        <f aca="false">BL1328*Parameter!$B$18</f>
        <v>0</v>
      </c>
      <c r="J1328" s="58" t="n">
        <v>0.5</v>
      </c>
      <c r="K1328" s="59" t="n">
        <v>0</v>
      </c>
      <c r="L1328" s="57" t="n">
        <v>0</v>
      </c>
      <c r="M1328" s="57" t="n">
        <v>1</v>
      </c>
      <c r="N1328" s="60" t="n">
        <v>90</v>
      </c>
      <c r="O1328" s="55" t="s">
        <v>163</v>
      </c>
      <c r="P1328" s="57"/>
      <c r="Q1328" s="60" t="n">
        <f aca="false">IF(BR1328=1,0,IFERROR(VLOOKUP(BP1328,'Gebinde-Kategorie'!$A$5:$M$45,13,0)+0,0))</f>
        <v>0</v>
      </c>
      <c r="R1328" s="61"/>
      <c r="S1328" s="62"/>
      <c r="T1328" s="62"/>
      <c r="U1328" s="55"/>
      <c r="V1328" s="57"/>
      <c r="W1328" s="57"/>
      <c r="X1328" s="55" t="str">
        <f aca="false">IF(A1328="","",IF(AND(Parameter!$B$21="Ja",ISNUMBER(U1328)),U1328,IF(IFERROR(VLOOKUP(D1328,Parameter!$A$35:$C$64,2,0),"Nein")="2+3",IF(ISNUMBER(SEARCH("grosser Artikel",BM1328)),2,IFERROR(VLOOKUP(BP1328,Parameter!$F$35:$G$64,2,0),2)),IF(OR(IFERROR(VLOOKUP(D1328,Parameter!$A$35:$C$64,2,0),"Nein")="Nein",IFERROR(VLOOKUP(D1328,Parameter!$A$35:$C$64,2,0),"Nein")=""),"-",VLOOKUP(D1328,Parameter!$A$35:$C$64,2,0)))))</f>
        <v>-</v>
      </c>
      <c r="Y1328" s="62"/>
      <c r="Z1328" s="63"/>
      <c r="AA1328" s="57" t="n">
        <f aca="false">AP1328</f>
        <v>1</v>
      </c>
      <c r="AB1328" s="57" t="n">
        <f aca="false">MAX(AP1328,G1328)</f>
        <v>1</v>
      </c>
      <c r="AC1328" s="64"/>
      <c r="AD1328" s="57" t="n">
        <f aca="false">IF(LEFT(Cockpit!$C$5,1)="A",G1328,IF(BW1328=1,BX1328,IF(LEFT(Cockpit!$C$5,1)="B",AH1328,MAX(AH1328,G1328))))</f>
        <v>0</v>
      </c>
      <c r="AE1328" s="57" t="n">
        <f aca="false">IF(BR1328=1,0,ROUNDUP(AD1328/BQ1328,0))</f>
        <v>0</v>
      </c>
      <c r="AF1328" s="59" t="n">
        <f aca="false">IF(CD1328&gt;0,CD1328*MAX(1,AD1328/V1328),IF(BR1328=1,IF(AD1328&lt;=0,0,BS1328*MAX(1,IF(G1328&gt;0,AD1328/G1328,1))),IF(Q1328&gt;0,AE1328/Q1328,0))/MAX(0.1,N(Parameter!$M$21)))</f>
        <v>0</v>
      </c>
      <c r="AG1328" s="57" t="n">
        <f aca="false">AD1328*F1328</f>
        <v>0</v>
      </c>
      <c r="AH1328" s="57" t="n">
        <f aca="false">ROUNDUP(MAX(I1328/IF(BV1328&gt;0,BV1328,MAX(0.1,N(Cockpit!$C$6))),BY1328)/BQ1328,0)*BQ1328</f>
        <v>1</v>
      </c>
      <c r="AI1328" s="58" t="n">
        <f aca="false">IF(AF1328&gt;0,I1328/AF1328,-1)</f>
        <v>-1</v>
      </c>
      <c r="AJ1328" s="58" t="str">
        <f aca="false">IF(AND(OR(BU1328="L1",BU1328="L23"),AF1328&gt;0),SUMIFS($AF$7:$AF$1576,$BU$7:$BU$1576,BU1328,$AI$7:$AI$1576,"&gt;"&amp;AI1328)+SUMIFS($AF$7:$AF$1576,$BU$7:$BU$1576,BU1328,$AI$7:$AI$1576,AI1328,$BO$7:$BO$1576,"&lt;="&amp;BO1328),"")</f>
        <v/>
      </c>
      <c r="AK1328" s="65" t="n">
        <f aca="false">IF(AJ1328="",0,MAX(0,MIN(1,(IF(BU1328="L1",Parameter!$E$5,Parameter!$E$6+Parameter!$E$7)-(AJ1328-AF1328))/AF1328)))</f>
        <v>0</v>
      </c>
      <c r="AL1328" s="57" t="n">
        <f aca="false">IF(LEFT(Cockpit!$I$5,1)="A",G1328,IF(BW1328=1,BX1328,IF(LEFT(Cockpit!$I$5,1)="B",AP1328,MAX(AP1328,G1328))))</f>
        <v>1</v>
      </c>
      <c r="AM1328" s="57" t="n">
        <f aca="false">IF(BR1328=1,0,ROUNDUP(AL1328/BQ1328,0))</f>
        <v>0</v>
      </c>
      <c r="AN1328" s="59" t="n">
        <f aca="false">IF(CD1328&gt;0,CD1328*MAX(1,AL1328/V1328),IF(BR1328=1,IF(AL1328&lt;=0,0,BS1328*MAX(1,IF(G1328&gt;0,AL1328/G1328,1))),IF(Q1328&gt;0,AM1328/Q1328,0))/MAX(0.1,N(Parameter!$M$21)))</f>
        <v>0.15</v>
      </c>
      <c r="AO1328" s="57" t="n">
        <f aca="false">AL1328*F1328</f>
        <v>1537.04</v>
      </c>
      <c r="AP1328" s="57" t="n">
        <f aca="false">ROUNDUP(MAX(I1328/IF(BV1328&gt;0,BV1328,MAX(0.1,N(Cockpit!$I$6))),BY1328)/BQ1328,0)*BQ1328</f>
        <v>1</v>
      </c>
      <c r="AQ1328" s="58" t="n">
        <f aca="false">IF(AN1328&gt;0,I1328/AN1328,-1)</f>
        <v>0</v>
      </c>
      <c r="AR1328" s="58" t="str">
        <f aca="false">IF(AND(OR(BU1328="L1",BU1328="L23"),AN1328&gt;0),SUMIFS($AN$7:$AN$1576,$BU$7:$BU$1576,BU1328,$AQ$7:$AQ$1576,"&gt;"&amp;AQ1328)+SUMIFS($AN$7:$AN$1576,$BU$7:$BU$1576,BU1328,$AQ$7:$AQ$1576,AQ1328,$BO$7:$BO$1576,"&lt;="&amp;BO1328),"")</f>
        <v/>
      </c>
      <c r="AS1328" s="65" t="n">
        <f aca="false">IF(AR1328="",0,MAX(0,MIN(1,(IF(BU1328="L1",Parameter!$E$5,Parameter!$E$6+Parameter!$E$7)-(AR1328-AN1328))/AN1328)))</f>
        <v>0</v>
      </c>
      <c r="AT1328" s="57" t="n">
        <f aca="false">IF(LEFT(Cockpit!$O$5,1)="A",G1328,IF(BW1328=1,BX1328,IF(LEFT(Cockpit!$O$5,1)="B",AX1328,MAX(AX1328,G1328))))</f>
        <v>1</v>
      </c>
      <c r="AU1328" s="57" t="n">
        <f aca="false">IF(BR1328=1,0,ROUNDUP(AT1328/BQ1328,0))</f>
        <v>0</v>
      </c>
      <c r="AV1328" s="59" t="n">
        <f aca="false">IF(CD1328&gt;0,CD1328*MAX(1,AT1328/V1328),IF(BR1328=1,IF(AT1328&lt;=0,0,BS1328*MAX(1,IF(G1328&gt;0,AT1328/G1328,1))),IF(Q1328&gt;0,AU1328/Q1328,0))/MAX(0.1,N(Parameter!$M$21)))</f>
        <v>0.15</v>
      </c>
      <c r="AW1328" s="57" t="n">
        <f aca="false">AT1328*F1328</f>
        <v>1537.04</v>
      </c>
      <c r="AX1328" s="57" t="n">
        <f aca="false">ROUNDUP(MAX(I1328/IF(BV1328&gt;0,BV1328,MAX(0.1,N(Cockpit!$O$6))),BY1328)/BQ1328,0)*BQ1328</f>
        <v>1</v>
      </c>
      <c r="AY1328" s="58" t="n">
        <f aca="false">IF(AV1328&gt;0,I1328/AV1328,-1)</f>
        <v>0</v>
      </c>
      <c r="AZ1328" s="58" t="str">
        <f aca="false">IF(AND(OR(BU1328="L1",BU1328="L23"),AV1328&gt;0),SUMIFS($AV$7:$AV$1576,$BU$7:$BU$1576,BU1328,$AY$7:$AY$1576,"&gt;"&amp;AY1328)+SUMIFS($AV$7:$AV$1576,$BU$7:$BU$1576,BU1328,$AY$7:$AY$1576,AY1328,$BO$7:$BO$1576,"&lt;="&amp;BO1328),"")</f>
        <v/>
      </c>
      <c r="BA1328" s="65" t="n">
        <f aca="false">IF(AZ1328="",0,MAX(0,MIN(1,(IF(BU1328="L1",Parameter!$E$5,Parameter!$E$6+Parameter!$E$7)-(AZ1328-AV1328))/AV1328)))</f>
        <v>0</v>
      </c>
      <c r="BB1328" s="55" t="str">
        <f aca="false">IF(AF1328&lt;=0,"",IF(BU1328="Aussen","Aussenlager",IF(BU1328="-","Nicht im Lift",IF(AK1328&gt;=1,"Lift",IF(AK1328&lt;=0,"Aussenlager","teilweise")))))</f>
        <v/>
      </c>
      <c r="BC1328" s="55" t="str">
        <f aca="false">IF(AN1328&lt;=0,"",IF(BU1328="Aussen","Aussenlager",IF(BU1328="-","Nicht im Lift",IF(AS1328&gt;=1,"Lift",IF(AS1328&lt;=0,"Aussenlager","teilweise")))))</f>
        <v>Nicht im Lift</v>
      </c>
      <c r="BD1328" s="55" t="str">
        <f aca="false">IF(AV1328&lt;=0,"",IF(BU1328="Aussen","Aussenlager",IF(BU1328="-","Nicht im Lift",IF(BA1328&gt;=1,"Lift",IF(BA1328&lt;=0,"Aussenlager","teilweise")))))</f>
        <v>Nicht im Lift</v>
      </c>
      <c r="BE1328" s="55" t="str">
        <f aca="false">IF(A1328="","",IF(BN1328=1,"Neu; ","")&amp;IF(AND(BN1328=0,BI1328&lt;0),"negativer Bestand (Export "&amp;BI1328&amp;"); ","")&amp;IF(I1328&lt;=0,"Kein Verbrauch; ","")&amp;IF(CD1328&gt;0,"Lift "&amp;U1328&amp;" lt. Liftbericht (Fach "&amp;V1328&amp;" Stk); ",IF(BR1328=1,"Lose – Fläche geschätzt; ",""))&amp;IF(G1328&gt;AP1328,"Überbestand "&amp;ROUND(G1328-AP1328,0)&amp;" Stk / CHF "&amp;ROUND((G1328-AP1328)*F1328,0)&amp;"; ","")&amp;IF(AND(BW1328=1,BX1328&lt;BY1328),"MAX &lt; MB+LG; ","")&amp;IF(AND(CC1328&gt;0,CB1328*10&gt;CC1328),"zu hoch für Tablar; ","")&amp;IF(AND(BN1328=0,OR(BW1328=1,Y1328&lt;&gt;"",S1328&lt;&gt;"",T1328&lt;&gt;"",Z1328&lt;&gt;"")),"manuell übersteuert; ","")&amp;IF(AND(BR1328=0,Q1328=0),"Gebinde unbekannt / Stellmass fehlt; ","")&amp;IF(AND(BR1328=0,N(T1328)&lt;=0,N(P1328)&lt;=0),"Menge pro Gebinde fehlt (Ist = 1 Gebinde); ","")&amp;BM1328)</f>
        <v>negativer Bestand (Export -1); Kein Verbrauch; Lose – Fläche geschätzt; </v>
      </c>
      <c r="BF1328" s="55"/>
      <c r="BG1328" s="55"/>
      <c r="BH1328" s="62"/>
      <c r="BI1328" s="57" t="n">
        <v>-1</v>
      </c>
      <c r="BJ1328" s="57" t="n">
        <v>1</v>
      </c>
      <c r="BK1328" s="56" t="n">
        <v>-1537.04</v>
      </c>
      <c r="BL1328" s="57" t="n">
        <v>0</v>
      </c>
      <c r="BM1328" s="55"/>
      <c r="BN1328" s="60" t="n">
        <v>0</v>
      </c>
      <c r="BO1328" s="60" t="n">
        <v>1328</v>
      </c>
      <c r="BP1328" s="55" t="str">
        <f aca="false">IF(S1328&lt;&gt;"",UPPER(TRIM(S1328)),IF(O1328="","LOSE",O1328))</f>
        <v>LOSE</v>
      </c>
      <c r="BQ1328" s="57" t="n">
        <f aca="false">IF(BP1328="LOSE",1,IF(N(T1328)&gt;0,T1328,IF(N(P1328)&gt;0,P1328,MAX(1,G1328))))</f>
        <v>1</v>
      </c>
      <c r="BR1328" s="60" t="n">
        <f aca="false">IF(BP1328="LOSE",1,0)</f>
        <v>1</v>
      </c>
      <c r="BS1328" s="59" t="n">
        <f aca="false">IF(BR1328=0,0,IF(N(R1328)&gt;0,R1328,IFERROR(VLOOKUP(D1328,Parameter!$A$35:$C$64,3,0)+0,0)))</f>
        <v>0.15</v>
      </c>
      <c r="BT1328" s="55" t="str">
        <f aca="false">IF(Y1328&lt;&gt;"",Y1328,X1328)</f>
        <v>-</v>
      </c>
      <c r="BU1328" s="55" t="str">
        <f aca="false">IF(BT1328=1,"L1",IF(OR(BT1328=2,BT1328=3),"L23",IF(BT1328="Aussen","Aussen","-")))</f>
        <v>-</v>
      </c>
      <c r="BV1328" s="66" t="n">
        <f aca="false">IF(N(Z1328)&gt;0,Z1328,0)</f>
        <v>0</v>
      </c>
      <c r="BW1328" s="60" t="n">
        <f aca="false">IF(ISNUMBER(AC1328),1,0)</f>
        <v>0</v>
      </c>
      <c r="BX1328" s="57" t="n">
        <f aca="false">N(AC1328)</f>
        <v>0</v>
      </c>
      <c r="BY1328" s="57" t="n">
        <f aca="false">N(L1328)+N(M1328)</f>
        <v>1</v>
      </c>
      <c r="BZ1328" s="57" t="n">
        <f aca="false">ROUNDUP(G1328/BQ1328,0)</f>
        <v>0</v>
      </c>
      <c r="CA1328" s="57" t="n">
        <f aca="false">ROUNDUP(BX1328/BQ1328,0)</f>
        <v>0</v>
      </c>
      <c r="CB1328" s="60" t="n">
        <f aca="false">IF(BR1328=1,0,IFERROR(VLOOKUP(BP1328,'Gebinde-Kategorie'!$A$5:$M$45,5,0)+0,0))</f>
        <v>0</v>
      </c>
      <c r="CC1328" s="60" t="n">
        <f aca="false">IFERROR(IF(OR(BT1328=1,BT1328=2,BT1328=3),N(INDEX(Parameter!$I$5:$I$7,BT1328)),0),0)</f>
        <v>0</v>
      </c>
      <c r="CD1328" s="59" t="n">
        <f aca="false">IF(AND(Parameter!$B$21="Ja",ISNUMBER(U1328),N(V1328)&gt;0),IFERROR(N(INDEX(Parameter!$L$5:$L$7,U1328))*INDEX(Parameter!$E$5:$E$7,U1328)*V1328/SUMIFS($V$7:$V$1576,$U$7:$U$1576,U1328),0),0)</f>
        <v>0</v>
      </c>
    </row>
    <row r="1329" customFormat="false" ht="15" hidden="false" customHeight="false" outlineLevel="0" collapsed="false">
      <c r="A1329" s="55" t="s">
        <v>2345</v>
      </c>
      <c r="B1329" s="55" t="s">
        <v>395</v>
      </c>
      <c r="C1329" s="55" t="s">
        <v>160</v>
      </c>
      <c r="D1329" s="55" t="s">
        <v>168</v>
      </c>
      <c r="E1329" s="55" t="s">
        <v>210</v>
      </c>
      <c r="F1329" s="56" t="n">
        <v>0.24</v>
      </c>
      <c r="G1329" s="57" t="n">
        <f aca="false">MAX(0,IF(AND(Parameter!$B$21="Ja",ISNUMBER(W1329)),W1329,IF(Parameter!$B$20="Jahresanfang 2025 + Export",BJ1329+BI1329,BI1329)))</f>
        <v>0</v>
      </c>
      <c r="H1329" s="57" t="n">
        <f aca="false">G1329*F1329</f>
        <v>0</v>
      </c>
      <c r="I1329" s="57" t="n">
        <f aca="false">BL1329*Parameter!$B$18</f>
        <v>17893</v>
      </c>
      <c r="J1329" s="58" t="n">
        <v>6601.5</v>
      </c>
      <c r="K1329" s="59" t="n">
        <v>2.71044459592517</v>
      </c>
      <c r="L1329" s="57" t="n">
        <v>1043</v>
      </c>
      <c r="M1329" s="57" t="n">
        <v>2000</v>
      </c>
      <c r="N1329" s="60" t="n">
        <v>21</v>
      </c>
      <c r="O1329" s="55" t="s">
        <v>169</v>
      </c>
      <c r="P1329" s="57" t="n">
        <v>3500</v>
      </c>
      <c r="Q1329" s="60" t="n">
        <f aca="false">IF(BR1329=1,0,IFERROR(VLOOKUP(BP1329,'Gebinde-Kategorie'!$A$5:$M$45,13,0)+0,0))</f>
        <v>6</v>
      </c>
      <c r="R1329" s="61"/>
      <c r="S1329" s="62"/>
      <c r="T1329" s="62"/>
      <c r="U1329" s="55"/>
      <c r="V1329" s="57"/>
      <c r="W1329" s="57"/>
      <c r="X1329" s="55" t="n">
        <f aca="false">IF(A1329="","",IF(AND(Parameter!$B$21="Ja",ISNUMBER(U1329)),U1329,IF(IFERROR(VLOOKUP(D1329,Parameter!$A$35:$C$64,2,0),"Nein")="2+3",IF(ISNUMBER(SEARCH("grosser Artikel",BM1329)),2,IFERROR(VLOOKUP(BP1329,Parameter!$F$35:$G$64,2,0),2)),IF(OR(IFERROR(VLOOKUP(D1329,Parameter!$A$35:$C$64,2,0),"Nein")="Nein",IFERROR(VLOOKUP(D1329,Parameter!$A$35:$C$64,2,0),"Nein")=""),"-",VLOOKUP(D1329,Parameter!$A$35:$C$64,2,0)))))</f>
        <v>2</v>
      </c>
      <c r="Y1329" s="62"/>
      <c r="Z1329" s="63"/>
      <c r="AA1329" s="57" t="n">
        <f aca="false">AP1329</f>
        <v>10500</v>
      </c>
      <c r="AB1329" s="57" t="n">
        <f aca="false">MAX(AP1329,G1329)</f>
        <v>10500</v>
      </c>
      <c r="AC1329" s="64"/>
      <c r="AD1329" s="57" t="n">
        <f aca="false">IF(LEFT(Cockpit!$C$5,1)="A",G1329,IF(BW1329=1,BX1329,IF(LEFT(Cockpit!$C$5,1)="B",AH1329,MAX(AH1329,G1329))))</f>
        <v>0</v>
      </c>
      <c r="AE1329" s="57" t="n">
        <f aca="false">IF(BR1329=1,0,ROUNDUP(AD1329/BQ1329,0))</f>
        <v>0</v>
      </c>
      <c r="AF1329" s="59" t="n">
        <f aca="false">IF(CD1329&gt;0,CD1329*MAX(1,AD1329/V1329),IF(BR1329=1,IF(AD1329&lt;=0,0,BS1329*MAX(1,IF(G1329&gt;0,AD1329/G1329,1))),IF(Q1329&gt;0,AE1329/Q1329,0))/MAX(0.1,N(Parameter!$M$21)))</f>
        <v>0</v>
      </c>
      <c r="AG1329" s="57" t="n">
        <f aca="false">AD1329*F1329</f>
        <v>0</v>
      </c>
      <c r="AH1329" s="57" t="n">
        <f aca="false">ROUNDUP(MAX(I1329/IF(BV1329&gt;0,BV1329,MAX(0.1,N(Cockpit!$C$6))),BY1329)/BQ1329,0)*BQ1329</f>
        <v>10500</v>
      </c>
      <c r="AI1329" s="58" t="n">
        <f aca="false">IF(AF1329&gt;0,I1329/AF1329,-1)</f>
        <v>-1</v>
      </c>
      <c r="AJ1329" s="58" t="str">
        <f aca="false">IF(AND(OR(BU1329="L1",BU1329="L23"),AF1329&gt;0),SUMIFS($AF$7:$AF$1576,$BU$7:$BU$1576,BU1329,$AI$7:$AI$1576,"&gt;"&amp;AI1329)+SUMIFS($AF$7:$AF$1576,$BU$7:$BU$1576,BU1329,$AI$7:$AI$1576,AI1329,$BO$7:$BO$1576,"&lt;="&amp;BO1329),"")</f>
        <v/>
      </c>
      <c r="AK1329" s="65" t="n">
        <f aca="false">IF(AJ1329="",0,MAX(0,MIN(1,(IF(BU1329="L1",Parameter!$E$5,Parameter!$E$6+Parameter!$E$7)-(AJ1329-AF1329))/AF1329)))</f>
        <v>0</v>
      </c>
      <c r="AL1329" s="57" t="n">
        <f aca="false">IF(LEFT(Cockpit!$I$5,1)="A",G1329,IF(BW1329=1,BX1329,IF(LEFT(Cockpit!$I$5,1)="B",AP1329,MAX(AP1329,G1329))))</f>
        <v>10500</v>
      </c>
      <c r="AM1329" s="57" t="n">
        <f aca="false">IF(BR1329=1,0,ROUNDUP(AL1329/BQ1329,0))</f>
        <v>3</v>
      </c>
      <c r="AN1329" s="59" t="n">
        <f aca="false">IF(CD1329&gt;0,CD1329*MAX(1,AL1329/V1329),IF(BR1329=1,IF(AL1329&lt;=0,0,BS1329*MAX(1,IF(G1329&gt;0,AL1329/G1329,1))),IF(Q1329&gt;0,AM1329/Q1329,0))/MAX(0.1,N(Parameter!$M$21)))</f>
        <v>0.5</v>
      </c>
      <c r="AO1329" s="57" t="n">
        <f aca="false">AL1329*F1329</f>
        <v>2520</v>
      </c>
      <c r="AP1329" s="57" t="n">
        <f aca="false">ROUNDUP(MAX(I1329/IF(BV1329&gt;0,BV1329,MAX(0.1,N(Cockpit!$I$6))),BY1329)/BQ1329,0)*BQ1329</f>
        <v>10500</v>
      </c>
      <c r="AQ1329" s="58" t="n">
        <f aca="false">IF(AN1329&gt;0,I1329/AN1329,-1)</f>
        <v>35786</v>
      </c>
      <c r="AR1329" s="58" t="n">
        <f aca="false">IF(AND(OR(BU1329="L1",BU1329="L23"),AN1329&gt;0),SUMIFS($AN$7:$AN$1576,$BU$7:$BU$1576,BU1329,$AQ$7:$AQ$1576,"&gt;"&amp;AQ1329)+SUMIFS($AN$7:$AN$1576,$BU$7:$BU$1576,BU1329,$AQ$7:$AQ$1576,AQ1329,$BO$7:$BO$1576,"&lt;="&amp;BO1329),"")</f>
        <v>2.41844295800818</v>
      </c>
      <c r="AS1329" s="65" t="n">
        <f aca="false">IF(AR1329="",0,MAX(0,MIN(1,(IF(BU1329="L1",Parameter!$E$5,Parameter!$E$6+Parameter!$E$7)-(AR1329-AN1329))/AN1329)))</f>
        <v>1</v>
      </c>
      <c r="AT1329" s="57" t="n">
        <f aca="false">IF(LEFT(Cockpit!$O$5,1)="A",G1329,IF(BW1329=1,BX1329,IF(LEFT(Cockpit!$O$5,1)="B",AX1329,MAX(AX1329,G1329))))</f>
        <v>7000</v>
      </c>
      <c r="AU1329" s="57" t="n">
        <f aca="false">IF(BR1329=1,0,ROUNDUP(AT1329/BQ1329,0))</f>
        <v>2</v>
      </c>
      <c r="AV1329" s="59" t="n">
        <f aca="false">IF(CD1329&gt;0,CD1329*MAX(1,AT1329/V1329),IF(BR1329=1,IF(AT1329&lt;=0,0,BS1329*MAX(1,IF(G1329&gt;0,AT1329/G1329,1))),IF(Q1329&gt;0,AU1329/Q1329,0))/MAX(0.1,N(Parameter!$M$21)))</f>
        <v>0.333333333333333</v>
      </c>
      <c r="AW1329" s="57" t="n">
        <f aca="false">AT1329*F1329</f>
        <v>1680</v>
      </c>
      <c r="AX1329" s="57" t="n">
        <f aca="false">ROUNDUP(MAX(I1329/IF(BV1329&gt;0,BV1329,MAX(0.1,N(Cockpit!$O$6))),BY1329)/BQ1329,0)*BQ1329</f>
        <v>7000</v>
      </c>
      <c r="AY1329" s="58" t="n">
        <f aca="false">IF(AV1329&gt;0,I1329/AV1329,-1)</f>
        <v>53679</v>
      </c>
      <c r="AZ1329" s="58" t="n">
        <f aca="false">IF(AND(OR(BU1329="L1",BU1329="L23"),AV1329&gt;0),SUMIFS($AV$7:$AV$1576,$BU$7:$BU$1576,BU1329,$AY$7:$AY$1576,"&gt;"&amp;AY1329)+SUMIFS($AV$7:$AV$1576,$BU$7:$BU$1576,BU1329,$AY$7:$AY$1576,AY1329,$BO$7:$BO$1576,"&lt;="&amp;BO1329),"")</f>
        <v>1.41712036755515</v>
      </c>
      <c r="BA1329" s="65" t="n">
        <f aca="false">IF(AZ1329="",0,MAX(0,MIN(1,(IF(BU1329="L1",Parameter!$E$5,Parameter!$E$6+Parameter!$E$7)-(AZ1329-AV1329))/AV1329)))</f>
        <v>1</v>
      </c>
      <c r="BB1329" s="55" t="str">
        <f aca="false">IF(AF1329&lt;=0,"",IF(BU1329="Aussen","Aussenlager",IF(BU1329="-","Nicht im Lift",IF(AK1329&gt;=1,"Lift",IF(AK1329&lt;=0,"Aussenlager","teilweise")))))</f>
        <v/>
      </c>
      <c r="BC1329" s="55" t="str">
        <f aca="false">IF(AN1329&lt;=0,"",IF(BU1329="Aussen","Aussenlager",IF(BU1329="-","Nicht im Lift",IF(AS1329&gt;=1,"Lift",IF(AS1329&lt;=0,"Aussenlager","teilweise")))))</f>
        <v>Lift</v>
      </c>
      <c r="BD1329" s="55" t="str">
        <f aca="false">IF(AV1329&lt;=0,"",IF(BU1329="Aussen","Aussenlager",IF(BU1329="-","Nicht im Lift",IF(BA1329&gt;=1,"Lift",IF(BA1329&lt;=0,"Aussenlager","teilweise")))))</f>
        <v>Lift</v>
      </c>
      <c r="BE1329" s="55" t="str">
        <f aca="false">IF(A1329="","",IF(BN1329=1,"Neu; ","")&amp;IF(AND(BN1329=0,BI1329&lt;0),"negativer Bestand (Export "&amp;BI1329&amp;"); ","")&amp;IF(I1329&lt;=0,"Kein Verbrauch; ","")&amp;IF(CD1329&gt;0,"Lift "&amp;U1329&amp;" lt. Liftbericht (Fach "&amp;V1329&amp;" Stk); ",IF(BR1329=1,"Lose – Fläche geschätzt; ",""))&amp;IF(G1329&gt;AP1329,"Überbestand "&amp;ROUND(G1329-AP1329,0)&amp;" Stk / CHF "&amp;ROUND((G1329-AP1329)*F1329,0)&amp;"; ","")&amp;IF(AND(BW1329=1,BX1329&lt;BY1329),"MAX &lt; MB+LG; ","")&amp;IF(AND(CC1329&gt;0,CB1329*10&gt;CC1329),"zu hoch für Tablar; ","")&amp;IF(AND(BN1329=0,OR(BW1329=1,Y1329&lt;&gt;"",S1329&lt;&gt;"",T1329&lt;&gt;"",Z1329&lt;&gt;"")),"manuell übersteuert; ","")&amp;IF(AND(BR1329=0,Q1329=0),"Gebinde unbekannt / Stellmass fehlt; ","")&amp;IF(AND(BR1329=0,N(T1329)&lt;=0,N(P1329)&lt;=0),"Menge pro Gebinde fehlt (Ist = 1 Gebinde); ","")&amp;BM1329)</f>
        <v>negativer Bestand (Export -6796); grosse  Artikelmenge</v>
      </c>
      <c r="BF1329" s="55"/>
      <c r="BG1329" s="55"/>
      <c r="BH1329" s="62"/>
      <c r="BI1329" s="57" t="n">
        <v>-6796</v>
      </c>
      <c r="BJ1329" s="57" t="n">
        <v>9219</v>
      </c>
      <c r="BK1329" s="56" t="n">
        <v>-1539.39</v>
      </c>
      <c r="BL1329" s="57" t="n">
        <v>17893</v>
      </c>
      <c r="BM1329" s="55" t="s">
        <v>1594</v>
      </c>
      <c r="BN1329" s="60" t="n">
        <v>0</v>
      </c>
      <c r="BO1329" s="60" t="n">
        <v>1329</v>
      </c>
      <c r="BP1329" s="55" t="str">
        <f aca="false">IF(S1329&lt;&gt;"",UPPER(TRIM(S1329)),IF(O1329="","LOSE",O1329))</f>
        <v>S71</v>
      </c>
      <c r="BQ1329" s="57" t="n">
        <f aca="false">IF(BP1329="LOSE",1,IF(N(T1329)&gt;0,T1329,IF(N(P1329)&gt;0,P1329,MAX(1,G1329))))</f>
        <v>3500</v>
      </c>
      <c r="BR1329" s="60" t="n">
        <f aca="false">IF(BP1329="LOSE",1,0)</f>
        <v>0</v>
      </c>
      <c r="BS1329" s="59" t="n">
        <f aca="false">IF(BR1329=0,0,IF(N(R1329)&gt;0,R1329,IFERROR(VLOOKUP(D1329,Parameter!$A$35:$C$64,3,0)+0,0)))</f>
        <v>0</v>
      </c>
      <c r="BT1329" s="55" t="n">
        <f aca="false">IF(Y1329&lt;&gt;"",Y1329,X1329)</f>
        <v>2</v>
      </c>
      <c r="BU1329" s="55" t="str">
        <f aca="false">IF(BT1329=1,"L1",IF(OR(BT1329=2,BT1329=3),"L23",IF(BT1329="Aussen","Aussen","-")))</f>
        <v>L23</v>
      </c>
      <c r="BV1329" s="66" t="n">
        <f aca="false">IF(N(Z1329)&gt;0,Z1329,0)</f>
        <v>0</v>
      </c>
      <c r="BW1329" s="60" t="n">
        <f aca="false">IF(ISNUMBER(AC1329),1,0)</f>
        <v>0</v>
      </c>
      <c r="BX1329" s="57" t="n">
        <f aca="false">N(AC1329)</f>
        <v>0</v>
      </c>
      <c r="BY1329" s="57" t="n">
        <f aca="false">N(L1329)+N(M1329)</f>
        <v>3043</v>
      </c>
      <c r="BZ1329" s="57" t="n">
        <f aca="false">ROUNDUP(G1329/BQ1329,0)</f>
        <v>0</v>
      </c>
      <c r="CA1329" s="57" t="n">
        <f aca="false">ROUNDUP(BX1329/BQ1329,0)</f>
        <v>0</v>
      </c>
      <c r="CB1329" s="60" t="n">
        <f aca="false">IF(BR1329=1,0,IFERROR(VLOOKUP(BP1329,'Gebinde-Kategorie'!$A$5:$M$45,5,0)+0,0))</f>
        <v>20</v>
      </c>
      <c r="CC1329" s="60" t="n">
        <f aca="false">IFERROR(IF(OR(BT1329=1,BT1329=2,BT1329=3),N(INDEX(Parameter!$I$5:$I$7,BT1329)),0),0)</f>
        <v>0</v>
      </c>
      <c r="CD1329" s="59" t="n">
        <f aca="false">IF(AND(Parameter!$B$21="Ja",ISNUMBER(U1329),N(V1329)&gt;0),IFERROR(N(INDEX(Parameter!$L$5:$L$7,U1329))*INDEX(Parameter!$E$5:$E$7,U1329)*V1329/SUMIFS($V$7:$V$1576,$U$7:$U$1576,U1329),0),0)</f>
        <v>0</v>
      </c>
    </row>
    <row r="1330" customFormat="false" ht="15" hidden="false" customHeight="false" outlineLevel="0" collapsed="false">
      <c r="A1330" s="55" t="s">
        <v>2346</v>
      </c>
      <c r="B1330" s="55" t="s">
        <v>395</v>
      </c>
      <c r="C1330" s="55" t="s">
        <v>160</v>
      </c>
      <c r="D1330" s="55" t="s">
        <v>168</v>
      </c>
      <c r="E1330" s="55" t="s">
        <v>210</v>
      </c>
      <c r="F1330" s="56" t="n">
        <v>0.42</v>
      </c>
      <c r="G1330" s="57" t="n">
        <f aca="false">MAX(0,IF(AND(Parameter!$B$21="Ja",ISNUMBER(W1330)),W1330,IF(Parameter!$B$20="Jahresanfang 2025 + Export",BJ1330+BI1330,BI1330)))</f>
        <v>0</v>
      </c>
      <c r="H1330" s="57" t="n">
        <f aca="false">G1330*F1330</f>
        <v>0</v>
      </c>
      <c r="I1330" s="57" t="n">
        <f aca="false">BL1330*Parameter!$B$18</f>
        <v>18000</v>
      </c>
      <c r="J1330" s="58" t="n">
        <v>3000</v>
      </c>
      <c r="K1330" s="59" t="n">
        <v>6</v>
      </c>
      <c r="L1330" s="57" t="n">
        <v>0</v>
      </c>
      <c r="M1330" s="57" t="n">
        <v>200</v>
      </c>
      <c r="N1330" s="60" t="n">
        <v>21</v>
      </c>
      <c r="O1330" s="55" t="s">
        <v>163</v>
      </c>
      <c r="P1330" s="57"/>
      <c r="Q1330" s="60" t="n">
        <f aca="false">IF(BR1330=1,0,IFERROR(VLOOKUP(BP1330,'Gebinde-Kategorie'!$A$5:$M$45,13,0)+0,0))</f>
        <v>0</v>
      </c>
      <c r="R1330" s="61"/>
      <c r="S1330" s="62"/>
      <c r="T1330" s="62"/>
      <c r="U1330" s="55"/>
      <c r="V1330" s="57"/>
      <c r="W1330" s="57"/>
      <c r="X1330" s="55" t="n">
        <f aca="false">IF(A1330="","",IF(AND(Parameter!$B$21="Ja",ISNUMBER(U1330)),U1330,IF(IFERROR(VLOOKUP(D1330,Parameter!$A$35:$C$64,2,0),"Nein")="2+3",IF(ISNUMBER(SEARCH("grosser Artikel",BM1330)),2,IFERROR(VLOOKUP(BP1330,Parameter!$F$35:$G$64,2,0),2)),IF(OR(IFERROR(VLOOKUP(D1330,Parameter!$A$35:$C$64,2,0),"Nein")="Nein",IFERROR(VLOOKUP(D1330,Parameter!$A$35:$C$64,2,0),"Nein")=""),"-",VLOOKUP(D1330,Parameter!$A$35:$C$64,2,0)))))</f>
        <v>2</v>
      </c>
      <c r="Y1330" s="62"/>
      <c r="Z1330" s="63"/>
      <c r="AA1330" s="57" t="n">
        <f aca="false">AP1330</f>
        <v>9000</v>
      </c>
      <c r="AB1330" s="57" t="n">
        <f aca="false">MAX(AP1330,G1330)</f>
        <v>9000</v>
      </c>
      <c r="AC1330" s="64"/>
      <c r="AD1330" s="57" t="n">
        <f aca="false">IF(LEFT(Cockpit!$C$5,1)="A",G1330,IF(BW1330=1,BX1330,IF(LEFT(Cockpit!$C$5,1)="B",AH1330,MAX(AH1330,G1330))))</f>
        <v>0</v>
      </c>
      <c r="AE1330" s="57" t="n">
        <f aca="false">IF(BR1330=1,0,ROUNDUP(AD1330/BQ1330,0))</f>
        <v>0</v>
      </c>
      <c r="AF1330" s="59" t="n">
        <f aca="false">IF(CD1330&gt;0,CD1330*MAX(1,AD1330/V1330),IF(BR1330=1,IF(AD1330&lt;=0,0,BS1330*MAX(1,IF(G1330&gt;0,AD1330/G1330,1))),IF(Q1330&gt;0,AE1330/Q1330,0))/MAX(0.1,N(Parameter!$M$21)))</f>
        <v>0</v>
      </c>
      <c r="AG1330" s="57" t="n">
        <f aca="false">AD1330*F1330</f>
        <v>0</v>
      </c>
      <c r="AH1330" s="57" t="n">
        <f aca="false">ROUNDUP(MAX(I1330/IF(BV1330&gt;0,BV1330,MAX(0.1,N(Cockpit!$C$6))),BY1330)/BQ1330,0)*BQ1330</f>
        <v>9000</v>
      </c>
      <c r="AI1330" s="58" t="n">
        <f aca="false">IF(AF1330&gt;0,I1330/AF1330,-1)</f>
        <v>-1</v>
      </c>
      <c r="AJ1330" s="58" t="str">
        <f aca="false">IF(AND(OR(BU1330="L1",BU1330="L23"),AF1330&gt;0),SUMIFS($AF$7:$AF$1576,$BU$7:$BU$1576,BU1330,$AI$7:$AI$1576,"&gt;"&amp;AI1330)+SUMIFS($AF$7:$AF$1576,$BU$7:$BU$1576,BU1330,$AI$7:$AI$1576,AI1330,$BO$7:$BO$1576,"&lt;="&amp;BO1330),"")</f>
        <v/>
      </c>
      <c r="AK1330" s="65" t="n">
        <f aca="false">IF(AJ1330="",0,MAX(0,MIN(1,(IF(BU1330="L1",Parameter!$E$5,Parameter!$E$6+Parameter!$E$7)-(AJ1330-AF1330))/AF1330)))</f>
        <v>0</v>
      </c>
      <c r="AL1330" s="57" t="n">
        <f aca="false">IF(LEFT(Cockpit!$I$5,1)="A",G1330,IF(BW1330=1,BX1330,IF(LEFT(Cockpit!$I$5,1)="B",AP1330,MAX(AP1330,G1330))))</f>
        <v>9000</v>
      </c>
      <c r="AM1330" s="57" t="n">
        <f aca="false">IF(BR1330=1,0,ROUNDUP(AL1330/BQ1330,0))</f>
        <v>0</v>
      </c>
      <c r="AN1330" s="59" t="n">
        <f aca="false">IF(CD1330&gt;0,CD1330*MAX(1,AL1330/V1330),IF(BR1330=1,IF(AL1330&lt;=0,0,BS1330*MAX(1,IF(G1330&gt;0,AL1330/G1330,1))),IF(Q1330&gt;0,AM1330/Q1330,0))/MAX(0.1,N(Parameter!$M$21)))</f>
        <v>0.15</v>
      </c>
      <c r="AO1330" s="57" t="n">
        <f aca="false">AL1330*F1330</f>
        <v>3780</v>
      </c>
      <c r="AP1330" s="57" t="n">
        <f aca="false">ROUNDUP(MAX(I1330/IF(BV1330&gt;0,BV1330,MAX(0.1,N(Cockpit!$I$6))),BY1330)/BQ1330,0)*BQ1330</f>
        <v>9000</v>
      </c>
      <c r="AQ1330" s="58" t="n">
        <f aca="false">IF(AN1330&gt;0,I1330/AN1330,-1)</f>
        <v>120000</v>
      </c>
      <c r="AR1330" s="58" t="n">
        <f aca="false">IF(AND(OR(BU1330="L1",BU1330="L23"),AN1330&gt;0),SUMIFS($AN$7:$AN$1576,$BU$7:$BU$1576,BU1330,$AQ$7:$AQ$1576,"&gt;"&amp;AQ1330)+SUMIFS($AN$7:$AN$1576,$BU$7:$BU$1576,BU1330,$AQ$7:$AQ$1576,AQ1330,$BO$7:$BO$1576,"&lt;="&amp;BO1330),"")</f>
        <v>0.348667274754231</v>
      </c>
      <c r="AS1330" s="65" t="n">
        <f aca="false">IF(AR1330="",0,MAX(0,MIN(1,(IF(BU1330="L1",Parameter!$E$5,Parameter!$E$6+Parameter!$E$7)-(AR1330-AN1330))/AN1330)))</f>
        <v>1</v>
      </c>
      <c r="AT1330" s="57" t="n">
        <f aca="false">IF(LEFT(Cockpit!$O$5,1)="A",G1330,IF(BW1330=1,BX1330,IF(LEFT(Cockpit!$O$5,1)="B",AX1330,MAX(AX1330,G1330))))</f>
        <v>6000</v>
      </c>
      <c r="AU1330" s="57" t="n">
        <f aca="false">IF(BR1330=1,0,ROUNDUP(AT1330/BQ1330,0))</f>
        <v>0</v>
      </c>
      <c r="AV1330" s="59" t="n">
        <f aca="false">IF(CD1330&gt;0,CD1330*MAX(1,AT1330/V1330),IF(BR1330=1,IF(AT1330&lt;=0,0,BS1330*MAX(1,IF(G1330&gt;0,AT1330/G1330,1))),IF(Q1330&gt;0,AU1330/Q1330,0))/MAX(0.1,N(Parameter!$M$21)))</f>
        <v>0.15</v>
      </c>
      <c r="AW1330" s="57" t="n">
        <f aca="false">AT1330*F1330</f>
        <v>2520</v>
      </c>
      <c r="AX1330" s="57" t="n">
        <f aca="false">ROUNDUP(MAX(I1330/IF(BV1330&gt;0,BV1330,MAX(0.1,N(Cockpit!$O$6))),BY1330)/BQ1330,0)*BQ1330</f>
        <v>6000</v>
      </c>
      <c r="AY1330" s="58" t="n">
        <f aca="false">IF(AV1330&gt;0,I1330/AV1330,-1)</f>
        <v>120000</v>
      </c>
      <c r="AZ1330" s="58" t="n">
        <f aca="false">IF(AND(OR(BU1330="L1",BU1330="L23"),AV1330&gt;0),SUMIFS($AV$7:$AV$1576,$BU$7:$BU$1576,BU1330,$AY$7:$AY$1576,"&gt;"&amp;AY1330)+SUMIFS($AV$7:$AV$1576,$BU$7:$BU$1576,BU1330,$AY$7:$AY$1576,AY1330,$BO$7:$BO$1576,"&lt;="&amp;BO1330),"")</f>
        <v>0.348667274754231</v>
      </c>
      <c r="BA1330" s="65" t="n">
        <f aca="false">IF(AZ1330="",0,MAX(0,MIN(1,(IF(BU1330="L1",Parameter!$E$5,Parameter!$E$6+Parameter!$E$7)-(AZ1330-AV1330))/AV1330)))</f>
        <v>1</v>
      </c>
      <c r="BB1330" s="55" t="str">
        <f aca="false">IF(AF1330&lt;=0,"",IF(BU1330="Aussen","Aussenlager",IF(BU1330="-","Nicht im Lift",IF(AK1330&gt;=1,"Lift",IF(AK1330&lt;=0,"Aussenlager","teilweise")))))</f>
        <v/>
      </c>
      <c r="BC1330" s="55" t="str">
        <f aca="false">IF(AN1330&lt;=0,"",IF(BU1330="Aussen","Aussenlager",IF(BU1330="-","Nicht im Lift",IF(AS1330&gt;=1,"Lift",IF(AS1330&lt;=0,"Aussenlager","teilweise")))))</f>
        <v>Lift</v>
      </c>
      <c r="BD1330" s="55" t="str">
        <f aca="false">IF(AV1330&lt;=0,"",IF(BU1330="Aussen","Aussenlager",IF(BU1330="-","Nicht im Lift",IF(BA1330&gt;=1,"Lift",IF(BA1330&lt;=0,"Aussenlager","teilweise")))))</f>
        <v>Lift</v>
      </c>
      <c r="BE1330" s="55" t="str">
        <f aca="false">IF(A1330="","",IF(BN1330=1,"Neu; ","")&amp;IF(AND(BN1330=0,BI1330&lt;0),"negativer Bestand (Export "&amp;BI1330&amp;"); ","")&amp;IF(I1330&lt;=0,"Kein Verbrauch; ","")&amp;IF(CD1330&gt;0,"Lift "&amp;U1330&amp;" lt. Liftbericht (Fach "&amp;V1330&amp;" Stk); ",IF(BR1330=1,"Lose – Fläche geschätzt; ",""))&amp;IF(G1330&gt;AP1330,"Überbestand "&amp;ROUND(G1330-AP1330,0)&amp;" Stk / CHF "&amp;ROUND((G1330-AP1330)*F1330,0)&amp;"; ","")&amp;IF(AND(BW1330=1,BX1330&lt;BY1330),"MAX &lt; MB+LG; ","")&amp;IF(AND(CC1330&gt;0,CB1330*10&gt;CC1330),"zu hoch für Tablar; ","")&amp;IF(AND(BN1330=0,OR(BW1330=1,Y1330&lt;&gt;"",S1330&lt;&gt;"",T1330&lt;&gt;"",Z1330&lt;&gt;"")),"manuell übersteuert; ","")&amp;IF(AND(BR1330=0,Q1330=0),"Gebinde unbekannt / Stellmass fehlt; ","")&amp;IF(AND(BR1330=0,N(T1330)&lt;=0,N(P1330)&lt;=0),"Menge pro Gebinde fehlt (Ist = 1 Gebinde); ","")&amp;BM1330)</f>
        <v>negativer Bestand (Export -4000); Lose – Fläche geschätzt; </v>
      </c>
      <c r="BF1330" s="55"/>
      <c r="BG1330" s="55"/>
      <c r="BH1330" s="62"/>
      <c r="BI1330" s="57" t="n">
        <v>-4000</v>
      </c>
      <c r="BJ1330" s="57" t="n">
        <v>4000</v>
      </c>
      <c r="BK1330" s="56" t="n">
        <v>-1560</v>
      </c>
      <c r="BL1330" s="57" t="n">
        <v>18000</v>
      </c>
      <c r="BM1330" s="55"/>
      <c r="BN1330" s="60" t="n">
        <v>0</v>
      </c>
      <c r="BO1330" s="60" t="n">
        <v>1330</v>
      </c>
      <c r="BP1330" s="55" t="str">
        <f aca="false">IF(S1330&lt;&gt;"",UPPER(TRIM(S1330)),IF(O1330="","LOSE",O1330))</f>
        <v>LOSE</v>
      </c>
      <c r="BQ1330" s="57" t="n">
        <f aca="false">IF(BP1330="LOSE",1,IF(N(T1330)&gt;0,T1330,IF(N(P1330)&gt;0,P1330,MAX(1,G1330))))</f>
        <v>1</v>
      </c>
      <c r="BR1330" s="60" t="n">
        <f aca="false">IF(BP1330="LOSE",1,0)</f>
        <v>1</v>
      </c>
      <c r="BS1330" s="59" t="n">
        <f aca="false">IF(BR1330=0,0,IF(N(R1330)&gt;0,R1330,IFERROR(VLOOKUP(D1330,Parameter!$A$35:$C$64,3,0)+0,0)))</f>
        <v>0.15</v>
      </c>
      <c r="BT1330" s="55" t="n">
        <f aca="false">IF(Y1330&lt;&gt;"",Y1330,X1330)</f>
        <v>2</v>
      </c>
      <c r="BU1330" s="55" t="str">
        <f aca="false">IF(BT1330=1,"L1",IF(OR(BT1330=2,BT1330=3),"L23",IF(BT1330="Aussen","Aussen","-")))</f>
        <v>L23</v>
      </c>
      <c r="BV1330" s="66" t="n">
        <f aca="false">IF(N(Z1330)&gt;0,Z1330,0)</f>
        <v>0</v>
      </c>
      <c r="BW1330" s="60" t="n">
        <f aca="false">IF(ISNUMBER(AC1330),1,0)</f>
        <v>0</v>
      </c>
      <c r="BX1330" s="57" t="n">
        <f aca="false">N(AC1330)</f>
        <v>0</v>
      </c>
      <c r="BY1330" s="57" t="n">
        <f aca="false">N(L1330)+N(M1330)</f>
        <v>200</v>
      </c>
      <c r="BZ1330" s="57" t="n">
        <f aca="false">ROUNDUP(G1330/BQ1330,0)</f>
        <v>0</v>
      </c>
      <c r="CA1330" s="57" t="n">
        <f aca="false">ROUNDUP(BX1330/BQ1330,0)</f>
        <v>0</v>
      </c>
      <c r="CB1330" s="60" t="n">
        <f aca="false">IF(BR1330=1,0,IFERROR(VLOOKUP(BP1330,'Gebinde-Kategorie'!$A$5:$M$45,5,0)+0,0))</f>
        <v>0</v>
      </c>
      <c r="CC1330" s="60" t="n">
        <f aca="false">IFERROR(IF(OR(BT1330=1,BT1330=2,BT1330=3),N(INDEX(Parameter!$I$5:$I$7,BT1330)),0),0)</f>
        <v>0</v>
      </c>
      <c r="CD1330" s="59" t="n">
        <f aca="false">IF(AND(Parameter!$B$21="Ja",ISNUMBER(U1330),N(V1330)&gt;0),IFERROR(N(INDEX(Parameter!$L$5:$L$7,U1330))*INDEX(Parameter!$E$5:$E$7,U1330)*V1330/SUMIFS($V$7:$V$1576,$U$7:$U$1576,U1330),0),0)</f>
        <v>0</v>
      </c>
    </row>
    <row r="1331" customFormat="false" ht="15" hidden="false" customHeight="false" outlineLevel="0" collapsed="false">
      <c r="A1331" s="55" t="s">
        <v>2347</v>
      </c>
      <c r="B1331" s="55" t="s">
        <v>2348</v>
      </c>
      <c r="C1331" s="55" t="s">
        <v>160</v>
      </c>
      <c r="D1331" s="55" t="s">
        <v>178</v>
      </c>
      <c r="E1331" s="55" t="s">
        <v>210</v>
      </c>
      <c r="F1331" s="56" t="n">
        <v>29.51</v>
      </c>
      <c r="G1331" s="57" t="n">
        <f aca="false">MAX(0,IF(AND(Parameter!$B$21="Ja",ISNUMBER(W1331)),W1331,IF(Parameter!$B$20="Jahresanfang 2025 + Export",BJ1331+BI1331,BI1331)))</f>
        <v>0</v>
      </c>
      <c r="H1331" s="57" t="n">
        <f aca="false">G1331*F1331</f>
        <v>0</v>
      </c>
      <c r="I1331" s="57" t="n">
        <f aca="false">BL1331*Parameter!$B$18</f>
        <v>3</v>
      </c>
      <c r="J1331" s="58" t="n">
        <v>56</v>
      </c>
      <c r="K1331" s="59" t="n">
        <v>0.0535714285714286</v>
      </c>
      <c r="L1331" s="57" t="n">
        <v>0</v>
      </c>
      <c r="M1331" s="57" t="n">
        <v>5</v>
      </c>
      <c r="N1331" s="60" t="n">
        <v>28</v>
      </c>
      <c r="O1331" s="55" t="s">
        <v>293</v>
      </c>
      <c r="P1331" s="57" t="n">
        <v>25</v>
      </c>
      <c r="Q1331" s="60" t="n">
        <f aca="false">IF(BR1331=1,0,IFERROR(VLOOKUP(BP1331,'Gebinde-Kategorie'!$A$5:$M$45,13,0)+0,0))</f>
        <v>26</v>
      </c>
      <c r="R1331" s="61"/>
      <c r="S1331" s="62"/>
      <c r="T1331" s="62"/>
      <c r="U1331" s="55"/>
      <c r="V1331" s="57"/>
      <c r="W1331" s="57"/>
      <c r="X1331" s="55" t="n">
        <f aca="false">IF(A1331="","",IF(AND(Parameter!$B$21="Ja",ISNUMBER(U1331)),U1331,IF(IFERROR(VLOOKUP(D1331,Parameter!$A$35:$C$64,2,0),"Nein")="2+3",IF(ISNUMBER(SEARCH("grosser Artikel",BM1331)),2,IFERROR(VLOOKUP(BP1331,Parameter!$F$35:$G$64,2,0),2)),IF(OR(IFERROR(VLOOKUP(D1331,Parameter!$A$35:$C$64,2,0),"Nein")="Nein",IFERROR(VLOOKUP(D1331,Parameter!$A$35:$C$64,2,0),"Nein")=""),"-",VLOOKUP(D1331,Parameter!$A$35:$C$64,2,0)))))</f>
        <v>3</v>
      </c>
      <c r="Y1331" s="62"/>
      <c r="Z1331" s="63"/>
      <c r="AA1331" s="57" t="n">
        <f aca="false">AP1331</f>
        <v>25</v>
      </c>
      <c r="AB1331" s="57" t="n">
        <f aca="false">MAX(AP1331,G1331)</f>
        <v>25</v>
      </c>
      <c r="AC1331" s="64"/>
      <c r="AD1331" s="57" t="n">
        <f aca="false">IF(LEFT(Cockpit!$C$5,1)="A",G1331,IF(BW1331=1,BX1331,IF(LEFT(Cockpit!$C$5,1)="B",AH1331,MAX(AH1331,G1331))))</f>
        <v>0</v>
      </c>
      <c r="AE1331" s="57" t="n">
        <f aca="false">IF(BR1331=1,0,ROUNDUP(AD1331/BQ1331,0))</f>
        <v>0</v>
      </c>
      <c r="AF1331" s="59" t="n">
        <f aca="false">IF(CD1331&gt;0,CD1331*MAX(1,AD1331/V1331),IF(BR1331=1,IF(AD1331&lt;=0,0,BS1331*MAX(1,IF(G1331&gt;0,AD1331/G1331,1))),IF(Q1331&gt;0,AE1331/Q1331,0))/MAX(0.1,N(Parameter!$M$21)))</f>
        <v>0</v>
      </c>
      <c r="AG1331" s="57" t="n">
        <f aca="false">AD1331*F1331</f>
        <v>0</v>
      </c>
      <c r="AH1331" s="57" t="n">
        <f aca="false">ROUNDUP(MAX(I1331/IF(BV1331&gt;0,BV1331,MAX(0.1,N(Cockpit!$C$6))),BY1331)/BQ1331,0)*BQ1331</f>
        <v>25</v>
      </c>
      <c r="AI1331" s="58" t="n">
        <f aca="false">IF(AF1331&gt;0,I1331/AF1331,-1)</f>
        <v>-1</v>
      </c>
      <c r="AJ1331" s="58" t="str">
        <f aca="false">IF(AND(OR(BU1331="L1",BU1331="L23"),AF1331&gt;0),SUMIFS($AF$7:$AF$1576,$BU$7:$BU$1576,BU1331,$AI$7:$AI$1576,"&gt;"&amp;AI1331)+SUMIFS($AF$7:$AF$1576,$BU$7:$BU$1576,BU1331,$AI$7:$AI$1576,AI1331,$BO$7:$BO$1576,"&lt;="&amp;BO1331),"")</f>
        <v/>
      </c>
      <c r="AK1331" s="65" t="n">
        <f aca="false">IF(AJ1331="",0,MAX(0,MIN(1,(IF(BU1331="L1",Parameter!$E$5,Parameter!$E$6+Parameter!$E$7)-(AJ1331-AF1331))/AF1331)))</f>
        <v>0</v>
      </c>
      <c r="AL1331" s="57" t="n">
        <f aca="false">IF(LEFT(Cockpit!$I$5,1)="A",G1331,IF(BW1331=1,BX1331,IF(LEFT(Cockpit!$I$5,1)="B",AP1331,MAX(AP1331,G1331))))</f>
        <v>25</v>
      </c>
      <c r="AM1331" s="57" t="n">
        <f aca="false">IF(BR1331=1,0,ROUNDUP(AL1331/BQ1331,0))</f>
        <v>1</v>
      </c>
      <c r="AN1331" s="59" t="n">
        <f aca="false">IF(CD1331&gt;0,CD1331*MAX(1,AL1331/V1331),IF(BR1331=1,IF(AL1331&lt;=0,0,BS1331*MAX(1,IF(G1331&gt;0,AL1331/G1331,1))),IF(Q1331&gt;0,AM1331/Q1331,0))/MAX(0.1,N(Parameter!$M$21)))</f>
        <v>0.0384615384615385</v>
      </c>
      <c r="AO1331" s="57" t="n">
        <f aca="false">AL1331*F1331</f>
        <v>737.75</v>
      </c>
      <c r="AP1331" s="57" t="n">
        <f aca="false">ROUNDUP(MAX(I1331/IF(BV1331&gt;0,BV1331,MAX(0.1,N(Cockpit!$I$6))),BY1331)/BQ1331,0)*BQ1331</f>
        <v>25</v>
      </c>
      <c r="AQ1331" s="58" t="n">
        <f aca="false">IF(AN1331&gt;0,I1331/AN1331,-1)</f>
        <v>78</v>
      </c>
      <c r="AR1331" s="58" t="n">
        <f aca="false">IF(AND(OR(BU1331="L1",BU1331="L23"),AN1331&gt;0),SUMIFS($AN$7:$AN$1576,$BU$7:$BU$1576,BU1331,$AQ$7:$AQ$1576,"&gt;"&amp;AQ1331)+SUMIFS($AN$7:$AN$1576,$BU$7:$BU$1576,BU1331,$AQ$7:$AQ$1576,AQ1331,$BO$7:$BO$1576,"&lt;="&amp;BO1331),"")</f>
        <v>74.6956280618892</v>
      </c>
      <c r="AS1331" s="65" t="n">
        <f aca="false">IF(AR1331="",0,MAX(0,MIN(1,(IF(BU1331="L1",Parameter!$E$5,Parameter!$E$6+Parameter!$E$7)-(AR1331-AN1331))/AN1331)))</f>
        <v>1</v>
      </c>
      <c r="AT1331" s="57" t="n">
        <f aca="false">IF(LEFT(Cockpit!$O$5,1)="A",G1331,IF(BW1331=1,BX1331,IF(LEFT(Cockpit!$O$5,1)="B",AX1331,MAX(AX1331,G1331))))</f>
        <v>25</v>
      </c>
      <c r="AU1331" s="57" t="n">
        <f aca="false">IF(BR1331=1,0,ROUNDUP(AT1331/BQ1331,0))</f>
        <v>1</v>
      </c>
      <c r="AV1331" s="59" t="n">
        <f aca="false">IF(CD1331&gt;0,CD1331*MAX(1,AT1331/V1331),IF(BR1331=1,IF(AT1331&lt;=0,0,BS1331*MAX(1,IF(G1331&gt;0,AT1331/G1331,1))),IF(Q1331&gt;0,AU1331/Q1331,0))/MAX(0.1,N(Parameter!$M$21)))</f>
        <v>0.0384615384615385</v>
      </c>
      <c r="AW1331" s="57" t="n">
        <f aca="false">AT1331*F1331</f>
        <v>737.75</v>
      </c>
      <c r="AX1331" s="57" t="n">
        <f aca="false">ROUNDUP(MAX(I1331/IF(BV1331&gt;0,BV1331,MAX(0.1,N(Cockpit!$O$6))),BY1331)/BQ1331,0)*BQ1331</f>
        <v>25</v>
      </c>
      <c r="AY1331" s="58" t="n">
        <f aca="false">IF(AV1331&gt;0,I1331/AV1331,-1)</f>
        <v>78</v>
      </c>
      <c r="AZ1331" s="58" t="n">
        <f aca="false">IF(AND(OR(BU1331="L1",BU1331="L23"),AV1331&gt;0),SUMIFS($AV$7:$AV$1576,$BU$7:$BU$1576,BU1331,$AY$7:$AY$1576,"&gt;"&amp;AY1331)+SUMIFS($AV$7:$AV$1576,$BU$7:$BU$1576,BU1331,$AY$7:$AY$1576,AY1331,$BO$7:$BO$1576,"&lt;="&amp;BO1331),"")</f>
        <v>68.868511844773</v>
      </c>
      <c r="BA1331" s="65" t="n">
        <f aca="false">IF(AZ1331="",0,MAX(0,MIN(1,(IF(BU1331="L1",Parameter!$E$5,Parameter!$E$6+Parameter!$E$7)-(AZ1331-AV1331))/AV1331)))</f>
        <v>1</v>
      </c>
      <c r="BB1331" s="55" t="str">
        <f aca="false">IF(AF1331&lt;=0,"",IF(BU1331="Aussen","Aussenlager",IF(BU1331="-","Nicht im Lift",IF(AK1331&gt;=1,"Lift",IF(AK1331&lt;=0,"Aussenlager","teilweise")))))</f>
        <v/>
      </c>
      <c r="BC1331" s="55" t="str">
        <f aca="false">IF(AN1331&lt;=0,"",IF(BU1331="Aussen","Aussenlager",IF(BU1331="-","Nicht im Lift",IF(AS1331&gt;=1,"Lift",IF(AS1331&lt;=0,"Aussenlager","teilweise")))))</f>
        <v>Lift</v>
      </c>
      <c r="BD1331" s="55" t="str">
        <f aca="false">IF(AV1331&lt;=0,"",IF(BU1331="Aussen","Aussenlager",IF(BU1331="-","Nicht im Lift",IF(BA1331&gt;=1,"Lift",IF(BA1331&lt;=0,"Aussenlager","teilweise")))))</f>
        <v>Lift</v>
      </c>
      <c r="BE1331" s="55" t="str">
        <f aca="false">IF(A1331="","",IF(BN1331=1,"Neu; ","")&amp;IF(AND(BN1331=0,BI1331&lt;0),"negativer Bestand (Export "&amp;BI1331&amp;"); ","")&amp;IF(I1331&lt;=0,"Kein Verbrauch; ","")&amp;IF(CD1331&gt;0,"Lift "&amp;U1331&amp;" lt. Liftbericht (Fach "&amp;V1331&amp;" Stk); ",IF(BR1331=1,"Lose – Fläche geschätzt; ",""))&amp;IF(G1331&gt;AP1331,"Überbestand "&amp;ROUND(G1331-AP1331,0)&amp;" Stk / CHF "&amp;ROUND((G1331-AP1331)*F1331,0)&amp;"; ","")&amp;IF(AND(BW1331=1,BX1331&lt;BY1331),"MAX &lt; MB+LG; ","")&amp;IF(AND(CC1331&gt;0,CB1331*10&gt;CC1331),"zu hoch für Tablar; ","")&amp;IF(AND(BN1331=0,OR(BW1331=1,Y1331&lt;&gt;"",S1331&lt;&gt;"",T1331&lt;&gt;"",Z1331&lt;&gt;"")),"manuell übersteuert; ","")&amp;IF(AND(BR1331=0,Q1331=0),"Gebinde unbekannt / Stellmass fehlt; ","")&amp;IF(AND(BR1331=0,N(T1331)&lt;=0,N(P1331)&lt;=0),"Menge pro Gebinde fehlt (Ist = 1 Gebinde); ","")&amp;BM1331)</f>
        <v>negativer Bestand (Export -54); i.o</v>
      </c>
      <c r="BF1331" s="55"/>
      <c r="BG1331" s="55"/>
      <c r="BH1331" s="62"/>
      <c r="BI1331" s="57" t="n">
        <v>-54</v>
      </c>
      <c r="BJ1331" s="57" t="n">
        <v>58</v>
      </c>
      <c r="BK1331" s="56" t="n">
        <v>-1593.54</v>
      </c>
      <c r="BL1331" s="57" t="n">
        <v>3</v>
      </c>
      <c r="BM1331" s="55" t="s">
        <v>525</v>
      </c>
      <c r="BN1331" s="60" t="n">
        <v>0</v>
      </c>
      <c r="BO1331" s="60" t="n">
        <v>1331</v>
      </c>
      <c r="BP1331" s="55" t="str">
        <f aca="false">IF(S1331&lt;&gt;"",UPPER(TRIM(S1331)),IF(O1331="","LOSE",O1331))</f>
        <v>S51</v>
      </c>
      <c r="BQ1331" s="57" t="n">
        <f aca="false">IF(BP1331="LOSE",1,IF(N(T1331)&gt;0,T1331,IF(N(P1331)&gt;0,P1331,MAX(1,G1331))))</f>
        <v>25</v>
      </c>
      <c r="BR1331" s="60" t="n">
        <f aca="false">IF(BP1331="LOSE",1,0)</f>
        <v>0</v>
      </c>
      <c r="BS1331" s="59" t="n">
        <f aca="false">IF(BR1331=0,0,IF(N(R1331)&gt;0,R1331,IFERROR(VLOOKUP(D1331,Parameter!$A$35:$C$64,3,0)+0,0)))</f>
        <v>0</v>
      </c>
      <c r="BT1331" s="55" t="n">
        <f aca="false">IF(Y1331&lt;&gt;"",Y1331,X1331)</f>
        <v>3</v>
      </c>
      <c r="BU1331" s="55" t="str">
        <f aca="false">IF(BT1331=1,"L1",IF(OR(BT1331=2,BT1331=3),"L23",IF(BT1331="Aussen","Aussen","-")))</f>
        <v>L23</v>
      </c>
      <c r="BV1331" s="66" t="n">
        <f aca="false">IF(N(Z1331)&gt;0,Z1331,0)</f>
        <v>0</v>
      </c>
      <c r="BW1331" s="60" t="n">
        <f aca="false">IF(ISNUMBER(AC1331),1,0)</f>
        <v>0</v>
      </c>
      <c r="BX1331" s="57" t="n">
        <f aca="false">N(AC1331)</f>
        <v>0</v>
      </c>
      <c r="BY1331" s="57" t="n">
        <f aca="false">N(L1331)+N(M1331)</f>
        <v>5</v>
      </c>
      <c r="BZ1331" s="57" t="n">
        <f aca="false">ROUNDUP(G1331/BQ1331,0)</f>
        <v>0</v>
      </c>
      <c r="CA1331" s="57" t="n">
        <f aca="false">ROUNDUP(BX1331/BQ1331,0)</f>
        <v>0</v>
      </c>
      <c r="CB1331" s="60" t="n">
        <f aca="false">IF(BR1331=1,0,IFERROR(VLOOKUP(BP1331,'Gebinde-Kategorie'!$A$5:$M$45,5,0)+0,0))</f>
        <v>11</v>
      </c>
      <c r="CC1331" s="60" t="n">
        <f aca="false">IFERROR(IF(OR(BT1331=1,BT1331=2,BT1331=3),N(INDEX(Parameter!$I$5:$I$7,BT1331)),0),0)</f>
        <v>0</v>
      </c>
      <c r="CD1331" s="59" t="n">
        <f aca="false">IF(AND(Parameter!$B$21="Ja",ISNUMBER(U1331),N(V1331)&gt;0),IFERROR(N(INDEX(Parameter!$L$5:$L$7,U1331))*INDEX(Parameter!$E$5:$E$7,U1331)*V1331/SUMIFS($V$7:$V$1576,$U$7:$U$1576,U1331),0),0)</f>
        <v>0</v>
      </c>
    </row>
    <row r="1332" customFormat="false" ht="15" hidden="false" customHeight="false" outlineLevel="0" collapsed="false">
      <c r="A1332" s="55" t="s">
        <v>2349</v>
      </c>
      <c r="B1332" s="55" t="s">
        <v>395</v>
      </c>
      <c r="C1332" s="55" t="s">
        <v>160</v>
      </c>
      <c r="D1332" s="55" t="s">
        <v>168</v>
      </c>
      <c r="E1332" s="55" t="s">
        <v>210</v>
      </c>
      <c r="F1332" s="56" t="n">
        <v>0.57</v>
      </c>
      <c r="G1332" s="57" t="n">
        <f aca="false">MAX(0,IF(AND(Parameter!$B$21="Ja",ISNUMBER(W1332)),W1332,IF(Parameter!$B$20="Jahresanfang 2025 + Export",BJ1332+BI1332,BI1332)))</f>
        <v>0</v>
      </c>
      <c r="H1332" s="57" t="n">
        <f aca="false">G1332*F1332</f>
        <v>0</v>
      </c>
      <c r="I1332" s="57" t="n">
        <f aca="false">BL1332*Parameter!$B$18</f>
        <v>4436</v>
      </c>
      <c r="J1332" s="58" t="n">
        <v>2976</v>
      </c>
      <c r="K1332" s="59" t="n">
        <v>1.49059139784946</v>
      </c>
      <c r="L1332" s="57" t="n">
        <v>258</v>
      </c>
      <c r="M1332" s="57" t="n">
        <v>1000</v>
      </c>
      <c r="N1332" s="60" t="n">
        <v>21</v>
      </c>
      <c r="O1332" s="55" t="s">
        <v>169</v>
      </c>
      <c r="P1332" s="57" t="n">
        <v>1109</v>
      </c>
      <c r="Q1332" s="60" t="n">
        <f aca="false">IF(BR1332=1,0,IFERROR(VLOOKUP(BP1332,'Gebinde-Kategorie'!$A$5:$M$45,13,0)+0,0))</f>
        <v>6</v>
      </c>
      <c r="R1332" s="61"/>
      <c r="S1332" s="62"/>
      <c r="T1332" s="62"/>
      <c r="U1332" s="55"/>
      <c r="V1332" s="57"/>
      <c r="W1332" s="57"/>
      <c r="X1332" s="55" t="n">
        <f aca="false">IF(A1332="","",IF(AND(Parameter!$B$21="Ja",ISNUMBER(U1332)),U1332,IF(IFERROR(VLOOKUP(D1332,Parameter!$A$35:$C$64,2,0),"Nein")="2+3",IF(ISNUMBER(SEARCH("grosser Artikel",BM1332)),2,IFERROR(VLOOKUP(BP1332,Parameter!$F$35:$G$64,2,0),2)),IF(OR(IFERROR(VLOOKUP(D1332,Parameter!$A$35:$C$64,2,0),"Nein")="Nein",IFERROR(VLOOKUP(D1332,Parameter!$A$35:$C$64,2,0),"Nein")=""),"-",VLOOKUP(D1332,Parameter!$A$35:$C$64,2,0)))))</f>
        <v>2</v>
      </c>
      <c r="Y1332" s="62"/>
      <c r="Z1332" s="63"/>
      <c r="AA1332" s="57" t="n">
        <f aca="false">AP1332</f>
        <v>2218</v>
      </c>
      <c r="AB1332" s="57" t="n">
        <f aca="false">MAX(AP1332,G1332)</f>
        <v>2218</v>
      </c>
      <c r="AC1332" s="64"/>
      <c r="AD1332" s="57" t="n">
        <f aca="false">IF(LEFT(Cockpit!$C$5,1)="A",G1332,IF(BW1332=1,BX1332,IF(LEFT(Cockpit!$C$5,1)="B",AH1332,MAX(AH1332,G1332))))</f>
        <v>0</v>
      </c>
      <c r="AE1332" s="57" t="n">
        <f aca="false">IF(BR1332=1,0,ROUNDUP(AD1332/BQ1332,0))</f>
        <v>0</v>
      </c>
      <c r="AF1332" s="59" t="n">
        <f aca="false">IF(CD1332&gt;0,CD1332*MAX(1,AD1332/V1332),IF(BR1332=1,IF(AD1332&lt;=0,0,BS1332*MAX(1,IF(G1332&gt;0,AD1332/G1332,1))),IF(Q1332&gt;0,AE1332/Q1332,0))/MAX(0.1,N(Parameter!$M$21)))</f>
        <v>0</v>
      </c>
      <c r="AG1332" s="57" t="n">
        <f aca="false">AD1332*F1332</f>
        <v>0</v>
      </c>
      <c r="AH1332" s="57" t="n">
        <f aca="false">ROUNDUP(MAX(I1332/IF(BV1332&gt;0,BV1332,MAX(0.1,N(Cockpit!$C$6))),BY1332)/BQ1332,0)*BQ1332</f>
        <v>2218</v>
      </c>
      <c r="AI1332" s="58" t="n">
        <f aca="false">IF(AF1332&gt;0,I1332/AF1332,-1)</f>
        <v>-1</v>
      </c>
      <c r="AJ1332" s="58" t="str">
        <f aca="false">IF(AND(OR(BU1332="L1",BU1332="L23"),AF1332&gt;0),SUMIFS($AF$7:$AF$1576,$BU$7:$BU$1576,BU1332,$AI$7:$AI$1576,"&gt;"&amp;AI1332)+SUMIFS($AF$7:$AF$1576,$BU$7:$BU$1576,BU1332,$AI$7:$AI$1576,AI1332,$BO$7:$BO$1576,"&lt;="&amp;BO1332),"")</f>
        <v/>
      </c>
      <c r="AK1332" s="65" t="n">
        <f aca="false">IF(AJ1332="",0,MAX(0,MIN(1,(IF(BU1332="L1",Parameter!$E$5,Parameter!$E$6+Parameter!$E$7)-(AJ1332-AF1332))/AF1332)))</f>
        <v>0</v>
      </c>
      <c r="AL1332" s="57" t="n">
        <f aca="false">IF(LEFT(Cockpit!$I$5,1)="A",G1332,IF(BW1332=1,BX1332,IF(LEFT(Cockpit!$I$5,1)="B",AP1332,MAX(AP1332,G1332))))</f>
        <v>2218</v>
      </c>
      <c r="AM1332" s="57" t="n">
        <f aca="false">IF(BR1332=1,0,ROUNDUP(AL1332/BQ1332,0))</f>
        <v>2</v>
      </c>
      <c r="AN1332" s="59" t="n">
        <f aca="false">IF(CD1332&gt;0,CD1332*MAX(1,AL1332/V1332),IF(BR1332=1,IF(AL1332&lt;=0,0,BS1332*MAX(1,IF(G1332&gt;0,AL1332/G1332,1))),IF(Q1332&gt;0,AM1332/Q1332,0))/MAX(0.1,N(Parameter!$M$21)))</f>
        <v>0.333333333333333</v>
      </c>
      <c r="AO1332" s="57" t="n">
        <f aca="false">AL1332*F1332</f>
        <v>1264.26</v>
      </c>
      <c r="AP1332" s="57" t="n">
        <f aca="false">ROUNDUP(MAX(I1332/IF(BV1332&gt;0,BV1332,MAX(0.1,N(Cockpit!$I$6))),BY1332)/BQ1332,0)*BQ1332</f>
        <v>2218</v>
      </c>
      <c r="AQ1332" s="58" t="n">
        <f aca="false">IF(AN1332&gt;0,I1332/AN1332,-1)</f>
        <v>13308</v>
      </c>
      <c r="AR1332" s="58" t="n">
        <f aca="false">IF(AND(OR(BU1332="L1",BU1332="L23"),AN1332&gt;0),SUMIFS($AN$7:$AN$1576,$BU$7:$BU$1576,BU1332,$AQ$7:$AQ$1576,"&gt;"&amp;AQ1332)+SUMIFS($AN$7:$AN$1576,$BU$7:$BU$1576,BU1332,$AQ$7:$AQ$1576,AQ1332,$BO$7:$BO$1576,"&lt;="&amp;BO1332),"")</f>
        <v>6.07108003108003</v>
      </c>
      <c r="AS1332" s="65" t="n">
        <f aca="false">IF(AR1332="",0,MAX(0,MIN(1,(IF(BU1332="L1",Parameter!$E$5,Parameter!$E$6+Parameter!$E$7)-(AR1332-AN1332))/AN1332)))</f>
        <v>1</v>
      </c>
      <c r="AT1332" s="57" t="n">
        <f aca="false">IF(LEFT(Cockpit!$O$5,1)="A",G1332,IF(BW1332=1,BX1332,IF(LEFT(Cockpit!$O$5,1)="B",AX1332,MAX(AX1332,G1332))))</f>
        <v>2218</v>
      </c>
      <c r="AU1332" s="57" t="n">
        <f aca="false">IF(BR1332=1,0,ROUNDUP(AT1332/BQ1332,0))</f>
        <v>2</v>
      </c>
      <c r="AV1332" s="59" t="n">
        <f aca="false">IF(CD1332&gt;0,CD1332*MAX(1,AT1332/V1332),IF(BR1332=1,IF(AT1332&lt;=0,0,BS1332*MAX(1,IF(G1332&gt;0,AT1332/G1332,1))),IF(Q1332&gt;0,AU1332/Q1332,0))/MAX(0.1,N(Parameter!$M$21)))</f>
        <v>0.333333333333333</v>
      </c>
      <c r="AW1332" s="57" t="n">
        <f aca="false">AT1332*F1332</f>
        <v>1264.26</v>
      </c>
      <c r="AX1332" s="57" t="n">
        <f aca="false">ROUNDUP(MAX(I1332/IF(BV1332&gt;0,BV1332,MAX(0.1,N(Cockpit!$O$6))),BY1332)/BQ1332,0)*BQ1332</f>
        <v>2218</v>
      </c>
      <c r="AY1332" s="58" t="n">
        <f aca="false">IF(AV1332&gt;0,I1332/AV1332,-1)</f>
        <v>13308</v>
      </c>
      <c r="AZ1332" s="58" t="n">
        <f aca="false">IF(AND(OR(BU1332="L1",BU1332="L23"),AV1332&gt;0),SUMIFS($AV$7:$AV$1576,$BU$7:$BU$1576,BU1332,$AY$7:$AY$1576,"&gt;"&amp;AY1332)+SUMIFS($AV$7:$AV$1576,$BU$7:$BU$1576,BU1332,$AY$7:$AY$1576,AY1332,$BO$7:$BO$1576,"&lt;="&amp;BO1332),"")</f>
        <v>5.61886557886558</v>
      </c>
      <c r="BA1332" s="65" t="n">
        <f aca="false">IF(AZ1332="",0,MAX(0,MIN(1,(IF(BU1332="L1",Parameter!$E$5,Parameter!$E$6+Parameter!$E$7)-(AZ1332-AV1332))/AV1332)))</f>
        <v>1</v>
      </c>
      <c r="BB1332" s="55" t="str">
        <f aca="false">IF(AF1332&lt;=0,"",IF(BU1332="Aussen","Aussenlager",IF(BU1332="-","Nicht im Lift",IF(AK1332&gt;=1,"Lift",IF(AK1332&lt;=0,"Aussenlager","teilweise")))))</f>
        <v/>
      </c>
      <c r="BC1332" s="55" t="str">
        <f aca="false">IF(AN1332&lt;=0,"",IF(BU1332="Aussen","Aussenlager",IF(BU1332="-","Nicht im Lift",IF(AS1332&gt;=1,"Lift",IF(AS1332&lt;=0,"Aussenlager","teilweise")))))</f>
        <v>Lift</v>
      </c>
      <c r="BD1332" s="55" t="str">
        <f aca="false">IF(AV1332&lt;=0,"",IF(BU1332="Aussen","Aussenlager",IF(BU1332="-","Nicht im Lift",IF(BA1332&gt;=1,"Lift",IF(BA1332&lt;=0,"Aussenlager","teilweise")))))</f>
        <v>Lift</v>
      </c>
      <c r="BE1332" s="55" t="str">
        <f aca="false">IF(A1332="","",IF(BN1332=1,"Neu; ","")&amp;IF(AND(BN1332=0,BI1332&lt;0),"negativer Bestand (Export "&amp;BI1332&amp;"); ","")&amp;IF(I1332&lt;=0,"Kein Verbrauch; ","")&amp;IF(CD1332&gt;0,"Lift "&amp;U1332&amp;" lt. Liftbericht (Fach "&amp;V1332&amp;" Stk); ",IF(BR1332=1,"Lose – Fläche geschätzt; ",""))&amp;IF(G1332&gt;AP1332,"Überbestand "&amp;ROUND(G1332-AP1332,0)&amp;" Stk / CHF "&amp;ROUND((G1332-AP1332)*F1332,0)&amp;"; ","")&amp;IF(AND(BW1332=1,BX1332&lt;BY1332),"MAX &lt; MB+LG; ","")&amp;IF(AND(CC1332&gt;0,CB1332*10&gt;CC1332),"zu hoch für Tablar; ","")&amp;IF(AND(BN1332=0,OR(BW1332=1,Y1332&lt;&gt;"",S1332&lt;&gt;"",T1332&lt;&gt;"",Z1332&lt;&gt;"")),"manuell übersteuert; ","")&amp;IF(AND(BR1332=0,Q1332=0),"Gebinde unbekannt / Stellmass fehlt; ","")&amp;IF(AND(BR1332=0,N(T1332)&lt;=0,N(P1332)&lt;=0),"Menge pro Gebinde fehlt (Ist = 1 Gebinde); ","")&amp;BM1332)</f>
        <v>negativer Bestand (Export -2649); grosse  Artikelmenge</v>
      </c>
      <c r="BF1332" s="55"/>
      <c r="BG1332" s="55"/>
      <c r="BH1332" s="62"/>
      <c r="BI1332" s="57" t="n">
        <v>-2649</v>
      </c>
      <c r="BJ1332" s="57" t="n">
        <v>3116</v>
      </c>
      <c r="BK1332" s="56" t="n">
        <v>-1602.66</v>
      </c>
      <c r="BL1332" s="57" t="n">
        <v>4436</v>
      </c>
      <c r="BM1332" s="55" t="s">
        <v>1594</v>
      </c>
      <c r="BN1332" s="60" t="n">
        <v>0</v>
      </c>
      <c r="BO1332" s="60" t="n">
        <v>1332</v>
      </c>
      <c r="BP1332" s="55" t="str">
        <f aca="false">IF(S1332&lt;&gt;"",UPPER(TRIM(S1332)),IF(O1332="","LOSE",O1332))</f>
        <v>S71</v>
      </c>
      <c r="BQ1332" s="57" t="n">
        <f aca="false">IF(BP1332="LOSE",1,IF(N(T1332)&gt;0,T1332,IF(N(P1332)&gt;0,P1332,MAX(1,G1332))))</f>
        <v>1109</v>
      </c>
      <c r="BR1332" s="60" t="n">
        <f aca="false">IF(BP1332="LOSE",1,0)</f>
        <v>0</v>
      </c>
      <c r="BS1332" s="59" t="n">
        <f aca="false">IF(BR1332=0,0,IF(N(R1332)&gt;0,R1332,IFERROR(VLOOKUP(D1332,Parameter!$A$35:$C$64,3,0)+0,0)))</f>
        <v>0</v>
      </c>
      <c r="BT1332" s="55" t="n">
        <f aca="false">IF(Y1332&lt;&gt;"",Y1332,X1332)</f>
        <v>2</v>
      </c>
      <c r="BU1332" s="55" t="str">
        <f aca="false">IF(BT1332=1,"L1",IF(OR(BT1332=2,BT1332=3),"L23",IF(BT1332="Aussen","Aussen","-")))</f>
        <v>L23</v>
      </c>
      <c r="BV1332" s="66" t="n">
        <f aca="false">IF(N(Z1332)&gt;0,Z1332,0)</f>
        <v>0</v>
      </c>
      <c r="BW1332" s="60" t="n">
        <f aca="false">IF(ISNUMBER(AC1332),1,0)</f>
        <v>0</v>
      </c>
      <c r="BX1332" s="57" t="n">
        <f aca="false">N(AC1332)</f>
        <v>0</v>
      </c>
      <c r="BY1332" s="57" t="n">
        <f aca="false">N(L1332)+N(M1332)</f>
        <v>1258</v>
      </c>
      <c r="BZ1332" s="57" t="n">
        <f aca="false">ROUNDUP(G1332/BQ1332,0)</f>
        <v>0</v>
      </c>
      <c r="CA1332" s="57" t="n">
        <f aca="false">ROUNDUP(BX1332/BQ1332,0)</f>
        <v>0</v>
      </c>
      <c r="CB1332" s="60" t="n">
        <f aca="false">IF(BR1332=1,0,IFERROR(VLOOKUP(BP1332,'Gebinde-Kategorie'!$A$5:$M$45,5,0)+0,0))</f>
        <v>20</v>
      </c>
      <c r="CC1332" s="60" t="n">
        <f aca="false">IFERROR(IF(OR(BT1332=1,BT1332=2,BT1332=3),N(INDEX(Parameter!$I$5:$I$7,BT1332)),0),0)</f>
        <v>0</v>
      </c>
      <c r="CD1332" s="59" t="n">
        <f aca="false">IF(AND(Parameter!$B$21="Ja",ISNUMBER(U1332),N(V1332)&gt;0),IFERROR(N(INDEX(Parameter!$L$5:$L$7,U1332))*INDEX(Parameter!$E$5:$E$7,U1332)*V1332/SUMIFS($V$7:$V$1576,$U$7:$U$1576,U1332),0),0)</f>
        <v>0</v>
      </c>
    </row>
    <row r="1333" customFormat="false" ht="15" hidden="false" customHeight="false" outlineLevel="0" collapsed="false">
      <c r="A1333" s="55" t="s">
        <v>2350</v>
      </c>
      <c r="B1333" s="55" t="s">
        <v>998</v>
      </c>
      <c r="C1333" s="55" t="s">
        <v>160</v>
      </c>
      <c r="D1333" s="55" t="s">
        <v>178</v>
      </c>
      <c r="E1333" s="55" t="s">
        <v>210</v>
      </c>
      <c r="F1333" s="56" t="n">
        <v>4.38</v>
      </c>
      <c r="G1333" s="57" t="n">
        <f aca="false">MAX(0,IF(AND(Parameter!$B$21="Ja",ISNUMBER(W1333)),W1333,IF(Parameter!$B$20="Jahresanfang 2025 + Export",BJ1333+BI1333,BI1333)))</f>
        <v>0</v>
      </c>
      <c r="H1333" s="57" t="n">
        <f aca="false">G1333*F1333</f>
        <v>0</v>
      </c>
      <c r="I1333" s="57" t="n">
        <f aca="false">BL1333*Parameter!$B$18</f>
        <v>415</v>
      </c>
      <c r="J1333" s="58" t="n">
        <v>465.5</v>
      </c>
      <c r="K1333" s="59" t="n">
        <v>0.891514500537057</v>
      </c>
      <c r="L1333" s="57" t="n">
        <v>32</v>
      </c>
      <c r="M1333" s="57" t="n">
        <v>415</v>
      </c>
      <c r="N1333" s="60" t="n">
        <v>28</v>
      </c>
      <c r="O1333" s="55" t="s">
        <v>465</v>
      </c>
      <c r="P1333" s="57" t="n">
        <v>139</v>
      </c>
      <c r="Q1333" s="60" t="n">
        <f aca="false">IF(BR1333=1,0,IFERROR(VLOOKUP(BP1333,'Gebinde-Kategorie'!$A$5:$M$45,13,0)+0,0))</f>
        <v>66</v>
      </c>
      <c r="R1333" s="61"/>
      <c r="S1333" s="62"/>
      <c r="T1333" s="62"/>
      <c r="U1333" s="55"/>
      <c r="V1333" s="57"/>
      <c r="W1333" s="57"/>
      <c r="X1333" s="55" t="n">
        <f aca="false">IF(A1333="","",IF(AND(Parameter!$B$21="Ja",ISNUMBER(U1333)),U1333,IF(IFERROR(VLOOKUP(D1333,Parameter!$A$35:$C$64,2,0),"Nein")="2+3",IF(ISNUMBER(SEARCH("grosser Artikel",BM1333)),2,IFERROR(VLOOKUP(BP1333,Parameter!$F$35:$G$64,2,0),2)),IF(OR(IFERROR(VLOOKUP(D1333,Parameter!$A$35:$C$64,2,0),"Nein")="Nein",IFERROR(VLOOKUP(D1333,Parameter!$A$35:$C$64,2,0),"Nein")=""),"-",VLOOKUP(D1333,Parameter!$A$35:$C$64,2,0)))))</f>
        <v>3</v>
      </c>
      <c r="Y1333" s="62"/>
      <c r="Z1333" s="63"/>
      <c r="AA1333" s="57" t="n">
        <f aca="false">AP1333</f>
        <v>556</v>
      </c>
      <c r="AB1333" s="57" t="n">
        <f aca="false">MAX(AP1333,G1333)</f>
        <v>556</v>
      </c>
      <c r="AC1333" s="64"/>
      <c r="AD1333" s="57" t="n">
        <f aca="false">IF(LEFT(Cockpit!$C$5,1)="A",G1333,IF(BW1333=1,BX1333,IF(LEFT(Cockpit!$C$5,1)="B",AH1333,MAX(AH1333,G1333))))</f>
        <v>0</v>
      </c>
      <c r="AE1333" s="57" t="n">
        <f aca="false">IF(BR1333=1,0,ROUNDUP(AD1333/BQ1333,0))</f>
        <v>0</v>
      </c>
      <c r="AF1333" s="59" t="n">
        <f aca="false">IF(CD1333&gt;0,CD1333*MAX(1,AD1333/V1333),IF(BR1333=1,IF(AD1333&lt;=0,0,BS1333*MAX(1,IF(G1333&gt;0,AD1333/G1333,1))),IF(Q1333&gt;0,AE1333/Q1333,0))/MAX(0.1,N(Parameter!$M$21)))</f>
        <v>0</v>
      </c>
      <c r="AG1333" s="57" t="n">
        <f aca="false">AD1333*F1333</f>
        <v>0</v>
      </c>
      <c r="AH1333" s="57" t="n">
        <f aca="false">ROUNDUP(MAX(I1333/IF(BV1333&gt;0,BV1333,MAX(0.1,N(Cockpit!$C$6))),BY1333)/BQ1333,0)*BQ1333</f>
        <v>556</v>
      </c>
      <c r="AI1333" s="58" t="n">
        <f aca="false">IF(AF1333&gt;0,I1333/AF1333,-1)</f>
        <v>-1</v>
      </c>
      <c r="AJ1333" s="58" t="str">
        <f aca="false">IF(AND(OR(BU1333="L1",BU1333="L23"),AF1333&gt;0),SUMIFS($AF$7:$AF$1576,$BU$7:$BU$1576,BU1333,$AI$7:$AI$1576,"&gt;"&amp;AI1333)+SUMIFS($AF$7:$AF$1576,$BU$7:$BU$1576,BU1333,$AI$7:$AI$1576,AI1333,$BO$7:$BO$1576,"&lt;="&amp;BO1333),"")</f>
        <v/>
      </c>
      <c r="AK1333" s="65" t="n">
        <f aca="false">IF(AJ1333="",0,MAX(0,MIN(1,(IF(BU1333="L1",Parameter!$E$5,Parameter!$E$6+Parameter!$E$7)-(AJ1333-AF1333))/AF1333)))</f>
        <v>0</v>
      </c>
      <c r="AL1333" s="57" t="n">
        <f aca="false">IF(LEFT(Cockpit!$I$5,1)="A",G1333,IF(BW1333=1,BX1333,IF(LEFT(Cockpit!$I$5,1)="B",AP1333,MAX(AP1333,G1333))))</f>
        <v>556</v>
      </c>
      <c r="AM1333" s="57" t="n">
        <f aca="false">IF(BR1333=1,0,ROUNDUP(AL1333/BQ1333,0))</f>
        <v>4</v>
      </c>
      <c r="AN1333" s="59" t="n">
        <f aca="false">IF(CD1333&gt;0,CD1333*MAX(1,AL1333/V1333),IF(BR1333=1,IF(AL1333&lt;=0,0,BS1333*MAX(1,IF(G1333&gt;0,AL1333/G1333,1))),IF(Q1333&gt;0,AM1333/Q1333,0))/MAX(0.1,N(Parameter!$M$21)))</f>
        <v>0.0606060606060606</v>
      </c>
      <c r="AO1333" s="57" t="n">
        <f aca="false">AL1333*F1333</f>
        <v>2435.28</v>
      </c>
      <c r="AP1333" s="57" t="n">
        <f aca="false">ROUNDUP(MAX(I1333/IF(BV1333&gt;0,BV1333,MAX(0.1,N(Cockpit!$I$6))),BY1333)/BQ1333,0)*BQ1333</f>
        <v>556</v>
      </c>
      <c r="AQ1333" s="58" t="n">
        <f aca="false">IF(AN1333&gt;0,I1333/AN1333,-1)</f>
        <v>6847.5</v>
      </c>
      <c r="AR1333" s="58" t="n">
        <f aca="false">IF(AND(OR(BU1333="L1",BU1333="L23"),AN1333&gt;0),SUMIFS($AN$7:$AN$1576,$BU$7:$BU$1576,BU1333,$AQ$7:$AQ$1576,"&gt;"&amp;AQ1333)+SUMIFS($AN$7:$AN$1576,$BU$7:$BU$1576,BU1333,$AQ$7:$AQ$1576,AQ1333,$BO$7:$BO$1576,"&lt;="&amp;BO1333),"")</f>
        <v>8.85652849565893</v>
      </c>
      <c r="AS1333" s="65" t="n">
        <f aca="false">IF(AR1333="",0,MAX(0,MIN(1,(IF(BU1333="L1",Parameter!$E$5,Parameter!$E$6+Parameter!$E$7)-(AR1333-AN1333))/AN1333)))</f>
        <v>1</v>
      </c>
      <c r="AT1333" s="57" t="n">
        <f aca="false">IF(LEFT(Cockpit!$O$5,1)="A",G1333,IF(BW1333=1,BX1333,IF(LEFT(Cockpit!$O$5,1)="B",AX1333,MAX(AX1333,G1333))))</f>
        <v>556</v>
      </c>
      <c r="AU1333" s="57" t="n">
        <f aca="false">IF(BR1333=1,0,ROUNDUP(AT1333/BQ1333,0))</f>
        <v>4</v>
      </c>
      <c r="AV1333" s="59" t="n">
        <f aca="false">IF(CD1333&gt;0,CD1333*MAX(1,AT1333/V1333),IF(BR1333=1,IF(AT1333&lt;=0,0,BS1333*MAX(1,IF(G1333&gt;0,AT1333/G1333,1))),IF(Q1333&gt;0,AU1333/Q1333,0))/MAX(0.1,N(Parameter!$M$21)))</f>
        <v>0.0606060606060606</v>
      </c>
      <c r="AW1333" s="57" t="n">
        <f aca="false">AT1333*F1333</f>
        <v>2435.28</v>
      </c>
      <c r="AX1333" s="57" t="n">
        <f aca="false">ROUNDUP(MAX(I1333/IF(BV1333&gt;0,BV1333,MAX(0.1,N(Cockpit!$O$6))),BY1333)/BQ1333,0)*BQ1333</f>
        <v>556</v>
      </c>
      <c r="AY1333" s="58" t="n">
        <f aca="false">IF(AV1333&gt;0,I1333/AV1333,-1)</f>
        <v>6847.5</v>
      </c>
      <c r="AZ1333" s="58" t="n">
        <f aca="false">IF(AND(OR(BU1333="L1",BU1333="L23"),AV1333&gt;0),SUMIFS($AV$7:$AV$1576,$BU$7:$BU$1576,BU1333,$AY$7:$AY$1576,"&gt;"&amp;AY1333)+SUMIFS($AV$7:$AV$1576,$BU$7:$BU$1576,BU1333,$AY$7:$AY$1576,AY1333,$BO$7:$BO$1576,"&lt;="&amp;BO1333),"")</f>
        <v>8.53892942805986</v>
      </c>
      <c r="BA1333" s="65" t="n">
        <f aca="false">IF(AZ1333="",0,MAX(0,MIN(1,(IF(BU1333="L1",Parameter!$E$5,Parameter!$E$6+Parameter!$E$7)-(AZ1333-AV1333))/AV1333)))</f>
        <v>1</v>
      </c>
      <c r="BB1333" s="55" t="str">
        <f aca="false">IF(AF1333&lt;=0,"",IF(BU1333="Aussen","Aussenlager",IF(BU1333="-","Nicht im Lift",IF(AK1333&gt;=1,"Lift",IF(AK1333&lt;=0,"Aussenlager","teilweise")))))</f>
        <v/>
      </c>
      <c r="BC1333" s="55" t="str">
        <f aca="false">IF(AN1333&lt;=0,"",IF(BU1333="Aussen","Aussenlager",IF(BU1333="-","Nicht im Lift",IF(AS1333&gt;=1,"Lift",IF(AS1333&lt;=0,"Aussenlager","teilweise")))))</f>
        <v>Lift</v>
      </c>
      <c r="BD1333" s="55" t="str">
        <f aca="false">IF(AV1333&lt;=0,"",IF(BU1333="Aussen","Aussenlager",IF(BU1333="-","Nicht im Lift",IF(BA1333&gt;=1,"Lift",IF(BA1333&lt;=0,"Aussenlager","teilweise")))))</f>
        <v>Lift</v>
      </c>
      <c r="BE1333" s="55" t="str">
        <f aca="false">IF(A1333="","",IF(BN1333=1,"Neu; ","")&amp;IF(AND(BN1333=0,BI1333&lt;0),"negativer Bestand (Export "&amp;BI1333&amp;"); ","")&amp;IF(I1333&lt;=0,"Kein Verbrauch; ","")&amp;IF(CD1333&gt;0,"Lift "&amp;U1333&amp;" lt. Liftbericht (Fach "&amp;V1333&amp;" Stk); ",IF(BR1333=1,"Lose – Fläche geschätzt; ",""))&amp;IF(G1333&gt;AP1333,"Überbestand "&amp;ROUND(G1333-AP1333,0)&amp;" Stk / CHF "&amp;ROUND((G1333-AP1333)*F1333,0)&amp;"; ","")&amp;IF(AND(BW1333=1,BX1333&lt;BY1333),"MAX &lt; MB+LG; ","")&amp;IF(AND(CC1333&gt;0,CB1333*10&gt;CC1333),"zu hoch für Tablar; ","")&amp;IF(AND(BN1333=0,OR(BW1333=1,Y1333&lt;&gt;"",S1333&lt;&gt;"",T1333&lt;&gt;"",Z1333&lt;&gt;"")),"manuell übersteuert; ","")&amp;IF(AND(BR1333=0,Q1333=0),"Gebinde unbekannt / Stellmass fehlt; ","")&amp;IF(AND(BR1333=0,N(T1333)&lt;=0,N(P1333)&lt;=0),"Menge pro Gebinde fehlt (Ist = 1 Gebinde); ","")&amp;BM1333)</f>
        <v>negativer Bestand (Export -367); B&amp;R</v>
      </c>
      <c r="BF1333" s="55"/>
      <c r="BG1333" s="55"/>
      <c r="BH1333" s="62"/>
      <c r="BI1333" s="57" t="n">
        <v>-367</v>
      </c>
      <c r="BJ1333" s="57" t="n">
        <v>648</v>
      </c>
      <c r="BK1333" s="56" t="n">
        <v>-1607.46</v>
      </c>
      <c r="BL1333" s="57" t="n">
        <v>415</v>
      </c>
      <c r="BM1333" s="55" t="s">
        <v>2204</v>
      </c>
      <c r="BN1333" s="60" t="n">
        <v>0</v>
      </c>
      <c r="BO1333" s="60" t="n">
        <v>1333</v>
      </c>
      <c r="BP1333" s="55" t="str">
        <f aca="false">IF(S1333&lt;&gt;"",UPPER(TRIM(S1333)),IF(O1333="","LOSE",O1333))</f>
        <v>S33</v>
      </c>
      <c r="BQ1333" s="57" t="n">
        <f aca="false">IF(BP1333="LOSE",1,IF(N(T1333)&gt;0,T1333,IF(N(P1333)&gt;0,P1333,MAX(1,G1333))))</f>
        <v>139</v>
      </c>
      <c r="BR1333" s="60" t="n">
        <f aca="false">IF(BP1333="LOSE",1,0)</f>
        <v>0</v>
      </c>
      <c r="BS1333" s="59" t="n">
        <f aca="false">IF(BR1333=0,0,IF(N(R1333)&gt;0,R1333,IFERROR(VLOOKUP(D1333,Parameter!$A$35:$C$64,3,0)+0,0)))</f>
        <v>0</v>
      </c>
      <c r="BT1333" s="55" t="n">
        <f aca="false">IF(Y1333&lt;&gt;"",Y1333,X1333)</f>
        <v>3</v>
      </c>
      <c r="BU1333" s="55" t="str">
        <f aca="false">IF(BT1333=1,"L1",IF(OR(BT1333=2,BT1333=3),"L23",IF(BT1333="Aussen","Aussen","-")))</f>
        <v>L23</v>
      </c>
      <c r="BV1333" s="66" t="n">
        <f aca="false">IF(N(Z1333)&gt;0,Z1333,0)</f>
        <v>0</v>
      </c>
      <c r="BW1333" s="60" t="n">
        <f aca="false">IF(ISNUMBER(AC1333),1,0)</f>
        <v>0</v>
      </c>
      <c r="BX1333" s="57" t="n">
        <f aca="false">N(AC1333)</f>
        <v>0</v>
      </c>
      <c r="BY1333" s="57" t="n">
        <f aca="false">N(L1333)+N(M1333)</f>
        <v>447</v>
      </c>
      <c r="BZ1333" s="57" t="n">
        <f aca="false">ROUNDUP(G1333/BQ1333,0)</f>
        <v>0</v>
      </c>
      <c r="CA1333" s="57" t="n">
        <f aca="false">ROUNDUP(BX1333/BQ1333,0)</f>
        <v>0</v>
      </c>
      <c r="CB1333" s="60" t="n">
        <f aca="false">IF(BR1333=1,0,IFERROR(VLOOKUP(BP1333,'Gebinde-Kategorie'!$A$5:$M$45,5,0)+0,0))</f>
        <v>8</v>
      </c>
      <c r="CC1333" s="60" t="n">
        <f aca="false">IFERROR(IF(OR(BT1333=1,BT1333=2,BT1333=3),N(INDEX(Parameter!$I$5:$I$7,BT1333)),0),0)</f>
        <v>0</v>
      </c>
      <c r="CD1333" s="59" t="n">
        <f aca="false">IF(AND(Parameter!$B$21="Ja",ISNUMBER(U1333),N(V1333)&gt;0),IFERROR(N(INDEX(Parameter!$L$5:$L$7,U1333))*INDEX(Parameter!$E$5:$E$7,U1333)*V1333/SUMIFS($V$7:$V$1576,$U$7:$U$1576,U1333),0),0)</f>
        <v>0</v>
      </c>
    </row>
    <row r="1334" customFormat="false" ht="15" hidden="false" customHeight="false" outlineLevel="0" collapsed="false">
      <c r="A1334" s="55" t="s">
        <v>2351</v>
      </c>
      <c r="B1334" s="55" t="s">
        <v>397</v>
      </c>
      <c r="C1334" s="55" t="s">
        <v>160</v>
      </c>
      <c r="D1334" s="55" t="s">
        <v>178</v>
      </c>
      <c r="E1334" s="55" t="s">
        <v>210</v>
      </c>
      <c r="F1334" s="56" t="n">
        <v>0.73</v>
      </c>
      <c r="G1334" s="57" t="n">
        <f aca="false">MAX(0,IF(AND(Parameter!$B$21="Ja",ISNUMBER(W1334)),W1334,IF(Parameter!$B$20="Jahresanfang 2025 + Export",BJ1334+BI1334,BI1334)))</f>
        <v>0</v>
      </c>
      <c r="H1334" s="57" t="n">
        <f aca="false">G1334*F1334</f>
        <v>0</v>
      </c>
      <c r="I1334" s="57" t="n">
        <f aca="false">BL1334*Parameter!$B$18</f>
        <v>7948</v>
      </c>
      <c r="J1334" s="58" t="n">
        <v>5515</v>
      </c>
      <c r="K1334" s="59" t="n">
        <v>1.44116047144152</v>
      </c>
      <c r="L1334" s="57" t="n">
        <v>1786</v>
      </c>
      <c r="M1334" s="57" t="n">
        <v>2000</v>
      </c>
      <c r="N1334" s="60" t="n">
        <v>80</v>
      </c>
      <c r="O1334" s="55" t="s">
        <v>284</v>
      </c>
      <c r="P1334" s="57" t="n">
        <v>9495</v>
      </c>
      <c r="Q1334" s="60" t="n">
        <f aca="false">IF(BR1334=1,0,IFERROR(VLOOKUP(BP1334,'Gebinde-Kategorie'!$A$5:$M$45,13,0)+0,0))</f>
        <v>12</v>
      </c>
      <c r="R1334" s="61"/>
      <c r="S1334" s="62"/>
      <c r="T1334" s="62"/>
      <c r="U1334" s="55"/>
      <c r="V1334" s="57"/>
      <c r="W1334" s="57"/>
      <c r="X1334" s="55" t="n">
        <f aca="false">IF(A1334="","",IF(AND(Parameter!$B$21="Ja",ISNUMBER(U1334)),U1334,IF(IFERROR(VLOOKUP(D1334,Parameter!$A$35:$C$64,2,0),"Nein")="2+3",IF(ISNUMBER(SEARCH("grosser Artikel",BM1334)),2,IFERROR(VLOOKUP(BP1334,Parameter!$F$35:$G$64,2,0),2)),IF(OR(IFERROR(VLOOKUP(D1334,Parameter!$A$35:$C$64,2,0),"Nein")="Nein",IFERROR(VLOOKUP(D1334,Parameter!$A$35:$C$64,2,0),"Nein")=""),"-",VLOOKUP(D1334,Parameter!$A$35:$C$64,2,0)))))</f>
        <v>2</v>
      </c>
      <c r="Y1334" s="62"/>
      <c r="Z1334" s="63"/>
      <c r="AA1334" s="57" t="n">
        <f aca="false">AP1334</f>
        <v>9495</v>
      </c>
      <c r="AB1334" s="57" t="n">
        <f aca="false">MAX(AP1334,G1334)</f>
        <v>9495</v>
      </c>
      <c r="AC1334" s="64"/>
      <c r="AD1334" s="57" t="n">
        <f aca="false">IF(LEFT(Cockpit!$C$5,1)="A",G1334,IF(BW1334=1,BX1334,IF(LEFT(Cockpit!$C$5,1)="B",AH1334,MAX(AH1334,G1334))))</f>
        <v>0</v>
      </c>
      <c r="AE1334" s="57" t="n">
        <f aca="false">IF(BR1334=1,0,ROUNDUP(AD1334/BQ1334,0))</f>
        <v>0</v>
      </c>
      <c r="AF1334" s="59" t="n">
        <f aca="false">IF(CD1334&gt;0,CD1334*MAX(1,AD1334/V1334),IF(BR1334=1,IF(AD1334&lt;=0,0,BS1334*MAX(1,IF(G1334&gt;0,AD1334/G1334,1))),IF(Q1334&gt;0,AE1334/Q1334,0))/MAX(0.1,N(Parameter!$M$21)))</f>
        <v>0</v>
      </c>
      <c r="AG1334" s="57" t="n">
        <f aca="false">AD1334*F1334</f>
        <v>0</v>
      </c>
      <c r="AH1334" s="57" t="n">
        <f aca="false">ROUNDUP(MAX(I1334/IF(BV1334&gt;0,BV1334,MAX(0.1,N(Cockpit!$C$6))),BY1334)/BQ1334,0)*BQ1334</f>
        <v>9495</v>
      </c>
      <c r="AI1334" s="58" t="n">
        <f aca="false">IF(AF1334&gt;0,I1334/AF1334,-1)</f>
        <v>-1</v>
      </c>
      <c r="AJ1334" s="58" t="str">
        <f aca="false">IF(AND(OR(BU1334="L1",BU1334="L23"),AF1334&gt;0),SUMIFS($AF$7:$AF$1576,$BU$7:$BU$1576,BU1334,$AI$7:$AI$1576,"&gt;"&amp;AI1334)+SUMIFS($AF$7:$AF$1576,$BU$7:$BU$1576,BU1334,$AI$7:$AI$1576,AI1334,$BO$7:$BO$1576,"&lt;="&amp;BO1334),"")</f>
        <v/>
      </c>
      <c r="AK1334" s="65" t="n">
        <f aca="false">IF(AJ1334="",0,MAX(0,MIN(1,(IF(BU1334="L1",Parameter!$E$5,Parameter!$E$6+Parameter!$E$7)-(AJ1334-AF1334))/AF1334)))</f>
        <v>0</v>
      </c>
      <c r="AL1334" s="57" t="n">
        <f aca="false">IF(LEFT(Cockpit!$I$5,1)="A",G1334,IF(BW1334=1,BX1334,IF(LEFT(Cockpit!$I$5,1)="B",AP1334,MAX(AP1334,G1334))))</f>
        <v>9495</v>
      </c>
      <c r="AM1334" s="57" t="n">
        <f aca="false">IF(BR1334=1,0,ROUNDUP(AL1334/BQ1334,0))</f>
        <v>1</v>
      </c>
      <c r="AN1334" s="59" t="n">
        <f aca="false">IF(CD1334&gt;0,CD1334*MAX(1,AL1334/V1334),IF(BR1334=1,IF(AL1334&lt;=0,0,BS1334*MAX(1,IF(G1334&gt;0,AL1334/G1334,1))),IF(Q1334&gt;0,AM1334/Q1334,0))/MAX(0.1,N(Parameter!$M$21)))</f>
        <v>0.0833333333333333</v>
      </c>
      <c r="AO1334" s="57" t="n">
        <f aca="false">AL1334*F1334</f>
        <v>6931.35</v>
      </c>
      <c r="AP1334" s="57" t="n">
        <f aca="false">ROUNDUP(MAX(I1334/IF(BV1334&gt;0,BV1334,MAX(0.1,N(Cockpit!$I$6))),BY1334)/BQ1334,0)*BQ1334</f>
        <v>9495</v>
      </c>
      <c r="AQ1334" s="58" t="n">
        <f aca="false">IF(AN1334&gt;0,I1334/AN1334,-1)</f>
        <v>95376</v>
      </c>
      <c r="AR1334" s="58" t="n">
        <f aca="false">IF(AND(OR(BU1334="L1",BU1334="L23"),AN1334&gt;0),SUMIFS($AN$7:$AN$1576,$BU$7:$BU$1576,BU1334,$AQ$7:$AQ$1576,"&gt;"&amp;AQ1334)+SUMIFS($AN$7:$AN$1576,$BU$7:$BU$1576,BU1334,$AQ$7:$AQ$1576,AQ1334,$BO$7:$BO$1576,"&lt;="&amp;BO1334),"")</f>
        <v>0.432000608087565</v>
      </c>
      <c r="AS1334" s="65" t="n">
        <f aca="false">IF(AR1334="",0,MAX(0,MIN(1,(IF(BU1334="L1",Parameter!$E$5,Parameter!$E$6+Parameter!$E$7)-(AR1334-AN1334))/AN1334)))</f>
        <v>1</v>
      </c>
      <c r="AT1334" s="57" t="n">
        <f aca="false">IF(LEFT(Cockpit!$O$5,1)="A",G1334,IF(BW1334=1,BX1334,IF(LEFT(Cockpit!$O$5,1)="B",AX1334,MAX(AX1334,G1334))))</f>
        <v>9495</v>
      </c>
      <c r="AU1334" s="57" t="n">
        <f aca="false">IF(BR1334=1,0,ROUNDUP(AT1334/BQ1334,0))</f>
        <v>1</v>
      </c>
      <c r="AV1334" s="59" t="n">
        <f aca="false">IF(CD1334&gt;0,CD1334*MAX(1,AT1334/V1334),IF(BR1334=1,IF(AT1334&lt;=0,0,BS1334*MAX(1,IF(G1334&gt;0,AT1334/G1334,1))),IF(Q1334&gt;0,AU1334/Q1334,0))/MAX(0.1,N(Parameter!$M$21)))</f>
        <v>0.0833333333333333</v>
      </c>
      <c r="AW1334" s="57" t="n">
        <f aca="false">AT1334*F1334</f>
        <v>6931.35</v>
      </c>
      <c r="AX1334" s="57" t="n">
        <f aca="false">ROUNDUP(MAX(I1334/IF(BV1334&gt;0,BV1334,MAX(0.1,N(Cockpit!$O$6))),BY1334)/BQ1334,0)*BQ1334</f>
        <v>9495</v>
      </c>
      <c r="AY1334" s="58" t="n">
        <f aca="false">IF(AV1334&gt;0,I1334/AV1334,-1)</f>
        <v>95376</v>
      </c>
      <c r="AZ1334" s="58" t="n">
        <f aca="false">IF(AND(OR(BU1334="L1",BU1334="L23"),AV1334&gt;0),SUMIFS($AV$7:$AV$1576,$BU$7:$BU$1576,BU1334,$AY$7:$AY$1576,"&gt;"&amp;AY1334)+SUMIFS($AV$7:$AV$1576,$BU$7:$BU$1576,BU1334,$AY$7:$AY$1576,AY1334,$BO$7:$BO$1576,"&lt;="&amp;BO1334),"")</f>
        <v>0.432000608087565</v>
      </c>
      <c r="BA1334" s="65" t="n">
        <f aca="false">IF(AZ1334="",0,MAX(0,MIN(1,(IF(BU1334="L1",Parameter!$E$5,Parameter!$E$6+Parameter!$E$7)-(AZ1334-AV1334))/AV1334)))</f>
        <v>1</v>
      </c>
      <c r="BB1334" s="55" t="str">
        <f aca="false">IF(AF1334&lt;=0,"",IF(BU1334="Aussen","Aussenlager",IF(BU1334="-","Nicht im Lift",IF(AK1334&gt;=1,"Lift",IF(AK1334&lt;=0,"Aussenlager","teilweise")))))</f>
        <v/>
      </c>
      <c r="BC1334" s="55" t="str">
        <f aca="false">IF(AN1334&lt;=0,"",IF(BU1334="Aussen","Aussenlager",IF(BU1334="-","Nicht im Lift",IF(AS1334&gt;=1,"Lift",IF(AS1334&lt;=0,"Aussenlager","teilweise")))))</f>
        <v>Lift</v>
      </c>
      <c r="BD1334" s="55" t="str">
        <f aca="false">IF(AV1334&lt;=0,"",IF(BU1334="Aussen","Aussenlager",IF(BU1334="-","Nicht im Lift",IF(BA1334&gt;=1,"Lift",IF(BA1334&lt;=0,"Aussenlager","teilweise")))))</f>
        <v>Lift</v>
      </c>
      <c r="BE1334" s="55" t="str">
        <f aca="false">IF(A1334="","",IF(BN1334=1,"Neu; ","")&amp;IF(AND(BN1334=0,BI1334&lt;0),"negativer Bestand (Export "&amp;BI1334&amp;"); ","")&amp;IF(I1334&lt;=0,"Kein Verbrauch; ","")&amp;IF(CD1334&gt;0,"Lift "&amp;U1334&amp;" lt. Liftbericht (Fach "&amp;V1334&amp;" Stk); ",IF(BR1334=1,"Lose – Fläche geschätzt; ",""))&amp;IF(G1334&gt;AP1334,"Überbestand "&amp;ROUND(G1334-AP1334,0)&amp;" Stk / CHF "&amp;ROUND((G1334-AP1334)*F1334,0)&amp;"; ","")&amp;IF(AND(BW1334=1,BX1334&lt;BY1334),"MAX &lt; MB+LG; ","")&amp;IF(AND(CC1334&gt;0,CB1334*10&gt;CC1334),"zu hoch für Tablar; ","")&amp;IF(AND(BN1334=0,OR(BW1334=1,Y1334&lt;&gt;"",S1334&lt;&gt;"",T1334&lt;&gt;"",Z1334&lt;&gt;"")),"manuell übersteuert; ","")&amp;IF(AND(BR1334=0,Q1334=0),"Gebinde unbekannt / Stellmass fehlt; ","")&amp;IF(AND(BR1334=0,N(T1334)&lt;=0,N(P1334)&lt;=0),"Menge pro Gebinde fehlt (Ist = 1 Gebinde); ","")&amp;BM1334)</f>
        <v>negativer Bestand (Export -3141); </v>
      </c>
      <c r="BF1334" s="55"/>
      <c r="BG1334" s="55"/>
      <c r="BH1334" s="62"/>
      <c r="BI1334" s="57" t="n">
        <v>-3141</v>
      </c>
      <c r="BJ1334" s="57" t="n">
        <v>7611</v>
      </c>
      <c r="BK1334" s="56" t="n">
        <v>-1613.34</v>
      </c>
      <c r="BL1334" s="57" t="n">
        <v>7948</v>
      </c>
      <c r="BM1334" s="55"/>
      <c r="BN1334" s="60" t="n">
        <v>0</v>
      </c>
      <c r="BO1334" s="60" t="n">
        <v>1334</v>
      </c>
      <c r="BP1334" s="55" t="str">
        <f aca="false">IF(S1334&lt;&gt;"",UPPER(TRIM(S1334)),IF(O1334="","LOSE",O1334))</f>
        <v>S62</v>
      </c>
      <c r="BQ1334" s="57" t="n">
        <f aca="false">IF(BP1334="LOSE",1,IF(N(T1334)&gt;0,T1334,IF(N(P1334)&gt;0,P1334,MAX(1,G1334))))</f>
        <v>9495</v>
      </c>
      <c r="BR1334" s="60" t="n">
        <f aca="false">IF(BP1334="LOSE",1,0)</f>
        <v>0</v>
      </c>
      <c r="BS1334" s="59" t="n">
        <f aca="false">IF(BR1334=0,0,IF(N(R1334)&gt;0,R1334,IFERROR(VLOOKUP(D1334,Parameter!$A$35:$C$64,3,0)+0,0)))</f>
        <v>0</v>
      </c>
      <c r="BT1334" s="55" t="n">
        <f aca="false">IF(Y1334&lt;&gt;"",Y1334,X1334)</f>
        <v>2</v>
      </c>
      <c r="BU1334" s="55" t="str">
        <f aca="false">IF(BT1334=1,"L1",IF(OR(BT1334=2,BT1334=3),"L23",IF(BT1334="Aussen","Aussen","-")))</f>
        <v>L23</v>
      </c>
      <c r="BV1334" s="66" t="n">
        <f aca="false">IF(N(Z1334)&gt;0,Z1334,0)</f>
        <v>0</v>
      </c>
      <c r="BW1334" s="60" t="n">
        <f aca="false">IF(ISNUMBER(AC1334),1,0)</f>
        <v>0</v>
      </c>
      <c r="BX1334" s="57" t="n">
        <f aca="false">N(AC1334)</f>
        <v>0</v>
      </c>
      <c r="BY1334" s="57" t="n">
        <f aca="false">N(L1334)+N(M1334)</f>
        <v>3786</v>
      </c>
      <c r="BZ1334" s="57" t="n">
        <f aca="false">ROUNDUP(G1334/BQ1334,0)</f>
        <v>0</v>
      </c>
      <c r="CA1334" s="57" t="n">
        <f aca="false">ROUNDUP(BX1334/BQ1334,0)</f>
        <v>0</v>
      </c>
      <c r="CB1334" s="60" t="n">
        <f aca="false">IF(BR1334=1,0,IFERROR(VLOOKUP(BP1334,'Gebinde-Kategorie'!$A$5:$M$45,5,0)+0,0))</f>
        <v>21</v>
      </c>
      <c r="CC1334" s="60" t="n">
        <f aca="false">IFERROR(IF(OR(BT1334=1,BT1334=2,BT1334=3),N(INDEX(Parameter!$I$5:$I$7,BT1334)),0),0)</f>
        <v>0</v>
      </c>
      <c r="CD1334" s="59" t="n">
        <f aca="false">IF(AND(Parameter!$B$21="Ja",ISNUMBER(U1334),N(V1334)&gt;0),IFERROR(N(INDEX(Parameter!$L$5:$L$7,U1334))*INDEX(Parameter!$E$5:$E$7,U1334)*V1334/SUMIFS($V$7:$V$1576,$U$7:$U$1576,U1334),0),0)</f>
        <v>0</v>
      </c>
    </row>
    <row r="1335" customFormat="false" ht="15" hidden="false" customHeight="false" outlineLevel="0" collapsed="false">
      <c r="A1335" s="55" t="s">
        <v>2352</v>
      </c>
      <c r="B1335" s="55" t="s">
        <v>555</v>
      </c>
      <c r="C1335" s="55" t="s">
        <v>160</v>
      </c>
      <c r="D1335" s="55" t="s">
        <v>178</v>
      </c>
      <c r="E1335" s="55" t="s">
        <v>210</v>
      </c>
      <c r="F1335" s="56" t="n">
        <v>46.69</v>
      </c>
      <c r="G1335" s="57" t="n">
        <f aca="false">MAX(0,IF(AND(Parameter!$B$21="Ja",ISNUMBER(W1335)),W1335,IF(Parameter!$B$20="Jahresanfang 2025 + Export",BJ1335+BI1335,BI1335)))</f>
        <v>0</v>
      </c>
      <c r="H1335" s="57" t="n">
        <f aca="false">G1335*F1335</f>
        <v>0</v>
      </c>
      <c r="I1335" s="57" t="n">
        <f aca="false">BL1335*Parameter!$B$18</f>
        <v>27</v>
      </c>
      <c r="J1335" s="58" t="n">
        <v>80.5</v>
      </c>
      <c r="K1335" s="59" t="n">
        <v>0.335403726708075</v>
      </c>
      <c r="L1335" s="57" t="n">
        <v>1</v>
      </c>
      <c r="M1335" s="57" t="n">
        <v>25</v>
      </c>
      <c r="N1335" s="60" t="n">
        <v>14</v>
      </c>
      <c r="O1335" s="55" t="s">
        <v>218</v>
      </c>
      <c r="P1335" s="57" t="n">
        <v>58</v>
      </c>
      <c r="Q1335" s="60" t="n">
        <f aca="false">IF(BR1335=1,0,IFERROR(VLOOKUP(BP1335,'Gebinde-Kategorie'!$A$5:$M$45,13,0)+0,0))</f>
        <v>12</v>
      </c>
      <c r="R1335" s="61"/>
      <c r="S1335" s="62"/>
      <c r="T1335" s="62"/>
      <c r="U1335" s="55"/>
      <c r="V1335" s="57"/>
      <c r="W1335" s="57"/>
      <c r="X1335" s="55" t="n">
        <f aca="false">IF(A1335="","",IF(AND(Parameter!$B$21="Ja",ISNUMBER(U1335)),U1335,IF(IFERROR(VLOOKUP(D1335,Parameter!$A$35:$C$64,2,0),"Nein")="2+3",IF(ISNUMBER(SEARCH("grosser Artikel",BM1335)),2,IFERROR(VLOOKUP(BP1335,Parameter!$F$35:$G$64,2,0),2)),IF(OR(IFERROR(VLOOKUP(D1335,Parameter!$A$35:$C$64,2,0),"Nein")="Nein",IFERROR(VLOOKUP(D1335,Parameter!$A$35:$C$64,2,0),"Nein")=""),"-",VLOOKUP(D1335,Parameter!$A$35:$C$64,2,0)))))</f>
        <v>2</v>
      </c>
      <c r="Y1335" s="62"/>
      <c r="Z1335" s="63"/>
      <c r="AA1335" s="57" t="n">
        <f aca="false">AP1335</f>
        <v>58</v>
      </c>
      <c r="AB1335" s="57" t="n">
        <f aca="false">MAX(AP1335,G1335)</f>
        <v>58</v>
      </c>
      <c r="AC1335" s="64"/>
      <c r="AD1335" s="57" t="n">
        <f aca="false">IF(LEFT(Cockpit!$C$5,1)="A",G1335,IF(BW1335=1,BX1335,IF(LEFT(Cockpit!$C$5,1)="B",AH1335,MAX(AH1335,G1335))))</f>
        <v>0</v>
      </c>
      <c r="AE1335" s="57" t="n">
        <f aca="false">IF(BR1335=1,0,ROUNDUP(AD1335/BQ1335,0))</f>
        <v>0</v>
      </c>
      <c r="AF1335" s="59" t="n">
        <f aca="false">IF(CD1335&gt;0,CD1335*MAX(1,AD1335/V1335),IF(BR1335=1,IF(AD1335&lt;=0,0,BS1335*MAX(1,IF(G1335&gt;0,AD1335/G1335,1))),IF(Q1335&gt;0,AE1335/Q1335,0))/MAX(0.1,N(Parameter!$M$21)))</f>
        <v>0</v>
      </c>
      <c r="AG1335" s="57" t="n">
        <f aca="false">AD1335*F1335</f>
        <v>0</v>
      </c>
      <c r="AH1335" s="57" t="n">
        <f aca="false">ROUNDUP(MAX(I1335/IF(BV1335&gt;0,BV1335,MAX(0.1,N(Cockpit!$C$6))),BY1335)/BQ1335,0)*BQ1335</f>
        <v>58</v>
      </c>
      <c r="AI1335" s="58" t="n">
        <f aca="false">IF(AF1335&gt;0,I1335/AF1335,-1)</f>
        <v>-1</v>
      </c>
      <c r="AJ1335" s="58" t="str">
        <f aca="false">IF(AND(OR(BU1335="L1",BU1335="L23"),AF1335&gt;0),SUMIFS($AF$7:$AF$1576,$BU$7:$BU$1576,BU1335,$AI$7:$AI$1576,"&gt;"&amp;AI1335)+SUMIFS($AF$7:$AF$1576,$BU$7:$BU$1576,BU1335,$AI$7:$AI$1576,AI1335,$BO$7:$BO$1576,"&lt;="&amp;BO1335),"")</f>
        <v/>
      </c>
      <c r="AK1335" s="65" t="n">
        <f aca="false">IF(AJ1335="",0,MAX(0,MIN(1,(IF(BU1335="L1",Parameter!$E$5,Parameter!$E$6+Parameter!$E$7)-(AJ1335-AF1335))/AF1335)))</f>
        <v>0</v>
      </c>
      <c r="AL1335" s="57" t="n">
        <f aca="false">IF(LEFT(Cockpit!$I$5,1)="A",G1335,IF(BW1335=1,BX1335,IF(LEFT(Cockpit!$I$5,1)="B",AP1335,MAX(AP1335,G1335))))</f>
        <v>58</v>
      </c>
      <c r="AM1335" s="57" t="n">
        <f aca="false">IF(BR1335=1,0,ROUNDUP(AL1335/BQ1335,0))</f>
        <v>1</v>
      </c>
      <c r="AN1335" s="59" t="n">
        <f aca="false">IF(CD1335&gt;0,CD1335*MAX(1,AL1335/V1335),IF(BR1335=1,IF(AL1335&lt;=0,0,BS1335*MAX(1,IF(G1335&gt;0,AL1335/G1335,1))),IF(Q1335&gt;0,AM1335/Q1335,0))/MAX(0.1,N(Parameter!$M$21)))</f>
        <v>0.0833333333333333</v>
      </c>
      <c r="AO1335" s="57" t="n">
        <f aca="false">AL1335*F1335</f>
        <v>2708.02</v>
      </c>
      <c r="AP1335" s="57" t="n">
        <f aca="false">ROUNDUP(MAX(I1335/IF(BV1335&gt;0,BV1335,MAX(0.1,N(Cockpit!$I$6))),BY1335)/BQ1335,0)*BQ1335</f>
        <v>58</v>
      </c>
      <c r="AQ1335" s="58" t="n">
        <f aca="false">IF(AN1335&gt;0,I1335/AN1335,-1)</f>
        <v>324</v>
      </c>
      <c r="AR1335" s="58" t="n">
        <f aca="false">IF(AND(OR(BU1335="L1",BU1335="L23"),AN1335&gt;0),SUMIFS($AN$7:$AN$1576,$BU$7:$BU$1576,BU1335,$AQ$7:$AQ$1576,"&gt;"&amp;AQ1335)+SUMIFS($AN$7:$AN$1576,$BU$7:$BU$1576,BU1335,$AQ$7:$AQ$1576,AQ1335,$BO$7:$BO$1576,"&lt;="&amp;BO1335),"")</f>
        <v>42.3309221337594</v>
      </c>
      <c r="AS1335" s="65" t="n">
        <f aca="false">IF(AR1335="",0,MAX(0,MIN(1,(IF(BU1335="L1",Parameter!$E$5,Parameter!$E$6+Parameter!$E$7)-(AR1335-AN1335))/AN1335)))</f>
        <v>1</v>
      </c>
      <c r="AT1335" s="57" t="n">
        <f aca="false">IF(LEFT(Cockpit!$O$5,1)="A",G1335,IF(BW1335=1,BX1335,IF(LEFT(Cockpit!$O$5,1)="B",AX1335,MAX(AX1335,G1335))))</f>
        <v>58</v>
      </c>
      <c r="AU1335" s="57" t="n">
        <f aca="false">IF(BR1335=1,0,ROUNDUP(AT1335/BQ1335,0))</f>
        <v>1</v>
      </c>
      <c r="AV1335" s="59" t="n">
        <f aca="false">IF(CD1335&gt;0,CD1335*MAX(1,AT1335/V1335),IF(BR1335=1,IF(AT1335&lt;=0,0,BS1335*MAX(1,IF(G1335&gt;0,AT1335/G1335,1))),IF(Q1335&gt;0,AU1335/Q1335,0))/MAX(0.1,N(Parameter!$M$21)))</f>
        <v>0.0833333333333333</v>
      </c>
      <c r="AW1335" s="57" t="n">
        <f aca="false">AT1335*F1335</f>
        <v>2708.02</v>
      </c>
      <c r="AX1335" s="57" t="n">
        <f aca="false">ROUNDUP(MAX(I1335/IF(BV1335&gt;0,BV1335,MAX(0.1,N(Cockpit!$O$6))),BY1335)/BQ1335,0)*BQ1335</f>
        <v>58</v>
      </c>
      <c r="AY1335" s="58" t="n">
        <f aca="false">IF(AV1335&gt;0,I1335/AV1335,-1)</f>
        <v>324</v>
      </c>
      <c r="AZ1335" s="58" t="n">
        <f aca="false">IF(AND(OR(BU1335="L1",BU1335="L23"),AV1335&gt;0),SUMIFS($AV$7:$AV$1576,$BU$7:$BU$1576,BU1335,$AY$7:$AY$1576,"&gt;"&amp;AY1335)+SUMIFS($AV$7:$AV$1576,$BU$7:$BU$1576,BU1335,$AY$7:$AY$1576,AY1335,$BO$7:$BO$1576,"&lt;="&amp;BO1335),"")</f>
        <v>39.079000721838</v>
      </c>
      <c r="BA1335" s="65" t="n">
        <f aca="false">IF(AZ1335="",0,MAX(0,MIN(1,(IF(BU1335="L1",Parameter!$E$5,Parameter!$E$6+Parameter!$E$7)-(AZ1335-AV1335))/AV1335)))</f>
        <v>1</v>
      </c>
      <c r="BB1335" s="55" t="str">
        <f aca="false">IF(AF1335&lt;=0,"",IF(BU1335="Aussen","Aussenlager",IF(BU1335="-","Nicht im Lift",IF(AK1335&gt;=1,"Lift",IF(AK1335&lt;=0,"Aussenlager","teilweise")))))</f>
        <v/>
      </c>
      <c r="BC1335" s="55" t="str">
        <f aca="false">IF(AN1335&lt;=0,"",IF(BU1335="Aussen","Aussenlager",IF(BU1335="-","Nicht im Lift",IF(AS1335&gt;=1,"Lift",IF(AS1335&lt;=0,"Aussenlager","teilweise")))))</f>
        <v>Lift</v>
      </c>
      <c r="BD1335" s="55" t="str">
        <f aca="false">IF(AV1335&lt;=0,"",IF(BU1335="Aussen","Aussenlager",IF(BU1335="-","Nicht im Lift",IF(BA1335&gt;=1,"Lift",IF(BA1335&lt;=0,"Aussenlager","teilweise")))))</f>
        <v>Lift</v>
      </c>
      <c r="BE1335" s="55" t="str">
        <f aca="false">IF(A1335="","",IF(BN1335=1,"Neu; ","")&amp;IF(AND(BN1335=0,BI1335&lt;0),"negativer Bestand (Export "&amp;BI1335&amp;"); ","")&amp;IF(I1335&lt;=0,"Kein Verbrauch; ","")&amp;IF(CD1335&gt;0,"Lift "&amp;U1335&amp;" lt. Liftbericht (Fach "&amp;V1335&amp;" Stk); ",IF(BR1335=1,"Lose – Fläche geschätzt; ",""))&amp;IF(G1335&gt;AP1335,"Überbestand "&amp;ROUND(G1335-AP1335,0)&amp;" Stk / CHF "&amp;ROUND((G1335-AP1335)*F1335,0)&amp;"; ","")&amp;IF(AND(BW1335=1,BX1335&lt;BY1335),"MAX &lt; MB+LG; ","")&amp;IF(AND(CC1335&gt;0,CB1335*10&gt;CC1335),"zu hoch für Tablar; ","")&amp;IF(AND(BN1335=0,OR(BW1335=1,Y1335&lt;&gt;"",S1335&lt;&gt;"",T1335&lt;&gt;"",Z1335&lt;&gt;"")),"manuell übersteuert; ","")&amp;IF(AND(BR1335=0,Q1335=0),"Gebinde unbekannt / Stellmass fehlt; ","")&amp;IF(AND(BR1335=0,N(T1335)&lt;=0,N(P1335)&lt;=0),"Menge pro Gebinde fehlt (Ist = 1 Gebinde); ","")&amp;BM1335)</f>
        <v>negativer Bestand (Export -35); </v>
      </c>
      <c r="BF1335" s="55"/>
      <c r="BG1335" s="55"/>
      <c r="BH1335" s="62"/>
      <c r="BI1335" s="57" t="n">
        <v>-35</v>
      </c>
      <c r="BJ1335" s="57" t="n">
        <v>94</v>
      </c>
      <c r="BK1335" s="56" t="n">
        <v>-1634.15</v>
      </c>
      <c r="BL1335" s="57" t="n">
        <v>27</v>
      </c>
      <c r="BM1335" s="55"/>
      <c r="BN1335" s="60" t="n">
        <v>0</v>
      </c>
      <c r="BO1335" s="60" t="n">
        <v>1335</v>
      </c>
      <c r="BP1335" s="55" t="str">
        <f aca="false">IF(S1335&lt;&gt;"",UPPER(TRIM(S1335)),IF(O1335="","LOSE",O1335))</f>
        <v>S63</v>
      </c>
      <c r="BQ1335" s="57" t="n">
        <f aca="false">IF(BP1335="LOSE",1,IF(N(T1335)&gt;0,T1335,IF(N(P1335)&gt;0,P1335,MAX(1,G1335))))</f>
        <v>58</v>
      </c>
      <c r="BR1335" s="60" t="n">
        <f aca="false">IF(BP1335="LOSE",1,0)</f>
        <v>0</v>
      </c>
      <c r="BS1335" s="59" t="n">
        <f aca="false">IF(BR1335=0,0,IF(N(R1335)&gt;0,R1335,IFERROR(VLOOKUP(D1335,Parameter!$A$35:$C$64,3,0)+0,0)))</f>
        <v>0</v>
      </c>
      <c r="BT1335" s="55" t="n">
        <f aca="false">IF(Y1335&lt;&gt;"",Y1335,X1335)</f>
        <v>2</v>
      </c>
      <c r="BU1335" s="55" t="str">
        <f aca="false">IF(BT1335=1,"L1",IF(OR(BT1335=2,BT1335=3),"L23",IF(BT1335="Aussen","Aussen","-")))</f>
        <v>L23</v>
      </c>
      <c r="BV1335" s="66" t="n">
        <f aca="false">IF(N(Z1335)&gt;0,Z1335,0)</f>
        <v>0</v>
      </c>
      <c r="BW1335" s="60" t="n">
        <f aca="false">IF(ISNUMBER(AC1335),1,0)</f>
        <v>0</v>
      </c>
      <c r="BX1335" s="57" t="n">
        <f aca="false">N(AC1335)</f>
        <v>0</v>
      </c>
      <c r="BY1335" s="57" t="n">
        <f aca="false">N(L1335)+N(M1335)</f>
        <v>26</v>
      </c>
      <c r="BZ1335" s="57" t="n">
        <f aca="false">ROUNDUP(G1335/BQ1335,0)</f>
        <v>0</v>
      </c>
      <c r="CA1335" s="57" t="n">
        <f aca="false">ROUNDUP(BX1335/BQ1335,0)</f>
        <v>0</v>
      </c>
      <c r="CB1335" s="60" t="n">
        <f aca="false">IF(BR1335=1,0,IFERROR(VLOOKUP(BP1335,'Gebinde-Kategorie'!$A$5:$M$45,5,0)+0,0))</f>
        <v>31</v>
      </c>
      <c r="CC1335" s="60" t="n">
        <f aca="false">IFERROR(IF(OR(BT1335=1,BT1335=2,BT1335=3),N(INDEX(Parameter!$I$5:$I$7,BT1335)),0),0)</f>
        <v>0</v>
      </c>
      <c r="CD1335" s="59" t="n">
        <f aca="false">IF(AND(Parameter!$B$21="Ja",ISNUMBER(U1335),N(V1335)&gt;0),IFERROR(N(INDEX(Parameter!$L$5:$L$7,U1335))*INDEX(Parameter!$E$5:$E$7,U1335)*V1335/SUMIFS($V$7:$V$1576,$U$7:$U$1576,U1335),0),0)</f>
        <v>0</v>
      </c>
    </row>
    <row r="1336" customFormat="false" ht="15" hidden="false" customHeight="false" outlineLevel="0" collapsed="false">
      <c r="A1336" s="55" t="s">
        <v>2353</v>
      </c>
      <c r="B1336" s="55" t="s">
        <v>469</v>
      </c>
      <c r="C1336" s="55" t="s">
        <v>446</v>
      </c>
      <c r="D1336" s="55" t="s">
        <v>168</v>
      </c>
      <c r="E1336" s="55" t="s">
        <v>210</v>
      </c>
      <c r="F1336" s="56" t="n">
        <v>103.25</v>
      </c>
      <c r="G1336" s="57" t="n">
        <f aca="false">MAX(0,IF(AND(Parameter!$B$21="Ja",ISNUMBER(W1336)),W1336,IF(Parameter!$B$20="Jahresanfang 2025 + Export",BJ1336+BI1336,BI1336)))</f>
        <v>0</v>
      </c>
      <c r="H1336" s="57" t="n">
        <f aca="false">G1336*F1336</f>
        <v>0</v>
      </c>
      <c r="I1336" s="57" t="n">
        <f aca="false">BL1336*Parameter!$B$18</f>
        <v>0</v>
      </c>
      <c r="J1336" s="58" t="n">
        <v>16</v>
      </c>
      <c r="K1336" s="59" t="n">
        <v>0</v>
      </c>
      <c r="L1336" s="57" t="n">
        <v>0</v>
      </c>
      <c r="M1336" s="57" t="n">
        <v>1</v>
      </c>
      <c r="N1336" s="60" t="n">
        <v>56</v>
      </c>
      <c r="O1336" s="55" t="s">
        <v>163</v>
      </c>
      <c r="P1336" s="57"/>
      <c r="Q1336" s="60" t="n">
        <f aca="false">IF(BR1336=1,0,IFERROR(VLOOKUP(BP1336,'Gebinde-Kategorie'!$A$5:$M$45,13,0)+0,0))</f>
        <v>0</v>
      </c>
      <c r="R1336" s="61"/>
      <c r="S1336" s="62"/>
      <c r="T1336" s="62"/>
      <c r="U1336" s="55"/>
      <c r="V1336" s="57"/>
      <c r="W1336" s="57"/>
      <c r="X1336" s="55" t="n">
        <f aca="false">IF(A1336="","",IF(AND(Parameter!$B$21="Ja",ISNUMBER(U1336)),U1336,IF(IFERROR(VLOOKUP(D1336,Parameter!$A$35:$C$64,2,0),"Nein")="2+3",IF(ISNUMBER(SEARCH("grosser Artikel",BM1336)),2,IFERROR(VLOOKUP(BP1336,Parameter!$F$35:$G$64,2,0),2)),IF(OR(IFERROR(VLOOKUP(D1336,Parameter!$A$35:$C$64,2,0),"Nein")="Nein",IFERROR(VLOOKUP(D1336,Parameter!$A$35:$C$64,2,0),"Nein")=""),"-",VLOOKUP(D1336,Parameter!$A$35:$C$64,2,0)))))</f>
        <v>2</v>
      </c>
      <c r="Y1336" s="62"/>
      <c r="Z1336" s="63"/>
      <c r="AA1336" s="57" t="n">
        <f aca="false">AP1336</f>
        <v>1</v>
      </c>
      <c r="AB1336" s="57" t="n">
        <f aca="false">MAX(AP1336,G1336)</f>
        <v>1</v>
      </c>
      <c r="AC1336" s="64"/>
      <c r="AD1336" s="57" t="n">
        <f aca="false">IF(LEFT(Cockpit!$C$5,1)="A",G1336,IF(BW1336=1,BX1336,IF(LEFT(Cockpit!$C$5,1)="B",AH1336,MAX(AH1336,G1336))))</f>
        <v>0</v>
      </c>
      <c r="AE1336" s="57" t="n">
        <f aca="false">IF(BR1336=1,0,ROUNDUP(AD1336/BQ1336,0))</f>
        <v>0</v>
      </c>
      <c r="AF1336" s="59" t="n">
        <f aca="false">IF(CD1336&gt;0,CD1336*MAX(1,AD1336/V1336),IF(BR1336=1,IF(AD1336&lt;=0,0,BS1336*MAX(1,IF(G1336&gt;0,AD1336/G1336,1))),IF(Q1336&gt;0,AE1336/Q1336,0))/MAX(0.1,N(Parameter!$M$21)))</f>
        <v>0</v>
      </c>
      <c r="AG1336" s="57" t="n">
        <f aca="false">AD1336*F1336</f>
        <v>0</v>
      </c>
      <c r="AH1336" s="57" t="n">
        <f aca="false">ROUNDUP(MAX(I1336/IF(BV1336&gt;0,BV1336,MAX(0.1,N(Cockpit!$C$6))),BY1336)/BQ1336,0)*BQ1336</f>
        <v>1</v>
      </c>
      <c r="AI1336" s="58" t="n">
        <f aca="false">IF(AF1336&gt;0,I1336/AF1336,-1)</f>
        <v>-1</v>
      </c>
      <c r="AJ1336" s="58" t="str">
        <f aca="false">IF(AND(OR(BU1336="L1",BU1336="L23"),AF1336&gt;0),SUMIFS($AF$7:$AF$1576,$BU$7:$BU$1576,BU1336,$AI$7:$AI$1576,"&gt;"&amp;AI1336)+SUMIFS($AF$7:$AF$1576,$BU$7:$BU$1576,BU1336,$AI$7:$AI$1576,AI1336,$BO$7:$BO$1576,"&lt;="&amp;BO1336),"")</f>
        <v/>
      </c>
      <c r="AK1336" s="65" t="n">
        <f aca="false">IF(AJ1336="",0,MAX(0,MIN(1,(IF(BU1336="L1",Parameter!$E$5,Parameter!$E$6+Parameter!$E$7)-(AJ1336-AF1336))/AF1336)))</f>
        <v>0</v>
      </c>
      <c r="AL1336" s="57" t="n">
        <f aca="false">IF(LEFT(Cockpit!$I$5,1)="A",G1336,IF(BW1336=1,BX1336,IF(LEFT(Cockpit!$I$5,1)="B",AP1336,MAX(AP1336,G1336))))</f>
        <v>1</v>
      </c>
      <c r="AM1336" s="57" t="n">
        <f aca="false">IF(BR1336=1,0,ROUNDUP(AL1336/BQ1336,0))</f>
        <v>0</v>
      </c>
      <c r="AN1336" s="59" t="n">
        <f aca="false">IF(CD1336&gt;0,CD1336*MAX(1,AL1336/V1336),IF(BR1336=1,IF(AL1336&lt;=0,0,BS1336*MAX(1,IF(G1336&gt;0,AL1336/G1336,1))),IF(Q1336&gt;0,AM1336/Q1336,0))/MAX(0.1,N(Parameter!$M$21)))</f>
        <v>0.15</v>
      </c>
      <c r="AO1336" s="57" t="n">
        <f aca="false">AL1336*F1336</f>
        <v>103.25</v>
      </c>
      <c r="AP1336" s="57" t="n">
        <f aca="false">ROUNDUP(MAX(I1336/IF(BV1336&gt;0,BV1336,MAX(0.1,N(Cockpit!$I$6))),BY1336)/BQ1336,0)*BQ1336</f>
        <v>1</v>
      </c>
      <c r="AQ1336" s="58" t="n">
        <f aca="false">IF(AN1336&gt;0,I1336/AN1336,-1)</f>
        <v>0</v>
      </c>
      <c r="AR1336" s="58" t="n">
        <f aca="false">IF(AND(OR(BU1336="L1",BU1336="L23"),AN1336&gt;0),SUMIFS($AN$7:$AN$1576,$BU$7:$BU$1576,BU1336,$AQ$7:$AQ$1576,"&gt;"&amp;AQ1336)+SUMIFS($AN$7:$AN$1576,$BU$7:$BU$1576,BU1336,$AQ$7:$AQ$1576,AQ1336,$BO$7:$BO$1576,"&lt;="&amp;BO1336),"")</f>
        <v>138.678435260439</v>
      </c>
      <c r="AS1336" s="65" t="n">
        <f aca="false">IF(AR1336="",0,MAX(0,MIN(1,(IF(BU1336="L1",Parameter!$E$5,Parameter!$E$6+Parameter!$E$7)-(AR1336-AN1336))/AN1336)))</f>
        <v>0</v>
      </c>
      <c r="AT1336" s="57" t="n">
        <f aca="false">IF(LEFT(Cockpit!$O$5,1)="A",G1336,IF(BW1336=1,BX1336,IF(LEFT(Cockpit!$O$5,1)="B",AX1336,MAX(AX1336,G1336))))</f>
        <v>1</v>
      </c>
      <c r="AU1336" s="57" t="n">
        <f aca="false">IF(BR1336=1,0,ROUNDUP(AT1336/BQ1336,0))</f>
        <v>0</v>
      </c>
      <c r="AV1336" s="59" t="n">
        <f aca="false">IF(CD1336&gt;0,CD1336*MAX(1,AT1336/V1336),IF(BR1336=1,IF(AT1336&lt;=0,0,BS1336*MAX(1,IF(G1336&gt;0,AT1336/G1336,1))),IF(Q1336&gt;0,AU1336/Q1336,0))/MAX(0.1,N(Parameter!$M$21)))</f>
        <v>0.15</v>
      </c>
      <c r="AW1336" s="57" t="n">
        <f aca="false">AT1336*F1336</f>
        <v>103.25</v>
      </c>
      <c r="AX1336" s="57" t="n">
        <f aca="false">ROUNDUP(MAX(I1336/IF(BV1336&gt;0,BV1336,MAX(0.1,N(Cockpit!$O$6))),BY1336)/BQ1336,0)*BQ1336</f>
        <v>1</v>
      </c>
      <c r="AY1336" s="58" t="n">
        <f aca="false">IF(AV1336&gt;0,I1336/AV1336,-1)</f>
        <v>0</v>
      </c>
      <c r="AZ1336" s="58" t="n">
        <f aca="false">IF(AND(OR(BU1336="L1",BU1336="L23"),AV1336&gt;0),SUMIFS($AV$7:$AV$1576,$BU$7:$BU$1576,BU1336,$AY$7:$AY$1576,"&gt;"&amp;AY1336)+SUMIFS($AV$7:$AV$1576,$BU$7:$BU$1576,BU1336,$AY$7:$AY$1576,AY1336,$BO$7:$BO$1576,"&lt;="&amp;BO1336),"")</f>
        <v>128.73798570999</v>
      </c>
      <c r="BA1336" s="65" t="n">
        <f aca="false">IF(AZ1336="",0,MAX(0,MIN(1,(IF(BU1336="L1",Parameter!$E$5,Parameter!$E$6+Parameter!$E$7)-(AZ1336-AV1336))/AV1336)))</f>
        <v>0</v>
      </c>
      <c r="BB1336" s="55" t="str">
        <f aca="false">IF(AF1336&lt;=0,"",IF(BU1336="Aussen","Aussenlager",IF(BU1336="-","Nicht im Lift",IF(AK1336&gt;=1,"Lift",IF(AK1336&lt;=0,"Aussenlager","teilweise")))))</f>
        <v/>
      </c>
      <c r="BC1336" s="55" t="str">
        <f aca="false">IF(AN1336&lt;=0,"",IF(BU1336="Aussen","Aussenlager",IF(BU1336="-","Nicht im Lift",IF(AS1336&gt;=1,"Lift",IF(AS1336&lt;=0,"Aussenlager","teilweise")))))</f>
        <v>Aussenlager</v>
      </c>
      <c r="BD1336" s="55" t="str">
        <f aca="false">IF(AV1336&lt;=0,"",IF(BU1336="Aussen","Aussenlager",IF(BU1336="-","Nicht im Lift",IF(BA1336&gt;=1,"Lift",IF(BA1336&lt;=0,"Aussenlager","teilweise")))))</f>
        <v>Aussenlager</v>
      </c>
      <c r="BE1336" s="55" t="str">
        <f aca="false">IF(A1336="","",IF(BN1336=1,"Neu; ","")&amp;IF(AND(BN1336=0,BI1336&lt;0),"negativer Bestand (Export "&amp;BI1336&amp;"); ","")&amp;IF(I1336&lt;=0,"Kein Verbrauch; ","")&amp;IF(CD1336&gt;0,"Lift "&amp;U1336&amp;" lt. Liftbericht (Fach "&amp;V1336&amp;" Stk); ",IF(BR1336=1,"Lose – Fläche geschätzt; ",""))&amp;IF(G1336&gt;AP1336,"Überbestand "&amp;ROUND(G1336-AP1336,0)&amp;" Stk / CHF "&amp;ROUND((G1336-AP1336)*F1336,0)&amp;"; ","")&amp;IF(AND(BW1336=1,BX1336&lt;BY1336),"MAX &lt; MB+LG; ","")&amp;IF(AND(CC1336&gt;0,CB1336*10&gt;CC1336),"zu hoch für Tablar; ","")&amp;IF(AND(BN1336=0,OR(BW1336=1,Y1336&lt;&gt;"",S1336&lt;&gt;"",T1336&lt;&gt;"",Z1336&lt;&gt;"")),"manuell übersteuert; ","")&amp;IF(AND(BR1336=0,Q1336=0),"Gebinde unbekannt / Stellmass fehlt; ","")&amp;IF(AND(BR1336=0,N(T1336)&lt;=0,N(P1336)&lt;=0),"Menge pro Gebinde fehlt (Ist = 1 Gebinde); ","")&amp;BM1336)</f>
        <v>negativer Bestand (Export -16); Kein Verbrauch; Lose – Fläche geschätzt; grosser Artikel &amp; nicht im KTL</v>
      </c>
      <c r="BF1336" s="55"/>
      <c r="BG1336" s="55"/>
      <c r="BH1336" s="62"/>
      <c r="BI1336" s="57" t="n">
        <v>-16</v>
      </c>
      <c r="BJ1336" s="57" t="n">
        <v>16</v>
      </c>
      <c r="BK1336" s="56" t="n">
        <v>-1652</v>
      </c>
      <c r="BL1336" s="57" t="n">
        <v>0</v>
      </c>
      <c r="BM1336" s="55" t="s">
        <v>253</v>
      </c>
      <c r="BN1336" s="60" t="n">
        <v>0</v>
      </c>
      <c r="BO1336" s="60" t="n">
        <v>1336</v>
      </c>
      <c r="BP1336" s="55" t="str">
        <f aca="false">IF(S1336&lt;&gt;"",UPPER(TRIM(S1336)),IF(O1336="","LOSE",O1336))</f>
        <v>LOSE</v>
      </c>
      <c r="BQ1336" s="57" t="n">
        <f aca="false">IF(BP1336="LOSE",1,IF(N(T1336)&gt;0,T1336,IF(N(P1336)&gt;0,P1336,MAX(1,G1336))))</f>
        <v>1</v>
      </c>
      <c r="BR1336" s="60" t="n">
        <f aca="false">IF(BP1336="LOSE",1,0)</f>
        <v>1</v>
      </c>
      <c r="BS1336" s="59" t="n">
        <f aca="false">IF(BR1336=0,0,IF(N(R1336)&gt;0,R1336,IFERROR(VLOOKUP(D1336,Parameter!$A$35:$C$64,3,0)+0,0)))</f>
        <v>0.15</v>
      </c>
      <c r="BT1336" s="55" t="n">
        <f aca="false">IF(Y1336&lt;&gt;"",Y1336,X1336)</f>
        <v>2</v>
      </c>
      <c r="BU1336" s="55" t="str">
        <f aca="false">IF(BT1336=1,"L1",IF(OR(BT1336=2,BT1336=3),"L23",IF(BT1336="Aussen","Aussen","-")))</f>
        <v>L23</v>
      </c>
      <c r="BV1336" s="66" t="n">
        <f aca="false">IF(N(Z1336)&gt;0,Z1336,0)</f>
        <v>0</v>
      </c>
      <c r="BW1336" s="60" t="n">
        <f aca="false">IF(ISNUMBER(AC1336),1,0)</f>
        <v>0</v>
      </c>
      <c r="BX1336" s="57" t="n">
        <f aca="false">N(AC1336)</f>
        <v>0</v>
      </c>
      <c r="BY1336" s="57" t="n">
        <f aca="false">N(L1336)+N(M1336)</f>
        <v>1</v>
      </c>
      <c r="BZ1336" s="57" t="n">
        <f aca="false">ROUNDUP(G1336/BQ1336,0)</f>
        <v>0</v>
      </c>
      <c r="CA1336" s="57" t="n">
        <f aca="false">ROUNDUP(BX1336/BQ1336,0)</f>
        <v>0</v>
      </c>
      <c r="CB1336" s="60" t="n">
        <f aca="false">IF(BR1336=1,0,IFERROR(VLOOKUP(BP1336,'Gebinde-Kategorie'!$A$5:$M$45,5,0)+0,0))</f>
        <v>0</v>
      </c>
      <c r="CC1336" s="60" t="n">
        <f aca="false">IFERROR(IF(OR(BT1336=1,BT1336=2,BT1336=3),N(INDEX(Parameter!$I$5:$I$7,BT1336)),0),0)</f>
        <v>0</v>
      </c>
      <c r="CD1336" s="59" t="n">
        <f aca="false">IF(AND(Parameter!$B$21="Ja",ISNUMBER(U1336),N(V1336)&gt;0),IFERROR(N(INDEX(Parameter!$L$5:$L$7,U1336))*INDEX(Parameter!$E$5:$E$7,U1336)*V1336/SUMIFS($V$7:$V$1576,$U$7:$U$1576,U1336),0),0)</f>
        <v>0</v>
      </c>
    </row>
    <row r="1337" customFormat="false" ht="15" hidden="false" customHeight="false" outlineLevel="0" collapsed="false">
      <c r="A1337" s="55" t="s">
        <v>2354</v>
      </c>
      <c r="B1337" s="55" t="s">
        <v>587</v>
      </c>
      <c r="C1337" s="55" t="s">
        <v>160</v>
      </c>
      <c r="D1337" s="55" t="s">
        <v>178</v>
      </c>
      <c r="E1337" s="55" t="s">
        <v>210</v>
      </c>
      <c r="F1337" s="56" t="n">
        <v>15.91</v>
      </c>
      <c r="G1337" s="57" t="n">
        <f aca="false">MAX(0,IF(AND(Parameter!$B$21="Ja",ISNUMBER(W1337)),W1337,IF(Parameter!$B$20="Jahresanfang 2025 + Export",BJ1337+BI1337,BI1337)))</f>
        <v>0</v>
      </c>
      <c r="H1337" s="57" t="n">
        <f aca="false">G1337*F1337</f>
        <v>0</v>
      </c>
      <c r="I1337" s="57" t="n">
        <f aca="false">BL1337*Parameter!$B$18</f>
        <v>69</v>
      </c>
      <c r="J1337" s="58" t="n">
        <v>101.5</v>
      </c>
      <c r="K1337" s="59" t="n">
        <v>0.679802955665025</v>
      </c>
      <c r="L1337" s="57" t="n">
        <v>2</v>
      </c>
      <c r="M1337" s="57" t="n">
        <v>70</v>
      </c>
      <c r="N1337" s="60" t="n">
        <v>14</v>
      </c>
      <c r="O1337" s="55" t="s">
        <v>465</v>
      </c>
      <c r="P1337" s="57" t="n">
        <v>86</v>
      </c>
      <c r="Q1337" s="60" t="n">
        <f aca="false">IF(BR1337=1,0,IFERROR(VLOOKUP(BP1337,'Gebinde-Kategorie'!$A$5:$M$45,13,0)+0,0))</f>
        <v>66</v>
      </c>
      <c r="R1337" s="61"/>
      <c r="S1337" s="62"/>
      <c r="T1337" s="62"/>
      <c r="U1337" s="55"/>
      <c r="V1337" s="57"/>
      <c r="W1337" s="57"/>
      <c r="X1337" s="55" t="n">
        <f aca="false">IF(A1337="","",IF(AND(Parameter!$B$21="Ja",ISNUMBER(U1337)),U1337,IF(IFERROR(VLOOKUP(D1337,Parameter!$A$35:$C$64,2,0),"Nein")="2+3",IF(ISNUMBER(SEARCH("grosser Artikel",BM1337)),2,IFERROR(VLOOKUP(BP1337,Parameter!$F$35:$G$64,2,0),2)),IF(OR(IFERROR(VLOOKUP(D1337,Parameter!$A$35:$C$64,2,0),"Nein")="Nein",IFERROR(VLOOKUP(D1337,Parameter!$A$35:$C$64,2,0),"Nein")=""),"-",VLOOKUP(D1337,Parameter!$A$35:$C$64,2,0)))))</f>
        <v>3</v>
      </c>
      <c r="Y1337" s="62"/>
      <c r="Z1337" s="63"/>
      <c r="AA1337" s="57" t="n">
        <f aca="false">AP1337</f>
        <v>86</v>
      </c>
      <c r="AB1337" s="57" t="n">
        <f aca="false">MAX(AP1337,G1337)</f>
        <v>86</v>
      </c>
      <c r="AC1337" s="64"/>
      <c r="AD1337" s="57" t="n">
        <f aca="false">IF(LEFT(Cockpit!$C$5,1)="A",G1337,IF(BW1337=1,BX1337,IF(LEFT(Cockpit!$C$5,1)="B",AH1337,MAX(AH1337,G1337))))</f>
        <v>0</v>
      </c>
      <c r="AE1337" s="57" t="n">
        <f aca="false">IF(BR1337=1,0,ROUNDUP(AD1337/BQ1337,0))</f>
        <v>0</v>
      </c>
      <c r="AF1337" s="59" t="n">
        <f aca="false">IF(CD1337&gt;0,CD1337*MAX(1,AD1337/V1337),IF(BR1337=1,IF(AD1337&lt;=0,0,BS1337*MAX(1,IF(G1337&gt;0,AD1337/G1337,1))),IF(Q1337&gt;0,AE1337/Q1337,0))/MAX(0.1,N(Parameter!$M$21)))</f>
        <v>0</v>
      </c>
      <c r="AG1337" s="57" t="n">
        <f aca="false">AD1337*F1337</f>
        <v>0</v>
      </c>
      <c r="AH1337" s="57" t="n">
        <f aca="false">ROUNDUP(MAX(I1337/IF(BV1337&gt;0,BV1337,MAX(0.1,N(Cockpit!$C$6))),BY1337)/BQ1337,0)*BQ1337</f>
        <v>86</v>
      </c>
      <c r="AI1337" s="58" t="n">
        <f aca="false">IF(AF1337&gt;0,I1337/AF1337,-1)</f>
        <v>-1</v>
      </c>
      <c r="AJ1337" s="58" t="str">
        <f aca="false">IF(AND(OR(BU1337="L1",BU1337="L23"),AF1337&gt;0),SUMIFS($AF$7:$AF$1576,$BU$7:$BU$1576,BU1337,$AI$7:$AI$1576,"&gt;"&amp;AI1337)+SUMIFS($AF$7:$AF$1576,$BU$7:$BU$1576,BU1337,$AI$7:$AI$1576,AI1337,$BO$7:$BO$1576,"&lt;="&amp;BO1337),"")</f>
        <v/>
      </c>
      <c r="AK1337" s="65" t="n">
        <f aca="false">IF(AJ1337="",0,MAX(0,MIN(1,(IF(BU1337="L1",Parameter!$E$5,Parameter!$E$6+Parameter!$E$7)-(AJ1337-AF1337))/AF1337)))</f>
        <v>0</v>
      </c>
      <c r="AL1337" s="57" t="n">
        <f aca="false">IF(LEFT(Cockpit!$I$5,1)="A",G1337,IF(BW1337=1,BX1337,IF(LEFT(Cockpit!$I$5,1)="B",AP1337,MAX(AP1337,G1337))))</f>
        <v>86</v>
      </c>
      <c r="AM1337" s="57" t="n">
        <f aca="false">IF(BR1337=1,0,ROUNDUP(AL1337/BQ1337,0))</f>
        <v>1</v>
      </c>
      <c r="AN1337" s="59" t="n">
        <f aca="false">IF(CD1337&gt;0,CD1337*MAX(1,AL1337/V1337),IF(BR1337=1,IF(AL1337&lt;=0,0,BS1337*MAX(1,IF(G1337&gt;0,AL1337/G1337,1))),IF(Q1337&gt;0,AM1337/Q1337,0))/MAX(0.1,N(Parameter!$M$21)))</f>
        <v>0.0151515151515152</v>
      </c>
      <c r="AO1337" s="57" t="n">
        <f aca="false">AL1337*F1337</f>
        <v>1368.26</v>
      </c>
      <c r="AP1337" s="57" t="n">
        <f aca="false">ROUNDUP(MAX(I1337/IF(BV1337&gt;0,BV1337,MAX(0.1,N(Cockpit!$I$6))),BY1337)/BQ1337,0)*BQ1337</f>
        <v>86</v>
      </c>
      <c r="AQ1337" s="58" t="n">
        <f aca="false">IF(AN1337&gt;0,I1337/AN1337,-1)</f>
        <v>4554</v>
      </c>
      <c r="AR1337" s="58" t="n">
        <f aca="false">IF(AND(OR(BU1337="L1",BU1337="L23"),AN1337&gt;0),SUMIFS($AN$7:$AN$1576,$BU$7:$BU$1576,BU1337,$AQ$7:$AQ$1576,"&gt;"&amp;AQ1337)+SUMIFS($AN$7:$AN$1576,$BU$7:$BU$1576,BU1337,$AQ$7:$AQ$1576,AQ1337,$BO$7:$BO$1576,"&lt;="&amp;BO1337),"")</f>
        <v>12.1122046316003</v>
      </c>
      <c r="AS1337" s="65" t="n">
        <f aca="false">IF(AR1337="",0,MAX(0,MIN(1,(IF(BU1337="L1",Parameter!$E$5,Parameter!$E$6+Parameter!$E$7)-(AR1337-AN1337))/AN1337)))</f>
        <v>1</v>
      </c>
      <c r="AT1337" s="57" t="n">
        <f aca="false">IF(LEFT(Cockpit!$O$5,1)="A",G1337,IF(BW1337=1,BX1337,IF(LEFT(Cockpit!$O$5,1)="B",AX1337,MAX(AX1337,G1337))))</f>
        <v>86</v>
      </c>
      <c r="AU1337" s="57" t="n">
        <f aca="false">IF(BR1337=1,0,ROUNDUP(AT1337/BQ1337,0))</f>
        <v>1</v>
      </c>
      <c r="AV1337" s="59" t="n">
        <f aca="false">IF(CD1337&gt;0,CD1337*MAX(1,AT1337/V1337),IF(BR1337=1,IF(AT1337&lt;=0,0,BS1337*MAX(1,IF(G1337&gt;0,AT1337/G1337,1))),IF(Q1337&gt;0,AU1337/Q1337,0))/MAX(0.1,N(Parameter!$M$21)))</f>
        <v>0.0151515151515152</v>
      </c>
      <c r="AW1337" s="57" t="n">
        <f aca="false">AT1337*F1337</f>
        <v>1368.26</v>
      </c>
      <c r="AX1337" s="57" t="n">
        <f aca="false">ROUNDUP(MAX(I1337/IF(BV1337&gt;0,BV1337,MAX(0.1,N(Cockpit!$O$6))),BY1337)/BQ1337,0)*BQ1337</f>
        <v>86</v>
      </c>
      <c r="AY1337" s="58" t="n">
        <f aca="false">IF(AV1337&gt;0,I1337/AV1337,-1)</f>
        <v>4554</v>
      </c>
      <c r="AZ1337" s="58" t="n">
        <f aca="false">IF(AND(OR(BU1337="L1",BU1337="L23"),AV1337&gt;0),SUMIFS($AV$7:$AV$1576,$BU$7:$BU$1576,BU1337,$AY$7:$AY$1576,"&gt;"&amp;AY1337)+SUMIFS($AV$7:$AV$1576,$BU$7:$BU$1576,BU1337,$AY$7:$AY$1576,AY1337,$BO$7:$BO$1576,"&lt;="&amp;BO1337),"")</f>
        <v>11.3330671024628</v>
      </c>
      <c r="BA1337" s="65" t="n">
        <f aca="false">IF(AZ1337="",0,MAX(0,MIN(1,(IF(BU1337="L1",Parameter!$E$5,Parameter!$E$6+Parameter!$E$7)-(AZ1337-AV1337))/AV1337)))</f>
        <v>1</v>
      </c>
      <c r="BB1337" s="55" t="str">
        <f aca="false">IF(AF1337&lt;=0,"",IF(BU1337="Aussen","Aussenlager",IF(BU1337="-","Nicht im Lift",IF(AK1337&gt;=1,"Lift",IF(AK1337&lt;=0,"Aussenlager","teilweise")))))</f>
        <v/>
      </c>
      <c r="BC1337" s="55" t="str">
        <f aca="false">IF(AN1337&lt;=0,"",IF(BU1337="Aussen","Aussenlager",IF(BU1337="-","Nicht im Lift",IF(AS1337&gt;=1,"Lift",IF(AS1337&lt;=0,"Aussenlager","teilweise")))))</f>
        <v>Lift</v>
      </c>
      <c r="BD1337" s="55" t="str">
        <f aca="false">IF(AV1337&lt;=0,"",IF(BU1337="Aussen","Aussenlager",IF(BU1337="-","Nicht im Lift",IF(BA1337&gt;=1,"Lift",IF(BA1337&lt;=0,"Aussenlager","teilweise")))))</f>
        <v>Lift</v>
      </c>
      <c r="BE1337" s="55" t="str">
        <f aca="false">IF(A1337="","",IF(BN1337=1,"Neu; ","")&amp;IF(AND(BN1337=0,BI1337&lt;0),"negativer Bestand (Export "&amp;BI1337&amp;"); ","")&amp;IF(I1337&lt;=0,"Kein Verbrauch; ","")&amp;IF(CD1337&gt;0,"Lift "&amp;U1337&amp;" lt. Liftbericht (Fach "&amp;V1337&amp;" Stk); ",IF(BR1337=1,"Lose – Fläche geschätzt; ",""))&amp;IF(G1337&gt;AP1337,"Überbestand "&amp;ROUND(G1337-AP1337,0)&amp;" Stk / CHF "&amp;ROUND((G1337-AP1337)*F1337,0)&amp;"; ","")&amp;IF(AND(BW1337=1,BX1337&lt;BY1337),"MAX &lt; MB+LG; ","")&amp;IF(AND(CC1337&gt;0,CB1337*10&gt;CC1337),"zu hoch für Tablar; ","")&amp;IF(AND(BN1337=0,OR(BW1337=1,Y1337&lt;&gt;"",S1337&lt;&gt;"",T1337&lt;&gt;"",Z1337&lt;&gt;"")),"manuell übersteuert; ","")&amp;IF(AND(BR1337=0,Q1337=0),"Gebinde unbekannt / Stellmass fehlt; ","")&amp;IF(AND(BR1337=0,N(T1337)&lt;=0,N(P1337)&lt;=0),"Menge pro Gebinde fehlt (Ist = 1 Gebinde); ","")&amp;BM1337)</f>
        <v>negativer Bestand (Export -104); </v>
      </c>
      <c r="BF1337" s="55"/>
      <c r="BG1337" s="55"/>
      <c r="BH1337" s="62"/>
      <c r="BI1337" s="57" t="n">
        <v>-104</v>
      </c>
      <c r="BJ1337" s="57" t="n">
        <v>135</v>
      </c>
      <c r="BK1337" s="56" t="n">
        <v>-1654.64</v>
      </c>
      <c r="BL1337" s="57" t="n">
        <v>69</v>
      </c>
      <c r="BM1337" s="55"/>
      <c r="BN1337" s="60" t="n">
        <v>0</v>
      </c>
      <c r="BO1337" s="60" t="n">
        <v>1337</v>
      </c>
      <c r="BP1337" s="55" t="str">
        <f aca="false">IF(S1337&lt;&gt;"",UPPER(TRIM(S1337)),IF(O1337="","LOSE",O1337))</f>
        <v>S33</v>
      </c>
      <c r="BQ1337" s="57" t="n">
        <f aca="false">IF(BP1337="LOSE",1,IF(N(T1337)&gt;0,T1337,IF(N(P1337)&gt;0,P1337,MAX(1,G1337))))</f>
        <v>86</v>
      </c>
      <c r="BR1337" s="60" t="n">
        <f aca="false">IF(BP1337="LOSE",1,0)</f>
        <v>0</v>
      </c>
      <c r="BS1337" s="59" t="n">
        <f aca="false">IF(BR1337=0,0,IF(N(R1337)&gt;0,R1337,IFERROR(VLOOKUP(D1337,Parameter!$A$35:$C$64,3,0)+0,0)))</f>
        <v>0</v>
      </c>
      <c r="BT1337" s="55" t="n">
        <f aca="false">IF(Y1337&lt;&gt;"",Y1337,X1337)</f>
        <v>3</v>
      </c>
      <c r="BU1337" s="55" t="str">
        <f aca="false">IF(BT1337=1,"L1",IF(OR(BT1337=2,BT1337=3),"L23",IF(BT1337="Aussen","Aussen","-")))</f>
        <v>L23</v>
      </c>
      <c r="BV1337" s="66" t="n">
        <f aca="false">IF(N(Z1337)&gt;0,Z1337,0)</f>
        <v>0</v>
      </c>
      <c r="BW1337" s="60" t="n">
        <f aca="false">IF(ISNUMBER(AC1337),1,0)</f>
        <v>0</v>
      </c>
      <c r="BX1337" s="57" t="n">
        <f aca="false">N(AC1337)</f>
        <v>0</v>
      </c>
      <c r="BY1337" s="57" t="n">
        <f aca="false">N(L1337)+N(M1337)</f>
        <v>72</v>
      </c>
      <c r="BZ1337" s="57" t="n">
        <f aca="false">ROUNDUP(G1337/BQ1337,0)</f>
        <v>0</v>
      </c>
      <c r="CA1337" s="57" t="n">
        <f aca="false">ROUNDUP(BX1337/BQ1337,0)</f>
        <v>0</v>
      </c>
      <c r="CB1337" s="60" t="n">
        <f aca="false">IF(BR1337=1,0,IFERROR(VLOOKUP(BP1337,'Gebinde-Kategorie'!$A$5:$M$45,5,0)+0,0))</f>
        <v>8</v>
      </c>
      <c r="CC1337" s="60" t="n">
        <f aca="false">IFERROR(IF(OR(BT1337=1,BT1337=2,BT1337=3),N(INDEX(Parameter!$I$5:$I$7,BT1337)),0),0)</f>
        <v>0</v>
      </c>
      <c r="CD1337" s="59" t="n">
        <f aca="false">IF(AND(Parameter!$B$21="Ja",ISNUMBER(U1337),N(V1337)&gt;0),IFERROR(N(INDEX(Parameter!$L$5:$L$7,U1337))*INDEX(Parameter!$E$5:$E$7,U1337)*V1337/SUMIFS($V$7:$V$1576,$U$7:$U$1576,U1337),0),0)</f>
        <v>0</v>
      </c>
    </row>
    <row r="1338" customFormat="false" ht="15" hidden="false" customHeight="false" outlineLevel="0" collapsed="false">
      <c r="A1338" s="55" t="s">
        <v>2355</v>
      </c>
      <c r="B1338" s="55" t="s">
        <v>1354</v>
      </c>
      <c r="C1338" s="55" t="s">
        <v>160</v>
      </c>
      <c r="D1338" s="55" t="s">
        <v>178</v>
      </c>
      <c r="E1338" s="55" t="s">
        <v>210</v>
      </c>
      <c r="F1338" s="56" t="n">
        <v>84.96</v>
      </c>
      <c r="G1338" s="57" t="n">
        <f aca="false">MAX(0,IF(AND(Parameter!$B$21="Ja",ISNUMBER(W1338)),W1338,IF(Parameter!$B$20="Jahresanfang 2025 + Export",BJ1338+BI1338,BI1338)))</f>
        <v>10</v>
      </c>
      <c r="H1338" s="57" t="n">
        <f aca="false">G1338*F1338</f>
        <v>849.6</v>
      </c>
      <c r="I1338" s="57" t="n">
        <f aca="false">BL1338*Parameter!$B$18</f>
        <v>192</v>
      </c>
      <c r="J1338" s="58" t="n">
        <v>38</v>
      </c>
      <c r="K1338" s="59" t="n">
        <v>5.05263157894737</v>
      </c>
      <c r="L1338" s="57" t="n">
        <v>10</v>
      </c>
      <c r="M1338" s="57" t="n">
        <v>60</v>
      </c>
      <c r="N1338" s="60" t="n">
        <v>14</v>
      </c>
      <c r="O1338" s="55" t="s">
        <v>284</v>
      </c>
      <c r="P1338" s="57" t="n">
        <v>100</v>
      </c>
      <c r="Q1338" s="60" t="n">
        <f aca="false">IF(BR1338=1,0,IFERROR(VLOOKUP(BP1338,'Gebinde-Kategorie'!$A$5:$M$45,13,0)+0,0))</f>
        <v>12</v>
      </c>
      <c r="R1338" s="61"/>
      <c r="S1338" s="62"/>
      <c r="T1338" s="62"/>
      <c r="U1338" s="55"/>
      <c r="V1338" s="57"/>
      <c r="W1338" s="57"/>
      <c r="X1338" s="55" t="n">
        <f aca="false">IF(A1338="","",IF(AND(Parameter!$B$21="Ja",ISNUMBER(U1338)),U1338,IF(IFERROR(VLOOKUP(D1338,Parameter!$A$35:$C$64,2,0),"Nein")="2+3",IF(ISNUMBER(SEARCH("grosser Artikel",BM1338)),2,IFERROR(VLOOKUP(BP1338,Parameter!$F$35:$G$64,2,0),2)),IF(OR(IFERROR(VLOOKUP(D1338,Parameter!$A$35:$C$64,2,0),"Nein")="Nein",IFERROR(VLOOKUP(D1338,Parameter!$A$35:$C$64,2,0),"Nein")=""),"-",VLOOKUP(D1338,Parameter!$A$35:$C$64,2,0)))))</f>
        <v>2</v>
      </c>
      <c r="Y1338" s="62"/>
      <c r="Z1338" s="63"/>
      <c r="AA1338" s="57" t="n">
        <f aca="false">AP1338</f>
        <v>100</v>
      </c>
      <c r="AB1338" s="57" t="n">
        <f aca="false">MAX(AP1338,G1338)</f>
        <v>100</v>
      </c>
      <c r="AC1338" s="64"/>
      <c r="AD1338" s="57" t="n">
        <f aca="false">IF(LEFT(Cockpit!$C$5,1)="A",G1338,IF(BW1338=1,BX1338,IF(LEFT(Cockpit!$C$5,1)="B",AH1338,MAX(AH1338,G1338))))</f>
        <v>10</v>
      </c>
      <c r="AE1338" s="57" t="n">
        <f aca="false">IF(BR1338=1,0,ROUNDUP(AD1338/BQ1338,0))</f>
        <v>1</v>
      </c>
      <c r="AF1338" s="59" t="n">
        <f aca="false">IF(CD1338&gt;0,CD1338*MAX(1,AD1338/V1338),IF(BR1338=1,IF(AD1338&lt;=0,0,BS1338*MAX(1,IF(G1338&gt;0,AD1338/G1338,1))),IF(Q1338&gt;0,AE1338/Q1338,0))/MAX(0.1,N(Parameter!$M$21)))</f>
        <v>0.0833333333333333</v>
      </c>
      <c r="AG1338" s="57" t="n">
        <f aca="false">AD1338*F1338</f>
        <v>849.6</v>
      </c>
      <c r="AH1338" s="57" t="n">
        <f aca="false">ROUNDUP(MAX(I1338/IF(BV1338&gt;0,BV1338,MAX(0.1,N(Cockpit!$C$6))),BY1338)/BQ1338,0)*BQ1338</f>
        <v>100</v>
      </c>
      <c r="AI1338" s="58" t="n">
        <f aca="false">IF(AF1338&gt;0,I1338/AF1338,-1)</f>
        <v>2304</v>
      </c>
      <c r="AJ1338" s="58" t="n">
        <f aca="false">IF(AND(OR(BU1338="L1",BU1338="L23"),AF1338&gt;0),SUMIFS($AF$7:$AF$1576,$BU$7:$BU$1576,BU1338,$AI$7:$AI$1576,"&gt;"&amp;AI1338)+SUMIFS($AF$7:$AF$1576,$BU$7:$BU$1576,BU1338,$AI$7:$AI$1576,AI1338,$BO$7:$BO$1576,"&lt;="&amp;BO1338),"")</f>
        <v>6.22589067936894</v>
      </c>
      <c r="AK1338" s="65" t="n">
        <f aca="false">IF(AJ1338="",0,MAX(0,MIN(1,(IF(BU1338="L1",Parameter!$E$5,Parameter!$E$6+Parameter!$E$7)-(AJ1338-AF1338))/AF1338)))</f>
        <v>1</v>
      </c>
      <c r="AL1338" s="57" t="n">
        <f aca="false">IF(LEFT(Cockpit!$I$5,1)="A",G1338,IF(BW1338=1,BX1338,IF(LEFT(Cockpit!$I$5,1)="B",AP1338,MAX(AP1338,G1338))))</f>
        <v>100</v>
      </c>
      <c r="AM1338" s="57" t="n">
        <f aca="false">IF(BR1338=1,0,ROUNDUP(AL1338/BQ1338,0))</f>
        <v>1</v>
      </c>
      <c r="AN1338" s="59" t="n">
        <f aca="false">IF(CD1338&gt;0,CD1338*MAX(1,AL1338/V1338),IF(BR1338=1,IF(AL1338&lt;=0,0,BS1338*MAX(1,IF(G1338&gt;0,AL1338/G1338,1))),IF(Q1338&gt;0,AM1338/Q1338,0))/MAX(0.1,N(Parameter!$M$21)))</f>
        <v>0.0833333333333333</v>
      </c>
      <c r="AO1338" s="57" t="n">
        <f aca="false">AL1338*F1338</f>
        <v>8496</v>
      </c>
      <c r="AP1338" s="57" t="n">
        <f aca="false">ROUNDUP(MAX(I1338/IF(BV1338&gt;0,BV1338,MAX(0.1,N(Cockpit!$I$6))),BY1338)/BQ1338,0)*BQ1338</f>
        <v>100</v>
      </c>
      <c r="AQ1338" s="58" t="n">
        <f aca="false">IF(AN1338&gt;0,I1338/AN1338,-1)</f>
        <v>2304</v>
      </c>
      <c r="AR1338" s="58" t="n">
        <f aca="false">IF(AND(OR(BU1338="L1",BU1338="L23"),AN1338&gt;0),SUMIFS($AN$7:$AN$1576,$BU$7:$BU$1576,BU1338,$AQ$7:$AQ$1576,"&gt;"&amp;AQ1338)+SUMIFS($AN$7:$AN$1576,$BU$7:$BU$1576,BU1338,$AQ$7:$AQ$1576,AQ1338,$BO$7:$BO$1576,"&lt;="&amp;BO1338),"")</f>
        <v>16.4525340001539</v>
      </c>
      <c r="AS1338" s="65" t="n">
        <f aca="false">IF(AR1338="",0,MAX(0,MIN(1,(IF(BU1338="L1",Parameter!$E$5,Parameter!$E$6+Parameter!$E$7)-(AR1338-AN1338))/AN1338)))</f>
        <v>1</v>
      </c>
      <c r="AT1338" s="57" t="n">
        <f aca="false">IF(LEFT(Cockpit!$O$5,1)="A",G1338,IF(BW1338=1,BX1338,IF(LEFT(Cockpit!$O$5,1)="B",AX1338,MAX(AX1338,G1338))))</f>
        <v>100</v>
      </c>
      <c r="AU1338" s="57" t="n">
        <f aca="false">IF(BR1338=1,0,ROUNDUP(AT1338/BQ1338,0))</f>
        <v>1</v>
      </c>
      <c r="AV1338" s="59" t="n">
        <f aca="false">IF(CD1338&gt;0,CD1338*MAX(1,AT1338/V1338),IF(BR1338=1,IF(AT1338&lt;=0,0,BS1338*MAX(1,IF(G1338&gt;0,AT1338/G1338,1))),IF(Q1338&gt;0,AU1338/Q1338,0))/MAX(0.1,N(Parameter!$M$21)))</f>
        <v>0.0833333333333333</v>
      </c>
      <c r="AW1338" s="57" t="n">
        <f aca="false">AT1338*F1338</f>
        <v>8496</v>
      </c>
      <c r="AX1338" s="57" t="n">
        <f aca="false">ROUNDUP(MAX(I1338/IF(BV1338&gt;0,BV1338,MAX(0.1,N(Cockpit!$O$6))),BY1338)/BQ1338,0)*BQ1338</f>
        <v>100</v>
      </c>
      <c r="AY1338" s="58" t="n">
        <f aca="false">IF(AV1338&gt;0,I1338/AV1338,-1)</f>
        <v>2304</v>
      </c>
      <c r="AZ1338" s="58" t="n">
        <f aca="false">IF(AND(OR(BU1338="L1",BU1338="L23"),AV1338&gt;0),SUMIFS($AV$7:$AV$1576,$BU$7:$BU$1576,BU1338,$AY$7:$AY$1576,"&gt;"&amp;AY1338)+SUMIFS($AV$7:$AV$1576,$BU$7:$BU$1576,BU1338,$AY$7:$AY$1576,AY1338,$BO$7:$BO$1576,"&lt;="&amp;BO1338),"")</f>
        <v>15.2567298043497</v>
      </c>
      <c r="BA1338" s="65" t="n">
        <f aca="false">IF(AZ1338="",0,MAX(0,MIN(1,(IF(BU1338="L1",Parameter!$E$5,Parameter!$E$6+Parameter!$E$7)-(AZ1338-AV1338))/AV1338)))</f>
        <v>1</v>
      </c>
      <c r="BB1338" s="55" t="str">
        <f aca="false">IF(AF1338&lt;=0,"",IF(BU1338="Aussen","Aussenlager",IF(BU1338="-","Nicht im Lift",IF(AK1338&gt;=1,"Lift",IF(AK1338&lt;=0,"Aussenlager","teilweise")))))</f>
        <v>Lift</v>
      </c>
      <c r="BC1338" s="55" t="str">
        <f aca="false">IF(AN1338&lt;=0,"",IF(BU1338="Aussen","Aussenlager",IF(BU1338="-","Nicht im Lift",IF(AS1338&gt;=1,"Lift",IF(AS1338&lt;=0,"Aussenlager","teilweise")))))</f>
        <v>Lift</v>
      </c>
      <c r="BD1338" s="55" t="str">
        <f aca="false">IF(AV1338&lt;=0,"",IF(BU1338="Aussen","Aussenlager",IF(BU1338="-","Nicht im Lift",IF(BA1338&gt;=1,"Lift",IF(BA1338&lt;=0,"Aussenlager","teilweise")))))</f>
        <v>Lift</v>
      </c>
      <c r="BE1338" s="55" t="str">
        <f aca="false">IF(A1338="","",IF(BN1338=1,"Neu; ","")&amp;IF(AND(BN1338=0,BI1338&lt;0),"negativer Bestand (Export "&amp;BI1338&amp;"); ","")&amp;IF(I1338&lt;=0,"Kein Verbrauch; ","")&amp;IF(CD1338&gt;0,"Lift "&amp;U1338&amp;" lt. Liftbericht (Fach "&amp;V1338&amp;" Stk); ",IF(BR1338=1,"Lose – Fläche geschätzt; ",""))&amp;IF(G1338&gt;AP1338,"Überbestand "&amp;ROUND(G1338-AP1338,0)&amp;" Stk / CHF "&amp;ROUND((G1338-AP1338)*F1338,0)&amp;"; ","")&amp;IF(AND(BW1338=1,BX1338&lt;BY1338),"MAX &lt; MB+LG; ","")&amp;IF(AND(CC1338&gt;0,CB1338*10&gt;CC1338),"zu hoch für Tablar; ","")&amp;IF(AND(BN1338=0,OR(BW1338=1,Y1338&lt;&gt;"",S1338&lt;&gt;"",T1338&lt;&gt;"",Z1338&lt;&gt;"")),"manuell übersteuert; ","")&amp;IF(AND(BR1338=0,Q1338=0),"Gebinde unbekannt / Stellmass fehlt; ","")&amp;IF(AND(BR1338=0,N(T1338)&lt;=0,N(P1338)&lt;=0),"Menge pro Gebinde fehlt (Ist = 1 Gebinde); ","")&amp;BM1338)</f>
        <v/>
      </c>
      <c r="BF1338" s="55"/>
      <c r="BG1338" s="55"/>
      <c r="BH1338" s="62"/>
      <c r="BI1338" s="57" t="n">
        <v>10</v>
      </c>
      <c r="BJ1338" s="57" t="n">
        <v>38</v>
      </c>
      <c r="BK1338" s="56" t="n">
        <v>-1696.37000000001</v>
      </c>
      <c r="BL1338" s="57" t="n">
        <v>192</v>
      </c>
      <c r="BM1338" s="55"/>
      <c r="BN1338" s="60" t="n">
        <v>0</v>
      </c>
      <c r="BO1338" s="60" t="n">
        <v>1338</v>
      </c>
      <c r="BP1338" s="55" t="str">
        <f aca="false">IF(S1338&lt;&gt;"",UPPER(TRIM(S1338)),IF(O1338="","LOSE",O1338))</f>
        <v>S62</v>
      </c>
      <c r="BQ1338" s="57" t="n">
        <f aca="false">IF(BP1338="LOSE",1,IF(N(T1338)&gt;0,T1338,IF(N(P1338)&gt;0,P1338,MAX(1,G1338))))</f>
        <v>100</v>
      </c>
      <c r="BR1338" s="60" t="n">
        <f aca="false">IF(BP1338="LOSE",1,0)</f>
        <v>0</v>
      </c>
      <c r="BS1338" s="59" t="n">
        <f aca="false">IF(BR1338=0,0,IF(N(R1338)&gt;0,R1338,IFERROR(VLOOKUP(D1338,Parameter!$A$35:$C$64,3,0)+0,0)))</f>
        <v>0</v>
      </c>
      <c r="BT1338" s="55" t="n">
        <f aca="false">IF(Y1338&lt;&gt;"",Y1338,X1338)</f>
        <v>2</v>
      </c>
      <c r="BU1338" s="55" t="str">
        <f aca="false">IF(BT1338=1,"L1",IF(OR(BT1338=2,BT1338=3),"L23",IF(BT1338="Aussen","Aussen","-")))</f>
        <v>L23</v>
      </c>
      <c r="BV1338" s="66" t="n">
        <f aca="false">IF(N(Z1338)&gt;0,Z1338,0)</f>
        <v>0</v>
      </c>
      <c r="BW1338" s="60" t="n">
        <f aca="false">IF(ISNUMBER(AC1338),1,0)</f>
        <v>0</v>
      </c>
      <c r="BX1338" s="57" t="n">
        <f aca="false">N(AC1338)</f>
        <v>0</v>
      </c>
      <c r="BY1338" s="57" t="n">
        <f aca="false">N(L1338)+N(M1338)</f>
        <v>70</v>
      </c>
      <c r="BZ1338" s="57" t="n">
        <f aca="false">ROUNDUP(G1338/BQ1338,0)</f>
        <v>1</v>
      </c>
      <c r="CA1338" s="57" t="n">
        <f aca="false">ROUNDUP(BX1338/BQ1338,0)</f>
        <v>0</v>
      </c>
      <c r="CB1338" s="60" t="n">
        <f aca="false">IF(BR1338=1,0,IFERROR(VLOOKUP(BP1338,'Gebinde-Kategorie'!$A$5:$M$45,5,0)+0,0))</f>
        <v>21</v>
      </c>
      <c r="CC1338" s="60" t="n">
        <f aca="false">IFERROR(IF(OR(BT1338=1,BT1338=2,BT1338=3),N(INDEX(Parameter!$I$5:$I$7,BT1338)),0),0)</f>
        <v>0</v>
      </c>
      <c r="CD1338" s="59" t="n">
        <f aca="false">IF(AND(Parameter!$B$21="Ja",ISNUMBER(U1338),N(V1338)&gt;0),IFERROR(N(INDEX(Parameter!$L$5:$L$7,U1338))*INDEX(Parameter!$E$5:$E$7,U1338)*V1338/SUMIFS($V$7:$V$1576,$U$7:$U$1576,U1338),0),0)</f>
        <v>0</v>
      </c>
    </row>
    <row r="1339" customFormat="false" ht="15" hidden="false" customHeight="false" outlineLevel="0" collapsed="false">
      <c r="A1339" s="55" t="s">
        <v>2356</v>
      </c>
      <c r="B1339" s="55" t="s">
        <v>803</v>
      </c>
      <c r="C1339" s="55" t="s">
        <v>160</v>
      </c>
      <c r="D1339" s="55" t="s">
        <v>178</v>
      </c>
      <c r="E1339" s="55" t="s">
        <v>210</v>
      </c>
      <c r="F1339" s="56" t="n">
        <v>90.07</v>
      </c>
      <c r="G1339" s="57" t="n">
        <f aca="false">MAX(0,IF(AND(Parameter!$B$21="Ja",ISNUMBER(W1339)),W1339,IF(Parameter!$B$20="Jahresanfang 2025 + Export",BJ1339+BI1339,BI1339)))</f>
        <v>0</v>
      </c>
      <c r="H1339" s="57" t="n">
        <f aca="false">G1339*F1339</f>
        <v>0</v>
      </c>
      <c r="I1339" s="57" t="n">
        <f aca="false">BL1339*Parameter!$B$18</f>
        <v>20</v>
      </c>
      <c r="J1339" s="58" t="n">
        <v>24</v>
      </c>
      <c r="K1339" s="59" t="n">
        <v>0.833333333333333</v>
      </c>
      <c r="L1339" s="57" t="n">
        <v>7</v>
      </c>
      <c r="M1339" s="57" t="n">
        <v>50</v>
      </c>
      <c r="N1339" s="60" t="n">
        <v>126</v>
      </c>
      <c r="O1339" s="55" t="s">
        <v>319</v>
      </c>
      <c r="P1339" s="57" t="n">
        <v>52</v>
      </c>
      <c r="Q1339" s="60" t="n">
        <f aca="false">IF(BR1339=1,0,IFERROR(VLOOKUP(BP1339,'Gebinde-Kategorie'!$A$5:$M$45,13,0)+0,0))</f>
        <v>52</v>
      </c>
      <c r="R1339" s="61"/>
      <c r="S1339" s="62"/>
      <c r="T1339" s="62"/>
      <c r="U1339" s="55"/>
      <c r="V1339" s="57"/>
      <c r="W1339" s="57"/>
      <c r="X1339" s="55" t="n">
        <f aca="false">IF(A1339="","",IF(AND(Parameter!$B$21="Ja",ISNUMBER(U1339)),U1339,IF(IFERROR(VLOOKUP(D1339,Parameter!$A$35:$C$64,2,0),"Nein")="2+3",IF(ISNUMBER(SEARCH("grosser Artikel",BM1339)),2,IFERROR(VLOOKUP(BP1339,Parameter!$F$35:$G$64,2,0),2)),IF(OR(IFERROR(VLOOKUP(D1339,Parameter!$A$35:$C$64,2,0),"Nein")="Nein",IFERROR(VLOOKUP(D1339,Parameter!$A$35:$C$64,2,0),"Nein")=""),"-",VLOOKUP(D1339,Parameter!$A$35:$C$64,2,0)))))</f>
        <v>3</v>
      </c>
      <c r="Y1339" s="62"/>
      <c r="Z1339" s="63"/>
      <c r="AA1339" s="57" t="n">
        <f aca="false">AP1339</f>
        <v>104</v>
      </c>
      <c r="AB1339" s="57" t="n">
        <f aca="false">MAX(AP1339,G1339)</f>
        <v>104</v>
      </c>
      <c r="AC1339" s="64"/>
      <c r="AD1339" s="57" t="n">
        <f aca="false">IF(LEFT(Cockpit!$C$5,1)="A",G1339,IF(BW1339=1,BX1339,IF(LEFT(Cockpit!$C$5,1)="B",AH1339,MAX(AH1339,G1339))))</f>
        <v>0</v>
      </c>
      <c r="AE1339" s="57" t="n">
        <f aca="false">IF(BR1339=1,0,ROUNDUP(AD1339/BQ1339,0))</f>
        <v>0</v>
      </c>
      <c r="AF1339" s="59" t="n">
        <f aca="false">IF(CD1339&gt;0,CD1339*MAX(1,AD1339/V1339),IF(BR1339=1,IF(AD1339&lt;=0,0,BS1339*MAX(1,IF(G1339&gt;0,AD1339/G1339,1))),IF(Q1339&gt;0,AE1339/Q1339,0))/MAX(0.1,N(Parameter!$M$21)))</f>
        <v>0</v>
      </c>
      <c r="AG1339" s="57" t="n">
        <f aca="false">AD1339*F1339</f>
        <v>0</v>
      </c>
      <c r="AH1339" s="57" t="n">
        <f aca="false">ROUNDUP(MAX(I1339/IF(BV1339&gt;0,BV1339,MAX(0.1,N(Cockpit!$C$6))),BY1339)/BQ1339,0)*BQ1339</f>
        <v>104</v>
      </c>
      <c r="AI1339" s="58" t="n">
        <f aca="false">IF(AF1339&gt;0,I1339/AF1339,-1)</f>
        <v>-1</v>
      </c>
      <c r="AJ1339" s="58" t="str">
        <f aca="false">IF(AND(OR(BU1339="L1",BU1339="L23"),AF1339&gt;0),SUMIFS($AF$7:$AF$1576,$BU$7:$BU$1576,BU1339,$AI$7:$AI$1576,"&gt;"&amp;AI1339)+SUMIFS($AF$7:$AF$1576,$BU$7:$BU$1576,BU1339,$AI$7:$AI$1576,AI1339,$BO$7:$BO$1576,"&lt;="&amp;BO1339),"")</f>
        <v/>
      </c>
      <c r="AK1339" s="65" t="n">
        <f aca="false">IF(AJ1339="",0,MAX(0,MIN(1,(IF(BU1339="L1",Parameter!$E$5,Parameter!$E$6+Parameter!$E$7)-(AJ1339-AF1339))/AF1339)))</f>
        <v>0</v>
      </c>
      <c r="AL1339" s="57" t="n">
        <f aca="false">IF(LEFT(Cockpit!$I$5,1)="A",G1339,IF(BW1339=1,BX1339,IF(LEFT(Cockpit!$I$5,1)="B",AP1339,MAX(AP1339,G1339))))</f>
        <v>104</v>
      </c>
      <c r="AM1339" s="57" t="n">
        <f aca="false">IF(BR1339=1,0,ROUNDUP(AL1339/BQ1339,0))</f>
        <v>2</v>
      </c>
      <c r="AN1339" s="59" t="n">
        <f aca="false">IF(CD1339&gt;0,CD1339*MAX(1,AL1339/V1339),IF(BR1339=1,IF(AL1339&lt;=0,0,BS1339*MAX(1,IF(G1339&gt;0,AL1339/G1339,1))),IF(Q1339&gt;0,AM1339/Q1339,0))/MAX(0.1,N(Parameter!$M$21)))</f>
        <v>0.0384615384615385</v>
      </c>
      <c r="AO1339" s="57" t="n">
        <f aca="false">AL1339*F1339</f>
        <v>9367.28</v>
      </c>
      <c r="AP1339" s="57" t="n">
        <f aca="false">ROUNDUP(MAX(I1339/IF(BV1339&gt;0,BV1339,MAX(0.1,N(Cockpit!$I$6))),BY1339)/BQ1339,0)*BQ1339</f>
        <v>104</v>
      </c>
      <c r="AQ1339" s="58" t="n">
        <f aca="false">IF(AN1339&gt;0,I1339/AN1339,-1)</f>
        <v>520</v>
      </c>
      <c r="AR1339" s="58" t="n">
        <f aca="false">IF(AND(OR(BU1339="L1",BU1339="L23"),AN1339&gt;0),SUMIFS($AN$7:$AN$1576,$BU$7:$BU$1576,BU1339,$AQ$7:$AQ$1576,"&gt;"&amp;AQ1339)+SUMIFS($AN$7:$AN$1576,$BU$7:$BU$1576,BU1339,$AQ$7:$AQ$1576,AQ1339,$BO$7:$BO$1576,"&lt;="&amp;BO1339),"")</f>
        <v>33.3391432363283</v>
      </c>
      <c r="AS1339" s="65" t="n">
        <f aca="false">IF(AR1339="",0,MAX(0,MIN(1,(IF(BU1339="L1",Parameter!$E$5,Parameter!$E$6+Parameter!$E$7)-(AR1339-AN1339))/AN1339)))</f>
        <v>1</v>
      </c>
      <c r="AT1339" s="57" t="n">
        <f aca="false">IF(LEFT(Cockpit!$O$5,1)="A",G1339,IF(BW1339=1,BX1339,IF(LEFT(Cockpit!$O$5,1)="B",AX1339,MAX(AX1339,G1339))))</f>
        <v>104</v>
      </c>
      <c r="AU1339" s="57" t="n">
        <f aca="false">IF(BR1339=1,0,ROUNDUP(AT1339/BQ1339,0))</f>
        <v>2</v>
      </c>
      <c r="AV1339" s="59" t="n">
        <f aca="false">IF(CD1339&gt;0,CD1339*MAX(1,AT1339/V1339),IF(BR1339=1,IF(AT1339&lt;=0,0,BS1339*MAX(1,IF(G1339&gt;0,AT1339/G1339,1))),IF(Q1339&gt;0,AU1339/Q1339,0))/MAX(0.1,N(Parameter!$M$21)))</f>
        <v>0.0384615384615385</v>
      </c>
      <c r="AW1339" s="57" t="n">
        <f aca="false">AT1339*F1339</f>
        <v>9367.28</v>
      </c>
      <c r="AX1339" s="57" t="n">
        <f aca="false">ROUNDUP(MAX(I1339/IF(BV1339&gt;0,BV1339,MAX(0.1,N(Cockpit!$O$6))),BY1339)/BQ1339,0)*BQ1339</f>
        <v>104</v>
      </c>
      <c r="AY1339" s="58" t="n">
        <f aca="false">IF(AV1339&gt;0,I1339/AV1339,-1)</f>
        <v>520</v>
      </c>
      <c r="AZ1339" s="58" t="n">
        <f aca="false">IF(AND(OR(BU1339="L1",BU1339="L23"),AV1339&gt;0),SUMIFS($AV$7:$AV$1576,$BU$7:$BU$1576,BU1339,$AY$7:$AY$1576,"&gt;"&amp;AY1339)+SUMIFS($AV$7:$AV$1576,$BU$7:$BU$1576,BU1339,$AY$7:$AY$1576,AY1339,$BO$7:$BO$1576,"&lt;="&amp;BO1339),"")</f>
        <v>31.415829883015</v>
      </c>
      <c r="BA1339" s="65" t="n">
        <f aca="false">IF(AZ1339="",0,MAX(0,MIN(1,(IF(BU1339="L1",Parameter!$E$5,Parameter!$E$6+Parameter!$E$7)-(AZ1339-AV1339))/AV1339)))</f>
        <v>1</v>
      </c>
      <c r="BB1339" s="55" t="str">
        <f aca="false">IF(AF1339&lt;=0,"",IF(BU1339="Aussen","Aussenlager",IF(BU1339="-","Nicht im Lift",IF(AK1339&gt;=1,"Lift",IF(AK1339&lt;=0,"Aussenlager","teilweise")))))</f>
        <v/>
      </c>
      <c r="BC1339" s="55" t="str">
        <f aca="false">IF(AN1339&lt;=0,"",IF(BU1339="Aussen","Aussenlager",IF(BU1339="-","Nicht im Lift",IF(AS1339&gt;=1,"Lift",IF(AS1339&lt;=0,"Aussenlager","teilweise")))))</f>
        <v>Lift</v>
      </c>
      <c r="BD1339" s="55" t="str">
        <f aca="false">IF(AV1339&lt;=0,"",IF(BU1339="Aussen","Aussenlager",IF(BU1339="-","Nicht im Lift",IF(BA1339&gt;=1,"Lift",IF(BA1339&lt;=0,"Aussenlager","teilweise")))))</f>
        <v>Lift</v>
      </c>
      <c r="BE1339" s="55" t="str">
        <f aca="false">IF(A1339="","",IF(BN1339=1,"Neu; ","")&amp;IF(AND(BN1339=0,BI1339&lt;0),"negativer Bestand (Export "&amp;BI1339&amp;"); ","")&amp;IF(I1339&lt;=0,"Kein Verbrauch; ","")&amp;IF(CD1339&gt;0,"Lift "&amp;U1339&amp;" lt. Liftbericht (Fach "&amp;V1339&amp;" Stk); ",IF(BR1339=1,"Lose – Fläche geschätzt; ",""))&amp;IF(G1339&gt;AP1339,"Überbestand "&amp;ROUND(G1339-AP1339,0)&amp;" Stk / CHF "&amp;ROUND((G1339-AP1339)*F1339,0)&amp;"; ","")&amp;IF(AND(BW1339=1,BX1339&lt;BY1339),"MAX &lt; MB+LG; ","")&amp;IF(AND(CC1339&gt;0,CB1339*10&gt;CC1339),"zu hoch für Tablar; ","")&amp;IF(AND(BN1339=0,OR(BW1339=1,Y1339&lt;&gt;"",S1339&lt;&gt;"",T1339&lt;&gt;"",Z1339&lt;&gt;"")),"manuell übersteuert; ","")&amp;IF(AND(BR1339=0,Q1339=0),"Gebinde unbekannt / Stellmass fehlt; ","")&amp;IF(AND(BR1339=0,N(T1339)&lt;=0,N(P1339)&lt;=0),"Menge pro Gebinde fehlt (Ist = 1 Gebinde); ","")&amp;BM1339)</f>
        <v>negativer Bestand (Export -15); </v>
      </c>
      <c r="BF1339" s="55"/>
      <c r="BG1339" s="55"/>
      <c r="BH1339" s="62"/>
      <c r="BI1339" s="57" t="n">
        <v>-15</v>
      </c>
      <c r="BJ1339" s="57" t="n">
        <v>24</v>
      </c>
      <c r="BK1339" s="56" t="n">
        <v>-1726.41</v>
      </c>
      <c r="BL1339" s="57" t="n">
        <v>20</v>
      </c>
      <c r="BM1339" s="55"/>
      <c r="BN1339" s="60" t="n">
        <v>0</v>
      </c>
      <c r="BO1339" s="60" t="n">
        <v>1339</v>
      </c>
      <c r="BP1339" s="55" t="str">
        <f aca="false">IF(S1339&lt;&gt;"",UPPER(TRIM(S1339)),IF(O1339="","LOSE",O1339))</f>
        <v>S41</v>
      </c>
      <c r="BQ1339" s="57" t="n">
        <f aca="false">IF(BP1339="LOSE",1,IF(N(T1339)&gt;0,T1339,IF(N(P1339)&gt;0,P1339,MAX(1,G1339))))</f>
        <v>52</v>
      </c>
      <c r="BR1339" s="60" t="n">
        <f aca="false">IF(BP1339="LOSE",1,0)</f>
        <v>0</v>
      </c>
      <c r="BS1339" s="59" t="n">
        <f aca="false">IF(BR1339=0,0,IF(N(R1339)&gt;0,R1339,IFERROR(VLOOKUP(D1339,Parameter!$A$35:$C$64,3,0)+0,0)))</f>
        <v>0</v>
      </c>
      <c r="BT1339" s="55" t="n">
        <f aca="false">IF(Y1339&lt;&gt;"",Y1339,X1339)</f>
        <v>3</v>
      </c>
      <c r="BU1339" s="55" t="str">
        <f aca="false">IF(BT1339=1,"L1",IF(OR(BT1339=2,BT1339=3),"L23",IF(BT1339="Aussen","Aussen","-")))</f>
        <v>L23</v>
      </c>
      <c r="BV1339" s="66" t="n">
        <f aca="false">IF(N(Z1339)&gt;0,Z1339,0)</f>
        <v>0</v>
      </c>
      <c r="BW1339" s="60" t="n">
        <f aca="false">IF(ISNUMBER(AC1339),1,0)</f>
        <v>0</v>
      </c>
      <c r="BX1339" s="57" t="n">
        <f aca="false">N(AC1339)</f>
        <v>0</v>
      </c>
      <c r="BY1339" s="57" t="n">
        <f aca="false">N(L1339)+N(M1339)</f>
        <v>57</v>
      </c>
      <c r="BZ1339" s="57" t="n">
        <f aca="false">ROUNDUP(G1339/BQ1339,0)</f>
        <v>0</v>
      </c>
      <c r="CA1339" s="57" t="n">
        <f aca="false">ROUNDUP(BX1339/BQ1339,0)</f>
        <v>0</v>
      </c>
      <c r="CB1339" s="60" t="n">
        <f aca="false">IF(BR1339=1,0,IFERROR(VLOOKUP(BP1339,'Gebinde-Kategorie'!$A$5:$M$45,5,0)+0,0))</f>
        <v>11</v>
      </c>
      <c r="CC1339" s="60" t="n">
        <f aca="false">IFERROR(IF(OR(BT1339=1,BT1339=2,BT1339=3),N(INDEX(Parameter!$I$5:$I$7,BT1339)),0),0)</f>
        <v>0</v>
      </c>
      <c r="CD1339" s="59" t="n">
        <f aca="false">IF(AND(Parameter!$B$21="Ja",ISNUMBER(U1339),N(V1339)&gt;0),IFERROR(N(INDEX(Parameter!$L$5:$L$7,U1339))*INDEX(Parameter!$E$5:$E$7,U1339)*V1339/SUMIFS($V$7:$V$1576,$U$7:$U$1576,U1339),0),0)</f>
        <v>0</v>
      </c>
    </row>
    <row r="1340" customFormat="false" ht="15" hidden="false" customHeight="false" outlineLevel="0" collapsed="false">
      <c r="A1340" s="55" t="s">
        <v>2357</v>
      </c>
      <c r="B1340" s="55" t="s">
        <v>2358</v>
      </c>
      <c r="C1340" s="55" t="s">
        <v>160</v>
      </c>
      <c r="D1340" s="55" t="s">
        <v>161</v>
      </c>
      <c r="E1340" s="55" t="s">
        <v>210</v>
      </c>
      <c r="F1340" s="56" t="n">
        <v>2313.78</v>
      </c>
      <c r="G1340" s="57" t="n">
        <f aca="false">MAX(0,IF(AND(Parameter!$B$21="Ja",ISNUMBER(W1340)),W1340,IF(Parameter!$B$20="Jahresanfang 2025 + Export",BJ1340+BI1340,BI1340)))</f>
        <v>7</v>
      </c>
      <c r="H1340" s="57" t="n">
        <f aca="false">G1340*F1340</f>
        <v>16196.46</v>
      </c>
      <c r="I1340" s="57" t="n">
        <f aca="false">BL1340*Parameter!$B$18</f>
        <v>29</v>
      </c>
      <c r="J1340" s="58" t="n">
        <v>28</v>
      </c>
      <c r="K1340" s="59" t="n">
        <v>1.03571428571429</v>
      </c>
      <c r="L1340" s="57" t="n">
        <v>3</v>
      </c>
      <c r="M1340" s="57" t="n">
        <v>10</v>
      </c>
      <c r="N1340" s="60" t="n">
        <v>21</v>
      </c>
      <c r="O1340" s="55" t="s">
        <v>163</v>
      </c>
      <c r="P1340" s="57"/>
      <c r="Q1340" s="60" t="n">
        <f aca="false">IF(BR1340=1,0,IFERROR(VLOOKUP(BP1340,'Gebinde-Kategorie'!$A$5:$M$45,13,0)+0,0))</f>
        <v>0</v>
      </c>
      <c r="R1340" s="61"/>
      <c r="S1340" s="62"/>
      <c r="T1340" s="62"/>
      <c r="U1340" s="55" t="n">
        <v>1</v>
      </c>
      <c r="V1340" s="57" t="n">
        <v>15</v>
      </c>
      <c r="W1340" s="57" t="n">
        <v>7</v>
      </c>
      <c r="X1340" s="55" t="n">
        <f aca="false">IF(A1340="","",IF(AND(Parameter!$B$21="Ja",ISNUMBER(U1340)),U1340,IF(IFERROR(VLOOKUP(D1340,Parameter!$A$35:$C$64,2,0),"Nein")="2+3",IF(ISNUMBER(SEARCH("grosser Artikel",BM1340)),2,IFERROR(VLOOKUP(BP1340,Parameter!$F$35:$G$64,2,0),2)),IF(OR(IFERROR(VLOOKUP(D1340,Parameter!$A$35:$C$64,2,0),"Nein")="Nein",IFERROR(VLOOKUP(D1340,Parameter!$A$35:$C$64,2,0),"Nein")=""),"-",VLOOKUP(D1340,Parameter!$A$35:$C$64,2,0)))))</f>
        <v>1</v>
      </c>
      <c r="Y1340" s="62"/>
      <c r="Z1340" s="63"/>
      <c r="AA1340" s="57" t="n">
        <f aca="false">AP1340</f>
        <v>15</v>
      </c>
      <c r="AB1340" s="57" t="n">
        <f aca="false">MAX(AP1340,G1340)</f>
        <v>15</v>
      </c>
      <c r="AC1340" s="64"/>
      <c r="AD1340" s="57" t="n">
        <f aca="false">IF(LEFT(Cockpit!$C$5,1)="A",G1340,IF(BW1340=1,BX1340,IF(LEFT(Cockpit!$C$5,1)="B",AH1340,MAX(AH1340,G1340))))</f>
        <v>7</v>
      </c>
      <c r="AE1340" s="57" t="n">
        <f aca="false">IF(BR1340=1,0,ROUNDUP(AD1340/BQ1340,0))</f>
        <v>0</v>
      </c>
      <c r="AF1340" s="59" t="n">
        <f aca="false">IF(CD1340&gt;0,CD1340*MAX(1,AD1340/V1340),IF(BR1340=1,IF(AD1340&lt;=0,0,BS1340*MAX(1,IF(G1340&gt;0,AD1340/G1340,1))),IF(Q1340&gt;0,AE1340/Q1340,0))/MAX(0.1,N(Parameter!$M$21)))</f>
        <v>1.20056497175141</v>
      </c>
      <c r="AG1340" s="57" t="n">
        <f aca="false">AD1340*F1340</f>
        <v>16196.46</v>
      </c>
      <c r="AH1340" s="57" t="n">
        <f aca="false">ROUNDUP(MAX(I1340/IF(BV1340&gt;0,BV1340,MAX(0.1,N(Cockpit!$C$6))),BY1340)/BQ1340,0)*BQ1340</f>
        <v>15</v>
      </c>
      <c r="AI1340" s="58" t="n">
        <f aca="false">IF(AF1340&gt;0,I1340/AF1340,-1)</f>
        <v>24.1552941176471</v>
      </c>
      <c r="AJ1340" s="58" t="n">
        <f aca="false">IF(AND(OR(BU1340="L1",BU1340="L23"),AF1340&gt;0),SUMIFS($AF$7:$AF$1576,$BU$7:$BU$1576,BU1340,$AI$7:$AI$1576,"&gt;"&amp;AI1340)+SUMIFS($AF$7:$AF$1576,$BU$7:$BU$1576,BU1340,$AI$7:$AI$1576,AI1340,$BO$7:$BO$1576,"&lt;="&amp;BO1340),"")</f>
        <v>11.7655367231638</v>
      </c>
      <c r="AK1340" s="65" t="n">
        <f aca="false">IF(AJ1340="",0,MAX(0,MIN(1,(IF(BU1340="L1",Parameter!$E$5,Parameter!$E$6+Parameter!$E$7)-(AJ1340-AF1340))/AF1340)))</f>
        <v>1</v>
      </c>
      <c r="AL1340" s="57" t="n">
        <f aca="false">IF(LEFT(Cockpit!$I$5,1)="A",G1340,IF(BW1340=1,BX1340,IF(LEFT(Cockpit!$I$5,1)="B",AP1340,MAX(AP1340,G1340))))</f>
        <v>15</v>
      </c>
      <c r="AM1340" s="57" t="n">
        <f aca="false">IF(BR1340=1,0,ROUNDUP(AL1340/BQ1340,0))</f>
        <v>0</v>
      </c>
      <c r="AN1340" s="59" t="n">
        <f aca="false">IF(CD1340&gt;0,CD1340*MAX(1,AL1340/V1340),IF(BR1340=1,IF(AL1340&lt;=0,0,BS1340*MAX(1,IF(G1340&gt;0,AL1340/G1340,1))),IF(Q1340&gt;0,AM1340/Q1340,0))/MAX(0.1,N(Parameter!$M$21)))</f>
        <v>1.20056497175141</v>
      </c>
      <c r="AO1340" s="57" t="n">
        <f aca="false">AL1340*F1340</f>
        <v>34706.7</v>
      </c>
      <c r="AP1340" s="57" t="n">
        <f aca="false">ROUNDUP(MAX(I1340/IF(BV1340&gt;0,BV1340,MAX(0.1,N(Cockpit!$I$6))),BY1340)/BQ1340,0)*BQ1340</f>
        <v>15</v>
      </c>
      <c r="AQ1340" s="58" t="n">
        <f aca="false">IF(AN1340&gt;0,I1340/AN1340,-1)</f>
        <v>24.1552941176471</v>
      </c>
      <c r="AR1340" s="58" t="n">
        <f aca="false">IF(AND(OR(BU1340="L1",BU1340="L23"),AN1340&gt;0),SUMIFS($AN$7:$AN$1576,$BU$7:$BU$1576,BU1340,$AQ$7:$AQ$1576,"&gt;"&amp;AQ1340)+SUMIFS($AN$7:$AN$1576,$BU$7:$BU$1576,BU1340,$AQ$7:$AQ$1576,AQ1340,$BO$7:$BO$1576,"&lt;="&amp;BO1340),"")</f>
        <v>13.9265536723164</v>
      </c>
      <c r="AS1340" s="65" t="n">
        <f aca="false">IF(AR1340="",0,MAX(0,MIN(1,(IF(BU1340="L1",Parameter!$E$5,Parameter!$E$6+Parameter!$E$7)-(AR1340-AN1340))/AN1340)))</f>
        <v>1</v>
      </c>
      <c r="AT1340" s="57" t="n">
        <f aca="false">IF(LEFT(Cockpit!$O$5,1)="A",G1340,IF(BW1340=1,BX1340,IF(LEFT(Cockpit!$O$5,1)="B",AX1340,MAX(AX1340,G1340))))</f>
        <v>13</v>
      </c>
      <c r="AU1340" s="57" t="n">
        <f aca="false">IF(BR1340=1,0,ROUNDUP(AT1340/BQ1340,0))</f>
        <v>0</v>
      </c>
      <c r="AV1340" s="59" t="n">
        <f aca="false">IF(CD1340&gt;0,CD1340*MAX(1,AT1340/V1340),IF(BR1340=1,IF(AT1340&lt;=0,0,BS1340*MAX(1,IF(G1340&gt;0,AT1340/G1340,1))),IF(Q1340&gt;0,AU1340/Q1340,0))/MAX(0.1,N(Parameter!$M$21)))</f>
        <v>1.20056497175141</v>
      </c>
      <c r="AW1340" s="57" t="n">
        <f aca="false">AT1340*F1340</f>
        <v>30079.14</v>
      </c>
      <c r="AX1340" s="57" t="n">
        <f aca="false">ROUNDUP(MAX(I1340/IF(BV1340&gt;0,BV1340,MAX(0.1,N(Cockpit!$O$6))),BY1340)/BQ1340,0)*BQ1340</f>
        <v>13</v>
      </c>
      <c r="AY1340" s="58" t="n">
        <f aca="false">IF(AV1340&gt;0,I1340/AV1340,-1)</f>
        <v>24.1552941176471</v>
      </c>
      <c r="AZ1340" s="58" t="n">
        <f aca="false">IF(AND(OR(BU1340="L1",BU1340="L23"),AV1340&gt;0),SUMIFS($AV$7:$AV$1576,$BU$7:$BU$1576,BU1340,$AY$7:$AY$1576,"&gt;"&amp;AY1340)+SUMIFS($AV$7:$AV$1576,$BU$7:$BU$1576,BU1340,$AY$7:$AY$1576,AY1340,$BO$7:$BO$1576,"&lt;="&amp;BO1340),"")</f>
        <v>12.4858757062147</v>
      </c>
      <c r="BA1340" s="65" t="n">
        <f aca="false">IF(AZ1340="",0,MAX(0,MIN(1,(IF(BU1340="L1",Parameter!$E$5,Parameter!$E$6+Parameter!$E$7)-(AZ1340-AV1340))/AV1340)))</f>
        <v>1</v>
      </c>
      <c r="BB1340" s="55" t="str">
        <f aca="false">IF(AF1340&lt;=0,"",IF(BU1340="Aussen","Aussenlager",IF(BU1340="-","Nicht im Lift",IF(AK1340&gt;=1,"Lift",IF(AK1340&lt;=0,"Aussenlager","teilweise")))))</f>
        <v>Lift</v>
      </c>
      <c r="BC1340" s="55" t="str">
        <f aca="false">IF(AN1340&lt;=0,"",IF(BU1340="Aussen","Aussenlager",IF(BU1340="-","Nicht im Lift",IF(AS1340&gt;=1,"Lift",IF(AS1340&lt;=0,"Aussenlager","teilweise")))))</f>
        <v>Lift</v>
      </c>
      <c r="BD1340" s="55" t="str">
        <f aca="false">IF(AV1340&lt;=0,"",IF(BU1340="Aussen","Aussenlager",IF(BU1340="-","Nicht im Lift",IF(BA1340&gt;=1,"Lift",IF(BA1340&lt;=0,"Aussenlager","teilweise")))))</f>
        <v>Lift</v>
      </c>
      <c r="BE1340" s="55" t="str">
        <f aca="false">IF(A1340="","",IF(BN1340=1,"Neu; ","")&amp;IF(AND(BN1340=0,BI1340&lt;0),"negativer Bestand (Export "&amp;BI1340&amp;"); ","")&amp;IF(I1340&lt;=0,"Kein Verbrauch; ","")&amp;IF(CD1340&gt;0,"Lift "&amp;U1340&amp;" lt. Liftbericht (Fach "&amp;V1340&amp;" Stk); ",IF(BR1340=1,"Lose – Fläche geschätzt; ",""))&amp;IF(G1340&gt;AP1340,"Überbestand "&amp;ROUND(G1340-AP1340,0)&amp;" Stk / CHF "&amp;ROUND((G1340-AP1340)*F1340,0)&amp;"; ","")&amp;IF(AND(BW1340=1,BX1340&lt;BY1340),"MAX &lt; MB+LG; ","")&amp;IF(AND(CC1340&gt;0,CB1340*10&gt;CC1340),"zu hoch für Tablar; ","")&amp;IF(AND(BN1340=0,OR(BW1340=1,Y1340&lt;&gt;"",S1340&lt;&gt;"",T1340&lt;&gt;"",Z1340&lt;&gt;"")),"manuell übersteuert; ","")&amp;IF(AND(BR1340=0,Q1340=0),"Gebinde unbekannt / Stellmass fehlt; ","")&amp;IF(AND(BR1340=0,N(T1340)&lt;=0,N(P1340)&lt;=0),"Menge pro Gebinde fehlt (Ist = 1 Gebinde); ","")&amp;BM1340)</f>
        <v>Lift 1 lt. Liftbericht (Fach 15 Stk); grosser Artikel &amp; nicht im KTL</v>
      </c>
      <c r="BF1340" s="55"/>
      <c r="BG1340" s="55"/>
      <c r="BH1340" s="62"/>
      <c r="BI1340" s="57" t="n">
        <v>0</v>
      </c>
      <c r="BJ1340" s="57" t="n">
        <v>31</v>
      </c>
      <c r="BK1340" s="56" t="n">
        <v>-1735.11000000002</v>
      </c>
      <c r="BL1340" s="57" t="n">
        <v>29</v>
      </c>
      <c r="BM1340" s="55" t="s">
        <v>253</v>
      </c>
      <c r="BN1340" s="60" t="n">
        <v>0</v>
      </c>
      <c r="BO1340" s="60" t="n">
        <v>1340</v>
      </c>
      <c r="BP1340" s="55" t="str">
        <f aca="false">IF(S1340&lt;&gt;"",UPPER(TRIM(S1340)),IF(O1340="","LOSE",O1340))</f>
        <v>LOSE</v>
      </c>
      <c r="BQ1340" s="57" t="n">
        <f aca="false">IF(BP1340="LOSE",1,IF(N(T1340)&gt;0,T1340,IF(N(P1340)&gt;0,P1340,MAX(1,G1340))))</f>
        <v>1</v>
      </c>
      <c r="BR1340" s="60" t="n">
        <f aca="false">IF(BP1340="LOSE",1,0)</f>
        <v>1</v>
      </c>
      <c r="BS1340" s="59" t="n">
        <f aca="false">IF(BR1340=0,0,IF(N(R1340)&gt;0,R1340,IFERROR(VLOOKUP(D1340,Parameter!$A$35:$C$64,3,0)+0,0)))</f>
        <v>1</v>
      </c>
      <c r="BT1340" s="55" t="n">
        <f aca="false">IF(Y1340&lt;&gt;"",Y1340,X1340)</f>
        <v>1</v>
      </c>
      <c r="BU1340" s="55" t="str">
        <f aca="false">IF(BT1340=1,"L1",IF(OR(BT1340=2,BT1340=3),"L23",IF(BT1340="Aussen","Aussen","-")))</f>
        <v>L1</v>
      </c>
      <c r="BV1340" s="66" t="n">
        <f aca="false">IF(N(Z1340)&gt;0,Z1340,0)</f>
        <v>0</v>
      </c>
      <c r="BW1340" s="60" t="n">
        <f aca="false">IF(ISNUMBER(AC1340),1,0)</f>
        <v>0</v>
      </c>
      <c r="BX1340" s="57" t="n">
        <f aca="false">N(AC1340)</f>
        <v>0</v>
      </c>
      <c r="BY1340" s="57" t="n">
        <f aca="false">N(L1340)+N(M1340)</f>
        <v>13</v>
      </c>
      <c r="BZ1340" s="57" t="n">
        <f aca="false">ROUNDUP(G1340/BQ1340,0)</f>
        <v>7</v>
      </c>
      <c r="CA1340" s="57" t="n">
        <f aca="false">ROUNDUP(BX1340/BQ1340,0)</f>
        <v>0</v>
      </c>
      <c r="CB1340" s="60" t="n">
        <f aca="false">IF(BR1340=1,0,IFERROR(VLOOKUP(BP1340,'Gebinde-Kategorie'!$A$5:$M$45,5,0)+0,0))</f>
        <v>0</v>
      </c>
      <c r="CC1340" s="60" t="n">
        <f aca="false">IFERROR(IF(OR(BT1340=1,BT1340=2,BT1340=3),N(INDEX(Parameter!$I$5:$I$7,BT1340)),0),0)</f>
        <v>0</v>
      </c>
      <c r="CD1340" s="59" t="n">
        <f aca="false">IF(AND(Parameter!$B$21="Ja",ISNUMBER(U1340),N(V1340)&gt;0),IFERROR(N(INDEX(Parameter!$L$5:$L$7,U1340))*INDEX(Parameter!$E$5:$E$7,U1340)*V1340/SUMIFS($V$7:$V$1576,$U$7:$U$1576,U1340),0),0)</f>
        <v>1.20056497175141</v>
      </c>
    </row>
    <row r="1341" customFormat="false" ht="15" hidden="false" customHeight="false" outlineLevel="0" collapsed="false">
      <c r="A1341" s="55" t="s">
        <v>2359</v>
      </c>
      <c r="B1341" s="55" t="s">
        <v>478</v>
      </c>
      <c r="C1341" s="55" t="s">
        <v>160</v>
      </c>
      <c r="D1341" s="55" t="s">
        <v>178</v>
      </c>
      <c r="E1341" s="55" t="s">
        <v>210</v>
      </c>
      <c r="F1341" s="56" t="n">
        <v>12.6</v>
      </c>
      <c r="G1341" s="57" t="n">
        <f aca="false">MAX(0,IF(AND(Parameter!$B$21="Ja",ISNUMBER(W1341)),W1341,IF(Parameter!$B$20="Jahresanfang 2025 + Export",BJ1341+BI1341,BI1341)))</f>
        <v>0</v>
      </c>
      <c r="H1341" s="57" t="n">
        <f aca="false">G1341*F1341</f>
        <v>0</v>
      </c>
      <c r="I1341" s="57" t="n">
        <f aca="false">BL1341*Parameter!$B$18</f>
        <v>501</v>
      </c>
      <c r="J1341" s="58" t="n">
        <v>182</v>
      </c>
      <c r="K1341" s="59" t="n">
        <v>2.75274725274725</v>
      </c>
      <c r="L1341" s="57" t="n">
        <v>10</v>
      </c>
      <c r="M1341" s="57" t="n">
        <v>200</v>
      </c>
      <c r="N1341" s="60" t="n">
        <v>7</v>
      </c>
      <c r="O1341" s="55" t="s">
        <v>225</v>
      </c>
      <c r="P1341" s="57" t="n">
        <v>179</v>
      </c>
      <c r="Q1341" s="60" t="n">
        <f aca="false">IF(BR1341=1,0,IFERROR(VLOOKUP(BP1341,'Gebinde-Kategorie'!$A$5:$M$45,13,0)+0,0))</f>
        <v>26</v>
      </c>
      <c r="R1341" s="61"/>
      <c r="S1341" s="62"/>
      <c r="T1341" s="62"/>
      <c r="U1341" s="55"/>
      <c r="V1341" s="57"/>
      <c r="W1341" s="57"/>
      <c r="X1341" s="55" t="n">
        <f aca="false">IF(A1341="","",IF(AND(Parameter!$B$21="Ja",ISNUMBER(U1341)),U1341,IF(IFERROR(VLOOKUP(D1341,Parameter!$A$35:$C$64,2,0),"Nein")="2+3",IF(ISNUMBER(SEARCH("grosser Artikel",BM1341)),2,IFERROR(VLOOKUP(BP1341,Parameter!$F$35:$G$64,2,0),2)),IF(OR(IFERROR(VLOOKUP(D1341,Parameter!$A$35:$C$64,2,0),"Nein")="Nein",IFERROR(VLOOKUP(D1341,Parameter!$A$35:$C$64,2,0),"Nein")=""),"-",VLOOKUP(D1341,Parameter!$A$35:$C$64,2,0)))))</f>
        <v>3</v>
      </c>
      <c r="Y1341" s="62"/>
      <c r="Z1341" s="63"/>
      <c r="AA1341" s="57" t="n">
        <f aca="false">AP1341</f>
        <v>358</v>
      </c>
      <c r="AB1341" s="57" t="n">
        <f aca="false">MAX(AP1341,G1341)</f>
        <v>358</v>
      </c>
      <c r="AC1341" s="64"/>
      <c r="AD1341" s="57" t="n">
        <f aca="false">IF(LEFT(Cockpit!$C$5,1)="A",G1341,IF(BW1341=1,BX1341,IF(LEFT(Cockpit!$C$5,1)="B",AH1341,MAX(AH1341,G1341))))</f>
        <v>0</v>
      </c>
      <c r="AE1341" s="57" t="n">
        <f aca="false">IF(BR1341=1,0,ROUNDUP(AD1341/BQ1341,0))</f>
        <v>0</v>
      </c>
      <c r="AF1341" s="59" t="n">
        <f aca="false">IF(CD1341&gt;0,CD1341*MAX(1,AD1341/V1341),IF(BR1341=1,IF(AD1341&lt;=0,0,BS1341*MAX(1,IF(G1341&gt;0,AD1341/G1341,1))),IF(Q1341&gt;0,AE1341/Q1341,0))/MAX(0.1,N(Parameter!$M$21)))</f>
        <v>0</v>
      </c>
      <c r="AG1341" s="57" t="n">
        <f aca="false">AD1341*F1341</f>
        <v>0</v>
      </c>
      <c r="AH1341" s="57" t="n">
        <f aca="false">ROUNDUP(MAX(I1341/IF(BV1341&gt;0,BV1341,MAX(0.1,N(Cockpit!$C$6))),BY1341)/BQ1341,0)*BQ1341</f>
        <v>358</v>
      </c>
      <c r="AI1341" s="58" t="n">
        <f aca="false">IF(AF1341&gt;0,I1341/AF1341,-1)</f>
        <v>-1</v>
      </c>
      <c r="AJ1341" s="58" t="str">
        <f aca="false">IF(AND(OR(BU1341="L1",BU1341="L23"),AF1341&gt;0),SUMIFS($AF$7:$AF$1576,$BU$7:$BU$1576,BU1341,$AI$7:$AI$1576,"&gt;"&amp;AI1341)+SUMIFS($AF$7:$AF$1576,$BU$7:$BU$1576,BU1341,$AI$7:$AI$1576,AI1341,$BO$7:$BO$1576,"&lt;="&amp;BO1341),"")</f>
        <v/>
      </c>
      <c r="AK1341" s="65" t="n">
        <f aca="false">IF(AJ1341="",0,MAX(0,MIN(1,(IF(BU1341="L1",Parameter!$E$5,Parameter!$E$6+Parameter!$E$7)-(AJ1341-AF1341))/AF1341)))</f>
        <v>0</v>
      </c>
      <c r="AL1341" s="57" t="n">
        <f aca="false">IF(LEFT(Cockpit!$I$5,1)="A",G1341,IF(BW1341=1,BX1341,IF(LEFT(Cockpit!$I$5,1)="B",AP1341,MAX(AP1341,G1341))))</f>
        <v>358</v>
      </c>
      <c r="AM1341" s="57" t="n">
        <f aca="false">IF(BR1341=1,0,ROUNDUP(AL1341/BQ1341,0))</f>
        <v>2</v>
      </c>
      <c r="AN1341" s="59" t="n">
        <f aca="false">IF(CD1341&gt;0,CD1341*MAX(1,AL1341/V1341),IF(BR1341=1,IF(AL1341&lt;=0,0,BS1341*MAX(1,IF(G1341&gt;0,AL1341/G1341,1))),IF(Q1341&gt;0,AM1341/Q1341,0))/MAX(0.1,N(Parameter!$M$21)))</f>
        <v>0.0769230769230769</v>
      </c>
      <c r="AO1341" s="57" t="n">
        <f aca="false">AL1341*F1341</f>
        <v>4510.8</v>
      </c>
      <c r="AP1341" s="57" t="n">
        <f aca="false">ROUNDUP(MAX(I1341/IF(BV1341&gt;0,BV1341,MAX(0.1,N(Cockpit!$I$6))),BY1341)/BQ1341,0)*BQ1341</f>
        <v>358</v>
      </c>
      <c r="AQ1341" s="58" t="n">
        <f aca="false">IF(AN1341&gt;0,I1341/AN1341,-1)</f>
        <v>6513</v>
      </c>
      <c r="AR1341" s="58" t="n">
        <f aca="false">IF(AND(OR(BU1341="L1",BU1341="L23"),AN1341&gt;0),SUMIFS($AN$7:$AN$1576,$BU$7:$BU$1576,BU1341,$AQ$7:$AQ$1576,"&gt;"&amp;AQ1341)+SUMIFS($AN$7:$AN$1576,$BU$7:$BU$1576,BU1341,$AQ$7:$AQ$1576,AQ1341,$BO$7:$BO$1576,"&lt;="&amp;BO1341),"")</f>
        <v>10.0674608965913</v>
      </c>
      <c r="AS1341" s="65" t="n">
        <f aca="false">IF(AR1341="",0,MAX(0,MIN(1,(IF(BU1341="L1",Parameter!$E$5,Parameter!$E$6+Parameter!$E$7)-(AR1341-AN1341))/AN1341)))</f>
        <v>1</v>
      </c>
      <c r="AT1341" s="57" t="n">
        <f aca="false">IF(LEFT(Cockpit!$O$5,1)="A",G1341,IF(BW1341=1,BX1341,IF(LEFT(Cockpit!$O$5,1)="B",AX1341,MAX(AX1341,G1341))))</f>
        <v>358</v>
      </c>
      <c r="AU1341" s="57" t="n">
        <f aca="false">IF(BR1341=1,0,ROUNDUP(AT1341/BQ1341,0))</f>
        <v>2</v>
      </c>
      <c r="AV1341" s="59" t="n">
        <f aca="false">IF(CD1341&gt;0,CD1341*MAX(1,AT1341/V1341),IF(BR1341=1,IF(AT1341&lt;=0,0,BS1341*MAX(1,IF(G1341&gt;0,AT1341/G1341,1))),IF(Q1341&gt;0,AU1341/Q1341,0))/MAX(0.1,N(Parameter!$M$21)))</f>
        <v>0.0769230769230769</v>
      </c>
      <c r="AW1341" s="57" t="n">
        <f aca="false">AT1341*F1341</f>
        <v>4510.8</v>
      </c>
      <c r="AX1341" s="57" t="n">
        <f aca="false">ROUNDUP(MAX(I1341/IF(BV1341&gt;0,BV1341,MAX(0.1,N(Cockpit!$O$6))),BY1341)/BQ1341,0)*BQ1341</f>
        <v>358</v>
      </c>
      <c r="AY1341" s="58" t="n">
        <f aca="false">IF(AV1341&gt;0,I1341/AV1341,-1)</f>
        <v>6513</v>
      </c>
      <c r="AZ1341" s="58" t="n">
        <f aca="false">IF(AND(OR(BU1341="L1",BU1341="L23"),AV1341&gt;0),SUMIFS($AV$7:$AV$1576,$BU$7:$BU$1576,BU1341,$AY$7:$AY$1576,"&gt;"&amp;AY1341)+SUMIFS($AV$7:$AV$1576,$BU$7:$BU$1576,BU1341,$AY$7:$AY$1576,AY1341,$BO$7:$BO$1576,"&lt;="&amp;BO1341),"")</f>
        <v>9.24986182899226</v>
      </c>
      <c r="BA1341" s="65" t="n">
        <f aca="false">IF(AZ1341="",0,MAX(0,MIN(1,(IF(BU1341="L1",Parameter!$E$5,Parameter!$E$6+Parameter!$E$7)-(AZ1341-AV1341))/AV1341)))</f>
        <v>1</v>
      </c>
      <c r="BB1341" s="55" t="str">
        <f aca="false">IF(AF1341&lt;=0,"",IF(BU1341="Aussen","Aussenlager",IF(BU1341="-","Nicht im Lift",IF(AK1341&gt;=1,"Lift",IF(AK1341&lt;=0,"Aussenlager","teilweise")))))</f>
        <v/>
      </c>
      <c r="BC1341" s="55" t="str">
        <f aca="false">IF(AN1341&lt;=0,"",IF(BU1341="Aussen","Aussenlager",IF(BU1341="-","Nicht im Lift",IF(AS1341&gt;=1,"Lift",IF(AS1341&lt;=0,"Aussenlager","teilweise")))))</f>
        <v>Lift</v>
      </c>
      <c r="BD1341" s="55" t="str">
        <f aca="false">IF(AV1341&lt;=0,"",IF(BU1341="Aussen","Aussenlager",IF(BU1341="-","Nicht im Lift",IF(BA1341&gt;=1,"Lift",IF(BA1341&lt;=0,"Aussenlager","teilweise")))))</f>
        <v>Lift</v>
      </c>
      <c r="BE1341" s="55" t="str">
        <f aca="false">IF(A1341="","",IF(BN1341=1,"Neu; ","")&amp;IF(AND(BN1341=0,BI1341&lt;0),"negativer Bestand (Export "&amp;BI1341&amp;"); ","")&amp;IF(I1341&lt;=0,"Kein Verbrauch; ","")&amp;IF(CD1341&gt;0,"Lift "&amp;U1341&amp;" lt. Liftbericht (Fach "&amp;V1341&amp;" Stk); ",IF(BR1341=1,"Lose – Fläche geschätzt; ",""))&amp;IF(G1341&gt;AP1341,"Überbestand "&amp;ROUND(G1341-AP1341,0)&amp;" Stk / CHF "&amp;ROUND((G1341-AP1341)*F1341,0)&amp;"; ","")&amp;IF(AND(BW1341=1,BX1341&lt;BY1341),"MAX &lt; MB+LG; ","")&amp;IF(AND(CC1341&gt;0,CB1341*10&gt;CC1341),"zu hoch für Tablar; ","")&amp;IF(AND(BN1341=0,OR(BW1341=1,Y1341&lt;&gt;"",S1341&lt;&gt;"",T1341&lt;&gt;"",Z1341&lt;&gt;"")),"manuell übersteuert; ","")&amp;IF(AND(BR1341=0,Q1341=0),"Gebinde unbekannt / Stellmass fehlt; ","")&amp;IF(AND(BR1341=0,N(T1341)&lt;=0,N(P1341)&lt;=0),"Menge pro Gebinde fehlt (Ist = 1 Gebinde); ","")&amp;BM1341)</f>
        <v>negativer Bestand (Export -136); </v>
      </c>
      <c r="BF1341" s="55"/>
      <c r="BG1341" s="55"/>
      <c r="BH1341" s="62"/>
      <c r="BI1341" s="57" t="n">
        <v>-136</v>
      </c>
      <c r="BJ1341" s="57" t="n">
        <v>171</v>
      </c>
      <c r="BK1341" s="56" t="n">
        <v>-1772.05</v>
      </c>
      <c r="BL1341" s="57" t="n">
        <v>501</v>
      </c>
      <c r="BM1341" s="55"/>
      <c r="BN1341" s="60" t="n">
        <v>0</v>
      </c>
      <c r="BO1341" s="60" t="n">
        <v>1341</v>
      </c>
      <c r="BP1341" s="55" t="str">
        <f aca="false">IF(S1341&lt;&gt;"",UPPER(TRIM(S1341)),IF(O1341="","LOSE",O1341))</f>
        <v>S52</v>
      </c>
      <c r="BQ1341" s="57" t="n">
        <f aca="false">IF(BP1341="LOSE",1,IF(N(T1341)&gt;0,T1341,IF(N(P1341)&gt;0,P1341,MAX(1,G1341))))</f>
        <v>179</v>
      </c>
      <c r="BR1341" s="60" t="n">
        <f aca="false">IF(BP1341="LOSE",1,0)</f>
        <v>0</v>
      </c>
      <c r="BS1341" s="59" t="n">
        <f aca="false">IF(BR1341=0,0,IF(N(R1341)&gt;0,R1341,IFERROR(VLOOKUP(D1341,Parameter!$A$35:$C$64,3,0)+0,0)))</f>
        <v>0</v>
      </c>
      <c r="BT1341" s="55" t="n">
        <f aca="false">IF(Y1341&lt;&gt;"",Y1341,X1341)</f>
        <v>3</v>
      </c>
      <c r="BU1341" s="55" t="str">
        <f aca="false">IF(BT1341=1,"L1",IF(OR(BT1341=2,BT1341=3),"L23",IF(BT1341="Aussen","Aussen","-")))</f>
        <v>L23</v>
      </c>
      <c r="BV1341" s="66" t="n">
        <f aca="false">IF(N(Z1341)&gt;0,Z1341,0)</f>
        <v>0</v>
      </c>
      <c r="BW1341" s="60" t="n">
        <f aca="false">IF(ISNUMBER(AC1341),1,0)</f>
        <v>0</v>
      </c>
      <c r="BX1341" s="57" t="n">
        <f aca="false">N(AC1341)</f>
        <v>0</v>
      </c>
      <c r="BY1341" s="57" t="n">
        <f aca="false">N(L1341)+N(M1341)</f>
        <v>210</v>
      </c>
      <c r="BZ1341" s="57" t="n">
        <f aca="false">ROUNDUP(G1341/BQ1341,0)</f>
        <v>0</v>
      </c>
      <c r="CA1341" s="57" t="n">
        <f aca="false">ROUNDUP(BX1341/BQ1341,0)</f>
        <v>0</v>
      </c>
      <c r="CB1341" s="60" t="n">
        <f aca="false">IF(BR1341=1,0,IFERROR(VLOOKUP(BP1341,'Gebinde-Kategorie'!$A$5:$M$45,5,0)+0,0))</f>
        <v>21</v>
      </c>
      <c r="CC1341" s="60" t="n">
        <f aca="false">IFERROR(IF(OR(BT1341=1,BT1341=2,BT1341=3),N(INDEX(Parameter!$I$5:$I$7,BT1341)),0),0)</f>
        <v>0</v>
      </c>
      <c r="CD1341" s="59" t="n">
        <f aca="false">IF(AND(Parameter!$B$21="Ja",ISNUMBER(U1341),N(V1341)&gt;0),IFERROR(N(INDEX(Parameter!$L$5:$L$7,U1341))*INDEX(Parameter!$E$5:$E$7,U1341)*V1341/SUMIFS($V$7:$V$1576,$U$7:$U$1576,U1341),0),0)</f>
        <v>0</v>
      </c>
    </row>
    <row r="1342" customFormat="false" ht="15" hidden="false" customHeight="false" outlineLevel="0" collapsed="false">
      <c r="A1342" s="55" t="s">
        <v>2360</v>
      </c>
      <c r="B1342" s="55" t="s">
        <v>2361</v>
      </c>
      <c r="C1342" s="55" t="s">
        <v>160</v>
      </c>
      <c r="D1342" s="55" t="s">
        <v>178</v>
      </c>
      <c r="E1342" s="55" t="s">
        <v>210</v>
      </c>
      <c r="F1342" s="56" t="n">
        <v>27.71</v>
      </c>
      <c r="G1342" s="57" t="n">
        <f aca="false">MAX(0,IF(AND(Parameter!$B$21="Ja",ISNUMBER(W1342)),W1342,IF(Parameter!$B$20="Jahresanfang 2025 + Export",BJ1342+BI1342,BI1342)))</f>
        <v>0</v>
      </c>
      <c r="H1342" s="57" t="n">
        <f aca="false">G1342*F1342</f>
        <v>0</v>
      </c>
      <c r="I1342" s="57" t="n">
        <f aca="false">BL1342*Parameter!$B$18</f>
        <v>1</v>
      </c>
      <c r="J1342" s="58" t="n">
        <v>63.5</v>
      </c>
      <c r="K1342" s="59" t="n">
        <v>0.015748031496063</v>
      </c>
      <c r="L1342" s="57" t="n">
        <v>0</v>
      </c>
      <c r="M1342" s="57" t="n">
        <v>1</v>
      </c>
      <c r="N1342" s="60" t="n">
        <v>49</v>
      </c>
      <c r="O1342" s="55" t="s">
        <v>293</v>
      </c>
      <c r="P1342" s="57" t="n">
        <v>35</v>
      </c>
      <c r="Q1342" s="60" t="n">
        <f aca="false">IF(BR1342=1,0,IFERROR(VLOOKUP(BP1342,'Gebinde-Kategorie'!$A$5:$M$45,13,0)+0,0))</f>
        <v>26</v>
      </c>
      <c r="R1342" s="61"/>
      <c r="S1342" s="62"/>
      <c r="T1342" s="62"/>
      <c r="U1342" s="55"/>
      <c r="V1342" s="57"/>
      <c r="W1342" s="57"/>
      <c r="X1342" s="55" t="n">
        <f aca="false">IF(A1342="","",IF(AND(Parameter!$B$21="Ja",ISNUMBER(U1342)),U1342,IF(IFERROR(VLOOKUP(D1342,Parameter!$A$35:$C$64,2,0),"Nein")="2+3",IF(ISNUMBER(SEARCH("grosser Artikel",BM1342)),2,IFERROR(VLOOKUP(BP1342,Parameter!$F$35:$G$64,2,0),2)),IF(OR(IFERROR(VLOOKUP(D1342,Parameter!$A$35:$C$64,2,0),"Nein")="Nein",IFERROR(VLOOKUP(D1342,Parameter!$A$35:$C$64,2,0),"Nein")=""),"-",VLOOKUP(D1342,Parameter!$A$35:$C$64,2,0)))))</f>
        <v>3</v>
      </c>
      <c r="Y1342" s="62"/>
      <c r="Z1342" s="63"/>
      <c r="AA1342" s="57" t="n">
        <f aca="false">AP1342</f>
        <v>35</v>
      </c>
      <c r="AB1342" s="57" t="n">
        <f aca="false">MAX(AP1342,G1342)</f>
        <v>35</v>
      </c>
      <c r="AC1342" s="64"/>
      <c r="AD1342" s="57" t="n">
        <f aca="false">IF(LEFT(Cockpit!$C$5,1)="A",G1342,IF(BW1342=1,BX1342,IF(LEFT(Cockpit!$C$5,1)="B",AH1342,MAX(AH1342,G1342))))</f>
        <v>0</v>
      </c>
      <c r="AE1342" s="57" t="n">
        <f aca="false">IF(BR1342=1,0,ROUNDUP(AD1342/BQ1342,0))</f>
        <v>0</v>
      </c>
      <c r="AF1342" s="59" t="n">
        <f aca="false">IF(CD1342&gt;0,CD1342*MAX(1,AD1342/V1342),IF(BR1342=1,IF(AD1342&lt;=0,0,BS1342*MAX(1,IF(G1342&gt;0,AD1342/G1342,1))),IF(Q1342&gt;0,AE1342/Q1342,0))/MAX(0.1,N(Parameter!$M$21)))</f>
        <v>0</v>
      </c>
      <c r="AG1342" s="57" t="n">
        <f aca="false">AD1342*F1342</f>
        <v>0</v>
      </c>
      <c r="AH1342" s="57" t="n">
        <f aca="false">ROUNDUP(MAX(I1342/IF(BV1342&gt;0,BV1342,MAX(0.1,N(Cockpit!$C$6))),BY1342)/BQ1342,0)*BQ1342</f>
        <v>35</v>
      </c>
      <c r="AI1342" s="58" t="n">
        <f aca="false">IF(AF1342&gt;0,I1342/AF1342,-1)</f>
        <v>-1</v>
      </c>
      <c r="AJ1342" s="58" t="str">
        <f aca="false">IF(AND(OR(BU1342="L1",BU1342="L23"),AF1342&gt;0),SUMIFS($AF$7:$AF$1576,$BU$7:$BU$1576,BU1342,$AI$7:$AI$1576,"&gt;"&amp;AI1342)+SUMIFS($AF$7:$AF$1576,$BU$7:$BU$1576,BU1342,$AI$7:$AI$1576,AI1342,$BO$7:$BO$1576,"&lt;="&amp;BO1342),"")</f>
        <v/>
      </c>
      <c r="AK1342" s="65" t="n">
        <f aca="false">IF(AJ1342="",0,MAX(0,MIN(1,(IF(BU1342="L1",Parameter!$E$5,Parameter!$E$6+Parameter!$E$7)-(AJ1342-AF1342))/AF1342)))</f>
        <v>0</v>
      </c>
      <c r="AL1342" s="57" t="n">
        <f aca="false">IF(LEFT(Cockpit!$I$5,1)="A",G1342,IF(BW1342=1,BX1342,IF(LEFT(Cockpit!$I$5,1)="B",AP1342,MAX(AP1342,G1342))))</f>
        <v>35</v>
      </c>
      <c r="AM1342" s="57" t="n">
        <f aca="false">IF(BR1342=1,0,ROUNDUP(AL1342/BQ1342,0))</f>
        <v>1</v>
      </c>
      <c r="AN1342" s="59" t="n">
        <f aca="false">IF(CD1342&gt;0,CD1342*MAX(1,AL1342/V1342),IF(BR1342=1,IF(AL1342&lt;=0,0,BS1342*MAX(1,IF(G1342&gt;0,AL1342/G1342,1))),IF(Q1342&gt;0,AM1342/Q1342,0))/MAX(0.1,N(Parameter!$M$21)))</f>
        <v>0.0384615384615385</v>
      </c>
      <c r="AO1342" s="57" t="n">
        <f aca="false">AL1342*F1342</f>
        <v>969.85</v>
      </c>
      <c r="AP1342" s="57" t="n">
        <f aca="false">ROUNDUP(MAX(I1342/IF(BV1342&gt;0,BV1342,MAX(0.1,N(Cockpit!$I$6))),BY1342)/BQ1342,0)*BQ1342</f>
        <v>35</v>
      </c>
      <c r="AQ1342" s="58" t="n">
        <f aca="false">IF(AN1342&gt;0,I1342/AN1342,-1)</f>
        <v>26</v>
      </c>
      <c r="AR1342" s="58" t="n">
        <f aca="false">IF(AND(OR(BU1342="L1",BU1342="L23"),AN1342&gt;0),SUMIFS($AN$7:$AN$1576,$BU$7:$BU$1576,BU1342,$AQ$7:$AQ$1576,"&gt;"&amp;AQ1342)+SUMIFS($AN$7:$AN$1576,$BU$7:$BU$1576,BU1342,$AQ$7:$AQ$1576,AQ1342,$BO$7:$BO$1576,"&lt;="&amp;BO1342),"")</f>
        <v>97.5078192040804</v>
      </c>
      <c r="AS1342" s="65" t="n">
        <f aca="false">IF(AR1342="",0,MAX(0,MIN(1,(IF(BU1342="L1",Parameter!$E$5,Parameter!$E$6+Parameter!$E$7)-(AR1342-AN1342))/AN1342)))</f>
        <v>1</v>
      </c>
      <c r="AT1342" s="57" t="n">
        <f aca="false">IF(LEFT(Cockpit!$O$5,1)="A",G1342,IF(BW1342=1,BX1342,IF(LEFT(Cockpit!$O$5,1)="B",AX1342,MAX(AX1342,G1342))))</f>
        <v>35</v>
      </c>
      <c r="AU1342" s="57" t="n">
        <f aca="false">IF(BR1342=1,0,ROUNDUP(AT1342/BQ1342,0))</f>
        <v>1</v>
      </c>
      <c r="AV1342" s="59" t="n">
        <f aca="false">IF(CD1342&gt;0,CD1342*MAX(1,AT1342/V1342),IF(BR1342=1,IF(AT1342&lt;=0,0,BS1342*MAX(1,IF(G1342&gt;0,AT1342/G1342,1))),IF(Q1342&gt;0,AU1342/Q1342,0))/MAX(0.1,N(Parameter!$M$21)))</f>
        <v>0.0384615384615385</v>
      </c>
      <c r="AW1342" s="57" t="n">
        <f aca="false">AT1342*F1342</f>
        <v>969.85</v>
      </c>
      <c r="AX1342" s="57" t="n">
        <f aca="false">ROUNDUP(MAX(I1342/IF(BV1342&gt;0,BV1342,MAX(0.1,N(Cockpit!$O$6))),BY1342)/BQ1342,0)*BQ1342</f>
        <v>35</v>
      </c>
      <c r="AY1342" s="58" t="n">
        <f aca="false">IF(AV1342&gt;0,I1342/AV1342,-1)</f>
        <v>26</v>
      </c>
      <c r="AZ1342" s="58" t="n">
        <f aca="false">IF(AND(OR(BU1342="L1",BU1342="L23"),AV1342&gt;0),SUMIFS($AV$7:$AV$1576,$BU$7:$BU$1576,BU1342,$AY$7:$AY$1576,"&gt;"&amp;AY1342)+SUMIFS($AV$7:$AV$1576,$BU$7:$BU$1576,BU1342,$AY$7:$AY$1576,AY1342,$BO$7:$BO$1576,"&lt;="&amp;BO1342),"")</f>
        <v>88.3173696536308</v>
      </c>
      <c r="BA1342" s="65" t="n">
        <f aca="false">IF(AZ1342="",0,MAX(0,MIN(1,(IF(BU1342="L1",Parameter!$E$5,Parameter!$E$6+Parameter!$E$7)-(AZ1342-AV1342))/AV1342)))</f>
        <v>1</v>
      </c>
      <c r="BB1342" s="55" t="str">
        <f aca="false">IF(AF1342&lt;=0,"",IF(BU1342="Aussen","Aussenlager",IF(BU1342="-","Nicht im Lift",IF(AK1342&gt;=1,"Lift",IF(AK1342&lt;=0,"Aussenlager","teilweise")))))</f>
        <v/>
      </c>
      <c r="BC1342" s="55" t="str">
        <f aca="false">IF(AN1342&lt;=0,"",IF(BU1342="Aussen","Aussenlager",IF(BU1342="-","Nicht im Lift",IF(AS1342&gt;=1,"Lift",IF(AS1342&lt;=0,"Aussenlager","teilweise")))))</f>
        <v>Lift</v>
      </c>
      <c r="BD1342" s="55" t="str">
        <f aca="false">IF(AV1342&lt;=0,"",IF(BU1342="Aussen","Aussenlager",IF(BU1342="-","Nicht im Lift",IF(BA1342&gt;=1,"Lift",IF(BA1342&lt;=0,"Aussenlager","teilweise")))))</f>
        <v>Lift</v>
      </c>
      <c r="BE1342" s="55" t="str">
        <f aca="false">IF(A1342="","",IF(BN1342=1,"Neu; ","")&amp;IF(AND(BN1342=0,BI1342&lt;0),"negativer Bestand (Export "&amp;BI1342&amp;"); ","")&amp;IF(I1342&lt;=0,"Kein Verbrauch; ","")&amp;IF(CD1342&gt;0,"Lift "&amp;U1342&amp;" lt. Liftbericht (Fach "&amp;V1342&amp;" Stk); ",IF(BR1342=1,"Lose – Fläche geschätzt; ",""))&amp;IF(G1342&gt;AP1342,"Überbestand "&amp;ROUND(G1342-AP1342,0)&amp;" Stk / CHF "&amp;ROUND((G1342-AP1342)*F1342,0)&amp;"; ","")&amp;IF(AND(BW1342=1,BX1342&lt;BY1342),"MAX &lt; MB+LG; ","")&amp;IF(AND(CC1342&gt;0,CB1342*10&gt;CC1342),"zu hoch für Tablar; ","")&amp;IF(AND(BN1342=0,OR(BW1342=1,Y1342&lt;&gt;"",S1342&lt;&gt;"",T1342&lt;&gt;"",Z1342&lt;&gt;"")),"manuell übersteuert; ","")&amp;IF(AND(BR1342=0,Q1342=0),"Gebinde unbekannt / Stellmass fehlt; ","")&amp;IF(AND(BR1342=0,N(T1342)&lt;=0,N(P1342)&lt;=0),"Menge pro Gebinde fehlt (Ist = 1 Gebinde); ","")&amp;BM1342)</f>
        <v>negativer Bestand (Export -65); </v>
      </c>
      <c r="BF1342" s="55"/>
      <c r="BG1342" s="55"/>
      <c r="BH1342" s="62"/>
      <c r="BI1342" s="57" t="n">
        <v>-65</v>
      </c>
      <c r="BJ1342" s="57" t="n">
        <v>76</v>
      </c>
      <c r="BK1342" s="56" t="n">
        <v>-1801.15</v>
      </c>
      <c r="BL1342" s="57" t="n">
        <v>1</v>
      </c>
      <c r="BM1342" s="55"/>
      <c r="BN1342" s="60" t="n">
        <v>0</v>
      </c>
      <c r="BO1342" s="60" t="n">
        <v>1342</v>
      </c>
      <c r="BP1342" s="55" t="str">
        <f aca="false">IF(S1342&lt;&gt;"",UPPER(TRIM(S1342)),IF(O1342="","LOSE",O1342))</f>
        <v>S51</v>
      </c>
      <c r="BQ1342" s="57" t="n">
        <f aca="false">IF(BP1342="LOSE",1,IF(N(T1342)&gt;0,T1342,IF(N(P1342)&gt;0,P1342,MAX(1,G1342))))</f>
        <v>35</v>
      </c>
      <c r="BR1342" s="60" t="n">
        <f aca="false">IF(BP1342="LOSE",1,0)</f>
        <v>0</v>
      </c>
      <c r="BS1342" s="59" t="n">
        <f aca="false">IF(BR1342=0,0,IF(N(R1342)&gt;0,R1342,IFERROR(VLOOKUP(D1342,Parameter!$A$35:$C$64,3,0)+0,0)))</f>
        <v>0</v>
      </c>
      <c r="BT1342" s="55" t="n">
        <f aca="false">IF(Y1342&lt;&gt;"",Y1342,X1342)</f>
        <v>3</v>
      </c>
      <c r="BU1342" s="55" t="str">
        <f aca="false">IF(BT1342=1,"L1",IF(OR(BT1342=2,BT1342=3),"L23",IF(BT1342="Aussen","Aussen","-")))</f>
        <v>L23</v>
      </c>
      <c r="BV1342" s="66" t="n">
        <f aca="false">IF(N(Z1342)&gt;0,Z1342,0)</f>
        <v>0</v>
      </c>
      <c r="BW1342" s="60" t="n">
        <f aca="false">IF(ISNUMBER(AC1342),1,0)</f>
        <v>0</v>
      </c>
      <c r="BX1342" s="57" t="n">
        <f aca="false">N(AC1342)</f>
        <v>0</v>
      </c>
      <c r="BY1342" s="57" t="n">
        <f aca="false">N(L1342)+N(M1342)</f>
        <v>1</v>
      </c>
      <c r="BZ1342" s="57" t="n">
        <f aca="false">ROUNDUP(G1342/BQ1342,0)</f>
        <v>0</v>
      </c>
      <c r="CA1342" s="57" t="n">
        <f aca="false">ROUNDUP(BX1342/BQ1342,0)</f>
        <v>0</v>
      </c>
      <c r="CB1342" s="60" t="n">
        <f aca="false">IF(BR1342=1,0,IFERROR(VLOOKUP(BP1342,'Gebinde-Kategorie'!$A$5:$M$45,5,0)+0,0))</f>
        <v>11</v>
      </c>
      <c r="CC1342" s="60" t="n">
        <f aca="false">IFERROR(IF(OR(BT1342=1,BT1342=2,BT1342=3),N(INDEX(Parameter!$I$5:$I$7,BT1342)),0),0)</f>
        <v>0</v>
      </c>
      <c r="CD1342" s="59" t="n">
        <f aca="false">IF(AND(Parameter!$B$21="Ja",ISNUMBER(U1342),N(V1342)&gt;0),IFERROR(N(INDEX(Parameter!$L$5:$L$7,U1342))*INDEX(Parameter!$E$5:$E$7,U1342)*V1342/SUMIFS($V$7:$V$1576,$U$7:$U$1576,U1342),0),0)</f>
        <v>0</v>
      </c>
    </row>
    <row r="1343" customFormat="false" ht="15" hidden="false" customHeight="false" outlineLevel="0" collapsed="false">
      <c r="A1343" s="55" t="s">
        <v>2362</v>
      </c>
      <c r="B1343" s="55" t="s">
        <v>1100</v>
      </c>
      <c r="C1343" s="55" t="s">
        <v>160</v>
      </c>
      <c r="D1343" s="55" t="s">
        <v>168</v>
      </c>
      <c r="E1343" s="55" t="s">
        <v>210</v>
      </c>
      <c r="F1343" s="56" t="n">
        <v>278.37</v>
      </c>
      <c r="G1343" s="57" t="n">
        <f aca="false">MAX(0,IF(AND(Parameter!$B$21="Ja",ISNUMBER(W1343)),W1343,IF(Parameter!$B$20="Jahresanfang 2025 + Export",BJ1343+BI1343,BI1343)))</f>
        <v>0</v>
      </c>
      <c r="H1343" s="57" t="n">
        <f aca="false">G1343*F1343</f>
        <v>0</v>
      </c>
      <c r="I1343" s="57" t="n">
        <f aca="false">BL1343*Parameter!$B$18</f>
        <v>44</v>
      </c>
      <c r="J1343" s="58" t="n">
        <v>9</v>
      </c>
      <c r="K1343" s="59" t="n">
        <v>4.88888888888889</v>
      </c>
      <c r="L1343" s="57" t="n">
        <v>2</v>
      </c>
      <c r="M1343" s="57" t="n">
        <v>10</v>
      </c>
      <c r="N1343" s="60" t="n">
        <v>21</v>
      </c>
      <c r="O1343" s="55" t="s">
        <v>169</v>
      </c>
      <c r="P1343" s="57" t="n">
        <v>12</v>
      </c>
      <c r="Q1343" s="60" t="n">
        <f aca="false">IF(BR1343=1,0,IFERROR(VLOOKUP(BP1343,'Gebinde-Kategorie'!$A$5:$M$45,13,0)+0,0))</f>
        <v>6</v>
      </c>
      <c r="R1343" s="61"/>
      <c r="S1343" s="62"/>
      <c r="T1343" s="62"/>
      <c r="U1343" s="55"/>
      <c r="V1343" s="57"/>
      <c r="W1343" s="57"/>
      <c r="X1343" s="55" t="n">
        <f aca="false">IF(A1343="","",IF(AND(Parameter!$B$21="Ja",ISNUMBER(U1343)),U1343,IF(IFERROR(VLOOKUP(D1343,Parameter!$A$35:$C$64,2,0),"Nein")="2+3",IF(ISNUMBER(SEARCH("grosser Artikel",BM1343)),2,IFERROR(VLOOKUP(BP1343,Parameter!$F$35:$G$64,2,0),2)),IF(OR(IFERROR(VLOOKUP(D1343,Parameter!$A$35:$C$64,2,0),"Nein")="Nein",IFERROR(VLOOKUP(D1343,Parameter!$A$35:$C$64,2,0),"Nein")=""),"-",VLOOKUP(D1343,Parameter!$A$35:$C$64,2,0)))))</f>
        <v>2</v>
      </c>
      <c r="Y1343" s="62"/>
      <c r="Z1343" s="63"/>
      <c r="AA1343" s="57" t="n">
        <f aca="false">AP1343</f>
        <v>24</v>
      </c>
      <c r="AB1343" s="57" t="n">
        <f aca="false">MAX(AP1343,G1343)</f>
        <v>24</v>
      </c>
      <c r="AC1343" s="64"/>
      <c r="AD1343" s="57" t="n">
        <f aca="false">IF(LEFT(Cockpit!$C$5,1)="A",G1343,IF(BW1343=1,BX1343,IF(LEFT(Cockpit!$C$5,1)="B",AH1343,MAX(AH1343,G1343))))</f>
        <v>0</v>
      </c>
      <c r="AE1343" s="57" t="n">
        <f aca="false">IF(BR1343=1,0,ROUNDUP(AD1343/BQ1343,0))</f>
        <v>0</v>
      </c>
      <c r="AF1343" s="59" t="n">
        <f aca="false">IF(CD1343&gt;0,CD1343*MAX(1,AD1343/V1343),IF(BR1343=1,IF(AD1343&lt;=0,0,BS1343*MAX(1,IF(G1343&gt;0,AD1343/G1343,1))),IF(Q1343&gt;0,AE1343/Q1343,0))/MAX(0.1,N(Parameter!$M$21)))</f>
        <v>0</v>
      </c>
      <c r="AG1343" s="57" t="n">
        <f aca="false">AD1343*F1343</f>
        <v>0</v>
      </c>
      <c r="AH1343" s="57" t="n">
        <f aca="false">ROUNDUP(MAX(I1343/IF(BV1343&gt;0,BV1343,MAX(0.1,N(Cockpit!$C$6))),BY1343)/BQ1343,0)*BQ1343</f>
        <v>24</v>
      </c>
      <c r="AI1343" s="58" t="n">
        <f aca="false">IF(AF1343&gt;0,I1343/AF1343,-1)</f>
        <v>-1</v>
      </c>
      <c r="AJ1343" s="58" t="str">
        <f aca="false">IF(AND(OR(BU1343="L1",BU1343="L23"),AF1343&gt;0),SUMIFS($AF$7:$AF$1576,$BU$7:$BU$1576,BU1343,$AI$7:$AI$1576,"&gt;"&amp;AI1343)+SUMIFS($AF$7:$AF$1576,$BU$7:$BU$1576,BU1343,$AI$7:$AI$1576,AI1343,$BO$7:$BO$1576,"&lt;="&amp;BO1343),"")</f>
        <v/>
      </c>
      <c r="AK1343" s="65" t="n">
        <f aca="false">IF(AJ1343="",0,MAX(0,MIN(1,(IF(BU1343="L1",Parameter!$E$5,Parameter!$E$6+Parameter!$E$7)-(AJ1343-AF1343))/AF1343)))</f>
        <v>0</v>
      </c>
      <c r="AL1343" s="57" t="n">
        <f aca="false">IF(LEFT(Cockpit!$I$5,1)="A",G1343,IF(BW1343=1,BX1343,IF(LEFT(Cockpit!$I$5,1)="B",AP1343,MAX(AP1343,G1343))))</f>
        <v>24</v>
      </c>
      <c r="AM1343" s="57" t="n">
        <f aca="false">IF(BR1343=1,0,ROUNDUP(AL1343/BQ1343,0))</f>
        <v>2</v>
      </c>
      <c r="AN1343" s="59" t="n">
        <f aca="false">IF(CD1343&gt;0,CD1343*MAX(1,AL1343/V1343),IF(BR1343=1,IF(AL1343&lt;=0,0,BS1343*MAX(1,IF(G1343&gt;0,AL1343/G1343,1))),IF(Q1343&gt;0,AM1343/Q1343,0))/MAX(0.1,N(Parameter!$M$21)))</f>
        <v>0.333333333333333</v>
      </c>
      <c r="AO1343" s="57" t="n">
        <f aca="false">AL1343*F1343</f>
        <v>6680.88</v>
      </c>
      <c r="AP1343" s="57" t="n">
        <f aca="false">ROUNDUP(MAX(I1343/IF(BV1343&gt;0,BV1343,MAX(0.1,N(Cockpit!$I$6))),BY1343)/BQ1343,0)*BQ1343</f>
        <v>24</v>
      </c>
      <c r="AQ1343" s="58" t="n">
        <f aca="false">IF(AN1343&gt;0,I1343/AN1343,-1)</f>
        <v>132</v>
      </c>
      <c r="AR1343" s="58" t="n">
        <f aca="false">IF(AND(OR(BU1343="L1",BU1343="L23"),AN1343&gt;0),SUMIFS($AN$7:$AN$1576,$BU$7:$BU$1576,BU1343,$AQ$7:$AQ$1576,"&gt;"&amp;AQ1343)+SUMIFS($AN$7:$AN$1576,$BU$7:$BU$1576,BU1343,$AQ$7:$AQ$1576,AQ1343,$BO$7:$BO$1576,"&lt;="&amp;BO1343),"")</f>
        <v>60.6464662514774</v>
      </c>
      <c r="AS1343" s="65" t="n">
        <f aca="false">IF(AR1343="",0,MAX(0,MIN(1,(IF(BU1343="L1",Parameter!$E$5,Parameter!$E$6+Parameter!$E$7)-(AR1343-AN1343))/AN1343)))</f>
        <v>1</v>
      </c>
      <c r="AT1343" s="57" t="n">
        <f aca="false">IF(LEFT(Cockpit!$O$5,1)="A",G1343,IF(BW1343=1,BX1343,IF(LEFT(Cockpit!$O$5,1)="B",AX1343,MAX(AX1343,G1343))))</f>
        <v>24</v>
      </c>
      <c r="AU1343" s="57" t="n">
        <f aca="false">IF(BR1343=1,0,ROUNDUP(AT1343/BQ1343,0))</f>
        <v>2</v>
      </c>
      <c r="AV1343" s="59" t="n">
        <f aca="false">IF(CD1343&gt;0,CD1343*MAX(1,AT1343/V1343),IF(BR1343=1,IF(AT1343&lt;=0,0,BS1343*MAX(1,IF(G1343&gt;0,AT1343/G1343,1))),IF(Q1343&gt;0,AU1343/Q1343,0))/MAX(0.1,N(Parameter!$M$21)))</f>
        <v>0.333333333333333</v>
      </c>
      <c r="AW1343" s="57" t="n">
        <f aca="false">AT1343*F1343</f>
        <v>6680.88</v>
      </c>
      <c r="AX1343" s="57" t="n">
        <f aca="false">ROUNDUP(MAX(I1343/IF(BV1343&gt;0,BV1343,MAX(0.1,N(Cockpit!$O$6))),BY1343)/BQ1343,0)*BQ1343</f>
        <v>24</v>
      </c>
      <c r="AY1343" s="58" t="n">
        <f aca="false">IF(AV1343&gt;0,I1343/AV1343,-1)</f>
        <v>132</v>
      </c>
      <c r="AZ1343" s="58" t="n">
        <f aca="false">IF(AND(OR(BU1343="L1",BU1343="L23"),AV1343&gt;0),SUMIFS($AV$7:$AV$1576,$BU$7:$BU$1576,BU1343,$AY$7:$AY$1576,"&gt;"&amp;AY1343)+SUMIFS($AV$7:$AV$1576,$BU$7:$BU$1576,BU1343,$AY$7:$AY$1576,AY1343,$BO$7:$BO$1576,"&lt;="&amp;BO1343),"")</f>
        <v>55.3089333676945</v>
      </c>
      <c r="BA1343" s="65" t="n">
        <f aca="false">IF(AZ1343="",0,MAX(0,MIN(1,(IF(BU1343="L1",Parameter!$E$5,Parameter!$E$6+Parameter!$E$7)-(AZ1343-AV1343))/AV1343)))</f>
        <v>1</v>
      </c>
      <c r="BB1343" s="55" t="str">
        <f aca="false">IF(AF1343&lt;=0,"",IF(BU1343="Aussen","Aussenlager",IF(BU1343="-","Nicht im Lift",IF(AK1343&gt;=1,"Lift",IF(AK1343&lt;=0,"Aussenlager","teilweise")))))</f>
        <v/>
      </c>
      <c r="BC1343" s="55" t="str">
        <f aca="false">IF(AN1343&lt;=0,"",IF(BU1343="Aussen","Aussenlager",IF(BU1343="-","Nicht im Lift",IF(AS1343&gt;=1,"Lift",IF(AS1343&lt;=0,"Aussenlager","teilweise")))))</f>
        <v>Lift</v>
      </c>
      <c r="BD1343" s="55" t="str">
        <f aca="false">IF(AV1343&lt;=0,"",IF(BU1343="Aussen","Aussenlager",IF(BU1343="-","Nicht im Lift",IF(BA1343&gt;=1,"Lift",IF(BA1343&lt;=0,"Aussenlager","teilweise")))))</f>
        <v>Lift</v>
      </c>
      <c r="BE1343" s="55" t="str">
        <f aca="false">IF(A1343="","",IF(BN1343=1,"Neu; ","")&amp;IF(AND(BN1343=0,BI1343&lt;0),"negativer Bestand (Export "&amp;BI1343&amp;"); ","")&amp;IF(I1343&lt;=0,"Kein Verbrauch; ","")&amp;IF(CD1343&gt;0,"Lift "&amp;U1343&amp;" lt. Liftbericht (Fach "&amp;V1343&amp;" Stk); ",IF(BR1343=1,"Lose – Fläche geschätzt; ",""))&amp;IF(G1343&gt;AP1343,"Überbestand "&amp;ROUND(G1343-AP1343,0)&amp;" Stk / CHF "&amp;ROUND((G1343-AP1343)*F1343,0)&amp;"; ","")&amp;IF(AND(BW1343=1,BX1343&lt;BY1343),"MAX &lt; MB+LG; ","")&amp;IF(AND(CC1343&gt;0,CB1343*10&gt;CC1343),"zu hoch für Tablar; ","")&amp;IF(AND(BN1343=0,OR(BW1343=1,Y1343&lt;&gt;"",S1343&lt;&gt;"",T1343&lt;&gt;"",Z1343&lt;&gt;"")),"manuell übersteuert; ","")&amp;IF(AND(BR1343=0,Q1343=0),"Gebinde unbekannt / Stellmass fehlt; ","")&amp;IF(AND(BR1343=0,N(T1343)&lt;=0,N(P1343)&lt;=0),"Menge pro Gebinde fehlt (Ist = 1 Gebinde); ","")&amp;BM1343)</f>
        <v>negativer Bestand (Export -4); grosser Artikel &amp; nicht im KTL</v>
      </c>
      <c r="BF1343" s="55"/>
      <c r="BG1343" s="55"/>
      <c r="BH1343" s="62"/>
      <c r="BI1343" s="57" t="n">
        <v>-4</v>
      </c>
      <c r="BJ1343" s="57" t="n">
        <v>8</v>
      </c>
      <c r="BK1343" s="56" t="n">
        <v>-1807.16</v>
      </c>
      <c r="BL1343" s="57" t="n">
        <v>44</v>
      </c>
      <c r="BM1343" s="55" t="s">
        <v>253</v>
      </c>
      <c r="BN1343" s="60" t="n">
        <v>0</v>
      </c>
      <c r="BO1343" s="60" t="n">
        <v>1343</v>
      </c>
      <c r="BP1343" s="55" t="str">
        <f aca="false">IF(S1343&lt;&gt;"",UPPER(TRIM(S1343)),IF(O1343="","LOSE",O1343))</f>
        <v>S71</v>
      </c>
      <c r="BQ1343" s="57" t="n">
        <f aca="false">IF(BP1343="LOSE",1,IF(N(T1343)&gt;0,T1343,IF(N(P1343)&gt;0,P1343,MAX(1,G1343))))</f>
        <v>12</v>
      </c>
      <c r="BR1343" s="60" t="n">
        <f aca="false">IF(BP1343="LOSE",1,0)</f>
        <v>0</v>
      </c>
      <c r="BS1343" s="59" t="n">
        <f aca="false">IF(BR1343=0,0,IF(N(R1343)&gt;0,R1343,IFERROR(VLOOKUP(D1343,Parameter!$A$35:$C$64,3,0)+0,0)))</f>
        <v>0</v>
      </c>
      <c r="BT1343" s="55" t="n">
        <f aca="false">IF(Y1343&lt;&gt;"",Y1343,X1343)</f>
        <v>2</v>
      </c>
      <c r="BU1343" s="55" t="str">
        <f aca="false">IF(BT1343=1,"L1",IF(OR(BT1343=2,BT1343=3),"L23",IF(BT1343="Aussen","Aussen","-")))</f>
        <v>L23</v>
      </c>
      <c r="BV1343" s="66" t="n">
        <f aca="false">IF(N(Z1343)&gt;0,Z1343,0)</f>
        <v>0</v>
      </c>
      <c r="BW1343" s="60" t="n">
        <f aca="false">IF(ISNUMBER(AC1343),1,0)</f>
        <v>0</v>
      </c>
      <c r="BX1343" s="57" t="n">
        <f aca="false">N(AC1343)</f>
        <v>0</v>
      </c>
      <c r="BY1343" s="57" t="n">
        <f aca="false">N(L1343)+N(M1343)</f>
        <v>12</v>
      </c>
      <c r="BZ1343" s="57" t="n">
        <f aca="false">ROUNDUP(G1343/BQ1343,0)</f>
        <v>0</v>
      </c>
      <c r="CA1343" s="57" t="n">
        <f aca="false">ROUNDUP(BX1343/BQ1343,0)</f>
        <v>0</v>
      </c>
      <c r="CB1343" s="60" t="n">
        <f aca="false">IF(BR1343=1,0,IFERROR(VLOOKUP(BP1343,'Gebinde-Kategorie'!$A$5:$M$45,5,0)+0,0))</f>
        <v>20</v>
      </c>
      <c r="CC1343" s="60" t="n">
        <f aca="false">IFERROR(IF(OR(BT1343=1,BT1343=2,BT1343=3),N(INDEX(Parameter!$I$5:$I$7,BT1343)),0),0)</f>
        <v>0</v>
      </c>
      <c r="CD1343" s="59" t="n">
        <f aca="false">IF(AND(Parameter!$B$21="Ja",ISNUMBER(U1343),N(V1343)&gt;0),IFERROR(N(INDEX(Parameter!$L$5:$L$7,U1343))*INDEX(Parameter!$E$5:$E$7,U1343)*V1343/SUMIFS($V$7:$V$1576,$U$7:$U$1576,U1343),0),0)</f>
        <v>0</v>
      </c>
    </row>
    <row r="1344" customFormat="false" ht="15" hidden="false" customHeight="false" outlineLevel="0" collapsed="false">
      <c r="A1344" s="55" t="s">
        <v>2363</v>
      </c>
      <c r="B1344" s="55" t="s">
        <v>2124</v>
      </c>
      <c r="C1344" s="55" t="s">
        <v>160</v>
      </c>
      <c r="D1344" s="55" t="s">
        <v>168</v>
      </c>
      <c r="E1344" s="55" t="s">
        <v>210</v>
      </c>
      <c r="F1344" s="56" t="n">
        <v>38.6</v>
      </c>
      <c r="G1344" s="57" t="n">
        <f aca="false">MAX(0,IF(AND(Parameter!$B$21="Ja",ISNUMBER(W1344)),W1344,IF(Parameter!$B$20="Jahresanfang 2025 + Export",BJ1344+BI1344,BI1344)))</f>
        <v>0</v>
      </c>
      <c r="H1344" s="57" t="n">
        <f aca="false">G1344*F1344</f>
        <v>0</v>
      </c>
      <c r="I1344" s="57" t="n">
        <f aca="false">BL1344*Parameter!$B$18</f>
        <v>158</v>
      </c>
      <c r="J1344" s="58" t="n">
        <v>79</v>
      </c>
      <c r="K1344" s="59" t="n">
        <v>2</v>
      </c>
      <c r="L1344" s="57" t="n">
        <v>20</v>
      </c>
      <c r="M1344" s="57" t="n">
        <v>100</v>
      </c>
      <c r="N1344" s="60" t="n">
        <v>42</v>
      </c>
      <c r="O1344" s="55" t="s">
        <v>284</v>
      </c>
      <c r="P1344" s="57" t="n">
        <v>23</v>
      </c>
      <c r="Q1344" s="60" t="n">
        <f aca="false">IF(BR1344=1,0,IFERROR(VLOOKUP(BP1344,'Gebinde-Kategorie'!$A$5:$M$45,13,0)+0,0))</f>
        <v>12</v>
      </c>
      <c r="R1344" s="61"/>
      <c r="S1344" s="62"/>
      <c r="T1344" s="62"/>
      <c r="U1344" s="55"/>
      <c r="V1344" s="57"/>
      <c r="W1344" s="57"/>
      <c r="X1344" s="55" t="n">
        <f aca="false">IF(A1344="","",IF(AND(Parameter!$B$21="Ja",ISNUMBER(U1344)),U1344,IF(IFERROR(VLOOKUP(D1344,Parameter!$A$35:$C$64,2,0),"Nein")="2+3",IF(ISNUMBER(SEARCH("grosser Artikel",BM1344)),2,IFERROR(VLOOKUP(BP1344,Parameter!$F$35:$G$64,2,0),2)),IF(OR(IFERROR(VLOOKUP(D1344,Parameter!$A$35:$C$64,2,0),"Nein")="Nein",IFERROR(VLOOKUP(D1344,Parameter!$A$35:$C$64,2,0),"Nein")=""),"-",VLOOKUP(D1344,Parameter!$A$35:$C$64,2,0)))))</f>
        <v>2</v>
      </c>
      <c r="Y1344" s="62"/>
      <c r="Z1344" s="63"/>
      <c r="AA1344" s="57" t="n">
        <f aca="false">AP1344</f>
        <v>138</v>
      </c>
      <c r="AB1344" s="57" t="n">
        <f aca="false">MAX(AP1344,G1344)</f>
        <v>138</v>
      </c>
      <c r="AC1344" s="64"/>
      <c r="AD1344" s="57" t="n">
        <f aca="false">IF(LEFT(Cockpit!$C$5,1)="A",G1344,IF(BW1344=1,BX1344,IF(LEFT(Cockpit!$C$5,1)="B",AH1344,MAX(AH1344,G1344))))</f>
        <v>0</v>
      </c>
      <c r="AE1344" s="57" t="n">
        <f aca="false">IF(BR1344=1,0,ROUNDUP(AD1344/BQ1344,0))</f>
        <v>0</v>
      </c>
      <c r="AF1344" s="59" t="n">
        <f aca="false">IF(CD1344&gt;0,CD1344*MAX(1,AD1344/V1344),IF(BR1344=1,IF(AD1344&lt;=0,0,BS1344*MAX(1,IF(G1344&gt;0,AD1344/G1344,1))),IF(Q1344&gt;0,AE1344/Q1344,0))/MAX(0.1,N(Parameter!$M$21)))</f>
        <v>0</v>
      </c>
      <c r="AG1344" s="57" t="n">
        <f aca="false">AD1344*F1344</f>
        <v>0</v>
      </c>
      <c r="AH1344" s="57" t="n">
        <f aca="false">ROUNDUP(MAX(I1344/IF(BV1344&gt;0,BV1344,MAX(0.1,N(Cockpit!$C$6))),BY1344)/BQ1344,0)*BQ1344</f>
        <v>138</v>
      </c>
      <c r="AI1344" s="58" t="n">
        <f aca="false">IF(AF1344&gt;0,I1344/AF1344,-1)</f>
        <v>-1</v>
      </c>
      <c r="AJ1344" s="58" t="str">
        <f aca="false">IF(AND(OR(BU1344="L1",BU1344="L23"),AF1344&gt;0),SUMIFS($AF$7:$AF$1576,$BU$7:$BU$1576,BU1344,$AI$7:$AI$1576,"&gt;"&amp;AI1344)+SUMIFS($AF$7:$AF$1576,$BU$7:$BU$1576,BU1344,$AI$7:$AI$1576,AI1344,$BO$7:$BO$1576,"&lt;="&amp;BO1344),"")</f>
        <v/>
      </c>
      <c r="AK1344" s="65" t="n">
        <f aca="false">IF(AJ1344="",0,MAX(0,MIN(1,(IF(BU1344="L1",Parameter!$E$5,Parameter!$E$6+Parameter!$E$7)-(AJ1344-AF1344))/AF1344)))</f>
        <v>0</v>
      </c>
      <c r="AL1344" s="57" t="n">
        <f aca="false">IF(LEFT(Cockpit!$I$5,1)="A",G1344,IF(BW1344=1,BX1344,IF(LEFT(Cockpit!$I$5,1)="B",AP1344,MAX(AP1344,G1344))))</f>
        <v>138</v>
      </c>
      <c r="AM1344" s="57" t="n">
        <f aca="false">IF(BR1344=1,0,ROUNDUP(AL1344/BQ1344,0))</f>
        <v>6</v>
      </c>
      <c r="AN1344" s="59" t="n">
        <f aca="false">IF(CD1344&gt;0,CD1344*MAX(1,AL1344/V1344),IF(BR1344=1,IF(AL1344&lt;=0,0,BS1344*MAX(1,IF(G1344&gt;0,AL1344/G1344,1))),IF(Q1344&gt;0,AM1344/Q1344,0))/MAX(0.1,N(Parameter!$M$21)))</f>
        <v>0.5</v>
      </c>
      <c r="AO1344" s="57" t="n">
        <f aca="false">AL1344*F1344</f>
        <v>5326.8</v>
      </c>
      <c r="AP1344" s="57" t="n">
        <f aca="false">ROUNDUP(MAX(I1344/IF(BV1344&gt;0,BV1344,MAX(0.1,N(Cockpit!$I$6))),BY1344)/BQ1344,0)*BQ1344</f>
        <v>138</v>
      </c>
      <c r="AQ1344" s="58" t="n">
        <f aca="false">IF(AN1344&gt;0,I1344/AN1344,-1)</f>
        <v>316</v>
      </c>
      <c r="AR1344" s="58" t="n">
        <f aca="false">IF(AND(OR(BU1344="L1",BU1344="L23"),AN1344&gt;0),SUMIFS($AN$7:$AN$1576,$BU$7:$BU$1576,BU1344,$AQ$7:$AQ$1576,"&gt;"&amp;AQ1344)+SUMIFS($AN$7:$AN$1576,$BU$7:$BU$1576,BU1344,$AQ$7:$AQ$1576,AQ1344,$BO$7:$BO$1576,"&lt;="&amp;BO1344),"")</f>
        <v>43.3309221337594</v>
      </c>
      <c r="AS1344" s="65" t="n">
        <f aca="false">IF(AR1344="",0,MAX(0,MIN(1,(IF(BU1344="L1",Parameter!$E$5,Parameter!$E$6+Parameter!$E$7)-(AR1344-AN1344))/AN1344)))</f>
        <v>1</v>
      </c>
      <c r="AT1344" s="57" t="n">
        <f aca="false">IF(LEFT(Cockpit!$O$5,1)="A",G1344,IF(BW1344=1,BX1344,IF(LEFT(Cockpit!$O$5,1)="B",AX1344,MAX(AX1344,G1344))))</f>
        <v>138</v>
      </c>
      <c r="AU1344" s="57" t="n">
        <f aca="false">IF(BR1344=1,0,ROUNDUP(AT1344/BQ1344,0))</f>
        <v>6</v>
      </c>
      <c r="AV1344" s="59" t="n">
        <f aca="false">IF(CD1344&gt;0,CD1344*MAX(1,AT1344/V1344),IF(BR1344=1,IF(AT1344&lt;=0,0,BS1344*MAX(1,IF(G1344&gt;0,AT1344/G1344,1))),IF(Q1344&gt;0,AU1344/Q1344,0))/MAX(0.1,N(Parameter!$M$21)))</f>
        <v>0.5</v>
      </c>
      <c r="AW1344" s="57" t="n">
        <f aca="false">AT1344*F1344</f>
        <v>5326.8</v>
      </c>
      <c r="AX1344" s="57" t="n">
        <f aca="false">ROUNDUP(MAX(I1344/IF(BV1344&gt;0,BV1344,MAX(0.1,N(Cockpit!$O$6))),BY1344)/BQ1344,0)*BQ1344</f>
        <v>138</v>
      </c>
      <c r="AY1344" s="58" t="n">
        <f aca="false">IF(AV1344&gt;0,I1344/AV1344,-1)</f>
        <v>316</v>
      </c>
      <c r="AZ1344" s="58" t="n">
        <f aca="false">IF(AND(OR(BU1344="L1",BU1344="L23"),AV1344&gt;0),SUMIFS($AV$7:$AV$1576,$BU$7:$BU$1576,BU1344,$AY$7:$AY$1576,"&gt;"&amp;AY1344)+SUMIFS($AV$7:$AV$1576,$BU$7:$BU$1576,BU1344,$AY$7:$AY$1576,AY1344,$BO$7:$BO$1576,"&lt;="&amp;BO1344),"")</f>
        <v>39.579000721838</v>
      </c>
      <c r="BA1344" s="65" t="n">
        <f aca="false">IF(AZ1344="",0,MAX(0,MIN(1,(IF(BU1344="L1",Parameter!$E$5,Parameter!$E$6+Parameter!$E$7)-(AZ1344-AV1344))/AV1344)))</f>
        <v>1</v>
      </c>
      <c r="BB1344" s="55" t="str">
        <f aca="false">IF(AF1344&lt;=0,"",IF(BU1344="Aussen","Aussenlager",IF(BU1344="-","Nicht im Lift",IF(AK1344&gt;=1,"Lift",IF(AK1344&lt;=0,"Aussenlager","teilweise")))))</f>
        <v/>
      </c>
      <c r="BC1344" s="55" t="str">
        <f aca="false">IF(AN1344&lt;=0,"",IF(BU1344="Aussen","Aussenlager",IF(BU1344="-","Nicht im Lift",IF(AS1344&gt;=1,"Lift",IF(AS1344&lt;=0,"Aussenlager","teilweise")))))</f>
        <v>Lift</v>
      </c>
      <c r="BD1344" s="55" t="str">
        <f aca="false">IF(AV1344&lt;=0,"",IF(BU1344="Aussen","Aussenlager",IF(BU1344="-","Nicht im Lift",IF(BA1344&gt;=1,"Lift",IF(BA1344&lt;=0,"Aussenlager","teilweise")))))</f>
        <v>Lift</v>
      </c>
      <c r="BE1344" s="55" t="str">
        <f aca="false">IF(A1344="","",IF(BN1344=1,"Neu; ","")&amp;IF(AND(BN1344=0,BI1344&lt;0),"negativer Bestand (Export "&amp;BI1344&amp;"); ","")&amp;IF(I1344&lt;=0,"Kein Verbrauch; ","")&amp;IF(CD1344&gt;0,"Lift "&amp;U1344&amp;" lt. Liftbericht (Fach "&amp;V1344&amp;" Stk); ",IF(BR1344=1,"Lose – Fläche geschätzt; ",""))&amp;IF(G1344&gt;AP1344,"Überbestand "&amp;ROUND(G1344-AP1344,0)&amp;" Stk / CHF "&amp;ROUND((G1344-AP1344)*F1344,0)&amp;"; ","")&amp;IF(AND(BW1344=1,BX1344&lt;BY1344),"MAX &lt; MB+LG; ","")&amp;IF(AND(CC1344&gt;0,CB1344*10&gt;CC1344),"zu hoch für Tablar; ","")&amp;IF(AND(BN1344=0,OR(BW1344=1,Y1344&lt;&gt;"",S1344&lt;&gt;"",T1344&lt;&gt;"",Z1344&lt;&gt;"")),"manuell übersteuert; ","")&amp;IF(AND(BR1344=0,Q1344=0),"Gebinde unbekannt / Stellmass fehlt; ","")&amp;IF(AND(BR1344=0,N(T1344)&lt;=0,N(P1344)&lt;=0),"Menge pro Gebinde fehlt (Ist = 1 Gebinde); ","")&amp;BM1344)</f>
        <v>negativer Bestand (Export -36); </v>
      </c>
      <c r="BF1344" s="55"/>
      <c r="BG1344" s="55"/>
      <c r="BH1344" s="62"/>
      <c r="BI1344" s="57" t="n">
        <v>-36</v>
      </c>
      <c r="BJ1344" s="57" t="n">
        <v>83</v>
      </c>
      <c r="BK1344" s="56" t="n">
        <v>-1818.71</v>
      </c>
      <c r="BL1344" s="57" t="n">
        <v>158</v>
      </c>
      <c r="BM1344" s="55"/>
      <c r="BN1344" s="60" t="n">
        <v>0</v>
      </c>
      <c r="BO1344" s="60" t="n">
        <v>1344</v>
      </c>
      <c r="BP1344" s="55" t="str">
        <f aca="false">IF(S1344&lt;&gt;"",UPPER(TRIM(S1344)),IF(O1344="","LOSE",O1344))</f>
        <v>S62</v>
      </c>
      <c r="BQ1344" s="57" t="n">
        <f aca="false">IF(BP1344="LOSE",1,IF(N(T1344)&gt;0,T1344,IF(N(P1344)&gt;0,P1344,MAX(1,G1344))))</f>
        <v>23</v>
      </c>
      <c r="BR1344" s="60" t="n">
        <f aca="false">IF(BP1344="LOSE",1,0)</f>
        <v>0</v>
      </c>
      <c r="BS1344" s="59" t="n">
        <f aca="false">IF(BR1344=0,0,IF(N(R1344)&gt;0,R1344,IFERROR(VLOOKUP(D1344,Parameter!$A$35:$C$64,3,0)+0,0)))</f>
        <v>0</v>
      </c>
      <c r="BT1344" s="55" t="n">
        <f aca="false">IF(Y1344&lt;&gt;"",Y1344,X1344)</f>
        <v>2</v>
      </c>
      <c r="BU1344" s="55" t="str">
        <f aca="false">IF(BT1344=1,"L1",IF(OR(BT1344=2,BT1344=3),"L23",IF(BT1344="Aussen","Aussen","-")))</f>
        <v>L23</v>
      </c>
      <c r="BV1344" s="66" t="n">
        <f aca="false">IF(N(Z1344)&gt;0,Z1344,0)</f>
        <v>0</v>
      </c>
      <c r="BW1344" s="60" t="n">
        <f aca="false">IF(ISNUMBER(AC1344),1,0)</f>
        <v>0</v>
      </c>
      <c r="BX1344" s="57" t="n">
        <f aca="false">N(AC1344)</f>
        <v>0</v>
      </c>
      <c r="BY1344" s="57" t="n">
        <f aca="false">N(L1344)+N(M1344)</f>
        <v>120</v>
      </c>
      <c r="BZ1344" s="57" t="n">
        <f aca="false">ROUNDUP(G1344/BQ1344,0)</f>
        <v>0</v>
      </c>
      <c r="CA1344" s="57" t="n">
        <f aca="false">ROUNDUP(BX1344/BQ1344,0)</f>
        <v>0</v>
      </c>
      <c r="CB1344" s="60" t="n">
        <f aca="false">IF(BR1344=1,0,IFERROR(VLOOKUP(BP1344,'Gebinde-Kategorie'!$A$5:$M$45,5,0)+0,0))</f>
        <v>21</v>
      </c>
      <c r="CC1344" s="60" t="n">
        <f aca="false">IFERROR(IF(OR(BT1344=1,BT1344=2,BT1344=3),N(INDEX(Parameter!$I$5:$I$7,BT1344)),0),0)</f>
        <v>0</v>
      </c>
      <c r="CD1344" s="59" t="n">
        <f aca="false">IF(AND(Parameter!$B$21="Ja",ISNUMBER(U1344),N(V1344)&gt;0),IFERROR(N(INDEX(Parameter!$L$5:$L$7,U1344))*INDEX(Parameter!$E$5:$E$7,U1344)*V1344/SUMIFS($V$7:$V$1576,$U$7:$U$1576,U1344),0),0)</f>
        <v>0</v>
      </c>
    </row>
    <row r="1345" customFormat="false" ht="15" hidden="false" customHeight="false" outlineLevel="0" collapsed="false">
      <c r="A1345" s="55" t="s">
        <v>2364</v>
      </c>
      <c r="B1345" s="55" t="s">
        <v>1889</v>
      </c>
      <c r="C1345" s="55" t="s">
        <v>162</v>
      </c>
      <c r="D1345" s="55" t="s">
        <v>178</v>
      </c>
      <c r="E1345" s="55" t="s">
        <v>210</v>
      </c>
      <c r="F1345" s="56" t="n">
        <v>21.45</v>
      </c>
      <c r="G1345" s="57" t="n">
        <f aca="false">MAX(0,IF(AND(Parameter!$B$21="Ja",ISNUMBER(W1345)),W1345,IF(Parameter!$B$20="Jahresanfang 2025 + Export",BJ1345+BI1345,BI1345)))</f>
        <v>0</v>
      </c>
      <c r="H1345" s="57" t="n">
        <f aca="false">G1345*F1345</f>
        <v>0</v>
      </c>
      <c r="I1345" s="57" t="n">
        <f aca="false">BL1345*Parameter!$B$18</f>
        <v>384</v>
      </c>
      <c r="J1345" s="58" t="n">
        <v>122.5</v>
      </c>
      <c r="K1345" s="59" t="n">
        <v>3.13469387755102</v>
      </c>
      <c r="L1345" s="57" t="n">
        <v>0</v>
      </c>
      <c r="M1345" s="57" t="n">
        <v>210</v>
      </c>
      <c r="N1345" s="60" t="n">
        <v>21</v>
      </c>
      <c r="O1345" s="55" t="s">
        <v>293</v>
      </c>
      <c r="P1345" s="57" t="n">
        <v>57</v>
      </c>
      <c r="Q1345" s="60" t="n">
        <f aca="false">IF(BR1345=1,0,IFERROR(VLOOKUP(BP1345,'Gebinde-Kategorie'!$A$5:$M$45,13,0)+0,0))</f>
        <v>26</v>
      </c>
      <c r="R1345" s="61"/>
      <c r="S1345" s="62"/>
      <c r="T1345" s="62"/>
      <c r="U1345" s="55"/>
      <c r="V1345" s="57"/>
      <c r="W1345" s="57"/>
      <c r="X1345" s="55" t="n">
        <f aca="false">IF(A1345="","",IF(AND(Parameter!$B$21="Ja",ISNUMBER(U1345)),U1345,IF(IFERROR(VLOOKUP(D1345,Parameter!$A$35:$C$64,2,0),"Nein")="2+3",IF(ISNUMBER(SEARCH("grosser Artikel",BM1345)),2,IFERROR(VLOOKUP(BP1345,Parameter!$F$35:$G$64,2,0),2)),IF(OR(IFERROR(VLOOKUP(D1345,Parameter!$A$35:$C$64,2,0),"Nein")="Nein",IFERROR(VLOOKUP(D1345,Parameter!$A$35:$C$64,2,0),"Nein")=""),"-",VLOOKUP(D1345,Parameter!$A$35:$C$64,2,0)))))</f>
        <v>3</v>
      </c>
      <c r="Y1345" s="62"/>
      <c r="Z1345" s="63"/>
      <c r="AA1345" s="57" t="n">
        <f aca="false">AP1345</f>
        <v>228</v>
      </c>
      <c r="AB1345" s="57" t="n">
        <f aca="false">MAX(AP1345,G1345)</f>
        <v>228</v>
      </c>
      <c r="AC1345" s="64"/>
      <c r="AD1345" s="57" t="n">
        <f aca="false">IF(LEFT(Cockpit!$C$5,1)="A",G1345,IF(BW1345=1,BX1345,IF(LEFT(Cockpit!$C$5,1)="B",AH1345,MAX(AH1345,G1345))))</f>
        <v>0</v>
      </c>
      <c r="AE1345" s="57" t="n">
        <f aca="false">IF(BR1345=1,0,ROUNDUP(AD1345/BQ1345,0))</f>
        <v>0</v>
      </c>
      <c r="AF1345" s="59" t="n">
        <f aca="false">IF(CD1345&gt;0,CD1345*MAX(1,AD1345/V1345),IF(BR1345=1,IF(AD1345&lt;=0,0,BS1345*MAX(1,IF(G1345&gt;0,AD1345/G1345,1))),IF(Q1345&gt;0,AE1345/Q1345,0))/MAX(0.1,N(Parameter!$M$21)))</f>
        <v>0</v>
      </c>
      <c r="AG1345" s="57" t="n">
        <f aca="false">AD1345*F1345</f>
        <v>0</v>
      </c>
      <c r="AH1345" s="57" t="n">
        <f aca="false">ROUNDUP(MAX(I1345/IF(BV1345&gt;0,BV1345,MAX(0.1,N(Cockpit!$C$6))),BY1345)/BQ1345,0)*BQ1345</f>
        <v>228</v>
      </c>
      <c r="AI1345" s="58" t="n">
        <f aca="false">IF(AF1345&gt;0,I1345/AF1345,-1)</f>
        <v>-1</v>
      </c>
      <c r="AJ1345" s="58" t="str">
        <f aca="false">IF(AND(OR(BU1345="L1",BU1345="L23"),AF1345&gt;0),SUMIFS($AF$7:$AF$1576,$BU$7:$BU$1576,BU1345,$AI$7:$AI$1576,"&gt;"&amp;AI1345)+SUMIFS($AF$7:$AF$1576,$BU$7:$BU$1576,BU1345,$AI$7:$AI$1576,AI1345,$BO$7:$BO$1576,"&lt;="&amp;BO1345),"")</f>
        <v/>
      </c>
      <c r="AK1345" s="65" t="n">
        <f aca="false">IF(AJ1345="",0,MAX(0,MIN(1,(IF(BU1345="L1",Parameter!$E$5,Parameter!$E$6+Parameter!$E$7)-(AJ1345-AF1345))/AF1345)))</f>
        <v>0</v>
      </c>
      <c r="AL1345" s="57" t="n">
        <f aca="false">IF(LEFT(Cockpit!$I$5,1)="A",G1345,IF(BW1345=1,BX1345,IF(LEFT(Cockpit!$I$5,1)="B",AP1345,MAX(AP1345,G1345))))</f>
        <v>228</v>
      </c>
      <c r="AM1345" s="57" t="n">
        <f aca="false">IF(BR1345=1,0,ROUNDUP(AL1345/BQ1345,0))</f>
        <v>4</v>
      </c>
      <c r="AN1345" s="59" t="n">
        <f aca="false">IF(CD1345&gt;0,CD1345*MAX(1,AL1345/V1345),IF(BR1345=1,IF(AL1345&lt;=0,0,BS1345*MAX(1,IF(G1345&gt;0,AL1345/G1345,1))),IF(Q1345&gt;0,AM1345/Q1345,0))/MAX(0.1,N(Parameter!$M$21)))</f>
        <v>0.153846153846154</v>
      </c>
      <c r="AO1345" s="57" t="n">
        <f aca="false">AL1345*F1345</f>
        <v>4890.6</v>
      </c>
      <c r="AP1345" s="57" t="n">
        <f aca="false">ROUNDUP(MAX(I1345/IF(BV1345&gt;0,BV1345,MAX(0.1,N(Cockpit!$I$6))),BY1345)/BQ1345,0)*BQ1345</f>
        <v>228</v>
      </c>
      <c r="AQ1345" s="58" t="n">
        <f aca="false">IF(AN1345&gt;0,I1345/AN1345,-1)</f>
        <v>2496</v>
      </c>
      <c r="AR1345" s="58" t="n">
        <f aca="false">IF(AND(OR(BU1345="L1",BU1345="L23"),AN1345&gt;0),SUMIFS($AN$7:$AN$1576,$BU$7:$BU$1576,BU1345,$AQ$7:$AQ$1576,"&gt;"&amp;AQ1345)+SUMIFS($AN$7:$AN$1576,$BU$7:$BU$1576,BU1345,$AQ$7:$AQ$1576,AQ1345,$BO$7:$BO$1576,"&lt;="&amp;BO1345),"")</f>
        <v>15.574049151669</v>
      </c>
      <c r="AS1345" s="65" t="n">
        <f aca="false">IF(AR1345="",0,MAX(0,MIN(1,(IF(BU1345="L1",Parameter!$E$5,Parameter!$E$6+Parameter!$E$7)-(AR1345-AN1345))/AN1345)))</f>
        <v>1</v>
      </c>
      <c r="AT1345" s="57" t="n">
        <f aca="false">IF(LEFT(Cockpit!$O$5,1)="A",G1345,IF(BW1345=1,BX1345,IF(LEFT(Cockpit!$O$5,1)="B",AX1345,MAX(AX1345,G1345))))</f>
        <v>228</v>
      </c>
      <c r="AU1345" s="57" t="n">
        <f aca="false">IF(BR1345=1,0,ROUNDUP(AT1345/BQ1345,0))</f>
        <v>4</v>
      </c>
      <c r="AV1345" s="59" t="n">
        <f aca="false">IF(CD1345&gt;0,CD1345*MAX(1,AT1345/V1345),IF(BR1345=1,IF(AT1345&lt;=0,0,BS1345*MAX(1,IF(G1345&gt;0,AT1345/G1345,1))),IF(Q1345&gt;0,AU1345/Q1345,0))/MAX(0.1,N(Parameter!$M$21)))</f>
        <v>0.153846153846154</v>
      </c>
      <c r="AW1345" s="57" t="n">
        <f aca="false">AT1345*F1345</f>
        <v>4890.6</v>
      </c>
      <c r="AX1345" s="57" t="n">
        <f aca="false">ROUNDUP(MAX(I1345/IF(BV1345&gt;0,BV1345,MAX(0.1,N(Cockpit!$O$6))),BY1345)/BQ1345,0)*BQ1345</f>
        <v>228</v>
      </c>
      <c r="AY1345" s="58" t="n">
        <f aca="false">IF(AV1345&gt;0,I1345/AV1345,-1)</f>
        <v>2496</v>
      </c>
      <c r="AZ1345" s="58" t="n">
        <f aca="false">IF(AND(OR(BU1345="L1",BU1345="L23"),AV1345&gt;0),SUMIFS($AV$7:$AV$1576,$BU$7:$BU$1576,BU1345,$AY$7:$AY$1576,"&gt;"&amp;AY1345)+SUMIFS($AV$7:$AV$1576,$BU$7:$BU$1576,BU1345,$AY$7:$AY$1576,AY1345,$BO$7:$BO$1576,"&lt;="&amp;BO1345),"")</f>
        <v>14.3782449558648</v>
      </c>
      <c r="BA1345" s="65" t="n">
        <f aca="false">IF(AZ1345="",0,MAX(0,MIN(1,(IF(BU1345="L1",Parameter!$E$5,Parameter!$E$6+Parameter!$E$7)-(AZ1345-AV1345))/AV1345)))</f>
        <v>1</v>
      </c>
      <c r="BB1345" s="55" t="str">
        <f aca="false">IF(AF1345&lt;=0,"",IF(BU1345="Aussen","Aussenlager",IF(BU1345="-","Nicht im Lift",IF(AK1345&gt;=1,"Lift",IF(AK1345&lt;=0,"Aussenlager","teilweise")))))</f>
        <v/>
      </c>
      <c r="BC1345" s="55" t="str">
        <f aca="false">IF(AN1345&lt;=0,"",IF(BU1345="Aussen","Aussenlager",IF(BU1345="-","Nicht im Lift",IF(AS1345&gt;=1,"Lift",IF(AS1345&lt;=0,"Aussenlager","teilweise")))))</f>
        <v>Lift</v>
      </c>
      <c r="BD1345" s="55" t="str">
        <f aca="false">IF(AV1345&lt;=0,"",IF(BU1345="Aussen","Aussenlager",IF(BU1345="-","Nicht im Lift",IF(BA1345&gt;=1,"Lift",IF(BA1345&lt;=0,"Aussenlager","teilweise")))))</f>
        <v>Lift</v>
      </c>
      <c r="BE1345" s="55" t="str">
        <f aca="false">IF(A1345="","",IF(BN1345=1,"Neu; ","")&amp;IF(AND(BN1345=0,BI1345&lt;0),"negativer Bestand (Export "&amp;BI1345&amp;"); ","")&amp;IF(I1345&lt;=0,"Kein Verbrauch; ","")&amp;IF(CD1345&gt;0,"Lift "&amp;U1345&amp;" lt. Liftbericht (Fach "&amp;V1345&amp;" Stk); ",IF(BR1345=1,"Lose – Fläche geschätzt; ",""))&amp;IF(G1345&gt;AP1345,"Überbestand "&amp;ROUND(G1345-AP1345,0)&amp;" Stk / CHF "&amp;ROUND((G1345-AP1345)*F1345,0)&amp;"; ","")&amp;IF(AND(BW1345=1,BX1345&lt;BY1345),"MAX &lt; MB+LG; ","")&amp;IF(AND(CC1345&gt;0,CB1345*10&gt;CC1345),"zu hoch für Tablar; ","")&amp;IF(AND(BN1345=0,OR(BW1345=1,Y1345&lt;&gt;"",S1345&lt;&gt;"",T1345&lt;&gt;"",Z1345&lt;&gt;"")),"manuell übersteuert; ","")&amp;IF(AND(BR1345=0,Q1345=0),"Gebinde unbekannt / Stellmass fehlt; ","")&amp;IF(AND(BR1345=0,N(T1345)&lt;=0,N(P1345)&lt;=0),"Menge pro Gebinde fehlt (Ist = 1 Gebinde); ","")&amp;BM1345)</f>
        <v>negativer Bestand (Export -165); </v>
      </c>
      <c r="BF1345" s="55"/>
      <c r="BG1345" s="55"/>
      <c r="BH1345" s="62"/>
      <c r="BI1345" s="57" t="n">
        <v>-165</v>
      </c>
      <c r="BJ1345" s="57" t="n">
        <v>207</v>
      </c>
      <c r="BK1345" s="56" t="n">
        <v>-1852.2</v>
      </c>
      <c r="BL1345" s="57" t="n">
        <v>384</v>
      </c>
      <c r="BM1345" s="55"/>
      <c r="BN1345" s="60" t="n">
        <v>0</v>
      </c>
      <c r="BO1345" s="60" t="n">
        <v>1345</v>
      </c>
      <c r="BP1345" s="55" t="str">
        <f aca="false">IF(S1345&lt;&gt;"",UPPER(TRIM(S1345)),IF(O1345="","LOSE",O1345))</f>
        <v>S51</v>
      </c>
      <c r="BQ1345" s="57" t="n">
        <f aca="false">IF(BP1345="LOSE",1,IF(N(T1345)&gt;0,T1345,IF(N(P1345)&gt;0,P1345,MAX(1,G1345))))</f>
        <v>57</v>
      </c>
      <c r="BR1345" s="60" t="n">
        <f aca="false">IF(BP1345="LOSE",1,0)</f>
        <v>0</v>
      </c>
      <c r="BS1345" s="59" t="n">
        <f aca="false">IF(BR1345=0,0,IF(N(R1345)&gt;0,R1345,IFERROR(VLOOKUP(D1345,Parameter!$A$35:$C$64,3,0)+0,0)))</f>
        <v>0</v>
      </c>
      <c r="BT1345" s="55" t="n">
        <f aca="false">IF(Y1345&lt;&gt;"",Y1345,X1345)</f>
        <v>3</v>
      </c>
      <c r="BU1345" s="55" t="str">
        <f aca="false">IF(BT1345=1,"L1",IF(OR(BT1345=2,BT1345=3),"L23",IF(BT1345="Aussen","Aussen","-")))</f>
        <v>L23</v>
      </c>
      <c r="BV1345" s="66" t="n">
        <f aca="false">IF(N(Z1345)&gt;0,Z1345,0)</f>
        <v>0</v>
      </c>
      <c r="BW1345" s="60" t="n">
        <f aca="false">IF(ISNUMBER(AC1345),1,0)</f>
        <v>0</v>
      </c>
      <c r="BX1345" s="57" t="n">
        <f aca="false">N(AC1345)</f>
        <v>0</v>
      </c>
      <c r="BY1345" s="57" t="n">
        <f aca="false">N(L1345)+N(M1345)</f>
        <v>210</v>
      </c>
      <c r="BZ1345" s="57" t="n">
        <f aca="false">ROUNDUP(G1345/BQ1345,0)</f>
        <v>0</v>
      </c>
      <c r="CA1345" s="57" t="n">
        <f aca="false">ROUNDUP(BX1345/BQ1345,0)</f>
        <v>0</v>
      </c>
      <c r="CB1345" s="60" t="n">
        <f aca="false">IF(BR1345=1,0,IFERROR(VLOOKUP(BP1345,'Gebinde-Kategorie'!$A$5:$M$45,5,0)+0,0))</f>
        <v>11</v>
      </c>
      <c r="CC1345" s="60" t="n">
        <f aca="false">IFERROR(IF(OR(BT1345=1,BT1345=2,BT1345=3),N(INDEX(Parameter!$I$5:$I$7,BT1345)),0),0)</f>
        <v>0</v>
      </c>
      <c r="CD1345" s="59" t="n">
        <f aca="false">IF(AND(Parameter!$B$21="Ja",ISNUMBER(U1345),N(V1345)&gt;0),IFERROR(N(INDEX(Parameter!$L$5:$L$7,U1345))*INDEX(Parameter!$E$5:$E$7,U1345)*V1345/SUMIFS($V$7:$V$1576,$U$7:$U$1576,U1345),0),0)</f>
        <v>0</v>
      </c>
    </row>
    <row r="1346" customFormat="false" ht="15" hidden="false" customHeight="false" outlineLevel="0" collapsed="false">
      <c r="A1346" s="55" t="s">
        <v>2365</v>
      </c>
      <c r="B1346" s="55" t="s">
        <v>452</v>
      </c>
      <c r="C1346" s="55" t="s">
        <v>160</v>
      </c>
      <c r="D1346" s="55" t="s">
        <v>168</v>
      </c>
      <c r="E1346" s="55" t="s">
        <v>210</v>
      </c>
      <c r="F1346" s="56" t="n">
        <v>238.48</v>
      </c>
      <c r="G1346" s="57" t="n">
        <f aca="false">MAX(0,IF(AND(Parameter!$B$21="Ja",ISNUMBER(W1346)),W1346,IF(Parameter!$B$20="Jahresanfang 2025 + Export",BJ1346+BI1346,BI1346)))</f>
        <v>11</v>
      </c>
      <c r="H1346" s="57" t="n">
        <f aca="false">G1346*F1346</f>
        <v>2623.28</v>
      </c>
      <c r="I1346" s="57" t="n">
        <f aca="false">BL1346*Parameter!$B$18</f>
        <v>39</v>
      </c>
      <c r="J1346" s="58" t="n">
        <v>14.5</v>
      </c>
      <c r="K1346" s="59" t="n">
        <v>2.68965517241379</v>
      </c>
      <c r="L1346" s="57" t="n">
        <v>3</v>
      </c>
      <c r="M1346" s="57" t="n">
        <v>10</v>
      </c>
      <c r="N1346" s="60" t="n">
        <v>28</v>
      </c>
      <c r="O1346" s="55" t="s">
        <v>163</v>
      </c>
      <c r="P1346" s="57"/>
      <c r="Q1346" s="60" t="n">
        <f aca="false">IF(BR1346=1,0,IFERROR(VLOOKUP(BP1346,'Gebinde-Kategorie'!$A$5:$M$45,13,0)+0,0))</f>
        <v>0</v>
      </c>
      <c r="R1346" s="61"/>
      <c r="S1346" s="62"/>
      <c r="T1346" s="62"/>
      <c r="U1346" s="55" t="n">
        <v>1</v>
      </c>
      <c r="V1346" s="57" t="n">
        <v>18</v>
      </c>
      <c r="W1346" s="57" t="n">
        <v>11</v>
      </c>
      <c r="X1346" s="55" t="n">
        <f aca="false">IF(A1346="","",IF(AND(Parameter!$B$21="Ja",ISNUMBER(U1346)),U1346,IF(IFERROR(VLOOKUP(D1346,Parameter!$A$35:$C$64,2,0),"Nein")="2+3",IF(ISNUMBER(SEARCH("grosser Artikel",BM1346)),2,IFERROR(VLOOKUP(BP1346,Parameter!$F$35:$G$64,2,0),2)),IF(OR(IFERROR(VLOOKUP(D1346,Parameter!$A$35:$C$64,2,0),"Nein")="Nein",IFERROR(VLOOKUP(D1346,Parameter!$A$35:$C$64,2,0),"Nein")=""),"-",VLOOKUP(D1346,Parameter!$A$35:$C$64,2,0)))))</f>
        <v>1</v>
      </c>
      <c r="Y1346" s="62"/>
      <c r="Z1346" s="63"/>
      <c r="AA1346" s="57" t="n">
        <f aca="false">AP1346</f>
        <v>20</v>
      </c>
      <c r="AB1346" s="57" t="n">
        <f aca="false">MAX(AP1346,G1346)</f>
        <v>20</v>
      </c>
      <c r="AC1346" s="64"/>
      <c r="AD1346" s="57" t="n">
        <f aca="false">IF(LEFT(Cockpit!$C$5,1)="A",G1346,IF(BW1346=1,BX1346,IF(LEFT(Cockpit!$C$5,1)="B",AH1346,MAX(AH1346,G1346))))</f>
        <v>11</v>
      </c>
      <c r="AE1346" s="57" t="n">
        <f aca="false">IF(BR1346=1,0,ROUNDUP(AD1346/BQ1346,0))</f>
        <v>0</v>
      </c>
      <c r="AF1346" s="59" t="n">
        <f aca="false">IF(CD1346&gt;0,CD1346*MAX(1,AD1346/V1346),IF(BR1346=1,IF(AD1346&lt;=0,0,BS1346*MAX(1,IF(G1346&gt;0,AD1346/G1346,1))),IF(Q1346&gt;0,AE1346/Q1346,0))/MAX(0.1,N(Parameter!$M$21)))</f>
        <v>1.44067796610169</v>
      </c>
      <c r="AG1346" s="57" t="n">
        <f aca="false">AD1346*F1346</f>
        <v>2623.28</v>
      </c>
      <c r="AH1346" s="57" t="n">
        <f aca="false">ROUNDUP(MAX(I1346/IF(BV1346&gt;0,BV1346,MAX(0.1,N(Cockpit!$C$6))),BY1346)/BQ1346,0)*BQ1346</f>
        <v>20</v>
      </c>
      <c r="AI1346" s="58" t="n">
        <f aca="false">IF(AF1346&gt;0,I1346/AF1346,-1)</f>
        <v>27.0705882352941</v>
      </c>
      <c r="AJ1346" s="58" t="n">
        <f aca="false">IF(AND(OR(BU1346="L1",BU1346="L23"),AF1346&gt;0),SUMIFS($AF$7:$AF$1576,$BU$7:$BU$1576,BU1346,$AI$7:$AI$1576,"&gt;"&amp;AI1346)+SUMIFS($AF$7:$AF$1576,$BU$7:$BU$1576,BU1346,$AI$7:$AI$1576,AI1346,$BO$7:$BO$1576,"&lt;="&amp;BO1346),"")</f>
        <v>7.52354048964218</v>
      </c>
      <c r="AK1346" s="65" t="n">
        <f aca="false">IF(AJ1346="",0,MAX(0,MIN(1,(IF(BU1346="L1",Parameter!$E$5,Parameter!$E$6+Parameter!$E$7)-(AJ1346-AF1346))/AF1346)))</f>
        <v>1</v>
      </c>
      <c r="AL1346" s="57" t="n">
        <f aca="false">IF(LEFT(Cockpit!$I$5,1)="A",G1346,IF(BW1346=1,BX1346,IF(LEFT(Cockpit!$I$5,1)="B",AP1346,MAX(AP1346,G1346))))</f>
        <v>20</v>
      </c>
      <c r="AM1346" s="57" t="n">
        <f aca="false">IF(BR1346=1,0,ROUNDUP(AL1346/BQ1346,0))</f>
        <v>0</v>
      </c>
      <c r="AN1346" s="59" t="n">
        <f aca="false">IF(CD1346&gt;0,CD1346*MAX(1,AL1346/V1346),IF(BR1346=1,IF(AL1346&lt;=0,0,BS1346*MAX(1,IF(G1346&gt;0,AL1346/G1346,1))),IF(Q1346&gt;0,AM1346/Q1346,0))/MAX(0.1,N(Parameter!$M$21)))</f>
        <v>1.60075329566855</v>
      </c>
      <c r="AO1346" s="57" t="n">
        <f aca="false">AL1346*F1346</f>
        <v>4769.6</v>
      </c>
      <c r="AP1346" s="57" t="n">
        <f aca="false">ROUNDUP(MAX(I1346/IF(BV1346&gt;0,BV1346,MAX(0.1,N(Cockpit!$I$6))),BY1346)/BQ1346,0)*BQ1346</f>
        <v>20</v>
      </c>
      <c r="AQ1346" s="58" t="n">
        <f aca="false">IF(AN1346&gt;0,I1346/AN1346,-1)</f>
        <v>24.3635294117647</v>
      </c>
      <c r="AR1346" s="58" t="n">
        <f aca="false">IF(AND(OR(BU1346="L1",BU1346="L23"),AN1346&gt;0),SUMIFS($AN$7:$AN$1576,$BU$7:$BU$1576,BU1346,$AQ$7:$AQ$1576,"&gt;"&amp;AQ1346)+SUMIFS($AN$7:$AN$1576,$BU$7:$BU$1576,BU1346,$AQ$7:$AQ$1576,AQ1346,$BO$7:$BO$1576,"&lt;="&amp;BO1346),"")</f>
        <v>12.725988700565</v>
      </c>
      <c r="AS1346" s="65" t="n">
        <f aca="false">IF(AR1346="",0,MAX(0,MIN(1,(IF(BU1346="L1",Parameter!$E$5,Parameter!$E$6+Parameter!$E$7)-(AR1346-AN1346))/AN1346)))</f>
        <v>1</v>
      </c>
      <c r="AT1346" s="57" t="n">
        <f aca="false">IF(LEFT(Cockpit!$O$5,1)="A",G1346,IF(BW1346=1,BX1346,IF(LEFT(Cockpit!$O$5,1)="B",AX1346,MAX(AX1346,G1346))))</f>
        <v>13</v>
      </c>
      <c r="AU1346" s="57" t="n">
        <f aca="false">IF(BR1346=1,0,ROUNDUP(AT1346/BQ1346,0))</f>
        <v>0</v>
      </c>
      <c r="AV1346" s="59" t="n">
        <f aca="false">IF(CD1346&gt;0,CD1346*MAX(1,AT1346/V1346),IF(BR1346=1,IF(AT1346&lt;=0,0,BS1346*MAX(1,IF(G1346&gt;0,AT1346/G1346,1))),IF(Q1346&gt;0,AU1346/Q1346,0))/MAX(0.1,N(Parameter!$M$21)))</f>
        <v>1.44067796610169</v>
      </c>
      <c r="AW1346" s="57" t="n">
        <f aca="false">AT1346*F1346</f>
        <v>3100.24</v>
      </c>
      <c r="AX1346" s="57" t="n">
        <f aca="false">ROUNDUP(MAX(I1346/IF(BV1346&gt;0,BV1346,MAX(0.1,N(Cockpit!$O$6))),BY1346)/BQ1346,0)*BQ1346</f>
        <v>13</v>
      </c>
      <c r="AY1346" s="58" t="n">
        <f aca="false">IF(AV1346&gt;0,I1346/AV1346,-1)</f>
        <v>27.0705882352941</v>
      </c>
      <c r="AZ1346" s="58" t="n">
        <f aca="false">IF(AND(OR(BU1346="L1",BU1346="L23"),AV1346&gt;0),SUMIFS($AV$7:$AV$1576,$BU$7:$BU$1576,BU1346,$AY$7:$AY$1576,"&gt;"&amp;AY1346)+SUMIFS($AV$7:$AV$1576,$BU$7:$BU$1576,BU1346,$AY$7:$AY$1576,AY1346,$BO$7:$BO$1576,"&lt;="&amp;BO1346),"")</f>
        <v>9.36440677966102</v>
      </c>
      <c r="BA1346" s="65" t="n">
        <f aca="false">IF(AZ1346="",0,MAX(0,MIN(1,(IF(BU1346="L1",Parameter!$E$5,Parameter!$E$6+Parameter!$E$7)-(AZ1346-AV1346))/AV1346)))</f>
        <v>1</v>
      </c>
      <c r="BB1346" s="55" t="str">
        <f aca="false">IF(AF1346&lt;=0,"",IF(BU1346="Aussen","Aussenlager",IF(BU1346="-","Nicht im Lift",IF(AK1346&gt;=1,"Lift",IF(AK1346&lt;=0,"Aussenlager","teilweise")))))</f>
        <v>Lift</v>
      </c>
      <c r="BC1346" s="55" t="str">
        <f aca="false">IF(AN1346&lt;=0,"",IF(BU1346="Aussen","Aussenlager",IF(BU1346="-","Nicht im Lift",IF(AS1346&gt;=1,"Lift",IF(AS1346&lt;=0,"Aussenlager","teilweise")))))</f>
        <v>Lift</v>
      </c>
      <c r="BD1346" s="55" t="str">
        <f aca="false">IF(AV1346&lt;=0,"",IF(BU1346="Aussen","Aussenlager",IF(BU1346="-","Nicht im Lift",IF(BA1346&gt;=1,"Lift",IF(BA1346&lt;=0,"Aussenlager","teilweise")))))</f>
        <v>Lift</v>
      </c>
      <c r="BE1346" s="55" t="str">
        <f aca="false">IF(A1346="","",IF(BN1346=1,"Neu; ","")&amp;IF(AND(BN1346=0,BI1346&lt;0),"negativer Bestand (Export "&amp;BI1346&amp;"); ","")&amp;IF(I1346&lt;=0,"Kein Verbrauch; ","")&amp;IF(CD1346&gt;0,"Lift "&amp;U1346&amp;" lt. Liftbericht (Fach "&amp;V1346&amp;" Stk); ",IF(BR1346=1,"Lose – Fläche geschätzt; ",""))&amp;IF(G1346&gt;AP1346,"Überbestand "&amp;ROUND(G1346-AP1346,0)&amp;" Stk / CHF "&amp;ROUND((G1346-AP1346)*F1346,0)&amp;"; ","")&amp;IF(AND(BW1346=1,BX1346&lt;BY1346),"MAX &lt; MB+LG; ","")&amp;IF(AND(CC1346&gt;0,CB1346*10&gt;CC1346),"zu hoch für Tablar; ","")&amp;IF(AND(BN1346=0,OR(BW1346=1,Y1346&lt;&gt;"",S1346&lt;&gt;"",T1346&lt;&gt;"",Z1346&lt;&gt;"")),"manuell übersteuert; ","")&amp;IF(AND(BR1346=0,Q1346=0),"Gebinde unbekannt / Stellmass fehlt; ","")&amp;IF(AND(BR1346=0,N(T1346)&lt;=0,N(P1346)&lt;=0),"Menge pro Gebinde fehlt (Ist = 1 Gebinde); ","")&amp;BM1346)</f>
        <v>negativer Bestand (Export -8); Lift 1 lt. Liftbericht (Fach 18 Stk); grosser Artikel &amp; nicht im KTL</v>
      </c>
      <c r="BF1346" s="55"/>
      <c r="BG1346" s="55"/>
      <c r="BH1346" s="62"/>
      <c r="BI1346" s="57" t="n">
        <v>-8</v>
      </c>
      <c r="BJ1346" s="57" t="n">
        <v>19</v>
      </c>
      <c r="BK1346" s="56" t="n">
        <v>-1918.86</v>
      </c>
      <c r="BL1346" s="57" t="n">
        <v>39</v>
      </c>
      <c r="BM1346" s="55" t="s">
        <v>253</v>
      </c>
      <c r="BN1346" s="60" t="n">
        <v>0</v>
      </c>
      <c r="BO1346" s="60" t="n">
        <v>1346</v>
      </c>
      <c r="BP1346" s="55" t="str">
        <f aca="false">IF(S1346&lt;&gt;"",UPPER(TRIM(S1346)),IF(O1346="","LOSE",O1346))</f>
        <v>LOSE</v>
      </c>
      <c r="BQ1346" s="57" t="n">
        <f aca="false">IF(BP1346="LOSE",1,IF(N(T1346)&gt;0,T1346,IF(N(P1346)&gt;0,P1346,MAX(1,G1346))))</f>
        <v>1</v>
      </c>
      <c r="BR1346" s="60" t="n">
        <f aca="false">IF(BP1346="LOSE",1,0)</f>
        <v>1</v>
      </c>
      <c r="BS1346" s="59" t="n">
        <f aca="false">IF(BR1346=0,0,IF(N(R1346)&gt;0,R1346,IFERROR(VLOOKUP(D1346,Parameter!$A$35:$C$64,3,0)+0,0)))</f>
        <v>0.15</v>
      </c>
      <c r="BT1346" s="55" t="n">
        <f aca="false">IF(Y1346&lt;&gt;"",Y1346,X1346)</f>
        <v>1</v>
      </c>
      <c r="BU1346" s="55" t="str">
        <f aca="false">IF(BT1346=1,"L1",IF(OR(BT1346=2,BT1346=3),"L23",IF(BT1346="Aussen","Aussen","-")))</f>
        <v>L1</v>
      </c>
      <c r="BV1346" s="66" t="n">
        <f aca="false">IF(N(Z1346)&gt;0,Z1346,0)</f>
        <v>0</v>
      </c>
      <c r="BW1346" s="60" t="n">
        <f aca="false">IF(ISNUMBER(AC1346),1,0)</f>
        <v>0</v>
      </c>
      <c r="BX1346" s="57" t="n">
        <f aca="false">N(AC1346)</f>
        <v>0</v>
      </c>
      <c r="BY1346" s="57" t="n">
        <f aca="false">N(L1346)+N(M1346)</f>
        <v>13</v>
      </c>
      <c r="BZ1346" s="57" t="n">
        <f aca="false">ROUNDUP(G1346/BQ1346,0)</f>
        <v>11</v>
      </c>
      <c r="CA1346" s="57" t="n">
        <f aca="false">ROUNDUP(BX1346/BQ1346,0)</f>
        <v>0</v>
      </c>
      <c r="CB1346" s="60" t="n">
        <f aca="false">IF(BR1346=1,0,IFERROR(VLOOKUP(BP1346,'Gebinde-Kategorie'!$A$5:$M$45,5,0)+0,0))</f>
        <v>0</v>
      </c>
      <c r="CC1346" s="60" t="n">
        <f aca="false">IFERROR(IF(OR(BT1346=1,BT1346=2,BT1346=3),N(INDEX(Parameter!$I$5:$I$7,BT1346)),0),0)</f>
        <v>0</v>
      </c>
      <c r="CD1346" s="59" t="n">
        <f aca="false">IF(AND(Parameter!$B$21="Ja",ISNUMBER(U1346),N(V1346)&gt;0),IFERROR(N(INDEX(Parameter!$L$5:$L$7,U1346))*INDEX(Parameter!$E$5:$E$7,U1346)*V1346/SUMIFS($V$7:$V$1576,$U$7:$U$1576,U1346),0),0)</f>
        <v>1.44067796610169</v>
      </c>
    </row>
    <row r="1347" customFormat="false" ht="15" hidden="false" customHeight="false" outlineLevel="0" collapsed="false">
      <c r="A1347" s="55" t="s">
        <v>2366</v>
      </c>
      <c r="B1347" s="55" t="s">
        <v>515</v>
      </c>
      <c r="C1347" s="55" t="s">
        <v>446</v>
      </c>
      <c r="D1347" s="55" t="s">
        <v>168</v>
      </c>
      <c r="E1347" s="55" t="s">
        <v>210</v>
      </c>
      <c r="F1347" s="56" t="n">
        <v>115.06</v>
      </c>
      <c r="G1347" s="57" t="n">
        <f aca="false">MAX(0,IF(AND(Parameter!$B$21="Ja",ISNUMBER(W1347)),W1347,IF(Parameter!$B$20="Jahresanfang 2025 + Export",BJ1347+BI1347,BI1347)))</f>
        <v>0</v>
      </c>
      <c r="H1347" s="57" t="n">
        <f aca="false">G1347*F1347</f>
        <v>0</v>
      </c>
      <c r="I1347" s="57" t="n">
        <f aca="false">BL1347*Parameter!$B$18</f>
        <v>0</v>
      </c>
      <c r="J1347" s="58" t="n">
        <v>16.5</v>
      </c>
      <c r="K1347" s="59" t="n">
        <v>0</v>
      </c>
      <c r="L1347" s="57" t="n">
        <v>0</v>
      </c>
      <c r="M1347" s="57" t="n">
        <v>1</v>
      </c>
      <c r="N1347" s="60" t="n">
        <v>56</v>
      </c>
      <c r="O1347" s="55" t="s">
        <v>163</v>
      </c>
      <c r="P1347" s="57"/>
      <c r="Q1347" s="60" t="n">
        <f aca="false">IF(BR1347=1,0,IFERROR(VLOOKUP(BP1347,'Gebinde-Kategorie'!$A$5:$M$45,13,0)+0,0))</f>
        <v>0</v>
      </c>
      <c r="R1347" s="61"/>
      <c r="S1347" s="62"/>
      <c r="T1347" s="62"/>
      <c r="U1347" s="55"/>
      <c r="V1347" s="57"/>
      <c r="W1347" s="57"/>
      <c r="X1347" s="55" t="n">
        <f aca="false">IF(A1347="","",IF(AND(Parameter!$B$21="Ja",ISNUMBER(U1347)),U1347,IF(IFERROR(VLOOKUP(D1347,Parameter!$A$35:$C$64,2,0),"Nein")="2+3",IF(ISNUMBER(SEARCH("grosser Artikel",BM1347)),2,IFERROR(VLOOKUP(BP1347,Parameter!$F$35:$G$64,2,0),2)),IF(OR(IFERROR(VLOOKUP(D1347,Parameter!$A$35:$C$64,2,0),"Nein")="Nein",IFERROR(VLOOKUP(D1347,Parameter!$A$35:$C$64,2,0),"Nein")=""),"-",VLOOKUP(D1347,Parameter!$A$35:$C$64,2,0)))))</f>
        <v>2</v>
      </c>
      <c r="Y1347" s="62"/>
      <c r="Z1347" s="63"/>
      <c r="AA1347" s="57" t="n">
        <f aca="false">AP1347</f>
        <v>1</v>
      </c>
      <c r="AB1347" s="57" t="n">
        <f aca="false">MAX(AP1347,G1347)</f>
        <v>1</v>
      </c>
      <c r="AC1347" s="64"/>
      <c r="AD1347" s="57" t="n">
        <f aca="false">IF(LEFT(Cockpit!$C$5,1)="A",G1347,IF(BW1347=1,BX1347,IF(LEFT(Cockpit!$C$5,1)="B",AH1347,MAX(AH1347,G1347))))</f>
        <v>0</v>
      </c>
      <c r="AE1347" s="57" t="n">
        <f aca="false">IF(BR1347=1,0,ROUNDUP(AD1347/BQ1347,0))</f>
        <v>0</v>
      </c>
      <c r="AF1347" s="59" t="n">
        <f aca="false">IF(CD1347&gt;0,CD1347*MAX(1,AD1347/V1347),IF(BR1347=1,IF(AD1347&lt;=0,0,BS1347*MAX(1,IF(G1347&gt;0,AD1347/G1347,1))),IF(Q1347&gt;0,AE1347/Q1347,0))/MAX(0.1,N(Parameter!$M$21)))</f>
        <v>0</v>
      </c>
      <c r="AG1347" s="57" t="n">
        <f aca="false">AD1347*F1347</f>
        <v>0</v>
      </c>
      <c r="AH1347" s="57" t="n">
        <f aca="false">ROUNDUP(MAX(I1347/IF(BV1347&gt;0,BV1347,MAX(0.1,N(Cockpit!$C$6))),BY1347)/BQ1347,0)*BQ1347</f>
        <v>1</v>
      </c>
      <c r="AI1347" s="58" t="n">
        <f aca="false">IF(AF1347&gt;0,I1347/AF1347,-1)</f>
        <v>-1</v>
      </c>
      <c r="AJ1347" s="58" t="str">
        <f aca="false">IF(AND(OR(BU1347="L1",BU1347="L23"),AF1347&gt;0),SUMIFS($AF$7:$AF$1576,$BU$7:$BU$1576,BU1347,$AI$7:$AI$1576,"&gt;"&amp;AI1347)+SUMIFS($AF$7:$AF$1576,$BU$7:$BU$1576,BU1347,$AI$7:$AI$1576,AI1347,$BO$7:$BO$1576,"&lt;="&amp;BO1347),"")</f>
        <v/>
      </c>
      <c r="AK1347" s="65" t="n">
        <f aca="false">IF(AJ1347="",0,MAX(0,MIN(1,(IF(BU1347="L1",Parameter!$E$5,Parameter!$E$6+Parameter!$E$7)-(AJ1347-AF1347))/AF1347)))</f>
        <v>0</v>
      </c>
      <c r="AL1347" s="57" t="n">
        <f aca="false">IF(LEFT(Cockpit!$I$5,1)="A",G1347,IF(BW1347=1,BX1347,IF(LEFT(Cockpit!$I$5,1)="B",AP1347,MAX(AP1347,G1347))))</f>
        <v>1</v>
      </c>
      <c r="AM1347" s="57" t="n">
        <f aca="false">IF(BR1347=1,0,ROUNDUP(AL1347/BQ1347,0))</f>
        <v>0</v>
      </c>
      <c r="AN1347" s="59" t="n">
        <f aca="false">IF(CD1347&gt;0,CD1347*MAX(1,AL1347/V1347),IF(BR1347=1,IF(AL1347&lt;=0,0,BS1347*MAX(1,IF(G1347&gt;0,AL1347/G1347,1))),IF(Q1347&gt;0,AM1347/Q1347,0))/MAX(0.1,N(Parameter!$M$21)))</f>
        <v>0.15</v>
      </c>
      <c r="AO1347" s="57" t="n">
        <f aca="false">AL1347*F1347</f>
        <v>115.06</v>
      </c>
      <c r="AP1347" s="57" t="n">
        <f aca="false">ROUNDUP(MAX(I1347/IF(BV1347&gt;0,BV1347,MAX(0.1,N(Cockpit!$I$6))),BY1347)/BQ1347,0)*BQ1347</f>
        <v>1</v>
      </c>
      <c r="AQ1347" s="58" t="n">
        <f aca="false">IF(AN1347&gt;0,I1347/AN1347,-1)</f>
        <v>0</v>
      </c>
      <c r="AR1347" s="58" t="n">
        <f aca="false">IF(AND(OR(BU1347="L1",BU1347="L23"),AN1347&gt;0),SUMIFS($AN$7:$AN$1576,$BU$7:$BU$1576,BU1347,$AQ$7:$AQ$1576,"&gt;"&amp;AQ1347)+SUMIFS($AN$7:$AN$1576,$BU$7:$BU$1576,BU1347,$AQ$7:$AQ$1576,AQ1347,$BO$7:$BO$1576,"&lt;="&amp;BO1347),"")</f>
        <v>138.828435260439</v>
      </c>
      <c r="AS1347" s="65" t="n">
        <f aca="false">IF(AR1347="",0,MAX(0,MIN(1,(IF(BU1347="L1",Parameter!$E$5,Parameter!$E$6+Parameter!$E$7)-(AR1347-AN1347))/AN1347)))</f>
        <v>0</v>
      </c>
      <c r="AT1347" s="57" t="n">
        <f aca="false">IF(LEFT(Cockpit!$O$5,1)="A",G1347,IF(BW1347=1,BX1347,IF(LEFT(Cockpit!$O$5,1)="B",AX1347,MAX(AX1347,G1347))))</f>
        <v>1</v>
      </c>
      <c r="AU1347" s="57" t="n">
        <f aca="false">IF(BR1347=1,0,ROUNDUP(AT1347/BQ1347,0))</f>
        <v>0</v>
      </c>
      <c r="AV1347" s="59" t="n">
        <f aca="false">IF(CD1347&gt;0,CD1347*MAX(1,AT1347/V1347),IF(BR1347=1,IF(AT1347&lt;=0,0,BS1347*MAX(1,IF(G1347&gt;0,AT1347/G1347,1))),IF(Q1347&gt;0,AU1347/Q1347,0))/MAX(0.1,N(Parameter!$M$21)))</f>
        <v>0.15</v>
      </c>
      <c r="AW1347" s="57" t="n">
        <f aca="false">AT1347*F1347</f>
        <v>115.06</v>
      </c>
      <c r="AX1347" s="57" t="n">
        <f aca="false">ROUNDUP(MAX(I1347/IF(BV1347&gt;0,BV1347,MAX(0.1,N(Cockpit!$O$6))),BY1347)/BQ1347,0)*BQ1347</f>
        <v>1</v>
      </c>
      <c r="AY1347" s="58" t="n">
        <f aca="false">IF(AV1347&gt;0,I1347/AV1347,-1)</f>
        <v>0</v>
      </c>
      <c r="AZ1347" s="58" t="n">
        <f aca="false">IF(AND(OR(BU1347="L1",BU1347="L23"),AV1347&gt;0),SUMIFS($AV$7:$AV$1576,$BU$7:$BU$1576,BU1347,$AY$7:$AY$1576,"&gt;"&amp;AY1347)+SUMIFS($AV$7:$AV$1576,$BU$7:$BU$1576,BU1347,$AY$7:$AY$1576,AY1347,$BO$7:$BO$1576,"&lt;="&amp;BO1347),"")</f>
        <v>128.88798570999</v>
      </c>
      <c r="BA1347" s="65" t="n">
        <f aca="false">IF(AZ1347="",0,MAX(0,MIN(1,(IF(BU1347="L1",Parameter!$E$5,Parameter!$E$6+Parameter!$E$7)-(AZ1347-AV1347))/AV1347)))</f>
        <v>0</v>
      </c>
      <c r="BB1347" s="55" t="str">
        <f aca="false">IF(AF1347&lt;=0,"",IF(BU1347="Aussen","Aussenlager",IF(BU1347="-","Nicht im Lift",IF(AK1347&gt;=1,"Lift",IF(AK1347&lt;=0,"Aussenlager","teilweise")))))</f>
        <v/>
      </c>
      <c r="BC1347" s="55" t="str">
        <f aca="false">IF(AN1347&lt;=0,"",IF(BU1347="Aussen","Aussenlager",IF(BU1347="-","Nicht im Lift",IF(AS1347&gt;=1,"Lift",IF(AS1347&lt;=0,"Aussenlager","teilweise")))))</f>
        <v>Aussenlager</v>
      </c>
      <c r="BD1347" s="55" t="str">
        <f aca="false">IF(AV1347&lt;=0,"",IF(BU1347="Aussen","Aussenlager",IF(BU1347="-","Nicht im Lift",IF(BA1347&gt;=1,"Lift",IF(BA1347&lt;=0,"Aussenlager","teilweise")))))</f>
        <v>Aussenlager</v>
      </c>
      <c r="BE1347" s="55" t="str">
        <f aca="false">IF(A1347="","",IF(BN1347=1,"Neu; ","")&amp;IF(AND(BN1347=0,BI1347&lt;0),"negativer Bestand (Export "&amp;BI1347&amp;"); ","")&amp;IF(I1347&lt;=0,"Kein Verbrauch; ","")&amp;IF(CD1347&gt;0,"Lift "&amp;U1347&amp;" lt. Liftbericht (Fach "&amp;V1347&amp;" Stk); ",IF(BR1347=1,"Lose – Fläche geschätzt; ",""))&amp;IF(G1347&gt;AP1347,"Überbestand "&amp;ROUND(G1347-AP1347,0)&amp;" Stk / CHF "&amp;ROUND((G1347-AP1347)*F1347,0)&amp;"; ","")&amp;IF(AND(BW1347=1,BX1347&lt;BY1347),"MAX &lt; MB+LG; ","")&amp;IF(AND(CC1347&gt;0,CB1347*10&gt;CC1347),"zu hoch für Tablar; ","")&amp;IF(AND(BN1347=0,OR(BW1347=1,Y1347&lt;&gt;"",S1347&lt;&gt;"",T1347&lt;&gt;"",Z1347&lt;&gt;"")),"manuell übersteuert; ","")&amp;IF(AND(BR1347=0,Q1347=0),"Gebinde unbekannt / Stellmass fehlt; ","")&amp;IF(AND(BR1347=0,N(T1347)&lt;=0,N(P1347)&lt;=0),"Menge pro Gebinde fehlt (Ist = 1 Gebinde); ","")&amp;BM1347)</f>
        <v>negativer Bestand (Export -17); Kein Verbrauch; Lose – Fläche geschätzt; grosser Artikel &amp; nicht im KTL</v>
      </c>
      <c r="BF1347" s="55"/>
      <c r="BG1347" s="55"/>
      <c r="BH1347" s="62"/>
      <c r="BI1347" s="57" t="n">
        <v>-17</v>
      </c>
      <c r="BJ1347" s="57" t="n">
        <v>17</v>
      </c>
      <c r="BK1347" s="56" t="n">
        <v>-1956.02</v>
      </c>
      <c r="BL1347" s="57" t="n">
        <v>0</v>
      </c>
      <c r="BM1347" s="55" t="s">
        <v>253</v>
      </c>
      <c r="BN1347" s="60" t="n">
        <v>0</v>
      </c>
      <c r="BO1347" s="60" t="n">
        <v>1347</v>
      </c>
      <c r="BP1347" s="55" t="str">
        <f aca="false">IF(S1347&lt;&gt;"",UPPER(TRIM(S1347)),IF(O1347="","LOSE",O1347))</f>
        <v>LOSE</v>
      </c>
      <c r="BQ1347" s="57" t="n">
        <f aca="false">IF(BP1347="LOSE",1,IF(N(T1347)&gt;0,T1347,IF(N(P1347)&gt;0,P1347,MAX(1,G1347))))</f>
        <v>1</v>
      </c>
      <c r="BR1347" s="60" t="n">
        <f aca="false">IF(BP1347="LOSE",1,0)</f>
        <v>1</v>
      </c>
      <c r="BS1347" s="59" t="n">
        <f aca="false">IF(BR1347=0,0,IF(N(R1347)&gt;0,R1347,IFERROR(VLOOKUP(D1347,Parameter!$A$35:$C$64,3,0)+0,0)))</f>
        <v>0.15</v>
      </c>
      <c r="BT1347" s="55" t="n">
        <f aca="false">IF(Y1347&lt;&gt;"",Y1347,X1347)</f>
        <v>2</v>
      </c>
      <c r="BU1347" s="55" t="str">
        <f aca="false">IF(BT1347=1,"L1",IF(OR(BT1347=2,BT1347=3),"L23",IF(BT1347="Aussen","Aussen","-")))</f>
        <v>L23</v>
      </c>
      <c r="BV1347" s="66" t="n">
        <f aca="false">IF(N(Z1347)&gt;0,Z1347,0)</f>
        <v>0</v>
      </c>
      <c r="BW1347" s="60" t="n">
        <f aca="false">IF(ISNUMBER(AC1347),1,0)</f>
        <v>0</v>
      </c>
      <c r="BX1347" s="57" t="n">
        <f aca="false">N(AC1347)</f>
        <v>0</v>
      </c>
      <c r="BY1347" s="57" t="n">
        <f aca="false">N(L1347)+N(M1347)</f>
        <v>1</v>
      </c>
      <c r="BZ1347" s="57" t="n">
        <f aca="false">ROUNDUP(G1347/BQ1347,0)</f>
        <v>0</v>
      </c>
      <c r="CA1347" s="57" t="n">
        <f aca="false">ROUNDUP(BX1347/BQ1347,0)</f>
        <v>0</v>
      </c>
      <c r="CB1347" s="60" t="n">
        <f aca="false">IF(BR1347=1,0,IFERROR(VLOOKUP(BP1347,'Gebinde-Kategorie'!$A$5:$M$45,5,0)+0,0))</f>
        <v>0</v>
      </c>
      <c r="CC1347" s="60" t="n">
        <f aca="false">IFERROR(IF(OR(BT1347=1,BT1347=2,BT1347=3),N(INDEX(Parameter!$I$5:$I$7,BT1347)),0),0)</f>
        <v>0</v>
      </c>
      <c r="CD1347" s="59" t="n">
        <f aca="false">IF(AND(Parameter!$B$21="Ja",ISNUMBER(U1347),N(V1347)&gt;0),IFERROR(N(INDEX(Parameter!$L$5:$L$7,U1347))*INDEX(Parameter!$E$5:$E$7,U1347)*V1347/SUMIFS($V$7:$V$1576,$U$7:$U$1576,U1347),0),0)</f>
        <v>0</v>
      </c>
    </row>
    <row r="1348" customFormat="false" ht="15" hidden="false" customHeight="false" outlineLevel="0" collapsed="false">
      <c r="A1348" s="55" t="s">
        <v>2367</v>
      </c>
      <c r="B1348" s="55" t="s">
        <v>2260</v>
      </c>
      <c r="C1348" s="55" t="s">
        <v>160</v>
      </c>
      <c r="D1348" s="55" t="s">
        <v>168</v>
      </c>
      <c r="E1348" s="55" t="s">
        <v>210</v>
      </c>
      <c r="F1348" s="56" t="n">
        <v>393.01</v>
      </c>
      <c r="G1348" s="57" t="n">
        <f aca="false">MAX(0,IF(AND(Parameter!$B$21="Ja",ISNUMBER(W1348)),W1348,IF(Parameter!$B$20="Jahresanfang 2025 + Export",BJ1348+BI1348,BI1348)))</f>
        <v>0</v>
      </c>
      <c r="H1348" s="57" t="n">
        <f aca="false">G1348*F1348</f>
        <v>0</v>
      </c>
      <c r="I1348" s="57" t="n">
        <f aca="false">BL1348*Parameter!$B$18</f>
        <v>1</v>
      </c>
      <c r="J1348" s="58" t="n">
        <v>6.5</v>
      </c>
      <c r="K1348" s="59" t="n">
        <v>0.153846153846154</v>
      </c>
      <c r="L1348" s="57" t="n">
        <v>0</v>
      </c>
      <c r="M1348" s="57" t="n">
        <v>1</v>
      </c>
      <c r="N1348" s="60" t="n">
        <v>35</v>
      </c>
      <c r="O1348" s="55" t="s">
        <v>169</v>
      </c>
      <c r="P1348" s="57" t="n">
        <v>10</v>
      </c>
      <c r="Q1348" s="60" t="n">
        <f aca="false">IF(BR1348=1,0,IFERROR(VLOOKUP(BP1348,'Gebinde-Kategorie'!$A$5:$M$45,13,0)+0,0))</f>
        <v>6</v>
      </c>
      <c r="R1348" s="61"/>
      <c r="S1348" s="62"/>
      <c r="T1348" s="62"/>
      <c r="U1348" s="55"/>
      <c r="V1348" s="57"/>
      <c r="W1348" s="57"/>
      <c r="X1348" s="55" t="n">
        <f aca="false">IF(A1348="","",IF(AND(Parameter!$B$21="Ja",ISNUMBER(U1348)),U1348,IF(IFERROR(VLOOKUP(D1348,Parameter!$A$35:$C$64,2,0),"Nein")="2+3",IF(ISNUMBER(SEARCH("grosser Artikel",BM1348)),2,IFERROR(VLOOKUP(BP1348,Parameter!$F$35:$G$64,2,0),2)),IF(OR(IFERROR(VLOOKUP(D1348,Parameter!$A$35:$C$64,2,0),"Nein")="Nein",IFERROR(VLOOKUP(D1348,Parameter!$A$35:$C$64,2,0),"Nein")=""),"-",VLOOKUP(D1348,Parameter!$A$35:$C$64,2,0)))))</f>
        <v>2</v>
      </c>
      <c r="Y1348" s="62"/>
      <c r="Z1348" s="63"/>
      <c r="AA1348" s="57" t="n">
        <f aca="false">AP1348</f>
        <v>10</v>
      </c>
      <c r="AB1348" s="57" t="n">
        <f aca="false">MAX(AP1348,G1348)</f>
        <v>10</v>
      </c>
      <c r="AC1348" s="64"/>
      <c r="AD1348" s="57" t="n">
        <f aca="false">IF(LEFT(Cockpit!$C$5,1)="A",G1348,IF(BW1348=1,BX1348,IF(LEFT(Cockpit!$C$5,1)="B",AH1348,MAX(AH1348,G1348))))</f>
        <v>0</v>
      </c>
      <c r="AE1348" s="57" t="n">
        <f aca="false">IF(BR1348=1,0,ROUNDUP(AD1348/BQ1348,0))</f>
        <v>0</v>
      </c>
      <c r="AF1348" s="59" t="n">
        <f aca="false">IF(CD1348&gt;0,CD1348*MAX(1,AD1348/V1348),IF(BR1348=1,IF(AD1348&lt;=0,0,BS1348*MAX(1,IF(G1348&gt;0,AD1348/G1348,1))),IF(Q1348&gt;0,AE1348/Q1348,0))/MAX(0.1,N(Parameter!$M$21)))</f>
        <v>0</v>
      </c>
      <c r="AG1348" s="57" t="n">
        <f aca="false">AD1348*F1348</f>
        <v>0</v>
      </c>
      <c r="AH1348" s="57" t="n">
        <f aca="false">ROUNDUP(MAX(I1348/IF(BV1348&gt;0,BV1348,MAX(0.1,N(Cockpit!$C$6))),BY1348)/BQ1348,0)*BQ1348</f>
        <v>10</v>
      </c>
      <c r="AI1348" s="58" t="n">
        <f aca="false">IF(AF1348&gt;0,I1348/AF1348,-1)</f>
        <v>-1</v>
      </c>
      <c r="AJ1348" s="58" t="str">
        <f aca="false">IF(AND(OR(BU1348="L1",BU1348="L23"),AF1348&gt;0),SUMIFS($AF$7:$AF$1576,$BU$7:$BU$1576,BU1348,$AI$7:$AI$1576,"&gt;"&amp;AI1348)+SUMIFS($AF$7:$AF$1576,$BU$7:$BU$1576,BU1348,$AI$7:$AI$1576,AI1348,$BO$7:$BO$1576,"&lt;="&amp;BO1348),"")</f>
        <v/>
      </c>
      <c r="AK1348" s="65" t="n">
        <f aca="false">IF(AJ1348="",0,MAX(0,MIN(1,(IF(BU1348="L1",Parameter!$E$5,Parameter!$E$6+Parameter!$E$7)-(AJ1348-AF1348))/AF1348)))</f>
        <v>0</v>
      </c>
      <c r="AL1348" s="57" t="n">
        <f aca="false">IF(LEFT(Cockpit!$I$5,1)="A",G1348,IF(BW1348=1,BX1348,IF(LEFT(Cockpit!$I$5,1)="B",AP1348,MAX(AP1348,G1348))))</f>
        <v>10</v>
      </c>
      <c r="AM1348" s="57" t="n">
        <f aca="false">IF(BR1348=1,0,ROUNDUP(AL1348/BQ1348,0))</f>
        <v>1</v>
      </c>
      <c r="AN1348" s="59" t="n">
        <f aca="false">IF(CD1348&gt;0,CD1348*MAX(1,AL1348/V1348),IF(BR1348=1,IF(AL1348&lt;=0,0,BS1348*MAX(1,IF(G1348&gt;0,AL1348/G1348,1))),IF(Q1348&gt;0,AM1348/Q1348,0))/MAX(0.1,N(Parameter!$M$21)))</f>
        <v>0.166666666666667</v>
      </c>
      <c r="AO1348" s="57" t="n">
        <f aca="false">AL1348*F1348</f>
        <v>3930.1</v>
      </c>
      <c r="AP1348" s="57" t="n">
        <f aca="false">ROUNDUP(MAX(I1348/IF(BV1348&gt;0,BV1348,MAX(0.1,N(Cockpit!$I$6))),BY1348)/BQ1348,0)*BQ1348</f>
        <v>10</v>
      </c>
      <c r="AQ1348" s="58" t="n">
        <f aca="false">IF(AN1348&gt;0,I1348/AN1348,-1)</f>
        <v>6</v>
      </c>
      <c r="AR1348" s="58" t="n">
        <f aca="false">IF(AND(OR(BU1348="L1",BU1348="L23"),AN1348&gt;0),SUMIFS($AN$7:$AN$1576,$BU$7:$BU$1576,BU1348,$AQ$7:$AQ$1576,"&gt;"&amp;AQ1348)+SUMIFS($AN$7:$AN$1576,$BU$7:$BU$1576,BU1348,$AQ$7:$AQ$1576,AQ1348,$BO$7:$BO$1576,"&lt;="&amp;BO1348),"")</f>
        <v>113.125767922029</v>
      </c>
      <c r="AS1348" s="65" t="n">
        <f aca="false">IF(AR1348="",0,MAX(0,MIN(1,(IF(BU1348="L1",Parameter!$E$5,Parameter!$E$6+Parameter!$E$7)-(AR1348-AN1348))/AN1348)))</f>
        <v>0</v>
      </c>
      <c r="AT1348" s="57" t="n">
        <f aca="false">IF(LEFT(Cockpit!$O$5,1)="A",G1348,IF(BW1348=1,BX1348,IF(LEFT(Cockpit!$O$5,1)="B",AX1348,MAX(AX1348,G1348))))</f>
        <v>10</v>
      </c>
      <c r="AU1348" s="57" t="n">
        <f aca="false">IF(BR1348=1,0,ROUNDUP(AT1348/BQ1348,0))</f>
        <v>1</v>
      </c>
      <c r="AV1348" s="59" t="n">
        <f aca="false">IF(CD1348&gt;0,CD1348*MAX(1,AT1348/V1348),IF(BR1348=1,IF(AT1348&lt;=0,0,BS1348*MAX(1,IF(G1348&gt;0,AT1348/G1348,1))),IF(Q1348&gt;0,AU1348/Q1348,0))/MAX(0.1,N(Parameter!$M$21)))</f>
        <v>0.166666666666667</v>
      </c>
      <c r="AW1348" s="57" t="n">
        <f aca="false">AT1348*F1348</f>
        <v>3930.1</v>
      </c>
      <c r="AX1348" s="57" t="n">
        <f aca="false">ROUNDUP(MAX(I1348/IF(BV1348&gt;0,BV1348,MAX(0.1,N(Cockpit!$O$6))),BY1348)/BQ1348,0)*BQ1348</f>
        <v>10</v>
      </c>
      <c r="AY1348" s="58" t="n">
        <f aca="false">IF(AV1348&gt;0,I1348/AV1348,-1)</f>
        <v>6</v>
      </c>
      <c r="AZ1348" s="58" t="n">
        <f aca="false">IF(AND(OR(BU1348="L1",BU1348="L23"),AV1348&gt;0),SUMIFS($AV$7:$AV$1576,$BU$7:$BU$1576,BU1348,$AY$7:$AY$1576,"&gt;"&amp;AY1348)+SUMIFS($AV$7:$AV$1576,$BU$7:$BU$1576,BU1348,$AY$7:$AY$1576,AY1348,$BO$7:$BO$1576,"&lt;="&amp;BO1348),"")</f>
        <v>103.18531837158</v>
      </c>
      <c r="BA1348" s="65" t="n">
        <f aca="false">IF(AZ1348="",0,MAX(0,MIN(1,(IF(BU1348="L1",Parameter!$E$5,Parameter!$E$6+Parameter!$E$7)-(AZ1348-AV1348))/AV1348)))</f>
        <v>0</v>
      </c>
      <c r="BB1348" s="55" t="str">
        <f aca="false">IF(AF1348&lt;=0,"",IF(BU1348="Aussen","Aussenlager",IF(BU1348="-","Nicht im Lift",IF(AK1348&gt;=1,"Lift",IF(AK1348&lt;=0,"Aussenlager","teilweise")))))</f>
        <v/>
      </c>
      <c r="BC1348" s="55" t="str">
        <f aca="false">IF(AN1348&lt;=0,"",IF(BU1348="Aussen","Aussenlager",IF(BU1348="-","Nicht im Lift",IF(AS1348&gt;=1,"Lift",IF(AS1348&lt;=0,"Aussenlager","teilweise")))))</f>
        <v>Aussenlager</v>
      </c>
      <c r="BD1348" s="55" t="str">
        <f aca="false">IF(AV1348&lt;=0,"",IF(BU1348="Aussen","Aussenlager",IF(BU1348="-","Nicht im Lift",IF(BA1348&gt;=1,"Lift",IF(BA1348&lt;=0,"Aussenlager","teilweise")))))</f>
        <v>Aussenlager</v>
      </c>
      <c r="BE1348" s="55" t="str">
        <f aca="false">IF(A1348="","",IF(BN1348=1,"Neu; ","")&amp;IF(AND(BN1348=0,BI1348&lt;0),"negativer Bestand (Export "&amp;BI1348&amp;"); ","")&amp;IF(I1348&lt;=0,"Kein Verbrauch; ","")&amp;IF(CD1348&gt;0,"Lift "&amp;U1348&amp;" lt. Liftbericht (Fach "&amp;V1348&amp;" Stk); ",IF(BR1348=1,"Lose – Fläche geschätzt; ",""))&amp;IF(G1348&gt;AP1348,"Überbestand "&amp;ROUND(G1348-AP1348,0)&amp;" Stk / CHF "&amp;ROUND((G1348-AP1348)*F1348,0)&amp;"; ","")&amp;IF(AND(BW1348=1,BX1348&lt;BY1348),"MAX &lt; MB+LG; ","")&amp;IF(AND(CC1348&gt;0,CB1348*10&gt;CC1348),"zu hoch für Tablar; ","")&amp;IF(AND(BN1348=0,OR(BW1348=1,Y1348&lt;&gt;"",S1348&lt;&gt;"",T1348&lt;&gt;"",Z1348&lt;&gt;"")),"manuell übersteuert; ","")&amp;IF(AND(BR1348=0,Q1348=0),"Gebinde unbekannt / Stellmass fehlt; ","")&amp;IF(AND(BR1348=0,N(T1348)&lt;=0,N(P1348)&lt;=0),"Menge pro Gebinde fehlt (Ist = 1 Gebinde); ","")&amp;BM1348)</f>
        <v>negativer Bestand (Export -5); </v>
      </c>
      <c r="BF1348" s="55"/>
      <c r="BG1348" s="55"/>
      <c r="BH1348" s="62"/>
      <c r="BI1348" s="57" t="n">
        <v>-5</v>
      </c>
      <c r="BJ1348" s="57" t="n">
        <v>9</v>
      </c>
      <c r="BK1348" s="56" t="n">
        <v>-1965.05</v>
      </c>
      <c r="BL1348" s="57" t="n">
        <v>1</v>
      </c>
      <c r="BM1348" s="55"/>
      <c r="BN1348" s="60" t="n">
        <v>0</v>
      </c>
      <c r="BO1348" s="60" t="n">
        <v>1348</v>
      </c>
      <c r="BP1348" s="55" t="str">
        <f aca="false">IF(S1348&lt;&gt;"",UPPER(TRIM(S1348)),IF(O1348="","LOSE",O1348))</f>
        <v>S71</v>
      </c>
      <c r="BQ1348" s="57" t="n">
        <f aca="false">IF(BP1348="LOSE",1,IF(N(T1348)&gt;0,T1348,IF(N(P1348)&gt;0,P1348,MAX(1,G1348))))</f>
        <v>10</v>
      </c>
      <c r="BR1348" s="60" t="n">
        <f aca="false">IF(BP1348="LOSE",1,0)</f>
        <v>0</v>
      </c>
      <c r="BS1348" s="59" t="n">
        <f aca="false">IF(BR1348=0,0,IF(N(R1348)&gt;0,R1348,IFERROR(VLOOKUP(D1348,Parameter!$A$35:$C$64,3,0)+0,0)))</f>
        <v>0</v>
      </c>
      <c r="BT1348" s="55" t="n">
        <f aca="false">IF(Y1348&lt;&gt;"",Y1348,X1348)</f>
        <v>2</v>
      </c>
      <c r="BU1348" s="55" t="str">
        <f aca="false">IF(BT1348=1,"L1",IF(OR(BT1348=2,BT1348=3),"L23",IF(BT1348="Aussen","Aussen","-")))</f>
        <v>L23</v>
      </c>
      <c r="BV1348" s="66" t="n">
        <f aca="false">IF(N(Z1348)&gt;0,Z1348,0)</f>
        <v>0</v>
      </c>
      <c r="BW1348" s="60" t="n">
        <f aca="false">IF(ISNUMBER(AC1348),1,0)</f>
        <v>0</v>
      </c>
      <c r="BX1348" s="57" t="n">
        <f aca="false">N(AC1348)</f>
        <v>0</v>
      </c>
      <c r="BY1348" s="57" t="n">
        <f aca="false">N(L1348)+N(M1348)</f>
        <v>1</v>
      </c>
      <c r="BZ1348" s="57" t="n">
        <f aca="false">ROUNDUP(G1348/BQ1348,0)</f>
        <v>0</v>
      </c>
      <c r="CA1348" s="57" t="n">
        <f aca="false">ROUNDUP(BX1348/BQ1348,0)</f>
        <v>0</v>
      </c>
      <c r="CB1348" s="60" t="n">
        <f aca="false">IF(BR1348=1,0,IFERROR(VLOOKUP(BP1348,'Gebinde-Kategorie'!$A$5:$M$45,5,0)+0,0))</f>
        <v>20</v>
      </c>
      <c r="CC1348" s="60" t="n">
        <f aca="false">IFERROR(IF(OR(BT1348=1,BT1348=2,BT1348=3),N(INDEX(Parameter!$I$5:$I$7,BT1348)),0),0)</f>
        <v>0</v>
      </c>
      <c r="CD1348" s="59" t="n">
        <f aca="false">IF(AND(Parameter!$B$21="Ja",ISNUMBER(U1348),N(V1348)&gt;0),IFERROR(N(INDEX(Parameter!$L$5:$L$7,U1348))*INDEX(Parameter!$E$5:$E$7,U1348)*V1348/SUMIFS($V$7:$V$1576,$U$7:$U$1576,U1348),0),0)</f>
        <v>0</v>
      </c>
    </row>
    <row r="1349" customFormat="false" ht="15" hidden="false" customHeight="false" outlineLevel="0" collapsed="false">
      <c r="A1349" s="55" t="s">
        <v>2368</v>
      </c>
      <c r="B1349" s="55" t="s">
        <v>1401</v>
      </c>
      <c r="C1349" s="55" t="s">
        <v>160</v>
      </c>
      <c r="D1349" s="55" t="s">
        <v>344</v>
      </c>
      <c r="E1349" s="55" t="s">
        <v>210</v>
      </c>
      <c r="F1349" s="56" t="n">
        <v>1997.24</v>
      </c>
      <c r="G1349" s="57" t="n">
        <f aca="false">MAX(0,IF(AND(Parameter!$B$21="Ja",ISNUMBER(W1349)),W1349,IF(Parameter!$B$20="Jahresanfang 2025 + Export",BJ1349+BI1349,BI1349)))</f>
        <v>0</v>
      </c>
      <c r="H1349" s="57" t="n">
        <f aca="false">G1349*F1349</f>
        <v>0</v>
      </c>
      <c r="I1349" s="57" t="n">
        <f aca="false">BL1349*Parameter!$B$18</f>
        <v>1</v>
      </c>
      <c r="J1349" s="58" t="n">
        <v>0.5</v>
      </c>
      <c r="K1349" s="59" t="n">
        <v>2</v>
      </c>
      <c r="L1349" s="57" t="n">
        <v>0</v>
      </c>
      <c r="M1349" s="57" t="n">
        <v>1</v>
      </c>
      <c r="N1349" s="60" t="n">
        <v>0</v>
      </c>
      <c r="O1349" s="55" t="s">
        <v>163</v>
      </c>
      <c r="P1349" s="57"/>
      <c r="Q1349" s="60" t="n">
        <f aca="false">IF(BR1349=1,0,IFERROR(VLOOKUP(BP1349,'Gebinde-Kategorie'!$A$5:$M$45,13,0)+0,0))</f>
        <v>0</v>
      </c>
      <c r="R1349" s="61"/>
      <c r="S1349" s="62"/>
      <c r="T1349" s="62"/>
      <c r="U1349" s="55"/>
      <c r="V1349" s="57"/>
      <c r="W1349" s="57"/>
      <c r="X1349" s="55" t="str">
        <f aca="false">IF(A1349="","",IF(AND(Parameter!$B$21="Ja",ISNUMBER(U1349)),U1349,IF(IFERROR(VLOOKUP(D1349,Parameter!$A$35:$C$64,2,0),"Nein")="2+3",IF(ISNUMBER(SEARCH("grosser Artikel",BM1349)),2,IFERROR(VLOOKUP(BP1349,Parameter!$F$35:$G$64,2,0),2)),IF(OR(IFERROR(VLOOKUP(D1349,Parameter!$A$35:$C$64,2,0),"Nein")="Nein",IFERROR(VLOOKUP(D1349,Parameter!$A$35:$C$64,2,0),"Nein")=""),"-",VLOOKUP(D1349,Parameter!$A$35:$C$64,2,0)))))</f>
        <v>-</v>
      </c>
      <c r="Y1349" s="62"/>
      <c r="Z1349" s="63"/>
      <c r="AA1349" s="57" t="n">
        <f aca="false">AP1349</f>
        <v>1</v>
      </c>
      <c r="AB1349" s="57" t="n">
        <f aca="false">MAX(AP1349,G1349)</f>
        <v>1</v>
      </c>
      <c r="AC1349" s="64"/>
      <c r="AD1349" s="57" t="n">
        <f aca="false">IF(LEFT(Cockpit!$C$5,1)="A",G1349,IF(BW1349=1,BX1349,IF(LEFT(Cockpit!$C$5,1)="B",AH1349,MAX(AH1349,G1349))))</f>
        <v>0</v>
      </c>
      <c r="AE1349" s="57" t="n">
        <f aca="false">IF(BR1349=1,0,ROUNDUP(AD1349/BQ1349,0))</f>
        <v>0</v>
      </c>
      <c r="AF1349" s="59" t="n">
        <f aca="false">IF(CD1349&gt;0,CD1349*MAX(1,AD1349/V1349),IF(BR1349=1,IF(AD1349&lt;=0,0,BS1349*MAX(1,IF(G1349&gt;0,AD1349/G1349,1))),IF(Q1349&gt;0,AE1349/Q1349,0))/MAX(0.1,N(Parameter!$M$21)))</f>
        <v>0</v>
      </c>
      <c r="AG1349" s="57" t="n">
        <f aca="false">AD1349*F1349</f>
        <v>0</v>
      </c>
      <c r="AH1349" s="57" t="n">
        <f aca="false">ROUNDUP(MAX(I1349/IF(BV1349&gt;0,BV1349,MAX(0.1,N(Cockpit!$C$6))),BY1349)/BQ1349,0)*BQ1349</f>
        <v>1</v>
      </c>
      <c r="AI1349" s="58" t="n">
        <f aca="false">IF(AF1349&gt;0,I1349/AF1349,-1)</f>
        <v>-1</v>
      </c>
      <c r="AJ1349" s="58" t="str">
        <f aca="false">IF(AND(OR(BU1349="L1",BU1349="L23"),AF1349&gt;0),SUMIFS($AF$7:$AF$1576,$BU$7:$BU$1576,BU1349,$AI$7:$AI$1576,"&gt;"&amp;AI1349)+SUMIFS($AF$7:$AF$1576,$BU$7:$BU$1576,BU1349,$AI$7:$AI$1576,AI1349,$BO$7:$BO$1576,"&lt;="&amp;BO1349),"")</f>
        <v/>
      </c>
      <c r="AK1349" s="65" t="n">
        <f aca="false">IF(AJ1349="",0,MAX(0,MIN(1,(IF(BU1349="L1",Parameter!$E$5,Parameter!$E$6+Parameter!$E$7)-(AJ1349-AF1349))/AF1349)))</f>
        <v>0</v>
      </c>
      <c r="AL1349" s="57" t="n">
        <f aca="false">IF(LEFT(Cockpit!$I$5,1)="A",G1349,IF(BW1349=1,BX1349,IF(LEFT(Cockpit!$I$5,1)="B",AP1349,MAX(AP1349,G1349))))</f>
        <v>1</v>
      </c>
      <c r="AM1349" s="57" t="n">
        <f aca="false">IF(BR1349=1,0,ROUNDUP(AL1349/BQ1349,0))</f>
        <v>0</v>
      </c>
      <c r="AN1349" s="59" t="n">
        <f aca="false">IF(CD1349&gt;0,CD1349*MAX(1,AL1349/V1349),IF(BR1349=1,IF(AL1349&lt;=0,0,BS1349*MAX(1,IF(G1349&gt;0,AL1349/G1349,1))),IF(Q1349&gt;0,AM1349/Q1349,0))/MAX(0.1,N(Parameter!$M$21)))</f>
        <v>0.15</v>
      </c>
      <c r="AO1349" s="57" t="n">
        <f aca="false">AL1349*F1349</f>
        <v>1997.24</v>
      </c>
      <c r="AP1349" s="57" t="n">
        <f aca="false">ROUNDUP(MAX(I1349/IF(BV1349&gt;0,BV1349,MAX(0.1,N(Cockpit!$I$6))),BY1349)/BQ1349,0)*BQ1349</f>
        <v>1</v>
      </c>
      <c r="AQ1349" s="58" t="n">
        <f aca="false">IF(AN1349&gt;0,I1349/AN1349,-1)</f>
        <v>6.66666666666667</v>
      </c>
      <c r="AR1349" s="58" t="str">
        <f aca="false">IF(AND(OR(BU1349="L1",BU1349="L23"),AN1349&gt;0),SUMIFS($AN$7:$AN$1576,$BU$7:$BU$1576,BU1349,$AQ$7:$AQ$1576,"&gt;"&amp;AQ1349)+SUMIFS($AN$7:$AN$1576,$BU$7:$BU$1576,BU1349,$AQ$7:$AQ$1576,AQ1349,$BO$7:$BO$1576,"&lt;="&amp;BO1349),"")</f>
        <v/>
      </c>
      <c r="AS1349" s="65" t="n">
        <f aca="false">IF(AR1349="",0,MAX(0,MIN(1,(IF(BU1349="L1",Parameter!$E$5,Parameter!$E$6+Parameter!$E$7)-(AR1349-AN1349))/AN1349)))</f>
        <v>0</v>
      </c>
      <c r="AT1349" s="57" t="n">
        <f aca="false">IF(LEFT(Cockpit!$O$5,1)="A",G1349,IF(BW1349=1,BX1349,IF(LEFT(Cockpit!$O$5,1)="B",AX1349,MAX(AX1349,G1349))))</f>
        <v>1</v>
      </c>
      <c r="AU1349" s="57" t="n">
        <f aca="false">IF(BR1349=1,0,ROUNDUP(AT1349/BQ1349,0))</f>
        <v>0</v>
      </c>
      <c r="AV1349" s="59" t="n">
        <f aca="false">IF(CD1349&gt;0,CD1349*MAX(1,AT1349/V1349),IF(BR1349=1,IF(AT1349&lt;=0,0,BS1349*MAX(1,IF(G1349&gt;0,AT1349/G1349,1))),IF(Q1349&gt;0,AU1349/Q1349,0))/MAX(0.1,N(Parameter!$M$21)))</f>
        <v>0.15</v>
      </c>
      <c r="AW1349" s="57" t="n">
        <f aca="false">AT1349*F1349</f>
        <v>1997.24</v>
      </c>
      <c r="AX1349" s="57" t="n">
        <f aca="false">ROUNDUP(MAX(I1349/IF(BV1349&gt;0,BV1349,MAX(0.1,N(Cockpit!$O$6))),BY1349)/BQ1349,0)*BQ1349</f>
        <v>1</v>
      </c>
      <c r="AY1349" s="58" t="n">
        <f aca="false">IF(AV1349&gt;0,I1349/AV1349,-1)</f>
        <v>6.66666666666667</v>
      </c>
      <c r="AZ1349" s="58" t="str">
        <f aca="false">IF(AND(OR(BU1349="L1",BU1349="L23"),AV1349&gt;0),SUMIFS($AV$7:$AV$1576,$BU$7:$BU$1576,BU1349,$AY$7:$AY$1576,"&gt;"&amp;AY1349)+SUMIFS($AV$7:$AV$1576,$BU$7:$BU$1576,BU1349,$AY$7:$AY$1576,AY1349,$BO$7:$BO$1576,"&lt;="&amp;BO1349),"")</f>
        <v/>
      </c>
      <c r="BA1349" s="65" t="n">
        <f aca="false">IF(AZ1349="",0,MAX(0,MIN(1,(IF(BU1349="L1",Parameter!$E$5,Parameter!$E$6+Parameter!$E$7)-(AZ1349-AV1349))/AV1349)))</f>
        <v>0</v>
      </c>
      <c r="BB1349" s="55" t="str">
        <f aca="false">IF(AF1349&lt;=0,"",IF(BU1349="Aussen","Aussenlager",IF(BU1349="-","Nicht im Lift",IF(AK1349&gt;=1,"Lift",IF(AK1349&lt;=0,"Aussenlager","teilweise")))))</f>
        <v/>
      </c>
      <c r="BC1349" s="55" t="str">
        <f aca="false">IF(AN1349&lt;=0,"",IF(BU1349="Aussen","Aussenlager",IF(BU1349="-","Nicht im Lift",IF(AS1349&gt;=1,"Lift",IF(AS1349&lt;=0,"Aussenlager","teilweise")))))</f>
        <v>Nicht im Lift</v>
      </c>
      <c r="BD1349" s="55" t="str">
        <f aca="false">IF(AV1349&lt;=0,"",IF(BU1349="Aussen","Aussenlager",IF(BU1349="-","Nicht im Lift",IF(BA1349&gt;=1,"Lift",IF(BA1349&lt;=0,"Aussenlager","teilweise")))))</f>
        <v>Nicht im Lift</v>
      </c>
      <c r="BE1349" s="55" t="str">
        <f aca="false">IF(A1349="","",IF(BN1349=1,"Neu; ","")&amp;IF(AND(BN1349=0,BI1349&lt;0),"negativer Bestand (Export "&amp;BI1349&amp;"); ","")&amp;IF(I1349&lt;=0,"Kein Verbrauch; ","")&amp;IF(CD1349&gt;0,"Lift "&amp;U1349&amp;" lt. Liftbericht (Fach "&amp;V1349&amp;" Stk); ",IF(BR1349=1,"Lose – Fläche geschätzt; ",""))&amp;IF(G1349&gt;AP1349,"Überbestand "&amp;ROUND(G1349-AP1349,0)&amp;" Stk / CHF "&amp;ROUND((G1349-AP1349)*F1349,0)&amp;"; ","")&amp;IF(AND(BW1349=1,BX1349&lt;BY1349),"MAX &lt; MB+LG; ","")&amp;IF(AND(CC1349&gt;0,CB1349*10&gt;CC1349),"zu hoch für Tablar; ","")&amp;IF(AND(BN1349=0,OR(BW1349=1,Y1349&lt;&gt;"",S1349&lt;&gt;"",T1349&lt;&gt;"",Z1349&lt;&gt;"")),"manuell übersteuert; ","")&amp;IF(AND(BR1349=0,Q1349=0),"Gebinde unbekannt / Stellmass fehlt; ","")&amp;IF(AND(BR1349=0,N(T1349)&lt;=0,N(P1349)&lt;=0),"Menge pro Gebinde fehlt (Ist = 1 Gebinde); ","")&amp;BM1349)</f>
        <v>negativer Bestand (Export -1); Lose – Fläche geschätzt; </v>
      </c>
      <c r="BF1349" s="55"/>
      <c r="BG1349" s="55"/>
      <c r="BH1349" s="62"/>
      <c r="BI1349" s="57" t="n">
        <v>-1</v>
      </c>
      <c r="BJ1349" s="57" t="n">
        <v>1</v>
      </c>
      <c r="BK1349" s="56" t="n">
        <v>-1997.24</v>
      </c>
      <c r="BL1349" s="57" t="n">
        <v>1</v>
      </c>
      <c r="BM1349" s="55"/>
      <c r="BN1349" s="60" t="n">
        <v>0</v>
      </c>
      <c r="BO1349" s="60" t="n">
        <v>1349</v>
      </c>
      <c r="BP1349" s="55" t="str">
        <f aca="false">IF(S1349&lt;&gt;"",UPPER(TRIM(S1349)),IF(O1349="","LOSE",O1349))</f>
        <v>LOSE</v>
      </c>
      <c r="BQ1349" s="57" t="n">
        <f aca="false">IF(BP1349="LOSE",1,IF(N(T1349)&gt;0,T1349,IF(N(P1349)&gt;0,P1349,MAX(1,G1349))))</f>
        <v>1</v>
      </c>
      <c r="BR1349" s="60" t="n">
        <f aca="false">IF(BP1349="LOSE",1,0)</f>
        <v>1</v>
      </c>
      <c r="BS1349" s="59" t="n">
        <f aca="false">IF(BR1349=0,0,IF(N(R1349)&gt;0,R1349,IFERROR(VLOOKUP(D1349,Parameter!$A$35:$C$64,3,0)+0,0)))</f>
        <v>0.15</v>
      </c>
      <c r="BT1349" s="55" t="str">
        <f aca="false">IF(Y1349&lt;&gt;"",Y1349,X1349)</f>
        <v>-</v>
      </c>
      <c r="BU1349" s="55" t="str">
        <f aca="false">IF(BT1349=1,"L1",IF(OR(BT1349=2,BT1349=3),"L23",IF(BT1349="Aussen","Aussen","-")))</f>
        <v>-</v>
      </c>
      <c r="BV1349" s="66" t="n">
        <f aca="false">IF(N(Z1349)&gt;0,Z1349,0)</f>
        <v>0</v>
      </c>
      <c r="BW1349" s="60" t="n">
        <f aca="false">IF(ISNUMBER(AC1349),1,0)</f>
        <v>0</v>
      </c>
      <c r="BX1349" s="57" t="n">
        <f aca="false">N(AC1349)</f>
        <v>0</v>
      </c>
      <c r="BY1349" s="57" t="n">
        <f aca="false">N(L1349)+N(M1349)</f>
        <v>1</v>
      </c>
      <c r="BZ1349" s="57" t="n">
        <f aca="false">ROUNDUP(G1349/BQ1349,0)</f>
        <v>0</v>
      </c>
      <c r="CA1349" s="57" t="n">
        <f aca="false">ROUNDUP(BX1349/BQ1349,0)</f>
        <v>0</v>
      </c>
      <c r="CB1349" s="60" t="n">
        <f aca="false">IF(BR1349=1,0,IFERROR(VLOOKUP(BP1349,'Gebinde-Kategorie'!$A$5:$M$45,5,0)+0,0))</f>
        <v>0</v>
      </c>
      <c r="CC1349" s="60" t="n">
        <f aca="false">IFERROR(IF(OR(BT1349=1,BT1349=2,BT1349=3),N(INDEX(Parameter!$I$5:$I$7,BT1349)),0),0)</f>
        <v>0</v>
      </c>
      <c r="CD1349" s="59" t="n">
        <f aca="false">IF(AND(Parameter!$B$21="Ja",ISNUMBER(U1349),N(V1349)&gt;0),IFERROR(N(INDEX(Parameter!$L$5:$L$7,U1349))*INDEX(Parameter!$E$5:$E$7,U1349)*V1349/SUMIFS($V$7:$V$1576,$U$7:$U$1576,U1349),0),0)</f>
        <v>0</v>
      </c>
    </row>
    <row r="1350" customFormat="false" ht="15" hidden="false" customHeight="false" outlineLevel="0" collapsed="false">
      <c r="A1350" s="55" t="s">
        <v>2369</v>
      </c>
      <c r="B1350" s="55" t="s">
        <v>2370</v>
      </c>
      <c r="C1350" s="55" t="s">
        <v>446</v>
      </c>
      <c r="D1350" s="55" t="s">
        <v>161</v>
      </c>
      <c r="E1350" s="55" t="s">
        <v>210</v>
      </c>
      <c r="F1350" s="56" t="n">
        <v>1004.29</v>
      </c>
      <c r="G1350" s="57" t="n">
        <f aca="false">MAX(0,IF(AND(Parameter!$B$21="Ja",ISNUMBER(W1350)),W1350,IF(Parameter!$B$20="Jahresanfang 2025 + Export",BJ1350+BI1350,BI1350)))</f>
        <v>0</v>
      </c>
      <c r="H1350" s="57" t="n">
        <f aca="false">G1350*F1350</f>
        <v>0</v>
      </c>
      <c r="I1350" s="57" t="n">
        <f aca="false">BL1350*Parameter!$B$18</f>
        <v>1</v>
      </c>
      <c r="J1350" s="58" t="n">
        <v>1.5</v>
      </c>
      <c r="K1350" s="59" t="n">
        <v>0.666666666666667</v>
      </c>
      <c r="L1350" s="57" t="n">
        <v>0</v>
      </c>
      <c r="M1350" s="57" t="n">
        <v>1</v>
      </c>
      <c r="N1350" s="60" t="n">
        <v>35</v>
      </c>
      <c r="O1350" s="55" t="s">
        <v>163</v>
      </c>
      <c r="P1350" s="57"/>
      <c r="Q1350" s="60" t="n">
        <f aca="false">IF(BR1350=1,0,IFERROR(VLOOKUP(BP1350,'Gebinde-Kategorie'!$A$5:$M$45,13,0)+0,0))</f>
        <v>0</v>
      </c>
      <c r="R1350" s="61"/>
      <c r="S1350" s="62"/>
      <c r="T1350" s="62"/>
      <c r="U1350" s="55" t="n">
        <v>1</v>
      </c>
      <c r="V1350" s="57" t="n">
        <v>1</v>
      </c>
      <c r="W1350" s="57" t="n">
        <v>0</v>
      </c>
      <c r="X1350" s="55" t="n">
        <f aca="false">IF(A1350="","",IF(AND(Parameter!$B$21="Ja",ISNUMBER(U1350)),U1350,IF(IFERROR(VLOOKUP(D1350,Parameter!$A$35:$C$64,2,0),"Nein")="2+3",IF(ISNUMBER(SEARCH("grosser Artikel",BM1350)),2,IFERROR(VLOOKUP(BP1350,Parameter!$F$35:$G$64,2,0),2)),IF(OR(IFERROR(VLOOKUP(D1350,Parameter!$A$35:$C$64,2,0),"Nein")="Nein",IFERROR(VLOOKUP(D1350,Parameter!$A$35:$C$64,2,0),"Nein")=""),"-",VLOOKUP(D1350,Parameter!$A$35:$C$64,2,0)))))</f>
        <v>1</v>
      </c>
      <c r="Y1350" s="62"/>
      <c r="Z1350" s="63"/>
      <c r="AA1350" s="57" t="n">
        <f aca="false">AP1350</f>
        <v>1</v>
      </c>
      <c r="AB1350" s="57" t="n">
        <f aca="false">MAX(AP1350,G1350)</f>
        <v>1</v>
      </c>
      <c r="AC1350" s="64"/>
      <c r="AD1350" s="57" t="n">
        <f aca="false">IF(LEFT(Cockpit!$C$5,1)="A",G1350,IF(BW1350=1,BX1350,IF(LEFT(Cockpit!$C$5,1)="B",AH1350,MAX(AH1350,G1350))))</f>
        <v>0</v>
      </c>
      <c r="AE1350" s="57" t="n">
        <f aca="false">IF(BR1350=1,0,ROUNDUP(AD1350/BQ1350,0))</f>
        <v>0</v>
      </c>
      <c r="AF1350" s="59" t="n">
        <f aca="false">IF(CD1350&gt;0,CD1350*MAX(1,AD1350/V1350),IF(BR1350=1,IF(AD1350&lt;=0,0,BS1350*MAX(1,IF(G1350&gt;0,AD1350/G1350,1))),IF(Q1350&gt;0,AE1350/Q1350,0))/MAX(0.1,N(Parameter!$M$21)))</f>
        <v>0.0800376647834275</v>
      </c>
      <c r="AG1350" s="57" t="n">
        <f aca="false">AD1350*F1350</f>
        <v>0</v>
      </c>
      <c r="AH1350" s="57" t="n">
        <f aca="false">ROUNDUP(MAX(I1350/IF(BV1350&gt;0,BV1350,MAX(0.1,N(Cockpit!$C$6))),BY1350)/BQ1350,0)*BQ1350</f>
        <v>1</v>
      </c>
      <c r="AI1350" s="58" t="n">
        <f aca="false">IF(AF1350&gt;0,I1350/AF1350,-1)</f>
        <v>12.4941176470588</v>
      </c>
      <c r="AJ1350" s="58" t="n">
        <f aca="false">IF(AND(OR(BU1350="L1",BU1350="L23"),AF1350&gt;0),SUMIFS($AF$7:$AF$1576,$BU$7:$BU$1576,BU1350,$AI$7:$AI$1576,"&gt;"&amp;AI1350)+SUMIFS($AF$7:$AF$1576,$BU$7:$BU$1576,BU1350,$AI$7:$AI$1576,AI1350,$BO$7:$BO$1576,"&lt;="&amp;BO1350),"")</f>
        <v>20.0894538606403</v>
      </c>
      <c r="AK1350" s="65" t="n">
        <f aca="false">IF(AJ1350="",0,MAX(0,MIN(1,(IF(BU1350="L1",Parameter!$E$5,Parameter!$E$6+Parameter!$E$7)-(AJ1350-AF1350))/AF1350)))</f>
        <v>1</v>
      </c>
      <c r="AL1350" s="57" t="n">
        <f aca="false">IF(LEFT(Cockpit!$I$5,1)="A",G1350,IF(BW1350=1,BX1350,IF(LEFT(Cockpit!$I$5,1)="B",AP1350,MAX(AP1350,G1350))))</f>
        <v>1</v>
      </c>
      <c r="AM1350" s="57" t="n">
        <f aca="false">IF(BR1350=1,0,ROUNDUP(AL1350/BQ1350,0))</f>
        <v>0</v>
      </c>
      <c r="AN1350" s="59" t="n">
        <f aca="false">IF(CD1350&gt;0,CD1350*MAX(1,AL1350/V1350),IF(BR1350=1,IF(AL1350&lt;=0,0,BS1350*MAX(1,IF(G1350&gt;0,AL1350/G1350,1))),IF(Q1350&gt;0,AM1350/Q1350,0))/MAX(0.1,N(Parameter!$M$21)))</f>
        <v>0.0800376647834275</v>
      </c>
      <c r="AO1350" s="57" t="n">
        <f aca="false">AL1350*F1350</f>
        <v>1004.29</v>
      </c>
      <c r="AP1350" s="57" t="n">
        <f aca="false">ROUNDUP(MAX(I1350/IF(BV1350&gt;0,BV1350,MAX(0.1,N(Cockpit!$I$6))),BY1350)/BQ1350,0)*BQ1350</f>
        <v>1</v>
      </c>
      <c r="AQ1350" s="58" t="n">
        <f aca="false">IF(AN1350&gt;0,I1350/AN1350,-1)</f>
        <v>12.4941176470588</v>
      </c>
      <c r="AR1350" s="58" t="n">
        <f aca="false">IF(AND(OR(BU1350="L1",BU1350="L23"),AN1350&gt;0),SUMIFS($AN$7:$AN$1576,$BU$7:$BU$1576,BU1350,$AQ$7:$AQ$1576,"&gt;"&amp;AQ1350)+SUMIFS($AN$7:$AN$1576,$BU$7:$BU$1576,BU1350,$AQ$7:$AQ$1576,AQ1350,$BO$7:$BO$1576,"&lt;="&amp;BO1350),"")</f>
        <v>25.5320150659134</v>
      </c>
      <c r="AS1350" s="65" t="n">
        <f aca="false">IF(AR1350="",0,MAX(0,MIN(1,(IF(BU1350="L1",Parameter!$E$5,Parameter!$E$6+Parameter!$E$7)-(AR1350-AN1350))/AN1350)))</f>
        <v>1</v>
      </c>
      <c r="AT1350" s="57" t="n">
        <f aca="false">IF(LEFT(Cockpit!$O$5,1)="A",G1350,IF(BW1350=1,BX1350,IF(LEFT(Cockpit!$O$5,1)="B",AX1350,MAX(AX1350,G1350))))</f>
        <v>1</v>
      </c>
      <c r="AU1350" s="57" t="n">
        <f aca="false">IF(BR1350=1,0,ROUNDUP(AT1350/BQ1350,0))</f>
        <v>0</v>
      </c>
      <c r="AV1350" s="59" t="n">
        <f aca="false">IF(CD1350&gt;0,CD1350*MAX(1,AT1350/V1350),IF(BR1350=1,IF(AT1350&lt;=0,0,BS1350*MAX(1,IF(G1350&gt;0,AT1350/G1350,1))),IF(Q1350&gt;0,AU1350/Q1350,0))/MAX(0.1,N(Parameter!$M$21)))</f>
        <v>0.0800376647834275</v>
      </c>
      <c r="AW1350" s="57" t="n">
        <f aca="false">AT1350*F1350</f>
        <v>1004.29</v>
      </c>
      <c r="AX1350" s="57" t="n">
        <f aca="false">ROUNDUP(MAX(I1350/IF(BV1350&gt;0,BV1350,MAX(0.1,N(Cockpit!$O$6))),BY1350)/BQ1350,0)*BQ1350</f>
        <v>1</v>
      </c>
      <c r="AY1350" s="58" t="n">
        <f aca="false">IF(AV1350&gt;0,I1350/AV1350,-1)</f>
        <v>12.4941176470588</v>
      </c>
      <c r="AZ1350" s="58" t="n">
        <f aca="false">IF(AND(OR(BU1350="L1",BU1350="L23"),AV1350&gt;0),SUMIFS($AV$7:$AV$1576,$BU$7:$BU$1576,BU1350,$AY$7:$AY$1576,"&gt;"&amp;AY1350)+SUMIFS($AV$7:$AV$1576,$BU$7:$BU$1576,BU1350,$AY$7:$AY$1576,AY1350,$BO$7:$BO$1576,"&lt;="&amp;BO1350),"")</f>
        <v>22.5706214689266</v>
      </c>
      <c r="BA1350" s="65" t="n">
        <f aca="false">IF(AZ1350="",0,MAX(0,MIN(1,(IF(BU1350="L1",Parameter!$E$5,Parameter!$E$6+Parameter!$E$7)-(AZ1350-AV1350))/AV1350)))</f>
        <v>1</v>
      </c>
      <c r="BB1350" s="55" t="str">
        <f aca="false">IF(AF1350&lt;=0,"",IF(BU1350="Aussen","Aussenlager",IF(BU1350="-","Nicht im Lift",IF(AK1350&gt;=1,"Lift",IF(AK1350&lt;=0,"Aussenlager","teilweise")))))</f>
        <v>Lift</v>
      </c>
      <c r="BC1350" s="55" t="str">
        <f aca="false">IF(AN1350&lt;=0,"",IF(BU1350="Aussen","Aussenlager",IF(BU1350="-","Nicht im Lift",IF(AS1350&gt;=1,"Lift",IF(AS1350&lt;=0,"Aussenlager","teilweise")))))</f>
        <v>Lift</v>
      </c>
      <c r="BD1350" s="55" t="str">
        <f aca="false">IF(AV1350&lt;=0,"",IF(BU1350="Aussen","Aussenlager",IF(BU1350="-","Nicht im Lift",IF(BA1350&gt;=1,"Lift",IF(BA1350&lt;=0,"Aussenlager","teilweise")))))</f>
        <v>Lift</v>
      </c>
      <c r="BE1350" s="55" t="str">
        <f aca="false">IF(A1350="","",IF(BN1350=1,"Neu; ","")&amp;IF(AND(BN1350=0,BI1350&lt;0),"negativer Bestand (Export "&amp;BI1350&amp;"); ","")&amp;IF(I1350&lt;=0,"Kein Verbrauch; ","")&amp;IF(CD1350&gt;0,"Lift "&amp;U1350&amp;" lt. Liftbericht (Fach "&amp;V1350&amp;" Stk); ",IF(BR1350=1,"Lose – Fläche geschätzt; ",""))&amp;IF(G1350&gt;AP1350,"Überbestand "&amp;ROUND(G1350-AP1350,0)&amp;" Stk / CHF "&amp;ROUND((G1350-AP1350)*F1350,0)&amp;"; ","")&amp;IF(AND(BW1350=1,BX1350&lt;BY1350),"MAX &lt; MB+LG; ","")&amp;IF(AND(CC1350&gt;0,CB1350*10&gt;CC1350),"zu hoch für Tablar; ","")&amp;IF(AND(BN1350=0,OR(BW1350=1,Y1350&lt;&gt;"",S1350&lt;&gt;"",T1350&lt;&gt;"",Z1350&lt;&gt;"")),"manuell übersteuert; ","")&amp;IF(AND(BR1350=0,Q1350=0),"Gebinde unbekannt / Stellmass fehlt; ","")&amp;IF(AND(BR1350=0,N(T1350)&lt;=0,N(P1350)&lt;=0),"Menge pro Gebinde fehlt (Ist = 1 Gebinde); ","")&amp;BM1350)</f>
        <v>negativer Bestand (Export -2); Lift 1 lt. Liftbericht (Fach 1 Stk); Neuer Art.</v>
      </c>
      <c r="BF1350" s="55"/>
      <c r="BG1350" s="55"/>
      <c r="BH1350" s="62"/>
      <c r="BI1350" s="57" t="n">
        <v>-2</v>
      </c>
      <c r="BJ1350" s="57" t="n">
        <v>2</v>
      </c>
      <c r="BK1350" s="56" t="n">
        <v>-2008.58</v>
      </c>
      <c r="BL1350" s="57" t="n">
        <v>1</v>
      </c>
      <c r="BM1350" s="55" t="s">
        <v>501</v>
      </c>
      <c r="BN1350" s="60" t="n">
        <v>0</v>
      </c>
      <c r="BO1350" s="60" t="n">
        <v>1350</v>
      </c>
      <c r="BP1350" s="55" t="str">
        <f aca="false">IF(S1350&lt;&gt;"",UPPER(TRIM(S1350)),IF(O1350="","LOSE",O1350))</f>
        <v>LOSE</v>
      </c>
      <c r="BQ1350" s="57" t="n">
        <f aca="false">IF(BP1350="LOSE",1,IF(N(T1350)&gt;0,T1350,IF(N(P1350)&gt;0,P1350,MAX(1,G1350))))</f>
        <v>1</v>
      </c>
      <c r="BR1350" s="60" t="n">
        <f aca="false">IF(BP1350="LOSE",1,0)</f>
        <v>1</v>
      </c>
      <c r="BS1350" s="59" t="n">
        <f aca="false">IF(BR1350=0,0,IF(N(R1350)&gt;0,R1350,IFERROR(VLOOKUP(D1350,Parameter!$A$35:$C$64,3,0)+0,0)))</f>
        <v>1</v>
      </c>
      <c r="BT1350" s="55" t="n">
        <f aca="false">IF(Y1350&lt;&gt;"",Y1350,X1350)</f>
        <v>1</v>
      </c>
      <c r="BU1350" s="55" t="str">
        <f aca="false">IF(BT1350=1,"L1",IF(OR(BT1350=2,BT1350=3),"L23",IF(BT1350="Aussen","Aussen","-")))</f>
        <v>L1</v>
      </c>
      <c r="BV1350" s="66" t="n">
        <f aca="false">IF(N(Z1350)&gt;0,Z1350,0)</f>
        <v>0</v>
      </c>
      <c r="BW1350" s="60" t="n">
        <f aca="false">IF(ISNUMBER(AC1350),1,0)</f>
        <v>0</v>
      </c>
      <c r="BX1350" s="57" t="n">
        <f aca="false">N(AC1350)</f>
        <v>0</v>
      </c>
      <c r="BY1350" s="57" t="n">
        <f aca="false">N(L1350)+N(M1350)</f>
        <v>1</v>
      </c>
      <c r="BZ1350" s="57" t="n">
        <f aca="false">ROUNDUP(G1350/BQ1350,0)</f>
        <v>0</v>
      </c>
      <c r="CA1350" s="57" t="n">
        <f aca="false">ROUNDUP(BX1350/BQ1350,0)</f>
        <v>0</v>
      </c>
      <c r="CB1350" s="60" t="n">
        <f aca="false">IF(BR1350=1,0,IFERROR(VLOOKUP(BP1350,'Gebinde-Kategorie'!$A$5:$M$45,5,0)+0,0))</f>
        <v>0</v>
      </c>
      <c r="CC1350" s="60" t="n">
        <f aca="false">IFERROR(IF(OR(BT1350=1,BT1350=2,BT1350=3),N(INDEX(Parameter!$I$5:$I$7,BT1350)),0),0)</f>
        <v>0</v>
      </c>
      <c r="CD1350" s="59" t="n">
        <f aca="false">IF(AND(Parameter!$B$21="Ja",ISNUMBER(U1350),N(V1350)&gt;0),IFERROR(N(INDEX(Parameter!$L$5:$L$7,U1350))*INDEX(Parameter!$E$5:$E$7,U1350)*V1350/SUMIFS($V$7:$V$1576,$U$7:$U$1576,U1350),0),0)</f>
        <v>0.0800376647834275</v>
      </c>
    </row>
    <row r="1351" customFormat="false" ht="15" hidden="false" customHeight="false" outlineLevel="0" collapsed="false">
      <c r="A1351" s="55" t="s">
        <v>2371</v>
      </c>
      <c r="B1351" s="55" t="s">
        <v>2370</v>
      </c>
      <c r="C1351" s="55" t="s">
        <v>160</v>
      </c>
      <c r="D1351" s="55" t="s">
        <v>161</v>
      </c>
      <c r="E1351" s="55" t="s">
        <v>210</v>
      </c>
      <c r="F1351" s="56" t="n">
        <v>2008.66</v>
      </c>
      <c r="G1351" s="57" t="n">
        <f aca="false">MAX(0,IF(AND(Parameter!$B$21="Ja",ISNUMBER(W1351)),W1351,IF(Parameter!$B$20="Jahresanfang 2025 + Export",BJ1351+BI1351,BI1351)))</f>
        <v>9</v>
      </c>
      <c r="H1351" s="57" t="n">
        <f aca="false">G1351*F1351</f>
        <v>18077.94</v>
      </c>
      <c r="I1351" s="57" t="n">
        <f aca="false">BL1351*Parameter!$B$18</f>
        <v>0</v>
      </c>
      <c r="J1351" s="58" t="n">
        <v>10</v>
      </c>
      <c r="K1351" s="59" t="n">
        <v>0</v>
      </c>
      <c r="L1351" s="57" t="n">
        <v>0</v>
      </c>
      <c r="M1351" s="57" t="n">
        <v>5</v>
      </c>
      <c r="N1351" s="60" t="n">
        <v>86</v>
      </c>
      <c r="O1351" s="55" t="s">
        <v>163</v>
      </c>
      <c r="P1351" s="57"/>
      <c r="Q1351" s="60" t="n">
        <f aca="false">IF(BR1351=1,0,IFERROR(VLOOKUP(BP1351,'Gebinde-Kategorie'!$A$5:$M$45,13,0)+0,0))</f>
        <v>0</v>
      </c>
      <c r="R1351" s="61"/>
      <c r="S1351" s="62"/>
      <c r="T1351" s="62"/>
      <c r="U1351" s="55" t="n">
        <v>1</v>
      </c>
      <c r="V1351" s="57" t="n">
        <v>10</v>
      </c>
      <c r="W1351" s="57" t="n">
        <v>9</v>
      </c>
      <c r="X1351" s="55" t="n">
        <f aca="false">IF(A1351="","",IF(AND(Parameter!$B$21="Ja",ISNUMBER(U1351)),U1351,IF(IFERROR(VLOOKUP(D1351,Parameter!$A$35:$C$64,2,0),"Nein")="2+3",IF(ISNUMBER(SEARCH("grosser Artikel",BM1351)),2,IFERROR(VLOOKUP(BP1351,Parameter!$F$35:$G$64,2,0),2)),IF(OR(IFERROR(VLOOKUP(D1351,Parameter!$A$35:$C$64,2,0),"Nein")="Nein",IFERROR(VLOOKUP(D1351,Parameter!$A$35:$C$64,2,0),"Nein")=""),"-",VLOOKUP(D1351,Parameter!$A$35:$C$64,2,0)))))</f>
        <v>1</v>
      </c>
      <c r="Y1351" s="62"/>
      <c r="Z1351" s="63"/>
      <c r="AA1351" s="57" t="n">
        <f aca="false">AP1351</f>
        <v>5</v>
      </c>
      <c r="AB1351" s="57" t="n">
        <f aca="false">MAX(AP1351,G1351)</f>
        <v>9</v>
      </c>
      <c r="AC1351" s="64"/>
      <c r="AD1351" s="57" t="n">
        <f aca="false">IF(LEFT(Cockpit!$C$5,1)="A",G1351,IF(BW1351=1,BX1351,IF(LEFT(Cockpit!$C$5,1)="B",AH1351,MAX(AH1351,G1351))))</f>
        <v>9</v>
      </c>
      <c r="AE1351" s="57" t="n">
        <f aca="false">IF(BR1351=1,0,ROUNDUP(AD1351/BQ1351,0))</f>
        <v>0</v>
      </c>
      <c r="AF1351" s="59" t="n">
        <f aca="false">IF(CD1351&gt;0,CD1351*MAX(1,AD1351/V1351),IF(BR1351=1,IF(AD1351&lt;=0,0,BS1351*MAX(1,IF(G1351&gt;0,AD1351/G1351,1))),IF(Q1351&gt;0,AE1351/Q1351,0))/MAX(0.1,N(Parameter!$M$21)))</f>
        <v>0.800376647834275</v>
      </c>
      <c r="AG1351" s="57" t="n">
        <f aca="false">AD1351*F1351</f>
        <v>18077.94</v>
      </c>
      <c r="AH1351" s="57" t="n">
        <f aca="false">ROUNDUP(MAX(I1351/IF(BV1351&gt;0,BV1351,MAX(0.1,N(Cockpit!$C$6))),BY1351)/BQ1351,0)*BQ1351</f>
        <v>5</v>
      </c>
      <c r="AI1351" s="58" t="n">
        <f aca="false">IF(AF1351&gt;0,I1351/AF1351,-1)</f>
        <v>0</v>
      </c>
      <c r="AJ1351" s="58" t="n">
        <f aca="false">IF(AND(OR(BU1351="L1",BU1351="L23"),AF1351&gt;0),SUMIFS($AF$7:$AF$1576,$BU$7:$BU$1576,BU1351,$AI$7:$AI$1576,"&gt;"&amp;AI1351)+SUMIFS($AF$7:$AF$1576,$BU$7:$BU$1576,BU1351,$AI$7:$AI$1576,AI1351,$BO$7:$BO$1576,"&lt;="&amp;BO1351),"")</f>
        <v>42.2062146892655</v>
      </c>
      <c r="AK1351" s="65" t="n">
        <f aca="false">IF(AJ1351="",0,MAX(0,MIN(1,(IF(BU1351="L1",Parameter!$E$5,Parameter!$E$6+Parameter!$E$7)-(AJ1351-AF1351))/AF1351)))</f>
        <v>1</v>
      </c>
      <c r="AL1351" s="57" t="n">
        <f aca="false">IF(LEFT(Cockpit!$I$5,1)="A",G1351,IF(BW1351=1,BX1351,IF(LEFT(Cockpit!$I$5,1)="B",AP1351,MAX(AP1351,G1351))))</f>
        <v>9</v>
      </c>
      <c r="AM1351" s="57" t="n">
        <f aca="false">IF(BR1351=1,0,ROUNDUP(AL1351/BQ1351,0))</f>
        <v>0</v>
      </c>
      <c r="AN1351" s="59" t="n">
        <f aca="false">IF(CD1351&gt;0,CD1351*MAX(1,AL1351/V1351),IF(BR1351=1,IF(AL1351&lt;=0,0,BS1351*MAX(1,IF(G1351&gt;0,AL1351/G1351,1))),IF(Q1351&gt;0,AM1351/Q1351,0))/MAX(0.1,N(Parameter!$M$21)))</f>
        <v>0.800376647834275</v>
      </c>
      <c r="AO1351" s="57" t="n">
        <f aca="false">AL1351*F1351</f>
        <v>18077.94</v>
      </c>
      <c r="AP1351" s="57" t="n">
        <f aca="false">ROUNDUP(MAX(I1351/IF(BV1351&gt;0,BV1351,MAX(0.1,N(Cockpit!$I$6))),BY1351)/BQ1351,0)*BQ1351</f>
        <v>5</v>
      </c>
      <c r="AQ1351" s="58" t="n">
        <f aca="false">IF(AN1351&gt;0,I1351/AN1351,-1)</f>
        <v>0</v>
      </c>
      <c r="AR1351" s="58" t="n">
        <f aca="false">IF(AND(OR(BU1351="L1",BU1351="L23"),AN1351&gt;0),SUMIFS($AN$7:$AN$1576,$BU$7:$BU$1576,BU1351,$AQ$7:$AQ$1576,"&gt;"&amp;AQ1351)+SUMIFS($AN$7:$AN$1576,$BU$7:$BU$1576,BU1351,$AQ$7:$AQ$1576,AQ1351,$BO$7:$BO$1576,"&lt;="&amp;BO1351),"")</f>
        <v>47.8088512241055</v>
      </c>
      <c r="AS1351" s="65" t="n">
        <f aca="false">IF(AR1351="",0,MAX(0,MIN(1,(IF(BU1351="L1",Parameter!$E$5,Parameter!$E$6+Parameter!$E$7)-(AR1351-AN1351))/AN1351)))</f>
        <v>1</v>
      </c>
      <c r="AT1351" s="57" t="n">
        <f aca="false">IF(LEFT(Cockpit!$O$5,1)="A",G1351,IF(BW1351=1,BX1351,IF(LEFT(Cockpit!$O$5,1)="B",AX1351,MAX(AX1351,G1351))))</f>
        <v>9</v>
      </c>
      <c r="AU1351" s="57" t="n">
        <f aca="false">IF(BR1351=1,0,ROUNDUP(AT1351/BQ1351,0))</f>
        <v>0</v>
      </c>
      <c r="AV1351" s="59" t="n">
        <f aca="false">IF(CD1351&gt;0,CD1351*MAX(1,AT1351/V1351),IF(BR1351=1,IF(AT1351&lt;=0,0,BS1351*MAX(1,IF(G1351&gt;0,AT1351/G1351,1))),IF(Q1351&gt;0,AU1351/Q1351,0))/MAX(0.1,N(Parameter!$M$21)))</f>
        <v>0.800376647834275</v>
      </c>
      <c r="AW1351" s="57" t="n">
        <f aca="false">AT1351*F1351</f>
        <v>18077.94</v>
      </c>
      <c r="AX1351" s="57" t="n">
        <f aca="false">ROUNDUP(MAX(I1351/IF(BV1351&gt;0,BV1351,MAX(0.1,N(Cockpit!$O$6))),BY1351)/BQ1351,0)*BQ1351</f>
        <v>5</v>
      </c>
      <c r="AY1351" s="58" t="n">
        <f aca="false">IF(AV1351&gt;0,I1351/AV1351,-1)</f>
        <v>0</v>
      </c>
      <c r="AZ1351" s="58" t="n">
        <f aca="false">IF(AND(OR(BU1351="L1",BU1351="L23"),AV1351&gt;0),SUMIFS($AV$7:$AV$1576,$BU$7:$BU$1576,BU1351,$AY$7:$AY$1576,"&gt;"&amp;AY1351)+SUMIFS($AV$7:$AV$1576,$BU$7:$BU$1576,BU1351,$AY$7:$AY$1576,AY1351,$BO$7:$BO$1576,"&lt;="&amp;BO1351),"")</f>
        <v>44.8474576271186</v>
      </c>
      <c r="BA1351" s="65" t="n">
        <f aca="false">IF(AZ1351="",0,MAX(0,MIN(1,(IF(BU1351="L1",Parameter!$E$5,Parameter!$E$6+Parameter!$E$7)-(AZ1351-AV1351))/AV1351)))</f>
        <v>1</v>
      </c>
      <c r="BB1351" s="55" t="str">
        <f aca="false">IF(AF1351&lt;=0,"",IF(BU1351="Aussen","Aussenlager",IF(BU1351="-","Nicht im Lift",IF(AK1351&gt;=1,"Lift",IF(AK1351&lt;=0,"Aussenlager","teilweise")))))</f>
        <v>Lift</v>
      </c>
      <c r="BC1351" s="55" t="str">
        <f aca="false">IF(AN1351&lt;=0,"",IF(BU1351="Aussen","Aussenlager",IF(BU1351="-","Nicht im Lift",IF(AS1351&gt;=1,"Lift",IF(AS1351&lt;=0,"Aussenlager","teilweise")))))</f>
        <v>Lift</v>
      </c>
      <c r="BD1351" s="55" t="str">
        <f aca="false">IF(AV1351&lt;=0,"",IF(BU1351="Aussen","Aussenlager",IF(BU1351="-","Nicht im Lift",IF(BA1351&gt;=1,"Lift",IF(BA1351&lt;=0,"Aussenlager","teilweise")))))</f>
        <v>Lift</v>
      </c>
      <c r="BE1351" s="55" t="str">
        <f aca="false">IF(A1351="","",IF(BN1351=1,"Neu; ","")&amp;IF(AND(BN1351=0,BI1351&lt;0),"negativer Bestand (Export "&amp;BI1351&amp;"); ","")&amp;IF(I1351&lt;=0,"Kein Verbrauch; ","")&amp;IF(CD1351&gt;0,"Lift "&amp;U1351&amp;" lt. Liftbericht (Fach "&amp;V1351&amp;" Stk); ",IF(BR1351=1,"Lose – Fläche geschätzt; ",""))&amp;IF(G1351&gt;AP1351,"Überbestand "&amp;ROUND(G1351-AP1351,0)&amp;" Stk / CHF "&amp;ROUND((G1351-AP1351)*F1351,0)&amp;"; ","")&amp;IF(AND(BW1351=1,BX1351&lt;BY1351),"MAX &lt; MB+LG; ","")&amp;IF(AND(CC1351&gt;0,CB1351*10&gt;CC1351),"zu hoch für Tablar; ","")&amp;IF(AND(BN1351=0,OR(BW1351=1,Y1351&lt;&gt;"",S1351&lt;&gt;"",T1351&lt;&gt;"",Z1351&lt;&gt;"")),"manuell übersteuert; ","")&amp;IF(AND(BR1351=0,Q1351=0),"Gebinde unbekannt / Stellmass fehlt; ","")&amp;IF(AND(BR1351=0,N(T1351)&lt;=0,N(P1351)&lt;=0),"Menge pro Gebinde fehlt (Ist = 1 Gebinde); ","")&amp;BM1351)</f>
        <v>negativer Bestand (Export -1); Kein Verbrauch; Lift 1 lt. Liftbericht (Fach 10 Stk); Überbestand 4 Stk / CHF 8035; </v>
      </c>
      <c r="BF1351" s="55"/>
      <c r="BG1351" s="55"/>
      <c r="BH1351" s="62"/>
      <c r="BI1351" s="57" t="n">
        <v>-1</v>
      </c>
      <c r="BJ1351" s="57" t="n">
        <v>10</v>
      </c>
      <c r="BK1351" s="56" t="n">
        <v>-2008.66</v>
      </c>
      <c r="BL1351" s="57" t="n">
        <v>0</v>
      </c>
      <c r="BM1351" s="55"/>
      <c r="BN1351" s="60" t="n">
        <v>0</v>
      </c>
      <c r="BO1351" s="60" t="n">
        <v>1351</v>
      </c>
      <c r="BP1351" s="55" t="str">
        <f aca="false">IF(S1351&lt;&gt;"",UPPER(TRIM(S1351)),IF(O1351="","LOSE",O1351))</f>
        <v>LOSE</v>
      </c>
      <c r="BQ1351" s="57" t="n">
        <f aca="false">IF(BP1351="LOSE",1,IF(N(T1351)&gt;0,T1351,IF(N(P1351)&gt;0,P1351,MAX(1,G1351))))</f>
        <v>1</v>
      </c>
      <c r="BR1351" s="60" t="n">
        <f aca="false">IF(BP1351="LOSE",1,0)</f>
        <v>1</v>
      </c>
      <c r="BS1351" s="59" t="n">
        <f aca="false">IF(BR1351=0,0,IF(N(R1351)&gt;0,R1351,IFERROR(VLOOKUP(D1351,Parameter!$A$35:$C$64,3,0)+0,0)))</f>
        <v>1</v>
      </c>
      <c r="BT1351" s="55" t="n">
        <f aca="false">IF(Y1351&lt;&gt;"",Y1351,X1351)</f>
        <v>1</v>
      </c>
      <c r="BU1351" s="55" t="str">
        <f aca="false">IF(BT1351=1,"L1",IF(OR(BT1351=2,BT1351=3),"L23",IF(BT1351="Aussen","Aussen","-")))</f>
        <v>L1</v>
      </c>
      <c r="BV1351" s="66" t="n">
        <f aca="false">IF(N(Z1351)&gt;0,Z1351,0)</f>
        <v>0</v>
      </c>
      <c r="BW1351" s="60" t="n">
        <f aca="false">IF(ISNUMBER(AC1351),1,0)</f>
        <v>0</v>
      </c>
      <c r="BX1351" s="57" t="n">
        <f aca="false">N(AC1351)</f>
        <v>0</v>
      </c>
      <c r="BY1351" s="57" t="n">
        <f aca="false">N(L1351)+N(M1351)</f>
        <v>5</v>
      </c>
      <c r="BZ1351" s="57" t="n">
        <f aca="false">ROUNDUP(G1351/BQ1351,0)</f>
        <v>9</v>
      </c>
      <c r="CA1351" s="57" t="n">
        <f aca="false">ROUNDUP(BX1351/BQ1351,0)</f>
        <v>0</v>
      </c>
      <c r="CB1351" s="60" t="n">
        <f aca="false">IF(BR1351=1,0,IFERROR(VLOOKUP(BP1351,'Gebinde-Kategorie'!$A$5:$M$45,5,0)+0,0))</f>
        <v>0</v>
      </c>
      <c r="CC1351" s="60" t="n">
        <f aca="false">IFERROR(IF(OR(BT1351=1,BT1351=2,BT1351=3),N(INDEX(Parameter!$I$5:$I$7,BT1351)),0),0)</f>
        <v>0</v>
      </c>
      <c r="CD1351" s="59" t="n">
        <f aca="false">IF(AND(Parameter!$B$21="Ja",ISNUMBER(U1351),N(V1351)&gt;0),IFERROR(N(INDEX(Parameter!$L$5:$L$7,U1351))*INDEX(Parameter!$E$5:$E$7,U1351)*V1351/SUMIFS($V$7:$V$1576,$U$7:$U$1576,U1351),0),0)</f>
        <v>0.800376647834275</v>
      </c>
    </row>
    <row r="1352" customFormat="false" ht="15" hidden="false" customHeight="false" outlineLevel="0" collapsed="false">
      <c r="A1352" s="55" t="s">
        <v>2372</v>
      </c>
      <c r="B1352" s="55" t="s">
        <v>665</v>
      </c>
      <c r="C1352" s="55" t="s">
        <v>160</v>
      </c>
      <c r="D1352" s="55" t="s">
        <v>178</v>
      </c>
      <c r="E1352" s="55" t="s">
        <v>210</v>
      </c>
      <c r="F1352" s="56" t="n">
        <v>14.73</v>
      </c>
      <c r="G1352" s="57" t="n">
        <f aca="false">MAX(0,IF(AND(Parameter!$B$21="Ja",ISNUMBER(W1352)),W1352,IF(Parameter!$B$20="Jahresanfang 2025 + Export",BJ1352+BI1352,BI1352)))</f>
        <v>0</v>
      </c>
      <c r="H1352" s="57" t="n">
        <f aca="false">G1352*F1352</f>
        <v>0</v>
      </c>
      <c r="I1352" s="57" t="n">
        <f aca="false">BL1352*Parameter!$B$18</f>
        <v>188</v>
      </c>
      <c r="J1352" s="58" t="n">
        <v>126</v>
      </c>
      <c r="K1352" s="59" t="n">
        <v>1.49206349206349</v>
      </c>
      <c r="L1352" s="57" t="n">
        <v>35</v>
      </c>
      <c r="M1352" s="57" t="n">
        <v>190</v>
      </c>
      <c r="N1352" s="60" t="n">
        <v>63</v>
      </c>
      <c r="O1352" s="55" t="s">
        <v>218</v>
      </c>
      <c r="P1352" s="57" t="n">
        <v>100</v>
      </c>
      <c r="Q1352" s="60" t="n">
        <f aca="false">IF(BR1352=1,0,IFERROR(VLOOKUP(BP1352,'Gebinde-Kategorie'!$A$5:$M$45,13,0)+0,0))</f>
        <v>12</v>
      </c>
      <c r="R1352" s="61"/>
      <c r="S1352" s="62"/>
      <c r="T1352" s="62"/>
      <c r="U1352" s="55"/>
      <c r="V1352" s="57"/>
      <c r="W1352" s="57"/>
      <c r="X1352" s="55" t="n">
        <f aca="false">IF(A1352="","",IF(AND(Parameter!$B$21="Ja",ISNUMBER(U1352)),U1352,IF(IFERROR(VLOOKUP(D1352,Parameter!$A$35:$C$64,2,0),"Nein")="2+3",IF(ISNUMBER(SEARCH("grosser Artikel",BM1352)),2,IFERROR(VLOOKUP(BP1352,Parameter!$F$35:$G$64,2,0),2)),IF(OR(IFERROR(VLOOKUP(D1352,Parameter!$A$35:$C$64,2,0),"Nein")="Nein",IFERROR(VLOOKUP(D1352,Parameter!$A$35:$C$64,2,0),"Nein")=""),"-",VLOOKUP(D1352,Parameter!$A$35:$C$64,2,0)))))</f>
        <v>2</v>
      </c>
      <c r="Y1352" s="62"/>
      <c r="Z1352" s="63"/>
      <c r="AA1352" s="57" t="n">
        <f aca="false">AP1352</f>
        <v>300</v>
      </c>
      <c r="AB1352" s="57" t="n">
        <f aca="false">MAX(AP1352,G1352)</f>
        <v>300</v>
      </c>
      <c r="AC1352" s="64"/>
      <c r="AD1352" s="57" t="n">
        <f aca="false">IF(LEFT(Cockpit!$C$5,1)="A",G1352,IF(BW1352=1,BX1352,IF(LEFT(Cockpit!$C$5,1)="B",AH1352,MAX(AH1352,G1352))))</f>
        <v>0</v>
      </c>
      <c r="AE1352" s="57" t="n">
        <f aca="false">IF(BR1352=1,0,ROUNDUP(AD1352/BQ1352,0))</f>
        <v>0</v>
      </c>
      <c r="AF1352" s="59" t="n">
        <f aca="false">IF(CD1352&gt;0,CD1352*MAX(1,AD1352/V1352),IF(BR1352=1,IF(AD1352&lt;=0,0,BS1352*MAX(1,IF(G1352&gt;0,AD1352/G1352,1))),IF(Q1352&gt;0,AE1352/Q1352,0))/MAX(0.1,N(Parameter!$M$21)))</f>
        <v>0</v>
      </c>
      <c r="AG1352" s="57" t="n">
        <f aca="false">AD1352*F1352</f>
        <v>0</v>
      </c>
      <c r="AH1352" s="57" t="n">
        <f aca="false">ROUNDUP(MAX(I1352/IF(BV1352&gt;0,BV1352,MAX(0.1,N(Cockpit!$C$6))),BY1352)/BQ1352,0)*BQ1352</f>
        <v>300</v>
      </c>
      <c r="AI1352" s="58" t="n">
        <f aca="false">IF(AF1352&gt;0,I1352/AF1352,-1)</f>
        <v>-1</v>
      </c>
      <c r="AJ1352" s="58" t="str">
        <f aca="false">IF(AND(OR(BU1352="L1",BU1352="L23"),AF1352&gt;0),SUMIFS($AF$7:$AF$1576,$BU$7:$BU$1576,BU1352,$AI$7:$AI$1576,"&gt;"&amp;AI1352)+SUMIFS($AF$7:$AF$1576,$BU$7:$BU$1576,BU1352,$AI$7:$AI$1576,AI1352,$BO$7:$BO$1576,"&lt;="&amp;BO1352),"")</f>
        <v/>
      </c>
      <c r="AK1352" s="65" t="n">
        <f aca="false">IF(AJ1352="",0,MAX(0,MIN(1,(IF(BU1352="L1",Parameter!$E$5,Parameter!$E$6+Parameter!$E$7)-(AJ1352-AF1352))/AF1352)))</f>
        <v>0</v>
      </c>
      <c r="AL1352" s="57" t="n">
        <f aca="false">IF(LEFT(Cockpit!$I$5,1)="A",G1352,IF(BW1352=1,BX1352,IF(LEFT(Cockpit!$I$5,1)="B",AP1352,MAX(AP1352,G1352))))</f>
        <v>300</v>
      </c>
      <c r="AM1352" s="57" t="n">
        <f aca="false">IF(BR1352=1,0,ROUNDUP(AL1352/BQ1352,0))</f>
        <v>3</v>
      </c>
      <c r="AN1352" s="59" t="n">
        <f aca="false">IF(CD1352&gt;0,CD1352*MAX(1,AL1352/V1352),IF(BR1352=1,IF(AL1352&lt;=0,0,BS1352*MAX(1,IF(G1352&gt;0,AL1352/G1352,1))),IF(Q1352&gt;0,AM1352/Q1352,0))/MAX(0.1,N(Parameter!$M$21)))</f>
        <v>0.25</v>
      </c>
      <c r="AO1352" s="57" t="n">
        <f aca="false">AL1352*F1352</f>
        <v>4419</v>
      </c>
      <c r="AP1352" s="57" t="n">
        <f aca="false">ROUNDUP(MAX(I1352/IF(BV1352&gt;0,BV1352,MAX(0.1,N(Cockpit!$I$6))),BY1352)/BQ1352,0)*BQ1352</f>
        <v>300</v>
      </c>
      <c r="AQ1352" s="58" t="n">
        <f aca="false">IF(AN1352&gt;0,I1352/AN1352,-1)</f>
        <v>752</v>
      </c>
      <c r="AR1352" s="58" t="n">
        <f aca="false">IF(AND(OR(BU1352="L1",BU1352="L23"),AN1352&gt;0),SUMIFS($AN$7:$AN$1576,$BU$7:$BU$1576,BU1352,$AQ$7:$AQ$1576,"&gt;"&amp;AQ1352)+SUMIFS($AN$7:$AN$1576,$BU$7:$BU$1576,BU1352,$AQ$7:$AQ$1576,AQ1352,$BO$7:$BO$1576,"&lt;="&amp;BO1352),"")</f>
        <v>27.1963538035389</v>
      </c>
      <c r="AS1352" s="65" t="n">
        <f aca="false">IF(AR1352="",0,MAX(0,MIN(1,(IF(BU1352="L1",Parameter!$E$5,Parameter!$E$6+Parameter!$E$7)-(AR1352-AN1352))/AN1352)))</f>
        <v>1</v>
      </c>
      <c r="AT1352" s="57" t="n">
        <f aca="false">IF(LEFT(Cockpit!$O$5,1)="A",G1352,IF(BW1352=1,BX1352,IF(LEFT(Cockpit!$O$5,1)="B",AX1352,MAX(AX1352,G1352))))</f>
        <v>300</v>
      </c>
      <c r="AU1352" s="57" t="n">
        <f aca="false">IF(BR1352=1,0,ROUNDUP(AT1352/BQ1352,0))</f>
        <v>3</v>
      </c>
      <c r="AV1352" s="59" t="n">
        <f aca="false">IF(CD1352&gt;0,CD1352*MAX(1,AT1352/V1352),IF(BR1352=1,IF(AT1352&lt;=0,0,BS1352*MAX(1,IF(G1352&gt;0,AT1352/G1352,1))),IF(Q1352&gt;0,AU1352/Q1352,0))/MAX(0.1,N(Parameter!$M$21)))</f>
        <v>0.25</v>
      </c>
      <c r="AW1352" s="57" t="n">
        <f aca="false">AT1352*F1352</f>
        <v>4419</v>
      </c>
      <c r="AX1352" s="57" t="n">
        <f aca="false">ROUNDUP(MAX(I1352/IF(BV1352&gt;0,BV1352,MAX(0.1,N(Cockpit!$O$6))),BY1352)/BQ1352,0)*BQ1352</f>
        <v>300</v>
      </c>
      <c r="AY1352" s="58" t="n">
        <f aca="false">IF(AV1352&gt;0,I1352/AV1352,-1)</f>
        <v>752</v>
      </c>
      <c r="AZ1352" s="58" t="n">
        <f aca="false">IF(AND(OR(BU1352="L1",BU1352="L23"),AV1352&gt;0),SUMIFS($AV$7:$AV$1576,$BU$7:$BU$1576,BU1352,$AY$7:$AY$1576,"&gt;"&amp;AY1352)+SUMIFS($AV$7:$AV$1576,$BU$7:$BU$1576,BU1352,$AY$7:$AY$1576,AY1352,$BO$7:$BO$1576,"&lt;="&amp;BO1352),"")</f>
        <v>27.2633701205552</v>
      </c>
      <c r="BA1352" s="65" t="n">
        <f aca="false">IF(AZ1352="",0,MAX(0,MIN(1,(IF(BU1352="L1",Parameter!$E$5,Parameter!$E$6+Parameter!$E$7)-(AZ1352-AV1352))/AV1352)))</f>
        <v>1</v>
      </c>
      <c r="BB1352" s="55" t="str">
        <f aca="false">IF(AF1352&lt;=0,"",IF(BU1352="Aussen","Aussenlager",IF(BU1352="-","Nicht im Lift",IF(AK1352&gt;=1,"Lift",IF(AK1352&lt;=0,"Aussenlager","teilweise")))))</f>
        <v/>
      </c>
      <c r="BC1352" s="55" t="str">
        <f aca="false">IF(AN1352&lt;=0,"",IF(BU1352="Aussen","Aussenlager",IF(BU1352="-","Nicht im Lift",IF(AS1352&gt;=1,"Lift",IF(AS1352&lt;=0,"Aussenlager","teilweise")))))</f>
        <v>Lift</v>
      </c>
      <c r="BD1352" s="55" t="str">
        <f aca="false">IF(AV1352&lt;=0,"",IF(BU1352="Aussen","Aussenlager",IF(BU1352="-","Nicht im Lift",IF(BA1352&gt;=1,"Lift",IF(BA1352&lt;=0,"Aussenlager","teilweise")))))</f>
        <v>Lift</v>
      </c>
      <c r="BE1352" s="55" t="str">
        <f aca="false">IF(A1352="","",IF(BN1352=1,"Neu; ","")&amp;IF(AND(BN1352=0,BI1352&lt;0),"negativer Bestand (Export "&amp;BI1352&amp;"); ","")&amp;IF(I1352&lt;=0,"Kein Verbrauch; ","")&amp;IF(CD1352&gt;0,"Lift "&amp;U1352&amp;" lt. Liftbericht (Fach "&amp;V1352&amp;" Stk); ",IF(BR1352=1,"Lose – Fläche geschätzt; ",""))&amp;IF(G1352&gt;AP1352,"Überbestand "&amp;ROUND(G1352-AP1352,0)&amp;" Stk / CHF "&amp;ROUND((G1352-AP1352)*F1352,0)&amp;"; ","")&amp;IF(AND(BW1352=1,BX1352&lt;BY1352),"MAX &lt; MB+LG; ","")&amp;IF(AND(CC1352&gt;0,CB1352*10&gt;CC1352),"zu hoch für Tablar; ","")&amp;IF(AND(BN1352=0,OR(BW1352=1,Y1352&lt;&gt;"",S1352&lt;&gt;"",T1352&lt;&gt;"",Z1352&lt;&gt;"")),"manuell übersteuert; ","")&amp;IF(AND(BR1352=0,Q1352=0),"Gebinde unbekannt / Stellmass fehlt; ","")&amp;IF(AND(BR1352=0,N(T1352)&lt;=0,N(P1352)&lt;=0),"Menge pro Gebinde fehlt (Ist = 1 Gebinde); ","")&amp;BM1352)</f>
        <v>negativer Bestand (Export -139); </v>
      </c>
      <c r="BF1352" s="55"/>
      <c r="BG1352" s="55"/>
      <c r="BH1352" s="62"/>
      <c r="BI1352" s="57" t="n">
        <v>-139</v>
      </c>
      <c r="BJ1352" s="57" t="n">
        <v>200</v>
      </c>
      <c r="BK1352" s="56" t="n">
        <v>-2015.47</v>
      </c>
      <c r="BL1352" s="57" t="n">
        <v>188</v>
      </c>
      <c r="BM1352" s="55"/>
      <c r="BN1352" s="60" t="n">
        <v>0</v>
      </c>
      <c r="BO1352" s="60" t="n">
        <v>1352</v>
      </c>
      <c r="BP1352" s="55" t="str">
        <f aca="false">IF(S1352&lt;&gt;"",UPPER(TRIM(S1352)),IF(O1352="","LOSE",O1352))</f>
        <v>S63</v>
      </c>
      <c r="BQ1352" s="57" t="n">
        <f aca="false">IF(BP1352="LOSE",1,IF(N(T1352)&gt;0,T1352,IF(N(P1352)&gt;0,P1352,MAX(1,G1352))))</f>
        <v>100</v>
      </c>
      <c r="BR1352" s="60" t="n">
        <f aca="false">IF(BP1352="LOSE",1,0)</f>
        <v>0</v>
      </c>
      <c r="BS1352" s="59" t="n">
        <f aca="false">IF(BR1352=0,0,IF(N(R1352)&gt;0,R1352,IFERROR(VLOOKUP(D1352,Parameter!$A$35:$C$64,3,0)+0,0)))</f>
        <v>0</v>
      </c>
      <c r="BT1352" s="55" t="n">
        <f aca="false">IF(Y1352&lt;&gt;"",Y1352,X1352)</f>
        <v>2</v>
      </c>
      <c r="BU1352" s="55" t="str">
        <f aca="false">IF(BT1352=1,"L1",IF(OR(BT1352=2,BT1352=3),"L23",IF(BT1352="Aussen","Aussen","-")))</f>
        <v>L23</v>
      </c>
      <c r="BV1352" s="66" t="n">
        <f aca="false">IF(N(Z1352)&gt;0,Z1352,0)</f>
        <v>0</v>
      </c>
      <c r="BW1352" s="60" t="n">
        <f aca="false">IF(ISNUMBER(AC1352),1,0)</f>
        <v>0</v>
      </c>
      <c r="BX1352" s="57" t="n">
        <f aca="false">N(AC1352)</f>
        <v>0</v>
      </c>
      <c r="BY1352" s="57" t="n">
        <f aca="false">N(L1352)+N(M1352)</f>
        <v>225</v>
      </c>
      <c r="BZ1352" s="57" t="n">
        <f aca="false">ROUNDUP(G1352/BQ1352,0)</f>
        <v>0</v>
      </c>
      <c r="CA1352" s="57" t="n">
        <f aca="false">ROUNDUP(BX1352/BQ1352,0)</f>
        <v>0</v>
      </c>
      <c r="CB1352" s="60" t="n">
        <f aca="false">IF(BR1352=1,0,IFERROR(VLOOKUP(BP1352,'Gebinde-Kategorie'!$A$5:$M$45,5,0)+0,0))</f>
        <v>31</v>
      </c>
      <c r="CC1352" s="60" t="n">
        <f aca="false">IFERROR(IF(OR(BT1352=1,BT1352=2,BT1352=3),N(INDEX(Parameter!$I$5:$I$7,BT1352)),0),0)</f>
        <v>0</v>
      </c>
      <c r="CD1352" s="59" t="n">
        <f aca="false">IF(AND(Parameter!$B$21="Ja",ISNUMBER(U1352),N(V1352)&gt;0),IFERROR(N(INDEX(Parameter!$L$5:$L$7,U1352))*INDEX(Parameter!$E$5:$E$7,U1352)*V1352/SUMIFS($V$7:$V$1576,$U$7:$U$1576,U1352),0),0)</f>
        <v>0</v>
      </c>
    </row>
    <row r="1353" customFormat="false" ht="15" hidden="false" customHeight="false" outlineLevel="0" collapsed="false">
      <c r="A1353" s="55" t="s">
        <v>2373</v>
      </c>
      <c r="B1353" s="55" t="s">
        <v>706</v>
      </c>
      <c r="C1353" s="55" t="s">
        <v>160</v>
      </c>
      <c r="D1353" s="55" t="s">
        <v>168</v>
      </c>
      <c r="E1353" s="55" t="s">
        <v>210</v>
      </c>
      <c r="F1353" s="56" t="n">
        <v>107.1</v>
      </c>
      <c r="G1353" s="57" t="n">
        <f aca="false">MAX(0,IF(AND(Parameter!$B$21="Ja",ISNUMBER(W1353)),W1353,IF(Parameter!$B$20="Jahresanfang 2025 + Export",BJ1353+BI1353,BI1353)))</f>
        <v>0</v>
      </c>
      <c r="H1353" s="57" t="n">
        <f aca="false">G1353*F1353</f>
        <v>0</v>
      </c>
      <c r="I1353" s="57" t="n">
        <f aca="false">BL1353*Parameter!$B$18</f>
        <v>14</v>
      </c>
      <c r="J1353" s="58" t="n">
        <v>54</v>
      </c>
      <c r="K1353" s="59" t="n">
        <v>0.259259259259259</v>
      </c>
      <c r="L1353" s="57" t="n">
        <v>0</v>
      </c>
      <c r="M1353" s="57" t="n">
        <v>15</v>
      </c>
      <c r="N1353" s="60" t="n">
        <v>21</v>
      </c>
      <c r="O1353" s="55" t="s">
        <v>179</v>
      </c>
      <c r="P1353" s="57" t="n">
        <v>56</v>
      </c>
      <c r="Q1353" s="60" t="n">
        <f aca="false">IF(BR1353=1,0,IFERROR(VLOOKUP(BP1353,'Gebinde-Kategorie'!$A$5:$M$45,13,0)+0,0))</f>
        <v>12</v>
      </c>
      <c r="R1353" s="61"/>
      <c r="S1353" s="62"/>
      <c r="T1353" s="62"/>
      <c r="U1353" s="55"/>
      <c r="V1353" s="57"/>
      <c r="W1353" s="57"/>
      <c r="X1353" s="55" t="n">
        <f aca="false">IF(A1353="","",IF(AND(Parameter!$B$21="Ja",ISNUMBER(U1353)),U1353,IF(IFERROR(VLOOKUP(D1353,Parameter!$A$35:$C$64,2,0),"Nein")="2+3",IF(ISNUMBER(SEARCH("grosser Artikel",BM1353)),2,IFERROR(VLOOKUP(BP1353,Parameter!$F$35:$G$64,2,0),2)),IF(OR(IFERROR(VLOOKUP(D1353,Parameter!$A$35:$C$64,2,0),"Nein")="Nein",IFERROR(VLOOKUP(D1353,Parameter!$A$35:$C$64,2,0),"Nein")=""),"-",VLOOKUP(D1353,Parameter!$A$35:$C$64,2,0)))))</f>
        <v>2</v>
      </c>
      <c r="Y1353" s="62"/>
      <c r="Z1353" s="63"/>
      <c r="AA1353" s="57" t="n">
        <f aca="false">AP1353</f>
        <v>56</v>
      </c>
      <c r="AB1353" s="57" t="n">
        <f aca="false">MAX(AP1353,G1353)</f>
        <v>56</v>
      </c>
      <c r="AC1353" s="64"/>
      <c r="AD1353" s="57" t="n">
        <f aca="false">IF(LEFT(Cockpit!$C$5,1)="A",G1353,IF(BW1353=1,BX1353,IF(LEFT(Cockpit!$C$5,1)="B",AH1353,MAX(AH1353,G1353))))</f>
        <v>0</v>
      </c>
      <c r="AE1353" s="57" t="n">
        <f aca="false">IF(BR1353=1,0,ROUNDUP(AD1353/BQ1353,0))</f>
        <v>0</v>
      </c>
      <c r="AF1353" s="59" t="n">
        <f aca="false">IF(CD1353&gt;0,CD1353*MAX(1,AD1353/V1353),IF(BR1353=1,IF(AD1353&lt;=0,0,BS1353*MAX(1,IF(G1353&gt;0,AD1353/G1353,1))),IF(Q1353&gt;0,AE1353/Q1353,0))/MAX(0.1,N(Parameter!$M$21)))</f>
        <v>0</v>
      </c>
      <c r="AG1353" s="57" t="n">
        <f aca="false">AD1353*F1353</f>
        <v>0</v>
      </c>
      <c r="AH1353" s="57" t="n">
        <f aca="false">ROUNDUP(MAX(I1353/IF(BV1353&gt;0,BV1353,MAX(0.1,N(Cockpit!$C$6))),BY1353)/BQ1353,0)*BQ1353</f>
        <v>56</v>
      </c>
      <c r="AI1353" s="58" t="n">
        <f aca="false">IF(AF1353&gt;0,I1353/AF1353,-1)</f>
        <v>-1</v>
      </c>
      <c r="AJ1353" s="58" t="str">
        <f aca="false">IF(AND(OR(BU1353="L1",BU1353="L23"),AF1353&gt;0),SUMIFS($AF$7:$AF$1576,$BU$7:$BU$1576,BU1353,$AI$7:$AI$1576,"&gt;"&amp;AI1353)+SUMIFS($AF$7:$AF$1576,$BU$7:$BU$1576,BU1353,$AI$7:$AI$1576,AI1353,$BO$7:$BO$1576,"&lt;="&amp;BO1353),"")</f>
        <v/>
      </c>
      <c r="AK1353" s="65" t="n">
        <f aca="false">IF(AJ1353="",0,MAX(0,MIN(1,(IF(BU1353="L1",Parameter!$E$5,Parameter!$E$6+Parameter!$E$7)-(AJ1353-AF1353))/AF1353)))</f>
        <v>0</v>
      </c>
      <c r="AL1353" s="57" t="n">
        <f aca="false">IF(LEFT(Cockpit!$I$5,1)="A",G1353,IF(BW1353=1,BX1353,IF(LEFT(Cockpit!$I$5,1)="B",AP1353,MAX(AP1353,G1353))))</f>
        <v>56</v>
      </c>
      <c r="AM1353" s="57" t="n">
        <f aca="false">IF(BR1353=1,0,ROUNDUP(AL1353/BQ1353,0))</f>
        <v>1</v>
      </c>
      <c r="AN1353" s="59" t="n">
        <f aca="false">IF(CD1353&gt;0,CD1353*MAX(1,AL1353/V1353),IF(BR1353=1,IF(AL1353&lt;=0,0,BS1353*MAX(1,IF(G1353&gt;0,AL1353/G1353,1))),IF(Q1353&gt;0,AM1353/Q1353,0))/MAX(0.1,N(Parameter!$M$21)))</f>
        <v>0.0833333333333333</v>
      </c>
      <c r="AO1353" s="57" t="n">
        <f aca="false">AL1353*F1353</f>
        <v>5997.6</v>
      </c>
      <c r="AP1353" s="57" t="n">
        <f aca="false">ROUNDUP(MAX(I1353/IF(BV1353&gt;0,BV1353,MAX(0.1,N(Cockpit!$I$6))),BY1353)/BQ1353,0)*BQ1353</f>
        <v>56</v>
      </c>
      <c r="AQ1353" s="58" t="n">
        <f aca="false">IF(AN1353&gt;0,I1353/AN1353,-1)</f>
        <v>168</v>
      </c>
      <c r="AR1353" s="58" t="n">
        <f aca="false">IF(AND(OR(BU1353="L1",BU1353="L23"),AN1353&gt;0),SUMIFS($AN$7:$AN$1576,$BU$7:$BU$1576,BU1353,$AQ$7:$AQ$1576,"&gt;"&amp;AQ1353)+SUMIFS($AN$7:$AN$1576,$BU$7:$BU$1576,BU1353,$AQ$7:$AQ$1576,AQ1353,$BO$7:$BO$1576,"&lt;="&amp;BO1353),"")</f>
        <v>53.2033893284005</v>
      </c>
      <c r="AS1353" s="65" t="n">
        <f aca="false">IF(AR1353="",0,MAX(0,MIN(1,(IF(BU1353="L1",Parameter!$E$5,Parameter!$E$6+Parameter!$E$7)-(AR1353-AN1353))/AN1353)))</f>
        <v>1</v>
      </c>
      <c r="AT1353" s="57" t="n">
        <f aca="false">IF(LEFT(Cockpit!$O$5,1)="A",G1353,IF(BW1353=1,BX1353,IF(LEFT(Cockpit!$O$5,1)="B",AX1353,MAX(AX1353,G1353))))</f>
        <v>56</v>
      </c>
      <c r="AU1353" s="57" t="n">
        <f aca="false">IF(BR1353=1,0,ROUNDUP(AT1353/BQ1353,0))</f>
        <v>1</v>
      </c>
      <c r="AV1353" s="59" t="n">
        <f aca="false">IF(CD1353&gt;0,CD1353*MAX(1,AT1353/V1353),IF(BR1353=1,IF(AT1353&lt;=0,0,BS1353*MAX(1,IF(G1353&gt;0,AT1353/G1353,1))),IF(Q1353&gt;0,AU1353/Q1353,0))/MAX(0.1,N(Parameter!$M$21)))</f>
        <v>0.0833333333333333</v>
      </c>
      <c r="AW1353" s="57" t="n">
        <f aca="false">AT1353*F1353</f>
        <v>5997.6</v>
      </c>
      <c r="AX1353" s="57" t="n">
        <f aca="false">ROUNDUP(MAX(I1353/IF(BV1353&gt;0,BV1353,MAX(0.1,N(Cockpit!$O$6))),BY1353)/BQ1353,0)*BQ1353</f>
        <v>56</v>
      </c>
      <c r="AY1353" s="58" t="n">
        <f aca="false">IF(AV1353&gt;0,I1353/AV1353,-1)</f>
        <v>168</v>
      </c>
      <c r="AZ1353" s="58" t="n">
        <f aca="false">IF(AND(OR(BU1353="L1",BU1353="L23"),AV1353&gt;0),SUMIFS($AV$7:$AV$1576,$BU$7:$BU$1576,BU1353,$AY$7:$AY$1576,"&gt;"&amp;AY1353)+SUMIFS($AV$7:$AV$1576,$BU$7:$BU$1576,BU1353,$AY$7:$AY$1576,AY1353,$BO$7:$BO$1576,"&lt;="&amp;BO1353),"")</f>
        <v>49.0353640203752</v>
      </c>
      <c r="BA1353" s="65" t="n">
        <f aca="false">IF(AZ1353="",0,MAX(0,MIN(1,(IF(BU1353="L1",Parameter!$E$5,Parameter!$E$6+Parameter!$E$7)-(AZ1353-AV1353))/AV1353)))</f>
        <v>1</v>
      </c>
      <c r="BB1353" s="55" t="str">
        <f aca="false">IF(AF1353&lt;=0,"",IF(BU1353="Aussen","Aussenlager",IF(BU1353="-","Nicht im Lift",IF(AK1353&gt;=1,"Lift",IF(AK1353&lt;=0,"Aussenlager","teilweise")))))</f>
        <v/>
      </c>
      <c r="BC1353" s="55" t="str">
        <f aca="false">IF(AN1353&lt;=0,"",IF(BU1353="Aussen","Aussenlager",IF(BU1353="-","Nicht im Lift",IF(AS1353&gt;=1,"Lift",IF(AS1353&lt;=0,"Aussenlager","teilweise")))))</f>
        <v>Lift</v>
      </c>
      <c r="BD1353" s="55" t="str">
        <f aca="false">IF(AV1353&lt;=0,"",IF(BU1353="Aussen","Aussenlager",IF(BU1353="-","Nicht im Lift",IF(BA1353&gt;=1,"Lift",IF(BA1353&lt;=0,"Aussenlager","teilweise")))))</f>
        <v>Lift</v>
      </c>
      <c r="BE1353" s="55" t="str">
        <f aca="false">IF(A1353="","",IF(BN1353=1,"Neu; ","")&amp;IF(AND(BN1353=0,BI1353&lt;0),"negativer Bestand (Export "&amp;BI1353&amp;"); ","")&amp;IF(I1353&lt;=0,"Kein Verbrauch; ","")&amp;IF(CD1353&gt;0,"Lift "&amp;U1353&amp;" lt. Liftbericht (Fach "&amp;V1353&amp;" Stk); ",IF(BR1353=1,"Lose – Fläche geschätzt; ",""))&amp;IF(G1353&gt;AP1353,"Überbestand "&amp;ROUND(G1353-AP1353,0)&amp;" Stk / CHF "&amp;ROUND((G1353-AP1353)*F1353,0)&amp;"; ","")&amp;IF(AND(BW1353=1,BX1353&lt;BY1353),"MAX &lt; MB+LG; ","")&amp;IF(AND(CC1353&gt;0,CB1353*10&gt;CC1353),"zu hoch für Tablar; ","")&amp;IF(AND(BN1353=0,OR(BW1353=1,Y1353&lt;&gt;"",S1353&lt;&gt;"",T1353&lt;&gt;"",Z1353&lt;&gt;"")),"manuell übersteuert; ","")&amp;IF(AND(BR1353=0,Q1353=0),"Gebinde unbekannt / Stellmass fehlt; ","")&amp;IF(AND(BR1353=0,N(T1353)&lt;=0,N(P1353)&lt;=0),"Menge pro Gebinde fehlt (Ist = 1 Gebinde); ","")&amp;BM1353)</f>
        <v>negativer Bestand (Export -19); Neu</v>
      </c>
      <c r="BF1353" s="55"/>
      <c r="BG1353" s="55"/>
      <c r="BH1353" s="62"/>
      <c r="BI1353" s="57" t="n">
        <v>-19</v>
      </c>
      <c r="BJ1353" s="57" t="n">
        <v>61</v>
      </c>
      <c r="BK1353" s="56" t="n">
        <v>-2034.9</v>
      </c>
      <c r="BL1353" s="57" t="n">
        <v>14</v>
      </c>
      <c r="BM1353" s="55" t="s">
        <v>615</v>
      </c>
      <c r="BN1353" s="60" t="n">
        <v>0</v>
      </c>
      <c r="BO1353" s="60" t="n">
        <v>1353</v>
      </c>
      <c r="BP1353" s="55" t="str">
        <f aca="false">IF(S1353&lt;&gt;"",UPPER(TRIM(S1353)),IF(O1353="","LOSE",O1353))</f>
        <v>S61</v>
      </c>
      <c r="BQ1353" s="57" t="n">
        <f aca="false">IF(BP1353="LOSE",1,IF(N(T1353)&gt;0,T1353,IF(N(P1353)&gt;0,P1353,MAX(1,G1353))))</f>
        <v>56</v>
      </c>
      <c r="BR1353" s="60" t="n">
        <f aca="false">IF(BP1353="LOSE",1,0)</f>
        <v>0</v>
      </c>
      <c r="BS1353" s="59" t="n">
        <f aca="false">IF(BR1353=0,0,IF(N(R1353)&gt;0,R1353,IFERROR(VLOOKUP(D1353,Parameter!$A$35:$C$64,3,0)+0,0)))</f>
        <v>0</v>
      </c>
      <c r="BT1353" s="55" t="n">
        <f aca="false">IF(Y1353&lt;&gt;"",Y1353,X1353)</f>
        <v>2</v>
      </c>
      <c r="BU1353" s="55" t="str">
        <f aca="false">IF(BT1353=1,"L1",IF(OR(BT1353=2,BT1353=3),"L23",IF(BT1353="Aussen","Aussen","-")))</f>
        <v>L23</v>
      </c>
      <c r="BV1353" s="66" t="n">
        <f aca="false">IF(N(Z1353)&gt;0,Z1353,0)</f>
        <v>0</v>
      </c>
      <c r="BW1353" s="60" t="n">
        <f aca="false">IF(ISNUMBER(AC1353),1,0)</f>
        <v>0</v>
      </c>
      <c r="BX1353" s="57" t="n">
        <f aca="false">N(AC1353)</f>
        <v>0</v>
      </c>
      <c r="BY1353" s="57" t="n">
        <f aca="false">N(L1353)+N(M1353)</f>
        <v>15</v>
      </c>
      <c r="BZ1353" s="57" t="n">
        <f aca="false">ROUNDUP(G1353/BQ1353,0)</f>
        <v>0</v>
      </c>
      <c r="CA1353" s="57" t="n">
        <f aca="false">ROUNDUP(BX1353/BQ1353,0)</f>
        <v>0</v>
      </c>
      <c r="CB1353" s="60" t="n">
        <f aca="false">IF(BR1353=1,0,IFERROR(VLOOKUP(BP1353,'Gebinde-Kategorie'!$A$5:$M$45,5,0)+0,0))</f>
        <v>11</v>
      </c>
      <c r="CC1353" s="60" t="n">
        <f aca="false">IFERROR(IF(OR(BT1353=1,BT1353=2,BT1353=3),N(INDEX(Parameter!$I$5:$I$7,BT1353)),0),0)</f>
        <v>0</v>
      </c>
      <c r="CD1353" s="59" t="n">
        <f aca="false">IF(AND(Parameter!$B$21="Ja",ISNUMBER(U1353),N(V1353)&gt;0),IFERROR(N(INDEX(Parameter!$L$5:$L$7,U1353))*INDEX(Parameter!$E$5:$E$7,U1353)*V1353/SUMIFS($V$7:$V$1576,$U$7:$U$1576,U1353),0),0)</f>
        <v>0</v>
      </c>
    </row>
    <row r="1354" customFormat="false" ht="15" hidden="false" customHeight="false" outlineLevel="0" collapsed="false">
      <c r="A1354" s="55" t="s">
        <v>2374</v>
      </c>
      <c r="B1354" s="55" t="s">
        <v>2375</v>
      </c>
      <c r="C1354" s="55" t="s">
        <v>160</v>
      </c>
      <c r="D1354" s="55" t="s">
        <v>168</v>
      </c>
      <c r="E1354" s="55" t="s">
        <v>210</v>
      </c>
      <c r="F1354" s="56" t="n">
        <v>104.19</v>
      </c>
      <c r="G1354" s="57" t="n">
        <f aca="false">MAX(0,IF(AND(Parameter!$B$21="Ja",ISNUMBER(W1354)),W1354,IF(Parameter!$B$20="Jahresanfang 2025 + Export",BJ1354+BI1354,BI1354)))</f>
        <v>0</v>
      </c>
      <c r="H1354" s="57" t="n">
        <f aca="false">G1354*F1354</f>
        <v>0</v>
      </c>
      <c r="I1354" s="57" t="n">
        <f aca="false">BL1354*Parameter!$B$18</f>
        <v>458</v>
      </c>
      <c r="J1354" s="58" t="n">
        <v>140.5</v>
      </c>
      <c r="K1354" s="59" t="n">
        <v>3.25978647686833</v>
      </c>
      <c r="L1354" s="57" t="n">
        <v>26</v>
      </c>
      <c r="M1354" s="57" t="n">
        <v>110</v>
      </c>
      <c r="N1354" s="60" t="n">
        <v>21</v>
      </c>
      <c r="O1354" s="55" t="s">
        <v>169</v>
      </c>
      <c r="P1354" s="57" t="n">
        <v>56</v>
      </c>
      <c r="Q1354" s="60" t="n">
        <f aca="false">IF(BR1354=1,0,IFERROR(VLOOKUP(BP1354,'Gebinde-Kategorie'!$A$5:$M$45,13,0)+0,0))</f>
        <v>6</v>
      </c>
      <c r="R1354" s="61"/>
      <c r="S1354" s="62"/>
      <c r="T1354" s="62"/>
      <c r="U1354" s="55"/>
      <c r="V1354" s="57"/>
      <c r="W1354" s="57"/>
      <c r="X1354" s="55" t="n">
        <f aca="false">IF(A1354="","",IF(AND(Parameter!$B$21="Ja",ISNUMBER(U1354)),U1354,IF(IFERROR(VLOOKUP(D1354,Parameter!$A$35:$C$64,2,0),"Nein")="2+3",IF(ISNUMBER(SEARCH("grosser Artikel",BM1354)),2,IFERROR(VLOOKUP(BP1354,Parameter!$F$35:$G$64,2,0),2)),IF(OR(IFERROR(VLOOKUP(D1354,Parameter!$A$35:$C$64,2,0),"Nein")="Nein",IFERROR(VLOOKUP(D1354,Parameter!$A$35:$C$64,2,0),"Nein")=""),"-",VLOOKUP(D1354,Parameter!$A$35:$C$64,2,0)))))</f>
        <v>2</v>
      </c>
      <c r="Y1354" s="62"/>
      <c r="Z1354" s="63"/>
      <c r="AA1354" s="57" t="n">
        <f aca="false">AP1354</f>
        <v>280</v>
      </c>
      <c r="AB1354" s="57" t="n">
        <f aca="false">MAX(AP1354,G1354)</f>
        <v>280</v>
      </c>
      <c r="AC1354" s="64"/>
      <c r="AD1354" s="57" t="n">
        <f aca="false">IF(LEFT(Cockpit!$C$5,1)="A",G1354,IF(BW1354=1,BX1354,IF(LEFT(Cockpit!$C$5,1)="B",AH1354,MAX(AH1354,G1354))))</f>
        <v>0</v>
      </c>
      <c r="AE1354" s="57" t="n">
        <f aca="false">IF(BR1354=1,0,ROUNDUP(AD1354/BQ1354,0))</f>
        <v>0</v>
      </c>
      <c r="AF1354" s="59" t="n">
        <f aca="false">IF(CD1354&gt;0,CD1354*MAX(1,AD1354/V1354),IF(BR1354=1,IF(AD1354&lt;=0,0,BS1354*MAX(1,IF(G1354&gt;0,AD1354/G1354,1))),IF(Q1354&gt;0,AE1354/Q1354,0))/MAX(0.1,N(Parameter!$M$21)))</f>
        <v>0</v>
      </c>
      <c r="AG1354" s="57" t="n">
        <f aca="false">AD1354*F1354</f>
        <v>0</v>
      </c>
      <c r="AH1354" s="57" t="n">
        <f aca="false">ROUNDUP(MAX(I1354/IF(BV1354&gt;0,BV1354,MAX(0.1,N(Cockpit!$C$6))),BY1354)/BQ1354,0)*BQ1354</f>
        <v>280</v>
      </c>
      <c r="AI1354" s="58" t="n">
        <f aca="false">IF(AF1354&gt;0,I1354/AF1354,-1)</f>
        <v>-1</v>
      </c>
      <c r="AJ1354" s="58" t="str">
        <f aca="false">IF(AND(OR(BU1354="L1",BU1354="L23"),AF1354&gt;0),SUMIFS($AF$7:$AF$1576,$BU$7:$BU$1576,BU1354,$AI$7:$AI$1576,"&gt;"&amp;AI1354)+SUMIFS($AF$7:$AF$1576,$BU$7:$BU$1576,BU1354,$AI$7:$AI$1576,AI1354,$BO$7:$BO$1576,"&lt;="&amp;BO1354),"")</f>
        <v/>
      </c>
      <c r="AK1354" s="65" t="n">
        <f aca="false">IF(AJ1354="",0,MAX(0,MIN(1,(IF(BU1354="L1",Parameter!$E$5,Parameter!$E$6+Parameter!$E$7)-(AJ1354-AF1354))/AF1354)))</f>
        <v>0</v>
      </c>
      <c r="AL1354" s="57" t="n">
        <f aca="false">IF(LEFT(Cockpit!$I$5,1)="A",G1354,IF(BW1354=1,BX1354,IF(LEFT(Cockpit!$I$5,1)="B",AP1354,MAX(AP1354,G1354))))</f>
        <v>280</v>
      </c>
      <c r="AM1354" s="57" t="n">
        <f aca="false">IF(BR1354=1,0,ROUNDUP(AL1354/BQ1354,0))</f>
        <v>5</v>
      </c>
      <c r="AN1354" s="59" t="n">
        <f aca="false">IF(CD1354&gt;0,CD1354*MAX(1,AL1354/V1354),IF(BR1354=1,IF(AL1354&lt;=0,0,BS1354*MAX(1,IF(G1354&gt;0,AL1354/G1354,1))),IF(Q1354&gt;0,AM1354/Q1354,0))/MAX(0.1,N(Parameter!$M$21)))</f>
        <v>0.833333333333333</v>
      </c>
      <c r="AO1354" s="57" t="n">
        <f aca="false">AL1354*F1354</f>
        <v>29173.2</v>
      </c>
      <c r="AP1354" s="57" t="n">
        <f aca="false">ROUNDUP(MAX(I1354/IF(BV1354&gt;0,BV1354,MAX(0.1,N(Cockpit!$I$6))),BY1354)/BQ1354,0)*BQ1354</f>
        <v>280</v>
      </c>
      <c r="AQ1354" s="58" t="n">
        <f aca="false">IF(AN1354&gt;0,I1354/AN1354,-1)</f>
        <v>549.6</v>
      </c>
      <c r="AR1354" s="58" t="n">
        <f aca="false">IF(AND(OR(BU1354="L1",BU1354="L23"),AN1354&gt;0),SUMIFS($AN$7:$AN$1576,$BU$7:$BU$1576,BU1354,$AQ$7:$AQ$1576,"&gt;"&amp;AQ1354)+SUMIFS($AN$7:$AN$1576,$BU$7:$BU$1576,BU1354,$AQ$7:$AQ$1576,AQ1354,$BO$7:$BO$1576,"&lt;="&amp;BO1354),"")</f>
        <v>32.8365325137176</v>
      </c>
      <c r="AS1354" s="65" t="n">
        <f aca="false">IF(AR1354="",0,MAX(0,MIN(1,(IF(BU1354="L1",Parameter!$E$5,Parameter!$E$6+Parameter!$E$7)-(AR1354-AN1354))/AN1354)))</f>
        <v>1</v>
      </c>
      <c r="AT1354" s="57" t="n">
        <f aca="false">IF(LEFT(Cockpit!$O$5,1)="A",G1354,IF(BW1354=1,BX1354,IF(LEFT(Cockpit!$O$5,1)="B",AX1354,MAX(AX1354,G1354))))</f>
        <v>168</v>
      </c>
      <c r="AU1354" s="57" t="n">
        <f aca="false">IF(BR1354=1,0,ROUNDUP(AT1354/BQ1354,0))</f>
        <v>3</v>
      </c>
      <c r="AV1354" s="59" t="n">
        <f aca="false">IF(CD1354&gt;0,CD1354*MAX(1,AT1354/V1354),IF(BR1354=1,IF(AT1354&lt;=0,0,BS1354*MAX(1,IF(G1354&gt;0,AT1354/G1354,1))),IF(Q1354&gt;0,AU1354/Q1354,0))/MAX(0.1,N(Parameter!$M$21)))</f>
        <v>0.5</v>
      </c>
      <c r="AW1354" s="57" t="n">
        <f aca="false">AT1354*F1354</f>
        <v>17503.92</v>
      </c>
      <c r="AX1354" s="57" t="n">
        <f aca="false">ROUNDUP(MAX(I1354/IF(BV1354&gt;0,BV1354,MAX(0.1,N(Cockpit!$O$6))),BY1354)/BQ1354,0)*BQ1354</f>
        <v>168</v>
      </c>
      <c r="AY1354" s="58" t="n">
        <f aca="false">IF(AV1354&gt;0,I1354/AV1354,-1)</f>
        <v>916</v>
      </c>
      <c r="AZ1354" s="58" t="n">
        <f aca="false">IF(AND(OR(BU1354="L1",BU1354="L23"),AV1354&gt;0),SUMIFS($AV$7:$AV$1576,$BU$7:$BU$1576,BU1354,$AY$7:$AY$1576,"&gt;"&amp;AY1354)+SUMIFS($AV$7:$AV$1576,$BU$7:$BU$1576,BU1354,$AY$7:$AY$1576,AY1354,$BO$7:$BO$1576,"&lt;="&amp;BO1354),"")</f>
        <v>23.8647693976066</v>
      </c>
      <c r="BA1354" s="65" t="n">
        <f aca="false">IF(AZ1354="",0,MAX(0,MIN(1,(IF(BU1354="L1",Parameter!$E$5,Parameter!$E$6+Parameter!$E$7)-(AZ1354-AV1354))/AV1354)))</f>
        <v>1</v>
      </c>
      <c r="BB1354" s="55" t="str">
        <f aca="false">IF(AF1354&lt;=0,"",IF(BU1354="Aussen","Aussenlager",IF(BU1354="-","Nicht im Lift",IF(AK1354&gt;=1,"Lift",IF(AK1354&lt;=0,"Aussenlager","teilweise")))))</f>
        <v/>
      </c>
      <c r="BC1354" s="55" t="str">
        <f aca="false">IF(AN1354&lt;=0,"",IF(BU1354="Aussen","Aussenlager",IF(BU1354="-","Nicht im Lift",IF(AS1354&gt;=1,"Lift",IF(AS1354&lt;=0,"Aussenlager","teilweise")))))</f>
        <v>Lift</v>
      </c>
      <c r="BD1354" s="55" t="str">
        <f aca="false">IF(AV1354&lt;=0,"",IF(BU1354="Aussen","Aussenlager",IF(BU1354="-","Nicht im Lift",IF(BA1354&gt;=1,"Lift",IF(BA1354&lt;=0,"Aussenlager","teilweise")))))</f>
        <v>Lift</v>
      </c>
      <c r="BE1354" s="55" t="str">
        <f aca="false">IF(A1354="","",IF(BN1354=1,"Neu; ","")&amp;IF(AND(BN1354=0,BI1354&lt;0),"negativer Bestand (Export "&amp;BI1354&amp;"); ","")&amp;IF(I1354&lt;=0,"Kein Verbrauch; ","")&amp;IF(CD1354&gt;0,"Lift "&amp;U1354&amp;" lt. Liftbericht (Fach "&amp;V1354&amp;" Stk); ",IF(BR1354=1,"Lose – Fläche geschätzt; ",""))&amp;IF(G1354&gt;AP1354,"Überbestand "&amp;ROUND(G1354-AP1354,0)&amp;" Stk / CHF "&amp;ROUND((G1354-AP1354)*F1354,0)&amp;"; ","")&amp;IF(AND(BW1354=1,BX1354&lt;BY1354),"MAX &lt; MB+LG; ","")&amp;IF(AND(CC1354&gt;0,CB1354*10&gt;CC1354),"zu hoch für Tablar; ","")&amp;IF(AND(BN1354=0,OR(BW1354=1,Y1354&lt;&gt;"",S1354&lt;&gt;"",T1354&lt;&gt;"",Z1354&lt;&gt;"")),"manuell übersteuert; ","")&amp;IF(AND(BR1354=0,Q1354=0),"Gebinde unbekannt / Stellmass fehlt; ","")&amp;IF(AND(BR1354=0,N(T1354)&lt;=0,N(P1354)&lt;=0),"Menge pro Gebinde fehlt (Ist = 1 Gebinde); ","")&amp;BM1354)</f>
        <v>negativer Bestand (Export -4); grosser Artikel &amp; nicht im KTL</v>
      </c>
      <c r="BF1354" s="55"/>
      <c r="BG1354" s="55"/>
      <c r="BH1354" s="62"/>
      <c r="BI1354" s="57" t="n">
        <v>-4</v>
      </c>
      <c r="BJ1354" s="57" t="n">
        <v>151</v>
      </c>
      <c r="BK1354" s="56" t="n">
        <v>-2108.76</v>
      </c>
      <c r="BL1354" s="57" t="n">
        <v>458</v>
      </c>
      <c r="BM1354" s="55" t="s">
        <v>253</v>
      </c>
      <c r="BN1354" s="60" t="n">
        <v>0</v>
      </c>
      <c r="BO1354" s="60" t="n">
        <v>1354</v>
      </c>
      <c r="BP1354" s="55" t="str">
        <f aca="false">IF(S1354&lt;&gt;"",UPPER(TRIM(S1354)),IF(O1354="","LOSE",O1354))</f>
        <v>S71</v>
      </c>
      <c r="BQ1354" s="57" t="n">
        <f aca="false">IF(BP1354="LOSE",1,IF(N(T1354)&gt;0,T1354,IF(N(P1354)&gt;0,P1354,MAX(1,G1354))))</f>
        <v>56</v>
      </c>
      <c r="BR1354" s="60" t="n">
        <f aca="false">IF(BP1354="LOSE",1,0)</f>
        <v>0</v>
      </c>
      <c r="BS1354" s="59" t="n">
        <f aca="false">IF(BR1354=0,0,IF(N(R1354)&gt;0,R1354,IFERROR(VLOOKUP(D1354,Parameter!$A$35:$C$64,3,0)+0,0)))</f>
        <v>0</v>
      </c>
      <c r="BT1354" s="55" t="n">
        <f aca="false">IF(Y1354&lt;&gt;"",Y1354,X1354)</f>
        <v>2</v>
      </c>
      <c r="BU1354" s="55" t="str">
        <f aca="false">IF(BT1354=1,"L1",IF(OR(BT1354=2,BT1354=3),"L23",IF(BT1354="Aussen","Aussen","-")))</f>
        <v>L23</v>
      </c>
      <c r="BV1354" s="66" t="n">
        <f aca="false">IF(N(Z1354)&gt;0,Z1354,0)</f>
        <v>0</v>
      </c>
      <c r="BW1354" s="60" t="n">
        <f aca="false">IF(ISNUMBER(AC1354),1,0)</f>
        <v>0</v>
      </c>
      <c r="BX1354" s="57" t="n">
        <f aca="false">N(AC1354)</f>
        <v>0</v>
      </c>
      <c r="BY1354" s="57" t="n">
        <f aca="false">N(L1354)+N(M1354)</f>
        <v>136</v>
      </c>
      <c r="BZ1354" s="57" t="n">
        <f aca="false">ROUNDUP(G1354/BQ1354,0)</f>
        <v>0</v>
      </c>
      <c r="CA1354" s="57" t="n">
        <f aca="false">ROUNDUP(BX1354/BQ1354,0)</f>
        <v>0</v>
      </c>
      <c r="CB1354" s="60" t="n">
        <f aca="false">IF(BR1354=1,0,IFERROR(VLOOKUP(BP1354,'Gebinde-Kategorie'!$A$5:$M$45,5,0)+0,0))</f>
        <v>20</v>
      </c>
      <c r="CC1354" s="60" t="n">
        <f aca="false">IFERROR(IF(OR(BT1354=1,BT1354=2,BT1354=3),N(INDEX(Parameter!$I$5:$I$7,BT1354)),0),0)</f>
        <v>0</v>
      </c>
      <c r="CD1354" s="59" t="n">
        <f aca="false">IF(AND(Parameter!$B$21="Ja",ISNUMBER(U1354),N(V1354)&gt;0),IFERROR(N(INDEX(Parameter!$L$5:$L$7,U1354))*INDEX(Parameter!$E$5:$E$7,U1354)*V1354/SUMIFS($V$7:$V$1576,$U$7:$U$1576,U1354),0),0)</f>
        <v>0</v>
      </c>
    </row>
    <row r="1355" customFormat="false" ht="15" hidden="false" customHeight="false" outlineLevel="0" collapsed="false">
      <c r="A1355" s="55" t="s">
        <v>2376</v>
      </c>
      <c r="B1355" s="55" t="s">
        <v>565</v>
      </c>
      <c r="C1355" s="55" t="s">
        <v>160</v>
      </c>
      <c r="D1355" s="55" t="s">
        <v>178</v>
      </c>
      <c r="E1355" s="55" t="s">
        <v>210</v>
      </c>
      <c r="F1355" s="56" t="n">
        <v>440.01</v>
      </c>
      <c r="G1355" s="57" t="n">
        <f aca="false">MAX(0,IF(AND(Parameter!$B$21="Ja",ISNUMBER(W1355)),W1355,IF(Parameter!$B$20="Jahresanfang 2025 + Export",BJ1355+BI1355,BI1355)))</f>
        <v>0</v>
      </c>
      <c r="H1355" s="57" t="n">
        <f aca="false">G1355*F1355</f>
        <v>0</v>
      </c>
      <c r="I1355" s="57" t="n">
        <f aca="false">BL1355*Parameter!$B$18</f>
        <v>9</v>
      </c>
      <c r="J1355" s="58" t="n">
        <v>12.5</v>
      </c>
      <c r="K1355" s="59" t="n">
        <v>0.72</v>
      </c>
      <c r="L1355" s="57" t="n">
        <v>1</v>
      </c>
      <c r="M1355" s="57" t="n">
        <v>5</v>
      </c>
      <c r="N1355" s="60" t="n">
        <v>28</v>
      </c>
      <c r="O1355" s="55" t="s">
        <v>284</v>
      </c>
      <c r="P1355" s="57" t="n">
        <v>4</v>
      </c>
      <c r="Q1355" s="60" t="n">
        <f aca="false">IF(BR1355=1,0,IFERROR(VLOOKUP(BP1355,'Gebinde-Kategorie'!$A$5:$M$45,13,0)+0,0))</f>
        <v>12</v>
      </c>
      <c r="R1355" s="61"/>
      <c r="S1355" s="62"/>
      <c r="T1355" s="62"/>
      <c r="U1355" s="55"/>
      <c r="V1355" s="57"/>
      <c r="W1355" s="57"/>
      <c r="X1355" s="55" t="n">
        <f aca="false">IF(A1355="","",IF(AND(Parameter!$B$21="Ja",ISNUMBER(U1355)),U1355,IF(IFERROR(VLOOKUP(D1355,Parameter!$A$35:$C$64,2,0),"Nein")="2+3",IF(ISNUMBER(SEARCH("grosser Artikel",BM1355)),2,IFERROR(VLOOKUP(BP1355,Parameter!$F$35:$G$64,2,0),2)),IF(OR(IFERROR(VLOOKUP(D1355,Parameter!$A$35:$C$64,2,0),"Nein")="Nein",IFERROR(VLOOKUP(D1355,Parameter!$A$35:$C$64,2,0),"Nein")=""),"-",VLOOKUP(D1355,Parameter!$A$35:$C$64,2,0)))))</f>
        <v>2</v>
      </c>
      <c r="Y1355" s="62"/>
      <c r="Z1355" s="63"/>
      <c r="AA1355" s="57" t="n">
        <f aca="false">AP1355</f>
        <v>8</v>
      </c>
      <c r="AB1355" s="57" t="n">
        <f aca="false">MAX(AP1355,G1355)</f>
        <v>8</v>
      </c>
      <c r="AC1355" s="64"/>
      <c r="AD1355" s="57" t="n">
        <f aca="false">IF(LEFT(Cockpit!$C$5,1)="A",G1355,IF(BW1355=1,BX1355,IF(LEFT(Cockpit!$C$5,1)="B",AH1355,MAX(AH1355,G1355))))</f>
        <v>0</v>
      </c>
      <c r="AE1355" s="57" t="n">
        <f aca="false">IF(BR1355=1,0,ROUNDUP(AD1355/BQ1355,0))</f>
        <v>0</v>
      </c>
      <c r="AF1355" s="59" t="n">
        <f aca="false">IF(CD1355&gt;0,CD1355*MAX(1,AD1355/V1355),IF(BR1355=1,IF(AD1355&lt;=0,0,BS1355*MAX(1,IF(G1355&gt;0,AD1355/G1355,1))),IF(Q1355&gt;0,AE1355/Q1355,0))/MAX(0.1,N(Parameter!$M$21)))</f>
        <v>0</v>
      </c>
      <c r="AG1355" s="57" t="n">
        <f aca="false">AD1355*F1355</f>
        <v>0</v>
      </c>
      <c r="AH1355" s="57" t="n">
        <f aca="false">ROUNDUP(MAX(I1355/IF(BV1355&gt;0,BV1355,MAX(0.1,N(Cockpit!$C$6))),BY1355)/BQ1355,0)*BQ1355</f>
        <v>8</v>
      </c>
      <c r="AI1355" s="58" t="n">
        <f aca="false">IF(AF1355&gt;0,I1355/AF1355,-1)</f>
        <v>-1</v>
      </c>
      <c r="AJ1355" s="58" t="str">
        <f aca="false">IF(AND(OR(BU1355="L1",BU1355="L23"),AF1355&gt;0),SUMIFS($AF$7:$AF$1576,$BU$7:$BU$1576,BU1355,$AI$7:$AI$1576,"&gt;"&amp;AI1355)+SUMIFS($AF$7:$AF$1576,$BU$7:$BU$1576,BU1355,$AI$7:$AI$1576,AI1355,$BO$7:$BO$1576,"&lt;="&amp;BO1355),"")</f>
        <v/>
      </c>
      <c r="AK1355" s="65" t="n">
        <f aca="false">IF(AJ1355="",0,MAX(0,MIN(1,(IF(BU1355="L1",Parameter!$E$5,Parameter!$E$6+Parameter!$E$7)-(AJ1355-AF1355))/AF1355)))</f>
        <v>0</v>
      </c>
      <c r="AL1355" s="57" t="n">
        <f aca="false">IF(LEFT(Cockpit!$I$5,1)="A",G1355,IF(BW1355=1,BX1355,IF(LEFT(Cockpit!$I$5,1)="B",AP1355,MAX(AP1355,G1355))))</f>
        <v>8</v>
      </c>
      <c r="AM1355" s="57" t="n">
        <f aca="false">IF(BR1355=1,0,ROUNDUP(AL1355/BQ1355,0))</f>
        <v>2</v>
      </c>
      <c r="AN1355" s="59" t="n">
        <f aca="false">IF(CD1355&gt;0,CD1355*MAX(1,AL1355/V1355),IF(BR1355=1,IF(AL1355&lt;=0,0,BS1355*MAX(1,IF(G1355&gt;0,AL1355/G1355,1))),IF(Q1355&gt;0,AM1355/Q1355,0))/MAX(0.1,N(Parameter!$M$21)))</f>
        <v>0.166666666666667</v>
      </c>
      <c r="AO1355" s="57" t="n">
        <f aca="false">AL1355*F1355</f>
        <v>3520.08</v>
      </c>
      <c r="AP1355" s="57" t="n">
        <f aca="false">ROUNDUP(MAX(I1355/IF(BV1355&gt;0,BV1355,MAX(0.1,N(Cockpit!$I$6))),BY1355)/BQ1355,0)*BQ1355</f>
        <v>8</v>
      </c>
      <c r="AQ1355" s="58" t="n">
        <f aca="false">IF(AN1355&gt;0,I1355/AN1355,-1)</f>
        <v>54</v>
      </c>
      <c r="AR1355" s="58" t="n">
        <f aca="false">IF(AND(OR(BU1355="L1",BU1355="L23"),AN1355&gt;0),SUMIFS($AN$7:$AN$1576,$BU$7:$BU$1576,BU1355,$AQ$7:$AQ$1576,"&gt;"&amp;AQ1355)+SUMIFS($AN$7:$AN$1576,$BU$7:$BU$1576,BU1355,$AQ$7:$AQ$1576,AQ1355,$BO$7:$BO$1576,"&lt;="&amp;BO1355),"")</f>
        <v>80.1426909989522</v>
      </c>
      <c r="AS1355" s="65" t="n">
        <f aca="false">IF(AR1355="",0,MAX(0,MIN(1,(IF(BU1355="L1",Parameter!$E$5,Parameter!$E$6+Parameter!$E$7)-(AR1355-AN1355))/AN1355)))</f>
        <v>1</v>
      </c>
      <c r="AT1355" s="57" t="n">
        <f aca="false">IF(LEFT(Cockpit!$O$5,1)="A",G1355,IF(BW1355=1,BX1355,IF(LEFT(Cockpit!$O$5,1)="B",AX1355,MAX(AX1355,G1355))))</f>
        <v>8</v>
      </c>
      <c r="AU1355" s="57" t="n">
        <f aca="false">IF(BR1355=1,0,ROUNDUP(AT1355/BQ1355,0))</f>
        <v>2</v>
      </c>
      <c r="AV1355" s="59" t="n">
        <f aca="false">IF(CD1355&gt;0,CD1355*MAX(1,AT1355/V1355),IF(BR1355=1,IF(AT1355&lt;=0,0,BS1355*MAX(1,IF(G1355&gt;0,AT1355/G1355,1))),IF(Q1355&gt;0,AU1355/Q1355,0))/MAX(0.1,N(Parameter!$M$21)))</f>
        <v>0.166666666666667</v>
      </c>
      <c r="AW1355" s="57" t="n">
        <f aca="false">AT1355*F1355</f>
        <v>3520.08</v>
      </c>
      <c r="AX1355" s="57" t="n">
        <f aca="false">ROUNDUP(MAX(I1355/IF(BV1355&gt;0,BV1355,MAX(0.1,N(Cockpit!$O$6))),BY1355)/BQ1355,0)*BQ1355</f>
        <v>8</v>
      </c>
      <c r="AY1355" s="58" t="n">
        <f aca="false">IF(AV1355&gt;0,I1355/AV1355,-1)</f>
        <v>54</v>
      </c>
      <c r="AZ1355" s="58" t="n">
        <f aca="false">IF(AND(OR(BU1355="L1",BU1355="L23"),AV1355&gt;0),SUMIFS($AV$7:$AV$1576,$BU$7:$BU$1576,BU1355,$AY$7:$AY$1576,"&gt;"&amp;AY1355)+SUMIFS($AV$7:$AV$1576,$BU$7:$BU$1576,BU1355,$AY$7:$AY$1576,AY1355,$BO$7:$BO$1576,"&lt;="&amp;BO1355),"")</f>
        <v>77.3105747818359</v>
      </c>
      <c r="BA1355" s="65" t="n">
        <f aca="false">IF(AZ1355="",0,MAX(0,MIN(1,(IF(BU1355="L1",Parameter!$E$5,Parameter!$E$6+Parameter!$E$7)-(AZ1355-AV1355))/AV1355)))</f>
        <v>1</v>
      </c>
      <c r="BB1355" s="55" t="str">
        <f aca="false">IF(AF1355&lt;=0,"",IF(BU1355="Aussen","Aussenlager",IF(BU1355="-","Nicht im Lift",IF(AK1355&gt;=1,"Lift",IF(AK1355&lt;=0,"Aussenlager","teilweise")))))</f>
        <v/>
      </c>
      <c r="BC1355" s="55" t="str">
        <f aca="false">IF(AN1355&lt;=0,"",IF(BU1355="Aussen","Aussenlager",IF(BU1355="-","Nicht im Lift",IF(AS1355&gt;=1,"Lift",IF(AS1355&lt;=0,"Aussenlager","teilweise")))))</f>
        <v>Lift</v>
      </c>
      <c r="BD1355" s="55" t="str">
        <f aca="false">IF(AV1355&lt;=0,"",IF(BU1355="Aussen","Aussenlager",IF(BU1355="-","Nicht im Lift",IF(BA1355&gt;=1,"Lift",IF(BA1355&lt;=0,"Aussenlager","teilweise")))))</f>
        <v>Lift</v>
      </c>
      <c r="BE1355" s="55" t="str">
        <f aca="false">IF(A1355="","",IF(BN1355=1,"Neu; ","")&amp;IF(AND(BN1355=0,BI1355&lt;0),"negativer Bestand (Export "&amp;BI1355&amp;"); ","")&amp;IF(I1355&lt;=0,"Kein Verbrauch; ","")&amp;IF(CD1355&gt;0,"Lift "&amp;U1355&amp;" lt. Liftbericht (Fach "&amp;V1355&amp;" Stk); ",IF(BR1355=1,"Lose – Fläche geschätzt; ",""))&amp;IF(G1355&gt;AP1355,"Überbestand "&amp;ROUND(G1355-AP1355,0)&amp;" Stk / CHF "&amp;ROUND((G1355-AP1355)*F1355,0)&amp;"; ","")&amp;IF(AND(BW1355=1,BX1355&lt;BY1355),"MAX &lt; MB+LG; ","")&amp;IF(AND(CC1355&gt;0,CB1355*10&gt;CC1355),"zu hoch für Tablar; ","")&amp;IF(AND(BN1355=0,OR(BW1355=1,Y1355&lt;&gt;"",S1355&lt;&gt;"",T1355&lt;&gt;"",Z1355&lt;&gt;"")),"manuell übersteuert; ","")&amp;IF(AND(BR1355=0,Q1355=0),"Gebinde unbekannt / Stellmass fehlt; ","")&amp;IF(AND(BR1355=0,N(T1355)&lt;=0,N(P1355)&lt;=0),"Menge pro Gebinde fehlt (Ist = 1 Gebinde); ","")&amp;BM1355)</f>
        <v>negativer Bestand (Export -5); </v>
      </c>
      <c r="BF1355" s="55"/>
      <c r="BG1355" s="55"/>
      <c r="BH1355" s="62"/>
      <c r="BI1355" s="57" t="n">
        <v>-5</v>
      </c>
      <c r="BJ1355" s="57" t="n">
        <v>15</v>
      </c>
      <c r="BK1355" s="56" t="n">
        <v>-2167.05</v>
      </c>
      <c r="BL1355" s="57" t="n">
        <v>9</v>
      </c>
      <c r="BM1355" s="55"/>
      <c r="BN1355" s="60" t="n">
        <v>0</v>
      </c>
      <c r="BO1355" s="60" t="n">
        <v>1355</v>
      </c>
      <c r="BP1355" s="55" t="str">
        <f aca="false">IF(S1355&lt;&gt;"",UPPER(TRIM(S1355)),IF(O1355="","LOSE",O1355))</f>
        <v>S62</v>
      </c>
      <c r="BQ1355" s="57" t="n">
        <f aca="false">IF(BP1355="LOSE",1,IF(N(T1355)&gt;0,T1355,IF(N(P1355)&gt;0,P1355,MAX(1,G1355))))</f>
        <v>4</v>
      </c>
      <c r="BR1355" s="60" t="n">
        <f aca="false">IF(BP1355="LOSE",1,0)</f>
        <v>0</v>
      </c>
      <c r="BS1355" s="59" t="n">
        <f aca="false">IF(BR1355=0,0,IF(N(R1355)&gt;0,R1355,IFERROR(VLOOKUP(D1355,Parameter!$A$35:$C$64,3,0)+0,0)))</f>
        <v>0</v>
      </c>
      <c r="BT1355" s="55" t="n">
        <f aca="false">IF(Y1355&lt;&gt;"",Y1355,X1355)</f>
        <v>2</v>
      </c>
      <c r="BU1355" s="55" t="str">
        <f aca="false">IF(BT1355=1,"L1",IF(OR(BT1355=2,BT1355=3),"L23",IF(BT1355="Aussen","Aussen","-")))</f>
        <v>L23</v>
      </c>
      <c r="BV1355" s="66" t="n">
        <f aca="false">IF(N(Z1355)&gt;0,Z1355,0)</f>
        <v>0</v>
      </c>
      <c r="BW1355" s="60" t="n">
        <f aca="false">IF(ISNUMBER(AC1355),1,0)</f>
        <v>0</v>
      </c>
      <c r="BX1355" s="57" t="n">
        <f aca="false">N(AC1355)</f>
        <v>0</v>
      </c>
      <c r="BY1355" s="57" t="n">
        <f aca="false">N(L1355)+N(M1355)</f>
        <v>6</v>
      </c>
      <c r="BZ1355" s="57" t="n">
        <f aca="false">ROUNDUP(G1355/BQ1355,0)</f>
        <v>0</v>
      </c>
      <c r="CA1355" s="57" t="n">
        <f aca="false">ROUNDUP(BX1355/BQ1355,0)</f>
        <v>0</v>
      </c>
      <c r="CB1355" s="60" t="n">
        <f aca="false">IF(BR1355=1,0,IFERROR(VLOOKUP(BP1355,'Gebinde-Kategorie'!$A$5:$M$45,5,0)+0,0))</f>
        <v>21</v>
      </c>
      <c r="CC1355" s="60" t="n">
        <f aca="false">IFERROR(IF(OR(BT1355=1,BT1355=2,BT1355=3),N(INDEX(Parameter!$I$5:$I$7,BT1355)),0),0)</f>
        <v>0</v>
      </c>
      <c r="CD1355" s="59" t="n">
        <f aca="false">IF(AND(Parameter!$B$21="Ja",ISNUMBER(U1355),N(V1355)&gt;0),IFERROR(N(INDEX(Parameter!$L$5:$L$7,U1355))*INDEX(Parameter!$E$5:$E$7,U1355)*V1355/SUMIFS($V$7:$V$1576,$U$7:$U$1576,U1355),0),0)</f>
        <v>0</v>
      </c>
    </row>
    <row r="1356" customFormat="false" ht="15" hidden="false" customHeight="false" outlineLevel="0" collapsed="false">
      <c r="A1356" s="55" t="s">
        <v>2377</v>
      </c>
      <c r="B1356" s="55" t="s">
        <v>2378</v>
      </c>
      <c r="C1356" s="55" t="s">
        <v>160</v>
      </c>
      <c r="D1356" s="55" t="s">
        <v>168</v>
      </c>
      <c r="E1356" s="55" t="s">
        <v>210</v>
      </c>
      <c r="F1356" s="56" t="n">
        <v>2251.23</v>
      </c>
      <c r="G1356" s="57" t="n">
        <f aca="false">MAX(0,IF(AND(Parameter!$B$21="Ja",ISNUMBER(W1356)),W1356,IF(Parameter!$B$20="Jahresanfang 2025 + Export",BJ1356+BI1356,BI1356)))</f>
        <v>1</v>
      </c>
      <c r="H1356" s="57" t="n">
        <f aca="false">G1356*F1356</f>
        <v>2251.23</v>
      </c>
      <c r="I1356" s="57" t="n">
        <f aca="false">BL1356*Parameter!$B$18</f>
        <v>2</v>
      </c>
      <c r="J1356" s="58" t="n">
        <v>2.5</v>
      </c>
      <c r="K1356" s="59" t="n">
        <v>0.8</v>
      </c>
      <c r="L1356" s="57" t="n">
        <v>1</v>
      </c>
      <c r="M1356" s="57" t="n">
        <v>1</v>
      </c>
      <c r="N1356" s="60" t="n">
        <v>56</v>
      </c>
      <c r="O1356" s="55" t="s">
        <v>163</v>
      </c>
      <c r="P1356" s="57"/>
      <c r="Q1356" s="60" t="n">
        <f aca="false">IF(BR1356=1,0,IFERROR(VLOOKUP(BP1356,'Gebinde-Kategorie'!$A$5:$M$45,13,0)+0,0))</f>
        <v>0</v>
      </c>
      <c r="R1356" s="61"/>
      <c r="S1356" s="62"/>
      <c r="T1356" s="62"/>
      <c r="U1356" s="55" t="n">
        <v>1</v>
      </c>
      <c r="V1356" s="57" t="n">
        <v>3</v>
      </c>
      <c r="W1356" s="57" t="n">
        <v>1</v>
      </c>
      <c r="X1356" s="55" t="n">
        <f aca="false">IF(A1356="","",IF(AND(Parameter!$B$21="Ja",ISNUMBER(U1356)),U1356,IF(IFERROR(VLOOKUP(D1356,Parameter!$A$35:$C$64,2,0),"Nein")="2+3",IF(ISNUMBER(SEARCH("grosser Artikel",BM1356)),2,IFERROR(VLOOKUP(BP1356,Parameter!$F$35:$G$64,2,0),2)),IF(OR(IFERROR(VLOOKUP(D1356,Parameter!$A$35:$C$64,2,0),"Nein")="Nein",IFERROR(VLOOKUP(D1356,Parameter!$A$35:$C$64,2,0),"Nein")=""),"-",VLOOKUP(D1356,Parameter!$A$35:$C$64,2,0)))))</f>
        <v>1</v>
      </c>
      <c r="Y1356" s="62"/>
      <c r="Z1356" s="63"/>
      <c r="AA1356" s="57" t="n">
        <f aca="false">AP1356</f>
        <v>2</v>
      </c>
      <c r="AB1356" s="57" t="n">
        <f aca="false">MAX(AP1356,G1356)</f>
        <v>2</v>
      </c>
      <c r="AC1356" s="64"/>
      <c r="AD1356" s="57" t="n">
        <f aca="false">IF(LEFT(Cockpit!$C$5,1)="A",G1356,IF(BW1356=1,BX1356,IF(LEFT(Cockpit!$C$5,1)="B",AH1356,MAX(AH1356,G1356))))</f>
        <v>1</v>
      </c>
      <c r="AE1356" s="57" t="n">
        <f aca="false">IF(BR1356=1,0,ROUNDUP(AD1356/BQ1356,0))</f>
        <v>0</v>
      </c>
      <c r="AF1356" s="59" t="n">
        <f aca="false">IF(CD1356&gt;0,CD1356*MAX(1,AD1356/V1356),IF(BR1356=1,IF(AD1356&lt;=0,0,BS1356*MAX(1,IF(G1356&gt;0,AD1356/G1356,1))),IF(Q1356&gt;0,AE1356/Q1356,0))/MAX(0.1,N(Parameter!$M$21)))</f>
        <v>0.240112994350283</v>
      </c>
      <c r="AG1356" s="57" t="n">
        <f aca="false">AD1356*F1356</f>
        <v>2251.23</v>
      </c>
      <c r="AH1356" s="57" t="n">
        <f aca="false">ROUNDUP(MAX(I1356/IF(BV1356&gt;0,BV1356,MAX(0.1,N(Cockpit!$C$6))),BY1356)/BQ1356,0)*BQ1356</f>
        <v>2</v>
      </c>
      <c r="AI1356" s="58" t="n">
        <f aca="false">IF(AF1356&gt;0,I1356/AF1356,-1)</f>
        <v>8.32941176470588</v>
      </c>
      <c r="AJ1356" s="58" t="n">
        <f aca="false">IF(AND(OR(BU1356="L1",BU1356="L23"),AF1356&gt;0),SUMIFS($AF$7:$AF$1576,$BU$7:$BU$1576,BU1356,$AI$7:$AI$1576,"&gt;"&amp;AI1356)+SUMIFS($AF$7:$AF$1576,$BU$7:$BU$1576,BU1356,$AI$7:$AI$1576,AI1356,$BO$7:$BO$1576,"&lt;="&amp;BO1356),"")</f>
        <v>21.6101694915254</v>
      </c>
      <c r="AK1356" s="65" t="n">
        <f aca="false">IF(AJ1356="",0,MAX(0,MIN(1,(IF(BU1356="L1",Parameter!$E$5,Parameter!$E$6+Parameter!$E$7)-(AJ1356-AF1356))/AF1356)))</f>
        <v>1</v>
      </c>
      <c r="AL1356" s="57" t="n">
        <f aca="false">IF(LEFT(Cockpit!$I$5,1)="A",G1356,IF(BW1356=1,BX1356,IF(LEFT(Cockpit!$I$5,1)="B",AP1356,MAX(AP1356,G1356))))</f>
        <v>2</v>
      </c>
      <c r="AM1356" s="57" t="n">
        <f aca="false">IF(BR1356=1,0,ROUNDUP(AL1356/BQ1356,0))</f>
        <v>0</v>
      </c>
      <c r="AN1356" s="59" t="n">
        <f aca="false">IF(CD1356&gt;0,CD1356*MAX(1,AL1356/V1356),IF(BR1356=1,IF(AL1356&lt;=0,0,BS1356*MAX(1,IF(G1356&gt;0,AL1356/G1356,1))),IF(Q1356&gt;0,AM1356/Q1356,0))/MAX(0.1,N(Parameter!$M$21)))</f>
        <v>0.240112994350283</v>
      </c>
      <c r="AO1356" s="57" t="n">
        <f aca="false">AL1356*F1356</f>
        <v>4502.46</v>
      </c>
      <c r="AP1356" s="57" t="n">
        <f aca="false">ROUNDUP(MAX(I1356/IF(BV1356&gt;0,BV1356,MAX(0.1,N(Cockpit!$I$6))),BY1356)/BQ1356,0)*BQ1356</f>
        <v>2</v>
      </c>
      <c r="AQ1356" s="58" t="n">
        <f aca="false">IF(AN1356&gt;0,I1356/AN1356,-1)</f>
        <v>8.32941176470588</v>
      </c>
      <c r="AR1356" s="58" t="n">
        <f aca="false">IF(AND(OR(BU1356="L1",BU1356="L23"),AN1356&gt;0),SUMIFS($AN$7:$AN$1576,$BU$7:$BU$1576,BU1356,$AQ$7:$AQ$1576,"&gt;"&amp;AQ1356)+SUMIFS($AN$7:$AN$1576,$BU$7:$BU$1576,BU1356,$AQ$7:$AQ$1576,AQ1356,$BO$7:$BO$1576,"&lt;="&amp;BO1356),"")</f>
        <v>27.0527306967985</v>
      </c>
      <c r="AS1356" s="65" t="n">
        <f aca="false">IF(AR1356="",0,MAX(0,MIN(1,(IF(BU1356="L1",Parameter!$E$5,Parameter!$E$6+Parameter!$E$7)-(AR1356-AN1356))/AN1356)))</f>
        <v>1</v>
      </c>
      <c r="AT1356" s="57" t="n">
        <f aca="false">IF(LEFT(Cockpit!$O$5,1)="A",G1356,IF(BW1356=1,BX1356,IF(LEFT(Cockpit!$O$5,1)="B",AX1356,MAX(AX1356,G1356))))</f>
        <v>2</v>
      </c>
      <c r="AU1356" s="57" t="n">
        <f aca="false">IF(BR1356=1,0,ROUNDUP(AT1356/BQ1356,0))</f>
        <v>0</v>
      </c>
      <c r="AV1356" s="59" t="n">
        <f aca="false">IF(CD1356&gt;0,CD1356*MAX(1,AT1356/V1356),IF(BR1356=1,IF(AT1356&lt;=0,0,BS1356*MAX(1,IF(G1356&gt;0,AT1356/G1356,1))),IF(Q1356&gt;0,AU1356/Q1356,0))/MAX(0.1,N(Parameter!$M$21)))</f>
        <v>0.240112994350283</v>
      </c>
      <c r="AW1356" s="57" t="n">
        <f aca="false">AT1356*F1356</f>
        <v>4502.46</v>
      </c>
      <c r="AX1356" s="57" t="n">
        <f aca="false">ROUNDUP(MAX(I1356/IF(BV1356&gt;0,BV1356,MAX(0.1,N(Cockpit!$O$6))),BY1356)/BQ1356,0)*BQ1356</f>
        <v>2</v>
      </c>
      <c r="AY1356" s="58" t="n">
        <f aca="false">IF(AV1356&gt;0,I1356/AV1356,-1)</f>
        <v>8.32941176470588</v>
      </c>
      <c r="AZ1356" s="58" t="n">
        <f aca="false">IF(AND(OR(BU1356="L1",BU1356="L23"),AV1356&gt;0),SUMIFS($AV$7:$AV$1576,$BU$7:$BU$1576,BU1356,$AY$7:$AY$1576,"&gt;"&amp;AY1356)+SUMIFS($AV$7:$AV$1576,$BU$7:$BU$1576,BU1356,$AY$7:$AY$1576,AY1356,$BO$7:$BO$1576,"&lt;="&amp;BO1356),"")</f>
        <v>24.0913370998117</v>
      </c>
      <c r="BA1356" s="65" t="n">
        <f aca="false">IF(AZ1356="",0,MAX(0,MIN(1,(IF(BU1356="L1",Parameter!$E$5,Parameter!$E$6+Parameter!$E$7)-(AZ1356-AV1356))/AV1356)))</f>
        <v>1</v>
      </c>
      <c r="BB1356" s="55" t="str">
        <f aca="false">IF(AF1356&lt;=0,"",IF(BU1356="Aussen","Aussenlager",IF(BU1356="-","Nicht im Lift",IF(AK1356&gt;=1,"Lift",IF(AK1356&lt;=0,"Aussenlager","teilweise")))))</f>
        <v>Lift</v>
      </c>
      <c r="BC1356" s="55" t="str">
        <f aca="false">IF(AN1356&lt;=0,"",IF(BU1356="Aussen","Aussenlager",IF(BU1356="-","Nicht im Lift",IF(AS1356&gt;=1,"Lift",IF(AS1356&lt;=0,"Aussenlager","teilweise")))))</f>
        <v>Lift</v>
      </c>
      <c r="BD1356" s="55" t="str">
        <f aca="false">IF(AV1356&lt;=0,"",IF(BU1356="Aussen","Aussenlager",IF(BU1356="-","Nicht im Lift",IF(BA1356&gt;=1,"Lift",IF(BA1356&lt;=0,"Aussenlager","teilweise")))))</f>
        <v>Lift</v>
      </c>
      <c r="BE1356" s="55" t="str">
        <f aca="false">IF(A1356="","",IF(BN1356=1,"Neu; ","")&amp;IF(AND(BN1356=0,BI1356&lt;0),"negativer Bestand (Export "&amp;BI1356&amp;"); ","")&amp;IF(I1356&lt;=0,"Kein Verbrauch; ","")&amp;IF(CD1356&gt;0,"Lift "&amp;U1356&amp;" lt. Liftbericht (Fach "&amp;V1356&amp;" Stk); ",IF(BR1356=1,"Lose – Fläche geschätzt; ",""))&amp;IF(G1356&gt;AP1356,"Überbestand "&amp;ROUND(G1356-AP1356,0)&amp;" Stk / CHF "&amp;ROUND((G1356-AP1356)*F1356,0)&amp;"; ","")&amp;IF(AND(BW1356=1,BX1356&lt;BY1356),"MAX &lt; MB+LG; ","")&amp;IF(AND(CC1356&gt;0,CB1356*10&gt;CC1356),"zu hoch für Tablar; ","")&amp;IF(AND(BN1356=0,OR(BW1356=1,Y1356&lt;&gt;"",S1356&lt;&gt;"",T1356&lt;&gt;"",Z1356&lt;&gt;"")),"manuell übersteuert; ","")&amp;IF(AND(BR1356=0,Q1356=0),"Gebinde unbekannt / Stellmass fehlt; ","")&amp;IF(AND(BR1356=0,N(T1356)&lt;=0,N(P1356)&lt;=0),"Menge pro Gebinde fehlt (Ist = 1 Gebinde); ","")&amp;BM1356)</f>
        <v>negativer Bestand (Export -1); Lift 1 lt. Liftbericht (Fach 3 Stk); </v>
      </c>
      <c r="BF1356" s="55"/>
      <c r="BG1356" s="55"/>
      <c r="BH1356" s="62"/>
      <c r="BI1356" s="57" t="n">
        <v>-1</v>
      </c>
      <c r="BJ1356" s="57" t="n">
        <v>2</v>
      </c>
      <c r="BK1356" s="56" t="n">
        <v>-2169.73</v>
      </c>
      <c r="BL1356" s="57" t="n">
        <v>2</v>
      </c>
      <c r="BM1356" s="55"/>
      <c r="BN1356" s="60" t="n">
        <v>0</v>
      </c>
      <c r="BO1356" s="60" t="n">
        <v>1356</v>
      </c>
      <c r="BP1356" s="55" t="str">
        <f aca="false">IF(S1356&lt;&gt;"",UPPER(TRIM(S1356)),IF(O1356="","LOSE",O1356))</f>
        <v>LOSE</v>
      </c>
      <c r="BQ1356" s="57" t="n">
        <f aca="false">IF(BP1356="LOSE",1,IF(N(T1356)&gt;0,T1356,IF(N(P1356)&gt;0,P1356,MAX(1,G1356))))</f>
        <v>1</v>
      </c>
      <c r="BR1356" s="60" t="n">
        <f aca="false">IF(BP1356="LOSE",1,0)</f>
        <v>1</v>
      </c>
      <c r="BS1356" s="59" t="n">
        <f aca="false">IF(BR1356=0,0,IF(N(R1356)&gt;0,R1356,IFERROR(VLOOKUP(D1356,Parameter!$A$35:$C$64,3,0)+0,0)))</f>
        <v>0.15</v>
      </c>
      <c r="BT1356" s="55" t="n">
        <f aca="false">IF(Y1356&lt;&gt;"",Y1356,X1356)</f>
        <v>1</v>
      </c>
      <c r="BU1356" s="55" t="str">
        <f aca="false">IF(BT1356=1,"L1",IF(OR(BT1356=2,BT1356=3),"L23",IF(BT1356="Aussen","Aussen","-")))</f>
        <v>L1</v>
      </c>
      <c r="BV1356" s="66" t="n">
        <f aca="false">IF(N(Z1356)&gt;0,Z1356,0)</f>
        <v>0</v>
      </c>
      <c r="BW1356" s="60" t="n">
        <f aca="false">IF(ISNUMBER(AC1356),1,0)</f>
        <v>0</v>
      </c>
      <c r="BX1356" s="57" t="n">
        <f aca="false">N(AC1356)</f>
        <v>0</v>
      </c>
      <c r="BY1356" s="57" t="n">
        <f aca="false">N(L1356)+N(M1356)</f>
        <v>2</v>
      </c>
      <c r="BZ1356" s="57" t="n">
        <f aca="false">ROUNDUP(G1356/BQ1356,0)</f>
        <v>1</v>
      </c>
      <c r="CA1356" s="57" t="n">
        <f aca="false">ROUNDUP(BX1356/BQ1356,0)</f>
        <v>0</v>
      </c>
      <c r="CB1356" s="60" t="n">
        <f aca="false">IF(BR1356=1,0,IFERROR(VLOOKUP(BP1356,'Gebinde-Kategorie'!$A$5:$M$45,5,0)+0,0))</f>
        <v>0</v>
      </c>
      <c r="CC1356" s="60" t="n">
        <f aca="false">IFERROR(IF(OR(BT1356=1,BT1356=2,BT1356=3),N(INDEX(Parameter!$I$5:$I$7,BT1356)),0),0)</f>
        <v>0</v>
      </c>
      <c r="CD1356" s="59" t="n">
        <f aca="false">IF(AND(Parameter!$B$21="Ja",ISNUMBER(U1356),N(V1356)&gt;0),IFERROR(N(INDEX(Parameter!$L$5:$L$7,U1356))*INDEX(Parameter!$E$5:$E$7,U1356)*V1356/SUMIFS($V$7:$V$1576,$U$7:$U$1576,U1356),0),0)</f>
        <v>0.240112994350283</v>
      </c>
    </row>
    <row r="1357" customFormat="false" ht="15" hidden="false" customHeight="false" outlineLevel="0" collapsed="false">
      <c r="A1357" s="55" t="s">
        <v>2379</v>
      </c>
      <c r="B1357" s="55" t="s">
        <v>2380</v>
      </c>
      <c r="C1357" s="55" t="s">
        <v>160</v>
      </c>
      <c r="D1357" s="55" t="s">
        <v>178</v>
      </c>
      <c r="E1357" s="55" t="s">
        <v>210</v>
      </c>
      <c r="F1357" s="56" t="n">
        <v>369.31</v>
      </c>
      <c r="G1357" s="57" t="n">
        <f aca="false">MAX(0,IF(AND(Parameter!$B$21="Ja",ISNUMBER(W1357)),W1357,IF(Parameter!$B$20="Jahresanfang 2025 + Export",BJ1357+BI1357,BI1357)))</f>
        <v>0</v>
      </c>
      <c r="H1357" s="57" t="n">
        <f aca="false">G1357*F1357</f>
        <v>0</v>
      </c>
      <c r="I1357" s="57" t="n">
        <f aca="false">BL1357*Parameter!$B$18</f>
        <v>3</v>
      </c>
      <c r="J1357" s="58" t="n">
        <v>5.5</v>
      </c>
      <c r="K1357" s="59" t="n">
        <v>0.545454545454545</v>
      </c>
      <c r="L1357" s="57" t="n">
        <v>0</v>
      </c>
      <c r="M1357" s="57" t="n">
        <v>5</v>
      </c>
      <c r="N1357" s="60" t="n">
        <v>21</v>
      </c>
      <c r="O1357" s="55" t="s">
        <v>293</v>
      </c>
      <c r="P1357" s="57" t="n">
        <v>4</v>
      </c>
      <c r="Q1357" s="60" t="n">
        <f aca="false">IF(BR1357=1,0,IFERROR(VLOOKUP(BP1357,'Gebinde-Kategorie'!$A$5:$M$45,13,0)+0,0))</f>
        <v>26</v>
      </c>
      <c r="R1357" s="61"/>
      <c r="S1357" s="62"/>
      <c r="T1357" s="62"/>
      <c r="U1357" s="55"/>
      <c r="V1357" s="57"/>
      <c r="W1357" s="57"/>
      <c r="X1357" s="55" t="n">
        <f aca="false">IF(A1357="","",IF(AND(Parameter!$B$21="Ja",ISNUMBER(U1357)),U1357,IF(IFERROR(VLOOKUP(D1357,Parameter!$A$35:$C$64,2,0),"Nein")="2+3",IF(ISNUMBER(SEARCH("grosser Artikel",BM1357)),2,IFERROR(VLOOKUP(BP1357,Parameter!$F$35:$G$64,2,0),2)),IF(OR(IFERROR(VLOOKUP(D1357,Parameter!$A$35:$C$64,2,0),"Nein")="Nein",IFERROR(VLOOKUP(D1357,Parameter!$A$35:$C$64,2,0),"Nein")=""),"-",VLOOKUP(D1357,Parameter!$A$35:$C$64,2,0)))))</f>
        <v>3</v>
      </c>
      <c r="Y1357" s="62"/>
      <c r="Z1357" s="63"/>
      <c r="AA1357" s="57" t="n">
        <f aca="false">AP1357</f>
        <v>8</v>
      </c>
      <c r="AB1357" s="57" t="n">
        <f aca="false">MAX(AP1357,G1357)</f>
        <v>8</v>
      </c>
      <c r="AC1357" s="64"/>
      <c r="AD1357" s="57" t="n">
        <f aca="false">IF(LEFT(Cockpit!$C$5,1)="A",G1357,IF(BW1357=1,BX1357,IF(LEFT(Cockpit!$C$5,1)="B",AH1357,MAX(AH1357,G1357))))</f>
        <v>0</v>
      </c>
      <c r="AE1357" s="57" t="n">
        <f aca="false">IF(BR1357=1,0,ROUNDUP(AD1357/BQ1357,0))</f>
        <v>0</v>
      </c>
      <c r="AF1357" s="59" t="n">
        <f aca="false">IF(CD1357&gt;0,CD1357*MAX(1,AD1357/V1357),IF(BR1357=1,IF(AD1357&lt;=0,0,BS1357*MAX(1,IF(G1357&gt;0,AD1357/G1357,1))),IF(Q1357&gt;0,AE1357/Q1357,0))/MAX(0.1,N(Parameter!$M$21)))</f>
        <v>0</v>
      </c>
      <c r="AG1357" s="57" t="n">
        <f aca="false">AD1357*F1357</f>
        <v>0</v>
      </c>
      <c r="AH1357" s="57" t="n">
        <f aca="false">ROUNDUP(MAX(I1357/IF(BV1357&gt;0,BV1357,MAX(0.1,N(Cockpit!$C$6))),BY1357)/BQ1357,0)*BQ1357</f>
        <v>8</v>
      </c>
      <c r="AI1357" s="58" t="n">
        <f aca="false">IF(AF1357&gt;0,I1357/AF1357,-1)</f>
        <v>-1</v>
      </c>
      <c r="AJ1357" s="58" t="str">
        <f aca="false">IF(AND(OR(BU1357="L1",BU1357="L23"),AF1357&gt;0),SUMIFS($AF$7:$AF$1576,$BU$7:$BU$1576,BU1357,$AI$7:$AI$1576,"&gt;"&amp;AI1357)+SUMIFS($AF$7:$AF$1576,$BU$7:$BU$1576,BU1357,$AI$7:$AI$1576,AI1357,$BO$7:$BO$1576,"&lt;="&amp;BO1357),"")</f>
        <v/>
      </c>
      <c r="AK1357" s="65" t="n">
        <f aca="false">IF(AJ1357="",0,MAX(0,MIN(1,(IF(BU1357="L1",Parameter!$E$5,Parameter!$E$6+Parameter!$E$7)-(AJ1357-AF1357))/AF1357)))</f>
        <v>0</v>
      </c>
      <c r="AL1357" s="57" t="n">
        <f aca="false">IF(LEFT(Cockpit!$I$5,1)="A",G1357,IF(BW1357=1,BX1357,IF(LEFT(Cockpit!$I$5,1)="B",AP1357,MAX(AP1357,G1357))))</f>
        <v>8</v>
      </c>
      <c r="AM1357" s="57" t="n">
        <f aca="false">IF(BR1357=1,0,ROUNDUP(AL1357/BQ1357,0))</f>
        <v>2</v>
      </c>
      <c r="AN1357" s="59" t="n">
        <f aca="false">IF(CD1357&gt;0,CD1357*MAX(1,AL1357/V1357),IF(BR1357=1,IF(AL1357&lt;=0,0,BS1357*MAX(1,IF(G1357&gt;0,AL1357/G1357,1))),IF(Q1357&gt;0,AM1357/Q1357,0))/MAX(0.1,N(Parameter!$M$21)))</f>
        <v>0.0769230769230769</v>
      </c>
      <c r="AO1357" s="57" t="n">
        <f aca="false">AL1357*F1357</f>
        <v>2954.48</v>
      </c>
      <c r="AP1357" s="57" t="n">
        <f aca="false">ROUNDUP(MAX(I1357/IF(BV1357&gt;0,BV1357,MAX(0.1,N(Cockpit!$I$6))),BY1357)/BQ1357,0)*BQ1357</f>
        <v>8</v>
      </c>
      <c r="AQ1357" s="58" t="n">
        <f aca="false">IF(AN1357&gt;0,I1357/AN1357,-1)</f>
        <v>39</v>
      </c>
      <c r="AR1357" s="58" t="n">
        <f aca="false">IF(AND(OR(BU1357="L1",BU1357="L23"),AN1357&gt;0),SUMIFS($AN$7:$AN$1576,$BU$7:$BU$1576,BU1357,$AQ$7:$AQ$1576,"&gt;"&amp;AQ1357)+SUMIFS($AN$7:$AN$1576,$BU$7:$BU$1576,BU1357,$AQ$7:$AQ$1576,AQ1357,$BO$7:$BO$1576,"&lt;="&amp;BO1357),"")</f>
        <v>90.1824345886958</v>
      </c>
      <c r="AS1357" s="65" t="n">
        <f aca="false">IF(AR1357="",0,MAX(0,MIN(1,(IF(BU1357="L1",Parameter!$E$5,Parameter!$E$6+Parameter!$E$7)-(AR1357-AN1357))/AN1357)))</f>
        <v>1</v>
      </c>
      <c r="AT1357" s="57" t="n">
        <f aca="false">IF(LEFT(Cockpit!$O$5,1)="A",G1357,IF(BW1357=1,BX1357,IF(LEFT(Cockpit!$O$5,1)="B",AX1357,MAX(AX1357,G1357))))</f>
        <v>8</v>
      </c>
      <c r="AU1357" s="57" t="n">
        <f aca="false">IF(BR1357=1,0,ROUNDUP(AT1357/BQ1357,0))</f>
        <v>2</v>
      </c>
      <c r="AV1357" s="59" t="n">
        <f aca="false">IF(CD1357&gt;0,CD1357*MAX(1,AT1357/V1357),IF(BR1357=1,IF(AT1357&lt;=0,0,BS1357*MAX(1,IF(G1357&gt;0,AT1357/G1357,1))),IF(Q1357&gt;0,AU1357/Q1357,0))/MAX(0.1,N(Parameter!$M$21)))</f>
        <v>0.0769230769230769</v>
      </c>
      <c r="AW1357" s="57" t="n">
        <f aca="false">AT1357*F1357</f>
        <v>2954.48</v>
      </c>
      <c r="AX1357" s="57" t="n">
        <f aca="false">ROUNDUP(MAX(I1357/IF(BV1357&gt;0,BV1357,MAX(0.1,N(Cockpit!$O$6))),BY1357)/BQ1357,0)*BQ1357</f>
        <v>8</v>
      </c>
      <c r="AY1357" s="58" t="n">
        <f aca="false">IF(AV1357&gt;0,I1357/AV1357,-1)</f>
        <v>39</v>
      </c>
      <c r="AZ1357" s="58" t="n">
        <f aca="false">IF(AND(OR(BU1357="L1",BU1357="L23"),AV1357&gt;0),SUMIFS($AV$7:$AV$1576,$BU$7:$BU$1576,BU1357,$AY$7:$AY$1576,"&gt;"&amp;AY1357)+SUMIFS($AV$7:$AV$1576,$BU$7:$BU$1576,BU1357,$AY$7:$AY$1576,AY1357,$BO$7:$BO$1576,"&lt;="&amp;BO1357),"")</f>
        <v>81.8919850382462</v>
      </c>
      <c r="BA1357" s="65" t="n">
        <f aca="false">IF(AZ1357="",0,MAX(0,MIN(1,(IF(BU1357="L1",Parameter!$E$5,Parameter!$E$6+Parameter!$E$7)-(AZ1357-AV1357))/AV1357)))</f>
        <v>1</v>
      </c>
      <c r="BB1357" s="55" t="str">
        <f aca="false">IF(AF1357&lt;=0,"",IF(BU1357="Aussen","Aussenlager",IF(BU1357="-","Nicht im Lift",IF(AK1357&gt;=1,"Lift",IF(AK1357&lt;=0,"Aussenlager","teilweise")))))</f>
        <v/>
      </c>
      <c r="BC1357" s="55" t="str">
        <f aca="false">IF(AN1357&lt;=0,"",IF(BU1357="Aussen","Aussenlager",IF(BU1357="-","Nicht im Lift",IF(AS1357&gt;=1,"Lift",IF(AS1357&lt;=0,"Aussenlager","teilweise")))))</f>
        <v>Lift</v>
      </c>
      <c r="BD1357" s="55" t="str">
        <f aca="false">IF(AV1357&lt;=0,"",IF(BU1357="Aussen","Aussenlager",IF(BU1357="-","Nicht im Lift",IF(BA1357&gt;=1,"Lift",IF(BA1357&lt;=0,"Aussenlager","teilweise")))))</f>
        <v>Lift</v>
      </c>
      <c r="BE1357" s="55" t="str">
        <f aca="false">IF(A1357="","",IF(BN1357=1,"Neu; ","")&amp;IF(AND(BN1357=0,BI1357&lt;0),"negativer Bestand (Export "&amp;BI1357&amp;"); ","")&amp;IF(I1357&lt;=0,"Kein Verbrauch; ","")&amp;IF(CD1357&gt;0,"Lift "&amp;U1357&amp;" lt. Liftbericht (Fach "&amp;V1357&amp;" Stk); ",IF(BR1357=1,"Lose – Fläche geschätzt; ",""))&amp;IF(G1357&gt;AP1357,"Überbestand "&amp;ROUND(G1357-AP1357,0)&amp;" Stk / CHF "&amp;ROUND((G1357-AP1357)*F1357,0)&amp;"; ","")&amp;IF(AND(BW1357=1,BX1357&lt;BY1357),"MAX &lt; MB+LG; ","")&amp;IF(AND(CC1357&gt;0,CB1357*10&gt;CC1357),"zu hoch für Tablar; ","")&amp;IF(AND(BN1357=0,OR(BW1357=1,Y1357&lt;&gt;"",S1357&lt;&gt;"",T1357&lt;&gt;"",Z1357&lt;&gt;"")),"manuell übersteuert; ","")&amp;IF(AND(BR1357=0,Q1357=0),"Gebinde unbekannt / Stellmass fehlt; ","")&amp;IF(AND(BR1357=0,N(T1357)&lt;=0,N(P1357)&lt;=0),"Menge pro Gebinde fehlt (Ist = 1 Gebinde); ","")&amp;BM1357)</f>
        <v>negativer Bestand (Export -6); Neu</v>
      </c>
      <c r="BF1357" s="55"/>
      <c r="BG1357" s="55"/>
      <c r="BH1357" s="62"/>
      <c r="BI1357" s="57" t="n">
        <v>-6</v>
      </c>
      <c r="BJ1357" s="57" t="n">
        <v>7</v>
      </c>
      <c r="BK1357" s="56" t="n">
        <v>-2215.86</v>
      </c>
      <c r="BL1357" s="57" t="n">
        <v>3</v>
      </c>
      <c r="BM1357" s="55" t="s">
        <v>615</v>
      </c>
      <c r="BN1357" s="60" t="n">
        <v>0</v>
      </c>
      <c r="BO1357" s="60" t="n">
        <v>1357</v>
      </c>
      <c r="BP1357" s="55" t="str">
        <f aca="false">IF(S1357&lt;&gt;"",UPPER(TRIM(S1357)),IF(O1357="","LOSE",O1357))</f>
        <v>S51</v>
      </c>
      <c r="BQ1357" s="57" t="n">
        <f aca="false">IF(BP1357="LOSE",1,IF(N(T1357)&gt;0,T1357,IF(N(P1357)&gt;0,P1357,MAX(1,G1357))))</f>
        <v>4</v>
      </c>
      <c r="BR1357" s="60" t="n">
        <f aca="false">IF(BP1357="LOSE",1,0)</f>
        <v>0</v>
      </c>
      <c r="BS1357" s="59" t="n">
        <f aca="false">IF(BR1357=0,0,IF(N(R1357)&gt;0,R1357,IFERROR(VLOOKUP(D1357,Parameter!$A$35:$C$64,3,0)+0,0)))</f>
        <v>0</v>
      </c>
      <c r="BT1357" s="55" t="n">
        <f aca="false">IF(Y1357&lt;&gt;"",Y1357,X1357)</f>
        <v>3</v>
      </c>
      <c r="BU1357" s="55" t="str">
        <f aca="false">IF(BT1357=1,"L1",IF(OR(BT1357=2,BT1357=3),"L23",IF(BT1357="Aussen","Aussen","-")))</f>
        <v>L23</v>
      </c>
      <c r="BV1357" s="66" t="n">
        <f aca="false">IF(N(Z1357)&gt;0,Z1357,0)</f>
        <v>0</v>
      </c>
      <c r="BW1357" s="60" t="n">
        <f aca="false">IF(ISNUMBER(AC1357),1,0)</f>
        <v>0</v>
      </c>
      <c r="BX1357" s="57" t="n">
        <f aca="false">N(AC1357)</f>
        <v>0</v>
      </c>
      <c r="BY1357" s="57" t="n">
        <f aca="false">N(L1357)+N(M1357)</f>
        <v>5</v>
      </c>
      <c r="BZ1357" s="57" t="n">
        <f aca="false">ROUNDUP(G1357/BQ1357,0)</f>
        <v>0</v>
      </c>
      <c r="CA1357" s="57" t="n">
        <f aca="false">ROUNDUP(BX1357/BQ1357,0)</f>
        <v>0</v>
      </c>
      <c r="CB1357" s="60" t="n">
        <f aca="false">IF(BR1357=1,0,IFERROR(VLOOKUP(BP1357,'Gebinde-Kategorie'!$A$5:$M$45,5,0)+0,0))</f>
        <v>11</v>
      </c>
      <c r="CC1357" s="60" t="n">
        <f aca="false">IFERROR(IF(OR(BT1357=1,BT1357=2,BT1357=3),N(INDEX(Parameter!$I$5:$I$7,BT1357)),0),0)</f>
        <v>0</v>
      </c>
      <c r="CD1357" s="59" t="n">
        <f aca="false">IF(AND(Parameter!$B$21="Ja",ISNUMBER(U1357),N(V1357)&gt;0),IFERROR(N(INDEX(Parameter!$L$5:$L$7,U1357))*INDEX(Parameter!$E$5:$E$7,U1357)*V1357/SUMIFS($V$7:$V$1576,$U$7:$U$1576,U1357),0),0)</f>
        <v>0</v>
      </c>
    </row>
    <row r="1358" customFormat="false" ht="15" hidden="false" customHeight="false" outlineLevel="0" collapsed="false">
      <c r="A1358" s="55" t="s">
        <v>2381</v>
      </c>
      <c r="B1358" s="55" t="s">
        <v>281</v>
      </c>
      <c r="C1358" s="55" t="s">
        <v>160</v>
      </c>
      <c r="D1358" s="55" t="s">
        <v>168</v>
      </c>
      <c r="E1358" s="55" t="s">
        <v>210</v>
      </c>
      <c r="F1358" s="56" t="n">
        <v>221.79</v>
      </c>
      <c r="G1358" s="57" t="n">
        <f aca="false">MAX(0,IF(AND(Parameter!$B$21="Ja",ISNUMBER(W1358)),W1358,IF(Parameter!$B$20="Jahresanfang 2025 + Export",BJ1358+BI1358,BI1358)))</f>
        <v>0</v>
      </c>
      <c r="H1358" s="57" t="n">
        <f aca="false">G1358*F1358</f>
        <v>0</v>
      </c>
      <c r="I1358" s="57" t="n">
        <f aca="false">BL1358*Parameter!$B$18</f>
        <v>5</v>
      </c>
      <c r="J1358" s="58" t="n">
        <v>26.5</v>
      </c>
      <c r="K1358" s="59" t="n">
        <v>0.188679245283019</v>
      </c>
      <c r="L1358" s="57" t="n">
        <v>0</v>
      </c>
      <c r="M1358" s="57" t="n">
        <v>5</v>
      </c>
      <c r="N1358" s="60" t="n">
        <v>56</v>
      </c>
      <c r="O1358" s="55" t="s">
        <v>169</v>
      </c>
      <c r="P1358" s="57" t="n">
        <v>20</v>
      </c>
      <c r="Q1358" s="60" t="n">
        <f aca="false">IF(BR1358=1,0,IFERROR(VLOOKUP(BP1358,'Gebinde-Kategorie'!$A$5:$M$45,13,0)+0,0))</f>
        <v>6</v>
      </c>
      <c r="R1358" s="61"/>
      <c r="S1358" s="62"/>
      <c r="T1358" s="62"/>
      <c r="U1358" s="55"/>
      <c r="V1358" s="57"/>
      <c r="W1358" s="57"/>
      <c r="X1358" s="55" t="n">
        <f aca="false">IF(A1358="","",IF(AND(Parameter!$B$21="Ja",ISNUMBER(U1358)),U1358,IF(IFERROR(VLOOKUP(D1358,Parameter!$A$35:$C$64,2,0),"Nein")="2+3",IF(ISNUMBER(SEARCH("grosser Artikel",BM1358)),2,IFERROR(VLOOKUP(BP1358,Parameter!$F$35:$G$64,2,0),2)),IF(OR(IFERROR(VLOOKUP(D1358,Parameter!$A$35:$C$64,2,0),"Nein")="Nein",IFERROR(VLOOKUP(D1358,Parameter!$A$35:$C$64,2,0),"Nein")=""),"-",VLOOKUP(D1358,Parameter!$A$35:$C$64,2,0)))))</f>
        <v>2</v>
      </c>
      <c r="Y1358" s="62"/>
      <c r="Z1358" s="63"/>
      <c r="AA1358" s="57" t="n">
        <f aca="false">AP1358</f>
        <v>20</v>
      </c>
      <c r="AB1358" s="57" t="n">
        <f aca="false">MAX(AP1358,G1358)</f>
        <v>20</v>
      </c>
      <c r="AC1358" s="64"/>
      <c r="AD1358" s="57" t="n">
        <f aca="false">IF(LEFT(Cockpit!$C$5,1)="A",G1358,IF(BW1358=1,BX1358,IF(LEFT(Cockpit!$C$5,1)="B",AH1358,MAX(AH1358,G1358))))</f>
        <v>0</v>
      </c>
      <c r="AE1358" s="57" t="n">
        <f aca="false">IF(BR1358=1,0,ROUNDUP(AD1358/BQ1358,0))</f>
        <v>0</v>
      </c>
      <c r="AF1358" s="59" t="n">
        <f aca="false">IF(CD1358&gt;0,CD1358*MAX(1,AD1358/V1358),IF(BR1358=1,IF(AD1358&lt;=0,0,BS1358*MAX(1,IF(G1358&gt;0,AD1358/G1358,1))),IF(Q1358&gt;0,AE1358/Q1358,0))/MAX(0.1,N(Parameter!$M$21)))</f>
        <v>0</v>
      </c>
      <c r="AG1358" s="57" t="n">
        <f aca="false">AD1358*F1358</f>
        <v>0</v>
      </c>
      <c r="AH1358" s="57" t="n">
        <f aca="false">ROUNDUP(MAX(I1358/IF(BV1358&gt;0,BV1358,MAX(0.1,N(Cockpit!$C$6))),BY1358)/BQ1358,0)*BQ1358</f>
        <v>20</v>
      </c>
      <c r="AI1358" s="58" t="n">
        <f aca="false">IF(AF1358&gt;0,I1358/AF1358,-1)</f>
        <v>-1</v>
      </c>
      <c r="AJ1358" s="58" t="str">
        <f aca="false">IF(AND(OR(BU1358="L1",BU1358="L23"),AF1358&gt;0),SUMIFS($AF$7:$AF$1576,$BU$7:$BU$1576,BU1358,$AI$7:$AI$1576,"&gt;"&amp;AI1358)+SUMIFS($AF$7:$AF$1576,$BU$7:$BU$1576,BU1358,$AI$7:$AI$1576,AI1358,$BO$7:$BO$1576,"&lt;="&amp;BO1358),"")</f>
        <v/>
      </c>
      <c r="AK1358" s="65" t="n">
        <f aca="false">IF(AJ1358="",0,MAX(0,MIN(1,(IF(BU1358="L1",Parameter!$E$5,Parameter!$E$6+Parameter!$E$7)-(AJ1358-AF1358))/AF1358)))</f>
        <v>0</v>
      </c>
      <c r="AL1358" s="57" t="n">
        <f aca="false">IF(LEFT(Cockpit!$I$5,1)="A",G1358,IF(BW1358=1,BX1358,IF(LEFT(Cockpit!$I$5,1)="B",AP1358,MAX(AP1358,G1358))))</f>
        <v>20</v>
      </c>
      <c r="AM1358" s="57" t="n">
        <f aca="false">IF(BR1358=1,0,ROUNDUP(AL1358/BQ1358,0))</f>
        <v>1</v>
      </c>
      <c r="AN1358" s="59" t="n">
        <f aca="false">IF(CD1358&gt;0,CD1358*MAX(1,AL1358/V1358),IF(BR1358=1,IF(AL1358&lt;=0,0,BS1358*MAX(1,IF(G1358&gt;0,AL1358/G1358,1))),IF(Q1358&gt;0,AM1358/Q1358,0))/MAX(0.1,N(Parameter!$M$21)))</f>
        <v>0.166666666666667</v>
      </c>
      <c r="AO1358" s="57" t="n">
        <f aca="false">AL1358*F1358</f>
        <v>4435.8</v>
      </c>
      <c r="AP1358" s="57" t="n">
        <f aca="false">ROUNDUP(MAX(I1358/IF(BV1358&gt;0,BV1358,MAX(0.1,N(Cockpit!$I$6))),BY1358)/BQ1358,0)*BQ1358</f>
        <v>20</v>
      </c>
      <c r="AQ1358" s="58" t="n">
        <f aca="false">IF(AN1358&gt;0,I1358/AN1358,-1)</f>
        <v>30</v>
      </c>
      <c r="AR1358" s="58" t="n">
        <f aca="false">IF(AND(OR(BU1358="L1",BU1358="L23"),AN1358&gt;0),SUMIFS($AN$7:$AN$1576,$BU$7:$BU$1576,BU1358,$AQ$7:$AQ$1576,"&gt;"&amp;AQ1358)+SUMIFS($AN$7:$AN$1576,$BU$7:$BU$1576,BU1358,$AQ$7:$AQ$1576,AQ1358,$BO$7:$BO$1576,"&lt;="&amp;BO1358),"")</f>
        <v>95.1341012553624</v>
      </c>
      <c r="AS1358" s="65" t="n">
        <f aca="false">IF(AR1358="",0,MAX(0,MIN(1,(IF(BU1358="L1",Parameter!$E$5,Parameter!$E$6+Parameter!$E$7)-(AR1358-AN1358))/AN1358)))</f>
        <v>1</v>
      </c>
      <c r="AT1358" s="57" t="n">
        <f aca="false">IF(LEFT(Cockpit!$O$5,1)="A",G1358,IF(BW1358=1,BX1358,IF(LEFT(Cockpit!$O$5,1)="B",AX1358,MAX(AX1358,G1358))))</f>
        <v>20</v>
      </c>
      <c r="AU1358" s="57" t="n">
        <f aca="false">IF(BR1358=1,0,ROUNDUP(AT1358/BQ1358,0))</f>
        <v>1</v>
      </c>
      <c r="AV1358" s="59" t="n">
        <f aca="false">IF(CD1358&gt;0,CD1358*MAX(1,AT1358/V1358),IF(BR1358=1,IF(AT1358&lt;=0,0,BS1358*MAX(1,IF(G1358&gt;0,AT1358/G1358,1))),IF(Q1358&gt;0,AU1358/Q1358,0))/MAX(0.1,N(Parameter!$M$21)))</f>
        <v>0.166666666666667</v>
      </c>
      <c r="AW1358" s="57" t="n">
        <f aca="false">AT1358*F1358</f>
        <v>4435.8</v>
      </c>
      <c r="AX1358" s="57" t="n">
        <f aca="false">ROUNDUP(MAX(I1358/IF(BV1358&gt;0,BV1358,MAX(0.1,N(Cockpit!$O$6))),BY1358)/BQ1358,0)*BQ1358</f>
        <v>20</v>
      </c>
      <c r="AY1358" s="58" t="n">
        <f aca="false">IF(AV1358&gt;0,I1358/AV1358,-1)</f>
        <v>30</v>
      </c>
      <c r="AZ1358" s="58" t="n">
        <f aca="false">IF(AND(OR(BU1358="L1",BU1358="L23"),AV1358&gt;0),SUMIFS($AV$7:$AV$1576,$BU$7:$BU$1576,BU1358,$AY$7:$AY$1576,"&gt;"&amp;AY1358)+SUMIFS($AV$7:$AV$1576,$BU$7:$BU$1576,BU1358,$AY$7:$AY$1576,AY1358,$BO$7:$BO$1576,"&lt;="&amp;BO1358),"")</f>
        <v>86.9186517049129</v>
      </c>
      <c r="BA1358" s="65" t="n">
        <f aca="false">IF(AZ1358="",0,MAX(0,MIN(1,(IF(BU1358="L1",Parameter!$E$5,Parameter!$E$6+Parameter!$E$7)-(AZ1358-AV1358))/AV1358)))</f>
        <v>1</v>
      </c>
      <c r="BB1358" s="55" t="str">
        <f aca="false">IF(AF1358&lt;=0,"",IF(BU1358="Aussen","Aussenlager",IF(BU1358="-","Nicht im Lift",IF(AK1358&gt;=1,"Lift",IF(AK1358&lt;=0,"Aussenlager","teilweise")))))</f>
        <v/>
      </c>
      <c r="BC1358" s="55" t="str">
        <f aca="false">IF(AN1358&lt;=0,"",IF(BU1358="Aussen","Aussenlager",IF(BU1358="-","Nicht im Lift",IF(AS1358&gt;=1,"Lift",IF(AS1358&lt;=0,"Aussenlager","teilweise")))))</f>
        <v>Lift</v>
      </c>
      <c r="BD1358" s="55" t="str">
        <f aca="false">IF(AV1358&lt;=0,"",IF(BU1358="Aussen","Aussenlager",IF(BU1358="-","Nicht im Lift",IF(BA1358&gt;=1,"Lift",IF(BA1358&lt;=0,"Aussenlager","teilweise")))))</f>
        <v>Lift</v>
      </c>
      <c r="BE1358" s="55" t="str">
        <f aca="false">IF(A1358="","",IF(BN1358=1,"Neu; ","")&amp;IF(AND(BN1358=0,BI1358&lt;0),"negativer Bestand (Export "&amp;BI1358&amp;"); ","")&amp;IF(I1358&lt;=0,"Kein Verbrauch; ","")&amp;IF(CD1358&gt;0,"Lift "&amp;U1358&amp;" lt. Liftbericht (Fach "&amp;V1358&amp;" Stk); ",IF(BR1358=1,"Lose – Fläche geschätzt; ",""))&amp;IF(G1358&gt;AP1358,"Überbestand "&amp;ROUND(G1358-AP1358,0)&amp;" Stk / CHF "&amp;ROUND((G1358-AP1358)*F1358,0)&amp;"; ","")&amp;IF(AND(BW1358=1,BX1358&lt;BY1358),"MAX &lt; MB+LG; ","")&amp;IF(AND(CC1358&gt;0,CB1358*10&gt;CC1358),"zu hoch für Tablar; ","")&amp;IF(AND(BN1358=0,OR(BW1358=1,Y1358&lt;&gt;"",S1358&lt;&gt;"",T1358&lt;&gt;"",Z1358&lt;&gt;"")),"manuell übersteuert; ","")&amp;IF(AND(BR1358=0,Q1358=0),"Gebinde unbekannt / Stellmass fehlt; ","")&amp;IF(AND(BR1358=0,N(T1358)&lt;=0,N(P1358)&lt;=0),"Menge pro Gebinde fehlt (Ist = 1 Gebinde); ","")&amp;BM1358)</f>
        <v>negativer Bestand (Export -10); </v>
      </c>
      <c r="BF1358" s="55"/>
      <c r="BG1358" s="55"/>
      <c r="BH1358" s="62"/>
      <c r="BI1358" s="57" t="n">
        <v>-10</v>
      </c>
      <c r="BJ1358" s="57" t="n">
        <v>30</v>
      </c>
      <c r="BK1358" s="56" t="n">
        <v>-2217.9</v>
      </c>
      <c r="BL1358" s="57" t="n">
        <v>5</v>
      </c>
      <c r="BM1358" s="55"/>
      <c r="BN1358" s="60" t="n">
        <v>0</v>
      </c>
      <c r="BO1358" s="60" t="n">
        <v>1358</v>
      </c>
      <c r="BP1358" s="55" t="str">
        <f aca="false">IF(S1358&lt;&gt;"",UPPER(TRIM(S1358)),IF(O1358="","LOSE",O1358))</f>
        <v>S71</v>
      </c>
      <c r="BQ1358" s="57" t="n">
        <f aca="false">IF(BP1358="LOSE",1,IF(N(T1358)&gt;0,T1358,IF(N(P1358)&gt;0,P1358,MAX(1,G1358))))</f>
        <v>20</v>
      </c>
      <c r="BR1358" s="60" t="n">
        <f aca="false">IF(BP1358="LOSE",1,0)</f>
        <v>0</v>
      </c>
      <c r="BS1358" s="59" t="n">
        <f aca="false">IF(BR1358=0,0,IF(N(R1358)&gt;0,R1358,IFERROR(VLOOKUP(D1358,Parameter!$A$35:$C$64,3,0)+0,0)))</f>
        <v>0</v>
      </c>
      <c r="BT1358" s="55" t="n">
        <f aca="false">IF(Y1358&lt;&gt;"",Y1358,X1358)</f>
        <v>2</v>
      </c>
      <c r="BU1358" s="55" t="str">
        <f aca="false">IF(BT1358=1,"L1",IF(OR(BT1358=2,BT1358=3),"L23",IF(BT1358="Aussen","Aussen","-")))</f>
        <v>L23</v>
      </c>
      <c r="BV1358" s="66" t="n">
        <f aca="false">IF(N(Z1358)&gt;0,Z1358,0)</f>
        <v>0</v>
      </c>
      <c r="BW1358" s="60" t="n">
        <f aca="false">IF(ISNUMBER(AC1358),1,0)</f>
        <v>0</v>
      </c>
      <c r="BX1358" s="57" t="n">
        <f aca="false">N(AC1358)</f>
        <v>0</v>
      </c>
      <c r="BY1358" s="57" t="n">
        <f aca="false">N(L1358)+N(M1358)</f>
        <v>5</v>
      </c>
      <c r="BZ1358" s="57" t="n">
        <f aca="false">ROUNDUP(G1358/BQ1358,0)</f>
        <v>0</v>
      </c>
      <c r="CA1358" s="57" t="n">
        <f aca="false">ROUNDUP(BX1358/BQ1358,0)</f>
        <v>0</v>
      </c>
      <c r="CB1358" s="60" t="n">
        <f aca="false">IF(BR1358=1,0,IFERROR(VLOOKUP(BP1358,'Gebinde-Kategorie'!$A$5:$M$45,5,0)+0,0))</f>
        <v>20</v>
      </c>
      <c r="CC1358" s="60" t="n">
        <f aca="false">IFERROR(IF(OR(BT1358=1,BT1358=2,BT1358=3),N(INDEX(Parameter!$I$5:$I$7,BT1358)),0),0)</f>
        <v>0</v>
      </c>
      <c r="CD1358" s="59" t="n">
        <f aca="false">IF(AND(Parameter!$B$21="Ja",ISNUMBER(U1358),N(V1358)&gt;0),IFERROR(N(INDEX(Parameter!$L$5:$L$7,U1358))*INDEX(Parameter!$E$5:$E$7,U1358)*V1358/SUMIFS($V$7:$V$1576,$U$7:$U$1576,U1358),0),0)</f>
        <v>0</v>
      </c>
    </row>
    <row r="1359" customFormat="false" ht="15" hidden="false" customHeight="false" outlineLevel="0" collapsed="false">
      <c r="A1359" s="55" t="s">
        <v>2382</v>
      </c>
      <c r="B1359" s="55" t="s">
        <v>587</v>
      </c>
      <c r="C1359" s="55" t="s">
        <v>160</v>
      </c>
      <c r="D1359" s="55" t="s">
        <v>178</v>
      </c>
      <c r="E1359" s="55" t="s">
        <v>210</v>
      </c>
      <c r="F1359" s="56" t="n">
        <v>49.99</v>
      </c>
      <c r="G1359" s="57" t="n">
        <f aca="false">MAX(0,IF(AND(Parameter!$B$21="Ja",ISNUMBER(W1359)),W1359,IF(Parameter!$B$20="Jahresanfang 2025 + Export",BJ1359+BI1359,BI1359)))</f>
        <v>0</v>
      </c>
      <c r="H1359" s="57" t="n">
        <f aca="false">G1359*F1359</f>
        <v>0</v>
      </c>
      <c r="I1359" s="57" t="n">
        <f aca="false">BL1359*Parameter!$B$18</f>
        <v>30</v>
      </c>
      <c r="J1359" s="58" t="n">
        <v>92.5</v>
      </c>
      <c r="K1359" s="59" t="n">
        <v>0.324324324324324</v>
      </c>
      <c r="L1359" s="57" t="n">
        <v>2</v>
      </c>
      <c r="M1359" s="57" t="n">
        <v>30</v>
      </c>
      <c r="N1359" s="60" t="n">
        <v>28</v>
      </c>
      <c r="O1359" s="55" t="s">
        <v>293</v>
      </c>
      <c r="P1359" s="57" t="n">
        <v>161</v>
      </c>
      <c r="Q1359" s="60" t="n">
        <f aca="false">IF(BR1359=1,0,IFERROR(VLOOKUP(BP1359,'Gebinde-Kategorie'!$A$5:$M$45,13,0)+0,0))</f>
        <v>26</v>
      </c>
      <c r="R1359" s="61"/>
      <c r="S1359" s="62"/>
      <c r="T1359" s="62"/>
      <c r="U1359" s="55"/>
      <c r="V1359" s="57"/>
      <c r="W1359" s="57"/>
      <c r="X1359" s="55" t="n">
        <f aca="false">IF(A1359="","",IF(AND(Parameter!$B$21="Ja",ISNUMBER(U1359)),U1359,IF(IFERROR(VLOOKUP(D1359,Parameter!$A$35:$C$64,2,0),"Nein")="2+3",IF(ISNUMBER(SEARCH("grosser Artikel",BM1359)),2,IFERROR(VLOOKUP(BP1359,Parameter!$F$35:$G$64,2,0),2)),IF(OR(IFERROR(VLOOKUP(D1359,Parameter!$A$35:$C$64,2,0),"Nein")="Nein",IFERROR(VLOOKUP(D1359,Parameter!$A$35:$C$64,2,0),"Nein")=""),"-",VLOOKUP(D1359,Parameter!$A$35:$C$64,2,0)))))</f>
        <v>3</v>
      </c>
      <c r="Y1359" s="62"/>
      <c r="Z1359" s="63"/>
      <c r="AA1359" s="57" t="n">
        <f aca="false">AP1359</f>
        <v>161</v>
      </c>
      <c r="AB1359" s="57" t="n">
        <f aca="false">MAX(AP1359,G1359)</f>
        <v>161</v>
      </c>
      <c r="AC1359" s="64"/>
      <c r="AD1359" s="57" t="n">
        <f aca="false">IF(LEFT(Cockpit!$C$5,1)="A",G1359,IF(BW1359=1,BX1359,IF(LEFT(Cockpit!$C$5,1)="B",AH1359,MAX(AH1359,G1359))))</f>
        <v>0</v>
      </c>
      <c r="AE1359" s="57" t="n">
        <f aca="false">IF(BR1359=1,0,ROUNDUP(AD1359/BQ1359,0))</f>
        <v>0</v>
      </c>
      <c r="AF1359" s="59" t="n">
        <f aca="false">IF(CD1359&gt;0,CD1359*MAX(1,AD1359/V1359),IF(BR1359=1,IF(AD1359&lt;=0,0,BS1359*MAX(1,IF(G1359&gt;0,AD1359/G1359,1))),IF(Q1359&gt;0,AE1359/Q1359,0))/MAX(0.1,N(Parameter!$M$21)))</f>
        <v>0</v>
      </c>
      <c r="AG1359" s="57" t="n">
        <f aca="false">AD1359*F1359</f>
        <v>0</v>
      </c>
      <c r="AH1359" s="57" t="n">
        <f aca="false">ROUNDUP(MAX(I1359/IF(BV1359&gt;0,BV1359,MAX(0.1,N(Cockpit!$C$6))),BY1359)/BQ1359,0)*BQ1359</f>
        <v>161</v>
      </c>
      <c r="AI1359" s="58" t="n">
        <f aca="false">IF(AF1359&gt;0,I1359/AF1359,-1)</f>
        <v>-1</v>
      </c>
      <c r="AJ1359" s="58" t="str">
        <f aca="false">IF(AND(OR(BU1359="L1",BU1359="L23"),AF1359&gt;0),SUMIFS($AF$7:$AF$1576,$BU$7:$BU$1576,BU1359,$AI$7:$AI$1576,"&gt;"&amp;AI1359)+SUMIFS($AF$7:$AF$1576,$BU$7:$BU$1576,BU1359,$AI$7:$AI$1576,AI1359,$BO$7:$BO$1576,"&lt;="&amp;BO1359),"")</f>
        <v/>
      </c>
      <c r="AK1359" s="65" t="n">
        <f aca="false">IF(AJ1359="",0,MAX(0,MIN(1,(IF(BU1359="L1",Parameter!$E$5,Parameter!$E$6+Parameter!$E$7)-(AJ1359-AF1359))/AF1359)))</f>
        <v>0</v>
      </c>
      <c r="AL1359" s="57" t="n">
        <f aca="false">IF(LEFT(Cockpit!$I$5,1)="A",G1359,IF(BW1359=1,BX1359,IF(LEFT(Cockpit!$I$5,1)="B",AP1359,MAX(AP1359,G1359))))</f>
        <v>161</v>
      </c>
      <c r="AM1359" s="57" t="n">
        <f aca="false">IF(BR1359=1,0,ROUNDUP(AL1359/BQ1359,0))</f>
        <v>1</v>
      </c>
      <c r="AN1359" s="59" t="n">
        <f aca="false">IF(CD1359&gt;0,CD1359*MAX(1,AL1359/V1359),IF(BR1359=1,IF(AL1359&lt;=0,0,BS1359*MAX(1,IF(G1359&gt;0,AL1359/G1359,1))),IF(Q1359&gt;0,AM1359/Q1359,0))/MAX(0.1,N(Parameter!$M$21)))</f>
        <v>0.0384615384615385</v>
      </c>
      <c r="AO1359" s="57" t="n">
        <f aca="false">AL1359*F1359</f>
        <v>8048.39</v>
      </c>
      <c r="AP1359" s="57" t="n">
        <f aca="false">ROUNDUP(MAX(I1359/IF(BV1359&gt;0,BV1359,MAX(0.1,N(Cockpit!$I$6))),BY1359)/BQ1359,0)*BQ1359</f>
        <v>161</v>
      </c>
      <c r="AQ1359" s="58" t="n">
        <f aca="false">IF(AN1359&gt;0,I1359/AN1359,-1)</f>
        <v>780</v>
      </c>
      <c r="AR1359" s="58" t="n">
        <f aca="false">IF(AND(OR(BU1359="L1",BU1359="L23"),AN1359&gt;0),SUMIFS($AN$7:$AN$1576,$BU$7:$BU$1576,BU1359,$AQ$7:$AQ$1576,"&gt;"&amp;AQ1359)+SUMIFS($AN$7:$AN$1576,$BU$7:$BU$1576,BU1359,$AQ$7:$AQ$1576,AQ1359,$BO$7:$BO$1576,"&lt;="&amp;BO1359),"")</f>
        <v>26.3758409830261</v>
      </c>
      <c r="AS1359" s="65" t="n">
        <f aca="false">IF(AR1359="",0,MAX(0,MIN(1,(IF(BU1359="L1",Parameter!$E$5,Parameter!$E$6+Parameter!$E$7)-(AR1359-AN1359))/AN1359)))</f>
        <v>1</v>
      </c>
      <c r="AT1359" s="57" t="n">
        <f aca="false">IF(LEFT(Cockpit!$O$5,1)="A",G1359,IF(BW1359=1,BX1359,IF(LEFT(Cockpit!$O$5,1)="B",AX1359,MAX(AX1359,G1359))))</f>
        <v>161</v>
      </c>
      <c r="AU1359" s="57" t="n">
        <f aca="false">IF(BR1359=1,0,ROUNDUP(AT1359/BQ1359,0))</f>
        <v>1</v>
      </c>
      <c r="AV1359" s="59" t="n">
        <f aca="false">IF(CD1359&gt;0,CD1359*MAX(1,AT1359/V1359),IF(BR1359=1,IF(AT1359&lt;=0,0,BS1359*MAX(1,IF(G1359&gt;0,AT1359/G1359,1))),IF(Q1359&gt;0,AU1359/Q1359,0))/MAX(0.1,N(Parameter!$M$21)))</f>
        <v>0.0384615384615385</v>
      </c>
      <c r="AW1359" s="57" t="n">
        <f aca="false">AT1359*F1359</f>
        <v>8048.39</v>
      </c>
      <c r="AX1359" s="57" t="n">
        <f aca="false">ROUNDUP(MAX(I1359/IF(BV1359&gt;0,BV1359,MAX(0.1,N(Cockpit!$O$6))),BY1359)/BQ1359,0)*BQ1359</f>
        <v>161</v>
      </c>
      <c r="AY1359" s="58" t="n">
        <f aca="false">IF(AV1359&gt;0,I1359/AV1359,-1)</f>
        <v>780</v>
      </c>
      <c r="AZ1359" s="58" t="n">
        <f aca="false">IF(AND(OR(BU1359="L1",BU1359="L23"),AV1359&gt;0),SUMIFS($AV$7:$AV$1576,$BU$7:$BU$1576,BU1359,$AY$7:$AY$1576,"&gt;"&amp;AY1359)+SUMIFS($AV$7:$AV$1576,$BU$7:$BU$1576,BU1359,$AY$7:$AY$1576,AY1359,$BO$7:$BO$1576,"&lt;="&amp;BO1359),"")</f>
        <v>26.4428573000424</v>
      </c>
      <c r="BA1359" s="65" t="n">
        <f aca="false">IF(AZ1359="",0,MAX(0,MIN(1,(IF(BU1359="L1",Parameter!$E$5,Parameter!$E$6+Parameter!$E$7)-(AZ1359-AV1359))/AV1359)))</f>
        <v>1</v>
      </c>
      <c r="BB1359" s="55" t="str">
        <f aca="false">IF(AF1359&lt;=0,"",IF(BU1359="Aussen","Aussenlager",IF(BU1359="-","Nicht im Lift",IF(AK1359&gt;=1,"Lift",IF(AK1359&lt;=0,"Aussenlager","teilweise")))))</f>
        <v/>
      </c>
      <c r="BC1359" s="55" t="str">
        <f aca="false">IF(AN1359&lt;=0,"",IF(BU1359="Aussen","Aussenlager",IF(BU1359="-","Nicht im Lift",IF(AS1359&gt;=1,"Lift",IF(AS1359&lt;=0,"Aussenlager","teilweise")))))</f>
        <v>Lift</v>
      </c>
      <c r="BD1359" s="55" t="str">
        <f aca="false">IF(AV1359&lt;=0,"",IF(BU1359="Aussen","Aussenlager",IF(BU1359="-","Nicht im Lift",IF(BA1359&gt;=1,"Lift",IF(BA1359&lt;=0,"Aussenlager","teilweise")))))</f>
        <v>Lift</v>
      </c>
      <c r="BE1359" s="55" t="str">
        <f aca="false">IF(A1359="","",IF(BN1359=1,"Neu; ","")&amp;IF(AND(BN1359=0,BI1359&lt;0),"negativer Bestand (Export "&amp;BI1359&amp;"); ","")&amp;IF(I1359&lt;=0,"Kein Verbrauch; ","")&amp;IF(CD1359&gt;0,"Lift "&amp;U1359&amp;" lt. Liftbericht (Fach "&amp;V1359&amp;" Stk); ",IF(BR1359=1,"Lose – Fläche geschätzt; ",""))&amp;IF(G1359&gt;AP1359,"Überbestand "&amp;ROUND(G1359-AP1359,0)&amp;" Stk / CHF "&amp;ROUND((G1359-AP1359)*F1359,0)&amp;"; ","")&amp;IF(AND(BW1359=1,BX1359&lt;BY1359),"MAX &lt; MB+LG; ","")&amp;IF(AND(CC1359&gt;0,CB1359*10&gt;CC1359),"zu hoch für Tablar; ","")&amp;IF(AND(BN1359=0,OR(BW1359=1,Y1359&lt;&gt;"",S1359&lt;&gt;"",T1359&lt;&gt;"",Z1359&lt;&gt;"")),"manuell übersteuert; ","")&amp;IF(AND(BR1359=0,Q1359=0),"Gebinde unbekannt / Stellmass fehlt; ","")&amp;IF(AND(BR1359=0,N(T1359)&lt;=0,N(P1359)&lt;=0),"Menge pro Gebinde fehlt (Ist = 1 Gebinde); ","")&amp;BM1359)</f>
        <v>negativer Bestand (Export -45); </v>
      </c>
      <c r="BF1359" s="55"/>
      <c r="BG1359" s="55"/>
      <c r="BH1359" s="62"/>
      <c r="BI1359" s="57" t="n">
        <v>-45</v>
      </c>
      <c r="BJ1359" s="57" t="n">
        <v>108</v>
      </c>
      <c r="BK1359" s="56" t="n">
        <v>-2249.55</v>
      </c>
      <c r="BL1359" s="57" t="n">
        <v>30</v>
      </c>
      <c r="BM1359" s="55"/>
      <c r="BN1359" s="60" t="n">
        <v>0</v>
      </c>
      <c r="BO1359" s="60" t="n">
        <v>1359</v>
      </c>
      <c r="BP1359" s="55" t="str">
        <f aca="false">IF(S1359&lt;&gt;"",UPPER(TRIM(S1359)),IF(O1359="","LOSE",O1359))</f>
        <v>S51</v>
      </c>
      <c r="BQ1359" s="57" t="n">
        <f aca="false">IF(BP1359="LOSE",1,IF(N(T1359)&gt;0,T1359,IF(N(P1359)&gt;0,P1359,MAX(1,G1359))))</f>
        <v>161</v>
      </c>
      <c r="BR1359" s="60" t="n">
        <f aca="false">IF(BP1359="LOSE",1,0)</f>
        <v>0</v>
      </c>
      <c r="BS1359" s="59" t="n">
        <f aca="false">IF(BR1359=0,0,IF(N(R1359)&gt;0,R1359,IFERROR(VLOOKUP(D1359,Parameter!$A$35:$C$64,3,0)+0,0)))</f>
        <v>0</v>
      </c>
      <c r="BT1359" s="55" t="n">
        <f aca="false">IF(Y1359&lt;&gt;"",Y1359,X1359)</f>
        <v>3</v>
      </c>
      <c r="BU1359" s="55" t="str">
        <f aca="false">IF(BT1359=1,"L1",IF(OR(BT1359=2,BT1359=3),"L23",IF(BT1359="Aussen","Aussen","-")))</f>
        <v>L23</v>
      </c>
      <c r="BV1359" s="66" t="n">
        <f aca="false">IF(N(Z1359)&gt;0,Z1359,0)</f>
        <v>0</v>
      </c>
      <c r="BW1359" s="60" t="n">
        <f aca="false">IF(ISNUMBER(AC1359),1,0)</f>
        <v>0</v>
      </c>
      <c r="BX1359" s="57" t="n">
        <f aca="false">N(AC1359)</f>
        <v>0</v>
      </c>
      <c r="BY1359" s="57" t="n">
        <f aca="false">N(L1359)+N(M1359)</f>
        <v>32</v>
      </c>
      <c r="BZ1359" s="57" t="n">
        <f aca="false">ROUNDUP(G1359/BQ1359,0)</f>
        <v>0</v>
      </c>
      <c r="CA1359" s="57" t="n">
        <f aca="false">ROUNDUP(BX1359/BQ1359,0)</f>
        <v>0</v>
      </c>
      <c r="CB1359" s="60" t="n">
        <f aca="false">IF(BR1359=1,0,IFERROR(VLOOKUP(BP1359,'Gebinde-Kategorie'!$A$5:$M$45,5,0)+0,0))</f>
        <v>11</v>
      </c>
      <c r="CC1359" s="60" t="n">
        <f aca="false">IFERROR(IF(OR(BT1359=1,BT1359=2,BT1359=3),N(INDEX(Parameter!$I$5:$I$7,BT1359)),0),0)</f>
        <v>0</v>
      </c>
      <c r="CD1359" s="59" t="n">
        <f aca="false">IF(AND(Parameter!$B$21="Ja",ISNUMBER(U1359),N(V1359)&gt;0),IFERROR(N(INDEX(Parameter!$L$5:$L$7,U1359))*INDEX(Parameter!$E$5:$E$7,U1359)*V1359/SUMIFS($V$7:$V$1576,$U$7:$U$1576,U1359),0),0)</f>
        <v>0</v>
      </c>
    </row>
    <row r="1360" customFormat="false" ht="15" hidden="false" customHeight="false" outlineLevel="0" collapsed="false">
      <c r="A1360" s="55" t="s">
        <v>2383</v>
      </c>
      <c r="B1360" s="55" t="s">
        <v>198</v>
      </c>
      <c r="C1360" s="55" t="s">
        <v>162</v>
      </c>
      <c r="D1360" s="55" t="s">
        <v>168</v>
      </c>
      <c r="E1360" s="55" t="s">
        <v>210</v>
      </c>
      <c r="F1360" s="56" t="n">
        <v>2326.66</v>
      </c>
      <c r="G1360" s="57" t="n">
        <f aca="false">MAX(0,IF(AND(Parameter!$B$21="Ja",ISNUMBER(W1360)),W1360,IF(Parameter!$B$20="Jahresanfang 2025 + Export",BJ1360+BI1360,BI1360)))</f>
        <v>1</v>
      </c>
      <c r="H1360" s="57" t="n">
        <f aca="false">G1360*F1360</f>
        <v>2326.66</v>
      </c>
      <c r="I1360" s="57" t="n">
        <f aca="false">BL1360*Parameter!$B$18</f>
        <v>0</v>
      </c>
      <c r="J1360" s="58" t="n">
        <v>10</v>
      </c>
      <c r="K1360" s="59" t="n">
        <v>0</v>
      </c>
      <c r="L1360" s="57" t="n">
        <v>0</v>
      </c>
      <c r="M1360" s="57" t="n">
        <v>1</v>
      </c>
      <c r="N1360" s="60" t="n">
        <v>49</v>
      </c>
      <c r="O1360" s="55" t="s">
        <v>163</v>
      </c>
      <c r="P1360" s="57"/>
      <c r="Q1360" s="60" t="n">
        <f aca="false">IF(BR1360=1,0,IFERROR(VLOOKUP(BP1360,'Gebinde-Kategorie'!$A$5:$M$45,13,0)+0,0))</f>
        <v>0</v>
      </c>
      <c r="R1360" s="61"/>
      <c r="S1360" s="62"/>
      <c r="T1360" s="62"/>
      <c r="U1360" s="55" t="n">
        <v>1</v>
      </c>
      <c r="V1360" s="57" t="n">
        <v>1</v>
      </c>
      <c r="W1360" s="57" t="n">
        <v>1</v>
      </c>
      <c r="X1360" s="55" t="n">
        <f aca="false">IF(A1360="","",IF(AND(Parameter!$B$21="Ja",ISNUMBER(U1360)),U1360,IF(IFERROR(VLOOKUP(D1360,Parameter!$A$35:$C$64,2,0),"Nein")="2+3",IF(ISNUMBER(SEARCH("grosser Artikel",BM1360)),2,IFERROR(VLOOKUP(BP1360,Parameter!$F$35:$G$64,2,0),2)),IF(OR(IFERROR(VLOOKUP(D1360,Parameter!$A$35:$C$64,2,0),"Nein")="Nein",IFERROR(VLOOKUP(D1360,Parameter!$A$35:$C$64,2,0),"Nein")=""),"-",VLOOKUP(D1360,Parameter!$A$35:$C$64,2,0)))))</f>
        <v>1</v>
      </c>
      <c r="Y1360" s="62"/>
      <c r="Z1360" s="63"/>
      <c r="AA1360" s="57" t="n">
        <f aca="false">AP1360</f>
        <v>1</v>
      </c>
      <c r="AB1360" s="57" t="n">
        <f aca="false">MAX(AP1360,G1360)</f>
        <v>1</v>
      </c>
      <c r="AC1360" s="64"/>
      <c r="AD1360" s="57" t="n">
        <f aca="false">IF(LEFT(Cockpit!$C$5,1)="A",G1360,IF(BW1360=1,BX1360,IF(LEFT(Cockpit!$C$5,1)="B",AH1360,MAX(AH1360,G1360))))</f>
        <v>1</v>
      </c>
      <c r="AE1360" s="57" t="n">
        <f aca="false">IF(BR1360=1,0,ROUNDUP(AD1360/BQ1360,0))</f>
        <v>0</v>
      </c>
      <c r="AF1360" s="59" t="n">
        <f aca="false">IF(CD1360&gt;0,CD1360*MAX(1,AD1360/V1360),IF(BR1360=1,IF(AD1360&lt;=0,0,BS1360*MAX(1,IF(G1360&gt;0,AD1360/G1360,1))),IF(Q1360&gt;0,AE1360/Q1360,0))/MAX(0.1,N(Parameter!$M$21)))</f>
        <v>0.0800376647834275</v>
      </c>
      <c r="AG1360" s="57" t="n">
        <f aca="false">AD1360*F1360</f>
        <v>2326.66</v>
      </c>
      <c r="AH1360" s="57" t="n">
        <f aca="false">ROUNDUP(MAX(I1360/IF(BV1360&gt;0,BV1360,MAX(0.1,N(Cockpit!$C$6))),BY1360)/BQ1360,0)*BQ1360</f>
        <v>1</v>
      </c>
      <c r="AI1360" s="58" t="n">
        <f aca="false">IF(AF1360&gt;0,I1360/AF1360,-1)</f>
        <v>0</v>
      </c>
      <c r="AJ1360" s="58" t="n">
        <f aca="false">IF(AND(OR(BU1360="L1",BU1360="L23"),AF1360&gt;0),SUMIFS($AF$7:$AF$1576,$BU$7:$BU$1576,BU1360,$AI$7:$AI$1576,"&gt;"&amp;AI1360)+SUMIFS($AF$7:$AF$1576,$BU$7:$BU$1576,BU1360,$AI$7:$AI$1576,AI1360,$BO$7:$BO$1576,"&lt;="&amp;BO1360),"")</f>
        <v>42.286252354049</v>
      </c>
      <c r="AK1360" s="65" t="n">
        <f aca="false">IF(AJ1360="",0,MAX(0,MIN(1,(IF(BU1360="L1",Parameter!$E$5,Parameter!$E$6+Parameter!$E$7)-(AJ1360-AF1360))/AF1360)))</f>
        <v>1</v>
      </c>
      <c r="AL1360" s="57" t="n">
        <f aca="false">IF(LEFT(Cockpit!$I$5,1)="A",G1360,IF(BW1360=1,BX1360,IF(LEFT(Cockpit!$I$5,1)="B",AP1360,MAX(AP1360,G1360))))</f>
        <v>1</v>
      </c>
      <c r="AM1360" s="57" t="n">
        <f aca="false">IF(BR1360=1,0,ROUNDUP(AL1360/BQ1360,0))</f>
        <v>0</v>
      </c>
      <c r="AN1360" s="59" t="n">
        <f aca="false">IF(CD1360&gt;0,CD1360*MAX(1,AL1360/V1360),IF(BR1360=1,IF(AL1360&lt;=0,0,BS1360*MAX(1,IF(G1360&gt;0,AL1360/G1360,1))),IF(Q1360&gt;0,AM1360/Q1360,0))/MAX(0.1,N(Parameter!$M$21)))</f>
        <v>0.0800376647834275</v>
      </c>
      <c r="AO1360" s="57" t="n">
        <f aca="false">AL1360*F1360</f>
        <v>2326.66</v>
      </c>
      <c r="AP1360" s="57" t="n">
        <f aca="false">ROUNDUP(MAX(I1360/IF(BV1360&gt;0,BV1360,MAX(0.1,N(Cockpit!$I$6))),BY1360)/BQ1360,0)*BQ1360</f>
        <v>1</v>
      </c>
      <c r="AQ1360" s="58" t="n">
        <f aca="false">IF(AN1360&gt;0,I1360/AN1360,-1)</f>
        <v>0</v>
      </c>
      <c r="AR1360" s="58" t="n">
        <f aca="false">IF(AND(OR(BU1360="L1",BU1360="L23"),AN1360&gt;0),SUMIFS($AN$7:$AN$1576,$BU$7:$BU$1576,BU1360,$AQ$7:$AQ$1576,"&gt;"&amp;AQ1360)+SUMIFS($AN$7:$AN$1576,$BU$7:$BU$1576,BU1360,$AQ$7:$AQ$1576,AQ1360,$BO$7:$BO$1576,"&lt;="&amp;BO1360),"")</f>
        <v>47.8888888888889</v>
      </c>
      <c r="AS1360" s="65" t="n">
        <f aca="false">IF(AR1360="",0,MAX(0,MIN(1,(IF(BU1360="L1",Parameter!$E$5,Parameter!$E$6+Parameter!$E$7)-(AR1360-AN1360))/AN1360)))</f>
        <v>1</v>
      </c>
      <c r="AT1360" s="57" t="n">
        <f aca="false">IF(LEFT(Cockpit!$O$5,1)="A",G1360,IF(BW1360=1,BX1360,IF(LEFT(Cockpit!$O$5,1)="B",AX1360,MAX(AX1360,G1360))))</f>
        <v>1</v>
      </c>
      <c r="AU1360" s="57" t="n">
        <f aca="false">IF(BR1360=1,0,ROUNDUP(AT1360/BQ1360,0))</f>
        <v>0</v>
      </c>
      <c r="AV1360" s="59" t="n">
        <f aca="false">IF(CD1360&gt;0,CD1360*MAX(1,AT1360/V1360),IF(BR1360=1,IF(AT1360&lt;=0,0,BS1360*MAX(1,IF(G1360&gt;0,AT1360/G1360,1))),IF(Q1360&gt;0,AU1360/Q1360,0))/MAX(0.1,N(Parameter!$M$21)))</f>
        <v>0.0800376647834275</v>
      </c>
      <c r="AW1360" s="57" t="n">
        <f aca="false">AT1360*F1360</f>
        <v>2326.66</v>
      </c>
      <c r="AX1360" s="57" t="n">
        <f aca="false">ROUNDUP(MAX(I1360/IF(BV1360&gt;0,BV1360,MAX(0.1,N(Cockpit!$O$6))),BY1360)/BQ1360,0)*BQ1360</f>
        <v>1</v>
      </c>
      <c r="AY1360" s="58" t="n">
        <f aca="false">IF(AV1360&gt;0,I1360/AV1360,-1)</f>
        <v>0</v>
      </c>
      <c r="AZ1360" s="58" t="n">
        <f aca="false">IF(AND(OR(BU1360="L1",BU1360="L23"),AV1360&gt;0),SUMIFS($AV$7:$AV$1576,$BU$7:$BU$1576,BU1360,$AY$7:$AY$1576,"&gt;"&amp;AY1360)+SUMIFS($AV$7:$AV$1576,$BU$7:$BU$1576,BU1360,$AY$7:$AY$1576,AY1360,$BO$7:$BO$1576,"&lt;="&amp;BO1360),"")</f>
        <v>44.9274952919021</v>
      </c>
      <c r="BA1360" s="65" t="n">
        <f aca="false">IF(AZ1360="",0,MAX(0,MIN(1,(IF(BU1360="L1",Parameter!$E$5,Parameter!$E$6+Parameter!$E$7)-(AZ1360-AV1360))/AV1360)))</f>
        <v>1</v>
      </c>
      <c r="BB1360" s="55" t="str">
        <f aca="false">IF(AF1360&lt;=0,"",IF(BU1360="Aussen","Aussenlager",IF(BU1360="-","Nicht im Lift",IF(AK1360&gt;=1,"Lift",IF(AK1360&lt;=0,"Aussenlager","teilweise")))))</f>
        <v>Lift</v>
      </c>
      <c r="BC1360" s="55" t="str">
        <f aca="false">IF(AN1360&lt;=0,"",IF(BU1360="Aussen","Aussenlager",IF(BU1360="-","Nicht im Lift",IF(AS1360&gt;=1,"Lift",IF(AS1360&lt;=0,"Aussenlager","teilweise")))))</f>
        <v>Lift</v>
      </c>
      <c r="BD1360" s="55" t="str">
        <f aca="false">IF(AV1360&lt;=0,"",IF(BU1360="Aussen","Aussenlager",IF(BU1360="-","Nicht im Lift",IF(BA1360&gt;=1,"Lift",IF(BA1360&lt;=0,"Aussenlager","teilweise")))))</f>
        <v>Lift</v>
      </c>
      <c r="BE1360" s="55" t="str">
        <f aca="false">IF(A1360="","",IF(BN1360=1,"Neu; ","")&amp;IF(AND(BN1360=0,BI1360&lt;0),"negativer Bestand (Export "&amp;BI1360&amp;"); ","")&amp;IF(I1360&lt;=0,"Kein Verbrauch; ","")&amp;IF(CD1360&gt;0,"Lift "&amp;U1360&amp;" lt. Liftbericht (Fach "&amp;V1360&amp;" Stk); ",IF(BR1360=1,"Lose – Fläche geschätzt; ",""))&amp;IF(G1360&gt;AP1360,"Überbestand "&amp;ROUND(G1360-AP1360,0)&amp;" Stk / CHF "&amp;ROUND((G1360-AP1360)*F1360,0)&amp;"; ","")&amp;IF(AND(BW1360=1,BX1360&lt;BY1360),"MAX &lt; MB+LG; ","")&amp;IF(AND(CC1360&gt;0,CB1360*10&gt;CC1360),"zu hoch für Tablar; ","")&amp;IF(AND(BN1360=0,OR(BW1360=1,Y1360&lt;&gt;"",S1360&lt;&gt;"",T1360&lt;&gt;"",Z1360&lt;&gt;"")),"manuell übersteuert; ","")&amp;IF(AND(BR1360=0,Q1360=0),"Gebinde unbekannt / Stellmass fehlt; ","")&amp;IF(AND(BR1360=0,N(T1360)&lt;=0,N(P1360)&lt;=0),"Menge pro Gebinde fehlt (Ist = 1 Gebinde); ","")&amp;BM1360)</f>
        <v>negativer Bestand (Export -1); Kein Verbrauch; Lift 1 lt. Liftbericht (Fach 1 Stk); Standartdüse</v>
      </c>
      <c r="BF1360" s="55"/>
      <c r="BG1360" s="55"/>
      <c r="BH1360" s="62"/>
      <c r="BI1360" s="57" t="n">
        <v>-1</v>
      </c>
      <c r="BJ1360" s="57" t="n">
        <v>10</v>
      </c>
      <c r="BK1360" s="56" t="n">
        <v>-2326.66</v>
      </c>
      <c r="BL1360" s="57" t="n">
        <v>0</v>
      </c>
      <c r="BM1360" s="55" t="s">
        <v>2384</v>
      </c>
      <c r="BN1360" s="60" t="n">
        <v>0</v>
      </c>
      <c r="BO1360" s="60" t="n">
        <v>1360</v>
      </c>
      <c r="BP1360" s="55" t="str">
        <f aca="false">IF(S1360&lt;&gt;"",UPPER(TRIM(S1360)),IF(O1360="","LOSE",O1360))</f>
        <v>LOSE</v>
      </c>
      <c r="BQ1360" s="57" t="n">
        <f aca="false">IF(BP1360="LOSE",1,IF(N(T1360)&gt;0,T1360,IF(N(P1360)&gt;0,P1360,MAX(1,G1360))))</f>
        <v>1</v>
      </c>
      <c r="BR1360" s="60" t="n">
        <f aca="false">IF(BP1360="LOSE",1,0)</f>
        <v>1</v>
      </c>
      <c r="BS1360" s="59" t="n">
        <f aca="false">IF(BR1360=0,0,IF(N(R1360)&gt;0,R1360,IFERROR(VLOOKUP(D1360,Parameter!$A$35:$C$64,3,0)+0,0)))</f>
        <v>0.15</v>
      </c>
      <c r="BT1360" s="55" t="n">
        <f aca="false">IF(Y1360&lt;&gt;"",Y1360,X1360)</f>
        <v>1</v>
      </c>
      <c r="BU1360" s="55" t="str">
        <f aca="false">IF(BT1360=1,"L1",IF(OR(BT1360=2,BT1360=3),"L23",IF(BT1360="Aussen","Aussen","-")))</f>
        <v>L1</v>
      </c>
      <c r="BV1360" s="66" t="n">
        <f aca="false">IF(N(Z1360)&gt;0,Z1360,0)</f>
        <v>0</v>
      </c>
      <c r="BW1360" s="60" t="n">
        <f aca="false">IF(ISNUMBER(AC1360),1,0)</f>
        <v>0</v>
      </c>
      <c r="BX1360" s="57" t="n">
        <f aca="false">N(AC1360)</f>
        <v>0</v>
      </c>
      <c r="BY1360" s="57" t="n">
        <f aca="false">N(L1360)+N(M1360)</f>
        <v>1</v>
      </c>
      <c r="BZ1360" s="57" t="n">
        <f aca="false">ROUNDUP(G1360/BQ1360,0)</f>
        <v>1</v>
      </c>
      <c r="CA1360" s="57" t="n">
        <f aca="false">ROUNDUP(BX1360/BQ1360,0)</f>
        <v>0</v>
      </c>
      <c r="CB1360" s="60" t="n">
        <f aca="false">IF(BR1360=1,0,IFERROR(VLOOKUP(BP1360,'Gebinde-Kategorie'!$A$5:$M$45,5,0)+0,0))</f>
        <v>0</v>
      </c>
      <c r="CC1360" s="60" t="n">
        <f aca="false">IFERROR(IF(OR(BT1360=1,BT1360=2,BT1360=3),N(INDEX(Parameter!$I$5:$I$7,BT1360)),0),0)</f>
        <v>0</v>
      </c>
      <c r="CD1360" s="59" t="n">
        <f aca="false">IF(AND(Parameter!$B$21="Ja",ISNUMBER(U1360),N(V1360)&gt;0),IFERROR(N(INDEX(Parameter!$L$5:$L$7,U1360))*INDEX(Parameter!$E$5:$E$7,U1360)*V1360/SUMIFS($V$7:$V$1576,$U$7:$U$1576,U1360),0),0)</f>
        <v>0.0800376647834275</v>
      </c>
    </row>
    <row r="1361" customFormat="false" ht="15" hidden="false" customHeight="false" outlineLevel="0" collapsed="false">
      <c r="A1361" s="55" t="s">
        <v>2385</v>
      </c>
      <c r="B1361" s="55" t="s">
        <v>587</v>
      </c>
      <c r="C1361" s="55" t="s">
        <v>160</v>
      </c>
      <c r="D1361" s="55" t="s">
        <v>178</v>
      </c>
      <c r="E1361" s="55" t="s">
        <v>210</v>
      </c>
      <c r="F1361" s="56" t="n">
        <v>18.95</v>
      </c>
      <c r="G1361" s="57" t="n">
        <f aca="false">MAX(0,IF(AND(Parameter!$B$21="Ja",ISNUMBER(W1361)),W1361,IF(Parameter!$B$20="Jahresanfang 2025 + Export",BJ1361+BI1361,BI1361)))</f>
        <v>0</v>
      </c>
      <c r="H1361" s="57" t="n">
        <f aca="false">G1361*F1361</f>
        <v>0</v>
      </c>
      <c r="I1361" s="57" t="n">
        <f aca="false">BL1361*Parameter!$B$18</f>
        <v>82</v>
      </c>
      <c r="J1361" s="58" t="n">
        <v>133</v>
      </c>
      <c r="K1361" s="59" t="n">
        <v>0.616541353383459</v>
      </c>
      <c r="L1361" s="57" t="n">
        <v>3</v>
      </c>
      <c r="M1361" s="57" t="n">
        <v>90</v>
      </c>
      <c r="N1361" s="60" t="n">
        <v>14</v>
      </c>
      <c r="O1361" s="55" t="s">
        <v>293</v>
      </c>
      <c r="P1361" s="57" t="n">
        <v>123</v>
      </c>
      <c r="Q1361" s="60" t="n">
        <f aca="false">IF(BR1361=1,0,IFERROR(VLOOKUP(BP1361,'Gebinde-Kategorie'!$A$5:$M$45,13,0)+0,0))</f>
        <v>26</v>
      </c>
      <c r="R1361" s="61"/>
      <c r="S1361" s="62"/>
      <c r="T1361" s="62"/>
      <c r="U1361" s="55"/>
      <c r="V1361" s="57"/>
      <c r="W1361" s="57"/>
      <c r="X1361" s="55" t="n">
        <f aca="false">IF(A1361="","",IF(AND(Parameter!$B$21="Ja",ISNUMBER(U1361)),U1361,IF(IFERROR(VLOOKUP(D1361,Parameter!$A$35:$C$64,2,0),"Nein")="2+3",IF(ISNUMBER(SEARCH("grosser Artikel",BM1361)),2,IFERROR(VLOOKUP(BP1361,Parameter!$F$35:$G$64,2,0),2)),IF(OR(IFERROR(VLOOKUP(D1361,Parameter!$A$35:$C$64,2,0),"Nein")="Nein",IFERROR(VLOOKUP(D1361,Parameter!$A$35:$C$64,2,0),"Nein")=""),"-",VLOOKUP(D1361,Parameter!$A$35:$C$64,2,0)))))</f>
        <v>3</v>
      </c>
      <c r="Y1361" s="62"/>
      <c r="Z1361" s="63"/>
      <c r="AA1361" s="57" t="n">
        <f aca="false">AP1361</f>
        <v>123</v>
      </c>
      <c r="AB1361" s="57" t="n">
        <f aca="false">MAX(AP1361,G1361)</f>
        <v>123</v>
      </c>
      <c r="AC1361" s="64"/>
      <c r="AD1361" s="57" t="n">
        <f aca="false">IF(LEFT(Cockpit!$C$5,1)="A",G1361,IF(BW1361=1,BX1361,IF(LEFT(Cockpit!$C$5,1)="B",AH1361,MAX(AH1361,G1361))))</f>
        <v>0</v>
      </c>
      <c r="AE1361" s="57" t="n">
        <f aca="false">IF(BR1361=1,0,ROUNDUP(AD1361/BQ1361,0))</f>
        <v>0</v>
      </c>
      <c r="AF1361" s="59" t="n">
        <f aca="false">IF(CD1361&gt;0,CD1361*MAX(1,AD1361/V1361),IF(BR1361=1,IF(AD1361&lt;=0,0,BS1361*MAX(1,IF(G1361&gt;0,AD1361/G1361,1))),IF(Q1361&gt;0,AE1361/Q1361,0))/MAX(0.1,N(Parameter!$M$21)))</f>
        <v>0</v>
      </c>
      <c r="AG1361" s="57" t="n">
        <f aca="false">AD1361*F1361</f>
        <v>0</v>
      </c>
      <c r="AH1361" s="57" t="n">
        <f aca="false">ROUNDUP(MAX(I1361/IF(BV1361&gt;0,BV1361,MAX(0.1,N(Cockpit!$C$6))),BY1361)/BQ1361,0)*BQ1361</f>
        <v>123</v>
      </c>
      <c r="AI1361" s="58" t="n">
        <f aca="false">IF(AF1361&gt;0,I1361/AF1361,-1)</f>
        <v>-1</v>
      </c>
      <c r="AJ1361" s="58" t="str">
        <f aca="false">IF(AND(OR(BU1361="L1",BU1361="L23"),AF1361&gt;0),SUMIFS($AF$7:$AF$1576,$BU$7:$BU$1576,BU1361,$AI$7:$AI$1576,"&gt;"&amp;AI1361)+SUMIFS($AF$7:$AF$1576,$BU$7:$BU$1576,BU1361,$AI$7:$AI$1576,AI1361,$BO$7:$BO$1576,"&lt;="&amp;BO1361),"")</f>
        <v/>
      </c>
      <c r="AK1361" s="65" t="n">
        <f aca="false">IF(AJ1361="",0,MAX(0,MIN(1,(IF(BU1361="L1",Parameter!$E$5,Parameter!$E$6+Parameter!$E$7)-(AJ1361-AF1361))/AF1361)))</f>
        <v>0</v>
      </c>
      <c r="AL1361" s="57" t="n">
        <f aca="false">IF(LEFT(Cockpit!$I$5,1)="A",G1361,IF(BW1361=1,BX1361,IF(LEFT(Cockpit!$I$5,1)="B",AP1361,MAX(AP1361,G1361))))</f>
        <v>123</v>
      </c>
      <c r="AM1361" s="57" t="n">
        <f aca="false">IF(BR1361=1,0,ROUNDUP(AL1361/BQ1361,0))</f>
        <v>1</v>
      </c>
      <c r="AN1361" s="59" t="n">
        <f aca="false">IF(CD1361&gt;0,CD1361*MAX(1,AL1361/V1361),IF(BR1361=1,IF(AL1361&lt;=0,0,BS1361*MAX(1,IF(G1361&gt;0,AL1361/G1361,1))),IF(Q1361&gt;0,AM1361/Q1361,0))/MAX(0.1,N(Parameter!$M$21)))</f>
        <v>0.0384615384615385</v>
      </c>
      <c r="AO1361" s="57" t="n">
        <f aca="false">AL1361*F1361</f>
        <v>2330.85</v>
      </c>
      <c r="AP1361" s="57" t="n">
        <f aca="false">ROUNDUP(MAX(I1361/IF(BV1361&gt;0,BV1361,MAX(0.1,N(Cockpit!$I$6))),BY1361)/BQ1361,0)*BQ1361</f>
        <v>123</v>
      </c>
      <c r="AQ1361" s="58" t="n">
        <f aca="false">IF(AN1361&gt;0,I1361/AN1361,-1)</f>
        <v>2132</v>
      </c>
      <c r="AR1361" s="58" t="n">
        <f aca="false">IF(AND(OR(BU1361="L1",BU1361="L23"),AN1361&gt;0),SUMIFS($AN$7:$AN$1576,$BU$7:$BU$1576,BU1361,$AQ$7:$AQ$1576,"&gt;"&amp;AQ1361)+SUMIFS($AN$7:$AN$1576,$BU$7:$BU$1576,BU1361,$AQ$7:$AQ$1576,AQ1361,$BO$7:$BO$1576,"&lt;="&amp;BO1361),"")</f>
        <v>16.9535052511251</v>
      </c>
      <c r="AS1361" s="65" t="n">
        <f aca="false">IF(AR1361="",0,MAX(0,MIN(1,(IF(BU1361="L1",Parameter!$E$5,Parameter!$E$6+Parameter!$E$7)-(AR1361-AN1361))/AN1361)))</f>
        <v>1</v>
      </c>
      <c r="AT1361" s="57" t="n">
        <f aca="false">IF(LEFT(Cockpit!$O$5,1)="A",G1361,IF(BW1361=1,BX1361,IF(LEFT(Cockpit!$O$5,1)="B",AX1361,MAX(AX1361,G1361))))</f>
        <v>123</v>
      </c>
      <c r="AU1361" s="57" t="n">
        <f aca="false">IF(BR1361=1,0,ROUNDUP(AT1361/BQ1361,0))</f>
        <v>1</v>
      </c>
      <c r="AV1361" s="59" t="n">
        <f aca="false">IF(CD1361&gt;0,CD1361*MAX(1,AT1361/V1361),IF(BR1361=1,IF(AT1361&lt;=0,0,BS1361*MAX(1,IF(G1361&gt;0,AT1361/G1361,1))),IF(Q1361&gt;0,AU1361/Q1361,0))/MAX(0.1,N(Parameter!$M$21)))</f>
        <v>0.0384615384615385</v>
      </c>
      <c r="AW1361" s="57" t="n">
        <f aca="false">AT1361*F1361</f>
        <v>2330.85</v>
      </c>
      <c r="AX1361" s="57" t="n">
        <f aca="false">ROUNDUP(MAX(I1361/IF(BV1361&gt;0,BV1361,MAX(0.1,N(Cockpit!$O$6))),BY1361)/BQ1361,0)*BQ1361</f>
        <v>123</v>
      </c>
      <c r="AY1361" s="58" t="n">
        <f aca="false">IF(AV1361&gt;0,I1361/AV1361,-1)</f>
        <v>2132</v>
      </c>
      <c r="AZ1361" s="58" t="n">
        <f aca="false">IF(AND(OR(BU1361="L1",BU1361="L23"),AV1361&gt;0),SUMIFS($AV$7:$AV$1576,$BU$7:$BU$1576,BU1361,$AY$7:$AY$1576,"&gt;"&amp;AY1361)+SUMIFS($AV$7:$AV$1576,$BU$7:$BU$1576,BU1361,$AY$7:$AY$1576,AY1361,$BO$7:$BO$1576,"&lt;="&amp;BO1361),"")</f>
        <v>15.6423164399363</v>
      </c>
      <c r="BA1361" s="65" t="n">
        <f aca="false">IF(AZ1361="",0,MAX(0,MIN(1,(IF(BU1361="L1",Parameter!$E$5,Parameter!$E$6+Parameter!$E$7)-(AZ1361-AV1361))/AV1361)))</f>
        <v>1</v>
      </c>
      <c r="BB1361" s="55" t="str">
        <f aca="false">IF(AF1361&lt;=0,"",IF(BU1361="Aussen","Aussenlager",IF(BU1361="-","Nicht im Lift",IF(AK1361&gt;=1,"Lift",IF(AK1361&lt;=0,"Aussenlager","teilweise")))))</f>
        <v/>
      </c>
      <c r="BC1361" s="55" t="str">
        <f aca="false">IF(AN1361&lt;=0,"",IF(BU1361="Aussen","Aussenlager",IF(BU1361="-","Nicht im Lift",IF(AS1361&gt;=1,"Lift",IF(AS1361&lt;=0,"Aussenlager","teilweise")))))</f>
        <v>Lift</v>
      </c>
      <c r="BD1361" s="55" t="str">
        <f aca="false">IF(AV1361&lt;=0,"",IF(BU1361="Aussen","Aussenlager",IF(BU1361="-","Nicht im Lift",IF(BA1361&gt;=1,"Lift",IF(BA1361&lt;=0,"Aussenlager","teilweise")))))</f>
        <v>Lift</v>
      </c>
      <c r="BE1361" s="55" t="str">
        <f aca="false">IF(A1361="","",IF(BN1361=1,"Neu; ","")&amp;IF(AND(BN1361=0,BI1361&lt;0),"negativer Bestand (Export "&amp;BI1361&amp;"); ","")&amp;IF(I1361&lt;=0,"Kein Verbrauch; ","")&amp;IF(CD1361&gt;0,"Lift "&amp;U1361&amp;" lt. Liftbericht (Fach "&amp;V1361&amp;" Stk); ",IF(BR1361=1,"Lose – Fläche geschätzt; ",""))&amp;IF(G1361&gt;AP1361,"Überbestand "&amp;ROUND(G1361-AP1361,0)&amp;" Stk / CHF "&amp;ROUND((G1361-AP1361)*F1361,0)&amp;"; ","")&amp;IF(AND(BW1361=1,BX1361&lt;BY1361),"MAX &lt; MB+LG; ","")&amp;IF(AND(CC1361&gt;0,CB1361*10&gt;CC1361),"zu hoch für Tablar; ","")&amp;IF(AND(BN1361=0,OR(BW1361=1,Y1361&lt;&gt;"",S1361&lt;&gt;"",T1361&lt;&gt;"",Z1361&lt;&gt;"")),"manuell übersteuert; ","")&amp;IF(AND(BR1361=0,Q1361=0),"Gebinde unbekannt / Stellmass fehlt; ","")&amp;IF(AND(BR1361=0,N(T1361)&lt;=0,N(P1361)&lt;=0),"Menge pro Gebinde fehlt (Ist = 1 Gebinde); ","")&amp;BM1361)</f>
        <v>negativer Bestand (Export -124); </v>
      </c>
      <c r="BF1361" s="55"/>
      <c r="BG1361" s="55"/>
      <c r="BH1361" s="62"/>
      <c r="BI1361" s="57" t="n">
        <v>-124</v>
      </c>
      <c r="BJ1361" s="57" t="n">
        <v>174</v>
      </c>
      <c r="BK1361" s="56" t="n">
        <v>-2349.8</v>
      </c>
      <c r="BL1361" s="57" t="n">
        <v>82</v>
      </c>
      <c r="BM1361" s="55"/>
      <c r="BN1361" s="60" t="n">
        <v>0</v>
      </c>
      <c r="BO1361" s="60" t="n">
        <v>1361</v>
      </c>
      <c r="BP1361" s="55" t="str">
        <f aca="false">IF(S1361&lt;&gt;"",UPPER(TRIM(S1361)),IF(O1361="","LOSE",O1361))</f>
        <v>S51</v>
      </c>
      <c r="BQ1361" s="57" t="n">
        <f aca="false">IF(BP1361="LOSE",1,IF(N(T1361)&gt;0,T1361,IF(N(P1361)&gt;0,P1361,MAX(1,G1361))))</f>
        <v>123</v>
      </c>
      <c r="BR1361" s="60" t="n">
        <f aca="false">IF(BP1361="LOSE",1,0)</f>
        <v>0</v>
      </c>
      <c r="BS1361" s="59" t="n">
        <f aca="false">IF(BR1361=0,0,IF(N(R1361)&gt;0,R1361,IFERROR(VLOOKUP(D1361,Parameter!$A$35:$C$64,3,0)+0,0)))</f>
        <v>0</v>
      </c>
      <c r="BT1361" s="55" t="n">
        <f aca="false">IF(Y1361&lt;&gt;"",Y1361,X1361)</f>
        <v>3</v>
      </c>
      <c r="BU1361" s="55" t="str">
        <f aca="false">IF(BT1361=1,"L1",IF(OR(BT1361=2,BT1361=3),"L23",IF(BT1361="Aussen","Aussen","-")))</f>
        <v>L23</v>
      </c>
      <c r="BV1361" s="66" t="n">
        <f aca="false">IF(N(Z1361)&gt;0,Z1361,0)</f>
        <v>0</v>
      </c>
      <c r="BW1361" s="60" t="n">
        <f aca="false">IF(ISNUMBER(AC1361),1,0)</f>
        <v>0</v>
      </c>
      <c r="BX1361" s="57" t="n">
        <f aca="false">N(AC1361)</f>
        <v>0</v>
      </c>
      <c r="BY1361" s="57" t="n">
        <f aca="false">N(L1361)+N(M1361)</f>
        <v>93</v>
      </c>
      <c r="BZ1361" s="57" t="n">
        <f aca="false">ROUNDUP(G1361/BQ1361,0)</f>
        <v>0</v>
      </c>
      <c r="CA1361" s="57" t="n">
        <f aca="false">ROUNDUP(BX1361/BQ1361,0)</f>
        <v>0</v>
      </c>
      <c r="CB1361" s="60" t="n">
        <f aca="false">IF(BR1361=1,0,IFERROR(VLOOKUP(BP1361,'Gebinde-Kategorie'!$A$5:$M$45,5,0)+0,0))</f>
        <v>11</v>
      </c>
      <c r="CC1361" s="60" t="n">
        <f aca="false">IFERROR(IF(OR(BT1361=1,BT1361=2,BT1361=3),N(INDEX(Parameter!$I$5:$I$7,BT1361)),0),0)</f>
        <v>0</v>
      </c>
      <c r="CD1361" s="59" t="n">
        <f aca="false">IF(AND(Parameter!$B$21="Ja",ISNUMBER(U1361),N(V1361)&gt;0),IFERROR(N(INDEX(Parameter!$L$5:$L$7,U1361))*INDEX(Parameter!$E$5:$E$7,U1361)*V1361/SUMIFS($V$7:$V$1576,$U$7:$U$1576,U1361),0),0)</f>
        <v>0</v>
      </c>
    </row>
    <row r="1362" customFormat="false" ht="15" hidden="false" customHeight="false" outlineLevel="0" collapsed="false">
      <c r="A1362" s="55" t="s">
        <v>2386</v>
      </c>
      <c r="B1362" s="55" t="s">
        <v>569</v>
      </c>
      <c r="C1362" s="55" t="s">
        <v>160</v>
      </c>
      <c r="D1362" s="55" t="s">
        <v>168</v>
      </c>
      <c r="E1362" s="55" t="s">
        <v>210</v>
      </c>
      <c r="F1362" s="56" t="n">
        <v>133.49</v>
      </c>
      <c r="G1362" s="57" t="n">
        <f aca="false">MAX(0,IF(AND(Parameter!$B$21="Ja",ISNUMBER(W1362)),W1362,IF(Parameter!$B$20="Jahresanfang 2025 + Export",BJ1362+BI1362,BI1362)))</f>
        <v>0</v>
      </c>
      <c r="H1362" s="57" t="n">
        <f aca="false">G1362*F1362</f>
        <v>0</v>
      </c>
      <c r="I1362" s="57" t="n">
        <f aca="false">BL1362*Parameter!$B$18</f>
        <v>69</v>
      </c>
      <c r="J1362" s="58" t="n">
        <v>26</v>
      </c>
      <c r="K1362" s="59" t="n">
        <v>2.65384615384615</v>
      </c>
      <c r="L1362" s="57" t="n">
        <v>4</v>
      </c>
      <c r="M1362" s="57" t="n">
        <v>35</v>
      </c>
      <c r="N1362" s="60" t="n">
        <v>21</v>
      </c>
      <c r="O1362" s="55" t="s">
        <v>169</v>
      </c>
      <c r="P1362" s="57" t="n">
        <v>35</v>
      </c>
      <c r="Q1362" s="60" t="n">
        <f aca="false">IF(BR1362=1,0,IFERROR(VLOOKUP(BP1362,'Gebinde-Kategorie'!$A$5:$M$45,13,0)+0,0))</f>
        <v>6</v>
      </c>
      <c r="R1362" s="61"/>
      <c r="S1362" s="62"/>
      <c r="T1362" s="62"/>
      <c r="U1362" s="55"/>
      <c r="V1362" s="57"/>
      <c r="W1362" s="57"/>
      <c r="X1362" s="55" t="n">
        <f aca="false">IF(A1362="","",IF(AND(Parameter!$B$21="Ja",ISNUMBER(U1362)),U1362,IF(IFERROR(VLOOKUP(D1362,Parameter!$A$35:$C$64,2,0),"Nein")="2+3",IF(ISNUMBER(SEARCH("grosser Artikel",BM1362)),2,IFERROR(VLOOKUP(BP1362,Parameter!$F$35:$G$64,2,0),2)),IF(OR(IFERROR(VLOOKUP(D1362,Parameter!$A$35:$C$64,2,0),"Nein")="Nein",IFERROR(VLOOKUP(D1362,Parameter!$A$35:$C$64,2,0),"Nein")=""),"-",VLOOKUP(D1362,Parameter!$A$35:$C$64,2,0)))))</f>
        <v>2</v>
      </c>
      <c r="Y1362" s="62"/>
      <c r="Z1362" s="63"/>
      <c r="AA1362" s="57" t="n">
        <f aca="false">AP1362</f>
        <v>70</v>
      </c>
      <c r="AB1362" s="57" t="n">
        <f aca="false">MAX(AP1362,G1362)</f>
        <v>70</v>
      </c>
      <c r="AC1362" s="64"/>
      <c r="AD1362" s="57" t="n">
        <f aca="false">IF(LEFT(Cockpit!$C$5,1)="A",G1362,IF(BW1362=1,BX1362,IF(LEFT(Cockpit!$C$5,1)="B",AH1362,MAX(AH1362,G1362))))</f>
        <v>0</v>
      </c>
      <c r="AE1362" s="57" t="n">
        <f aca="false">IF(BR1362=1,0,ROUNDUP(AD1362/BQ1362,0))</f>
        <v>0</v>
      </c>
      <c r="AF1362" s="59" t="n">
        <f aca="false">IF(CD1362&gt;0,CD1362*MAX(1,AD1362/V1362),IF(BR1362=1,IF(AD1362&lt;=0,0,BS1362*MAX(1,IF(G1362&gt;0,AD1362/G1362,1))),IF(Q1362&gt;0,AE1362/Q1362,0))/MAX(0.1,N(Parameter!$M$21)))</f>
        <v>0</v>
      </c>
      <c r="AG1362" s="57" t="n">
        <f aca="false">AD1362*F1362</f>
        <v>0</v>
      </c>
      <c r="AH1362" s="57" t="n">
        <f aca="false">ROUNDUP(MAX(I1362/IF(BV1362&gt;0,BV1362,MAX(0.1,N(Cockpit!$C$6))),BY1362)/BQ1362,0)*BQ1362</f>
        <v>70</v>
      </c>
      <c r="AI1362" s="58" t="n">
        <f aca="false">IF(AF1362&gt;0,I1362/AF1362,-1)</f>
        <v>-1</v>
      </c>
      <c r="AJ1362" s="58" t="str">
        <f aca="false">IF(AND(OR(BU1362="L1",BU1362="L23"),AF1362&gt;0),SUMIFS($AF$7:$AF$1576,$BU$7:$BU$1576,BU1362,$AI$7:$AI$1576,"&gt;"&amp;AI1362)+SUMIFS($AF$7:$AF$1576,$BU$7:$BU$1576,BU1362,$AI$7:$AI$1576,AI1362,$BO$7:$BO$1576,"&lt;="&amp;BO1362),"")</f>
        <v/>
      </c>
      <c r="AK1362" s="65" t="n">
        <f aca="false">IF(AJ1362="",0,MAX(0,MIN(1,(IF(BU1362="L1",Parameter!$E$5,Parameter!$E$6+Parameter!$E$7)-(AJ1362-AF1362))/AF1362)))</f>
        <v>0</v>
      </c>
      <c r="AL1362" s="57" t="n">
        <f aca="false">IF(LEFT(Cockpit!$I$5,1)="A",G1362,IF(BW1362=1,BX1362,IF(LEFT(Cockpit!$I$5,1)="B",AP1362,MAX(AP1362,G1362))))</f>
        <v>70</v>
      </c>
      <c r="AM1362" s="57" t="n">
        <f aca="false">IF(BR1362=1,0,ROUNDUP(AL1362/BQ1362,0))</f>
        <v>2</v>
      </c>
      <c r="AN1362" s="59" t="n">
        <f aca="false">IF(CD1362&gt;0,CD1362*MAX(1,AL1362/V1362),IF(BR1362=1,IF(AL1362&lt;=0,0,BS1362*MAX(1,IF(G1362&gt;0,AL1362/G1362,1))),IF(Q1362&gt;0,AM1362/Q1362,0))/MAX(0.1,N(Parameter!$M$21)))</f>
        <v>0.333333333333333</v>
      </c>
      <c r="AO1362" s="57" t="n">
        <f aca="false">AL1362*F1362</f>
        <v>9344.3</v>
      </c>
      <c r="AP1362" s="57" t="n">
        <f aca="false">ROUNDUP(MAX(I1362/IF(BV1362&gt;0,BV1362,MAX(0.1,N(Cockpit!$I$6))),BY1362)/BQ1362,0)*BQ1362</f>
        <v>70</v>
      </c>
      <c r="AQ1362" s="58" t="n">
        <f aca="false">IF(AN1362&gt;0,I1362/AN1362,-1)</f>
        <v>207</v>
      </c>
      <c r="AR1362" s="58" t="n">
        <f aca="false">IF(AND(OR(BU1362="L1",BU1362="L23"),AN1362&gt;0),SUMIFS($AN$7:$AN$1576,$BU$7:$BU$1576,BU1362,$AQ$7:$AQ$1576,"&gt;"&amp;AQ1362)+SUMIFS($AN$7:$AN$1576,$BU$7:$BU$1576,BU1362,$AQ$7:$AQ$1576,AQ1362,$BO$7:$BO$1576,"&lt;="&amp;BO1362),"")</f>
        <v>49.5661665511777</v>
      </c>
      <c r="AS1362" s="65" t="n">
        <f aca="false">IF(AR1362="",0,MAX(0,MIN(1,(IF(BU1362="L1",Parameter!$E$5,Parameter!$E$6+Parameter!$E$7)-(AR1362-AN1362))/AN1362)))</f>
        <v>1</v>
      </c>
      <c r="AT1362" s="57" t="n">
        <f aca="false">IF(LEFT(Cockpit!$O$5,1)="A",G1362,IF(BW1362=1,BX1362,IF(LEFT(Cockpit!$O$5,1)="B",AX1362,MAX(AX1362,G1362))))</f>
        <v>70</v>
      </c>
      <c r="AU1362" s="57" t="n">
        <f aca="false">IF(BR1362=1,0,ROUNDUP(AT1362/BQ1362,0))</f>
        <v>2</v>
      </c>
      <c r="AV1362" s="59" t="n">
        <f aca="false">IF(CD1362&gt;0,CD1362*MAX(1,AT1362/V1362),IF(BR1362=1,IF(AT1362&lt;=0,0,BS1362*MAX(1,IF(G1362&gt;0,AT1362/G1362,1))),IF(Q1362&gt;0,AU1362/Q1362,0))/MAX(0.1,N(Parameter!$M$21)))</f>
        <v>0.333333333333333</v>
      </c>
      <c r="AW1362" s="57" t="n">
        <f aca="false">AT1362*F1362</f>
        <v>9344.3</v>
      </c>
      <c r="AX1362" s="57" t="n">
        <f aca="false">ROUNDUP(MAX(I1362/IF(BV1362&gt;0,BV1362,MAX(0.1,N(Cockpit!$O$6))),BY1362)/BQ1362,0)*BQ1362</f>
        <v>70</v>
      </c>
      <c r="AY1362" s="58" t="n">
        <f aca="false">IF(AV1362&gt;0,I1362/AV1362,-1)</f>
        <v>207</v>
      </c>
      <c r="AZ1362" s="58" t="n">
        <f aca="false">IF(AND(OR(BU1362="L1",BU1362="L23"),AV1362&gt;0),SUMIFS($AV$7:$AV$1576,$BU$7:$BU$1576,BU1362,$AY$7:$AY$1576,"&gt;"&amp;AY1362)+SUMIFS($AV$7:$AV$1576,$BU$7:$BU$1576,BU1362,$AY$7:$AY$1576,AY1362,$BO$7:$BO$1576,"&lt;="&amp;BO1362),"")</f>
        <v>46.0124269574381</v>
      </c>
      <c r="BA1362" s="65" t="n">
        <f aca="false">IF(AZ1362="",0,MAX(0,MIN(1,(IF(BU1362="L1",Parameter!$E$5,Parameter!$E$6+Parameter!$E$7)-(AZ1362-AV1362))/AV1362)))</f>
        <v>1</v>
      </c>
      <c r="BB1362" s="55" t="str">
        <f aca="false">IF(AF1362&lt;=0,"",IF(BU1362="Aussen","Aussenlager",IF(BU1362="-","Nicht im Lift",IF(AK1362&gt;=1,"Lift",IF(AK1362&lt;=0,"Aussenlager","teilweise")))))</f>
        <v/>
      </c>
      <c r="BC1362" s="55" t="str">
        <f aca="false">IF(AN1362&lt;=0,"",IF(BU1362="Aussen","Aussenlager",IF(BU1362="-","Nicht im Lift",IF(AS1362&gt;=1,"Lift",IF(AS1362&lt;=0,"Aussenlager","teilweise")))))</f>
        <v>Lift</v>
      </c>
      <c r="BD1362" s="55" t="str">
        <f aca="false">IF(AV1362&lt;=0,"",IF(BU1362="Aussen","Aussenlager",IF(BU1362="-","Nicht im Lift",IF(BA1362&gt;=1,"Lift",IF(BA1362&lt;=0,"Aussenlager","teilweise")))))</f>
        <v>Lift</v>
      </c>
      <c r="BE1362" s="55" t="str">
        <f aca="false">IF(A1362="","",IF(BN1362=1,"Neu; ","")&amp;IF(AND(BN1362=0,BI1362&lt;0),"negativer Bestand (Export "&amp;BI1362&amp;"); ","")&amp;IF(I1362&lt;=0,"Kein Verbrauch; ","")&amp;IF(CD1362&gt;0,"Lift "&amp;U1362&amp;" lt. Liftbericht (Fach "&amp;V1362&amp;" Stk); ",IF(BR1362=1,"Lose – Fläche geschätzt; ",""))&amp;IF(G1362&gt;AP1362,"Überbestand "&amp;ROUND(G1362-AP1362,0)&amp;" Stk / CHF "&amp;ROUND((G1362-AP1362)*F1362,0)&amp;"; ","")&amp;IF(AND(BW1362=1,BX1362&lt;BY1362),"MAX &lt; MB+LG; ","")&amp;IF(AND(CC1362&gt;0,CB1362*10&gt;CC1362),"zu hoch für Tablar; ","")&amp;IF(AND(BN1362=0,OR(BW1362=1,Y1362&lt;&gt;"",S1362&lt;&gt;"",T1362&lt;&gt;"",Z1362&lt;&gt;"")),"manuell übersteuert; ","")&amp;IF(AND(BR1362=0,Q1362=0),"Gebinde unbekannt / Stellmass fehlt; ","")&amp;IF(AND(BR1362=0,N(T1362)&lt;=0,N(P1362)&lt;=0),"Menge pro Gebinde fehlt (Ist = 1 Gebinde); ","")&amp;BM1362)</f>
        <v>negativer Bestand (Export -18); 01C</v>
      </c>
      <c r="BF1362" s="55"/>
      <c r="BG1362" s="55"/>
      <c r="BH1362" s="62"/>
      <c r="BI1362" s="57" t="n">
        <v>-18</v>
      </c>
      <c r="BJ1362" s="57" t="n">
        <v>36</v>
      </c>
      <c r="BK1362" s="56" t="n">
        <v>-2395.98</v>
      </c>
      <c r="BL1362" s="57" t="n">
        <v>69</v>
      </c>
      <c r="BM1362" s="55" t="s">
        <v>2387</v>
      </c>
      <c r="BN1362" s="60" t="n">
        <v>0</v>
      </c>
      <c r="BO1362" s="60" t="n">
        <v>1362</v>
      </c>
      <c r="BP1362" s="55" t="str">
        <f aca="false">IF(S1362&lt;&gt;"",UPPER(TRIM(S1362)),IF(O1362="","LOSE",O1362))</f>
        <v>S71</v>
      </c>
      <c r="BQ1362" s="57" t="n">
        <f aca="false">IF(BP1362="LOSE",1,IF(N(T1362)&gt;0,T1362,IF(N(P1362)&gt;0,P1362,MAX(1,G1362))))</f>
        <v>35</v>
      </c>
      <c r="BR1362" s="60" t="n">
        <f aca="false">IF(BP1362="LOSE",1,0)</f>
        <v>0</v>
      </c>
      <c r="BS1362" s="59" t="n">
        <f aca="false">IF(BR1362=0,0,IF(N(R1362)&gt;0,R1362,IFERROR(VLOOKUP(D1362,Parameter!$A$35:$C$64,3,0)+0,0)))</f>
        <v>0</v>
      </c>
      <c r="BT1362" s="55" t="n">
        <f aca="false">IF(Y1362&lt;&gt;"",Y1362,X1362)</f>
        <v>2</v>
      </c>
      <c r="BU1362" s="55" t="str">
        <f aca="false">IF(BT1362=1,"L1",IF(OR(BT1362=2,BT1362=3),"L23",IF(BT1362="Aussen","Aussen","-")))</f>
        <v>L23</v>
      </c>
      <c r="BV1362" s="66" t="n">
        <f aca="false">IF(N(Z1362)&gt;0,Z1362,0)</f>
        <v>0</v>
      </c>
      <c r="BW1362" s="60" t="n">
        <f aca="false">IF(ISNUMBER(AC1362),1,0)</f>
        <v>0</v>
      </c>
      <c r="BX1362" s="57" t="n">
        <f aca="false">N(AC1362)</f>
        <v>0</v>
      </c>
      <c r="BY1362" s="57" t="n">
        <f aca="false">N(L1362)+N(M1362)</f>
        <v>39</v>
      </c>
      <c r="BZ1362" s="57" t="n">
        <f aca="false">ROUNDUP(G1362/BQ1362,0)</f>
        <v>0</v>
      </c>
      <c r="CA1362" s="57" t="n">
        <f aca="false">ROUNDUP(BX1362/BQ1362,0)</f>
        <v>0</v>
      </c>
      <c r="CB1362" s="60" t="n">
        <f aca="false">IF(BR1362=1,0,IFERROR(VLOOKUP(BP1362,'Gebinde-Kategorie'!$A$5:$M$45,5,0)+0,0))</f>
        <v>20</v>
      </c>
      <c r="CC1362" s="60" t="n">
        <f aca="false">IFERROR(IF(OR(BT1362=1,BT1362=2,BT1362=3),N(INDEX(Parameter!$I$5:$I$7,BT1362)),0),0)</f>
        <v>0</v>
      </c>
      <c r="CD1362" s="59" t="n">
        <f aca="false">IF(AND(Parameter!$B$21="Ja",ISNUMBER(U1362),N(V1362)&gt;0),IFERROR(N(INDEX(Parameter!$L$5:$L$7,U1362))*INDEX(Parameter!$E$5:$E$7,U1362)*V1362/SUMIFS($V$7:$V$1576,$U$7:$U$1576,U1362),0),0)</f>
        <v>0</v>
      </c>
    </row>
    <row r="1363" customFormat="false" ht="15" hidden="false" customHeight="false" outlineLevel="0" collapsed="false">
      <c r="A1363" s="55" t="s">
        <v>2388</v>
      </c>
      <c r="B1363" s="55" t="s">
        <v>2389</v>
      </c>
      <c r="C1363" s="55" t="s">
        <v>160</v>
      </c>
      <c r="D1363" s="55" t="s">
        <v>168</v>
      </c>
      <c r="E1363" s="55" t="s">
        <v>210</v>
      </c>
      <c r="F1363" s="56" t="n">
        <v>280.07</v>
      </c>
      <c r="G1363" s="57" t="n">
        <f aca="false">MAX(0,IF(AND(Parameter!$B$21="Ja",ISNUMBER(W1363)),W1363,IF(Parameter!$B$20="Jahresanfang 2025 + Export",BJ1363+BI1363,BI1363)))</f>
        <v>0</v>
      </c>
      <c r="H1363" s="57" t="n">
        <f aca="false">G1363*F1363</f>
        <v>0</v>
      </c>
      <c r="I1363" s="57" t="n">
        <f aca="false">BL1363*Parameter!$B$18</f>
        <v>46</v>
      </c>
      <c r="J1363" s="58" t="n">
        <v>9</v>
      </c>
      <c r="K1363" s="59" t="n">
        <v>5.11111111111111</v>
      </c>
      <c r="L1363" s="57" t="n">
        <v>2</v>
      </c>
      <c r="M1363" s="57" t="n">
        <v>10</v>
      </c>
      <c r="N1363" s="60" t="n">
        <v>21</v>
      </c>
      <c r="O1363" s="55" t="s">
        <v>169</v>
      </c>
      <c r="P1363" s="57" t="n">
        <v>12</v>
      </c>
      <c r="Q1363" s="60" t="n">
        <f aca="false">IF(BR1363=1,0,IFERROR(VLOOKUP(BP1363,'Gebinde-Kategorie'!$A$5:$M$45,13,0)+0,0))</f>
        <v>6</v>
      </c>
      <c r="R1363" s="61"/>
      <c r="S1363" s="62"/>
      <c r="T1363" s="62"/>
      <c r="U1363" s="55"/>
      <c r="V1363" s="57"/>
      <c r="W1363" s="57"/>
      <c r="X1363" s="55" t="n">
        <f aca="false">IF(A1363="","",IF(AND(Parameter!$B$21="Ja",ISNUMBER(U1363)),U1363,IF(IFERROR(VLOOKUP(D1363,Parameter!$A$35:$C$64,2,0),"Nein")="2+3",IF(ISNUMBER(SEARCH("grosser Artikel",BM1363)),2,IFERROR(VLOOKUP(BP1363,Parameter!$F$35:$G$64,2,0),2)),IF(OR(IFERROR(VLOOKUP(D1363,Parameter!$A$35:$C$64,2,0),"Nein")="Nein",IFERROR(VLOOKUP(D1363,Parameter!$A$35:$C$64,2,0),"Nein")=""),"-",VLOOKUP(D1363,Parameter!$A$35:$C$64,2,0)))))</f>
        <v>2</v>
      </c>
      <c r="Y1363" s="62"/>
      <c r="Z1363" s="63"/>
      <c r="AA1363" s="57" t="n">
        <f aca="false">AP1363</f>
        <v>24</v>
      </c>
      <c r="AB1363" s="57" t="n">
        <f aca="false">MAX(AP1363,G1363)</f>
        <v>24</v>
      </c>
      <c r="AC1363" s="64"/>
      <c r="AD1363" s="57" t="n">
        <f aca="false">IF(LEFT(Cockpit!$C$5,1)="A",G1363,IF(BW1363=1,BX1363,IF(LEFT(Cockpit!$C$5,1)="B",AH1363,MAX(AH1363,G1363))))</f>
        <v>0</v>
      </c>
      <c r="AE1363" s="57" t="n">
        <f aca="false">IF(BR1363=1,0,ROUNDUP(AD1363/BQ1363,0))</f>
        <v>0</v>
      </c>
      <c r="AF1363" s="59" t="n">
        <f aca="false">IF(CD1363&gt;0,CD1363*MAX(1,AD1363/V1363),IF(BR1363=1,IF(AD1363&lt;=0,0,BS1363*MAX(1,IF(G1363&gt;0,AD1363/G1363,1))),IF(Q1363&gt;0,AE1363/Q1363,0))/MAX(0.1,N(Parameter!$M$21)))</f>
        <v>0</v>
      </c>
      <c r="AG1363" s="57" t="n">
        <f aca="false">AD1363*F1363</f>
        <v>0</v>
      </c>
      <c r="AH1363" s="57" t="n">
        <f aca="false">ROUNDUP(MAX(I1363/IF(BV1363&gt;0,BV1363,MAX(0.1,N(Cockpit!$C$6))),BY1363)/BQ1363,0)*BQ1363</f>
        <v>24</v>
      </c>
      <c r="AI1363" s="58" t="n">
        <f aca="false">IF(AF1363&gt;0,I1363/AF1363,-1)</f>
        <v>-1</v>
      </c>
      <c r="AJ1363" s="58" t="str">
        <f aca="false">IF(AND(OR(BU1363="L1",BU1363="L23"),AF1363&gt;0),SUMIFS($AF$7:$AF$1576,$BU$7:$BU$1576,BU1363,$AI$7:$AI$1576,"&gt;"&amp;AI1363)+SUMIFS($AF$7:$AF$1576,$BU$7:$BU$1576,BU1363,$AI$7:$AI$1576,AI1363,$BO$7:$BO$1576,"&lt;="&amp;BO1363),"")</f>
        <v/>
      </c>
      <c r="AK1363" s="65" t="n">
        <f aca="false">IF(AJ1363="",0,MAX(0,MIN(1,(IF(BU1363="L1",Parameter!$E$5,Parameter!$E$6+Parameter!$E$7)-(AJ1363-AF1363))/AF1363)))</f>
        <v>0</v>
      </c>
      <c r="AL1363" s="57" t="n">
        <f aca="false">IF(LEFT(Cockpit!$I$5,1)="A",G1363,IF(BW1363=1,BX1363,IF(LEFT(Cockpit!$I$5,1)="B",AP1363,MAX(AP1363,G1363))))</f>
        <v>24</v>
      </c>
      <c r="AM1363" s="57" t="n">
        <f aca="false">IF(BR1363=1,0,ROUNDUP(AL1363/BQ1363,0))</f>
        <v>2</v>
      </c>
      <c r="AN1363" s="59" t="n">
        <f aca="false">IF(CD1363&gt;0,CD1363*MAX(1,AL1363/V1363),IF(BR1363=1,IF(AL1363&lt;=0,0,BS1363*MAX(1,IF(G1363&gt;0,AL1363/G1363,1))),IF(Q1363&gt;0,AM1363/Q1363,0))/MAX(0.1,N(Parameter!$M$21)))</f>
        <v>0.333333333333333</v>
      </c>
      <c r="AO1363" s="57" t="n">
        <f aca="false">AL1363*F1363</f>
        <v>6721.68</v>
      </c>
      <c r="AP1363" s="57" t="n">
        <f aca="false">ROUNDUP(MAX(I1363/IF(BV1363&gt;0,BV1363,MAX(0.1,N(Cockpit!$I$6))),BY1363)/BQ1363,0)*BQ1363</f>
        <v>24</v>
      </c>
      <c r="AQ1363" s="58" t="n">
        <f aca="false">IF(AN1363&gt;0,I1363/AN1363,-1)</f>
        <v>138</v>
      </c>
      <c r="AR1363" s="58" t="n">
        <f aca="false">IF(AND(OR(BU1363="L1",BU1363="L23"),AN1363&gt;0),SUMIFS($AN$7:$AN$1576,$BU$7:$BU$1576,BU1363,$AQ$7:$AQ$1576,"&gt;"&amp;AQ1363)+SUMIFS($AN$7:$AN$1576,$BU$7:$BU$1576,BU1363,$AQ$7:$AQ$1576,AQ1363,$BO$7:$BO$1576,"&lt;="&amp;BO1363),"")</f>
        <v>58.4129930580042</v>
      </c>
      <c r="AS1363" s="65" t="n">
        <f aca="false">IF(AR1363="",0,MAX(0,MIN(1,(IF(BU1363="L1",Parameter!$E$5,Parameter!$E$6+Parameter!$E$7)-(AR1363-AN1363))/AN1363)))</f>
        <v>1</v>
      </c>
      <c r="AT1363" s="57" t="n">
        <f aca="false">IF(LEFT(Cockpit!$O$5,1)="A",G1363,IF(BW1363=1,BX1363,IF(LEFT(Cockpit!$O$5,1)="B",AX1363,MAX(AX1363,G1363))))</f>
        <v>24</v>
      </c>
      <c r="AU1363" s="57" t="n">
        <f aca="false">IF(BR1363=1,0,ROUNDUP(AT1363/BQ1363,0))</f>
        <v>2</v>
      </c>
      <c r="AV1363" s="59" t="n">
        <f aca="false">IF(CD1363&gt;0,CD1363*MAX(1,AT1363/V1363),IF(BR1363=1,IF(AT1363&lt;=0,0,BS1363*MAX(1,IF(G1363&gt;0,AT1363/G1363,1))),IF(Q1363&gt;0,AU1363/Q1363,0))/MAX(0.1,N(Parameter!$M$21)))</f>
        <v>0.333333333333333</v>
      </c>
      <c r="AW1363" s="57" t="n">
        <f aca="false">AT1363*F1363</f>
        <v>6721.68</v>
      </c>
      <c r="AX1363" s="57" t="n">
        <f aca="false">ROUNDUP(MAX(I1363/IF(BV1363&gt;0,BV1363,MAX(0.1,N(Cockpit!$O$6))),BY1363)/BQ1363,0)*BQ1363</f>
        <v>24</v>
      </c>
      <c r="AY1363" s="58" t="n">
        <f aca="false">IF(AV1363&gt;0,I1363/AV1363,-1)</f>
        <v>138</v>
      </c>
      <c r="AZ1363" s="58" t="n">
        <f aca="false">IF(AND(OR(BU1363="L1",BU1363="L23"),AV1363&gt;0),SUMIFS($AV$7:$AV$1576,$BU$7:$BU$1576,BU1363,$AY$7:$AY$1576,"&gt;"&amp;AY1363)+SUMIFS($AV$7:$AV$1576,$BU$7:$BU$1576,BU1363,$AY$7:$AY$1576,AY1363,$BO$7:$BO$1576,"&lt;="&amp;BO1363),"")</f>
        <v>53.0754601742213</v>
      </c>
      <c r="BA1363" s="65" t="n">
        <f aca="false">IF(AZ1363="",0,MAX(0,MIN(1,(IF(BU1363="L1",Parameter!$E$5,Parameter!$E$6+Parameter!$E$7)-(AZ1363-AV1363))/AV1363)))</f>
        <v>1</v>
      </c>
      <c r="BB1363" s="55" t="str">
        <f aca="false">IF(AF1363&lt;=0,"",IF(BU1363="Aussen","Aussenlager",IF(BU1363="-","Nicht im Lift",IF(AK1363&gt;=1,"Lift",IF(AK1363&lt;=0,"Aussenlager","teilweise")))))</f>
        <v/>
      </c>
      <c r="BC1363" s="55" t="str">
        <f aca="false">IF(AN1363&lt;=0,"",IF(BU1363="Aussen","Aussenlager",IF(BU1363="-","Nicht im Lift",IF(AS1363&gt;=1,"Lift",IF(AS1363&lt;=0,"Aussenlager","teilweise")))))</f>
        <v>Lift</v>
      </c>
      <c r="BD1363" s="55" t="str">
        <f aca="false">IF(AV1363&lt;=0,"",IF(BU1363="Aussen","Aussenlager",IF(BU1363="-","Nicht im Lift",IF(BA1363&gt;=1,"Lift",IF(BA1363&lt;=0,"Aussenlager","teilweise")))))</f>
        <v>Lift</v>
      </c>
      <c r="BE1363" s="55" t="str">
        <f aca="false">IF(A1363="","",IF(BN1363=1,"Neu; ","")&amp;IF(AND(BN1363=0,BI1363&lt;0),"negativer Bestand (Export "&amp;BI1363&amp;"); ","")&amp;IF(I1363&lt;=0,"Kein Verbrauch; ","")&amp;IF(CD1363&gt;0,"Lift "&amp;U1363&amp;" lt. Liftbericht (Fach "&amp;V1363&amp;" Stk); ",IF(BR1363=1,"Lose – Fläche geschätzt; ",""))&amp;IF(G1363&gt;AP1363,"Überbestand "&amp;ROUND(G1363-AP1363,0)&amp;" Stk / CHF "&amp;ROUND((G1363-AP1363)*F1363,0)&amp;"; ","")&amp;IF(AND(BW1363=1,BX1363&lt;BY1363),"MAX &lt; MB+LG; ","")&amp;IF(AND(CC1363&gt;0,CB1363*10&gt;CC1363),"zu hoch für Tablar; ","")&amp;IF(AND(BN1363=0,OR(BW1363=1,Y1363&lt;&gt;"",S1363&lt;&gt;"",T1363&lt;&gt;"",Z1363&lt;&gt;"")),"manuell übersteuert; ","")&amp;IF(AND(BR1363=0,Q1363=0),"Gebinde unbekannt / Stellmass fehlt; ","")&amp;IF(AND(BR1363=0,N(T1363)&lt;=0,N(P1363)&lt;=0),"Menge pro Gebinde fehlt (Ist = 1 Gebinde); ","")&amp;BM1363)</f>
        <v>negativer Bestand (Export -6); grosser Artikel &amp; nicht im KTL</v>
      </c>
      <c r="BF1363" s="55"/>
      <c r="BG1363" s="55"/>
      <c r="BH1363" s="62"/>
      <c r="BI1363" s="57" t="n">
        <v>-6</v>
      </c>
      <c r="BJ1363" s="57" t="n">
        <v>9</v>
      </c>
      <c r="BK1363" s="56" t="n">
        <v>-2447.76</v>
      </c>
      <c r="BL1363" s="57" t="n">
        <v>46</v>
      </c>
      <c r="BM1363" s="55" t="s">
        <v>253</v>
      </c>
      <c r="BN1363" s="60" t="n">
        <v>0</v>
      </c>
      <c r="BO1363" s="60" t="n">
        <v>1363</v>
      </c>
      <c r="BP1363" s="55" t="str">
        <f aca="false">IF(S1363&lt;&gt;"",UPPER(TRIM(S1363)),IF(O1363="","LOSE",O1363))</f>
        <v>S71</v>
      </c>
      <c r="BQ1363" s="57" t="n">
        <f aca="false">IF(BP1363="LOSE",1,IF(N(T1363)&gt;0,T1363,IF(N(P1363)&gt;0,P1363,MAX(1,G1363))))</f>
        <v>12</v>
      </c>
      <c r="BR1363" s="60" t="n">
        <f aca="false">IF(BP1363="LOSE",1,0)</f>
        <v>0</v>
      </c>
      <c r="BS1363" s="59" t="n">
        <f aca="false">IF(BR1363=0,0,IF(N(R1363)&gt;0,R1363,IFERROR(VLOOKUP(D1363,Parameter!$A$35:$C$64,3,0)+0,0)))</f>
        <v>0</v>
      </c>
      <c r="BT1363" s="55" t="n">
        <f aca="false">IF(Y1363&lt;&gt;"",Y1363,X1363)</f>
        <v>2</v>
      </c>
      <c r="BU1363" s="55" t="str">
        <f aca="false">IF(BT1363=1,"L1",IF(OR(BT1363=2,BT1363=3),"L23",IF(BT1363="Aussen","Aussen","-")))</f>
        <v>L23</v>
      </c>
      <c r="BV1363" s="66" t="n">
        <f aca="false">IF(N(Z1363)&gt;0,Z1363,0)</f>
        <v>0</v>
      </c>
      <c r="BW1363" s="60" t="n">
        <f aca="false">IF(ISNUMBER(AC1363),1,0)</f>
        <v>0</v>
      </c>
      <c r="BX1363" s="57" t="n">
        <f aca="false">N(AC1363)</f>
        <v>0</v>
      </c>
      <c r="BY1363" s="57" t="n">
        <f aca="false">N(L1363)+N(M1363)</f>
        <v>12</v>
      </c>
      <c r="BZ1363" s="57" t="n">
        <f aca="false">ROUNDUP(G1363/BQ1363,0)</f>
        <v>0</v>
      </c>
      <c r="CA1363" s="57" t="n">
        <f aca="false">ROUNDUP(BX1363/BQ1363,0)</f>
        <v>0</v>
      </c>
      <c r="CB1363" s="60" t="n">
        <f aca="false">IF(BR1363=1,0,IFERROR(VLOOKUP(BP1363,'Gebinde-Kategorie'!$A$5:$M$45,5,0)+0,0))</f>
        <v>20</v>
      </c>
      <c r="CC1363" s="60" t="n">
        <f aca="false">IFERROR(IF(OR(BT1363=1,BT1363=2,BT1363=3),N(INDEX(Parameter!$I$5:$I$7,BT1363)),0),0)</f>
        <v>0</v>
      </c>
      <c r="CD1363" s="59" t="n">
        <f aca="false">IF(AND(Parameter!$B$21="Ja",ISNUMBER(U1363),N(V1363)&gt;0),IFERROR(N(INDEX(Parameter!$L$5:$L$7,U1363))*INDEX(Parameter!$E$5:$E$7,U1363)*V1363/SUMIFS($V$7:$V$1576,$U$7:$U$1576,U1363),0),0)</f>
        <v>0</v>
      </c>
    </row>
    <row r="1364" customFormat="false" ht="15" hidden="false" customHeight="false" outlineLevel="0" collapsed="false">
      <c r="A1364" s="55" t="s">
        <v>2390</v>
      </c>
      <c r="B1364" s="55" t="s">
        <v>524</v>
      </c>
      <c r="C1364" s="55" t="s">
        <v>160</v>
      </c>
      <c r="D1364" s="55" t="s">
        <v>178</v>
      </c>
      <c r="E1364" s="55" t="s">
        <v>210</v>
      </c>
      <c r="F1364" s="56" t="n">
        <v>7.42</v>
      </c>
      <c r="G1364" s="57" t="n">
        <f aca="false">MAX(0,IF(AND(Parameter!$B$21="Ja",ISNUMBER(W1364)),W1364,IF(Parameter!$B$20="Jahresanfang 2025 + Export",BJ1364+BI1364,BI1364)))</f>
        <v>0</v>
      </c>
      <c r="H1364" s="57" t="n">
        <f aca="false">G1364*F1364</f>
        <v>0</v>
      </c>
      <c r="I1364" s="57" t="n">
        <f aca="false">BL1364*Parameter!$B$18</f>
        <v>390</v>
      </c>
      <c r="J1364" s="58" t="n">
        <v>280.5</v>
      </c>
      <c r="K1364" s="59" t="n">
        <v>1.3903743315508</v>
      </c>
      <c r="L1364" s="57" t="n">
        <v>35</v>
      </c>
      <c r="M1364" s="57" t="n">
        <v>390</v>
      </c>
      <c r="N1364" s="60" t="n">
        <v>28</v>
      </c>
      <c r="O1364" s="55" t="s">
        <v>293</v>
      </c>
      <c r="P1364" s="57" t="n">
        <v>30</v>
      </c>
      <c r="Q1364" s="60" t="n">
        <f aca="false">IF(BR1364=1,0,IFERROR(VLOOKUP(BP1364,'Gebinde-Kategorie'!$A$5:$M$45,13,0)+0,0))</f>
        <v>26</v>
      </c>
      <c r="R1364" s="61"/>
      <c r="S1364" s="62"/>
      <c r="T1364" s="62"/>
      <c r="U1364" s="55"/>
      <c r="V1364" s="57"/>
      <c r="W1364" s="57"/>
      <c r="X1364" s="55" t="n">
        <f aca="false">IF(A1364="","",IF(AND(Parameter!$B$21="Ja",ISNUMBER(U1364)),U1364,IF(IFERROR(VLOOKUP(D1364,Parameter!$A$35:$C$64,2,0),"Nein")="2+3",IF(ISNUMBER(SEARCH("grosser Artikel",BM1364)),2,IFERROR(VLOOKUP(BP1364,Parameter!$F$35:$G$64,2,0),2)),IF(OR(IFERROR(VLOOKUP(D1364,Parameter!$A$35:$C$64,2,0),"Nein")="Nein",IFERROR(VLOOKUP(D1364,Parameter!$A$35:$C$64,2,0),"Nein")=""),"-",VLOOKUP(D1364,Parameter!$A$35:$C$64,2,0)))))</f>
        <v>3</v>
      </c>
      <c r="Y1364" s="62"/>
      <c r="Z1364" s="63"/>
      <c r="AA1364" s="57" t="n">
        <f aca="false">AP1364</f>
        <v>450</v>
      </c>
      <c r="AB1364" s="57" t="n">
        <f aca="false">MAX(AP1364,G1364)</f>
        <v>450</v>
      </c>
      <c r="AC1364" s="64"/>
      <c r="AD1364" s="57" t="n">
        <f aca="false">IF(LEFT(Cockpit!$C$5,1)="A",G1364,IF(BW1364=1,BX1364,IF(LEFT(Cockpit!$C$5,1)="B",AH1364,MAX(AH1364,G1364))))</f>
        <v>0</v>
      </c>
      <c r="AE1364" s="57" t="n">
        <f aca="false">IF(BR1364=1,0,ROUNDUP(AD1364/BQ1364,0))</f>
        <v>0</v>
      </c>
      <c r="AF1364" s="59" t="n">
        <f aca="false">IF(CD1364&gt;0,CD1364*MAX(1,AD1364/V1364),IF(BR1364=1,IF(AD1364&lt;=0,0,BS1364*MAX(1,IF(G1364&gt;0,AD1364/G1364,1))),IF(Q1364&gt;0,AE1364/Q1364,0))/MAX(0.1,N(Parameter!$M$21)))</f>
        <v>0</v>
      </c>
      <c r="AG1364" s="57" t="n">
        <f aca="false">AD1364*F1364</f>
        <v>0</v>
      </c>
      <c r="AH1364" s="57" t="n">
        <f aca="false">ROUNDUP(MAX(I1364/IF(BV1364&gt;0,BV1364,MAX(0.1,N(Cockpit!$C$6))),BY1364)/BQ1364,0)*BQ1364</f>
        <v>450</v>
      </c>
      <c r="AI1364" s="58" t="n">
        <f aca="false">IF(AF1364&gt;0,I1364/AF1364,-1)</f>
        <v>-1</v>
      </c>
      <c r="AJ1364" s="58" t="str">
        <f aca="false">IF(AND(OR(BU1364="L1",BU1364="L23"),AF1364&gt;0),SUMIFS($AF$7:$AF$1576,$BU$7:$BU$1576,BU1364,$AI$7:$AI$1576,"&gt;"&amp;AI1364)+SUMIFS($AF$7:$AF$1576,$BU$7:$BU$1576,BU1364,$AI$7:$AI$1576,AI1364,$BO$7:$BO$1576,"&lt;="&amp;BO1364),"")</f>
        <v/>
      </c>
      <c r="AK1364" s="65" t="n">
        <f aca="false">IF(AJ1364="",0,MAX(0,MIN(1,(IF(BU1364="L1",Parameter!$E$5,Parameter!$E$6+Parameter!$E$7)-(AJ1364-AF1364))/AF1364)))</f>
        <v>0</v>
      </c>
      <c r="AL1364" s="57" t="n">
        <f aca="false">IF(LEFT(Cockpit!$I$5,1)="A",G1364,IF(BW1364=1,BX1364,IF(LEFT(Cockpit!$I$5,1)="B",AP1364,MAX(AP1364,G1364))))</f>
        <v>450</v>
      </c>
      <c r="AM1364" s="57" t="n">
        <f aca="false">IF(BR1364=1,0,ROUNDUP(AL1364/BQ1364,0))</f>
        <v>15</v>
      </c>
      <c r="AN1364" s="59" t="n">
        <f aca="false">IF(CD1364&gt;0,CD1364*MAX(1,AL1364/V1364),IF(BR1364=1,IF(AL1364&lt;=0,0,BS1364*MAX(1,IF(G1364&gt;0,AL1364/G1364,1))),IF(Q1364&gt;0,AM1364/Q1364,0))/MAX(0.1,N(Parameter!$M$21)))</f>
        <v>0.576923076923077</v>
      </c>
      <c r="AO1364" s="57" t="n">
        <f aca="false">AL1364*F1364</f>
        <v>3339</v>
      </c>
      <c r="AP1364" s="57" t="n">
        <f aca="false">ROUNDUP(MAX(I1364/IF(BV1364&gt;0,BV1364,MAX(0.1,N(Cockpit!$I$6))),BY1364)/BQ1364,0)*BQ1364</f>
        <v>450</v>
      </c>
      <c r="AQ1364" s="58" t="n">
        <f aca="false">IF(AN1364&gt;0,I1364/AN1364,-1)</f>
        <v>676</v>
      </c>
      <c r="AR1364" s="58" t="n">
        <f aca="false">IF(AND(OR(BU1364="L1",BU1364="L23"),AN1364&gt;0),SUMIFS($AN$7:$AN$1576,$BU$7:$BU$1576,BU1364,$AQ$7:$AQ$1576,"&gt;"&amp;AQ1364)+SUMIFS($AN$7:$AN$1576,$BU$7:$BU$1576,BU1364,$AQ$7:$AQ$1576,AQ1364,$BO$7:$BO$1576,"&lt;="&amp;BO1364),"")</f>
        <v>28.7091743163594</v>
      </c>
      <c r="AS1364" s="65" t="n">
        <f aca="false">IF(AR1364="",0,MAX(0,MIN(1,(IF(BU1364="L1",Parameter!$E$5,Parameter!$E$6+Parameter!$E$7)-(AR1364-AN1364))/AN1364)))</f>
        <v>1</v>
      </c>
      <c r="AT1364" s="57" t="n">
        <f aca="false">IF(LEFT(Cockpit!$O$5,1)="A",G1364,IF(BW1364=1,BX1364,IF(LEFT(Cockpit!$O$5,1)="B",AX1364,MAX(AX1364,G1364))))</f>
        <v>450</v>
      </c>
      <c r="AU1364" s="57" t="n">
        <f aca="false">IF(BR1364=1,0,ROUNDUP(AT1364/BQ1364,0))</f>
        <v>15</v>
      </c>
      <c r="AV1364" s="59" t="n">
        <f aca="false">IF(CD1364&gt;0,CD1364*MAX(1,AT1364/V1364),IF(BR1364=1,IF(AT1364&lt;=0,0,BS1364*MAX(1,IF(G1364&gt;0,AT1364/G1364,1))),IF(Q1364&gt;0,AU1364/Q1364,0))/MAX(0.1,N(Parameter!$M$21)))</f>
        <v>0.576923076923077</v>
      </c>
      <c r="AW1364" s="57" t="n">
        <f aca="false">AT1364*F1364</f>
        <v>3339</v>
      </c>
      <c r="AX1364" s="57" t="n">
        <f aca="false">ROUNDUP(MAX(I1364/IF(BV1364&gt;0,BV1364,MAX(0.1,N(Cockpit!$O$6))),BY1364)/BQ1364,0)*BQ1364</f>
        <v>450</v>
      </c>
      <c r="AY1364" s="58" t="n">
        <f aca="false">IF(AV1364&gt;0,I1364/AV1364,-1)</f>
        <v>676</v>
      </c>
      <c r="AZ1364" s="58" t="n">
        <f aca="false">IF(AND(OR(BU1364="L1",BU1364="L23"),AV1364&gt;0),SUMIFS($AV$7:$AV$1576,$BU$7:$BU$1576,BU1364,$AY$7:$AY$1576,"&gt;"&amp;AY1364)+SUMIFS($AV$7:$AV$1576,$BU$7:$BU$1576,BU1364,$AY$7:$AY$1576,AY1364,$BO$7:$BO$1576,"&lt;="&amp;BO1364),"")</f>
        <v>29.0871430143281</v>
      </c>
      <c r="BA1364" s="65" t="n">
        <f aca="false">IF(AZ1364="",0,MAX(0,MIN(1,(IF(BU1364="L1",Parameter!$E$5,Parameter!$E$6+Parameter!$E$7)-(AZ1364-AV1364))/AV1364)))</f>
        <v>1</v>
      </c>
      <c r="BB1364" s="55" t="str">
        <f aca="false">IF(AF1364&lt;=0,"",IF(BU1364="Aussen","Aussenlager",IF(BU1364="-","Nicht im Lift",IF(AK1364&gt;=1,"Lift",IF(AK1364&lt;=0,"Aussenlager","teilweise")))))</f>
        <v/>
      </c>
      <c r="BC1364" s="55" t="str">
        <f aca="false">IF(AN1364&lt;=0,"",IF(BU1364="Aussen","Aussenlager",IF(BU1364="-","Nicht im Lift",IF(AS1364&gt;=1,"Lift",IF(AS1364&lt;=0,"Aussenlager","teilweise")))))</f>
        <v>Lift</v>
      </c>
      <c r="BD1364" s="55" t="str">
        <f aca="false">IF(AV1364&lt;=0,"",IF(BU1364="Aussen","Aussenlager",IF(BU1364="-","Nicht im Lift",IF(BA1364&gt;=1,"Lift",IF(BA1364&lt;=0,"Aussenlager","teilweise")))))</f>
        <v>Lift</v>
      </c>
      <c r="BE1364" s="55" t="str">
        <f aca="false">IF(A1364="","",IF(BN1364=1,"Neu; ","")&amp;IF(AND(BN1364=0,BI1364&lt;0),"negativer Bestand (Export "&amp;BI1364&amp;"); ","")&amp;IF(I1364&lt;=0,"Kein Verbrauch; ","")&amp;IF(CD1364&gt;0,"Lift "&amp;U1364&amp;" lt. Liftbericht (Fach "&amp;V1364&amp;" Stk); ",IF(BR1364=1,"Lose – Fläche geschätzt; ",""))&amp;IF(G1364&gt;AP1364,"Überbestand "&amp;ROUND(G1364-AP1364,0)&amp;" Stk / CHF "&amp;ROUND((G1364-AP1364)*F1364,0)&amp;"; ","")&amp;IF(AND(BW1364=1,BX1364&lt;BY1364),"MAX &lt; MB+LG; ","")&amp;IF(AND(CC1364&gt;0,CB1364*10&gt;CC1364),"zu hoch für Tablar; ","")&amp;IF(AND(BN1364=0,OR(BW1364=1,Y1364&lt;&gt;"",S1364&lt;&gt;"",T1364&lt;&gt;"",Z1364&lt;&gt;"")),"manuell übersteuert; ","")&amp;IF(AND(BR1364=0,Q1364=0),"Gebinde unbekannt / Stellmass fehlt; ","")&amp;IF(AND(BR1364=0,N(T1364)&lt;=0,N(P1364)&lt;=0),"Menge pro Gebinde fehlt (Ist = 1 Gebinde); ","")&amp;BM1364)</f>
        <v>negativer Bestand (Export -334); B&amp;R</v>
      </c>
      <c r="BF1364" s="55"/>
      <c r="BG1364" s="55"/>
      <c r="BH1364" s="62"/>
      <c r="BI1364" s="57" t="n">
        <v>-334</v>
      </c>
      <c r="BJ1364" s="57" t="n">
        <v>456</v>
      </c>
      <c r="BK1364" s="56" t="n">
        <v>-2464.6</v>
      </c>
      <c r="BL1364" s="57" t="n">
        <v>390</v>
      </c>
      <c r="BM1364" s="55" t="s">
        <v>2204</v>
      </c>
      <c r="BN1364" s="60" t="n">
        <v>0</v>
      </c>
      <c r="BO1364" s="60" t="n">
        <v>1364</v>
      </c>
      <c r="BP1364" s="55" t="str">
        <f aca="false">IF(S1364&lt;&gt;"",UPPER(TRIM(S1364)),IF(O1364="","LOSE",O1364))</f>
        <v>S51</v>
      </c>
      <c r="BQ1364" s="57" t="n">
        <f aca="false">IF(BP1364="LOSE",1,IF(N(T1364)&gt;0,T1364,IF(N(P1364)&gt;0,P1364,MAX(1,G1364))))</f>
        <v>30</v>
      </c>
      <c r="BR1364" s="60" t="n">
        <f aca="false">IF(BP1364="LOSE",1,0)</f>
        <v>0</v>
      </c>
      <c r="BS1364" s="59" t="n">
        <f aca="false">IF(BR1364=0,0,IF(N(R1364)&gt;0,R1364,IFERROR(VLOOKUP(D1364,Parameter!$A$35:$C$64,3,0)+0,0)))</f>
        <v>0</v>
      </c>
      <c r="BT1364" s="55" t="n">
        <f aca="false">IF(Y1364&lt;&gt;"",Y1364,X1364)</f>
        <v>3</v>
      </c>
      <c r="BU1364" s="55" t="str">
        <f aca="false">IF(BT1364=1,"L1",IF(OR(BT1364=2,BT1364=3),"L23",IF(BT1364="Aussen","Aussen","-")))</f>
        <v>L23</v>
      </c>
      <c r="BV1364" s="66" t="n">
        <f aca="false">IF(N(Z1364)&gt;0,Z1364,0)</f>
        <v>0</v>
      </c>
      <c r="BW1364" s="60" t="n">
        <f aca="false">IF(ISNUMBER(AC1364),1,0)</f>
        <v>0</v>
      </c>
      <c r="BX1364" s="57" t="n">
        <f aca="false">N(AC1364)</f>
        <v>0</v>
      </c>
      <c r="BY1364" s="57" t="n">
        <f aca="false">N(L1364)+N(M1364)</f>
        <v>425</v>
      </c>
      <c r="BZ1364" s="57" t="n">
        <f aca="false">ROUNDUP(G1364/BQ1364,0)</f>
        <v>0</v>
      </c>
      <c r="CA1364" s="57" t="n">
        <f aca="false">ROUNDUP(BX1364/BQ1364,0)</f>
        <v>0</v>
      </c>
      <c r="CB1364" s="60" t="n">
        <f aca="false">IF(BR1364=1,0,IFERROR(VLOOKUP(BP1364,'Gebinde-Kategorie'!$A$5:$M$45,5,0)+0,0))</f>
        <v>11</v>
      </c>
      <c r="CC1364" s="60" t="n">
        <f aca="false">IFERROR(IF(OR(BT1364=1,BT1364=2,BT1364=3),N(INDEX(Parameter!$I$5:$I$7,BT1364)),0),0)</f>
        <v>0</v>
      </c>
      <c r="CD1364" s="59" t="n">
        <f aca="false">IF(AND(Parameter!$B$21="Ja",ISNUMBER(U1364),N(V1364)&gt;0),IFERROR(N(INDEX(Parameter!$L$5:$L$7,U1364))*INDEX(Parameter!$E$5:$E$7,U1364)*V1364/SUMIFS($V$7:$V$1576,$U$7:$U$1576,U1364),0),0)</f>
        <v>0</v>
      </c>
    </row>
    <row r="1365" customFormat="false" ht="15" hidden="false" customHeight="false" outlineLevel="0" collapsed="false">
      <c r="A1365" s="55" t="s">
        <v>2391</v>
      </c>
      <c r="B1365" s="55" t="s">
        <v>2392</v>
      </c>
      <c r="C1365" s="55" t="s">
        <v>160</v>
      </c>
      <c r="D1365" s="55" t="s">
        <v>178</v>
      </c>
      <c r="E1365" s="55" t="s">
        <v>210</v>
      </c>
      <c r="F1365" s="56" t="n">
        <v>82.23</v>
      </c>
      <c r="G1365" s="57" t="n">
        <f aca="false">MAX(0,IF(AND(Parameter!$B$21="Ja",ISNUMBER(W1365)),W1365,IF(Parameter!$B$20="Jahresanfang 2025 + Export",BJ1365+BI1365,BI1365)))</f>
        <v>0</v>
      </c>
      <c r="H1365" s="57" t="n">
        <f aca="false">G1365*F1365</f>
        <v>0</v>
      </c>
      <c r="I1365" s="57" t="n">
        <f aca="false">BL1365*Parameter!$B$18</f>
        <v>3</v>
      </c>
      <c r="J1365" s="58" t="n">
        <v>31.5</v>
      </c>
      <c r="K1365" s="59" t="n">
        <v>0.0952380952380952</v>
      </c>
      <c r="L1365" s="57" t="n">
        <v>0</v>
      </c>
      <c r="M1365" s="57" t="n">
        <v>5</v>
      </c>
      <c r="N1365" s="60" t="n">
        <v>28</v>
      </c>
      <c r="O1365" s="55" t="s">
        <v>465</v>
      </c>
      <c r="P1365" s="57" t="n">
        <v>10</v>
      </c>
      <c r="Q1365" s="60" t="n">
        <f aca="false">IF(BR1365=1,0,IFERROR(VLOOKUP(BP1365,'Gebinde-Kategorie'!$A$5:$M$45,13,0)+0,0))</f>
        <v>66</v>
      </c>
      <c r="R1365" s="61"/>
      <c r="S1365" s="62"/>
      <c r="T1365" s="62"/>
      <c r="U1365" s="55"/>
      <c r="V1365" s="57"/>
      <c r="W1365" s="57"/>
      <c r="X1365" s="55" t="n">
        <f aca="false">IF(A1365="","",IF(AND(Parameter!$B$21="Ja",ISNUMBER(U1365)),U1365,IF(IFERROR(VLOOKUP(D1365,Parameter!$A$35:$C$64,2,0),"Nein")="2+3",IF(ISNUMBER(SEARCH("grosser Artikel",BM1365)),2,IFERROR(VLOOKUP(BP1365,Parameter!$F$35:$G$64,2,0),2)),IF(OR(IFERROR(VLOOKUP(D1365,Parameter!$A$35:$C$64,2,0),"Nein")="Nein",IFERROR(VLOOKUP(D1365,Parameter!$A$35:$C$64,2,0),"Nein")=""),"-",VLOOKUP(D1365,Parameter!$A$35:$C$64,2,0)))))</f>
        <v>3</v>
      </c>
      <c r="Y1365" s="62"/>
      <c r="Z1365" s="63"/>
      <c r="AA1365" s="57" t="n">
        <f aca="false">AP1365</f>
        <v>10</v>
      </c>
      <c r="AB1365" s="57" t="n">
        <f aca="false">MAX(AP1365,G1365)</f>
        <v>10</v>
      </c>
      <c r="AC1365" s="64"/>
      <c r="AD1365" s="57" t="n">
        <f aca="false">IF(LEFT(Cockpit!$C$5,1)="A",G1365,IF(BW1365=1,BX1365,IF(LEFT(Cockpit!$C$5,1)="B",AH1365,MAX(AH1365,G1365))))</f>
        <v>0</v>
      </c>
      <c r="AE1365" s="57" t="n">
        <f aca="false">IF(BR1365=1,0,ROUNDUP(AD1365/BQ1365,0))</f>
        <v>0</v>
      </c>
      <c r="AF1365" s="59" t="n">
        <f aca="false">IF(CD1365&gt;0,CD1365*MAX(1,AD1365/V1365),IF(BR1365=1,IF(AD1365&lt;=0,0,BS1365*MAX(1,IF(G1365&gt;0,AD1365/G1365,1))),IF(Q1365&gt;0,AE1365/Q1365,0))/MAX(0.1,N(Parameter!$M$21)))</f>
        <v>0</v>
      </c>
      <c r="AG1365" s="57" t="n">
        <f aca="false">AD1365*F1365</f>
        <v>0</v>
      </c>
      <c r="AH1365" s="57" t="n">
        <f aca="false">ROUNDUP(MAX(I1365/IF(BV1365&gt;0,BV1365,MAX(0.1,N(Cockpit!$C$6))),BY1365)/BQ1365,0)*BQ1365</f>
        <v>10</v>
      </c>
      <c r="AI1365" s="58" t="n">
        <f aca="false">IF(AF1365&gt;0,I1365/AF1365,-1)</f>
        <v>-1</v>
      </c>
      <c r="AJ1365" s="58" t="str">
        <f aca="false">IF(AND(OR(BU1365="L1",BU1365="L23"),AF1365&gt;0),SUMIFS($AF$7:$AF$1576,$BU$7:$BU$1576,BU1365,$AI$7:$AI$1576,"&gt;"&amp;AI1365)+SUMIFS($AF$7:$AF$1576,$BU$7:$BU$1576,BU1365,$AI$7:$AI$1576,AI1365,$BO$7:$BO$1576,"&lt;="&amp;BO1365),"")</f>
        <v/>
      </c>
      <c r="AK1365" s="65" t="n">
        <f aca="false">IF(AJ1365="",0,MAX(0,MIN(1,(IF(BU1365="L1",Parameter!$E$5,Parameter!$E$6+Parameter!$E$7)-(AJ1365-AF1365))/AF1365)))</f>
        <v>0</v>
      </c>
      <c r="AL1365" s="57" t="n">
        <f aca="false">IF(LEFT(Cockpit!$I$5,1)="A",G1365,IF(BW1365=1,BX1365,IF(LEFT(Cockpit!$I$5,1)="B",AP1365,MAX(AP1365,G1365))))</f>
        <v>10</v>
      </c>
      <c r="AM1365" s="57" t="n">
        <f aca="false">IF(BR1365=1,0,ROUNDUP(AL1365/BQ1365,0))</f>
        <v>1</v>
      </c>
      <c r="AN1365" s="59" t="n">
        <f aca="false">IF(CD1365&gt;0,CD1365*MAX(1,AL1365/V1365),IF(BR1365=1,IF(AL1365&lt;=0,0,BS1365*MAX(1,IF(G1365&gt;0,AL1365/G1365,1))),IF(Q1365&gt;0,AM1365/Q1365,0))/MAX(0.1,N(Parameter!$M$21)))</f>
        <v>0.0151515151515152</v>
      </c>
      <c r="AO1365" s="57" t="n">
        <f aca="false">AL1365*F1365</f>
        <v>822.3</v>
      </c>
      <c r="AP1365" s="57" t="n">
        <f aca="false">ROUNDUP(MAX(I1365/IF(BV1365&gt;0,BV1365,MAX(0.1,N(Cockpit!$I$6))),BY1365)/BQ1365,0)*BQ1365</f>
        <v>10</v>
      </c>
      <c r="AQ1365" s="58" t="n">
        <f aca="false">IF(AN1365&gt;0,I1365/AN1365,-1)</f>
        <v>198</v>
      </c>
      <c r="AR1365" s="58" t="n">
        <f aca="false">IF(AND(OR(BU1365="L1",BU1365="L23"),AN1365&gt;0),SUMIFS($AN$7:$AN$1576,$BU$7:$BU$1576,BU1365,$AQ$7:$AQ$1576,"&gt;"&amp;AQ1365)+SUMIFS($AN$7:$AN$1576,$BU$7:$BU$1576,BU1365,$AQ$7:$AQ$1576,AQ1365,$BO$7:$BO$1576,"&lt;="&amp;BO1365),"")</f>
        <v>50.9352574602686</v>
      </c>
      <c r="AS1365" s="65" t="n">
        <f aca="false">IF(AR1365="",0,MAX(0,MIN(1,(IF(BU1365="L1",Parameter!$E$5,Parameter!$E$6+Parameter!$E$7)-(AR1365-AN1365))/AN1365)))</f>
        <v>1</v>
      </c>
      <c r="AT1365" s="57" t="n">
        <f aca="false">IF(LEFT(Cockpit!$O$5,1)="A",G1365,IF(BW1365=1,BX1365,IF(LEFT(Cockpit!$O$5,1)="B",AX1365,MAX(AX1365,G1365))))</f>
        <v>10</v>
      </c>
      <c r="AU1365" s="57" t="n">
        <f aca="false">IF(BR1365=1,0,ROUNDUP(AT1365/BQ1365,0))</f>
        <v>1</v>
      </c>
      <c r="AV1365" s="59" t="n">
        <f aca="false">IF(CD1365&gt;0,CD1365*MAX(1,AT1365/V1365),IF(BR1365=1,IF(AT1365&lt;=0,0,BS1365*MAX(1,IF(G1365&gt;0,AT1365/G1365,1))),IF(Q1365&gt;0,AU1365/Q1365,0))/MAX(0.1,N(Parameter!$M$21)))</f>
        <v>0.0151515151515152</v>
      </c>
      <c r="AW1365" s="57" t="n">
        <f aca="false">AT1365*F1365</f>
        <v>822.3</v>
      </c>
      <c r="AX1365" s="57" t="n">
        <f aca="false">ROUNDUP(MAX(I1365/IF(BV1365&gt;0,BV1365,MAX(0.1,N(Cockpit!$O$6))),BY1365)/BQ1365,0)*BQ1365</f>
        <v>10</v>
      </c>
      <c r="AY1365" s="58" t="n">
        <f aca="false">IF(AV1365&gt;0,I1365/AV1365,-1)</f>
        <v>198</v>
      </c>
      <c r="AZ1365" s="58" t="n">
        <f aca="false">IF(AND(OR(BU1365="L1",BU1365="L23"),AV1365&gt;0),SUMIFS($AV$7:$AV$1576,$BU$7:$BU$1576,BU1365,$AY$7:$AY$1576,"&gt;"&amp;AY1365)+SUMIFS($AV$7:$AV$1576,$BU$7:$BU$1576,BU1365,$AY$7:$AY$1576,AY1365,$BO$7:$BO$1576,"&lt;="&amp;BO1365),"")</f>
        <v>47.131517866529</v>
      </c>
      <c r="BA1365" s="65" t="n">
        <f aca="false">IF(AZ1365="",0,MAX(0,MIN(1,(IF(BU1365="L1",Parameter!$E$5,Parameter!$E$6+Parameter!$E$7)-(AZ1365-AV1365))/AV1365)))</f>
        <v>1</v>
      </c>
      <c r="BB1365" s="55" t="str">
        <f aca="false">IF(AF1365&lt;=0,"",IF(BU1365="Aussen","Aussenlager",IF(BU1365="-","Nicht im Lift",IF(AK1365&gt;=1,"Lift",IF(AK1365&lt;=0,"Aussenlager","teilweise")))))</f>
        <v/>
      </c>
      <c r="BC1365" s="55" t="str">
        <f aca="false">IF(AN1365&lt;=0,"",IF(BU1365="Aussen","Aussenlager",IF(BU1365="-","Nicht im Lift",IF(AS1365&gt;=1,"Lift",IF(AS1365&lt;=0,"Aussenlager","teilweise")))))</f>
        <v>Lift</v>
      </c>
      <c r="BD1365" s="55" t="str">
        <f aca="false">IF(AV1365&lt;=0,"",IF(BU1365="Aussen","Aussenlager",IF(BU1365="-","Nicht im Lift",IF(BA1365&gt;=1,"Lift",IF(BA1365&lt;=0,"Aussenlager","teilweise")))))</f>
        <v>Lift</v>
      </c>
      <c r="BE1365" s="55" t="str">
        <f aca="false">IF(A1365="","",IF(BN1365=1,"Neu; ","")&amp;IF(AND(BN1365=0,BI1365&lt;0),"negativer Bestand (Export "&amp;BI1365&amp;"); ","")&amp;IF(I1365&lt;=0,"Kein Verbrauch; ","")&amp;IF(CD1365&gt;0,"Lift "&amp;U1365&amp;" lt. Liftbericht (Fach "&amp;V1365&amp;" Stk); ",IF(BR1365=1,"Lose – Fläche geschätzt; ",""))&amp;IF(G1365&gt;AP1365,"Überbestand "&amp;ROUND(G1365-AP1365,0)&amp;" Stk / CHF "&amp;ROUND((G1365-AP1365)*F1365,0)&amp;"; ","")&amp;IF(AND(BW1365=1,BX1365&lt;BY1365),"MAX &lt; MB+LG; ","")&amp;IF(AND(CC1365&gt;0,CB1365*10&gt;CC1365),"zu hoch für Tablar; ","")&amp;IF(AND(BN1365=0,OR(BW1365=1,Y1365&lt;&gt;"",S1365&lt;&gt;"",T1365&lt;&gt;"",Z1365&lt;&gt;"")),"manuell übersteuert; ","")&amp;IF(AND(BR1365=0,Q1365=0),"Gebinde unbekannt / Stellmass fehlt; ","")&amp;IF(AND(BR1365=0,N(T1365)&lt;=0,N(P1365)&lt;=0),"Menge pro Gebinde fehlt (Ist = 1 Gebinde); ","")&amp;BM1365)</f>
        <v>negativer Bestand (Export -30); </v>
      </c>
      <c r="BF1365" s="55"/>
      <c r="BG1365" s="55"/>
      <c r="BH1365" s="62"/>
      <c r="BI1365" s="57" t="n">
        <v>-30</v>
      </c>
      <c r="BJ1365" s="57" t="n">
        <v>34</v>
      </c>
      <c r="BK1365" s="56" t="n">
        <v>-2466.9</v>
      </c>
      <c r="BL1365" s="57" t="n">
        <v>3</v>
      </c>
      <c r="BM1365" s="55"/>
      <c r="BN1365" s="60" t="n">
        <v>0</v>
      </c>
      <c r="BO1365" s="60" t="n">
        <v>1365</v>
      </c>
      <c r="BP1365" s="55" t="str">
        <f aca="false">IF(S1365&lt;&gt;"",UPPER(TRIM(S1365)),IF(O1365="","LOSE",O1365))</f>
        <v>S33</v>
      </c>
      <c r="BQ1365" s="57" t="n">
        <f aca="false">IF(BP1365="LOSE",1,IF(N(T1365)&gt;0,T1365,IF(N(P1365)&gt;0,P1365,MAX(1,G1365))))</f>
        <v>10</v>
      </c>
      <c r="BR1365" s="60" t="n">
        <f aca="false">IF(BP1365="LOSE",1,0)</f>
        <v>0</v>
      </c>
      <c r="BS1365" s="59" t="n">
        <f aca="false">IF(BR1365=0,0,IF(N(R1365)&gt;0,R1365,IFERROR(VLOOKUP(D1365,Parameter!$A$35:$C$64,3,0)+0,0)))</f>
        <v>0</v>
      </c>
      <c r="BT1365" s="55" t="n">
        <f aca="false">IF(Y1365&lt;&gt;"",Y1365,X1365)</f>
        <v>3</v>
      </c>
      <c r="BU1365" s="55" t="str">
        <f aca="false">IF(BT1365=1,"L1",IF(OR(BT1365=2,BT1365=3),"L23",IF(BT1365="Aussen","Aussen","-")))</f>
        <v>L23</v>
      </c>
      <c r="BV1365" s="66" t="n">
        <f aca="false">IF(N(Z1365)&gt;0,Z1365,0)</f>
        <v>0</v>
      </c>
      <c r="BW1365" s="60" t="n">
        <f aca="false">IF(ISNUMBER(AC1365),1,0)</f>
        <v>0</v>
      </c>
      <c r="BX1365" s="57" t="n">
        <f aca="false">N(AC1365)</f>
        <v>0</v>
      </c>
      <c r="BY1365" s="57" t="n">
        <f aca="false">N(L1365)+N(M1365)</f>
        <v>5</v>
      </c>
      <c r="BZ1365" s="57" t="n">
        <f aca="false">ROUNDUP(G1365/BQ1365,0)</f>
        <v>0</v>
      </c>
      <c r="CA1365" s="57" t="n">
        <f aca="false">ROUNDUP(BX1365/BQ1365,0)</f>
        <v>0</v>
      </c>
      <c r="CB1365" s="60" t="n">
        <f aca="false">IF(BR1365=1,0,IFERROR(VLOOKUP(BP1365,'Gebinde-Kategorie'!$A$5:$M$45,5,0)+0,0))</f>
        <v>8</v>
      </c>
      <c r="CC1365" s="60" t="n">
        <f aca="false">IFERROR(IF(OR(BT1365=1,BT1365=2,BT1365=3),N(INDEX(Parameter!$I$5:$I$7,BT1365)),0),0)</f>
        <v>0</v>
      </c>
      <c r="CD1365" s="59" t="n">
        <f aca="false">IF(AND(Parameter!$B$21="Ja",ISNUMBER(U1365),N(V1365)&gt;0),IFERROR(N(INDEX(Parameter!$L$5:$L$7,U1365))*INDEX(Parameter!$E$5:$E$7,U1365)*V1365/SUMIFS($V$7:$V$1576,$U$7:$U$1576,U1365),0),0)</f>
        <v>0</v>
      </c>
    </row>
    <row r="1366" customFormat="false" ht="15" hidden="false" customHeight="false" outlineLevel="0" collapsed="false">
      <c r="A1366" s="55" t="s">
        <v>2393</v>
      </c>
      <c r="B1366" s="55" t="s">
        <v>692</v>
      </c>
      <c r="C1366" s="55" t="s">
        <v>160</v>
      </c>
      <c r="D1366" s="55" t="s">
        <v>168</v>
      </c>
      <c r="E1366" s="55" t="s">
        <v>210</v>
      </c>
      <c r="F1366" s="56" t="n">
        <v>362.99</v>
      </c>
      <c r="G1366" s="57" t="n">
        <f aca="false">MAX(0,IF(AND(Parameter!$B$21="Ja",ISNUMBER(W1366)),W1366,IF(Parameter!$B$20="Jahresanfang 2025 + Export",BJ1366+BI1366,BI1366)))</f>
        <v>0</v>
      </c>
      <c r="H1366" s="57" t="n">
        <f aca="false">G1366*F1366</f>
        <v>0</v>
      </c>
      <c r="I1366" s="57" t="n">
        <f aca="false">BL1366*Parameter!$B$18</f>
        <v>39</v>
      </c>
      <c r="J1366" s="58" t="n">
        <v>25.5</v>
      </c>
      <c r="K1366" s="59" t="n">
        <v>1.52941176470588</v>
      </c>
      <c r="L1366" s="57" t="n">
        <v>5</v>
      </c>
      <c r="M1366" s="57" t="n">
        <v>15</v>
      </c>
      <c r="N1366" s="60" t="n">
        <v>35</v>
      </c>
      <c r="O1366" s="55" t="s">
        <v>251</v>
      </c>
      <c r="P1366" s="57" t="n">
        <v>10</v>
      </c>
      <c r="Q1366" s="60" t="n">
        <f aca="false">IF(BR1366=1,0,IFERROR(VLOOKUP(BP1366,'Gebinde-Kategorie'!$A$5:$M$45,13,0)+0,0))</f>
        <v>6</v>
      </c>
      <c r="R1366" s="61"/>
      <c r="S1366" s="62"/>
      <c r="T1366" s="62"/>
      <c r="U1366" s="55"/>
      <c r="V1366" s="57"/>
      <c r="W1366" s="57"/>
      <c r="X1366" s="55" t="n">
        <f aca="false">IF(A1366="","",IF(AND(Parameter!$B$21="Ja",ISNUMBER(U1366)),U1366,IF(IFERROR(VLOOKUP(D1366,Parameter!$A$35:$C$64,2,0),"Nein")="2+3",IF(ISNUMBER(SEARCH("grosser Artikel",BM1366)),2,IFERROR(VLOOKUP(BP1366,Parameter!$F$35:$G$64,2,0),2)),IF(OR(IFERROR(VLOOKUP(D1366,Parameter!$A$35:$C$64,2,0),"Nein")="Nein",IFERROR(VLOOKUP(D1366,Parameter!$A$35:$C$64,2,0),"Nein")=""),"-",VLOOKUP(D1366,Parameter!$A$35:$C$64,2,0)))))</f>
        <v>2</v>
      </c>
      <c r="Y1366" s="62"/>
      <c r="Z1366" s="63"/>
      <c r="AA1366" s="57" t="n">
        <f aca="false">AP1366</f>
        <v>20</v>
      </c>
      <c r="AB1366" s="57" t="n">
        <f aca="false">MAX(AP1366,G1366)</f>
        <v>20</v>
      </c>
      <c r="AC1366" s="64"/>
      <c r="AD1366" s="57" t="n">
        <f aca="false">IF(LEFT(Cockpit!$C$5,1)="A",G1366,IF(BW1366=1,BX1366,IF(LEFT(Cockpit!$C$5,1)="B",AH1366,MAX(AH1366,G1366))))</f>
        <v>0</v>
      </c>
      <c r="AE1366" s="57" t="n">
        <f aca="false">IF(BR1366=1,0,ROUNDUP(AD1366/BQ1366,0))</f>
        <v>0</v>
      </c>
      <c r="AF1366" s="59" t="n">
        <f aca="false">IF(CD1366&gt;0,CD1366*MAX(1,AD1366/V1366),IF(BR1366=1,IF(AD1366&lt;=0,0,BS1366*MAX(1,IF(G1366&gt;0,AD1366/G1366,1))),IF(Q1366&gt;0,AE1366/Q1366,0))/MAX(0.1,N(Parameter!$M$21)))</f>
        <v>0</v>
      </c>
      <c r="AG1366" s="57" t="n">
        <f aca="false">AD1366*F1366</f>
        <v>0</v>
      </c>
      <c r="AH1366" s="57" t="n">
        <f aca="false">ROUNDUP(MAX(I1366/IF(BV1366&gt;0,BV1366,MAX(0.1,N(Cockpit!$C$6))),BY1366)/BQ1366,0)*BQ1366</f>
        <v>20</v>
      </c>
      <c r="AI1366" s="58" t="n">
        <f aca="false">IF(AF1366&gt;0,I1366/AF1366,-1)</f>
        <v>-1</v>
      </c>
      <c r="AJ1366" s="58" t="str">
        <f aca="false">IF(AND(OR(BU1366="L1",BU1366="L23"),AF1366&gt;0),SUMIFS($AF$7:$AF$1576,$BU$7:$BU$1576,BU1366,$AI$7:$AI$1576,"&gt;"&amp;AI1366)+SUMIFS($AF$7:$AF$1576,$BU$7:$BU$1576,BU1366,$AI$7:$AI$1576,AI1366,$BO$7:$BO$1576,"&lt;="&amp;BO1366),"")</f>
        <v/>
      </c>
      <c r="AK1366" s="65" t="n">
        <f aca="false">IF(AJ1366="",0,MAX(0,MIN(1,(IF(BU1366="L1",Parameter!$E$5,Parameter!$E$6+Parameter!$E$7)-(AJ1366-AF1366))/AF1366)))</f>
        <v>0</v>
      </c>
      <c r="AL1366" s="57" t="n">
        <f aca="false">IF(LEFT(Cockpit!$I$5,1)="A",G1366,IF(BW1366=1,BX1366,IF(LEFT(Cockpit!$I$5,1)="B",AP1366,MAX(AP1366,G1366))))</f>
        <v>20</v>
      </c>
      <c r="AM1366" s="57" t="n">
        <f aca="false">IF(BR1366=1,0,ROUNDUP(AL1366/BQ1366,0))</f>
        <v>2</v>
      </c>
      <c r="AN1366" s="59" t="n">
        <f aca="false">IF(CD1366&gt;0,CD1366*MAX(1,AL1366/V1366),IF(BR1366=1,IF(AL1366&lt;=0,0,BS1366*MAX(1,IF(G1366&gt;0,AL1366/G1366,1))),IF(Q1366&gt;0,AM1366/Q1366,0))/MAX(0.1,N(Parameter!$M$21)))</f>
        <v>0.333333333333333</v>
      </c>
      <c r="AO1366" s="57" t="n">
        <f aca="false">AL1366*F1366</f>
        <v>7259.8</v>
      </c>
      <c r="AP1366" s="57" t="n">
        <f aca="false">ROUNDUP(MAX(I1366/IF(BV1366&gt;0,BV1366,MAX(0.1,N(Cockpit!$I$6))),BY1366)/BQ1366,0)*BQ1366</f>
        <v>20</v>
      </c>
      <c r="AQ1366" s="58" t="n">
        <f aca="false">IF(AN1366&gt;0,I1366/AN1366,-1)</f>
        <v>117</v>
      </c>
      <c r="AR1366" s="58" t="n">
        <f aca="false">IF(AND(OR(BU1366="L1",BU1366="L23"),AN1366&gt;0),SUMIFS($AN$7:$AN$1576,$BU$7:$BU$1576,BU1366,$AQ$7:$AQ$1576,"&gt;"&amp;AQ1366)+SUMIFS($AN$7:$AN$1576,$BU$7:$BU$1576,BU1366,$AQ$7:$AQ$1576,AQ1366,$BO$7:$BO$1576,"&lt;="&amp;BO1366),"")</f>
        <v>65.1103357153469</v>
      </c>
      <c r="AS1366" s="65" t="n">
        <f aca="false">IF(AR1366="",0,MAX(0,MIN(1,(IF(BU1366="L1",Parameter!$E$5,Parameter!$E$6+Parameter!$E$7)-(AR1366-AN1366))/AN1366)))</f>
        <v>1</v>
      </c>
      <c r="AT1366" s="57" t="n">
        <f aca="false">IF(LEFT(Cockpit!$O$5,1)="A",G1366,IF(BW1366=1,BX1366,IF(LEFT(Cockpit!$O$5,1)="B",AX1366,MAX(AX1366,G1366))))</f>
        <v>20</v>
      </c>
      <c r="AU1366" s="57" t="n">
        <f aca="false">IF(BR1366=1,0,ROUNDUP(AT1366/BQ1366,0))</f>
        <v>2</v>
      </c>
      <c r="AV1366" s="59" t="n">
        <f aca="false">IF(CD1366&gt;0,CD1366*MAX(1,AT1366/V1366),IF(BR1366=1,IF(AT1366&lt;=0,0,BS1366*MAX(1,IF(G1366&gt;0,AT1366/G1366,1))),IF(Q1366&gt;0,AU1366/Q1366,0))/MAX(0.1,N(Parameter!$M$21)))</f>
        <v>0.333333333333333</v>
      </c>
      <c r="AW1366" s="57" t="n">
        <f aca="false">AT1366*F1366</f>
        <v>7259.8</v>
      </c>
      <c r="AX1366" s="57" t="n">
        <f aca="false">ROUNDUP(MAX(I1366/IF(BV1366&gt;0,BV1366,MAX(0.1,N(Cockpit!$O$6))),BY1366)/BQ1366,0)*BQ1366</f>
        <v>20</v>
      </c>
      <c r="AY1366" s="58" t="n">
        <f aca="false">IF(AV1366&gt;0,I1366/AV1366,-1)</f>
        <v>117</v>
      </c>
      <c r="AZ1366" s="58" t="n">
        <f aca="false">IF(AND(OR(BU1366="L1",BU1366="L23"),AV1366&gt;0),SUMIFS($AV$7:$AV$1576,$BU$7:$BU$1576,BU1366,$AY$7:$AY$1576,"&gt;"&amp;AY1366)+SUMIFS($AV$7:$AV$1576,$BU$7:$BU$1576,BU1366,$AY$7:$AY$1576,AY1366,$BO$7:$BO$1576,"&lt;="&amp;BO1366),"")</f>
        <v>60.4394694982307</v>
      </c>
      <c r="BA1366" s="65" t="n">
        <f aca="false">IF(AZ1366="",0,MAX(0,MIN(1,(IF(BU1366="L1",Parameter!$E$5,Parameter!$E$6+Parameter!$E$7)-(AZ1366-AV1366))/AV1366)))</f>
        <v>1</v>
      </c>
      <c r="BB1366" s="55" t="str">
        <f aca="false">IF(AF1366&lt;=0,"",IF(BU1366="Aussen","Aussenlager",IF(BU1366="-","Nicht im Lift",IF(AK1366&gt;=1,"Lift",IF(AK1366&lt;=0,"Aussenlager","teilweise")))))</f>
        <v/>
      </c>
      <c r="BC1366" s="55" t="str">
        <f aca="false">IF(AN1366&lt;=0,"",IF(BU1366="Aussen","Aussenlager",IF(BU1366="-","Nicht im Lift",IF(AS1366&gt;=1,"Lift",IF(AS1366&lt;=0,"Aussenlager","teilweise")))))</f>
        <v>Lift</v>
      </c>
      <c r="BD1366" s="55" t="str">
        <f aca="false">IF(AV1366&lt;=0,"",IF(BU1366="Aussen","Aussenlager",IF(BU1366="-","Nicht im Lift",IF(BA1366&gt;=1,"Lift",IF(BA1366&lt;=0,"Aussenlager","teilweise")))))</f>
        <v>Lift</v>
      </c>
      <c r="BE1366" s="55" t="str">
        <f aca="false">IF(A1366="","",IF(BN1366=1,"Neu; ","")&amp;IF(AND(BN1366=0,BI1366&lt;0),"negativer Bestand (Export "&amp;BI1366&amp;"); ","")&amp;IF(I1366&lt;=0,"Kein Verbrauch; ","")&amp;IF(CD1366&gt;0,"Lift "&amp;U1366&amp;" lt. Liftbericht (Fach "&amp;V1366&amp;" Stk); ",IF(BR1366=1,"Lose – Fläche geschätzt; ",""))&amp;IF(G1366&gt;AP1366,"Überbestand "&amp;ROUND(G1366-AP1366,0)&amp;" Stk / CHF "&amp;ROUND((G1366-AP1366)*F1366,0)&amp;"; ","")&amp;IF(AND(BW1366=1,BX1366&lt;BY1366),"MAX &lt; MB+LG; ","")&amp;IF(AND(CC1366&gt;0,CB1366*10&gt;CC1366),"zu hoch für Tablar; ","")&amp;IF(AND(BN1366=0,OR(BW1366=1,Y1366&lt;&gt;"",S1366&lt;&gt;"",T1366&lt;&gt;"",Z1366&lt;&gt;"")),"manuell übersteuert; ","")&amp;IF(AND(BR1366=0,Q1366=0),"Gebinde unbekannt / Stellmass fehlt; ","")&amp;IF(AND(BR1366=0,N(T1366)&lt;=0,N(P1366)&lt;=0),"Menge pro Gebinde fehlt (Ist = 1 Gebinde); ","")&amp;BM1366)</f>
        <v>negativer Bestand (Export -7); </v>
      </c>
      <c r="BF1366" s="55"/>
      <c r="BG1366" s="55"/>
      <c r="BH1366" s="62"/>
      <c r="BI1366" s="57" t="n">
        <v>-7</v>
      </c>
      <c r="BJ1366" s="57" t="n">
        <v>24</v>
      </c>
      <c r="BK1366" s="56" t="n">
        <v>-2540.21000000001</v>
      </c>
      <c r="BL1366" s="57" t="n">
        <v>39</v>
      </c>
      <c r="BM1366" s="55"/>
      <c r="BN1366" s="60" t="n">
        <v>0</v>
      </c>
      <c r="BO1366" s="60" t="n">
        <v>1366</v>
      </c>
      <c r="BP1366" s="55" t="str">
        <f aca="false">IF(S1366&lt;&gt;"",UPPER(TRIM(S1366)),IF(O1366="","LOSE",O1366))</f>
        <v>S72</v>
      </c>
      <c r="BQ1366" s="57" t="n">
        <f aca="false">IF(BP1366="LOSE",1,IF(N(T1366)&gt;0,T1366,IF(N(P1366)&gt;0,P1366,MAX(1,G1366))))</f>
        <v>10</v>
      </c>
      <c r="BR1366" s="60" t="n">
        <f aca="false">IF(BP1366="LOSE",1,0)</f>
        <v>0</v>
      </c>
      <c r="BS1366" s="59" t="n">
        <f aca="false">IF(BR1366=0,0,IF(N(R1366)&gt;0,R1366,IFERROR(VLOOKUP(D1366,Parameter!$A$35:$C$64,3,0)+0,0)))</f>
        <v>0</v>
      </c>
      <c r="BT1366" s="55" t="n">
        <f aca="false">IF(Y1366&lt;&gt;"",Y1366,X1366)</f>
        <v>2</v>
      </c>
      <c r="BU1366" s="55" t="str">
        <f aca="false">IF(BT1366=1,"L1",IF(OR(BT1366=2,BT1366=3),"L23",IF(BT1366="Aussen","Aussen","-")))</f>
        <v>L23</v>
      </c>
      <c r="BV1366" s="66" t="n">
        <f aca="false">IF(N(Z1366)&gt;0,Z1366,0)</f>
        <v>0</v>
      </c>
      <c r="BW1366" s="60" t="n">
        <f aca="false">IF(ISNUMBER(AC1366),1,0)</f>
        <v>0</v>
      </c>
      <c r="BX1366" s="57" t="n">
        <f aca="false">N(AC1366)</f>
        <v>0</v>
      </c>
      <c r="BY1366" s="57" t="n">
        <f aca="false">N(L1366)+N(M1366)</f>
        <v>20</v>
      </c>
      <c r="BZ1366" s="57" t="n">
        <f aca="false">ROUNDUP(G1366/BQ1366,0)</f>
        <v>0</v>
      </c>
      <c r="CA1366" s="57" t="n">
        <f aca="false">ROUNDUP(BX1366/BQ1366,0)</f>
        <v>0</v>
      </c>
      <c r="CB1366" s="60" t="n">
        <f aca="false">IF(BR1366=1,0,IFERROR(VLOOKUP(BP1366,'Gebinde-Kategorie'!$A$5:$M$45,5,0)+0,0))</f>
        <v>40</v>
      </c>
      <c r="CC1366" s="60" t="n">
        <f aca="false">IFERROR(IF(OR(BT1366=1,BT1366=2,BT1366=3),N(INDEX(Parameter!$I$5:$I$7,BT1366)),0),0)</f>
        <v>0</v>
      </c>
      <c r="CD1366" s="59" t="n">
        <f aca="false">IF(AND(Parameter!$B$21="Ja",ISNUMBER(U1366),N(V1366)&gt;0),IFERROR(N(INDEX(Parameter!$L$5:$L$7,U1366))*INDEX(Parameter!$E$5:$E$7,U1366)*V1366/SUMIFS($V$7:$V$1576,$U$7:$U$1576,U1366),0),0)</f>
        <v>0</v>
      </c>
    </row>
    <row r="1367" customFormat="false" ht="15" hidden="false" customHeight="false" outlineLevel="0" collapsed="false">
      <c r="A1367" s="55" t="s">
        <v>2394</v>
      </c>
      <c r="B1367" s="55" t="s">
        <v>2395</v>
      </c>
      <c r="C1367" s="55" t="s">
        <v>160</v>
      </c>
      <c r="D1367" s="55" t="s">
        <v>178</v>
      </c>
      <c r="E1367" s="55" t="s">
        <v>210</v>
      </c>
      <c r="F1367" s="56" t="n">
        <v>24.67</v>
      </c>
      <c r="G1367" s="57" t="n">
        <f aca="false">MAX(0,IF(AND(Parameter!$B$21="Ja",ISNUMBER(W1367)),W1367,IF(Parameter!$B$20="Jahresanfang 2025 + Export",BJ1367+BI1367,BI1367)))</f>
        <v>0</v>
      </c>
      <c r="H1367" s="57" t="n">
        <f aca="false">G1367*F1367</f>
        <v>0</v>
      </c>
      <c r="I1367" s="57" t="n">
        <f aca="false">BL1367*Parameter!$B$18</f>
        <v>22</v>
      </c>
      <c r="J1367" s="58" t="n">
        <v>121</v>
      </c>
      <c r="K1367" s="59" t="n">
        <v>0.181818181818182</v>
      </c>
      <c r="L1367" s="57" t="n">
        <v>1</v>
      </c>
      <c r="M1367" s="57" t="n">
        <v>20</v>
      </c>
      <c r="N1367" s="60" t="n">
        <v>28</v>
      </c>
      <c r="O1367" s="55" t="s">
        <v>293</v>
      </c>
      <c r="P1367" s="57" t="n">
        <v>60</v>
      </c>
      <c r="Q1367" s="60" t="n">
        <f aca="false">IF(BR1367=1,0,IFERROR(VLOOKUP(BP1367,'Gebinde-Kategorie'!$A$5:$M$45,13,0)+0,0))</f>
        <v>26</v>
      </c>
      <c r="R1367" s="61"/>
      <c r="S1367" s="62"/>
      <c r="T1367" s="62"/>
      <c r="U1367" s="55"/>
      <c r="V1367" s="57"/>
      <c r="W1367" s="57"/>
      <c r="X1367" s="55" t="n">
        <f aca="false">IF(A1367="","",IF(AND(Parameter!$B$21="Ja",ISNUMBER(U1367)),U1367,IF(IFERROR(VLOOKUP(D1367,Parameter!$A$35:$C$64,2,0),"Nein")="2+3",IF(ISNUMBER(SEARCH("grosser Artikel",BM1367)),2,IFERROR(VLOOKUP(BP1367,Parameter!$F$35:$G$64,2,0),2)),IF(OR(IFERROR(VLOOKUP(D1367,Parameter!$A$35:$C$64,2,0),"Nein")="Nein",IFERROR(VLOOKUP(D1367,Parameter!$A$35:$C$64,2,0),"Nein")=""),"-",VLOOKUP(D1367,Parameter!$A$35:$C$64,2,0)))))</f>
        <v>3</v>
      </c>
      <c r="Y1367" s="62"/>
      <c r="Z1367" s="63"/>
      <c r="AA1367" s="57" t="n">
        <f aca="false">AP1367</f>
        <v>60</v>
      </c>
      <c r="AB1367" s="57" t="n">
        <f aca="false">MAX(AP1367,G1367)</f>
        <v>60</v>
      </c>
      <c r="AC1367" s="64"/>
      <c r="AD1367" s="57" t="n">
        <f aca="false">IF(LEFT(Cockpit!$C$5,1)="A",G1367,IF(BW1367=1,BX1367,IF(LEFT(Cockpit!$C$5,1)="B",AH1367,MAX(AH1367,G1367))))</f>
        <v>0</v>
      </c>
      <c r="AE1367" s="57" t="n">
        <f aca="false">IF(BR1367=1,0,ROUNDUP(AD1367/BQ1367,0))</f>
        <v>0</v>
      </c>
      <c r="AF1367" s="59" t="n">
        <f aca="false">IF(CD1367&gt;0,CD1367*MAX(1,AD1367/V1367),IF(BR1367=1,IF(AD1367&lt;=0,0,BS1367*MAX(1,IF(G1367&gt;0,AD1367/G1367,1))),IF(Q1367&gt;0,AE1367/Q1367,0))/MAX(0.1,N(Parameter!$M$21)))</f>
        <v>0</v>
      </c>
      <c r="AG1367" s="57" t="n">
        <f aca="false">AD1367*F1367</f>
        <v>0</v>
      </c>
      <c r="AH1367" s="57" t="n">
        <f aca="false">ROUNDUP(MAX(I1367/IF(BV1367&gt;0,BV1367,MAX(0.1,N(Cockpit!$C$6))),BY1367)/BQ1367,0)*BQ1367</f>
        <v>60</v>
      </c>
      <c r="AI1367" s="58" t="n">
        <f aca="false">IF(AF1367&gt;0,I1367/AF1367,-1)</f>
        <v>-1</v>
      </c>
      <c r="AJ1367" s="58" t="str">
        <f aca="false">IF(AND(OR(BU1367="L1",BU1367="L23"),AF1367&gt;0),SUMIFS($AF$7:$AF$1576,$BU$7:$BU$1576,BU1367,$AI$7:$AI$1576,"&gt;"&amp;AI1367)+SUMIFS($AF$7:$AF$1576,$BU$7:$BU$1576,BU1367,$AI$7:$AI$1576,AI1367,$BO$7:$BO$1576,"&lt;="&amp;BO1367),"")</f>
        <v/>
      </c>
      <c r="AK1367" s="65" t="n">
        <f aca="false">IF(AJ1367="",0,MAX(0,MIN(1,(IF(BU1367="L1",Parameter!$E$5,Parameter!$E$6+Parameter!$E$7)-(AJ1367-AF1367))/AF1367)))</f>
        <v>0</v>
      </c>
      <c r="AL1367" s="57" t="n">
        <f aca="false">IF(LEFT(Cockpit!$I$5,1)="A",G1367,IF(BW1367=1,BX1367,IF(LEFT(Cockpit!$I$5,1)="B",AP1367,MAX(AP1367,G1367))))</f>
        <v>60</v>
      </c>
      <c r="AM1367" s="57" t="n">
        <f aca="false">IF(BR1367=1,0,ROUNDUP(AL1367/BQ1367,0))</f>
        <v>1</v>
      </c>
      <c r="AN1367" s="59" t="n">
        <f aca="false">IF(CD1367&gt;0,CD1367*MAX(1,AL1367/V1367),IF(BR1367=1,IF(AL1367&lt;=0,0,BS1367*MAX(1,IF(G1367&gt;0,AL1367/G1367,1))),IF(Q1367&gt;0,AM1367/Q1367,0))/MAX(0.1,N(Parameter!$M$21)))</f>
        <v>0.0384615384615385</v>
      </c>
      <c r="AO1367" s="57" t="n">
        <f aca="false">AL1367*F1367</f>
        <v>1480.2</v>
      </c>
      <c r="AP1367" s="57" t="n">
        <f aca="false">ROUNDUP(MAX(I1367/IF(BV1367&gt;0,BV1367,MAX(0.1,N(Cockpit!$I$6))),BY1367)/BQ1367,0)*BQ1367</f>
        <v>60</v>
      </c>
      <c r="AQ1367" s="58" t="n">
        <f aca="false">IF(AN1367&gt;0,I1367/AN1367,-1)</f>
        <v>572</v>
      </c>
      <c r="AR1367" s="58" t="n">
        <f aca="false">IF(AND(OR(BU1367="L1",BU1367="L23"),AN1367&gt;0),SUMIFS($AN$7:$AN$1576,$BU$7:$BU$1576,BU1367,$AQ$7:$AQ$1576,"&gt;"&amp;AQ1367)+SUMIFS($AN$7:$AN$1576,$BU$7:$BU$1576,BU1367,$AQ$7:$AQ$1576,AQ1367,$BO$7:$BO$1576,"&lt;="&amp;BO1367),"")</f>
        <v>31.7596094367945</v>
      </c>
      <c r="AS1367" s="65" t="n">
        <f aca="false">IF(AR1367="",0,MAX(0,MIN(1,(IF(BU1367="L1",Parameter!$E$5,Parameter!$E$6+Parameter!$E$7)-(AR1367-AN1367))/AN1367)))</f>
        <v>1</v>
      </c>
      <c r="AT1367" s="57" t="n">
        <f aca="false">IF(LEFT(Cockpit!$O$5,1)="A",G1367,IF(BW1367=1,BX1367,IF(LEFT(Cockpit!$O$5,1)="B",AX1367,MAX(AX1367,G1367))))</f>
        <v>60</v>
      </c>
      <c r="AU1367" s="57" t="n">
        <f aca="false">IF(BR1367=1,0,ROUNDUP(AT1367/BQ1367,0))</f>
        <v>1</v>
      </c>
      <c r="AV1367" s="59" t="n">
        <f aca="false">IF(CD1367&gt;0,CD1367*MAX(1,AT1367/V1367),IF(BR1367=1,IF(AT1367&lt;=0,0,BS1367*MAX(1,IF(G1367&gt;0,AT1367/G1367,1))),IF(Q1367&gt;0,AU1367/Q1367,0))/MAX(0.1,N(Parameter!$M$21)))</f>
        <v>0.0384615384615385</v>
      </c>
      <c r="AW1367" s="57" t="n">
        <f aca="false">AT1367*F1367</f>
        <v>1480.2</v>
      </c>
      <c r="AX1367" s="57" t="n">
        <f aca="false">ROUNDUP(MAX(I1367/IF(BV1367&gt;0,BV1367,MAX(0.1,N(Cockpit!$O$6))),BY1367)/BQ1367,0)*BQ1367</f>
        <v>60</v>
      </c>
      <c r="AY1367" s="58" t="n">
        <f aca="false">IF(AV1367&gt;0,I1367/AV1367,-1)</f>
        <v>572</v>
      </c>
      <c r="AZ1367" s="58" t="n">
        <f aca="false">IF(AND(OR(BU1367="L1",BU1367="L23"),AV1367&gt;0),SUMIFS($AV$7:$AV$1576,$BU$7:$BU$1576,BU1367,$AY$7:$AY$1576,"&gt;"&amp;AY1367)+SUMIFS($AV$7:$AV$1576,$BU$7:$BU$1576,BU1367,$AY$7:$AY$1576,AY1367,$BO$7:$BO$1576,"&lt;="&amp;BO1367),"")</f>
        <v>30.6696294168145</v>
      </c>
      <c r="BA1367" s="65" t="n">
        <f aca="false">IF(AZ1367="",0,MAX(0,MIN(1,(IF(BU1367="L1",Parameter!$E$5,Parameter!$E$6+Parameter!$E$7)-(AZ1367-AV1367))/AV1367)))</f>
        <v>1</v>
      </c>
      <c r="BB1367" s="55" t="str">
        <f aca="false">IF(AF1367&lt;=0,"",IF(BU1367="Aussen","Aussenlager",IF(BU1367="-","Nicht im Lift",IF(AK1367&gt;=1,"Lift",IF(AK1367&lt;=0,"Aussenlager","teilweise")))))</f>
        <v/>
      </c>
      <c r="BC1367" s="55" t="str">
        <f aca="false">IF(AN1367&lt;=0,"",IF(BU1367="Aussen","Aussenlager",IF(BU1367="-","Nicht im Lift",IF(AS1367&gt;=1,"Lift",IF(AS1367&lt;=0,"Aussenlager","teilweise")))))</f>
        <v>Lift</v>
      </c>
      <c r="BD1367" s="55" t="str">
        <f aca="false">IF(AV1367&lt;=0,"",IF(BU1367="Aussen","Aussenlager",IF(BU1367="-","Nicht im Lift",IF(BA1367&gt;=1,"Lift",IF(BA1367&lt;=0,"Aussenlager","teilweise")))))</f>
        <v>Lift</v>
      </c>
      <c r="BE1367" s="55" t="str">
        <f aca="false">IF(A1367="","",IF(BN1367=1,"Neu; ","")&amp;IF(AND(BN1367=0,BI1367&lt;0),"negativer Bestand (Export "&amp;BI1367&amp;"); ","")&amp;IF(I1367&lt;=0,"Kein Verbrauch; ","")&amp;IF(CD1367&gt;0,"Lift "&amp;U1367&amp;" lt. Liftbericht (Fach "&amp;V1367&amp;" Stk); ",IF(BR1367=1,"Lose – Fläche geschätzt; ",""))&amp;IF(G1367&gt;AP1367,"Überbestand "&amp;ROUND(G1367-AP1367,0)&amp;" Stk / CHF "&amp;ROUND((G1367-AP1367)*F1367,0)&amp;"; ","")&amp;IF(AND(BW1367=1,BX1367&lt;BY1367),"MAX &lt; MB+LG; ","")&amp;IF(AND(CC1367&gt;0,CB1367*10&gt;CC1367),"zu hoch für Tablar; ","")&amp;IF(AND(BN1367=0,OR(BW1367=1,Y1367&lt;&gt;"",S1367&lt;&gt;"",T1367&lt;&gt;"",Z1367&lt;&gt;"")),"manuell übersteuert; ","")&amp;IF(AND(BR1367=0,Q1367=0),"Gebinde unbekannt / Stellmass fehlt; ","")&amp;IF(AND(BR1367=0,N(T1367)&lt;=0,N(P1367)&lt;=0),"Menge pro Gebinde fehlt (Ist = 1 Gebinde); ","")&amp;BM1367)</f>
        <v>negativer Bestand (Export -103); B&amp;R</v>
      </c>
      <c r="BF1367" s="55"/>
      <c r="BG1367" s="55"/>
      <c r="BH1367" s="62"/>
      <c r="BI1367" s="57" t="n">
        <v>-103</v>
      </c>
      <c r="BJ1367" s="57" t="n">
        <v>135</v>
      </c>
      <c r="BK1367" s="56" t="n">
        <v>-2541.01</v>
      </c>
      <c r="BL1367" s="57" t="n">
        <v>22</v>
      </c>
      <c r="BM1367" s="55" t="s">
        <v>2204</v>
      </c>
      <c r="BN1367" s="60" t="n">
        <v>0</v>
      </c>
      <c r="BO1367" s="60" t="n">
        <v>1367</v>
      </c>
      <c r="BP1367" s="55" t="str">
        <f aca="false">IF(S1367&lt;&gt;"",UPPER(TRIM(S1367)),IF(O1367="","LOSE",O1367))</f>
        <v>S51</v>
      </c>
      <c r="BQ1367" s="57" t="n">
        <f aca="false">IF(BP1367="LOSE",1,IF(N(T1367)&gt;0,T1367,IF(N(P1367)&gt;0,P1367,MAX(1,G1367))))</f>
        <v>60</v>
      </c>
      <c r="BR1367" s="60" t="n">
        <f aca="false">IF(BP1367="LOSE",1,0)</f>
        <v>0</v>
      </c>
      <c r="BS1367" s="59" t="n">
        <f aca="false">IF(BR1367=0,0,IF(N(R1367)&gt;0,R1367,IFERROR(VLOOKUP(D1367,Parameter!$A$35:$C$64,3,0)+0,0)))</f>
        <v>0</v>
      </c>
      <c r="BT1367" s="55" t="n">
        <f aca="false">IF(Y1367&lt;&gt;"",Y1367,X1367)</f>
        <v>3</v>
      </c>
      <c r="BU1367" s="55" t="str">
        <f aca="false">IF(BT1367=1,"L1",IF(OR(BT1367=2,BT1367=3),"L23",IF(BT1367="Aussen","Aussen","-")))</f>
        <v>L23</v>
      </c>
      <c r="BV1367" s="66" t="n">
        <f aca="false">IF(N(Z1367)&gt;0,Z1367,0)</f>
        <v>0</v>
      </c>
      <c r="BW1367" s="60" t="n">
        <f aca="false">IF(ISNUMBER(AC1367),1,0)</f>
        <v>0</v>
      </c>
      <c r="BX1367" s="57" t="n">
        <f aca="false">N(AC1367)</f>
        <v>0</v>
      </c>
      <c r="BY1367" s="57" t="n">
        <f aca="false">N(L1367)+N(M1367)</f>
        <v>21</v>
      </c>
      <c r="BZ1367" s="57" t="n">
        <f aca="false">ROUNDUP(G1367/BQ1367,0)</f>
        <v>0</v>
      </c>
      <c r="CA1367" s="57" t="n">
        <f aca="false">ROUNDUP(BX1367/BQ1367,0)</f>
        <v>0</v>
      </c>
      <c r="CB1367" s="60" t="n">
        <f aca="false">IF(BR1367=1,0,IFERROR(VLOOKUP(BP1367,'Gebinde-Kategorie'!$A$5:$M$45,5,0)+0,0))</f>
        <v>11</v>
      </c>
      <c r="CC1367" s="60" t="n">
        <f aca="false">IFERROR(IF(OR(BT1367=1,BT1367=2,BT1367=3),N(INDEX(Parameter!$I$5:$I$7,BT1367)),0),0)</f>
        <v>0</v>
      </c>
      <c r="CD1367" s="59" t="n">
        <f aca="false">IF(AND(Parameter!$B$21="Ja",ISNUMBER(U1367),N(V1367)&gt;0),IFERROR(N(INDEX(Parameter!$L$5:$L$7,U1367))*INDEX(Parameter!$E$5:$E$7,U1367)*V1367/SUMIFS($V$7:$V$1576,$U$7:$U$1576,U1367),0),0)</f>
        <v>0</v>
      </c>
    </row>
    <row r="1368" customFormat="false" ht="15" hidden="false" customHeight="false" outlineLevel="0" collapsed="false">
      <c r="A1368" s="55" t="s">
        <v>2396</v>
      </c>
      <c r="B1368" s="55" t="s">
        <v>2159</v>
      </c>
      <c r="C1368" s="55" t="s">
        <v>160</v>
      </c>
      <c r="D1368" s="55" t="s">
        <v>178</v>
      </c>
      <c r="E1368" s="55" t="s">
        <v>210</v>
      </c>
      <c r="F1368" s="56" t="n">
        <v>1272.53</v>
      </c>
      <c r="G1368" s="57" t="n">
        <f aca="false">MAX(0,IF(AND(Parameter!$B$21="Ja",ISNUMBER(W1368)),W1368,IF(Parameter!$B$20="Jahresanfang 2025 + Export",BJ1368+BI1368,BI1368)))</f>
        <v>0</v>
      </c>
      <c r="H1368" s="57" t="n">
        <f aca="false">G1368*F1368</f>
        <v>0</v>
      </c>
      <c r="I1368" s="57" t="n">
        <f aca="false">BL1368*Parameter!$B$18</f>
        <v>1</v>
      </c>
      <c r="J1368" s="58" t="n">
        <v>3.5</v>
      </c>
      <c r="K1368" s="59" t="n">
        <v>0.285714285714286</v>
      </c>
      <c r="L1368" s="57" t="n">
        <v>0</v>
      </c>
      <c r="M1368" s="57" t="n">
        <v>1</v>
      </c>
      <c r="N1368" s="60" t="n">
        <v>70</v>
      </c>
      <c r="O1368" s="55" t="s">
        <v>293</v>
      </c>
      <c r="P1368" s="57" t="n">
        <v>3</v>
      </c>
      <c r="Q1368" s="60" t="n">
        <f aca="false">IF(BR1368=1,0,IFERROR(VLOOKUP(BP1368,'Gebinde-Kategorie'!$A$5:$M$45,13,0)+0,0))</f>
        <v>26</v>
      </c>
      <c r="R1368" s="61"/>
      <c r="S1368" s="62"/>
      <c r="T1368" s="62"/>
      <c r="U1368" s="55"/>
      <c r="V1368" s="57"/>
      <c r="W1368" s="57"/>
      <c r="X1368" s="55" t="n">
        <f aca="false">IF(A1368="","",IF(AND(Parameter!$B$21="Ja",ISNUMBER(U1368)),U1368,IF(IFERROR(VLOOKUP(D1368,Parameter!$A$35:$C$64,2,0),"Nein")="2+3",IF(ISNUMBER(SEARCH("grosser Artikel",BM1368)),2,IFERROR(VLOOKUP(BP1368,Parameter!$F$35:$G$64,2,0),2)),IF(OR(IFERROR(VLOOKUP(D1368,Parameter!$A$35:$C$64,2,0),"Nein")="Nein",IFERROR(VLOOKUP(D1368,Parameter!$A$35:$C$64,2,0),"Nein")=""),"-",VLOOKUP(D1368,Parameter!$A$35:$C$64,2,0)))))</f>
        <v>3</v>
      </c>
      <c r="Y1368" s="62"/>
      <c r="Z1368" s="63"/>
      <c r="AA1368" s="57" t="n">
        <f aca="false">AP1368</f>
        <v>3</v>
      </c>
      <c r="AB1368" s="57" t="n">
        <f aca="false">MAX(AP1368,G1368)</f>
        <v>3</v>
      </c>
      <c r="AC1368" s="64"/>
      <c r="AD1368" s="57" t="n">
        <f aca="false">IF(LEFT(Cockpit!$C$5,1)="A",G1368,IF(BW1368=1,BX1368,IF(LEFT(Cockpit!$C$5,1)="B",AH1368,MAX(AH1368,G1368))))</f>
        <v>0</v>
      </c>
      <c r="AE1368" s="57" t="n">
        <f aca="false">IF(BR1368=1,0,ROUNDUP(AD1368/BQ1368,0))</f>
        <v>0</v>
      </c>
      <c r="AF1368" s="59" t="n">
        <f aca="false">IF(CD1368&gt;0,CD1368*MAX(1,AD1368/V1368),IF(BR1368=1,IF(AD1368&lt;=0,0,BS1368*MAX(1,IF(G1368&gt;0,AD1368/G1368,1))),IF(Q1368&gt;0,AE1368/Q1368,0))/MAX(0.1,N(Parameter!$M$21)))</f>
        <v>0</v>
      </c>
      <c r="AG1368" s="57" t="n">
        <f aca="false">AD1368*F1368</f>
        <v>0</v>
      </c>
      <c r="AH1368" s="57" t="n">
        <f aca="false">ROUNDUP(MAX(I1368/IF(BV1368&gt;0,BV1368,MAX(0.1,N(Cockpit!$C$6))),BY1368)/BQ1368,0)*BQ1368</f>
        <v>3</v>
      </c>
      <c r="AI1368" s="58" t="n">
        <f aca="false">IF(AF1368&gt;0,I1368/AF1368,-1)</f>
        <v>-1</v>
      </c>
      <c r="AJ1368" s="58" t="str">
        <f aca="false">IF(AND(OR(BU1368="L1",BU1368="L23"),AF1368&gt;0),SUMIFS($AF$7:$AF$1576,$BU$7:$BU$1576,BU1368,$AI$7:$AI$1576,"&gt;"&amp;AI1368)+SUMIFS($AF$7:$AF$1576,$BU$7:$BU$1576,BU1368,$AI$7:$AI$1576,AI1368,$BO$7:$BO$1576,"&lt;="&amp;BO1368),"")</f>
        <v/>
      </c>
      <c r="AK1368" s="65" t="n">
        <f aca="false">IF(AJ1368="",0,MAX(0,MIN(1,(IF(BU1368="L1",Parameter!$E$5,Parameter!$E$6+Parameter!$E$7)-(AJ1368-AF1368))/AF1368)))</f>
        <v>0</v>
      </c>
      <c r="AL1368" s="57" t="n">
        <f aca="false">IF(LEFT(Cockpit!$I$5,1)="A",G1368,IF(BW1368=1,BX1368,IF(LEFT(Cockpit!$I$5,1)="B",AP1368,MAX(AP1368,G1368))))</f>
        <v>3</v>
      </c>
      <c r="AM1368" s="57" t="n">
        <f aca="false">IF(BR1368=1,0,ROUNDUP(AL1368/BQ1368,0))</f>
        <v>1</v>
      </c>
      <c r="AN1368" s="59" t="n">
        <f aca="false">IF(CD1368&gt;0,CD1368*MAX(1,AL1368/V1368),IF(BR1368=1,IF(AL1368&lt;=0,0,BS1368*MAX(1,IF(G1368&gt;0,AL1368/G1368,1))),IF(Q1368&gt;0,AM1368/Q1368,0))/MAX(0.1,N(Parameter!$M$21)))</f>
        <v>0.0384615384615385</v>
      </c>
      <c r="AO1368" s="57" t="n">
        <f aca="false">AL1368*F1368</f>
        <v>3817.59</v>
      </c>
      <c r="AP1368" s="57" t="n">
        <f aca="false">ROUNDUP(MAX(I1368/IF(BV1368&gt;0,BV1368,MAX(0.1,N(Cockpit!$I$6))),BY1368)/BQ1368,0)*BQ1368</f>
        <v>3</v>
      </c>
      <c r="AQ1368" s="58" t="n">
        <f aca="false">IF(AN1368&gt;0,I1368/AN1368,-1)</f>
        <v>26</v>
      </c>
      <c r="AR1368" s="58" t="n">
        <f aca="false">IF(AND(OR(BU1368="L1",BU1368="L23"),AN1368&gt;0),SUMIFS($AN$7:$AN$1576,$BU$7:$BU$1576,BU1368,$AQ$7:$AQ$1576,"&gt;"&amp;AQ1368)+SUMIFS($AN$7:$AN$1576,$BU$7:$BU$1576,BU1368,$AQ$7:$AQ$1576,AQ1368,$BO$7:$BO$1576,"&lt;="&amp;BO1368),"")</f>
        <v>97.5462807425419</v>
      </c>
      <c r="AS1368" s="65" t="n">
        <f aca="false">IF(AR1368="",0,MAX(0,MIN(1,(IF(BU1368="L1",Parameter!$E$5,Parameter!$E$6+Parameter!$E$7)-(AR1368-AN1368))/AN1368)))</f>
        <v>1</v>
      </c>
      <c r="AT1368" s="57" t="n">
        <f aca="false">IF(LEFT(Cockpit!$O$5,1)="A",G1368,IF(BW1368=1,BX1368,IF(LEFT(Cockpit!$O$5,1)="B",AX1368,MAX(AX1368,G1368))))</f>
        <v>3</v>
      </c>
      <c r="AU1368" s="57" t="n">
        <f aca="false">IF(BR1368=1,0,ROUNDUP(AT1368/BQ1368,0))</f>
        <v>1</v>
      </c>
      <c r="AV1368" s="59" t="n">
        <f aca="false">IF(CD1368&gt;0,CD1368*MAX(1,AT1368/V1368),IF(BR1368=1,IF(AT1368&lt;=0,0,BS1368*MAX(1,IF(G1368&gt;0,AT1368/G1368,1))),IF(Q1368&gt;0,AU1368/Q1368,0))/MAX(0.1,N(Parameter!$M$21)))</f>
        <v>0.0384615384615385</v>
      </c>
      <c r="AW1368" s="57" t="n">
        <f aca="false">AT1368*F1368</f>
        <v>3817.59</v>
      </c>
      <c r="AX1368" s="57" t="n">
        <f aca="false">ROUNDUP(MAX(I1368/IF(BV1368&gt;0,BV1368,MAX(0.1,N(Cockpit!$O$6))),BY1368)/BQ1368,0)*BQ1368</f>
        <v>3</v>
      </c>
      <c r="AY1368" s="58" t="n">
        <f aca="false">IF(AV1368&gt;0,I1368/AV1368,-1)</f>
        <v>26</v>
      </c>
      <c r="AZ1368" s="58" t="n">
        <f aca="false">IF(AND(OR(BU1368="L1",BU1368="L23"),AV1368&gt;0),SUMIFS($AV$7:$AV$1576,$BU$7:$BU$1576,BU1368,$AY$7:$AY$1576,"&gt;"&amp;AY1368)+SUMIFS($AV$7:$AV$1576,$BU$7:$BU$1576,BU1368,$AY$7:$AY$1576,AY1368,$BO$7:$BO$1576,"&lt;="&amp;BO1368),"")</f>
        <v>88.3558311920924</v>
      </c>
      <c r="BA1368" s="65" t="n">
        <f aca="false">IF(AZ1368="",0,MAX(0,MIN(1,(IF(BU1368="L1",Parameter!$E$5,Parameter!$E$6+Parameter!$E$7)-(AZ1368-AV1368))/AV1368)))</f>
        <v>1</v>
      </c>
      <c r="BB1368" s="55" t="str">
        <f aca="false">IF(AF1368&lt;=0,"",IF(BU1368="Aussen","Aussenlager",IF(BU1368="-","Nicht im Lift",IF(AK1368&gt;=1,"Lift",IF(AK1368&lt;=0,"Aussenlager","teilweise")))))</f>
        <v/>
      </c>
      <c r="BC1368" s="55" t="str">
        <f aca="false">IF(AN1368&lt;=0,"",IF(BU1368="Aussen","Aussenlager",IF(BU1368="-","Nicht im Lift",IF(AS1368&gt;=1,"Lift",IF(AS1368&lt;=0,"Aussenlager","teilweise")))))</f>
        <v>Lift</v>
      </c>
      <c r="BD1368" s="55" t="str">
        <f aca="false">IF(AV1368&lt;=0,"",IF(BU1368="Aussen","Aussenlager",IF(BU1368="-","Nicht im Lift",IF(BA1368&gt;=1,"Lift",IF(BA1368&lt;=0,"Aussenlager","teilweise")))))</f>
        <v>Lift</v>
      </c>
      <c r="BE1368" s="55" t="str">
        <f aca="false">IF(A1368="","",IF(BN1368=1,"Neu; ","")&amp;IF(AND(BN1368=0,BI1368&lt;0),"negativer Bestand (Export "&amp;BI1368&amp;"); ","")&amp;IF(I1368&lt;=0,"Kein Verbrauch; ","")&amp;IF(CD1368&gt;0,"Lift "&amp;U1368&amp;" lt. Liftbericht (Fach "&amp;V1368&amp;" Stk); ",IF(BR1368=1,"Lose – Fläche geschätzt; ",""))&amp;IF(G1368&gt;AP1368,"Überbestand "&amp;ROUND(G1368-AP1368,0)&amp;" Stk / CHF "&amp;ROUND((G1368-AP1368)*F1368,0)&amp;"; ","")&amp;IF(AND(BW1368=1,BX1368&lt;BY1368),"MAX &lt; MB+LG; ","")&amp;IF(AND(CC1368&gt;0,CB1368*10&gt;CC1368),"zu hoch für Tablar; ","")&amp;IF(AND(BN1368=0,OR(BW1368=1,Y1368&lt;&gt;"",S1368&lt;&gt;"",T1368&lt;&gt;"",Z1368&lt;&gt;"")),"manuell übersteuert; ","")&amp;IF(AND(BR1368=0,Q1368=0),"Gebinde unbekannt / Stellmass fehlt; ","")&amp;IF(AND(BR1368=0,N(T1368)&lt;=0,N(P1368)&lt;=0),"Menge pro Gebinde fehlt (Ist = 1 Gebinde); ","")&amp;BM1368)</f>
        <v>negativer Bestand (Export -2); </v>
      </c>
      <c r="BF1368" s="55"/>
      <c r="BG1368" s="55"/>
      <c r="BH1368" s="62"/>
      <c r="BI1368" s="57" t="n">
        <v>-2</v>
      </c>
      <c r="BJ1368" s="57" t="n">
        <v>4</v>
      </c>
      <c r="BK1368" s="56" t="n">
        <v>-2545.06</v>
      </c>
      <c r="BL1368" s="57" t="n">
        <v>1</v>
      </c>
      <c r="BM1368" s="55"/>
      <c r="BN1368" s="60" t="n">
        <v>0</v>
      </c>
      <c r="BO1368" s="60" t="n">
        <v>1368</v>
      </c>
      <c r="BP1368" s="55" t="str">
        <f aca="false">IF(S1368&lt;&gt;"",UPPER(TRIM(S1368)),IF(O1368="","LOSE",O1368))</f>
        <v>S51</v>
      </c>
      <c r="BQ1368" s="57" t="n">
        <f aca="false">IF(BP1368="LOSE",1,IF(N(T1368)&gt;0,T1368,IF(N(P1368)&gt;0,P1368,MAX(1,G1368))))</f>
        <v>3</v>
      </c>
      <c r="BR1368" s="60" t="n">
        <f aca="false">IF(BP1368="LOSE",1,0)</f>
        <v>0</v>
      </c>
      <c r="BS1368" s="59" t="n">
        <f aca="false">IF(BR1368=0,0,IF(N(R1368)&gt;0,R1368,IFERROR(VLOOKUP(D1368,Parameter!$A$35:$C$64,3,0)+0,0)))</f>
        <v>0</v>
      </c>
      <c r="BT1368" s="55" t="n">
        <f aca="false">IF(Y1368&lt;&gt;"",Y1368,X1368)</f>
        <v>3</v>
      </c>
      <c r="BU1368" s="55" t="str">
        <f aca="false">IF(BT1368=1,"L1",IF(OR(BT1368=2,BT1368=3),"L23",IF(BT1368="Aussen","Aussen","-")))</f>
        <v>L23</v>
      </c>
      <c r="BV1368" s="66" t="n">
        <f aca="false">IF(N(Z1368)&gt;0,Z1368,0)</f>
        <v>0</v>
      </c>
      <c r="BW1368" s="60" t="n">
        <f aca="false">IF(ISNUMBER(AC1368),1,0)</f>
        <v>0</v>
      </c>
      <c r="BX1368" s="57" t="n">
        <f aca="false">N(AC1368)</f>
        <v>0</v>
      </c>
      <c r="BY1368" s="57" t="n">
        <f aca="false">N(L1368)+N(M1368)</f>
        <v>1</v>
      </c>
      <c r="BZ1368" s="57" t="n">
        <f aca="false">ROUNDUP(G1368/BQ1368,0)</f>
        <v>0</v>
      </c>
      <c r="CA1368" s="57" t="n">
        <f aca="false">ROUNDUP(BX1368/BQ1368,0)</f>
        <v>0</v>
      </c>
      <c r="CB1368" s="60" t="n">
        <f aca="false">IF(BR1368=1,0,IFERROR(VLOOKUP(BP1368,'Gebinde-Kategorie'!$A$5:$M$45,5,0)+0,0))</f>
        <v>11</v>
      </c>
      <c r="CC1368" s="60" t="n">
        <f aca="false">IFERROR(IF(OR(BT1368=1,BT1368=2,BT1368=3),N(INDEX(Parameter!$I$5:$I$7,BT1368)),0),0)</f>
        <v>0</v>
      </c>
      <c r="CD1368" s="59" t="n">
        <f aca="false">IF(AND(Parameter!$B$21="Ja",ISNUMBER(U1368),N(V1368)&gt;0),IFERROR(N(INDEX(Parameter!$L$5:$L$7,U1368))*INDEX(Parameter!$E$5:$E$7,U1368)*V1368/SUMIFS($V$7:$V$1576,$U$7:$U$1576,U1368),0),0)</f>
        <v>0</v>
      </c>
    </row>
    <row r="1369" customFormat="false" ht="15" hidden="false" customHeight="false" outlineLevel="0" collapsed="false">
      <c r="A1369" s="55" t="s">
        <v>2397</v>
      </c>
      <c r="B1369" s="55" t="s">
        <v>2344</v>
      </c>
      <c r="C1369" s="55" t="s">
        <v>446</v>
      </c>
      <c r="D1369" s="55" t="s">
        <v>344</v>
      </c>
      <c r="E1369" s="55" t="s">
        <v>210</v>
      </c>
      <c r="F1369" s="56" t="n">
        <v>1275.67</v>
      </c>
      <c r="G1369" s="57" t="n">
        <f aca="false">MAX(0,IF(AND(Parameter!$B$21="Ja",ISNUMBER(W1369)),W1369,IF(Parameter!$B$20="Jahresanfang 2025 + Export",BJ1369+BI1369,BI1369)))</f>
        <v>0</v>
      </c>
      <c r="H1369" s="57" t="n">
        <f aca="false">G1369*F1369</f>
        <v>0</v>
      </c>
      <c r="I1369" s="57" t="n">
        <f aca="false">BL1369*Parameter!$B$18</f>
        <v>0</v>
      </c>
      <c r="J1369" s="58" t="n">
        <v>1</v>
      </c>
      <c r="K1369" s="59" t="n">
        <v>0</v>
      </c>
      <c r="L1369" s="57" t="n">
        <v>0</v>
      </c>
      <c r="M1369" s="57" t="n">
        <v>1</v>
      </c>
      <c r="N1369" s="60" t="n">
        <v>0</v>
      </c>
      <c r="O1369" s="55" t="s">
        <v>163</v>
      </c>
      <c r="P1369" s="57"/>
      <c r="Q1369" s="60" t="n">
        <f aca="false">IF(BR1369=1,0,IFERROR(VLOOKUP(BP1369,'Gebinde-Kategorie'!$A$5:$M$45,13,0)+0,0))</f>
        <v>0</v>
      </c>
      <c r="R1369" s="61"/>
      <c r="S1369" s="62"/>
      <c r="T1369" s="62"/>
      <c r="U1369" s="55"/>
      <c r="V1369" s="57"/>
      <c r="W1369" s="57"/>
      <c r="X1369" s="55" t="str">
        <f aca="false">IF(A1369="","",IF(AND(Parameter!$B$21="Ja",ISNUMBER(U1369)),U1369,IF(IFERROR(VLOOKUP(D1369,Parameter!$A$35:$C$64,2,0),"Nein")="2+3",IF(ISNUMBER(SEARCH("grosser Artikel",BM1369)),2,IFERROR(VLOOKUP(BP1369,Parameter!$F$35:$G$64,2,0),2)),IF(OR(IFERROR(VLOOKUP(D1369,Parameter!$A$35:$C$64,2,0),"Nein")="Nein",IFERROR(VLOOKUP(D1369,Parameter!$A$35:$C$64,2,0),"Nein")=""),"-",VLOOKUP(D1369,Parameter!$A$35:$C$64,2,0)))))</f>
        <v>-</v>
      </c>
      <c r="Y1369" s="62"/>
      <c r="Z1369" s="63"/>
      <c r="AA1369" s="57" t="n">
        <f aca="false">AP1369</f>
        <v>1</v>
      </c>
      <c r="AB1369" s="57" t="n">
        <f aca="false">MAX(AP1369,G1369)</f>
        <v>1</v>
      </c>
      <c r="AC1369" s="64"/>
      <c r="AD1369" s="57" t="n">
        <f aca="false">IF(LEFT(Cockpit!$C$5,1)="A",G1369,IF(BW1369=1,BX1369,IF(LEFT(Cockpit!$C$5,1)="B",AH1369,MAX(AH1369,G1369))))</f>
        <v>0</v>
      </c>
      <c r="AE1369" s="57" t="n">
        <f aca="false">IF(BR1369=1,0,ROUNDUP(AD1369/BQ1369,0))</f>
        <v>0</v>
      </c>
      <c r="AF1369" s="59" t="n">
        <f aca="false">IF(CD1369&gt;0,CD1369*MAX(1,AD1369/V1369),IF(BR1369=1,IF(AD1369&lt;=0,0,BS1369*MAX(1,IF(G1369&gt;0,AD1369/G1369,1))),IF(Q1369&gt;0,AE1369/Q1369,0))/MAX(0.1,N(Parameter!$M$21)))</f>
        <v>0</v>
      </c>
      <c r="AG1369" s="57" t="n">
        <f aca="false">AD1369*F1369</f>
        <v>0</v>
      </c>
      <c r="AH1369" s="57" t="n">
        <f aca="false">ROUNDUP(MAX(I1369/IF(BV1369&gt;0,BV1369,MAX(0.1,N(Cockpit!$C$6))),BY1369)/BQ1369,0)*BQ1369</f>
        <v>1</v>
      </c>
      <c r="AI1369" s="58" t="n">
        <f aca="false">IF(AF1369&gt;0,I1369/AF1369,-1)</f>
        <v>-1</v>
      </c>
      <c r="AJ1369" s="58" t="str">
        <f aca="false">IF(AND(OR(BU1369="L1",BU1369="L23"),AF1369&gt;0),SUMIFS($AF$7:$AF$1576,$BU$7:$BU$1576,BU1369,$AI$7:$AI$1576,"&gt;"&amp;AI1369)+SUMIFS($AF$7:$AF$1576,$BU$7:$BU$1576,BU1369,$AI$7:$AI$1576,AI1369,$BO$7:$BO$1576,"&lt;="&amp;BO1369),"")</f>
        <v/>
      </c>
      <c r="AK1369" s="65" t="n">
        <f aca="false">IF(AJ1369="",0,MAX(0,MIN(1,(IF(BU1369="L1",Parameter!$E$5,Parameter!$E$6+Parameter!$E$7)-(AJ1369-AF1369))/AF1369)))</f>
        <v>0</v>
      </c>
      <c r="AL1369" s="57" t="n">
        <f aca="false">IF(LEFT(Cockpit!$I$5,1)="A",G1369,IF(BW1369=1,BX1369,IF(LEFT(Cockpit!$I$5,1)="B",AP1369,MAX(AP1369,G1369))))</f>
        <v>1</v>
      </c>
      <c r="AM1369" s="57" t="n">
        <f aca="false">IF(BR1369=1,0,ROUNDUP(AL1369/BQ1369,0))</f>
        <v>0</v>
      </c>
      <c r="AN1369" s="59" t="n">
        <f aca="false">IF(CD1369&gt;0,CD1369*MAX(1,AL1369/V1369),IF(BR1369=1,IF(AL1369&lt;=0,0,BS1369*MAX(1,IF(G1369&gt;0,AL1369/G1369,1))),IF(Q1369&gt;0,AM1369/Q1369,0))/MAX(0.1,N(Parameter!$M$21)))</f>
        <v>0.15</v>
      </c>
      <c r="AO1369" s="57" t="n">
        <f aca="false">AL1369*F1369</f>
        <v>1275.67</v>
      </c>
      <c r="AP1369" s="57" t="n">
        <f aca="false">ROUNDUP(MAX(I1369/IF(BV1369&gt;0,BV1369,MAX(0.1,N(Cockpit!$I$6))),BY1369)/BQ1369,0)*BQ1369</f>
        <v>1</v>
      </c>
      <c r="AQ1369" s="58" t="n">
        <f aca="false">IF(AN1369&gt;0,I1369/AN1369,-1)</f>
        <v>0</v>
      </c>
      <c r="AR1369" s="58" t="str">
        <f aca="false">IF(AND(OR(BU1369="L1",BU1369="L23"),AN1369&gt;0),SUMIFS($AN$7:$AN$1576,$BU$7:$BU$1576,BU1369,$AQ$7:$AQ$1576,"&gt;"&amp;AQ1369)+SUMIFS($AN$7:$AN$1576,$BU$7:$BU$1576,BU1369,$AQ$7:$AQ$1576,AQ1369,$BO$7:$BO$1576,"&lt;="&amp;BO1369),"")</f>
        <v/>
      </c>
      <c r="AS1369" s="65" t="n">
        <f aca="false">IF(AR1369="",0,MAX(0,MIN(1,(IF(BU1369="L1",Parameter!$E$5,Parameter!$E$6+Parameter!$E$7)-(AR1369-AN1369))/AN1369)))</f>
        <v>0</v>
      </c>
      <c r="AT1369" s="57" t="n">
        <f aca="false">IF(LEFT(Cockpit!$O$5,1)="A",G1369,IF(BW1369=1,BX1369,IF(LEFT(Cockpit!$O$5,1)="B",AX1369,MAX(AX1369,G1369))))</f>
        <v>1</v>
      </c>
      <c r="AU1369" s="57" t="n">
        <f aca="false">IF(BR1369=1,0,ROUNDUP(AT1369/BQ1369,0))</f>
        <v>0</v>
      </c>
      <c r="AV1369" s="59" t="n">
        <f aca="false">IF(CD1369&gt;0,CD1369*MAX(1,AT1369/V1369),IF(BR1369=1,IF(AT1369&lt;=0,0,BS1369*MAX(1,IF(G1369&gt;0,AT1369/G1369,1))),IF(Q1369&gt;0,AU1369/Q1369,0))/MAX(0.1,N(Parameter!$M$21)))</f>
        <v>0.15</v>
      </c>
      <c r="AW1369" s="57" t="n">
        <f aca="false">AT1369*F1369</f>
        <v>1275.67</v>
      </c>
      <c r="AX1369" s="57" t="n">
        <f aca="false">ROUNDUP(MAX(I1369/IF(BV1369&gt;0,BV1369,MAX(0.1,N(Cockpit!$O$6))),BY1369)/BQ1369,0)*BQ1369</f>
        <v>1</v>
      </c>
      <c r="AY1369" s="58" t="n">
        <f aca="false">IF(AV1369&gt;0,I1369/AV1369,-1)</f>
        <v>0</v>
      </c>
      <c r="AZ1369" s="58" t="str">
        <f aca="false">IF(AND(OR(BU1369="L1",BU1369="L23"),AV1369&gt;0),SUMIFS($AV$7:$AV$1576,$BU$7:$BU$1576,BU1369,$AY$7:$AY$1576,"&gt;"&amp;AY1369)+SUMIFS($AV$7:$AV$1576,$BU$7:$BU$1576,BU1369,$AY$7:$AY$1576,AY1369,$BO$7:$BO$1576,"&lt;="&amp;BO1369),"")</f>
        <v/>
      </c>
      <c r="BA1369" s="65" t="n">
        <f aca="false">IF(AZ1369="",0,MAX(0,MIN(1,(IF(BU1369="L1",Parameter!$E$5,Parameter!$E$6+Parameter!$E$7)-(AZ1369-AV1369))/AV1369)))</f>
        <v>0</v>
      </c>
      <c r="BB1369" s="55" t="str">
        <f aca="false">IF(AF1369&lt;=0,"",IF(BU1369="Aussen","Aussenlager",IF(BU1369="-","Nicht im Lift",IF(AK1369&gt;=1,"Lift",IF(AK1369&lt;=0,"Aussenlager","teilweise")))))</f>
        <v/>
      </c>
      <c r="BC1369" s="55" t="str">
        <f aca="false">IF(AN1369&lt;=0,"",IF(BU1369="Aussen","Aussenlager",IF(BU1369="-","Nicht im Lift",IF(AS1369&gt;=1,"Lift",IF(AS1369&lt;=0,"Aussenlager","teilweise")))))</f>
        <v>Nicht im Lift</v>
      </c>
      <c r="BD1369" s="55" t="str">
        <f aca="false">IF(AV1369&lt;=0,"",IF(BU1369="Aussen","Aussenlager",IF(BU1369="-","Nicht im Lift",IF(BA1369&gt;=1,"Lift",IF(BA1369&lt;=0,"Aussenlager","teilweise")))))</f>
        <v>Nicht im Lift</v>
      </c>
      <c r="BE1369" s="55" t="str">
        <f aca="false">IF(A1369="","",IF(BN1369=1,"Neu; ","")&amp;IF(AND(BN1369=0,BI1369&lt;0),"negativer Bestand (Export "&amp;BI1369&amp;"); ","")&amp;IF(I1369&lt;=0,"Kein Verbrauch; ","")&amp;IF(CD1369&gt;0,"Lift "&amp;U1369&amp;" lt. Liftbericht (Fach "&amp;V1369&amp;" Stk); ",IF(BR1369=1,"Lose – Fläche geschätzt; ",""))&amp;IF(G1369&gt;AP1369,"Überbestand "&amp;ROUND(G1369-AP1369,0)&amp;" Stk / CHF "&amp;ROUND((G1369-AP1369)*F1369,0)&amp;"; ","")&amp;IF(AND(BW1369=1,BX1369&lt;BY1369),"MAX &lt; MB+LG; ","")&amp;IF(AND(CC1369&gt;0,CB1369*10&gt;CC1369),"zu hoch für Tablar; ","")&amp;IF(AND(BN1369=0,OR(BW1369=1,Y1369&lt;&gt;"",S1369&lt;&gt;"",T1369&lt;&gt;"",Z1369&lt;&gt;"")),"manuell übersteuert; ","")&amp;IF(AND(BR1369=0,Q1369=0),"Gebinde unbekannt / Stellmass fehlt; ","")&amp;IF(AND(BR1369=0,N(T1369)&lt;=0,N(P1369)&lt;=0),"Menge pro Gebinde fehlt (Ist = 1 Gebinde); ","")&amp;BM1369)</f>
        <v>negativer Bestand (Export -2); Kein Verbrauch; Lose – Fläche geschätzt; </v>
      </c>
      <c r="BF1369" s="55"/>
      <c r="BG1369" s="55"/>
      <c r="BH1369" s="62"/>
      <c r="BI1369" s="57" t="n">
        <v>-2</v>
      </c>
      <c r="BJ1369" s="57" t="n">
        <v>2</v>
      </c>
      <c r="BK1369" s="56" t="n">
        <v>-2551.34</v>
      </c>
      <c r="BL1369" s="57" t="n">
        <v>0</v>
      </c>
      <c r="BM1369" s="55"/>
      <c r="BN1369" s="60" t="n">
        <v>0</v>
      </c>
      <c r="BO1369" s="60" t="n">
        <v>1369</v>
      </c>
      <c r="BP1369" s="55" t="str">
        <f aca="false">IF(S1369&lt;&gt;"",UPPER(TRIM(S1369)),IF(O1369="","LOSE",O1369))</f>
        <v>LOSE</v>
      </c>
      <c r="BQ1369" s="57" t="n">
        <f aca="false">IF(BP1369="LOSE",1,IF(N(T1369)&gt;0,T1369,IF(N(P1369)&gt;0,P1369,MAX(1,G1369))))</f>
        <v>1</v>
      </c>
      <c r="BR1369" s="60" t="n">
        <f aca="false">IF(BP1369="LOSE",1,0)</f>
        <v>1</v>
      </c>
      <c r="BS1369" s="59" t="n">
        <f aca="false">IF(BR1369=0,0,IF(N(R1369)&gt;0,R1369,IFERROR(VLOOKUP(D1369,Parameter!$A$35:$C$64,3,0)+0,0)))</f>
        <v>0.15</v>
      </c>
      <c r="BT1369" s="55" t="str">
        <f aca="false">IF(Y1369&lt;&gt;"",Y1369,X1369)</f>
        <v>-</v>
      </c>
      <c r="BU1369" s="55" t="str">
        <f aca="false">IF(BT1369=1,"L1",IF(OR(BT1369=2,BT1369=3),"L23",IF(BT1369="Aussen","Aussen","-")))</f>
        <v>-</v>
      </c>
      <c r="BV1369" s="66" t="n">
        <f aca="false">IF(N(Z1369)&gt;0,Z1369,0)</f>
        <v>0</v>
      </c>
      <c r="BW1369" s="60" t="n">
        <f aca="false">IF(ISNUMBER(AC1369),1,0)</f>
        <v>0</v>
      </c>
      <c r="BX1369" s="57" t="n">
        <f aca="false">N(AC1369)</f>
        <v>0</v>
      </c>
      <c r="BY1369" s="57" t="n">
        <f aca="false">N(L1369)+N(M1369)</f>
        <v>1</v>
      </c>
      <c r="BZ1369" s="57" t="n">
        <f aca="false">ROUNDUP(G1369/BQ1369,0)</f>
        <v>0</v>
      </c>
      <c r="CA1369" s="57" t="n">
        <f aca="false">ROUNDUP(BX1369/BQ1369,0)</f>
        <v>0</v>
      </c>
      <c r="CB1369" s="60" t="n">
        <f aca="false">IF(BR1369=1,0,IFERROR(VLOOKUP(BP1369,'Gebinde-Kategorie'!$A$5:$M$45,5,0)+0,0))</f>
        <v>0</v>
      </c>
      <c r="CC1369" s="60" t="n">
        <f aca="false">IFERROR(IF(OR(BT1369=1,BT1369=2,BT1369=3),N(INDEX(Parameter!$I$5:$I$7,BT1369)),0),0)</f>
        <v>0</v>
      </c>
      <c r="CD1369" s="59" t="n">
        <f aca="false">IF(AND(Parameter!$B$21="Ja",ISNUMBER(U1369),N(V1369)&gt;0),IFERROR(N(INDEX(Parameter!$L$5:$L$7,U1369))*INDEX(Parameter!$E$5:$E$7,U1369)*V1369/SUMIFS($V$7:$V$1576,$U$7:$U$1576,U1369),0),0)</f>
        <v>0</v>
      </c>
    </row>
    <row r="1370" customFormat="false" ht="15" hidden="false" customHeight="false" outlineLevel="0" collapsed="false">
      <c r="A1370" s="55" t="s">
        <v>2398</v>
      </c>
      <c r="B1370" s="55" t="s">
        <v>2399</v>
      </c>
      <c r="C1370" s="55" t="s">
        <v>446</v>
      </c>
      <c r="D1370" s="55" t="s">
        <v>168</v>
      </c>
      <c r="E1370" s="55" t="s">
        <v>210</v>
      </c>
      <c r="F1370" s="56" t="n">
        <v>99.31</v>
      </c>
      <c r="G1370" s="57" t="n">
        <f aca="false">MAX(0,IF(AND(Parameter!$B$21="Ja",ISNUMBER(W1370)),W1370,IF(Parameter!$B$20="Jahresanfang 2025 + Export",BJ1370+BI1370,BI1370)))</f>
        <v>0</v>
      </c>
      <c r="H1370" s="57" t="n">
        <f aca="false">G1370*F1370</f>
        <v>0</v>
      </c>
      <c r="I1370" s="57" t="n">
        <f aca="false">BL1370*Parameter!$B$18</f>
        <v>0</v>
      </c>
      <c r="J1370" s="58" t="n">
        <v>21</v>
      </c>
      <c r="K1370" s="59" t="n">
        <v>0</v>
      </c>
      <c r="L1370" s="57" t="n">
        <v>0</v>
      </c>
      <c r="M1370" s="57" t="n">
        <v>1</v>
      </c>
      <c r="N1370" s="60" t="n">
        <v>56</v>
      </c>
      <c r="O1370" s="55" t="s">
        <v>163</v>
      </c>
      <c r="P1370" s="57"/>
      <c r="Q1370" s="60" t="n">
        <f aca="false">IF(BR1370=1,0,IFERROR(VLOOKUP(BP1370,'Gebinde-Kategorie'!$A$5:$M$45,13,0)+0,0))</f>
        <v>0</v>
      </c>
      <c r="R1370" s="61"/>
      <c r="S1370" s="62"/>
      <c r="T1370" s="62"/>
      <c r="U1370" s="55"/>
      <c r="V1370" s="57"/>
      <c r="W1370" s="57"/>
      <c r="X1370" s="55" t="n">
        <f aca="false">IF(A1370="","",IF(AND(Parameter!$B$21="Ja",ISNUMBER(U1370)),U1370,IF(IFERROR(VLOOKUP(D1370,Parameter!$A$35:$C$64,2,0),"Nein")="2+3",IF(ISNUMBER(SEARCH("grosser Artikel",BM1370)),2,IFERROR(VLOOKUP(BP1370,Parameter!$F$35:$G$64,2,0),2)),IF(OR(IFERROR(VLOOKUP(D1370,Parameter!$A$35:$C$64,2,0),"Nein")="Nein",IFERROR(VLOOKUP(D1370,Parameter!$A$35:$C$64,2,0),"Nein")=""),"-",VLOOKUP(D1370,Parameter!$A$35:$C$64,2,0)))))</f>
        <v>2</v>
      </c>
      <c r="Y1370" s="62"/>
      <c r="Z1370" s="63"/>
      <c r="AA1370" s="57" t="n">
        <f aca="false">AP1370</f>
        <v>1</v>
      </c>
      <c r="AB1370" s="57" t="n">
        <f aca="false">MAX(AP1370,G1370)</f>
        <v>1</v>
      </c>
      <c r="AC1370" s="64"/>
      <c r="AD1370" s="57" t="n">
        <f aca="false">IF(LEFT(Cockpit!$C$5,1)="A",G1370,IF(BW1370=1,BX1370,IF(LEFT(Cockpit!$C$5,1)="B",AH1370,MAX(AH1370,G1370))))</f>
        <v>0</v>
      </c>
      <c r="AE1370" s="57" t="n">
        <f aca="false">IF(BR1370=1,0,ROUNDUP(AD1370/BQ1370,0))</f>
        <v>0</v>
      </c>
      <c r="AF1370" s="59" t="n">
        <f aca="false">IF(CD1370&gt;0,CD1370*MAX(1,AD1370/V1370),IF(BR1370=1,IF(AD1370&lt;=0,0,BS1370*MAX(1,IF(G1370&gt;0,AD1370/G1370,1))),IF(Q1370&gt;0,AE1370/Q1370,0))/MAX(0.1,N(Parameter!$M$21)))</f>
        <v>0</v>
      </c>
      <c r="AG1370" s="57" t="n">
        <f aca="false">AD1370*F1370</f>
        <v>0</v>
      </c>
      <c r="AH1370" s="57" t="n">
        <f aca="false">ROUNDUP(MAX(I1370/IF(BV1370&gt;0,BV1370,MAX(0.1,N(Cockpit!$C$6))),BY1370)/BQ1370,0)*BQ1370</f>
        <v>1</v>
      </c>
      <c r="AI1370" s="58" t="n">
        <f aca="false">IF(AF1370&gt;0,I1370/AF1370,-1)</f>
        <v>-1</v>
      </c>
      <c r="AJ1370" s="58" t="str">
        <f aca="false">IF(AND(OR(BU1370="L1",BU1370="L23"),AF1370&gt;0),SUMIFS($AF$7:$AF$1576,$BU$7:$BU$1576,BU1370,$AI$7:$AI$1576,"&gt;"&amp;AI1370)+SUMIFS($AF$7:$AF$1576,$BU$7:$BU$1576,BU1370,$AI$7:$AI$1576,AI1370,$BO$7:$BO$1576,"&lt;="&amp;BO1370),"")</f>
        <v/>
      </c>
      <c r="AK1370" s="65" t="n">
        <f aca="false">IF(AJ1370="",0,MAX(0,MIN(1,(IF(BU1370="L1",Parameter!$E$5,Parameter!$E$6+Parameter!$E$7)-(AJ1370-AF1370))/AF1370)))</f>
        <v>0</v>
      </c>
      <c r="AL1370" s="57" t="n">
        <f aca="false">IF(LEFT(Cockpit!$I$5,1)="A",G1370,IF(BW1370=1,BX1370,IF(LEFT(Cockpit!$I$5,1)="B",AP1370,MAX(AP1370,G1370))))</f>
        <v>1</v>
      </c>
      <c r="AM1370" s="57" t="n">
        <f aca="false">IF(BR1370=1,0,ROUNDUP(AL1370/BQ1370,0))</f>
        <v>0</v>
      </c>
      <c r="AN1370" s="59" t="n">
        <f aca="false">IF(CD1370&gt;0,CD1370*MAX(1,AL1370/V1370),IF(BR1370=1,IF(AL1370&lt;=0,0,BS1370*MAX(1,IF(G1370&gt;0,AL1370/G1370,1))),IF(Q1370&gt;0,AM1370/Q1370,0))/MAX(0.1,N(Parameter!$M$21)))</f>
        <v>0.15</v>
      </c>
      <c r="AO1370" s="57" t="n">
        <f aca="false">AL1370*F1370</f>
        <v>99.31</v>
      </c>
      <c r="AP1370" s="57" t="n">
        <f aca="false">ROUNDUP(MAX(I1370/IF(BV1370&gt;0,BV1370,MAX(0.1,N(Cockpit!$I$6))),BY1370)/BQ1370,0)*BQ1370</f>
        <v>1</v>
      </c>
      <c r="AQ1370" s="58" t="n">
        <f aca="false">IF(AN1370&gt;0,I1370/AN1370,-1)</f>
        <v>0</v>
      </c>
      <c r="AR1370" s="58" t="n">
        <f aca="false">IF(AND(OR(BU1370="L1",BU1370="L23"),AN1370&gt;0),SUMIFS($AN$7:$AN$1576,$BU$7:$BU$1576,BU1370,$AQ$7:$AQ$1576,"&gt;"&amp;AQ1370)+SUMIFS($AN$7:$AN$1576,$BU$7:$BU$1576,BU1370,$AQ$7:$AQ$1576,AQ1370,$BO$7:$BO$1576,"&lt;="&amp;BO1370),"")</f>
        <v>138.978435260439</v>
      </c>
      <c r="AS1370" s="65" t="n">
        <f aca="false">IF(AR1370="",0,MAX(0,MIN(1,(IF(BU1370="L1",Parameter!$E$5,Parameter!$E$6+Parameter!$E$7)-(AR1370-AN1370))/AN1370)))</f>
        <v>0</v>
      </c>
      <c r="AT1370" s="57" t="n">
        <f aca="false">IF(LEFT(Cockpit!$O$5,1)="A",G1370,IF(BW1370=1,BX1370,IF(LEFT(Cockpit!$O$5,1)="B",AX1370,MAX(AX1370,G1370))))</f>
        <v>1</v>
      </c>
      <c r="AU1370" s="57" t="n">
        <f aca="false">IF(BR1370=1,0,ROUNDUP(AT1370/BQ1370,0))</f>
        <v>0</v>
      </c>
      <c r="AV1370" s="59" t="n">
        <f aca="false">IF(CD1370&gt;0,CD1370*MAX(1,AT1370/V1370),IF(BR1370=1,IF(AT1370&lt;=0,0,BS1370*MAX(1,IF(G1370&gt;0,AT1370/G1370,1))),IF(Q1370&gt;0,AU1370/Q1370,0))/MAX(0.1,N(Parameter!$M$21)))</f>
        <v>0.15</v>
      </c>
      <c r="AW1370" s="57" t="n">
        <f aca="false">AT1370*F1370</f>
        <v>99.31</v>
      </c>
      <c r="AX1370" s="57" t="n">
        <f aca="false">ROUNDUP(MAX(I1370/IF(BV1370&gt;0,BV1370,MAX(0.1,N(Cockpit!$O$6))),BY1370)/BQ1370,0)*BQ1370</f>
        <v>1</v>
      </c>
      <c r="AY1370" s="58" t="n">
        <f aca="false">IF(AV1370&gt;0,I1370/AV1370,-1)</f>
        <v>0</v>
      </c>
      <c r="AZ1370" s="58" t="n">
        <f aca="false">IF(AND(OR(BU1370="L1",BU1370="L23"),AV1370&gt;0),SUMIFS($AV$7:$AV$1576,$BU$7:$BU$1576,BU1370,$AY$7:$AY$1576,"&gt;"&amp;AY1370)+SUMIFS($AV$7:$AV$1576,$BU$7:$BU$1576,BU1370,$AY$7:$AY$1576,AY1370,$BO$7:$BO$1576,"&lt;="&amp;BO1370),"")</f>
        <v>129.03798570999</v>
      </c>
      <c r="BA1370" s="65" t="n">
        <f aca="false">IF(AZ1370="",0,MAX(0,MIN(1,(IF(BU1370="L1",Parameter!$E$5,Parameter!$E$6+Parameter!$E$7)-(AZ1370-AV1370))/AV1370)))</f>
        <v>0</v>
      </c>
      <c r="BB1370" s="55" t="str">
        <f aca="false">IF(AF1370&lt;=0,"",IF(BU1370="Aussen","Aussenlager",IF(BU1370="-","Nicht im Lift",IF(AK1370&gt;=1,"Lift",IF(AK1370&lt;=0,"Aussenlager","teilweise")))))</f>
        <v/>
      </c>
      <c r="BC1370" s="55" t="str">
        <f aca="false">IF(AN1370&lt;=0,"",IF(BU1370="Aussen","Aussenlager",IF(BU1370="-","Nicht im Lift",IF(AS1370&gt;=1,"Lift",IF(AS1370&lt;=0,"Aussenlager","teilweise")))))</f>
        <v>Aussenlager</v>
      </c>
      <c r="BD1370" s="55" t="str">
        <f aca="false">IF(AV1370&lt;=0,"",IF(BU1370="Aussen","Aussenlager",IF(BU1370="-","Nicht im Lift",IF(BA1370&gt;=1,"Lift",IF(BA1370&lt;=0,"Aussenlager","teilweise")))))</f>
        <v>Aussenlager</v>
      </c>
      <c r="BE1370" s="55" t="str">
        <f aca="false">IF(A1370="","",IF(BN1370=1,"Neu; ","")&amp;IF(AND(BN1370=0,BI1370&lt;0),"negativer Bestand (Export "&amp;BI1370&amp;"); ","")&amp;IF(I1370&lt;=0,"Kein Verbrauch; ","")&amp;IF(CD1370&gt;0,"Lift "&amp;U1370&amp;" lt. Liftbericht (Fach "&amp;V1370&amp;" Stk); ",IF(BR1370=1,"Lose – Fläche geschätzt; ",""))&amp;IF(G1370&gt;AP1370,"Überbestand "&amp;ROUND(G1370-AP1370,0)&amp;" Stk / CHF "&amp;ROUND((G1370-AP1370)*F1370,0)&amp;"; ","")&amp;IF(AND(BW1370=1,BX1370&lt;BY1370),"MAX &lt; MB+LG; ","")&amp;IF(AND(CC1370&gt;0,CB1370*10&gt;CC1370),"zu hoch für Tablar; ","")&amp;IF(AND(BN1370=0,OR(BW1370=1,Y1370&lt;&gt;"",S1370&lt;&gt;"",T1370&lt;&gt;"",Z1370&lt;&gt;"")),"manuell übersteuert; ","")&amp;IF(AND(BR1370=0,Q1370=0),"Gebinde unbekannt / Stellmass fehlt; ","")&amp;IF(AND(BR1370=0,N(T1370)&lt;=0,N(P1370)&lt;=0),"Menge pro Gebinde fehlt (Ist = 1 Gebinde); ","")&amp;BM1370)</f>
        <v>negativer Bestand (Export -26); Kein Verbrauch; Lose – Fläche geschätzt; </v>
      </c>
      <c r="BF1370" s="55"/>
      <c r="BG1370" s="55"/>
      <c r="BH1370" s="62"/>
      <c r="BI1370" s="57" t="n">
        <v>-26</v>
      </c>
      <c r="BJ1370" s="57" t="n">
        <v>26</v>
      </c>
      <c r="BK1370" s="56" t="n">
        <v>-2582.06</v>
      </c>
      <c r="BL1370" s="57" t="n">
        <v>0</v>
      </c>
      <c r="BM1370" s="55"/>
      <c r="BN1370" s="60" t="n">
        <v>0</v>
      </c>
      <c r="BO1370" s="60" t="n">
        <v>1370</v>
      </c>
      <c r="BP1370" s="55" t="str">
        <f aca="false">IF(S1370&lt;&gt;"",UPPER(TRIM(S1370)),IF(O1370="","LOSE",O1370))</f>
        <v>LOSE</v>
      </c>
      <c r="BQ1370" s="57" t="n">
        <f aca="false">IF(BP1370="LOSE",1,IF(N(T1370)&gt;0,T1370,IF(N(P1370)&gt;0,P1370,MAX(1,G1370))))</f>
        <v>1</v>
      </c>
      <c r="BR1370" s="60" t="n">
        <f aca="false">IF(BP1370="LOSE",1,0)</f>
        <v>1</v>
      </c>
      <c r="BS1370" s="59" t="n">
        <f aca="false">IF(BR1370=0,0,IF(N(R1370)&gt;0,R1370,IFERROR(VLOOKUP(D1370,Parameter!$A$35:$C$64,3,0)+0,0)))</f>
        <v>0.15</v>
      </c>
      <c r="BT1370" s="55" t="n">
        <f aca="false">IF(Y1370&lt;&gt;"",Y1370,X1370)</f>
        <v>2</v>
      </c>
      <c r="BU1370" s="55" t="str">
        <f aca="false">IF(BT1370=1,"L1",IF(OR(BT1370=2,BT1370=3),"L23",IF(BT1370="Aussen","Aussen","-")))</f>
        <v>L23</v>
      </c>
      <c r="BV1370" s="66" t="n">
        <f aca="false">IF(N(Z1370)&gt;0,Z1370,0)</f>
        <v>0</v>
      </c>
      <c r="BW1370" s="60" t="n">
        <f aca="false">IF(ISNUMBER(AC1370),1,0)</f>
        <v>0</v>
      </c>
      <c r="BX1370" s="57" t="n">
        <f aca="false">N(AC1370)</f>
        <v>0</v>
      </c>
      <c r="BY1370" s="57" t="n">
        <f aca="false">N(L1370)+N(M1370)</f>
        <v>1</v>
      </c>
      <c r="BZ1370" s="57" t="n">
        <f aca="false">ROUNDUP(G1370/BQ1370,0)</f>
        <v>0</v>
      </c>
      <c r="CA1370" s="57" t="n">
        <f aca="false">ROUNDUP(BX1370/BQ1370,0)</f>
        <v>0</v>
      </c>
      <c r="CB1370" s="60" t="n">
        <f aca="false">IF(BR1370=1,0,IFERROR(VLOOKUP(BP1370,'Gebinde-Kategorie'!$A$5:$M$45,5,0)+0,0))</f>
        <v>0</v>
      </c>
      <c r="CC1370" s="60" t="n">
        <f aca="false">IFERROR(IF(OR(BT1370=1,BT1370=2,BT1370=3),N(INDEX(Parameter!$I$5:$I$7,BT1370)),0),0)</f>
        <v>0</v>
      </c>
      <c r="CD1370" s="59" t="n">
        <f aca="false">IF(AND(Parameter!$B$21="Ja",ISNUMBER(U1370),N(V1370)&gt;0),IFERROR(N(INDEX(Parameter!$L$5:$L$7,U1370))*INDEX(Parameter!$E$5:$E$7,U1370)*V1370/SUMIFS($V$7:$V$1576,$U$7:$U$1576,U1370),0),0)</f>
        <v>0</v>
      </c>
    </row>
    <row r="1371" customFormat="false" ht="15" hidden="false" customHeight="false" outlineLevel="0" collapsed="false">
      <c r="A1371" s="55" t="s">
        <v>2400</v>
      </c>
      <c r="B1371" s="55" t="s">
        <v>2401</v>
      </c>
      <c r="C1371" s="55" t="s">
        <v>160</v>
      </c>
      <c r="D1371" s="55" t="s">
        <v>178</v>
      </c>
      <c r="E1371" s="55" t="s">
        <v>210</v>
      </c>
      <c r="F1371" s="56" t="n">
        <v>525.8</v>
      </c>
      <c r="G1371" s="57" t="n">
        <f aca="false">MAX(0,IF(AND(Parameter!$B$21="Ja",ISNUMBER(W1371)),W1371,IF(Parameter!$B$20="Jahresanfang 2025 + Export",BJ1371+BI1371,BI1371)))</f>
        <v>0</v>
      </c>
      <c r="H1371" s="57" t="n">
        <f aca="false">G1371*F1371</f>
        <v>0</v>
      </c>
      <c r="I1371" s="57" t="n">
        <f aca="false">BL1371*Parameter!$B$18</f>
        <v>22</v>
      </c>
      <c r="J1371" s="58" t="n">
        <v>8</v>
      </c>
      <c r="K1371" s="59" t="n">
        <v>2.75</v>
      </c>
      <c r="L1371" s="57" t="n">
        <v>1</v>
      </c>
      <c r="M1371" s="57" t="n">
        <v>10</v>
      </c>
      <c r="N1371" s="60" t="n">
        <v>21</v>
      </c>
      <c r="O1371" s="55" t="s">
        <v>218</v>
      </c>
      <c r="P1371" s="57" t="n">
        <v>8</v>
      </c>
      <c r="Q1371" s="60" t="n">
        <f aca="false">IF(BR1371=1,0,IFERROR(VLOOKUP(BP1371,'Gebinde-Kategorie'!$A$5:$M$45,13,0)+0,0))</f>
        <v>12</v>
      </c>
      <c r="R1371" s="61"/>
      <c r="S1371" s="62"/>
      <c r="T1371" s="62"/>
      <c r="U1371" s="55"/>
      <c r="V1371" s="57"/>
      <c r="W1371" s="57"/>
      <c r="X1371" s="55" t="n">
        <f aca="false">IF(A1371="","",IF(AND(Parameter!$B$21="Ja",ISNUMBER(U1371)),U1371,IF(IFERROR(VLOOKUP(D1371,Parameter!$A$35:$C$64,2,0),"Nein")="2+3",IF(ISNUMBER(SEARCH("grosser Artikel",BM1371)),2,IFERROR(VLOOKUP(BP1371,Parameter!$F$35:$G$64,2,0),2)),IF(OR(IFERROR(VLOOKUP(D1371,Parameter!$A$35:$C$64,2,0),"Nein")="Nein",IFERROR(VLOOKUP(D1371,Parameter!$A$35:$C$64,2,0),"Nein")=""),"-",VLOOKUP(D1371,Parameter!$A$35:$C$64,2,0)))))</f>
        <v>2</v>
      </c>
      <c r="Y1371" s="62"/>
      <c r="Z1371" s="63"/>
      <c r="AA1371" s="57" t="n">
        <f aca="false">AP1371</f>
        <v>16</v>
      </c>
      <c r="AB1371" s="57" t="n">
        <f aca="false">MAX(AP1371,G1371)</f>
        <v>16</v>
      </c>
      <c r="AC1371" s="64"/>
      <c r="AD1371" s="57" t="n">
        <f aca="false">IF(LEFT(Cockpit!$C$5,1)="A",G1371,IF(BW1371=1,BX1371,IF(LEFT(Cockpit!$C$5,1)="B",AH1371,MAX(AH1371,G1371))))</f>
        <v>0</v>
      </c>
      <c r="AE1371" s="57" t="n">
        <f aca="false">IF(BR1371=1,0,ROUNDUP(AD1371/BQ1371,0))</f>
        <v>0</v>
      </c>
      <c r="AF1371" s="59" t="n">
        <f aca="false">IF(CD1371&gt;0,CD1371*MAX(1,AD1371/V1371),IF(BR1371=1,IF(AD1371&lt;=0,0,BS1371*MAX(1,IF(G1371&gt;0,AD1371/G1371,1))),IF(Q1371&gt;0,AE1371/Q1371,0))/MAX(0.1,N(Parameter!$M$21)))</f>
        <v>0</v>
      </c>
      <c r="AG1371" s="57" t="n">
        <f aca="false">AD1371*F1371</f>
        <v>0</v>
      </c>
      <c r="AH1371" s="57" t="n">
        <f aca="false">ROUNDUP(MAX(I1371/IF(BV1371&gt;0,BV1371,MAX(0.1,N(Cockpit!$C$6))),BY1371)/BQ1371,0)*BQ1371</f>
        <v>16</v>
      </c>
      <c r="AI1371" s="58" t="n">
        <f aca="false">IF(AF1371&gt;0,I1371/AF1371,-1)</f>
        <v>-1</v>
      </c>
      <c r="AJ1371" s="58" t="str">
        <f aca="false">IF(AND(OR(BU1371="L1",BU1371="L23"),AF1371&gt;0),SUMIFS($AF$7:$AF$1576,$BU$7:$BU$1576,BU1371,$AI$7:$AI$1576,"&gt;"&amp;AI1371)+SUMIFS($AF$7:$AF$1576,$BU$7:$BU$1576,BU1371,$AI$7:$AI$1576,AI1371,$BO$7:$BO$1576,"&lt;="&amp;BO1371),"")</f>
        <v/>
      </c>
      <c r="AK1371" s="65" t="n">
        <f aca="false">IF(AJ1371="",0,MAX(0,MIN(1,(IF(BU1371="L1",Parameter!$E$5,Parameter!$E$6+Parameter!$E$7)-(AJ1371-AF1371))/AF1371)))</f>
        <v>0</v>
      </c>
      <c r="AL1371" s="57" t="n">
        <f aca="false">IF(LEFT(Cockpit!$I$5,1)="A",G1371,IF(BW1371=1,BX1371,IF(LEFT(Cockpit!$I$5,1)="B",AP1371,MAX(AP1371,G1371))))</f>
        <v>16</v>
      </c>
      <c r="AM1371" s="57" t="n">
        <f aca="false">IF(BR1371=1,0,ROUNDUP(AL1371/BQ1371,0))</f>
        <v>2</v>
      </c>
      <c r="AN1371" s="59" t="n">
        <f aca="false">IF(CD1371&gt;0,CD1371*MAX(1,AL1371/V1371),IF(BR1371=1,IF(AL1371&lt;=0,0,BS1371*MAX(1,IF(G1371&gt;0,AL1371/G1371,1))),IF(Q1371&gt;0,AM1371/Q1371,0))/MAX(0.1,N(Parameter!$M$21)))</f>
        <v>0.166666666666667</v>
      </c>
      <c r="AO1371" s="57" t="n">
        <f aca="false">AL1371*F1371</f>
        <v>8412.8</v>
      </c>
      <c r="AP1371" s="57" t="n">
        <f aca="false">ROUNDUP(MAX(I1371/IF(BV1371&gt;0,BV1371,MAX(0.1,N(Cockpit!$I$6))),BY1371)/BQ1371,0)*BQ1371</f>
        <v>16</v>
      </c>
      <c r="AQ1371" s="58" t="n">
        <f aca="false">IF(AN1371&gt;0,I1371/AN1371,-1)</f>
        <v>132</v>
      </c>
      <c r="AR1371" s="58" t="n">
        <f aca="false">IF(AND(OR(BU1371="L1",BU1371="L23"),AN1371&gt;0),SUMIFS($AN$7:$AN$1576,$BU$7:$BU$1576,BU1371,$AQ$7:$AQ$1576,"&gt;"&amp;AQ1371)+SUMIFS($AN$7:$AN$1576,$BU$7:$BU$1576,BU1371,$AQ$7:$AQ$1576,AQ1371,$BO$7:$BO$1576,"&lt;="&amp;BO1371),"")</f>
        <v>60.8131329181441</v>
      </c>
      <c r="AS1371" s="65" t="n">
        <f aca="false">IF(AR1371="",0,MAX(0,MIN(1,(IF(BU1371="L1",Parameter!$E$5,Parameter!$E$6+Parameter!$E$7)-(AR1371-AN1371))/AN1371)))</f>
        <v>1</v>
      </c>
      <c r="AT1371" s="57" t="n">
        <f aca="false">IF(LEFT(Cockpit!$O$5,1)="A",G1371,IF(BW1371=1,BX1371,IF(LEFT(Cockpit!$O$5,1)="B",AX1371,MAX(AX1371,G1371))))</f>
        <v>16</v>
      </c>
      <c r="AU1371" s="57" t="n">
        <f aca="false">IF(BR1371=1,0,ROUNDUP(AT1371/BQ1371,0))</f>
        <v>2</v>
      </c>
      <c r="AV1371" s="59" t="n">
        <f aca="false">IF(CD1371&gt;0,CD1371*MAX(1,AT1371/V1371),IF(BR1371=1,IF(AT1371&lt;=0,0,BS1371*MAX(1,IF(G1371&gt;0,AT1371/G1371,1))),IF(Q1371&gt;0,AU1371/Q1371,0))/MAX(0.1,N(Parameter!$M$21)))</f>
        <v>0.166666666666667</v>
      </c>
      <c r="AW1371" s="57" t="n">
        <f aca="false">AT1371*F1371</f>
        <v>8412.8</v>
      </c>
      <c r="AX1371" s="57" t="n">
        <f aca="false">ROUNDUP(MAX(I1371/IF(BV1371&gt;0,BV1371,MAX(0.1,N(Cockpit!$O$6))),BY1371)/BQ1371,0)*BQ1371</f>
        <v>16</v>
      </c>
      <c r="AY1371" s="58" t="n">
        <f aca="false">IF(AV1371&gt;0,I1371/AV1371,-1)</f>
        <v>132</v>
      </c>
      <c r="AZ1371" s="58" t="n">
        <f aca="false">IF(AND(OR(BU1371="L1",BU1371="L23"),AV1371&gt;0),SUMIFS($AV$7:$AV$1576,$BU$7:$BU$1576,BU1371,$AY$7:$AY$1576,"&gt;"&amp;AY1371)+SUMIFS($AV$7:$AV$1576,$BU$7:$BU$1576,BU1371,$AY$7:$AY$1576,AY1371,$BO$7:$BO$1576,"&lt;="&amp;BO1371),"")</f>
        <v>55.4756000343612</v>
      </c>
      <c r="BA1371" s="65" t="n">
        <f aca="false">IF(AZ1371="",0,MAX(0,MIN(1,(IF(BU1371="L1",Parameter!$E$5,Parameter!$E$6+Parameter!$E$7)-(AZ1371-AV1371))/AV1371)))</f>
        <v>1</v>
      </c>
      <c r="BB1371" s="55" t="str">
        <f aca="false">IF(AF1371&lt;=0,"",IF(BU1371="Aussen","Aussenlager",IF(BU1371="-","Nicht im Lift",IF(AK1371&gt;=1,"Lift",IF(AK1371&lt;=0,"Aussenlager","teilweise")))))</f>
        <v/>
      </c>
      <c r="BC1371" s="55" t="str">
        <f aca="false">IF(AN1371&lt;=0,"",IF(BU1371="Aussen","Aussenlager",IF(BU1371="-","Nicht im Lift",IF(AS1371&gt;=1,"Lift",IF(AS1371&lt;=0,"Aussenlager","teilweise")))))</f>
        <v>Lift</v>
      </c>
      <c r="BD1371" s="55" t="str">
        <f aca="false">IF(AV1371&lt;=0,"",IF(BU1371="Aussen","Aussenlager",IF(BU1371="-","Nicht im Lift",IF(BA1371&gt;=1,"Lift",IF(BA1371&lt;=0,"Aussenlager","teilweise")))))</f>
        <v>Lift</v>
      </c>
      <c r="BE1371" s="55" t="str">
        <f aca="false">IF(A1371="","",IF(BN1371=1,"Neu; ","")&amp;IF(AND(BN1371=0,BI1371&lt;0),"negativer Bestand (Export "&amp;BI1371&amp;"); ","")&amp;IF(I1371&lt;=0,"Kein Verbrauch; ","")&amp;IF(CD1371&gt;0,"Lift "&amp;U1371&amp;" lt. Liftbericht (Fach "&amp;V1371&amp;" Stk); ",IF(BR1371=1,"Lose – Fläche geschätzt; ",""))&amp;IF(G1371&gt;AP1371,"Überbestand "&amp;ROUND(G1371-AP1371,0)&amp;" Stk / CHF "&amp;ROUND((G1371-AP1371)*F1371,0)&amp;"; ","")&amp;IF(AND(BW1371=1,BX1371&lt;BY1371),"MAX &lt; MB+LG; ","")&amp;IF(AND(CC1371&gt;0,CB1371*10&gt;CC1371),"zu hoch für Tablar; ","")&amp;IF(AND(BN1371=0,OR(BW1371=1,Y1371&lt;&gt;"",S1371&lt;&gt;"",T1371&lt;&gt;"",Z1371&lt;&gt;"")),"manuell übersteuert; ","")&amp;IF(AND(BR1371=0,Q1371=0),"Gebinde unbekannt / Stellmass fehlt; ","")&amp;IF(AND(BR1371=0,N(T1371)&lt;=0,N(P1371)&lt;=0),"Menge pro Gebinde fehlt (Ist = 1 Gebinde); ","")&amp;BM1371)</f>
        <v>negativer Bestand (Export -6); </v>
      </c>
      <c r="BF1371" s="55"/>
      <c r="BG1371" s="55"/>
      <c r="BH1371" s="62"/>
      <c r="BI1371" s="57" t="n">
        <v>-6</v>
      </c>
      <c r="BJ1371" s="57" t="n">
        <v>8</v>
      </c>
      <c r="BK1371" s="56" t="n">
        <v>-2622.8</v>
      </c>
      <c r="BL1371" s="57" t="n">
        <v>22</v>
      </c>
      <c r="BM1371" s="55"/>
      <c r="BN1371" s="60" t="n">
        <v>0</v>
      </c>
      <c r="BO1371" s="60" t="n">
        <v>1371</v>
      </c>
      <c r="BP1371" s="55" t="str">
        <f aca="false">IF(S1371&lt;&gt;"",UPPER(TRIM(S1371)),IF(O1371="","LOSE",O1371))</f>
        <v>S63</v>
      </c>
      <c r="BQ1371" s="57" t="n">
        <f aca="false">IF(BP1371="LOSE",1,IF(N(T1371)&gt;0,T1371,IF(N(P1371)&gt;0,P1371,MAX(1,G1371))))</f>
        <v>8</v>
      </c>
      <c r="BR1371" s="60" t="n">
        <f aca="false">IF(BP1371="LOSE",1,0)</f>
        <v>0</v>
      </c>
      <c r="BS1371" s="59" t="n">
        <f aca="false">IF(BR1371=0,0,IF(N(R1371)&gt;0,R1371,IFERROR(VLOOKUP(D1371,Parameter!$A$35:$C$64,3,0)+0,0)))</f>
        <v>0</v>
      </c>
      <c r="BT1371" s="55" t="n">
        <f aca="false">IF(Y1371&lt;&gt;"",Y1371,X1371)</f>
        <v>2</v>
      </c>
      <c r="BU1371" s="55" t="str">
        <f aca="false">IF(BT1371=1,"L1",IF(OR(BT1371=2,BT1371=3),"L23",IF(BT1371="Aussen","Aussen","-")))</f>
        <v>L23</v>
      </c>
      <c r="BV1371" s="66" t="n">
        <f aca="false">IF(N(Z1371)&gt;0,Z1371,0)</f>
        <v>0</v>
      </c>
      <c r="BW1371" s="60" t="n">
        <f aca="false">IF(ISNUMBER(AC1371),1,0)</f>
        <v>0</v>
      </c>
      <c r="BX1371" s="57" t="n">
        <f aca="false">N(AC1371)</f>
        <v>0</v>
      </c>
      <c r="BY1371" s="57" t="n">
        <f aca="false">N(L1371)+N(M1371)</f>
        <v>11</v>
      </c>
      <c r="BZ1371" s="57" t="n">
        <f aca="false">ROUNDUP(G1371/BQ1371,0)</f>
        <v>0</v>
      </c>
      <c r="CA1371" s="57" t="n">
        <f aca="false">ROUNDUP(BX1371/BQ1371,0)</f>
        <v>0</v>
      </c>
      <c r="CB1371" s="60" t="n">
        <f aca="false">IF(BR1371=1,0,IFERROR(VLOOKUP(BP1371,'Gebinde-Kategorie'!$A$5:$M$45,5,0)+0,0))</f>
        <v>31</v>
      </c>
      <c r="CC1371" s="60" t="n">
        <f aca="false">IFERROR(IF(OR(BT1371=1,BT1371=2,BT1371=3),N(INDEX(Parameter!$I$5:$I$7,BT1371)),0),0)</f>
        <v>0</v>
      </c>
      <c r="CD1371" s="59" t="n">
        <f aca="false">IF(AND(Parameter!$B$21="Ja",ISNUMBER(U1371),N(V1371)&gt;0),IFERROR(N(INDEX(Parameter!$L$5:$L$7,U1371))*INDEX(Parameter!$E$5:$E$7,U1371)*V1371/SUMIFS($V$7:$V$1576,$U$7:$U$1576,U1371),0),0)</f>
        <v>0</v>
      </c>
    </row>
    <row r="1372" customFormat="false" ht="15" hidden="false" customHeight="false" outlineLevel="0" collapsed="false">
      <c r="A1372" s="55" t="s">
        <v>2402</v>
      </c>
      <c r="B1372" s="55" t="s">
        <v>2403</v>
      </c>
      <c r="C1372" s="55" t="s">
        <v>160</v>
      </c>
      <c r="D1372" s="55" t="s">
        <v>168</v>
      </c>
      <c r="E1372" s="55" t="s">
        <v>210</v>
      </c>
      <c r="F1372" s="56" t="n">
        <v>3599.65</v>
      </c>
      <c r="G1372" s="57" t="n">
        <f aca="false">MAX(0,IF(AND(Parameter!$B$21="Ja",ISNUMBER(W1372)),W1372,IF(Parameter!$B$20="Jahresanfang 2025 + Export",BJ1372+BI1372,BI1372)))</f>
        <v>0</v>
      </c>
      <c r="H1372" s="57" t="n">
        <f aca="false">G1372*F1372</f>
        <v>0</v>
      </c>
      <c r="I1372" s="57" t="n">
        <f aca="false">BL1372*Parameter!$B$18</f>
        <v>13</v>
      </c>
      <c r="J1372" s="58" t="n">
        <v>8</v>
      </c>
      <c r="K1372" s="59" t="n">
        <v>1.625</v>
      </c>
      <c r="L1372" s="57" t="n">
        <v>0</v>
      </c>
      <c r="M1372" s="57" t="n">
        <v>1</v>
      </c>
      <c r="N1372" s="60" t="n">
        <v>60</v>
      </c>
      <c r="O1372" s="55" t="s">
        <v>163</v>
      </c>
      <c r="P1372" s="57"/>
      <c r="Q1372" s="60" t="n">
        <f aca="false">IF(BR1372=1,0,IFERROR(VLOOKUP(BP1372,'Gebinde-Kategorie'!$A$5:$M$45,13,0)+0,0))</f>
        <v>0</v>
      </c>
      <c r="R1372" s="61"/>
      <c r="S1372" s="62"/>
      <c r="T1372" s="62"/>
      <c r="U1372" s="55"/>
      <c r="V1372" s="57"/>
      <c r="W1372" s="57"/>
      <c r="X1372" s="55" t="n">
        <f aca="false">IF(A1372="","",IF(AND(Parameter!$B$21="Ja",ISNUMBER(U1372)),U1372,IF(IFERROR(VLOOKUP(D1372,Parameter!$A$35:$C$64,2,0),"Nein")="2+3",IF(ISNUMBER(SEARCH("grosser Artikel",BM1372)),2,IFERROR(VLOOKUP(BP1372,Parameter!$F$35:$G$64,2,0),2)),IF(OR(IFERROR(VLOOKUP(D1372,Parameter!$A$35:$C$64,2,0),"Nein")="Nein",IFERROR(VLOOKUP(D1372,Parameter!$A$35:$C$64,2,0),"Nein")=""),"-",VLOOKUP(D1372,Parameter!$A$35:$C$64,2,0)))))</f>
        <v>2</v>
      </c>
      <c r="Y1372" s="62"/>
      <c r="Z1372" s="63"/>
      <c r="AA1372" s="57" t="n">
        <f aca="false">AP1372</f>
        <v>7</v>
      </c>
      <c r="AB1372" s="57" t="n">
        <f aca="false">MAX(AP1372,G1372)</f>
        <v>7</v>
      </c>
      <c r="AC1372" s="64"/>
      <c r="AD1372" s="57" t="n">
        <f aca="false">IF(LEFT(Cockpit!$C$5,1)="A",G1372,IF(BW1372=1,BX1372,IF(LEFT(Cockpit!$C$5,1)="B",AH1372,MAX(AH1372,G1372))))</f>
        <v>0</v>
      </c>
      <c r="AE1372" s="57" t="n">
        <f aca="false">IF(BR1372=1,0,ROUNDUP(AD1372/BQ1372,0))</f>
        <v>0</v>
      </c>
      <c r="AF1372" s="59" t="n">
        <f aca="false">IF(CD1372&gt;0,CD1372*MAX(1,AD1372/V1372),IF(BR1372=1,IF(AD1372&lt;=0,0,BS1372*MAX(1,IF(G1372&gt;0,AD1372/G1372,1))),IF(Q1372&gt;0,AE1372/Q1372,0))/MAX(0.1,N(Parameter!$M$21)))</f>
        <v>0</v>
      </c>
      <c r="AG1372" s="57" t="n">
        <f aca="false">AD1372*F1372</f>
        <v>0</v>
      </c>
      <c r="AH1372" s="57" t="n">
        <f aca="false">ROUNDUP(MAX(I1372/IF(BV1372&gt;0,BV1372,MAX(0.1,N(Cockpit!$C$6))),BY1372)/BQ1372,0)*BQ1372</f>
        <v>7</v>
      </c>
      <c r="AI1372" s="58" t="n">
        <f aca="false">IF(AF1372&gt;0,I1372/AF1372,-1)</f>
        <v>-1</v>
      </c>
      <c r="AJ1372" s="58" t="str">
        <f aca="false">IF(AND(OR(BU1372="L1",BU1372="L23"),AF1372&gt;0),SUMIFS($AF$7:$AF$1576,$BU$7:$BU$1576,BU1372,$AI$7:$AI$1576,"&gt;"&amp;AI1372)+SUMIFS($AF$7:$AF$1576,$BU$7:$BU$1576,BU1372,$AI$7:$AI$1576,AI1372,$BO$7:$BO$1576,"&lt;="&amp;BO1372),"")</f>
        <v/>
      </c>
      <c r="AK1372" s="65" t="n">
        <f aca="false">IF(AJ1372="",0,MAX(0,MIN(1,(IF(BU1372="L1",Parameter!$E$5,Parameter!$E$6+Parameter!$E$7)-(AJ1372-AF1372))/AF1372)))</f>
        <v>0</v>
      </c>
      <c r="AL1372" s="57" t="n">
        <f aca="false">IF(LEFT(Cockpit!$I$5,1)="A",G1372,IF(BW1372=1,BX1372,IF(LEFT(Cockpit!$I$5,1)="B",AP1372,MAX(AP1372,G1372))))</f>
        <v>7</v>
      </c>
      <c r="AM1372" s="57" t="n">
        <f aca="false">IF(BR1372=1,0,ROUNDUP(AL1372/BQ1372,0))</f>
        <v>0</v>
      </c>
      <c r="AN1372" s="59" t="n">
        <f aca="false">IF(CD1372&gt;0,CD1372*MAX(1,AL1372/V1372),IF(BR1372=1,IF(AL1372&lt;=0,0,BS1372*MAX(1,IF(G1372&gt;0,AL1372/G1372,1))),IF(Q1372&gt;0,AM1372/Q1372,0))/MAX(0.1,N(Parameter!$M$21)))</f>
        <v>0.15</v>
      </c>
      <c r="AO1372" s="57" t="n">
        <f aca="false">AL1372*F1372</f>
        <v>25197.55</v>
      </c>
      <c r="AP1372" s="57" t="n">
        <f aca="false">ROUNDUP(MAX(I1372/IF(BV1372&gt;0,BV1372,MAX(0.1,N(Cockpit!$I$6))),BY1372)/BQ1372,0)*BQ1372</f>
        <v>7</v>
      </c>
      <c r="AQ1372" s="58" t="n">
        <f aca="false">IF(AN1372&gt;0,I1372/AN1372,-1)</f>
        <v>86.6666666666667</v>
      </c>
      <c r="AR1372" s="58" t="n">
        <f aca="false">IF(AND(OR(BU1372="L1",BU1372="L23"),AN1372&gt;0),SUMIFS($AN$7:$AN$1576,$BU$7:$BU$1576,BU1372,$AQ$7:$AQ$1576,"&gt;"&amp;AQ1372)+SUMIFS($AN$7:$AN$1576,$BU$7:$BU$1576,BU1372,$AQ$7:$AQ$1576,AQ1372,$BO$7:$BO$1576,"&lt;="&amp;BO1372),"")</f>
        <v>73.0936467099079</v>
      </c>
      <c r="AS1372" s="65" t="n">
        <f aca="false">IF(AR1372="",0,MAX(0,MIN(1,(IF(BU1372="L1",Parameter!$E$5,Parameter!$E$6+Parameter!$E$7)-(AR1372-AN1372))/AN1372)))</f>
        <v>1</v>
      </c>
      <c r="AT1372" s="57" t="n">
        <f aca="false">IF(LEFT(Cockpit!$O$5,1)="A",G1372,IF(BW1372=1,BX1372,IF(LEFT(Cockpit!$O$5,1)="B",AX1372,MAX(AX1372,G1372))))</f>
        <v>5</v>
      </c>
      <c r="AU1372" s="57" t="n">
        <f aca="false">IF(BR1372=1,0,ROUNDUP(AT1372/BQ1372,0))</f>
        <v>0</v>
      </c>
      <c r="AV1372" s="59" t="n">
        <f aca="false">IF(CD1372&gt;0,CD1372*MAX(1,AT1372/V1372),IF(BR1372=1,IF(AT1372&lt;=0,0,BS1372*MAX(1,IF(G1372&gt;0,AT1372/G1372,1))),IF(Q1372&gt;0,AU1372/Q1372,0))/MAX(0.1,N(Parameter!$M$21)))</f>
        <v>0.15</v>
      </c>
      <c r="AW1372" s="57" t="n">
        <f aca="false">AT1372*F1372</f>
        <v>17998.25</v>
      </c>
      <c r="AX1372" s="57" t="n">
        <f aca="false">ROUNDUP(MAX(I1372/IF(BV1372&gt;0,BV1372,MAX(0.1,N(Cockpit!$O$6))),BY1372)/BQ1372,0)*BQ1372</f>
        <v>5</v>
      </c>
      <c r="AY1372" s="58" t="n">
        <f aca="false">IF(AV1372&gt;0,I1372/AV1372,-1)</f>
        <v>86.6666666666667</v>
      </c>
      <c r="AZ1372" s="58" t="n">
        <f aca="false">IF(AND(OR(BU1372="L1",BU1372="L23"),AV1372&gt;0),SUMIFS($AV$7:$AV$1576,$BU$7:$BU$1576,BU1372,$AY$7:$AY$1576,"&gt;"&amp;AY1372)+SUMIFS($AV$7:$AV$1576,$BU$7:$BU$1576,BU1372,$AY$7:$AY$1576,AY1372,$BO$7:$BO$1576,"&lt;="&amp;BO1372),"")</f>
        <v>66.6540304927917</v>
      </c>
      <c r="BA1372" s="65" t="n">
        <f aca="false">IF(AZ1372="",0,MAX(0,MIN(1,(IF(BU1372="L1",Parameter!$E$5,Parameter!$E$6+Parameter!$E$7)-(AZ1372-AV1372))/AV1372)))</f>
        <v>1</v>
      </c>
      <c r="BB1372" s="55" t="str">
        <f aca="false">IF(AF1372&lt;=0,"",IF(BU1372="Aussen","Aussenlager",IF(BU1372="-","Nicht im Lift",IF(AK1372&gt;=1,"Lift",IF(AK1372&lt;=0,"Aussenlager","teilweise")))))</f>
        <v/>
      </c>
      <c r="BC1372" s="55" t="str">
        <f aca="false">IF(AN1372&lt;=0,"",IF(BU1372="Aussen","Aussenlager",IF(BU1372="-","Nicht im Lift",IF(AS1372&gt;=1,"Lift",IF(AS1372&lt;=0,"Aussenlager","teilweise")))))</f>
        <v>Lift</v>
      </c>
      <c r="BD1372" s="55" t="str">
        <f aca="false">IF(AV1372&lt;=0,"",IF(BU1372="Aussen","Aussenlager",IF(BU1372="-","Nicht im Lift",IF(BA1372&gt;=1,"Lift",IF(BA1372&lt;=0,"Aussenlager","teilweise")))))</f>
        <v>Lift</v>
      </c>
      <c r="BE1372" s="55" t="str">
        <f aca="false">IF(A1372="","",IF(BN1372=1,"Neu; ","")&amp;IF(AND(BN1372=0,BI1372&lt;0),"negativer Bestand (Export "&amp;BI1372&amp;"); ","")&amp;IF(I1372&lt;=0,"Kein Verbrauch; ","")&amp;IF(CD1372&gt;0,"Lift "&amp;U1372&amp;" lt. Liftbericht (Fach "&amp;V1372&amp;" Stk); ",IF(BR1372=1,"Lose – Fläche geschätzt; ",""))&amp;IF(G1372&gt;AP1372,"Überbestand "&amp;ROUND(G1372-AP1372,0)&amp;" Stk / CHF "&amp;ROUND((G1372-AP1372)*F1372,0)&amp;"; ","")&amp;IF(AND(BW1372=1,BX1372&lt;BY1372),"MAX &lt; MB+LG; ","")&amp;IF(AND(CC1372&gt;0,CB1372*10&gt;CC1372),"zu hoch für Tablar; ","")&amp;IF(AND(BN1372=0,OR(BW1372=1,Y1372&lt;&gt;"",S1372&lt;&gt;"",T1372&lt;&gt;"",Z1372&lt;&gt;"")),"manuell übersteuert; ","")&amp;IF(AND(BR1372=0,Q1372=0),"Gebinde unbekannt / Stellmass fehlt; ","")&amp;IF(AND(BR1372=0,N(T1372)&lt;=0,N(P1372)&lt;=0),"Menge pro Gebinde fehlt (Ist = 1 Gebinde); ","")&amp;BM1372)</f>
        <v>negativer Bestand (Export -2); Lose – Fläche geschätzt; </v>
      </c>
      <c r="BF1372" s="55"/>
      <c r="BG1372" s="55"/>
      <c r="BH1372" s="62"/>
      <c r="BI1372" s="57" t="n">
        <v>-2</v>
      </c>
      <c r="BJ1372" s="57" t="n">
        <v>8</v>
      </c>
      <c r="BK1372" s="56" t="n">
        <v>-2698.84000000002</v>
      </c>
      <c r="BL1372" s="57" t="n">
        <v>13</v>
      </c>
      <c r="BM1372" s="55"/>
      <c r="BN1372" s="60" t="n">
        <v>0</v>
      </c>
      <c r="BO1372" s="60" t="n">
        <v>1372</v>
      </c>
      <c r="BP1372" s="55" t="str">
        <f aca="false">IF(S1372&lt;&gt;"",UPPER(TRIM(S1372)),IF(O1372="","LOSE",O1372))</f>
        <v>LOSE</v>
      </c>
      <c r="BQ1372" s="57" t="n">
        <f aca="false">IF(BP1372="LOSE",1,IF(N(T1372)&gt;0,T1372,IF(N(P1372)&gt;0,P1372,MAX(1,G1372))))</f>
        <v>1</v>
      </c>
      <c r="BR1372" s="60" t="n">
        <f aca="false">IF(BP1372="LOSE",1,0)</f>
        <v>1</v>
      </c>
      <c r="BS1372" s="59" t="n">
        <f aca="false">IF(BR1372=0,0,IF(N(R1372)&gt;0,R1372,IFERROR(VLOOKUP(D1372,Parameter!$A$35:$C$64,3,0)+0,0)))</f>
        <v>0.15</v>
      </c>
      <c r="BT1372" s="55" t="n">
        <f aca="false">IF(Y1372&lt;&gt;"",Y1372,X1372)</f>
        <v>2</v>
      </c>
      <c r="BU1372" s="55" t="str">
        <f aca="false">IF(BT1372=1,"L1",IF(OR(BT1372=2,BT1372=3),"L23",IF(BT1372="Aussen","Aussen","-")))</f>
        <v>L23</v>
      </c>
      <c r="BV1372" s="66" t="n">
        <f aca="false">IF(N(Z1372)&gt;0,Z1372,0)</f>
        <v>0</v>
      </c>
      <c r="BW1372" s="60" t="n">
        <f aca="false">IF(ISNUMBER(AC1372),1,0)</f>
        <v>0</v>
      </c>
      <c r="BX1372" s="57" t="n">
        <f aca="false">N(AC1372)</f>
        <v>0</v>
      </c>
      <c r="BY1372" s="57" t="n">
        <f aca="false">N(L1372)+N(M1372)</f>
        <v>1</v>
      </c>
      <c r="BZ1372" s="57" t="n">
        <f aca="false">ROUNDUP(G1372/BQ1372,0)</f>
        <v>0</v>
      </c>
      <c r="CA1372" s="57" t="n">
        <f aca="false">ROUNDUP(BX1372/BQ1372,0)</f>
        <v>0</v>
      </c>
      <c r="CB1372" s="60" t="n">
        <f aca="false">IF(BR1372=1,0,IFERROR(VLOOKUP(BP1372,'Gebinde-Kategorie'!$A$5:$M$45,5,0)+0,0))</f>
        <v>0</v>
      </c>
      <c r="CC1372" s="60" t="n">
        <f aca="false">IFERROR(IF(OR(BT1372=1,BT1372=2,BT1372=3),N(INDEX(Parameter!$I$5:$I$7,BT1372)),0),0)</f>
        <v>0</v>
      </c>
      <c r="CD1372" s="59" t="n">
        <f aca="false">IF(AND(Parameter!$B$21="Ja",ISNUMBER(U1372),N(V1372)&gt;0),IFERROR(N(INDEX(Parameter!$L$5:$L$7,U1372))*INDEX(Parameter!$E$5:$E$7,U1372)*V1372/SUMIFS($V$7:$V$1576,$U$7:$U$1576,U1372),0),0)</f>
        <v>0</v>
      </c>
    </row>
    <row r="1373" customFormat="false" ht="15" hidden="false" customHeight="false" outlineLevel="0" collapsed="false">
      <c r="A1373" s="55" t="s">
        <v>2404</v>
      </c>
      <c r="B1373" s="55" t="s">
        <v>2405</v>
      </c>
      <c r="C1373" s="55" t="s">
        <v>160</v>
      </c>
      <c r="D1373" s="55" t="s">
        <v>178</v>
      </c>
      <c r="E1373" s="55" t="s">
        <v>210</v>
      </c>
      <c r="F1373" s="56" t="n">
        <v>208.24</v>
      </c>
      <c r="G1373" s="57" t="n">
        <f aca="false">MAX(0,IF(AND(Parameter!$B$21="Ja",ISNUMBER(W1373)),W1373,IF(Parameter!$B$20="Jahresanfang 2025 + Export",BJ1373+BI1373,BI1373)))</f>
        <v>0</v>
      </c>
      <c r="H1373" s="57" t="n">
        <f aca="false">G1373*F1373</f>
        <v>0</v>
      </c>
      <c r="I1373" s="57" t="n">
        <f aca="false">BL1373*Parameter!$B$18</f>
        <v>6</v>
      </c>
      <c r="J1373" s="58" t="n">
        <v>10</v>
      </c>
      <c r="K1373" s="59" t="n">
        <v>0.6</v>
      </c>
      <c r="L1373" s="57" t="n">
        <v>0</v>
      </c>
      <c r="M1373" s="57" t="n">
        <v>5</v>
      </c>
      <c r="N1373" s="60" t="n">
        <v>21</v>
      </c>
      <c r="O1373" s="55" t="s">
        <v>465</v>
      </c>
      <c r="P1373" s="57" t="n">
        <v>17</v>
      </c>
      <c r="Q1373" s="60" t="n">
        <f aca="false">IF(BR1373=1,0,IFERROR(VLOOKUP(BP1373,'Gebinde-Kategorie'!$A$5:$M$45,13,0)+0,0))</f>
        <v>66</v>
      </c>
      <c r="R1373" s="61"/>
      <c r="S1373" s="62"/>
      <c r="T1373" s="62"/>
      <c r="U1373" s="55"/>
      <c r="V1373" s="57"/>
      <c r="W1373" s="57"/>
      <c r="X1373" s="55" t="n">
        <f aca="false">IF(A1373="","",IF(AND(Parameter!$B$21="Ja",ISNUMBER(U1373)),U1373,IF(IFERROR(VLOOKUP(D1373,Parameter!$A$35:$C$64,2,0),"Nein")="2+3",IF(ISNUMBER(SEARCH("grosser Artikel",BM1373)),2,IFERROR(VLOOKUP(BP1373,Parameter!$F$35:$G$64,2,0),2)),IF(OR(IFERROR(VLOOKUP(D1373,Parameter!$A$35:$C$64,2,0),"Nein")="Nein",IFERROR(VLOOKUP(D1373,Parameter!$A$35:$C$64,2,0),"Nein")=""),"-",VLOOKUP(D1373,Parameter!$A$35:$C$64,2,0)))))</f>
        <v>3</v>
      </c>
      <c r="Y1373" s="62"/>
      <c r="Z1373" s="63"/>
      <c r="AA1373" s="57" t="n">
        <f aca="false">AP1373</f>
        <v>17</v>
      </c>
      <c r="AB1373" s="57" t="n">
        <f aca="false">MAX(AP1373,G1373)</f>
        <v>17</v>
      </c>
      <c r="AC1373" s="64"/>
      <c r="AD1373" s="57" t="n">
        <f aca="false">IF(LEFT(Cockpit!$C$5,1)="A",G1373,IF(BW1373=1,BX1373,IF(LEFT(Cockpit!$C$5,1)="B",AH1373,MAX(AH1373,G1373))))</f>
        <v>0</v>
      </c>
      <c r="AE1373" s="57" t="n">
        <f aca="false">IF(BR1373=1,0,ROUNDUP(AD1373/BQ1373,0))</f>
        <v>0</v>
      </c>
      <c r="AF1373" s="59" t="n">
        <f aca="false">IF(CD1373&gt;0,CD1373*MAX(1,AD1373/V1373),IF(BR1373=1,IF(AD1373&lt;=0,0,BS1373*MAX(1,IF(G1373&gt;0,AD1373/G1373,1))),IF(Q1373&gt;0,AE1373/Q1373,0))/MAX(0.1,N(Parameter!$M$21)))</f>
        <v>0</v>
      </c>
      <c r="AG1373" s="57" t="n">
        <f aca="false">AD1373*F1373</f>
        <v>0</v>
      </c>
      <c r="AH1373" s="57" t="n">
        <f aca="false">ROUNDUP(MAX(I1373/IF(BV1373&gt;0,BV1373,MAX(0.1,N(Cockpit!$C$6))),BY1373)/BQ1373,0)*BQ1373</f>
        <v>17</v>
      </c>
      <c r="AI1373" s="58" t="n">
        <f aca="false">IF(AF1373&gt;0,I1373/AF1373,-1)</f>
        <v>-1</v>
      </c>
      <c r="AJ1373" s="58" t="str">
        <f aca="false">IF(AND(OR(BU1373="L1",BU1373="L23"),AF1373&gt;0),SUMIFS($AF$7:$AF$1576,$BU$7:$BU$1576,BU1373,$AI$7:$AI$1576,"&gt;"&amp;AI1373)+SUMIFS($AF$7:$AF$1576,$BU$7:$BU$1576,BU1373,$AI$7:$AI$1576,AI1373,$BO$7:$BO$1576,"&lt;="&amp;BO1373),"")</f>
        <v/>
      </c>
      <c r="AK1373" s="65" t="n">
        <f aca="false">IF(AJ1373="",0,MAX(0,MIN(1,(IF(BU1373="L1",Parameter!$E$5,Parameter!$E$6+Parameter!$E$7)-(AJ1373-AF1373))/AF1373)))</f>
        <v>0</v>
      </c>
      <c r="AL1373" s="57" t="n">
        <f aca="false">IF(LEFT(Cockpit!$I$5,1)="A",G1373,IF(BW1373=1,BX1373,IF(LEFT(Cockpit!$I$5,1)="B",AP1373,MAX(AP1373,G1373))))</f>
        <v>17</v>
      </c>
      <c r="AM1373" s="57" t="n">
        <f aca="false">IF(BR1373=1,0,ROUNDUP(AL1373/BQ1373,0))</f>
        <v>1</v>
      </c>
      <c r="AN1373" s="59" t="n">
        <f aca="false">IF(CD1373&gt;0,CD1373*MAX(1,AL1373/V1373),IF(BR1373=1,IF(AL1373&lt;=0,0,BS1373*MAX(1,IF(G1373&gt;0,AL1373/G1373,1))),IF(Q1373&gt;0,AM1373/Q1373,0))/MAX(0.1,N(Parameter!$M$21)))</f>
        <v>0.0151515151515152</v>
      </c>
      <c r="AO1373" s="57" t="n">
        <f aca="false">AL1373*F1373</f>
        <v>3540.08</v>
      </c>
      <c r="AP1373" s="57" t="n">
        <f aca="false">ROUNDUP(MAX(I1373/IF(BV1373&gt;0,BV1373,MAX(0.1,N(Cockpit!$I$6))),BY1373)/BQ1373,0)*BQ1373</f>
        <v>17</v>
      </c>
      <c r="AQ1373" s="58" t="n">
        <f aca="false">IF(AN1373&gt;0,I1373/AN1373,-1)</f>
        <v>396</v>
      </c>
      <c r="AR1373" s="58" t="n">
        <f aca="false">IF(AND(OR(BU1373="L1",BU1373="L23"),AN1373&gt;0),SUMIFS($AN$7:$AN$1576,$BU$7:$BU$1576,BU1373,$AQ$7:$AQ$1576,"&gt;"&amp;AQ1373)+SUMIFS($AN$7:$AN$1576,$BU$7:$BU$1576,BU1373,$AQ$7:$AQ$1576,AQ1373,$BO$7:$BO$1576,"&lt;="&amp;BO1373),"")</f>
        <v>36.9859804088177</v>
      </c>
      <c r="AS1373" s="65" t="n">
        <f aca="false">IF(AR1373="",0,MAX(0,MIN(1,(IF(BU1373="L1",Parameter!$E$5,Parameter!$E$6+Parameter!$E$7)-(AR1373-AN1373))/AN1373)))</f>
        <v>1</v>
      </c>
      <c r="AT1373" s="57" t="n">
        <f aca="false">IF(LEFT(Cockpit!$O$5,1)="A",G1373,IF(BW1373=1,BX1373,IF(LEFT(Cockpit!$O$5,1)="B",AX1373,MAX(AX1373,G1373))))</f>
        <v>17</v>
      </c>
      <c r="AU1373" s="57" t="n">
        <f aca="false">IF(BR1373=1,0,ROUNDUP(AT1373/BQ1373,0))</f>
        <v>1</v>
      </c>
      <c r="AV1373" s="59" t="n">
        <f aca="false">IF(CD1373&gt;0,CD1373*MAX(1,AT1373/V1373),IF(BR1373=1,IF(AT1373&lt;=0,0,BS1373*MAX(1,IF(G1373&gt;0,AT1373/G1373,1))),IF(Q1373&gt;0,AU1373/Q1373,0))/MAX(0.1,N(Parameter!$M$21)))</f>
        <v>0.0151515151515152</v>
      </c>
      <c r="AW1373" s="57" t="n">
        <f aca="false">AT1373*F1373</f>
        <v>3540.08</v>
      </c>
      <c r="AX1373" s="57" t="n">
        <f aca="false">ROUNDUP(MAX(I1373/IF(BV1373&gt;0,BV1373,MAX(0.1,N(Cockpit!$O$6))),BY1373)/BQ1373,0)*BQ1373</f>
        <v>17</v>
      </c>
      <c r="AY1373" s="58" t="n">
        <f aca="false">IF(AV1373&gt;0,I1373/AV1373,-1)</f>
        <v>396</v>
      </c>
      <c r="AZ1373" s="58" t="n">
        <f aca="false">IF(AND(OR(BU1373="L1",BU1373="L23"),AV1373&gt;0),SUMIFS($AV$7:$AV$1576,$BU$7:$BU$1576,BU1373,$AY$7:$AY$1576,"&gt;"&amp;AY1373)+SUMIFS($AV$7:$AV$1576,$BU$7:$BU$1576,BU1373,$AY$7:$AY$1576,AY1373,$BO$7:$BO$1576,"&lt;="&amp;BO1373),"")</f>
        <v>36.1507256635629</v>
      </c>
      <c r="BA1373" s="65" t="n">
        <f aca="false">IF(AZ1373="",0,MAX(0,MIN(1,(IF(BU1373="L1",Parameter!$E$5,Parameter!$E$6+Parameter!$E$7)-(AZ1373-AV1373))/AV1373)))</f>
        <v>1</v>
      </c>
      <c r="BB1373" s="55" t="str">
        <f aca="false">IF(AF1373&lt;=0,"",IF(BU1373="Aussen","Aussenlager",IF(BU1373="-","Nicht im Lift",IF(AK1373&gt;=1,"Lift",IF(AK1373&lt;=0,"Aussenlager","teilweise")))))</f>
        <v/>
      </c>
      <c r="BC1373" s="55" t="str">
        <f aca="false">IF(AN1373&lt;=0,"",IF(BU1373="Aussen","Aussenlager",IF(BU1373="-","Nicht im Lift",IF(AS1373&gt;=1,"Lift",IF(AS1373&lt;=0,"Aussenlager","teilweise")))))</f>
        <v>Lift</v>
      </c>
      <c r="BD1373" s="55" t="str">
        <f aca="false">IF(AV1373&lt;=0,"",IF(BU1373="Aussen","Aussenlager",IF(BU1373="-","Nicht im Lift",IF(BA1373&gt;=1,"Lift",IF(BA1373&lt;=0,"Aussenlager","teilweise")))))</f>
        <v>Lift</v>
      </c>
      <c r="BE1373" s="55" t="str">
        <f aca="false">IF(A1373="","",IF(BN1373=1,"Neu; ","")&amp;IF(AND(BN1373=0,BI1373&lt;0),"negativer Bestand (Export "&amp;BI1373&amp;"); ","")&amp;IF(I1373&lt;=0,"Kein Verbrauch; ","")&amp;IF(CD1373&gt;0,"Lift "&amp;U1373&amp;" lt. Liftbericht (Fach "&amp;V1373&amp;" Stk); ",IF(BR1373=1,"Lose – Fläche geschätzt; ",""))&amp;IF(G1373&gt;AP1373,"Überbestand "&amp;ROUND(G1373-AP1373,0)&amp;" Stk / CHF "&amp;ROUND((G1373-AP1373)*F1373,0)&amp;"; ","")&amp;IF(AND(BW1373=1,BX1373&lt;BY1373),"MAX &lt; MB+LG; ","")&amp;IF(AND(CC1373&gt;0,CB1373*10&gt;CC1373),"zu hoch für Tablar; ","")&amp;IF(AND(BN1373=0,OR(BW1373=1,Y1373&lt;&gt;"",S1373&lt;&gt;"",T1373&lt;&gt;"",Z1373&lt;&gt;"")),"manuell übersteuert; ","")&amp;IF(AND(BR1373=0,Q1373=0),"Gebinde unbekannt / Stellmass fehlt; ","")&amp;IF(AND(BR1373=0,N(T1373)&lt;=0,N(P1373)&lt;=0),"Menge pro Gebinde fehlt (Ist = 1 Gebinde); ","")&amp;BM1373)</f>
        <v>negativer Bestand (Export -13); </v>
      </c>
      <c r="BF1373" s="55"/>
      <c r="BG1373" s="55"/>
      <c r="BH1373" s="62"/>
      <c r="BI1373" s="57" t="n">
        <v>-13</v>
      </c>
      <c r="BJ1373" s="57" t="n">
        <v>14</v>
      </c>
      <c r="BK1373" s="56" t="n">
        <v>-2707.12</v>
      </c>
      <c r="BL1373" s="57" t="n">
        <v>6</v>
      </c>
      <c r="BM1373" s="55"/>
      <c r="BN1373" s="60" t="n">
        <v>0</v>
      </c>
      <c r="BO1373" s="60" t="n">
        <v>1373</v>
      </c>
      <c r="BP1373" s="55" t="str">
        <f aca="false">IF(S1373&lt;&gt;"",UPPER(TRIM(S1373)),IF(O1373="","LOSE",O1373))</f>
        <v>S33</v>
      </c>
      <c r="BQ1373" s="57" t="n">
        <f aca="false">IF(BP1373="LOSE",1,IF(N(T1373)&gt;0,T1373,IF(N(P1373)&gt;0,P1373,MAX(1,G1373))))</f>
        <v>17</v>
      </c>
      <c r="BR1373" s="60" t="n">
        <f aca="false">IF(BP1373="LOSE",1,0)</f>
        <v>0</v>
      </c>
      <c r="BS1373" s="59" t="n">
        <f aca="false">IF(BR1373=0,0,IF(N(R1373)&gt;0,R1373,IFERROR(VLOOKUP(D1373,Parameter!$A$35:$C$64,3,0)+0,0)))</f>
        <v>0</v>
      </c>
      <c r="BT1373" s="55" t="n">
        <f aca="false">IF(Y1373&lt;&gt;"",Y1373,X1373)</f>
        <v>3</v>
      </c>
      <c r="BU1373" s="55" t="str">
        <f aca="false">IF(BT1373=1,"L1",IF(OR(BT1373=2,BT1373=3),"L23",IF(BT1373="Aussen","Aussen","-")))</f>
        <v>L23</v>
      </c>
      <c r="BV1373" s="66" t="n">
        <f aca="false">IF(N(Z1373)&gt;0,Z1373,0)</f>
        <v>0</v>
      </c>
      <c r="BW1373" s="60" t="n">
        <f aca="false">IF(ISNUMBER(AC1373),1,0)</f>
        <v>0</v>
      </c>
      <c r="BX1373" s="57" t="n">
        <f aca="false">N(AC1373)</f>
        <v>0</v>
      </c>
      <c r="BY1373" s="57" t="n">
        <f aca="false">N(L1373)+N(M1373)</f>
        <v>5</v>
      </c>
      <c r="BZ1373" s="57" t="n">
        <f aca="false">ROUNDUP(G1373/BQ1373,0)</f>
        <v>0</v>
      </c>
      <c r="CA1373" s="57" t="n">
        <f aca="false">ROUNDUP(BX1373/BQ1373,0)</f>
        <v>0</v>
      </c>
      <c r="CB1373" s="60" t="n">
        <f aca="false">IF(BR1373=1,0,IFERROR(VLOOKUP(BP1373,'Gebinde-Kategorie'!$A$5:$M$45,5,0)+0,0))</f>
        <v>8</v>
      </c>
      <c r="CC1373" s="60" t="n">
        <f aca="false">IFERROR(IF(OR(BT1373=1,BT1373=2,BT1373=3),N(INDEX(Parameter!$I$5:$I$7,BT1373)),0),0)</f>
        <v>0</v>
      </c>
      <c r="CD1373" s="59" t="n">
        <f aca="false">IF(AND(Parameter!$B$21="Ja",ISNUMBER(U1373),N(V1373)&gt;0),IFERROR(N(INDEX(Parameter!$L$5:$L$7,U1373))*INDEX(Parameter!$E$5:$E$7,U1373)*V1373/SUMIFS($V$7:$V$1576,$U$7:$U$1576,U1373),0),0)</f>
        <v>0</v>
      </c>
    </row>
    <row r="1374" customFormat="false" ht="15" hidden="false" customHeight="false" outlineLevel="0" collapsed="false">
      <c r="A1374" s="55" t="s">
        <v>2406</v>
      </c>
      <c r="B1374" s="55" t="s">
        <v>2407</v>
      </c>
      <c r="C1374" s="55" t="s">
        <v>160</v>
      </c>
      <c r="D1374" s="55" t="s">
        <v>168</v>
      </c>
      <c r="E1374" s="55" t="s">
        <v>210</v>
      </c>
      <c r="F1374" s="56" t="n">
        <v>1780.49</v>
      </c>
      <c r="G1374" s="57" t="n">
        <f aca="false">MAX(0,IF(AND(Parameter!$B$21="Ja",ISNUMBER(W1374)),W1374,IF(Parameter!$B$20="Jahresanfang 2025 + Export",BJ1374+BI1374,BI1374)))</f>
        <v>0</v>
      </c>
      <c r="H1374" s="57" t="n">
        <f aca="false">G1374*F1374</f>
        <v>0</v>
      </c>
      <c r="I1374" s="57" t="n">
        <f aca="false">BL1374*Parameter!$B$18</f>
        <v>87</v>
      </c>
      <c r="J1374" s="58" t="n">
        <v>11</v>
      </c>
      <c r="K1374" s="59" t="n">
        <v>7.90909090909091</v>
      </c>
      <c r="L1374" s="57" t="n">
        <v>5</v>
      </c>
      <c r="M1374" s="57" t="n">
        <v>15</v>
      </c>
      <c r="N1374" s="60" t="n">
        <v>21</v>
      </c>
      <c r="O1374" s="55" t="s">
        <v>169</v>
      </c>
      <c r="P1374" s="57" t="n">
        <v>8</v>
      </c>
      <c r="Q1374" s="60" t="n">
        <f aca="false">IF(BR1374=1,0,IFERROR(VLOOKUP(BP1374,'Gebinde-Kategorie'!$A$5:$M$45,13,0)+0,0))</f>
        <v>6</v>
      </c>
      <c r="R1374" s="61"/>
      <c r="S1374" s="62"/>
      <c r="T1374" s="62"/>
      <c r="U1374" s="55"/>
      <c r="V1374" s="57"/>
      <c r="W1374" s="57"/>
      <c r="X1374" s="55" t="n">
        <f aca="false">IF(A1374="","",IF(AND(Parameter!$B$21="Ja",ISNUMBER(U1374)),U1374,IF(IFERROR(VLOOKUP(D1374,Parameter!$A$35:$C$64,2,0),"Nein")="2+3",IF(ISNUMBER(SEARCH("grosser Artikel",BM1374)),2,IFERROR(VLOOKUP(BP1374,Parameter!$F$35:$G$64,2,0),2)),IF(OR(IFERROR(VLOOKUP(D1374,Parameter!$A$35:$C$64,2,0),"Nein")="Nein",IFERROR(VLOOKUP(D1374,Parameter!$A$35:$C$64,2,0),"Nein")=""),"-",VLOOKUP(D1374,Parameter!$A$35:$C$64,2,0)))))</f>
        <v>2</v>
      </c>
      <c r="Y1374" s="62"/>
      <c r="Z1374" s="63"/>
      <c r="AA1374" s="57" t="n">
        <f aca="false">AP1374</f>
        <v>48</v>
      </c>
      <c r="AB1374" s="57" t="n">
        <f aca="false">MAX(AP1374,G1374)</f>
        <v>48</v>
      </c>
      <c r="AC1374" s="64"/>
      <c r="AD1374" s="57" t="n">
        <f aca="false">IF(LEFT(Cockpit!$C$5,1)="A",G1374,IF(BW1374=1,BX1374,IF(LEFT(Cockpit!$C$5,1)="B",AH1374,MAX(AH1374,G1374))))</f>
        <v>0</v>
      </c>
      <c r="AE1374" s="57" t="n">
        <f aca="false">IF(BR1374=1,0,ROUNDUP(AD1374/BQ1374,0))</f>
        <v>0</v>
      </c>
      <c r="AF1374" s="59" t="n">
        <f aca="false">IF(CD1374&gt;0,CD1374*MAX(1,AD1374/V1374),IF(BR1374=1,IF(AD1374&lt;=0,0,BS1374*MAX(1,IF(G1374&gt;0,AD1374/G1374,1))),IF(Q1374&gt;0,AE1374/Q1374,0))/MAX(0.1,N(Parameter!$M$21)))</f>
        <v>0</v>
      </c>
      <c r="AG1374" s="57" t="n">
        <f aca="false">AD1374*F1374</f>
        <v>0</v>
      </c>
      <c r="AH1374" s="57" t="n">
        <f aca="false">ROUNDUP(MAX(I1374/IF(BV1374&gt;0,BV1374,MAX(0.1,N(Cockpit!$C$6))),BY1374)/BQ1374,0)*BQ1374</f>
        <v>48</v>
      </c>
      <c r="AI1374" s="58" t="n">
        <f aca="false">IF(AF1374&gt;0,I1374/AF1374,-1)</f>
        <v>-1</v>
      </c>
      <c r="AJ1374" s="58" t="str">
        <f aca="false">IF(AND(OR(BU1374="L1",BU1374="L23"),AF1374&gt;0),SUMIFS($AF$7:$AF$1576,$BU$7:$BU$1576,BU1374,$AI$7:$AI$1576,"&gt;"&amp;AI1374)+SUMIFS($AF$7:$AF$1576,$BU$7:$BU$1576,BU1374,$AI$7:$AI$1576,AI1374,$BO$7:$BO$1576,"&lt;="&amp;BO1374),"")</f>
        <v/>
      </c>
      <c r="AK1374" s="65" t="n">
        <f aca="false">IF(AJ1374="",0,MAX(0,MIN(1,(IF(BU1374="L1",Parameter!$E$5,Parameter!$E$6+Parameter!$E$7)-(AJ1374-AF1374))/AF1374)))</f>
        <v>0</v>
      </c>
      <c r="AL1374" s="57" t="n">
        <f aca="false">IF(LEFT(Cockpit!$I$5,1)="A",G1374,IF(BW1374=1,BX1374,IF(LEFT(Cockpit!$I$5,1)="B",AP1374,MAX(AP1374,G1374))))</f>
        <v>48</v>
      </c>
      <c r="AM1374" s="57" t="n">
        <f aca="false">IF(BR1374=1,0,ROUNDUP(AL1374/BQ1374,0))</f>
        <v>6</v>
      </c>
      <c r="AN1374" s="59" t="n">
        <f aca="false">IF(CD1374&gt;0,CD1374*MAX(1,AL1374/V1374),IF(BR1374=1,IF(AL1374&lt;=0,0,BS1374*MAX(1,IF(G1374&gt;0,AL1374/G1374,1))),IF(Q1374&gt;0,AM1374/Q1374,0))/MAX(0.1,N(Parameter!$M$21)))</f>
        <v>1</v>
      </c>
      <c r="AO1374" s="57" t="n">
        <f aca="false">AL1374*F1374</f>
        <v>85463.52</v>
      </c>
      <c r="AP1374" s="57" t="n">
        <f aca="false">ROUNDUP(MAX(I1374/IF(BV1374&gt;0,BV1374,MAX(0.1,N(Cockpit!$I$6))),BY1374)/BQ1374,0)*BQ1374</f>
        <v>48</v>
      </c>
      <c r="AQ1374" s="58" t="n">
        <f aca="false">IF(AN1374&gt;0,I1374/AN1374,-1)</f>
        <v>87</v>
      </c>
      <c r="AR1374" s="58" t="n">
        <f aca="false">IF(AND(OR(BU1374="L1",BU1374="L23"),AN1374&gt;0),SUMIFS($AN$7:$AN$1576,$BU$7:$BU$1576,BU1374,$AQ$7:$AQ$1576,"&gt;"&amp;AQ1374)+SUMIFS($AN$7:$AN$1576,$BU$7:$BU$1576,BU1374,$AQ$7:$AQ$1576,AQ1374,$BO$7:$BO$1576,"&lt;="&amp;BO1374),"")</f>
        <v>72.6103133765745</v>
      </c>
      <c r="AS1374" s="65" t="n">
        <f aca="false">IF(AR1374="",0,MAX(0,MIN(1,(IF(BU1374="L1",Parameter!$E$5,Parameter!$E$6+Parameter!$E$7)-(AR1374-AN1374))/AN1374)))</f>
        <v>1</v>
      </c>
      <c r="AT1374" s="57" t="n">
        <f aca="false">IF(LEFT(Cockpit!$O$5,1)="A",G1374,IF(BW1374=1,BX1374,IF(LEFT(Cockpit!$O$5,1)="B",AX1374,MAX(AX1374,G1374))))</f>
        <v>32</v>
      </c>
      <c r="AU1374" s="57" t="n">
        <f aca="false">IF(BR1374=1,0,ROUNDUP(AT1374/BQ1374,0))</f>
        <v>4</v>
      </c>
      <c r="AV1374" s="59" t="n">
        <f aca="false">IF(CD1374&gt;0,CD1374*MAX(1,AT1374/V1374),IF(BR1374=1,IF(AT1374&lt;=0,0,BS1374*MAX(1,IF(G1374&gt;0,AT1374/G1374,1))),IF(Q1374&gt;0,AU1374/Q1374,0))/MAX(0.1,N(Parameter!$M$21)))</f>
        <v>0.666666666666667</v>
      </c>
      <c r="AW1374" s="57" t="n">
        <f aca="false">AT1374*F1374</f>
        <v>56975.68</v>
      </c>
      <c r="AX1374" s="57" t="n">
        <f aca="false">ROUNDUP(MAX(I1374/IF(BV1374&gt;0,BV1374,MAX(0.1,N(Cockpit!$O$6))),BY1374)/BQ1374,0)*BQ1374</f>
        <v>32</v>
      </c>
      <c r="AY1374" s="58" t="n">
        <f aca="false">IF(AV1374&gt;0,I1374/AV1374,-1)</f>
        <v>130.5</v>
      </c>
      <c r="AZ1374" s="58" t="n">
        <f aca="false">IF(AND(OR(BU1374="L1",BU1374="L23"),AV1374&gt;0),SUMIFS($AV$7:$AV$1576,$BU$7:$BU$1576,BU1374,$AY$7:$AY$1576,"&gt;"&amp;AY1374)+SUMIFS($AV$7:$AV$1576,$BU$7:$BU$1576,BU1374,$AY$7:$AY$1576,AY1374,$BO$7:$BO$1576,"&lt;="&amp;BO1374),"")</f>
        <v>56.4907515495127</v>
      </c>
      <c r="BA1374" s="65" t="n">
        <f aca="false">IF(AZ1374="",0,MAX(0,MIN(1,(IF(BU1374="L1",Parameter!$E$5,Parameter!$E$6+Parameter!$E$7)-(AZ1374-AV1374))/AV1374)))</f>
        <v>1</v>
      </c>
      <c r="BB1374" s="55" t="str">
        <f aca="false">IF(AF1374&lt;=0,"",IF(BU1374="Aussen","Aussenlager",IF(BU1374="-","Nicht im Lift",IF(AK1374&gt;=1,"Lift",IF(AK1374&lt;=0,"Aussenlager","teilweise")))))</f>
        <v/>
      </c>
      <c r="BC1374" s="55" t="str">
        <f aca="false">IF(AN1374&lt;=0,"",IF(BU1374="Aussen","Aussenlager",IF(BU1374="-","Nicht im Lift",IF(AS1374&gt;=1,"Lift",IF(AS1374&lt;=0,"Aussenlager","teilweise")))))</f>
        <v>Lift</v>
      </c>
      <c r="BD1374" s="55" t="str">
        <f aca="false">IF(AV1374&lt;=0,"",IF(BU1374="Aussen","Aussenlager",IF(BU1374="-","Nicht im Lift",IF(BA1374&gt;=1,"Lift",IF(BA1374&lt;=0,"Aussenlager","teilweise")))))</f>
        <v>Lift</v>
      </c>
      <c r="BE1374" s="55" t="str">
        <f aca="false">IF(A1374="","",IF(BN1374=1,"Neu; ","")&amp;IF(AND(BN1374=0,BI1374&lt;0),"negativer Bestand (Export "&amp;BI1374&amp;"); ","")&amp;IF(I1374&lt;=0,"Kein Verbrauch; ","")&amp;IF(CD1374&gt;0,"Lift "&amp;U1374&amp;" lt. Liftbericht (Fach "&amp;V1374&amp;" Stk); ",IF(BR1374=1,"Lose – Fläche geschätzt; ",""))&amp;IF(G1374&gt;AP1374,"Überbestand "&amp;ROUND(G1374-AP1374,0)&amp;" Stk / CHF "&amp;ROUND((G1374-AP1374)*F1374,0)&amp;"; ","")&amp;IF(AND(BW1374=1,BX1374&lt;BY1374),"MAX &lt; MB+LG; ","")&amp;IF(AND(CC1374&gt;0,CB1374*10&gt;CC1374),"zu hoch für Tablar; ","")&amp;IF(AND(BN1374=0,OR(BW1374=1,Y1374&lt;&gt;"",S1374&lt;&gt;"",T1374&lt;&gt;"",Z1374&lt;&gt;"")),"manuell übersteuert; ","")&amp;IF(AND(BR1374=0,Q1374=0),"Gebinde unbekannt / Stellmass fehlt; ","")&amp;IF(AND(BR1374=0,N(T1374)&lt;=0,N(P1374)&lt;=0),"Menge pro Gebinde fehlt (Ist = 1 Gebinde); ","")&amp;BM1374)</f>
        <v/>
      </c>
      <c r="BF1374" s="55"/>
      <c r="BG1374" s="55"/>
      <c r="BH1374" s="62"/>
      <c r="BI1374" s="57" t="n">
        <v>0</v>
      </c>
      <c r="BJ1374" s="57" t="n">
        <v>10</v>
      </c>
      <c r="BK1374" s="56" t="n">
        <v>-2746.34999999998</v>
      </c>
      <c r="BL1374" s="57" t="n">
        <v>87</v>
      </c>
      <c r="BM1374" s="55"/>
      <c r="BN1374" s="60" t="n">
        <v>0</v>
      </c>
      <c r="BO1374" s="60" t="n">
        <v>1374</v>
      </c>
      <c r="BP1374" s="55" t="str">
        <f aca="false">IF(S1374&lt;&gt;"",UPPER(TRIM(S1374)),IF(O1374="","LOSE",O1374))</f>
        <v>S71</v>
      </c>
      <c r="BQ1374" s="57" t="n">
        <f aca="false">IF(BP1374="LOSE",1,IF(N(T1374)&gt;0,T1374,IF(N(P1374)&gt;0,P1374,MAX(1,G1374))))</f>
        <v>8</v>
      </c>
      <c r="BR1374" s="60" t="n">
        <f aca="false">IF(BP1374="LOSE",1,0)</f>
        <v>0</v>
      </c>
      <c r="BS1374" s="59" t="n">
        <f aca="false">IF(BR1374=0,0,IF(N(R1374)&gt;0,R1374,IFERROR(VLOOKUP(D1374,Parameter!$A$35:$C$64,3,0)+0,0)))</f>
        <v>0</v>
      </c>
      <c r="BT1374" s="55" t="n">
        <f aca="false">IF(Y1374&lt;&gt;"",Y1374,X1374)</f>
        <v>2</v>
      </c>
      <c r="BU1374" s="55" t="str">
        <f aca="false">IF(BT1374=1,"L1",IF(OR(BT1374=2,BT1374=3),"L23",IF(BT1374="Aussen","Aussen","-")))</f>
        <v>L23</v>
      </c>
      <c r="BV1374" s="66" t="n">
        <f aca="false">IF(N(Z1374)&gt;0,Z1374,0)</f>
        <v>0</v>
      </c>
      <c r="BW1374" s="60" t="n">
        <f aca="false">IF(ISNUMBER(AC1374),1,0)</f>
        <v>0</v>
      </c>
      <c r="BX1374" s="57" t="n">
        <f aca="false">N(AC1374)</f>
        <v>0</v>
      </c>
      <c r="BY1374" s="57" t="n">
        <f aca="false">N(L1374)+N(M1374)</f>
        <v>20</v>
      </c>
      <c r="BZ1374" s="57" t="n">
        <f aca="false">ROUNDUP(G1374/BQ1374,0)</f>
        <v>0</v>
      </c>
      <c r="CA1374" s="57" t="n">
        <f aca="false">ROUNDUP(BX1374/BQ1374,0)</f>
        <v>0</v>
      </c>
      <c r="CB1374" s="60" t="n">
        <f aca="false">IF(BR1374=1,0,IFERROR(VLOOKUP(BP1374,'Gebinde-Kategorie'!$A$5:$M$45,5,0)+0,0))</f>
        <v>20</v>
      </c>
      <c r="CC1374" s="60" t="n">
        <f aca="false">IFERROR(IF(OR(BT1374=1,BT1374=2,BT1374=3),N(INDEX(Parameter!$I$5:$I$7,BT1374)),0),0)</f>
        <v>0</v>
      </c>
      <c r="CD1374" s="59" t="n">
        <f aca="false">IF(AND(Parameter!$B$21="Ja",ISNUMBER(U1374),N(V1374)&gt;0),IFERROR(N(INDEX(Parameter!$L$5:$L$7,U1374))*INDEX(Parameter!$E$5:$E$7,U1374)*V1374/SUMIFS($V$7:$V$1576,$U$7:$U$1576,U1374),0),0)</f>
        <v>0</v>
      </c>
    </row>
    <row r="1375" customFormat="false" ht="15" hidden="false" customHeight="false" outlineLevel="0" collapsed="false">
      <c r="A1375" s="55" t="s">
        <v>2408</v>
      </c>
      <c r="B1375" s="55" t="s">
        <v>2409</v>
      </c>
      <c r="C1375" s="55" t="s">
        <v>160</v>
      </c>
      <c r="D1375" s="55" t="s">
        <v>161</v>
      </c>
      <c r="E1375" s="55" t="s">
        <v>210</v>
      </c>
      <c r="F1375" s="56" t="n">
        <v>1385.5</v>
      </c>
      <c r="G1375" s="57" t="n">
        <f aca="false">MAX(0,IF(AND(Parameter!$B$21="Ja",ISNUMBER(W1375)),W1375,IF(Parameter!$B$20="Jahresanfang 2025 + Export",BJ1375+BI1375,BI1375)))</f>
        <v>1</v>
      </c>
      <c r="H1375" s="57" t="n">
        <f aca="false">G1375*F1375</f>
        <v>1385.5</v>
      </c>
      <c r="I1375" s="57" t="n">
        <f aca="false">BL1375*Parameter!$B$18</f>
        <v>1</v>
      </c>
      <c r="J1375" s="58" t="n">
        <v>2.5</v>
      </c>
      <c r="K1375" s="59" t="n">
        <v>0.4</v>
      </c>
      <c r="L1375" s="57" t="n">
        <v>0</v>
      </c>
      <c r="M1375" s="57" t="n">
        <v>1</v>
      </c>
      <c r="N1375" s="60" t="n">
        <v>14</v>
      </c>
      <c r="O1375" s="55" t="s">
        <v>163</v>
      </c>
      <c r="P1375" s="57"/>
      <c r="Q1375" s="60" t="n">
        <f aca="false">IF(BR1375=1,0,IFERROR(VLOOKUP(BP1375,'Gebinde-Kategorie'!$A$5:$M$45,13,0)+0,0))</f>
        <v>0</v>
      </c>
      <c r="R1375" s="61"/>
      <c r="S1375" s="62"/>
      <c r="T1375" s="62"/>
      <c r="U1375" s="55" t="n">
        <v>1</v>
      </c>
      <c r="V1375" s="57" t="n">
        <v>2</v>
      </c>
      <c r="W1375" s="57" t="n">
        <v>1</v>
      </c>
      <c r="X1375" s="55" t="n">
        <f aca="false">IF(A1375="","",IF(AND(Parameter!$B$21="Ja",ISNUMBER(U1375)),U1375,IF(IFERROR(VLOOKUP(D1375,Parameter!$A$35:$C$64,2,0),"Nein")="2+3",IF(ISNUMBER(SEARCH("grosser Artikel",BM1375)),2,IFERROR(VLOOKUP(BP1375,Parameter!$F$35:$G$64,2,0),2)),IF(OR(IFERROR(VLOOKUP(D1375,Parameter!$A$35:$C$64,2,0),"Nein")="Nein",IFERROR(VLOOKUP(D1375,Parameter!$A$35:$C$64,2,0),"Nein")=""),"-",VLOOKUP(D1375,Parameter!$A$35:$C$64,2,0)))))</f>
        <v>1</v>
      </c>
      <c r="Y1375" s="62"/>
      <c r="Z1375" s="63"/>
      <c r="AA1375" s="57" t="n">
        <f aca="false">AP1375</f>
        <v>1</v>
      </c>
      <c r="AB1375" s="57" t="n">
        <f aca="false">MAX(AP1375,G1375)</f>
        <v>1</v>
      </c>
      <c r="AC1375" s="64"/>
      <c r="AD1375" s="57" t="n">
        <f aca="false">IF(LEFT(Cockpit!$C$5,1)="A",G1375,IF(BW1375=1,BX1375,IF(LEFT(Cockpit!$C$5,1)="B",AH1375,MAX(AH1375,G1375))))</f>
        <v>1</v>
      </c>
      <c r="AE1375" s="57" t="n">
        <f aca="false">IF(BR1375=1,0,ROUNDUP(AD1375/BQ1375,0))</f>
        <v>0</v>
      </c>
      <c r="AF1375" s="59" t="n">
        <f aca="false">IF(CD1375&gt;0,CD1375*MAX(1,AD1375/V1375),IF(BR1375=1,IF(AD1375&lt;=0,0,BS1375*MAX(1,IF(G1375&gt;0,AD1375/G1375,1))),IF(Q1375&gt;0,AE1375/Q1375,0))/MAX(0.1,N(Parameter!$M$21)))</f>
        <v>0.160075329566855</v>
      </c>
      <c r="AG1375" s="57" t="n">
        <f aca="false">AD1375*F1375</f>
        <v>1385.5</v>
      </c>
      <c r="AH1375" s="57" t="n">
        <f aca="false">ROUNDUP(MAX(I1375/IF(BV1375&gt;0,BV1375,MAX(0.1,N(Cockpit!$C$6))),BY1375)/BQ1375,0)*BQ1375</f>
        <v>1</v>
      </c>
      <c r="AI1375" s="58" t="n">
        <f aca="false">IF(AF1375&gt;0,I1375/AF1375,-1)</f>
        <v>6.24705882352941</v>
      </c>
      <c r="AJ1375" s="58" t="n">
        <f aca="false">IF(AND(OR(BU1375="L1",BU1375="L23"),AF1375&gt;0),SUMIFS($AF$7:$AF$1576,$BU$7:$BU$1576,BU1375,$AI$7:$AI$1576,"&gt;"&amp;AI1375)+SUMIFS($AF$7:$AF$1576,$BU$7:$BU$1576,BU1375,$AI$7:$AI$1576,AI1375,$BO$7:$BO$1576,"&lt;="&amp;BO1375),"")</f>
        <v>28.1732580037665</v>
      </c>
      <c r="AK1375" s="65" t="n">
        <f aca="false">IF(AJ1375="",0,MAX(0,MIN(1,(IF(BU1375="L1",Parameter!$E$5,Parameter!$E$6+Parameter!$E$7)-(AJ1375-AF1375))/AF1375)))</f>
        <v>1</v>
      </c>
      <c r="AL1375" s="57" t="n">
        <f aca="false">IF(LEFT(Cockpit!$I$5,1)="A",G1375,IF(BW1375=1,BX1375,IF(LEFT(Cockpit!$I$5,1)="B",AP1375,MAX(AP1375,G1375))))</f>
        <v>1</v>
      </c>
      <c r="AM1375" s="57" t="n">
        <f aca="false">IF(BR1375=1,0,ROUNDUP(AL1375/BQ1375,0))</f>
        <v>0</v>
      </c>
      <c r="AN1375" s="59" t="n">
        <f aca="false">IF(CD1375&gt;0,CD1375*MAX(1,AL1375/V1375),IF(BR1375=1,IF(AL1375&lt;=0,0,BS1375*MAX(1,IF(G1375&gt;0,AL1375/G1375,1))),IF(Q1375&gt;0,AM1375/Q1375,0))/MAX(0.1,N(Parameter!$M$21)))</f>
        <v>0.160075329566855</v>
      </c>
      <c r="AO1375" s="57" t="n">
        <f aca="false">AL1375*F1375</f>
        <v>1385.5</v>
      </c>
      <c r="AP1375" s="57" t="n">
        <f aca="false">ROUNDUP(MAX(I1375/IF(BV1375&gt;0,BV1375,MAX(0.1,N(Cockpit!$I$6))),BY1375)/BQ1375,0)*BQ1375</f>
        <v>1</v>
      </c>
      <c r="AQ1375" s="58" t="n">
        <f aca="false">IF(AN1375&gt;0,I1375/AN1375,-1)</f>
        <v>6.24705882352941</v>
      </c>
      <c r="AR1375" s="58" t="n">
        <f aca="false">IF(AND(OR(BU1375="L1",BU1375="L23"),AN1375&gt;0),SUMIFS($AN$7:$AN$1576,$BU$7:$BU$1576,BU1375,$AQ$7:$AQ$1576,"&gt;"&amp;AQ1375)+SUMIFS($AN$7:$AN$1576,$BU$7:$BU$1576,BU1375,$AQ$7:$AQ$1576,AQ1375,$BO$7:$BO$1576,"&lt;="&amp;BO1375),"")</f>
        <v>33.6158192090396</v>
      </c>
      <c r="AS1375" s="65" t="n">
        <f aca="false">IF(AR1375="",0,MAX(0,MIN(1,(IF(BU1375="L1",Parameter!$E$5,Parameter!$E$6+Parameter!$E$7)-(AR1375-AN1375))/AN1375)))</f>
        <v>1</v>
      </c>
      <c r="AT1375" s="57" t="n">
        <f aca="false">IF(LEFT(Cockpit!$O$5,1)="A",G1375,IF(BW1375=1,BX1375,IF(LEFT(Cockpit!$O$5,1)="B",AX1375,MAX(AX1375,G1375))))</f>
        <v>1</v>
      </c>
      <c r="AU1375" s="57" t="n">
        <f aca="false">IF(BR1375=1,0,ROUNDUP(AT1375/BQ1375,0))</f>
        <v>0</v>
      </c>
      <c r="AV1375" s="59" t="n">
        <f aca="false">IF(CD1375&gt;0,CD1375*MAX(1,AT1375/V1375),IF(BR1375=1,IF(AT1375&lt;=0,0,BS1375*MAX(1,IF(G1375&gt;0,AT1375/G1375,1))),IF(Q1375&gt;0,AU1375/Q1375,0))/MAX(0.1,N(Parameter!$M$21)))</f>
        <v>0.160075329566855</v>
      </c>
      <c r="AW1375" s="57" t="n">
        <f aca="false">AT1375*F1375</f>
        <v>1385.5</v>
      </c>
      <c r="AX1375" s="57" t="n">
        <f aca="false">ROUNDUP(MAX(I1375/IF(BV1375&gt;0,BV1375,MAX(0.1,N(Cockpit!$O$6))),BY1375)/BQ1375,0)*BQ1375</f>
        <v>1</v>
      </c>
      <c r="AY1375" s="58" t="n">
        <f aca="false">IF(AV1375&gt;0,I1375/AV1375,-1)</f>
        <v>6.24705882352941</v>
      </c>
      <c r="AZ1375" s="58" t="n">
        <f aca="false">IF(AND(OR(BU1375="L1",BU1375="L23"),AV1375&gt;0),SUMIFS($AV$7:$AV$1576,$BU$7:$BU$1576,BU1375,$AY$7:$AY$1576,"&gt;"&amp;AY1375)+SUMIFS($AV$7:$AV$1576,$BU$7:$BU$1576,BU1375,$AY$7:$AY$1576,AY1375,$BO$7:$BO$1576,"&lt;="&amp;BO1375),"")</f>
        <v>30.6544256120527</v>
      </c>
      <c r="BA1375" s="65" t="n">
        <f aca="false">IF(AZ1375="",0,MAX(0,MIN(1,(IF(BU1375="L1",Parameter!$E$5,Parameter!$E$6+Parameter!$E$7)-(AZ1375-AV1375))/AV1375)))</f>
        <v>1</v>
      </c>
      <c r="BB1375" s="55" t="str">
        <f aca="false">IF(AF1375&lt;=0,"",IF(BU1375="Aussen","Aussenlager",IF(BU1375="-","Nicht im Lift",IF(AK1375&gt;=1,"Lift",IF(AK1375&lt;=0,"Aussenlager","teilweise")))))</f>
        <v>Lift</v>
      </c>
      <c r="BC1375" s="55" t="str">
        <f aca="false">IF(AN1375&lt;=0,"",IF(BU1375="Aussen","Aussenlager",IF(BU1375="-","Nicht im Lift",IF(AS1375&gt;=1,"Lift",IF(AS1375&lt;=0,"Aussenlager","teilweise")))))</f>
        <v>Lift</v>
      </c>
      <c r="BD1375" s="55" t="str">
        <f aca="false">IF(AV1375&lt;=0,"",IF(BU1375="Aussen","Aussenlager",IF(BU1375="-","Nicht im Lift",IF(BA1375&gt;=1,"Lift",IF(BA1375&lt;=0,"Aussenlager","teilweise")))))</f>
        <v>Lift</v>
      </c>
      <c r="BE1375" s="55" t="str">
        <f aca="false">IF(A1375="","",IF(BN1375=1,"Neu; ","")&amp;IF(AND(BN1375=0,BI1375&lt;0),"negativer Bestand (Export "&amp;BI1375&amp;"); ","")&amp;IF(I1375&lt;=0,"Kein Verbrauch; ","")&amp;IF(CD1375&gt;0,"Lift "&amp;U1375&amp;" lt. Liftbericht (Fach "&amp;V1375&amp;" Stk); ",IF(BR1375=1,"Lose – Fläche geschätzt; ",""))&amp;IF(G1375&gt;AP1375,"Überbestand "&amp;ROUND(G1375-AP1375,0)&amp;" Stk / CHF "&amp;ROUND((G1375-AP1375)*F1375,0)&amp;"; ","")&amp;IF(AND(BW1375=1,BX1375&lt;BY1375),"MAX &lt; MB+LG; ","")&amp;IF(AND(CC1375&gt;0,CB1375*10&gt;CC1375),"zu hoch für Tablar; ","")&amp;IF(AND(BN1375=0,OR(BW1375=1,Y1375&lt;&gt;"",S1375&lt;&gt;"",T1375&lt;&gt;"",Z1375&lt;&gt;"")),"manuell übersteuert; ","")&amp;IF(AND(BR1375=0,Q1375=0),"Gebinde unbekannt / Stellmass fehlt; ","")&amp;IF(AND(BR1375=0,N(T1375)&lt;=0,N(P1375)&lt;=0),"Menge pro Gebinde fehlt (Ist = 1 Gebinde); ","")&amp;BM1375)</f>
        <v>negativer Bestand (Export -2); Lift 1 lt. Liftbericht (Fach 2 Stk); </v>
      </c>
      <c r="BF1375" s="55"/>
      <c r="BG1375" s="55"/>
      <c r="BH1375" s="62"/>
      <c r="BI1375" s="57" t="n">
        <v>-2</v>
      </c>
      <c r="BJ1375" s="57" t="n">
        <v>3</v>
      </c>
      <c r="BK1375" s="56" t="n">
        <v>-2771</v>
      </c>
      <c r="BL1375" s="57" t="n">
        <v>1</v>
      </c>
      <c r="BM1375" s="55"/>
      <c r="BN1375" s="60" t="n">
        <v>0</v>
      </c>
      <c r="BO1375" s="60" t="n">
        <v>1375</v>
      </c>
      <c r="BP1375" s="55" t="str">
        <f aca="false">IF(S1375&lt;&gt;"",UPPER(TRIM(S1375)),IF(O1375="","LOSE",O1375))</f>
        <v>LOSE</v>
      </c>
      <c r="BQ1375" s="57" t="n">
        <f aca="false">IF(BP1375="LOSE",1,IF(N(T1375)&gt;0,T1375,IF(N(P1375)&gt;0,P1375,MAX(1,G1375))))</f>
        <v>1</v>
      </c>
      <c r="BR1375" s="60" t="n">
        <f aca="false">IF(BP1375="LOSE",1,0)</f>
        <v>1</v>
      </c>
      <c r="BS1375" s="59" t="n">
        <f aca="false">IF(BR1375=0,0,IF(N(R1375)&gt;0,R1375,IFERROR(VLOOKUP(D1375,Parameter!$A$35:$C$64,3,0)+0,0)))</f>
        <v>1</v>
      </c>
      <c r="BT1375" s="55" t="n">
        <f aca="false">IF(Y1375&lt;&gt;"",Y1375,X1375)</f>
        <v>1</v>
      </c>
      <c r="BU1375" s="55" t="str">
        <f aca="false">IF(BT1375=1,"L1",IF(OR(BT1375=2,BT1375=3),"L23",IF(BT1375="Aussen","Aussen","-")))</f>
        <v>L1</v>
      </c>
      <c r="BV1375" s="66" t="n">
        <f aca="false">IF(N(Z1375)&gt;0,Z1375,0)</f>
        <v>0</v>
      </c>
      <c r="BW1375" s="60" t="n">
        <f aca="false">IF(ISNUMBER(AC1375),1,0)</f>
        <v>0</v>
      </c>
      <c r="BX1375" s="57" t="n">
        <f aca="false">N(AC1375)</f>
        <v>0</v>
      </c>
      <c r="BY1375" s="57" t="n">
        <f aca="false">N(L1375)+N(M1375)</f>
        <v>1</v>
      </c>
      <c r="BZ1375" s="57" t="n">
        <f aca="false">ROUNDUP(G1375/BQ1375,0)</f>
        <v>1</v>
      </c>
      <c r="CA1375" s="57" t="n">
        <f aca="false">ROUNDUP(BX1375/BQ1375,0)</f>
        <v>0</v>
      </c>
      <c r="CB1375" s="60" t="n">
        <f aca="false">IF(BR1375=1,0,IFERROR(VLOOKUP(BP1375,'Gebinde-Kategorie'!$A$5:$M$45,5,0)+0,0))</f>
        <v>0</v>
      </c>
      <c r="CC1375" s="60" t="n">
        <f aca="false">IFERROR(IF(OR(BT1375=1,BT1375=2,BT1375=3),N(INDEX(Parameter!$I$5:$I$7,BT1375)),0),0)</f>
        <v>0</v>
      </c>
      <c r="CD1375" s="59" t="n">
        <f aca="false">IF(AND(Parameter!$B$21="Ja",ISNUMBER(U1375),N(V1375)&gt;0),IFERROR(N(INDEX(Parameter!$L$5:$L$7,U1375))*INDEX(Parameter!$E$5:$E$7,U1375)*V1375/SUMIFS($V$7:$V$1576,$U$7:$U$1576,U1375),0),0)</f>
        <v>0.160075329566855</v>
      </c>
    </row>
    <row r="1376" customFormat="false" ht="15" hidden="false" customHeight="false" outlineLevel="0" collapsed="false">
      <c r="A1376" s="55" t="s">
        <v>2410</v>
      </c>
      <c r="B1376" s="55" t="s">
        <v>2411</v>
      </c>
      <c r="C1376" s="55" t="s">
        <v>160</v>
      </c>
      <c r="D1376" s="55" t="s">
        <v>168</v>
      </c>
      <c r="E1376" s="55" t="s">
        <v>210</v>
      </c>
      <c r="F1376" s="56" t="n">
        <v>91.4</v>
      </c>
      <c r="G1376" s="57" t="n">
        <f aca="false">MAX(0,IF(AND(Parameter!$B$21="Ja",ISNUMBER(W1376)),W1376,IF(Parameter!$B$20="Jahresanfang 2025 + Export",BJ1376+BI1376,BI1376)))</f>
        <v>0</v>
      </c>
      <c r="H1376" s="57" t="n">
        <f aca="false">G1376*F1376</f>
        <v>0</v>
      </c>
      <c r="I1376" s="57" t="n">
        <f aca="false">BL1376*Parameter!$B$18</f>
        <v>145</v>
      </c>
      <c r="J1376" s="58" t="n">
        <v>42</v>
      </c>
      <c r="K1376" s="59" t="n">
        <v>3.45238095238095</v>
      </c>
      <c r="L1376" s="57" t="n">
        <v>8</v>
      </c>
      <c r="M1376" s="57" t="n">
        <v>50</v>
      </c>
      <c r="N1376" s="60" t="n">
        <v>21</v>
      </c>
      <c r="O1376" s="55" t="s">
        <v>169</v>
      </c>
      <c r="P1376" s="57" t="n">
        <v>80</v>
      </c>
      <c r="Q1376" s="60" t="n">
        <f aca="false">IF(BR1376=1,0,IFERROR(VLOOKUP(BP1376,'Gebinde-Kategorie'!$A$5:$M$45,13,0)+0,0))</f>
        <v>6</v>
      </c>
      <c r="R1376" s="61"/>
      <c r="S1376" s="62"/>
      <c r="T1376" s="62"/>
      <c r="U1376" s="55"/>
      <c r="V1376" s="57"/>
      <c r="W1376" s="57"/>
      <c r="X1376" s="55" t="n">
        <f aca="false">IF(A1376="","",IF(AND(Parameter!$B$21="Ja",ISNUMBER(U1376)),U1376,IF(IFERROR(VLOOKUP(D1376,Parameter!$A$35:$C$64,2,0),"Nein")="2+3",IF(ISNUMBER(SEARCH("grosser Artikel",BM1376)),2,IFERROR(VLOOKUP(BP1376,Parameter!$F$35:$G$64,2,0),2)),IF(OR(IFERROR(VLOOKUP(D1376,Parameter!$A$35:$C$64,2,0),"Nein")="Nein",IFERROR(VLOOKUP(D1376,Parameter!$A$35:$C$64,2,0),"Nein")=""),"-",VLOOKUP(D1376,Parameter!$A$35:$C$64,2,0)))))</f>
        <v>2</v>
      </c>
      <c r="Y1376" s="62"/>
      <c r="Z1376" s="63"/>
      <c r="AA1376" s="57" t="n">
        <f aca="false">AP1376</f>
        <v>80</v>
      </c>
      <c r="AB1376" s="57" t="n">
        <f aca="false">MAX(AP1376,G1376)</f>
        <v>80</v>
      </c>
      <c r="AC1376" s="64"/>
      <c r="AD1376" s="57" t="n">
        <f aca="false">IF(LEFT(Cockpit!$C$5,1)="A",G1376,IF(BW1376=1,BX1376,IF(LEFT(Cockpit!$C$5,1)="B",AH1376,MAX(AH1376,G1376))))</f>
        <v>0</v>
      </c>
      <c r="AE1376" s="57" t="n">
        <f aca="false">IF(BR1376=1,0,ROUNDUP(AD1376/BQ1376,0))</f>
        <v>0</v>
      </c>
      <c r="AF1376" s="59" t="n">
        <f aca="false">IF(CD1376&gt;0,CD1376*MAX(1,AD1376/V1376),IF(BR1376=1,IF(AD1376&lt;=0,0,BS1376*MAX(1,IF(G1376&gt;0,AD1376/G1376,1))),IF(Q1376&gt;0,AE1376/Q1376,0))/MAX(0.1,N(Parameter!$M$21)))</f>
        <v>0</v>
      </c>
      <c r="AG1376" s="57" t="n">
        <f aca="false">AD1376*F1376</f>
        <v>0</v>
      </c>
      <c r="AH1376" s="57" t="n">
        <f aca="false">ROUNDUP(MAX(I1376/IF(BV1376&gt;0,BV1376,MAX(0.1,N(Cockpit!$C$6))),BY1376)/BQ1376,0)*BQ1376</f>
        <v>80</v>
      </c>
      <c r="AI1376" s="58" t="n">
        <f aca="false">IF(AF1376&gt;0,I1376/AF1376,-1)</f>
        <v>-1</v>
      </c>
      <c r="AJ1376" s="58" t="str">
        <f aca="false">IF(AND(OR(BU1376="L1",BU1376="L23"),AF1376&gt;0),SUMIFS($AF$7:$AF$1576,$BU$7:$BU$1576,BU1376,$AI$7:$AI$1576,"&gt;"&amp;AI1376)+SUMIFS($AF$7:$AF$1576,$BU$7:$BU$1576,BU1376,$AI$7:$AI$1576,AI1376,$BO$7:$BO$1576,"&lt;="&amp;BO1376),"")</f>
        <v/>
      </c>
      <c r="AK1376" s="65" t="n">
        <f aca="false">IF(AJ1376="",0,MAX(0,MIN(1,(IF(BU1376="L1",Parameter!$E$5,Parameter!$E$6+Parameter!$E$7)-(AJ1376-AF1376))/AF1376)))</f>
        <v>0</v>
      </c>
      <c r="AL1376" s="57" t="n">
        <f aca="false">IF(LEFT(Cockpit!$I$5,1)="A",G1376,IF(BW1376=1,BX1376,IF(LEFT(Cockpit!$I$5,1)="B",AP1376,MAX(AP1376,G1376))))</f>
        <v>80</v>
      </c>
      <c r="AM1376" s="57" t="n">
        <f aca="false">IF(BR1376=1,0,ROUNDUP(AL1376/BQ1376,0))</f>
        <v>1</v>
      </c>
      <c r="AN1376" s="59" t="n">
        <f aca="false">IF(CD1376&gt;0,CD1376*MAX(1,AL1376/V1376),IF(BR1376=1,IF(AL1376&lt;=0,0,BS1376*MAX(1,IF(G1376&gt;0,AL1376/G1376,1))),IF(Q1376&gt;0,AM1376/Q1376,0))/MAX(0.1,N(Parameter!$M$21)))</f>
        <v>0.166666666666667</v>
      </c>
      <c r="AO1376" s="57" t="n">
        <f aca="false">AL1376*F1376</f>
        <v>7312</v>
      </c>
      <c r="AP1376" s="57" t="n">
        <f aca="false">ROUNDUP(MAX(I1376/IF(BV1376&gt;0,BV1376,MAX(0.1,N(Cockpit!$I$6))),BY1376)/BQ1376,0)*BQ1376</f>
        <v>80</v>
      </c>
      <c r="AQ1376" s="58" t="n">
        <f aca="false">IF(AN1376&gt;0,I1376/AN1376,-1)</f>
        <v>870</v>
      </c>
      <c r="AR1376" s="58" t="n">
        <f aca="false">IF(AND(OR(BU1376="L1",BU1376="L23"),AN1376&gt;0),SUMIFS($AN$7:$AN$1576,$BU$7:$BU$1576,BU1376,$AQ$7:$AQ$1576,"&gt;"&amp;AQ1376)+SUMIFS($AN$7:$AN$1576,$BU$7:$BU$1576,BU1376,$AQ$7:$AQ$1576,AQ1376,$BO$7:$BO$1576,"&lt;="&amp;BO1376),"")</f>
        <v>25.1854453882826</v>
      </c>
      <c r="AS1376" s="65" t="n">
        <f aca="false">IF(AR1376="",0,MAX(0,MIN(1,(IF(BU1376="L1",Parameter!$E$5,Parameter!$E$6+Parameter!$E$7)-(AR1376-AN1376))/AN1376)))</f>
        <v>1</v>
      </c>
      <c r="AT1376" s="57" t="n">
        <f aca="false">IF(LEFT(Cockpit!$O$5,1)="A",G1376,IF(BW1376=1,BX1376,IF(LEFT(Cockpit!$O$5,1)="B",AX1376,MAX(AX1376,G1376))))</f>
        <v>80</v>
      </c>
      <c r="AU1376" s="57" t="n">
        <f aca="false">IF(BR1376=1,0,ROUNDUP(AT1376/BQ1376,0))</f>
        <v>1</v>
      </c>
      <c r="AV1376" s="59" t="n">
        <f aca="false">IF(CD1376&gt;0,CD1376*MAX(1,AT1376/V1376),IF(BR1376=1,IF(AT1376&lt;=0,0,BS1376*MAX(1,IF(G1376&gt;0,AT1376/G1376,1))),IF(Q1376&gt;0,AU1376/Q1376,0))/MAX(0.1,N(Parameter!$M$21)))</f>
        <v>0.166666666666667</v>
      </c>
      <c r="AW1376" s="57" t="n">
        <f aca="false">AT1376*F1376</f>
        <v>7312</v>
      </c>
      <c r="AX1376" s="57" t="n">
        <f aca="false">ROUNDUP(MAX(I1376/IF(BV1376&gt;0,BV1376,MAX(0.1,N(Cockpit!$O$6))),BY1376)/BQ1376,0)*BQ1376</f>
        <v>80</v>
      </c>
      <c r="AY1376" s="58" t="n">
        <f aca="false">IF(AV1376&gt;0,I1376/AV1376,-1)</f>
        <v>870</v>
      </c>
      <c r="AZ1376" s="58" t="n">
        <f aca="false">IF(AND(OR(BU1376="L1",BU1376="L23"),AV1376&gt;0),SUMIFS($AV$7:$AV$1576,$BU$7:$BU$1576,BU1376,$AY$7:$AY$1576,"&gt;"&amp;AY1376)+SUMIFS($AV$7:$AV$1576,$BU$7:$BU$1576,BU1376,$AY$7:$AY$1576,AY1376,$BO$7:$BO$1576,"&lt;="&amp;BO1376),"")</f>
        <v>25.4191283719656</v>
      </c>
      <c r="BA1376" s="65" t="n">
        <f aca="false">IF(AZ1376="",0,MAX(0,MIN(1,(IF(BU1376="L1",Parameter!$E$5,Parameter!$E$6+Parameter!$E$7)-(AZ1376-AV1376))/AV1376)))</f>
        <v>1</v>
      </c>
      <c r="BB1376" s="55" t="str">
        <f aca="false">IF(AF1376&lt;=0,"",IF(BU1376="Aussen","Aussenlager",IF(BU1376="-","Nicht im Lift",IF(AK1376&gt;=1,"Lift",IF(AK1376&lt;=0,"Aussenlager","teilweise")))))</f>
        <v/>
      </c>
      <c r="BC1376" s="55" t="str">
        <f aca="false">IF(AN1376&lt;=0,"",IF(BU1376="Aussen","Aussenlager",IF(BU1376="-","Nicht im Lift",IF(AS1376&gt;=1,"Lift",IF(AS1376&lt;=0,"Aussenlager","teilweise")))))</f>
        <v>Lift</v>
      </c>
      <c r="BD1376" s="55" t="str">
        <f aca="false">IF(AV1376&lt;=0,"",IF(BU1376="Aussen","Aussenlager",IF(BU1376="-","Nicht im Lift",IF(BA1376&gt;=1,"Lift",IF(BA1376&lt;=0,"Aussenlager","teilweise")))))</f>
        <v>Lift</v>
      </c>
      <c r="BE1376" s="55" t="str">
        <f aca="false">IF(A1376="","",IF(BN1376=1,"Neu; ","")&amp;IF(AND(BN1376=0,BI1376&lt;0),"negativer Bestand (Export "&amp;BI1376&amp;"); ","")&amp;IF(I1376&lt;=0,"Kein Verbrauch; ","")&amp;IF(CD1376&gt;0,"Lift "&amp;U1376&amp;" lt. Liftbericht (Fach "&amp;V1376&amp;" Stk); ",IF(BR1376=1,"Lose – Fläche geschätzt; ",""))&amp;IF(G1376&gt;AP1376,"Überbestand "&amp;ROUND(G1376-AP1376,0)&amp;" Stk / CHF "&amp;ROUND((G1376-AP1376)*F1376,0)&amp;"; ","")&amp;IF(AND(BW1376=1,BX1376&lt;BY1376),"MAX &lt; MB+LG; ","")&amp;IF(AND(CC1376&gt;0,CB1376*10&gt;CC1376),"zu hoch für Tablar; ","")&amp;IF(AND(BN1376=0,OR(BW1376=1,Y1376&lt;&gt;"",S1376&lt;&gt;"",T1376&lt;&gt;"",Z1376&lt;&gt;"")),"manuell übersteuert; ","")&amp;IF(AND(BR1376=0,Q1376=0),"Gebinde unbekannt / Stellmass fehlt; ","")&amp;IF(AND(BR1376=0,N(T1376)&lt;=0,N(P1376)&lt;=0),"Menge pro Gebinde fehlt (Ist = 1 Gebinde); ","")&amp;BM1376)</f>
        <v>negativer Bestand (Export -19); </v>
      </c>
      <c r="BF1376" s="55"/>
      <c r="BG1376" s="55"/>
      <c r="BH1376" s="62"/>
      <c r="BI1376" s="57" t="n">
        <v>-19</v>
      </c>
      <c r="BJ1376" s="57" t="n">
        <v>40</v>
      </c>
      <c r="BK1376" s="56" t="n">
        <v>-2789.00000000001</v>
      </c>
      <c r="BL1376" s="57" t="n">
        <v>145</v>
      </c>
      <c r="BM1376" s="55"/>
      <c r="BN1376" s="60" t="n">
        <v>0</v>
      </c>
      <c r="BO1376" s="60" t="n">
        <v>1376</v>
      </c>
      <c r="BP1376" s="55" t="str">
        <f aca="false">IF(S1376&lt;&gt;"",UPPER(TRIM(S1376)),IF(O1376="","LOSE",O1376))</f>
        <v>S71</v>
      </c>
      <c r="BQ1376" s="57" t="n">
        <f aca="false">IF(BP1376="LOSE",1,IF(N(T1376)&gt;0,T1376,IF(N(P1376)&gt;0,P1376,MAX(1,G1376))))</f>
        <v>80</v>
      </c>
      <c r="BR1376" s="60" t="n">
        <f aca="false">IF(BP1376="LOSE",1,0)</f>
        <v>0</v>
      </c>
      <c r="BS1376" s="59" t="n">
        <f aca="false">IF(BR1376=0,0,IF(N(R1376)&gt;0,R1376,IFERROR(VLOOKUP(D1376,Parameter!$A$35:$C$64,3,0)+0,0)))</f>
        <v>0</v>
      </c>
      <c r="BT1376" s="55" t="n">
        <f aca="false">IF(Y1376&lt;&gt;"",Y1376,X1376)</f>
        <v>2</v>
      </c>
      <c r="BU1376" s="55" t="str">
        <f aca="false">IF(BT1376=1,"L1",IF(OR(BT1376=2,BT1376=3),"L23",IF(BT1376="Aussen","Aussen","-")))</f>
        <v>L23</v>
      </c>
      <c r="BV1376" s="66" t="n">
        <f aca="false">IF(N(Z1376)&gt;0,Z1376,0)</f>
        <v>0</v>
      </c>
      <c r="BW1376" s="60" t="n">
        <f aca="false">IF(ISNUMBER(AC1376),1,0)</f>
        <v>0</v>
      </c>
      <c r="BX1376" s="57" t="n">
        <f aca="false">N(AC1376)</f>
        <v>0</v>
      </c>
      <c r="BY1376" s="57" t="n">
        <f aca="false">N(L1376)+N(M1376)</f>
        <v>58</v>
      </c>
      <c r="BZ1376" s="57" t="n">
        <f aca="false">ROUNDUP(G1376/BQ1376,0)</f>
        <v>0</v>
      </c>
      <c r="CA1376" s="57" t="n">
        <f aca="false">ROUNDUP(BX1376/BQ1376,0)</f>
        <v>0</v>
      </c>
      <c r="CB1376" s="60" t="n">
        <f aca="false">IF(BR1376=1,0,IFERROR(VLOOKUP(BP1376,'Gebinde-Kategorie'!$A$5:$M$45,5,0)+0,0))</f>
        <v>20</v>
      </c>
      <c r="CC1376" s="60" t="n">
        <f aca="false">IFERROR(IF(OR(BT1376=1,BT1376=2,BT1376=3),N(INDEX(Parameter!$I$5:$I$7,BT1376)),0),0)</f>
        <v>0</v>
      </c>
      <c r="CD1376" s="59" t="n">
        <f aca="false">IF(AND(Parameter!$B$21="Ja",ISNUMBER(U1376),N(V1376)&gt;0),IFERROR(N(INDEX(Parameter!$L$5:$L$7,U1376))*INDEX(Parameter!$E$5:$E$7,U1376)*V1376/SUMIFS($V$7:$V$1576,$U$7:$U$1576,U1376),0),0)</f>
        <v>0</v>
      </c>
    </row>
    <row r="1377" customFormat="false" ht="15" hidden="false" customHeight="false" outlineLevel="0" collapsed="false">
      <c r="A1377" s="55" t="s">
        <v>2412</v>
      </c>
      <c r="B1377" s="55" t="s">
        <v>2344</v>
      </c>
      <c r="C1377" s="55" t="s">
        <v>160</v>
      </c>
      <c r="D1377" s="55" t="s">
        <v>344</v>
      </c>
      <c r="E1377" s="55" t="s">
        <v>210</v>
      </c>
      <c r="F1377" s="56" t="n">
        <v>1410.11</v>
      </c>
      <c r="G1377" s="57" t="n">
        <f aca="false">MAX(0,IF(AND(Parameter!$B$21="Ja",ISNUMBER(W1377)),W1377,IF(Parameter!$B$20="Jahresanfang 2025 + Export",BJ1377+BI1377,BI1377)))</f>
        <v>0</v>
      </c>
      <c r="H1377" s="57" t="n">
        <f aca="false">G1377*F1377</f>
        <v>0</v>
      </c>
      <c r="I1377" s="57" t="n">
        <f aca="false">BL1377*Parameter!$B$18</f>
        <v>0</v>
      </c>
      <c r="J1377" s="58" t="n">
        <v>1</v>
      </c>
      <c r="K1377" s="59" t="n">
        <v>0</v>
      </c>
      <c r="L1377" s="57" t="n">
        <v>0</v>
      </c>
      <c r="M1377" s="57" t="n">
        <v>1</v>
      </c>
      <c r="N1377" s="60" t="n">
        <v>0</v>
      </c>
      <c r="O1377" s="55" t="s">
        <v>163</v>
      </c>
      <c r="P1377" s="57"/>
      <c r="Q1377" s="60" t="n">
        <f aca="false">IF(BR1377=1,0,IFERROR(VLOOKUP(BP1377,'Gebinde-Kategorie'!$A$5:$M$45,13,0)+0,0))</f>
        <v>0</v>
      </c>
      <c r="R1377" s="61"/>
      <c r="S1377" s="62"/>
      <c r="T1377" s="62"/>
      <c r="U1377" s="55"/>
      <c r="V1377" s="57"/>
      <c r="W1377" s="57"/>
      <c r="X1377" s="55" t="str">
        <f aca="false">IF(A1377="","",IF(AND(Parameter!$B$21="Ja",ISNUMBER(U1377)),U1377,IF(IFERROR(VLOOKUP(D1377,Parameter!$A$35:$C$64,2,0),"Nein")="2+3",IF(ISNUMBER(SEARCH("grosser Artikel",BM1377)),2,IFERROR(VLOOKUP(BP1377,Parameter!$F$35:$G$64,2,0),2)),IF(OR(IFERROR(VLOOKUP(D1377,Parameter!$A$35:$C$64,2,0),"Nein")="Nein",IFERROR(VLOOKUP(D1377,Parameter!$A$35:$C$64,2,0),"Nein")=""),"-",VLOOKUP(D1377,Parameter!$A$35:$C$64,2,0)))))</f>
        <v>-</v>
      </c>
      <c r="Y1377" s="62"/>
      <c r="Z1377" s="63"/>
      <c r="AA1377" s="57" t="n">
        <f aca="false">AP1377</f>
        <v>1</v>
      </c>
      <c r="AB1377" s="57" t="n">
        <f aca="false">MAX(AP1377,G1377)</f>
        <v>1</v>
      </c>
      <c r="AC1377" s="64"/>
      <c r="AD1377" s="57" t="n">
        <f aca="false">IF(LEFT(Cockpit!$C$5,1)="A",G1377,IF(BW1377=1,BX1377,IF(LEFT(Cockpit!$C$5,1)="B",AH1377,MAX(AH1377,G1377))))</f>
        <v>0</v>
      </c>
      <c r="AE1377" s="57" t="n">
        <f aca="false">IF(BR1377=1,0,ROUNDUP(AD1377/BQ1377,0))</f>
        <v>0</v>
      </c>
      <c r="AF1377" s="59" t="n">
        <f aca="false">IF(CD1377&gt;0,CD1377*MAX(1,AD1377/V1377),IF(BR1377=1,IF(AD1377&lt;=0,0,BS1377*MAX(1,IF(G1377&gt;0,AD1377/G1377,1))),IF(Q1377&gt;0,AE1377/Q1377,0))/MAX(0.1,N(Parameter!$M$21)))</f>
        <v>0</v>
      </c>
      <c r="AG1377" s="57" t="n">
        <f aca="false">AD1377*F1377</f>
        <v>0</v>
      </c>
      <c r="AH1377" s="57" t="n">
        <f aca="false">ROUNDUP(MAX(I1377/IF(BV1377&gt;0,BV1377,MAX(0.1,N(Cockpit!$C$6))),BY1377)/BQ1377,0)*BQ1377</f>
        <v>1</v>
      </c>
      <c r="AI1377" s="58" t="n">
        <f aca="false">IF(AF1377&gt;0,I1377/AF1377,-1)</f>
        <v>-1</v>
      </c>
      <c r="AJ1377" s="58" t="str">
        <f aca="false">IF(AND(OR(BU1377="L1",BU1377="L23"),AF1377&gt;0),SUMIFS($AF$7:$AF$1576,$BU$7:$BU$1576,BU1377,$AI$7:$AI$1576,"&gt;"&amp;AI1377)+SUMIFS($AF$7:$AF$1576,$BU$7:$BU$1576,BU1377,$AI$7:$AI$1576,AI1377,$BO$7:$BO$1576,"&lt;="&amp;BO1377),"")</f>
        <v/>
      </c>
      <c r="AK1377" s="65" t="n">
        <f aca="false">IF(AJ1377="",0,MAX(0,MIN(1,(IF(BU1377="L1",Parameter!$E$5,Parameter!$E$6+Parameter!$E$7)-(AJ1377-AF1377))/AF1377)))</f>
        <v>0</v>
      </c>
      <c r="AL1377" s="57" t="n">
        <f aca="false">IF(LEFT(Cockpit!$I$5,1)="A",G1377,IF(BW1377=1,BX1377,IF(LEFT(Cockpit!$I$5,1)="B",AP1377,MAX(AP1377,G1377))))</f>
        <v>1</v>
      </c>
      <c r="AM1377" s="57" t="n">
        <f aca="false">IF(BR1377=1,0,ROUNDUP(AL1377/BQ1377,0))</f>
        <v>0</v>
      </c>
      <c r="AN1377" s="59" t="n">
        <f aca="false">IF(CD1377&gt;0,CD1377*MAX(1,AL1377/V1377),IF(BR1377=1,IF(AL1377&lt;=0,0,BS1377*MAX(1,IF(G1377&gt;0,AL1377/G1377,1))),IF(Q1377&gt;0,AM1377/Q1377,0))/MAX(0.1,N(Parameter!$M$21)))</f>
        <v>0.15</v>
      </c>
      <c r="AO1377" s="57" t="n">
        <f aca="false">AL1377*F1377</f>
        <v>1410.11</v>
      </c>
      <c r="AP1377" s="57" t="n">
        <f aca="false">ROUNDUP(MAX(I1377/IF(BV1377&gt;0,BV1377,MAX(0.1,N(Cockpit!$I$6))),BY1377)/BQ1377,0)*BQ1377</f>
        <v>1</v>
      </c>
      <c r="AQ1377" s="58" t="n">
        <f aca="false">IF(AN1377&gt;0,I1377/AN1377,-1)</f>
        <v>0</v>
      </c>
      <c r="AR1377" s="58" t="str">
        <f aca="false">IF(AND(OR(BU1377="L1",BU1377="L23"),AN1377&gt;0),SUMIFS($AN$7:$AN$1576,$BU$7:$BU$1576,BU1377,$AQ$7:$AQ$1576,"&gt;"&amp;AQ1377)+SUMIFS($AN$7:$AN$1576,$BU$7:$BU$1576,BU1377,$AQ$7:$AQ$1576,AQ1377,$BO$7:$BO$1576,"&lt;="&amp;BO1377),"")</f>
        <v/>
      </c>
      <c r="AS1377" s="65" t="n">
        <f aca="false">IF(AR1377="",0,MAX(0,MIN(1,(IF(BU1377="L1",Parameter!$E$5,Parameter!$E$6+Parameter!$E$7)-(AR1377-AN1377))/AN1377)))</f>
        <v>0</v>
      </c>
      <c r="AT1377" s="57" t="n">
        <f aca="false">IF(LEFT(Cockpit!$O$5,1)="A",G1377,IF(BW1377=1,BX1377,IF(LEFT(Cockpit!$O$5,1)="B",AX1377,MAX(AX1377,G1377))))</f>
        <v>1</v>
      </c>
      <c r="AU1377" s="57" t="n">
        <f aca="false">IF(BR1377=1,0,ROUNDUP(AT1377/BQ1377,0))</f>
        <v>0</v>
      </c>
      <c r="AV1377" s="59" t="n">
        <f aca="false">IF(CD1377&gt;0,CD1377*MAX(1,AT1377/V1377),IF(BR1377=1,IF(AT1377&lt;=0,0,BS1377*MAX(1,IF(G1377&gt;0,AT1377/G1377,1))),IF(Q1377&gt;0,AU1377/Q1377,0))/MAX(0.1,N(Parameter!$M$21)))</f>
        <v>0.15</v>
      </c>
      <c r="AW1377" s="57" t="n">
        <f aca="false">AT1377*F1377</f>
        <v>1410.11</v>
      </c>
      <c r="AX1377" s="57" t="n">
        <f aca="false">ROUNDUP(MAX(I1377/IF(BV1377&gt;0,BV1377,MAX(0.1,N(Cockpit!$O$6))),BY1377)/BQ1377,0)*BQ1377</f>
        <v>1</v>
      </c>
      <c r="AY1377" s="58" t="n">
        <f aca="false">IF(AV1377&gt;0,I1377/AV1377,-1)</f>
        <v>0</v>
      </c>
      <c r="AZ1377" s="58" t="str">
        <f aca="false">IF(AND(OR(BU1377="L1",BU1377="L23"),AV1377&gt;0),SUMIFS($AV$7:$AV$1576,$BU$7:$BU$1576,BU1377,$AY$7:$AY$1576,"&gt;"&amp;AY1377)+SUMIFS($AV$7:$AV$1576,$BU$7:$BU$1576,BU1377,$AY$7:$AY$1576,AY1377,$BO$7:$BO$1576,"&lt;="&amp;BO1377),"")</f>
        <v/>
      </c>
      <c r="BA1377" s="65" t="n">
        <f aca="false">IF(AZ1377="",0,MAX(0,MIN(1,(IF(BU1377="L1",Parameter!$E$5,Parameter!$E$6+Parameter!$E$7)-(AZ1377-AV1377))/AV1377)))</f>
        <v>0</v>
      </c>
      <c r="BB1377" s="55" t="str">
        <f aca="false">IF(AF1377&lt;=0,"",IF(BU1377="Aussen","Aussenlager",IF(BU1377="-","Nicht im Lift",IF(AK1377&gt;=1,"Lift",IF(AK1377&lt;=0,"Aussenlager","teilweise")))))</f>
        <v/>
      </c>
      <c r="BC1377" s="55" t="str">
        <f aca="false">IF(AN1377&lt;=0,"",IF(BU1377="Aussen","Aussenlager",IF(BU1377="-","Nicht im Lift",IF(AS1377&gt;=1,"Lift",IF(AS1377&lt;=0,"Aussenlager","teilweise")))))</f>
        <v>Nicht im Lift</v>
      </c>
      <c r="BD1377" s="55" t="str">
        <f aca="false">IF(AV1377&lt;=0,"",IF(BU1377="Aussen","Aussenlager",IF(BU1377="-","Nicht im Lift",IF(BA1377&gt;=1,"Lift",IF(BA1377&lt;=0,"Aussenlager","teilweise")))))</f>
        <v>Nicht im Lift</v>
      </c>
      <c r="BE1377" s="55" t="str">
        <f aca="false">IF(A1377="","",IF(BN1377=1,"Neu; ","")&amp;IF(AND(BN1377=0,BI1377&lt;0),"negativer Bestand (Export "&amp;BI1377&amp;"); ","")&amp;IF(I1377&lt;=0,"Kein Verbrauch; ","")&amp;IF(CD1377&gt;0,"Lift "&amp;U1377&amp;" lt. Liftbericht (Fach "&amp;V1377&amp;" Stk); ",IF(BR1377=1,"Lose – Fläche geschätzt; ",""))&amp;IF(G1377&gt;AP1377,"Überbestand "&amp;ROUND(G1377-AP1377,0)&amp;" Stk / CHF "&amp;ROUND((G1377-AP1377)*F1377,0)&amp;"; ","")&amp;IF(AND(BW1377=1,BX1377&lt;BY1377),"MAX &lt; MB+LG; ","")&amp;IF(AND(CC1377&gt;0,CB1377*10&gt;CC1377),"zu hoch für Tablar; ","")&amp;IF(AND(BN1377=0,OR(BW1377=1,Y1377&lt;&gt;"",S1377&lt;&gt;"",T1377&lt;&gt;"",Z1377&lt;&gt;"")),"manuell übersteuert; ","")&amp;IF(AND(BR1377=0,Q1377=0),"Gebinde unbekannt / Stellmass fehlt; ","")&amp;IF(AND(BR1377=0,N(T1377)&lt;=0,N(P1377)&lt;=0),"Menge pro Gebinde fehlt (Ist = 1 Gebinde); ","")&amp;BM1377)</f>
        <v>negativer Bestand (Export -2); Kein Verbrauch; Lose – Fläche geschätzt; </v>
      </c>
      <c r="BF1377" s="55"/>
      <c r="BG1377" s="55"/>
      <c r="BH1377" s="62"/>
      <c r="BI1377" s="57" t="n">
        <v>-2</v>
      </c>
      <c r="BJ1377" s="57" t="n">
        <v>2</v>
      </c>
      <c r="BK1377" s="56" t="n">
        <v>-2820.22</v>
      </c>
      <c r="BL1377" s="57" t="n">
        <v>0</v>
      </c>
      <c r="BM1377" s="55"/>
      <c r="BN1377" s="60" t="n">
        <v>0</v>
      </c>
      <c r="BO1377" s="60" t="n">
        <v>1377</v>
      </c>
      <c r="BP1377" s="55" t="str">
        <f aca="false">IF(S1377&lt;&gt;"",UPPER(TRIM(S1377)),IF(O1377="","LOSE",O1377))</f>
        <v>LOSE</v>
      </c>
      <c r="BQ1377" s="57" t="n">
        <f aca="false">IF(BP1377="LOSE",1,IF(N(T1377)&gt;0,T1377,IF(N(P1377)&gt;0,P1377,MAX(1,G1377))))</f>
        <v>1</v>
      </c>
      <c r="BR1377" s="60" t="n">
        <f aca="false">IF(BP1377="LOSE",1,0)</f>
        <v>1</v>
      </c>
      <c r="BS1377" s="59" t="n">
        <f aca="false">IF(BR1377=0,0,IF(N(R1377)&gt;0,R1377,IFERROR(VLOOKUP(D1377,Parameter!$A$35:$C$64,3,0)+0,0)))</f>
        <v>0.15</v>
      </c>
      <c r="BT1377" s="55" t="str">
        <f aca="false">IF(Y1377&lt;&gt;"",Y1377,X1377)</f>
        <v>-</v>
      </c>
      <c r="BU1377" s="55" t="str">
        <f aca="false">IF(BT1377=1,"L1",IF(OR(BT1377=2,BT1377=3),"L23",IF(BT1377="Aussen","Aussen","-")))</f>
        <v>-</v>
      </c>
      <c r="BV1377" s="66" t="n">
        <f aca="false">IF(N(Z1377)&gt;0,Z1377,0)</f>
        <v>0</v>
      </c>
      <c r="BW1377" s="60" t="n">
        <f aca="false">IF(ISNUMBER(AC1377),1,0)</f>
        <v>0</v>
      </c>
      <c r="BX1377" s="57" t="n">
        <f aca="false">N(AC1377)</f>
        <v>0</v>
      </c>
      <c r="BY1377" s="57" t="n">
        <f aca="false">N(L1377)+N(M1377)</f>
        <v>1</v>
      </c>
      <c r="BZ1377" s="57" t="n">
        <f aca="false">ROUNDUP(G1377/BQ1377,0)</f>
        <v>0</v>
      </c>
      <c r="CA1377" s="57" t="n">
        <f aca="false">ROUNDUP(BX1377/BQ1377,0)</f>
        <v>0</v>
      </c>
      <c r="CB1377" s="60" t="n">
        <f aca="false">IF(BR1377=1,0,IFERROR(VLOOKUP(BP1377,'Gebinde-Kategorie'!$A$5:$M$45,5,0)+0,0))</f>
        <v>0</v>
      </c>
      <c r="CC1377" s="60" t="n">
        <f aca="false">IFERROR(IF(OR(BT1377=1,BT1377=2,BT1377=3),N(INDEX(Parameter!$I$5:$I$7,BT1377)),0),0)</f>
        <v>0</v>
      </c>
      <c r="CD1377" s="59" t="n">
        <f aca="false">IF(AND(Parameter!$B$21="Ja",ISNUMBER(U1377),N(V1377)&gt;0),IFERROR(N(INDEX(Parameter!$L$5:$L$7,U1377))*INDEX(Parameter!$E$5:$E$7,U1377)*V1377/SUMIFS($V$7:$V$1576,$U$7:$U$1576,U1377),0),0)</f>
        <v>0</v>
      </c>
    </row>
    <row r="1378" customFormat="false" ht="15" hidden="false" customHeight="false" outlineLevel="0" collapsed="false">
      <c r="A1378" s="55" t="s">
        <v>2413</v>
      </c>
      <c r="B1378" s="55" t="s">
        <v>349</v>
      </c>
      <c r="C1378" s="55" t="s">
        <v>160</v>
      </c>
      <c r="D1378" s="55" t="s">
        <v>168</v>
      </c>
      <c r="E1378" s="55" t="s">
        <v>210</v>
      </c>
      <c r="F1378" s="56" t="n">
        <v>119.51</v>
      </c>
      <c r="G1378" s="57" t="n">
        <f aca="false">MAX(0,IF(AND(Parameter!$B$21="Ja",ISNUMBER(W1378)),W1378,IF(Parameter!$B$20="Jahresanfang 2025 + Export",BJ1378+BI1378,BI1378)))</f>
        <v>0</v>
      </c>
      <c r="H1378" s="57" t="n">
        <f aca="false">G1378*F1378</f>
        <v>0</v>
      </c>
      <c r="I1378" s="57" t="n">
        <f aca="false">BL1378*Parameter!$B$18</f>
        <v>19</v>
      </c>
      <c r="J1378" s="58" t="n">
        <v>47.5</v>
      </c>
      <c r="K1378" s="59" t="n">
        <v>0.4</v>
      </c>
      <c r="L1378" s="57" t="n">
        <v>2</v>
      </c>
      <c r="M1378" s="57" t="n">
        <v>30</v>
      </c>
      <c r="N1378" s="60" t="n">
        <v>49</v>
      </c>
      <c r="O1378" s="55" t="s">
        <v>169</v>
      </c>
      <c r="P1378" s="57" t="n">
        <v>14</v>
      </c>
      <c r="Q1378" s="60" t="n">
        <f aca="false">IF(BR1378=1,0,IFERROR(VLOOKUP(BP1378,'Gebinde-Kategorie'!$A$5:$M$45,13,0)+0,0))</f>
        <v>6</v>
      </c>
      <c r="R1378" s="61"/>
      <c r="S1378" s="62"/>
      <c r="T1378" s="62"/>
      <c r="U1378" s="55"/>
      <c r="V1378" s="57"/>
      <c r="W1378" s="57"/>
      <c r="X1378" s="55" t="n">
        <f aca="false">IF(A1378="","",IF(AND(Parameter!$B$21="Ja",ISNUMBER(U1378)),U1378,IF(IFERROR(VLOOKUP(D1378,Parameter!$A$35:$C$64,2,0),"Nein")="2+3",IF(ISNUMBER(SEARCH("grosser Artikel",BM1378)),2,IFERROR(VLOOKUP(BP1378,Parameter!$F$35:$G$64,2,0),2)),IF(OR(IFERROR(VLOOKUP(D1378,Parameter!$A$35:$C$64,2,0),"Nein")="Nein",IFERROR(VLOOKUP(D1378,Parameter!$A$35:$C$64,2,0),"Nein")=""),"-",VLOOKUP(D1378,Parameter!$A$35:$C$64,2,0)))))</f>
        <v>2</v>
      </c>
      <c r="Y1378" s="62"/>
      <c r="Z1378" s="63"/>
      <c r="AA1378" s="57" t="n">
        <f aca="false">AP1378</f>
        <v>42</v>
      </c>
      <c r="AB1378" s="57" t="n">
        <f aca="false">MAX(AP1378,G1378)</f>
        <v>42</v>
      </c>
      <c r="AC1378" s="64"/>
      <c r="AD1378" s="57" t="n">
        <f aca="false">IF(LEFT(Cockpit!$C$5,1)="A",G1378,IF(BW1378=1,BX1378,IF(LEFT(Cockpit!$C$5,1)="B",AH1378,MAX(AH1378,G1378))))</f>
        <v>0</v>
      </c>
      <c r="AE1378" s="57" t="n">
        <f aca="false">IF(BR1378=1,0,ROUNDUP(AD1378/BQ1378,0))</f>
        <v>0</v>
      </c>
      <c r="AF1378" s="59" t="n">
        <f aca="false">IF(CD1378&gt;0,CD1378*MAX(1,AD1378/V1378),IF(BR1378=1,IF(AD1378&lt;=0,0,BS1378*MAX(1,IF(G1378&gt;0,AD1378/G1378,1))),IF(Q1378&gt;0,AE1378/Q1378,0))/MAX(0.1,N(Parameter!$M$21)))</f>
        <v>0</v>
      </c>
      <c r="AG1378" s="57" t="n">
        <f aca="false">AD1378*F1378</f>
        <v>0</v>
      </c>
      <c r="AH1378" s="57" t="n">
        <f aca="false">ROUNDUP(MAX(I1378/IF(BV1378&gt;0,BV1378,MAX(0.1,N(Cockpit!$C$6))),BY1378)/BQ1378,0)*BQ1378</f>
        <v>42</v>
      </c>
      <c r="AI1378" s="58" t="n">
        <f aca="false">IF(AF1378&gt;0,I1378/AF1378,-1)</f>
        <v>-1</v>
      </c>
      <c r="AJ1378" s="58" t="str">
        <f aca="false">IF(AND(OR(BU1378="L1",BU1378="L23"),AF1378&gt;0),SUMIFS($AF$7:$AF$1576,$BU$7:$BU$1576,BU1378,$AI$7:$AI$1576,"&gt;"&amp;AI1378)+SUMIFS($AF$7:$AF$1576,$BU$7:$BU$1576,BU1378,$AI$7:$AI$1576,AI1378,$BO$7:$BO$1576,"&lt;="&amp;BO1378),"")</f>
        <v/>
      </c>
      <c r="AK1378" s="65" t="n">
        <f aca="false">IF(AJ1378="",0,MAX(0,MIN(1,(IF(BU1378="L1",Parameter!$E$5,Parameter!$E$6+Parameter!$E$7)-(AJ1378-AF1378))/AF1378)))</f>
        <v>0</v>
      </c>
      <c r="AL1378" s="57" t="n">
        <f aca="false">IF(LEFT(Cockpit!$I$5,1)="A",G1378,IF(BW1378=1,BX1378,IF(LEFT(Cockpit!$I$5,1)="B",AP1378,MAX(AP1378,G1378))))</f>
        <v>42</v>
      </c>
      <c r="AM1378" s="57" t="n">
        <f aca="false">IF(BR1378=1,0,ROUNDUP(AL1378/BQ1378,0))</f>
        <v>3</v>
      </c>
      <c r="AN1378" s="59" t="n">
        <f aca="false">IF(CD1378&gt;0,CD1378*MAX(1,AL1378/V1378),IF(BR1378=1,IF(AL1378&lt;=0,0,BS1378*MAX(1,IF(G1378&gt;0,AL1378/G1378,1))),IF(Q1378&gt;0,AM1378/Q1378,0))/MAX(0.1,N(Parameter!$M$21)))</f>
        <v>0.5</v>
      </c>
      <c r="AO1378" s="57" t="n">
        <f aca="false">AL1378*F1378</f>
        <v>5019.42</v>
      </c>
      <c r="AP1378" s="57" t="n">
        <f aca="false">ROUNDUP(MAX(I1378/IF(BV1378&gt;0,BV1378,MAX(0.1,N(Cockpit!$I$6))),BY1378)/BQ1378,0)*BQ1378</f>
        <v>42</v>
      </c>
      <c r="AQ1378" s="58" t="n">
        <f aca="false">IF(AN1378&gt;0,I1378/AN1378,-1)</f>
        <v>38</v>
      </c>
      <c r="AR1378" s="58" t="n">
        <f aca="false">IF(AND(OR(BU1378="L1",BU1378="L23"),AN1378&gt;0),SUMIFS($AN$7:$AN$1576,$BU$7:$BU$1576,BU1378,$AQ$7:$AQ$1576,"&gt;"&amp;AQ1378)+SUMIFS($AN$7:$AN$1576,$BU$7:$BU$1576,BU1378,$AQ$7:$AQ$1576,AQ1378,$BO$7:$BO$1576,"&lt;="&amp;BO1378),"")</f>
        <v>90.6824345886957</v>
      </c>
      <c r="AS1378" s="65" t="n">
        <f aca="false">IF(AR1378="",0,MAX(0,MIN(1,(IF(BU1378="L1",Parameter!$E$5,Parameter!$E$6+Parameter!$E$7)-(AR1378-AN1378))/AN1378)))</f>
        <v>1</v>
      </c>
      <c r="AT1378" s="57" t="n">
        <f aca="false">IF(LEFT(Cockpit!$O$5,1)="A",G1378,IF(BW1378=1,BX1378,IF(LEFT(Cockpit!$O$5,1)="B",AX1378,MAX(AX1378,G1378))))</f>
        <v>42</v>
      </c>
      <c r="AU1378" s="57" t="n">
        <f aca="false">IF(BR1378=1,0,ROUNDUP(AT1378/BQ1378,0))</f>
        <v>3</v>
      </c>
      <c r="AV1378" s="59" t="n">
        <f aca="false">IF(CD1378&gt;0,CD1378*MAX(1,AT1378/V1378),IF(BR1378=1,IF(AT1378&lt;=0,0,BS1378*MAX(1,IF(G1378&gt;0,AT1378/G1378,1))),IF(Q1378&gt;0,AU1378/Q1378,0))/MAX(0.1,N(Parameter!$M$21)))</f>
        <v>0.5</v>
      </c>
      <c r="AW1378" s="57" t="n">
        <f aca="false">AT1378*F1378</f>
        <v>5019.42</v>
      </c>
      <c r="AX1378" s="57" t="n">
        <f aca="false">ROUNDUP(MAX(I1378/IF(BV1378&gt;0,BV1378,MAX(0.1,N(Cockpit!$O$6))),BY1378)/BQ1378,0)*BQ1378</f>
        <v>42</v>
      </c>
      <c r="AY1378" s="58" t="n">
        <f aca="false">IF(AV1378&gt;0,I1378/AV1378,-1)</f>
        <v>38</v>
      </c>
      <c r="AZ1378" s="58" t="n">
        <f aca="false">IF(AND(OR(BU1378="L1",BU1378="L23"),AV1378&gt;0),SUMIFS($AV$7:$AV$1576,$BU$7:$BU$1576,BU1378,$AY$7:$AY$1576,"&gt;"&amp;AY1378)+SUMIFS($AV$7:$AV$1576,$BU$7:$BU$1576,BU1378,$AY$7:$AY$1576,AY1378,$BO$7:$BO$1576,"&lt;="&amp;BO1378),"")</f>
        <v>82.9169850382462</v>
      </c>
      <c r="BA1378" s="65" t="n">
        <f aca="false">IF(AZ1378="",0,MAX(0,MIN(1,(IF(BU1378="L1",Parameter!$E$5,Parameter!$E$6+Parameter!$E$7)-(AZ1378-AV1378))/AV1378)))</f>
        <v>1</v>
      </c>
      <c r="BB1378" s="55" t="str">
        <f aca="false">IF(AF1378&lt;=0,"",IF(BU1378="Aussen","Aussenlager",IF(BU1378="-","Nicht im Lift",IF(AK1378&gt;=1,"Lift",IF(AK1378&lt;=0,"Aussenlager","teilweise")))))</f>
        <v/>
      </c>
      <c r="BC1378" s="55" t="str">
        <f aca="false">IF(AN1378&lt;=0,"",IF(BU1378="Aussen","Aussenlager",IF(BU1378="-","Nicht im Lift",IF(AS1378&gt;=1,"Lift",IF(AS1378&lt;=0,"Aussenlager","teilweise")))))</f>
        <v>Lift</v>
      </c>
      <c r="BD1378" s="55" t="str">
        <f aca="false">IF(AV1378&lt;=0,"",IF(BU1378="Aussen","Aussenlager",IF(BU1378="-","Nicht im Lift",IF(BA1378&gt;=1,"Lift",IF(BA1378&lt;=0,"Aussenlager","teilweise")))))</f>
        <v>Lift</v>
      </c>
      <c r="BE1378" s="55" t="str">
        <f aca="false">IF(A1378="","",IF(BN1378=1,"Neu; ","")&amp;IF(AND(BN1378=0,BI1378&lt;0),"negativer Bestand (Export "&amp;BI1378&amp;"); ","")&amp;IF(I1378&lt;=0,"Kein Verbrauch; ","")&amp;IF(CD1378&gt;0,"Lift "&amp;U1378&amp;" lt. Liftbericht (Fach "&amp;V1378&amp;" Stk); ",IF(BR1378=1,"Lose – Fläche geschätzt; ",""))&amp;IF(G1378&gt;AP1378,"Überbestand "&amp;ROUND(G1378-AP1378,0)&amp;" Stk / CHF "&amp;ROUND((G1378-AP1378)*F1378,0)&amp;"; ","")&amp;IF(AND(BW1378=1,BX1378&lt;BY1378),"MAX &lt; MB+LG; ","")&amp;IF(AND(CC1378&gt;0,CB1378*10&gt;CC1378),"zu hoch für Tablar; ","")&amp;IF(AND(BN1378=0,OR(BW1378=1,Y1378&lt;&gt;"",S1378&lt;&gt;"",T1378&lt;&gt;"",Z1378&lt;&gt;"")),"manuell übersteuert; ","")&amp;IF(AND(BR1378=0,Q1378=0),"Gebinde unbekannt / Stellmass fehlt; ","")&amp;IF(AND(BR1378=0,N(T1378)&lt;=0,N(P1378)&lt;=0),"Menge pro Gebinde fehlt (Ist = 1 Gebinde); ","")&amp;BM1378)</f>
        <v>negativer Bestand (Export -24); grosser Artikel &amp; nicht im KTL</v>
      </c>
      <c r="BF1378" s="55"/>
      <c r="BG1378" s="55"/>
      <c r="BH1378" s="62"/>
      <c r="BI1378" s="57" t="n">
        <v>-24</v>
      </c>
      <c r="BJ1378" s="57" t="n">
        <v>44</v>
      </c>
      <c r="BK1378" s="56" t="n">
        <v>-2826.44</v>
      </c>
      <c r="BL1378" s="57" t="n">
        <v>19</v>
      </c>
      <c r="BM1378" s="55" t="s">
        <v>253</v>
      </c>
      <c r="BN1378" s="60" t="n">
        <v>0</v>
      </c>
      <c r="BO1378" s="60" t="n">
        <v>1378</v>
      </c>
      <c r="BP1378" s="55" t="str">
        <f aca="false">IF(S1378&lt;&gt;"",UPPER(TRIM(S1378)),IF(O1378="","LOSE",O1378))</f>
        <v>S71</v>
      </c>
      <c r="BQ1378" s="57" t="n">
        <f aca="false">IF(BP1378="LOSE",1,IF(N(T1378)&gt;0,T1378,IF(N(P1378)&gt;0,P1378,MAX(1,G1378))))</f>
        <v>14</v>
      </c>
      <c r="BR1378" s="60" t="n">
        <f aca="false">IF(BP1378="LOSE",1,0)</f>
        <v>0</v>
      </c>
      <c r="BS1378" s="59" t="n">
        <f aca="false">IF(BR1378=0,0,IF(N(R1378)&gt;0,R1378,IFERROR(VLOOKUP(D1378,Parameter!$A$35:$C$64,3,0)+0,0)))</f>
        <v>0</v>
      </c>
      <c r="BT1378" s="55" t="n">
        <f aca="false">IF(Y1378&lt;&gt;"",Y1378,X1378)</f>
        <v>2</v>
      </c>
      <c r="BU1378" s="55" t="str">
        <f aca="false">IF(BT1378=1,"L1",IF(OR(BT1378=2,BT1378=3),"L23",IF(BT1378="Aussen","Aussen","-")))</f>
        <v>L23</v>
      </c>
      <c r="BV1378" s="66" t="n">
        <f aca="false">IF(N(Z1378)&gt;0,Z1378,0)</f>
        <v>0</v>
      </c>
      <c r="BW1378" s="60" t="n">
        <f aca="false">IF(ISNUMBER(AC1378),1,0)</f>
        <v>0</v>
      </c>
      <c r="BX1378" s="57" t="n">
        <f aca="false">N(AC1378)</f>
        <v>0</v>
      </c>
      <c r="BY1378" s="57" t="n">
        <f aca="false">N(L1378)+N(M1378)</f>
        <v>32</v>
      </c>
      <c r="BZ1378" s="57" t="n">
        <f aca="false">ROUNDUP(G1378/BQ1378,0)</f>
        <v>0</v>
      </c>
      <c r="CA1378" s="57" t="n">
        <f aca="false">ROUNDUP(BX1378/BQ1378,0)</f>
        <v>0</v>
      </c>
      <c r="CB1378" s="60" t="n">
        <f aca="false">IF(BR1378=1,0,IFERROR(VLOOKUP(BP1378,'Gebinde-Kategorie'!$A$5:$M$45,5,0)+0,0))</f>
        <v>20</v>
      </c>
      <c r="CC1378" s="60" t="n">
        <f aca="false">IFERROR(IF(OR(BT1378=1,BT1378=2,BT1378=3),N(INDEX(Parameter!$I$5:$I$7,BT1378)),0),0)</f>
        <v>0</v>
      </c>
      <c r="CD1378" s="59" t="n">
        <f aca="false">IF(AND(Parameter!$B$21="Ja",ISNUMBER(U1378),N(V1378)&gt;0),IFERROR(N(INDEX(Parameter!$L$5:$L$7,U1378))*INDEX(Parameter!$E$5:$E$7,U1378)*V1378/SUMIFS($V$7:$V$1576,$U$7:$U$1576,U1378),0),0)</f>
        <v>0</v>
      </c>
    </row>
    <row r="1379" customFormat="false" ht="15" hidden="false" customHeight="false" outlineLevel="0" collapsed="false">
      <c r="A1379" s="55" t="s">
        <v>2414</v>
      </c>
      <c r="B1379" s="55" t="s">
        <v>292</v>
      </c>
      <c r="C1379" s="55" t="s">
        <v>160</v>
      </c>
      <c r="D1379" s="55" t="s">
        <v>178</v>
      </c>
      <c r="E1379" s="55" t="s">
        <v>210</v>
      </c>
      <c r="F1379" s="56" t="n">
        <v>319</v>
      </c>
      <c r="G1379" s="57" t="n">
        <f aca="false">MAX(0,IF(AND(Parameter!$B$21="Ja",ISNUMBER(W1379)),W1379,IF(Parameter!$B$20="Jahresanfang 2025 + Export",BJ1379+BI1379,BI1379)))</f>
        <v>0</v>
      </c>
      <c r="H1379" s="57" t="n">
        <f aca="false">G1379*F1379</f>
        <v>0</v>
      </c>
      <c r="I1379" s="57" t="n">
        <f aca="false">BL1379*Parameter!$B$18</f>
        <v>14</v>
      </c>
      <c r="J1379" s="58" t="n">
        <v>12.5</v>
      </c>
      <c r="K1379" s="59" t="n">
        <v>1.12</v>
      </c>
      <c r="L1379" s="57" t="n">
        <v>1</v>
      </c>
      <c r="M1379" s="57" t="n">
        <v>10</v>
      </c>
      <c r="N1379" s="60" t="n">
        <v>31</v>
      </c>
      <c r="O1379" s="55" t="s">
        <v>225</v>
      </c>
      <c r="P1379" s="57" t="n">
        <v>28</v>
      </c>
      <c r="Q1379" s="60" t="n">
        <f aca="false">IF(BR1379=1,0,IFERROR(VLOOKUP(BP1379,'Gebinde-Kategorie'!$A$5:$M$45,13,0)+0,0))</f>
        <v>26</v>
      </c>
      <c r="R1379" s="61"/>
      <c r="S1379" s="62"/>
      <c r="T1379" s="62"/>
      <c r="U1379" s="55"/>
      <c r="V1379" s="57"/>
      <c r="W1379" s="57"/>
      <c r="X1379" s="55" t="n">
        <f aca="false">IF(A1379="","",IF(AND(Parameter!$B$21="Ja",ISNUMBER(U1379)),U1379,IF(IFERROR(VLOOKUP(D1379,Parameter!$A$35:$C$64,2,0),"Nein")="2+3",IF(ISNUMBER(SEARCH("grosser Artikel",BM1379)),2,IFERROR(VLOOKUP(BP1379,Parameter!$F$35:$G$64,2,0),2)),IF(OR(IFERROR(VLOOKUP(D1379,Parameter!$A$35:$C$64,2,0),"Nein")="Nein",IFERROR(VLOOKUP(D1379,Parameter!$A$35:$C$64,2,0),"Nein")=""),"-",VLOOKUP(D1379,Parameter!$A$35:$C$64,2,0)))))</f>
        <v>3</v>
      </c>
      <c r="Y1379" s="62"/>
      <c r="Z1379" s="63"/>
      <c r="AA1379" s="57" t="n">
        <f aca="false">AP1379</f>
        <v>28</v>
      </c>
      <c r="AB1379" s="57" t="n">
        <f aca="false">MAX(AP1379,G1379)</f>
        <v>28</v>
      </c>
      <c r="AC1379" s="64"/>
      <c r="AD1379" s="57" t="n">
        <f aca="false">IF(LEFT(Cockpit!$C$5,1)="A",G1379,IF(BW1379=1,BX1379,IF(LEFT(Cockpit!$C$5,1)="B",AH1379,MAX(AH1379,G1379))))</f>
        <v>0</v>
      </c>
      <c r="AE1379" s="57" t="n">
        <f aca="false">IF(BR1379=1,0,ROUNDUP(AD1379/BQ1379,0))</f>
        <v>0</v>
      </c>
      <c r="AF1379" s="59" t="n">
        <f aca="false">IF(CD1379&gt;0,CD1379*MAX(1,AD1379/V1379),IF(BR1379=1,IF(AD1379&lt;=0,0,BS1379*MAX(1,IF(G1379&gt;0,AD1379/G1379,1))),IF(Q1379&gt;0,AE1379/Q1379,0))/MAX(0.1,N(Parameter!$M$21)))</f>
        <v>0</v>
      </c>
      <c r="AG1379" s="57" t="n">
        <f aca="false">AD1379*F1379</f>
        <v>0</v>
      </c>
      <c r="AH1379" s="57" t="n">
        <f aca="false">ROUNDUP(MAX(I1379/IF(BV1379&gt;0,BV1379,MAX(0.1,N(Cockpit!$C$6))),BY1379)/BQ1379,0)*BQ1379</f>
        <v>28</v>
      </c>
      <c r="AI1379" s="58" t="n">
        <f aca="false">IF(AF1379&gt;0,I1379/AF1379,-1)</f>
        <v>-1</v>
      </c>
      <c r="AJ1379" s="58" t="str">
        <f aca="false">IF(AND(OR(BU1379="L1",BU1379="L23"),AF1379&gt;0),SUMIFS($AF$7:$AF$1576,$BU$7:$BU$1576,BU1379,$AI$7:$AI$1576,"&gt;"&amp;AI1379)+SUMIFS($AF$7:$AF$1576,$BU$7:$BU$1576,BU1379,$AI$7:$AI$1576,AI1379,$BO$7:$BO$1576,"&lt;="&amp;BO1379),"")</f>
        <v/>
      </c>
      <c r="AK1379" s="65" t="n">
        <f aca="false">IF(AJ1379="",0,MAX(0,MIN(1,(IF(BU1379="L1",Parameter!$E$5,Parameter!$E$6+Parameter!$E$7)-(AJ1379-AF1379))/AF1379)))</f>
        <v>0</v>
      </c>
      <c r="AL1379" s="57" t="n">
        <f aca="false">IF(LEFT(Cockpit!$I$5,1)="A",G1379,IF(BW1379=1,BX1379,IF(LEFT(Cockpit!$I$5,1)="B",AP1379,MAX(AP1379,G1379))))</f>
        <v>28</v>
      </c>
      <c r="AM1379" s="57" t="n">
        <f aca="false">IF(BR1379=1,0,ROUNDUP(AL1379/BQ1379,0))</f>
        <v>1</v>
      </c>
      <c r="AN1379" s="59" t="n">
        <f aca="false">IF(CD1379&gt;0,CD1379*MAX(1,AL1379/V1379),IF(BR1379=1,IF(AL1379&lt;=0,0,BS1379*MAX(1,IF(G1379&gt;0,AL1379/G1379,1))),IF(Q1379&gt;0,AM1379/Q1379,0))/MAX(0.1,N(Parameter!$M$21)))</f>
        <v>0.0384615384615385</v>
      </c>
      <c r="AO1379" s="57" t="n">
        <f aca="false">AL1379*F1379</f>
        <v>8932</v>
      </c>
      <c r="AP1379" s="57" t="n">
        <f aca="false">ROUNDUP(MAX(I1379/IF(BV1379&gt;0,BV1379,MAX(0.1,N(Cockpit!$I$6))),BY1379)/BQ1379,0)*BQ1379</f>
        <v>28</v>
      </c>
      <c r="AQ1379" s="58" t="n">
        <f aca="false">IF(AN1379&gt;0,I1379/AN1379,-1)</f>
        <v>364</v>
      </c>
      <c r="AR1379" s="58" t="n">
        <f aca="false">IF(AND(OR(BU1379="L1",BU1379="L23"),AN1379&gt;0),SUMIFS($AN$7:$AN$1576,$BU$7:$BU$1576,BU1379,$AQ$7:$AQ$1576,"&gt;"&amp;AQ1379)+SUMIFS($AN$7:$AN$1576,$BU$7:$BU$1576,BU1379,$AQ$7:$AQ$1576,AQ1379,$BO$7:$BO$1576,"&lt;="&amp;BO1379),"")</f>
        <v>37.9821342549715</v>
      </c>
      <c r="AS1379" s="65" t="n">
        <f aca="false">IF(AR1379="",0,MAX(0,MIN(1,(IF(BU1379="L1",Parameter!$E$5,Parameter!$E$6+Parameter!$E$7)-(AR1379-AN1379))/AN1379)))</f>
        <v>1</v>
      </c>
      <c r="AT1379" s="57" t="n">
        <f aca="false">IF(LEFT(Cockpit!$O$5,1)="A",G1379,IF(BW1379=1,BX1379,IF(LEFT(Cockpit!$O$5,1)="B",AX1379,MAX(AX1379,G1379))))</f>
        <v>28</v>
      </c>
      <c r="AU1379" s="57" t="n">
        <f aca="false">IF(BR1379=1,0,ROUNDUP(AT1379/BQ1379,0))</f>
        <v>1</v>
      </c>
      <c r="AV1379" s="59" t="n">
        <f aca="false">IF(CD1379&gt;0,CD1379*MAX(1,AT1379/V1379),IF(BR1379=1,IF(AT1379&lt;=0,0,BS1379*MAX(1,IF(G1379&gt;0,AT1379/G1379,1))),IF(Q1379&gt;0,AU1379/Q1379,0))/MAX(0.1,N(Parameter!$M$21)))</f>
        <v>0.0384615384615385</v>
      </c>
      <c r="AW1379" s="57" t="n">
        <f aca="false">AT1379*F1379</f>
        <v>8932</v>
      </c>
      <c r="AX1379" s="57" t="n">
        <f aca="false">ROUNDUP(MAX(I1379/IF(BV1379&gt;0,BV1379,MAX(0.1,N(Cockpit!$O$6))),BY1379)/BQ1379,0)*BQ1379</f>
        <v>28</v>
      </c>
      <c r="AY1379" s="58" t="n">
        <f aca="false">IF(AV1379&gt;0,I1379/AV1379,-1)</f>
        <v>364</v>
      </c>
      <c r="AZ1379" s="58" t="n">
        <f aca="false">IF(AND(OR(BU1379="L1",BU1379="L23"),AV1379&gt;0),SUMIFS($AV$7:$AV$1576,$BU$7:$BU$1576,BU1379,$AY$7:$AY$1576,"&gt;"&amp;AY1379)+SUMIFS($AV$7:$AV$1576,$BU$7:$BU$1576,BU1379,$AY$7:$AY$1576,AY1379,$BO$7:$BO$1576,"&lt;="&amp;BO1379),"")</f>
        <v>36.8135461763834</v>
      </c>
      <c r="BA1379" s="65" t="n">
        <f aca="false">IF(AZ1379="",0,MAX(0,MIN(1,(IF(BU1379="L1",Parameter!$E$5,Parameter!$E$6+Parameter!$E$7)-(AZ1379-AV1379))/AV1379)))</f>
        <v>1</v>
      </c>
      <c r="BB1379" s="55" t="str">
        <f aca="false">IF(AF1379&lt;=0,"",IF(BU1379="Aussen","Aussenlager",IF(BU1379="-","Nicht im Lift",IF(AK1379&gt;=1,"Lift",IF(AK1379&lt;=0,"Aussenlager","teilweise")))))</f>
        <v/>
      </c>
      <c r="BC1379" s="55" t="str">
        <f aca="false">IF(AN1379&lt;=0,"",IF(BU1379="Aussen","Aussenlager",IF(BU1379="-","Nicht im Lift",IF(AS1379&gt;=1,"Lift",IF(AS1379&lt;=0,"Aussenlager","teilweise")))))</f>
        <v>Lift</v>
      </c>
      <c r="BD1379" s="55" t="str">
        <f aca="false">IF(AV1379&lt;=0,"",IF(BU1379="Aussen","Aussenlager",IF(BU1379="-","Nicht im Lift",IF(BA1379&gt;=1,"Lift",IF(BA1379&lt;=0,"Aussenlager","teilweise")))))</f>
        <v>Lift</v>
      </c>
      <c r="BE1379" s="55" t="str">
        <f aca="false">IF(A1379="","",IF(BN1379=1,"Neu; ","")&amp;IF(AND(BN1379=0,BI1379&lt;0),"negativer Bestand (Export "&amp;BI1379&amp;"); ","")&amp;IF(I1379&lt;=0,"Kein Verbrauch; ","")&amp;IF(CD1379&gt;0,"Lift "&amp;U1379&amp;" lt. Liftbericht (Fach "&amp;V1379&amp;" Stk); ",IF(BR1379=1,"Lose – Fläche geschätzt; ",""))&amp;IF(G1379&gt;AP1379,"Überbestand "&amp;ROUND(G1379-AP1379,0)&amp;" Stk / CHF "&amp;ROUND((G1379-AP1379)*F1379,0)&amp;"; ","")&amp;IF(AND(BW1379=1,BX1379&lt;BY1379),"MAX &lt; MB+LG; ","")&amp;IF(AND(CC1379&gt;0,CB1379*10&gt;CC1379),"zu hoch für Tablar; ","")&amp;IF(AND(BN1379=0,OR(BW1379=1,Y1379&lt;&gt;"",S1379&lt;&gt;"",T1379&lt;&gt;"",Z1379&lt;&gt;"")),"manuell übersteuert; ","")&amp;IF(AND(BR1379=0,Q1379=0),"Gebinde unbekannt / Stellmass fehlt; ","")&amp;IF(AND(BR1379=0,N(T1379)&lt;=0,N(P1379)&lt;=0),"Menge pro Gebinde fehlt (Ist = 1 Gebinde); ","")&amp;BM1379)</f>
        <v>negativer Bestand (Export -9); Überbestand</v>
      </c>
      <c r="BF1379" s="55"/>
      <c r="BG1379" s="55"/>
      <c r="BH1379" s="62"/>
      <c r="BI1379" s="57" t="n">
        <v>-9</v>
      </c>
      <c r="BJ1379" s="57" t="n">
        <v>16</v>
      </c>
      <c r="BK1379" s="56" t="n">
        <v>-2871</v>
      </c>
      <c r="BL1379" s="57" t="n">
        <v>14</v>
      </c>
      <c r="BM1379" s="55" t="s">
        <v>382</v>
      </c>
      <c r="BN1379" s="60" t="n">
        <v>0</v>
      </c>
      <c r="BO1379" s="60" t="n">
        <v>1379</v>
      </c>
      <c r="BP1379" s="55" t="str">
        <f aca="false">IF(S1379&lt;&gt;"",UPPER(TRIM(S1379)),IF(O1379="","LOSE",O1379))</f>
        <v>S52</v>
      </c>
      <c r="BQ1379" s="57" t="n">
        <f aca="false">IF(BP1379="LOSE",1,IF(N(T1379)&gt;0,T1379,IF(N(P1379)&gt;0,P1379,MAX(1,G1379))))</f>
        <v>28</v>
      </c>
      <c r="BR1379" s="60" t="n">
        <f aca="false">IF(BP1379="LOSE",1,0)</f>
        <v>0</v>
      </c>
      <c r="BS1379" s="59" t="n">
        <f aca="false">IF(BR1379=0,0,IF(N(R1379)&gt;0,R1379,IFERROR(VLOOKUP(D1379,Parameter!$A$35:$C$64,3,0)+0,0)))</f>
        <v>0</v>
      </c>
      <c r="BT1379" s="55" t="n">
        <f aca="false">IF(Y1379&lt;&gt;"",Y1379,X1379)</f>
        <v>3</v>
      </c>
      <c r="BU1379" s="55" t="str">
        <f aca="false">IF(BT1379=1,"L1",IF(OR(BT1379=2,BT1379=3),"L23",IF(BT1379="Aussen","Aussen","-")))</f>
        <v>L23</v>
      </c>
      <c r="BV1379" s="66" t="n">
        <f aca="false">IF(N(Z1379)&gt;0,Z1379,0)</f>
        <v>0</v>
      </c>
      <c r="BW1379" s="60" t="n">
        <f aca="false">IF(ISNUMBER(AC1379),1,0)</f>
        <v>0</v>
      </c>
      <c r="BX1379" s="57" t="n">
        <f aca="false">N(AC1379)</f>
        <v>0</v>
      </c>
      <c r="BY1379" s="57" t="n">
        <f aca="false">N(L1379)+N(M1379)</f>
        <v>11</v>
      </c>
      <c r="BZ1379" s="57" t="n">
        <f aca="false">ROUNDUP(G1379/BQ1379,0)</f>
        <v>0</v>
      </c>
      <c r="CA1379" s="57" t="n">
        <f aca="false">ROUNDUP(BX1379/BQ1379,0)</f>
        <v>0</v>
      </c>
      <c r="CB1379" s="60" t="n">
        <f aca="false">IF(BR1379=1,0,IFERROR(VLOOKUP(BP1379,'Gebinde-Kategorie'!$A$5:$M$45,5,0)+0,0))</f>
        <v>21</v>
      </c>
      <c r="CC1379" s="60" t="n">
        <f aca="false">IFERROR(IF(OR(BT1379=1,BT1379=2,BT1379=3),N(INDEX(Parameter!$I$5:$I$7,BT1379)),0),0)</f>
        <v>0</v>
      </c>
      <c r="CD1379" s="59" t="n">
        <f aca="false">IF(AND(Parameter!$B$21="Ja",ISNUMBER(U1379),N(V1379)&gt;0),IFERROR(N(INDEX(Parameter!$L$5:$L$7,U1379))*INDEX(Parameter!$E$5:$E$7,U1379)*V1379/SUMIFS($V$7:$V$1576,$U$7:$U$1576,U1379),0),0)</f>
        <v>0</v>
      </c>
    </row>
    <row r="1380" customFormat="false" ht="15" hidden="false" customHeight="false" outlineLevel="0" collapsed="false">
      <c r="A1380" s="55" t="s">
        <v>2415</v>
      </c>
      <c r="B1380" s="55" t="s">
        <v>2265</v>
      </c>
      <c r="C1380" s="55" t="s">
        <v>160</v>
      </c>
      <c r="D1380" s="55" t="s">
        <v>168</v>
      </c>
      <c r="E1380" s="55" t="s">
        <v>210</v>
      </c>
      <c r="F1380" s="56" t="n">
        <v>164.4</v>
      </c>
      <c r="G1380" s="57" t="n">
        <f aca="false">MAX(0,IF(AND(Parameter!$B$21="Ja",ISNUMBER(W1380)),W1380,IF(Parameter!$B$20="Jahresanfang 2025 + Export",BJ1380+BI1380,BI1380)))</f>
        <v>0</v>
      </c>
      <c r="H1380" s="57" t="n">
        <f aca="false">G1380*F1380</f>
        <v>0</v>
      </c>
      <c r="I1380" s="57" t="n">
        <f aca="false">BL1380*Parameter!$B$18</f>
        <v>31</v>
      </c>
      <c r="J1380" s="58" t="n">
        <v>29</v>
      </c>
      <c r="K1380" s="59" t="n">
        <v>1.06896551724138</v>
      </c>
      <c r="L1380" s="57" t="n">
        <v>5</v>
      </c>
      <c r="M1380" s="57" t="n">
        <v>20</v>
      </c>
      <c r="N1380" s="60" t="n">
        <v>49</v>
      </c>
      <c r="O1380" s="55" t="s">
        <v>218</v>
      </c>
      <c r="P1380" s="57" t="n">
        <v>14</v>
      </c>
      <c r="Q1380" s="60" t="n">
        <f aca="false">IF(BR1380=1,0,IFERROR(VLOOKUP(BP1380,'Gebinde-Kategorie'!$A$5:$M$45,13,0)+0,0))</f>
        <v>12</v>
      </c>
      <c r="R1380" s="61"/>
      <c r="S1380" s="62"/>
      <c r="T1380" s="62"/>
      <c r="U1380" s="55"/>
      <c r="V1380" s="57"/>
      <c r="W1380" s="57"/>
      <c r="X1380" s="55" t="n">
        <f aca="false">IF(A1380="","",IF(AND(Parameter!$B$21="Ja",ISNUMBER(U1380)),U1380,IF(IFERROR(VLOOKUP(D1380,Parameter!$A$35:$C$64,2,0),"Nein")="2+3",IF(ISNUMBER(SEARCH("grosser Artikel",BM1380)),2,IFERROR(VLOOKUP(BP1380,Parameter!$F$35:$G$64,2,0),2)),IF(OR(IFERROR(VLOOKUP(D1380,Parameter!$A$35:$C$64,2,0),"Nein")="Nein",IFERROR(VLOOKUP(D1380,Parameter!$A$35:$C$64,2,0),"Nein")=""),"-",VLOOKUP(D1380,Parameter!$A$35:$C$64,2,0)))))</f>
        <v>2</v>
      </c>
      <c r="Y1380" s="62"/>
      <c r="Z1380" s="63"/>
      <c r="AA1380" s="57" t="n">
        <f aca="false">AP1380</f>
        <v>28</v>
      </c>
      <c r="AB1380" s="57" t="n">
        <f aca="false">MAX(AP1380,G1380)</f>
        <v>28</v>
      </c>
      <c r="AC1380" s="64"/>
      <c r="AD1380" s="57" t="n">
        <f aca="false">IF(LEFT(Cockpit!$C$5,1)="A",G1380,IF(BW1380=1,BX1380,IF(LEFT(Cockpit!$C$5,1)="B",AH1380,MAX(AH1380,G1380))))</f>
        <v>0</v>
      </c>
      <c r="AE1380" s="57" t="n">
        <f aca="false">IF(BR1380=1,0,ROUNDUP(AD1380/BQ1380,0))</f>
        <v>0</v>
      </c>
      <c r="AF1380" s="59" t="n">
        <f aca="false">IF(CD1380&gt;0,CD1380*MAX(1,AD1380/V1380),IF(BR1380=1,IF(AD1380&lt;=0,0,BS1380*MAX(1,IF(G1380&gt;0,AD1380/G1380,1))),IF(Q1380&gt;0,AE1380/Q1380,0))/MAX(0.1,N(Parameter!$M$21)))</f>
        <v>0</v>
      </c>
      <c r="AG1380" s="57" t="n">
        <f aca="false">AD1380*F1380</f>
        <v>0</v>
      </c>
      <c r="AH1380" s="57" t="n">
        <f aca="false">ROUNDUP(MAX(I1380/IF(BV1380&gt;0,BV1380,MAX(0.1,N(Cockpit!$C$6))),BY1380)/BQ1380,0)*BQ1380</f>
        <v>28</v>
      </c>
      <c r="AI1380" s="58" t="n">
        <f aca="false">IF(AF1380&gt;0,I1380/AF1380,-1)</f>
        <v>-1</v>
      </c>
      <c r="AJ1380" s="58" t="str">
        <f aca="false">IF(AND(OR(BU1380="L1",BU1380="L23"),AF1380&gt;0),SUMIFS($AF$7:$AF$1576,$BU$7:$BU$1576,BU1380,$AI$7:$AI$1576,"&gt;"&amp;AI1380)+SUMIFS($AF$7:$AF$1576,$BU$7:$BU$1576,BU1380,$AI$7:$AI$1576,AI1380,$BO$7:$BO$1576,"&lt;="&amp;BO1380),"")</f>
        <v/>
      </c>
      <c r="AK1380" s="65" t="n">
        <f aca="false">IF(AJ1380="",0,MAX(0,MIN(1,(IF(BU1380="L1",Parameter!$E$5,Parameter!$E$6+Parameter!$E$7)-(AJ1380-AF1380))/AF1380)))</f>
        <v>0</v>
      </c>
      <c r="AL1380" s="57" t="n">
        <f aca="false">IF(LEFT(Cockpit!$I$5,1)="A",G1380,IF(BW1380=1,BX1380,IF(LEFT(Cockpit!$I$5,1)="B",AP1380,MAX(AP1380,G1380))))</f>
        <v>28</v>
      </c>
      <c r="AM1380" s="57" t="n">
        <f aca="false">IF(BR1380=1,0,ROUNDUP(AL1380/BQ1380,0))</f>
        <v>2</v>
      </c>
      <c r="AN1380" s="59" t="n">
        <f aca="false">IF(CD1380&gt;0,CD1380*MAX(1,AL1380/V1380),IF(BR1380=1,IF(AL1380&lt;=0,0,BS1380*MAX(1,IF(G1380&gt;0,AL1380/G1380,1))),IF(Q1380&gt;0,AM1380/Q1380,0))/MAX(0.1,N(Parameter!$M$21)))</f>
        <v>0.166666666666667</v>
      </c>
      <c r="AO1380" s="57" t="n">
        <f aca="false">AL1380*F1380</f>
        <v>4603.2</v>
      </c>
      <c r="AP1380" s="57" t="n">
        <f aca="false">ROUNDUP(MAX(I1380/IF(BV1380&gt;0,BV1380,MAX(0.1,N(Cockpit!$I$6))),BY1380)/BQ1380,0)*BQ1380</f>
        <v>28</v>
      </c>
      <c r="AQ1380" s="58" t="n">
        <f aca="false">IF(AN1380&gt;0,I1380/AN1380,-1)</f>
        <v>186</v>
      </c>
      <c r="AR1380" s="58" t="n">
        <f aca="false">IF(AND(OR(BU1380="L1",BU1380="L23"),AN1380&gt;0),SUMIFS($AN$7:$AN$1576,$BU$7:$BU$1576,BU1380,$AQ$7:$AQ$1576,"&gt;"&amp;AQ1380)+SUMIFS($AN$7:$AN$1576,$BU$7:$BU$1576,BU1380,$AQ$7:$AQ$1576,AQ1380,$BO$7:$BO$1576,"&lt;="&amp;BO1380),"")</f>
        <v>51.4352574602686</v>
      </c>
      <c r="AS1380" s="65" t="n">
        <f aca="false">IF(AR1380="",0,MAX(0,MIN(1,(IF(BU1380="L1",Parameter!$E$5,Parameter!$E$6+Parameter!$E$7)-(AR1380-AN1380))/AN1380)))</f>
        <v>1</v>
      </c>
      <c r="AT1380" s="57" t="n">
        <f aca="false">IF(LEFT(Cockpit!$O$5,1)="A",G1380,IF(BW1380=1,BX1380,IF(LEFT(Cockpit!$O$5,1)="B",AX1380,MAX(AX1380,G1380))))</f>
        <v>28</v>
      </c>
      <c r="AU1380" s="57" t="n">
        <f aca="false">IF(BR1380=1,0,ROUNDUP(AT1380/BQ1380,0))</f>
        <v>2</v>
      </c>
      <c r="AV1380" s="59" t="n">
        <f aca="false">IF(CD1380&gt;0,CD1380*MAX(1,AT1380/V1380),IF(BR1380=1,IF(AT1380&lt;=0,0,BS1380*MAX(1,IF(G1380&gt;0,AT1380/G1380,1))),IF(Q1380&gt;0,AU1380/Q1380,0))/MAX(0.1,N(Parameter!$M$21)))</f>
        <v>0.166666666666667</v>
      </c>
      <c r="AW1380" s="57" t="n">
        <f aca="false">AT1380*F1380</f>
        <v>4603.2</v>
      </c>
      <c r="AX1380" s="57" t="n">
        <f aca="false">ROUNDUP(MAX(I1380/IF(BV1380&gt;0,BV1380,MAX(0.1,N(Cockpit!$O$6))),BY1380)/BQ1380,0)*BQ1380</f>
        <v>28</v>
      </c>
      <c r="AY1380" s="58" t="n">
        <f aca="false">IF(AV1380&gt;0,I1380/AV1380,-1)</f>
        <v>186</v>
      </c>
      <c r="AZ1380" s="58" t="n">
        <f aca="false">IF(AND(OR(BU1380="L1",BU1380="L23"),AV1380&gt;0),SUMIFS($AV$7:$AV$1576,$BU$7:$BU$1576,BU1380,$AY$7:$AY$1576,"&gt;"&amp;AY1380)+SUMIFS($AV$7:$AV$1576,$BU$7:$BU$1576,BU1380,$AY$7:$AY$1576,AY1380,$BO$7:$BO$1576,"&lt;="&amp;BO1380),"")</f>
        <v>48.131517866529</v>
      </c>
      <c r="BA1380" s="65" t="n">
        <f aca="false">IF(AZ1380="",0,MAX(0,MIN(1,(IF(BU1380="L1",Parameter!$E$5,Parameter!$E$6+Parameter!$E$7)-(AZ1380-AV1380))/AV1380)))</f>
        <v>1</v>
      </c>
      <c r="BB1380" s="55" t="str">
        <f aca="false">IF(AF1380&lt;=0,"",IF(BU1380="Aussen","Aussenlager",IF(BU1380="-","Nicht im Lift",IF(AK1380&gt;=1,"Lift",IF(AK1380&lt;=0,"Aussenlager","teilweise")))))</f>
        <v/>
      </c>
      <c r="BC1380" s="55" t="str">
        <f aca="false">IF(AN1380&lt;=0,"",IF(BU1380="Aussen","Aussenlager",IF(BU1380="-","Nicht im Lift",IF(AS1380&gt;=1,"Lift",IF(AS1380&lt;=0,"Aussenlager","teilweise")))))</f>
        <v>Lift</v>
      </c>
      <c r="BD1380" s="55" t="str">
        <f aca="false">IF(AV1380&lt;=0,"",IF(BU1380="Aussen","Aussenlager",IF(BU1380="-","Nicht im Lift",IF(BA1380&gt;=1,"Lift",IF(BA1380&lt;=0,"Aussenlager","teilweise")))))</f>
        <v>Lift</v>
      </c>
      <c r="BE1380" s="55" t="str">
        <f aca="false">IF(A1380="","",IF(BN1380=1,"Neu; ","")&amp;IF(AND(BN1380=0,BI1380&lt;0),"negativer Bestand (Export "&amp;BI1380&amp;"); ","")&amp;IF(I1380&lt;=0,"Kein Verbrauch; ","")&amp;IF(CD1380&gt;0,"Lift "&amp;U1380&amp;" lt. Liftbericht (Fach "&amp;V1380&amp;" Stk); ",IF(BR1380=1,"Lose – Fläche geschätzt; ",""))&amp;IF(G1380&gt;AP1380,"Überbestand "&amp;ROUND(G1380-AP1380,0)&amp;" Stk / CHF "&amp;ROUND((G1380-AP1380)*F1380,0)&amp;"; ","")&amp;IF(AND(BW1380=1,BX1380&lt;BY1380),"MAX &lt; MB+LG; ","")&amp;IF(AND(CC1380&gt;0,CB1380*10&gt;CC1380),"zu hoch für Tablar; ","")&amp;IF(AND(BN1380=0,OR(BW1380=1,Y1380&lt;&gt;"",S1380&lt;&gt;"",T1380&lt;&gt;"",Z1380&lt;&gt;"")),"manuell übersteuert; ","")&amp;IF(AND(BR1380=0,Q1380=0),"Gebinde unbekannt / Stellmass fehlt; ","")&amp;IF(AND(BR1380=0,N(T1380)&lt;=0,N(P1380)&lt;=0),"Menge pro Gebinde fehlt (Ist = 1 Gebinde); ","")&amp;BM1380)</f>
        <v>negativer Bestand (Export -19); Neu</v>
      </c>
      <c r="BF1380" s="55"/>
      <c r="BG1380" s="55"/>
      <c r="BH1380" s="62"/>
      <c r="BI1380" s="57" t="n">
        <v>-19</v>
      </c>
      <c r="BJ1380" s="57" t="n">
        <v>32</v>
      </c>
      <c r="BK1380" s="56" t="n">
        <v>-2923.6</v>
      </c>
      <c r="BL1380" s="57" t="n">
        <v>31</v>
      </c>
      <c r="BM1380" s="55" t="s">
        <v>615</v>
      </c>
      <c r="BN1380" s="60" t="n">
        <v>0</v>
      </c>
      <c r="BO1380" s="60" t="n">
        <v>1380</v>
      </c>
      <c r="BP1380" s="55" t="str">
        <f aca="false">IF(S1380&lt;&gt;"",UPPER(TRIM(S1380)),IF(O1380="","LOSE",O1380))</f>
        <v>S63</v>
      </c>
      <c r="BQ1380" s="57" t="n">
        <f aca="false">IF(BP1380="LOSE",1,IF(N(T1380)&gt;0,T1380,IF(N(P1380)&gt;0,P1380,MAX(1,G1380))))</f>
        <v>14</v>
      </c>
      <c r="BR1380" s="60" t="n">
        <f aca="false">IF(BP1380="LOSE",1,0)</f>
        <v>0</v>
      </c>
      <c r="BS1380" s="59" t="n">
        <f aca="false">IF(BR1380=0,0,IF(N(R1380)&gt;0,R1380,IFERROR(VLOOKUP(D1380,Parameter!$A$35:$C$64,3,0)+0,0)))</f>
        <v>0</v>
      </c>
      <c r="BT1380" s="55" t="n">
        <f aca="false">IF(Y1380&lt;&gt;"",Y1380,X1380)</f>
        <v>2</v>
      </c>
      <c r="BU1380" s="55" t="str">
        <f aca="false">IF(BT1380=1,"L1",IF(OR(BT1380=2,BT1380=3),"L23",IF(BT1380="Aussen","Aussen","-")))</f>
        <v>L23</v>
      </c>
      <c r="BV1380" s="66" t="n">
        <f aca="false">IF(N(Z1380)&gt;0,Z1380,0)</f>
        <v>0</v>
      </c>
      <c r="BW1380" s="60" t="n">
        <f aca="false">IF(ISNUMBER(AC1380),1,0)</f>
        <v>0</v>
      </c>
      <c r="BX1380" s="57" t="n">
        <f aca="false">N(AC1380)</f>
        <v>0</v>
      </c>
      <c r="BY1380" s="57" t="n">
        <f aca="false">N(L1380)+N(M1380)</f>
        <v>25</v>
      </c>
      <c r="BZ1380" s="57" t="n">
        <f aca="false">ROUNDUP(G1380/BQ1380,0)</f>
        <v>0</v>
      </c>
      <c r="CA1380" s="57" t="n">
        <f aca="false">ROUNDUP(BX1380/BQ1380,0)</f>
        <v>0</v>
      </c>
      <c r="CB1380" s="60" t="n">
        <f aca="false">IF(BR1380=1,0,IFERROR(VLOOKUP(BP1380,'Gebinde-Kategorie'!$A$5:$M$45,5,0)+0,0))</f>
        <v>31</v>
      </c>
      <c r="CC1380" s="60" t="n">
        <f aca="false">IFERROR(IF(OR(BT1380=1,BT1380=2,BT1380=3),N(INDEX(Parameter!$I$5:$I$7,BT1380)),0),0)</f>
        <v>0</v>
      </c>
      <c r="CD1380" s="59" t="n">
        <f aca="false">IF(AND(Parameter!$B$21="Ja",ISNUMBER(U1380),N(V1380)&gt;0),IFERROR(N(INDEX(Parameter!$L$5:$L$7,U1380))*INDEX(Parameter!$E$5:$E$7,U1380)*V1380/SUMIFS($V$7:$V$1576,$U$7:$U$1576,U1380),0),0)</f>
        <v>0</v>
      </c>
    </row>
    <row r="1381" customFormat="false" ht="15" hidden="false" customHeight="false" outlineLevel="0" collapsed="false">
      <c r="A1381" s="55" t="s">
        <v>2416</v>
      </c>
      <c r="B1381" s="55" t="s">
        <v>1028</v>
      </c>
      <c r="C1381" s="55" t="s">
        <v>162</v>
      </c>
      <c r="D1381" s="55" t="s">
        <v>178</v>
      </c>
      <c r="E1381" s="55" t="s">
        <v>210</v>
      </c>
      <c r="F1381" s="56" t="n">
        <v>40.61</v>
      </c>
      <c r="G1381" s="57" t="n">
        <f aca="false">MAX(0,IF(AND(Parameter!$B$21="Ja",ISNUMBER(W1381)),W1381,IF(Parameter!$B$20="Jahresanfang 2025 + Export",BJ1381+BI1381,BI1381)))</f>
        <v>0</v>
      </c>
      <c r="H1381" s="57" t="n">
        <f aca="false">G1381*F1381</f>
        <v>0</v>
      </c>
      <c r="I1381" s="57" t="n">
        <f aca="false">BL1381*Parameter!$B$18</f>
        <v>88</v>
      </c>
      <c r="J1381" s="58" t="n">
        <v>56</v>
      </c>
      <c r="K1381" s="59" t="n">
        <v>1.57142857142857</v>
      </c>
      <c r="L1381" s="57" t="n">
        <v>0</v>
      </c>
      <c r="M1381" s="57" t="n">
        <v>75</v>
      </c>
      <c r="N1381" s="60" t="n">
        <v>21</v>
      </c>
      <c r="O1381" s="55" t="s">
        <v>218</v>
      </c>
      <c r="P1381" s="57" t="n">
        <v>130</v>
      </c>
      <c r="Q1381" s="60" t="n">
        <f aca="false">IF(BR1381=1,0,IFERROR(VLOOKUP(BP1381,'Gebinde-Kategorie'!$A$5:$M$45,13,0)+0,0))</f>
        <v>12</v>
      </c>
      <c r="R1381" s="61"/>
      <c r="S1381" s="62"/>
      <c r="T1381" s="62"/>
      <c r="U1381" s="55"/>
      <c r="V1381" s="57"/>
      <c r="W1381" s="57"/>
      <c r="X1381" s="55" t="n">
        <f aca="false">IF(A1381="","",IF(AND(Parameter!$B$21="Ja",ISNUMBER(U1381)),U1381,IF(IFERROR(VLOOKUP(D1381,Parameter!$A$35:$C$64,2,0),"Nein")="2+3",IF(ISNUMBER(SEARCH("grosser Artikel",BM1381)),2,IFERROR(VLOOKUP(BP1381,Parameter!$F$35:$G$64,2,0),2)),IF(OR(IFERROR(VLOOKUP(D1381,Parameter!$A$35:$C$64,2,0),"Nein")="Nein",IFERROR(VLOOKUP(D1381,Parameter!$A$35:$C$64,2,0),"Nein")=""),"-",VLOOKUP(D1381,Parameter!$A$35:$C$64,2,0)))))</f>
        <v>2</v>
      </c>
      <c r="Y1381" s="62"/>
      <c r="Z1381" s="63"/>
      <c r="AA1381" s="57" t="n">
        <f aca="false">AP1381</f>
        <v>130</v>
      </c>
      <c r="AB1381" s="57" t="n">
        <f aca="false">MAX(AP1381,G1381)</f>
        <v>130</v>
      </c>
      <c r="AC1381" s="64"/>
      <c r="AD1381" s="57" t="n">
        <f aca="false">IF(LEFT(Cockpit!$C$5,1)="A",G1381,IF(BW1381=1,BX1381,IF(LEFT(Cockpit!$C$5,1)="B",AH1381,MAX(AH1381,G1381))))</f>
        <v>0</v>
      </c>
      <c r="AE1381" s="57" t="n">
        <f aca="false">IF(BR1381=1,0,ROUNDUP(AD1381/BQ1381,0))</f>
        <v>0</v>
      </c>
      <c r="AF1381" s="59" t="n">
        <f aca="false">IF(CD1381&gt;0,CD1381*MAX(1,AD1381/V1381),IF(BR1381=1,IF(AD1381&lt;=0,0,BS1381*MAX(1,IF(G1381&gt;0,AD1381/G1381,1))),IF(Q1381&gt;0,AE1381/Q1381,0))/MAX(0.1,N(Parameter!$M$21)))</f>
        <v>0</v>
      </c>
      <c r="AG1381" s="57" t="n">
        <f aca="false">AD1381*F1381</f>
        <v>0</v>
      </c>
      <c r="AH1381" s="57" t="n">
        <f aca="false">ROUNDUP(MAX(I1381/IF(BV1381&gt;0,BV1381,MAX(0.1,N(Cockpit!$C$6))),BY1381)/BQ1381,0)*BQ1381</f>
        <v>130</v>
      </c>
      <c r="AI1381" s="58" t="n">
        <f aca="false">IF(AF1381&gt;0,I1381/AF1381,-1)</f>
        <v>-1</v>
      </c>
      <c r="AJ1381" s="58" t="str">
        <f aca="false">IF(AND(OR(BU1381="L1",BU1381="L23"),AF1381&gt;0),SUMIFS($AF$7:$AF$1576,$BU$7:$BU$1576,BU1381,$AI$7:$AI$1576,"&gt;"&amp;AI1381)+SUMIFS($AF$7:$AF$1576,$BU$7:$BU$1576,BU1381,$AI$7:$AI$1576,AI1381,$BO$7:$BO$1576,"&lt;="&amp;BO1381),"")</f>
        <v/>
      </c>
      <c r="AK1381" s="65" t="n">
        <f aca="false">IF(AJ1381="",0,MAX(0,MIN(1,(IF(BU1381="L1",Parameter!$E$5,Parameter!$E$6+Parameter!$E$7)-(AJ1381-AF1381))/AF1381)))</f>
        <v>0</v>
      </c>
      <c r="AL1381" s="57" t="n">
        <f aca="false">IF(LEFT(Cockpit!$I$5,1)="A",G1381,IF(BW1381=1,BX1381,IF(LEFT(Cockpit!$I$5,1)="B",AP1381,MAX(AP1381,G1381))))</f>
        <v>130</v>
      </c>
      <c r="AM1381" s="57" t="n">
        <f aca="false">IF(BR1381=1,0,ROUNDUP(AL1381/BQ1381,0))</f>
        <v>1</v>
      </c>
      <c r="AN1381" s="59" t="n">
        <f aca="false">IF(CD1381&gt;0,CD1381*MAX(1,AL1381/V1381),IF(BR1381=1,IF(AL1381&lt;=0,0,BS1381*MAX(1,IF(G1381&gt;0,AL1381/G1381,1))),IF(Q1381&gt;0,AM1381/Q1381,0))/MAX(0.1,N(Parameter!$M$21)))</f>
        <v>0.0833333333333333</v>
      </c>
      <c r="AO1381" s="57" t="n">
        <f aca="false">AL1381*F1381</f>
        <v>5279.3</v>
      </c>
      <c r="AP1381" s="57" t="n">
        <f aca="false">ROUNDUP(MAX(I1381/IF(BV1381&gt;0,BV1381,MAX(0.1,N(Cockpit!$I$6))),BY1381)/BQ1381,0)*BQ1381</f>
        <v>130</v>
      </c>
      <c r="AQ1381" s="58" t="n">
        <f aca="false">IF(AN1381&gt;0,I1381/AN1381,-1)</f>
        <v>1056</v>
      </c>
      <c r="AR1381" s="58" t="n">
        <f aca="false">IF(AND(OR(BU1381="L1",BU1381="L23"),AN1381&gt;0),SUMIFS($AN$7:$AN$1576,$BU$7:$BU$1576,BU1381,$AQ$7:$AQ$1576,"&gt;"&amp;AQ1381)+SUMIFS($AN$7:$AN$1576,$BU$7:$BU$1576,BU1381,$AQ$7:$AQ$1576,AQ1381,$BO$7:$BO$1576,"&lt;="&amp;BO1381),"")</f>
        <v>22.5332018829956</v>
      </c>
      <c r="AS1381" s="65" t="n">
        <f aca="false">IF(AR1381="",0,MAX(0,MIN(1,(IF(BU1381="L1",Parameter!$E$5,Parameter!$E$6+Parameter!$E$7)-(AR1381-AN1381))/AN1381)))</f>
        <v>1</v>
      </c>
      <c r="AT1381" s="57" t="n">
        <f aca="false">IF(LEFT(Cockpit!$O$5,1)="A",G1381,IF(BW1381=1,BX1381,IF(LEFT(Cockpit!$O$5,1)="B",AX1381,MAX(AX1381,G1381))))</f>
        <v>130</v>
      </c>
      <c r="AU1381" s="57" t="n">
        <f aca="false">IF(BR1381=1,0,ROUNDUP(AT1381/BQ1381,0))</f>
        <v>1</v>
      </c>
      <c r="AV1381" s="59" t="n">
        <f aca="false">IF(CD1381&gt;0,CD1381*MAX(1,AT1381/V1381),IF(BR1381=1,IF(AT1381&lt;=0,0,BS1381*MAX(1,IF(G1381&gt;0,AT1381/G1381,1))),IF(Q1381&gt;0,AU1381/Q1381,0))/MAX(0.1,N(Parameter!$M$21)))</f>
        <v>0.0833333333333333</v>
      </c>
      <c r="AW1381" s="57" t="n">
        <f aca="false">AT1381*F1381</f>
        <v>5279.3</v>
      </c>
      <c r="AX1381" s="57" t="n">
        <f aca="false">ROUNDUP(MAX(I1381/IF(BV1381&gt;0,BV1381,MAX(0.1,N(Cockpit!$O$6))),BY1381)/BQ1381,0)*BQ1381</f>
        <v>130</v>
      </c>
      <c r="AY1381" s="58" t="n">
        <f aca="false">IF(AV1381&gt;0,I1381/AV1381,-1)</f>
        <v>1056</v>
      </c>
      <c r="AZ1381" s="58" t="n">
        <f aca="false">IF(AND(OR(BU1381="L1",BU1381="L23"),AV1381&gt;0),SUMIFS($AV$7:$AV$1576,$BU$7:$BU$1576,BU1381,$AY$7:$AY$1576,"&gt;"&amp;AY1381)+SUMIFS($AV$7:$AV$1576,$BU$7:$BU$1576,BU1381,$AY$7:$AY$1576,AY1381,$BO$7:$BO$1576,"&lt;="&amp;BO1381),"")</f>
        <v>21.8438079436017</v>
      </c>
      <c r="BA1381" s="65" t="n">
        <f aca="false">IF(AZ1381="",0,MAX(0,MIN(1,(IF(BU1381="L1",Parameter!$E$5,Parameter!$E$6+Parameter!$E$7)-(AZ1381-AV1381))/AV1381)))</f>
        <v>1</v>
      </c>
      <c r="BB1381" s="55" t="str">
        <f aca="false">IF(AF1381&lt;=0,"",IF(BU1381="Aussen","Aussenlager",IF(BU1381="-","Nicht im Lift",IF(AK1381&gt;=1,"Lift",IF(AK1381&lt;=0,"Aussenlager","teilweise")))))</f>
        <v/>
      </c>
      <c r="BC1381" s="55" t="str">
        <f aca="false">IF(AN1381&lt;=0,"",IF(BU1381="Aussen","Aussenlager",IF(BU1381="-","Nicht im Lift",IF(AS1381&gt;=1,"Lift",IF(AS1381&lt;=0,"Aussenlager","teilweise")))))</f>
        <v>Lift</v>
      </c>
      <c r="BD1381" s="55" t="str">
        <f aca="false">IF(AV1381&lt;=0,"",IF(BU1381="Aussen","Aussenlager",IF(BU1381="-","Nicht im Lift",IF(BA1381&gt;=1,"Lift",IF(BA1381&lt;=0,"Aussenlager","teilweise")))))</f>
        <v>Lift</v>
      </c>
      <c r="BE1381" s="55" t="str">
        <f aca="false">IF(A1381="","",IF(BN1381=1,"Neu; ","")&amp;IF(AND(BN1381=0,BI1381&lt;0),"negativer Bestand (Export "&amp;BI1381&amp;"); ","")&amp;IF(I1381&lt;=0,"Kein Verbrauch; ","")&amp;IF(CD1381&gt;0,"Lift "&amp;U1381&amp;" lt. Liftbericht (Fach "&amp;V1381&amp;" Stk); ",IF(BR1381=1,"Lose – Fläche geschätzt; ",""))&amp;IF(G1381&gt;AP1381,"Überbestand "&amp;ROUND(G1381-AP1381,0)&amp;" Stk / CHF "&amp;ROUND((G1381-AP1381)*F1381,0)&amp;"; ","")&amp;IF(AND(BW1381=1,BX1381&lt;BY1381),"MAX &lt; MB+LG; ","")&amp;IF(AND(CC1381&gt;0,CB1381*10&gt;CC1381),"zu hoch für Tablar; ","")&amp;IF(AND(BN1381=0,OR(BW1381=1,Y1381&lt;&gt;"",S1381&lt;&gt;"",T1381&lt;&gt;"",Z1381&lt;&gt;"")),"manuell übersteuert; ","")&amp;IF(AND(BR1381=0,Q1381=0),"Gebinde unbekannt / Stellmass fehlt; ","")&amp;IF(AND(BR1381=0,N(T1381)&lt;=0,N(P1381)&lt;=0),"Menge pro Gebinde fehlt (Ist = 1 Gebinde); ","")&amp;BM1381)</f>
        <v>negativer Bestand (Export -72); </v>
      </c>
      <c r="BF1381" s="55"/>
      <c r="BG1381" s="55"/>
      <c r="BH1381" s="62"/>
      <c r="BI1381" s="57" t="n">
        <v>-72</v>
      </c>
      <c r="BJ1381" s="57" t="n">
        <v>92</v>
      </c>
      <c r="BK1381" s="56" t="n">
        <v>-2923.92</v>
      </c>
      <c r="BL1381" s="57" t="n">
        <v>88</v>
      </c>
      <c r="BM1381" s="55"/>
      <c r="BN1381" s="60" t="n">
        <v>0</v>
      </c>
      <c r="BO1381" s="60" t="n">
        <v>1381</v>
      </c>
      <c r="BP1381" s="55" t="str">
        <f aca="false">IF(S1381&lt;&gt;"",UPPER(TRIM(S1381)),IF(O1381="","LOSE",O1381))</f>
        <v>S63</v>
      </c>
      <c r="BQ1381" s="57" t="n">
        <f aca="false">IF(BP1381="LOSE",1,IF(N(T1381)&gt;0,T1381,IF(N(P1381)&gt;0,P1381,MAX(1,G1381))))</f>
        <v>130</v>
      </c>
      <c r="BR1381" s="60" t="n">
        <f aca="false">IF(BP1381="LOSE",1,0)</f>
        <v>0</v>
      </c>
      <c r="BS1381" s="59" t="n">
        <f aca="false">IF(BR1381=0,0,IF(N(R1381)&gt;0,R1381,IFERROR(VLOOKUP(D1381,Parameter!$A$35:$C$64,3,0)+0,0)))</f>
        <v>0</v>
      </c>
      <c r="BT1381" s="55" t="n">
        <f aca="false">IF(Y1381&lt;&gt;"",Y1381,X1381)</f>
        <v>2</v>
      </c>
      <c r="BU1381" s="55" t="str">
        <f aca="false">IF(BT1381=1,"L1",IF(OR(BT1381=2,BT1381=3),"L23",IF(BT1381="Aussen","Aussen","-")))</f>
        <v>L23</v>
      </c>
      <c r="BV1381" s="66" t="n">
        <f aca="false">IF(N(Z1381)&gt;0,Z1381,0)</f>
        <v>0</v>
      </c>
      <c r="BW1381" s="60" t="n">
        <f aca="false">IF(ISNUMBER(AC1381),1,0)</f>
        <v>0</v>
      </c>
      <c r="BX1381" s="57" t="n">
        <f aca="false">N(AC1381)</f>
        <v>0</v>
      </c>
      <c r="BY1381" s="57" t="n">
        <f aca="false">N(L1381)+N(M1381)</f>
        <v>75</v>
      </c>
      <c r="BZ1381" s="57" t="n">
        <f aca="false">ROUNDUP(G1381/BQ1381,0)</f>
        <v>0</v>
      </c>
      <c r="CA1381" s="57" t="n">
        <f aca="false">ROUNDUP(BX1381/BQ1381,0)</f>
        <v>0</v>
      </c>
      <c r="CB1381" s="60" t="n">
        <f aca="false">IF(BR1381=1,0,IFERROR(VLOOKUP(BP1381,'Gebinde-Kategorie'!$A$5:$M$45,5,0)+0,0))</f>
        <v>31</v>
      </c>
      <c r="CC1381" s="60" t="n">
        <f aca="false">IFERROR(IF(OR(BT1381=1,BT1381=2,BT1381=3),N(INDEX(Parameter!$I$5:$I$7,BT1381)),0),0)</f>
        <v>0</v>
      </c>
      <c r="CD1381" s="59" t="n">
        <f aca="false">IF(AND(Parameter!$B$21="Ja",ISNUMBER(U1381),N(V1381)&gt;0),IFERROR(N(INDEX(Parameter!$L$5:$L$7,U1381))*INDEX(Parameter!$E$5:$E$7,U1381)*V1381/SUMIFS($V$7:$V$1576,$U$7:$U$1576,U1381),0),0)</f>
        <v>0</v>
      </c>
    </row>
    <row r="1382" customFormat="false" ht="15" hidden="false" customHeight="false" outlineLevel="0" collapsed="false">
      <c r="A1382" s="55" t="s">
        <v>2417</v>
      </c>
      <c r="B1382" s="55" t="s">
        <v>403</v>
      </c>
      <c r="C1382" s="55" t="s">
        <v>160</v>
      </c>
      <c r="D1382" s="55" t="s">
        <v>168</v>
      </c>
      <c r="E1382" s="55" t="s">
        <v>210</v>
      </c>
      <c r="F1382" s="56" t="n">
        <v>199.67</v>
      </c>
      <c r="G1382" s="57" t="n">
        <f aca="false">MAX(0,IF(AND(Parameter!$B$21="Ja",ISNUMBER(W1382)),W1382,IF(Parameter!$B$20="Jahresanfang 2025 + Export",BJ1382+BI1382,BI1382)))</f>
        <v>0</v>
      </c>
      <c r="H1382" s="57" t="n">
        <f aca="false">G1382*F1382</f>
        <v>0</v>
      </c>
      <c r="I1382" s="57" t="n">
        <f aca="false">BL1382*Parameter!$B$18</f>
        <v>33</v>
      </c>
      <c r="J1382" s="58" t="n">
        <v>8</v>
      </c>
      <c r="K1382" s="59" t="n">
        <v>4.125</v>
      </c>
      <c r="L1382" s="57" t="n">
        <v>0</v>
      </c>
      <c r="M1382" s="57" t="n">
        <v>15</v>
      </c>
      <c r="N1382" s="60" t="n">
        <v>14</v>
      </c>
      <c r="O1382" s="55" t="s">
        <v>225</v>
      </c>
      <c r="P1382" s="57" t="n">
        <v>6</v>
      </c>
      <c r="Q1382" s="60" t="n">
        <f aca="false">IF(BR1382=1,0,IFERROR(VLOOKUP(BP1382,'Gebinde-Kategorie'!$A$5:$M$45,13,0)+0,0))</f>
        <v>26</v>
      </c>
      <c r="R1382" s="61"/>
      <c r="S1382" s="62"/>
      <c r="T1382" s="62"/>
      <c r="U1382" s="55"/>
      <c r="V1382" s="57"/>
      <c r="W1382" s="57"/>
      <c r="X1382" s="55" t="n">
        <f aca="false">IF(A1382="","",IF(AND(Parameter!$B$21="Ja",ISNUMBER(U1382)),U1382,IF(IFERROR(VLOOKUP(D1382,Parameter!$A$35:$C$64,2,0),"Nein")="2+3",IF(ISNUMBER(SEARCH("grosser Artikel",BM1382)),2,IFERROR(VLOOKUP(BP1382,Parameter!$F$35:$G$64,2,0),2)),IF(OR(IFERROR(VLOOKUP(D1382,Parameter!$A$35:$C$64,2,0),"Nein")="Nein",IFERROR(VLOOKUP(D1382,Parameter!$A$35:$C$64,2,0),"Nein")=""),"-",VLOOKUP(D1382,Parameter!$A$35:$C$64,2,0)))))</f>
        <v>3</v>
      </c>
      <c r="Y1382" s="62"/>
      <c r="Z1382" s="63"/>
      <c r="AA1382" s="57" t="n">
        <f aca="false">AP1382</f>
        <v>18</v>
      </c>
      <c r="AB1382" s="57" t="n">
        <f aca="false">MAX(AP1382,G1382)</f>
        <v>18</v>
      </c>
      <c r="AC1382" s="64"/>
      <c r="AD1382" s="57" t="n">
        <f aca="false">IF(LEFT(Cockpit!$C$5,1)="A",G1382,IF(BW1382=1,BX1382,IF(LEFT(Cockpit!$C$5,1)="B",AH1382,MAX(AH1382,G1382))))</f>
        <v>0</v>
      </c>
      <c r="AE1382" s="57" t="n">
        <f aca="false">IF(BR1382=1,0,ROUNDUP(AD1382/BQ1382,0))</f>
        <v>0</v>
      </c>
      <c r="AF1382" s="59" t="n">
        <f aca="false">IF(CD1382&gt;0,CD1382*MAX(1,AD1382/V1382),IF(BR1382=1,IF(AD1382&lt;=0,0,BS1382*MAX(1,IF(G1382&gt;0,AD1382/G1382,1))),IF(Q1382&gt;0,AE1382/Q1382,0))/MAX(0.1,N(Parameter!$M$21)))</f>
        <v>0</v>
      </c>
      <c r="AG1382" s="57" t="n">
        <f aca="false">AD1382*F1382</f>
        <v>0</v>
      </c>
      <c r="AH1382" s="57" t="n">
        <f aca="false">ROUNDUP(MAX(I1382/IF(BV1382&gt;0,BV1382,MAX(0.1,N(Cockpit!$C$6))),BY1382)/BQ1382,0)*BQ1382</f>
        <v>18</v>
      </c>
      <c r="AI1382" s="58" t="n">
        <f aca="false">IF(AF1382&gt;0,I1382/AF1382,-1)</f>
        <v>-1</v>
      </c>
      <c r="AJ1382" s="58" t="str">
        <f aca="false">IF(AND(OR(BU1382="L1",BU1382="L23"),AF1382&gt;0),SUMIFS($AF$7:$AF$1576,$BU$7:$BU$1576,BU1382,$AI$7:$AI$1576,"&gt;"&amp;AI1382)+SUMIFS($AF$7:$AF$1576,$BU$7:$BU$1576,BU1382,$AI$7:$AI$1576,AI1382,$BO$7:$BO$1576,"&lt;="&amp;BO1382),"")</f>
        <v/>
      </c>
      <c r="AK1382" s="65" t="n">
        <f aca="false">IF(AJ1382="",0,MAX(0,MIN(1,(IF(BU1382="L1",Parameter!$E$5,Parameter!$E$6+Parameter!$E$7)-(AJ1382-AF1382))/AF1382)))</f>
        <v>0</v>
      </c>
      <c r="AL1382" s="57" t="n">
        <f aca="false">IF(LEFT(Cockpit!$I$5,1)="A",G1382,IF(BW1382=1,BX1382,IF(LEFT(Cockpit!$I$5,1)="B",AP1382,MAX(AP1382,G1382))))</f>
        <v>18</v>
      </c>
      <c r="AM1382" s="57" t="n">
        <f aca="false">IF(BR1382=1,0,ROUNDUP(AL1382/BQ1382,0))</f>
        <v>3</v>
      </c>
      <c r="AN1382" s="59" t="n">
        <f aca="false">IF(CD1382&gt;0,CD1382*MAX(1,AL1382/V1382),IF(BR1382=1,IF(AL1382&lt;=0,0,BS1382*MAX(1,IF(G1382&gt;0,AL1382/G1382,1))),IF(Q1382&gt;0,AM1382/Q1382,0))/MAX(0.1,N(Parameter!$M$21)))</f>
        <v>0.115384615384615</v>
      </c>
      <c r="AO1382" s="57" t="n">
        <f aca="false">AL1382*F1382</f>
        <v>3594.06</v>
      </c>
      <c r="AP1382" s="57" t="n">
        <f aca="false">ROUNDUP(MAX(I1382/IF(BV1382&gt;0,BV1382,MAX(0.1,N(Cockpit!$I$6))),BY1382)/BQ1382,0)*BQ1382</f>
        <v>18</v>
      </c>
      <c r="AQ1382" s="58" t="n">
        <f aca="false">IF(AN1382&gt;0,I1382/AN1382,-1)</f>
        <v>286</v>
      </c>
      <c r="AR1382" s="58" t="n">
        <f aca="false">IF(AND(OR(BU1382="L1",BU1382="L23"),AN1382&gt;0),SUMIFS($AN$7:$AN$1576,$BU$7:$BU$1576,BU1382,$AQ$7:$AQ$1576,"&gt;"&amp;AQ1382)+SUMIFS($AN$7:$AN$1576,$BU$7:$BU$1576,BU1382,$AQ$7:$AQ$1576,AQ1382,$BO$7:$BO$1576,"&lt;="&amp;BO1382),"")</f>
        <v>44.4081016209389</v>
      </c>
      <c r="AS1382" s="65" t="n">
        <f aca="false">IF(AR1382="",0,MAX(0,MIN(1,(IF(BU1382="L1",Parameter!$E$5,Parameter!$E$6+Parameter!$E$7)-(AR1382-AN1382))/AN1382)))</f>
        <v>1</v>
      </c>
      <c r="AT1382" s="57" t="n">
        <f aca="false">IF(LEFT(Cockpit!$O$5,1)="A",G1382,IF(BW1382=1,BX1382,IF(LEFT(Cockpit!$O$5,1)="B",AX1382,MAX(AX1382,G1382))))</f>
        <v>18</v>
      </c>
      <c r="AU1382" s="57" t="n">
        <f aca="false">IF(BR1382=1,0,ROUNDUP(AT1382/BQ1382,0))</f>
        <v>3</v>
      </c>
      <c r="AV1382" s="59" t="n">
        <f aca="false">IF(CD1382&gt;0,CD1382*MAX(1,AT1382/V1382),IF(BR1382=1,IF(AT1382&lt;=0,0,BS1382*MAX(1,IF(G1382&gt;0,AT1382/G1382,1))),IF(Q1382&gt;0,AU1382/Q1382,0))/MAX(0.1,N(Parameter!$M$21)))</f>
        <v>0.115384615384615</v>
      </c>
      <c r="AW1382" s="57" t="n">
        <f aca="false">AT1382*F1382</f>
        <v>3594.06</v>
      </c>
      <c r="AX1382" s="57" t="n">
        <f aca="false">ROUNDUP(MAX(I1382/IF(BV1382&gt;0,BV1382,MAX(0.1,N(Cockpit!$O$6))),BY1382)/BQ1382,0)*BQ1382</f>
        <v>18</v>
      </c>
      <c r="AY1382" s="58" t="n">
        <f aca="false">IF(AV1382&gt;0,I1382/AV1382,-1)</f>
        <v>286</v>
      </c>
      <c r="AZ1382" s="58" t="n">
        <f aca="false">IF(AND(OR(BU1382="L1",BU1382="L23"),AV1382&gt;0),SUMIFS($AV$7:$AV$1576,$BU$7:$BU$1576,BU1382,$AY$7:$AY$1576,"&gt;"&amp;AY1382)+SUMIFS($AV$7:$AV$1576,$BU$7:$BU$1576,BU1382,$AY$7:$AY$1576,AY1382,$BO$7:$BO$1576,"&lt;="&amp;BO1382),"")</f>
        <v>40.6861802090175</v>
      </c>
      <c r="BA1382" s="65" t="n">
        <f aca="false">IF(AZ1382="",0,MAX(0,MIN(1,(IF(BU1382="L1",Parameter!$E$5,Parameter!$E$6+Parameter!$E$7)-(AZ1382-AV1382))/AV1382)))</f>
        <v>1</v>
      </c>
      <c r="BB1382" s="55" t="str">
        <f aca="false">IF(AF1382&lt;=0,"",IF(BU1382="Aussen","Aussenlager",IF(BU1382="-","Nicht im Lift",IF(AK1382&gt;=1,"Lift",IF(AK1382&lt;=0,"Aussenlager","teilweise")))))</f>
        <v/>
      </c>
      <c r="BC1382" s="55" t="str">
        <f aca="false">IF(AN1382&lt;=0,"",IF(BU1382="Aussen","Aussenlager",IF(BU1382="-","Nicht im Lift",IF(AS1382&gt;=1,"Lift",IF(AS1382&lt;=0,"Aussenlager","teilweise")))))</f>
        <v>Lift</v>
      </c>
      <c r="BD1382" s="55" t="str">
        <f aca="false">IF(AV1382&lt;=0,"",IF(BU1382="Aussen","Aussenlager",IF(BU1382="-","Nicht im Lift",IF(BA1382&gt;=1,"Lift",IF(BA1382&lt;=0,"Aussenlager","teilweise")))))</f>
        <v>Lift</v>
      </c>
      <c r="BE1382" s="55" t="str">
        <f aca="false">IF(A1382="","",IF(BN1382=1,"Neu; ","")&amp;IF(AND(BN1382=0,BI1382&lt;0),"negativer Bestand (Export "&amp;BI1382&amp;"); ","")&amp;IF(I1382&lt;=0,"Kein Verbrauch; ","")&amp;IF(CD1382&gt;0,"Lift "&amp;U1382&amp;" lt. Liftbericht (Fach "&amp;V1382&amp;" Stk); ",IF(BR1382=1,"Lose – Fläche geschätzt; ",""))&amp;IF(G1382&gt;AP1382,"Überbestand "&amp;ROUND(G1382-AP1382,0)&amp;" Stk / CHF "&amp;ROUND((G1382-AP1382)*F1382,0)&amp;"; ","")&amp;IF(AND(BW1382=1,BX1382&lt;BY1382),"MAX &lt; MB+LG; ","")&amp;IF(AND(CC1382&gt;0,CB1382*10&gt;CC1382),"zu hoch für Tablar; ","")&amp;IF(AND(BN1382=0,OR(BW1382=1,Y1382&lt;&gt;"",S1382&lt;&gt;"",T1382&lt;&gt;"",Z1382&lt;&gt;"")),"manuell übersteuert; ","")&amp;IF(AND(BR1382=0,Q1382=0),"Gebinde unbekannt / Stellmass fehlt; ","")&amp;IF(AND(BR1382=0,N(T1382)&lt;=0,N(P1382)&lt;=0),"Menge pro Gebinde fehlt (Ist = 1 Gebinde); ","")&amp;BM1382)</f>
        <v>negativer Bestand (Export -16); </v>
      </c>
      <c r="BF1382" s="55"/>
      <c r="BG1382" s="55"/>
      <c r="BH1382" s="62"/>
      <c r="BI1382" s="57" t="n">
        <v>-16</v>
      </c>
      <c r="BJ1382" s="57" t="n">
        <v>16</v>
      </c>
      <c r="BK1382" s="56" t="n">
        <v>-3000</v>
      </c>
      <c r="BL1382" s="57" t="n">
        <v>33</v>
      </c>
      <c r="BM1382" s="55"/>
      <c r="BN1382" s="60" t="n">
        <v>0</v>
      </c>
      <c r="BO1382" s="60" t="n">
        <v>1382</v>
      </c>
      <c r="BP1382" s="55" t="str">
        <f aca="false">IF(S1382&lt;&gt;"",UPPER(TRIM(S1382)),IF(O1382="","LOSE",O1382))</f>
        <v>S52</v>
      </c>
      <c r="BQ1382" s="57" t="n">
        <f aca="false">IF(BP1382="LOSE",1,IF(N(T1382)&gt;0,T1382,IF(N(P1382)&gt;0,P1382,MAX(1,G1382))))</f>
        <v>6</v>
      </c>
      <c r="BR1382" s="60" t="n">
        <f aca="false">IF(BP1382="LOSE",1,0)</f>
        <v>0</v>
      </c>
      <c r="BS1382" s="59" t="n">
        <f aca="false">IF(BR1382=0,0,IF(N(R1382)&gt;0,R1382,IFERROR(VLOOKUP(D1382,Parameter!$A$35:$C$64,3,0)+0,0)))</f>
        <v>0</v>
      </c>
      <c r="BT1382" s="55" t="n">
        <f aca="false">IF(Y1382&lt;&gt;"",Y1382,X1382)</f>
        <v>3</v>
      </c>
      <c r="BU1382" s="55" t="str">
        <f aca="false">IF(BT1382=1,"L1",IF(OR(BT1382=2,BT1382=3),"L23",IF(BT1382="Aussen","Aussen","-")))</f>
        <v>L23</v>
      </c>
      <c r="BV1382" s="66" t="n">
        <f aca="false">IF(N(Z1382)&gt;0,Z1382,0)</f>
        <v>0</v>
      </c>
      <c r="BW1382" s="60" t="n">
        <f aca="false">IF(ISNUMBER(AC1382),1,0)</f>
        <v>0</v>
      </c>
      <c r="BX1382" s="57" t="n">
        <f aca="false">N(AC1382)</f>
        <v>0</v>
      </c>
      <c r="BY1382" s="57" t="n">
        <f aca="false">N(L1382)+N(M1382)</f>
        <v>15</v>
      </c>
      <c r="BZ1382" s="57" t="n">
        <f aca="false">ROUNDUP(G1382/BQ1382,0)</f>
        <v>0</v>
      </c>
      <c r="CA1382" s="57" t="n">
        <f aca="false">ROUNDUP(BX1382/BQ1382,0)</f>
        <v>0</v>
      </c>
      <c r="CB1382" s="60" t="n">
        <f aca="false">IF(BR1382=1,0,IFERROR(VLOOKUP(BP1382,'Gebinde-Kategorie'!$A$5:$M$45,5,0)+0,0))</f>
        <v>21</v>
      </c>
      <c r="CC1382" s="60" t="n">
        <f aca="false">IFERROR(IF(OR(BT1382=1,BT1382=2,BT1382=3),N(INDEX(Parameter!$I$5:$I$7,BT1382)),0),0)</f>
        <v>0</v>
      </c>
      <c r="CD1382" s="59" t="n">
        <f aca="false">IF(AND(Parameter!$B$21="Ja",ISNUMBER(U1382),N(V1382)&gt;0),IFERROR(N(INDEX(Parameter!$L$5:$L$7,U1382))*INDEX(Parameter!$E$5:$E$7,U1382)*V1382/SUMIFS($V$7:$V$1576,$U$7:$U$1576,U1382),0),0)</f>
        <v>0</v>
      </c>
    </row>
    <row r="1383" customFormat="false" ht="15" hidden="false" customHeight="false" outlineLevel="0" collapsed="false">
      <c r="A1383" s="55" t="s">
        <v>2418</v>
      </c>
      <c r="B1383" s="55" t="s">
        <v>395</v>
      </c>
      <c r="C1383" s="55" t="s">
        <v>160</v>
      </c>
      <c r="D1383" s="55" t="s">
        <v>168</v>
      </c>
      <c r="E1383" s="55" t="s">
        <v>210</v>
      </c>
      <c r="F1383" s="56" t="n">
        <v>2.62</v>
      </c>
      <c r="G1383" s="57" t="n">
        <f aca="false">MAX(0,IF(AND(Parameter!$B$21="Ja",ISNUMBER(W1383)),W1383,IF(Parameter!$B$20="Jahresanfang 2025 + Export",BJ1383+BI1383,BI1383)))</f>
        <v>0</v>
      </c>
      <c r="H1383" s="57" t="n">
        <f aca="false">G1383*F1383</f>
        <v>0</v>
      </c>
      <c r="I1383" s="57" t="n">
        <f aca="false">BL1383*Parameter!$B$18</f>
        <v>2095</v>
      </c>
      <c r="J1383" s="58" t="n">
        <v>1741</v>
      </c>
      <c r="K1383" s="59" t="n">
        <v>1.20333141872487</v>
      </c>
      <c r="L1383" s="57" t="n">
        <v>122</v>
      </c>
      <c r="M1383" s="57" t="n">
        <v>400</v>
      </c>
      <c r="N1383" s="60" t="n">
        <v>21</v>
      </c>
      <c r="O1383" s="55" t="s">
        <v>169</v>
      </c>
      <c r="P1383" s="57" t="n">
        <v>576</v>
      </c>
      <c r="Q1383" s="60" t="n">
        <f aca="false">IF(BR1383=1,0,IFERROR(VLOOKUP(BP1383,'Gebinde-Kategorie'!$A$5:$M$45,13,0)+0,0))</f>
        <v>6</v>
      </c>
      <c r="R1383" s="61"/>
      <c r="S1383" s="62"/>
      <c r="T1383" s="62"/>
      <c r="U1383" s="55"/>
      <c r="V1383" s="57"/>
      <c r="W1383" s="57"/>
      <c r="X1383" s="55" t="n">
        <f aca="false">IF(A1383="","",IF(AND(Parameter!$B$21="Ja",ISNUMBER(U1383)),U1383,IF(IFERROR(VLOOKUP(D1383,Parameter!$A$35:$C$64,2,0),"Nein")="2+3",IF(ISNUMBER(SEARCH("grosser Artikel",BM1383)),2,IFERROR(VLOOKUP(BP1383,Parameter!$F$35:$G$64,2,0),2)),IF(OR(IFERROR(VLOOKUP(D1383,Parameter!$A$35:$C$64,2,0),"Nein")="Nein",IFERROR(VLOOKUP(D1383,Parameter!$A$35:$C$64,2,0),"Nein")=""),"-",VLOOKUP(D1383,Parameter!$A$35:$C$64,2,0)))))</f>
        <v>2</v>
      </c>
      <c r="Y1383" s="62"/>
      <c r="Z1383" s="63"/>
      <c r="AA1383" s="57" t="n">
        <f aca="false">AP1383</f>
        <v>1152</v>
      </c>
      <c r="AB1383" s="57" t="n">
        <f aca="false">MAX(AP1383,G1383)</f>
        <v>1152</v>
      </c>
      <c r="AC1383" s="64"/>
      <c r="AD1383" s="57" t="n">
        <f aca="false">IF(LEFT(Cockpit!$C$5,1)="A",G1383,IF(BW1383=1,BX1383,IF(LEFT(Cockpit!$C$5,1)="B",AH1383,MAX(AH1383,G1383))))</f>
        <v>0</v>
      </c>
      <c r="AE1383" s="57" t="n">
        <f aca="false">IF(BR1383=1,0,ROUNDUP(AD1383/BQ1383,0))</f>
        <v>0</v>
      </c>
      <c r="AF1383" s="59" t="n">
        <f aca="false">IF(CD1383&gt;0,CD1383*MAX(1,AD1383/V1383),IF(BR1383=1,IF(AD1383&lt;=0,0,BS1383*MAX(1,IF(G1383&gt;0,AD1383/G1383,1))),IF(Q1383&gt;0,AE1383/Q1383,0))/MAX(0.1,N(Parameter!$M$21)))</f>
        <v>0</v>
      </c>
      <c r="AG1383" s="57" t="n">
        <f aca="false">AD1383*F1383</f>
        <v>0</v>
      </c>
      <c r="AH1383" s="57" t="n">
        <f aca="false">ROUNDUP(MAX(I1383/IF(BV1383&gt;0,BV1383,MAX(0.1,N(Cockpit!$C$6))),BY1383)/BQ1383,0)*BQ1383</f>
        <v>1152</v>
      </c>
      <c r="AI1383" s="58" t="n">
        <f aca="false">IF(AF1383&gt;0,I1383/AF1383,-1)</f>
        <v>-1</v>
      </c>
      <c r="AJ1383" s="58" t="str">
        <f aca="false">IF(AND(OR(BU1383="L1",BU1383="L23"),AF1383&gt;0),SUMIFS($AF$7:$AF$1576,$BU$7:$BU$1576,BU1383,$AI$7:$AI$1576,"&gt;"&amp;AI1383)+SUMIFS($AF$7:$AF$1576,$BU$7:$BU$1576,BU1383,$AI$7:$AI$1576,AI1383,$BO$7:$BO$1576,"&lt;="&amp;BO1383),"")</f>
        <v/>
      </c>
      <c r="AK1383" s="65" t="n">
        <f aca="false">IF(AJ1383="",0,MAX(0,MIN(1,(IF(BU1383="L1",Parameter!$E$5,Parameter!$E$6+Parameter!$E$7)-(AJ1383-AF1383))/AF1383)))</f>
        <v>0</v>
      </c>
      <c r="AL1383" s="57" t="n">
        <f aca="false">IF(LEFT(Cockpit!$I$5,1)="A",G1383,IF(BW1383=1,BX1383,IF(LEFT(Cockpit!$I$5,1)="B",AP1383,MAX(AP1383,G1383))))</f>
        <v>1152</v>
      </c>
      <c r="AM1383" s="57" t="n">
        <f aca="false">IF(BR1383=1,0,ROUNDUP(AL1383/BQ1383,0))</f>
        <v>2</v>
      </c>
      <c r="AN1383" s="59" t="n">
        <f aca="false">IF(CD1383&gt;0,CD1383*MAX(1,AL1383/V1383),IF(BR1383=1,IF(AL1383&lt;=0,0,BS1383*MAX(1,IF(G1383&gt;0,AL1383/G1383,1))),IF(Q1383&gt;0,AM1383/Q1383,0))/MAX(0.1,N(Parameter!$M$21)))</f>
        <v>0.333333333333333</v>
      </c>
      <c r="AO1383" s="57" t="n">
        <f aca="false">AL1383*F1383</f>
        <v>3018.24</v>
      </c>
      <c r="AP1383" s="57" t="n">
        <f aca="false">ROUNDUP(MAX(I1383/IF(BV1383&gt;0,BV1383,MAX(0.1,N(Cockpit!$I$6))),BY1383)/BQ1383,0)*BQ1383</f>
        <v>1152</v>
      </c>
      <c r="AQ1383" s="58" t="n">
        <f aca="false">IF(AN1383&gt;0,I1383/AN1383,-1)</f>
        <v>6285</v>
      </c>
      <c r="AR1383" s="58" t="n">
        <f aca="false">IF(AND(OR(BU1383="L1",BU1383="L23"),AN1383&gt;0),SUMIFS($AN$7:$AN$1576,$BU$7:$BU$1576,BU1383,$AQ$7:$AQ$1576,"&gt;"&amp;AQ1383)+SUMIFS($AN$7:$AN$1576,$BU$7:$BU$1576,BU1383,$AQ$7:$AQ$1576,AQ1383,$BO$7:$BO$1576,"&lt;="&amp;BO1383),"")</f>
        <v>10.4426952400257</v>
      </c>
      <c r="AS1383" s="65" t="n">
        <f aca="false">IF(AR1383="",0,MAX(0,MIN(1,(IF(BU1383="L1",Parameter!$E$5,Parameter!$E$6+Parameter!$E$7)-(AR1383-AN1383))/AN1383)))</f>
        <v>1</v>
      </c>
      <c r="AT1383" s="57" t="n">
        <f aca="false">IF(LEFT(Cockpit!$O$5,1)="A",G1383,IF(BW1383=1,BX1383,IF(LEFT(Cockpit!$O$5,1)="B",AX1383,MAX(AX1383,G1383))))</f>
        <v>1152</v>
      </c>
      <c r="AU1383" s="57" t="n">
        <f aca="false">IF(BR1383=1,0,ROUNDUP(AT1383/BQ1383,0))</f>
        <v>2</v>
      </c>
      <c r="AV1383" s="59" t="n">
        <f aca="false">IF(CD1383&gt;0,CD1383*MAX(1,AT1383/V1383),IF(BR1383=1,IF(AT1383&lt;=0,0,BS1383*MAX(1,IF(G1383&gt;0,AT1383/G1383,1))),IF(Q1383&gt;0,AU1383/Q1383,0))/MAX(0.1,N(Parameter!$M$21)))</f>
        <v>0.333333333333333</v>
      </c>
      <c r="AW1383" s="57" t="n">
        <f aca="false">AT1383*F1383</f>
        <v>3018.24</v>
      </c>
      <c r="AX1383" s="57" t="n">
        <f aca="false">ROUNDUP(MAX(I1383/IF(BV1383&gt;0,BV1383,MAX(0.1,N(Cockpit!$O$6))),BY1383)/BQ1383,0)*BQ1383</f>
        <v>1152</v>
      </c>
      <c r="AY1383" s="58" t="n">
        <f aca="false">IF(AV1383&gt;0,I1383/AV1383,-1)</f>
        <v>6285</v>
      </c>
      <c r="AZ1383" s="58" t="n">
        <f aca="false">IF(AND(OR(BU1383="L1",BU1383="L23"),AV1383&gt;0),SUMIFS($AV$7:$AV$1576,$BU$7:$BU$1576,BU1383,$AY$7:$AY$1576,"&gt;"&amp;AY1383)+SUMIFS($AV$7:$AV$1576,$BU$7:$BU$1576,BU1383,$AY$7:$AY$1576,AY1383,$BO$7:$BO$1576,"&lt;="&amp;BO1383),"")</f>
        <v>9.62509617242661</v>
      </c>
      <c r="BA1383" s="65" t="n">
        <f aca="false">IF(AZ1383="",0,MAX(0,MIN(1,(IF(BU1383="L1",Parameter!$E$5,Parameter!$E$6+Parameter!$E$7)-(AZ1383-AV1383))/AV1383)))</f>
        <v>1</v>
      </c>
      <c r="BB1383" s="55" t="str">
        <f aca="false">IF(AF1383&lt;=0,"",IF(BU1383="Aussen","Aussenlager",IF(BU1383="-","Nicht im Lift",IF(AK1383&gt;=1,"Lift",IF(AK1383&lt;=0,"Aussenlager","teilweise")))))</f>
        <v/>
      </c>
      <c r="BC1383" s="55" t="str">
        <f aca="false">IF(AN1383&lt;=0,"",IF(BU1383="Aussen","Aussenlager",IF(BU1383="-","Nicht im Lift",IF(AS1383&gt;=1,"Lift",IF(AS1383&lt;=0,"Aussenlager","teilweise")))))</f>
        <v>Lift</v>
      </c>
      <c r="BD1383" s="55" t="str">
        <f aca="false">IF(AV1383&lt;=0,"",IF(BU1383="Aussen","Aussenlager",IF(BU1383="-","Nicht im Lift",IF(BA1383&gt;=1,"Lift",IF(BA1383&lt;=0,"Aussenlager","teilweise")))))</f>
        <v>Lift</v>
      </c>
      <c r="BE1383" s="55" t="str">
        <f aca="false">IF(A1383="","",IF(BN1383=1,"Neu; ","")&amp;IF(AND(BN1383=0,BI1383&lt;0),"negativer Bestand (Export "&amp;BI1383&amp;"); ","")&amp;IF(I1383&lt;=0,"Kein Verbrauch; ","")&amp;IF(CD1383&gt;0,"Lift "&amp;U1383&amp;" lt. Liftbericht (Fach "&amp;V1383&amp;" Stk); ",IF(BR1383=1,"Lose – Fläche geschätzt; ",""))&amp;IF(G1383&gt;AP1383,"Überbestand "&amp;ROUND(G1383-AP1383,0)&amp;" Stk / CHF "&amp;ROUND((G1383-AP1383)*F1383,0)&amp;"; ","")&amp;IF(AND(BW1383=1,BX1383&lt;BY1383),"MAX &lt; MB+LG; ","")&amp;IF(AND(CC1383&gt;0,CB1383*10&gt;CC1383),"zu hoch für Tablar; ","")&amp;IF(AND(BN1383=0,OR(BW1383=1,Y1383&lt;&gt;"",S1383&lt;&gt;"",T1383&lt;&gt;"",Z1383&lt;&gt;"")),"manuell übersteuert; ","")&amp;IF(AND(BR1383=0,Q1383=0),"Gebinde unbekannt / Stellmass fehlt; ","")&amp;IF(AND(BR1383=0,N(T1383)&lt;=0,N(P1383)&lt;=0),"Menge pro Gebinde fehlt (Ist = 1 Gebinde); ","")&amp;BM1383)</f>
        <v>negativer Bestand (Export -1145); grosse  Artikelmenge</v>
      </c>
      <c r="BF1383" s="55"/>
      <c r="BG1383" s="55"/>
      <c r="BH1383" s="62"/>
      <c r="BI1383" s="57" t="n">
        <v>-1145</v>
      </c>
      <c r="BJ1383" s="57" t="n">
        <v>2598</v>
      </c>
      <c r="BK1383" s="56" t="n">
        <v>-3025.76</v>
      </c>
      <c r="BL1383" s="57" t="n">
        <v>2095</v>
      </c>
      <c r="BM1383" s="55" t="s">
        <v>1594</v>
      </c>
      <c r="BN1383" s="60" t="n">
        <v>0</v>
      </c>
      <c r="BO1383" s="60" t="n">
        <v>1383</v>
      </c>
      <c r="BP1383" s="55" t="str">
        <f aca="false">IF(S1383&lt;&gt;"",UPPER(TRIM(S1383)),IF(O1383="","LOSE",O1383))</f>
        <v>S71</v>
      </c>
      <c r="BQ1383" s="57" t="n">
        <f aca="false">IF(BP1383="LOSE",1,IF(N(T1383)&gt;0,T1383,IF(N(P1383)&gt;0,P1383,MAX(1,G1383))))</f>
        <v>576</v>
      </c>
      <c r="BR1383" s="60" t="n">
        <f aca="false">IF(BP1383="LOSE",1,0)</f>
        <v>0</v>
      </c>
      <c r="BS1383" s="59" t="n">
        <f aca="false">IF(BR1383=0,0,IF(N(R1383)&gt;0,R1383,IFERROR(VLOOKUP(D1383,Parameter!$A$35:$C$64,3,0)+0,0)))</f>
        <v>0</v>
      </c>
      <c r="BT1383" s="55" t="n">
        <f aca="false">IF(Y1383&lt;&gt;"",Y1383,X1383)</f>
        <v>2</v>
      </c>
      <c r="BU1383" s="55" t="str">
        <f aca="false">IF(BT1383=1,"L1",IF(OR(BT1383=2,BT1383=3),"L23",IF(BT1383="Aussen","Aussen","-")))</f>
        <v>L23</v>
      </c>
      <c r="BV1383" s="66" t="n">
        <f aca="false">IF(N(Z1383)&gt;0,Z1383,0)</f>
        <v>0</v>
      </c>
      <c r="BW1383" s="60" t="n">
        <f aca="false">IF(ISNUMBER(AC1383),1,0)</f>
        <v>0</v>
      </c>
      <c r="BX1383" s="57" t="n">
        <f aca="false">N(AC1383)</f>
        <v>0</v>
      </c>
      <c r="BY1383" s="57" t="n">
        <f aca="false">N(L1383)+N(M1383)</f>
        <v>522</v>
      </c>
      <c r="BZ1383" s="57" t="n">
        <f aca="false">ROUNDUP(G1383/BQ1383,0)</f>
        <v>0</v>
      </c>
      <c r="CA1383" s="57" t="n">
        <f aca="false">ROUNDUP(BX1383/BQ1383,0)</f>
        <v>0</v>
      </c>
      <c r="CB1383" s="60" t="n">
        <f aca="false">IF(BR1383=1,0,IFERROR(VLOOKUP(BP1383,'Gebinde-Kategorie'!$A$5:$M$45,5,0)+0,0))</f>
        <v>20</v>
      </c>
      <c r="CC1383" s="60" t="n">
        <f aca="false">IFERROR(IF(OR(BT1383=1,BT1383=2,BT1383=3),N(INDEX(Parameter!$I$5:$I$7,BT1383)),0),0)</f>
        <v>0</v>
      </c>
      <c r="CD1383" s="59" t="n">
        <f aca="false">IF(AND(Parameter!$B$21="Ja",ISNUMBER(U1383),N(V1383)&gt;0),IFERROR(N(INDEX(Parameter!$L$5:$L$7,U1383))*INDEX(Parameter!$E$5:$E$7,U1383)*V1383/SUMIFS($V$7:$V$1576,$U$7:$U$1576,U1383),0),0)</f>
        <v>0</v>
      </c>
    </row>
    <row r="1384" customFormat="false" ht="15" hidden="false" customHeight="false" outlineLevel="0" collapsed="false">
      <c r="A1384" s="55" t="s">
        <v>2419</v>
      </c>
      <c r="B1384" s="55" t="s">
        <v>2420</v>
      </c>
      <c r="C1384" s="55" t="s">
        <v>160</v>
      </c>
      <c r="D1384" s="55" t="s">
        <v>178</v>
      </c>
      <c r="E1384" s="55" t="s">
        <v>210</v>
      </c>
      <c r="F1384" s="56" t="n">
        <v>112.86</v>
      </c>
      <c r="G1384" s="57" t="n">
        <f aca="false">MAX(0,IF(AND(Parameter!$B$21="Ja",ISNUMBER(W1384)),W1384,IF(Parameter!$B$20="Jahresanfang 2025 + Export",BJ1384+BI1384,BI1384)))</f>
        <v>0</v>
      </c>
      <c r="H1384" s="57" t="n">
        <f aca="false">G1384*F1384</f>
        <v>0</v>
      </c>
      <c r="I1384" s="57" t="n">
        <f aca="false">BL1384*Parameter!$B$18</f>
        <v>528</v>
      </c>
      <c r="J1384" s="58" t="n">
        <v>137</v>
      </c>
      <c r="K1384" s="59" t="n">
        <v>3.85401459854015</v>
      </c>
      <c r="L1384" s="57" t="n">
        <v>30</v>
      </c>
      <c r="M1384" s="57" t="n">
        <v>100</v>
      </c>
      <c r="N1384" s="60" t="n">
        <v>21</v>
      </c>
      <c r="O1384" s="55" t="s">
        <v>293</v>
      </c>
      <c r="P1384" s="57" t="n">
        <v>761</v>
      </c>
      <c r="Q1384" s="60" t="n">
        <f aca="false">IF(BR1384=1,0,IFERROR(VLOOKUP(BP1384,'Gebinde-Kategorie'!$A$5:$M$45,13,0)+0,0))</f>
        <v>26</v>
      </c>
      <c r="R1384" s="61"/>
      <c r="S1384" s="62"/>
      <c r="T1384" s="62"/>
      <c r="U1384" s="55"/>
      <c r="V1384" s="57"/>
      <c r="W1384" s="57"/>
      <c r="X1384" s="55" t="n">
        <f aca="false">IF(A1384="","",IF(AND(Parameter!$B$21="Ja",ISNUMBER(U1384)),U1384,IF(IFERROR(VLOOKUP(D1384,Parameter!$A$35:$C$64,2,0),"Nein")="2+3",IF(ISNUMBER(SEARCH("grosser Artikel",BM1384)),2,IFERROR(VLOOKUP(BP1384,Parameter!$F$35:$G$64,2,0),2)),IF(OR(IFERROR(VLOOKUP(D1384,Parameter!$A$35:$C$64,2,0),"Nein")="Nein",IFERROR(VLOOKUP(D1384,Parameter!$A$35:$C$64,2,0),"Nein")=""),"-",VLOOKUP(D1384,Parameter!$A$35:$C$64,2,0)))))</f>
        <v>3</v>
      </c>
      <c r="Y1384" s="62"/>
      <c r="Z1384" s="63"/>
      <c r="AA1384" s="57" t="n">
        <f aca="false">AP1384</f>
        <v>761</v>
      </c>
      <c r="AB1384" s="57" t="n">
        <f aca="false">MAX(AP1384,G1384)</f>
        <v>761</v>
      </c>
      <c r="AC1384" s="64"/>
      <c r="AD1384" s="57" t="n">
        <f aca="false">IF(LEFT(Cockpit!$C$5,1)="A",G1384,IF(BW1384=1,BX1384,IF(LEFT(Cockpit!$C$5,1)="B",AH1384,MAX(AH1384,G1384))))</f>
        <v>0</v>
      </c>
      <c r="AE1384" s="57" t="n">
        <f aca="false">IF(BR1384=1,0,ROUNDUP(AD1384/BQ1384,0))</f>
        <v>0</v>
      </c>
      <c r="AF1384" s="59" t="n">
        <f aca="false">IF(CD1384&gt;0,CD1384*MAX(1,AD1384/V1384),IF(BR1384=1,IF(AD1384&lt;=0,0,BS1384*MAX(1,IF(G1384&gt;0,AD1384/G1384,1))),IF(Q1384&gt;0,AE1384/Q1384,0))/MAX(0.1,N(Parameter!$M$21)))</f>
        <v>0</v>
      </c>
      <c r="AG1384" s="57" t="n">
        <f aca="false">AD1384*F1384</f>
        <v>0</v>
      </c>
      <c r="AH1384" s="57" t="n">
        <f aca="false">ROUNDUP(MAX(I1384/IF(BV1384&gt;0,BV1384,MAX(0.1,N(Cockpit!$C$6))),BY1384)/BQ1384,0)*BQ1384</f>
        <v>761</v>
      </c>
      <c r="AI1384" s="58" t="n">
        <f aca="false">IF(AF1384&gt;0,I1384/AF1384,-1)</f>
        <v>-1</v>
      </c>
      <c r="AJ1384" s="58" t="str">
        <f aca="false">IF(AND(OR(BU1384="L1",BU1384="L23"),AF1384&gt;0),SUMIFS($AF$7:$AF$1576,$BU$7:$BU$1576,BU1384,$AI$7:$AI$1576,"&gt;"&amp;AI1384)+SUMIFS($AF$7:$AF$1576,$BU$7:$BU$1576,BU1384,$AI$7:$AI$1576,AI1384,$BO$7:$BO$1576,"&lt;="&amp;BO1384),"")</f>
        <v/>
      </c>
      <c r="AK1384" s="65" t="n">
        <f aca="false">IF(AJ1384="",0,MAX(0,MIN(1,(IF(BU1384="L1",Parameter!$E$5,Parameter!$E$6+Parameter!$E$7)-(AJ1384-AF1384))/AF1384)))</f>
        <v>0</v>
      </c>
      <c r="AL1384" s="57" t="n">
        <f aca="false">IF(LEFT(Cockpit!$I$5,1)="A",G1384,IF(BW1384=1,BX1384,IF(LEFT(Cockpit!$I$5,1)="B",AP1384,MAX(AP1384,G1384))))</f>
        <v>761</v>
      </c>
      <c r="AM1384" s="57" t="n">
        <f aca="false">IF(BR1384=1,0,ROUNDUP(AL1384/BQ1384,0))</f>
        <v>1</v>
      </c>
      <c r="AN1384" s="59" t="n">
        <f aca="false">IF(CD1384&gt;0,CD1384*MAX(1,AL1384/V1384),IF(BR1384=1,IF(AL1384&lt;=0,0,BS1384*MAX(1,IF(G1384&gt;0,AL1384/G1384,1))),IF(Q1384&gt;0,AM1384/Q1384,0))/MAX(0.1,N(Parameter!$M$21)))</f>
        <v>0.0384615384615385</v>
      </c>
      <c r="AO1384" s="57" t="n">
        <f aca="false">AL1384*F1384</f>
        <v>85886.46</v>
      </c>
      <c r="AP1384" s="57" t="n">
        <f aca="false">ROUNDUP(MAX(I1384/IF(BV1384&gt;0,BV1384,MAX(0.1,N(Cockpit!$I$6))),BY1384)/BQ1384,0)*BQ1384</f>
        <v>761</v>
      </c>
      <c r="AQ1384" s="58" t="n">
        <f aca="false">IF(AN1384&gt;0,I1384/AN1384,-1)</f>
        <v>13728</v>
      </c>
      <c r="AR1384" s="58" t="n">
        <f aca="false">IF(AND(OR(BU1384="L1",BU1384="L23"),AN1384&gt;0),SUMIFS($AN$7:$AN$1576,$BU$7:$BU$1576,BU1384,$AQ$7:$AQ$1576,"&gt;"&amp;AQ1384)+SUMIFS($AN$7:$AN$1576,$BU$7:$BU$1576,BU1384,$AQ$7:$AQ$1576,AQ1384,$BO$7:$BO$1576,"&lt;="&amp;BO1384),"")</f>
        <v>5.71851592851593</v>
      </c>
      <c r="AS1384" s="65" t="n">
        <f aca="false">IF(AR1384="",0,MAX(0,MIN(1,(IF(BU1384="L1",Parameter!$E$5,Parameter!$E$6+Parameter!$E$7)-(AR1384-AN1384))/AN1384)))</f>
        <v>1</v>
      </c>
      <c r="AT1384" s="57" t="n">
        <f aca="false">IF(LEFT(Cockpit!$O$5,1)="A",G1384,IF(BW1384=1,BX1384,IF(LEFT(Cockpit!$O$5,1)="B",AX1384,MAX(AX1384,G1384))))</f>
        <v>761</v>
      </c>
      <c r="AU1384" s="57" t="n">
        <f aca="false">IF(BR1384=1,0,ROUNDUP(AT1384/BQ1384,0))</f>
        <v>1</v>
      </c>
      <c r="AV1384" s="59" t="n">
        <f aca="false">IF(CD1384&gt;0,CD1384*MAX(1,AT1384/V1384),IF(BR1384=1,IF(AT1384&lt;=0,0,BS1384*MAX(1,IF(G1384&gt;0,AT1384/G1384,1))),IF(Q1384&gt;0,AU1384/Q1384,0))/MAX(0.1,N(Parameter!$M$21)))</f>
        <v>0.0384615384615385</v>
      </c>
      <c r="AW1384" s="57" t="n">
        <f aca="false">AT1384*F1384</f>
        <v>85886.46</v>
      </c>
      <c r="AX1384" s="57" t="n">
        <f aca="false">ROUNDUP(MAX(I1384/IF(BV1384&gt;0,BV1384,MAX(0.1,N(Cockpit!$O$6))),BY1384)/BQ1384,0)*BQ1384</f>
        <v>761</v>
      </c>
      <c r="AY1384" s="58" t="n">
        <f aca="false">IF(AV1384&gt;0,I1384/AV1384,-1)</f>
        <v>13728</v>
      </c>
      <c r="AZ1384" s="58" t="n">
        <f aca="false">IF(AND(OR(BU1384="L1",BU1384="L23"),AV1384&gt;0),SUMIFS($AV$7:$AV$1576,$BU$7:$BU$1576,BU1384,$AY$7:$AY$1576,"&gt;"&amp;AY1384)+SUMIFS($AV$7:$AV$1576,$BU$7:$BU$1576,BU1384,$AY$7:$AY$1576,AY1384,$BO$7:$BO$1576,"&lt;="&amp;BO1384),"")</f>
        <v>5.26630147630148</v>
      </c>
      <c r="BA1384" s="65" t="n">
        <f aca="false">IF(AZ1384="",0,MAX(0,MIN(1,(IF(BU1384="L1",Parameter!$E$5,Parameter!$E$6+Parameter!$E$7)-(AZ1384-AV1384))/AV1384)))</f>
        <v>1</v>
      </c>
      <c r="BB1384" s="55" t="str">
        <f aca="false">IF(AF1384&lt;=0,"",IF(BU1384="Aussen","Aussenlager",IF(BU1384="-","Nicht im Lift",IF(AK1384&gt;=1,"Lift",IF(AK1384&lt;=0,"Aussenlager","teilweise")))))</f>
        <v/>
      </c>
      <c r="BC1384" s="55" t="str">
        <f aca="false">IF(AN1384&lt;=0,"",IF(BU1384="Aussen","Aussenlager",IF(BU1384="-","Nicht im Lift",IF(AS1384&gt;=1,"Lift",IF(AS1384&lt;=0,"Aussenlager","teilweise")))))</f>
        <v>Lift</v>
      </c>
      <c r="BD1384" s="55" t="str">
        <f aca="false">IF(AV1384&lt;=0,"",IF(BU1384="Aussen","Aussenlager",IF(BU1384="-","Nicht im Lift",IF(BA1384&gt;=1,"Lift",IF(BA1384&lt;=0,"Aussenlager","teilweise")))))</f>
        <v>Lift</v>
      </c>
      <c r="BE1384" s="55" t="str">
        <f aca="false">IF(A1384="","",IF(BN1384=1,"Neu; ","")&amp;IF(AND(BN1384=0,BI1384&lt;0),"negativer Bestand (Export "&amp;BI1384&amp;"); ","")&amp;IF(I1384&lt;=0,"Kein Verbrauch; ","")&amp;IF(CD1384&gt;0,"Lift "&amp;U1384&amp;" lt. Liftbericht (Fach "&amp;V1384&amp;" Stk); ",IF(BR1384=1,"Lose – Fläche geschätzt; ",""))&amp;IF(G1384&gt;AP1384,"Überbestand "&amp;ROUND(G1384-AP1384,0)&amp;" Stk / CHF "&amp;ROUND((G1384-AP1384)*F1384,0)&amp;"; ","")&amp;IF(AND(BW1384=1,BX1384&lt;BY1384),"MAX &lt; MB+LG; ","")&amp;IF(AND(CC1384&gt;0,CB1384*10&gt;CC1384),"zu hoch für Tablar; ","")&amp;IF(AND(BN1384=0,OR(BW1384=1,Y1384&lt;&gt;"",S1384&lt;&gt;"",T1384&lt;&gt;"",Z1384&lt;&gt;"")),"manuell übersteuert; ","")&amp;IF(AND(BR1384=0,Q1384=0),"Gebinde unbekannt / Stellmass fehlt; ","")&amp;IF(AND(BR1384=0,N(T1384)&lt;=0,N(P1384)&lt;=0),"Menge pro Gebinde fehlt (Ist = 1 Gebinde); ","")&amp;BM1384)</f>
        <v>negativer Bestand (Export -28); </v>
      </c>
      <c r="BF1384" s="55"/>
      <c r="BG1384" s="55"/>
      <c r="BH1384" s="62"/>
      <c r="BI1384" s="57" t="n">
        <v>-28</v>
      </c>
      <c r="BJ1384" s="57" t="n">
        <v>153</v>
      </c>
      <c r="BK1384" s="56" t="n">
        <v>-3172.77000000002</v>
      </c>
      <c r="BL1384" s="57" t="n">
        <v>528</v>
      </c>
      <c r="BM1384" s="55"/>
      <c r="BN1384" s="60" t="n">
        <v>0</v>
      </c>
      <c r="BO1384" s="60" t="n">
        <v>1384</v>
      </c>
      <c r="BP1384" s="55" t="str">
        <f aca="false">IF(S1384&lt;&gt;"",UPPER(TRIM(S1384)),IF(O1384="","LOSE",O1384))</f>
        <v>S51</v>
      </c>
      <c r="BQ1384" s="57" t="n">
        <f aca="false">IF(BP1384="LOSE",1,IF(N(T1384)&gt;0,T1384,IF(N(P1384)&gt;0,P1384,MAX(1,G1384))))</f>
        <v>761</v>
      </c>
      <c r="BR1384" s="60" t="n">
        <f aca="false">IF(BP1384="LOSE",1,0)</f>
        <v>0</v>
      </c>
      <c r="BS1384" s="59" t="n">
        <f aca="false">IF(BR1384=0,0,IF(N(R1384)&gt;0,R1384,IFERROR(VLOOKUP(D1384,Parameter!$A$35:$C$64,3,0)+0,0)))</f>
        <v>0</v>
      </c>
      <c r="BT1384" s="55" t="n">
        <f aca="false">IF(Y1384&lt;&gt;"",Y1384,X1384)</f>
        <v>3</v>
      </c>
      <c r="BU1384" s="55" t="str">
        <f aca="false">IF(BT1384=1,"L1",IF(OR(BT1384=2,BT1384=3),"L23",IF(BT1384="Aussen","Aussen","-")))</f>
        <v>L23</v>
      </c>
      <c r="BV1384" s="66" t="n">
        <f aca="false">IF(N(Z1384)&gt;0,Z1384,0)</f>
        <v>0</v>
      </c>
      <c r="BW1384" s="60" t="n">
        <f aca="false">IF(ISNUMBER(AC1384),1,0)</f>
        <v>0</v>
      </c>
      <c r="BX1384" s="57" t="n">
        <f aca="false">N(AC1384)</f>
        <v>0</v>
      </c>
      <c r="BY1384" s="57" t="n">
        <f aca="false">N(L1384)+N(M1384)</f>
        <v>130</v>
      </c>
      <c r="BZ1384" s="57" t="n">
        <f aca="false">ROUNDUP(G1384/BQ1384,0)</f>
        <v>0</v>
      </c>
      <c r="CA1384" s="57" t="n">
        <f aca="false">ROUNDUP(BX1384/BQ1384,0)</f>
        <v>0</v>
      </c>
      <c r="CB1384" s="60" t="n">
        <f aca="false">IF(BR1384=1,0,IFERROR(VLOOKUP(BP1384,'Gebinde-Kategorie'!$A$5:$M$45,5,0)+0,0))</f>
        <v>11</v>
      </c>
      <c r="CC1384" s="60" t="n">
        <f aca="false">IFERROR(IF(OR(BT1384=1,BT1384=2,BT1384=3),N(INDEX(Parameter!$I$5:$I$7,BT1384)),0),0)</f>
        <v>0</v>
      </c>
      <c r="CD1384" s="59" t="n">
        <f aca="false">IF(AND(Parameter!$B$21="Ja",ISNUMBER(U1384),N(V1384)&gt;0),IFERROR(N(INDEX(Parameter!$L$5:$L$7,U1384))*INDEX(Parameter!$E$5:$E$7,U1384)*V1384/SUMIFS($V$7:$V$1576,$U$7:$U$1576,U1384),0),0)</f>
        <v>0</v>
      </c>
    </row>
    <row r="1385" customFormat="false" ht="15" hidden="false" customHeight="false" outlineLevel="0" collapsed="false">
      <c r="A1385" s="55" t="s">
        <v>2421</v>
      </c>
      <c r="B1385" s="55" t="s">
        <v>2422</v>
      </c>
      <c r="C1385" s="55" t="s">
        <v>160</v>
      </c>
      <c r="D1385" s="55" t="s">
        <v>178</v>
      </c>
      <c r="E1385" s="55" t="s">
        <v>210</v>
      </c>
      <c r="F1385" s="56" t="n">
        <v>1587.24</v>
      </c>
      <c r="G1385" s="57" t="n">
        <f aca="false">MAX(0,IF(AND(Parameter!$B$21="Ja",ISNUMBER(W1385)),W1385,IF(Parameter!$B$20="Jahresanfang 2025 + Export",BJ1385+BI1385,BI1385)))</f>
        <v>0</v>
      </c>
      <c r="H1385" s="57" t="n">
        <f aca="false">G1385*F1385</f>
        <v>0</v>
      </c>
      <c r="I1385" s="57" t="n">
        <f aca="false">BL1385*Parameter!$B$18</f>
        <v>1</v>
      </c>
      <c r="J1385" s="58" t="n">
        <v>4.5</v>
      </c>
      <c r="K1385" s="59" t="n">
        <v>0.222222222222222</v>
      </c>
      <c r="L1385" s="57" t="n">
        <v>0</v>
      </c>
      <c r="M1385" s="57" t="n">
        <v>1</v>
      </c>
      <c r="N1385" s="60" t="n">
        <v>28</v>
      </c>
      <c r="O1385" s="55" t="s">
        <v>218</v>
      </c>
      <c r="P1385" s="57" t="n">
        <v>3</v>
      </c>
      <c r="Q1385" s="60" t="n">
        <f aca="false">IF(BR1385=1,0,IFERROR(VLOOKUP(BP1385,'Gebinde-Kategorie'!$A$5:$M$45,13,0)+0,0))</f>
        <v>12</v>
      </c>
      <c r="R1385" s="61"/>
      <c r="S1385" s="62"/>
      <c r="T1385" s="62"/>
      <c r="U1385" s="55"/>
      <c r="V1385" s="57"/>
      <c r="W1385" s="57"/>
      <c r="X1385" s="55" t="n">
        <f aca="false">IF(A1385="","",IF(AND(Parameter!$B$21="Ja",ISNUMBER(U1385)),U1385,IF(IFERROR(VLOOKUP(D1385,Parameter!$A$35:$C$64,2,0),"Nein")="2+3",IF(ISNUMBER(SEARCH("grosser Artikel",BM1385)),2,IFERROR(VLOOKUP(BP1385,Parameter!$F$35:$G$64,2,0),2)),IF(OR(IFERROR(VLOOKUP(D1385,Parameter!$A$35:$C$64,2,0),"Nein")="Nein",IFERROR(VLOOKUP(D1385,Parameter!$A$35:$C$64,2,0),"Nein")=""),"-",VLOOKUP(D1385,Parameter!$A$35:$C$64,2,0)))))</f>
        <v>2</v>
      </c>
      <c r="Y1385" s="62"/>
      <c r="Z1385" s="63"/>
      <c r="AA1385" s="57" t="n">
        <f aca="false">AP1385</f>
        <v>3</v>
      </c>
      <c r="AB1385" s="57" t="n">
        <f aca="false">MAX(AP1385,G1385)</f>
        <v>3</v>
      </c>
      <c r="AC1385" s="64"/>
      <c r="AD1385" s="57" t="n">
        <f aca="false">IF(LEFT(Cockpit!$C$5,1)="A",G1385,IF(BW1385=1,BX1385,IF(LEFT(Cockpit!$C$5,1)="B",AH1385,MAX(AH1385,G1385))))</f>
        <v>0</v>
      </c>
      <c r="AE1385" s="57" t="n">
        <f aca="false">IF(BR1385=1,0,ROUNDUP(AD1385/BQ1385,0))</f>
        <v>0</v>
      </c>
      <c r="AF1385" s="59" t="n">
        <f aca="false">IF(CD1385&gt;0,CD1385*MAX(1,AD1385/V1385),IF(BR1385=1,IF(AD1385&lt;=0,0,BS1385*MAX(1,IF(G1385&gt;0,AD1385/G1385,1))),IF(Q1385&gt;0,AE1385/Q1385,0))/MAX(0.1,N(Parameter!$M$21)))</f>
        <v>0</v>
      </c>
      <c r="AG1385" s="57" t="n">
        <f aca="false">AD1385*F1385</f>
        <v>0</v>
      </c>
      <c r="AH1385" s="57" t="n">
        <f aca="false">ROUNDUP(MAX(I1385/IF(BV1385&gt;0,BV1385,MAX(0.1,N(Cockpit!$C$6))),BY1385)/BQ1385,0)*BQ1385</f>
        <v>3</v>
      </c>
      <c r="AI1385" s="58" t="n">
        <f aca="false">IF(AF1385&gt;0,I1385/AF1385,-1)</f>
        <v>-1</v>
      </c>
      <c r="AJ1385" s="58" t="str">
        <f aca="false">IF(AND(OR(BU1385="L1",BU1385="L23"),AF1385&gt;0),SUMIFS($AF$7:$AF$1576,$BU$7:$BU$1576,BU1385,$AI$7:$AI$1576,"&gt;"&amp;AI1385)+SUMIFS($AF$7:$AF$1576,$BU$7:$BU$1576,BU1385,$AI$7:$AI$1576,AI1385,$BO$7:$BO$1576,"&lt;="&amp;BO1385),"")</f>
        <v/>
      </c>
      <c r="AK1385" s="65" t="n">
        <f aca="false">IF(AJ1385="",0,MAX(0,MIN(1,(IF(BU1385="L1",Parameter!$E$5,Parameter!$E$6+Parameter!$E$7)-(AJ1385-AF1385))/AF1385)))</f>
        <v>0</v>
      </c>
      <c r="AL1385" s="57" t="n">
        <f aca="false">IF(LEFT(Cockpit!$I$5,1)="A",G1385,IF(BW1385=1,BX1385,IF(LEFT(Cockpit!$I$5,1)="B",AP1385,MAX(AP1385,G1385))))</f>
        <v>3</v>
      </c>
      <c r="AM1385" s="57" t="n">
        <f aca="false">IF(BR1385=1,0,ROUNDUP(AL1385/BQ1385,0))</f>
        <v>1</v>
      </c>
      <c r="AN1385" s="59" t="n">
        <f aca="false">IF(CD1385&gt;0,CD1385*MAX(1,AL1385/V1385),IF(BR1385=1,IF(AL1385&lt;=0,0,BS1385*MAX(1,IF(G1385&gt;0,AL1385/G1385,1))),IF(Q1385&gt;0,AM1385/Q1385,0))/MAX(0.1,N(Parameter!$M$21)))</f>
        <v>0.0833333333333333</v>
      </c>
      <c r="AO1385" s="57" t="n">
        <f aca="false">AL1385*F1385</f>
        <v>4761.72</v>
      </c>
      <c r="AP1385" s="57" t="n">
        <f aca="false">ROUNDUP(MAX(I1385/IF(BV1385&gt;0,BV1385,MAX(0.1,N(Cockpit!$I$6))),BY1385)/BQ1385,0)*BQ1385</f>
        <v>3</v>
      </c>
      <c r="AQ1385" s="58" t="n">
        <f aca="false">IF(AN1385&gt;0,I1385/AN1385,-1)</f>
        <v>12</v>
      </c>
      <c r="AR1385" s="58" t="n">
        <f aca="false">IF(AND(OR(BU1385="L1",BU1385="L23"),AN1385&gt;0),SUMIFS($AN$7:$AN$1576,$BU$7:$BU$1576,BU1385,$AQ$7:$AQ$1576,"&gt;"&amp;AQ1385)+SUMIFS($AN$7:$AN$1576,$BU$7:$BU$1576,BU1385,$AQ$7:$AQ$1576,AQ1385,$BO$7:$BO$1576,"&lt;="&amp;BO1385),"")</f>
        <v>108.103973050234</v>
      </c>
      <c r="AS1385" s="65" t="n">
        <f aca="false">IF(AR1385="",0,MAX(0,MIN(1,(IF(BU1385="L1",Parameter!$E$5,Parameter!$E$6+Parameter!$E$7)-(AR1385-AN1385))/AN1385)))</f>
        <v>0</v>
      </c>
      <c r="AT1385" s="57" t="n">
        <f aca="false">IF(LEFT(Cockpit!$O$5,1)="A",G1385,IF(BW1385=1,BX1385,IF(LEFT(Cockpit!$O$5,1)="B",AX1385,MAX(AX1385,G1385))))</f>
        <v>3</v>
      </c>
      <c r="AU1385" s="57" t="n">
        <f aca="false">IF(BR1385=1,0,ROUNDUP(AT1385/BQ1385,0))</f>
        <v>1</v>
      </c>
      <c r="AV1385" s="59" t="n">
        <f aca="false">IF(CD1385&gt;0,CD1385*MAX(1,AT1385/V1385),IF(BR1385=1,IF(AT1385&lt;=0,0,BS1385*MAX(1,IF(G1385&gt;0,AT1385/G1385,1))),IF(Q1385&gt;0,AU1385/Q1385,0))/MAX(0.1,N(Parameter!$M$21)))</f>
        <v>0.0833333333333333</v>
      </c>
      <c r="AW1385" s="57" t="n">
        <f aca="false">AT1385*F1385</f>
        <v>4761.72</v>
      </c>
      <c r="AX1385" s="57" t="n">
        <f aca="false">ROUNDUP(MAX(I1385/IF(BV1385&gt;0,BV1385,MAX(0.1,N(Cockpit!$O$6))),BY1385)/BQ1385,0)*BQ1385</f>
        <v>3</v>
      </c>
      <c r="AY1385" s="58" t="n">
        <f aca="false">IF(AV1385&gt;0,I1385/AV1385,-1)</f>
        <v>12</v>
      </c>
      <c r="AZ1385" s="58" t="n">
        <f aca="false">IF(AND(OR(BU1385="L1",BU1385="L23"),AV1385&gt;0),SUMIFS($AV$7:$AV$1576,$BU$7:$BU$1576,BU1385,$AY$7:$AY$1576,"&gt;"&amp;AY1385)+SUMIFS($AV$7:$AV$1576,$BU$7:$BU$1576,BU1385,$AY$7:$AY$1576,AY1385,$BO$7:$BO$1576,"&lt;="&amp;BO1385),"")</f>
        <v>98.1635234997847</v>
      </c>
      <c r="BA1385" s="65" t="n">
        <f aca="false">IF(AZ1385="",0,MAX(0,MIN(1,(IF(BU1385="L1",Parameter!$E$5,Parameter!$E$6+Parameter!$E$7)-(AZ1385-AV1385))/AV1385)))</f>
        <v>1</v>
      </c>
      <c r="BB1385" s="55" t="str">
        <f aca="false">IF(AF1385&lt;=0,"",IF(BU1385="Aussen","Aussenlager",IF(BU1385="-","Nicht im Lift",IF(AK1385&gt;=1,"Lift",IF(AK1385&lt;=0,"Aussenlager","teilweise")))))</f>
        <v/>
      </c>
      <c r="BC1385" s="55" t="str">
        <f aca="false">IF(AN1385&lt;=0,"",IF(BU1385="Aussen","Aussenlager",IF(BU1385="-","Nicht im Lift",IF(AS1385&gt;=1,"Lift",IF(AS1385&lt;=0,"Aussenlager","teilweise")))))</f>
        <v>Aussenlager</v>
      </c>
      <c r="BD1385" s="55" t="str">
        <f aca="false">IF(AV1385&lt;=0,"",IF(BU1385="Aussen","Aussenlager",IF(BU1385="-","Nicht im Lift",IF(BA1385&gt;=1,"Lift",IF(BA1385&lt;=0,"Aussenlager","teilweise")))))</f>
        <v>Lift</v>
      </c>
      <c r="BE1385" s="55" t="str">
        <f aca="false">IF(A1385="","",IF(BN1385=1,"Neu; ","")&amp;IF(AND(BN1385=0,BI1385&lt;0),"negativer Bestand (Export "&amp;BI1385&amp;"); ","")&amp;IF(I1385&lt;=0,"Kein Verbrauch; ","")&amp;IF(CD1385&gt;0,"Lift "&amp;U1385&amp;" lt. Liftbericht (Fach "&amp;V1385&amp;" Stk); ",IF(BR1385=1,"Lose – Fläche geschätzt; ",""))&amp;IF(G1385&gt;AP1385,"Überbestand "&amp;ROUND(G1385-AP1385,0)&amp;" Stk / CHF "&amp;ROUND((G1385-AP1385)*F1385,0)&amp;"; ","")&amp;IF(AND(BW1385=1,BX1385&lt;BY1385),"MAX &lt; MB+LG; ","")&amp;IF(AND(CC1385&gt;0,CB1385*10&gt;CC1385),"zu hoch für Tablar; ","")&amp;IF(AND(BN1385=0,OR(BW1385=1,Y1385&lt;&gt;"",S1385&lt;&gt;"",T1385&lt;&gt;"",Z1385&lt;&gt;"")),"manuell übersteuert; ","")&amp;IF(AND(BR1385=0,Q1385=0),"Gebinde unbekannt / Stellmass fehlt; ","")&amp;IF(AND(BR1385=0,N(T1385)&lt;=0,N(P1385)&lt;=0),"Menge pro Gebinde fehlt (Ist = 1 Gebinde); ","")&amp;BM1385)</f>
        <v>negativer Bestand (Export -2); </v>
      </c>
      <c r="BF1385" s="55"/>
      <c r="BG1385" s="55"/>
      <c r="BH1385" s="62"/>
      <c r="BI1385" s="57" t="n">
        <v>-2</v>
      </c>
      <c r="BJ1385" s="57" t="n">
        <v>5</v>
      </c>
      <c r="BK1385" s="56" t="n">
        <v>-3174.48</v>
      </c>
      <c r="BL1385" s="57" t="n">
        <v>1</v>
      </c>
      <c r="BM1385" s="55"/>
      <c r="BN1385" s="60" t="n">
        <v>0</v>
      </c>
      <c r="BO1385" s="60" t="n">
        <v>1385</v>
      </c>
      <c r="BP1385" s="55" t="str">
        <f aca="false">IF(S1385&lt;&gt;"",UPPER(TRIM(S1385)),IF(O1385="","LOSE",O1385))</f>
        <v>S63</v>
      </c>
      <c r="BQ1385" s="57" t="n">
        <f aca="false">IF(BP1385="LOSE",1,IF(N(T1385)&gt;0,T1385,IF(N(P1385)&gt;0,P1385,MAX(1,G1385))))</f>
        <v>3</v>
      </c>
      <c r="BR1385" s="60" t="n">
        <f aca="false">IF(BP1385="LOSE",1,0)</f>
        <v>0</v>
      </c>
      <c r="BS1385" s="59" t="n">
        <f aca="false">IF(BR1385=0,0,IF(N(R1385)&gt;0,R1385,IFERROR(VLOOKUP(D1385,Parameter!$A$35:$C$64,3,0)+0,0)))</f>
        <v>0</v>
      </c>
      <c r="BT1385" s="55" t="n">
        <f aca="false">IF(Y1385&lt;&gt;"",Y1385,X1385)</f>
        <v>2</v>
      </c>
      <c r="BU1385" s="55" t="str">
        <f aca="false">IF(BT1385=1,"L1",IF(OR(BT1385=2,BT1385=3),"L23",IF(BT1385="Aussen","Aussen","-")))</f>
        <v>L23</v>
      </c>
      <c r="BV1385" s="66" t="n">
        <f aca="false">IF(N(Z1385)&gt;0,Z1385,0)</f>
        <v>0</v>
      </c>
      <c r="BW1385" s="60" t="n">
        <f aca="false">IF(ISNUMBER(AC1385),1,0)</f>
        <v>0</v>
      </c>
      <c r="BX1385" s="57" t="n">
        <f aca="false">N(AC1385)</f>
        <v>0</v>
      </c>
      <c r="BY1385" s="57" t="n">
        <f aca="false">N(L1385)+N(M1385)</f>
        <v>1</v>
      </c>
      <c r="BZ1385" s="57" t="n">
        <f aca="false">ROUNDUP(G1385/BQ1385,0)</f>
        <v>0</v>
      </c>
      <c r="CA1385" s="57" t="n">
        <f aca="false">ROUNDUP(BX1385/BQ1385,0)</f>
        <v>0</v>
      </c>
      <c r="CB1385" s="60" t="n">
        <f aca="false">IF(BR1385=1,0,IFERROR(VLOOKUP(BP1385,'Gebinde-Kategorie'!$A$5:$M$45,5,0)+0,0))</f>
        <v>31</v>
      </c>
      <c r="CC1385" s="60" t="n">
        <f aca="false">IFERROR(IF(OR(BT1385=1,BT1385=2,BT1385=3),N(INDEX(Parameter!$I$5:$I$7,BT1385)),0),0)</f>
        <v>0</v>
      </c>
      <c r="CD1385" s="59" t="n">
        <f aca="false">IF(AND(Parameter!$B$21="Ja",ISNUMBER(U1385),N(V1385)&gt;0),IFERROR(N(INDEX(Parameter!$L$5:$L$7,U1385))*INDEX(Parameter!$E$5:$E$7,U1385)*V1385/SUMIFS($V$7:$V$1576,$U$7:$U$1576,U1385),0),0)</f>
        <v>0</v>
      </c>
    </row>
    <row r="1386" customFormat="false" ht="15" hidden="false" customHeight="false" outlineLevel="0" collapsed="false">
      <c r="A1386" s="55" t="s">
        <v>2423</v>
      </c>
      <c r="B1386" s="55" t="s">
        <v>2344</v>
      </c>
      <c r="C1386" s="55" t="s">
        <v>446</v>
      </c>
      <c r="D1386" s="55" t="s">
        <v>344</v>
      </c>
      <c r="E1386" s="55" t="s">
        <v>210</v>
      </c>
      <c r="F1386" s="56" t="n">
        <v>1598.96</v>
      </c>
      <c r="G1386" s="57" t="n">
        <f aca="false">MAX(0,IF(AND(Parameter!$B$21="Ja",ISNUMBER(W1386)),W1386,IF(Parameter!$B$20="Jahresanfang 2025 + Export",BJ1386+BI1386,BI1386)))</f>
        <v>0</v>
      </c>
      <c r="H1386" s="57" t="n">
        <f aca="false">G1386*F1386</f>
        <v>0</v>
      </c>
      <c r="I1386" s="57" t="n">
        <f aca="false">BL1386*Parameter!$B$18</f>
        <v>0</v>
      </c>
      <c r="J1386" s="58" t="n">
        <v>1</v>
      </c>
      <c r="K1386" s="59" t="n">
        <v>0</v>
      </c>
      <c r="L1386" s="57" t="n">
        <v>0</v>
      </c>
      <c r="M1386" s="57" t="n">
        <v>1</v>
      </c>
      <c r="N1386" s="60" t="n">
        <v>0</v>
      </c>
      <c r="O1386" s="55" t="s">
        <v>163</v>
      </c>
      <c r="P1386" s="57"/>
      <c r="Q1386" s="60" t="n">
        <f aca="false">IF(BR1386=1,0,IFERROR(VLOOKUP(BP1386,'Gebinde-Kategorie'!$A$5:$M$45,13,0)+0,0))</f>
        <v>0</v>
      </c>
      <c r="R1386" s="61"/>
      <c r="S1386" s="62"/>
      <c r="T1386" s="62"/>
      <c r="U1386" s="55"/>
      <c r="V1386" s="57"/>
      <c r="W1386" s="57"/>
      <c r="X1386" s="55" t="str">
        <f aca="false">IF(A1386="","",IF(AND(Parameter!$B$21="Ja",ISNUMBER(U1386)),U1386,IF(IFERROR(VLOOKUP(D1386,Parameter!$A$35:$C$64,2,0),"Nein")="2+3",IF(ISNUMBER(SEARCH("grosser Artikel",BM1386)),2,IFERROR(VLOOKUP(BP1386,Parameter!$F$35:$G$64,2,0),2)),IF(OR(IFERROR(VLOOKUP(D1386,Parameter!$A$35:$C$64,2,0),"Nein")="Nein",IFERROR(VLOOKUP(D1386,Parameter!$A$35:$C$64,2,0),"Nein")=""),"-",VLOOKUP(D1386,Parameter!$A$35:$C$64,2,0)))))</f>
        <v>-</v>
      </c>
      <c r="Y1386" s="62"/>
      <c r="Z1386" s="63"/>
      <c r="AA1386" s="57" t="n">
        <f aca="false">AP1386</f>
        <v>1</v>
      </c>
      <c r="AB1386" s="57" t="n">
        <f aca="false">MAX(AP1386,G1386)</f>
        <v>1</v>
      </c>
      <c r="AC1386" s="64"/>
      <c r="AD1386" s="57" t="n">
        <f aca="false">IF(LEFT(Cockpit!$C$5,1)="A",G1386,IF(BW1386=1,BX1386,IF(LEFT(Cockpit!$C$5,1)="B",AH1386,MAX(AH1386,G1386))))</f>
        <v>0</v>
      </c>
      <c r="AE1386" s="57" t="n">
        <f aca="false">IF(BR1386=1,0,ROUNDUP(AD1386/BQ1386,0))</f>
        <v>0</v>
      </c>
      <c r="AF1386" s="59" t="n">
        <f aca="false">IF(CD1386&gt;0,CD1386*MAX(1,AD1386/V1386),IF(BR1386=1,IF(AD1386&lt;=0,0,BS1386*MAX(1,IF(G1386&gt;0,AD1386/G1386,1))),IF(Q1386&gt;0,AE1386/Q1386,0))/MAX(0.1,N(Parameter!$M$21)))</f>
        <v>0</v>
      </c>
      <c r="AG1386" s="57" t="n">
        <f aca="false">AD1386*F1386</f>
        <v>0</v>
      </c>
      <c r="AH1386" s="57" t="n">
        <f aca="false">ROUNDUP(MAX(I1386/IF(BV1386&gt;0,BV1386,MAX(0.1,N(Cockpit!$C$6))),BY1386)/BQ1386,0)*BQ1386</f>
        <v>1</v>
      </c>
      <c r="AI1386" s="58" t="n">
        <f aca="false">IF(AF1386&gt;0,I1386/AF1386,-1)</f>
        <v>-1</v>
      </c>
      <c r="AJ1386" s="58" t="str">
        <f aca="false">IF(AND(OR(BU1386="L1",BU1386="L23"),AF1386&gt;0),SUMIFS($AF$7:$AF$1576,$BU$7:$BU$1576,BU1386,$AI$7:$AI$1576,"&gt;"&amp;AI1386)+SUMIFS($AF$7:$AF$1576,$BU$7:$BU$1576,BU1386,$AI$7:$AI$1576,AI1386,$BO$7:$BO$1576,"&lt;="&amp;BO1386),"")</f>
        <v/>
      </c>
      <c r="AK1386" s="65" t="n">
        <f aca="false">IF(AJ1386="",0,MAX(0,MIN(1,(IF(BU1386="L1",Parameter!$E$5,Parameter!$E$6+Parameter!$E$7)-(AJ1386-AF1386))/AF1386)))</f>
        <v>0</v>
      </c>
      <c r="AL1386" s="57" t="n">
        <f aca="false">IF(LEFT(Cockpit!$I$5,1)="A",G1386,IF(BW1386=1,BX1386,IF(LEFT(Cockpit!$I$5,1)="B",AP1386,MAX(AP1386,G1386))))</f>
        <v>1</v>
      </c>
      <c r="AM1386" s="57" t="n">
        <f aca="false">IF(BR1386=1,0,ROUNDUP(AL1386/BQ1386,0))</f>
        <v>0</v>
      </c>
      <c r="AN1386" s="59" t="n">
        <f aca="false">IF(CD1386&gt;0,CD1386*MAX(1,AL1386/V1386),IF(BR1386=1,IF(AL1386&lt;=0,0,BS1386*MAX(1,IF(G1386&gt;0,AL1386/G1386,1))),IF(Q1386&gt;0,AM1386/Q1386,0))/MAX(0.1,N(Parameter!$M$21)))</f>
        <v>0.15</v>
      </c>
      <c r="AO1386" s="57" t="n">
        <f aca="false">AL1386*F1386</f>
        <v>1598.96</v>
      </c>
      <c r="AP1386" s="57" t="n">
        <f aca="false">ROUNDUP(MAX(I1386/IF(BV1386&gt;0,BV1386,MAX(0.1,N(Cockpit!$I$6))),BY1386)/BQ1386,0)*BQ1386</f>
        <v>1</v>
      </c>
      <c r="AQ1386" s="58" t="n">
        <f aca="false">IF(AN1386&gt;0,I1386/AN1386,-1)</f>
        <v>0</v>
      </c>
      <c r="AR1386" s="58" t="str">
        <f aca="false">IF(AND(OR(BU1386="L1",BU1386="L23"),AN1386&gt;0),SUMIFS($AN$7:$AN$1576,$BU$7:$BU$1576,BU1386,$AQ$7:$AQ$1576,"&gt;"&amp;AQ1386)+SUMIFS($AN$7:$AN$1576,$BU$7:$BU$1576,BU1386,$AQ$7:$AQ$1576,AQ1386,$BO$7:$BO$1576,"&lt;="&amp;BO1386),"")</f>
        <v/>
      </c>
      <c r="AS1386" s="65" t="n">
        <f aca="false">IF(AR1386="",0,MAX(0,MIN(1,(IF(BU1386="L1",Parameter!$E$5,Parameter!$E$6+Parameter!$E$7)-(AR1386-AN1386))/AN1386)))</f>
        <v>0</v>
      </c>
      <c r="AT1386" s="57" t="n">
        <f aca="false">IF(LEFT(Cockpit!$O$5,1)="A",G1386,IF(BW1386=1,BX1386,IF(LEFT(Cockpit!$O$5,1)="B",AX1386,MAX(AX1386,G1386))))</f>
        <v>1</v>
      </c>
      <c r="AU1386" s="57" t="n">
        <f aca="false">IF(BR1386=1,0,ROUNDUP(AT1386/BQ1386,0))</f>
        <v>0</v>
      </c>
      <c r="AV1386" s="59" t="n">
        <f aca="false">IF(CD1386&gt;0,CD1386*MAX(1,AT1386/V1386),IF(BR1386=1,IF(AT1386&lt;=0,0,BS1386*MAX(1,IF(G1386&gt;0,AT1386/G1386,1))),IF(Q1386&gt;0,AU1386/Q1386,0))/MAX(0.1,N(Parameter!$M$21)))</f>
        <v>0.15</v>
      </c>
      <c r="AW1386" s="57" t="n">
        <f aca="false">AT1386*F1386</f>
        <v>1598.96</v>
      </c>
      <c r="AX1386" s="57" t="n">
        <f aca="false">ROUNDUP(MAX(I1386/IF(BV1386&gt;0,BV1386,MAX(0.1,N(Cockpit!$O$6))),BY1386)/BQ1386,0)*BQ1386</f>
        <v>1</v>
      </c>
      <c r="AY1386" s="58" t="n">
        <f aca="false">IF(AV1386&gt;0,I1386/AV1386,-1)</f>
        <v>0</v>
      </c>
      <c r="AZ1386" s="58" t="str">
        <f aca="false">IF(AND(OR(BU1386="L1",BU1386="L23"),AV1386&gt;0),SUMIFS($AV$7:$AV$1576,$BU$7:$BU$1576,BU1386,$AY$7:$AY$1576,"&gt;"&amp;AY1386)+SUMIFS($AV$7:$AV$1576,$BU$7:$BU$1576,BU1386,$AY$7:$AY$1576,AY1386,$BO$7:$BO$1576,"&lt;="&amp;BO1386),"")</f>
        <v/>
      </c>
      <c r="BA1386" s="65" t="n">
        <f aca="false">IF(AZ1386="",0,MAX(0,MIN(1,(IF(BU1386="L1",Parameter!$E$5,Parameter!$E$6+Parameter!$E$7)-(AZ1386-AV1386))/AV1386)))</f>
        <v>0</v>
      </c>
      <c r="BB1386" s="55" t="str">
        <f aca="false">IF(AF1386&lt;=0,"",IF(BU1386="Aussen","Aussenlager",IF(BU1386="-","Nicht im Lift",IF(AK1386&gt;=1,"Lift",IF(AK1386&lt;=0,"Aussenlager","teilweise")))))</f>
        <v/>
      </c>
      <c r="BC1386" s="55" t="str">
        <f aca="false">IF(AN1386&lt;=0,"",IF(BU1386="Aussen","Aussenlager",IF(BU1386="-","Nicht im Lift",IF(AS1386&gt;=1,"Lift",IF(AS1386&lt;=0,"Aussenlager","teilweise")))))</f>
        <v>Nicht im Lift</v>
      </c>
      <c r="BD1386" s="55" t="str">
        <f aca="false">IF(AV1386&lt;=0,"",IF(BU1386="Aussen","Aussenlager",IF(BU1386="-","Nicht im Lift",IF(BA1386&gt;=1,"Lift",IF(BA1386&lt;=0,"Aussenlager","teilweise")))))</f>
        <v>Nicht im Lift</v>
      </c>
      <c r="BE1386" s="55" t="str">
        <f aca="false">IF(A1386="","",IF(BN1386=1,"Neu; ","")&amp;IF(AND(BN1386=0,BI1386&lt;0),"negativer Bestand (Export "&amp;BI1386&amp;"); ","")&amp;IF(I1386&lt;=0,"Kein Verbrauch; ","")&amp;IF(CD1386&gt;0,"Lift "&amp;U1386&amp;" lt. Liftbericht (Fach "&amp;V1386&amp;" Stk); ",IF(BR1386=1,"Lose – Fläche geschätzt; ",""))&amp;IF(G1386&gt;AP1386,"Überbestand "&amp;ROUND(G1386-AP1386,0)&amp;" Stk / CHF "&amp;ROUND((G1386-AP1386)*F1386,0)&amp;"; ","")&amp;IF(AND(BW1386=1,BX1386&lt;BY1386),"MAX &lt; MB+LG; ","")&amp;IF(AND(CC1386&gt;0,CB1386*10&gt;CC1386),"zu hoch für Tablar; ","")&amp;IF(AND(BN1386=0,OR(BW1386=1,Y1386&lt;&gt;"",S1386&lt;&gt;"",T1386&lt;&gt;"",Z1386&lt;&gt;"")),"manuell übersteuert; ","")&amp;IF(AND(BR1386=0,Q1386=0),"Gebinde unbekannt / Stellmass fehlt; ","")&amp;IF(AND(BR1386=0,N(T1386)&lt;=0,N(P1386)&lt;=0),"Menge pro Gebinde fehlt (Ist = 1 Gebinde); ","")&amp;BM1386)</f>
        <v>negativer Bestand (Export -2); Kein Verbrauch; Lose – Fläche geschätzt; </v>
      </c>
      <c r="BF1386" s="55"/>
      <c r="BG1386" s="55"/>
      <c r="BH1386" s="62"/>
      <c r="BI1386" s="57" t="n">
        <v>-2</v>
      </c>
      <c r="BJ1386" s="57" t="n">
        <v>2</v>
      </c>
      <c r="BK1386" s="56" t="n">
        <v>-3197.92</v>
      </c>
      <c r="BL1386" s="57" t="n">
        <v>0</v>
      </c>
      <c r="BM1386" s="55"/>
      <c r="BN1386" s="60" t="n">
        <v>0</v>
      </c>
      <c r="BO1386" s="60" t="n">
        <v>1386</v>
      </c>
      <c r="BP1386" s="55" t="str">
        <f aca="false">IF(S1386&lt;&gt;"",UPPER(TRIM(S1386)),IF(O1386="","LOSE",O1386))</f>
        <v>LOSE</v>
      </c>
      <c r="BQ1386" s="57" t="n">
        <f aca="false">IF(BP1386="LOSE",1,IF(N(T1386)&gt;0,T1386,IF(N(P1386)&gt;0,P1386,MAX(1,G1386))))</f>
        <v>1</v>
      </c>
      <c r="BR1386" s="60" t="n">
        <f aca="false">IF(BP1386="LOSE",1,0)</f>
        <v>1</v>
      </c>
      <c r="BS1386" s="59" t="n">
        <f aca="false">IF(BR1386=0,0,IF(N(R1386)&gt;0,R1386,IFERROR(VLOOKUP(D1386,Parameter!$A$35:$C$64,3,0)+0,0)))</f>
        <v>0.15</v>
      </c>
      <c r="BT1386" s="55" t="str">
        <f aca="false">IF(Y1386&lt;&gt;"",Y1386,X1386)</f>
        <v>-</v>
      </c>
      <c r="BU1386" s="55" t="str">
        <f aca="false">IF(BT1386=1,"L1",IF(OR(BT1386=2,BT1386=3),"L23",IF(BT1386="Aussen","Aussen","-")))</f>
        <v>-</v>
      </c>
      <c r="BV1386" s="66" t="n">
        <f aca="false">IF(N(Z1386)&gt;0,Z1386,0)</f>
        <v>0</v>
      </c>
      <c r="BW1386" s="60" t="n">
        <f aca="false">IF(ISNUMBER(AC1386),1,0)</f>
        <v>0</v>
      </c>
      <c r="BX1386" s="57" t="n">
        <f aca="false">N(AC1386)</f>
        <v>0</v>
      </c>
      <c r="BY1386" s="57" t="n">
        <f aca="false">N(L1386)+N(M1386)</f>
        <v>1</v>
      </c>
      <c r="BZ1386" s="57" t="n">
        <f aca="false">ROUNDUP(G1386/BQ1386,0)</f>
        <v>0</v>
      </c>
      <c r="CA1386" s="57" t="n">
        <f aca="false">ROUNDUP(BX1386/BQ1386,0)</f>
        <v>0</v>
      </c>
      <c r="CB1386" s="60" t="n">
        <f aca="false">IF(BR1386=1,0,IFERROR(VLOOKUP(BP1386,'Gebinde-Kategorie'!$A$5:$M$45,5,0)+0,0))</f>
        <v>0</v>
      </c>
      <c r="CC1386" s="60" t="n">
        <f aca="false">IFERROR(IF(OR(BT1386=1,BT1386=2,BT1386=3),N(INDEX(Parameter!$I$5:$I$7,BT1386)),0),0)</f>
        <v>0</v>
      </c>
      <c r="CD1386" s="59" t="n">
        <f aca="false">IF(AND(Parameter!$B$21="Ja",ISNUMBER(U1386),N(V1386)&gt;0),IFERROR(N(INDEX(Parameter!$L$5:$L$7,U1386))*INDEX(Parameter!$E$5:$E$7,U1386)*V1386/SUMIFS($V$7:$V$1576,$U$7:$U$1576,U1386),0),0)</f>
        <v>0</v>
      </c>
    </row>
    <row r="1387" customFormat="false" ht="15" hidden="false" customHeight="false" outlineLevel="0" collapsed="false">
      <c r="A1387" s="55" t="s">
        <v>2424</v>
      </c>
      <c r="B1387" s="55" t="s">
        <v>2425</v>
      </c>
      <c r="C1387" s="55" t="s">
        <v>160</v>
      </c>
      <c r="D1387" s="55" t="s">
        <v>168</v>
      </c>
      <c r="E1387" s="55" t="s">
        <v>210</v>
      </c>
      <c r="F1387" s="56" t="n">
        <v>570</v>
      </c>
      <c r="G1387" s="57" t="n">
        <f aca="false">MAX(0,IF(AND(Parameter!$B$21="Ja",ISNUMBER(W1387)),W1387,IF(Parameter!$B$20="Jahresanfang 2025 + Export",BJ1387+BI1387,BI1387)))</f>
        <v>0</v>
      </c>
      <c r="H1387" s="57" t="n">
        <f aca="false">G1387*F1387</f>
        <v>0</v>
      </c>
      <c r="I1387" s="57" t="n">
        <f aca="false">BL1387*Parameter!$B$18</f>
        <v>8</v>
      </c>
      <c r="J1387" s="58" t="n">
        <v>6.5</v>
      </c>
      <c r="K1387" s="59" t="n">
        <v>1.23076923076923</v>
      </c>
      <c r="L1387" s="57" t="n">
        <v>0</v>
      </c>
      <c r="M1387" s="57" t="n">
        <v>1</v>
      </c>
      <c r="N1387" s="60" t="n">
        <v>35</v>
      </c>
      <c r="O1387" s="55" t="s">
        <v>339</v>
      </c>
      <c r="P1387" s="57" t="n">
        <v>4</v>
      </c>
      <c r="Q1387" s="60" t="n">
        <f aca="false">IF(BR1387=1,0,IFERROR(VLOOKUP(BP1387,'Gebinde-Kategorie'!$A$5:$M$45,13,0)+0,0))</f>
        <v>3</v>
      </c>
      <c r="R1387" s="61"/>
      <c r="S1387" s="62"/>
      <c r="T1387" s="62"/>
      <c r="U1387" s="55"/>
      <c r="V1387" s="57"/>
      <c r="W1387" s="57"/>
      <c r="X1387" s="55" t="n">
        <f aca="false">IF(A1387="","",IF(AND(Parameter!$B$21="Ja",ISNUMBER(U1387)),U1387,IF(IFERROR(VLOOKUP(D1387,Parameter!$A$35:$C$64,2,0),"Nein")="2+3",IF(ISNUMBER(SEARCH("grosser Artikel",BM1387)),2,IFERROR(VLOOKUP(BP1387,Parameter!$F$35:$G$64,2,0),2)),IF(OR(IFERROR(VLOOKUP(D1387,Parameter!$A$35:$C$64,2,0),"Nein")="Nein",IFERROR(VLOOKUP(D1387,Parameter!$A$35:$C$64,2,0),"Nein")=""),"-",VLOOKUP(D1387,Parameter!$A$35:$C$64,2,0)))))</f>
        <v>2</v>
      </c>
      <c r="Y1387" s="62"/>
      <c r="Z1387" s="63"/>
      <c r="AA1387" s="57" t="n">
        <f aca="false">AP1387</f>
        <v>4</v>
      </c>
      <c r="AB1387" s="57" t="n">
        <f aca="false">MAX(AP1387,G1387)</f>
        <v>4</v>
      </c>
      <c r="AC1387" s="64"/>
      <c r="AD1387" s="57" t="n">
        <f aca="false">IF(LEFT(Cockpit!$C$5,1)="A",G1387,IF(BW1387=1,BX1387,IF(LEFT(Cockpit!$C$5,1)="B",AH1387,MAX(AH1387,G1387))))</f>
        <v>0</v>
      </c>
      <c r="AE1387" s="57" t="n">
        <f aca="false">IF(BR1387=1,0,ROUNDUP(AD1387/BQ1387,0))</f>
        <v>0</v>
      </c>
      <c r="AF1387" s="59" t="n">
        <f aca="false">IF(CD1387&gt;0,CD1387*MAX(1,AD1387/V1387),IF(BR1387=1,IF(AD1387&lt;=0,0,BS1387*MAX(1,IF(G1387&gt;0,AD1387/G1387,1))),IF(Q1387&gt;0,AE1387/Q1387,0))/MAX(0.1,N(Parameter!$M$21)))</f>
        <v>0</v>
      </c>
      <c r="AG1387" s="57" t="n">
        <f aca="false">AD1387*F1387</f>
        <v>0</v>
      </c>
      <c r="AH1387" s="57" t="n">
        <f aca="false">ROUNDUP(MAX(I1387/IF(BV1387&gt;0,BV1387,MAX(0.1,N(Cockpit!$C$6))),BY1387)/BQ1387,0)*BQ1387</f>
        <v>4</v>
      </c>
      <c r="AI1387" s="58" t="n">
        <f aca="false">IF(AF1387&gt;0,I1387/AF1387,-1)</f>
        <v>-1</v>
      </c>
      <c r="AJ1387" s="58" t="str">
        <f aca="false">IF(AND(OR(BU1387="L1",BU1387="L23"),AF1387&gt;0),SUMIFS($AF$7:$AF$1576,$BU$7:$BU$1576,BU1387,$AI$7:$AI$1576,"&gt;"&amp;AI1387)+SUMIFS($AF$7:$AF$1576,$BU$7:$BU$1576,BU1387,$AI$7:$AI$1576,AI1387,$BO$7:$BO$1576,"&lt;="&amp;BO1387),"")</f>
        <v/>
      </c>
      <c r="AK1387" s="65" t="n">
        <f aca="false">IF(AJ1387="",0,MAX(0,MIN(1,(IF(BU1387="L1",Parameter!$E$5,Parameter!$E$6+Parameter!$E$7)-(AJ1387-AF1387))/AF1387)))</f>
        <v>0</v>
      </c>
      <c r="AL1387" s="57" t="n">
        <f aca="false">IF(LEFT(Cockpit!$I$5,1)="A",G1387,IF(BW1387=1,BX1387,IF(LEFT(Cockpit!$I$5,1)="B",AP1387,MAX(AP1387,G1387))))</f>
        <v>4</v>
      </c>
      <c r="AM1387" s="57" t="n">
        <f aca="false">IF(BR1387=1,0,ROUNDUP(AL1387/BQ1387,0))</f>
        <v>1</v>
      </c>
      <c r="AN1387" s="59" t="n">
        <f aca="false">IF(CD1387&gt;0,CD1387*MAX(1,AL1387/V1387),IF(BR1387=1,IF(AL1387&lt;=0,0,BS1387*MAX(1,IF(G1387&gt;0,AL1387/G1387,1))),IF(Q1387&gt;0,AM1387/Q1387,0))/MAX(0.1,N(Parameter!$M$21)))</f>
        <v>0.333333333333333</v>
      </c>
      <c r="AO1387" s="57" t="n">
        <f aca="false">AL1387*F1387</f>
        <v>2280</v>
      </c>
      <c r="AP1387" s="57" t="n">
        <f aca="false">ROUNDUP(MAX(I1387/IF(BV1387&gt;0,BV1387,MAX(0.1,N(Cockpit!$I$6))),BY1387)/BQ1387,0)*BQ1387</f>
        <v>4</v>
      </c>
      <c r="AQ1387" s="58" t="n">
        <f aca="false">IF(AN1387&gt;0,I1387/AN1387,-1)</f>
        <v>24</v>
      </c>
      <c r="AR1387" s="58" t="n">
        <f aca="false">IF(AND(OR(BU1387="L1",BU1387="L23"),AN1387&gt;0),SUMIFS($AN$7:$AN$1576,$BU$7:$BU$1576,BU1387,$AQ$7:$AQ$1576,"&gt;"&amp;AQ1387)+SUMIFS($AN$7:$AN$1576,$BU$7:$BU$1576,BU1387,$AQ$7:$AQ$1576,AQ1387,$BO$7:$BO$1576,"&lt;="&amp;BO1387),"")</f>
        <v>99.3796140758752</v>
      </c>
      <c r="AS1387" s="65" t="n">
        <f aca="false">IF(AR1387="",0,MAX(0,MIN(1,(IF(BU1387="L1",Parameter!$E$5,Parameter!$E$6+Parameter!$E$7)-(AR1387-AN1387))/AN1387)))</f>
        <v>1</v>
      </c>
      <c r="AT1387" s="57" t="n">
        <f aca="false">IF(LEFT(Cockpit!$O$5,1)="A",G1387,IF(BW1387=1,BX1387,IF(LEFT(Cockpit!$O$5,1)="B",AX1387,MAX(AX1387,G1387))))</f>
        <v>4</v>
      </c>
      <c r="AU1387" s="57" t="n">
        <f aca="false">IF(BR1387=1,0,ROUNDUP(AT1387/BQ1387,0))</f>
        <v>1</v>
      </c>
      <c r="AV1387" s="59" t="n">
        <f aca="false">IF(CD1387&gt;0,CD1387*MAX(1,AT1387/V1387),IF(BR1387=1,IF(AT1387&lt;=0,0,BS1387*MAX(1,IF(G1387&gt;0,AT1387/G1387,1))),IF(Q1387&gt;0,AU1387/Q1387,0))/MAX(0.1,N(Parameter!$M$21)))</f>
        <v>0.333333333333333</v>
      </c>
      <c r="AW1387" s="57" t="n">
        <f aca="false">AT1387*F1387</f>
        <v>2280</v>
      </c>
      <c r="AX1387" s="57" t="n">
        <f aca="false">ROUNDUP(MAX(I1387/IF(BV1387&gt;0,BV1387,MAX(0.1,N(Cockpit!$O$6))),BY1387)/BQ1387,0)*BQ1387</f>
        <v>4</v>
      </c>
      <c r="AY1387" s="58" t="n">
        <f aca="false">IF(AV1387&gt;0,I1387/AV1387,-1)</f>
        <v>24</v>
      </c>
      <c r="AZ1387" s="58" t="n">
        <f aca="false">IF(AND(OR(BU1387="L1",BU1387="L23"),AV1387&gt;0),SUMIFS($AV$7:$AV$1576,$BU$7:$BU$1576,BU1387,$AY$7:$AY$1576,"&gt;"&amp;AY1387)+SUMIFS($AV$7:$AV$1576,$BU$7:$BU$1576,BU1387,$AY$7:$AY$1576,AY1387,$BO$7:$BO$1576,"&lt;="&amp;BO1387),"")</f>
        <v>90.1891645254257</v>
      </c>
      <c r="BA1387" s="65" t="n">
        <f aca="false">IF(AZ1387="",0,MAX(0,MIN(1,(IF(BU1387="L1",Parameter!$E$5,Parameter!$E$6+Parameter!$E$7)-(AZ1387-AV1387))/AV1387)))</f>
        <v>1</v>
      </c>
      <c r="BB1387" s="55" t="str">
        <f aca="false">IF(AF1387&lt;=0,"",IF(BU1387="Aussen","Aussenlager",IF(BU1387="-","Nicht im Lift",IF(AK1387&gt;=1,"Lift",IF(AK1387&lt;=0,"Aussenlager","teilweise")))))</f>
        <v/>
      </c>
      <c r="BC1387" s="55" t="str">
        <f aca="false">IF(AN1387&lt;=0,"",IF(BU1387="Aussen","Aussenlager",IF(BU1387="-","Nicht im Lift",IF(AS1387&gt;=1,"Lift",IF(AS1387&lt;=0,"Aussenlager","teilweise")))))</f>
        <v>Lift</v>
      </c>
      <c r="BD1387" s="55" t="str">
        <f aca="false">IF(AV1387&lt;=0,"",IF(BU1387="Aussen","Aussenlager",IF(BU1387="-","Nicht im Lift",IF(BA1387&gt;=1,"Lift",IF(BA1387&lt;=0,"Aussenlager","teilweise")))))</f>
        <v>Lift</v>
      </c>
      <c r="BE1387" s="55" t="str">
        <f aca="false">IF(A1387="","",IF(BN1387=1,"Neu; ","")&amp;IF(AND(BN1387=0,BI1387&lt;0),"negativer Bestand (Export "&amp;BI1387&amp;"); ","")&amp;IF(I1387&lt;=0,"Kein Verbrauch; ","")&amp;IF(CD1387&gt;0,"Lift "&amp;U1387&amp;" lt. Liftbericht (Fach "&amp;V1387&amp;" Stk); ",IF(BR1387=1,"Lose – Fläche geschätzt; ",""))&amp;IF(G1387&gt;AP1387,"Überbestand "&amp;ROUND(G1387-AP1387,0)&amp;" Stk / CHF "&amp;ROUND((G1387-AP1387)*F1387,0)&amp;"; ","")&amp;IF(AND(BW1387=1,BX1387&lt;BY1387),"MAX &lt; MB+LG; ","")&amp;IF(AND(CC1387&gt;0,CB1387*10&gt;CC1387),"zu hoch für Tablar; ","")&amp;IF(AND(BN1387=0,OR(BW1387=1,Y1387&lt;&gt;"",S1387&lt;&gt;"",T1387&lt;&gt;"",Z1387&lt;&gt;"")),"manuell übersteuert; ","")&amp;IF(AND(BR1387=0,Q1387=0),"Gebinde unbekannt / Stellmass fehlt; ","")&amp;IF(AND(BR1387=0,N(T1387)&lt;=0,N(P1387)&lt;=0),"Menge pro Gebinde fehlt (Ist = 1 Gebinde); ","")&amp;BM1387)</f>
        <v>negativer Bestand (Export -9); Neu</v>
      </c>
      <c r="BF1387" s="55"/>
      <c r="BG1387" s="55"/>
      <c r="BH1387" s="62"/>
      <c r="BI1387" s="57" t="n">
        <v>-9</v>
      </c>
      <c r="BJ1387" s="57" t="n">
        <v>11</v>
      </c>
      <c r="BK1387" s="56" t="n">
        <v>-3208.63</v>
      </c>
      <c r="BL1387" s="57" t="n">
        <v>8</v>
      </c>
      <c r="BM1387" s="55" t="s">
        <v>615</v>
      </c>
      <c r="BN1387" s="60" t="n">
        <v>0</v>
      </c>
      <c r="BO1387" s="60" t="n">
        <v>1387</v>
      </c>
      <c r="BP1387" s="55" t="str">
        <f aca="false">IF(S1387&lt;&gt;"",UPPER(TRIM(S1387)),IF(O1387="","LOSE",O1387))</f>
        <v>S82</v>
      </c>
      <c r="BQ1387" s="57" t="n">
        <f aca="false">IF(BP1387="LOSE",1,IF(N(T1387)&gt;0,T1387,IF(N(P1387)&gt;0,P1387,MAX(1,G1387))))</f>
        <v>4</v>
      </c>
      <c r="BR1387" s="60" t="n">
        <f aca="false">IF(BP1387="LOSE",1,0)</f>
        <v>0</v>
      </c>
      <c r="BS1387" s="59" t="n">
        <f aca="false">IF(BR1387=0,0,IF(N(R1387)&gt;0,R1387,IFERROR(VLOOKUP(D1387,Parameter!$A$35:$C$64,3,0)+0,0)))</f>
        <v>0</v>
      </c>
      <c r="BT1387" s="55" t="n">
        <f aca="false">IF(Y1387&lt;&gt;"",Y1387,X1387)</f>
        <v>2</v>
      </c>
      <c r="BU1387" s="55" t="str">
        <f aca="false">IF(BT1387=1,"L1",IF(OR(BT1387=2,BT1387=3),"L23",IF(BT1387="Aussen","Aussen","-")))</f>
        <v>L23</v>
      </c>
      <c r="BV1387" s="66" t="n">
        <f aca="false">IF(N(Z1387)&gt;0,Z1387,0)</f>
        <v>0</v>
      </c>
      <c r="BW1387" s="60" t="n">
        <f aca="false">IF(ISNUMBER(AC1387),1,0)</f>
        <v>0</v>
      </c>
      <c r="BX1387" s="57" t="n">
        <f aca="false">N(AC1387)</f>
        <v>0</v>
      </c>
      <c r="BY1387" s="57" t="n">
        <f aca="false">N(L1387)+N(M1387)</f>
        <v>1</v>
      </c>
      <c r="BZ1387" s="57" t="n">
        <f aca="false">ROUNDUP(G1387/BQ1387,0)</f>
        <v>0</v>
      </c>
      <c r="CA1387" s="57" t="n">
        <f aca="false">ROUNDUP(BX1387/BQ1387,0)</f>
        <v>0</v>
      </c>
      <c r="CB1387" s="60" t="n">
        <f aca="false">IF(BR1387=1,0,IFERROR(VLOOKUP(BP1387,'Gebinde-Kategorie'!$A$5:$M$45,5,0)+0,0))</f>
        <v>40</v>
      </c>
      <c r="CC1387" s="60" t="n">
        <f aca="false">IFERROR(IF(OR(BT1387=1,BT1387=2,BT1387=3),N(INDEX(Parameter!$I$5:$I$7,BT1387)),0),0)</f>
        <v>0</v>
      </c>
      <c r="CD1387" s="59" t="n">
        <f aca="false">IF(AND(Parameter!$B$21="Ja",ISNUMBER(U1387),N(V1387)&gt;0),IFERROR(N(INDEX(Parameter!$L$5:$L$7,U1387))*INDEX(Parameter!$E$5:$E$7,U1387)*V1387/SUMIFS($V$7:$V$1576,$U$7:$U$1576,U1387),0),0)</f>
        <v>0</v>
      </c>
    </row>
    <row r="1388" customFormat="false" ht="15" hidden="false" customHeight="false" outlineLevel="0" collapsed="false">
      <c r="A1388" s="55" t="s">
        <v>2426</v>
      </c>
      <c r="B1388" s="55" t="s">
        <v>2427</v>
      </c>
      <c r="C1388" s="55" t="s">
        <v>160</v>
      </c>
      <c r="D1388" s="55" t="s">
        <v>178</v>
      </c>
      <c r="E1388" s="55" t="s">
        <v>210</v>
      </c>
      <c r="F1388" s="56" t="n">
        <v>365.34</v>
      </c>
      <c r="G1388" s="57" t="n">
        <f aca="false">MAX(0,IF(AND(Parameter!$B$21="Ja",ISNUMBER(W1388)),W1388,IF(Parameter!$B$20="Jahresanfang 2025 + Export",BJ1388+BI1388,BI1388)))</f>
        <v>0</v>
      </c>
      <c r="H1388" s="57" t="n">
        <f aca="false">G1388*F1388</f>
        <v>0</v>
      </c>
      <c r="I1388" s="57" t="n">
        <f aca="false">BL1388*Parameter!$B$18</f>
        <v>20</v>
      </c>
      <c r="J1388" s="58" t="n">
        <v>20</v>
      </c>
      <c r="K1388" s="59" t="n">
        <v>1</v>
      </c>
      <c r="L1388" s="57" t="n">
        <v>1</v>
      </c>
      <c r="M1388" s="57" t="n">
        <v>10</v>
      </c>
      <c r="N1388" s="60" t="n">
        <v>21</v>
      </c>
      <c r="O1388" s="55" t="s">
        <v>225</v>
      </c>
      <c r="P1388" s="57" t="n">
        <v>11</v>
      </c>
      <c r="Q1388" s="60" t="n">
        <f aca="false">IF(BR1388=1,0,IFERROR(VLOOKUP(BP1388,'Gebinde-Kategorie'!$A$5:$M$45,13,0)+0,0))</f>
        <v>26</v>
      </c>
      <c r="R1388" s="61"/>
      <c r="S1388" s="62"/>
      <c r="T1388" s="62"/>
      <c r="U1388" s="55"/>
      <c r="V1388" s="57"/>
      <c r="W1388" s="57"/>
      <c r="X1388" s="55" t="n">
        <f aca="false">IF(A1388="","",IF(AND(Parameter!$B$21="Ja",ISNUMBER(U1388)),U1388,IF(IFERROR(VLOOKUP(D1388,Parameter!$A$35:$C$64,2,0),"Nein")="2+3",IF(ISNUMBER(SEARCH("grosser Artikel",BM1388)),2,IFERROR(VLOOKUP(BP1388,Parameter!$F$35:$G$64,2,0),2)),IF(OR(IFERROR(VLOOKUP(D1388,Parameter!$A$35:$C$64,2,0),"Nein")="Nein",IFERROR(VLOOKUP(D1388,Parameter!$A$35:$C$64,2,0),"Nein")=""),"-",VLOOKUP(D1388,Parameter!$A$35:$C$64,2,0)))))</f>
        <v>3</v>
      </c>
      <c r="Y1388" s="62"/>
      <c r="Z1388" s="63"/>
      <c r="AA1388" s="57" t="n">
        <f aca="false">AP1388</f>
        <v>11</v>
      </c>
      <c r="AB1388" s="57" t="n">
        <f aca="false">MAX(AP1388,G1388)</f>
        <v>11</v>
      </c>
      <c r="AC1388" s="64"/>
      <c r="AD1388" s="57" t="n">
        <f aca="false">IF(LEFT(Cockpit!$C$5,1)="A",G1388,IF(BW1388=1,BX1388,IF(LEFT(Cockpit!$C$5,1)="B",AH1388,MAX(AH1388,G1388))))</f>
        <v>0</v>
      </c>
      <c r="AE1388" s="57" t="n">
        <f aca="false">IF(BR1388=1,0,ROUNDUP(AD1388/BQ1388,0))</f>
        <v>0</v>
      </c>
      <c r="AF1388" s="59" t="n">
        <f aca="false">IF(CD1388&gt;0,CD1388*MAX(1,AD1388/V1388),IF(BR1388=1,IF(AD1388&lt;=0,0,BS1388*MAX(1,IF(G1388&gt;0,AD1388/G1388,1))),IF(Q1388&gt;0,AE1388/Q1388,0))/MAX(0.1,N(Parameter!$M$21)))</f>
        <v>0</v>
      </c>
      <c r="AG1388" s="57" t="n">
        <f aca="false">AD1388*F1388</f>
        <v>0</v>
      </c>
      <c r="AH1388" s="57" t="n">
        <f aca="false">ROUNDUP(MAX(I1388/IF(BV1388&gt;0,BV1388,MAX(0.1,N(Cockpit!$C$6))),BY1388)/BQ1388,0)*BQ1388</f>
        <v>11</v>
      </c>
      <c r="AI1388" s="58" t="n">
        <f aca="false">IF(AF1388&gt;0,I1388/AF1388,-1)</f>
        <v>-1</v>
      </c>
      <c r="AJ1388" s="58" t="str">
        <f aca="false">IF(AND(OR(BU1388="L1",BU1388="L23"),AF1388&gt;0),SUMIFS($AF$7:$AF$1576,$BU$7:$BU$1576,BU1388,$AI$7:$AI$1576,"&gt;"&amp;AI1388)+SUMIFS($AF$7:$AF$1576,$BU$7:$BU$1576,BU1388,$AI$7:$AI$1576,AI1388,$BO$7:$BO$1576,"&lt;="&amp;BO1388),"")</f>
        <v/>
      </c>
      <c r="AK1388" s="65" t="n">
        <f aca="false">IF(AJ1388="",0,MAX(0,MIN(1,(IF(BU1388="L1",Parameter!$E$5,Parameter!$E$6+Parameter!$E$7)-(AJ1388-AF1388))/AF1388)))</f>
        <v>0</v>
      </c>
      <c r="AL1388" s="57" t="n">
        <f aca="false">IF(LEFT(Cockpit!$I$5,1)="A",G1388,IF(BW1388=1,BX1388,IF(LEFT(Cockpit!$I$5,1)="B",AP1388,MAX(AP1388,G1388))))</f>
        <v>11</v>
      </c>
      <c r="AM1388" s="57" t="n">
        <f aca="false">IF(BR1388=1,0,ROUNDUP(AL1388/BQ1388,0))</f>
        <v>1</v>
      </c>
      <c r="AN1388" s="59" t="n">
        <f aca="false">IF(CD1388&gt;0,CD1388*MAX(1,AL1388/V1388),IF(BR1388=1,IF(AL1388&lt;=0,0,BS1388*MAX(1,IF(G1388&gt;0,AL1388/G1388,1))),IF(Q1388&gt;0,AM1388/Q1388,0))/MAX(0.1,N(Parameter!$M$21)))</f>
        <v>0.0384615384615385</v>
      </c>
      <c r="AO1388" s="57" t="n">
        <f aca="false">AL1388*F1388</f>
        <v>4018.74</v>
      </c>
      <c r="AP1388" s="57" t="n">
        <f aca="false">ROUNDUP(MAX(I1388/IF(BV1388&gt;0,BV1388,MAX(0.1,N(Cockpit!$I$6))),BY1388)/BQ1388,0)*BQ1388</f>
        <v>11</v>
      </c>
      <c r="AQ1388" s="58" t="n">
        <f aca="false">IF(AN1388&gt;0,I1388/AN1388,-1)</f>
        <v>520</v>
      </c>
      <c r="AR1388" s="58" t="n">
        <f aca="false">IF(AND(OR(BU1388="L1",BU1388="L23"),AN1388&gt;0),SUMIFS($AN$7:$AN$1576,$BU$7:$BU$1576,BU1388,$AQ$7:$AQ$1576,"&gt;"&amp;AQ1388)+SUMIFS($AN$7:$AN$1576,$BU$7:$BU$1576,BU1388,$AQ$7:$AQ$1576,AQ1388,$BO$7:$BO$1576,"&lt;="&amp;BO1388),"")</f>
        <v>33.3776047747899</v>
      </c>
      <c r="AS1388" s="65" t="n">
        <f aca="false">IF(AR1388="",0,MAX(0,MIN(1,(IF(BU1388="L1",Parameter!$E$5,Parameter!$E$6+Parameter!$E$7)-(AR1388-AN1388))/AN1388)))</f>
        <v>1</v>
      </c>
      <c r="AT1388" s="57" t="n">
        <f aca="false">IF(LEFT(Cockpit!$O$5,1)="A",G1388,IF(BW1388=1,BX1388,IF(LEFT(Cockpit!$O$5,1)="B",AX1388,MAX(AX1388,G1388))))</f>
        <v>11</v>
      </c>
      <c r="AU1388" s="57" t="n">
        <f aca="false">IF(BR1388=1,0,ROUNDUP(AT1388/BQ1388,0))</f>
        <v>1</v>
      </c>
      <c r="AV1388" s="59" t="n">
        <f aca="false">IF(CD1388&gt;0,CD1388*MAX(1,AT1388/V1388),IF(BR1388=1,IF(AT1388&lt;=0,0,BS1388*MAX(1,IF(G1388&gt;0,AT1388/G1388,1))),IF(Q1388&gt;0,AU1388/Q1388,0))/MAX(0.1,N(Parameter!$M$21)))</f>
        <v>0.0384615384615385</v>
      </c>
      <c r="AW1388" s="57" t="n">
        <f aca="false">AT1388*F1388</f>
        <v>4018.74</v>
      </c>
      <c r="AX1388" s="57" t="n">
        <f aca="false">ROUNDUP(MAX(I1388/IF(BV1388&gt;0,BV1388,MAX(0.1,N(Cockpit!$O$6))),BY1388)/BQ1388,0)*BQ1388</f>
        <v>11</v>
      </c>
      <c r="AY1388" s="58" t="n">
        <f aca="false">IF(AV1388&gt;0,I1388/AV1388,-1)</f>
        <v>520</v>
      </c>
      <c r="AZ1388" s="58" t="n">
        <f aca="false">IF(AND(OR(BU1388="L1",BU1388="L23"),AV1388&gt;0),SUMIFS($AV$7:$AV$1576,$BU$7:$BU$1576,BU1388,$AY$7:$AY$1576,"&gt;"&amp;AY1388)+SUMIFS($AV$7:$AV$1576,$BU$7:$BU$1576,BU1388,$AY$7:$AY$1576,AY1388,$BO$7:$BO$1576,"&lt;="&amp;BO1388),"")</f>
        <v>31.4542914214765</v>
      </c>
      <c r="BA1388" s="65" t="n">
        <f aca="false">IF(AZ1388="",0,MAX(0,MIN(1,(IF(BU1388="L1",Parameter!$E$5,Parameter!$E$6+Parameter!$E$7)-(AZ1388-AV1388))/AV1388)))</f>
        <v>1</v>
      </c>
      <c r="BB1388" s="55" t="str">
        <f aca="false">IF(AF1388&lt;=0,"",IF(BU1388="Aussen","Aussenlager",IF(BU1388="-","Nicht im Lift",IF(AK1388&gt;=1,"Lift",IF(AK1388&lt;=0,"Aussenlager","teilweise")))))</f>
        <v/>
      </c>
      <c r="BC1388" s="55" t="str">
        <f aca="false">IF(AN1388&lt;=0,"",IF(BU1388="Aussen","Aussenlager",IF(BU1388="-","Nicht im Lift",IF(AS1388&gt;=1,"Lift",IF(AS1388&lt;=0,"Aussenlager","teilweise")))))</f>
        <v>Lift</v>
      </c>
      <c r="BD1388" s="55" t="str">
        <f aca="false">IF(AV1388&lt;=0,"",IF(BU1388="Aussen","Aussenlager",IF(BU1388="-","Nicht im Lift",IF(BA1388&gt;=1,"Lift",IF(BA1388&lt;=0,"Aussenlager","teilweise")))))</f>
        <v>Lift</v>
      </c>
      <c r="BE1388" s="55" t="str">
        <f aca="false">IF(A1388="","",IF(BN1388=1,"Neu; ","")&amp;IF(AND(BN1388=0,BI1388&lt;0),"negativer Bestand (Export "&amp;BI1388&amp;"); ","")&amp;IF(I1388&lt;=0,"Kein Verbrauch; ","")&amp;IF(CD1388&gt;0,"Lift "&amp;U1388&amp;" lt. Liftbericht (Fach "&amp;V1388&amp;" Stk); ",IF(BR1388=1,"Lose – Fläche geschätzt; ",""))&amp;IF(G1388&gt;AP1388,"Überbestand "&amp;ROUND(G1388-AP1388,0)&amp;" Stk / CHF "&amp;ROUND((G1388-AP1388)*F1388,0)&amp;"; ","")&amp;IF(AND(BW1388=1,BX1388&lt;BY1388),"MAX &lt; MB+LG; ","")&amp;IF(AND(CC1388&gt;0,CB1388*10&gt;CC1388),"zu hoch für Tablar; ","")&amp;IF(AND(BN1388=0,OR(BW1388=1,Y1388&lt;&gt;"",S1388&lt;&gt;"",T1388&lt;&gt;"",Z1388&lt;&gt;"")),"manuell übersteuert; ","")&amp;IF(AND(BR1388=0,Q1388=0),"Gebinde unbekannt / Stellmass fehlt; ","")&amp;IF(AND(BR1388=0,N(T1388)&lt;=0,N(P1388)&lt;=0),"Menge pro Gebinde fehlt (Ist = 1 Gebinde); ","")&amp;BM1388)</f>
        <v>negativer Bestand (Export -10); </v>
      </c>
      <c r="BF1388" s="55"/>
      <c r="BG1388" s="55"/>
      <c r="BH1388" s="62"/>
      <c r="BI1388" s="57" t="n">
        <v>-10</v>
      </c>
      <c r="BJ1388" s="57" t="n">
        <v>25</v>
      </c>
      <c r="BK1388" s="56" t="n">
        <v>-3373.26</v>
      </c>
      <c r="BL1388" s="57" t="n">
        <v>20</v>
      </c>
      <c r="BM1388" s="55"/>
      <c r="BN1388" s="60" t="n">
        <v>0</v>
      </c>
      <c r="BO1388" s="60" t="n">
        <v>1388</v>
      </c>
      <c r="BP1388" s="55" t="str">
        <f aca="false">IF(S1388&lt;&gt;"",UPPER(TRIM(S1388)),IF(O1388="","LOSE",O1388))</f>
        <v>S52</v>
      </c>
      <c r="BQ1388" s="57" t="n">
        <f aca="false">IF(BP1388="LOSE",1,IF(N(T1388)&gt;0,T1388,IF(N(P1388)&gt;0,P1388,MAX(1,G1388))))</f>
        <v>11</v>
      </c>
      <c r="BR1388" s="60" t="n">
        <f aca="false">IF(BP1388="LOSE",1,0)</f>
        <v>0</v>
      </c>
      <c r="BS1388" s="59" t="n">
        <f aca="false">IF(BR1388=0,0,IF(N(R1388)&gt;0,R1388,IFERROR(VLOOKUP(D1388,Parameter!$A$35:$C$64,3,0)+0,0)))</f>
        <v>0</v>
      </c>
      <c r="BT1388" s="55" t="n">
        <f aca="false">IF(Y1388&lt;&gt;"",Y1388,X1388)</f>
        <v>3</v>
      </c>
      <c r="BU1388" s="55" t="str">
        <f aca="false">IF(BT1388=1,"L1",IF(OR(BT1388=2,BT1388=3),"L23",IF(BT1388="Aussen","Aussen","-")))</f>
        <v>L23</v>
      </c>
      <c r="BV1388" s="66" t="n">
        <f aca="false">IF(N(Z1388)&gt;0,Z1388,0)</f>
        <v>0</v>
      </c>
      <c r="BW1388" s="60" t="n">
        <f aca="false">IF(ISNUMBER(AC1388),1,0)</f>
        <v>0</v>
      </c>
      <c r="BX1388" s="57" t="n">
        <f aca="false">N(AC1388)</f>
        <v>0</v>
      </c>
      <c r="BY1388" s="57" t="n">
        <f aca="false">N(L1388)+N(M1388)</f>
        <v>11</v>
      </c>
      <c r="BZ1388" s="57" t="n">
        <f aca="false">ROUNDUP(G1388/BQ1388,0)</f>
        <v>0</v>
      </c>
      <c r="CA1388" s="57" t="n">
        <f aca="false">ROUNDUP(BX1388/BQ1388,0)</f>
        <v>0</v>
      </c>
      <c r="CB1388" s="60" t="n">
        <f aca="false">IF(BR1388=1,0,IFERROR(VLOOKUP(BP1388,'Gebinde-Kategorie'!$A$5:$M$45,5,0)+0,0))</f>
        <v>21</v>
      </c>
      <c r="CC1388" s="60" t="n">
        <f aca="false">IFERROR(IF(OR(BT1388=1,BT1388=2,BT1388=3),N(INDEX(Parameter!$I$5:$I$7,BT1388)),0),0)</f>
        <v>0</v>
      </c>
      <c r="CD1388" s="59" t="n">
        <f aca="false">IF(AND(Parameter!$B$21="Ja",ISNUMBER(U1388),N(V1388)&gt;0),IFERROR(N(INDEX(Parameter!$L$5:$L$7,U1388))*INDEX(Parameter!$E$5:$E$7,U1388)*V1388/SUMIFS($V$7:$V$1576,$U$7:$U$1576,U1388),0),0)</f>
        <v>0</v>
      </c>
    </row>
    <row r="1389" customFormat="false" ht="15" hidden="false" customHeight="false" outlineLevel="0" collapsed="false">
      <c r="A1389" s="55" t="s">
        <v>2428</v>
      </c>
      <c r="B1389" s="55" t="s">
        <v>2389</v>
      </c>
      <c r="C1389" s="55" t="s">
        <v>160</v>
      </c>
      <c r="D1389" s="55" t="s">
        <v>168</v>
      </c>
      <c r="E1389" s="55" t="s">
        <v>210</v>
      </c>
      <c r="F1389" s="56" t="n">
        <v>202.04</v>
      </c>
      <c r="G1389" s="57" t="n">
        <f aca="false">MAX(0,IF(AND(Parameter!$B$21="Ja",ISNUMBER(W1389)),W1389,IF(Parameter!$B$20="Jahresanfang 2025 + Export",BJ1389+BI1389,BI1389)))</f>
        <v>0</v>
      </c>
      <c r="H1389" s="57" t="n">
        <f aca="false">G1389*F1389</f>
        <v>0</v>
      </c>
      <c r="I1389" s="57" t="n">
        <f aca="false">BL1389*Parameter!$B$18</f>
        <v>18</v>
      </c>
      <c r="J1389" s="58" t="n">
        <v>29.5</v>
      </c>
      <c r="K1389" s="59" t="n">
        <v>0.610169491525424</v>
      </c>
      <c r="L1389" s="57" t="n">
        <v>2</v>
      </c>
      <c r="M1389" s="57" t="n">
        <v>15</v>
      </c>
      <c r="N1389" s="60" t="n">
        <v>44</v>
      </c>
      <c r="O1389" s="55" t="s">
        <v>169</v>
      </c>
      <c r="P1389" s="57" t="n">
        <v>15</v>
      </c>
      <c r="Q1389" s="60" t="n">
        <f aca="false">IF(BR1389=1,0,IFERROR(VLOOKUP(BP1389,'Gebinde-Kategorie'!$A$5:$M$45,13,0)+0,0))</f>
        <v>6</v>
      </c>
      <c r="R1389" s="61"/>
      <c r="S1389" s="62"/>
      <c r="T1389" s="62"/>
      <c r="U1389" s="55"/>
      <c r="V1389" s="57"/>
      <c r="W1389" s="57"/>
      <c r="X1389" s="55" t="n">
        <f aca="false">IF(A1389="","",IF(AND(Parameter!$B$21="Ja",ISNUMBER(U1389)),U1389,IF(IFERROR(VLOOKUP(D1389,Parameter!$A$35:$C$64,2,0),"Nein")="2+3",IF(ISNUMBER(SEARCH("grosser Artikel",BM1389)),2,IFERROR(VLOOKUP(BP1389,Parameter!$F$35:$G$64,2,0),2)),IF(OR(IFERROR(VLOOKUP(D1389,Parameter!$A$35:$C$64,2,0),"Nein")="Nein",IFERROR(VLOOKUP(D1389,Parameter!$A$35:$C$64,2,0),"Nein")=""),"-",VLOOKUP(D1389,Parameter!$A$35:$C$64,2,0)))))</f>
        <v>2</v>
      </c>
      <c r="Y1389" s="62"/>
      <c r="Z1389" s="63"/>
      <c r="AA1389" s="57" t="n">
        <f aca="false">AP1389</f>
        <v>30</v>
      </c>
      <c r="AB1389" s="57" t="n">
        <f aca="false">MAX(AP1389,G1389)</f>
        <v>30</v>
      </c>
      <c r="AC1389" s="64"/>
      <c r="AD1389" s="57" t="n">
        <f aca="false">IF(LEFT(Cockpit!$C$5,1)="A",G1389,IF(BW1389=1,BX1389,IF(LEFT(Cockpit!$C$5,1)="B",AH1389,MAX(AH1389,G1389))))</f>
        <v>0</v>
      </c>
      <c r="AE1389" s="57" t="n">
        <f aca="false">IF(BR1389=1,0,ROUNDUP(AD1389/BQ1389,0))</f>
        <v>0</v>
      </c>
      <c r="AF1389" s="59" t="n">
        <f aca="false">IF(CD1389&gt;0,CD1389*MAX(1,AD1389/V1389),IF(BR1389=1,IF(AD1389&lt;=0,0,BS1389*MAX(1,IF(G1389&gt;0,AD1389/G1389,1))),IF(Q1389&gt;0,AE1389/Q1389,0))/MAX(0.1,N(Parameter!$M$21)))</f>
        <v>0</v>
      </c>
      <c r="AG1389" s="57" t="n">
        <f aca="false">AD1389*F1389</f>
        <v>0</v>
      </c>
      <c r="AH1389" s="57" t="n">
        <f aca="false">ROUNDUP(MAX(I1389/IF(BV1389&gt;0,BV1389,MAX(0.1,N(Cockpit!$C$6))),BY1389)/BQ1389,0)*BQ1389</f>
        <v>30</v>
      </c>
      <c r="AI1389" s="58" t="n">
        <f aca="false">IF(AF1389&gt;0,I1389/AF1389,-1)</f>
        <v>-1</v>
      </c>
      <c r="AJ1389" s="58" t="str">
        <f aca="false">IF(AND(OR(BU1389="L1",BU1389="L23"),AF1389&gt;0),SUMIFS($AF$7:$AF$1576,$BU$7:$BU$1576,BU1389,$AI$7:$AI$1576,"&gt;"&amp;AI1389)+SUMIFS($AF$7:$AF$1576,$BU$7:$BU$1576,BU1389,$AI$7:$AI$1576,AI1389,$BO$7:$BO$1576,"&lt;="&amp;BO1389),"")</f>
        <v/>
      </c>
      <c r="AK1389" s="65" t="n">
        <f aca="false">IF(AJ1389="",0,MAX(0,MIN(1,(IF(BU1389="L1",Parameter!$E$5,Parameter!$E$6+Parameter!$E$7)-(AJ1389-AF1389))/AF1389)))</f>
        <v>0</v>
      </c>
      <c r="AL1389" s="57" t="n">
        <f aca="false">IF(LEFT(Cockpit!$I$5,1)="A",G1389,IF(BW1389=1,BX1389,IF(LEFT(Cockpit!$I$5,1)="B",AP1389,MAX(AP1389,G1389))))</f>
        <v>30</v>
      </c>
      <c r="AM1389" s="57" t="n">
        <f aca="false">IF(BR1389=1,0,ROUNDUP(AL1389/BQ1389,0))</f>
        <v>2</v>
      </c>
      <c r="AN1389" s="59" t="n">
        <f aca="false">IF(CD1389&gt;0,CD1389*MAX(1,AL1389/V1389),IF(BR1389=1,IF(AL1389&lt;=0,0,BS1389*MAX(1,IF(G1389&gt;0,AL1389/G1389,1))),IF(Q1389&gt;0,AM1389/Q1389,0))/MAX(0.1,N(Parameter!$M$21)))</f>
        <v>0.333333333333333</v>
      </c>
      <c r="AO1389" s="57" t="n">
        <f aca="false">AL1389*F1389</f>
        <v>6061.2</v>
      </c>
      <c r="AP1389" s="57" t="n">
        <f aca="false">ROUNDUP(MAX(I1389/IF(BV1389&gt;0,BV1389,MAX(0.1,N(Cockpit!$I$6))),BY1389)/BQ1389,0)*BQ1389</f>
        <v>30</v>
      </c>
      <c r="AQ1389" s="58" t="n">
        <f aca="false">IF(AN1389&gt;0,I1389/AN1389,-1)</f>
        <v>54</v>
      </c>
      <c r="AR1389" s="58" t="n">
        <f aca="false">IF(AND(OR(BU1389="L1",BU1389="L23"),AN1389&gt;0),SUMIFS($AN$7:$AN$1576,$BU$7:$BU$1576,BU1389,$AQ$7:$AQ$1576,"&gt;"&amp;AQ1389)+SUMIFS($AN$7:$AN$1576,$BU$7:$BU$1576,BU1389,$AQ$7:$AQ$1576,AQ1389,$BO$7:$BO$1576,"&lt;="&amp;BO1389),"")</f>
        <v>80.4760243322855</v>
      </c>
      <c r="AS1389" s="65" t="n">
        <f aca="false">IF(AR1389="",0,MAX(0,MIN(1,(IF(BU1389="L1",Parameter!$E$5,Parameter!$E$6+Parameter!$E$7)-(AR1389-AN1389))/AN1389)))</f>
        <v>1</v>
      </c>
      <c r="AT1389" s="57" t="n">
        <f aca="false">IF(LEFT(Cockpit!$O$5,1)="A",G1389,IF(BW1389=1,BX1389,IF(LEFT(Cockpit!$O$5,1)="B",AX1389,MAX(AX1389,G1389))))</f>
        <v>30</v>
      </c>
      <c r="AU1389" s="57" t="n">
        <f aca="false">IF(BR1389=1,0,ROUNDUP(AT1389/BQ1389,0))</f>
        <v>2</v>
      </c>
      <c r="AV1389" s="59" t="n">
        <f aca="false">IF(CD1389&gt;0,CD1389*MAX(1,AT1389/V1389),IF(BR1389=1,IF(AT1389&lt;=0,0,BS1389*MAX(1,IF(G1389&gt;0,AT1389/G1389,1))),IF(Q1389&gt;0,AU1389/Q1389,0))/MAX(0.1,N(Parameter!$M$21)))</f>
        <v>0.333333333333333</v>
      </c>
      <c r="AW1389" s="57" t="n">
        <f aca="false">AT1389*F1389</f>
        <v>6061.2</v>
      </c>
      <c r="AX1389" s="57" t="n">
        <f aca="false">ROUNDUP(MAX(I1389/IF(BV1389&gt;0,BV1389,MAX(0.1,N(Cockpit!$O$6))),BY1389)/BQ1389,0)*BQ1389</f>
        <v>30</v>
      </c>
      <c r="AY1389" s="58" t="n">
        <f aca="false">IF(AV1389&gt;0,I1389/AV1389,-1)</f>
        <v>54</v>
      </c>
      <c r="AZ1389" s="58" t="n">
        <f aca="false">IF(AND(OR(BU1389="L1",BU1389="L23"),AV1389&gt;0),SUMIFS($AV$7:$AV$1576,$BU$7:$BU$1576,BU1389,$AY$7:$AY$1576,"&gt;"&amp;AY1389)+SUMIFS($AV$7:$AV$1576,$BU$7:$BU$1576,BU1389,$AY$7:$AY$1576,AY1389,$BO$7:$BO$1576,"&lt;="&amp;BO1389),"")</f>
        <v>77.6439081151693</v>
      </c>
      <c r="BA1389" s="65" t="n">
        <f aca="false">IF(AZ1389="",0,MAX(0,MIN(1,(IF(BU1389="L1",Parameter!$E$5,Parameter!$E$6+Parameter!$E$7)-(AZ1389-AV1389))/AV1389)))</f>
        <v>1</v>
      </c>
      <c r="BB1389" s="55" t="str">
        <f aca="false">IF(AF1389&lt;=0,"",IF(BU1389="Aussen","Aussenlager",IF(BU1389="-","Nicht im Lift",IF(AK1389&gt;=1,"Lift",IF(AK1389&lt;=0,"Aussenlager","teilweise")))))</f>
        <v/>
      </c>
      <c r="BC1389" s="55" t="str">
        <f aca="false">IF(AN1389&lt;=0,"",IF(BU1389="Aussen","Aussenlager",IF(BU1389="-","Nicht im Lift",IF(AS1389&gt;=1,"Lift",IF(AS1389&lt;=0,"Aussenlager","teilweise")))))</f>
        <v>Lift</v>
      </c>
      <c r="BD1389" s="55" t="str">
        <f aca="false">IF(AV1389&lt;=0,"",IF(BU1389="Aussen","Aussenlager",IF(BU1389="-","Nicht im Lift",IF(BA1389&gt;=1,"Lift",IF(BA1389&lt;=0,"Aussenlager","teilweise")))))</f>
        <v>Lift</v>
      </c>
      <c r="BE1389" s="55" t="str">
        <f aca="false">IF(A1389="","",IF(BN1389=1,"Neu; ","")&amp;IF(AND(BN1389=0,BI1389&lt;0),"negativer Bestand (Export "&amp;BI1389&amp;"); ","")&amp;IF(I1389&lt;=0,"Kein Verbrauch; ","")&amp;IF(CD1389&gt;0,"Lift "&amp;U1389&amp;" lt. Liftbericht (Fach "&amp;V1389&amp;" Stk); ",IF(BR1389=1,"Lose – Fläche geschätzt; ",""))&amp;IF(G1389&gt;AP1389,"Überbestand "&amp;ROUND(G1389-AP1389,0)&amp;" Stk / CHF "&amp;ROUND((G1389-AP1389)*F1389,0)&amp;"; ","")&amp;IF(AND(BW1389=1,BX1389&lt;BY1389),"MAX &lt; MB+LG; ","")&amp;IF(AND(CC1389&gt;0,CB1389*10&gt;CC1389),"zu hoch für Tablar; ","")&amp;IF(AND(BN1389=0,OR(BW1389=1,Y1389&lt;&gt;"",S1389&lt;&gt;"",T1389&lt;&gt;"",Z1389&lt;&gt;"")),"manuell übersteuert; ","")&amp;IF(AND(BR1389=0,Q1389=0),"Gebinde unbekannt / Stellmass fehlt; ","")&amp;IF(AND(BR1389=0,N(T1389)&lt;=0,N(P1389)&lt;=0),"Menge pro Gebinde fehlt (Ist = 1 Gebinde); ","")&amp;BM1389)</f>
        <v>negativer Bestand (Export -20); grosser Artikel &amp; nicht im KTL</v>
      </c>
      <c r="BF1389" s="55"/>
      <c r="BG1389" s="55"/>
      <c r="BH1389" s="62"/>
      <c r="BI1389" s="57" t="n">
        <v>-20</v>
      </c>
      <c r="BJ1389" s="57" t="n">
        <v>28</v>
      </c>
      <c r="BK1389" s="56" t="n">
        <v>-3384.2</v>
      </c>
      <c r="BL1389" s="57" t="n">
        <v>18</v>
      </c>
      <c r="BM1389" s="55" t="s">
        <v>253</v>
      </c>
      <c r="BN1389" s="60" t="n">
        <v>0</v>
      </c>
      <c r="BO1389" s="60" t="n">
        <v>1389</v>
      </c>
      <c r="BP1389" s="55" t="str">
        <f aca="false">IF(S1389&lt;&gt;"",UPPER(TRIM(S1389)),IF(O1389="","LOSE",O1389))</f>
        <v>S71</v>
      </c>
      <c r="BQ1389" s="57" t="n">
        <f aca="false">IF(BP1389="LOSE",1,IF(N(T1389)&gt;0,T1389,IF(N(P1389)&gt;0,P1389,MAX(1,G1389))))</f>
        <v>15</v>
      </c>
      <c r="BR1389" s="60" t="n">
        <f aca="false">IF(BP1389="LOSE",1,0)</f>
        <v>0</v>
      </c>
      <c r="BS1389" s="59" t="n">
        <f aca="false">IF(BR1389=0,0,IF(N(R1389)&gt;0,R1389,IFERROR(VLOOKUP(D1389,Parameter!$A$35:$C$64,3,0)+0,0)))</f>
        <v>0</v>
      </c>
      <c r="BT1389" s="55" t="n">
        <f aca="false">IF(Y1389&lt;&gt;"",Y1389,X1389)</f>
        <v>2</v>
      </c>
      <c r="BU1389" s="55" t="str">
        <f aca="false">IF(BT1389=1,"L1",IF(OR(BT1389=2,BT1389=3),"L23",IF(BT1389="Aussen","Aussen","-")))</f>
        <v>L23</v>
      </c>
      <c r="BV1389" s="66" t="n">
        <f aca="false">IF(N(Z1389)&gt;0,Z1389,0)</f>
        <v>0</v>
      </c>
      <c r="BW1389" s="60" t="n">
        <f aca="false">IF(ISNUMBER(AC1389),1,0)</f>
        <v>0</v>
      </c>
      <c r="BX1389" s="57" t="n">
        <f aca="false">N(AC1389)</f>
        <v>0</v>
      </c>
      <c r="BY1389" s="57" t="n">
        <f aca="false">N(L1389)+N(M1389)</f>
        <v>17</v>
      </c>
      <c r="BZ1389" s="57" t="n">
        <f aca="false">ROUNDUP(G1389/BQ1389,0)</f>
        <v>0</v>
      </c>
      <c r="CA1389" s="57" t="n">
        <f aca="false">ROUNDUP(BX1389/BQ1389,0)</f>
        <v>0</v>
      </c>
      <c r="CB1389" s="60" t="n">
        <f aca="false">IF(BR1389=1,0,IFERROR(VLOOKUP(BP1389,'Gebinde-Kategorie'!$A$5:$M$45,5,0)+0,0))</f>
        <v>20</v>
      </c>
      <c r="CC1389" s="60" t="n">
        <f aca="false">IFERROR(IF(OR(BT1389=1,BT1389=2,BT1389=3),N(INDEX(Parameter!$I$5:$I$7,BT1389)),0),0)</f>
        <v>0</v>
      </c>
      <c r="CD1389" s="59" t="n">
        <f aca="false">IF(AND(Parameter!$B$21="Ja",ISNUMBER(U1389),N(V1389)&gt;0),IFERROR(N(INDEX(Parameter!$L$5:$L$7,U1389))*INDEX(Parameter!$E$5:$E$7,U1389)*V1389/SUMIFS($V$7:$V$1576,$U$7:$U$1576,U1389),0),0)</f>
        <v>0</v>
      </c>
    </row>
    <row r="1390" customFormat="false" ht="15" hidden="false" customHeight="false" outlineLevel="0" collapsed="false">
      <c r="A1390" s="55" t="s">
        <v>2429</v>
      </c>
      <c r="B1390" s="55" t="s">
        <v>435</v>
      </c>
      <c r="C1390" s="55" t="s">
        <v>160</v>
      </c>
      <c r="D1390" s="55" t="s">
        <v>168</v>
      </c>
      <c r="E1390" s="55" t="s">
        <v>210</v>
      </c>
      <c r="F1390" s="56" t="n">
        <v>162.98</v>
      </c>
      <c r="G1390" s="57" t="n">
        <f aca="false">MAX(0,IF(AND(Parameter!$B$21="Ja",ISNUMBER(W1390)),W1390,IF(Parameter!$B$20="Jahresanfang 2025 + Export",BJ1390+BI1390,BI1390)))</f>
        <v>0</v>
      </c>
      <c r="H1390" s="57" t="n">
        <f aca="false">G1390*F1390</f>
        <v>0</v>
      </c>
      <c r="I1390" s="57" t="n">
        <f aca="false">BL1390*Parameter!$B$18</f>
        <v>32</v>
      </c>
      <c r="J1390" s="58" t="n">
        <v>28.5</v>
      </c>
      <c r="K1390" s="59" t="n">
        <v>1.12280701754386</v>
      </c>
      <c r="L1390" s="57" t="n">
        <v>4</v>
      </c>
      <c r="M1390" s="57" t="n">
        <v>20</v>
      </c>
      <c r="N1390" s="60" t="n">
        <v>40</v>
      </c>
      <c r="O1390" s="55" t="s">
        <v>215</v>
      </c>
      <c r="P1390" s="57" t="n">
        <v>17</v>
      </c>
      <c r="Q1390" s="60" t="n">
        <f aca="false">IF(BR1390=1,0,IFERROR(VLOOKUP(BP1390,'Gebinde-Kategorie'!$A$5:$M$45,13,0)+0,0))</f>
        <v>3</v>
      </c>
      <c r="R1390" s="61"/>
      <c r="S1390" s="62"/>
      <c r="T1390" s="62"/>
      <c r="U1390" s="55"/>
      <c r="V1390" s="57"/>
      <c r="W1390" s="57"/>
      <c r="X1390" s="55" t="n">
        <f aca="false">IF(A1390="","",IF(AND(Parameter!$B$21="Ja",ISNUMBER(U1390)),U1390,IF(IFERROR(VLOOKUP(D1390,Parameter!$A$35:$C$64,2,0),"Nein")="2+3",IF(ISNUMBER(SEARCH("grosser Artikel",BM1390)),2,IFERROR(VLOOKUP(BP1390,Parameter!$F$35:$G$64,2,0),2)),IF(OR(IFERROR(VLOOKUP(D1390,Parameter!$A$35:$C$64,2,0),"Nein")="Nein",IFERROR(VLOOKUP(D1390,Parameter!$A$35:$C$64,2,0),"Nein")=""),"-",VLOOKUP(D1390,Parameter!$A$35:$C$64,2,0)))))</f>
        <v>2</v>
      </c>
      <c r="Y1390" s="62"/>
      <c r="Z1390" s="63"/>
      <c r="AA1390" s="57" t="n">
        <f aca="false">AP1390</f>
        <v>34</v>
      </c>
      <c r="AB1390" s="57" t="n">
        <f aca="false">MAX(AP1390,G1390)</f>
        <v>34</v>
      </c>
      <c r="AC1390" s="64"/>
      <c r="AD1390" s="57" t="n">
        <f aca="false">IF(LEFT(Cockpit!$C$5,1)="A",G1390,IF(BW1390=1,BX1390,IF(LEFT(Cockpit!$C$5,1)="B",AH1390,MAX(AH1390,G1390))))</f>
        <v>0</v>
      </c>
      <c r="AE1390" s="57" t="n">
        <f aca="false">IF(BR1390=1,0,ROUNDUP(AD1390/BQ1390,0))</f>
        <v>0</v>
      </c>
      <c r="AF1390" s="59" t="n">
        <f aca="false">IF(CD1390&gt;0,CD1390*MAX(1,AD1390/V1390),IF(BR1390=1,IF(AD1390&lt;=0,0,BS1390*MAX(1,IF(G1390&gt;0,AD1390/G1390,1))),IF(Q1390&gt;0,AE1390/Q1390,0))/MAX(0.1,N(Parameter!$M$21)))</f>
        <v>0</v>
      </c>
      <c r="AG1390" s="57" t="n">
        <f aca="false">AD1390*F1390</f>
        <v>0</v>
      </c>
      <c r="AH1390" s="57" t="n">
        <f aca="false">ROUNDUP(MAX(I1390/IF(BV1390&gt;0,BV1390,MAX(0.1,N(Cockpit!$C$6))),BY1390)/BQ1390,0)*BQ1390</f>
        <v>34</v>
      </c>
      <c r="AI1390" s="58" t="n">
        <f aca="false">IF(AF1390&gt;0,I1390/AF1390,-1)</f>
        <v>-1</v>
      </c>
      <c r="AJ1390" s="58" t="str">
        <f aca="false">IF(AND(OR(BU1390="L1",BU1390="L23"),AF1390&gt;0),SUMIFS($AF$7:$AF$1576,$BU$7:$BU$1576,BU1390,$AI$7:$AI$1576,"&gt;"&amp;AI1390)+SUMIFS($AF$7:$AF$1576,$BU$7:$BU$1576,BU1390,$AI$7:$AI$1576,AI1390,$BO$7:$BO$1576,"&lt;="&amp;BO1390),"")</f>
        <v/>
      </c>
      <c r="AK1390" s="65" t="n">
        <f aca="false">IF(AJ1390="",0,MAX(0,MIN(1,(IF(BU1390="L1",Parameter!$E$5,Parameter!$E$6+Parameter!$E$7)-(AJ1390-AF1390))/AF1390)))</f>
        <v>0</v>
      </c>
      <c r="AL1390" s="57" t="n">
        <f aca="false">IF(LEFT(Cockpit!$I$5,1)="A",G1390,IF(BW1390=1,BX1390,IF(LEFT(Cockpit!$I$5,1)="B",AP1390,MAX(AP1390,G1390))))</f>
        <v>34</v>
      </c>
      <c r="AM1390" s="57" t="n">
        <f aca="false">IF(BR1390=1,0,ROUNDUP(AL1390/BQ1390,0))</f>
        <v>2</v>
      </c>
      <c r="AN1390" s="59" t="n">
        <f aca="false">IF(CD1390&gt;0,CD1390*MAX(1,AL1390/V1390),IF(BR1390=1,IF(AL1390&lt;=0,0,BS1390*MAX(1,IF(G1390&gt;0,AL1390/G1390,1))),IF(Q1390&gt;0,AM1390/Q1390,0))/MAX(0.1,N(Parameter!$M$21)))</f>
        <v>0.666666666666667</v>
      </c>
      <c r="AO1390" s="57" t="n">
        <f aca="false">AL1390*F1390</f>
        <v>5541.32</v>
      </c>
      <c r="AP1390" s="57" t="n">
        <f aca="false">ROUNDUP(MAX(I1390/IF(BV1390&gt;0,BV1390,MAX(0.1,N(Cockpit!$I$6))),BY1390)/BQ1390,0)*BQ1390</f>
        <v>34</v>
      </c>
      <c r="AQ1390" s="58" t="n">
        <f aca="false">IF(AN1390&gt;0,I1390/AN1390,-1)</f>
        <v>48</v>
      </c>
      <c r="AR1390" s="58" t="n">
        <f aca="false">IF(AND(OR(BU1390="L1",BU1390="L23"),AN1390&gt;0),SUMIFS($AN$7:$AN$1576,$BU$7:$BU$1576,BU1390,$AQ$7:$AQ$1576,"&gt;"&amp;AQ1390)+SUMIFS($AN$7:$AN$1576,$BU$7:$BU$1576,BU1390,$AQ$7:$AQ$1576,AQ1390,$BO$7:$BO$1576,"&lt;="&amp;BO1390),"")</f>
        <v>84.8869217681829</v>
      </c>
      <c r="AS1390" s="65" t="n">
        <f aca="false">IF(AR1390="",0,MAX(0,MIN(1,(IF(BU1390="L1",Parameter!$E$5,Parameter!$E$6+Parameter!$E$7)-(AR1390-AN1390))/AN1390)))</f>
        <v>1</v>
      </c>
      <c r="AT1390" s="57" t="n">
        <f aca="false">IF(LEFT(Cockpit!$O$5,1)="A",G1390,IF(BW1390=1,BX1390,IF(LEFT(Cockpit!$O$5,1)="B",AX1390,MAX(AX1390,G1390))))</f>
        <v>34</v>
      </c>
      <c r="AU1390" s="57" t="n">
        <f aca="false">IF(BR1390=1,0,ROUNDUP(AT1390/BQ1390,0))</f>
        <v>2</v>
      </c>
      <c r="AV1390" s="59" t="n">
        <f aca="false">IF(CD1390&gt;0,CD1390*MAX(1,AT1390/V1390),IF(BR1390=1,IF(AT1390&lt;=0,0,BS1390*MAX(1,IF(G1390&gt;0,AT1390/G1390,1))),IF(Q1390&gt;0,AU1390/Q1390,0))/MAX(0.1,N(Parameter!$M$21)))</f>
        <v>0.666666666666667</v>
      </c>
      <c r="AW1390" s="57" t="n">
        <f aca="false">AT1390*F1390</f>
        <v>5541.32</v>
      </c>
      <c r="AX1390" s="57" t="n">
        <f aca="false">ROUNDUP(MAX(I1390/IF(BV1390&gt;0,BV1390,MAX(0.1,N(Cockpit!$O$6))),BY1390)/BQ1390,0)*BQ1390</f>
        <v>34</v>
      </c>
      <c r="AY1390" s="58" t="n">
        <f aca="false">IF(AV1390&gt;0,I1390/AV1390,-1)</f>
        <v>48</v>
      </c>
      <c r="AZ1390" s="58" t="n">
        <f aca="false">IF(AND(OR(BU1390="L1",BU1390="L23"),AV1390&gt;0),SUMIFS($AV$7:$AV$1576,$BU$7:$BU$1576,BU1390,$AY$7:$AY$1576,"&gt;"&amp;AY1390)+SUMIFS($AV$7:$AV$1576,$BU$7:$BU$1576,BU1390,$AY$7:$AY$1576,AY1390,$BO$7:$BO$1576,"&lt;="&amp;BO1390),"")</f>
        <v>80.7798055510667</v>
      </c>
      <c r="BA1390" s="65" t="n">
        <f aca="false">IF(AZ1390="",0,MAX(0,MIN(1,(IF(BU1390="L1",Parameter!$E$5,Parameter!$E$6+Parameter!$E$7)-(AZ1390-AV1390))/AV1390)))</f>
        <v>1</v>
      </c>
      <c r="BB1390" s="55" t="str">
        <f aca="false">IF(AF1390&lt;=0,"",IF(BU1390="Aussen","Aussenlager",IF(BU1390="-","Nicht im Lift",IF(AK1390&gt;=1,"Lift",IF(AK1390&lt;=0,"Aussenlager","teilweise")))))</f>
        <v/>
      </c>
      <c r="BC1390" s="55" t="str">
        <f aca="false">IF(AN1390&lt;=0,"",IF(BU1390="Aussen","Aussenlager",IF(BU1390="-","Nicht im Lift",IF(AS1390&gt;=1,"Lift",IF(AS1390&lt;=0,"Aussenlager","teilweise")))))</f>
        <v>Lift</v>
      </c>
      <c r="BD1390" s="55" t="str">
        <f aca="false">IF(AV1390&lt;=0,"",IF(BU1390="Aussen","Aussenlager",IF(BU1390="-","Nicht im Lift",IF(BA1390&gt;=1,"Lift",IF(BA1390&lt;=0,"Aussenlager","teilweise")))))</f>
        <v>Lift</v>
      </c>
      <c r="BE1390" s="55" t="str">
        <f aca="false">IF(A1390="","",IF(BN1390=1,"Neu; ","")&amp;IF(AND(BN1390=0,BI1390&lt;0),"negativer Bestand (Export "&amp;BI1390&amp;"); ","")&amp;IF(I1390&lt;=0,"Kein Verbrauch; ","")&amp;IF(CD1390&gt;0,"Lift "&amp;U1390&amp;" lt. Liftbericht (Fach "&amp;V1390&amp;" Stk); ",IF(BR1390=1,"Lose – Fläche geschätzt; ",""))&amp;IF(G1390&gt;AP1390,"Überbestand "&amp;ROUND(G1390-AP1390,0)&amp;" Stk / CHF "&amp;ROUND((G1390-AP1390)*F1390,0)&amp;"; ","")&amp;IF(AND(BW1390=1,BX1390&lt;BY1390),"MAX &lt; MB+LG; ","")&amp;IF(AND(CC1390&gt;0,CB1390*10&gt;CC1390),"zu hoch für Tablar; ","")&amp;IF(AND(BN1390=0,OR(BW1390=1,Y1390&lt;&gt;"",S1390&lt;&gt;"",T1390&lt;&gt;"",Z1390&lt;&gt;"")),"manuell übersteuert; ","")&amp;IF(AND(BR1390=0,Q1390=0),"Gebinde unbekannt / Stellmass fehlt; ","")&amp;IF(AND(BR1390=0,N(T1390)&lt;=0,N(P1390)&lt;=0),"Menge pro Gebinde fehlt (Ist = 1 Gebinde); ","")&amp;BM1390)</f>
        <v>negativer Bestand (Export -22); grosser Artikel &amp; nicht im KTL</v>
      </c>
      <c r="BF1390" s="55"/>
      <c r="BG1390" s="55"/>
      <c r="BH1390" s="62"/>
      <c r="BI1390" s="57" t="n">
        <v>-22</v>
      </c>
      <c r="BJ1390" s="57" t="n">
        <v>29</v>
      </c>
      <c r="BK1390" s="56" t="n">
        <v>-3422.29</v>
      </c>
      <c r="BL1390" s="57" t="n">
        <v>32</v>
      </c>
      <c r="BM1390" s="55" t="s">
        <v>253</v>
      </c>
      <c r="BN1390" s="60" t="n">
        <v>0</v>
      </c>
      <c r="BO1390" s="60" t="n">
        <v>1390</v>
      </c>
      <c r="BP1390" s="55" t="str">
        <f aca="false">IF(S1390&lt;&gt;"",UPPER(TRIM(S1390)),IF(O1390="","LOSE",O1390))</f>
        <v>S81</v>
      </c>
      <c r="BQ1390" s="57" t="n">
        <f aca="false">IF(BP1390="LOSE",1,IF(N(T1390)&gt;0,T1390,IF(N(P1390)&gt;0,P1390,MAX(1,G1390))))</f>
        <v>17</v>
      </c>
      <c r="BR1390" s="60" t="n">
        <f aca="false">IF(BP1390="LOSE",1,0)</f>
        <v>0</v>
      </c>
      <c r="BS1390" s="59" t="n">
        <f aca="false">IF(BR1390=0,0,IF(N(R1390)&gt;0,R1390,IFERROR(VLOOKUP(D1390,Parameter!$A$35:$C$64,3,0)+0,0)))</f>
        <v>0</v>
      </c>
      <c r="BT1390" s="55" t="n">
        <f aca="false">IF(Y1390&lt;&gt;"",Y1390,X1390)</f>
        <v>2</v>
      </c>
      <c r="BU1390" s="55" t="str">
        <f aca="false">IF(BT1390=1,"L1",IF(OR(BT1390=2,BT1390=3),"L23",IF(BT1390="Aussen","Aussen","-")))</f>
        <v>L23</v>
      </c>
      <c r="BV1390" s="66" t="n">
        <f aca="false">IF(N(Z1390)&gt;0,Z1390,0)</f>
        <v>0</v>
      </c>
      <c r="BW1390" s="60" t="n">
        <f aca="false">IF(ISNUMBER(AC1390),1,0)</f>
        <v>0</v>
      </c>
      <c r="BX1390" s="57" t="n">
        <f aca="false">N(AC1390)</f>
        <v>0</v>
      </c>
      <c r="BY1390" s="57" t="n">
        <f aca="false">N(L1390)+N(M1390)</f>
        <v>24</v>
      </c>
      <c r="BZ1390" s="57" t="n">
        <f aca="false">ROUNDUP(G1390/BQ1390,0)</f>
        <v>0</v>
      </c>
      <c r="CA1390" s="57" t="n">
        <f aca="false">ROUNDUP(BX1390/BQ1390,0)</f>
        <v>0</v>
      </c>
      <c r="CB1390" s="60" t="n">
        <f aca="false">IF(BR1390=1,0,IFERROR(VLOOKUP(BP1390,'Gebinde-Kategorie'!$A$5:$M$45,5,0)+0,0))</f>
        <v>20</v>
      </c>
      <c r="CC1390" s="60" t="n">
        <f aca="false">IFERROR(IF(OR(BT1390=1,BT1390=2,BT1390=3),N(INDEX(Parameter!$I$5:$I$7,BT1390)),0),0)</f>
        <v>0</v>
      </c>
      <c r="CD1390" s="59" t="n">
        <f aca="false">IF(AND(Parameter!$B$21="Ja",ISNUMBER(U1390),N(V1390)&gt;0),IFERROR(N(INDEX(Parameter!$L$5:$L$7,U1390))*INDEX(Parameter!$E$5:$E$7,U1390)*V1390/SUMIFS($V$7:$V$1576,$U$7:$U$1576,U1390),0),0)</f>
        <v>0</v>
      </c>
    </row>
    <row r="1391" customFormat="false" ht="15" hidden="false" customHeight="false" outlineLevel="0" collapsed="false">
      <c r="A1391" s="55" t="s">
        <v>2430</v>
      </c>
      <c r="B1391" s="55" t="s">
        <v>2431</v>
      </c>
      <c r="C1391" s="55" t="s">
        <v>446</v>
      </c>
      <c r="D1391" s="55" t="s">
        <v>168</v>
      </c>
      <c r="E1391" s="55" t="s">
        <v>210</v>
      </c>
      <c r="F1391" s="56" t="n">
        <v>699.72</v>
      </c>
      <c r="G1391" s="57" t="n">
        <f aca="false">MAX(0,IF(AND(Parameter!$B$21="Ja",ISNUMBER(W1391)),W1391,IF(Parameter!$B$20="Jahresanfang 2025 + Export",BJ1391+BI1391,BI1391)))</f>
        <v>0</v>
      </c>
      <c r="H1391" s="57" t="n">
        <f aca="false">G1391*F1391</f>
        <v>0</v>
      </c>
      <c r="I1391" s="57" t="n">
        <f aca="false">BL1391*Parameter!$B$18</f>
        <v>17</v>
      </c>
      <c r="J1391" s="58" t="n">
        <v>5</v>
      </c>
      <c r="K1391" s="59" t="n">
        <v>3.4</v>
      </c>
      <c r="L1391" s="57" t="n">
        <v>0</v>
      </c>
      <c r="M1391" s="57" t="n">
        <v>5</v>
      </c>
      <c r="N1391" s="60" t="n">
        <v>63</v>
      </c>
      <c r="O1391" s="55" t="s">
        <v>163</v>
      </c>
      <c r="P1391" s="57"/>
      <c r="Q1391" s="60" t="n">
        <f aca="false">IF(BR1391=1,0,IFERROR(VLOOKUP(BP1391,'Gebinde-Kategorie'!$A$5:$M$45,13,0)+0,0))</f>
        <v>0</v>
      </c>
      <c r="R1391" s="61"/>
      <c r="S1391" s="62"/>
      <c r="T1391" s="62"/>
      <c r="U1391" s="55"/>
      <c r="V1391" s="57"/>
      <c r="W1391" s="57"/>
      <c r="X1391" s="55" t="n">
        <f aca="false">IF(A1391="","",IF(AND(Parameter!$B$21="Ja",ISNUMBER(U1391)),U1391,IF(IFERROR(VLOOKUP(D1391,Parameter!$A$35:$C$64,2,0),"Nein")="2+3",IF(ISNUMBER(SEARCH("grosser Artikel",BM1391)),2,IFERROR(VLOOKUP(BP1391,Parameter!$F$35:$G$64,2,0),2)),IF(OR(IFERROR(VLOOKUP(D1391,Parameter!$A$35:$C$64,2,0),"Nein")="Nein",IFERROR(VLOOKUP(D1391,Parameter!$A$35:$C$64,2,0),"Nein")=""),"-",VLOOKUP(D1391,Parameter!$A$35:$C$64,2,0)))))</f>
        <v>2</v>
      </c>
      <c r="Y1391" s="62"/>
      <c r="Z1391" s="63"/>
      <c r="AA1391" s="57" t="n">
        <f aca="false">AP1391</f>
        <v>9</v>
      </c>
      <c r="AB1391" s="57" t="n">
        <f aca="false">MAX(AP1391,G1391)</f>
        <v>9</v>
      </c>
      <c r="AC1391" s="64"/>
      <c r="AD1391" s="57" t="n">
        <f aca="false">IF(LEFT(Cockpit!$C$5,1)="A",G1391,IF(BW1391=1,BX1391,IF(LEFT(Cockpit!$C$5,1)="B",AH1391,MAX(AH1391,G1391))))</f>
        <v>0</v>
      </c>
      <c r="AE1391" s="57" t="n">
        <f aca="false">IF(BR1391=1,0,ROUNDUP(AD1391/BQ1391,0))</f>
        <v>0</v>
      </c>
      <c r="AF1391" s="59" t="n">
        <f aca="false">IF(CD1391&gt;0,CD1391*MAX(1,AD1391/V1391),IF(BR1391=1,IF(AD1391&lt;=0,0,BS1391*MAX(1,IF(G1391&gt;0,AD1391/G1391,1))),IF(Q1391&gt;0,AE1391/Q1391,0))/MAX(0.1,N(Parameter!$M$21)))</f>
        <v>0</v>
      </c>
      <c r="AG1391" s="57" t="n">
        <f aca="false">AD1391*F1391</f>
        <v>0</v>
      </c>
      <c r="AH1391" s="57" t="n">
        <f aca="false">ROUNDUP(MAX(I1391/IF(BV1391&gt;0,BV1391,MAX(0.1,N(Cockpit!$C$6))),BY1391)/BQ1391,0)*BQ1391</f>
        <v>9</v>
      </c>
      <c r="AI1391" s="58" t="n">
        <f aca="false">IF(AF1391&gt;0,I1391/AF1391,-1)</f>
        <v>-1</v>
      </c>
      <c r="AJ1391" s="58" t="str">
        <f aca="false">IF(AND(OR(BU1391="L1",BU1391="L23"),AF1391&gt;0),SUMIFS($AF$7:$AF$1576,$BU$7:$BU$1576,BU1391,$AI$7:$AI$1576,"&gt;"&amp;AI1391)+SUMIFS($AF$7:$AF$1576,$BU$7:$BU$1576,BU1391,$AI$7:$AI$1576,AI1391,$BO$7:$BO$1576,"&lt;="&amp;BO1391),"")</f>
        <v/>
      </c>
      <c r="AK1391" s="65" t="n">
        <f aca="false">IF(AJ1391="",0,MAX(0,MIN(1,(IF(BU1391="L1",Parameter!$E$5,Parameter!$E$6+Parameter!$E$7)-(AJ1391-AF1391))/AF1391)))</f>
        <v>0</v>
      </c>
      <c r="AL1391" s="57" t="n">
        <f aca="false">IF(LEFT(Cockpit!$I$5,1)="A",G1391,IF(BW1391=1,BX1391,IF(LEFT(Cockpit!$I$5,1)="B",AP1391,MAX(AP1391,G1391))))</f>
        <v>9</v>
      </c>
      <c r="AM1391" s="57" t="n">
        <f aca="false">IF(BR1391=1,0,ROUNDUP(AL1391/BQ1391,0))</f>
        <v>0</v>
      </c>
      <c r="AN1391" s="59" t="n">
        <f aca="false">IF(CD1391&gt;0,CD1391*MAX(1,AL1391/V1391),IF(BR1391=1,IF(AL1391&lt;=0,0,BS1391*MAX(1,IF(G1391&gt;0,AL1391/G1391,1))),IF(Q1391&gt;0,AM1391/Q1391,0))/MAX(0.1,N(Parameter!$M$21)))</f>
        <v>0.15</v>
      </c>
      <c r="AO1391" s="57" t="n">
        <f aca="false">AL1391*F1391</f>
        <v>6297.48</v>
      </c>
      <c r="AP1391" s="57" t="n">
        <f aca="false">ROUNDUP(MAX(I1391/IF(BV1391&gt;0,BV1391,MAX(0.1,N(Cockpit!$I$6))),BY1391)/BQ1391,0)*BQ1391</f>
        <v>9</v>
      </c>
      <c r="AQ1391" s="58" t="n">
        <f aca="false">IF(AN1391&gt;0,I1391/AN1391,-1)</f>
        <v>113.333333333333</v>
      </c>
      <c r="AR1391" s="58" t="n">
        <f aca="false">IF(AND(OR(BU1391="L1",BU1391="L23"),AN1391&gt;0),SUMIFS($AN$7:$AN$1576,$BU$7:$BU$1576,BU1391,$AQ$7:$AQ$1576,"&gt;"&amp;AQ1391)+SUMIFS($AN$7:$AN$1576,$BU$7:$BU$1576,BU1391,$AQ$7:$AQ$1576,AQ1391,$BO$7:$BO$1576,"&lt;="&amp;BO1391),"")</f>
        <v>66.5936690486802</v>
      </c>
      <c r="AS1391" s="65" t="n">
        <f aca="false">IF(AR1391="",0,MAX(0,MIN(1,(IF(BU1391="L1",Parameter!$E$5,Parameter!$E$6+Parameter!$E$7)-(AR1391-AN1391))/AN1391)))</f>
        <v>1</v>
      </c>
      <c r="AT1391" s="57" t="n">
        <f aca="false">IF(LEFT(Cockpit!$O$5,1)="A",G1391,IF(BW1391=1,BX1391,IF(LEFT(Cockpit!$O$5,1)="B",AX1391,MAX(AX1391,G1391))))</f>
        <v>6</v>
      </c>
      <c r="AU1391" s="57" t="n">
        <f aca="false">IF(BR1391=1,0,ROUNDUP(AT1391/BQ1391,0))</f>
        <v>0</v>
      </c>
      <c r="AV1391" s="59" t="n">
        <f aca="false">IF(CD1391&gt;0,CD1391*MAX(1,AT1391/V1391),IF(BR1391=1,IF(AT1391&lt;=0,0,BS1391*MAX(1,IF(G1391&gt;0,AT1391/G1391,1))),IF(Q1391&gt;0,AU1391/Q1391,0))/MAX(0.1,N(Parameter!$M$21)))</f>
        <v>0.15</v>
      </c>
      <c r="AW1391" s="57" t="n">
        <f aca="false">AT1391*F1391</f>
        <v>4198.32</v>
      </c>
      <c r="AX1391" s="57" t="n">
        <f aca="false">ROUNDUP(MAX(I1391/IF(BV1391&gt;0,BV1391,MAX(0.1,N(Cockpit!$O$6))),BY1391)/BQ1391,0)*BQ1391</f>
        <v>6</v>
      </c>
      <c r="AY1391" s="58" t="n">
        <f aca="false">IF(AV1391&gt;0,I1391/AV1391,-1)</f>
        <v>113.333333333333</v>
      </c>
      <c r="AZ1391" s="58" t="n">
        <f aca="false">IF(AND(OR(BU1391="L1",BU1391="L23"),AV1391&gt;0),SUMIFS($AV$7:$AV$1576,$BU$7:$BU$1576,BU1391,$AY$7:$AY$1576,"&gt;"&amp;AY1391)+SUMIFS($AV$7:$AV$1576,$BU$7:$BU$1576,BU1391,$AY$7:$AY$1576,AY1391,$BO$7:$BO$1576,"&lt;="&amp;BO1391),"")</f>
        <v>61.922802831564</v>
      </c>
      <c r="BA1391" s="65" t="n">
        <f aca="false">IF(AZ1391="",0,MAX(0,MIN(1,(IF(BU1391="L1",Parameter!$E$5,Parameter!$E$6+Parameter!$E$7)-(AZ1391-AV1391))/AV1391)))</f>
        <v>1</v>
      </c>
      <c r="BB1391" s="55" t="str">
        <f aca="false">IF(AF1391&lt;=0,"",IF(BU1391="Aussen","Aussenlager",IF(BU1391="-","Nicht im Lift",IF(AK1391&gt;=1,"Lift",IF(AK1391&lt;=0,"Aussenlager","teilweise")))))</f>
        <v/>
      </c>
      <c r="BC1391" s="55" t="str">
        <f aca="false">IF(AN1391&lt;=0,"",IF(BU1391="Aussen","Aussenlager",IF(BU1391="-","Nicht im Lift",IF(AS1391&gt;=1,"Lift",IF(AS1391&lt;=0,"Aussenlager","teilweise")))))</f>
        <v>Lift</v>
      </c>
      <c r="BD1391" s="55" t="str">
        <f aca="false">IF(AV1391&lt;=0,"",IF(BU1391="Aussen","Aussenlager",IF(BU1391="-","Nicht im Lift",IF(BA1391&gt;=1,"Lift",IF(BA1391&lt;=0,"Aussenlager","teilweise")))))</f>
        <v>Lift</v>
      </c>
      <c r="BE1391" s="55" t="str">
        <f aca="false">IF(A1391="","",IF(BN1391=1,"Neu; ","")&amp;IF(AND(BN1391=0,BI1391&lt;0),"negativer Bestand (Export "&amp;BI1391&amp;"); ","")&amp;IF(I1391&lt;=0,"Kein Verbrauch; ","")&amp;IF(CD1391&gt;0,"Lift "&amp;U1391&amp;" lt. Liftbericht (Fach "&amp;V1391&amp;" Stk); ",IF(BR1391=1,"Lose – Fläche geschätzt; ",""))&amp;IF(G1391&gt;AP1391,"Überbestand "&amp;ROUND(G1391-AP1391,0)&amp;" Stk / CHF "&amp;ROUND((G1391-AP1391)*F1391,0)&amp;"; ","")&amp;IF(AND(BW1391=1,BX1391&lt;BY1391),"MAX &lt; MB+LG; ","")&amp;IF(AND(CC1391&gt;0,CB1391*10&gt;CC1391),"zu hoch für Tablar; ","")&amp;IF(AND(BN1391=0,OR(BW1391=1,Y1391&lt;&gt;"",S1391&lt;&gt;"",T1391&lt;&gt;"",Z1391&lt;&gt;"")),"manuell übersteuert; ","")&amp;IF(AND(BR1391=0,Q1391=0),"Gebinde unbekannt / Stellmass fehlt; ","")&amp;IF(AND(BR1391=0,N(T1391)&lt;=0,N(P1391)&lt;=0),"Menge pro Gebinde fehlt (Ist = 1 Gebinde); ","")&amp;BM1391)</f>
        <v>negativer Bestand (Export -5); Lose – Fläche geschätzt; </v>
      </c>
      <c r="BF1391" s="55"/>
      <c r="BG1391" s="55"/>
      <c r="BH1391" s="62"/>
      <c r="BI1391" s="57" t="n">
        <v>-5</v>
      </c>
      <c r="BJ1391" s="57" t="n">
        <v>5</v>
      </c>
      <c r="BK1391" s="56" t="n">
        <v>-3532</v>
      </c>
      <c r="BL1391" s="57" t="n">
        <v>17</v>
      </c>
      <c r="BM1391" s="55"/>
      <c r="BN1391" s="60" t="n">
        <v>0</v>
      </c>
      <c r="BO1391" s="60" t="n">
        <v>1391</v>
      </c>
      <c r="BP1391" s="55" t="str">
        <f aca="false">IF(S1391&lt;&gt;"",UPPER(TRIM(S1391)),IF(O1391="","LOSE",O1391))</f>
        <v>LOSE</v>
      </c>
      <c r="BQ1391" s="57" t="n">
        <f aca="false">IF(BP1391="LOSE",1,IF(N(T1391)&gt;0,T1391,IF(N(P1391)&gt;0,P1391,MAX(1,G1391))))</f>
        <v>1</v>
      </c>
      <c r="BR1391" s="60" t="n">
        <f aca="false">IF(BP1391="LOSE",1,0)</f>
        <v>1</v>
      </c>
      <c r="BS1391" s="59" t="n">
        <f aca="false">IF(BR1391=0,0,IF(N(R1391)&gt;0,R1391,IFERROR(VLOOKUP(D1391,Parameter!$A$35:$C$64,3,0)+0,0)))</f>
        <v>0.15</v>
      </c>
      <c r="BT1391" s="55" t="n">
        <f aca="false">IF(Y1391&lt;&gt;"",Y1391,X1391)</f>
        <v>2</v>
      </c>
      <c r="BU1391" s="55" t="str">
        <f aca="false">IF(BT1391=1,"L1",IF(OR(BT1391=2,BT1391=3),"L23",IF(BT1391="Aussen","Aussen","-")))</f>
        <v>L23</v>
      </c>
      <c r="BV1391" s="66" t="n">
        <f aca="false">IF(N(Z1391)&gt;0,Z1391,0)</f>
        <v>0</v>
      </c>
      <c r="BW1391" s="60" t="n">
        <f aca="false">IF(ISNUMBER(AC1391),1,0)</f>
        <v>0</v>
      </c>
      <c r="BX1391" s="57" t="n">
        <f aca="false">N(AC1391)</f>
        <v>0</v>
      </c>
      <c r="BY1391" s="57" t="n">
        <f aca="false">N(L1391)+N(M1391)</f>
        <v>5</v>
      </c>
      <c r="BZ1391" s="57" t="n">
        <f aca="false">ROUNDUP(G1391/BQ1391,0)</f>
        <v>0</v>
      </c>
      <c r="CA1391" s="57" t="n">
        <f aca="false">ROUNDUP(BX1391/BQ1391,0)</f>
        <v>0</v>
      </c>
      <c r="CB1391" s="60" t="n">
        <f aca="false">IF(BR1391=1,0,IFERROR(VLOOKUP(BP1391,'Gebinde-Kategorie'!$A$5:$M$45,5,0)+0,0))</f>
        <v>0</v>
      </c>
      <c r="CC1391" s="60" t="n">
        <f aca="false">IFERROR(IF(OR(BT1391=1,BT1391=2,BT1391=3),N(INDEX(Parameter!$I$5:$I$7,BT1391)),0),0)</f>
        <v>0</v>
      </c>
      <c r="CD1391" s="59" t="n">
        <f aca="false">IF(AND(Parameter!$B$21="Ja",ISNUMBER(U1391),N(V1391)&gt;0),IFERROR(N(INDEX(Parameter!$L$5:$L$7,U1391))*INDEX(Parameter!$E$5:$E$7,U1391)*V1391/SUMIFS($V$7:$V$1576,$U$7:$U$1576,U1391),0),0)</f>
        <v>0</v>
      </c>
    </row>
    <row r="1392" customFormat="false" ht="15" hidden="false" customHeight="false" outlineLevel="0" collapsed="false">
      <c r="A1392" s="55" t="s">
        <v>2432</v>
      </c>
      <c r="B1392" s="55" t="s">
        <v>1992</v>
      </c>
      <c r="C1392" s="55" t="s">
        <v>160</v>
      </c>
      <c r="D1392" s="55" t="s">
        <v>178</v>
      </c>
      <c r="E1392" s="55" t="s">
        <v>210</v>
      </c>
      <c r="F1392" s="56" t="n">
        <v>101.57</v>
      </c>
      <c r="G1392" s="57" t="n">
        <f aca="false">MAX(0,IF(AND(Parameter!$B$21="Ja",ISNUMBER(W1392)),W1392,IF(Parameter!$B$20="Jahresanfang 2025 + Export",BJ1392+BI1392,BI1392)))</f>
        <v>0</v>
      </c>
      <c r="H1392" s="57" t="n">
        <f aca="false">G1392*F1392</f>
        <v>0</v>
      </c>
      <c r="I1392" s="57" t="n">
        <f aca="false">BL1392*Parameter!$B$18</f>
        <v>2</v>
      </c>
      <c r="J1392" s="58" t="n">
        <v>54</v>
      </c>
      <c r="K1392" s="59" t="n">
        <v>0.037037037037037</v>
      </c>
      <c r="L1392" s="57" t="n">
        <v>0</v>
      </c>
      <c r="M1392" s="57" t="n">
        <v>1</v>
      </c>
      <c r="N1392" s="60" t="n">
        <v>63</v>
      </c>
      <c r="O1392" s="55" t="s">
        <v>225</v>
      </c>
      <c r="P1392" s="57" t="n">
        <v>40</v>
      </c>
      <c r="Q1392" s="60" t="n">
        <f aca="false">IF(BR1392=1,0,IFERROR(VLOOKUP(BP1392,'Gebinde-Kategorie'!$A$5:$M$45,13,0)+0,0))</f>
        <v>26</v>
      </c>
      <c r="R1392" s="61"/>
      <c r="S1392" s="62"/>
      <c r="T1392" s="62"/>
      <c r="U1392" s="55"/>
      <c r="V1392" s="57"/>
      <c r="W1392" s="57"/>
      <c r="X1392" s="55" t="n">
        <f aca="false">IF(A1392="","",IF(AND(Parameter!$B$21="Ja",ISNUMBER(U1392)),U1392,IF(IFERROR(VLOOKUP(D1392,Parameter!$A$35:$C$64,2,0),"Nein")="2+3",IF(ISNUMBER(SEARCH("grosser Artikel",BM1392)),2,IFERROR(VLOOKUP(BP1392,Parameter!$F$35:$G$64,2,0),2)),IF(OR(IFERROR(VLOOKUP(D1392,Parameter!$A$35:$C$64,2,0),"Nein")="Nein",IFERROR(VLOOKUP(D1392,Parameter!$A$35:$C$64,2,0),"Nein")=""),"-",VLOOKUP(D1392,Parameter!$A$35:$C$64,2,0)))))</f>
        <v>3</v>
      </c>
      <c r="Y1392" s="62"/>
      <c r="Z1392" s="63"/>
      <c r="AA1392" s="57" t="n">
        <f aca="false">AP1392</f>
        <v>40</v>
      </c>
      <c r="AB1392" s="57" t="n">
        <f aca="false">MAX(AP1392,G1392)</f>
        <v>40</v>
      </c>
      <c r="AC1392" s="64"/>
      <c r="AD1392" s="57" t="n">
        <f aca="false">IF(LEFT(Cockpit!$C$5,1)="A",G1392,IF(BW1392=1,BX1392,IF(LEFT(Cockpit!$C$5,1)="B",AH1392,MAX(AH1392,G1392))))</f>
        <v>0</v>
      </c>
      <c r="AE1392" s="57" t="n">
        <f aca="false">IF(BR1392=1,0,ROUNDUP(AD1392/BQ1392,0))</f>
        <v>0</v>
      </c>
      <c r="AF1392" s="59" t="n">
        <f aca="false">IF(CD1392&gt;0,CD1392*MAX(1,AD1392/V1392),IF(BR1392=1,IF(AD1392&lt;=0,0,BS1392*MAX(1,IF(G1392&gt;0,AD1392/G1392,1))),IF(Q1392&gt;0,AE1392/Q1392,0))/MAX(0.1,N(Parameter!$M$21)))</f>
        <v>0</v>
      </c>
      <c r="AG1392" s="57" t="n">
        <f aca="false">AD1392*F1392</f>
        <v>0</v>
      </c>
      <c r="AH1392" s="57" t="n">
        <f aca="false">ROUNDUP(MAX(I1392/IF(BV1392&gt;0,BV1392,MAX(0.1,N(Cockpit!$C$6))),BY1392)/BQ1392,0)*BQ1392</f>
        <v>40</v>
      </c>
      <c r="AI1392" s="58" t="n">
        <f aca="false">IF(AF1392&gt;0,I1392/AF1392,-1)</f>
        <v>-1</v>
      </c>
      <c r="AJ1392" s="58" t="str">
        <f aca="false">IF(AND(OR(BU1392="L1",BU1392="L23"),AF1392&gt;0),SUMIFS($AF$7:$AF$1576,$BU$7:$BU$1576,BU1392,$AI$7:$AI$1576,"&gt;"&amp;AI1392)+SUMIFS($AF$7:$AF$1576,$BU$7:$BU$1576,BU1392,$AI$7:$AI$1576,AI1392,$BO$7:$BO$1576,"&lt;="&amp;BO1392),"")</f>
        <v/>
      </c>
      <c r="AK1392" s="65" t="n">
        <f aca="false">IF(AJ1392="",0,MAX(0,MIN(1,(IF(BU1392="L1",Parameter!$E$5,Parameter!$E$6+Parameter!$E$7)-(AJ1392-AF1392))/AF1392)))</f>
        <v>0</v>
      </c>
      <c r="AL1392" s="57" t="n">
        <f aca="false">IF(LEFT(Cockpit!$I$5,1)="A",G1392,IF(BW1392=1,BX1392,IF(LEFT(Cockpit!$I$5,1)="B",AP1392,MAX(AP1392,G1392))))</f>
        <v>40</v>
      </c>
      <c r="AM1392" s="57" t="n">
        <f aca="false">IF(BR1392=1,0,ROUNDUP(AL1392/BQ1392,0))</f>
        <v>1</v>
      </c>
      <c r="AN1392" s="59" t="n">
        <f aca="false">IF(CD1392&gt;0,CD1392*MAX(1,AL1392/V1392),IF(BR1392=1,IF(AL1392&lt;=0,0,BS1392*MAX(1,IF(G1392&gt;0,AL1392/G1392,1))),IF(Q1392&gt;0,AM1392/Q1392,0))/MAX(0.1,N(Parameter!$M$21)))</f>
        <v>0.0384615384615385</v>
      </c>
      <c r="AO1392" s="57" t="n">
        <f aca="false">AL1392*F1392</f>
        <v>4062.8</v>
      </c>
      <c r="AP1392" s="57" t="n">
        <f aca="false">ROUNDUP(MAX(I1392/IF(BV1392&gt;0,BV1392,MAX(0.1,N(Cockpit!$I$6))),BY1392)/BQ1392,0)*BQ1392</f>
        <v>40</v>
      </c>
      <c r="AQ1392" s="58" t="n">
        <f aca="false">IF(AN1392&gt;0,I1392/AN1392,-1)</f>
        <v>52</v>
      </c>
      <c r="AR1392" s="58" t="n">
        <f aca="false">IF(AND(OR(BU1392="L1",BU1392="L23"),AN1392&gt;0),SUMIFS($AN$7:$AN$1576,$BU$7:$BU$1576,BU1392,$AQ$7:$AQ$1576,"&gt;"&amp;AQ1392)+SUMIFS($AN$7:$AN$1576,$BU$7:$BU$1576,BU1392,$AQ$7:$AQ$1576,AQ1392,$BO$7:$BO$1576,"&lt;="&amp;BO1392),"")</f>
        <v>82.4067935630547</v>
      </c>
      <c r="AS1392" s="65" t="n">
        <f aca="false">IF(AR1392="",0,MAX(0,MIN(1,(IF(BU1392="L1",Parameter!$E$5,Parameter!$E$6+Parameter!$E$7)-(AR1392-AN1392))/AN1392)))</f>
        <v>1</v>
      </c>
      <c r="AT1392" s="57" t="n">
        <f aca="false">IF(LEFT(Cockpit!$O$5,1)="A",G1392,IF(BW1392=1,BX1392,IF(LEFT(Cockpit!$O$5,1)="B",AX1392,MAX(AX1392,G1392))))</f>
        <v>40</v>
      </c>
      <c r="AU1392" s="57" t="n">
        <f aca="false">IF(BR1392=1,0,ROUNDUP(AT1392/BQ1392,0))</f>
        <v>1</v>
      </c>
      <c r="AV1392" s="59" t="n">
        <f aca="false">IF(CD1392&gt;0,CD1392*MAX(1,AT1392/V1392),IF(BR1392=1,IF(AT1392&lt;=0,0,BS1392*MAX(1,IF(G1392&gt;0,AT1392/G1392,1))),IF(Q1392&gt;0,AU1392/Q1392,0))/MAX(0.1,N(Parameter!$M$21)))</f>
        <v>0.0384615384615385</v>
      </c>
      <c r="AW1392" s="57" t="n">
        <f aca="false">AT1392*F1392</f>
        <v>4062.8</v>
      </c>
      <c r="AX1392" s="57" t="n">
        <f aca="false">ROUNDUP(MAX(I1392/IF(BV1392&gt;0,BV1392,MAX(0.1,N(Cockpit!$O$6))),BY1392)/BQ1392,0)*BQ1392</f>
        <v>40</v>
      </c>
      <c r="AY1392" s="58" t="n">
        <f aca="false">IF(AV1392&gt;0,I1392/AV1392,-1)</f>
        <v>52</v>
      </c>
      <c r="AZ1392" s="58" t="n">
        <f aca="false">IF(AND(OR(BU1392="L1",BU1392="L23"),AV1392&gt;0),SUMIFS($AV$7:$AV$1576,$BU$7:$BU$1576,BU1392,$AY$7:$AY$1576,"&gt;"&amp;AY1392)+SUMIFS($AV$7:$AV$1576,$BU$7:$BU$1576,BU1392,$AY$7:$AY$1576,AY1392,$BO$7:$BO$1576,"&lt;="&amp;BO1392),"")</f>
        <v>78.8246773459385</v>
      </c>
      <c r="BA1392" s="65" t="n">
        <f aca="false">IF(AZ1392="",0,MAX(0,MIN(1,(IF(BU1392="L1",Parameter!$E$5,Parameter!$E$6+Parameter!$E$7)-(AZ1392-AV1392))/AV1392)))</f>
        <v>1</v>
      </c>
      <c r="BB1392" s="55" t="str">
        <f aca="false">IF(AF1392&lt;=0,"",IF(BU1392="Aussen","Aussenlager",IF(BU1392="-","Nicht im Lift",IF(AK1392&gt;=1,"Lift",IF(AK1392&lt;=0,"Aussenlager","teilweise")))))</f>
        <v/>
      </c>
      <c r="BC1392" s="55" t="str">
        <f aca="false">IF(AN1392&lt;=0,"",IF(BU1392="Aussen","Aussenlager",IF(BU1392="-","Nicht im Lift",IF(AS1392&gt;=1,"Lift",IF(AS1392&lt;=0,"Aussenlager","teilweise")))))</f>
        <v>Lift</v>
      </c>
      <c r="BD1392" s="55" t="str">
        <f aca="false">IF(AV1392&lt;=0,"",IF(BU1392="Aussen","Aussenlager",IF(BU1392="-","Nicht im Lift",IF(BA1392&gt;=1,"Lift",IF(BA1392&lt;=0,"Aussenlager","teilweise")))))</f>
        <v>Lift</v>
      </c>
      <c r="BE1392" s="55" t="str">
        <f aca="false">IF(A1392="","",IF(BN1392=1,"Neu; ","")&amp;IF(AND(BN1392=0,BI1392&lt;0),"negativer Bestand (Export "&amp;BI1392&amp;"); ","")&amp;IF(I1392&lt;=0,"Kein Verbrauch; ","")&amp;IF(CD1392&gt;0,"Lift "&amp;U1392&amp;" lt. Liftbericht (Fach "&amp;V1392&amp;" Stk); ",IF(BR1392=1,"Lose – Fläche geschätzt; ",""))&amp;IF(G1392&gt;AP1392,"Überbestand "&amp;ROUND(G1392-AP1392,0)&amp;" Stk / CHF "&amp;ROUND((G1392-AP1392)*F1392,0)&amp;"; ","")&amp;IF(AND(BW1392=1,BX1392&lt;BY1392),"MAX &lt; MB+LG; ","")&amp;IF(AND(CC1392&gt;0,CB1392*10&gt;CC1392),"zu hoch für Tablar; ","")&amp;IF(AND(BN1392=0,OR(BW1392=1,Y1392&lt;&gt;"",S1392&lt;&gt;"",T1392&lt;&gt;"",Z1392&lt;&gt;"")),"manuell übersteuert; ","")&amp;IF(AND(BR1392=0,Q1392=0),"Gebinde unbekannt / Stellmass fehlt; ","")&amp;IF(AND(BR1392=0,N(T1392)&lt;=0,N(P1392)&lt;=0),"Menge pro Gebinde fehlt (Ist = 1 Gebinde); ","")&amp;BM1392)</f>
        <v>negativer Bestand (Export -35); i.o</v>
      </c>
      <c r="BF1392" s="55"/>
      <c r="BG1392" s="55"/>
      <c r="BH1392" s="62"/>
      <c r="BI1392" s="57" t="n">
        <v>-35</v>
      </c>
      <c r="BJ1392" s="57" t="n">
        <v>51</v>
      </c>
      <c r="BK1392" s="56" t="n">
        <v>-3554.95</v>
      </c>
      <c r="BL1392" s="57" t="n">
        <v>2</v>
      </c>
      <c r="BM1392" s="55" t="s">
        <v>525</v>
      </c>
      <c r="BN1392" s="60" t="n">
        <v>0</v>
      </c>
      <c r="BO1392" s="60" t="n">
        <v>1392</v>
      </c>
      <c r="BP1392" s="55" t="str">
        <f aca="false">IF(S1392&lt;&gt;"",UPPER(TRIM(S1392)),IF(O1392="","LOSE",O1392))</f>
        <v>S52</v>
      </c>
      <c r="BQ1392" s="57" t="n">
        <f aca="false">IF(BP1392="LOSE",1,IF(N(T1392)&gt;0,T1392,IF(N(P1392)&gt;0,P1392,MAX(1,G1392))))</f>
        <v>40</v>
      </c>
      <c r="BR1392" s="60" t="n">
        <f aca="false">IF(BP1392="LOSE",1,0)</f>
        <v>0</v>
      </c>
      <c r="BS1392" s="59" t="n">
        <f aca="false">IF(BR1392=0,0,IF(N(R1392)&gt;0,R1392,IFERROR(VLOOKUP(D1392,Parameter!$A$35:$C$64,3,0)+0,0)))</f>
        <v>0</v>
      </c>
      <c r="BT1392" s="55" t="n">
        <f aca="false">IF(Y1392&lt;&gt;"",Y1392,X1392)</f>
        <v>3</v>
      </c>
      <c r="BU1392" s="55" t="str">
        <f aca="false">IF(BT1392=1,"L1",IF(OR(BT1392=2,BT1392=3),"L23",IF(BT1392="Aussen","Aussen","-")))</f>
        <v>L23</v>
      </c>
      <c r="BV1392" s="66" t="n">
        <f aca="false">IF(N(Z1392)&gt;0,Z1392,0)</f>
        <v>0</v>
      </c>
      <c r="BW1392" s="60" t="n">
        <f aca="false">IF(ISNUMBER(AC1392),1,0)</f>
        <v>0</v>
      </c>
      <c r="BX1392" s="57" t="n">
        <f aca="false">N(AC1392)</f>
        <v>0</v>
      </c>
      <c r="BY1392" s="57" t="n">
        <f aca="false">N(L1392)+N(M1392)</f>
        <v>1</v>
      </c>
      <c r="BZ1392" s="57" t="n">
        <f aca="false">ROUNDUP(G1392/BQ1392,0)</f>
        <v>0</v>
      </c>
      <c r="CA1392" s="57" t="n">
        <f aca="false">ROUNDUP(BX1392/BQ1392,0)</f>
        <v>0</v>
      </c>
      <c r="CB1392" s="60" t="n">
        <f aca="false">IF(BR1392=1,0,IFERROR(VLOOKUP(BP1392,'Gebinde-Kategorie'!$A$5:$M$45,5,0)+0,0))</f>
        <v>21</v>
      </c>
      <c r="CC1392" s="60" t="n">
        <f aca="false">IFERROR(IF(OR(BT1392=1,BT1392=2,BT1392=3),N(INDEX(Parameter!$I$5:$I$7,BT1392)),0),0)</f>
        <v>0</v>
      </c>
      <c r="CD1392" s="59" t="n">
        <f aca="false">IF(AND(Parameter!$B$21="Ja",ISNUMBER(U1392),N(V1392)&gt;0),IFERROR(N(INDEX(Parameter!$L$5:$L$7,U1392))*INDEX(Parameter!$E$5:$E$7,U1392)*V1392/SUMIFS($V$7:$V$1576,$U$7:$U$1576,U1392),0),0)</f>
        <v>0</v>
      </c>
    </row>
    <row r="1393" customFormat="false" ht="15" hidden="false" customHeight="false" outlineLevel="0" collapsed="false">
      <c r="A1393" s="55" t="s">
        <v>2433</v>
      </c>
      <c r="B1393" s="55" t="s">
        <v>2434</v>
      </c>
      <c r="C1393" s="55" t="s">
        <v>446</v>
      </c>
      <c r="D1393" s="55" t="s">
        <v>178</v>
      </c>
      <c r="E1393" s="55" t="s">
        <v>210</v>
      </c>
      <c r="F1393" s="56" t="n">
        <v>1.7</v>
      </c>
      <c r="G1393" s="57" t="n">
        <f aca="false">MAX(0,IF(AND(Parameter!$B$21="Ja",ISNUMBER(W1393)),W1393,IF(Parameter!$B$20="Jahresanfang 2025 + Export",BJ1393+BI1393,BI1393)))</f>
        <v>0</v>
      </c>
      <c r="H1393" s="57" t="n">
        <f aca="false">G1393*F1393</f>
        <v>0</v>
      </c>
      <c r="I1393" s="57" t="n">
        <f aca="false">BL1393*Parameter!$B$18</f>
        <v>2096</v>
      </c>
      <c r="J1393" s="58" t="n">
        <v>2096</v>
      </c>
      <c r="K1393" s="59" t="n">
        <v>1</v>
      </c>
      <c r="L1393" s="57" t="n">
        <v>244</v>
      </c>
      <c r="M1393" s="57" t="n">
        <v>2095</v>
      </c>
      <c r="N1393" s="60" t="n">
        <v>42</v>
      </c>
      <c r="O1393" s="55" t="s">
        <v>163</v>
      </c>
      <c r="P1393" s="57"/>
      <c r="Q1393" s="60" t="n">
        <f aca="false">IF(BR1393=1,0,IFERROR(VLOOKUP(BP1393,'Gebinde-Kategorie'!$A$5:$M$45,13,0)+0,0))</f>
        <v>0</v>
      </c>
      <c r="R1393" s="61"/>
      <c r="S1393" s="62"/>
      <c r="T1393" s="62"/>
      <c r="U1393" s="55"/>
      <c r="V1393" s="57"/>
      <c r="W1393" s="57"/>
      <c r="X1393" s="55" t="n">
        <f aca="false">IF(A1393="","",IF(AND(Parameter!$B$21="Ja",ISNUMBER(U1393)),U1393,IF(IFERROR(VLOOKUP(D1393,Parameter!$A$35:$C$64,2,0),"Nein")="2+3",IF(ISNUMBER(SEARCH("grosser Artikel",BM1393)),2,IFERROR(VLOOKUP(BP1393,Parameter!$F$35:$G$64,2,0),2)),IF(OR(IFERROR(VLOOKUP(D1393,Parameter!$A$35:$C$64,2,0),"Nein")="Nein",IFERROR(VLOOKUP(D1393,Parameter!$A$35:$C$64,2,0),"Nein")=""),"-",VLOOKUP(D1393,Parameter!$A$35:$C$64,2,0)))))</f>
        <v>2</v>
      </c>
      <c r="Y1393" s="62"/>
      <c r="Z1393" s="63"/>
      <c r="AA1393" s="57" t="n">
        <f aca="false">AP1393</f>
        <v>2339</v>
      </c>
      <c r="AB1393" s="57" t="n">
        <f aca="false">MAX(AP1393,G1393)</f>
        <v>2339</v>
      </c>
      <c r="AC1393" s="64"/>
      <c r="AD1393" s="57" t="n">
        <f aca="false">IF(LEFT(Cockpit!$C$5,1)="A",G1393,IF(BW1393=1,BX1393,IF(LEFT(Cockpit!$C$5,1)="B",AH1393,MAX(AH1393,G1393))))</f>
        <v>0</v>
      </c>
      <c r="AE1393" s="57" t="n">
        <f aca="false">IF(BR1393=1,0,ROUNDUP(AD1393/BQ1393,0))</f>
        <v>0</v>
      </c>
      <c r="AF1393" s="59" t="n">
        <f aca="false">IF(CD1393&gt;0,CD1393*MAX(1,AD1393/V1393),IF(BR1393=1,IF(AD1393&lt;=0,0,BS1393*MAX(1,IF(G1393&gt;0,AD1393/G1393,1))),IF(Q1393&gt;0,AE1393/Q1393,0))/MAX(0.1,N(Parameter!$M$21)))</f>
        <v>0</v>
      </c>
      <c r="AG1393" s="57" t="n">
        <f aca="false">AD1393*F1393</f>
        <v>0</v>
      </c>
      <c r="AH1393" s="57" t="n">
        <f aca="false">ROUNDUP(MAX(I1393/IF(BV1393&gt;0,BV1393,MAX(0.1,N(Cockpit!$C$6))),BY1393)/BQ1393,0)*BQ1393</f>
        <v>2339</v>
      </c>
      <c r="AI1393" s="58" t="n">
        <f aca="false">IF(AF1393&gt;0,I1393/AF1393,-1)</f>
        <v>-1</v>
      </c>
      <c r="AJ1393" s="58" t="str">
        <f aca="false">IF(AND(OR(BU1393="L1",BU1393="L23"),AF1393&gt;0),SUMIFS($AF$7:$AF$1576,$BU$7:$BU$1576,BU1393,$AI$7:$AI$1576,"&gt;"&amp;AI1393)+SUMIFS($AF$7:$AF$1576,$BU$7:$BU$1576,BU1393,$AI$7:$AI$1576,AI1393,$BO$7:$BO$1576,"&lt;="&amp;BO1393),"")</f>
        <v/>
      </c>
      <c r="AK1393" s="65" t="n">
        <f aca="false">IF(AJ1393="",0,MAX(0,MIN(1,(IF(BU1393="L1",Parameter!$E$5,Parameter!$E$6+Parameter!$E$7)-(AJ1393-AF1393))/AF1393)))</f>
        <v>0</v>
      </c>
      <c r="AL1393" s="57" t="n">
        <f aca="false">IF(LEFT(Cockpit!$I$5,1)="A",G1393,IF(BW1393=1,BX1393,IF(LEFT(Cockpit!$I$5,1)="B",AP1393,MAX(AP1393,G1393))))</f>
        <v>2339</v>
      </c>
      <c r="AM1393" s="57" t="n">
        <f aca="false">IF(BR1393=1,0,ROUNDUP(AL1393/BQ1393,0))</f>
        <v>0</v>
      </c>
      <c r="AN1393" s="59" t="n">
        <f aca="false">IF(CD1393&gt;0,CD1393*MAX(1,AL1393/V1393),IF(BR1393=1,IF(AL1393&lt;=0,0,BS1393*MAX(1,IF(G1393&gt;0,AL1393/G1393,1))),IF(Q1393&gt;0,AM1393/Q1393,0))/MAX(0.1,N(Parameter!$M$21)))</f>
        <v>0.03</v>
      </c>
      <c r="AO1393" s="57" t="n">
        <f aca="false">AL1393*F1393</f>
        <v>3976.3</v>
      </c>
      <c r="AP1393" s="57" t="n">
        <f aca="false">ROUNDUP(MAX(I1393/IF(BV1393&gt;0,BV1393,MAX(0.1,N(Cockpit!$I$6))),BY1393)/BQ1393,0)*BQ1393</f>
        <v>2339</v>
      </c>
      <c r="AQ1393" s="58" t="n">
        <f aca="false">IF(AN1393&gt;0,I1393/AN1393,-1)</f>
        <v>69866.6666666667</v>
      </c>
      <c r="AR1393" s="58" t="n">
        <f aca="false">IF(AND(OR(BU1393="L1",BU1393="L23"),AN1393&gt;0),SUMIFS($AN$7:$AN$1576,$BU$7:$BU$1576,BU1393,$AQ$7:$AQ$1576,"&gt;"&amp;AQ1393)+SUMIFS($AN$7:$AN$1576,$BU$7:$BU$1576,BU1393,$AQ$7:$AQ$1576,AQ1393,$BO$7:$BO$1576,"&lt;="&amp;BO1393),"")</f>
        <v>0.746028174723827</v>
      </c>
      <c r="AS1393" s="65" t="n">
        <f aca="false">IF(AR1393="",0,MAX(0,MIN(1,(IF(BU1393="L1",Parameter!$E$5,Parameter!$E$6+Parameter!$E$7)-(AR1393-AN1393))/AN1393)))</f>
        <v>1</v>
      </c>
      <c r="AT1393" s="57" t="n">
        <f aca="false">IF(LEFT(Cockpit!$O$5,1)="A",G1393,IF(BW1393=1,BX1393,IF(LEFT(Cockpit!$O$5,1)="B",AX1393,MAX(AX1393,G1393))))</f>
        <v>2339</v>
      </c>
      <c r="AU1393" s="57" t="n">
        <f aca="false">IF(BR1393=1,0,ROUNDUP(AT1393/BQ1393,0))</f>
        <v>0</v>
      </c>
      <c r="AV1393" s="59" t="n">
        <f aca="false">IF(CD1393&gt;0,CD1393*MAX(1,AT1393/V1393),IF(BR1393=1,IF(AT1393&lt;=0,0,BS1393*MAX(1,IF(G1393&gt;0,AT1393/G1393,1))),IF(Q1393&gt;0,AU1393/Q1393,0))/MAX(0.1,N(Parameter!$M$21)))</f>
        <v>0.03</v>
      </c>
      <c r="AW1393" s="57" t="n">
        <f aca="false">AT1393*F1393</f>
        <v>3976.3</v>
      </c>
      <c r="AX1393" s="57" t="n">
        <f aca="false">ROUNDUP(MAX(I1393/IF(BV1393&gt;0,BV1393,MAX(0.1,N(Cockpit!$O$6))),BY1393)/BQ1393,0)*BQ1393</f>
        <v>2339</v>
      </c>
      <c r="AY1393" s="58" t="n">
        <f aca="false">IF(AV1393&gt;0,I1393/AV1393,-1)</f>
        <v>69866.6666666667</v>
      </c>
      <c r="AZ1393" s="58" t="n">
        <f aca="false">IF(AND(OR(BU1393="L1",BU1393="L23"),AV1393&gt;0),SUMIFS($AV$7:$AV$1576,$BU$7:$BU$1576,BU1393,$AY$7:$AY$1576,"&gt;"&amp;AY1393)+SUMIFS($AV$7:$AV$1576,$BU$7:$BU$1576,BU1393,$AY$7:$AY$1576,AY1393,$BO$7:$BO$1576,"&lt;="&amp;BO1393),"")</f>
        <v>0.915025843721496</v>
      </c>
      <c r="BA1393" s="65" t="n">
        <f aca="false">IF(AZ1393="",0,MAX(0,MIN(1,(IF(BU1393="L1",Parameter!$E$5,Parameter!$E$6+Parameter!$E$7)-(AZ1393-AV1393))/AV1393)))</f>
        <v>1</v>
      </c>
      <c r="BB1393" s="55" t="str">
        <f aca="false">IF(AF1393&lt;=0,"",IF(BU1393="Aussen","Aussenlager",IF(BU1393="-","Nicht im Lift",IF(AK1393&gt;=1,"Lift",IF(AK1393&lt;=0,"Aussenlager","teilweise")))))</f>
        <v/>
      </c>
      <c r="BC1393" s="55" t="str">
        <f aca="false">IF(AN1393&lt;=0,"",IF(BU1393="Aussen","Aussenlager",IF(BU1393="-","Nicht im Lift",IF(AS1393&gt;=1,"Lift",IF(AS1393&lt;=0,"Aussenlager","teilweise")))))</f>
        <v>Lift</v>
      </c>
      <c r="BD1393" s="55" t="str">
        <f aca="false">IF(AV1393&lt;=0,"",IF(BU1393="Aussen","Aussenlager",IF(BU1393="-","Nicht im Lift",IF(BA1393&gt;=1,"Lift",IF(BA1393&lt;=0,"Aussenlager","teilweise")))))</f>
        <v>Lift</v>
      </c>
      <c r="BE1393" s="55" t="str">
        <f aca="false">IF(A1393="","",IF(BN1393=1,"Neu; ","")&amp;IF(AND(BN1393=0,BI1393&lt;0),"negativer Bestand (Export "&amp;BI1393&amp;"); ","")&amp;IF(I1393&lt;=0,"Kein Verbrauch; ","")&amp;IF(CD1393&gt;0,"Lift "&amp;U1393&amp;" lt. Liftbericht (Fach "&amp;V1393&amp;" Stk); ",IF(BR1393=1,"Lose – Fläche geschätzt; ",""))&amp;IF(G1393&gt;AP1393,"Überbestand "&amp;ROUND(G1393-AP1393,0)&amp;" Stk / CHF "&amp;ROUND((G1393-AP1393)*F1393,0)&amp;"; ","")&amp;IF(AND(BW1393=1,BX1393&lt;BY1393),"MAX &lt; MB+LG; ","")&amp;IF(AND(CC1393&gt;0,CB1393*10&gt;CC1393),"zu hoch für Tablar; ","")&amp;IF(AND(BN1393=0,OR(BW1393=1,Y1393&lt;&gt;"",S1393&lt;&gt;"",T1393&lt;&gt;"",Z1393&lt;&gt;"")),"manuell übersteuert; ","")&amp;IF(AND(BR1393=0,Q1393=0),"Gebinde unbekannt / Stellmass fehlt; ","")&amp;IF(AND(BR1393=0,N(T1393)&lt;=0,N(P1393)&lt;=0),"Menge pro Gebinde fehlt (Ist = 1 Gebinde); ","")&amp;BM1393)</f>
        <v>negativer Bestand (Export -2096); Lose – Fläche geschätzt; </v>
      </c>
      <c r="BF1393" s="55"/>
      <c r="BG1393" s="55"/>
      <c r="BH1393" s="62"/>
      <c r="BI1393" s="57" t="n">
        <v>-2096</v>
      </c>
      <c r="BJ1393" s="57" t="n">
        <v>4192</v>
      </c>
      <c r="BK1393" s="56" t="n">
        <v>-3563.2</v>
      </c>
      <c r="BL1393" s="57" t="n">
        <v>2096</v>
      </c>
      <c r="BM1393" s="55"/>
      <c r="BN1393" s="60" t="n">
        <v>0</v>
      </c>
      <c r="BO1393" s="60" t="n">
        <v>1393</v>
      </c>
      <c r="BP1393" s="55" t="str">
        <f aca="false">IF(S1393&lt;&gt;"",UPPER(TRIM(S1393)),IF(O1393="","LOSE",O1393))</f>
        <v>LOSE</v>
      </c>
      <c r="BQ1393" s="57" t="n">
        <f aca="false">IF(BP1393="LOSE",1,IF(N(T1393)&gt;0,T1393,IF(N(P1393)&gt;0,P1393,MAX(1,G1393))))</f>
        <v>1</v>
      </c>
      <c r="BR1393" s="60" t="n">
        <f aca="false">IF(BP1393="LOSE",1,0)</f>
        <v>1</v>
      </c>
      <c r="BS1393" s="59" t="n">
        <f aca="false">IF(BR1393=0,0,IF(N(R1393)&gt;0,R1393,IFERROR(VLOOKUP(D1393,Parameter!$A$35:$C$64,3,0)+0,0)))</f>
        <v>0.03</v>
      </c>
      <c r="BT1393" s="55" t="n">
        <f aca="false">IF(Y1393&lt;&gt;"",Y1393,X1393)</f>
        <v>2</v>
      </c>
      <c r="BU1393" s="55" t="str">
        <f aca="false">IF(BT1393=1,"L1",IF(OR(BT1393=2,BT1393=3),"L23",IF(BT1393="Aussen","Aussen","-")))</f>
        <v>L23</v>
      </c>
      <c r="BV1393" s="66" t="n">
        <f aca="false">IF(N(Z1393)&gt;0,Z1393,0)</f>
        <v>0</v>
      </c>
      <c r="BW1393" s="60" t="n">
        <f aca="false">IF(ISNUMBER(AC1393),1,0)</f>
        <v>0</v>
      </c>
      <c r="BX1393" s="57" t="n">
        <f aca="false">N(AC1393)</f>
        <v>0</v>
      </c>
      <c r="BY1393" s="57" t="n">
        <f aca="false">N(L1393)+N(M1393)</f>
        <v>2339</v>
      </c>
      <c r="BZ1393" s="57" t="n">
        <f aca="false">ROUNDUP(G1393/BQ1393,0)</f>
        <v>0</v>
      </c>
      <c r="CA1393" s="57" t="n">
        <f aca="false">ROUNDUP(BX1393/BQ1393,0)</f>
        <v>0</v>
      </c>
      <c r="CB1393" s="60" t="n">
        <f aca="false">IF(BR1393=1,0,IFERROR(VLOOKUP(BP1393,'Gebinde-Kategorie'!$A$5:$M$45,5,0)+0,0))</f>
        <v>0</v>
      </c>
      <c r="CC1393" s="60" t="n">
        <f aca="false">IFERROR(IF(OR(BT1393=1,BT1393=2,BT1393=3),N(INDEX(Parameter!$I$5:$I$7,BT1393)),0),0)</f>
        <v>0</v>
      </c>
      <c r="CD1393" s="59" t="n">
        <f aca="false">IF(AND(Parameter!$B$21="Ja",ISNUMBER(U1393),N(V1393)&gt;0),IFERROR(N(INDEX(Parameter!$L$5:$L$7,U1393))*INDEX(Parameter!$E$5:$E$7,U1393)*V1393/SUMIFS($V$7:$V$1576,$U$7:$U$1576,U1393),0),0)</f>
        <v>0</v>
      </c>
    </row>
    <row r="1394" customFormat="false" ht="15" hidden="false" customHeight="false" outlineLevel="0" collapsed="false">
      <c r="A1394" s="55" t="s">
        <v>2435</v>
      </c>
      <c r="B1394" s="55" t="s">
        <v>2436</v>
      </c>
      <c r="C1394" s="55" t="s">
        <v>160</v>
      </c>
      <c r="D1394" s="55" t="s">
        <v>168</v>
      </c>
      <c r="E1394" s="55" t="s">
        <v>210</v>
      </c>
      <c r="F1394" s="56" t="n">
        <v>603.8</v>
      </c>
      <c r="G1394" s="57" t="n">
        <f aca="false">MAX(0,IF(AND(Parameter!$B$21="Ja",ISNUMBER(W1394)),W1394,IF(Parameter!$B$20="Jahresanfang 2025 + Export",BJ1394+BI1394,BI1394)))</f>
        <v>0</v>
      </c>
      <c r="H1394" s="57" t="n">
        <f aca="false">G1394*F1394</f>
        <v>0</v>
      </c>
      <c r="I1394" s="57" t="n">
        <f aca="false">BL1394*Parameter!$B$18</f>
        <v>9</v>
      </c>
      <c r="J1394" s="58" t="n">
        <v>8.5</v>
      </c>
      <c r="K1394" s="59" t="n">
        <v>1.05882352941177</v>
      </c>
      <c r="L1394" s="57" t="n">
        <v>1</v>
      </c>
      <c r="M1394" s="57" t="n">
        <v>5</v>
      </c>
      <c r="N1394" s="60" t="n">
        <v>28</v>
      </c>
      <c r="O1394" s="55" t="s">
        <v>169</v>
      </c>
      <c r="P1394" s="57" t="n">
        <v>4</v>
      </c>
      <c r="Q1394" s="60" t="n">
        <f aca="false">IF(BR1394=1,0,IFERROR(VLOOKUP(BP1394,'Gebinde-Kategorie'!$A$5:$M$45,13,0)+0,0))</f>
        <v>6</v>
      </c>
      <c r="R1394" s="61"/>
      <c r="S1394" s="62"/>
      <c r="T1394" s="62"/>
      <c r="U1394" s="55"/>
      <c r="V1394" s="57"/>
      <c r="W1394" s="57"/>
      <c r="X1394" s="55" t="n">
        <f aca="false">IF(A1394="","",IF(AND(Parameter!$B$21="Ja",ISNUMBER(U1394)),U1394,IF(IFERROR(VLOOKUP(D1394,Parameter!$A$35:$C$64,2,0),"Nein")="2+3",IF(ISNUMBER(SEARCH("grosser Artikel",BM1394)),2,IFERROR(VLOOKUP(BP1394,Parameter!$F$35:$G$64,2,0),2)),IF(OR(IFERROR(VLOOKUP(D1394,Parameter!$A$35:$C$64,2,0),"Nein")="Nein",IFERROR(VLOOKUP(D1394,Parameter!$A$35:$C$64,2,0),"Nein")=""),"-",VLOOKUP(D1394,Parameter!$A$35:$C$64,2,0)))))</f>
        <v>2</v>
      </c>
      <c r="Y1394" s="62"/>
      <c r="Z1394" s="63"/>
      <c r="AA1394" s="57" t="n">
        <f aca="false">AP1394</f>
        <v>8</v>
      </c>
      <c r="AB1394" s="57" t="n">
        <f aca="false">MAX(AP1394,G1394)</f>
        <v>8</v>
      </c>
      <c r="AC1394" s="64"/>
      <c r="AD1394" s="57" t="n">
        <f aca="false">IF(LEFT(Cockpit!$C$5,1)="A",G1394,IF(BW1394=1,BX1394,IF(LEFT(Cockpit!$C$5,1)="B",AH1394,MAX(AH1394,G1394))))</f>
        <v>0</v>
      </c>
      <c r="AE1394" s="57" t="n">
        <f aca="false">IF(BR1394=1,0,ROUNDUP(AD1394/BQ1394,0))</f>
        <v>0</v>
      </c>
      <c r="AF1394" s="59" t="n">
        <f aca="false">IF(CD1394&gt;0,CD1394*MAX(1,AD1394/V1394),IF(BR1394=1,IF(AD1394&lt;=0,0,BS1394*MAX(1,IF(G1394&gt;0,AD1394/G1394,1))),IF(Q1394&gt;0,AE1394/Q1394,0))/MAX(0.1,N(Parameter!$M$21)))</f>
        <v>0</v>
      </c>
      <c r="AG1394" s="57" t="n">
        <f aca="false">AD1394*F1394</f>
        <v>0</v>
      </c>
      <c r="AH1394" s="57" t="n">
        <f aca="false">ROUNDUP(MAX(I1394/IF(BV1394&gt;0,BV1394,MAX(0.1,N(Cockpit!$C$6))),BY1394)/BQ1394,0)*BQ1394</f>
        <v>8</v>
      </c>
      <c r="AI1394" s="58" t="n">
        <f aca="false">IF(AF1394&gt;0,I1394/AF1394,-1)</f>
        <v>-1</v>
      </c>
      <c r="AJ1394" s="58" t="str">
        <f aca="false">IF(AND(OR(BU1394="L1",BU1394="L23"),AF1394&gt;0),SUMIFS($AF$7:$AF$1576,$BU$7:$BU$1576,BU1394,$AI$7:$AI$1576,"&gt;"&amp;AI1394)+SUMIFS($AF$7:$AF$1576,$BU$7:$BU$1576,BU1394,$AI$7:$AI$1576,AI1394,$BO$7:$BO$1576,"&lt;="&amp;BO1394),"")</f>
        <v/>
      </c>
      <c r="AK1394" s="65" t="n">
        <f aca="false">IF(AJ1394="",0,MAX(0,MIN(1,(IF(BU1394="L1",Parameter!$E$5,Parameter!$E$6+Parameter!$E$7)-(AJ1394-AF1394))/AF1394)))</f>
        <v>0</v>
      </c>
      <c r="AL1394" s="57" t="n">
        <f aca="false">IF(LEFT(Cockpit!$I$5,1)="A",G1394,IF(BW1394=1,BX1394,IF(LEFT(Cockpit!$I$5,1)="B",AP1394,MAX(AP1394,G1394))))</f>
        <v>8</v>
      </c>
      <c r="AM1394" s="57" t="n">
        <f aca="false">IF(BR1394=1,0,ROUNDUP(AL1394/BQ1394,0))</f>
        <v>2</v>
      </c>
      <c r="AN1394" s="59" t="n">
        <f aca="false">IF(CD1394&gt;0,CD1394*MAX(1,AL1394/V1394),IF(BR1394=1,IF(AL1394&lt;=0,0,BS1394*MAX(1,IF(G1394&gt;0,AL1394/G1394,1))),IF(Q1394&gt;0,AM1394/Q1394,0))/MAX(0.1,N(Parameter!$M$21)))</f>
        <v>0.333333333333333</v>
      </c>
      <c r="AO1394" s="57" t="n">
        <f aca="false">AL1394*F1394</f>
        <v>4830.4</v>
      </c>
      <c r="AP1394" s="57" t="n">
        <f aca="false">ROUNDUP(MAX(I1394/IF(BV1394&gt;0,BV1394,MAX(0.1,N(Cockpit!$I$6))),BY1394)/BQ1394,0)*BQ1394</f>
        <v>8</v>
      </c>
      <c r="AQ1394" s="58" t="n">
        <f aca="false">IF(AN1394&gt;0,I1394/AN1394,-1)</f>
        <v>27</v>
      </c>
      <c r="AR1394" s="58" t="n">
        <f aca="false">IF(AND(OR(BU1394="L1",BU1394="L23"),AN1394&gt;0),SUMIFS($AN$7:$AN$1576,$BU$7:$BU$1576,BU1394,$AQ$7:$AQ$1576,"&gt;"&amp;AQ1394)+SUMIFS($AN$7:$AN$1576,$BU$7:$BU$1576,BU1394,$AQ$7:$AQ$1576,AQ1394,$BO$7:$BO$1576,"&lt;="&amp;BO1394),"")</f>
        <v>95.4674345886957</v>
      </c>
      <c r="AS1394" s="65" t="n">
        <f aca="false">IF(AR1394="",0,MAX(0,MIN(1,(IF(BU1394="L1",Parameter!$E$5,Parameter!$E$6+Parameter!$E$7)-(AR1394-AN1394))/AN1394)))</f>
        <v>1</v>
      </c>
      <c r="AT1394" s="57" t="n">
        <f aca="false">IF(LEFT(Cockpit!$O$5,1)="A",G1394,IF(BW1394=1,BX1394,IF(LEFT(Cockpit!$O$5,1)="B",AX1394,MAX(AX1394,G1394))))</f>
        <v>8</v>
      </c>
      <c r="AU1394" s="57" t="n">
        <f aca="false">IF(BR1394=1,0,ROUNDUP(AT1394/BQ1394,0))</f>
        <v>2</v>
      </c>
      <c r="AV1394" s="59" t="n">
        <f aca="false">IF(CD1394&gt;0,CD1394*MAX(1,AT1394/V1394),IF(BR1394=1,IF(AT1394&lt;=0,0,BS1394*MAX(1,IF(G1394&gt;0,AT1394/G1394,1))),IF(Q1394&gt;0,AU1394/Q1394,0))/MAX(0.1,N(Parameter!$M$21)))</f>
        <v>0.333333333333333</v>
      </c>
      <c r="AW1394" s="57" t="n">
        <f aca="false">AT1394*F1394</f>
        <v>4830.4</v>
      </c>
      <c r="AX1394" s="57" t="n">
        <f aca="false">ROUNDUP(MAX(I1394/IF(BV1394&gt;0,BV1394,MAX(0.1,N(Cockpit!$O$6))),BY1394)/BQ1394,0)*BQ1394</f>
        <v>8</v>
      </c>
      <c r="AY1394" s="58" t="n">
        <f aca="false">IF(AV1394&gt;0,I1394/AV1394,-1)</f>
        <v>27</v>
      </c>
      <c r="AZ1394" s="58" t="n">
        <f aca="false">IF(AND(OR(BU1394="L1",BU1394="L23"),AV1394&gt;0),SUMIFS($AV$7:$AV$1576,$BU$7:$BU$1576,BU1394,$AY$7:$AY$1576,"&gt;"&amp;AY1394)+SUMIFS($AV$7:$AV$1576,$BU$7:$BU$1576,BU1394,$AY$7:$AY$1576,AY1394,$BO$7:$BO$1576,"&lt;="&amp;BO1394),"")</f>
        <v>87.2519850382462</v>
      </c>
      <c r="BA1394" s="65" t="n">
        <f aca="false">IF(AZ1394="",0,MAX(0,MIN(1,(IF(BU1394="L1",Parameter!$E$5,Parameter!$E$6+Parameter!$E$7)-(AZ1394-AV1394))/AV1394)))</f>
        <v>1</v>
      </c>
      <c r="BB1394" s="55" t="str">
        <f aca="false">IF(AF1394&lt;=0,"",IF(BU1394="Aussen","Aussenlager",IF(BU1394="-","Nicht im Lift",IF(AK1394&gt;=1,"Lift",IF(AK1394&lt;=0,"Aussenlager","teilweise")))))</f>
        <v/>
      </c>
      <c r="BC1394" s="55" t="str">
        <f aca="false">IF(AN1394&lt;=0,"",IF(BU1394="Aussen","Aussenlager",IF(BU1394="-","Nicht im Lift",IF(AS1394&gt;=1,"Lift",IF(AS1394&lt;=0,"Aussenlager","teilweise")))))</f>
        <v>Lift</v>
      </c>
      <c r="BD1394" s="55" t="str">
        <f aca="false">IF(AV1394&lt;=0,"",IF(BU1394="Aussen","Aussenlager",IF(BU1394="-","Nicht im Lift",IF(BA1394&gt;=1,"Lift",IF(BA1394&lt;=0,"Aussenlager","teilweise")))))</f>
        <v>Lift</v>
      </c>
      <c r="BE1394" s="55" t="str">
        <f aca="false">IF(A1394="","",IF(BN1394=1,"Neu; ","")&amp;IF(AND(BN1394=0,BI1394&lt;0),"negativer Bestand (Export "&amp;BI1394&amp;"); ","")&amp;IF(I1394&lt;=0,"Kein Verbrauch; ","")&amp;IF(CD1394&gt;0,"Lift "&amp;U1394&amp;" lt. Liftbericht (Fach "&amp;V1394&amp;" Stk); ",IF(BR1394=1,"Lose – Fläche geschätzt; ",""))&amp;IF(G1394&gt;AP1394,"Überbestand "&amp;ROUND(G1394-AP1394,0)&amp;" Stk / CHF "&amp;ROUND((G1394-AP1394)*F1394,0)&amp;"; ","")&amp;IF(AND(BW1394=1,BX1394&lt;BY1394),"MAX &lt; MB+LG; ","")&amp;IF(AND(CC1394&gt;0,CB1394*10&gt;CC1394),"zu hoch für Tablar; ","")&amp;IF(AND(BN1394=0,OR(BW1394=1,Y1394&lt;&gt;"",S1394&lt;&gt;"",T1394&lt;&gt;"",Z1394&lt;&gt;"")),"manuell übersteuert; ","")&amp;IF(AND(BR1394=0,Q1394=0),"Gebinde unbekannt / Stellmass fehlt; ","")&amp;IF(AND(BR1394=0,N(T1394)&lt;=0,N(P1394)&lt;=0),"Menge pro Gebinde fehlt (Ist = 1 Gebinde); ","")&amp;BM1394)</f>
        <v>negativer Bestand (Export -6); nicht im KTL vorhanden</v>
      </c>
      <c r="BF1394" s="55"/>
      <c r="BG1394" s="55"/>
      <c r="BH1394" s="62"/>
      <c r="BI1394" s="57" t="n">
        <v>-6</v>
      </c>
      <c r="BJ1394" s="57" t="n">
        <v>9</v>
      </c>
      <c r="BK1394" s="56" t="n">
        <v>-3619.38</v>
      </c>
      <c r="BL1394" s="57" t="n">
        <v>9</v>
      </c>
      <c r="BM1394" s="55" t="s">
        <v>222</v>
      </c>
      <c r="BN1394" s="60" t="n">
        <v>0</v>
      </c>
      <c r="BO1394" s="60" t="n">
        <v>1394</v>
      </c>
      <c r="BP1394" s="55" t="str">
        <f aca="false">IF(S1394&lt;&gt;"",UPPER(TRIM(S1394)),IF(O1394="","LOSE",O1394))</f>
        <v>S71</v>
      </c>
      <c r="BQ1394" s="57" t="n">
        <f aca="false">IF(BP1394="LOSE",1,IF(N(T1394)&gt;0,T1394,IF(N(P1394)&gt;0,P1394,MAX(1,G1394))))</f>
        <v>4</v>
      </c>
      <c r="BR1394" s="60" t="n">
        <f aca="false">IF(BP1394="LOSE",1,0)</f>
        <v>0</v>
      </c>
      <c r="BS1394" s="59" t="n">
        <f aca="false">IF(BR1394=0,0,IF(N(R1394)&gt;0,R1394,IFERROR(VLOOKUP(D1394,Parameter!$A$35:$C$64,3,0)+0,0)))</f>
        <v>0</v>
      </c>
      <c r="BT1394" s="55" t="n">
        <f aca="false">IF(Y1394&lt;&gt;"",Y1394,X1394)</f>
        <v>2</v>
      </c>
      <c r="BU1394" s="55" t="str">
        <f aca="false">IF(BT1394=1,"L1",IF(OR(BT1394=2,BT1394=3),"L23",IF(BT1394="Aussen","Aussen","-")))</f>
        <v>L23</v>
      </c>
      <c r="BV1394" s="66" t="n">
        <f aca="false">IF(N(Z1394)&gt;0,Z1394,0)</f>
        <v>0</v>
      </c>
      <c r="BW1394" s="60" t="n">
        <f aca="false">IF(ISNUMBER(AC1394),1,0)</f>
        <v>0</v>
      </c>
      <c r="BX1394" s="57" t="n">
        <f aca="false">N(AC1394)</f>
        <v>0</v>
      </c>
      <c r="BY1394" s="57" t="n">
        <f aca="false">N(L1394)+N(M1394)</f>
        <v>6</v>
      </c>
      <c r="BZ1394" s="57" t="n">
        <f aca="false">ROUNDUP(G1394/BQ1394,0)</f>
        <v>0</v>
      </c>
      <c r="CA1394" s="57" t="n">
        <f aca="false">ROUNDUP(BX1394/BQ1394,0)</f>
        <v>0</v>
      </c>
      <c r="CB1394" s="60" t="n">
        <f aca="false">IF(BR1394=1,0,IFERROR(VLOOKUP(BP1394,'Gebinde-Kategorie'!$A$5:$M$45,5,0)+0,0))</f>
        <v>20</v>
      </c>
      <c r="CC1394" s="60" t="n">
        <f aca="false">IFERROR(IF(OR(BT1394=1,BT1394=2,BT1394=3),N(INDEX(Parameter!$I$5:$I$7,BT1394)),0),0)</f>
        <v>0</v>
      </c>
      <c r="CD1394" s="59" t="n">
        <f aca="false">IF(AND(Parameter!$B$21="Ja",ISNUMBER(U1394),N(V1394)&gt;0),IFERROR(N(INDEX(Parameter!$L$5:$L$7,U1394))*INDEX(Parameter!$E$5:$E$7,U1394)*V1394/SUMIFS($V$7:$V$1576,$U$7:$U$1576,U1394),0),0)</f>
        <v>0</v>
      </c>
    </row>
    <row r="1395" customFormat="false" ht="15" hidden="false" customHeight="false" outlineLevel="0" collapsed="false">
      <c r="A1395" s="55" t="s">
        <v>2437</v>
      </c>
      <c r="B1395" s="55" t="s">
        <v>2438</v>
      </c>
      <c r="C1395" s="55" t="s">
        <v>160</v>
      </c>
      <c r="D1395" s="55" t="s">
        <v>178</v>
      </c>
      <c r="E1395" s="55" t="s">
        <v>210</v>
      </c>
      <c r="F1395" s="56" t="n">
        <v>92.69</v>
      </c>
      <c r="G1395" s="57" t="n">
        <f aca="false">MAX(0,IF(AND(Parameter!$B$21="Ja",ISNUMBER(W1395)),W1395,IF(Parameter!$B$20="Jahresanfang 2025 + Export",BJ1395+BI1395,BI1395)))</f>
        <v>0</v>
      </c>
      <c r="H1395" s="57" t="n">
        <f aca="false">G1395*F1395</f>
        <v>0</v>
      </c>
      <c r="I1395" s="57" t="n">
        <f aca="false">BL1395*Parameter!$B$18</f>
        <v>2</v>
      </c>
      <c r="J1395" s="58" t="n">
        <v>76</v>
      </c>
      <c r="K1395" s="59" t="n">
        <v>0.0263157894736842</v>
      </c>
      <c r="L1395" s="57" t="n">
        <v>0</v>
      </c>
      <c r="M1395" s="57" t="n">
        <v>1</v>
      </c>
      <c r="N1395" s="60" t="n">
        <v>28</v>
      </c>
      <c r="O1395" s="55" t="s">
        <v>293</v>
      </c>
      <c r="P1395" s="57" t="n">
        <v>60</v>
      </c>
      <c r="Q1395" s="60" t="n">
        <f aca="false">IF(BR1395=1,0,IFERROR(VLOOKUP(BP1395,'Gebinde-Kategorie'!$A$5:$M$45,13,0)+0,0))</f>
        <v>26</v>
      </c>
      <c r="R1395" s="61"/>
      <c r="S1395" s="62"/>
      <c r="T1395" s="62"/>
      <c r="U1395" s="55"/>
      <c r="V1395" s="57"/>
      <c r="W1395" s="57"/>
      <c r="X1395" s="55" t="n">
        <f aca="false">IF(A1395="","",IF(AND(Parameter!$B$21="Ja",ISNUMBER(U1395)),U1395,IF(IFERROR(VLOOKUP(D1395,Parameter!$A$35:$C$64,2,0),"Nein")="2+3",IF(ISNUMBER(SEARCH("grosser Artikel",BM1395)),2,IFERROR(VLOOKUP(BP1395,Parameter!$F$35:$G$64,2,0),2)),IF(OR(IFERROR(VLOOKUP(D1395,Parameter!$A$35:$C$64,2,0),"Nein")="Nein",IFERROR(VLOOKUP(D1395,Parameter!$A$35:$C$64,2,0),"Nein")=""),"-",VLOOKUP(D1395,Parameter!$A$35:$C$64,2,0)))))</f>
        <v>3</v>
      </c>
      <c r="Y1395" s="62"/>
      <c r="Z1395" s="63"/>
      <c r="AA1395" s="57" t="n">
        <f aca="false">AP1395</f>
        <v>60</v>
      </c>
      <c r="AB1395" s="57" t="n">
        <f aca="false">MAX(AP1395,G1395)</f>
        <v>60</v>
      </c>
      <c r="AC1395" s="64"/>
      <c r="AD1395" s="57" t="n">
        <f aca="false">IF(LEFT(Cockpit!$C$5,1)="A",G1395,IF(BW1395=1,BX1395,IF(LEFT(Cockpit!$C$5,1)="B",AH1395,MAX(AH1395,G1395))))</f>
        <v>0</v>
      </c>
      <c r="AE1395" s="57" t="n">
        <f aca="false">IF(BR1395=1,0,ROUNDUP(AD1395/BQ1395,0))</f>
        <v>0</v>
      </c>
      <c r="AF1395" s="59" t="n">
        <f aca="false">IF(CD1395&gt;0,CD1395*MAX(1,AD1395/V1395),IF(BR1395=1,IF(AD1395&lt;=0,0,BS1395*MAX(1,IF(G1395&gt;0,AD1395/G1395,1))),IF(Q1395&gt;0,AE1395/Q1395,0))/MAX(0.1,N(Parameter!$M$21)))</f>
        <v>0</v>
      </c>
      <c r="AG1395" s="57" t="n">
        <f aca="false">AD1395*F1395</f>
        <v>0</v>
      </c>
      <c r="AH1395" s="57" t="n">
        <f aca="false">ROUNDUP(MAX(I1395/IF(BV1395&gt;0,BV1395,MAX(0.1,N(Cockpit!$C$6))),BY1395)/BQ1395,0)*BQ1395</f>
        <v>60</v>
      </c>
      <c r="AI1395" s="58" t="n">
        <f aca="false">IF(AF1395&gt;0,I1395/AF1395,-1)</f>
        <v>-1</v>
      </c>
      <c r="AJ1395" s="58" t="str">
        <f aca="false">IF(AND(OR(BU1395="L1",BU1395="L23"),AF1395&gt;0),SUMIFS($AF$7:$AF$1576,$BU$7:$BU$1576,BU1395,$AI$7:$AI$1576,"&gt;"&amp;AI1395)+SUMIFS($AF$7:$AF$1576,$BU$7:$BU$1576,BU1395,$AI$7:$AI$1576,AI1395,$BO$7:$BO$1576,"&lt;="&amp;BO1395),"")</f>
        <v/>
      </c>
      <c r="AK1395" s="65" t="n">
        <f aca="false">IF(AJ1395="",0,MAX(0,MIN(1,(IF(BU1395="L1",Parameter!$E$5,Parameter!$E$6+Parameter!$E$7)-(AJ1395-AF1395))/AF1395)))</f>
        <v>0</v>
      </c>
      <c r="AL1395" s="57" t="n">
        <f aca="false">IF(LEFT(Cockpit!$I$5,1)="A",G1395,IF(BW1395=1,BX1395,IF(LEFT(Cockpit!$I$5,1)="B",AP1395,MAX(AP1395,G1395))))</f>
        <v>60</v>
      </c>
      <c r="AM1395" s="57" t="n">
        <f aca="false">IF(BR1395=1,0,ROUNDUP(AL1395/BQ1395,0))</f>
        <v>1</v>
      </c>
      <c r="AN1395" s="59" t="n">
        <f aca="false">IF(CD1395&gt;0,CD1395*MAX(1,AL1395/V1395),IF(BR1395=1,IF(AL1395&lt;=0,0,BS1395*MAX(1,IF(G1395&gt;0,AL1395/G1395,1))),IF(Q1395&gt;0,AM1395/Q1395,0))/MAX(0.1,N(Parameter!$M$21)))</f>
        <v>0.0384615384615385</v>
      </c>
      <c r="AO1395" s="57" t="n">
        <f aca="false">AL1395*F1395</f>
        <v>5561.4</v>
      </c>
      <c r="AP1395" s="57" t="n">
        <f aca="false">ROUNDUP(MAX(I1395/IF(BV1395&gt;0,BV1395,MAX(0.1,N(Cockpit!$I$6))),BY1395)/BQ1395,0)*BQ1395</f>
        <v>60</v>
      </c>
      <c r="AQ1395" s="58" t="n">
        <f aca="false">IF(AN1395&gt;0,I1395/AN1395,-1)</f>
        <v>52</v>
      </c>
      <c r="AR1395" s="58" t="n">
        <f aca="false">IF(AND(OR(BU1395="L1",BU1395="L23"),AN1395&gt;0),SUMIFS($AN$7:$AN$1576,$BU$7:$BU$1576,BU1395,$AQ$7:$AQ$1576,"&gt;"&amp;AQ1395)+SUMIFS($AN$7:$AN$1576,$BU$7:$BU$1576,BU1395,$AQ$7:$AQ$1576,AQ1395,$BO$7:$BO$1576,"&lt;="&amp;BO1395),"")</f>
        <v>82.4452551015163</v>
      </c>
      <c r="AS1395" s="65" t="n">
        <f aca="false">IF(AR1395="",0,MAX(0,MIN(1,(IF(BU1395="L1",Parameter!$E$5,Parameter!$E$6+Parameter!$E$7)-(AR1395-AN1395))/AN1395)))</f>
        <v>1</v>
      </c>
      <c r="AT1395" s="57" t="n">
        <f aca="false">IF(LEFT(Cockpit!$O$5,1)="A",G1395,IF(BW1395=1,BX1395,IF(LEFT(Cockpit!$O$5,1)="B",AX1395,MAX(AX1395,G1395))))</f>
        <v>60</v>
      </c>
      <c r="AU1395" s="57" t="n">
        <f aca="false">IF(BR1395=1,0,ROUNDUP(AT1395/BQ1395,0))</f>
        <v>1</v>
      </c>
      <c r="AV1395" s="59" t="n">
        <f aca="false">IF(CD1395&gt;0,CD1395*MAX(1,AT1395/V1395),IF(BR1395=1,IF(AT1395&lt;=0,0,BS1395*MAX(1,IF(G1395&gt;0,AT1395/G1395,1))),IF(Q1395&gt;0,AU1395/Q1395,0))/MAX(0.1,N(Parameter!$M$21)))</f>
        <v>0.0384615384615385</v>
      </c>
      <c r="AW1395" s="57" t="n">
        <f aca="false">AT1395*F1395</f>
        <v>5561.4</v>
      </c>
      <c r="AX1395" s="57" t="n">
        <f aca="false">ROUNDUP(MAX(I1395/IF(BV1395&gt;0,BV1395,MAX(0.1,N(Cockpit!$O$6))),BY1395)/BQ1395,0)*BQ1395</f>
        <v>60</v>
      </c>
      <c r="AY1395" s="58" t="n">
        <f aca="false">IF(AV1395&gt;0,I1395/AV1395,-1)</f>
        <v>52</v>
      </c>
      <c r="AZ1395" s="58" t="n">
        <f aca="false">IF(AND(OR(BU1395="L1",BU1395="L23"),AV1395&gt;0),SUMIFS($AV$7:$AV$1576,$BU$7:$BU$1576,BU1395,$AY$7:$AY$1576,"&gt;"&amp;AY1395)+SUMIFS($AV$7:$AV$1576,$BU$7:$BU$1576,BU1395,$AY$7:$AY$1576,AY1395,$BO$7:$BO$1576,"&lt;="&amp;BO1395),"")</f>
        <v>78.8631388844</v>
      </c>
      <c r="BA1395" s="65" t="n">
        <f aca="false">IF(AZ1395="",0,MAX(0,MIN(1,(IF(BU1395="L1",Parameter!$E$5,Parameter!$E$6+Parameter!$E$7)-(AZ1395-AV1395))/AV1395)))</f>
        <v>1</v>
      </c>
      <c r="BB1395" s="55" t="str">
        <f aca="false">IF(AF1395&lt;=0,"",IF(BU1395="Aussen","Aussenlager",IF(BU1395="-","Nicht im Lift",IF(AK1395&gt;=1,"Lift",IF(AK1395&lt;=0,"Aussenlager","teilweise")))))</f>
        <v/>
      </c>
      <c r="BC1395" s="55" t="str">
        <f aca="false">IF(AN1395&lt;=0,"",IF(BU1395="Aussen","Aussenlager",IF(BU1395="-","Nicht im Lift",IF(AS1395&gt;=1,"Lift",IF(AS1395&lt;=0,"Aussenlager","teilweise")))))</f>
        <v>Lift</v>
      </c>
      <c r="BD1395" s="55" t="str">
        <f aca="false">IF(AV1395&lt;=0,"",IF(BU1395="Aussen","Aussenlager",IF(BU1395="-","Nicht im Lift",IF(BA1395&gt;=1,"Lift",IF(BA1395&lt;=0,"Aussenlager","teilweise")))))</f>
        <v>Lift</v>
      </c>
      <c r="BE1395" s="55" t="str">
        <f aca="false">IF(A1395="","",IF(BN1395=1,"Neu; ","")&amp;IF(AND(BN1395=0,BI1395&lt;0),"negativer Bestand (Export "&amp;BI1395&amp;"); ","")&amp;IF(I1395&lt;=0,"Kein Verbrauch; ","")&amp;IF(CD1395&gt;0,"Lift "&amp;U1395&amp;" lt. Liftbericht (Fach "&amp;V1395&amp;" Stk); ",IF(BR1395=1,"Lose – Fläche geschätzt; ",""))&amp;IF(G1395&gt;AP1395,"Überbestand "&amp;ROUND(G1395-AP1395,0)&amp;" Stk / CHF "&amp;ROUND((G1395-AP1395)*F1395,0)&amp;"; ","")&amp;IF(AND(BW1395=1,BX1395&lt;BY1395),"MAX &lt; MB+LG; ","")&amp;IF(AND(CC1395&gt;0,CB1395*10&gt;CC1395),"zu hoch für Tablar; ","")&amp;IF(AND(BN1395=0,OR(BW1395=1,Y1395&lt;&gt;"",S1395&lt;&gt;"",T1395&lt;&gt;"",Z1395&lt;&gt;"")),"manuell übersteuert; ","")&amp;IF(AND(BR1395=0,Q1395=0),"Gebinde unbekannt / Stellmass fehlt; ","")&amp;IF(AND(BR1395=0,N(T1395)&lt;=0,N(P1395)&lt;=0),"Menge pro Gebinde fehlt (Ist = 1 Gebinde); ","")&amp;BM1395)</f>
        <v>negativer Bestand (Export -41); </v>
      </c>
      <c r="BF1395" s="55"/>
      <c r="BG1395" s="55"/>
      <c r="BH1395" s="62"/>
      <c r="BI1395" s="57" t="n">
        <v>-41</v>
      </c>
      <c r="BJ1395" s="57" t="n">
        <v>76</v>
      </c>
      <c r="BK1395" s="56" t="n">
        <v>-3800.29</v>
      </c>
      <c r="BL1395" s="57" t="n">
        <v>2</v>
      </c>
      <c r="BM1395" s="55"/>
      <c r="BN1395" s="60" t="n">
        <v>0</v>
      </c>
      <c r="BO1395" s="60" t="n">
        <v>1395</v>
      </c>
      <c r="BP1395" s="55" t="str">
        <f aca="false">IF(S1395&lt;&gt;"",UPPER(TRIM(S1395)),IF(O1395="","LOSE",O1395))</f>
        <v>S51</v>
      </c>
      <c r="BQ1395" s="57" t="n">
        <f aca="false">IF(BP1395="LOSE",1,IF(N(T1395)&gt;0,T1395,IF(N(P1395)&gt;0,P1395,MAX(1,G1395))))</f>
        <v>60</v>
      </c>
      <c r="BR1395" s="60" t="n">
        <f aca="false">IF(BP1395="LOSE",1,0)</f>
        <v>0</v>
      </c>
      <c r="BS1395" s="59" t="n">
        <f aca="false">IF(BR1395=0,0,IF(N(R1395)&gt;0,R1395,IFERROR(VLOOKUP(D1395,Parameter!$A$35:$C$64,3,0)+0,0)))</f>
        <v>0</v>
      </c>
      <c r="BT1395" s="55" t="n">
        <f aca="false">IF(Y1395&lt;&gt;"",Y1395,X1395)</f>
        <v>3</v>
      </c>
      <c r="BU1395" s="55" t="str">
        <f aca="false">IF(BT1395=1,"L1",IF(OR(BT1395=2,BT1395=3),"L23",IF(BT1395="Aussen","Aussen","-")))</f>
        <v>L23</v>
      </c>
      <c r="BV1395" s="66" t="n">
        <f aca="false">IF(N(Z1395)&gt;0,Z1395,0)</f>
        <v>0</v>
      </c>
      <c r="BW1395" s="60" t="n">
        <f aca="false">IF(ISNUMBER(AC1395),1,0)</f>
        <v>0</v>
      </c>
      <c r="BX1395" s="57" t="n">
        <f aca="false">N(AC1395)</f>
        <v>0</v>
      </c>
      <c r="BY1395" s="57" t="n">
        <f aca="false">N(L1395)+N(M1395)</f>
        <v>1</v>
      </c>
      <c r="BZ1395" s="57" t="n">
        <f aca="false">ROUNDUP(G1395/BQ1395,0)</f>
        <v>0</v>
      </c>
      <c r="CA1395" s="57" t="n">
        <f aca="false">ROUNDUP(BX1395/BQ1395,0)</f>
        <v>0</v>
      </c>
      <c r="CB1395" s="60" t="n">
        <f aca="false">IF(BR1395=1,0,IFERROR(VLOOKUP(BP1395,'Gebinde-Kategorie'!$A$5:$M$45,5,0)+0,0))</f>
        <v>11</v>
      </c>
      <c r="CC1395" s="60" t="n">
        <f aca="false">IFERROR(IF(OR(BT1395=1,BT1395=2,BT1395=3),N(INDEX(Parameter!$I$5:$I$7,BT1395)),0),0)</f>
        <v>0</v>
      </c>
      <c r="CD1395" s="59" t="n">
        <f aca="false">IF(AND(Parameter!$B$21="Ja",ISNUMBER(U1395),N(V1395)&gt;0),IFERROR(N(INDEX(Parameter!$L$5:$L$7,U1395))*INDEX(Parameter!$E$5:$E$7,U1395)*V1395/SUMIFS($V$7:$V$1576,$U$7:$U$1576,U1395),0),0)</f>
        <v>0</v>
      </c>
    </row>
    <row r="1396" customFormat="false" ht="15" hidden="false" customHeight="false" outlineLevel="0" collapsed="false">
      <c r="A1396" s="55" t="s">
        <v>2439</v>
      </c>
      <c r="B1396" s="55" t="s">
        <v>2440</v>
      </c>
      <c r="C1396" s="55" t="s">
        <v>160</v>
      </c>
      <c r="D1396" s="55" t="s">
        <v>168</v>
      </c>
      <c r="E1396" s="55" t="s">
        <v>210</v>
      </c>
      <c r="F1396" s="56" t="n">
        <v>785</v>
      </c>
      <c r="G1396" s="57" t="n">
        <f aca="false">MAX(0,IF(AND(Parameter!$B$21="Ja",ISNUMBER(W1396)),W1396,IF(Parameter!$B$20="Jahresanfang 2025 + Export",BJ1396+BI1396,BI1396)))</f>
        <v>0</v>
      </c>
      <c r="H1396" s="57" t="n">
        <f aca="false">G1396*F1396</f>
        <v>0</v>
      </c>
      <c r="I1396" s="57" t="n">
        <f aca="false">BL1396*Parameter!$B$18</f>
        <v>3</v>
      </c>
      <c r="J1396" s="58" t="n">
        <v>4.5</v>
      </c>
      <c r="K1396" s="59" t="n">
        <v>0.666666666666667</v>
      </c>
      <c r="L1396" s="57" t="n">
        <v>1</v>
      </c>
      <c r="M1396" s="57" t="n">
        <v>5</v>
      </c>
      <c r="N1396" s="60" t="n">
        <v>140</v>
      </c>
      <c r="O1396" s="55" t="s">
        <v>215</v>
      </c>
      <c r="P1396" s="57" t="n">
        <v>2</v>
      </c>
      <c r="Q1396" s="60" t="n">
        <f aca="false">IF(BR1396=1,0,IFERROR(VLOOKUP(BP1396,'Gebinde-Kategorie'!$A$5:$M$45,13,0)+0,0))</f>
        <v>3</v>
      </c>
      <c r="R1396" s="61"/>
      <c r="S1396" s="62"/>
      <c r="T1396" s="62"/>
      <c r="U1396" s="55"/>
      <c r="V1396" s="57"/>
      <c r="W1396" s="57"/>
      <c r="X1396" s="55" t="n">
        <f aca="false">IF(A1396="","",IF(AND(Parameter!$B$21="Ja",ISNUMBER(U1396)),U1396,IF(IFERROR(VLOOKUP(D1396,Parameter!$A$35:$C$64,2,0),"Nein")="2+3",IF(ISNUMBER(SEARCH("grosser Artikel",BM1396)),2,IFERROR(VLOOKUP(BP1396,Parameter!$F$35:$G$64,2,0),2)),IF(OR(IFERROR(VLOOKUP(D1396,Parameter!$A$35:$C$64,2,0),"Nein")="Nein",IFERROR(VLOOKUP(D1396,Parameter!$A$35:$C$64,2,0),"Nein")=""),"-",VLOOKUP(D1396,Parameter!$A$35:$C$64,2,0)))))</f>
        <v>2</v>
      </c>
      <c r="Y1396" s="62"/>
      <c r="Z1396" s="63"/>
      <c r="AA1396" s="57" t="n">
        <f aca="false">AP1396</f>
        <v>6</v>
      </c>
      <c r="AB1396" s="57" t="n">
        <f aca="false">MAX(AP1396,G1396)</f>
        <v>6</v>
      </c>
      <c r="AC1396" s="64"/>
      <c r="AD1396" s="57" t="n">
        <f aca="false">IF(LEFT(Cockpit!$C$5,1)="A",G1396,IF(BW1396=1,BX1396,IF(LEFT(Cockpit!$C$5,1)="B",AH1396,MAX(AH1396,G1396))))</f>
        <v>0</v>
      </c>
      <c r="AE1396" s="57" t="n">
        <f aca="false">IF(BR1396=1,0,ROUNDUP(AD1396/BQ1396,0))</f>
        <v>0</v>
      </c>
      <c r="AF1396" s="59" t="n">
        <f aca="false">IF(CD1396&gt;0,CD1396*MAX(1,AD1396/V1396),IF(BR1396=1,IF(AD1396&lt;=0,0,BS1396*MAX(1,IF(G1396&gt;0,AD1396/G1396,1))),IF(Q1396&gt;0,AE1396/Q1396,0))/MAX(0.1,N(Parameter!$M$21)))</f>
        <v>0</v>
      </c>
      <c r="AG1396" s="57" t="n">
        <f aca="false">AD1396*F1396</f>
        <v>0</v>
      </c>
      <c r="AH1396" s="57" t="n">
        <f aca="false">ROUNDUP(MAX(I1396/IF(BV1396&gt;0,BV1396,MAX(0.1,N(Cockpit!$C$6))),BY1396)/BQ1396,0)*BQ1396</f>
        <v>6</v>
      </c>
      <c r="AI1396" s="58" t="n">
        <f aca="false">IF(AF1396&gt;0,I1396/AF1396,-1)</f>
        <v>-1</v>
      </c>
      <c r="AJ1396" s="58" t="str">
        <f aca="false">IF(AND(OR(BU1396="L1",BU1396="L23"),AF1396&gt;0),SUMIFS($AF$7:$AF$1576,$BU$7:$BU$1576,BU1396,$AI$7:$AI$1576,"&gt;"&amp;AI1396)+SUMIFS($AF$7:$AF$1576,$BU$7:$BU$1576,BU1396,$AI$7:$AI$1576,AI1396,$BO$7:$BO$1576,"&lt;="&amp;BO1396),"")</f>
        <v/>
      </c>
      <c r="AK1396" s="65" t="n">
        <f aca="false">IF(AJ1396="",0,MAX(0,MIN(1,(IF(BU1396="L1",Parameter!$E$5,Parameter!$E$6+Parameter!$E$7)-(AJ1396-AF1396))/AF1396)))</f>
        <v>0</v>
      </c>
      <c r="AL1396" s="57" t="n">
        <f aca="false">IF(LEFT(Cockpit!$I$5,1)="A",G1396,IF(BW1396=1,BX1396,IF(LEFT(Cockpit!$I$5,1)="B",AP1396,MAX(AP1396,G1396))))</f>
        <v>6</v>
      </c>
      <c r="AM1396" s="57" t="n">
        <f aca="false">IF(BR1396=1,0,ROUNDUP(AL1396/BQ1396,0))</f>
        <v>3</v>
      </c>
      <c r="AN1396" s="59" t="n">
        <f aca="false">IF(CD1396&gt;0,CD1396*MAX(1,AL1396/V1396),IF(BR1396=1,IF(AL1396&lt;=0,0,BS1396*MAX(1,IF(G1396&gt;0,AL1396/G1396,1))),IF(Q1396&gt;0,AM1396/Q1396,0))/MAX(0.1,N(Parameter!$M$21)))</f>
        <v>1</v>
      </c>
      <c r="AO1396" s="57" t="n">
        <f aca="false">AL1396*F1396</f>
        <v>4710</v>
      </c>
      <c r="AP1396" s="57" t="n">
        <f aca="false">ROUNDUP(MAX(I1396/IF(BV1396&gt;0,BV1396,MAX(0.1,N(Cockpit!$I$6))),BY1396)/BQ1396,0)*BQ1396</f>
        <v>6</v>
      </c>
      <c r="AQ1396" s="58" t="n">
        <f aca="false">IF(AN1396&gt;0,I1396/AN1396,-1)</f>
        <v>3</v>
      </c>
      <c r="AR1396" s="58" t="n">
        <f aca="false">IF(AND(OR(BU1396="L1",BU1396="L23"),AN1396&gt;0),SUMIFS($AN$7:$AN$1576,$BU$7:$BU$1576,BU1396,$AQ$7:$AQ$1576,"&gt;"&amp;AQ1396)+SUMIFS($AN$7:$AN$1576,$BU$7:$BU$1576,BU1396,$AQ$7:$AQ$1576,AQ1396,$BO$7:$BO$1576,"&lt;="&amp;BO1396),"")</f>
        <v>114.292434588696</v>
      </c>
      <c r="AS1396" s="65" t="n">
        <f aca="false">IF(AR1396="",0,MAX(0,MIN(1,(IF(BU1396="L1",Parameter!$E$5,Parameter!$E$6+Parameter!$E$7)-(AR1396-AN1396))/AN1396)))</f>
        <v>0</v>
      </c>
      <c r="AT1396" s="57" t="n">
        <f aca="false">IF(LEFT(Cockpit!$O$5,1)="A",G1396,IF(BW1396=1,BX1396,IF(LEFT(Cockpit!$O$5,1)="B",AX1396,MAX(AX1396,G1396))))</f>
        <v>6</v>
      </c>
      <c r="AU1396" s="57" t="n">
        <f aca="false">IF(BR1396=1,0,ROUNDUP(AT1396/BQ1396,0))</f>
        <v>3</v>
      </c>
      <c r="AV1396" s="59" t="n">
        <f aca="false">IF(CD1396&gt;0,CD1396*MAX(1,AT1396/V1396),IF(BR1396=1,IF(AT1396&lt;=0,0,BS1396*MAX(1,IF(G1396&gt;0,AT1396/G1396,1))),IF(Q1396&gt;0,AU1396/Q1396,0))/MAX(0.1,N(Parameter!$M$21)))</f>
        <v>1</v>
      </c>
      <c r="AW1396" s="57" t="n">
        <f aca="false">AT1396*F1396</f>
        <v>4710</v>
      </c>
      <c r="AX1396" s="57" t="n">
        <f aca="false">ROUNDUP(MAX(I1396/IF(BV1396&gt;0,BV1396,MAX(0.1,N(Cockpit!$O$6))),BY1396)/BQ1396,0)*BQ1396</f>
        <v>6</v>
      </c>
      <c r="AY1396" s="58" t="n">
        <f aca="false">IF(AV1396&gt;0,I1396/AV1396,-1)</f>
        <v>3</v>
      </c>
      <c r="AZ1396" s="58" t="n">
        <f aca="false">IF(AND(OR(BU1396="L1",BU1396="L23"),AV1396&gt;0),SUMIFS($AV$7:$AV$1576,$BU$7:$BU$1576,BU1396,$AY$7:$AY$1576,"&gt;"&amp;AY1396)+SUMIFS($AV$7:$AV$1576,$BU$7:$BU$1576,BU1396,$AY$7:$AY$1576,AY1396,$BO$7:$BO$1576,"&lt;="&amp;BO1396),"")</f>
        <v>104.351985038246</v>
      </c>
      <c r="BA1396" s="65" t="n">
        <f aca="false">IF(AZ1396="",0,MAX(0,MIN(1,(IF(BU1396="L1",Parameter!$E$5,Parameter!$E$6+Parameter!$E$7)-(AZ1396-AV1396))/AV1396)))</f>
        <v>0</v>
      </c>
      <c r="BB1396" s="55" t="str">
        <f aca="false">IF(AF1396&lt;=0,"",IF(BU1396="Aussen","Aussenlager",IF(BU1396="-","Nicht im Lift",IF(AK1396&gt;=1,"Lift",IF(AK1396&lt;=0,"Aussenlager","teilweise")))))</f>
        <v/>
      </c>
      <c r="BC1396" s="55" t="str">
        <f aca="false">IF(AN1396&lt;=0,"",IF(BU1396="Aussen","Aussenlager",IF(BU1396="-","Nicht im Lift",IF(AS1396&gt;=1,"Lift",IF(AS1396&lt;=0,"Aussenlager","teilweise")))))</f>
        <v>Aussenlager</v>
      </c>
      <c r="BD1396" s="55" t="str">
        <f aca="false">IF(AV1396&lt;=0,"",IF(BU1396="Aussen","Aussenlager",IF(BU1396="-","Nicht im Lift",IF(BA1396&gt;=1,"Lift",IF(BA1396&lt;=0,"Aussenlager","teilweise")))))</f>
        <v>Aussenlager</v>
      </c>
      <c r="BE1396" s="55" t="str">
        <f aca="false">IF(A1396="","",IF(BN1396=1,"Neu; ","")&amp;IF(AND(BN1396=0,BI1396&lt;0),"negativer Bestand (Export "&amp;BI1396&amp;"); ","")&amp;IF(I1396&lt;=0,"Kein Verbrauch; ","")&amp;IF(CD1396&gt;0,"Lift "&amp;U1396&amp;" lt. Liftbericht (Fach "&amp;V1396&amp;" Stk); ",IF(BR1396=1,"Lose – Fläche geschätzt; ",""))&amp;IF(G1396&gt;AP1396,"Überbestand "&amp;ROUND(G1396-AP1396,0)&amp;" Stk / CHF "&amp;ROUND((G1396-AP1396)*F1396,0)&amp;"; ","")&amp;IF(AND(BW1396=1,BX1396&lt;BY1396),"MAX &lt; MB+LG; ","")&amp;IF(AND(CC1396&gt;0,CB1396*10&gt;CC1396),"zu hoch für Tablar; ","")&amp;IF(AND(BN1396=0,OR(BW1396=1,Y1396&lt;&gt;"",S1396&lt;&gt;"",T1396&lt;&gt;"",Z1396&lt;&gt;"")),"manuell übersteuert; ","")&amp;IF(AND(BR1396=0,Q1396=0),"Gebinde unbekannt / Stellmass fehlt; ","")&amp;IF(AND(BR1396=0,N(T1396)&lt;=0,N(P1396)&lt;=0),"Menge pro Gebinde fehlt (Ist = 1 Gebinde); ","")&amp;BM1396)</f>
        <v>negativer Bestand (Export -5); Neuer Art.</v>
      </c>
      <c r="BF1396" s="55"/>
      <c r="BG1396" s="55"/>
      <c r="BH1396" s="62"/>
      <c r="BI1396" s="57" t="n">
        <v>-5</v>
      </c>
      <c r="BJ1396" s="57" t="n">
        <v>7</v>
      </c>
      <c r="BK1396" s="56" t="n">
        <v>-3925</v>
      </c>
      <c r="BL1396" s="57" t="n">
        <v>3</v>
      </c>
      <c r="BM1396" s="55" t="s">
        <v>501</v>
      </c>
      <c r="BN1396" s="60" t="n">
        <v>0</v>
      </c>
      <c r="BO1396" s="60" t="n">
        <v>1396</v>
      </c>
      <c r="BP1396" s="55" t="str">
        <f aca="false">IF(S1396&lt;&gt;"",UPPER(TRIM(S1396)),IF(O1396="","LOSE",O1396))</f>
        <v>S81</v>
      </c>
      <c r="BQ1396" s="57" t="n">
        <f aca="false">IF(BP1396="LOSE",1,IF(N(T1396)&gt;0,T1396,IF(N(P1396)&gt;0,P1396,MAX(1,G1396))))</f>
        <v>2</v>
      </c>
      <c r="BR1396" s="60" t="n">
        <f aca="false">IF(BP1396="LOSE",1,0)</f>
        <v>0</v>
      </c>
      <c r="BS1396" s="59" t="n">
        <f aca="false">IF(BR1396=0,0,IF(N(R1396)&gt;0,R1396,IFERROR(VLOOKUP(D1396,Parameter!$A$35:$C$64,3,0)+0,0)))</f>
        <v>0</v>
      </c>
      <c r="BT1396" s="55" t="n">
        <f aca="false">IF(Y1396&lt;&gt;"",Y1396,X1396)</f>
        <v>2</v>
      </c>
      <c r="BU1396" s="55" t="str">
        <f aca="false">IF(BT1396=1,"L1",IF(OR(BT1396=2,BT1396=3),"L23",IF(BT1396="Aussen","Aussen","-")))</f>
        <v>L23</v>
      </c>
      <c r="BV1396" s="66" t="n">
        <f aca="false">IF(N(Z1396)&gt;0,Z1396,0)</f>
        <v>0</v>
      </c>
      <c r="BW1396" s="60" t="n">
        <f aca="false">IF(ISNUMBER(AC1396),1,0)</f>
        <v>0</v>
      </c>
      <c r="BX1396" s="57" t="n">
        <f aca="false">N(AC1396)</f>
        <v>0</v>
      </c>
      <c r="BY1396" s="57" t="n">
        <f aca="false">N(L1396)+N(M1396)</f>
        <v>6</v>
      </c>
      <c r="BZ1396" s="57" t="n">
        <f aca="false">ROUNDUP(G1396/BQ1396,0)</f>
        <v>0</v>
      </c>
      <c r="CA1396" s="57" t="n">
        <f aca="false">ROUNDUP(BX1396/BQ1396,0)</f>
        <v>0</v>
      </c>
      <c r="CB1396" s="60" t="n">
        <f aca="false">IF(BR1396=1,0,IFERROR(VLOOKUP(BP1396,'Gebinde-Kategorie'!$A$5:$M$45,5,0)+0,0))</f>
        <v>20</v>
      </c>
      <c r="CC1396" s="60" t="n">
        <f aca="false">IFERROR(IF(OR(BT1396=1,BT1396=2,BT1396=3),N(INDEX(Parameter!$I$5:$I$7,BT1396)),0),0)</f>
        <v>0</v>
      </c>
      <c r="CD1396" s="59" t="n">
        <f aca="false">IF(AND(Parameter!$B$21="Ja",ISNUMBER(U1396),N(V1396)&gt;0),IFERROR(N(INDEX(Parameter!$L$5:$L$7,U1396))*INDEX(Parameter!$E$5:$E$7,U1396)*V1396/SUMIFS($V$7:$V$1576,$U$7:$U$1576,U1396),0),0)</f>
        <v>0</v>
      </c>
    </row>
    <row r="1397" customFormat="false" ht="15" hidden="false" customHeight="false" outlineLevel="0" collapsed="false">
      <c r="A1397" s="55" t="s">
        <v>2441</v>
      </c>
      <c r="B1397" s="55" t="s">
        <v>245</v>
      </c>
      <c r="C1397" s="55" t="s">
        <v>162</v>
      </c>
      <c r="D1397" s="55" t="s">
        <v>161</v>
      </c>
      <c r="E1397" s="55" t="s">
        <v>210</v>
      </c>
      <c r="F1397" s="56" t="n">
        <v>1489.2</v>
      </c>
      <c r="G1397" s="57" t="n">
        <f aca="false">MAX(0,IF(AND(Parameter!$B$21="Ja",ISNUMBER(W1397)),W1397,IF(Parameter!$B$20="Jahresanfang 2025 + Export",BJ1397+BI1397,BI1397)))</f>
        <v>0</v>
      </c>
      <c r="H1397" s="57" t="n">
        <f aca="false">G1397*F1397</f>
        <v>0</v>
      </c>
      <c r="I1397" s="57" t="n">
        <f aca="false">BL1397*Parameter!$B$18</f>
        <v>15</v>
      </c>
      <c r="J1397" s="58" t="n">
        <v>4.5</v>
      </c>
      <c r="K1397" s="59" t="n">
        <v>3.33333333333333</v>
      </c>
      <c r="L1397" s="57" t="n">
        <v>0</v>
      </c>
      <c r="M1397" s="57" t="n">
        <v>5</v>
      </c>
      <c r="N1397" s="60" t="n">
        <v>21</v>
      </c>
      <c r="O1397" s="55" t="s">
        <v>163</v>
      </c>
      <c r="P1397" s="57"/>
      <c r="Q1397" s="60" t="n">
        <f aca="false">IF(BR1397=1,0,IFERROR(VLOOKUP(BP1397,'Gebinde-Kategorie'!$A$5:$M$45,13,0)+0,0))</f>
        <v>0</v>
      </c>
      <c r="R1397" s="61"/>
      <c r="S1397" s="62"/>
      <c r="T1397" s="62"/>
      <c r="U1397" s="55" t="n">
        <v>1</v>
      </c>
      <c r="V1397" s="57" t="n">
        <v>6</v>
      </c>
      <c r="W1397" s="57" t="n">
        <v>0</v>
      </c>
      <c r="X1397" s="55" t="n">
        <f aca="false">IF(A1397="","",IF(AND(Parameter!$B$21="Ja",ISNUMBER(U1397)),U1397,IF(IFERROR(VLOOKUP(D1397,Parameter!$A$35:$C$64,2,0),"Nein")="2+3",IF(ISNUMBER(SEARCH("grosser Artikel",BM1397)),2,IFERROR(VLOOKUP(BP1397,Parameter!$F$35:$G$64,2,0),2)),IF(OR(IFERROR(VLOOKUP(D1397,Parameter!$A$35:$C$64,2,0),"Nein")="Nein",IFERROR(VLOOKUP(D1397,Parameter!$A$35:$C$64,2,0),"Nein")=""),"-",VLOOKUP(D1397,Parameter!$A$35:$C$64,2,0)))))</f>
        <v>1</v>
      </c>
      <c r="Y1397" s="62"/>
      <c r="Z1397" s="63"/>
      <c r="AA1397" s="57" t="n">
        <f aca="false">AP1397</f>
        <v>8</v>
      </c>
      <c r="AB1397" s="57" t="n">
        <f aca="false">MAX(AP1397,G1397)</f>
        <v>8</v>
      </c>
      <c r="AC1397" s="64"/>
      <c r="AD1397" s="57" t="n">
        <f aca="false">IF(LEFT(Cockpit!$C$5,1)="A",G1397,IF(BW1397=1,BX1397,IF(LEFT(Cockpit!$C$5,1)="B",AH1397,MAX(AH1397,G1397))))</f>
        <v>0</v>
      </c>
      <c r="AE1397" s="57" t="n">
        <f aca="false">IF(BR1397=1,0,ROUNDUP(AD1397/BQ1397,0))</f>
        <v>0</v>
      </c>
      <c r="AF1397" s="59" t="n">
        <f aca="false">IF(CD1397&gt;0,CD1397*MAX(1,AD1397/V1397),IF(BR1397=1,IF(AD1397&lt;=0,0,BS1397*MAX(1,IF(G1397&gt;0,AD1397/G1397,1))),IF(Q1397&gt;0,AE1397/Q1397,0))/MAX(0.1,N(Parameter!$M$21)))</f>
        <v>0.480225988700565</v>
      </c>
      <c r="AG1397" s="57" t="n">
        <f aca="false">AD1397*F1397</f>
        <v>0</v>
      </c>
      <c r="AH1397" s="57" t="n">
        <f aca="false">ROUNDUP(MAX(I1397/IF(BV1397&gt;0,BV1397,MAX(0.1,N(Cockpit!$C$6))),BY1397)/BQ1397,0)*BQ1397</f>
        <v>8</v>
      </c>
      <c r="AI1397" s="58" t="n">
        <f aca="false">IF(AF1397&gt;0,I1397/AF1397,-1)</f>
        <v>31.2352941176471</v>
      </c>
      <c r="AJ1397" s="58" t="n">
        <f aca="false">IF(AND(OR(BU1397="L1",BU1397="L23"),AF1397&gt;0),SUMIFS($AF$7:$AF$1576,$BU$7:$BU$1576,BU1397,$AI$7:$AI$1576,"&gt;"&amp;AI1397)+SUMIFS($AF$7:$AF$1576,$BU$7:$BU$1576,BU1397,$AI$7:$AI$1576,AI1397,$BO$7:$BO$1576,"&lt;="&amp;BO1397),"")</f>
        <v>4.24199623352166</v>
      </c>
      <c r="AK1397" s="65" t="n">
        <f aca="false">IF(AJ1397="",0,MAX(0,MIN(1,(IF(BU1397="L1",Parameter!$E$5,Parameter!$E$6+Parameter!$E$7)-(AJ1397-AF1397))/AF1397)))</f>
        <v>1</v>
      </c>
      <c r="AL1397" s="57" t="n">
        <f aca="false">IF(LEFT(Cockpit!$I$5,1)="A",G1397,IF(BW1397=1,BX1397,IF(LEFT(Cockpit!$I$5,1)="B",AP1397,MAX(AP1397,G1397))))</f>
        <v>8</v>
      </c>
      <c r="AM1397" s="57" t="n">
        <f aca="false">IF(BR1397=1,0,ROUNDUP(AL1397/BQ1397,0))</f>
        <v>0</v>
      </c>
      <c r="AN1397" s="59" t="n">
        <f aca="false">IF(CD1397&gt;0,CD1397*MAX(1,AL1397/V1397),IF(BR1397=1,IF(AL1397&lt;=0,0,BS1397*MAX(1,IF(G1397&gt;0,AL1397/G1397,1))),IF(Q1397&gt;0,AM1397/Q1397,0))/MAX(0.1,N(Parameter!$M$21)))</f>
        <v>0.64030131826742</v>
      </c>
      <c r="AO1397" s="57" t="n">
        <f aca="false">AL1397*F1397</f>
        <v>11913.6</v>
      </c>
      <c r="AP1397" s="57" t="n">
        <f aca="false">ROUNDUP(MAX(I1397/IF(BV1397&gt;0,BV1397,MAX(0.1,N(Cockpit!$I$6))),BY1397)/BQ1397,0)*BQ1397</f>
        <v>8</v>
      </c>
      <c r="AQ1397" s="58" t="n">
        <f aca="false">IF(AN1397&gt;0,I1397/AN1397,-1)</f>
        <v>23.4264705882353</v>
      </c>
      <c r="AR1397" s="58" t="n">
        <f aca="false">IF(AND(OR(BU1397="L1",BU1397="L23"),AN1397&gt;0),SUMIFS($AN$7:$AN$1576,$BU$7:$BU$1576,BU1397,$AQ$7:$AQ$1576,"&gt;"&amp;AQ1397)+SUMIFS($AN$7:$AN$1576,$BU$7:$BU$1576,BU1397,$AQ$7:$AQ$1576,AQ1397,$BO$7:$BO$1576,"&lt;="&amp;BO1397),"")</f>
        <v>15.4472693032015</v>
      </c>
      <c r="AS1397" s="65" t="n">
        <f aca="false">IF(AR1397="",0,MAX(0,MIN(1,(IF(BU1397="L1",Parameter!$E$5,Parameter!$E$6+Parameter!$E$7)-(AR1397-AN1397))/AN1397)))</f>
        <v>1</v>
      </c>
      <c r="AT1397" s="57" t="n">
        <f aca="false">IF(LEFT(Cockpit!$O$5,1)="A",G1397,IF(BW1397=1,BX1397,IF(LEFT(Cockpit!$O$5,1)="B",AX1397,MAX(AX1397,G1397))))</f>
        <v>5</v>
      </c>
      <c r="AU1397" s="57" t="n">
        <f aca="false">IF(BR1397=1,0,ROUNDUP(AT1397/BQ1397,0))</f>
        <v>0</v>
      </c>
      <c r="AV1397" s="59" t="n">
        <f aca="false">IF(CD1397&gt;0,CD1397*MAX(1,AT1397/V1397),IF(BR1397=1,IF(AT1397&lt;=0,0,BS1397*MAX(1,IF(G1397&gt;0,AT1397/G1397,1))),IF(Q1397&gt;0,AU1397/Q1397,0))/MAX(0.1,N(Parameter!$M$21)))</f>
        <v>0.480225988700565</v>
      </c>
      <c r="AW1397" s="57" t="n">
        <f aca="false">AT1397*F1397</f>
        <v>7446</v>
      </c>
      <c r="AX1397" s="57" t="n">
        <f aca="false">ROUNDUP(MAX(I1397/IF(BV1397&gt;0,BV1397,MAX(0.1,N(Cockpit!$O$6))),BY1397)/BQ1397,0)*BQ1397</f>
        <v>5</v>
      </c>
      <c r="AY1397" s="58" t="n">
        <f aca="false">IF(AV1397&gt;0,I1397/AV1397,-1)</f>
        <v>31.2352941176471</v>
      </c>
      <c r="AZ1397" s="58" t="n">
        <f aca="false">IF(AND(OR(BU1397="L1",BU1397="L23"),AV1397&gt;0),SUMIFS($AV$7:$AV$1576,$BU$7:$BU$1576,BU1397,$AY$7:$AY$1576,"&gt;"&amp;AY1397)+SUMIFS($AV$7:$AV$1576,$BU$7:$BU$1576,BU1397,$AY$7:$AY$1576,AY1397,$BO$7:$BO$1576,"&lt;="&amp;BO1397),"")</f>
        <v>5.68267419962335</v>
      </c>
      <c r="BA1397" s="65" t="n">
        <f aca="false">IF(AZ1397="",0,MAX(0,MIN(1,(IF(BU1397="L1",Parameter!$E$5,Parameter!$E$6+Parameter!$E$7)-(AZ1397-AV1397))/AV1397)))</f>
        <v>1</v>
      </c>
      <c r="BB1397" s="55" t="str">
        <f aca="false">IF(AF1397&lt;=0,"",IF(BU1397="Aussen","Aussenlager",IF(BU1397="-","Nicht im Lift",IF(AK1397&gt;=1,"Lift",IF(AK1397&lt;=0,"Aussenlager","teilweise")))))</f>
        <v>Lift</v>
      </c>
      <c r="BC1397" s="55" t="str">
        <f aca="false">IF(AN1397&lt;=0,"",IF(BU1397="Aussen","Aussenlager",IF(BU1397="-","Nicht im Lift",IF(AS1397&gt;=1,"Lift",IF(AS1397&lt;=0,"Aussenlager","teilweise")))))</f>
        <v>Lift</v>
      </c>
      <c r="BD1397" s="55" t="str">
        <f aca="false">IF(AV1397&lt;=0,"",IF(BU1397="Aussen","Aussenlager",IF(BU1397="-","Nicht im Lift",IF(BA1397&gt;=1,"Lift",IF(BA1397&lt;=0,"Aussenlager","teilweise")))))</f>
        <v>Lift</v>
      </c>
      <c r="BE1397" s="55" t="str">
        <f aca="false">IF(A1397="","",IF(BN1397=1,"Neu; ","")&amp;IF(AND(BN1397=0,BI1397&lt;0),"negativer Bestand (Export "&amp;BI1397&amp;"); ","")&amp;IF(I1397&lt;=0,"Kein Verbrauch; ","")&amp;IF(CD1397&gt;0,"Lift "&amp;U1397&amp;" lt. Liftbericht (Fach "&amp;V1397&amp;" Stk); ",IF(BR1397=1,"Lose – Fläche geschätzt; ",""))&amp;IF(G1397&gt;AP1397,"Überbestand "&amp;ROUND(G1397-AP1397,0)&amp;" Stk / CHF "&amp;ROUND((G1397-AP1397)*F1397,0)&amp;"; ","")&amp;IF(AND(BW1397=1,BX1397&lt;BY1397),"MAX &lt; MB+LG; ","")&amp;IF(AND(CC1397&gt;0,CB1397*10&gt;CC1397),"zu hoch für Tablar; ","")&amp;IF(AND(BN1397=0,OR(BW1397=1,Y1397&lt;&gt;"",S1397&lt;&gt;"",T1397&lt;&gt;"",Z1397&lt;&gt;"")),"manuell übersteuert; ","")&amp;IF(AND(BR1397=0,Q1397=0),"Gebinde unbekannt / Stellmass fehlt; ","")&amp;IF(AND(BR1397=0,N(T1397)&lt;=0,N(P1397)&lt;=0),"Menge pro Gebinde fehlt (Ist = 1 Gebinde); ","")&amp;BM1397)</f>
        <v>negativer Bestand (Export -3); Lift 1 lt. Liftbericht (Fach 6 Stk); </v>
      </c>
      <c r="BF1397" s="55"/>
      <c r="BG1397" s="55"/>
      <c r="BH1397" s="62"/>
      <c r="BI1397" s="57" t="n">
        <v>-3</v>
      </c>
      <c r="BJ1397" s="57" t="n">
        <v>3</v>
      </c>
      <c r="BK1397" s="56" t="n">
        <v>-3942.66</v>
      </c>
      <c r="BL1397" s="57" t="n">
        <v>15</v>
      </c>
      <c r="BM1397" s="55"/>
      <c r="BN1397" s="60" t="n">
        <v>0</v>
      </c>
      <c r="BO1397" s="60" t="n">
        <v>1397</v>
      </c>
      <c r="BP1397" s="55" t="str">
        <f aca="false">IF(S1397&lt;&gt;"",UPPER(TRIM(S1397)),IF(O1397="","LOSE",O1397))</f>
        <v>LOSE</v>
      </c>
      <c r="BQ1397" s="57" t="n">
        <f aca="false">IF(BP1397="LOSE",1,IF(N(T1397)&gt;0,T1397,IF(N(P1397)&gt;0,P1397,MAX(1,G1397))))</f>
        <v>1</v>
      </c>
      <c r="BR1397" s="60" t="n">
        <f aca="false">IF(BP1397="LOSE",1,0)</f>
        <v>1</v>
      </c>
      <c r="BS1397" s="59" t="n">
        <f aca="false">IF(BR1397=0,0,IF(N(R1397)&gt;0,R1397,IFERROR(VLOOKUP(D1397,Parameter!$A$35:$C$64,3,0)+0,0)))</f>
        <v>1</v>
      </c>
      <c r="BT1397" s="55" t="n">
        <f aca="false">IF(Y1397&lt;&gt;"",Y1397,X1397)</f>
        <v>1</v>
      </c>
      <c r="BU1397" s="55" t="str">
        <f aca="false">IF(BT1397=1,"L1",IF(OR(BT1397=2,BT1397=3),"L23",IF(BT1397="Aussen","Aussen","-")))</f>
        <v>L1</v>
      </c>
      <c r="BV1397" s="66" t="n">
        <f aca="false">IF(N(Z1397)&gt;0,Z1397,0)</f>
        <v>0</v>
      </c>
      <c r="BW1397" s="60" t="n">
        <f aca="false">IF(ISNUMBER(AC1397),1,0)</f>
        <v>0</v>
      </c>
      <c r="BX1397" s="57" t="n">
        <f aca="false">N(AC1397)</f>
        <v>0</v>
      </c>
      <c r="BY1397" s="57" t="n">
        <f aca="false">N(L1397)+N(M1397)</f>
        <v>5</v>
      </c>
      <c r="BZ1397" s="57" t="n">
        <f aca="false">ROUNDUP(G1397/BQ1397,0)</f>
        <v>0</v>
      </c>
      <c r="CA1397" s="57" t="n">
        <f aca="false">ROUNDUP(BX1397/BQ1397,0)</f>
        <v>0</v>
      </c>
      <c r="CB1397" s="60" t="n">
        <f aca="false">IF(BR1397=1,0,IFERROR(VLOOKUP(BP1397,'Gebinde-Kategorie'!$A$5:$M$45,5,0)+0,0))</f>
        <v>0</v>
      </c>
      <c r="CC1397" s="60" t="n">
        <f aca="false">IFERROR(IF(OR(BT1397=1,BT1397=2,BT1397=3),N(INDEX(Parameter!$I$5:$I$7,BT1397)),0),0)</f>
        <v>0</v>
      </c>
      <c r="CD1397" s="59" t="n">
        <f aca="false">IF(AND(Parameter!$B$21="Ja",ISNUMBER(U1397),N(V1397)&gt;0),IFERROR(N(INDEX(Parameter!$L$5:$L$7,U1397))*INDEX(Parameter!$E$5:$E$7,U1397)*V1397/SUMIFS($V$7:$V$1576,$U$7:$U$1576,U1397),0),0)</f>
        <v>0.480225988700565</v>
      </c>
    </row>
    <row r="1398" customFormat="false" ht="15" hidden="false" customHeight="false" outlineLevel="0" collapsed="false">
      <c r="A1398" s="55" t="s">
        <v>2442</v>
      </c>
      <c r="B1398" s="55" t="s">
        <v>2443</v>
      </c>
      <c r="C1398" s="55" t="s">
        <v>160</v>
      </c>
      <c r="D1398" s="55" t="s">
        <v>168</v>
      </c>
      <c r="E1398" s="55" t="s">
        <v>210</v>
      </c>
      <c r="F1398" s="56" t="n">
        <v>1024.61</v>
      </c>
      <c r="G1398" s="57" t="n">
        <f aca="false">MAX(0,IF(AND(Parameter!$B$21="Ja",ISNUMBER(W1398)),W1398,IF(Parameter!$B$20="Jahresanfang 2025 + Export",BJ1398+BI1398,BI1398)))</f>
        <v>0</v>
      </c>
      <c r="H1398" s="57" t="n">
        <f aca="false">G1398*F1398</f>
        <v>0</v>
      </c>
      <c r="I1398" s="57" t="n">
        <f aca="false">BL1398*Parameter!$B$18</f>
        <v>160</v>
      </c>
      <c r="J1398" s="58" t="n">
        <v>23</v>
      </c>
      <c r="K1398" s="59" t="n">
        <v>6.95652173913044</v>
      </c>
      <c r="L1398" s="57" t="n">
        <v>9</v>
      </c>
      <c r="M1398" s="57" t="n">
        <v>16</v>
      </c>
      <c r="N1398" s="60" t="n">
        <v>21</v>
      </c>
      <c r="O1398" s="55" t="s">
        <v>169</v>
      </c>
      <c r="P1398" s="57" t="n">
        <v>36</v>
      </c>
      <c r="Q1398" s="60" t="n">
        <f aca="false">IF(BR1398=1,0,IFERROR(VLOOKUP(BP1398,'Gebinde-Kategorie'!$A$5:$M$45,13,0)+0,0))</f>
        <v>6</v>
      </c>
      <c r="R1398" s="61"/>
      <c r="S1398" s="62"/>
      <c r="T1398" s="62"/>
      <c r="U1398" s="55"/>
      <c r="V1398" s="57"/>
      <c r="W1398" s="57"/>
      <c r="X1398" s="55" t="n">
        <f aca="false">IF(A1398="","",IF(AND(Parameter!$B$21="Ja",ISNUMBER(U1398)),U1398,IF(IFERROR(VLOOKUP(D1398,Parameter!$A$35:$C$64,2,0),"Nein")="2+3",IF(ISNUMBER(SEARCH("grosser Artikel",BM1398)),2,IFERROR(VLOOKUP(BP1398,Parameter!$F$35:$G$64,2,0),2)),IF(OR(IFERROR(VLOOKUP(D1398,Parameter!$A$35:$C$64,2,0),"Nein")="Nein",IFERROR(VLOOKUP(D1398,Parameter!$A$35:$C$64,2,0),"Nein")=""),"-",VLOOKUP(D1398,Parameter!$A$35:$C$64,2,0)))))</f>
        <v>2</v>
      </c>
      <c r="Y1398" s="62"/>
      <c r="Z1398" s="63"/>
      <c r="AA1398" s="57" t="n">
        <f aca="false">AP1398</f>
        <v>108</v>
      </c>
      <c r="AB1398" s="57" t="n">
        <f aca="false">MAX(AP1398,G1398)</f>
        <v>108</v>
      </c>
      <c r="AC1398" s="64"/>
      <c r="AD1398" s="57" t="n">
        <f aca="false">IF(LEFT(Cockpit!$C$5,1)="A",G1398,IF(BW1398=1,BX1398,IF(LEFT(Cockpit!$C$5,1)="B",AH1398,MAX(AH1398,G1398))))</f>
        <v>0</v>
      </c>
      <c r="AE1398" s="57" t="n">
        <f aca="false">IF(BR1398=1,0,ROUNDUP(AD1398/BQ1398,0))</f>
        <v>0</v>
      </c>
      <c r="AF1398" s="59" t="n">
        <f aca="false">IF(CD1398&gt;0,CD1398*MAX(1,AD1398/V1398),IF(BR1398=1,IF(AD1398&lt;=0,0,BS1398*MAX(1,IF(G1398&gt;0,AD1398/G1398,1))),IF(Q1398&gt;0,AE1398/Q1398,0))/MAX(0.1,N(Parameter!$M$21)))</f>
        <v>0</v>
      </c>
      <c r="AG1398" s="57" t="n">
        <f aca="false">AD1398*F1398</f>
        <v>0</v>
      </c>
      <c r="AH1398" s="57" t="n">
        <f aca="false">ROUNDUP(MAX(I1398/IF(BV1398&gt;0,BV1398,MAX(0.1,N(Cockpit!$C$6))),BY1398)/BQ1398,0)*BQ1398</f>
        <v>108</v>
      </c>
      <c r="AI1398" s="58" t="n">
        <f aca="false">IF(AF1398&gt;0,I1398/AF1398,-1)</f>
        <v>-1</v>
      </c>
      <c r="AJ1398" s="58" t="str">
        <f aca="false">IF(AND(OR(BU1398="L1",BU1398="L23"),AF1398&gt;0),SUMIFS($AF$7:$AF$1576,$BU$7:$BU$1576,BU1398,$AI$7:$AI$1576,"&gt;"&amp;AI1398)+SUMIFS($AF$7:$AF$1576,$BU$7:$BU$1576,BU1398,$AI$7:$AI$1576,AI1398,$BO$7:$BO$1576,"&lt;="&amp;BO1398),"")</f>
        <v/>
      </c>
      <c r="AK1398" s="65" t="n">
        <f aca="false">IF(AJ1398="",0,MAX(0,MIN(1,(IF(BU1398="L1",Parameter!$E$5,Parameter!$E$6+Parameter!$E$7)-(AJ1398-AF1398))/AF1398)))</f>
        <v>0</v>
      </c>
      <c r="AL1398" s="57" t="n">
        <f aca="false">IF(LEFT(Cockpit!$I$5,1)="A",G1398,IF(BW1398=1,BX1398,IF(LEFT(Cockpit!$I$5,1)="B",AP1398,MAX(AP1398,G1398))))</f>
        <v>108</v>
      </c>
      <c r="AM1398" s="57" t="n">
        <f aca="false">IF(BR1398=1,0,ROUNDUP(AL1398/BQ1398,0))</f>
        <v>3</v>
      </c>
      <c r="AN1398" s="59" t="n">
        <f aca="false">IF(CD1398&gt;0,CD1398*MAX(1,AL1398/V1398),IF(BR1398=1,IF(AL1398&lt;=0,0,BS1398*MAX(1,IF(G1398&gt;0,AL1398/G1398,1))),IF(Q1398&gt;0,AM1398/Q1398,0))/MAX(0.1,N(Parameter!$M$21)))</f>
        <v>0.5</v>
      </c>
      <c r="AO1398" s="57" t="n">
        <f aca="false">AL1398*F1398</f>
        <v>110657.88</v>
      </c>
      <c r="AP1398" s="57" t="n">
        <f aca="false">ROUNDUP(MAX(I1398/IF(BV1398&gt;0,BV1398,MAX(0.1,N(Cockpit!$I$6))),BY1398)/BQ1398,0)*BQ1398</f>
        <v>108</v>
      </c>
      <c r="AQ1398" s="58" t="n">
        <f aca="false">IF(AN1398&gt;0,I1398/AN1398,-1)</f>
        <v>320</v>
      </c>
      <c r="AR1398" s="58" t="n">
        <f aca="false">IF(AND(OR(BU1398="L1",BU1398="L23"),AN1398&gt;0),SUMIFS($AN$7:$AN$1576,$BU$7:$BU$1576,BU1398,$AQ$7:$AQ$1576,"&gt;"&amp;AQ1398)+SUMIFS($AN$7:$AN$1576,$BU$7:$BU$1576,BU1398,$AQ$7:$AQ$1576,AQ1398,$BO$7:$BO$1576,"&lt;="&amp;BO1398),"")</f>
        <v>42.8309221337594</v>
      </c>
      <c r="AS1398" s="65" t="n">
        <f aca="false">IF(AR1398="",0,MAX(0,MIN(1,(IF(BU1398="L1",Parameter!$E$5,Parameter!$E$6+Parameter!$E$7)-(AR1398-AN1398))/AN1398)))</f>
        <v>1</v>
      </c>
      <c r="AT1398" s="57" t="n">
        <f aca="false">IF(LEFT(Cockpit!$O$5,1)="A",G1398,IF(BW1398=1,BX1398,IF(LEFT(Cockpit!$O$5,1)="B",AX1398,MAX(AX1398,G1398))))</f>
        <v>72</v>
      </c>
      <c r="AU1398" s="57" t="n">
        <f aca="false">IF(BR1398=1,0,ROUNDUP(AT1398/BQ1398,0))</f>
        <v>2</v>
      </c>
      <c r="AV1398" s="59" t="n">
        <f aca="false">IF(CD1398&gt;0,CD1398*MAX(1,AT1398/V1398),IF(BR1398=1,IF(AT1398&lt;=0,0,BS1398*MAX(1,IF(G1398&gt;0,AT1398/G1398,1))),IF(Q1398&gt;0,AU1398/Q1398,0))/MAX(0.1,N(Parameter!$M$21)))</f>
        <v>0.333333333333333</v>
      </c>
      <c r="AW1398" s="57" t="n">
        <f aca="false">AT1398*F1398</f>
        <v>73771.92</v>
      </c>
      <c r="AX1398" s="57" t="n">
        <f aca="false">ROUNDUP(MAX(I1398/IF(BV1398&gt;0,BV1398,MAX(0.1,N(Cockpit!$O$6))),BY1398)/BQ1398,0)*BQ1398</f>
        <v>72</v>
      </c>
      <c r="AY1398" s="58" t="n">
        <f aca="false">IF(AV1398&gt;0,I1398/AV1398,-1)</f>
        <v>480</v>
      </c>
      <c r="AZ1398" s="58" t="n">
        <f aca="false">IF(AND(OR(BU1398="L1",BU1398="L23"),AV1398&gt;0),SUMIFS($AV$7:$AV$1576,$BU$7:$BU$1576,BU1398,$AY$7:$AY$1576,"&gt;"&amp;AY1398)+SUMIFS($AV$7:$AV$1576,$BU$7:$BU$1576,BU1398,$AY$7:$AY$1576,AY1398,$BO$7:$BO$1576,"&lt;="&amp;BO1398),"")</f>
        <v>33.7363427035278</v>
      </c>
      <c r="BA1398" s="65" t="n">
        <f aca="false">IF(AZ1398="",0,MAX(0,MIN(1,(IF(BU1398="L1",Parameter!$E$5,Parameter!$E$6+Parameter!$E$7)-(AZ1398-AV1398))/AV1398)))</f>
        <v>1</v>
      </c>
      <c r="BB1398" s="55" t="str">
        <f aca="false">IF(AF1398&lt;=0,"",IF(BU1398="Aussen","Aussenlager",IF(BU1398="-","Nicht im Lift",IF(AK1398&gt;=1,"Lift",IF(AK1398&lt;=0,"Aussenlager","teilweise")))))</f>
        <v/>
      </c>
      <c r="BC1398" s="55" t="str">
        <f aca="false">IF(AN1398&lt;=0,"",IF(BU1398="Aussen","Aussenlager",IF(BU1398="-","Nicht im Lift",IF(AS1398&gt;=1,"Lift",IF(AS1398&lt;=0,"Aussenlager","teilweise")))))</f>
        <v>Lift</v>
      </c>
      <c r="BD1398" s="55" t="str">
        <f aca="false">IF(AV1398&lt;=0,"",IF(BU1398="Aussen","Aussenlager",IF(BU1398="-","Nicht im Lift",IF(BA1398&gt;=1,"Lift",IF(BA1398&lt;=0,"Aussenlager","teilweise")))))</f>
        <v>Lift</v>
      </c>
      <c r="BE1398" s="55" t="str">
        <f aca="false">IF(A1398="","",IF(BN1398=1,"Neu; ","")&amp;IF(AND(BN1398=0,BI1398&lt;0),"negativer Bestand (Export "&amp;BI1398&amp;"); ","")&amp;IF(I1398&lt;=0,"Kein Verbrauch; ","")&amp;IF(CD1398&gt;0,"Lift "&amp;U1398&amp;" lt. Liftbericht (Fach "&amp;V1398&amp;" Stk); ",IF(BR1398=1,"Lose – Fläche geschätzt; ",""))&amp;IF(G1398&gt;AP1398,"Überbestand "&amp;ROUND(G1398-AP1398,0)&amp;" Stk / CHF "&amp;ROUND((G1398-AP1398)*F1398,0)&amp;"; ","")&amp;IF(AND(BW1398=1,BX1398&lt;BY1398),"MAX &lt; MB+LG; ","")&amp;IF(AND(CC1398&gt;0,CB1398*10&gt;CC1398),"zu hoch für Tablar; ","")&amp;IF(AND(BN1398=0,OR(BW1398=1,Y1398&lt;&gt;"",S1398&lt;&gt;"",T1398&lt;&gt;"",Z1398&lt;&gt;"")),"manuell übersteuert; ","")&amp;IF(AND(BR1398=0,Q1398=0),"Gebinde unbekannt / Stellmass fehlt; ","")&amp;IF(AND(BR1398=0,N(T1398)&lt;=0,N(P1398)&lt;=0),"Menge pro Gebinde fehlt (Ist = 1 Gebinde); ","")&amp;BM1398)</f>
        <v>negativer Bestand (Export -6); </v>
      </c>
      <c r="BF1398" s="55"/>
      <c r="BG1398" s="55"/>
      <c r="BH1398" s="62"/>
      <c r="BI1398" s="57" t="n">
        <v>-6</v>
      </c>
      <c r="BJ1398" s="57" t="n">
        <v>23</v>
      </c>
      <c r="BK1398" s="56" t="n">
        <v>-4018.54999999997</v>
      </c>
      <c r="BL1398" s="57" t="n">
        <v>160</v>
      </c>
      <c r="BM1398" s="55"/>
      <c r="BN1398" s="60" t="n">
        <v>0</v>
      </c>
      <c r="BO1398" s="60" t="n">
        <v>1398</v>
      </c>
      <c r="BP1398" s="55" t="str">
        <f aca="false">IF(S1398&lt;&gt;"",UPPER(TRIM(S1398)),IF(O1398="","LOSE",O1398))</f>
        <v>S71</v>
      </c>
      <c r="BQ1398" s="57" t="n">
        <f aca="false">IF(BP1398="LOSE",1,IF(N(T1398)&gt;0,T1398,IF(N(P1398)&gt;0,P1398,MAX(1,G1398))))</f>
        <v>36</v>
      </c>
      <c r="BR1398" s="60" t="n">
        <f aca="false">IF(BP1398="LOSE",1,0)</f>
        <v>0</v>
      </c>
      <c r="BS1398" s="59" t="n">
        <f aca="false">IF(BR1398=0,0,IF(N(R1398)&gt;0,R1398,IFERROR(VLOOKUP(D1398,Parameter!$A$35:$C$64,3,0)+0,0)))</f>
        <v>0</v>
      </c>
      <c r="BT1398" s="55" t="n">
        <f aca="false">IF(Y1398&lt;&gt;"",Y1398,X1398)</f>
        <v>2</v>
      </c>
      <c r="BU1398" s="55" t="str">
        <f aca="false">IF(BT1398=1,"L1",IF(OR(BT1398=2,BT1398=3),"L23",IF(BT1398="Aussen","Aussen","-")))</f>
        <v>L23</v>
      </c>
      <c r="BV1398" s="66" t="n">
        <f aca="false">IF(N(Z1398)&gt;0,Z1398,0)</f>
        <v>0</v>
      </c>
      <c r="BW1398" s="60" t="n">
        <f aca="false">IF(ISNUMBER(AC1398),1,0)</f>
        <v>0</v>
      </c>
      <c r="BX1398" s="57" t="n">
        <f aca="false">N(AC1398)</f>
        <v>0</v>
      </c>
      <c r="BY1398" s="57" t="n">
        <f aca="false">N(L1398)+N(M1398)</f>
        <v>25</v>
      </c>
      <c r="BZ1398" s="57" t="n">
        <f aca="false">ROUNDUP(G1398/BQ1398,0)</f>
        <v>0</v>
      </c>
      <c r="CA1398" s="57" t="n">
        <f aca="false">ROUNDUP(BX1398/BQ1398,0)</f>
        <v>0</v>
      </c>
      <c r="CB1398" s="60" t="n">
        <f aca="false">IF(BR1398=1,0,IFERROR(VLOOKUP(BP1398,'Gebinde-Kategorie'!$A$5:$M$45,5,0)+0,0))</f>
        <v>20</v>
      </c>
      <c r="CC1398" s="60" t="n">
        <f aca="false">IFERROR(IF(OR(BT1398=1,BT1398=2,BT1398=3),N(INDEX(Parameter!$I$5:$I$7,BT1398)),0),0)</f>
        <v>0</v>
      </c>
      <c r="CD1398" s="59" t="n">
        <f aca="false">IF(AND(Parameter!$B$21="Ja",ISNUMBER(U1398),N(V1398)&gt;0),IFERROR(N(INDEX(Parameter!$L$5:$L$7,U1398))*INDEX(Parameter!$E$5:$E$7,U1398)*V1398/SUMIFS($V$7:$V$1576,$U$7:$U$1576,U1398),0),0)</f>
        <v>0</v>
      </c>
    </row>
    <row r="1399" customFormat="false" ht="15" hidden="false" customHeight="false" outlineLevel="0" collapsed="false">
      <c r="A1399" s="55" t="s">
        <v>2444</v>
      </c>
      <c r="B1399" s="55" t="s">
        <v>2445</v>
      </c>
      <c r="C1399" s="55" t="s">
        <v>160</v>
      </c>
      <c r="D1399" s="55" t="s">
        <v>168</v>
      </c>
      <c r="E1399" s="55" t="s">
        <v>210</v>
      </c>
      <c r="F1399" s="56" t="n">
        <v>2012.56</v>
      </c>
      <c r="G1399" s="57" t="n">
        <f aca="false">MAX(0,IF(AND(Parameter!$B$21="Ja",ISNUMBER(W1399)),W1399,IF(Parameter!$B$20="Jahresanfang 2025 + Export",BJ1399+BI1399,BI1399)))</f>
        <v>0</v>
      </c>
      <c r="H1399" s="57" t="n">
        <f aca="false">G1399*F1399</f>
        <v>0</v>
      </c>
      <c r="I1399" s="57" t="n">
        <f aca="false">BL1399*Parameter!$B$18</f>
        <v>1</v>
      </c>
      <c r="J1399" s="58" t="n">
        <v>15.5</v>
      </c>
      <c r="K1399" s="59" t="n">
        <v>0.0645161290322581</v>
      </c>
      <c r="L1399" s="57" t="n">
        <v>0</v>
      </c>
      <c r="M1399" s="57" t="n">
        <v>1</v>
      </c>
      <c r="N1399" s="60" t="n">
        <v>112</v>
      </c>
      <c r="O1399" s="55" t="s">
        <v>169</v>
      </c>
      <c r="P1399" s="57" t="n">
        <v>14</v>
      </c>
      <c r="Q1399" s="60" t="n">
        <f aca="false">IF(BR1399=1,0,IFERROR(VLOOKUP(BP1399,'Gebinde-Kategorie'!$A$5:$M$45,13,0)+0,0))</f>
        <v>6</v>
      </c>
      <c r="R1399" s="61"/>
      <c r="S1399" s="62"/>
      <c r="T1399" s="62"/>
      <c r="U1399" s="55"/>
      <c r="V1399" s="57"/>
      <c r="W1399" s="57"/>
      <c r="X1399" s="55" t="n">
        <f aca="false">IF(A1399="","",IF(AND(Parameter!$B$21="Ja",ISNUMBER(U1399)),U1399,IF(IFERROR(VLOOKUP(D1399,Parameter!$A$35:$C$64,2,0),"Nein")="2+3",IF(ISNUMBER(SEARCH("grosser Artikel",BM1399)),2,IFERROR(VLOOKUP(BP1399,Parameter!$F$35:$G$64,2,0),2)),IF(OR(IFERROR(VLOOKUP(D1399,Parameter!$A$35:$C$64,2,0),"Nein")="Nein",IFERROR(VLOOKUP(D1399,Parameter!$A$35:$C$64,2,0),"Nein")=""),"-",VLOOKUP(D1399,Parameter!$A$35:$C$64,2,0)))))</f>
        <v>2</v>
      </c>
      <c r="Y1399" s="62"/>
      <c r="Z1399" s="63"/>
      <c r="AA1399" s="57" t="n">
        <f aca="false">AP1399</f>
        <v>14</v>
      </c>
      <c r="AB1399" s="57" t="n">
        <f aca="false">MAX(AP1399,G1399)</f>
        <v>14</v>
      </c>
      <c r="AC1399" s="64"/>
      <c r="AD1399" s="57" t="n">
        <f aca="false">IF(LEFT(Cockpit!$C$5,1)="A",G1399,IF(BW1399=1,BX1399,IF(LEFT(Cockpit!$C$5,1)="B",AH1399,MAX(AH1399,G1399))))</f>
        <v>0</v>
      </c>
      <c r="AE1399" s="57" t="n">
        <f aca="false">IF(BR1399=1,0,ROUNDUP(AD1399/BQ1399,0))</f>
        <v>0</v>
      </c>
      <c r="AF1399" s="59" t="n">
        <f aca="false">IF(CD1399&gt;0,CD1399*MAX(1,AD1399/V1399),IF(BR1399=1,IF(AD1399&lt;=0,0,BS1399*MAX(1,IF(G1399&gt;0,AD1399/G1399,1))),IF(Q1399&gt;0,AE1399/Q1399,0))/MAX(0.1,N(Parameter!$M$21)))</f>
        <v>0</v>
      </c>
      <c r="AG1399" s="57" t="n">
        <f aca="false">AD1399*F1399</f>
        <v>0</v>
      </c>
      <c r="AH1399" s="57" t="n">
        <f aca="false">ROUNDUP(MAX(I1399/IF(BV1399&gt;0,BV1399,MAX(0.1,N(Cockpit!$C$6))),BY1399)/BQ1399,0)*BQ1399</f>
        <v>14</v>
      </c>
      <c r="AI1399" s="58" t="n">
        <f aca="false">IF(AF1399&gt;0,I1399/AF1399,-1)</f>
        <v>-1</v>
      </c>
      <c r="AJ1399" s="58" t="str">
        <f aca="false">IF(AND(OR(BU1399="L1",BU1399="L23"),AF1399&gt;0),SUMIFS($AF$7:$AF$1576,$BU$7:$BU$1576,BU1399,$AI$7:$AI$1576,"&gt;"&amp;AI1399)+SUMIFS($AF$7:$AF$1576,$BU$7:$BU$1576,BU1399,$AI$7:$AI$1576,AI1399,$BO$7:$BO$1576,"&lt;="&amp;BO1399),"")</f>
        <v/>
      </c>
      <c r="AK1399" s="65" t="n">
        <f aca="false">IF(AJ1399="",0,MAX(0,MIN(1,(IF(BU1399="L1",Parameter!$E$5,Parameter!$E$6+Parameter!$E$7)-(AJ1399-AF1399))/AF1399)))</f>
        <v>0</v>
      </c>
      <c r="AL1399" s="57" t="n">
        <f aca="false">IF(LEFT(Cockpit!$I$5,1)="A",G1399,IF(BW1399=1,BX1399,IF(LEFT(Cockpit!$I$5,1)="B",AP1399,MAX(AP1399,G1399))))</f>
        <v>14</v>
      </c>
      <c r="AM1399" s="57" t="n">
        <f aca="false">IF(BR1399=1,0,ROUNDUP(AL1399/BQ1399,0))</f>
        <v>1</v>
      </c>
      <c r="AN1399" s="59" t="n">
        <f aca="false">IF(CD1399&gt;0,CD1399*MAX(1,AL1399/V1399),IF(BR1399=1,IF(AL1399&lt;=0,0,BS1399*MAX(1,IF(G1399&gt;0,AL1399/G1399,1))),IF(Q1399&gt;0,AM1399/Q1399,0))/MAX(0.1,N(Parameter!$M$21)))</f>
        <v>0.166666666666667</v>
      </c>
      <c r="AO1399" s="57" t="n">
        <f aca="false">AL1399*F1399</f>
        <v>28175.84</v>
      </c>
      <c r="AP1399" s="57" t="n">
        <f aca="false">ROUNDUP(MAX(I1399/IF(BV1399&gt;0,BV1399,MAX(0.1,N(Cockpit!$I$6))),BY1399)/BQ1399,0)*BQ1399</f>
        <v>14</v>
      </c>
      <c r="AQ1399" s="58" t="n">
        <f aca="false">IF(AN1399&gt;0,I1399/AN1399,-1)</f>
        <v>6</v>
      </c>
      <c r="AR1399" s="58" t="n">
        <f aca="false">IF(AND(OR(BU1399="L1",BU1399="L23"),AN1399&gt;0),SUMIFS($AN$7:$AN$1576,$BU$7:$BU$1576,BU1399,$AQ$7:$AQ$1576,"&gt;"&amp;AQ1399)+SUMIFS($AN$7:$AN$1576,$BU$7:$BU$1576,BU1399,$AQ$7:$AQ$1576,AQ1399,$BO$7:$BO$1576,"&lt;="&amp;BO1399),"")</f>
        <v>113.292434588696</v>
      </c>
      <c r="AS1399" s="65" t="n">
        <f aca="false">IF(AR1399="",0,MAX(0,MIN(1,(IF(BU1399="L1",Parameter!$E$5,Parameter!$E$6+Parameter!$E$7)-(AR1399-AN1399))/AN1399)))</f>
        <v>0</v>
      </c>
      <c r="AT1399" s="57" t="n">
        <f aca="false">IF(LEFT(Cockpit!$O$5,1)="A",G1399,IF(BW1399=1,BX1399,IF(LEFT(Cockpit!$O$5,1)="B",AX1399,MAX(AX1399,G1399))))</f>
        <v>14</v>
      </c>
      <c r="AU1399" s="57" t="n">
        <f aca="false">IF(BR1399=1,0,ROUNDUP(AT1399/BQ1399,0))</f>
        <v>1</v>
      </c>
      <c r="AV1399" s="59" t="n">
        <f aca="false">IF(CD1399&gt;0,CD1399*MAX(1,AT1399/V1399),IF(BR1399=1,IF(AT1399&lt;=0,0,BS1399*MAX(1,IF(G1399&gt;0,AT1399/G1399,1))),IF(Q1399&gt;0,AU1399/Q1399,0))/MAX(0.1,N(Parameter!$M$21)))</f>
        <v>0.166666666666667</v>
      </c>
      <c r="AW1399" s="57" t="n">
        <f aca="false">AT1399*F1399</f>
        <v>28175.84</v>
      </c>
      <c r="AX1399" s="57" t="n">
        <f aca="false">ROUNDUP(MAX(I1399/IF(BV1399&gt;0,BV1399,MAX(0.1,N(Cockpit!$O$6))),BY1399)/BQ1399,0)*BQ1399</f>
        <v>14</v>
      </c>
      <c r="AY1399" s="58" t="n">
        <f aca="false">IF(AV1399&gt;0,I1399/AV1399,-1)</f>
        <v>6</v>
      </c>
      <c r="AZ1399" s="58" t="n">
        <f aca="false">IF(AND(OR(BU1399="L1",BU1399="L23"),AV1399&gt;0),SUMIFS($AV$7:$AV$1576,$BU$7:$BU$1576,BU1399,$AY$7:$AY$1576,"&gt;"&amp;AY1399)+SUMIFS($AV$7:$AV$1576,$BU$7:$BU$1576,BU1399,$AY$7:$AY$1576,AY1399,$BO$7:$BO$1576,"&lt;="&amp;BO1399),"")</f>
        <v>103.351985038246</v>
      </c>
      <c r="BA1399" s="65" t="n">
        <f aca="false">IF(AZ1399="",0,MAX(0,MIN(1,(IF(BU1399="L1",Parameter!$E$5,Parameter!$E$6+Parameter!$E$7)-(AZ1399-AV1399))/AV1399)))</f>
        <v>0</v>
      </c>
      <c r="BB1399" s="55" t="str">
        <f aca="false">IF(AF1399&lt;=0,"",IF(BU1399="Aussen","Aussenlager",IF(BU1399="-","Nicht im Lift",IF(AK1399&gt;=1,"Lift",IF(AK1399&lt;=0,"Aussenlager","teilweise")))))</f>
        <v/>
      </c>
      <c r="BC1399" s="55" t="str">
        <f aca="false">IF(AN1399&lt;=0,"",IF(BU1399="Aussen","Aussenlager",IF(BU1399="-","Nicht im Lift",IF(AS1399&gt;=1,"Lift",IF(AS1399&lt;=0,"Aussenlager","teilweise")))))</f>
        <v>Aussenlager</v>
      </c>
      <c r="BD1399" s="55" t="str">
        <f aca="false">IF(AV1399&lt;=0,"",IF(BU1399="Aussen","Aussenlager",IF(BU1399="-","Nicht im Lift",IF(BA1399&gt;=1,"Lift",IF(BA1399&lt;=0,"Aussenlager","teilweise")))))</f>
        <v>Aussenlager</v>
      </c>
      <c r="BE1399" s="55" t="str">
        <f aca="false">IF(A1399="","",IF(BN1399=1,"Neu; ","")&amp;IF(AND(BN1399=0,BI1399&lt;0),"negativer Bestand (Export "&amp;BI1399&amp;"); ","")&amp;IF(I1399&lt;=0,"Kein Verbrauch; ","")&amp;IF(CD1399&gt;0,"Lift "&amp;U1399&amp;" lt. Liftbericht (Fach "&amp;V1399&amp;" Stk); ",IF(BR1399=1,"Lose – Fläche geschätzt; ",""))&amp;IF(G1399&gt;AP1399,"Überbestand "&amp;ROUND(G1399-AP1399,0)&amp;" Stk / CHF "&amp;ROUND((G1399-AP1399)*F1399,0)&amp;"; ","")&amp;IF(AND(BW1399=1,BX1399&lt;BY1399),"MAX &lt; MB+LG; ","")&amp;IF(AND(CC1399&gt;0,CB1399*10&gt;CC1399),"zu hoch für Tablar; ","")&amp;IF(AND(BN1399=0,OR(BW1399=1,Y1399&lt;&gt;"",S1399&lt;&gt;"",T1399&lt;&gt;"",Z1399&lt;&gt;"")),"manuell übersteuert; ","")&amp;IF(AND(BR1399=0,Q1399=0),"Gebinde unbekannt / Stellmass fehlt; ","")&amp;IF(AND(BR1399=0,N(T1399)&lt;=0,N(P1399)&lt;=0),"Menge pro Gebinde fehlt (Ist = 1 Gebinde); ","")&amp;BM1399)</f>
        <v>negativer Bestand (Export -2); </v>
      </c>
      <c r="BF1399" s="55"/>
      <c r="BG1399" s="55"/>
      <c r="BH1399" s="62"/>
      <c r="BI1399" s="57" t="n">
        <v>-2</v>
      </c>
      <c r="BJ1399" s="57" t="n">
        <v>16</v>
      </c>
      <c r="BK1399" s="56" t="n">
        <v>-4025.12</v>
      </c>
      <c r="BL1399" s="57" t="n">
        <v>1</v>
      </c>
      <c r="BM1399" s="55"/>
      <c r="BN1399" s="60" t="n">
        <v>0</v>
      </c>
      <c r="BO1399" s="60" t="n">
        <v>1399</v>
      </c>
      <c r="BP1399" s="55" t="str">
        <f aca="false">IF(S1399&lt;&gt;"",UPPER(TRIM(S1399)),IF(O1399="","LOSE",O1399))</f>
        <v>S71</v>
      </c>
      <c r="BQ1399" s="57" t="n">
        <f aca="false">IF(BP1399="LOSE",1,IF(N(T1399)&gt;0,T1399,IF(N(P1399)&gt;0,P1399,MAX(1,G1399))))</f>
        <v>14</v>
      </c>
      <c r="BR1399" s="60" t="n">
        <f aca="false">IF(BP1399="LOSE",1,0)</f>
        <v>0</v>
      </c>
      <c r="BS1399" s="59" t="n">
        <f aca="false">IF(BR1399=0,0,IF(N(R1399)&gt;0,R1399,IFERROR(VLOOKUP(D1399,Parameter!$A$35:$C$64,3,0)+0,0)))</f>
        <v>0</v>
      </c>
      <c r="BT1399" s="55" t="n">
        <f aca="false">IF(Y1399&lt;&gt;"",Y1399,X1399)</f>
        <v>2</v>
      </c>
      <c r="BU1399" s="55" t="str">
        <f aca="false">IF(BT1399=1,"L1",IF(OR(BT1399=2,BT1399=3),"L23",IF(BT1399="Aussen","Aussen","-")))</f>
        <v>L23</v>
      </c>
      <c r="BV1399" s="66" t="n">
        <f aca="false">IF(N(Z1399)&gt;0,Z1399,0)</f>
        <v>0</v>
      </c>
      <c r="BW1399" s="60" t="n">
        <f aca="false">IF(ISNUMBER(AC1399),1,0)</f>
        <v>0</v>
      </c>
      <c r="BX1399" s="57" t="n">
        <f aca="false">N(AC1399)</f>
        <v>0</v>
      </c>
      <c r="BY1399" s="57" t="n">
        <f aca="false">N(L1399)+N(M1399)</f>
        <v>1</v>
      </c>
      <c r="BZ1399" s="57" t="n">
        <f aca="false">ROUNDUP(G1399/BQ1399,0)</f>
        <v>0</v>
      </c>
      <c r="CA1399" s="57" t="n">
        <f aca="false">ROUNDUP(BX1399/BQ1399,0)</f>
        <v>0</v>
      </c>
      <c r="CB1399" s="60" t="n">
        <f aca="false">IF(BR1399=1,0,IFERROR(VLOOKUP(BP1399,'Gebinde-Kategorie'!$A$5:$M$45,5,0)+0,0))</f>
        <v>20</v>
      </c>
      <c r="CC1399" s="60" t="n">
        <f aca="false">IFERROR(IF(OR(BT1399=1,BT1399=2,BT1399=3),N(INDEX(Parameter!$I$5:$I$7,BT1399)),0),0)</f>
        <v>0</v>
      </c>
      <c r="CD1399" s="59" t="n">
        <f aca="false">IF(AND(Parameter!$B$21="Ja",ISNUMBER(U1399),N(V1399)&gt;0),IFERROR(N(INDEX(Parameter!$L$5:$L$7,U1399))*INDEX(Parameter!$E$5:$E$7,U1399)*V1399/SUMIFS($V$7:$V$1576,$U$7:$U$1576,U1399),0),0)</f>
        <v>0</v>
      </c>
    </row>
    <row r="1400" customFormat="false" ht="15" hidden="false" customHeight="false" outlineLevel="0" collapsed="false">
      <c r="A1400" s="55" t="s">
        <v>2446</v>
      </c>
      <c r="B1400" s="55" t="s">
        <v>421</v>
      </c>
      <c r="C1400" s="55" t="s">
        <v>160</v>
      </c>
      <c r="D1400" s="55" t="s">
        <v>178</v>
      </c>
      <c r="E1400" s="55" t="s">
        <v>210</v>
      </c>
      <c r="F1400" s="56" t="n">
        <v>374.8</v>
      </c>
      <c r="G1400" s="57" t="n">
        <f aca="false">MAX(0,IF(AND(Parameter!$B$21="Ja",ISNUMBER(W1400)),W1400,IF(Parameter!$B$20="Jahresanfang 2025 + Export",BJ1400+BI1400,BI1400)))</f>
        <v>0</v>
      </c>
      <c r="H1400" s="57" t="n">
        <f aca="false">G1400*F1400</f>
        <v>0</v>
      </c>
      <c r="I1400" s="57" t="n">
        <f aca="false">BL1400*Parameter!$B$18</f>
        <v>0</v>
      </c>
      <c r="J1400" s="58" t="n">
        <v>11</v>
      </c>
      <c r="K1400" s="59" t="n">
        <v>0</v>
      </c>
      <c r="L1400" s="57" t="n">
        <v>0</v>
      </c>
      <c r="M1400" s="57" t="n">
        <v>1</v>
      </c>
      <c r="N1400" s="60" t="n">
        <v>56</v>
      </c>
      <c r="O1400" s="55" t="s">
        <v>225</v>
      </c>
      <c r="P1400" s="57" t="n">
        <v>10</v>
      </c>
      <c r="Q1400" s="60" t="n">
        <f aca="false">IF(BR1400=1,0,IFERROR(VLOOKUP(BP1400,'Gebinde-Kategorie'!$A$5:$M$45,13,0)+0,0))</f>
        <v>26</v>
      </c>
      <c r="R1400" s="61"/>
      <c r="S1400" s="62"/>
      <c r="T1400" s="62"/>
      <c r="U1400" s="55"/>
      <c r="V1400" s="57"/>
      <c r="W1400" s="57"/>
      <c r="X1400" s="55" t="n">
        <f aca="false">IF(A1400="","",IF(AND(Parameter!$B$21="Ja",ISNUMBER(U1400)),U1400,IF(IFERROR(VLOOKUP(D1400,Parameter!$A$35:$C$64,2,0),"Nein")="2+3",IF(ISNUMBER(SEARCH("grosser Artikel",BM1400)),2,IFERROR(VLOOKUP(BP1400,Parameter!$F$35:$G$64,2,0),2)),IF(OR(IFERROR(VLOOKUP(D1400,Parameter!$A$35:$C$64,2,0),"Nein")="Nein",IFERROR(VLOOKUP(D1400,Parameter!$A$35:$C$64,2,0),"Nein")=""),"-",VLOOKUP(D1400,Parameter!$A$35:$C$64,2,0)))))</f>
        <v>3</v>
      </c>
      <c r="Y1400" s="62"/>
      <c r="Z1400" s="63"/>
      <c r="AA1400" s="57" t="n">
        <f aca="false">AP1400</f>
        <v>10</v>
      </c>
      <c r="AB1400" s="57" t="n">
        <f aca="false">MAX(AP1400,G1400)</f>
        <v>10</v>
      </c>
      <c r="AC1400" s="64"/>
      <c r="AD1400" s="57" t="n">
        <f aca="false">IF(LEFT(Cockpit!$C$5,1)="A",G1400,IF(BW1400=1,BX1400,IF(LEFT(Cockpit!$C$5,1)="B",AH1400,MAX(AH1400,G1400))))</f>
        <v>0</v>
      </c>
      <c r="AE1400" s="57" t="n">
        <f aca="false">IF(BR1400=1,0,ROUNDUP(AD1400/BQ1400,0))</f>
        <v>0</v>
      </c>
      <c r="AF1400" s="59" t="n">
        <f aca="false">IF(CD1400&gt;0,CD1400*MAX(1,AD1400/V1400),IF(BR1400=1,IF(AD1400&lt;=0,0,BS1400*MAX(1,IF(G1400&gt;0,AD1400/G1400,1))),IF(Q1400&gt;0,AE1400/Q1400,0))/MAX(0.1,N(Parameter!$M$21)))</f>
        <v>0</v>
      </c>
      <c r="AG1400" s="57" t="n">
        <f aca="false">AD1400*F1400</f>
        <v>0</v>
      </c>
      <c r="AH1400" s="57" t="n">
        <f aca="false">ROUNDUP(MAX(I1400/IF(BV1400&gt;0,BV1400,MAX(0.1,N(Cockpit!$C$6))),BY1400)/BQ1400,0)*BQ1400</f>
        <v>10</v>
      </c>
      <c r="AI1400" s="58" t="n">
        <f aca="false">IF(AF1400&gt;0,I1400/AF1400,-1)</f>
        <v>-1</v>
      </c>
      <c r="AJ1400" s="58" t="str">
        <f aca="false">IF(AND(OR(BU1400="L1",BU1400="L23"),AF1400&gt;0),SUMIFS($AF$7:$AF$1576,$BU$7:$BU$1576,BU1400,$AI$7:$AI$1576,"&gt;"&amp;AI1400)+SUMIFS($AF$7:$AF$1576,$BU$7:$BU$1576,BU1400,$AI$7:$AI$1576,AI1400,$BO$7:$BO$1576,"&lt;="&amp;BO1400),"")</f>
        <v/>
      </c>
      <c r="AK1400" s="65" t="n">
        <f aca="false">IF(AJ1400="",0,MAX(0,MIN(1,(IF(BU1400="L1",Parameter!$E$5,Parameter!$E$6+Parameter!$E$7)-(AJ1400-AF1400))/AF1400)))</f>
        <v>0</v>
      </c>
      <c r="AL1400" s="57" t="n">
        <f aca="false">IF(LEFT(Cockpit!$I$5,1)="A",G1400,IF(BW1400=1,BX1400,IF(LEFT(Cockpit!$I$5,1)="B",AP1400,MAX(AP1400,G1400))))</f>
        <v>10</v>
      </c>
      <c r="AM1400" s="57" t="n">
        <f aca="false">IF(BR1400=1,0,ROUNDUP(AL1400/BQ1400,0))</f>
        <v>1</v>
      </c>
      <c r="AN1400" s="59" t="n">
        <f aca="false">IF(CD1400&gt;0,CD1400*MAX(1,AL1400/V1400),IF(BR1400=1,IF(AL1400&lt;=0,0,BS1400*MAX(1,IF(G1400&gt;0,AL1400/G1400,1))),IF(Q1400&gt;0,AM1400/Q1400,0))/MAX(0.1,N(Parameter!$M$21)))</f>
        <v>0.0384615384615385</v>
      </c>
      <c r="AO1400" s="57" t="n">
        <f aca="false">AL1400*F1400</f>
        <v>3748</v>
      </c>
      <c r="AP1400" s="57" t="n">
        <f aca="false">ROUNDUP(MAX(I1400/IF(BV1400&gt;0,BV1400,MAX(0.1,N(Cockpit!$I$6))),BY1400)/BQ1400,0)*BQ1400</f>
        <v>10</v>
      </c>
      <c r="AQ1400" s="58" t="n">
        <f aca="false">IF(AN1400&gt;0,I1400/AN1400,-1)</f>
        <v>0</v>
      </c>
      <c r="AR1400" s="58" t="n">
        <f aca="false">IF(AND(OR(BU1400="L1",BU1400="L23"),AN1400&gt;0),SUMIFS($AN$7:$AN$1576,$BU$7:$BU$1576,BU1400,$AQ$7:$AQ$1576,"&gt;"&amp;AQ1400)+SUMIFS($AN$7:$AN$1576,$BU$7:$BU$1576,BU1400,$AQ$7:$AQ$1576,AQ1400,$BO$7:$BO$1576,"&lt;="&amp;BO1400),"")</f>
        <v>139.016896798901</v>
      </c>
      <c r="AS1400" s="65" t="n">
        <f aca="false">IF(AR1400="",0,MAX(0,MIN(1,(IF(BU1400="L1",Parameter!$E$5,Parameter!$E$6+Parameter!$E$7)-(AR1400-AN1400))/AN1400)))</f>
        <v>0</v>
      </c>
      <c r="AT1400" s="57" t="n">
        <f aca="false">IF(LEFT(Cockpit!$O$5,1)="A",G1400,IF(BW1400=1,BX1400,IF(LEFT(Cockpit!$O$5,1)="B",AX1400,MAX(AX1400,G1400))))</f>
        <v>10</v>
      </c>
      <c r="AU1400" s="57" t="n">
        <f aca="false">IF(BR1400=1,0,ROUNDUP(AT1400/BQ1400,0))</f>
        <v>1</v>
      </c>
      <c r="AV1400" s="59" t="n">
        <f aca="false">IF(CD1400&gt;0,CD1400*MAX(1,AT1400/V1400),IF(BR1400=1,IF(AT1400&lt;=0,0,BS1400*MAX(1,IF(G1400&gt;0,AT1400/G1400,1))),IF(Q1400&gt;0,AU1400/Q1400,0))/MAX(0.1,N(Parameter!$M$21)))</f>
        <v>0.0384615384615385</v>
      </c>
      <c r="AW1400" s="57" t="n">
        <f aca="false">AT1400*F1400</f>
        <v>3748</v>
      </c>
      <c r="AX1400" s="57" t="n">
        <f aca="false">ROUNDUP(MAX(I1400/IF(BV1400&gt;0,BV1400,MAX(0.1,N(Cockpit!$O$6))),BY1400)/BQ1400,0)*BQ1400</f>
        <v>10</v>
      </c>
      <c r="AY1400" s="58" t="n">
        <f aca="false">IF(AV1400&gt;0,I1400/AV1400,-1)</f>
        <v>0</v>
      </c>
      <c r="AZ1400" s="58" t="n">
        <f aca="false">IF(AND(OR(BU1400="L1",BU1400="L23"),AV1400&gt;0),SUMIFS($AV$7:$AV$1576,$BU$7:$BU$1576,BU1400,$AY$7:$AY$1576,"&gt;"&amp;AY1400)+SUMIFS($AV$7:$AV$1576,$BU$7:$BU$1576,BU1400,$AY$7:$AY$1576,AY1400,$BO$7:$BO$1576,"&lt;="&amp;BO1400),"")</f>
        <v>129.076447248451</v>
      </c>
      <c r="BA1400" s="65" t="n">
        <f aca="false">IF(AZ1400="",0,MAX(0,MIN(1,(IF(BU1400="L1",Parameter!$E$5,Parameter!$E$6+Parameter!$E$7)-(AZ1400-AV1400))/AV1400)))</f>
        <v>0</v>
      </c>
      <c r="BB1400" s="55" t="str">
        <f aca="false">IF(AF1400&lt;=0,"",IF(BU1400="Aussen","Aussenlager",IF(BU1400="-","Nicht im Lift",IF(AK1400&gt;=1,"Lift",IF(AK1400&lt;=0,"Aussenlager","teilweise")))))</f>
        <v/>
      </c>
      <c r="BC1400" s="55" t="str">
        <f aca="false">IF(AN1400&lt;=0,"",IF(BU1400="Aussen","Aussenlager",IF(BU1400="-","Nicht im Lift",IF(AS1400&gt;=1,"Lift",IF(AS1400&lt;=0,"Aussenlager","teilweise")))))</f>
        <v>Aussenlager</v>
      </c>
      <c r="BD1400" s="55" t="str">
        <f aca="false">IF(AV1400&lt;=0,"",IF(BU1400="Aussen","Aussenlager",IF(BU1400="-","Nicht im Lift",IF(BA1400&gt;=1,"Lift",IF(BA1400&lt;=0,"Aussenlager","teilweise")))))</f>
        <v>Aussenlager</v>
      </c>
      <c r="BE1400" s="55" t="str">
        <f aca="false">IF(A1400="","",IF(BN1400=1,"Neu; ","")&amp;IF(AND(BN1400=0,BI1400&lt;0),"negativer Bestand (Export "&amp;BI1400&amp;"); ","")&amp;IF(I1400&lt;=0,"Kein Verbrauch; ","")&amp;IF(CD1400&gt;0,"Lift "&amp;U1400&amp;" lt. Liftbericht (Fach "&amp;V1400&amp;" Stk); ",IF(BR1400=1,"Lose – Fläche geschätzt; ",""))&amp;IF(G1400&gt;AP1400,"Überbestand "&amp;ROUND(G1400-AP1400,0)&amp;" Stk / CHF "&amp;ROUND((G1400-AP1400)*F1400,0)&amp;"; ","")&amp;IF(AND(BW1400=1,BX1400&lt;BY1400),"MAX &lt; MB+LG; ","")&amp;IF(AND(CC1400&gt;0,CB1400*10&gt;CC1400),"zu hoch für Tablar; ","")&amp;IF(AND(BN1400=0,OR(BW1400=1,Y1400&lt;&gt;"",S1400&lt;&gt;"",T1400&lt;&gt;"",Z1400&lt;&gt;"")),"manuell übersteuert; ","")&amp;IF(AND(BR1400=0,Q1400=0),"Gebinde unbekannt / Stellmass fehlt; ","")&amp;IF(AND(BR1400=0,N(T1400)&lt;=0,N(P1400)&lt;=0),"Menge pro Gebinde fehlt (Ist = 1 Gebinde); ","")&amp;BM1400)</f>
        <v>negativer Bestand (Export -11); Kein Verbrauch; </v>
      </c>
      <c r="BF1400" s="55"/>
      <c r="BG1400" s="55"/>
      <c r="BH1400" s="62"/>
      <c r="BI1400" s="57" t="n">
        <v>-11</v>
      </c>
      <c r="BJ1400" s="57" t="n">
        <v>11</v>
      </c>
      <c r="BK1400" s="56" t="n">
        <v>-4122.8</v>
      </c>
      <c r="BL1400" s="57" t="n">
        <v>0</v>
      </c>
      <c r="BM1400" s="55"/>
      <c r="BN1400" s="60" t="n">
        <v>0</v>
      </c>
      <c r="BO1400" s="60" t="n">
        <v>1400</v>
      </c>
      <c r="BP1400" s="55" t="str">
        <f aca="false">IF(S1400&lt;&gt;"",UPPER(TRIM(S1400)),IF(O1400="","LOSE",O1400))</f>
        <v>S52</v>
      </c>
      <c r="BQ1400" s="57" t="n">
        <f aca="false">IF(BP1400="LOSE",1,IF(N(T1400)&gt;0,T1400,IF(N(P1400)&gt;0,P1400,MAX(1,G1400))))</f>
        <v>10</v>
      </c>
      <c r="BR1400" s="60" t="n">
        <f aca="false">IF(BP1400="LOSE",1,0)</f>
        <v>0</v>
      </c>
      <c r="BS1400" s="59" t="n">
        <f aca="false">IF(BR1400=0,0,IF(N(R1400)&gt;0,R1400,IFERROR(VLOOKUP(D1400,Parameter!$A$35:$C$64,3,0)+0,0)))</f>
        <v>0</v>
      </c>
      <c r="BT1400" s="55" t="n">
        <f aca="false">IF(Y1400&lt;&gt;"",Y1400,X1400)</f>
        <v>3</v>
      </c>
      <c r="BU1400" s="55" t="str">
        <f aca="false">IF(BT1400=1,"L1",IF(OR(BT1400=2,BT1400=3),"L23",IF(BT1400="Aussen","Aussen","-")))</f>
        <v>L23</v>
      </c>
      <c r="BV1400" s="66" t="n">
        <f aca="false">IF(N(Z1400)&gt;0,Z1400,0)</f>
        <v>0</v>
      </c>
      <c r="BW1400" s="60" t="n">
        <f aca="false">IF(ISNUMBER(AC1400),1,0)</f>
        <v>0</v>
      </c>
      <c r="BX1400" s="57" t="n">
        <f aca="false">N(AC1400)</f>
        <v>0</v>
      </c>
      <c r="BY1400" s="57" t="n">
        <f aca="false">N(L1400)+N(M1400)</f>
        <v>1</v>
      </c>
      <c r="BZ1400" s="57" t="n">
        <f aca="false">ROUNDUP(G1400/BQ1400,0)</f>
        <v>0</v>
      </c>
      <c r="CA1400" s="57" t="n">
        <f aca="false">ROUNDUP(BX1400/BQ1400,0)</f>
        <v>0</v>
      </c>
      <c r="CB1400" s="60" t="n">
        <f aca="false">IF(BR1400=1,0,IFERROR(VLOOKUP(BP1400,'Gebinde-Kategorie'!$A$5:$M$45,5,0)+0,0))</f>
        <v>21</v>
      </c>
      <c r="CC1400" s="60" t="n">
        <f aca="false">IFERROR(IF(OR(BT1400=1,BT1400=2,BT1400=3),N(INDEX(Parameter!$I$5:$I$7,BT1400)),0),0)</f>
        <v>0</v>
      </c>
      <c r="CD1400" s="59" t="n">
        <f aca="false">IF(AND(Parameter!$B$21="Ja",ISNUMBER(U1400),N(V1400)&gt;0),IFERROR(N(INDEX(Parameter!$L$5:$L$7,U1400))*INDEX(Parameter!$E$5:$E$7,U1400)*V1400/SUMIFS($V$7:$V$1576,$U$7:$U$1576,U1400),0),0)</f>
        <v>0</v>
      </c>
    </row>
    <row r="1401" customFormat="false" ht="15" hidden="false" customHeight="false" outlineLevel="0" collapsed="false">
      <c r="A1401" s="55" t="s">
        <v>2447</v>
      </c>
      <c r="B1401" s="55" t="s">
        <v>421</v>
      </c>
      <c r="C1401" s="55" t="s">
        <v>160</v>
      </c>
      <c r="D1401" s="55" t="s">
        <v>178</v>
      </c>
      <c r="E1401" s="55" t="s">
        <v>210</v>
      </c>
      <c r="F1401" s="56" t="n">
        <v>208.55</v>
      </c>
      <c r="G1401" s="57" t="n">
        <f aca="false">MAX(0,IF(AND(Parameter!$B$21="Ja",ISNUMBER(W1401)),W1401,IF(Parameter!$B$20="Jahresanfang 2025 + Export",BJ1401+BI1401,BI1401)))</f>
        <v>0</v>
      </c>
      <c r="H1401" s="57" t="n">
        <f aca="false">G1401*F1401</f>
        <v>0</v>
      </c>
      <c r="I1401" s="57" t="n">
        <f aca="false">BL1401*Parameter!$B$18</f>
        <v>164</v>
      </c>
      <c r="J1401" s="58" t="n">
        <v>49</v>
      </c>
      <c r="K1401" s="59" t="n">
        <v>3.3469387755102</v>
      </c>
      <c r="L1401" s="57" t="n">
        <v>10</v>
      </c>
      <c r="M1401" s="57" t="n">
        <v>40</v>
      </c>
      <c r="N1401" s="60" t="n">
        <v>21</v>
      </c>
      <c r="O1401" s="55" t="s">
        <v>218</v>
      </c>
      <c r="P1401" s="57" t="n">
        <v>55</v>
      </c>
      <c r="Q1401" s="60" t="n">
        <f aca="false">IF(BR1401=1,0,IFERROR(VLOOKUP(BP1401,'Gebinde-Kategorie'!$A$5:$M$45,13,0)+0,0))</f>
        <v>12</v>
      </c>
      <c r="R1401" s="61"/>
      <c r="S1401" s="62"/>
      <c r="T1401" s="62"/>
      <c r="U1401" s="55"/>
      <c r="V1401" s="57"/>
      <c r="W1401" s="57"/>
      <c r="X1401" s="55" t="n">
        <f aca="false">IF(A1401="","",IF(AND(Parameter!$B$21="Ja",ISNUMBER(U1401)),U1401,IF(IFERROR(VLOOKUP(D1401,Parameter!$A$35:$C$64,2,0),"Nein")="2+3",IF(ISNUMBER(SEARCH("grosser Artikel",BM1401)),2,IFERROR(VLOOKUP(BP1401,Parameter!$F$35:$G$64,2,0),2)),IF(OR(IFERROR(VLOOKUP(D1401,Parameter!$A$35:$C$64,2,0),"Nein")="Nein",IFERROR(VLOOKUP(D1401,Parameter!$A$35:$C$64,2,0),"Nein")=""),"-",VLOOKUP(D1401,Parameter!$A$35:$C$64,2,0)))))</f>
        <v>2</v>
      </c>
      <c r="Y1401" s="62"/>
      <c r="Z1401" s="63"/>
      <c r="AA1401" s="57" t="n">
        <f aca="false">AP1401</f>
        <v>110</v>
      </c>
      <c r="AB1401" s="57" t="n">
        <f aca="false">MAX(AP1401,G1401)</f>
        <v>110</v>
      </c>
      <c r="AC1401" s="64"/>
      <c r="AD1401" s="57" t="n">
        <f aca="false">IF(LEFT(Cockpit!$C$5,1)="A",G1401,IF(BW1401=1,BX1401,IF(LEFT(Cockpit!$C$5,1)="B",AH1401,MAX(AH1401,G1401))))</f>
        <v>0</v>
      </c>
      <c r="AE1401" s="57" t="n">
        <f aca="false">IF(BR1401=1,0,ROUNDUP(AD1401/BQ1401,0))</f>
        <v>0</v>
      </c>
      <c r="AF1401" s="59" t="n">
        <f aca="false">IF(CD1401&gt;0,CD1401*MAX(1,AD1401/V1401),IF(BR1401=1,IF(AD1401&lt;=0,0,BS1401*MAX(1,IF(G1401&gt;0,AD1401/G1401,1))),IF(Q1401&gt;0,AE1401/Q1401,0))/MAX(0.1,N(Parameter!$M$21)))</f>
        <v>0</v>
      </c>
      <c r="AG1401" s="57" t="n">
        <f aca="false">AD1401*F1401</f>
        <v>0</v>
      </c>
      <c r="AH1401" s="57" t="n">
        <f aca="false">ROUNDUP(MAX(I1401/IF(BV1401&gt;0,BV1401,MAX(0.1,N(Cockpit!$C$6))),BY1401)/BQ1401,0)*BQ1401</f>
        <v>110</v>
      </c>
      <c r="AI1401" s="58" t="n">
        <f aca="false">IF(AF1401&gt;0,I1401/AF1401,-1)</f>
        <v>-1</v>
      </c>
      <c r="AJ1401" s="58" t="str">
        <f aca="false">IF(AND(OR(BU1401="L1",BU1401="L23"),AF1401&gt;0),SUMIFS($AF$7:$AF$1576,$BU$7:$BU$1576,BU1401,$AI$7:$AI$1576,"&gt;"&amp;AI1401)+SUMIFS($AF$7:$AF$1576,$BU$7:$BU$1576,BU1401,$AI$7:$AI$1576,AI1401,$BO$7:$BO$1576,"&lt;="&amp;BO1401),"")</f>
        <v/>
      </c>
      <c r="AK1401" s="65" t="n">
        <f aca="false">IF(AJ1401="",0,MAX(0,MIN(1,(IF(BU1401="L1",Parameter!$E$5,Parameter!$E$6+Parameter!$E$7)-(AJ1401-AF1401))/AF1401)))</f>
        <v>0</v>
      </c>
      <c r="AL1401" s="57" t="n">
        <f aca="false">IF(LEFT(Cockpit!$I$5,1)="A",G1401,IF(BW1401=1,BX1401,IF(LEFT(Cockpit!$I$5,1)="B",AP1401,MAX(AP1401,G1401))))</f>
        <v>110</v>
      </c>
      <c r="AM1401" s="57" t="n">
        <f aca="false">IF(BR1401=1,0,ROUNDUP(AL1401/BQ1401,0))</f>
        <v>2</v>
      </c>
      <c r="AN1401" s="59" t="n">
        <f aca="false">IF(CD1401&gt;0,CD1401*MAX(1,AL1401/V1401),IF(BR1401=1,IF(AL1401&lt;=0,0,BS1401*MAX(1,IF(G1401&gt;0,AL1401/G1401,1))),IF(Q1401&gt;0,AM1401/Q1401,0))/MAX(0.1,N(Parameter!$M$21)))</f>
        <v>0.166666666666667</v>
      </c>
      <c r="AO1401" s="57" t="n">
        <f aca="false">AL1401*F1401</f>
        <v>22940.5</v>
      </c>
      <c r="AP1401" s="57" t="n">
        <f aca="false">ROUNDUP(MAX(I1401/IF(BV1401&gt;0,BV1401,MAX(0.1,N(Cockpit!$I$6))),BY1401)/BQ1401,0)*BQ1401</f>
        <v>110</v>
      </c>
      <c r="AQ1401" s="58" t="n">
        <f aca="false">IF(AN1401&gt;0,I1401/AN1401,-1)</f>
        <v>984</v>
      </c>
      <c r="AR1401" s="58" t="n">
        <f aca="false">IF(AND(OR(BU1401="L1",BU1401="L23"),AN1401&gt;0),SUMIFS($AN$7:$AN$1576,$BU$7:$BU$1576,BU1401,$AQ$7:$AQ$1576,"&gt;"&amp;AQ1401)+SUMIFS($AN$7:$AN$1576,$BU$7:$BU$1576,BU1401,$AQ$7:$AQ$1576,AQ1401,$BO$7:$BO$1576,"&lt;="&amp;BO1401),"")</f>
        <v>23.1027181155554</v>
      </c>
      <c r="AS1401" s="65" t="n">
        <f aca="false">IF(AR1401="",0,MAX(0,MIN(1,(IF(BU1401="L1",Parameter!$E$5,Parameter!$E$6+Parameter!$E$7)-(AR1401-AN1401))/AN1401)))</f>
        <v>1</v>
      </c>
      <c r="AT1401" s="57" t="n">
        <f aca="false">IF(LEFT(Cockpit!$O$5,1)="A",G1401,IF(BW1401=1,BX1401,IF(LEFT(Cockpit!$O$5,1)="B",AX1401,MAX(AX1401,G1401))))</f>
        <v>55</v>
      </c>
      <c r="AU1401" s="57" t="n">
        <f aca="false">IF(BR1401=1,0,ROUNDUP(AT1401/BQ1401,0))</f>
        <v>1</v>
      </c>
      <c r="AV1401" s="59" t="n">
        <f aca="false">IF(CD1401&gt;0,CD1401*MAX(1,AT1401/V1401),IF(BR1401=1,IF(AT1401&lt;=0,0,BS1401*MAX(1,IF(G1401&gt;0,AT1401/G1401,1))),IF(Q1401&gt;0,AU1401/Q1401,0))/MAX(0.1,N(Parameter!$M$21)))</f>
        <v>0.0833333333333333</v>
      </c>
      <c r="AW1401" s="57" t="n">
        <f aca="false">AT1401*F1401</f>
        <v>11470.25</v>
      </c>
      <c r="AX1401" s="57" t="n">
        <f aca="false">ROUNDUP(MAX(I1401/IF(BV1401&gt;0,BV1401,MAX(0.1,N(Cockpit!$O$6))),BY1401)/BQ1401,0)*BQ1401</f>
        <v>55</v>
      </c>
      <c r="AY1401" s="58" t="n">
        <f aca="false">IF(AV1401&gt;0,I1401/AV1401,-1)</f>
        <v>1968</v>
      </c>
      <c r="AZ1401" s="58" t="n">
        <f aca="false">IF(AND(OR(BU1401="L1",BU1401="L23"),AV1401&gt;0),SUMIFS($AV$7:$AV$1576,$BU$7:$BU$1576,BU1401,$AY$7:$AY$1576,"&gt;"&amp;AY1401)+SUMIFS($AV$7:$AV$1576,$BU$7:$BU$1576,BU1401,$AY$7:$AY$1576,AY1401,$BO$7:$BO$1576,"&lt;="&amp;BO1401),"")</f>
        <v>16.170651631315</v>
      </c>
      <c r="BA1401" s="65" t="n">
        <f aca="false">IF(AZ1401="",0,MAX(0,MIN(1,(IF(BU1401="L1",Parameter!$E$5,Parameter!$E$6+Parameter!$E$7)-(AZ1401-AV1401))/AV1401)))</f>
        <v>1</v>
      </c>
      <c r="BB1401" s="55" t="str">
        <f aca="false">IF(AF1401&lt;=0,"",IF(BU1401="Aussen","Aussenlager",IF(BU1401="-","Nicht im Lift",IF(AK1401&gt;=1,"Lift",IF(AK1401&lt;=0,"Aussenlager","teilweise")))))</f>
        <v/>
      </c>
      <c r="BC1401" s="55" t="str">
        <f aca="false">IF(AN1401&lt;=0,"",IF(BU1401="Aussen","Aussenlager",IF(BU1401="-","Nicht im Lift",IF(AS1401&gt;=1,"Lift",IF(AS1401&lt;=0,"Aussenlager","teilweise")))))</f>
        <v>Lift</v>
      </c>
      <c r="BD1401" s="55" t="str">
        <f aca="false">IF(AV1401&lt;=0,"",IF(BU1401="Aussen","Aussenlager",IF(BU1401="-","Nicht im Lift",IF(BA1401&gt;=1,"Lift",IF(BA1401&lt;=0,"Aussenlager","teilweise")))))</f>
        <v>Lift</v>
      </c>
      <c r="BE1401" s="55" t="str">
        <f aca="false">IF(A1401="","",IF(BN1401=1,"Neu; ","")&amp;IF(AND(BN1401=0,BI1401&lt;0),"negativer Bestand (Export "&amp;BI1401&amp;"); ","")&amp;IF(I1401&lt;=0,"Kein Verbrauch; ","")&amp;IF(CD1401&gt;0,"Lift "&amp;U1401&amp;" lt. Liftbericht (Fach "&amp;V1401&amp;" Stk); ",IF(BR1401=1,"Lose – Fläche geschätzt; ",""))&amp;IF(G1401&gt;AP1401,"Überbestand "&amp;ROUND(G1401-AP1401,0)&amp;" Stk / CHF "&amp;ROUND((G1401-AP1401)*F1401,0)&amp;"; ","")&amp;IF(AND(BW1401=1,BX1401&lt;BY1401),"MAX &lt; MB+LG; ","")&amp;IF(AND(CC1401&gt;0,CB1401*10&gt;CC1401),"zu hoch für Tablar; ","")&amp;IF(AND(BN1401=0,OR(BW1401=1,Y1401&lt;&gt;"",S1401&lt;&gt;"",T1401&lt;&gt;"",Z1401&lt;&gt;"")),"manuell übersteuert; ","")&amp;IF(AND(BR1401=0,Q1401=0),"Gebinde unbekannt / Stellmass fehlt; ","")&amp;IF(AND(BR1401=0,N(T1401)&lt;=0,N(P1401)&lt;=0),"Menge pro Gebinde fehlt (Ist = 1 Gebinde); ","")&amp;BM1401)</f>
        <v>negativer Bestand (Export -14); </v>
      </c>
      <c r="BF1401" s="55"/>
      <c r="BG1401" s="55"/>
      <c r="BH1401" s="62"/>
      <c r="BI1401" s="57" t="n">
        <v>-14</v>
      </c>
      <c r="BJ1401" s="57" t="n">
        <v>61</v>
      </c>
      <c r="BK1401" s="56" t="n">
        <v>-4139.70000000001</v>
      </c>
      <c r="BL1401" s="57" t="n">
        <v>164</v>
      </c>
      <c r="BM1401" s="55"/>
      <c r="BN1401" s="60" t="n">
        <v>0</v>
      </c>
      <c r="BO1401" s="60" t="n">
        <v>1401</v>
      </c>
      <c r="BP1401" s="55" t="str">
        <f aca="false">IF(S1401&lt;&gt;"",UPPER(TRIM(S1401)),IF(O1401="","LOSE",O1401))</f>
        <v>S63</v>
      </c>
      <c r="BQ1401" s="57" t="n">
        <f aca="false">IF(BP1401="LOSE",1,IF(N(T1401)&gt;0,T1401,IF(N(P1401)&gt;0,P1401,MAX(1,G1401))))</f>
        <v>55</v>
      </c>
      <c r="BR1401" s="60" t="n">
        <f aca="false">IF(BP1401="LOSE",1,0)</f>
        <v>0</v>
      </c>
      <c r="BS1401" s="59" t="n">
        <f aca="false">IF(BR1401=0,0,IF(N(R1401)&gt;0,R1401,IFERROR(VLOOKUP(D1401,Parameter!$A$35:$C$64,3,0)+0,0)))</f>
        <v>0</v>
      </c>
      <c r="BT1401" s="55" t="n">
        <f aca="false">IF(Y1401&lt;&gt;"",Y1401,X1401)</f>
        <v>2</v>
      </c>
      <c r="BU1401" s="55" t="str">
        <f aca="false">IF(BT1401=1,"L1",IF(OR(BT1401=2,BT1401=3),"L23",IF(BT1401="Aussen","Aussen","-")))</f>
        <v>L23</v>
      </c>
      <c r="BV1401" s="66" t="n">
        <f aca="false">IF(N(Z1401)&gt;0,Z1401,0)</f>
        <v>0</v>
      </c>
      <c r="BW1401" s="60" t="n">
        <f aca="false">IF(ISNUMBER(AC1401),1,0)</f>
        <v>0</v>
      </c>
      <c r="BX1401" s="57" t="n">
        <f aca="false">N(AC1401)</f>
        <v>0</v>
      </c>
      <c r="BY1401" s="57" t="n">
        <f aca="false">N(L1401)+N(M1401)</f>
        <v>50</v>
      </c>
      <c r="BZ1401" s="57" t="n">
        <f aca="false">ROUNDUP(G1401/BQ1401,0)</f>
        <v>0</v>
      </c>
      <c r="CA1401" s="57" t="n">
        <f aca="false">ROUNDUP(BX1401/BQ1401,0)</f>
        <v>0</v>
      </c>
      <c r="CB1401" s="60" t="n">
        <f aca="false">IF(BR1401=1,0,IFERROR(VLOOKUP(BP1401,'Gebinde-Kategorie'!$A$5:$M$45,5,0)+0,0))</f>
        <v>31</v>
      </c>
      <c r="CC1401" s="60" t="n">
        <f aca="false">IFERROR(IF(OR(BT1401=1,BT1401=2,BT1401=3),N(INDEX(Parameter!$I$5:$I$7,BT1401)),0),0)</f>
        <v>0</v>
      </c>
      <c r="CD1401" s="59" t="n">
        <f aca="false">IF(AND(Parameter!$B$21="Ja",ISNUMBER(U1401),N(V1401)&gt;0),IFERROR(N(INDEX(Parameter!$L$5:$L$7,U1401))*INDEX(Parameter!$E$5:$E$7,U1401)*V1401/SUMIFS($V$7:$V$1576,$U$7:$U$1576,U1401),0),0)</f>
        <v>0</v>
      </c>
    </row>
    <row r="1402" customFormat="false" ht="15" hidden="false" customHeight="false" outlineLevel="0" collapsed="false">
      <c r="A1402" s="55" t="s">
        <v>2448</v>
      </c>
      <c r="B1402" s="55" t="s">
        <v>2449</v>
      </c>
      <c r="C1402" s="55" t="s">
        <v>160</v>
      </c>
      <c r="D1402" s="55" t="s">
        <v>178</v>
      </c>
      <c r="E1402" s="55" t="s">
        <v>210</v>
      </c>
      <c r="F1402" s="56" t="n">
        <v>94.26</v>
      </c>
      <c r="G1402" s="57" t="n">
        <f aca="false">MAX(0,IF(AND(Parameter!$B$21="Ja",ISNUMBER(W1402)),W1402,IF(Parameter!$B$20="Jahresanfang 2025 + Export",BJ1402+BI1402,BI1402)))</f>
        <v>0</v>
      </c>
      <c r="H1402" s="57" t="n">
        <f aca="false">G1402*F1402</f>
        <v>0</v>
      </c>
      <c r="I1402" s="57" t="n">
        <f aca="false">BL1402*Parameter!$B$18</f>
        <v>2</v>
      </c>
      <c r="J1402" s="58" t="n">
        <v>53.5</v>
      </c>
      <c r="K1402" s="59" t="n">
        <v>0.0373831775700935</v>
      </c>
      <c r="L1402" s="57" t="n">
        <v>0</v>
      </c>
      <c r="M1402" s="57" t="n">
        <v>1</v>
      </c>
      <c r="N1402" s="60" t="n">
        <v>28</v>
      </c>
      <c r="O1402" s="55" t="s">
        <v>179</v>
      </c>
      <c r="P1402" s="57" t="n">
        <v>35</v>
      </c>
      <c r="Q1402" s="60" t="n">
        <f aca="false">IF(BR1402=1,0,IFERROR(VLOOKUP(BP1402,'Gebinde-Kategorie'!$A$5:$M$45,13,0)+0,0))</f>
        <v>12</v>
      </c>
      <c r="R1402" s="61"/>
      <c r="S1402" s="62"/>
      <c r="T1402" s="62"/>
      <c r="U1402" s="55"/>
      <c r="V1402" s="57"/>
      <c r="W1402" s="57"/>
      <c r="X1402" s="55" t="n">
        <f aca="false">IF(A1402="","",IF(AND(Parameter!$B$21="Ja",ISNUMBER(U1402)),U1402,IF(IFERROR(VLOOKUP(D1402,Parameter!$A$35:$C$64,2,0),"Nein")="2+3",IF(ISNUMBER(SEARCH("grosser Artikel",BM1402)),2,IFERROR(VLOOKUP(BP1402,Parameter!$F$35:$G$64,2,0),2)),IF(OR(IFERROR(VLOOKUP(D1402,Parameter!$A$35:$C$64,2,0),"Nein")="Nein",IFERROR(VLOOKUP(D1402,Parameter!$A$35:$C$64,2,0),"Nein")=""),"-",VLOOKUP(D1402,Parameter!$A$35:$C$64,2,0)))))</f>
        <v>2</v>
      </c>
      <c r="Y1402" s="62"/>
      <c r="Z1402" s="63"/>
      <c r="AA1402" s="57" t="n">
        <f aca="false">AP1402</f>
        <v>35</v>
      </c>
      <c r="AB1402" s="57" t="n">
        <f aca="false">MAX(AP1402,G1402)</f>
        <v>35</v>
      </c>
      <c r="AC1402" s="64"/>
      <c r="AD1402" s="57" t="n">
        <f aca="false">IF(LEFT(Cockpit!$C$5,1)="A",G1402,IF(BW1402=1,BX1402,IF(LEFT(Cockpit!$C$5,1)="B",AH1402,MAX(AH1402,G1402))))</f>
        <v>0</v>
      </c>
      <c r="AE1402" s="57" t="n">
        <f aca="false">IF(BR1402=1,0,ROUNDUP(AD1402/BQ1402,0))</f>
        <v>0</v>
      </c>
      <c r="AF1402" s="59" t="n">
        <f aca="false">IF(CD1402&gt;0,CD1402*MAX(1,AD1402/V1402),IF(BR1402=1,IF(AD1402&lt;=0,0,BS1402*MAX(1,IF(G1402&gt;0,AD1402/G1402,1))),IF(Q1402&gt;0,AE1402/Q1402,0))/MAX(0.1,N(Parameter!$M$21)))</f>
        <v>0</v>
      </c>
      <c r="AG1402" s="57" t="n">
        <f aca="false">AD1402*F1402</f>
        <v>0</v>
      </c>
      <c r="AH1402" s="57" t="n">
        <f aca="false">ROUNDUP(MAX(I1402/IF(BV1402&gt;0,BV1402,MAX(0.1,N(Cockpit!$C$6))),BY1402)/BQ1402,0)*BQ1402</f>
        <v>35</v>
      </c>
      <c r="AI1402" s="58" t="n">
        <f aca="false">IF(AF1402&gt;0,I1402/AF1402,-1)</f>
        <v>-1</v>
      </c>
      <c r="AJ1402" s="58" t="str">
        <f aca="false">IF(AND(OR(BU1402="L1",BU1402="L23"),AF1402&gt;0),SUMIFS($AF$7:$AF$1576,$BU$7:$BU$1576,BU1402,$AI$7:$AI$1576,"&gt;"&amp;AI1402)+SUMIFS($AF$7:$AF$1576,$BU$7:$BU$1576,BU1402,$AI$7:$AI$1576,AI1402,$BO$7:$BO$1576,"&lt;="&amp;BO1402),"")</f>
        <v/>
      </c>
      <c r="AK1402" s="65" t="n">
        <f aca="false">IF(AJ1402="",0,MAX(0,MIN(1,(IF(BU1402="L1",Parameter!$E$5,Parameter!$E$6+Parameter!$E$7)-(AJ1402-AF1402))/AF1402)))</f>
        <v>0</v>
      </c>
      <c r="AL1402" s="57" t="n">
        <f aca="false">IF(LEFT(Cockpit!$I$5,1)="A",G1402,IF(BW1402=1,BX1402,IF(LEFT(Cockpit!$I$5,1)="B",AP1402,MAX(AP1402,G1402))))</f>
        <v>35</v>
      </c>
      <c r="AM1402" s="57" t="n">
        <f aca="false">IF(BR1402=1,0,ROUNDUP(AL1402/BQ1402,0))</f>
        <v>1</v>
      </c>
      <c r="AN1402" s="59" t="n">
        <f aca="false">IF(CD1402&gt;0,CD1402*MAX(1,AL1402/V1402),IF(BR1402=1,IF(AL1402&lt;=0,0,BS1402*MAX(1,IF(G1402&gt;0,AL1402/G1402,1))),IF(Q1402&gt;0,AM1402/Q1402,0))/MAX(0.1,N(Parameter!$M$21)))</f>
        <v>0.0833333333333333</v>
      </c>
      <c r="AO1402" s="57" t="n">
        <f aca="false">AL1402*F1402</f>
        <v>3299.1</v>
      </c>
      <c r="AP1402" s="57" t="n">
        <f aca="false">ROUNDUP(MAX(I1402/IF(BV1402&gt;0,BV1402,MAX(0.1,N(Cockpit!$I$6))),BY1402)/BQ1402,0)*BQ1402</f>
        <v>35</v>
      </c>
      <c r="AQ1402" s="58" t="n">
        <f aca="false">IF(AN1402&gt;0,I1402/AN1402,-1)</f>
        <v>24</v>
      </c>
      <c r="AR1402" s="58" t="n">
        <f aca="false">IF(AND(OR(BU1402="L1",BU1402="L23"),AN1402&gt;0),SUMIFS($AN$7:$AN$1576,$BU$7:$BU$1576,BU1402,$AQ$7:$AQ$1576,"&gt;"&amp;AQ1402)+SUMIFS($AN$7:$AN$1576,$BU$7:$BU$1576,BU1402,$AQ$7:$AQ$1576,AQ1402,$BO$7:$BO$1576,"&lt;="&amp;BO1402),"")</f>
        <v>99.4629474092086</v>
      </c>
      <c r="AS1402" s="65" t="n">
        <f aca="false">IF(AR1402="",0,MAX(0,MIN(1,(IF(BU1402="L1",Parameter!$E$5,Parameter!$E$6+Parameter!$E$7)-(AR1402-AN1402))/AN1402)))</f>
        <v>1</v>
      </c>
      <c r="AT1402" s="57" t="n">
        <f aca="false">IF(LEFT(Cockpit!$O$5,1)="A",G1402,IF(BW1402=1,BX1402,IF(LEFT(Cockpit!$O$5,1)="B",AX1402,MAX(AX1402,G1402))))</f>
        <v>35</v>
      </c>
      <c r="AU1402" s="57" t="n">
        <f aca="false">IF(BR1402=1,0,ROUNDUP(AT1402/BQ1402,0))</f>
        <v>1</v>
      </c>
      <c r="AV1402" s="59" t="n">
        <f aca="false">IF(CD1402&gt;0,CD1402*MAX(1,AT1402/V1402),IF(BR1402=1,IF(AT1402&lt;=0,0,BS1402*MAX(1,IF(G1402&gt;0,AT1402/G1402,1))),IF(Q1402&gt;0,AU1402/Q1402,0))/MAX(0.1,N(Parameter!$M$21)))</f>
        <v>0.0833333333333333</v>
      </c>
      <c r="AW1402" s="57" t="n">
        <f aca="false">AT1402*F1402</f>
        <v>3299.1</v>
      </c>
      <c r="AX1402" s="57" t="n">
        <f aca="false">ROUNDUP(MAX(I1402/IF(BV1402&gt;0,BV1402,MAX(0.1,N(Cockpit!$O$6))),BY1402)/BQ1402,0)*BQ1402</f>
        <v>35</v>
      </c>
      <c r="AY1402" s="58" t="n">
        <f aca="false">IF(AV1402&gt;0,I1402/AV1402,-1)</f>
        <v>24</v>
      </c>
      <c r="AZ1402" s="58" t="n">
        <f aca="false">IF(AND(OR(BU1402="L1",BU1402="L23"),AV1402&gt;0),SUMIFS($AV$7:$AV$1576,$BU$7:$BU$1576,BU1402,$AY$7:$AY$1576,"&gt;"&amp;AY1402)+SUMIFS($AV$7:$AV$1576,$BU$7:$BU$1576,BU1402,$AY$7:$AY$1576,AY1402,$BO$7:$BO$1576,"&lt;="&amp;BO1402),"")</f>
        <v>90.272497858759</v>
      </c>
      <c r="BA1402" s="65" t="n">
        <f aca="false">IF(AZ1402="",0,MAX(0,MIN(1,(IF(BU1402="L1",Parameter!$E$5,Parameter!$E$6+Parameter!$E$7)-(AZ1402-AV1402))/AV1402)))</f>
        <v>1</v>
      </c>
      <c r="BB1402" s="55" t="str">
        <f aca="false">IF(AF1402&lt;=0,"",IF(BU1402="Aussen","Aussenlager",IF(BU1402="-","Nicht im Lift",IF(AK1402&gt;=1,"Lift",IF(AK1402&lt;=0,"Aussenlager","teilweise")))))</f>
        <v/>
      </c>
      <c r="BC1402" s="55" t="str">
        <f aca="false">IF(AN1402&lt;=0,"",IF(BU1402="Aussen","Aussenlager",IF(BU1402="-","Nicht im Lift",IF(AS1402&gt;=1,"Lift",IF(AS1402&lt;=0,"Aussenlager","teilweise")))))</f>
        <v>Lift</v>
      </c>
      <c r="BD1402" s="55" t="str">
        <f aca="false">IF(AV1402&lt;=0,"",IF(BU1402="Aussen","Aussenlager",IF(BU1402="-","Nicht im Lift",IF(BA1402&gt;=1,"Lift",IF(BA1402&lt;=0,"Aussenlager","teilweise")))))</f>
        <v>Lift</v>
      </c>
      <c r="BE1402" s="55" t="str">
        <f aca="false">IF(A1402="","",IF(BN1402=1,"Neu; ","")&amp;IF(AND(BN1402=0,BI1402&lt;0),"negativer Bestand (Export "&amp;BI1402&amp;"); ","")&amp;IF(I1402&lt;=0,"Kein Verbrauch; ","")&amp;IF(CD1402&gt;0,"Lift "&amp;U1402&amp;" lt. Liftbericht (Fach "&amp;V1402&amp;" Stk); ",IF(BR1402=1,"Lose – Fläche geschätzt; ",""))&amp;IF(G1402&gt;AP1402,"Überbestand "&amp;ROUND(G1402-AP1402,0)&amp;" Stk / CHF "&amp;ROUND((G1402-AP1402)*F1402,0)&amp;"; ","")&amp;IF(AND(BW1402=1,BX1402&lt;BY1402),"MAX &lt; MB+LG; ","")&amp;IF(AND(CC1402&gt;0,CB1402*10&gt;CC1402),"zu hoch für Tablar; ","")&amp;IF(AND(BN1402=0,OR(BW1402=1,Y1402&lt;&gt;"",S1402&lt;&gt;"",T1402&lt;&gt;"",Z1402&lt;&gt;"")),"manuell übersteuert; ","")&amp;IF(AND(BR1402=0,Q1402=0),"Gebinde unbekannt / Stellmass fehlt; ","")&amp;IF(AND(BR1402=0,N(T1402)&lt;=0,N(P1402)&lt;=0),"Menge pro Gebinde fehlt (Ist = 1 Gebinde); ","")&amp;BM1402)</f>
        <v>negativer Bestand (Export -44); </v>
      </c>
      <c r="BF1402" s="55"/>
      <c r="BG1402" s="55"/>
      <c r="BH1402" s="62"/>
      <c r="BI1402" s="57" t="n">
        <v>-44</v>
      </c>
      <c r="BJ1402" s="57" t="n">
        <v>55</v>
      </c>
      <c r="BK1402" s="56" t="n">
        <v>-4147.44</v>
      </c>
      <c r="BL1402" s="57" t="n">
        <v>2</v>
      </c>
      <c r="BM1402" s="55"/>
      <c r="BN1402" s="60" t="n">
        <v>0</v>
      </c>
      <c r="BO1402" s="60" t="n">
        <v>1402</v>
      </c>
      <c r="BP1402" s="55" t="str">
        <f aca="false">IF(S1402&lt;&gt;"",UPPER(TRIM(S1402)),IF(O1402="","LOSE",O1402))</f>
        <v>S61</v>
      </c>
      <c r="BQ1402" s="57" t="n">
        <f aca="false">IF(BP1402="LOSE",1,IF(N(T1402)&gt;0,T1402,IF(N(P1402)&gt;0,P1402,MAX(1,G1402))))</f>
        <v>35</v>
      </c>
      <c r="BR1402" s="60" t="n">
        <f aca="false">IF(BP1402="LOSE",1,0)</f>
        <v>0</v>
      </c>
      <c r="BS1402" s="59" t="n">
        <f aca="false">IF(BR1402=0,0,IF(N(R1402)&gt;0,R1402,IFERROR(VLOOKUP(D1402,Parameter!$A$35:$C$64,3,0)+0,0)))</f>
        <v>0</v>
      </c>
      <c r="BT1402" s="55" t="n">
        <f aca="false">IF(Y1402&lt;&gt;"",Y1402,X1402)</f>
        <v>2</v>
      </c>
      <c r="BU1402" s="55" t="str">
        <f aca="false">IF(BT1402=1,"L1",IF(OR(BT1402=2,BT1402=3),"L23",IF(BT1402="Aussen","Aussen","-")))</f>
        <v>L23</v>
      </c>
      <c r="BV1402" s="66" t="n">
        <f aca="false">IF(N(Z1402)&gt;0,Z1402,0)</f>
        <v>0</v>
      </c>
      <c r="BW1402" s="60" t="n">
        <f aca="false">IF(ISNUMBER(AC1402),1,0)</f>
        <v>0</v>
      </c>
      <c r="BX1402" s="57" t="n">
        <f aca="false">N(AC1402)</f>
        <v>0</v>
      </c>
      <c r="BY1402" s="57" t="n">
        <f aca="false">N(L1402)+N(M1402)</f>
        <v>1</v>
      </c>
      <c r="BZ1402" s="57" t="n">
        <f aca="false">ROUNDUP(G1402/BQ1402,0)</f>
        <v>0</v>
      </c>
      <c r="CA1402" s="57" t="n">
        <f aca="false">ROUNDUP(BX1402/BQ1402,0)</f>
        <v>0</v>
      </c>
      <c r="CB1402" s="60" t="n">
        <f aca="false">IF(BR1402=1,0,IFERROR(VLOOKUP(BP1402,'Gebinde-Kategorie'!$A$5:$M$45,5,0)+0,0))</f>
        <v>11</v>
      </c>
      <c r="CC1402" s="60" t="n">
        <f aca="false">IFERROR(IF(OR(BT1402=1,BT1402=2,BT1402=3),N(INDEX(Parameter!$I$5:$I$7,BT1402)),0),0)</f>
        <v>0</v>
      </c>
      <c r="CD1402" s="59" t="n">
        <f aca="false">IF(AND(Parameter!$B$21="Ja",ISNUMBER(U1402),N(V1402)&gt;0),IFERROR(N(INDEX(Parameter!$L$5:$L$7,U1402))*INDEX(Parameter!$E$5:$E$7,U1402)*V1402/SUMIFS($V$7:$V$1576,$U$7:$U$1576,U1402),0),0)</f>
        <v>0</v>
      </c>
    </row>
    <row r="1403" customFormat="false" ht="15" hidden="false" customHeight="false" outlineLevel="0" collapsed="false">
      <c r="A1403" s="55" t="s">
        <v>2450</v>
      </c>
      <c r="B1403" s="55" t="s">
        <v>395</v>
      </c>
      <c r="C1403" s="55" t="s">
        <v>160</v>
      </c>
      <c r="D1403" s="55" t="s">
        <v>178</v>
      </c>
      <c r="E1403" s="55" t="s">
        <v>210</v>
      </c>
      <c r="F1403" s="56" t="n">
        <v>3.25</v>
      </c>
      <c r="G1403" s="57" t="n">
        <f aca="false">MAX(0,IF(AND(Parameter!$B$21="Ja",ISNUMBER(W1403)),W1403,IF(Parameter!$B$20="Jahresanfang 2025 + Export",BJ1403+BI1403,BI1403)))</f>
        <v>0</v>
      </c>
      <c r="H1403" s="57" t="n">
        <f aca="false">G1403*F1403</f>
        <v>0</v>
      </c>
      <c r="I1403" s="57" t="n">
        <f aca="false">BL1403*Parameter!$B$18</f>
        <v>966</v>
      </c>
      <c r="J1403" s="58" t="n">
        <v>1023.5</v>
      </c>
      <c r="K1403" s="59" t="n">
        <v>0.943820224719101</v>
      </c>
      <c r="L1403" s="57" t="n">
        <v>60</v>
      </c>
      <c r="M1403" s="57" t="n">
        <v>1500</v>
      </c>
      <c r="N1403" s="60" t="n">
        <v>56</v>
      </c>
      <c r="O1403" s="55" t="s">
        <v>163</v>
      </c>
      <c r="P1403" s="57"/>
      <c r="Q1403" s="60" t="n">
        <f aca="false">IF(BR1403=1,0,IFERROR(VLOOKUP(BP1403,'Gebinde-Kategorie'!$A$5:$M$45,13,0)+0,0))</f>
        <v>0</v>
      </c>
      <c r="R1403" s="61"/>
      <c r="S1403" s="62"/>
      <c r="T1403" s="62"/>
      <c r="U1403" s="55"/>
      <c r="V1403" s="57"/>
      <c r="W1403" s="57"/>
      <c r="X1403" s="55" t="n">
        <f aca="false">IF(A1403="","",IF(AND(Parameter!$B$21="Ja",ISNUMBER(U1403)),U1403,IF(IFERROR(VLOOKUP(D1403,Parameter!$A$35:$C$64,2,0),"Nein")="2+3",IF(ISNUMBER(SEARCH("grosser Artikel",BM1403)),2,IFERROR(VLOOKUP(BP1403,Parameter!$F$35:$G$64,2,0),2)),IF(OR(IFERROR(VLOOKUP(D1403,Parameter!$A$35:$C$64,2,0),"Nein")="Nein",IFERROR(VLOOKUP(D1403,Parameter!$A$35:$C$64,2,0),"Nein")=""),"-",VLOOKUP(D1403,Parameter!$A$35:$C$64,2,0)))))</f>
        <v>2</v>
      </c>
      <c r="Y1403" s="62"/>
      <c r="Z1403" s="63"/>
      <c r="AA1403" s="57" t="n">
        <f aca="false">AP1403</f>
        <v>1560</v>
      </c>
      <c r="AB1403" s="57" t="n">
        <f aca="false">MAX(AP1403,G1403)</f>
        <v>1560</v>
      </c>
      <c r="AC1403" s="64"/>
      <c r="AD1403" s="57" t="n">
        <f aca="false">IF(LEFT(Cockpit!$C$5,1)="A",G1403,IF(BW1403=1,BX1403,IF(LEFT(Cockpit!$C$5,1)="B",AH1403,MAX(AH1403,G1403))))</f>
        <v>0</v>
      </c>
      <c r="AE1403" s="57" t="n">
        <f aca="false">IF(BR1403=1,0,ROUNDUP(AD1403/BQ1403,0))</f>
        <v>0</v>
      </c>
      <c r="AF1403" s="59" t="n">
        <f aca="false">IF(CD1403&gt;0,CD1403*MAX(1,AD1403/V1403),IF(BR1403=1,IF(AD1403&lt;=0,0,BS1403*MAX(1,IF(G1403&gt;0,AD1403/G1403,1))),IF(Q1403&gt;0,AE1403/Q1403,0))/MAX(0.1,N(Parameter!$M$21)))</f>
        <v>0</v>
      </c>
      <c r="AG1403" s="57" t="n">
        <f aca="false">AD1403*F1403</f>
        <v>0</v>
      </c>
      <c r="AH1403" s="57" t="n">
        <f aca="false">ROUNDUP(MAX(I1403/IF(BV1403&gt;0,BV1403,MAX(0.1,N(Cockpit!$C$6))),BY1403)/BQ1403,0)*BQ1403</f>
        <v>1560</v>
      </c>
      <c r="AI1403" s="58" t="n">
        <f aca="false">IF(AF1403&gt;0,I1403/AF1403,-1)</f>
        <v>-1</v>
      </c>
      <c r="AJ1403" s="58" t="str">
        <f aca="false">IF(AND(OR(BU1403="L1",BU1403="L23"),AF1403&gt;0),SUMIFS($AF$7:$AF$1576,$BU$7:$BU$1576,BU1403,$AI$7:$AI$1576,"&gt;"&amp;AI1403)+SUMIFS($AF$7:$AF$1576,$BU$7:$BU$1576,BU1403,$AI$7:$AI$1576,AI1403,$BO$7:$BO$1576,"&lt;="&amp;BO1403),"")</f>
        <v/>
      </c>
      <c r="AK1403" s="65" t="n">
        <f aca="false">IF(AJ1403="",0,MAX(0,MIN(1,(IF(BU1403="L1",Parameter!$E$5,Parameter!$E$6+Parameter!$E$7)-(AJ1403-AF1403))/AF1403)))</f>
        <v>0</v>
      </c>
      <c r="AL1403" s="57" t="n">
        <f aca="false">IF(LEFT(Cockpit!$I$5,1)="A",G1403,IF(BW1403=1,BX1403,IF(LEFT(Cockpit!$I$5,1)="B",AP1403,MAX(AP1403,G1403))))</f>
        <v>1560</v>
      </c>
      <c r="AM1403" s="57" t="n">
        <f aca="false">IF(BR1403=1,0,ROUNDUP(AL1403/BQ1403,0))</f>
        <v>0</v>
      </c>
      <c r="AN1403" s="59" t="n">
        <f aca="false">IF(CD1403&gt;0,CD1403*MAX(1,AL1403/V1403),IF(BR1403=1,IF(AL1403&lt;=0,0,BS1403*MAX(1,IF(G1403&gt;0,AL1403/G1403,1))),IF(Q1403&gt;0,AM1403/Q1403,0))/MAX(0.1,N(Parameter!$M$21)))</f>
        <v>0.03</v>
      </c>
      <c r="AO1403" s="57" t="n">
        <f aca="false">AL1403*F1403</f>
        <v>5070</v>
      </c>
      <c r="AP1403" s="57" t="n">
        <f aca="false">ROUNDUP(MAX(I1403/IF(BV1403&gt;0,BV1403,MAX(0.1,N(Cockpit!$I$6))),BY1403)/BQ1403,0)*BQ1403</f>
        <v>1560</v>
      </c>
      <c r="AQ1403" s="58" t="n">
        <f aca="false">IF(AN1403&gt;0,I1403/AN1403,-1)</f>
        <v>32200</v>
      </c>
      <c r="AR1403" s="58" t="n">
        <f aca="false">IF(AND(OR(BU1403="L1",BU1403="L23"),AN1403&gt;0),SUMIFS($AN$7:$AN$1576,$BU$7:$BU$1576,BU1403,$AQ$7:$AQ$1576,"&gt;"&amp;AQ1403)+SUMIFS($AN$7:$AN$1576,$BU$7:$BU$1576,BU1403,$AQ$7:$AQ$1576,AQ1403,$BO$7:$BO$1576,"&lt;="&amp;BO1403),"")</f>
        <v>2.68298739907436</v>
      </c>
      <c r="AS1403" s="65" t="n">
        <f aca="false">IF(AR1403="",0,MAX(0,MIN(1,(IF(BU1403="L1",Parameter!$E$5,Parameter!$E$6+Parameter!$E$7)-(AR1403-AN1403))/AN1403)))</f>
        <v>1</v>
      </c>
      <c r="AT1403" s="57" t="n">
        <f aca="false">IF(LEFT(Cockpit!$O$5,1)="A",G1403,IF(BW1403=1,BX1403,IF(LEFT(Cockpit!$O$5,1)="B",AX1403,MAX(AX1403,G1403))))</f>
        <v>1560</v>
      </c>
      <c r="AU1403" s="57" t="n">
        <f aca="false">IF(BR1403=1,0,ROUNDUP(AT1403/BQ1403,0))</f>
        <v>0</v>
      </c>
      <c r="AV1403" s="59" t="n">
        <f aca="false">IF(CD1403&gt;0,CD1403*MAX(1,AT1403/V1403),IF(BR1403=1,IF(AT1403&lt;=0,0,BS1403*MAX(1,IF(G1403&gt;0,AT1403/G1403,1))),IF(Q1403&gt;0,AU1403/Q1403,0))/MAX(0.1,N(Parameter!$M$21)))</f>
        <v>0.03</v>
      </c>
      <c r="AW1403" s="57" t="n">
        <f aca="false">AT1403*F1403</f>
        <v>5070</v>
      </c>
      <c r="AX1403" s="57" t="n">
        <f aca="false">ROUNDUP(MAX(I1403/IF(BV1403&gt;0,BV1403,MAX(0.1,N(Cockpit!$O$6))),BY1403)/BQ1403,0)*BQ1403</f>
        <v>1560</v>
      </c>
      <c r="AY1403" s="58" t="n">
        <f aca="false">IF(AV1403&gt;0,I1403/AV1403,-1)</f>
        <v>32200</v>
      </c>
      <c r="AZ1403" s="58" t="n">
        <f aca="false">IF(AND(OR(BU1403="L1",BU1403="L23"),AV1403&gt;0),SUMIFS($AV$7:$AV$1576,$BU$7:$BU$1576,BU1403,$AY$7:$AY$1576,"&gt;"&amp;AY1403)+SUMIFS($AV$7:$AV$1576,$BU$7:$BU$1576,BU1403,$AY$7:$AY$1576,AY1403,$BO$7:$BO$1576,"&lt;="&amp;BO1403),"")</f>
        <v>2.48951420560116</v>
      </c>
      <c r="BA1403" s="65" t="n">
        <f aca="false">IF(AZ1403="",0,MAX(0,MIN(1,(IF(BU1403="L1",Parameter!$E$5,Parameter!$E$6+Parameter!$E$7)-(AZ1403-AV1403))/AV1403)))</f>
        <v>1</v>
      </c>
      <c r="BB1403" s="55" t="str">
        <f aca="false">IF(AF1403&lt;=0,"",IF(BU1403="Aussen","Aussenlager",IF(BU1403="-","Nicht im Lift",IF(AK1403&gt;=1,"Lift",IF(AK1403&lt;=0,"Aussenlager","teilweise")))))</f>
        <v/>
      </c>
      <c r="BC1403" s="55" t="str">
        <f aca="false">IF(AN1403&lt;=0,"",IF(BU1403="Aussen","Aussenlager",IF(BU1403="-","Nicht im Lift",IF(AS1403&gt;=1,"Lift",IF(AS1403&lt;=0,"Aussenlager","teilweise")))))</f>
        <v>Lift</v>
      </c>
      <c r="BD1403" s="55" t="str">
        <f aca="false">IF(AV1403&lt;=0,"",IF(BU1403="Aussen","Aussenlager",IF(BU1403="-","Nicht im Lift",IF(BA1403&gt;=1,"Lift",IF(BA1403&lt;=0,"Aussenlager","teilweise")))))</f>
        <v>Lift</v>
      </c>
      <c r="BE1403" s="55" t="str">
        <f aca="false">IF(A1403="","",IF(BN1403=1,"Neu; ","")&amp;IF(AND(BN1403=0,BI1403&lt;0),"negativer Bestand (Export "&amp;BI1403&amp;"); ","")&amp;IF(I1403&lt;=0,"Kein Verbrauch; ","")&amp;IF(CD1403&gt;0,"Lift "&amp;U1403&amp;" lt. Liftbericht (Fach "&amp;V1403&amp;" Stk); ",IF(BR1403=1,"Lose – Fläche geschätzt; ",""))&amp;IF(G1403&gt;AP1403,"Überbestand "&amp;ROUND(G1403-AP1403,0)&amp;" Stk / CHF "&amp;ROUND((G1403-AP1403)*F1403,0)&amp;"; ","")&amp;IF(AND(BW1403=1,BX1403&lt;BY1403),"MAX &lt; MB+LG; ","")&amp;IF(AND(CC1403&gt;0,CB1403*10&gt;CC1403),"zu hoch für Tablar; ","")&amp;IF(AND(BN1403=0,OR(BW1403=1,Y1403&lt;&gt;"",S1403&lt;&gt;"",T1403&lt;&gt;"",Z1403&lt;&gt;"")),"manuell übersteuert; ","")&amp;IF(AND(BR1403=0,Q1403=0),"Gebinde unbekannt / Stellmass fehlt; ","")&amp;IF(AND(BR1403=0,N(T1403)&lt;=0,N(P1403)&lt;=0),"Menge pro Gebinde fehlt (Ist = 1 Gebinde); ","")&amp;BM1403)</f>
        <v>negativer Bestand (Export -1346); Lose – Fläche geschätzt; </v>
      </c>
      <c r="BF1403" s="55"/>
      <c r="BG1403" s="55"/>
      <c r="BH1403" s="62"/>
      <c r="BI1403" s="57" t="n">
        <v>-1346</v>
      </c>
      <c r="BJ1403" s="57" t="n">
        <v>1497</v>
      </c>
      <c r="BK1403" s="56" t="n">
        <v>-4225.2</v>
      </c>
      <c r="BL1403" s="57" t="n">
        <v>966</v>
      </c>
      <c r="BM1403" s="55"/>
      <c r="BN1403" s="60" t="n">
        <v>0</v>
      </c>
      <c r="BO1403" s="60" t="n">
        <v>1403</v>
      </c>
      <c r="BP1403" s="55" t="str">
        <f aca="false">IF(S1403&lt;&gt;"",UPPER(TRIM(S1403)),IF(O1403="","LOSE",O1403))</f>
        <v>LOSE</v>
      </c>
      <c r="BQ1403" s="57" t="n">
        <f aca="false">IF(BP1403="LOSE",1,IF(N(T1403)&gt;0,T1403,IF(N(P1403)&gt;0,P1403,MAX(1,G1403))))</f>
        <v>1</v>
      </c>
      <c r="BR1403" s="60" t="n">
        <f aca="false">IF(BP1403="LOSE",1,0)</f>
        <v>1</v>
      </c>
      <c r="BS1403" s="59" t="n">
        <f aca="false">IF(BR1403=0,0,IF(N(R1403)&gt;0,R1403,IFERROR(VLOOKUP(D1403,Parameter!$A$35:$C$64,3,0)+0,0)))</f>
        <v>0.03</v>
      </c>
      <c r="BT1403" s="55" t="n">
        <f aca="false">IF(Y1403&lt;&gt;"",Y1403,X1403)</f>
        <v>2</v>
      </c>
      <c r="BU1403" s="55" t="str">
        <f aca="false">IF(BT1403=1,"L1",IF(OR(BT1403=2,BT1403=3),"L23",IF(BT1403="Aussen","Aussen","-")))</f>
        <v>L23</v>
      </c>
      <c r="BV1403" s="66" t="n">
        <f aca="false">IF(N(Z1403)&gt;0,Z1403,0)</f>
        <v>0</v>
      </c>
      <c r="BW1403" s="60" t="n">
        <f aca="false">IF(ISNUMBER(AC1403),1,0)</f>
        <v>0</v>
      </c>
      <c r="BX1403" s="57" t="n">
        <f aca="false">N(AC1403)</f>
        <v>0</v>
      </c>
      <c r="BY1403" s="57" t="n">
        <f aca="false">N(L1403)+N(M1403)</f>
        <v>1560</v>
      </c>
      <c r="BZ1403" s="57" t="n">
        <f aca="false">ROUNDUP(G1403/BQ1403,0)</f>
        <v>0</v>
      </c>
      <c r="CA1403" s="57" t="n">
        <f aca="false">ROUNDUP(BX1403/BQ1403,0)</f>
        <v>0</v>
      </c>
      <c r="CB1403" s="60" t="n">
        <f aca="false">IF(BR1403=1,0,IFERROR(VLOOKUP(BP1403,'Gebinde-Kategorie'!$A$5:$M$45,5,0)+0,0))</f>
        <v>0</v>
      </c>
      <c r="CC1403" s="60" t="n">
        <f aca="false">IFERROR(IF(OR(BT1403=1,BT1403=2,BT1403=3),N(INDEX(Parameter!$I$5:$I$7,BT1403)),0),0)</f>
        <v>0</v>
      </c>
      <c r="CD1403" s="59" t="n">
        <f aca="false">IF(AND(Parameter!$B$21="Ja",ISNUMBER(U1403),N(V1403)&gt;0),IFERROR(N(INDEX(Parameter!$L$5:$L$7,U1403))*INDEX(Parameter!$E$5:$E$7,U1403)*V1403/SUMIFS($V$7:$V$1576,$U$7:$U$1576,U1403),0),0)</f>
        <v>0</v>
      </c>
    </row>
    <row r="1404" customFormat="false" ht="15" hidden="false" customHeight="false" outlineLevel="0" collapsed="false">
      <c r="A1404" s="55" t="s">
        <v>2451</v>
      </c>
      <c r="B1404" s="55" t="s">
        <v>803</v>
      </c>
      <c r="C1404" s="55" t="s">
        <v>160</v>
      </c>
      <c r="D1404" s="55" t="s">
        <v>178</v>
      </c>
      <c r="E1404" s="55" t="s">
        <v>210</v>
      </c>
      <c r="F1404" s="56" t="n">
        <v>120.36</v>
      </c>
      <c r="G1404" s="57" t="n">
        <f aca="false">MAX(0,IF(AND(Parameter!$B$21="Ja",ISNUMBER(W1404)),W1404,IF(Parameter!$B$20="Jahresanfang 2025 + Export",BJ1404+BI1404,BI1404)))</f>
        <v>0</v>
      </c>
      <c r="H1404" s="57" t="n">
        <f aca="false">G1404*F1404</f>
        <v>0</v>
      </c>
      <c r="I1404" s="57" t="n">
        <f aca="false">BL1404*Parameter!$B$18</f>
        <v>21</v>
      </c>
      <c r="J1404" s="58" t="n">
        <v>127.5</v>
      </c>
      <c r="K1404" s="59" t="n">
        <v>0.164705882352941</v>
      </c>
      <c r="L1404" s="57" t="n">
        <v>7</v>
      </c>
      <c r="M1404" s="57" t="n">
        <v>20</v>
      </c>
      <c r="N1404" s="60" t="n">
        <v>126</v>
      </c>
      <c r="O1404" s="55" t="s">
        <v>319</v>
      </c>
      <c r="P1404" s="57" t="n">
        <v>90</v>
      </c>
      <c r="Q1404" s="60" t="n">
        <f aca="false">IF(BR1404=1,0,IFERROR(VLOOKUP(BP1404,'Gebinde-Kategorie'!$A$5:$M$45,13,0)+0,0))</f>
        <v>52</v>
      </c>
      <c r="R1404" s="61"/>
      <c r="S1404" s="62"/>
      <c r="T1404" s="62"/>
      <c r="U1404" s="55"/>
      <c r="V1404" s="57"/>
      <c r="W1404" s="57"/>
      <c r="X1404" s="55" t="n">
        <f aca="false">IF(A1404="","",IF(AND(Parameter!$B$21="Ja",ISNUMBER(U1404)),U1404,IF(IFERROR(VLOOKUP(D1404,Parameter!$A$35:$C$64,2,0),"Nein")="2+3",IF(ISNUMBER(SEARCH("grosser Artikel",BM1404)),2,IFERROR(VLOOKUP(BP1404,Parameter!$F$35:$G$64,2,0),2)),IF(OR(IFERROR(VLOOKUP(D1404,Parameter!$A$35:$C$64,2,0),"Nein")="Nein",IFERROR(VLOOKUP(D1404,Parameter!$A$35:$C$64,2,0),"Nein")=""),"-",VLOOKUP(D1404,Parameter!$A$35:$C$64,2,0)))))</f>
        <v>3</v>
      </c>
      <c r="Y1404" s="62"/>
      <c r="Z1404" s="63"/>
      <c r="AA1404" s="57" t="n">
        <f aca="false">AP1404</f>
        <v>90</v>
      </c>
      <c r="AB1404" s="57" t="n">
        <f aca="false">MAX(AP1404,G1404)</f>
        <v>90</v>
      </c>
      <c r="AC1404" s="64"/>
      <c r="AD1404" s="57" t="n">
        <f aca="false">IF(LEFT(Cockpit!$C$5,1)="A",G1404,IF(BW1404=1,BX1404,IF(LEFT(Cockpit!$C$5,1)="B",AH1404,MAX(AH1404,G1404))))</f>
        <v>0</v>
      </c>
      <c r="AE1404" s="57" t="n">
        <f aca="false">IF(BR1404=1,0,ROUNDUP(AD1404/BQ1404,0))</f>
        <v>0</v>
      </c>
      <c r="AF1404" s="59" t="n">
        <f aca="false">IF(CD1404&gt;0,CD1404*MAX(1,AD1404/V1404),IF(BR1404=1,IF(AD1404&lt;=0,0,BS1404*MAX(1,IF(G1404&gt;0,AD1404/G1404,1))),IF(Q1404&gt;0,AE1404/Q1404,0))/MAX(0.1,N(Parameter!$M$21)))</f>
        <v>0</v>
      </c>
      <c r="AG1404" s="57" t="n">
        <f aca="false">AD1404*F1404</f>
        <v>0</v>
      </c>
      <c r="AH1404" s="57" t="n">
        <f aca="false">ROUNDUP(MAX(I1404/IF(BV1404&gt;0,BV1404,MAX(0.1,N(Cockpit!$C$6))),BY1404)/BQ1404,0)*BQ1404</f>
        <v>90</v>
      </c>
      <c r="AI1404" s="58" t="n">
        <f aca="false">IF(AF1404&gt;0,I1404/AF1404,-1)</f>
        <v>-1</v>
      </c>
      <c r="AJ1404" s="58" t="str">
        <f aca="false">IF(AND(OR(BU1404="L1",BU1404="L23"),AF1404&gt;0),SUMIFS($AF$7:$AF$1576,$BU$7:$BU$1576,BU1404,$AI$7:$AI$1576,"&gt;"&amp;AI1404)+SUMIFS($AF$7:$AF$1576,$BU$7:$BU$1576,BU1404,$AI$7:$AI$1576,AI1404,$BO$7:$BO$1576,"&lt;="&amp;BO1404),"")</f>
        <v/>
      </c>
      <c r="AK1404" s="65" t="n">
        <f aca="false">IF(AJ1404="",0,MAX(0,MIN(1,(IF(BU1404="L1",Parameter!$E$5,Parameter!$E$6+Parameter!$E$7)-(AJ1404-AF1404))/AF1404)))</f>
        <v>0</v>
      </c>
      <c r="AL1404" s="57" t="n">
        <f aca="false">IF(LEFT(Cockpit!$I$5,1)="A",G1404,IF(BW1404=1,BX1404,IF(LEFT(Cockpit!$I$5,1)="B",AP1404,MAX(AP1404,G1404))))</f>
        <v>90</v>
      </c>
      <c r="AM1404" s="57" t="n">
        <f aca="false">IF(BR1404=1,0,ROUNDUP(AL1404/BQ1404,0))</f>
        <v>1</v>
      </c>
      <c r="AN1404" s="59" t="n">
        <f aca="false">IF(CD1404&gt;0,CD1404*MAX(1,AL1404/V1404),IF(BR1404=1,IF(AL1404&lt;=0,0,BS1404*MAX(1,IF(G1404&gt;0,AL1404/G1404,1))),IF(Q1404&gt;0,AM1404/Q1404,0))/MAX(0.1,N(Parameter!$M$21)))</f>
        <v>0.0192307692307692</v>
      </c>
      <c r="AO1404" s="57" t="n">
        <f aca="false">AL1404*F1404</f>
        <v>10832.4</v>
      </c>
      <c r="AP1404" s="57" t="n">
        <f aca="false">ROUNDUP(MAX(I1404/IF(BV1404&gt;0,BV1404,MAX(0.1,N(Cockpit!$I$6))),BY1404)/BQ1404,0)*BQ1404</f>
        <v>90</v>
      </c>
      <c r="AQ1404" s="58" t="n">
        <f aca="false">IF(AN1404&gt;0,I1404/AN1404,-1)</f>
        <v>1092</v>
      </c>
      <c r="AR1404" s="58" t="n">
        <f aca="false">IF(AND(OR(BU1404="L1",BU1404="L23"),AN1404&gt;0),SUMIFS($AN$7:$AN$1576,$BU$7:$BU$1576,BU1404,$AQ$7:$AQ$1576,"&gt;"&amp;AQ1404)+SUMIFS($AN$7:$AN$1576,$BU$7:$BU$1576,BU1404,$AQ$7:$AQ$1576,AQ1404,$BO$7:$BO$1576,"&lt;="&amp;BO1404),"")</f>
        <v>22.246838246632</v>
      </c>
      <c r="AS1404" s="65" t="n">
        <f aca="false">IF(AR1404="",0,MAX(0,MIN(1,(IF(BU1404="L1",Parameter!$E$5,Parameter!$E$6+Parameter!$E$7)-(AR1404-AN1404))/AN1404)))</f>
        <v>1</v>
      </c>
      <c r="AT1404" s="57" t="n">
        <f aca="false">IF(LEFT(Cockpit!$O$5,1)="A",G1404,IF(BW1404=1,BX1404,IF(LEFT(Cockpit!$O$5,1)="B",AX1404,MAX(AX1404,G1404))))</f>
        <v>90</v>
      </c>
      <c r="AU1404" s="57" t="n">
        <f aca="false">IF(BR1404=1,0,ROUNDUP(AT1404/BQ1404,0))</f>
        <v>1</v>
      </c>
      <c r="AV1404" s="59" t="n">
        <f aca="false">IF(CD1404&gt;0,CD1404*MAX(1,AT1404/V1404),IF(BR1404=1,IF(AT1404&lt;=0,0,BS1404*MAX(1,IF(G1404&gt;0,AT1404/G1404,1))),IF(Q1404&gt;0,AU1404/Q1404,0))/MAX(0.1,N(Parameter!$M$21)))</f>
        <v>0.0192307692307692</v>
      </c>
      <c r="AW1404" s="57" t="n">
        <f aca="false">AT1404*F1404</f>
        <v>10832.4</v>
      </c>
      <c r="AX1404" s="57" t="n">
        <f aca="false">ROUNDUP(MAX(I1404/IF(BV1404&gt;0,BV1404,MAX(0.1,N(Cockpit!$O$6))),BY1404)/BQ1404,0)*BQ1404</f>
        <v>90</v>
      </c>
      <c r="AY1404" s="58" t="n">
        <f aca="false">IF(AV1404&gt;0,I1404/AV1404,-1)</f>
        <v>1092</v>
      </c>
      <c r="AZ1404" s="58" t="n">
        <f aca="false">IF(AND(OR(BU1404="L1",BU1404="L23"),AV1404&gt;0),SUMIFS($AV$7:$AV$1576,$BU$7:$BU$1576,BU1404,$AY$7:$AY$1576,"&gt;"&amp;AY1404)+SUMIFS($AV$7:$AV$1576,$BU$7:$BU$1576,BU1404,$AY$7:$AY$1576,AY1404,$BO$7:$BO$1576,"&lt;="&amp;BO1404),"")</f>
        <v>21.5574443072381</v>
      </c>
      <c r="BA1404" s="65" t="n">
        <f aca="false">IF(AZ1404="",0,MAX(0,MIN(1,(IF(BU1404="L1",Parameter!$E$5,Parameter!$E$6+Parameter!$E$7)-(AZ1404-AV1404))/AV1404)))</f>
        <v>1</v>
      </c>
      <c r="BB1404" s="55" t="str">
        <f aca="false">IF(AF1404&lt;=0,"",IF(BU1404="Aussen","Aussenlager",IF(BU1404="-","Nicht im Lift",IF(AK1404&gt;=1,"Lift",IF(AK1404&lt;=0,"Aussenlager","teilweise")))))</f>
        <v/>
      </c>
      <c r="BC1404" s="55" t="str">
        <f aca="false">IF(AN1404&lt;=0,"",IF(BU1404="Aussen","Aussenlager",IF(BU1404="-","Nicht im Lift",IF(AS1404&gt;=1,"Lift",IF(AS1404&lt;=0,"Aussenlager","teilweise")))))</f>
        <v>Lift</v>
      </c>
      <c r="BD1404" s="55" t="str">
        <f aca="false">IF(AV1404&lt;=0,"",IF(BU1404="Aussen","Aussenlager",IF(BU1404="-","Nicht im Lift",IF(BA1404&gt;=1,"Lift",IF(BA1404&lt;=0,"Aussenlager","teilweise")))))</f>
        <v>Lift</v>
      </c>
      <c r="BE1404" s="55" t="str">
        <f aca="false">IF(A1404="","",IF(BN1404=1,"Neu; ","")&amp;IF(AND(BN1404=0,BI1404&lt;0),"negativer Bestand (Export "&amp;BI1404&amp;"); ","")&amp;IF(I1404&lt;=0,"Kein Verbrauch; ","")&amp;IF(CD1404&gt;0,"Lift "&amp;U1404&amp;" lt. Liftbericht (Fach "&amp;V1404&amp;" Stk); ",IF(BR1404=1,"Lose – Fläche geschätzt; ",""))&amp;IF(G1404&gt;AP1404,"Überbestand "&amp;ROUND(G1404-AP1404,0)&amp;" Stk / CHF "&amp;ROUND((G1404-AP1404)*F1404,0)&amp;"; ","")&amp;IF(AND(BW1404=1,BX1404&lt;BY1404),"MAX &lt; MB+LG; ","")&amp;IF(AND(CC1404&gt;0,CB1404*10&gt;CC1404),"zu hoch für Tablar; ","")&amp;IF(AND(BN1404=0,OR(BW1404=1,Y1404&lt;&gt;"",S1404&lt;&gt;"",T1404&lt;&gt;"",Z1404&lt;&gt;"")),"manuell übersteuert; ","")&amp;IF(AND(BR1404=0,Q1404=0),"Gebinde unbekannt / Stellmass fehlt; ","")&amp;IF(AND(BR1404=0,N(T1404)&lt;=0,N(P1404)&lt;=0),"Menge pro Gebinde fehlt (Ist = 1 Gebinde); ","")&amp;BM1404)</f>
        <v>negativer Bestand (Export -36); </v>
      </c>
      <c r="BF1404" s="55"/>
      <c r="BG1404" s="55"/>
      <c r="BH1404" s="62"/>
      <c r="BI1404" s="57" t="n">
        <v>-36</v>
      </c>
      <c r="BJ1404" s="57" t="n">
        <v>138</v>
      </c>
      <c r="BK1404" s="56" t="n">
        <v>-4332.96</v>
      </c>
      <c r="BL1404" s="57" t="n">
        <v>21</v>
      </c>
      <c r="BM1404" s="55"/>
      <c r="BN1404" s="60" t="n">
        <v>0</v>
      </c>
      <c r="BO1404" s="60" t="n">
        <v>1404</v>
      </c>
      <c r="BP1404" s="55" t="str">
        <f aca="false">IF(S1404&lt;&gt;"",UPPER(TRIM(S1404)),IF(O1404="","LOSE",O1404))</f>
        <v>S41</v>
      </c>
      <c r="BQ1404" s="57" t="n">
        <f aca="false">IF(BP1404="LOSE",1,IF(N(T1404)&gt;0,T1404,IF(N(P1404)&gt;0,P1404,MAX(1,G1404))))</f>
        <v>90</v>
      </c>
      <c r="BR1404" s="60" t="n">
        <f aca="false">IF(BP1404="LOSE",1,0)</f>
        <v>0</v>
      </c>
      <c r="BS1404" s="59" t="n">
        <f aca="false">IF(BR1404=0,0,IF(N(R1404)&gt;0,R1404,IFERROR(VLOOKUP(D1404,Parameter!$A$35:$C$64,3,0)+0,0)))</f>
        <v>0</v>
      </c>
      <c r="BT1404" s="55" t="n">
        <f aca="false">IF(Y1404&lt;&gt;"",Y1404,X1404)</f>
        <v>3</v>
      </c>
      <c r="BU1404" s="55" t="str">
        <f aca="false">IF(BT1404=1,"L1",IF(OR(BT1404=2,BT1404=3),"L23",IF(BT1404="Aussen","Aussen","-")))</f>
        <v>L23</v>
      </c>
      <c r="BV1404" s="66" t="n">
        <f aca="false">IF(N(Z1404)&gt;0,Z1404,0)</f>
        <v>0</v>
      </c>
      <c r="BW1404" s="60" t="n">
        <f aca="false">IF(ISNUMBER(AC1404),1,0)</f>
        <v>0</v>
      </c>
      <c r="BX1404" s="57" t="n">
        <f aca="false">N(AC1404)</f>
        <v>0</v>
      </c>
      <c r="BY1404" s="57" t="n">
        <f aca="false">N(L1404)+N(M1404)</f>
        <v>27</v>
      </c>
      <c r="BZ1404" s="57" t="n">
        <f aca="false">ROUNDUP(G1404/BQ1404,0)</f>
        <v>0</v>
      </c>
      <c r="CA1404" s="57" t="n">
        <f aca="false">ROUNDUP(BX1404/BQ1404,0)</f>
        <v>0</v>
      </c>
      <c r="CB1404" s="60" t="n">
        <f aca="false">IF(BR1404=1,0,IFERROR(VLOOKUP(BP1404,'Gebinde-Kategorie'!$A$5:$M$45,5,0)+0,0))</f>
        <v>11</v>
      </c>
      <c r="CC1404" s="60" t="n">
        <f aca="false">IFERROR(IF(OR(BT1404=1,BT1404=2,BT1404=3),N(INDEX(Parameter!$I$5:$I$7,BT1404)),0),0)</f>
        <v>0</v>
      </c>
      <c r="CD1404" s="59" t="n">
        <f aca="false">IF(AND(Parameter!$B$21="Ja",ISNUMBER(U1404),N(V1404)&gt;0),IFERROR(N(INDEX(Parameter!$L$5:$L$7,U1404))*INDEX(Parameter!$E$5:$E$7,U1404)*V1404/SUMIFS($V$7:$V$1576,$U$7:$U$1576,U1404),0),0)</f>
        <v>0</v>
      </c>
    </row>
    <row r="1405" customFormat="false" ht="15" hidden="false" customHeight="false" outlineLevel="0" collapsed="false">
      <c r="A1405" s="55" t="s">
        <v>2452</v>
      </c>
      <c r="B1405" s="55" t="s">
        <v>2453</v>
      </c>
      <c r="C1405" s="55" t="s">
        <v>160</v>
      </c>
      <c r="D1405" s="55" t="s">
        <v>178</v>
      </c>
      <c r="E1405" s="55" t="s">
        <v>210</v>
      </c>
      <c r="F1405" s="56" t="n">
        <v>32.26</v>
      </c>
      <c r="G1405" s="57" t="n">
        <f aca="false">MAX(0,IF(AND(Parameter!$B$21="Ja",ISNUMBER(W1405)),W1405,IF(Parameter!$B$20="Jahresanfang 2025 + Export",BJ1405+BI1405,BI1405)))</f>
        <v>0</v>
      </c>
      <c r="H1405" s="57" t="n">
        <f aca="false">G1405*F1405</f>
        <v>0</v>
      </c>
      <c r="I1405" s="57" t="n">
        <f aca="false">BL1405*Parameter!$B$18</f>
        <v>893</v>
      </c>
      <c r="J1405" s="58" t="n">
        <v>193.5</v>
      </c>
      <c r="K1405" s="59" t="n">
        <v>4.61498708010336</v>
      </c>
      <c r="L1405" s="57" t="n">
        <v>52</v>
      </c>
      <c r="M1405" s="57" t="n">
        <v>300</v>
      </c>
      <c r="N1405" s="60" t="n">
        <v>21</v>
      </c>
      <c r="O1405" s="55" t="s">
        <v>225</v>
      </c>
      <c r="P1405" s="57" t="n">
        <v>301</v>
      </c>
      <c r="Q1405" s="60" t="n">
        <f aca="false">IF(BR1405=1,0,IFERROR(VLOOKUP(BP1405,'Gebinde-Kategorie'!$A$5:$M$45,13,0)+0,0))</f>
        <v>26</v>
      </c>
      <c r="R1405" s="61"/>
      <c r="S1405" s="62"/>
      <c r="T1405" s="62"/>
      <c r="U1405" s="55"/>
      <c r="V1405" s="57"/>
      <c r="W1405" s="57"/>
      <c r="X1405" s="55" t="n">
        <f aca="false">IF(A1405="","",IF(AND(Parameter!$B$21="Ja",ISNUMBER(U1405)),U1405,IF(IFERROR(VLOOKUP(D1405,Parameter!$A$35:$C$64,2,0),"Nein")="2+3",IF(ISNUMBER(SEARCH("grosser Artikel",BM1405)),2,IFERROR(VLOOKUP(BP1405,Parameter!$F$35:$G$64,2,0),2)),IF(OR(IFERROR(VLOOKUP(D1405,Parameter!$A$35:$C$64,2,0),"Nein")="Nein",IFERROR(VLOOKUP(D1405,Parameter!$A$35:$C$64,2,0),"Nein")=""),"-",VLOOKUP(D1405,Parameter!$A$35:$C$64,2,0)))))</f>
        <v>3</v>
      </c>
      <c r="Y1405" s="62"/>
      <c r="Z1405" s="63"/>
      <c r="AA1405" s="57" t="n">
        <f aca="false">AP1405</f>
        <v>602</v>
      </c>
      <c r="AB1405" s="57" t="n">
        <f aca="false">MAX(AP1405,G1405)</f>
        <v>602</v>
      </c>
      <c r="AC1405" s="64"/>
      <c r="AD1405" s="57" t="n">
        <f aca="false">IF(LEFT(Cockpit!$C$5,1)="A",G1405,IF(BW1405=1,BX1405,IF(LEFT(Cockpit!$C$5,1)="B",AH1405,MAX(AH1405,G1405))))</f>
        <v>0</v>
      </c>
      <c r="AE1405" s="57" t="n">
        <f aca="false">IF(BR1405=1,0,ROUNDUP(AD1405/BQ1405,0))</f>
        <v>0</v>
      </c>
      <c r="AF1405" s="59" t="n">
        <f aca="false">IF(CD1405&gt;0,CD1405*MAX(1,AD1405/V1405),IF(BR1405=1,IF(AD1405&lt;=0,0,BS1405*MAX(1,IF(G1405&gt;0,AD1405/G1405,1))),IF(Q1405&gt;0,AE1405/Q1405,0))/MAX(0.1,N(Parameter!$M$21)))</f>
        <v>0</v>
      </c>
      <c r="AG1405" s="57" t="n">
        <f aca="false">AD1405*F1405</f>
        <v>0</v>
      </c>
      <c r="AH1405" s="57" t="n">
        <f aca="false">ROUNDUP(MAX(I1405/IF(BV1405&gt;0,BV1405,MAX(0.1,N(Cockpit!$C$6))),BY1405)/BQ1405,0)*BQ1405</f>
        <v>602</v>
      </c>
      <c r="AI1405" s="58" t="n">
        <f aca="false">IF(AF1405&gt;0,I1405/AF1405,-1)</f>
        <v>-1</v>
      </c>
      <c r="AJ1405" s="58" t="str">
        <f aca="false">IF(AND(OR(BU1405="L1",BU1405="L23"),AF1405&gt;0),SUMIFS($AF$7:$AF$1576,$BU$7:$BU$1576,BU1405,$AI$7:$AI$1576,"&gt;"&amp;AI1405)+SUMIFS($AF$7:$AF$1576,$BU$7:$BU$1576,BU1405,$AI$7:$AI$1576,AI1405,$BO$7:$BO$1576,"&lt;="&amp;BO1405),"")</f>
        <v/>
      </c>
      <c r="AK1405" s="65" t="n">
        <f aca="false">IF(AJ1405="",0,MAX(0,MIN(1,(IF(BU1405="L1",Parameter!$E$5,Parameter!$E$6+Parameter!$E$7)-(AJ1405-AF1405))/AF1405)))</f>
        <v>0</v>
      </c>
      <c r="AL1405" s="57" t="n">
        <f aca="false">IF(LEFT(Cockpit!$I$5,1)="A",G1405,IF(BW1405=1,BX1405,IF(LEFT(Cockpit!$I$5,1)="B",AP1405,MAX(AP1405,G1405))))</f>
        <v>602</v>
      </c>
      <c r="AM1405" s="57" t="n">
        <f aca="false">IF(BR1405=1,0,ROUNDUP(AL1405/BQ1405,0))</f>
        <v>2</v>
      </c>
      <c r="AN1405" s="59" t="n">
        <f aca="false">IF(CD1405&gt;0,CD1405*MAX(1,AL1405/V1405),IF(BR1405=1,IF(AL1405&lt;=0,0,BS1405*MAX(1,IF(G1405&gt;0,AL1405/G1405,1))),IF(Q1405&gt;0,AM1405/Q1405,0))/MAX(0.1,N(Parameter!$M$21)))</f>
        <v>0.0769230769230769</v>
      </c>
      <c r="AO1405" s="57" t="n">
        <f aca="false">AL1405*F1405</f>
        <v>19420.52</v>
      </c>
      <c r="AP1405" s="57" t="n">
        <f aca="false">ROUNDUP(MAX(I1405/IF(BV1405&gt;0,BV1405,MAX(0.1,N(Cockpit!$I$6))),BY1405)/BQ1405,0)*BQ1405</f>
        <v>602</v>
      </c>
      <c r="AQ1405" s="58" t="n">
        <f aca="false">IF(AN1405&gt;0,I1405/AN1405,-1)</f>
        <v>11609</v>
      </c>
      <c r="AR1405" s="58" t="n">
        <f aca="false">IF(AND(OR(BU1405="L1",BU1405="L23"),AN1405&gt;0),SUMIFS($AN$7:$AN$1576,$BU$7:$BU$1576,BU1405,$AQ$7:$AQ$1576,"&gt;"&amp;AQ1405)+SUMIFS($AN$7:$AN$1576,$BU$7:$BU$1576,BU1405,$AQ$7:$AQ$1576,AQ1405,$BO$7:$BO$1576,"&lt;="&amp;BO1405),"")</f>
        <v>6.3902331002331</v>
      </c>
      <c r="AS1405" s="65" t="n">
        <f aca="false">IF(AR1405="",0,MAX(0,MIN(1,(IF(BU1405="L1",Parameter!$E$5,Parameter!$E$6+Parameter!$E$7)-(AR1405-AN1405))/AN1405)))</f>
        <v>1</v>
      </c>
      <c r="AT1405" s="57" t="n">
        <f aca="false">IF(LEFT(Cockpit!$O$5,1)="A",G1405,IF(BW1405=1,BX1405,IF(LEFT(Cockpit!$O$5,1)="B",AX1405,MAX(AX1405,G1405))))</f>
        <v>602</v>
      </c>
      <c r="AU1405" s="57" t="n">
        <f aca="false">IF(BR1405=1,0,ROUNDUP(AT1405/BQ1405,0))</f>
        <v>2</v>
      </c>
      <c r="AV1405" s="59" t="n">
        <f aca="false">IF(CD1405&gt;0,CD1405*MAX(1,AT1405/V1405),IF(BR1405=1,IF(AT1405&lt;=0,0,BS1405*MAX(1,IF(G1405&gt;0,AT1405/G1405,1))),IF(Q1405&gt;0,AU1405/Q1405,0))/MAX(0.1,N(Parameter!$M$21)))</f>
        <v>0.0769230769230769</v>
      </c>
      <c r="AW1405" s="57" t="n">
        <f aca="false">AT1405*F1405</f>
        <v>19420.52</v>
      </c>
      <c r="AX1405" s="57" t="n">
        <f aca="false">ROUNDUP(MAX(I1405/IF(BV1405&gt;0,BV1405,MAX(0.1,N(Cockpit!$O$6))),BY1405)/BQ1405,0)*BQ1405</f>
        <v>602</v>
      </c>
      <c r="AY1405" s="58" t="n">
        <f aca="false">IF(AV1405&gt;0,I1405/AV1405,-1)</f>
        <v>11609</v>
      </c>
      <c r="AZ1405" s="58" t="n">
        <f aca="false">IF(AND(OR(BU1405="L1",BU1405="L23"),AV1405&gt;0),SUMIFS($AV$7:$AV$1576,$BU$7:$BU$1576,BU1405,$AY$7:$AY$1576,"&gt;"&amp;AY1405)+SUMIFS($AV$7:$AV$1576,$BU$7:$BU$1576,BU1405,$AY$7:$AY$1576,AY1405,$BO$7:$BO$1576,"&lt;="&amp;BO1405),"")</f>
        <v>6.0918648018648</v>
      </c>
      <c r="BA1405" s="65" t="n">
        <f aca="false">IF(AZ1405="",0,MAX(0,MIN(1,(IF(BU1405="L1",Parameter!$E$5,Parameter!$E$6+Parameter!$E$7)-(AZ1405-AV1405))/AV1405)))</f>
        <v>1</v>
      </c>
      <c r="BB1405" s="55" t="str">
        <f aca="false">IF(AF1405&lt;=0,"",IF(BU1405="Aussen","Aussenlager",IF(BU1405="-","Nicht im Lift",IF(AK1405&gt;=1,"Lift",IF(AK1405&lt;=0,"Aussenlager","teilweise")))))</f>
        <v/>
      </c>
      <c r="BC1405" s="55" t="str">
        <f aca="false">IF(AN1405&lt;=0,"",IF(BU1405="Aussen","Aussenlager",IF(BU1405="-","Nicht im Lift",IF(AS1405&gt;=1,"Lift",IF(AS1405&lt;=0,"Aussenlager","teilweise")))))</f>
        <v>Lift</v>
      </c>
      <c r="BD1405" s="55" t="str">
        <f aca="false">IF(AV1405&lt;=0,"",IF(BU1405="Aussen","Aussenlager",IF(BU1405="-","Nicht im Lift",IF(BA1405&gt;=1,"Lift",IF(BA1405&lt;=0,"Aussenlager","teilweise")))))</f>
        <v>Lift</v>
      </c>
      <c r="BE1405" s="55" t="str">
        <f aca="false">IF(A1405="","",IF(BN1405=1,"Neu; ","")&amp;IF(AND(BN1405=0,BI1405&lt;0),"negativer Bestand (Export "&amp;BI1405&amp;"); ","")&amp;IF(I1405&lt;=0,"Kein Verbrauch; ","")&amp;IF(CD1405&gt;0,"Lift "&amp;U1405&amp;" lt. Liftbericht (Fach "&amp;V1405&amp;" Stk); ",IF(BR1405=1,"Lose – Fläche geschätzt; ",""))&amp;IF(G1405&gt;AP1405,"Überbestand "&amp;ROUND(G1405-AP1405,0)&amp;" Stk / CHF "&amp;ROUND((G1405-AP1405)*F1405,0)&amp;"; ","")&amp;IF(AND(BW1405=1,BX1405&lt;BY1405),"MAX &lt; MB+LG; ","")&amp;IF(AND(CC1405&gt;0,CB1405*10&gt;CC1405),"zu hoch für Tablar; ","")&amp;IF(AND(BN1405=0,OR(BW1405=1,Y1405&lt;&gt;"",S1405&lt;&gt;"",T1405&lt;&gt;"",Z1405&lt;&gt;"")),"manuell übersteuert; ","")&amp;IF(AND(BR1405=0,Q1405=0),"Gebinde unbekannt / Stellmass fehlt; ","")&amp;IF(AND(BR1405=0,N(T1405)&lt;=0,N(P1405)&lt;=0),"Menge pro Gebinde fehlt (Ist = 1 Gebinde); ","")&amp;BM1405)</f>
        <v>negativer Bestand (Export -138); </v>
      </c>
      <c r="BF1405" s="55"/>
      <c r="BG1405" s="55"/>
      <c r="BH1405" s="62"/>
      <c r="BI1405" s="57" t="n">
        <v>-138</v>
      </c>
      <c r="BJ1405" s="57" t="n">
        <v>247</v>
      </c>
      <c r="BK1405" s="56" t="n">
        <v>-4334.27999999999</v>
      </c>
      <c r="BL1405" s="57" t="n">
        <v>893</v>
      </c>
      <c r="BM1405" s="55"/>
      <c r="BN1405" s="60" t="n">
        <v>0</v>
      </c>
      <c r="BO1405" s="60" t="n">
        <v>1405</v>
      </c>
      <c r="BP1405" s="55" t="str">
        <f aca="false">IF(S1405&lt;&gt;"",UPPER(TRIM(S1405)),IF(O1405="","LOSE",O1405))</f>
        <v>S52</v>
      </c>
      <c r="BQ1405" s="57" t="n">
        <f aca="false">IF(BP1405="LOSE",1,IF(N(T1405)&gt;0,T1405,IF(N(P1405)&gt;0,P1405,MAX(1,G1405))))</f>
        <v>301</v>
      </c>
      <c r="BR1405" s="60" t="n">
        <f aca="false">IF(BP1405="LOSE",1,0)</f>
        <v>0</v>
      </c>
      <c r="BS1405" s="59" t="n">
        <f aca="false">IF(BR1405=0,0,IF(N(R1405)&gt;0,R1405,IFERROR(VLOOKUP(D1405,Parameter!$A$35:$C$64,3,0)+0,0)))</f>
        <v>0</v>
      </c>
      <c r="BT1405" s="55" t="n">
        <f aca="false">IF(Y1405&lt;&gt;"",Y1405,X1405)</f>
        <v>3</v>
      </c>
      <c r="BU1405" s="55" t="str">
        <f aca="false">IF(BT1405=1,"L1",IF(OR(BT1405=2,BT1405=3),"L23",IF(BT1405="Aussen","Aussen","-")))</f>
        <v>L23</v>
      </c>
      <c r="BV1405" s="66" t="n">
        <f aca="false">IF(N(Z1405)&gt;0,Z1405,0)</f>
        <v>0</v>
      </c>
      <c r="BW1405" s="60" t="n">
        <f aca="false">IF(ISNUMBER(AC1405),1,0)</f>
        <v>0</v>
      </c>
      <c r="BX1405" s="57" t="n">
        <f aca="false">N(AC1405)</f>
        <v>0</v>
      </c>
      <c r="BY1405" s="57" t="n">
        <f aca="false">N(L1405)+N(M1405)</f>
        <v>352</v>
      </c>
      <c r="BZ1405" s="57" t="n">
        <f aca="false">ROUNDUP(G1405/BQ1405,0)</f>
        <v>0</v>
      </c>
      <c r="CA1405" s="57" t="n">
        <f aca="false">ROUNDUP(BX1405/BQ1405,0)</f>
        <v>0</v>
      </c>
      <c r="CB1405" s="60" t="n">
        <f aca="false">IF(BR1405=1,0,IFERROR(VLOOKUP(BP1405,'Gebinde-Kategorie'!$A$5:$M$45,5,0)+0,0))</f>
        <v>21</v>
      </c>
      <c r="CC1405" s="60" t="n">
        <f aca="false">IFERROR(IF(OR(BT1405=1,BT1405=2,BT1405=3),N(INDEX(Parameter!$I$5:$I$7,BT1405)),0),0)</f>
        <v>0</v>
      </c>
      <c r="CD1405" s="59" t="n">
        <f aca="false">IF(AND(Parameter!$B$21="Ja",ISNUMBER(U1405),N(V1405)&gt;0),IFERROR(N(INDEX(Parameter!$L$5:$L$7,U1405))*INDEX(Parameter!$E$5:$E$7,U1405)*V1405/SUMIFS($V$7:$V$1576,$U$7:$U$1576,U1405),0),0)</f>
        <v>0</v>
      </c>
    </row>
    <row r="1406" customFormat="false" ht="15" hidden="false" customHeight="false" outlineLevel="0" collapsed="false">
      <c r="A1406" s="55" t="s">
        <v>2454</v>
      </c>
      <c r="B1406" s="55" t="s">
        <v>2455</v>
      </c>
      <c r="C1406" s="55" t="s">
        <v>160</v>
      </c>
      <c r="D1406" s="55" t="s">
        <v>168</v>
      </c>
      <c r="E1406" s="55" t="s">
        <v>210</v>
      </c>
      <c r="F1406" s="56" t="n">
        <v>1473.76</v>
      </c>
      <c r="G1406" s="57" t="n">
        <f aca="false">MAX(0,IF(AND(Parameter!$B$21="Ja",ISNUMBER(W1406)),W1406,IF(Parameter!$B$20="Jahresanfang 2025 + Export",BJ1406+BI1406,BI1406)))</f>
        <v>0</v>
      </c>
      <c r="H1406" s="57" t="n">
        <f aca="false">G1406*F1406</f>
        <v>0</v>
      </c>
      <c r="I1406" s="57" t="n">
        <f aca="false">BL1406*Parameter!$B$18</f>
        <v>2</v>
      </c>
      <c r="J1406" s="58" t="n">
        <v>12</v>
      </c>
      <c r="K1406" s="59" t="n">
        <v>0.166666666666667</v>
      </c>
      <c r="L1406" s="57" t="n">
        <v>0</v>
      </c>
      <c r="M1406" s="57" t="n">
        <v>1</v>
      </c>
      <c r="N1406" s="60" t="n">
        <v>112</v>
      </c>
      <c r="O1406" s="55" t="s">
        <v>169</v>
      </c>
      <c r="P1406" s="57" t="n">
        <v>10</v>
      </c>
      <c r="Q1406" s="60" t="n">
        <f aca="false">IF(BR1406=1,0,IFERROR(VLOOKUP(BP1406,'Gebinde-Kategorie'!$A$5:$M$45,13,0)+0,0))</f>
        <v>6</v>
      </c>
      <c r="R1406" s="61"/>
      <c r="S1406" s="62"/>
      <c r="T1406" s="62"/>
      <c r="U1406" s="55"/>
      <c r="V1406" s="57"/>
      <c r="W1406" s="57"/>
      <c r="X1406" s="55" t="n">
        <f aca="false">IF(A1406="","",IF(AND(Parameter!$B$21="Ja",ISNUMBER(U1406)),U1406,IF(IFERROR(VLOOKUP(D1406,Parameter!$A$35:$C$64,2,0),"Nein")="2+3",IF(ISNUMBER(SEARCH("grosser Artikel",BM1406)),2,IFERROR(VLOOKUP(BP1406,Parameter!$F$35:$G$64,2,0),2)),IF(OR(IFERROR(VLOOKUP(D1406,Parameter!$A$35:$C$64,2,0),"Nein")="Nein",IFERROR(VLOOKUP(D1406,Parameter!$A$35:$C$64,2,0),"Nein")=""),"-",VLOOKUP(D1406,Parameter!$A$35:$C$64,2,0)))))</f>
        <v>2</v>
      </c>
      <c r="Y1406" s="62"/>
      <c r="Z1406" s="63"/>
      <c r="AA1406" s="57" t="n">
        <f aca="false">AP1406</f>
        <v>10</v>
      </c>
      <c r="AB1406" s="57" t="n">
        <f aca="false">MAX(AP1406,G1406)</f>
        <v>10</v>
      </c>
      <c r="AC1406" s="64"/>
      <c r="AD1406" s="57" t="n">
        <f aca="false">IF(LEFT(Cockpit!$C$5,1)="A",G1406,IF(BW1406=1,BX1406,IF(LEFT(Cockpit!$C$5,1)="B",AH1406,MAX(AH1406,G1406))))</f>
        <v>0</v>
      </c>
      <c r="AE1406" s="57" t="n">
        <f aca="false">IF(BR1406=1,0,ROUNDUP(AD1406/BQ1406,0))</f>
        <v>0</v>
      </c>
      <c r="AF1406" s="59" t="n">
        <f aca="false">IF(CD1406&gt;0,CD1406*MAX(1,AD1406/V1406),IF(BR1406=1,IF(AD1406&lt;=0,0,BS1406*MAX(1,IF(G1406&gt;0,AD1406/G1406,1))),IF(Q1406&gt;0,AE1406/Q1406,0))/MAX(0.1,N(Parameter!$M$21)))</f>
        <v>0</v>
      </c>
      <c r="AG1406" s="57" t="n">
        <f aca="false">AD1406*F1406</f>
        <v>0</v>
      </c>
      <c r="AH1406" s="57" t="n">
        <f aca="false">ROUNDUP(MAX(I1406/IF(BV1406&gt;0,BV1406,MAX(0.1,N(Cockpit!$C$6))),BY1406)/BQ1406,0)*BQ1406</f>
        <v>10</v>
      </c>
      <c r="AI1406" s="58" t="n">
        <f aca="false">IF(AF1406&gt;0,I1406/AF1406,-1)</f>
        <v>-1</v>
      </c>
      <c r="AJ1406" s="58" t="str">
        <f aca="false">IF(AND(OR(BU1406="L1",BU1406="L23"),AF1406&gt;0),SUMIFS($AF$7:$AF$1576,$BU$7:$BU$1576,BU1406,$AI$7:$AI$1576,"&gt;"&amp;AI1406)+SUMIFS($AF$7:$AF$1576,$BU$7:$BU$1576,BU1406,$AI$7:$AI$1576,AI1406,$BO$7:$BO$1576,"&lt;="&amp;BO1406),"")</f>
        <v/>
      </c>
      <c r="AK1406" s="65" t="n">
        <f aca="false">IF(AJ1406="",0,MAX(0,MIN(1,(IF(BU1406="L1",Parameter!$E$5,Parameter!$E$6+Parameter!$E$7)-(AJ1406-AF1406))/AF1406)))</f>
        <v>0</v>
      </c>
      <c r="AL1406" s="57" t="n">
        <f aca="false">IF(LEFT(Cockpit!$I$5,1)="A",G1406,IF(BW1406=1,BX1406,IF(LEFT(Cockpit!$I$5,1)="B",AP1406,MAX(AP1406,G1406))))</f>
        <v>10</v>
      </c>
      <c r="AM1406" s="57" t="n">
        <f aca="false">IF(BR1406=1,0,ROUNDUP(AL1406/BQ1406,0))</f>
        <v>1</v>
      </c>
      <c r="AN1406" s="59" t="n">
        <f aca="false">IF(CD1406&gt;0,CD1406*MAX(1,AL1406/V1406),IF(BR1406=1,IF(AL1406&lt;=0,0,BS1406*MAX(1,IF(G1406&gt;0,AL1406/G1406,1))),IF(Q1406&gt;0,AM1406/Q1406,0))/MAX(0.1,N(Parameter!$M$21)))</f>
        <v>0.166666666666667</v>
      </c>
      <c r="AO1406" s="57" t="n">
        <f aca="false">AL1406*F1406</f>
        <v>14737.6</v>
      </c>
      <c r="AP1406" s="57" t="n">
        <f aca="false">ROUNDUP(MAX(I1406/IF(BV1406&gt;0,BV1406,MAX(0.1,N(Cockpit!$I$6))),BY1406)/BQ1406,0)*BQ1406</f>
        <v>10</v>
      </c>
      <c r="AQ1406" s="58" t="n">
        <f aca="false">IF(AN1406&gt;0,I1406/AN1406,-1)</f>
        <v>12</v>
      </c>
      <c r="AR1406" s="58" t="n">
        <f aca="false">IF(AND(OR(BU1406="L1",BU1406="L23"),AN1406&gt;0),SUMIFS($AN$7:$AN$1576,$BU$7:$BU$1576,BU1406,$AQ$7:$AQ$1576,"&gt;"&amp;AQ1406)+SUMIFS($AN$7:$AN$1576,$BU$7:$BU$1576,BU1406,$AQ$7:$AQ$1576,AQ1406,$BO$7:$BO$1576,"&lt;="&amp;BO1406),"")</f>
        <v>108.270639716901</v>
      </c>
      <c r="AS1406" s="65" t="n">
        <f aca="false">IF(AR1406="",0,MAX(0,MIN(1,(IF(BU1406="L1",Parameter!$E$5,Parameter!$E$6+Parameter!$E$7)-(AR1406-AN1406))/AN1406)))</f>
        <v>0</v>
      </c>
      <c r="AT1406" s="57" t="n">
        <f aca="false">IF(LEFT(Cockpit!$O$5,1)="A",G1406,IF(BW1406=1,BX1406,IF(LEFT(Cockpit!$O$5,1)="B",AX1406,MAX(AX1406,G1406))))</f>
        <v>10</v>
      </c>
      <c r="AU1406" s="57" t="n">
        <f aca="false">IF(BR1406=1,0,ROUNDUP(AT1406/BQ1406,0))</f>
        <v>1</v>
      </c>
      <c r="AV1406" s="59" t="n">
        <f aca="false">IF(CD1406&gt;0,CD1406*MAX(1,AT1406/V1406),IF(BR1406=1,IF(AT1406&lt;=0,0,BS1406*MAX(1,IF(G1406&gt;0,AT1406/G1406,1))),IF(Q1406&gt;0,AU1406/Q1406,0))/MAX(0.1,N(Parameter!$M$21)))</f>
        <v>0.166666666666667</v>
      </c>
      <c r="AW1406" s="57" t="n">
        <f aca="false">AT1406*F1406</f>
        <v>14737.6</v>
      </c>
      <c r="AX1406" s="57" t="n">
        <f aca="false">ROUNDUP(MAX(I1406/IF(BV1406&gt;0,BV1406,MAX(0.1,N(Cockpit!$O$6))),BY1406)/BQ1406,0)*BQ1406</f>
        <v>10</v>
      </c>
      <c r="AY1406" s="58" t="n">
        <f aca="false">IF(AV1406&gt;0,I1406/AV1406,-1)</f>
        <v>12</v>
      </c>
      <c r="AZ1406" s="58" t="n">
        <f aca="false">IF(AND(OR(BU1406="L1",BU1406="L23"),AV1406&gt;0),SUMIFS($AV$7:$AV$1576,$BU$7:$BU$1576,BU1406,$AY$7:$AY$1576,"&gt;"&amp;AY1406)+SUMIFS($AV$7:$AV$1576,$BU$7:$BU$1576,BU1406,$AY$7:$AY$1576,AY1406,$BO$7:$BO$1576,"&lt;="&amp;BO1406),"")</f>
        <v>98.3301901664513</v>
      </c>
      <c r="BA1406" s="65" t="n">
        <f aca="false">IF(AZ1406="",0,MAX(0,MIN(1,(IF(BU1406="L1",Parameter!$E$5,Parameter!$E$6+Parameter!$E$7)-(AZ1406-AV1406))/AV1406)))</f>
        <v>1</v>
      </c>
      <c r="BB1406" s="55" t="str">
        <f aca="false">IF(AF1406&lt;=0,"",IF(BU1406="Aussen","Aussenlager",IF(BU1406="-","Nicht im Lift",IF(AK1406&gt;=1,"Lift",IF(AK1406&lt;=0,"Aussenlager","teilweise")))))</f>
        <v/>
      </c>
      <c r="BC1406" s="55" t="str">
        <f aca="false">IF(AN1406&lt;=0,"",IF(BU1406="Aussen","Aussenlager",IF(BU1406="-","Nicht im Lift",IF(AS1406&gt;=1,"Lift",IF(AS1406&lt;=0,"Aussenlager","teilweise")))))</f>
        <v>Aussenlager</v>
      </c>
      <c r="BD1406" s="55" t="str">
        <f aca="false">IF(AV1406&lt;=0,"",IF(BU1406="Aussen","Aussenlager",IF(BU1406="-","Nicht im Lift",IF(BA1406&gt;=1,"Lift",IF(BA1406&lt;=0,"Aussenlager","teilweise")))))</f>
        <v>Lift</v>
      </c>
      <c r="BE1406" s="55" t="str">
        <f aca="false">IF(A1406="","",IF(BN1406=1,"Neu; ","")&amp;IF(AND(BN1406=0,BI1406&lt;0),"negativer Bestand (Export "&amp;BI1406&amp;"); ","")&amp;IF(I1406&lt;=0,"Kein Verbrauch; ","")&amp;IF(CD1406&gt;0,"Lift "&amp;U1406&amp;" lt. Liftbericht (Fach "&amp;V1406&amp;" Stk); ",IF(BR1406=1,"Lose – Fläche geschätzt; ",""))&amp;IF(G1406&gt;AP1406,"Überbestand "&amp;ROUND(G1406-AP1406,0)&amp;" Stk / CHF "&amp;ROUND((G1406-AP1406)*F1406,0)&amp;"; ","")&amp;IF(AND(BW1406=1,BX1406&lt;BY1406),"MAX &lt; MB+LG; ","")&amp;IF(AND(CC1406&gt;0,CB1406*10&gt;CC1406),"zu hoch für Tablar; ","")&amp;IF(AND(BN1406=0,OR(BW1406=1,Y1406&lt;&gt;"",S1406&lt;&gt;"",T1406&lt;&gt;"",Z1406&lt;&gt;"")),"manuell übersteuert; ","")&amp;IF(AND(BR1406=0,Q1406=0),"Gebinde unbekannt / Stellmass fehlt; ","")&amp;IF(AND(BR1406=0,N(T1406)&lt;=0,N(P1406)&lt;=0),"Menge pro Gebinde fehlt (Ist = 1 Gebinde); ","")&amp;BM1406)</f>
        <v>negativer Bestand (Export -3); Twin</v>
      </c>
      <c r="BF1406" s="55"/>
      <c r="BG1406" s="55"/>
      <c r="BH1406" s="62"/>
      <c r="BI1406" s="57" t="n">
        <v>-3</v>
      </c>
      <c r="BJ1406" s="57" t="n">
        <v>13</v>
      </c>
      <c r="BK1406" s="56" t="n">
        <v>-4421.28</v>
      </c>
      <c r="BL1406" s="57" t="n">
        <v>2</v>
      </c>
      <c r="BM1406" s="55" t="s">
        <v>206</v>
      </c>
      <c r="BN1406" s="60" t="n">
        <v>0</v>
      </c>
      <c r="BO1406" s="60" t="n">
        <v>1406</v>
      </c>
      <c r="BP1406" s="55" t="str">
        <f aca="false">IF(S1406&lt;&gt;"",UPPER(TRIM(S1406)),IF(O1406="","LOSE",O1406))</f>
        <v>S71</v>
      </c>
      <c r="BQ1406" s="57" t="n">
        <f aca="false">IF(BP1406="LOSE",1,IF(N(T1406)&gt;0,T1406,IF(N(P1406)&gt;0,P1406,MAX(1,G1406))))</f>
        <v>10</v>
      </c>
      <c r="BR1406" s="60" t="n">
        <f aca="false">IF(BP1406="LOSE",1,0)</f>
        <v>0</v>
      </c>
      <c r="BS1406" s="59" t="n">
        <f aca="false">IF(BR1406=0,0,IF(N(R1406)&gt;0,R1406,IFERROR(VLOOKUP(D1406,Parameter!$A$35:$C$64,3,0)+0,0)))</f>
        <v>0</v>
      </c>
      <c r="BT1406" s="55" t="n">
        <f aca="false">IF(Y1406&lt;&gt;"",Y1406,X1406)</f>
        <v>2</v>
      </c>
      <c r="BU1406" s="55" t="str">
        <f aca="false">IF(BT1406=1,"L1",IF(OR(BT1406=2,BT1406=3),"L23",IF(BT1406="Aussen","Aussen","-")))</f>
        <v>L23</v>
      </c>
      <c r="BV1406" s="66" t="n">
        <f aca="false">IF(N(Z1406)&gt;0,Z1406,0)</f>
        <v>0</v>
      </c>
      <c r="BW1406" s="60" t="n">
        <f aca="false">IF(ISNUMBER(AC1406),1,0)</f>
        <v>0</v>
      </c>
      <c r="BX1406" s="57" t="n">
        <f aca="false">N(AC1406)</f>
        <v>0</v>
      </c>
      <c r="BY1406" s="57" t="n">
        <f aca="false">N(L1406)+N(M1406)</f>
        <v>1</v>
      </c>
      <c r="BZ1406" s="57" t="n">
        <f aca="false">ROUNDUP(G1406/BQ1406,0)</f>
        <v>0</v>
      </c>
      <c r="CA1406" s="57" t="n">
        <f aca="false">ROUNDUP(BX1406/BQ1406,0)</f>
        <v>0</v>
      </c>
      <c r="CB1406" s="60" t="n">
        <f aca="false">IF(BR1406=1,0,IFERROR(VLOOKUP(BP1406,'Gebinde-Kategorie'!$A$5:$M$45,5,0)+0,0))</f>
        <v>20</v>
      </c>
      <c r="CC1406" s="60" t="n">
        <f aca="false">IFERROR(IF(OR(BT1406=1,BT1406=2,BT1406=3),N(INDEX(Parameter!$I$5:$I$7,BT1406)),0),0)</f>
        <v>0</v>
      </c>
      <c r="CD1406" s="59" t="n">
        <f aca="false">IF(AND(Parameter!$B$21="Ja",ISNUMBER(U1406),N(V1406)&gt;0),IFERROR(N(INDEX(Parameter!$L$5:$L$7,U1406))*INDEX(Parameter!$E$5:$E$7,U1406)*V1406/SUMIFS($V$7:$V$1576,$U$7:$U$1576,U1406),0),0)</f>
        <v>0</v>
      </c>
    </row>
    <row r="1407" customFormat="false" ht="15" hidden="false" customHeight="false" outlineLevel="0" collapsed="false">
      <c r="A1407" s="55" t="s">
        <v>2456</v>
      </c>
      <c r="B1407" s="55" t="s">
        <v>281</v>
      </c>
      <c r="C1407" s="55" t="s">
        <v>160</v>
      </c>
      <c r="D1407" s="55" t="s">
        <v>168</v>
      </c>
      <c r="E1407" s="55" t="s">
        <v>210</v>
      </c>
      <c r="F1407" s="56" t="n">
        <v>119.13</v>
      </c>
      <c r="G1407" s="57" t="n">
        <f aca="false">MAX(0,IF(AND(Parameter!$B$21="Ja",ISNUMBER(W1407)),W1407,IF(Parameter!$B$20="Jahresanfang 2025 + Export",BJ1407+BI1407,BI1407)))</f>
        <v>0</v>
      </c>
      <c r="H1407" s="57" t="n">
        <f aca="false">G1407*F1407</f>
        <v>0</v>
      </c>
      <c r="I1407" s="57" t="n">
        <f aca="false">BL1407*Parameter!$B$18</f>
        <v>20</v>
      </c>
      <c r="J1407" s="58" t="n">
        <v>63</v>
      </c>
      <c r="K1407" s="59" t="n">
        <v>0.317460317460317</v>
      </c>
      <c r="L1407" s="57" t="n">
        <v>3</v>
      </c>
      <c r="M1407" s="57" t="n">
        <v>20</v>
      </c>
      <c r="N1407" s="60" t="n">
        <v>56</v>
      </c>
      <c r="O1407" s="55" t="s">
        <v>215</v>
      </c>
      <c r="P1407" s="57" t="n">
        <v>50</v>
      </c>
      <c r="Q1407" s="60" t="n">
        <f aca="false">IF(BR1407=1,0,IFERROR(VLOOKUP(BP1407,'Gebinde-Kategorie'!$A$5:$M$45,13,0)+0,0))</f>
        <v>3</v>
      </c>
      <c r="R1407" s="61"/>
      <c r="S1407" s="62"/>
      <c r="T1407" s="62"/>
      <c r="U1407" s="55"/>
      <c r="V1407" s="57"/>
      <c r="W1407" s="57"/>
      <c r="X1407" s="55" t="n">
        <f aca="false">IF(A1407="","",IF(AND(Parameter!$B$21="Ja",ISNUMBER(U1407)),U1407,IF(IFERROR(VLOOKUP(D1407,Parameter!$A$35:$C$64,2,0),"Nein")="2+3",IF(ISNUMBER(SEARCH("grosser Artikel",BM1407)),2,IFERROR(VLOOKUP(BP1407,Parameter!$F$35:$G$64,2,0),2)),IF(OR(IFERROR(VLOOKUP(D1407,Parameter!$A$35:$C$64,2,0),"Nein")="Nein",IFERROR(VLOOKUP(D1407,Parameter!$A$35:$C$64,2,0),"Nein")=""),"-",VLOOKUP(D1407,Parameter!$A$35:$C$64,2,0)))))</f>
        <v>2</v>
      </c>
      <c r="Y1407" s="62"/>
      <c r="Z1407" s="63"/>
      <c r="AA1407" s="57" t="n">
        <f aca="false">AP1407</f>
        <v>50</v>
      </c>
      <c r="AB1407" s="57" t="n">
        <f aca="false">MAX(AP1407,G1407)</f>
        <v>50</v>
      </c>
      <c r="AC1407" s="64"/>
      <c r="AD1407" s="57" t="n">
        <f aca="false">IF(LEFT(Cockpit!$C$5,1)="A",G1407,IF(BW1407=1,BX1407,IF(LEFT(Cockpit!$C$5,1)="B",AH1407,MAX(AH1407,G1407))))</f>
        <v>0</v>
      </c>
      <c r="AE1407" s="57" t="n">
        <f aca="false">IF(BR1407=1,0,ROUNDUP(AD1407/BQ1407,0))</f>
        <v>0</v>
      </c>
      <c r="AF1407" s="59" t="n">
        <f aca="false">IF(CD1407&gt;0,CD1407*MAX(1,AD1407/V1407),IF(BR1407=1,IF(AD1407&lt;=0,0,BS1407*MAX(1,IF(G1407&gt;0,AD1407/G1407,1))),IF(Q1407&gt;0,AE1407/Q1407,0))/MAX(0.1,N(Parameter!$M$21)))</f>
        <v>0</v>
      </c>
      <c r="AG1407" s="57" t="n">
        <f aca="false">AD1407*F1407</f>
        <v>0</v>
      </c>
      <c r="AH1407" s="57" t="n">
        <f aca="false">ROUNDUP(MAX(I1407/IF(BV1407&gt;0,BV1407,MAX(0.1,N(Cockpit!$C$6))),BY1407)/BQ1407,0)*BQ1407</f>
        <v>50</v>
      </c>
      <c r="AI1407" s="58" t="n">
        <f aca="false">IF(AF1407&gt;0,I1407/AF1407,-1)</f>
        <v>-1</v>
      </c>
      <c r="AJ1407" s="58" t="str">
        <f aca="false">IF(AND(OR(BU1407="L1",BU1407="L23"),AF1407&gt;0),SUMIFS($AF$7:$AF$1576,$BU$7:$BU$1576,BU1407,$AI$7:$AI$1576,"&gt;"&amp;AI1407)+SUMIFS($AF$7:$AF$1576,$BU$7:$BU$1576,BU1407,$AI$7:$AI$1576,AI1407,$BO$7:$BO$1576,"&lt;="&amp;BO1407),"")</f>
        <v/>
      </c>
      <c r="AK1407" s="65" t="n">
        <f aca="false">IF(AJ1407="",0,MAX(0,MIN(1,(IF(BU1407="L1",Parameter!$E$5,Parameter!$E$6+Parameter!$E$7)-(AJ1407-AF1407))/AF1407)))</f>
        <v>0</v>
      </c>
      <c r="AL1407" s="57" t="n">
        <f aca="false">IF(LEFT(Cockpit!$I$5,1)="A",G1407,IF(BW1407=1,BX1407,IF(LEFT(Cockpit!$I$5,1)="B",AP1407,MAX(AP1407,G1407))))</f>
        <v>50</v>
      </c>
      <c r="AM1407" s="57" t="n">
        <f aca="false">IF(BR1407=1,0,ROUNDUP(AL1407/BQ1407,0))</f>
        <v>1</v>
      </c>
      <c r="AN1407" s="59" t="n">
        <f aca="false">IF(CD1407&gt;0,CD1407*MAX(1,AL1407/V1407),IF(BR1407=1,IF(AL1407&lt;=0,0,BS1407*MAX(1,IF(G1407&gt;0,AL1407/G1407,1))),IF(Q1407&gt;0,AM1407/Q1407,0))/MAX(0.1,N(Parameter!$M$21)))</f>
        <v>0.333333333333333</v>
      </c>
      <c r="AO1407" s="57" t="n">
        <f aca="false">AL1407*F1407</f>
        <v>5956.5</v>
      </c>
      <c r="AP1407" s="57" t="n">
        <f aca="false">ROUNDUP(MAX(I1407/IF(BV1407&gt;0,BV1407,MAX(0.1,N(Cockpit!$I$6))),BY1407)/BQ1407,0)*BQ1407</f>
        <v>50</v>
      </c>
      <c r="AQ1407" s="58" t="n">
        <f aca="false">IF(AN1407&gt;0,I1407/AN1407,-1)</f>
        <v>60</v>
      </c>
      <c r="AR1407" s="58" t="n">
        <f aca="false">IF(AND(OR(BU1407="L1",BU1407="L23"),AN1407&gt;0),SUMIFS($AN$7:$AN$1576,$BU$7:$BU$1576,BU1407,$AQ$7:$AQ$1576,"&gt;"&amp;AQ1407)+SUMIFS($AN$7:$AN$1576,$BU$7:$BU$1576,BU1407,$AQ$7:$AQ$1576,AQ1407,$BO$7:$BO$1576,"&lt;="&amp;BO1407),"")</f>
        <v>78.0593576656188</v>
      </c>
      <c r="AS1407" s="65" t="n">
        <f aca="false">IF(AR1407="",0,MAX(0,MIN(1,(IF(BU1407="L1",Parameter!$E$5,Parameter!$E$6+Parameter!$E$7)-(AR1407-AN1407))/AN1407)))</f>
        <v>1</v>
      </c>
      <c r="AT1407" s="57" t="n">
        <f aca="false">IF(LEFT(Cockpit!$O$5,1)="A",G1407,IF(BW1407=1,BX1407,IF(LEFT(Cockpit!$O$5,1)="B",AX1407,MAX(AX1407,G1407))))</f>
        <v>50</v>
      </c>
      <c r="AU1407" s="57" t="n">
        <f aca="false">IF(BR1407=1,0,ROUNDUP(AT1407/BQ1407,0))</f>
        <v>1</v>
      </c>
      <c r="AV1407" s="59" t="n">
        <f aca="false">IF(CD1407&gt;0,CD1407*MAX(1,AT1407/V1407),IF(BR1407=1,IF(AT1407&lt;=0,0,BS1407*MAX(1,IF(G1407&gt;0,AT1407/G1407,1))),IF(Q1407&gt;0,AU1407/Q1407,0))/MAX(0.1,N(Parameter!$M$21)))</f>
        <v>0.333333333333333</v>
      </c>
      <c r="AW1407" s="57" t="n">
        <f aca="false">AT1407*F1407</f>
        <v>5956.5</v>
      </c>
      <c r="AX1407" s="57" t="n">
        <f aca="false">ROUNDUP(MAX(I1407/IF(BV1407&gt;0,BV1407,MAX(0.1,N(Cockpit!$O$6))),BY1407)/BQ1407,0)*BQ1407</f>
        <v>50</v>
      </c>
      <c r="AY1407" s="58" t="n">
        <f aca="false">IF(AV1407&gt;0,I1407/AV1407,-1)</f>
        <v>60</v>
      </c>
      <c r="AZ1407" s="58" t="n">
        <f aca="false">IF(AND(OR(BU1407="L1",BU1407="L23"),AV1407&gt;0),SUMIFS($AV$7:$AV$1576,$BU$7:$BU$1576,BU1407,$AY$7:$AY$1576,"&gt;"&amp;AY1407)+SUMIFS($AV$7:$AV$1576,$BU$7:$BU$1576,BU1407,$AY$7:$AY$1576,AY1407,$BO$7:$BO$1576,"&lt;="&amp;BO1407),"")</f>
        <v>76.2605747818359</v>
      </c>
      <c r="BA1407" s="65" t="n">
        <f aca="false">IF(AZ1407="",0,MAX(0,MIN(1,(IF(BU1407="L1",Parameter!$E$5,Parameter!$E$6+Parameter!$E$7)-(AZ1407-AV1407))/AV1407)))</f>
        <v>1</v>
      </c>
      <c r="BB1407" s="55" t="str">
        <f aca="false">IF(AF1407&lt;=0,"",IF(BU1407="Aussen","Aussenlager",IF(BU1407="-","Nicht im Lift",IF(AK1407&gt;=1,"Lift",IF(AK1407&lt;=0,"Aussenlager","teilweise")))))</f>
        <v/>
      </c>
      <c r="BC1407" s="55" t="str">
        <f aca="false">IF(AN1407&lt;=0,"",IF(BU1407="Aussen","Aussenlager",IF(BU1407="-","Nicht im Lift",IF(AS1407&gt;=1,"Lift",IF(AS1407&lt;=0,"Aussenlager","teilweise")))))</f>
        <v>Lift</v>
      </c>
      <c r="BD1407" s="55" t="str">
        <f aca="false">IF(AV1407&lt;=0,"",IF(BU1407="Aussen","Aussenlager",IF(BU1407="-","Nicht im Lift",IF(BA1407&gt;=1,"Lift",IF(BA1407&lt;=0,"Aussenlager","teilweise")))))</f>
        <v>Lift</v>
      </c>
      <c r="BE1407" s="55" t="str">
        <f aca="false">IF(A1407="","",IF(BN1407=1,"Neu; ","")&amp;IF(AND(BN1407=0,BI1407&lt;0),"negativer Bestand (Export "&amp;BI1407&amp;"); ","")&amp;IF(I1407&lt;=0,"Kein Verbrauch; ","")&amp;IF(CD1407&gt;0,"Lift "&amp;U1407&amp;" lt. Liftbericht (Fach "&amp;V1407&amp;" Stk); ",IF(BR1407=1,"Lose – Fläche geschätzt; ",""))&amp;IF(G1407&gt;AP1407,"Überbestand "&amp;ROUND(G1407-AP1407,0)&amp;" Stk / CHF "&amp;ROUND((G1407-AP1407)*F1407,0)&amp;"; ","")&amp;IF(AND(BW1407=1,BX1407&lt;BY1407),"MAX &lt; MB+LG; ","")&amp;IF(AND(CC1407&gt;0,CB1407*10&gt;CC1407),"zu hoch für Tablar; ","")&amp;IF(AND(BN1407=0,OR(BW1407=1,Y1407&lt;&gt;"",S1407&lt;&gt;"",T1407&lt;&gt;"",Z1407&lt;&gt;"")),"manuell übersteuert; ","")&amp;IF(AND(BR1407=0,Q1407=0),"Gebinde unbekannt / Stellmass fehlt; ","")&amp;IF(AND(BR1407=0,N(T1407)&lt;=0,N(P1407)&lt;=0),"Menge pro Gebinde fehlt (Ist = 1 Gebinde); ","")&amp;BM1407)</f>
        <v>negativer Bestand (Export -40); Neu</v>
      </c>
      <c r="BF1407" s="55"/>
      <c r="BG1407" s="55"/>
      <c r="BH1407" s="62"/>
      <c r="BI1407" s="57" t="n">
        <v>-40</v>
      </c>
      <c r="BJ1407" s="57" t="n">
        <v>68</v>
      </c>
      <c r="BK1407" s="56" t="n">
        <v>-4765.2</v>
      </c>
      <c r="BL1407" s="57" t="n">
        <v>20</v>
      </c>
      <c r="BM1407" s="55" t="s">
        <v>615</v>
      </c>
      <c r="BN1407" s="60" t="n">
        <v>0</v>
      </c>
      <c r="BO1407" s="60" t="n">
        <v>1407</v>
      </c>
      <c r="BP1407" s="55" t="str">
        <f aca="false">IF(S1407&lt;&gt;"",UPPER(TRIM(S1407)),IF(O1407="","LOSE",O1407))</f>
        <v>S81</v>
      </c>
      <c r="BQ1407" s="57" t="n">
        <f aca="false">IF(BP1407="LOSE",1,IF(N(T1407)&gt;0,T1407,IF(N(P1407)&gt;0,P1407,MAX(1,G1407))))</f>
        <v>50</v>
      </c>
      <c r="BR1407" s="60" t="n">
        <f aca="false">IF(BP1407="LOSE",1,0)</f>
        <v>0</v>
      </c>
      <c r="BS1407" s="59" t="n">
        <f aca="false">IF(BR1407=0,0,IF(N(R1407)&gt;0,R1407,IFERROR(VLOOKUP(D1407,Parameter!$A$35:$C$64,3,0)+0,0)))</f>
        <v>0</v>
      </c>
      <c r="BT1407" s="55" t="n">
        <f aca="false">IF(Y1407&lt;&gt;"",Y1407,X1407)</f>
        <v>2</v>
      </c>
      <c r="BU1407" s="55" t="str">
        <f aca="false">IF(BT1407=1,"L1",IF(OR(BT1407=2,BT1407=3),"L23",IF(BT1407="Aussen","Aussen","-")))</f>
        <v>L23</v>
      </c>
      <c r="BV1407" s="66" t="n">
        <f aca="false">IF(N(Z1407)&gt;0,Z1407,0)</f>
        <v>0</v>
      </c>
      <c r="BW1407" s="60" t="n">
        <f aca="false">IF(ISNUMBER(AC1407),1,0)</f>
        <v>0</v>
      </c>
      <c r="BX1407" s="57" t="n">
        <f aca="false">N(AC1407)</f>
        <v>0</v>
      </c>
      <c r="BY1407" s="57" t="n">
        <f aca="false">N(L1407)+N(M1407)</f>
        <v>23</v>
      </c>
      <c r="BZ1407" s="57" t="n">
        <f aca="false">ROUNDUP(G1407/BQ1407,0)</f>
        <v>0</v>
      </c>
      <c r="CA1407" s="57" t="n">
        <f aca="false">ROUNDUP(BX1407/BQ1407,0)</f>
        <v>0</v>
      </c>
      <c r="CB1407" s="60" t="n">
        <f aca="false">IF(BR1407=1,0,IFERROR(VLOOKUP(BP1407,'Gebinde-Kategorie'!$A$5:$M$45,5,0)+0,0))</f>
        <v>20</v>
      </c>
      <c r="CC1407" s="60" t="n">
        <f aca="false">IFERROR(IF(OR(BT1407=1,BT1407=2,BT1407=3),N(INDEX(Parameter!$I$5:$I$7,BT1407)),0),0)</f>
        <v>0</v>
      </c>
      <c r="CD1407" s="59" t="n">
        <f aca="false">IF(AND(Parameter!$B$21="Ja",ISNUMBER(U1407),N(V1407)&gt;0),IFERROR(N(INDEX(Parameter!$L$5:$L$7,U1407))*INDEX(Parameter!$E$5:$E$7,U1407)*V1407/SUMIFS($V$7:$V$1576,$U$7:$U$1576,U1407),0),0)</f>
        <v>0</v>
      </c>
    </row>
    <row r="1408" customFormat="false" ht="15" hidden="false" customHeight="false" outlineLevel="0" collapsed="false">
      <c r="A1408" s="55" t="s">
        <v>2457</v>
      </c>
      <c r="B1408" s="55" t="s">
        <v>2458</v>
      </c>
      <c r="C1408" s="55" t="s">
        <v>160</v>
      </c>
      <c r="D1408" s="55" t="s">
        <v>344</v>
      </c>
      <c r="E1408" s="55" t="s">
        <v>210</v>
      </c>
      <c r="F1408" s="56" t="n">
        <v>2426.28</v>
      </c>
      <c r="G1408" s="57" t="n">
        <f aca="false">MAX(0,IF(AND(Parameter!$B$21="Ja",ISNUMBER(W1408)),W1408,IF(Parameter!$B$20="Jahresanfang 2025 + Export",BJ1408+BI1408,BI1408)))</f>
        <v>0</v>
      </c>
      <c r="H1408" s="57" t="n">
        <f aca="false">G1408*F1408</f>
        <v>0</v>
      </c>
      <c r="I1408" s="57" t="n">
        <f aca="false">BL1408*Parameter!$B$18</f>
        <v>0</v>
      </c>
      <c r="J1408" s="58" t="n">
        <v>1</v>
      </c>
      <c r="K1408" s="59" t="n">
        <v>0</v>
      </c>
      <c r="L1408" s="57" t="n">
        <v>0</v>
      </c>
      <c r="M1408" s="57" t="n">
        <v>1</v>
      </c>
      <c r="N1408" s="60" t="n">
        <v>90</v>
      </c>
      <c r="O1408" s="55" t="s">
        <v>163</v>
      </c>
      <c r="P1408" s="57"/>
      <c r="Q1408" s="60" t="n">
        <f aca="false">IF(BR1408=1,0,IFERROR(VLOOKUP(BP1408,'Gebinde-Kategorie'!$A$5:$M$45,13,0)+0,0))</f>
        <v>0</v>
      </c>
      <c r="R1408" s="61"/>
      <c r="S1408" s="62"/>
      <c r="T1408" s="62"/>
      <c r="U1408" s="55"/>
      <c r="V1408" s="57"/>
      <c r="W1408" s="57"/>
      <c r="X1408" s="55" t="str">
        <f aca="false">IF(A1408="","",IF(AND(Parameter!$B$21="Ja",ISNUMBER(U1408)),U1408,IF(IFERROR(VLOOKUP(D1408,Parameter!$A$35:$C$64,2,0),"Nein")="2+3",IF(ISNUMBER(SEARCH("grosser Artikel",BM1408)),2,IFERROR(VLOOKUP(BP1408,Parameter!$F$35:$G$64,2,0),2)),IF(OR(IFERROR(VLOOKUP(D1408,Parameter!$A$35:$C$64,2,0),"Nein")="Nein",IFERROR(VLOOKUP(D1408,Parameter!$A$35:$C$64,2,0),"Nein")=""),"-",VLOOKUP(D1408,Parameter!$A$35:$C$64,2,0)))))</f>
        <v>-</v>
      </c>
      <c r="Y1408" s="62"/>
      <c r="Z1408" s="63"/>
      <c r="AA1408" s="57" t="n">
        <f aca="false">AP1408</f>
        <v>1</v>
      </c>
      <c r="AB1408" s="57" t="n">
        <f aca="false">MAX(AP1408,G1408)</f>
        <v>1</v>
      </c>
      <c r="AC1408" s="64"/>
      <c r="AD1408" s="57" t="n">
        <f aca="false">IF(LEFT(Cockpit!$C$5,1)="A",G1408,IF(BW1408=1,BX1408,IF(LEFT(Cockpit!$C$5,1)="B",AH1408,MAX(AH1408,G1408))))</f>
        <v>0</v>
      </c>
      <c r="AE1408" s="57" t="n">
        <f aca="false">IF(BR1408=1,0,ROUNDUP(AD1408/BQ1408,0))</f>
        <v>0</v>
      </c>
      <c r="AF1408" s="59" t="n">
        <f aca="false">IF(CD1408&gt;0,CD1408*MAX(1,AD1408/V1408),IF(BR1408=1,IF(AD1408&lt;=0,0,BS1408*MAX(1,IF(G1408&gt;0,AD1408/G1408,1))),IF(Q1408&gt;0,AE1408/Q1408,0))/MAX(0.1,N(Parameter!$M$21)))</f>
        <v>0</v>
      </c>
      <c r="AG1408" s="57" t="n">
        <f aca="false">AD1408*F1408</f>
        <v>0</v>
      </c>
      <c r="AH1408" s="57" t="n">
        <f aca="false">ROUNDUP(MAX(I1408/IF(BV1408&gt;0,BV1408,MAX(0.1,N(Cockpit!$C$6))),BY1408)/BQ1408,0)*BQ1408</f>
        <v>1</v>
      </c>
      <c r="AI1408" s="58" t="n">
        <f aca="false">IF(AF1408&gt;0,I1408/AF1408,-1)</f>
        <v>-1</v>
      </c>
      <c r="AJ1408" s="58" t="str">
        <f aca="false">IF(AND(OR(BU1408="L1",BU1408="L23"),AF1408&gt;0),SUMIFS($AF$7:$AF$1576,$BU$7:$BU$1576,BU1408,$AI$7:$AI$1576,"&gt;"&amp;AI1408)+SUMIFS($AF$7:$AF$1576,$BU$7:$BU$1576,BU1408,$AI$7:$AI$1576,AI1408,$BO$7:$BO$1576,"&lt;="&amp;BO1408),"")</f>
        <v/>
      </c>
      <c r="AK1408" s="65" t="n">
        <f aca="false">IF(AJ1408="",0,MAX(0,MIN(1,(IF(BU1408="L1",Parameter!$E$5,Parameter!$E$6+Parameter!$E$7)-(AJ1408-AF1408))/AF1408)))</f>
        <v>0</v>
      </c>
      <c r="AL1408" s="57" t="n">
        <f aca="false">IF(LEFT(Cockpit!$I$5,1)="A",G1408,IF(BW1408=1,BX1408,IF(LEFT(Cockpit!$I$5,1)="B",AP1408,MAX(AP1408,G1408))))</f>
        <v>1</v>
      </c>
      <c r="AM1408" s="57" t="n">
        <f aca="false">IF(BR1408=1,0,ROUNDUP(AL1408/BQ1408,0))</f>
        <v>0</v>
      </c>
      <c r="AN1408" s="59" t="n">
        <f aca="false">IF(CD1408&gt;0,CD1408*MAX(1,AL1408/V1408),IF(BR1408=1,IF(AL1408&lt;=0,0,BS1408*MAX(1,IF(G1408&gt;0,AL1408/G1408,1))),IF(Q1408&gt;0,AM1408/Q1408,0))/MAX(0.1,N(Parameter!$M$21)))</f>
        <v>0.15</v>
      </c>
      <c r="AO1408" s="57" t="n">
        <f aca="false">AL1408*F1408</f>
        <v>2426.28</v>
      </c>
      <c r="AP1408" s="57" t="n">
        <f aca="false">ROUNDUP(MAX(I1408/IF(BV1408&gt;0,BV1408,MAX(0.1,N(Cockpit!$I$6))),BY1408)/BQ1408,0)*BQ1408</f>
        <v>1</v>
      </c>
      <c r="AQ1408" s="58" t="n">
        <f aca="false">IF(AN1408&gt;0,I1408/AN1408,-1)</f>
        <v>0</v>
      </c>
      <c r="AR1408" s="58" t="str">
        <f aca="false">IF(AND(OR(BU1408="L1",BU1408="L23"),AN1408&gt;0),SUMIFS($AN$7:$AN$1576,$BU$7:$BU$1576,BU1408,$AQ$7:$AQ$1576,"&gt;"&amp;AQ1408)+SUMIFS($AN$7:$AN$1576,$BU$7:$BU$1576,BU1408,$AQ$7:$AQ$1576,AQ1408,$BO$7:$BO$1576,"&lt;="&amp;BO1408),"")</f>
        <v/>
      </c>
      <c r="AS1408" s="65" t="n">
        <f aca="false">IF(AR1408="",0,MAX(0,MIN(1,(IF(BU1408="L1",Parameter!$E$5,Parameter!$E$6+Parameter!$E$7)-(AR1408-AN1408))/AN1408)))</f>
        <v>0</v>
      </c>
      <c r="AT1408" s="57" t="n">
        <f aca="false">IF(LEFT(Cockpit!$O$5,1)="A",G1408,IF(BW1408=1,BX1408,IF(LEFT(Cockpit!$O$5,1)="B",AX1408,MAX(AX1408,G1408))))</f>
        <v>1</v>
      </c>
      <c r="AU1408" s="57" t="n">
        <f aca="false">IF(BR1408=1,0,ROUNDUP(AT1408/BQ1408,0))</f>
        <v>0</v>
      </c>
      <c r="AV1408" s="59" t="n">
        <f aca="false">IF(CD1408&gt;0,CD1408*MAX(1,AT1408/V1408),IF(BR1408=1,IF(AT1408&lt;=0,0,BS1408*MAX(1,IF(G1408&gt;0,AT1408/G1408,1))),IF(Q1408&gt;0,AU1408/Q1408,0))/MAX(0.1,N(Parameter!$M$21)))</f>
        <v>0.15</v>
      </c>
      <c r="AW1408" s="57" t="n">
        <f aca="false">AT1408*F1408</f>
        <v>2426.28</v>
      </c>
      <c r="AX1408" s="57" t="n">
        <f aca="false">ROUNDUP(MAX(I1408/IF(BV1408&gt;0,BV1408,MAX(0.1,N(Cockpit!$O$6))),BY1408)/BQ1408,0)*BQ1408</f>
        <v>1</v>
      </c>
      <c r="AY1408" s="58" t="n">
        <f aca="false">IF(AV1408&gt;0,I1408/AV1408,-1)</f>
        <v>0</v>
      </c>
      <c r="AZ1408" s="58" t="str">
        <f aca="false">IF(AND(OR(BU1408="L1",BU1408="L23"),AV1408&gt;0),SUMIFS($AV$7:$AV$1576,$BU$7:$BU$1576,BU1408,$AY$7:$AY$1576,"&gt;"&amp;AY1408)+SUMIFS($AV$7:$AV$1576,$BU$7:$BU$1576,BU1408,$AY$7:$AY$1576,AY1408,$BO$7:$BO$1576,"&lt;="&amp;BO1408),"")</f>
        <v/>
      </c>
      <c r="BA1408" s="65" t="n">
        <f aca="false">IF(AZ1408="",0,MAX(0,MIN(1,(IF(BU1408="L1",Parameter!$E$5,Parameter!$E$6+Parameter!$E$7)-(AZ1408-AV1408))/AV1408)))</f>
        <v>0</v>
      </c>
      <c r="BB1408" s="55" t="str">
        <f aca="false">IF(AF1408&lt;=0,"",IF(BU1408="Aussen","Aussenlager",IF(BU1408="-","Nicht im Lift",IF(AK1408&gt;=1,"Lift",IF(AK1408&lt;=0,"Aussenlager","teilweise")))))</f>
        <v/>
      </c>
      <c r="BC1408" s="55" t="str">
        <f aca="false">IF(AN1408&lt;=0,"",IF(BU1408="Aussen","Aussenlager",IF(BU1408="-","Nicht im Lift",IF(AS1408&gt;=1,"Lift",IF(AS1408&lt;=0,"Aussenlager","teilweise")))))</f>
        <v>Nicht im Lift</v>
      </c>
      <c r="BD1408" s="55" t="str">
        <f aca="false">IF(AV1408&lt;=0,"",IF(BU1408="Aussen","Aussenlager",IF(BU1408="-","Nicht im Lift",IF(BA1408&gt;=1,"Lift",IF(BA1408&lt;=0,"Aussenlager","teilweise")))))</f>
        <v>Nicht im Lift</v>
      </c>
      <c r="BE1408" s="55" t="str">
        <f aca="false">IF(A1408="","",IF(BN1408=1,"Neu; ","")&amp;IF(AND(BN1408=0,BI1408&lt;0),"negativer Bestand (Export "&amp;BI1408&amp;"); ","")&amp;IF(I1408&lt;=0,"Kein Verbrauch; ","")&amp;IF(CD1408&gt;0,"Lift "&amp;U1408&amp;" lt. Liftbericht (Fach "&amp;V1408&amp;" Stk); ",IF(BR1408=1,"Lose – Fläche geschätzt; ",""))&amp;IF(G1408&gt;AP1408,"Überbestand "&amp;ROUND(G1408-AP1408,0)&amp;" Stk / CHF "&amp;ROUND((G1408-AP1408)*F1408,0)&amp;"; ","")&amp;IF(AND(BW1408=1,BX1408&lt;BY1408),"MAX &lt; MB+LG; ","")&amp;IF(AND(CC1408&gt;0,CB1408*10&gt;CC1408),"zu hoch für Tablar; ","")&amp;IF(AND(BN1408=0,OR(BW1408=1,Y1408&lt;&gt;"",S1408&lt;&gt;"",T1408&lt;&gt;"",Z1408&lt;&gt;"")),"manuell übersteuert; ","")&amp;IF(AND(BR1408=0,Q1408=0),"Gebinde unbekannt / Stellmass fehlt; ","")&amp;IF(AND(BR1408=0,N(T1408)&lt;=0,N(P1408)&lt;=0),"Menge pro Gebinde fehlt (Ist = 1 Gebinde); ","")&amp;BM1408)</f>
        <v>negativer Bestand (Export -2); Kein Verbrauch; Lose – Fläche geschätzt; </v>
      </c>
      <c r="BF1408" s="55"/>
      <c r="BG1408" s="55"/>
      <c r="BH1408" s="62"/>
      <c r="BI1408" s="57" t="n">
        <v>-2</v>
      </c>
      <c r="BJ1408" s="57" t="n">
        <v>2</v>
      </c>
      <c r="BK1408" s="56" t="n">
        <v>-4852.56</v>
      </c>
      <c r="BL1408" s="57" t="n">
        <v>0</v>
      </c>
      <c r="BM1408" s="55"/>
      <c r="BN1408" s="60" t="n">
        <v>0</v>
      </c>
      <c r="BO1408" s="60" t="n">
        <v>1408</v>
      </c>
      <c r="BP1408" s="55" t="str">
        <f aca="false">IF(S1408&lt;&gt;"",UPPER(TRIM(S1408)),IF(O1408="","LOSE",O1408))</f>
        <v>LOSE</v>
      </c>
      <c r="BQ1408" s="57" t="n">
        <f aca="false">IF(BP1408="LOSE",1,IF(N(T1408)&gt;0,T1408,IF(N(P1408)&gt;0,P1408,MAX(1,G1408))))</f>
        <v>1</v>
      </c>
      <c r="BR1408" s="60" t="n">
        <f aca="false">IF(BP1408="LOSE",1,0)</f>
        <v>1</v>
      </c>
      <c r="BS1408" s="59" t="n">
        <f aca="false">IF(BR1408=0,0,IF(N(R1408)&gt;0,R1408,IFERROR(VLOOKUP(D1408,Parameter!$A$35:$C$64,3,0)+0,0)))</f>
        <v>0.15</v>
      </c>
      <c r="BT1408" s="55" t="str">
        <f aca="false">IF(Y1408&lt;&gt;"",Y1408,X1408)</f>
        <v>-</v>
      </c>
      <c r="BU1408" s="55" t="str">
        <f aca="false">IF(BT1408=1,"L1",IF(OR(BT1408=2,BT1408=3),"L23",IF(BT1408="Aussen","Aussen","-")))</f>
        <v>-</v>
      </c>
      <c r="BV1408" s="66" t="n">
        <f aca="false">IF(N(Z1408)&gt;0,Z1408,0)</f>
        <v>0</v>
      </c>
      <c r="BW1408" s="60" t="n">
        <f aca="false">IF(ISNUMBER(AC1408),1,0)</f>
        <v>0</v>
      </c>
      <c r="BX1408" s="57" t="n">
        <f aca="false">N(AC1408)</f>
        <v>0</v>
      </c>
      <c r="BY1408" s="57" t="n">
        <f aca="false">N(L1408)+N(M1408)</f>
        <v>1</v>
      </c>
      <c r="BZ1408" s="57" t="n">
        <f aca="false">ROUNDUP(G1408/BQ1408,0)</f>
        <v>0</v>
      </c>
      <c r="CA1408" s="57" t="n">
        <f aca="false">ROUNDUP(BX1408/BQ1408,0)</f>
        <v>0</v>
      </c>
      <c r="CB1408" s="60" t="n">
        <f aca="false">IF(BR1408=1,0,IFERROR(VLOOKUP(BP1408,'Gebinde-Kategorie'!$A$5:$M$45,5,0)+0,0))</f>
        <v>0</v>
      </c>
      <c r="CC1408" s="60" t="n">
        <f aca="false">IFERROR(IF(OR(BT1408=1,BT1408=2,BT1408=3),N(INDEX(Parameter!$I$5:$I$7,BT1408)),0),0)</f>
        <v>0</v>
      </c>
      <c r="CD1408" s="59" t="n">
        <f aca="false">IF(AND(Parameter!$B$21="Ja",ISNUMBER(U1408),N(V1408)&gt;0),IFERROR(N(INDEX(Parameter!$L$5:$L$7,U1408))*INDEX(Parameter!$E$5:$E$7,U1408)*V1408/SUMIFS($V$7:$V$1576,$U$7:$U$1576,U1408),0),0)</f>
        <v>0</v>
      </c>
    </row>
    <row r="1409" customFormat="false" ht="15" hidden="false" customHeight="false" outlineLevel="0" collapsed="false">
      <c r="A1409" s="55" t="s">
        <v>2459</v>
      </c>
      <c r="B1409" s="55" t="s">
        <v>330</v>
      </c>
      <c r="C1409" s="55" t="s">
        <v>446</v>
      </c>
      <c r="D1409" s="55" t="s">
        <v>168</v>
      </c>
      <c r="E1409" s="55" t="s">
        <v>210</v>
      </c>
      <c r="F1409" s="56" t="n">
        <v>377.8</v>
      </c>
      <c r="G1409" s="57" t="n">
        <f aca="false">MAX(0,IF(AND(Parameter!$B$21="Ja",ISNUMBER(W1409)),W1409,IF(Parameter!$B$20="Jahresanfang 2025 + Export",BJ1409+BI1409,BI1409)))</f>
        <v>0</v>
      </c>
      <c r="H1409" s="57" t="n">
        <f aca="false">G1409*F1409</f>
        <v>0</v>
      </c>
      <c r="I1409" s="57" t="n">
        <f aca="false">BL1409*Parameter!$B$18</f>
        <v>13</v>
      </c>
      <c r="J1409" s="58" t="n">
        <v>6.5</v>
      </c>
      <c r="K1409" s="59" t="n">
        <v>2</v>
      </c>
      <c r="L1409" s="57" t="n">
        <v>1</v>
      </c>
      <c r="M1409" s="57" t="n">
        <v>15</v>
      </c>
      <c r="N1409" s="60" t="n">
        <v>35</v>
      </c>
      <c r="O1409" s="55" t="s">
        <v>163</v>
      </c>
      <c r="P1409" s="57"/>
      <c r="Q1409" s="60" t="n">
        <f aca="false">IF(BR1409=1,0,IFERROR(VLOOKUP(BP1409,'Gebinde-Kategorie'!$A$5:$M$45,13,0)+0,0))</f>
        <v>0</v>
      </c>
      <c r="R1409" s="61"/>
      <c r="S1409" s="62"/>
      <c r="T1409" s="62"/>
      <c r="U1409" s="55"/>
      <c r="V1409" s="57"/>
      <c r="W1409" s="57"/>
      <c r="X1409" s="55" t="n">
        <f aca="false">IF(A1409="","",IF(AND(Parameter!$B$21="Ja",ISNUMBER(U1409)),U1409,IF(IFERROR(VLOOKUP(D1409,Parameter!$A$35:$C$64,2,0),"Nein")="2+3",IF(ISNUMBER(SEARCH("grosser Artikel",BM1409)),2,IFERROR(VLOOKUP(BP1409,Parameter!$F$35:$G$64,2,0),2)),IF(OR(IFERROR(VLOOKUP(D1409,Parameter!$A$35:$C$64,2,0),"Nein")="Nein",IFERROR(VLOOKUP(D1409,Parameter!$A$35:$C$64,2,0),"Nein")=""),"-",VLOOKUP(D1409,Parameter!$A$35:$C$64,2,0)))))</f>
        <v>2</v>
      </c>
      <c r="Y1409" s="62"/>
      <c r="Z1409" s="63"/>
      <c r="AA1409" s="57" t="n">
        <f aca="false">AP1409</f>
        <v>16</v>
      </c>
      <c r="AB1409" s="57" t="n">
        <f aca="false">MAX(AP1409,G1409)</f>
        <v>16</v>
      </c>
      <c r="AC1409" s="64"/>
      <c r="AD1409" s="57" t="n">
        <f aca="false">IF(LEFT(Cockpit!$C$5,1)="A",G1409,IF(BW1409=1,BX1409,IF(LEFT(Cockpit!$C$5,1)="B",AH1409,MAX(AH1409,G1409))))</f>
        <v>0</v>
      </c>
      <c r="AE1409" s="57" t="n">
        <f aca="false">IF(BR1409=1,0,ROUNDUP(AD1409/BQ1409,0))</f>
        <v>0</v>
      </c>
      <c r="AF1409" s="59" t="n">
        <f aca="false">IF(CD1409&gt;0,CD1409*MAX(1,AD1409/V1409),IF(BR1409=1,IF(AD1409&lt;=0,0,BS1409*MAX(1,IF(G1409&gt;0,AD1409/G1409,1))),IF(Q1409&gt;0,AE1409/Q1409,0))/MAX(0.1,N(Parameter!$M$21)))</f>
        <v>0</v>
      </c>
      <c r="AG1409" s="57" t="n">
        <f aca="false">AD1409*F1409</f>
        <v>0</v>
      </c>
      <c r="AH1409" s="57" t="n">
        <f aca="false">ROUNDUP(MAX(I1409/IF(BV1409&gt;0,BV1409,MAX(0.1,N(Cockpit!$C$6))),BY1409)/BQ1409,0)*BQ1409</f>
        <v>16</v>
      </c>
      <c r="AI1409" s="58" t="n">
        <f aca="false">IF(AF1409&gt;0,I1409/AF1409,-1)</f>
        <v>-1</v>
      </c>
      <c r="AJ1409" s="58" t="str">
        <f aca="false">IF(AND(OR(BU1409="L1",BU1409="L23"),AF1409&gt;0),SUMIFS($AF$7:$AF$1576,$BU$7:$BU$1576,BU1409,$AI$7:$AI$1576,"&gt;"&amp;AI1409)+SUMIFS($AF$7:$AF$1576,$BU$7:$BU$1576,BU1409,$AI$7:$AI$1576,AI1409,$BO$7:$BO$1576,"&lt;="&amp;BO1409),"")</f>
        <v/>
      </c>
      <c r="AK1409" s="65" t="n">
        <f aca="false">IF(AJ1409="",0,MAX(0,MIN(1,(IF(BU1409="L1",Parameter!$E$5,Parameter!$E$6+Parameter!$E$7)-(AJ1409-AF1409))/AF1409)))</f>
        <v>0</v>
      </c>
      <c r="AL1409" s="57" t="n">
        <f aca="false">IF(LEFT(Cockpit!$I$5,1)="A",G1409,IF(BW1409=1,BX1409,IF(LEFT(Cockpit!$I$5,1)="B",AP1409,MAX(AP1409,G1409))))</f>
        <v>16</v>
      </c>
      <c r="AM1409" s="57" t="n">
        <f aca="false">IF(BR1409=1,0,ROUNDUP(AL1409/BQ1409,0))</f>
        <v>0</v>
      </c>
      <c r="AN1409" s="59" t="n">
        <f aca="false">IF(CD1409&gt;0,CD1409*MAX(1,AL1409/V1409),IF(BR1409=1,IF(AL1409&lt;=0,0,BS1409*MAX(1,IF(G1409&gt;0,AL1409/G1409,1))),IF(Q1409&gt;0,AM1409/Q1409,0))/MAX(0.1,N(Parameter!$M$21)))</f>
        <v>0.15</v>
      </c>
      <c r="AO1409" s="57" t="n">
        <f aca="false">AL1409*F1409</f>
        <v>6044.8</v>
      </c>
      <c r="AP1409" s="57" t="n">
        <f aca="false">ROUNDUP(MAX(I1409/IF(BV1409&gt;0,BV1409,MAX(0.1,N(Cockpit!$I$6))),BY1409)/BQ1409,0)*BQ1409</f>
        <v>16</v>
      </c>
      <c r="AQ1409" s="58" t="n">
        <f aca="false">IF(AN1409&gt;0,I1409/AN1409,-1)</f>
        <v>86.6666666666667</v>
      </c>
      <c r="AR1409" s="58" t="n">
        <f aca="false">IF(AND(OR(BU1409="L1",BU1409="L23"),AN1409&gt;0),SUMIFS($AN$7:$AN$1576,$BU$7:$BU$1576,BU1409,$AQ$7:$AQ$1576,"&gt;"&amp;AQ1409)+SUMIFS($AN$7:$AN$1576,$BU$7:$BU$1576,BU1409,$AQ$7:$AQ$1576,AQ1409,$BO$7:$BO$1576,"&lt;="&amp;BO1409),"")</f>
        <v>73.2436467099079</v>
      </c>
      <c r="AS1409" s="65" t="n">
        <f aca="false">IF(AR1409="",0,MAX(0,MIN(1,(IF(BU1409="L1",Parameter!$E$5,Parameter!$E$6+Parameter!$E$7)-(AR1409-AN1409))/AN1409)))</f>
        <v>1</v>
      </c>
      <c r="AT1409" s="57" t="n">
        <f aca="false">IF(LEFT(Cockpit!$O$5,1)="A",G1409,IF(BW1409=1,BX1409,IF(LEFT(Cockpit!$O$5,1)="B",AX1409,MAX(AX1409,G1409))))</f>
        <v>16</v>
      </c>
      <c r="AU1409" s="57" t="n">
        <f aca="false">IF(BR1409=1,0,ROUNDUP(AT1409/BQ1409,0))</f>
        <v>0</v>
      </c>
      <c r="AV1409" s="59" t="n">
        <f aca="false">IF(CD1409&gt;0,CD1409*MAX(1,AT1409/V1409),IF(BR1409=1,IF(AT1409&lt;=0,0,BS1409*MAX(1,IF(G1409&gt;0,AT1409/G1409,1))),IF(Q1409&gt;0,AU1409/Q1409,0))/MAX(0.1,N(Parameter!$M$21)))</f>
        <v>0.15</v>
      </c>
      <c r="AW1409" s="57" t="n">
        <f aca="false">AT1409*F1409</f>
        <v>6044.8</v>
      </c>
      <c r="AX1409" s="57" t="n">
        <f aca="false">ROUNDUP(MAX(I1409/IF(BV1409&gt;0,BV1409,MAX(0.1,N(Cockpit!$O$6))),BY1409)/BQ1409,0)*BQ1409</f>
        <v>16</v>
      </c>
      <c r="AY1409" s="58" t="n">
        <f aca="false">IF(AV1409&gt;0,I1409/AV1409,-1)</f>
        <v>86.6666666666667</v>
      </c>
      <c r="AZ1409" s="58" t="n">
        <f aca="false">IF(AND(OR(BU1409="L1",BU1409="L23"),AV1409&gt;0),SUMIFS($AV$7:$AV$1576,$BU$7:$BU$1576,BU1409,$AY$7:$AY$1576,"&gt;"&amp;AY1409)+SUMIFS($AV$7:$AV$1576,$BU$7:$BU$1576,BU1409,$AY$7:$AY$1576,AY1409,$BO$7:$BO$1576,"&lt;="&amp;BO1409),"")</f>
        <v>66.8040304927917</v>
      </c>
      <c r="BA1409" s="65" t="n">
        <f aca="false">IF(AZ1409="",0,MAX(0,MIN(1,(IF(BU1409="L1",Parameter!$E$5,Parameter!$E$6+Parameter!$E$7)-(AZ1409-AV1409))/AV1409)))</f>
        <v>1</v>
      </c>
      <c r="BB1409" s="55" t="str">
        <f aca="false">IF(AF1409&lt;=0,"",IF(BU1409="Aussen","Aussenlager",IF(BU1409="-","Nicht im Lift",IF(AK1409&gt;=1,"Lift",IF(AK1409&lt;=0,"Aussenlager","teilweise")))))</f>
        <v/>
      </c>
      <c r="BC1409" s="55" t="str">
        <f aca="false">IF(AN1409&lt;=0,"",IF(BU1409="Aussen","Aussenlager",IF(BU1409="-","Nicht im Lift",IF(AS1409&gt;=1,"Lift",IF(AS1409&lt;=0,"Aussenlager","teilweise")))))</f>
        <v>Lift</v>
      </c>
      <c r="BD1409" s="55" t="str">
        <f aca="false">IF(AV1409&lt;=0,"",IF(BU1409="Aussen","Aussenlager",IF(BU1409="-","Nicht im Lift",IF(BA1409&gt;=1,"Lift",IF(BA1409&lt;=0,"Aussenlager","teilweise")))))</f>
        <v>Lift</v>
      </c>
      <c r="BE1409" s="55" t="str">
        <f aca="false">IF(A1409="","",IF(BN1409=1,"Neu; ","")&amp;IF(AND(BN1409=0,BI1409&lt;0),"negativer Bestand (Export "&amp;BI1409&amp;"); ","")&amp;IF(I1409&lt;=0,"Kein Verbrauch; ","")&amp;IF(CD1409&gt;0,"Lift "&amp;U1409&amp;" lt. Liftbericht (Fach "&amp;V1409&amp;" Stk); ",IF(BR1409=1,"Lose – Fläche geschätzt; ",""))&amp;IF(G1409&gt;AP1409,"Überbestand "&amp;ROUND(G1409-AP1409,0)&amp;" Stk / CHF "&amp;ROUND((G1409-AP1409)*F1409,0)&amp;"; ","")&amp;IF(AND(BW1409=1,BX1409&lt;BY1409),"MAX &lt; MB+LG; ","")&amp;IF(AND(CC1409&gt;0,CB1409*10&gt;CC1409),"zu hoch für Tablar; ","")&amp;IF(AND(BN1409=0,OR(BW1409=1,Y1409&lt;&gt;"",S1409&lt;&gt;"",T1409&lt;&gt;"",Z1409&lt;&gt;"")),"manuell übersteuert; ","")&amp;IF(AND(BR1409=0,Q1409=0),"Gebinde unbekannt / Stellmass fehlt; ","")&amp;IF(AND(BR1409=0,N(T1409)&lt;=0,N(P1409)&lt;=0),"Menge pro Gebinde fehlt (Ist = 1 Gebinde); ","")&amp;BM1409)</f>
        <v>negativer Bestand (Export -13); Lose – Fläche geschätzt; Neu</v>
      </c>
      <c r="BF1409" s="55"/>
      <c r="BG1409" s="55"/>
      <c r="BH1409" s="62"/>
      <c r="BI1409" s="57" t="n">
        <v>-13</v>
      </c>
      <c r="BJ1409" s="57" t="n">
        <v>13</v>
      </c>
      <c r="BK1409" s="56" t="n">
        <v>-4911.4</v>
      </c>
      <c r="BL1409" s="57" t="n">
        <v>13</v>
      </c>
      <c r="BM1409" s="55" t="s">
        <v>615</v>
      </c>
      <c r="BN1409" s="60" t="n">
        <v>0</v>
      </c>
      <c r="BO1409" s="60" t="n">
        <v>1409</v>
      </c>
      <c r="BP1409" s="55" t="str">
        <f aca="false">IF(S1409&lt;&gt;"",UPPER(TRIM(S1409)),IF(O1409="","LOSE",O1409))</f>
        <v>LOSE</v>
      </c>
      <c r="BQ1409" s="57" t="n">
        <f aca="false">IF(BP1409="LOSE",1,IF(N(T1409)&gt;0,T1409,IF(N(P1409)&gt;0,P1409,MAX(1,G1409))))</f>
        <v>1</v>
      </c>
      <c r="BR1409" s="60" t="n">
        <f aca="false">IF(BP1409="LOSE",1,0)</f>
        <v>1</v>
      </c>
      <c r="BS1409" s="59" t="n">
        <f aca="false">IF(BR1409=0,0,IF(N(R1409)&gt;0,R1409,IFERROR(VLOOKUP(D1409,Parameter!$A$35:$C$64,3,0)+0,0)))</f>
        <v>0.15</v>
      </c>
      <c r="BT1409" s="55" t="n">
        <f aca="false">IF(Y1409&lt;&gt;"",Y1409,X1409)</f>
        <v>2</v>
      </c>
      <c r="BU1409" s="55" t="str">
        <f aca="false">IF(BT1409=1,"L1",IF(OR(BT1409=2,BT1409=3),"L23",IF(BT1409="Aussen","Aussen","-")))</f>
        <v>L23</v>
      </c>
      <c r="BV1409" s="66" t="n">
        <f aca="false">IF(N(Z1409)&gt;0,Z1409,0)</f>
        <v>0</v>
      </c>
      <c r="BW1409" s="60" t="n">
        <f aca="false">IF(ISNUMBER(AC1409),1,0)</f>
        <v>0</v>
      </c>
      <c r="BX1409" s="57" t="n">
        <f aca="false">N(AC1409)</f>
        <v>0</v>
      </c>
      <c r="BY1409" s="57" t="n">
        <f aca="false">N(L1409)+N(M1409)</f>
        <v>16</v>
      </c>
      <c r="BZ1409" s="57" t="n">
        <f aca="false">ROUNDUP(G1409/BQ1409,0)</f>
        <v>0</v>
      </c>
      <c r="CA1409" s="57" t="n">
        <f aca="false">ROUNDUP(BX1409/BQ1409,0)</f>
        <v>0</v>
      </c>
      <c r="CB1409" s="60" t="n">
        <f aca="false">IF(BR1409=1,0,IFERROR(VLOOKUP(BP1409,'Gebinde-Kategorie'!$A$5:$M$45,5,0)+0,0))</f>
        <v>0</v>
      </c>
      <c r="CC1409" s="60" t="n">
        <f aca="false">IFERROR(IF(OR(BT1409=1,BT1409=2,BT1409=3),N(INDEX(Parameter!$I$5:$I$7,BT1409)),0),0)</f>
        <v>0</v>
      </c>
      <c r="CD1409" s="59" t="n">
        <f aca="false">IF(AND(Parameter!$B$21="Ja",ISNUMBER(U1409),N(V1409)&gt;0),IFERROR(N(INDEX(Parameter!$L$5:$L$7,U1409))*INDEX(Parameter!$E$5:$E$7,U1409)*V1409/SUMIFS($V$7:$V$1576,$U$7:$U$1576,U1409),0),0)</f>
        <v>0</v>
      </c>
    </row>
    <row r="1410" customFormat="false" ht="15" hidden="false" customHeight="false" outlineLevel="0" collapsed="false">
      <c r="A1410" s="55" t="s">
        <v>2460</v>
      </c>
      <c r="B1410" s="55" t="s">
        <v>2461</v>
      </c>
      <c r="C1410" s="55" t="s">
        <v>160</v>
      </c>
      <c r="D1410" s="55" t="s">
        <v>178</v>
      </c>
      <c r="E1410" s="55" t="s">
        <v>210</v>
      </c>
      <c r="F1410" s="56" t="n">
        <v>249</v>
      </c>
      <c r="G1410" s="57" t="n">
        <f aca="false">MAX(0,IF(AND(Parameter!$B$21="Ja",ISNUMBER(W1410)),W1410,IF(Parameter!$B$20="Jahresanfang 2025 + Export",BJ1410+BI1410,BI1410)))</f>
        <v>0</v>
      </c>
      <c r="H1410" s="57" t="n">
        <f aca="false">G1410*F1410</f>
        <v>0</v>
      </c>
      <c r="I1410" s="57" t="n">
        <f aca="false">BL1410*Parameter!$B$18</f>
        <v>225</v>
      </c>
      <c r="J1410" s="58" t="n">
        <v>53</v>
      </c>
      <c r="K1410" s="59" t="n">
        <v>4.24528301886793</v>
      </c>
      <c r="L1410" s="57" t="n">
        <v>13</v>
      </c>
      <c r="M1410" s="57" t="n">
        <v>25</v>
      </c>
      <c r="N1410" s="60" t="n">
        <v>21</v>
      </c>
      <c r="O1410" s="55" t="s">
        <v>225</v>
      </c>
      <c r="P1410" s="57" t="n">
        <v>88</v>
      </c>
      <c r="Q1410" s="60" t="n">
        <f aca="false">IF(BR1410=1,0,IFERROR(VLOOKUP(BP1410,'Gebinde-Kategorie'!$A$5:$M$45,13,0)+0,0))</f>
        <v>26</v>
      </c>
      <c r="R1410" s="61"/>
      <c r="S1410" s="62"/>
      <c r="T1410" s="62"/>
      <c r="U1410" s="55"/>
      <c r="V1410" s="57"/>
      <c r="W1410" s="57"/>
      <c r="X1410" s="55" t="n">
        <f aca="false">IF(A1410="","",IF(AND(Parameter!$B$21="Ja",ISNUMBER(U1410)),U1410,IF(IFERROR(VLOOKUP(D1410,Parameter!$A$35:$C$64,2,0),"Nein")="2+3",IF(ISNUMBER(SEARCH("grosser Artikel",BM1410)),2,IFERROR(VLOOKUP(BP1410,Parameter!$F$35:$G$64,2,0),2)),IF(OR(IFERROR(VLOOKUP(D1410,Parameter!$A$35:$C$64,2,0),"Nein")="Nein",IFERROR(VLOOKUP(D1410,Parameter!$A$35:$C$64,2,0),"Nein")=""),"-",VLOOKUP(D1410,Parameter!$A$35:$C$64,2,0)))))</f>
        <v>3</v>
      </c>
      <c r="Y1410" s="62"/>
      <c r="Z1410" s="63"/>
      <c r="AA1410" s="57" t="n">
        <f aca="false">AP1410</f>
        <v>176</v>
      </c>
      <c r="AB1410" s="57" t="n">
        <f aca="false">MAX(AP1410,G1410)</f>
        <v>176</v>
      </c>
      <c r="AC1410" s="64"/>
      <c r="AD1410" s="57" t="n">
        <f aca="false">IF(LEFT(Cockpit!$C$5,1)="A",G1410,IF(BW1410=1,BX1410,IF(LEFT(Cockpit!$C$5,1)="B",AH1410,MAX(AH1410,G1410))))</f>
        <v>0</v>
      </c>
      <c r="AE1410" s="57" t="n">
        <f aca="false">IF(BR1410=1,0,ROUNDUP(AD1410/BQ1410,0))</f>
        <v>0</v>
      </c>
      <c r="AF1410" s="59" t="n">
        <f aca="false">IF(CD1410&gt;0,CD1410*MAX(1,AD1410/V1410),IF(BR1410=1,IF(AD1410&lt;=0,0,BS1410*MAX(1,IF(G1410&gt;0,AD1410/G1410,1))),IF(Q1410&gt;0,AE1410/Q1410,0))/MAX(0.1,N(Parameter!$M$21)))</f>
        <v>0</v>
      </c>
      <c r="AG1410" s="57" t="n">
        <f aca="false">AD1410*F1410</f>
        <v>0</v>
      </c>
      <c r="AH1410" s="57" t="n">
        <f aca="false">ROUNDUP(MAX(I1410/IF(BV1410&gt;0,BV1410,MAX(0.1,N(Cockpit!$C$6))),BY1410)/BQ1410,0)*BQ1410</f>
        <v>176</v>
      </c>
      <c r="AI1410" s="58" t="n">
        <f aca="false">IF(AF1410&gt;0,I1410/AF1410,-1)</f>
        <v>-1</v>
      </c>
      <c r="AJ1410" s="58" t="str">
        <f aca="false">IF(AND(OR(BU1410="L1",BU1410="L23"),AF1410&gt;0),SUMIFS($AF$7:$AF$1576,$BU$7:$BU$1576,BU1410,$AI$7:$AI$1576,"&gt;"&amp;AI1410)+SUMIFS($AF$7:$AF$1576,$BU$7:$BU$1576,BU1410,$AI$7:$AI$1576,AI1410,$BO$7:$BO$1576,"&lt;="&amp;BO1410),"")</f>
        <v/>
      </c>
      <c r="AK1410" s="65" t="n">
        <f aca="false">IF(AJ1410="",0,MAX(0,MIN(1,(IF(BU1410="L1",Parameter!$E$5,Parameter!$E$6+Parameter!$E$7)-(AJ1410-AF1410))/AF1410)))</f>
        <v>0</v>
      </c>
      <c r="AL1410" s="57" t="n">
        <f aca="false">IF(LEFT(Cockpit!$I$5,1)="A",G1410,IF(BW1410=1,BX1410,IF(LEFT(Cockpit!$I$5,1)="B",AP1410,MAX(AP1410,G1410))))</f>
        <v>176</v>
      </c>
      <c r="AM1410" s="57" t="n">
        <f aca="false">IF(BR1410=1,0,ROUNDUP(AL1410/BQ1410,0))</f>
        <v>2</v>
      </c>
      <c r="AN1410" s="59" t="n">
        <f aca="false">IF(CD1410&gt;0,CD1410*MAX(1,AL1410/V1410),IF(BR1410=1,IF(AL1410&lt;=0,0,BS1410*MAX(1,IF(G1410&gt;0,AL1410/G1410,1))),IF(Q1410&gt;0,AM1410/Q1410,0))/MAX(0.1,N(Parameter!$M$21)))</f>
        <v>0.0769230769230769</v>
      </c>
      <c r="AO1410" s="57" t="n">
        <f aca="false">AL1410*F1410</f>
        <v>43824</v>
      </c>
      <c r="AP1410" s="57" t="n">
        <f aca="false">ROUNDUP(MAX(I1410/IF(BV1410&gt;0,BV1410,MAX(0.1,N(Cockpit!$I$6))),BY1410)/BQ1410,0)*BQ1410</f>
        <v>176</v>
      </c>
      <c r="AQ1410" s="58" t="n">
        <f aca="false">IF(AN1410&gt;0,I1410/AN1410,-1)</f>
        <v>2925</v>
      </c>
      <c r="AR1410" s="58" t="n">
        <f aca="false">IF(AND(OR(BU1410="L1",BU1410="L23"),AN1410&gt;0),SUMIFS($AN$7:$AN$1576,$BU$7:$BU$1576,BU1410,$AQ$7:$AQ$1576,"&gt;"&amp;AQ1410)+SUMIFS($AN$7:$AN$1576,$BU$7:$BU$1576,BU1410,$AQ$7:$AQ$1576,AQ1410,$BO$7:$BO$1576,"&lt;="&amp;BO1410),"")</f>
        <v>14.4874007398399</v>
      </c>
      <c r="AS1410" s="65" t="n">
        <f aca="false">IF(AR1410="",0,MAX(0,MIN(1,(IF(BU1410="L1",Parameter!$E$5,Parameter!$E$6+Parameter!$E$7)-(AR1410-AN1410))/AN1410)))</f>
        <v>1</v>
      </c>
      <c r="AT1410" s="57" t="n">
        <f aca="false">IF(LEFT(Cockpit!$O$5,1)="A",G1410,IF(BW1410=1,BX1410,IF(LEFT(Cockpit!$O$5,1)="B",AX1410,MAX(AX1410,G1410))))</f>
        <v>88</v>
      </c>
      <c r="AU1410" s="57" t="n">
        <f aca="false">IF(BR1410=1,0,ROUNDUP(AT1410/BQ1410,0))</f>
        <v>1</v>
      </c>
      <c r="AV1410" s="59" t="n">
        <f aca="false">IF(CD1410&gt;0,CD1410*MAX(1,AT1410/V1410),IF(BR1410=1,IF(AT1410&lt;=0,0,BS1410*MAX(1,IF(G1410&gt;0,AT1410/G1410,1))),IF(Q1410&gt;0,AU1410/Q1410,0))/MAX(0.1,N(Parameter!$M$21)))</f>
        <v>0.0384615384615385</v>
      </c>
      <c r="AW1410" s="57" t="n">
        <f aca="false">AT1410*F1410</f>
        <v>21912</v>
      </c>
      <c r="AX1410" s="57" t="n">
        <f aca="false">ROUNDUP(MAX(I1410/IF(BV1410&gt;0,BV1410,MAX(0.1,N(Cockpit!$O$6))),BY1410)/BQ1410,0)*BQ1410</f>
        <v>88</v>
      </c>
      <c r="AY1410" s="58" t="n">
        <f aca="false">IF(AV1410&gt;0,I1410/AV1410,-1)</f>
        <v>5850</v>
      </c>
      <c r="AZ1410" s="58" t="n">
        <f aca="false">IF(AND(OR(BU1410="L1",BU1410="L23"),AV1410&gt;0),SUMIFS($AV$7:$AV$1576,$BU$7:$BU$1576,BU1410,$AY$7:$AY$1576,"&gt;"&amp;AY1410)+SUMIFS($AV$7:$AV$1576,$BU$7:$BU$1576,BU1410,$AY$7:$AY$1576,AY1410,$BO$7:$BO$1576,"&lt;="&amp;BO1410),"")</f>
        <v>10.1245134218439</v>
      </c>
      <c r="BA1410" s="65" t="n">
        <f aca="false">IF(AZ1410="",0,MAX(0,MIN(1,(IF(BU1410="L1",Parameter!$E$5,Parameter!$E$6+Parameter!$E$7)-(AZ1410-AV1410))/AV1410)))</f>
        <v>1</v>
      </c>
      <c r="BB1410" s="55" t="str">
        <f aca="false">IF(AF1410&lt;=0,"",IF(BU1410="Aussen","Aussenlager",IF(BU1410="-","Nicht im Lift",IF(AK1410&gt;=1,"Lift",IF(AK1410&lt;=0,"Aussenlager","teilweise")))))</f>
        <v/>
      </c>
      <c r="BC1410" s="55" t="str">
        <f aca="false">IF(AN1410&lt;=0,"",IF(BU1410="Aussen","Aussenlager",IF(BU1410="-","Nicht im Lift",IF(AS1410&gt;=1,"Lift",IF(AS1410&lt;=0,"Aussenlager","teilweise")))))</f>
        <v>Lift</v>
      </c>
      <c r="BD1410" s="55" t="str">
        <f aca="false">IF(AV1410&lt;=0,"",IF(BU1410="Aussen","Aussenlager",IF(BU1410="-","Nicht im Lift",IF(BA1410&gt;=1,"Lift",IF(BA1410&lt;=0,"Aussenlager","teilweise")))))</f>
        <v>Lift</v>
      </c>
      <c r="BE1410" s="55" t="str">
        <f aca="false">IF(A1410="","",IF(BN1410=1,"Neu; ","")&amp;IF(AND(BN1410=0,BI1410&lt;0),"negativer Bestand (Export "&amp;BI1410&amp;"); ","")&amp;IF(I1410&lt;=0,"Kein Verbrauch; ","")&amp;IF(CD1410&gt;0,"Lift "&amp;U1410&amp;" lt. Liftbericht (Fach "&amp;V1410&amp;" Stk); ",IF(BR1410=1,"Lose – Fläche geschätzt; ",""))&amp;IF(G1410&gt;AP1410,"Überbestand "&amp;ROUND(G1410-AP1410,0)&amp;" Stk / CHF "&amp;ROUND((G1410-AP1410)*F1410,0)&amp;"; ","")&amp;IF(AND(BW1410=1,BX1410&lt;BY1410),"MAX &lt; MB+LG; ","")&amp;IF(AND(CC1410&gt;0,CB1410*10&gt;CC1410),"zu hoch für Tablar; ","")&amp;IF(AND(BN1410=0,OR(BW1410=1,Y1410&lt;&gt;"",S1410&lt;&gt;"",T1410&lt;&gt;"",Z1410&lt;&gt;"")),"manuell übersteuert; ","")&amp;IF(AND(BR1410=0,Q1410=0),"Gebinde unbekannt / Stellmass fehlt; ","")&amp;IF(AND(BR1410=0,N(T1410)&lt;=0,N(P1410)&lt;=0),"Menge pro Gebinde fehlt (Ist = 1 Gebinde); ","")&amp;BM1410)</f>
        <v>negativer Bestand (Export -22); </v>
      </c>
      <c r="BF1410" s="55"/>
      <c r="BG1410" s="55"/>
      <c r="BH1410" s="62"/>
      <c r="BI1410" s="57" t="n">
        <v>-22</v>
      </c>
      <c r="BJ1410" s="57" t="n">
        <v>43</v>
      </c>
      <c r="BK1410" s="56" t="n">
        <v>-4958.52999999999</v>
      </c>
      <c r="BL1410" s="57" t="n">
        <v>225</v>
      </c>
      <c r="BM1410" s="55"/>
      <c r="BN1410" s="60" t="n">
        <v>0</v>
      </c>
      <c r="BO1410" s="60" t="n">
        <v>1410</v>
      </c>
      <c r="BP1410" s="55" t="str">
        <f aca="false">IF(S1410&lt;&gt;"",UPPER(TRIM(S1410)),IF(O1410="","LOSE",O1410))</f>
        <v>S52</v>
      </c>
      <c r="BQ1410" s="57" t="n">
        <f aca="false">IF(BP1410="LOSE",1,IF(N(T1410)&gt;0,T1410,IF(N(P1410)&gt;0,P1410,MAX(1,G1410))))</f>
        <v>88</v>
      </c>
      <c r="BR1410" s="60" t="n">
        <f aca="false">IF(BP1410="LOSE",1,0)</f>
        <v>0</v>
      </c>
      <c r="BS1410" s="59" t="n">
        <f aca="false">IF(BR1410=0,0,IF(N(R1410)&gt;0,R1410,IFERROR(VLOOKUP(D1410,Parameter!$A$35:$C$64,3,0)+0,0)))</f>
        <v>0</v>
      </c>
      <c r="BT1410" s="55" t="n">
        <f aca="false">IF(Y1410&lt;&gt;"",Y1410,X1410)</f>
        <v>3</v>
      </c>
      <c r="BU1410" s="55" t="str">
        <f aca="false">IF(BT1410=1,"L1",IF(OR(BT1410=2,BT1410=3),"L23",IF(BT1410="Aussen","Aussen","-")))</f>
        <v>L23</v>
      </c>
      <c r="BV1410" s="66" t="n">
        <f aca="false">IF(N(Z1410)&gt;0,Z1410,0)</f>
        <v>0</v>
      </c>
      <c r="BW1410" s="60" t="n">
        <f aca="false">IF(ISNUMBER(AC1410),1,0)</f>
        <v>0</v>
      </c>
      <c r="BX1410" s="57" t="n">
        <f aca="false">N(AC1410)</f>
        <v>0</v>
      </c>
      <c r="BY1410" s="57" t="n">
        <f aca="false">N(L1410)+N(M1410)</f>
        <v>38</v>
      </c>
      <c r="BZ1410" s="57" t="n">
        <f aca="false">ROUNDUP(G1410/BQ1410,0)</f>
        <v>0</v>
      </c>
      <c r="CA1410" s="57" t="n">
        <f aca="false">ROUNDUP(BX1410/BQ1410,0)</f>
        <v>0</v>
      </c>
      <c r="CB1410" s="60" t="n">
        <f aca="false">IF(BR1410=1,0,IFERROR(VLOOKUP(BP1410,'Gebinde-Kategorie'!$A$5:$M$45,5,0)+0,0))</f>
        <v>21</v>
      </c>
      <c r="CC1410" s="60" t="n">
        <f aca="false">IFERROR(IF(OR(BT1410=1,BT1410=2,BT1410=3),N(INDEX(Parameter!$I$5:$I$7,BT1410)),0),0)</f>
        <v>0</v>
      </c>
      <c r="CD1410" s="59" t="n">
        <f aca="false">IF(AND(Parameter!$B$21="Ja",ISNUMBER(U1410),N(V1410)&gt;0),IFERROR(N(INDEX(Parameter!$L$5:$L$7,U1410))*INDEX(Parameter!$E$5:$E$7,U1410)*V1410/SUMIFS($V$7:$V$1576,$U$7:$U$1576,U1410),0),0)</f>
        <v>0</v>
      </c>
    </row>
    <row r="1411" customFormat="false" ht="15" hidden="false" customHeight="false" outlineLevel="0" collapsed="false">
      <c r="A1411" s="55" t="s">
        <v>2462</v>
      </c>
      <c r="B1411" s="55" t="s">
        <v>2463</v>
      </c>
      <c r="C1411" s="55" t="s">
        <v>160</v>
      </c>
      <c r="D1411" s="55" t="s">
        <v>168</v>
      </c>
      <c r="E1411" s="55" t="s">
        <v>210</v>
      </c>
      <c r="F1411" s="56" t="n">
        <v>136.16</v>
      </c>
      <c r="G1411" s="57" t="n">
        <f aca="false">MAX(0,IF(AND(Parameter!$B$21="Ja",ISNUMBER(W1411)),W1411,IF(Parameter!$B$20="Jahresanfang 2025 + Export",BJ1411+BI1411,BI1411)))</f>
        <v>0</v>
      </c>
      <c r="H1411" s="57" t="n">
        <f aca="false">G1411*F1411</f>
        <v>0</v>
      </c>
      <c r="I1411" s="57" t="n">
        <f aca="false">BL1411*Parameter!$B$18</f>
        <v>88</v>
      </c>
      <c r="J1411" s="58" t="n">
        <v>41.5</v>
      </c>
      <c r="K1411" s="59" t="n">
        <v>2.12048192771084</v>
      </c>
      <c r="L1411" s="57" t="n">
        <v>20</v>
      </c>
      <c r="M1411" s="57" t="n">
        <v>30</v>
      </c>
      <c r="N1411" s="60" t="n">
        <v>70</v>
      </c>
      <c r="O1411" s="55" t="s">
        <v>169</v>
      </c>
      <c r="P1411" s="57" t="n">
        <v>80</v>
      </c>
      <c r="Q1411" s="60" t="n">
        <f aca="false">IF(BR1411=1,0,IFERROR(VLOOKUP(BP1411,'Gebinde-Kategorie'!$A$5:$M$45,13,0)+0,0))</f>
        <v>6</v>
      </c>
      <c r="R1411" s="61"/>
      <c r="S1411" s="62"/>
      <c r="T1411" s="62"/>
      <c r="U1411" s="55"/>
      <c r="V1411" s="57"/>
      <c r="W1411" s="57"/>
      <c r="X1411" s="55" t="n">
        <f aca="false">IF(A1411="","",IF(AND(Parameter!$B$21="Ja",ISNUMBER(U1411)),U1411,IF(IFERROR(VLOOKUP(D1411,Parameter!$A$35:$C$64,2,0),"Nein")="2+3",IF(ISNUMBER(SEARCH("grosser Artikel",BM1411)),2,IFERROR(VLOOKUP(BP1411,Parameter!$F$35:$G$64,2,0),2)),IF(OR(IFERROR(VLOOKUP(D1411,Parameter!$A$35:$C$64,2,0),"Nein")="Nein",IFERROR(VLOOKUP(D1411,Parameter!$A$35:$C$64,2,0),"Nein")=""),"-",VLOOKUP(D1411,Parameter!$A$35:$C$64,2,0)))))</f>
        <v>2</v>
      </c>
      <c r="Y1411" s="62"/>
      <c r="Z1411" s="63"/>
      <c r="AA1411" s="57" t="n">
        <f aca="false">AP1411</f>
        <v>80</v>
      </c>
      <c r="AB1411" s="57" t="n">
        <f aca="false">MAX(AP1411,G1411)</f>
        <v>80</v>
      </c>
      <c r="AC1411" s="64"/>
      <c r="AD1411" s="57" t="n">
        <f aca="false">IF(LEFT(Cockpit!$C$5,1)="A",G1411,IF(BW1411=1,BX1411,IF(LEFT(Cockpit!$C$5,1)="B",AH1411,MAX(AH1411,G1411))))</f>
        <v>0</v>
      </c>
      <c r="AE1411" s="57" t="n">
        <f aca="false">IF(BR1411=1,0,ROUNDUP(AD1411/BQ1411,0))</f>
        <v>0</v>
      </c>
      <c r="AF1411" s="59" t="n">
        <f aca="false">IF(CD1411&gt;0,CD1411*MAX(1,AD1411/V1411),IF(BR1411=1,IF(AD1411&lt;=0,0,BS1411*MAX(1,IF(G1411&gt;0,AD1411/G1411,1))),IF(Q1411&gt;0,AE1411/Q1411,0))/MAX(0.1,N(Parameter!$M$21)))</f>
        <v>0</v>
      </c>
      <c r="AG1411" s="57" t="n">
        <f aca="false">AD1411*F1411</f>
        <v>0</v>
      </c>
      <c r="AH1411" s="57" t="n">
        <f aca="false">ROUNDUP(MAX(I1411/IF(BV1411&gt;0,BV1411,MAX(0.1,N(Cockpit!$C$6))),BY1411)/BQ1411,0)*BQ1411</f>
        <v>80</v>
      </c>
      <c r="AI1411" s="58" t="n">
        <f aca="false">IF(AF1411&gt;0,I1411/AF1411,-1)</f>
        <v>-1</v>
      </c>
      <c r="AJ1411" s="58" t="str">
        <f aca="false">IF(AND(OR(BU1411="L1",BU1411="L23"),AF1411&gt;0),SUMIFS($AF$7:$AF$1576,$BU$7:$BU$1576,BU1411,$AI$7:$AI$1576,"&gt;"&amp;AI1411)+SUMIFS($AF$7:$AF$1576,$BU$7:$BU$1576,BU1411,$AI$7:$AI$1576,AI1411,$BO$7:$BO$1576,"&lt;="&amp;BO1411),"")</f>
        <v/>
      </c>
      <c r="AK1411" s="65" t="n">
        <f aca="false">IF(AJ1411="",0,MAX(0,MIN(1,(IF(BU1411="L1",Parameter!$E$5,Parameter!$E$6+Parameter!$E$7)-(AJ1411-AF1411))/AF1411)))</f>
        <v>0</v>
      </c>
      <c r="AL1411" s="57" t="n">
        <f aca="false">IF(LEFT(Cockpit!$I$5,1)="A",G1411,IF(BW1411=1,BX1411,IF(LEFT(Cockpit!$I$5,1)="B",AP1411,MAX(AP1411,G1411))))</f>
        <v>80</v>
      </c>
      <c r="AM1411" s="57" t="n">
        <f aca="false">IF(BR1411=1,0,ROUNDUP(AL1411/BQ1411,0))</f>
        <v>1</v>
      </c>
      <c r="AN1411" s="59" t="n">
        <f aca="false">IF(CD1411&gt;0,CD1411*MAX(1,AL1411/V1411),IF(BR1411=1,IF(AL1411&lt;=0,0,BS1411*MAX(1,IF(G1411&gt;0,AL1411/G1411,1))),IF(Q1411&gt;0,AM1411/Q1411,0))/MAX(0.1,N(Parameter!$M$21)))</f>
        <v>0.166666666666667</v>
      </c>
      <c r="AO1411" s="57" t="n">
        <f aca="false">AL1411*F1411</f>
        <v>10892.8</v>
      </c>
      <c r="AP1411" s="57" t="n">
        <f aca="false">ROUNDUP(MAX(I1411/IF(BV1411&gt;0,BV1411,MAX(0.1,N(Cockpit!$I$6))),BY1411)/BQ1411,0)*BQ1411</f>
        <v>80</v>
      </c>
      <c r="AQ1411" s="58" t="n">
        <f aca="false">IF(AN1411&gt;0,I1411/AN1411,-1)</f>
        <v>528</v>
      </c>
      <c r="AR1411" s="58" t="n">
        <f aca="false">IF(AND(OR(BU1411="L1",BU1411="L23"),AN1411&gt;0),SUMIFS($AN$7:$AN$1576,$BU$7:$BU$1576,BU1411,$AQ$7:$AQ$1576,"&gt;"&amp;AQ1411)+SUMIFS($AN$7:$AN$1576,$BU$7:$BU$1576,BU1411,$AQ$7:$AQ$1576,AQ1411,$BO$7:$BO$1576,"&lt;="&amp;BO1411),"")</f>
        <v>33.1468355440206</v>
      </c>
      <c r="AS1411" s="65" t="n">
        <f aca="false">IF(AR1411="",0,MAX(0,MIN(1,(IF(BU1411="L1",Parameter!$E$5,Parameter!$E$6+Parameter!$E$7)-(AR1411-AN1411))/AN1411)))</f>
        <v>1</v>
      </c>
      <c r="AT1411" s="57" t="n">
        <f aca="false">IF(LEFT(Cockpit!$O$5,1)="A",G1411,IF(BW1411=1,BX1411,IF(LEFT(Cockpit!$O$5,1)="B",AX1411,MAX(AX1411,G1411))))</f>
        <v>80</v>
      </c>
      <c r="AU1411" s="57" t="n">
        <f aca="false">IF(BR1411=1,0,ROUNDUP(AT1411/BQ1411,0))</f>
        <v>1</v>
      </c>
      <c r="AV1411" s="59" t="n">
        <f aca="false">IF(CD1411&gt;0,CD1411*MAX(1,AT1411/V1411),IF(BR1411=1,IF(AT1411&lt;=0,0,BS1411*MAX(1,IF(G1411&gt;0,AT1411/G1411,1))),IF(Q1411&gt;0,AU1411/Q1411,0))/MAX(0.1,N(Parameter!$M$21)))</f>
        <v>0.166666666666667</v>
      </c>
      <c r="AW1411" s="57" t="n">
        <f aca="false">AT1411*F1411</f>
        <v>10892.8</v>
      </c>
      <c r="AX1411" s="57" t="n">
        <f aca="false">ROUNDUP(MAX(I1411/IF(BV1411&gt;0,BV1411,MAX(0.1,N(Cockpit!$O$6))),BY1411)/BQ1411,0)*BQ1411</f>
        <v>80</v>
      </c>
      <c r="AY1411" s="58" t="n">
        <f aca="false">IF(AV1411&gt;0,I1411/AV1411,-1)</f>
        <v>528</v>
      </c>
      <c r="AZ1411" s="58" t="n">
        <f aca="false">IF(AND(OR(BU1411="L1",BU1411="L23"),AV1411&gt;0),SUMIFS($AV$7:$AV$1576,$BU$7:$BU$1576,BU1411,$AY$7:$AY$1576,"&gt;"&amp;AY1411)+SUMIFS($AV$7:$AV$1576,$BU$7:$BU$1576,BU1411,$AY$7:$AY$1576,AY1411,$BO$7:$BO$1576,"&lt;="&amp;BO1411),"")</f>
        <v>31.2235221907073</v>
      </c>
      <c r="BA1411" s="65" t="n">
        <f aca="false">IF(AZ1411="",0,MAX(0,MIN(1,(IF(BU1411="L1",Parameter!$E$5,Parameter!$E$6+Parameter!$E$7)-(AZ1411-AV1411))/AV1411)))</f>
        <v>1</v>
      </c>
      <c r="BB1411" s="55" t="str">
        <f aca="false">IF(AF1411&lt;=0,"",IF(BU1411="Aussen","Aussenlager",IF(BU1411="-","Nicht im Lift",IF(AK1411&gt;=1,"Lift",IF(AK1411&lt;=0,"Aussenlager","teilweise")))))</f>
        <v/>
      </c>
      <c r="BC1411" s="55" t="str">
        <f aca="false">IF(AN1411&lt;=0,"",IF(BU1411="Aussen","Aussenlager",IF(BU1411="-","Nicht im Lift",IF(AS1411&gt;=1,"Lift",IF(AS1411&lt;=0,"Aussenlager","teilweise")))))</f>
        <v>Lift</v>
      </c>
      <c r="BD1411" s="55" t="str">
        <f aca="false">IF(AV1411&lt;=0,"",IF(BU1411="Aussen","Aussenlager",IF(BU1411="-","Nicht im Lift",IF(BA1411&gt;=1,"Lift",IF(BA1411&lt;=0,"Aussenlager","teilweise")))))</f>
        <v>Lift</v>
      </c>
      <c r="BE1411" s="55" t="str">
        <f aca="false">IF(A1411="","",IF(BN1411=1,"Neu; ","")&amp;IF(AND(BN1411=0,BI1411&lt;0),"negativer Bestand (Export "&amp;BI1411&amp;"); ","")&amp;IF(I1411&lt;=0,"Kein Verbrauch; ","")&amp;IF(CD1411&gt;0,"Lift "&amp;U1411&amp;" lt. Liftbericht (Fach "&amp;V1411&amp;" Stk); ",IF(BR1411=1,"Lose – Fläche geschätzt; ",""))&amp;IF(G1411&gt;AP1411,"Überbestand "&amp;ROUND(G1411-AP1411,0)&amp;" Stk / CHF "&amp;ROUND((G1411-AP1411)*F1411,0)&amp;"; ","")&amp;IF(AND(BW1411=1,BX1411&lt;BY1411),"MAX &lt; MB+LG; ","")&amp;IF(AND(CC1411&gt;0,CB1411*10&gt;CC1411),"zu hoch für Tablar; ","")&amp;IF(AND(BN1411=0,OR(BW1411=1,Y1411&lt;&gt;"",S1411&lt;&gt;"",T1411&lt;&gt;"",Z1411&lt;&gt;"")),"manuell übersteuert; ","")&amp;IF(AND(BR1411=0,Q1411=0),"Gebinde unbekannt / Stellmass fehlt; ","")&amp;IF(AND(BR1411=0,N(T1411)&lt;=0,N(P1411)&lt;=0),"Menge pro Gebinde fehlt (Ist = 1 Gebinde); ","")&amp;BM1411)</f>
        <v>negativer Bestand (Export -33); </v>
      </c>
      <c r="BF1411" s="55"/>
      <c r="BG1411" s="55"/>
      <c r="BH1411" s="62"/>
      <c r="BI1411" s="57" t="n">
        <v>-33</v>
      </c>
      <c r="BJ1411" s="57" t="n">
        <v>60</v>
      </c>
      <c r="BK1411" s="56" t="n">
        <v>-5029.08</v>
      </c>
      <c r="BL1411" s="57" t="n">
        <v>88</v>
      </c>
      <c r="BM1411" s="55"/>
      <c r="BN1411" s="60" t="n">
        <v>0</v>
      </c>
      <c r="BO1411" s="60" t="n">
        <v>1411</v>
      </c>
      <c r="BP1411" s="55" t="str">
        <f aca="false">IF(S1411&lt;&gt;"",UPPER(TRIM(S1411)),IF(O1411="","LOSE",O1411))</f>
        <v>S71</v>
      </c>
      <c r="BQ1411" s="57" t="n">
        <f aca="false">IF(BP1411="LOSE",1,IF(N(T1411)&gt;0,T1411,IF(N(P1411)&gt;0,P1411,MAX(1,G1411))))</f>
        <v>80</v>
      </c>
      <c r="BR1411" s="60" t="n">
        <f aca="false">IF(BP1411="LOSE",1,0)</f>
        <v>0</v>
      </c>
      <c r="BS1411" s="59" t="n">
        <f aca="false">IF(BR1411=0,0,IF(N(R1411)&gt;0,R1411,IFERROR(VLOOKUP(D1411,Parameter!$A$35:$C$64,3,0)+0,0)))</f>
        <v>0</v>
      </c>
      <c r="BT1411" s="55" t="n">
        <f aca="false">IF(Y1411&lt;&gt;"",Y1411,X1411)</f>
        <v>2</v>
      </c>
      <c r="BU1411" s="55" t="str">
        <f aca="false">IF(BT1411=1,"L1",IF(OR(BT1411=2,BT1411=3),"L23",IF(BT1411="Aussen","Aussen","-")))</f>
        <v>L23</v>
      </c>
      <c r="BV1411" s="66" t="n">
        <f aca="false">IF(N(Z1411)&gt;0,Z1411,0)</f>
        <v>0</v>
      </c>
      <c r="BW1411" s="60" t="n">
        <f aca="false">IF(ISNUMBER(AC1411),1,0)</f>
        <v>0</v>
      </c>
      <c r="BX1411" s="57" t="n">
        <f aca="false">N(AC1411)</f>
        <v>0</v>
      </c>
      <c r="BY1411" s="57" t="n">
        <f aca="false">N(L1411)+N(M1411)</f>
        <v>50</v>
      </c>
      <c r="BZ1411" s="57" t="n">
        <f aca="false">ROUNDUP(G1411/BQ1411,0)</f>
        <v>0</v>
      </c>
      <c r="CA1411" s="57" t="n">
        <f aca="false">ROUNDUP(BX1411/BQ1411,0)</f>
        <v>0</v>
      </c>
      <c r="CB1411" s="60" t="n">
        <f aca="false">IF(BR1411=1,0,IFERROR(VLOOKUP(BP1411,'Gebinde-Kategorie'!$A$5:$M$45,5,0)+0,0))</f>
        <v>20</v>
      </c>
      <c r="CC1411" s="60" t="n">
        <f aca="false">IFERROR(IF(OR(BT1411=1,BT1411=2,BT1411=3),N(INDEX(Parameter!$I$5:$I$7,BT1411)),0),0)</f>
        <v>0</v>
      </c>
      <c r="CD1411" s="59" t="n">
        <f aca="false">IF(AND(Parameter!$B$21="Ja",ISNUMBER(U1411),N(V1411)&gt;0),IFERROR(N(INDEX(Parameter!$L$5:$L$7,U1411))*INDEX(Parameter!$E$5:$E$7,U1411)*V1411/SUMIFS($V$7:$V$1576,$U$7:$U$1576,U1411),0),0)</f>
        <v>0</v>
      </c>
    </row>
    <row r="1412" customFormat="false" ht="15" hidden="false" customHeight="false" outlineLevel="0" collapsed="false">
      <c r="A1412" s="55" t="s">
        <v>2464</v>
      </c>
      <c r="B1412" s="55" t="s">
        <v>2465</v>
      </c>
      <c r="C1412" s="55" t="s">
        <v>160</v>
      </c>
      <c r="D1412" s="55" t="s">
        <v>344</v>
      </c>
      <c r="E1412" s="55" t="s">
        <v>210</v>
      </c>
      <c r="F1412" s="56" t="n">
        <v>5062.98</v>
      </c>
      <c r="G1412" s="57" t="n">
        <f aca="false">MAX(0,IF(AND(Parameter!$B$21="Ja",ISNUMBER(W1412)),W1412,IF(Parameter!$B$20="Jahresanfang 2025 + Export",BJ1412+BI1412,BI1412)))</f>
        <v>0</v>
      </c>
      <c r="H1412" s="57" t="n">
        <f aca="false">G1412*F1412</f>
        <v>0</v>
      </c>
      <c r="I1412" s="57" t="n">
        <f aca="false">BL1412*Parameter!$B$18</f>
        <v>1</v>
      </c>
      <c r="J1412" s="58" t="n">
        <v>0.5</v>
      </c>
      <c r="K1412" s="59" t="n">
        <v>2</v>
      </c>
      <c r="L1412" s="57" t="n">
        <v>0</v>
      </c>
      <c r="M1412" s="57" t="n">
        <v>1</v>
      </c>
      <c r="N1412" s="60" t="n">
        <v>0</v>
      </c>
      <c r="O1412" s="55" t="s">
        <v>163</v>
      </c>
      <c r="P1412" s="57"/>
      <c r="Q1412" s="60" t="n">
        <f aca="false">IF(BR1412=1,0,IFERROR(VLOOKUP(BP1412,'Gebinde-Kategorie'!$A$5:$M$45,13,0)+0,0))</f>
        <v>0</v>
      </c>
      <c r="R1412" s="61"/>
      <c r="S1412" s="62"/>
      <c r="T1412" s="62"/>
      <c r="U1412" s="55"/>
      <c r="V1412" s="57"/>
      <c r="W1412" s="57"/>
      <c r="X1412" s="55" t="str">
        <f aca="false">IF(A1412="","",IF(AND(Parameter!$B$21="Ja",ISNUMBER(U1412)),U1412,IF(IFERROR(VLOOKUP(D1412,Parameter!$A$35:$C$64,2,0),"Nein")="2+3",IF(ISNUMBER(SEARCH("grosser Artikel",BM1412)),2,IFERROR(VLOOKUP(BP1412,Parameter!$F$35:$G$64,2,0),2)),IF(OR(IFERROR(VLOOKUP(D1412,Parameter!$A$35:$C$64,2,0),"Nein")="Nein",IFERROR(VLOOKUP(D1412,Parameter!$A$35:$C$64,2,0),"Nein")=""),"-",VLOOKUP(D1412,Parameter!$A$35:$C$64,2,0)))))</f>
        <v>-</v>
      </c>
      <c r="Y1412" s="62"/>
      <c r="Z1412" s="63"/>
      <c r="AA1412" s="57" t="n">
        <f aca="false">AP1412</f>
        <v>1</v>
      </c>
      <c r="AB1412" s="57" t="n">
        <f aca="false">MAX(AP1412,G1412)</f>
        <v>1</v>
      </c>
      <c r="AC1412" s="64"/>
      <c r="AD1412" s="57" t="n">
        <f aca="false">IF(LEFT(Cockpit!$C$5,1)="A",G1412,IF(BW1412=1,BX1412,IF(LEFT(Cockpit!$C$5,1)="B",AH1412,MAX(AH1412,G1412))))</f>
        <v>0</v>
      </c>
      <c r="AE1412" s="57" t="n">
        <f aca="false">IF(BR1412=1,0,ROUNDUP(AD1412/BQ1412,0))</f>
        <v>0</v>
      </c>
      <c r="AF1412" s="59" t="n">
        <f aca="false">IF(CD1412&gt;0,CD1412*MAX(1,AD1412/V1412),IF(BR1412=1,IF(AD1412&lt;=0,0,BS1412*MAX(1,IF(G1412&gt;0,AD1412/G1412,1))),IF(Q1412&gt;0,AE1412/Q1412,0))/MAX(0.1,N(Parameter!$M$21)))</f>
        <v>0</v>
      </c>
      <c r="AG1412" s="57" t="n">
        <f aca="false">AD1412*F1412</f>
        <v>0</v>
      </c>
      <c r="AH1412" s="57" t="n">
        <f aca="false">ROUNDUP(MAX(I1412/IF(BV1412&gt;0,BV1412,MAX(0.1,N(Cockpit!$C$6))),BY1412)/BQ1412,0)*BQ1412</f>
        <v>1</v>
      </c>
      <c r="AI1412" s="58" t="n">
        <f aca="false">IF(AF1412&gt;0,I1412/AF1412,-1)</f>
        <v>-1</v>
      </c>
      <c r="AJ1412" s="58" t="str">
        <f aca="false">IF(AND(OR(BU1412="L1",BU1412="L23"),AF1412&gt;0),SUMIFS($AF$7:$AF$1576,$BU$7:$BU$1576,BU1412,$AI$7:$AI$1576,"&gt;"&amp;AI1412)+SUMIFS($AF$7:$AF$1576,$BU$7:$BU$1576,BU1412,$AI$7:$AI$1576,AI1412,$BO$7:$BO$1576,"&lt;="&amp;BO1412),"")</f>
        <v/>
      </c>
      <c r="AK1412" s="65" t="n">
        <f aca="false">IF(AJ1412="",0,MAX(0,MIN(1,(IF(BU1412="L1",Parameter!$E$5,Parameter!$E$6+Parameter!$E$7)-(AJ1412-AF1412))/AF1412)))</f>
        <v>0</v>
      </c>
      <c r="AL1412" s="57" t="n">
        <f aca="false">IF(LEFT(Cockpit!$I$5,1)="A",G1412,IF(BW1412=1,BX1412,IF(LEFT(Cockpit!$I$5,1)="B",AP1412,MAX(AP1412,G1412))))</f>
        <v>1</v>
      </c>
      <c r="AM1412" s="57" t="n">
        <f aca="false">IF(BR1412=1,0,ROUNDUP(AL1412/BQ1412,0))</f>
        <v>0</v>
      </c>
      <c r="AN1412" s="59" t="n">
        <f aca="false">IF(CD1412&gt;0,CD1412*MAX(1,AL1412/V1412),IF(BR1412=1,IF(AL1412&lt;=0,0,BS1412*MAX(1,IF(G1412&gt;0,AL1412/G1412,1))),IF(Q1412&gt;0,AM1412/Q1412,0))/MAX(0.1,N(Parameter!$M$21)))</f>
        <v>0.15</v>
      </c>
      <c r="AO1412" s="57" t="n">
        <f aca="false">AL1412*F1412</f>
        <v>5062.98</v>
      </c>
      <c r="AP1412" s="57" t="n">
        <f aca="false">ROUNDUP(MAX(I1412/IF(BV1412&gt;0,BV1412,MAX(0.1,N(Cockpit!$I$6))),BY1412)/BQ1412,0)*BQ1412</f>
        <v>1</v>
      </c>
      <c r="AQ1412" s="58" t="n">
        <f aca="false">IF(AN1412&gt;0,I1412/AN1412,-1)</f>
        <v>6.66666666666667</v>
      </c>
      <c r="AR1412" s="58" t="str">
        <f aca="false">IF(AND(OR(BU1412="L1",BU1412="L23"),AN1412&gt;0),SUMIFS($AN$7:$AN$1576,$BU$7:$BU$1576,BU1412,$AQ$7:$AQ$1576,"&gt;"&amp;AQ1412)+SUMIFS($AN$7:$AN$1576,$BU$7:$BU$1576,BU1412,$AQ$7:$AQ$1576,AQ1412,$BO$7:$BO$1576,"&lt;="&amp;BO1412),"")</f>
        <v/>
      </c>
      <c r="AS1412" s="65" t="n">
        <f aca="false">IF(AR1412="",0,MAX(0,MIN(1,(IF(BU1412="L1",Parameter!$E$5,Parameter!$E$6+Parameter!$E$7)-(AR1412-AN1412))/AN1412)))</f>
        <v>0</v>
      </c>
      <c r="AT1412" s="57" t="n">
        <f aca="false">IF(LEFT(Cockpit!$O$5,1)="A",G1412,IF(BW1412=1,BX1412,IF(LEFT(Cockpit!$O$5,1)="B",AX1412,MAX(AX1412,G1412))))</f>
        <v>1</v>
      </c>
      <c r="AU1412" s="57" t="n">
        <f aca="false">IF(BR1412=1,0,ROUNDUP(AT1412/BQ1412,0))</f>
        <v>0</v>
      </c>
      <c r="AV1412" s="59" t="n">
        <f aca="false">IF(CD1412&gt;0,CD1412*MAX(1,AT1412/V1412),IF(BR1412=1,IF(AT1412&lt;=0,0,BS1412*MAX(1,IF(G1412&gt;0,AT1412/G1412,1))),IF(Q1412&gt;0,AU1412/Q1412,0))/MAX(0.1,N(Parameter!$M$21)))</f>
        <v>0.15</v>
      </c>
      <c r="AW1412" s="57" t="n">
        <f aca="false">AT1412*F1412</f>
        <v>5062.98</v>
      </c>
      <c r="AX1412" s="57" t="n">
        <f aca="false">ROUNDUP(MAX(I1412/IF(BV1412&gt;0,BV1412,MAX(0.1,N(Cockpit!$O$6))),BY1412)/BQ1412,0)*BQ1412</f>
        <v>1</v>
      </c>
      <c r="AY1412" s="58" t="n">
        <f aca="false">IF(AV1412&gt;0,I1412/AV1412,-1)</f>
        <v>6.66666666666667</v>
      </c>
      <c r="AZ1412" s="58" t="str">
        <f aca="false">IF(AND(OR(BU1412="L1",BU1412="L23"),AV1412&gt;0),SUMIFS($AV$7:$AV$1576,$BU$7:$BU$1576,BU1412,$AY$7:$AY$1576,"&gt;"&amp;AY1412)+SUMIFS($AV$7:$AV$1576,$BU$7:$BU$1576,BU1412,$AY$7:$AY$1576,AY1412,$BO$7:$BO$1576,"&lt;="&amp;BO1412),"")</f>
        <v/>
      </c>
      <c r="BA1412" s="65" t="n">
        <f aca="false">IF(AZ1412="",0,MAX(0,MIN(1,(IF(BU1412="L1",Parameter!$E$5,Parameter!$E$6+Parameter!$E$7)-(AZ1412-AV1412))/AV1412)))</f>
        <v>0</v>
      </c>
      <c r="BB1412" s="55" t="str">
        <f aca="false">IF(AF1412&lt;=0,"",IF(BU1412="Aussen","Aussenlager",IF(BU1412="-","Nicht im Lift",IF(AK1412&gt;=1,"Lift",IF(AK1412&lt;=0,"Aussenlager","teilweise")))))</f>
        <v/>
      </c>
      <c r="BC1412" s="55" t="str">
        <f aca="false">IF(AN1412&lt;=0,"",IF(BU1412="Aussen","Aussenlager",IF(BU1412="-","Nicht im Lift",IF(AS1412&gt;=1,"Lift",IF(AS1412&lt;=0,"Aussenlager","teilweise")))))</f>
        <v>Nicht im Lift</v>
      </c>
      <c r="BD1412" s="55" t="str">
        <f aca="false">IF(AV1412&lt;=0,"",IF(BU1412="Aussen","Aussenlager",IF(BU1412="-","Nicht im Lift",IF(BA1412&gt;=1,"Lift",IF(BA1412&lt;=0,"Aussenlager","teilweise")))))</f>
        <v>Nicht im Lift</v>
      </c>
      <c r="BE1412" s="55" t="str">
        <f aca="false">IF(A1412="","",IF(BN1412=1,"Neu; ","")&amp;IF(AND(BN1412=0,BI1412&lt;0),"negativer Bestand (Export "&amp;BI1412&amp;"); ","")&amp;IF(I1412&lt;=0,"Kein Verbrauch; ","")&amp;IF(CD1412&gt;0,"Lift "&amp;U1412&amp;" lt. Liftbericht (Fach "&amp;V1412&amp;" Stk); ",IF(BR1412=1,"Lose – Fläche geschätzt; ",""))&amp;IF(G1412&gt;AP1412,"Überbestand "&amp;ROUND(G1412-AP1412,0)&amp;" Stk / CHF "&amp;ROUND((G1412-AP1412)*F1412,0)&amp;"; ","")&amp;IF(AND(BW1412=1,BX1412&lt;BY1412),"MAX &lt; MB+LG; ","")&amp;IF(AND(CC1412&gt;0,CB1412*10&gt;CC1412),"zu hoch für Tablar; ","")&amp;IF(AND(BN1412=0,OR(BW1412=1,Y1412&lt;&gt;"",S1412&lt;&gt;"",T1412&lt;&gt;"",Z1412&lt;&gt;"")),"manuell übersteuert; ","")&amp;IF(AND(BR1412=0,Q1412=0),"Gebinde unbekannt / Stellmass fehlt; ","")&amp;IF(AND(BR1412=0,N(T1412)&lt;=0,N(P1412)&lt;=0),"Menge pro Gebinde fehlt (Ist = 1 Gebinde); ","")&amp;BM1412)</f>
        <v>negativer Bestand (Export -1); Lose – Fläche geschätzt; </v>
      </c>
      <c r="BF1412" s="55"/>
      <c r="BG1412" s="55"/>
      <c r="BH1412" s="62"/>
      <c r="BI1412" s="57" t="n">
        <v>-1</v>
      </c>
      <c r="BJ1412" s="57" t="n">
        <v>1</v>
      </c>
      <c r="BK1412" s="56" t="n">
        <v>-5062.98</v>
      </c>
      <c r="BL1412" s="57" t="n">
        <v>1</v>
      </c>
      <c r="BM1412" s="55"/>
      <c r="BN1412" s="60" t="n">
        <v>0</v>
      </c>
      <c r="BO1412" s="60" t="n">
        <v>1412</v>
      </c>
      <c r="BP1412" s="55" t="str">
        <f aca="false">IF(S1412&lt;&gt;"",UPPER(TRIM(S1412)),IF(O1412="","LOSE",O1412))</f>
        <v>LOSE</v>
      </c>
      <c r="BQ1412" s="57" t="n">
        <f aca="false">IF(BP1412="LOSE",1,IF(N(T1412)&gt;0,T1412,IF(N(P1412)&gt;0,P1412,MAX(1,G1412))))</f>
        <v>1</v>
      </c>
      <c r="BR1412" s="60" t="n">
        <f aca="false">IF(BP1412="LOSE",1,0)</f>
        <v>1</v>
      </c>
      <c r="BS1412" s="59" t="n">
        <f aca="false">IF(BR1412=0,0,IF(N(R1412)&gt;0,R1412,IFERROR(VLOOKUP(D1412,Parameter!$A$35:$C$64,3,0)+0,0)))</f>
        <v>0.15</v>
      </c>
      <c r="BT1412" s="55" t="str">
        <f aca="false">IF(Y1412&lt;&gt;"",Y1412,X1412)</f>
        <v>-</v>
      </c>
      <c r="BU1412" s="55" t="str">
        <f aca="false">IF(BT1412=1,"L1",IF(OR(BT1412=2,BT1412=3),"L23",IF(BT1412="Aussen","Aussen","-")))</f>
        <v>-</v>
      </c>
      <c r="BV1412" s="66" t="n">
        <f aca="false">IF(N(Z1412)&gt;0,Z1412,0)</f>
        <v>0</v>
      </c>
      <c r="BW1412" s="60" t="n">
        <f aca="false">IF(ISNUMBER(AC1412),1,0)</f>
        <v>0</v>
      </c>
      <c r="BX1412" s="57" t="n">
        <f aca="false">N(AC1412)</f>
        <v>0</v>
      </c>
      <c r="BY1412" s="57" t="n">
        <f aca="false">N(L1412)+N(M1412)</f>
        <v>1</v>
      </c>
      <c r="BZ1412" s="57" t="n">
        <f aca="false">ROUNDUP(G1412/BQ1412,0)</f>
        <v>0</v>
      </c>
      <c r="CA1412" s="57" t="n">
        <f aca="false">ROUNDUP(BX1412/BQ1412,0)</f>
        <v>0</v>
      </c>
      <c r="CB1412" s="60" t="n">
        <f aca="false">IF(BR1412=1,0,IFERROR(VLOOKUP(BP1412,'Gebinde-Kategorie'!$A$5:$M$45,5,0)+0,0))</f>
        <v>0</v>
      </c>
      <c r="CC1412" s="60" t="n">
        <f aca="false">IFERROR(IF(OR(BT1412=1,BT1412=2,BT1412=3),N(INDEX(Parameter!$I$5:$I$7,BT1412)),0),0)</f>
        <v>0</v>
      </c>
      <c r="CD1412" s="59" t="n">
        <f aca="false">IF(AND(Parameter!$B$21="Ja",ISNUMBER(U1412),N(V1412)&gt;0),IFERROR(N(INDEX(Parameter!$L$5:$L$7,U1412))*INDEX(Parameter!$E$5:$E$7,U1412)*V1412/SUMIFS($V$7:$V$1576,$U$7:$U$1576,U1412),0),0)</f>
        <v>0</v>
      </c>
    </row>
    <row r="1413" customFormat="false" ht="15" hidden="false" customHeight="false" outlineLevel="0" collapsed="false">
      <c r="A1413" s="55" t="s">
        <v>2466</v>
      </c>
      <c r="B1413" s="55" t="s">
        <v>2467</v>
      </c>
      <c r="C1413" s="55" t="s">
        <v>160</v>
      </c>
      <c r="D1413" s="55" t="s">
        <v>178</v>
      </c>
      <c r="E1413" s="55" t="s">
        <v>210</v>
      </c>
      <c r="F1413" s="56" t="n">
        <v>88.93</v>
      </c>
      <c r="G1413" s="57" t="n">
        <f aca="false">MAX(0,IF(AND(Parameter!$B$21="Ja",ISNUMBER(W1413)),W1413,IF(Parameter!$B$20="Jahresanfang 2025 + Export",BJ1413+BI1413,BI1413)))</f>
        <v>0</v>
      </c>
      <c r="H1413" s="57" t="n">
        <f aca="false">G1413*F1413</f>
        <v>0</v>
      </c>
      <c r="I1413" s="57" t="n">
        <f aca="false">BL1413*Parameter!$B$18</f>
        <v>129</v>
      </c>
      <c r="J1413" s="58" t="n">
        <v>42.5</v>
      </c>
      <c r="K1413" s="59" t="n">
        <v>3.03529411764706</v>
      </c>
      <c r="L1413" s="57" t="n">
        <v>7</v>
      </c>
      <c r="M1413" s="57" t="n">
        <v>25</v>
      </c>
      <c r="N1413" s="60" t="n">
        <v>21</v>
      </c>
      <c r="O1413" s="55" t="s">
        <v>284</v>
      </c>
      <c r="P1413" s="57" t="n">
        <v>40</v>
      </c>
      <c r="Q1413" s="60" t="n">
        <f aca="false">IF(BR1413=1,0,IFERROR(VLOOKUP(BP1413,'Gebinde-Kategorie'!$A$5:$M$45,13,0)+0,0))</f>
        <v>12</v>
      </c>
      <c r="R1413" s="61"/>
      <c r="S1413" s="62"/>
      <c r="T1413" s="62"/>
      <c r="U1413" s="55"/>
      <c r="V1413" s="57"/>
      <c r="W1413" s="57"/>
      <c r="X1413" s="55" t="n">
        <f aca="false">IF(A1413="","",IF(AND(Parameter!$B$21="Ja",ISNUMBER(U1413)),U1413,IF(IFERROR(VLOOKUP(D1413,Parameter!$A$35:$C$64,2,0),"Nein")="2+3",IF(ISNUMBER(SEARCH("grosser Artikel",BM1413)),2,IFERROR(VLOOKUP(BP1413,Parameter!$F$35:$G$64,2,0),2)),IF(OR(IFERROR(VLOOKUP(D1413,Parameter!$A$35:$C$64,2,0),"Nein")="Nein",IFERROR(VLOOKUP(D1413,Parameter!$A$35:$C$64,2,0),"Nein")=""),"-",VLOOKUP(D1413,Parameter!$A$35:$C$64,2,0)))))</f>
        <v>2</v>
      </c>
      <c r="Y1413" s="62"/>
      <c r="Z1413" s="63"/>
      <c r="AA1413" s="57" t="n">
        <f aca="false">AP1413</f>
        <v>80</v>
      </c>
      <c r="AB1413" s="57" t="n">
        <f aca="false">MAX(AP1413,G1413)</f>
        <v>80</v>
      </c>
      <c r="AC1413" s="64"/>
      <c r="AD1413" s="57" t="n">
        <f aca="false">IF(LEFT(Cockpit!$C$5,1)="A",G1413,IF(BW1413=1,BX1413,IF(LEFT(Cockpit!$C$5,1)="B",AH1413,MAX(AH1413,G1413))))</f>
        <v>0</v>
      </c>
      <c r="AE1413" s="57" t="n">
        <f aca="false">IF(BR1413=1,0,ROUNDUP(AD1413/BQ1413,0))</f>
        <v>0</v>
      </c>
      <c r="AF1413" s="59" t="n">
        <f aca="false">IF(CD1413&gt;0,CD1413*MAX(1,AD1413/V1413),IF(BR1413=1,IF(AD1413&lt;=0,0,BS1413*MAX(1,IF(G1413&gt;0,AD1413/G1413,1))),IF(Q1413&gt;0,AE1413/Q1413,0))/MAX(0.1,N(Parameter!$M$21)))</f>
        <v>0</v>
      </c>
      <c r="AG1413" s="57" t="n">
        <f aca="false">AD1413*F1413</f>
        <v>0</v>
      </c>
      <c r="AH1413" s="57" t="n">
        <f aca="false">ROUNDUP(MAX(I1413/IF(BV1413&gt;0,BV1413,MAX(0.1,N(Cockpit!$C$6))),BY1413)/BQ1413,0)*BQ1413</f>
        <v>80</v>
      </c>
      <c r="AI1413" s="58" t="n">
        <f aca="false">IF(AF1413&gt;0,I1413/AF1413,-1)</f>
        <v>-1</v>
      </c>
      <c r="AJ1413" s="58" t="str">
        <f aca="false">IF(AND(OR(BU1413="L1",BU1413="L23"),AF1413&gt;0),SUMIFS($AF$7:$AF$1576,$BU$7:$BU$1576,BU1413,$AI$7:$AI$1576,"&gt;"&amp;AI1413)+SUMIFS($AF$7:$AF$1576,$BU$7:$BU$1576,BU1413,$AI$7:$AI$1576,AI1413,$BO$7:$BO$1576,"&lt;="&amp;BO1413),"")</f>
        <v/>
      </c>
      <c r="AK1413" s="65" t="n">
        <f aca="false">IF(AJ1413="",0,MAX(0,MIN(1,(IF(BU1413="L1",Parameter!$E$5,Parameter!$E$6+Parameter!$E$7)-(AJ1413-AF1413))/AF1413)))</f>
        <v>0</v>
      </c>
      <c r="AL1413" s="57" t="n">
        <f aca="false">IF(LEFT(Cockpit!$I$5,1)="A",G1413,IF(BW1413=1,BX1413,IF(LEFT(Cockpit!$I$5,1)="B",AP1413,MAX(AP1413,G1413))))</f>
        <v>80</v>
      </c>
      <c r="AM1413" s="57" t="n">
        <f aca="false">IF(BR1413=1,0,ROUNDUP(AL1413/BQ1413,0))</f>
        <v>2</v>
      </c>
      <c r="AN1413" s="59" t="n">
        <f aca="false">IF(CD1413&gt;0,CD1413*MAX(1,AL1413/V1413),IF(BR1413=1,IF(AL1413&lt;=0,0,BS1413*MAX(1,IF(G1413&gt;0,AL1413/G1413,1))),IF(Q1413&gt;0,AM1413/Q1413,0))/MAX(0.1,N(Parameter!$M$21)))</f>
        <v>0.166666666666667</v>
      </c>
      <c r="AO1413" s="57" t="n">
        <f aca="false">AL1413*F1413</f>
        <v>7114.4</v>
      </c>
      <c r="AP1413" s="57" t="n">
        <f aca="false">ROUNDUP(MAX(I1413/IF(BV1413&gt;0,BV1413,MAX(0.1,N(Cockpit!$I$6))),BY1413)/BQ1413,0)*BQ1413</f>
        <v>80</v>
      </c>
      <c r="AQ1413" s="58" t="n">
        <f aca="false">IF(AN1413&gt;0,I1413/AN1413,-1)</f>
        <v>774</v>
      </c>
      <c r="AR1413" s="58" t="n">
        <f aca="false">IF(AND(OR(BU1413="L1",BU1413="L23"),AN1413&gt;0),SUMIFS($AN$7:$AN$1576,$BU$7:$BU$1576,BU1413,$AQ$7:$AQ$1576,"&gt;"&amp;AQ1413)+SUMIFS($AN$7:$AN$1576,$BU$7:$BU$1576,BU1413,$AQ$7:$AQ$1576,AQ1413,$BO$7:$BO$1576,"&lt;="&amp;BO1413),"")</f>
        <v>26.7091743163594</v>
      </c>
      <c r="AS1413" s="65" t="n">
        <f aca="false">IF(AR1413="",0,MAX(0,MIN(1,(IF(BU1413="L1",Parameter!$E$5,Parameter!$E$6+Parameter!$E$7)-(AR1413-AN1413))/AN1413)))</f>
        <v>1</v>
      </c>
      <c r="AT1413" s="57" t="n">
        <f aca="false">IF(LEFT(Cockpit!$O$5,1)="A",G1413,IF(BW1413=1,BX1413,IF(LEFT(Cockpit!$O$5,1)="B",AX1413,MAX(AX1413,G1413))))</f>
        <v>80</v>
      </c>
      <c r="AU1413" s="57" t="n">
        <f aca="false">IF(BR1413=1,0,ROUNDUP(AT1413/BQ1413,0))</f>
        <v>2</v>
      </c>
      <c r="AV1413" s="59" t="n">
        <f aca="false">IF(CD1413&gt;0,CD1413*MAX(1,AT1413/V1413),IF(BR1413=1,IF(AT1413&lt;=0,0,BS1413*MAX(1,IF(G1413&gt;0,AT1413/G1413,1))),IF(Q1413&gt;0,AU1413/Q1413,0))/MAX(0.1,N(Parameter!$M$21)))</f>
        <v>0.166666666666667</v>
      </c>
      <c r="AW1413" s="57" t="n">
        <f aca="false">AT1413*F1413</f>
        <v>7114.4</v>
      </c>
      <c r="AX1413" s="57" t="n">
        <f aca="false">ROUNDUP(MAX(I1413/IF(BV1413&gt;0,BV1413,MAX(0.1,N(Cockpit!$O$6))),BY1413)/BQ1413,0)*BQ1413</f>
        <v>80</v>
      </c>
      <c r="AY1413" s="58" t="n">
        <f aca="false">IF(AV1413&gt;0,I1413/AV1413,-1)</f>
        <v>774</v>
      </c>
      <c r="AZ1413" s="58" t="n">
        <f aca="false">IF(AND(OR(BU1413="L1",BU1413="L23"),AV1413&gt;0),SUMIFS($AV$7:$AV$1576,$BU$7:$BU$1576,BU1413,$AY$7:$AY$1576,"&gt;"&amp;AY1413)+SUMIFS($AV$7:$AV$1576,$BU$7:$BU$1576,BU1413,$AY$7:$AY$1576,AY1413,$BO$7:$BO$1576,"&lt;="&amp;BO1413),"")</f>
        <v>26.7761906333757</v>
      </c>
      <c r="BA1413" s="65" t="n">
        <f aca="false">IF(AZ1413="",0,MAX(0,MIN(1,(IF(BU1413="L1",Parameter!$E$5,Parameter!$E$6+Parameter!$E$7)-(AZ1413-AV1413))/AV1413)))</f>
        <v>1</v>
      </c>
      <c r="BB1413" s="55" t="str">
        <f aca="false">IF(AF1413&lt;=0,"",IF(BU1413="Aussen","Aussenlager",IF(BU1413="-","Nicht im Lift",IF(AK1413&gt;=1,"Lift",IF(AK1413&lt;=0,"Aussenlager","teilweise")))))</f>
        <v/>
      </c>
      <c r="BC1413" s="55" t="str">
        <f aca="false">IF(AN1413&lt;=0,"",IF(BU1413="Aussen","Aussenlager",IF(BU1413="-","Nicht im Lift",IF(AS1413&gt;=1,"Lift",IF(AS1413&lt;=0,"Aussenlager","teilweise")))))</f>
        <v>Lift</v>
      </c>
      <c r="BD1413" s="55" t="str">
        <f aca="false">IF(AV1413&lt;=0,"",IF(BU1413="Aussen","Aussenlager",IF(BU1413="-","Nicht im Lift",IF(BA1413&gt;=1,"Lift",IF(BA1413&lt;=0,"Aussenlager","teilweise")))))</f>
        <v>Lift</v>
      </c>
      <c r="BE1413" s="55" t="str">
        <f aca="false">IF(A1413="","",IF(BN1413=1,"Neu; ","")&amp;IF(AND(BN1413=0,BI1413&lt;0),"negativer Bestand (Export "&amp;BI1413&amp;"); ","")&amp;IF(I1413&lt;=0,"Kein Verbrauch; ","")&amp;IF(CD1413&gt;0,"Lift "&amp;U1413&amp;" lt. Liftbericht (Fach "&amp;V1413&amp;" Stk); ",IF(BR1413=1,"Lose – Fläche geschätzt; ",""))&amp;IF(G1413&gt;AP1413,"Überbestand "&amp;ROUND(G1413-AP1413,0)&amp;" Stk / CHF "&amp;ROUND((G1413-AP1413)*F1413,0)&amp;"; ","")&amp;IF(AND(BW1413=1,BX1413&lt;BY1413),"MAX &lt; MB+LG; ","")&amp;IF(AND(CC1413&gt;0,CB1413*10&gt;CC1413),"zu hoch für Tablar; ","")&amp;IF(AND(BN1413=0,OR(BW1413=1,Y1413&lt;&gt;"",S1413&lt;&gt;"",T1413&lt;&gt;"",Z1413&lt;&gt;"")),"manuell übersteuert; ","")&amp;IF(AND(BR1413=0,Q1413=0),"Gebinde unbekannt / Stellmass fehlt; ","")&amp;IF(AND(BR1413=0,N(T1413)&lt;=0,N(P1413)&lt;=0),"Menge pro Gebinde fehlt (Ist = 1 Gebinde); ","")&amp;BM1413)</f>
        <v>negativer Bestand (Export -21); </v>
      </c>
      <c r="BF1413" s="55"/>
      <c r="BG1413" s="55"/>
      <c r="BH1413" s="62"/>
      <c r="BI1413" s="57" t="n">
        <v>-21</v>
      </c>
      <c r="BJ1413" s="57" t="n">
        <v>61</v>
      </c>
      <c r="BK1413" s="56" t="n">
        <v>-5101.75</v>
      </c>
      <c r="BL1413" s="57" t="n">
        <v>129</v>
      </c>
      <c r="BM1413" s="55"/>
      <c r="BN1413" s="60" t="n">
        <v>0</v>
      </c>
      <c r="BO1413" s="60" t="n">
        <v>1413</v>
      </c>
      <c r="BP1413" s="55" t="str">
        <f aca="false">IF(S1413&lt;&gt;"",UPPER(TRIM(S1413)),IF(O1413="","LOSE",O1413))</f>
        <v>S62</v>
      </c>
      <c r="BQ1413" s="57" t="n">
        <f aca="false">IF(BP1413="LOSE",1,IF(N(T1413)&gt;0,T1413,IF(N(P1413)&gt;0,P1413,MAX(1,G1413))))</f>
        <v>40</v>
      </c>
      <c r="BR1413" s="60" t="n">
        <f aca="false">IF(BP1413="LOSE",1,0)</f>
        <v>0</v>
      </c>
      <c r="BS1413" s="59" t="n">
        <f aca="false">IF(BR1413=0,0,IF(N(R1413)&gt;0,R1413,IFERROR(VLOOKUP(D1413,Parameter!$A$35:$C$64,3,0)+0,0)))</f>
        <v>0</v>
      </c>
      <c r="BT1413" s="55" t="n">
        <f aca="false">IF(Y1413&lt;&gt;"",Y1413,X1413)</f>
        <v>2</v>
      </c>
      <c r="BU1413" s="55" t="str">
        <f aca="false">IF(BT1413=1,"L1",IF(OR(BT1413=2,BT1413=3),"L23",IF(BT1413="Aussen","Aussen","-")))</f>
        <v>L23</v>
      </c>
      <c r="BV1413" s="66" t="n">
        <f aca="false">IF(N(Z1413)&gt;0,Z1413,0)</f>
        <v>0</v>
      </c>
      <c r="BW1413" s="60" t="n">
        <f aca="false">IF(ISNUMBER(AC1413),1,0)</f>
        <v>0</v>
      </c>
      <c r="BX1413" s="57" t="n">
        <f aca="false">N(AC1413)</f>
        <v>0</v>
      </c>
      <c r="BY1413" s="57" t="n">
        <f aca="false">N(L1413)+N(M1413)</f>
        <v>32</v>
      </c>
      <c r="BZ1413" s="57" t="n">
        <f aca="false">ROUNDUP(G1413/BQ1413,0)</f>
        <v>0</v>
      </c>
      <c r="CA1413" s="57" t="n">
        <f aca="false">ROUNDUP(BX1413/BQ1413,0)</f>
        <v>0</v>
      </c>
      <c r="CB1413" s="60" t="n">
        <f aca="false">IF(BR1413=1,0,IFERROR(VLOOKUP(BP1413,'Gebinde-Kategorie'!$A$5:$M$45,5,0)+0,0))</f>
        <v>21</v>
      </c>
      <c r="CC1413" s="60" t="n">
        <f aca="false">IFERROR(IF(OR(BT1413=1,BT1413=2,BT1413=3),N(INDEX(Parameter!$I$5:$I$7,BT1413)),0),0)</f>
        <v>0</v>
      </c>
      <c r="CD1413" s="59" t="n">
        <f aca="false">IF(AND(Parameter!$B$21="Ja",ISNUMBER(U1413),N(V1413)&gt;0),IFERROR(N(INDEX(Parameter!$L$5:$L$7,U1413))*INDEX(Parameter!$E$5:$E$7,U1413)*V1413/SUMIFS($V$7:$V$1576,$U$7:$U$1576,U1413),0),0)</f>
        <v>0</v>
      </c>
    </row>
    <row r="1414" customFormat="false" ht="15" hidden="false" customHeight="false" outlineLevel="0" collapsed="false">
      <c r="A1414" s="55" t="s">
        <v>2468</v>
      </c>
      <c r="B1414" s="55" t="s">
        <v>395</v>
      </c>
      <c r="C1414" s="55" t="s">
        <v>446</v>
      </c>
      <c r="D1414" s="55" t="s">
        <v>168</v>
      </c>
      <c r="E1414" s="55" t="s">
        <v>210</v>
      </c>
      <c r="F1414" s="56" t="n">
        <v>5.15</v>
      </c>
      <c r="G1414" s="57" t="n">
        <f aca="false">MAX(0,IF(AND(Parameter!$B$21="Ja",ISNUMBER(W1414)),W1414,IF(Parameter!$B$20="Jahresanfang 2025 + Export",BJ1414+BI1414,BI1414)))</f>
        <v>0</v>
      </c>
      <c r="H1414" s="57" t="n">
        <f aca="false">G1414*F1414</f>
        <v>0</v>
      </c>
      <c r="I1414" s="57" t="n">
        <f aca="false">BL1414*Parameter!$B$18</f>
        <v>0</v>
      </c>
      <c r="J1414" s="58" t="n">
        <v>1000</v>
      </c>
      <c r="K1414" s="59" t="n">
        <v>0</v>
      </c>
      <c r="L1414" s="57" t="n">
        <v>58</v>
      </c>
      <c r="M1414" s="57" t="n">
        <v>700</v>
      </c>
      <c r="N1414" s="60" t="n">
        <v>21</v>
      </c>
      <c r="O1414" s="55" t="s">
        <v>163</v>
      </c>
      <c r="P1414" s="57"/>
      <c r="Q1414" s="60" t="n">
        <f aca="false">IF(BR1414=1,0,IFERROR(VLOOKUP(BP1414,'Gebinde-Kategorie'!$A$5:$M$45,13,0)+0,0))</f>
        <v>0</v>
      </c>
      <c r="R1414" s="61"/>
      <c r="S1414" s="62"/>
      <c r="T1414" s="62"/>
      <c r="U1414" s="55"/>
      <c r="V1414" s="57"/>
      <c r="W1414" s="57"/>
      <c r="X1414" s="55" t="n">
        <f aca="false">IF(A1414="","",IF(AND(Parameter!$B$21="Ja",ISNUMBER(U1414)),U1414,IF(IFERROR(VLOOKUP(D1414,Parameter!$A$35:$C$64,2,0),"Nein")="2+3",IF(ISNUMBER(SEARCH("grosser Artikel",BM1414)),2,IFERROR(VLOOKUP(BP1414,Parameter!$F$35:$G$64,2,0),2)),IF(OR(IFERROR(VLOOKUP(D1414,Parameter!$A$35:$C$64,2,0),"Nein")="Nein",IFERROR(VLOOKUP(D1414,Parameter!$A$35:$C$64,2,0),"Nein")=""),"-",VLOOKUP(D1414,Parameter!$A$35:$C$64,2,0)))))</f>
        <v>2</v>
      </c>
      <c r="Y1414" s="62"/>
      <c r="Z1414" s="63"/>
      <c r="AA1414" s="57" t="n">
        <f aca="false">AP1414</f>
        <v>758</v>
      </c>
      <c r="AB1414" s="57" t="n">
        <f aca="false">MAX(AP1414,G1414)</f>
        <v>758</v>
      </c>
      <c r="AC1414" s="64"/>
      <c r="AD1414" s="57" t="n">
        <f aca="false">IF(LEFT(Cockpit!$C$5,1)="A",G1414,IF(BW1414=1,BX1414,IF(LEFT(Cockpit!$C$5,1)="B",AH1414,MAX(AH1414,G1414))))</f>
        <v>0</v>
      </c>
      <c r="AE1414" s="57" t="n">
        <f aca="false">IF(BR1414=1,0,ROUNDUP(AD1414/BQ1414,0))</f>
        <v>0</v>
      </c>
      <c r="AF1414" s="59" t="n">
        <f aca="false">IF(CD1414&gt;0,CD1414*MAX(1,AD1414/V1414),IF(BR1414=1,IF(AD1414&lt;=0,0,BS1414*MAX(1,IF(G1414&gt;0,AD1414/G1414,1))),IF(Q1414&gt;0,AE1414/Q1414,0))/MAX(0.1,N(Parameter!$M$21)))</f>
        <v>0</v>
      </c>
      <c r="AG1414" s="57" t="n">
        <f aca="false">AD1414*F1414</f>
        <v>0</v>
      </c>
      <c r="AH1414" s="57" t="n">
        <f aca="false">ROUNDUP(MAX(I1414/IF(BV1414&gt;0,BV1414,MAX(0.1,N(Cockpit!$C$6))),BY1414)/BQ1414,0)*BQ1414</f>
        <v>758</v>
      </c>
      <c r="AI1414" s="58" t="n">
        <f aca="false">IF(AF1414&gt;0,I1414/AF1414,-1)</f>
        <v>-1</v>
      </c>
      <c r="AJ1414" s="58" t="str">
        <f aca="false">IF(AND(OR(BU1414="L1",BU1414="L23"),AF1414&gt;0),SUMIFS($AF$7:$AF$1576,$BU$7:$BU$1576,BU1414,$AI$7:$AI$1576,"&gt;"&amp;AI1414)+SUMIFS($AF$7:$AF$1576,$BU$7:$BU$1576,BU1414,$AI$7:$AI$1576,AI1414,$BO$7:$BO$1576,"&lt;="&amp;BO1414),"")</f>
        <v/>
      </c>
      <c r="AK1414" s="65" t="n">
        <f aca="false">IF(AJ1414="",0,MAX(0,MIN(1,(IF(BU1414="L1",Parameter!$E$5,Parameter!$E$6+Parameter!$E$7)-(AJ1414-AF1414))/AF1414)))</f>
        <v>0</v>
      </c>
      <c r="AL1414" s="57" t="n">
        <f aca="false">IF(LEFT(Cockpit!$I$5,1)="A",G1414,IF(BW1414=1,BX1414,IF(LEFT(Cockpit!$I$5,1)="B",AP1414,MAX(AP1414,G1414))))</f>
        <v>758</v>
      </c>
      <c r="AM1414" s="57" t="n">
        <f aca="false">IF(BR1414=1,0,ROUNDUP(AL1414/BQ1414,0))</f>
        <v>0</v>
      </c>
      <c r="AN1414" s="59" t="n">
        <f aca="false">IF(CD1414&gt;0,CD1414*MAX(1,AL1414/V1414),IF(BR1414=1,IF(AL1414&lt;=0,0,BS1414*MAX(1,IF(G1414&gt;0,AL1414/G1414,1))),IF(Q1414&gt;0,AM1414/Q1414,0))/MAX(0.1,N(Parameter!$M$21)))</f>
        <v>0.15</v>
      </c>
      <c r="AO1414" s="57" t="n">
        <f aca="false">AL1414*F1414</f>
        <v>3903.7</v>
      </c>
      <c r="AP1414" s="57" t="n">
        <f aca="false">ROUNDUP(MAX(I1414/IF(BV1414&gt;0,BV1414,MAX(0.1,N(Cockpit!$I$6))),BY1414)/BQ1414,0)*BQ1414</f>
        <v>758</v>
      </c>
      <c r="AQ1414" s="58" t="n">
        <f aca="false">IF(AN1414&gt;0,I1414/AN1414,-1)</f>
        <v>0</v>
      </c>
      <c r="AR1414" s="58" t="n">
        <f aca="false">IF(AND(OR(BU1414="L1",BU1414="L23"),AN1414&gt;0),SUMIFS($AN$7:$AN$1576,$BU$7:$BU$1576,BU1414,$AQ$7:$AQ$1576,"&gt;"&amp;AQ1414)+SUMIFS($AN$7:$AN$1576,$BU$7:$BU$1576,BU1414,$AQ$7:$AQ$1576,AQ1414,$BO$7:$BO$1576,"&lt;="&amp;BO1414),"")</f>
        <v>139.166896798901</v>
      </c>
      <c r="AS1414" s="65" t="n">
        <f aca="false">IF(AR1414="",0,MAX(0,MIN(1,(IF(BU1414="L1",Parameter!$E$5,Parameter!$E$6+Parameter!$E$7)-(AR1414-AN1414))/AN1414)))</f>
        <v>0</v>
      </c>
      <c r="AT1414" s="57" t="n">
        <f aca="false">IF(LEFT(Cockpit!$O$5,1)="A",G1414,IF(BW1414=1,BX1414,IF(LEFT(Cockpit!$O$5,1)="B",AX1414,MAX(AX1414,G1414))))</f>
        <v>758</v>
      </c>
      <c r="AU1414" s="57" t="n">
        <f aca="false">IF(BR1414=1,0,ROUNDUP(AT1414/BQ1414,0))</f>
        <v>0</v>
      </c>
      <c r="AV1414" s="59" t="n">
        <f aca="false">IF(CD1414&gt;0,CD1414*MAX(1,AT1414/V1414),IF(BR1414=1,IF(AT1414&lt;=0,0,BS1414*MAX(1,IF(G1414&gt;0,AT1414/G1414,1))),IF(Q1414&gt;0,AU1414/Q1414,0))/MAX(0.1,N(Parameter!$M$21)))</f>
        <v>0.15</v>
      </c>
      <c r="AW1414" s="57" t="n">
        <f aca="false">AT1414*F1414</f>
        <v>3903.7</v>
      </c>
      <c r="AX1414" s="57" t="n">
        <f aca="false">ROUNDUP(MAX(I1414/IF(BV1414&gt;0,BV1414,MAX(0.1,N(Cockpit!$O$6))),BY1414)/BQ1414,0)*BQ1414</f>
        <v>758</v>
      </c>
      <c r="AY1414" s="58" t="n">
        <f aca="false">IF(AV1414&gt;0,I1414/AV1414,-1)</f>
        <v>0</v>
      </c>
      <c r="AZ1414" s="58" t="n">
        <f aca="false">IF(AND(OR(BU1414="L1",BU1414="L23"),AV1414&gt;0),SUMIFS($AV$7:$AV$1576,$BU$7:$BU$1576,BU1414,$AY$7:$AY$1576,"&gt;"&amp;AY1414)+SUMIFS($AV$7:$AV$1576,$BU$7:$BU$1576,BU1414,$AY$7:$AY$1576,AY1414,$BO$7:$BO$1576,"&lt;="&amp;BO1414),"")</f>
        <v>129.226447248451</v>
      </c>
      <c r="BA1414" s="65" t="n">
        <f aca="false">IF(AZ1414="",0,MAX(0,MIN(1,(IF(BU1414="L1",Parameter!$E$5,Parameter!$E$6+Parameter!$E$7)-(AZ1414-AV1414))/AV1414)))</f>
        <v>0</v>
      </c>
      <c r="BB1414" s="55" t="str">
        <f aca="false">IF(AF1414&lt;=0,"",IF(BU1414="Aussen","Aussenlager",IF(BU1414="-","Nicht im Lift",IF(AK1414&gt;=1,"Lift",IF(AK1414&lt;=0,"Aussenlager","teilweise")))))</f>
        <v/>
      </c>
      <c r="BC1414" s="55" t="str">
        <f aca="false">IF(AN1414&lt;=0,"",IF(BU1414="Aussen","Aussenlager",IF(BU1414="-","Nicht im Lift",IF(AS1414&gt;=1,"Lift",IF(AS1414&lt;=0,"Aussenlager","teilweise")))))</f>
        <v>Aussenlager</v>
      </c>
      <c r="BD1414" s="55" t="str">
        <f aca="false">IF(AV1414&lt;=0,"",IF(BU1414="Aussen","Aussenlager",IF(BU1414="-","Nicht im Lift",IF(BA1414&gt;=1,"Lift",IF(BA1414&lt;=0,"Aussenlager","teilweise")))))</f>
        <v>Aussenlager</v>
      </c>
      <c r="BE1414" s="55" t="str">
        <f aca="false">IF(A1414="","",IF(BN1414=1,"Neu; ","")&amp;IF(AND(BN1414=0,BI1414&lt;0),"negativer Bestand (Export "&amp;BI1414&amp;"); ","")&amp;IF(I1414&lt;=0,"Kein Verbrauch; ","")&amp;IF(CD1414&gt;0,"Lift "&amp;U1414&amp;" lt. Liftbericht (Fach "&amp;V1414&amp;" Stk); ",IF(BR1414=1,"Lose – Fläche geschätzt; ",""))&amp;IF(G1414&gt;AP1414,"Überbestand "&amp;ROUND(G1414-AP1414,0)&amp;" Stk / CHF "&amp;ROUND((G1414-AP1414)*F1414,0)&amp;"; ","")&amp;IF(AND(BW1414=1,BX1414&lt;BY1414),"MAX &lt; MB+LG; ","")&amp;IF(AND(CC1414&gt;0,CB1414*10&gt;CC1414),"zu hoch für Tablar; ","")&amp;IF(AND(BN1414=0,OR(BW1414=1,Y1414&lt;&gt;"",S1414&lt;&gt;"",T1414&lt;&gt;"",Z1414&lt;&gt;"")),"manuell übersteuert; ","")&amp;IF(AND(BR1414=0,Q1414=0),"Gebinde unbekannt / Stellmass fehlt; ","")&amp;IF(AND(BR1414=0,N(T1414)&lt;=0,N(P1414)&lt;=0),"Menge pro Gebinde fehlt (Ist = 1 Gebinde); ","")&amp;BM1414)</f>
        <v>negativer Bestand (Export -1000); Kein Verbrauch; Lose – Fläche geschätzt; </v>
      </c>
      <c r="BF1414" s="55"/>
      <c r="BG1414" s="55"/>
      <c r="BH1414" s="62"/>
      <c r="BI1414" s="57" t="n">
        <v>-1000</v>
      </c>
      <c r="BJ1414" s="57" t="n">
        <v>2000</v>
      </c>
      <c r="BK1414" s="56" t="n">
        <v>-5150</v>
      </c>
      <c r="BL1414" s="57" t="n">
        <v>0</v>
      </c>
      <c r="BM1414" s="55"/>
      <c r="BN1414" s="60" t="n">
        <v>0</v>
      </c>
      <c r="BO1414" s="60" t="n">
        <v>1414</v>
      </c>
      <c r="BP1414" s="55" t="str">
        <f aca="false">IF(S1414&lt;&gt;"",UPPER(TRIM(S1414)),IF(O1414="","LOSE",O1414))</f>
        <v>LOSE</v>
      </c>
      <c r="BQ1414" s="57" t="n">
        <f aca="false">IF(BP1414="LOSE",1,IF(N(T1414)&gt;0,T1414,IF(N(P1414)&gt;0,P1414,MAX(1,G1414))))</f>
        <v>1</v>
      </c>
      <c r="BR1414" s="60" t="n">
        <f aca="false">IF(BP1414="LOSE",1,0)</f>
        <v>1</v>
      </c>
      <c r="BS1414" s="59" t="n">
        <f aca="false">IF(BR1414=0,0,IF(N(R1414)&gt;0,R1414,IFERROR(VLOOKUP(D1414,Parameter!$A$35:$C$64,3,0)+0,0)))</f>
        <v>0.15</v>
      </c>
      <c r="BT1414" s="55" t="n">
        <f aca="false">IF(Y1414&lt;&gt;"",Y1414,X1414)</f>
        <v>2</v>
      </c>
      <c r="BU1414" s="55" t="str">
        <f aca="false">IF(BT1414=1,"L1",IF(OR(BT1414=2,BT1414=3),"L23",IF(BT1414="Aussen","Aussen","-")))</f>
        <v>L23</v>
      </c>
      <c r="BV1414" s="66" t="n">
        <f aca="false">IF(N(Z1414)&gt;0,Z1414,0)</f>
        <v>0</v>
      </c>
      <c r="BW1414" s="60" t="n">
        <f aca="false">IF(ISNUMBER(AC1414),1,0)</f>
        <v>0</v>
      </c>
      <c r="BX1414" s="57" t="n">
        <f aca="false">N(AC1414)</f>
        <v>0</v>
      </c>
      <c r="BY1414" s="57" t="n">
        <f aca="false">N(L1414)+N(M1414)</f>
        <v>758</v>
      </c>
      <c r="BZ1414" s="57" t="n">
        <f aca="false">ROUNDUP(G1414/BQ1414,0)</f>
        <v>0</v>
      </c>
      <c r="CA1414" s="57" t="n">
        <f aca="false">ROUNDUP(BX1414/BQ1414,0)</f>
        <v>0</v>
      </c>
      <c r="CB1414" s="60" t="n">
        <f aca="false">IF(BR1414=1,0,IFERROR(VLOOKUP(BP1414,'Gebinde-Kategorie'!$A$5:$M$45,5,0)+0,0))</f>
        <v>0</v>
      </c>
      <c r="CC1414" s="60" t="n">
        <f aca="false">IFERROR(IF(OR(BT1414=1,BT1414=2,BT1414=3),N(INDEX(Parameter!$I$5:$I$7,BT1414)),0),0)</f>
        <v>0</v>
      </c>
      <c r="CD1414" s="59" t="n">
        <f aca="false">IF(AND(Parameter!$B$21="Ja",ISNUMBER(U1414),N(V1414)&gt;0),IFERROR(N(INDEX(Parameter!$L$5:$L$7,U1414))*INDEX(Parameter!$E$5:$E$7,U1414)*V1414/SUMIFS($V$7:$V$1576,$U$7:$U$1576,U1414),0),0)</f>
        <v>0</v>
      </c>
    </row>
    <row r="1415" customFormat="false" ht="15" hidden="false" customHeight="false" outlineLevel="0" collapsed="false">
      <c r="A1415" s="55" t="s">
        <v>2469</v>
      </c>
      <c r="B1415" s="55" t="s">
        <v>2370</v>
      </c>
      <c r="C1415" s="55" t="s">
        <v>160</v>
      </c>
      <c r="D1415" s="55" t="s">
        <v>161</v>
      </c>
      <c r="E1415" s="55" t="s">
        <v>210</v>
      </c>
      <c r="F1415" s="56" t="n">
        <v>2594.36</v>
      </c>
      <c r="G1415" s="57" t="n">
        <f aca="false">MAX(0,IF(AND(Parameter!$B$21="Ja",ISNUMBER(W1415)),W1415,IF(Parameter!$B$20="Jahresanfang 2025 + Export",BJ1415+BI1415,BI1415)))</f>
        <v>6</v>
      </c>
      <c r="H1415" s="57" t="n">
        <f aca="false">G1415*F1415</f>
        <v>15566.16</v>
      </c>
      <c r="I1415" s="57" t="n">
        <f aca="false">BL1415*Parameter!$B$18</f>
        <v>2</v>
      </c>
      <c r="J1415" s="58" t="n">
        <v>7</v>
      </c>
      <c r="K1415" s="59" t="n">
        <v>0.285714285714286</v>
      </c>
      <c r="L1415" s="57" t="n">
        <v>1</v>
      </c>
      <c r="M1415" s="57" t="n">
        <v>5</v>
      </c>
      <c r="N1415" s="60" t="n">
        <v>88</v>
      </c>
      <c r="O1415" s="55" t="s">
        <v>163</v>
      </c>
      <c r="P1415" s="57"/>
      <c r="Q1415" s="60" t="n">
        <f aca="false">IF(BR1415=1,0,IFERROR(VLOOKUP(BP1415,'Gebinde-Kategorie'!$A$5:$M$45,13,0)+0,0))</f>
        <v>0</v>
      </c>
      <c r="R1415" s="61"/>
      <c r="S1415" s="62"/>
      <c r="T1415" s="62"/>
      <c r="U1415" s="55" t="n">
        <v>1</v>
      </c>
      <c r="V1415" s="57" t="n">
        <v>6</v>
      </c>
      <c r="W1415" s="57" t="n">
        <v>6</v>
      </c>
      <c r="X1415" s="55" t="n">
        <f aca="false">IF(A1415="","",IF(AND(Parameter!$B$21="Ja",ISNUMBER(U1415)),U1415,IF(IFERROR(VLOOKUP(D1415,Parameter!$A$35:$C$64,2,0),"Nein")="2+3",IF(ISNUMBER(SEARCH("grosser Artikel",BM1415)),2,IFERROR(VLOOKUP(BP1415,Parameter!$F$35:$G$64,2,0),2)),IF(OR(IFERROR(VLOOKUP(D1415,Parameter!$A$35:$C$64,2,0),"Nein")="Nein",IFERROR(VLOOKUP(D1415,Parameter!$A$35:$C$64,2,0),"Nein")=""),"-",VLOOKUP(D1415,Parameter!$A$35:$C$64,2,0)))))</f>
        <v>1</v>
      </c>
      <c r="Y1415" s="62"/>
      <c r="Z1415" s="63"/>
      <c r="AA1415" s="57" t="n">
        <f aca="false">AP1415</f>
        <v>6</v>
      </c>
      <c r="AB1415" s="57" t="n">
        <f aca="false">MAX(AP1415,G1415)</f>
        <v>6</v>
      </c>
      <c r="AC1415" s="64"/>
      <c r="AD1415" s="57" t="n">
        <f aca="false">IF(LEFT(Cockpit!$C$5,1)="A",G1415,IF(BW1415=1,BX1415,IF(LEFT(Cockpit!$C$5,1)="B",AH1415,MAX(AH1415,G1415))))</f>
        <v>6</v>
      </c>
      <c r="AE1415" s="57" t="n">
        <f aca="false">IF(BR1415=1,0,ROUNDUP(AD1415/BQ1415,0))</f>
        <v>0</v>
      </c>
      <c r="AF1415" s="59" t="n">
        <f aca="false">IF(CD1415&gt;0,CD1415*MAX(1,AD1415/V1415),IF(BR1415=1,IF(AD1415&lt;=0,0,BS1415*MAX(1,IF(G1415&gt;0,AD1415/G1415,1))),IF(Q1415&gt;0,AE1415/Q1415,0))/MAX(0.1,N(Parameter!$M$21)))</f>
        <v>0.480225988700565</v>
      </c>
      <c r="AG1415" s="57" t="n">
        <f aca="false">AD1415*F1415</f>
        <v>15566.16</v>
      </c>
      <c r="AH1415" s="57" t="n">
        <f aca="false">ROUNDUP(MAX(I1415/IF(BV1415&gt;0,BV1415,MAX(0.1,N(Cockpit!$C$6))),BY1415)/BQ1415,0)*BQ1415</f>
        <v>6</v>
      </c>
      <c r="AI1415" s="58" t="n">
        <f aca="false">IF(AF1415&gt;0,I1415/AF1415,-1)</f>
        <v>4.16470588235294</v>
      </c>
      <c r="AJ1415" s="58" t="n">
        <f aca="false">IF(AND(OR(BU1415="L1",BU1415="L23"),AF1415&gt;0),SUMIFS($AF$7:$AF$1576,$BU$7:$BU$1576,BU1415,$AI$7:$AI$1576,"&gt;"&amp;AI1415)+SUMIFS($AF$7:$AF$1576,$BU$7:$BU$1576,BU1415,$AI$7:$AI$1576,AI1415,$BO$7:$BO$1576,"&lt;="&amp;BO1415),"")</f>
        <v>34.256120527307</v>
      </c>
      <c r="AK1415" s="65" t="n">
        <f aca="false">IF(AJ1415="",0,MAX(0,MIN(1,(IF(BU1415="L1",Parameter!$E$5,Parameter!$E$6+Parameter!$E$7)-(AJ1415-AF1415))/AF1415)))</f>
        <v>1</v>
      </c>
      <c r="AL1415" s="57" t="n">
        <f aca="false">IF(LEFT(Cockpit!$I$5,1)="A",G1415,IF(BW1415=1,BX1415,IF(LEFT(Cockpit!$I$5,1)="B",AP1415,MAX(AP1415,G1415))))</f>
        <v>6</v>
      </c>
      <c r="AM1415" s="57" t="n">
        <f aca="false">IF(BR1415=1,0,ROUNDUP(AL1415/BQ1415,0))</f>
        <v>0</v>
      </c>
      <c r="AN1415" s="59" t="n">
        <f aca="false">IF(CD1415&gt;0,CD1415*MAX(1,AL1415/V1415),IF(BR1415=1,IF(AL1415&lt;=0,0,BS1415*MAX(1,IF(G1415&gt;0,AL1415/G1415,1))),IF(Q1415&gt;0,AM1415/Q1415,0))/MAX(0.1,N(Parameter!$M$21)))</f>
        <v>0.480225988700565</v>
      </c>
      <c r="AO1415" s="57" t="n">
        <f aca="false">AL1415*F1415</f>
        <v>15566.16</v>
      </c>
      <c r="AP1415" s="57" t="n">
        <f aca="false">ROUNDUP(MAX(I1415/IF(BV1415&gt;0,BV1415,MAX(0.1,N(Cockpit!$I$6))),BY1415)/BQ1415,0)*BQ1415</f>
        <v>6</v>
      </c>
      <c r="AQ1415" s="58" t="n">
        <f aca="false">IF(AN1415&gt;0,I1415/AN1415,-1)</f>
        <v>4.16470588235294</v>
      </c>
      <c r="AR1415" s="58" t="n">
        <f aca="false">IF(AND(OR(BU1415="L1",BU1415="L23"),AN1415&gt;0),SUMIFS($AN$7:$AN$1576,$BU$7:$BU$1576,BU1415,$AQ$7:$AQ$1576,"&gt;"&amp;AQ1415)+SUMIFS($AN$7:$AN$1576,$BU$7:$BU$1576,BU1415,$AQ$7:$AQ$1576,AQ1415,$BO$7:$BO$1576,"&lt;="&amp;BO1415),"")</f>
        <v>39.2184557438795</v>
      </c>
      <c r="AS1415" s="65" t="n">
        <f aca="false">IF(AR1415="",0,MAX(0,MIN(1,(IF(BU1415="L1",Parameter!$E$5,Parameter!$E$6+Parameter!$E$7)-(AR1415-AN1415))/AN1415)))</f>
        <v>1</v>
      </c>
      <c r="AT1415" s="57" t="n">
        <f aca="false">IF(LEFT(Cockpit!$O$5,1)="A",G1415,IF(BW1415=1,BX1415,IF(LEFT(Cockpit!$O$5,1)="B",AX1415,MAX(AX1415,G1415))))</f>
        <v>6</v>
      </c>
      <c r="AU1415" s="57" t="n">
        <f aca="false">IF(BR1415=1,0,ROUNDUP(AT1415/BQ1415,0))</f>
        <v>0</v>
      </c>
      <c r="AV1415" s="59" t="n">
        <f aca="false">IF(CD1415&gt;0,CD1415*MAX(1,AT1415/V1415),IF(BR1415=1,IF(AT1415&lt;=0,0,BS1415*MAX(1,IF(G1415&gt;0,AT1415/G1415,1))),IF(Q1415&gt;0,AU1415/Q1415,0))/MAX(0.1,N(Parameter!$M$21)))</f>
        <v>0.480225988700565</v>
      </c>
      <c r="AW1415" s="57" t="n">
        <f aca="false">AT1415*F1415</f>
        <v>15566.16</v>
      </c>
      <c r="AX1415" s="57" t="n">
        <f aca="false">ROUNDUP(MAX(I1415/IF(BV1415&gt;0,BV1415,MAX(0.1,N(Cockpit!$O$6))),BY1415)/BQ1415,0)*BQ1415</f>
        <v>6</v>
      </c>
      <c r="AY1415" s="58" t="n">
        <f aca="false">IF(AV1415&gt;0,I1415/AV1415,-1)</f>
        <v>4.16470588235294</v>
      </c>
      <c r="AZ1415" s="58" t="n">
        <f aca="false">IF(AND(OR(BU1415="L1",BU1415="L23"),AV1415&gt;0),SUMIFS($AV$7:$AV$1576,$BU$7:$BU$1576,BU1415,$AY$7:$AY$1576,"&gt;"&amp;AY1415)+SUMIFS($AV$7:$AV$1576,$BU$7:$BU$1576,BU1415,$AY$7:$AY$1576,AY1415,$BO$7:$BO$1576,"&lt;="&amp;BO1415),"")</f>
        <v>36.2570621468927</v>
      </c>
      <c r="BA1415" s="65" t="n">
        <f aca="false">IF(AZ1415="",0,MAX(0,MIN(1,(IF(BU1415="L1",Parameter!$E$5,Parameter!$E$6+Parameter!$E$7)-(AZ1415-AV1415))/AV1415)))</f>
        <v>1</v>
      </c>
      <c r="BB1415" s="55" t="str">
        <f aca="false">IF(AF1415&lt;=0,"",IF(BU1415="Aussen","Aussenlager",IF(BU1415="-","Nicht im Lift",IF(AK1415&gt;=1,"Lift",IF(AK1415&lt;=0,"Aussenlager","teilweise")))))</f>
        <v>Lift</v>
      </c>
      <c r="BC1415" s="55" t="str">
        <f aca="false">IF(AN1415&lt;=0,"",IF(BU1415="Aussen","Aussenlager",IF(BU1415="-","Nicht im Lift",IF(AS1415&gt;=1,"Lift",IF(AS1415&lt;=0,"Aussenlager","teilweise")))))</f>
        <v>Lift</v>
      </c>
      <c r="BD1415" s="55" t="str">
        <f aca="false">IF(AV1415&lt;=0,"",IF(BU1415="Aussen","Aussenlager",IF(BU1415="-","Nicht im Lift",IF(BA1415&gt;=1,"Lift",IF(BA1415&lt;=0,"Aussenlager","teilweise")))))</f>
        <v>Lift</v>
      </c>
      <c r="BE1415" s="55" t="str">
        <f aca="false">IF(A1415="","",IF(BN1415=1,"Neu; ","")&amp;IF(AND(BN1415=0,BI1415&lt;0),"negativer Bestand (Export "&amp;BI1415&amp;"); ","")&amp;IF(I1415&lt;=0,"Kein Verbrauch; ","")&amp;IF(CD1415&gt;0,"Lift "&amp;U1415&amp;" lt. Liftbericht (Fach "&amp;V1415&amp;" Stk); ",IF(BR1415=1,"Lose – Fläche geschätzt; ",""))&amp;IF(G1415&gt;AP1415,"Überbestand "&amp;ROUND(G1415-AP1415,0)&amp;" Stk / CHF "&amp;ROUND((G1415-AP1415)*F1415,0)&amp;"; ","")&amp;IF(AND(BW1415=1,BX1415&lt;BY1415),"MAX &lt; MB+LG; ","")&amp;IF(AND(CC1415&gt;0,CB1415*10&gt;CC1415),"zu hoch für Tablar; ","")&amp;IF(AND(BN1415=0,OR(BW1415=1,Y1415&lt;&gt;"",S1415&lt;&gt;"",T1415&lt;&gt;"",Z1415&lt;&gt;"")),"manuell übersteuert; ","")&amp;IF(AND(BR1415=0,Q1415=0),"Gebinde unbekannt / Stellmass fehlt; ","")&amp;IF(AND(BR1415=0,N(T1415)&lt;=0,N(P1415)&lt;=0),"Menge pro Gebinde fehlt (Ist = 1 Gebinde); ","")&amp;BM1415)</f>
        <v>negativer Bestand (Export -2); Lift 1 lt. Liftbericht (Fach 6 Stk); </v>
      </c>
      <c r="BF1415" s="55"/>
      <c r="BG1415" s="55"/>
      <c r="BH1415" s="62"/>
      <c r="BI1415" s="57" t="n">
        <v>-2</v>
      </c>
      <c r="BJ1415" s="57" t="n">
        <v>8</v>
      </c>
      <c r="BK1415" s="56" t="n">
        <v>-5188.72</v>
      </c>
      <c r="BL1415" s="57" t="n">
        <v>2</v>
      </c>
      <c r="BM1415" s="55"/>
      <c r="BN1415" s="60" t="n">
        <v>0</v>
      </c>
      <c r="BO1415" s="60" t="n">
        <v>1415</v>
      </c>
      <c r="BP1415" s="55" t="str">
        <f aca="false">IF(S1415&lt;&gt;"",UPPER(TRIM(S1415)),IF(O1415="","LOSE",O1415))</f>
        <v>LOSE</v>
      </c>
      <c r="BQ1415" s="57" t="n">
        <f aca="false">IF(BP1415="LOSE",1,IF(N(T1415)&gt;0,T1415,IF(N(P1415)&gt;0,P1415,MAX(1,G1415))))</f>
        <v>1</v>
      </c>
      <c r="BR1415" s="60" t="n">
        <f aca="false">IF(BP1415="LOSE",1,0)</f>
        <v>1</v>
      </c>
      <c r="BS1415" s="59" t="n">
        <f aca="false">IF(BR1415=0,0,IF(N(R1415)&gt;0,R1415,IFERROR(VLOOKUP(D1415,Parameter!$A$35:$C$64,3,0)+0,0)))</f>
        <v>1</v>
      </c>
      <c r="BT1415" s="55" t="n">
        <f aca="false">IF(Y1415&lt;&gt;"",Y1415,X1415)</f>
        <v>1</v>
      </c>
      <c r="BU1415" s="55" t="str">
        <f aca="false">IF(BT1415=1,"L1",IF(OR(BT1415=2,BT1415=3),"L23",IF(BT1415="Aussen","Aussen","-")))</f>
        <v>L1</v>
      </c>
      <c r="BV1415" s="66" t="n">
        <f aca="false">IF(N(Z1415)&gt;0,Z1415,0)</f>
        <v>0</v>
      </c>
      <c r="BW1415" s="60" t="n">
        <f aca="false">IF(ISNUMBER(AC1415),1,0)</f>
        <v>0</v>
      </c>
      <c r="BX1415" s="57" t="n">
        <f aca="false">N(AC1415)</f>
        <v>0</v>
      </c>
      <c r="BY1415" s="57" t="n">
        <f aca="false">N(L1415)+N(M1415)</f>
        <v>6</v>
      </c>
      <c r="BZ1415" s="57" t="n">
        <f aca="false">ROUNDUP(G1415/BQ1415,0)</f>
        <v>6</v>
      </c>
      <c r="CA1415" s="57" t="n">
        <f aca="false">ROUNDUP(BX1415/BQ1415,0)</f>
        <v>0</v>
      </c>
      <c r="CB1415" s="60" t="n">
        <f aca="false">IF(BR1415=1,0,IFERROR(VLOOKUP(BP1415,'Gebinde-Kategorie'!$A$5:$M$45,5,0)+0,0))</f>
        <v>0</v>
      </c>
      <c r="CC1415" s="60" t="n">
        <f aca="false">IFERROR(IF(OR(BT1415=1,BT1415=2,BT1415=3),N(INDEX(Parameter!$I$5:$I$7,BT1415)),0),0)</f>
        <v>0</v>
      </c>
      <c r="CD1415" s="59" t="n">
        <f aca="false">IF(AND(Parameter!$B$21="Ja",ISNUMBER(U1415),N(V1415)&gt;0),IFERROR(N(INDEX(Parameter!$L$5:$L$7,U1415))*INDEX(Parameter!$E$5:$E$7,U1415)*V1415/SUMIFS($V$7:$V$1576,$U$7:$U$1576,U1415),0),0)</f>
        <v>0.480225988700565</v>
      </c>
    </row>
    <row r="1416" customFormat="false" ht="15" hidden="false" customHeight="false" outlineLevel="0" collapsed="false">
      <c r="A1416" s="55" t="s">
        <v>2470</v>
      </c>
      <c r="B1416" s="55" t="s">
        <v>2422</v>
      </c>
      <c r="C1416" s="55" t="s">
        <v>446</v>
      </c>
      <c r="D1416" s="55" t="s">
        <v>178</v>
      </c>
      <c r="E1416" s="55" t="s">
        <v>210</v>
      </c>
      <c r="F1416" s="56" t="n">
        <v>655.07</v>
      </c>
      <c r="G1416" s="57" t="n">
        <f aca="false">MAX(0,IF(AND(Parameter!$B$21="Ja",ISNUMBER(W1416)),W1416,IF(Parameter!$B$20="Jahresanfang 2025 + Export",BJ1416+BI1416,BI1416)))</f>
        <v>0</v>
      </c>
      <c r="H1416" s="57" t="n">
        <f aca="false">G1416*F1416</f>
        <v>0</v>
      </c>
      <c r="I1416" s="57" t="n">
        <f aca="false">BL1416*Parameter!$B$18</f>
        <v>5</v>
      </c>
      <c r="J1416" s="58" t="n">
        <v>4</v>
      </c>
      <c r="K1416" s="59" t="n">
        <v>1.25</v>
      </c>
      <c r="L1416" s="57" t="n">
        <v>0</v>
      </c>
      <c r="M1416" s="57" t="n">
        <v>5</v>
      </c>
      <c r="N1416" s="60" t="n">
        <v>35</v>
      </c>
      <c r="O1416" s="55" t="s">
        <v>218</v>
      </c>
      <c r="P1416" s="57" t="n">
        <v>11</v>
      </c>
      <c r="Q1416" s="60" t="n">
        <f aca="false">IF(BR1416=1,0,IFERROR(VLOOKUP(BP1416,'Gebinde-Kategorie'!$A$5:$M$45,13,0)+0,0))</f>
        <v>12</v>
      </c>
      <c r="R1416" s="61"/>
      <c r="S1416" s="62"/>
      <c r="T1416" s="62"/>
      <c r="U1416" s="55"/>
      <c r="V1416" s="57"/>
      <c r="W1416" s="57"/>
      <c r="X1416" s="55" t="n">
        <f aca="false">IF(A1416="","",IF(AND(Parameter!$B$21="Ja",ISNUMBER(U1416)),U1416,IF(IFERROR(VLOOKUP(D1416,Parameter!$A$35:$C$64,2,0),"Nein")="2+3",IF(ISNUMBER(SEARCH("grosser Artikel",BM1416)),2,IFERROR(VLOOKUP(BP1416,Parameter!$F$35:$G$64,2,0),2)),IF(OR(IFERROR(VLOOKUP(D1416,Parameter!$A$35:$C$64,2,0),"Nein")="Nein",IFERROR(VLOOKUP(D1416,Parameter!$A$35:$C$64,2,0),"Nein")=""),"-",VLOOKUP(D1416,Parameter!$A$35:$C$64,2,0)))))</f>
        <v>2</v>
      </c>
      <c r="Y1416" s="62"/>
      <c r="Z1416" s="63"/>
      <c r="AA1416" s="57" t="n">
        <f aca="false">AP1416</f>
        <v>11</v>
      </c>
      <c r="AB1416" s="57" t="n">
        <f aca="false">MAX(AP1416,G1416)</f>
        <v>11</v>
      </c>
      <c r="AC1416" s="64"/>
      <c r="AD1416" s="57" t="n">
        <f aca="false">IF(LEFT(Cockpit!$C$5,1)="A",G1416,IF(BW1416=1,BX1416,IF(LEFT(Cockpit!$C$5,1)="B",AH1416,MAX(AH1416,G1416))))</f>
        <v>0</v>
      </c>
      <c r="AE1416" s="57" t="n">
        <f aca="false">IF(BR1416=1,0,ROUNDUP(AD1416/BQ1416,0))</f>
        <v>0</v>
      </c>
      <c r="AF1416" s="59" t="n">
        <f aca="false">IF(CD1416&gt;0,CD1416*MAX(1,AD1416/V1416),IF(BR1416=1,IF(AD1416&lt;=0,0,BS1416*MAX(1,IF(G1416&gt;0,AD1416/G1416,1))),IF(Q1416&gt;0,AE1416/Q1416,0))/MAX(0.1,N(Parameter!$M$21)))</f>
        <v>0</v>
      </c>
      <c r="AG1416" s="57" t="n">
        <f aca="false">AD1416*F1416</f>
        <v>0</v>
      </c>
      <c r="AH1416" s="57" t="n">
        <f aca="false">ROUNDUP(MAX(I1416/IF(BV1416&gt;0,BV1416,MAX(0.1,N(Cockpit!$C$6))),BY1416)/BQ1416,0)*BQ1416</f>
        <v>11</v>
      </c>
      <c r="AI1416" s="58" t="n">
        <f aca="false">IF(AF1416&gt;0,I1416/AF1416,-1)</f>
        <v>-1</v>
      </c>
      <c r="AJ1416" s="58" t="str">
        <f aca="false">IF(AND(OR(BU1416="L1",BU1416="L23"),AF1416&gt;0),SUMIFS($AF$7:$AF$1576,$BU$7:$BU$1576,BU1416,$AI$7:$AI$1576,"&gt;"&amp;AI1416)+SUMIFS($AF$7:$AF$1576,$BU$7:$BU$1576,BU1416,$AI$7:$AI$1576,AI1416,$BO$7:$BO$1576,"&lt;="&amp;BO1416),"")</f>
        <v/>
      </c>
      <c r="AK1416" s="65" t="n">
        <f aca="false">IF(AJ1416="",0,MAX(0,MIN(1,(IF(BU1416="L1",Parameter!$E$5,Parameter!$E$6+Parameter!$E$7)-(AJ1416-AF1416))/AF1416)))</f>
        <v>0</v>
      </c>
      <c r="AL1416" s="57" t="n">
        <f aca="false">IF(LEFT(Cockpit!$I$5,1)="A",G1416,IF(BW1416=1,BX1416,IF(LEFT(Cockpit!$I$5,1)="B",AP1416,MAX(AP1416,G1416))))</f>
        <v>11</v>
      </c>
      <c r="AM1416" s="57" t="n">
        <f aca="false">IF(BR1416=1,0,ROUNDUP(AL1416/BQ1416,0))</f>
        <v>1</v>
      </c>
      <c r="AN1416" s="59" t="n">
        <f aca="false">IF(CD1416&gt;0,CD1416*MAX(1,AL1416/V1416),IF(BR1416=1,IF(AL1416&lt;=0,0,BS1416*MAX(1,IF(G1416&gt;0,AL1416/G1416,1))),IF(Q1416&gt;0,AM1416/Q1416,0))/MAX(0.1,N(Parameter!$M$21)))</f>
        <v>0.0833333333333333</v>
      </c>
      <c r="AO1416" s="57" t="n">
        <f aca="false">AL1416*F1416</f>
        <v>7205.77</v>
      </c>
      <c r="AP1416" s="57" t="n">
        <f aca="false">ROUNDUP(MAX(I1416/IF(BV1416&gt;0,BV1416,MAX(0.1,N(Cockpit!$I$6))),BY1416)/BQ1416,0)*BQ1416</f>
        <v>11</v>
      </c>
      <c r="AQ1416" s="58" t="n">
        <f aca="false">IF(AN1416&gt;0,I1416/AN1416,-1)</f>
        <v>60</v>
      </c>
      <c r="AR1416" s="58" t="n">
        <f aca="false">IF(AND(OR(BU1416="L1",BU1416="L23"),AN1416&gt;0),SUMIFS($AN$7:$AN$1576,$BU$7:$BU$1576,BU1416,$AQ$7:$AQ$1576,"&gt;"&amp;AQ1416)+SUMIFS($AN$7:$AN$1576,$BU$7:$BU$1576,BU1416,$AQ$7:$AQ$1576,AQ1416,$BO$7:$BO$1576,"&lt;="&amp;BO1416),"")</f>
        <v>78.1426909989522</v>
      </c>
      <c r="AS1416" s="65" t="n">
        <f aca="false">IF(AR1416="",0,MAX(0,MIN(1,(IF(BU1416="L1",Parameter!$E$5,Parameter!$E$6+Parameter!$E$7)-(AR1416-AN1416))/AN1416)))</f>
        <v>1</v>
      </c>
      <c r="AT1416" s="57" t="n">
        <f aca="false">IF(LEFT(Cockpit!$O$5,1)="A",G1416,IF(BW1416=1,BX1416,IF(LEFT(Cockpit!$O$5,1)="B",AX1416,MAX(AX1416,G1416))))</f>
        <v>11</v>
      </c>
      <c r="AU1416" s="57" t="n">
        <f aca="false">IF(BR1416=1,0,ROUNDUP(AT1416/BQ1416,0))</f>
        <v>1</v>
      </c>
      <c r="AV1416" s="59" t="n">
        <f aca="false">IF(CD1416&gt;0,CD1416*MAX(1,AT1416/V1416),IF(BR1416=1,IF(AT1416&lt;=0,0,BS1416*MAX(1,IF(G1416&gt;0,AT1416/G1416,1))),IF(Q1416&gt;0,AU1416/Q1416,0))/MAX(0.1,N(Parameter!$M$21)))</f>
        <v>0.0833333333333333</v>
      </c>
      <c r="AW1416" s="57" t="n">
        <f aca="false">AT1416*F1416</f>
        <v>7205.77</v>
      </c>
      <c r="AX1416" s="57" t="n">
        <f aca="false">ROUNDUP(MAX(I1416/IF(BV1416&gt;0,BV1416,MAX(0.1,N(Cockpit!$O$6))),BY1416)/BQ1416,0)*BQ1416</f>
        <v>11</v>
      </c>
      <c r="AY1416" s="58" t="n">
        <f aca="false">IF(AV1416&gt;0,I1416/AV1416,-1)</f>
        <v>60</v>
      </c>
      <c r="AZ1416" s="58" t="n">
        <f aca="false">IF(AND(OR(BU1416="L1",BU1416="L23"),AV1416&gt;0),SUMIFS($AV$7:$AV$1576,$BU$7:$BU$1576,BU1416,$AY$7:$AY$1576,"&gt;"&amp;AY1416)+SUMIFS($AV$7:$AV$1576,$BU$7:$BU$1576,BU1416,$AY$7:$AY$1576,AY1416,$BO$7:$BO$1576,"&lt;="&amp;BO1416),"")</f>
        <v>76.3439081151693</v>
      </c>
      <c r="BA1416" s="65" t="n">
        <f aca="false">IF(AZ1416="",0,MAX(0,MIN(1,(IF(BU1416="L1",Parameter!$E$5,Parameter!$E$6+Parameter!$E$7)-(AZ1416-AV1416))/AV1416)))</f>
        <v>1</v>
      </c>
      <c r="BB1416" s="55" t="str">
        <f aca="false">IF(AF1416&lt;=0,"",IF(BU1416="Aussen","Aussenlager",IF(BU1416="-","Nicht im Lift",IF(AK1416&gt;=1,"Lift",IF(AK1416&lt;=0,"Aussenlager","teilweise")))))</f>
        <v/>
      </c>
      <c r="BC1416" s="55" t="str">
        <f aca="false">IF(AN1416&lt;=0,"",IF(BU1416="Aussen","Aussenlager",IF(BU1416="-","Nicht im Lift",IF(AS1416&gt;=1,"Lift",IF(AS1416&lt;=0,"Aussenlager","teilweise")))))</f>
        <v>Lift</v>
      </c>
      <c r="BD1416" s="55" t="str">
        <f aca="false">IF(AV1416&lt;=0,"",IF(BU1416="Aussen","Aussenlager",IF(BU1416="-","Nicht im Lift",IF(BA1416&gt;=1,"Lift",IF(BA1416&lt;=0,"Aussenlager","teilweise")))))</f>
        <v>Lift</v>
      </c>
      <c r="BE1416" s="55" t="str">
        <f aca="false">IF(A1416="","",IF(BN1416=1,"Neu; ","")&amp;IF(AND(BN1416=0,BI1416&lt;0),"negativer Bestand (Export "&amp;BI1416&amp;"); ","")&amp;IF(I1416&lt;=0,"Kein Verbrauch; ","")&amp;IF(CD1416&gt;0,"Lift "&amp;U1416&amp;" lt. Liftbericht (Fach "&amp;V1416&amp;" Stk); ",IF(BR1416=1,"Lose – Fläche geschätzt; ",""))&amp;IF(G1416&gt;AP1416,"Überbestand "&amp;ROUND(G1416-AP1416,0)&amp;" Stk / CHF "&amp;ROUND((G1416-AP1416)*F1416,0)&amp;"; ","")&amp;IF(AND(BW1416=1,BX1416&lt;BY1416),"MAX &lt; MB+LG; ","")&amp;IF(AND(CC1416&gt;0,CB1416*10&gt;CC1416),"zu hoch für Tablar; ","")&amp;IF(AND(BN1416=0,OR(BW1416=1,Y1416&lt;&gt;"",S1416&lt;&gt;"",T1416&lt;&gt;"",Z1416&lt;&gt;"")),"manuell übersteuert; ","")&amp;IF(AND(BR1416=0,Q1416=0),"Gebinde unbekannt / Stellmass fehlt; ","")&amp;IF(AND(BR1416=0,N(T1416)&lt;=0,N(P1416)&lt;=0),"Menge pro Gebinde fehlt (Ist = 1 Gebinde); ","")&amp;BM1416)</f>
        <v>negativer Bestand (Export -8); </v>
      </c>
      <c r="BF1416" s="55"/>
      <c r="BG1416" s="55"/>
      <c r="BH1416" s="62"/>
      <c r="BI1416" s="57" t="n">
        <v>-8</v>
      </c>
      <c r="BJ1416" s="57" t="n">
        <v>8</v>
      </c>
      <c r="BK1416" s="56" t="n">
        <v>-5240.56</v>
      </c>
      <c r="BL1416" s="57" t="n">
        <v>5</v>
      </c>
      <c r="BM1416" s="55"/>
      <c r="BN1416" s="60" t="n">
        <v>0</v>
      </c>
      <c r="BO1416" s="60" t="n">
        <v>1416</v>
      </c>
      <c r="BP1416" s="55" t="str">
        <f aca="false">IF(S1416&lt;&gt;"",UPPER(TRIM(S1416)),IF(O1416="","LOSE",O1416))</f>
        <v>S63</v>
      </c>
      <c r="BQ1416" s="57" t="n">
        <f aca="false">IF(BP1416="LOSE",1,IF(N(T1416)&gt;0,T1416,IF(N(P1416)&gt;0,P1416,MAX(1,G1416))))</f>
        <v>11</v>
      </c>
      <c r="BR1416" s="60" t="n">
        <f aca="false">IF(BP1416="LOSE",1,0)</f>
        <v>0</v>
      </c>
      <c r="BS1416" s="59" t="n">
        <f aca="false">IF(BR1416=0,0,IF(N(R1416)&gt;0,R1416,IFERROR(VLOOKUP(D1416,Parameter!$A$35:$C$64,3,0)+0,0)))</f>
        <v>0</v>
      </c>
      <c r="BT1416" s="55" t="n">
        <f aca="false">IF(Y1416&lt;&gt;"",Y1416,X1416)</f>
        <v>2</v>
      </c>
      <c r="BU1416" s="55" t="str">
        <f aca="false">IF(BT1416=1,"L1",IF(OR(BT1416=2,BT1416=3),"L23",IF(BT1416="Aussen","Aussen","-")))</f>
        <v>L23</v>
      </c>
      <c r="BV1416" s="66" t="n">
        <f aca="false">IF(N(Z1416)&gt;0,Z1416,0)</f>
        <v>0</v>
      </c>
      <c r="BW1416" s="60" t="n">
        <f aca="false">IF(ISNUMBER(AC1416),1,0)</f>
        <v>0</v>
      </c>
      <c r="BX1416" s="57" t="n">
        <f aca="false">N(AC1416)</f>
        <v>0</v>
      </c>
      <c r="BY1416" s="57" t="n">
        <f aca="false">N(L1416)+N(M1416)</f>
        <v>5</v>
      </c>
      <c r="BZ1416" s="57" t="n">
        <f aca="false">ROUNDUP(G1416/BQ1416,0)</f>
        <v>0</v>
      </c>
      <c r="CA1416" s="57" t="n">
        <f aca="false">ROUNDUP(BX1416/BQ1416,0)</f>
        <v>0</v>
      </c>
      <c r="CB1416" s="60" t="n">
        <f aca="false">IF(BR1416=1,0,IFERROR(VLOOKUP(BP1416,'Gebinde-Kategorie'!$A$5:$M$45,5,0)+0,0))</f>
        <v>31</v>
      </c>
      <c r="CC1416" s="60" t="n">
        <f aca="false">IFERROR(IF(OR(BT1416=1,BT1416=2,BT1416=3),N(INDEX(Parameter!$I$5:$I$7,BT1416)),0),0)</f>
        <v>0</v>
      </c>
      <c r="CD1416" s="59" t="n">
        <f aca="false">IF(AND(Parameter!$B$21="Ja",ISNUMBER(U1416),N(V1416)&gt;0),IFERROR(N(INDEX(Parameter!$L$5:$L$7,U1416))*INDEX(Parameter!$E$5:$E$7,U1416)*V1416/SUMIFS($V$7:$V$1576,$U$7:$U$1576,U1416),0),0)</f>
        <v>0</v>
      </c>
    </row>
    <row r="1417" customFormat="false" ht="15" hidden="false" customHeight="false" outlineLevel="0" collapsed="false">
      <c r="A1417" s="55" t="s">
        <v>2471</v>
      </c>
      <c r="B1417" s="55" t="s">
        <v>2472</v>
      </c>
      <c r="C1417" s="55" t="s">
        <v>162</v>
      </c>
      <c r="D1417" s="55" t="s">
        <v>168</v>
      </c>
      <c r="E1417" s="55" t="s">
        <v>210</v>
      </c>
      <c r="F1417" s="56" t="n">
        <v>34.75</v>
      </c>
      <c r="G1417" s="57" t="n">
        <f aca="false">MAX(0,IF(AND(Parameter!$B$21="Ja",ISNUMBER(W1417)),W1417,IF(Parameter!$B$20="Jahresanfang 2025 + Export",BJ1417+BI1417,BI1417)))</f>
        <v>0</v>
      </c>
      <c r="H1417" s="57" t="n">
        <f aca="false">G1417*F1417</f>
        <v>0</v>
      </c>
      <c r="I1417" s="57" t="n">
        <f aca="false">BL1417*Parameter!$B$18</f>
        <v>185</v>
      </c>
      <c r="J1417" s="58" t="n">
        <v>117.5</v>
      </c>
      <c r="K1417" s="59" t="n">
        <v>1.57446808510638</v>
      </c>
      <c r="L1417" s="57" t="n">
        <v>0</v>
      </c>
      <c r="M1417" s="57" t="n">
        <v>1</v>
      </c>
      <c r="N1417" s="60" t="n">
        <v>56</v>
      </c>
      <c r="O1417" s="55" t="s">
        <v>163</v>
      </c>
      <c r="P1417" s="57"/>
      <c r="Q1417" s="60" t="n">
        <f aca="false">IF(BR1417=1,0,IFERROR(VLOOKUP(BP1417,'Gebinde-Kategorie'!$A$5:$M$45,13,0)+0,0))</f>
        <v>0</v>
      </c>
      <c r="R1417" s="61"/>
      <c r="S1417" s="62"/>
      <c r="T1417" s="62"/>
      <c r="U1417" s="55"/>
      <c r="V1417" s="57"/>
      <c r="W1417" s="57"/>
      <c r="X1417" s="55" t="n">
        <f aca="false">IF(A1417="","",IF(AND(Parameter!$B$21="Ja",ISNUMBER(U1417)),U1417,IF(IFERROR(VLOOKUP(D1417,Parameter!$A$35:$C$64,2,0),"Nein")="2+3",IF(ISNUMBER(SEARCH("grosser Artikel",BM1417)),2,IFERROR(VLOOKUP(BP1417,Parameter!$F$35:$G$64,2,0),2)),IF(OR(IFERROR(VLOOKUP(D1417,Parameter!$A$35:$C$64,2,0),"Nein")="Nein",IFERROR(VLOOKUP(D1417,Parameter!$A$35:$C$64,2,0),"Nein")=""),"-",VLOOKUP(D1417,Parameter!$A$35:$C$64,2,0)))))</f>
        <v>2</v>
      </c>
      <c r="Y1417" s="62"/>
      <c r="Z1417" s="63"/>
      <c r="AA1417" s="57" t="n">
        <f aca="false">AP1417</f>
        <v>93</v>
      </c>
      <c r="AB1417" s="57" t="n">
        <f aca="false">MAX(AP1417,G1417)</f>
        <v>93</v>
      </c>
      <c r="AC1417" s="64"/>
      <c r="AD1417" s="57" t="n">
        <f aca="false">IF(LEFT(Cockpit!$C$5,1)="A",G1417,IF(BW1417=1,BX1417,IF(LEFT(Cockpit!$C$5,1)="B",AH1417,MAX(AH1417,G1417))))</f>
        <v>0</v>
      </c>
      <c r="AE1417" s="57" t="n">
        <f aca="false">IF(BR1417=1,0,ROUNDUP(AD1417/BQ1417,0))</f>
        <v>0</v>
      </c>
      <c r="AF1417" s="59" t="n">
        <f aca="false">IF(CD1417&gt;0,CD1417*MAX(1,AD1417/V1417),IF(BR1417=1,IF(AD1417&lt;=0,0,BS1417*MAX(1,IF(G1417&gt;0,AD1417/G1417,1))),IF(Q1417&gt;0,AE1417/Q1417,0))/MAX(0.1,N(Parameter!$M$21)))</f>
        <v>0</v>
      </c>
      <c r="AG1417" s="57" t="n">
        <f aca="false">AD1417*F1417</f>
        <v>0</v>
      </c>
      <c r="AH1417" s="57" t="n">
        <f aca="false">ROUNDUP(MAX(I1417/IF(BV1417&gt;0,BV1417,MAX(0.1,N(Cockpit!$C$6))),BY1417)/BQ1417,0)*BQ1417</f>
        <v>93</v>
      </c>
      <c r="AI1417" s="58" t="n">
        <f aca="false">IF(AF1417&gt;0,I1417/AF1417,-1)</f>
        <v>-1</v>
      </c>
      <c r="AJ1417" s="58" t="str">
        <f aca="false">IF(AND(OR(BU1417="L1",BU1417="L23"),AF1417&gt;0),SUMIFS($AF$7:$AF$1576,$BU$7:$BU$1576,BU1417,$AI$7:$AI$1576,"&gt;"&amp;AI1417)+SUMIFS($AF$7:$AF$1576,$BU$7:$BU$1576,BU1417,$AI$7:$AI$1576,AI1417,$BO$7:$BO$1576,"&lt;="&amp;BO1417),"")</f>
        <v/>
      </c>
      <c r="AK1417" s="65" t="n">
        <f aca="false">IF(AJ1417="",0,MAX(0,MIN(1,(IF(BU1417="L1",Parameter!$E$5,Parameter!$E$6+Parameter!$E$7)-(AJ1417-AF1417))/AF1417)))</f>
        <v>0</v>
      </c>
      <c r="AL1417" s="57" t="n">
        <f aca="false">IF(LEFT(Cockpit!$I$5,1)="A",G1417,IF(BW1417=1,BX1417,IF(LEFT(Cockpit!$I$5,1)="B",AP1417,MAX(AP1417,G1417))))</f>
        <v>93</v>
      </c>
      <c r="AM1417" s="57" t="n">
        <f aca="false">IF(BR1417=1,0,ROUNDUP(AL1417/BQ1417,0))</f>
        <v>0</v>
      </c>
      <c r="AN1417" s="59" t="n">
        <f aca="false">IF(CD1417&gt;0,CD1417*MAX(1,AL1417/V1417),IF(BR1417=1,IF(AL1417&lt;=0,0,BS1417*MAX(1,IF(G1417&gt;0,AL1417/G1417,1))),IF(Q1417&gt;0,AM1417/Q1417,0))/MAX(0.1,N(Parameter!$M$21)))</f>
        <v>0.15</v>
      </c>
      <c r="AO1417" s="57" t="n">
        <f aca="false">AL1417*F1417</f>
        <v>3231.75</v>
      </c>
      <c r="AP1417" s="57" t="n">
        <f aca="false">ROUNDUP(MAX(I1417/IF(BV1417&gt;0,BV1417,MAX(0.1,N(Cockpit!$I$6))),BY1417)/BQ1417,0)*BQ1417</f>
        <v>93</v>
      </c>
      <c r="AQ1417" s="58" t="n">
        <f aca="false">IF(AN1417&gt;0,I1417/AN1417,-1)</f>
        <v>1233.33333333333</v>
      </c>
      <c r="AR1417" s="58" t="n">
        <f aca="false">IF(AND(OR(BU1417="L1",BU1417="L23"),AN1417&gt;0),SUMIFS($AN$7:$AN$1576,$BU$7:$BU$1576,BU1417,$AQ$7:$AQ$1576,"&gt;"&amp;AQ1417)+SUMIFS($AN$7:$AN$1576,$BU$7:$BU$1576,BU1417,$AQ$7:$AQ$1576,AQ1417,$BO$7:$BO$1576,"&lt;="&amp;BO1417),"")</f>
        <v>21.0339400337338</v>
      </c>
      <c r="AS1417" s="65" t="n">
        <f aca="false">IF(AR1417="",0,MAX(0,MIN(1,(IF(BU1417="L1",Parameter!$E$5,Parameter!$E$6+Parameter!$E$7)-(AR1417-AN1417))/AN1417)))</f>
        <v>1</v>
      </c>
      <c r="AT1417" s="57" t="n">
        <f aca="false">IF(LEFT(Cockpit!$O$5,1)="A",G1417,IF(BW1417=1,BX1417,IF(LEFT(Cockpit!$O$5,1)="B",AX1417,MAX(AX1417,G1417))))</f>
        <v>62</v>
      </c>
      <c r="AU1417" s="57" t="n">
        <f aca="false">IF(BR1417=1,0,ROUNDUP(AT1417/BQ1417,0))</f>
        <v>0</v>
      </c>
      <c r="AV1417" s="59" t="n">
        <f aca="false">IF(CD1417&gt;0,CD1417*MAX(1,AT1417/V1417),IF(BR1417=1,IF(AT1417&lt;=0,0,BS1417*MAX(1,IF(G1417&gt;0,AT1417/G1417,1))),IF(Q1417&gt;0,AU1417/Q1417,0))/MAX(0.1,N(Parameter!$M$21)))</f>
        <v>0.15</v>
      </c>
      <c r="AW1417" s="57" t="n">
        <f aca="false">AT1417*F1417</f>
        <v>2154.5</v>
      </c>
      <c r="AX1417" s="57" t="n">
        <f aca="false">ROUNDUP(MAX(I1417/IF(BV1417&gt;0,BV1417,MAX(0.1,N(Cockpit!$O$6))),BY1417)/BQ1417,0)*BQ1417</f>
        <v>62</v>
      </c>
      <c r="AY1417" s="58" t="n">
        <f aca="false">IF(AV1417&gt;0,I1417/AV1417,-1)</f>
        <v>1233.33333333333</v>
      </c>
      <c r="AZ1417" s="58" t="n">
        <f aca="false">IF(AND(OR(BU1417="L1",BU1417="L23"),AV1417&gt;0),SUMIFS($AV$7:$AV$1576,$BU$7:$BU$1576,BU1417,$AY$7:$AY$1576,"&gt;"&amp;AY1417)+SUMIFS($AV$7:$AV$1576,$BU$7:$BU$1576,BU1417,$AY$7:$AY$1576,AY1417,$BO$7:$BO$1576,"&lt;="&amp;BO1417),"")</f>
        <v>20.0945460943399</v>
      </c>
      <c r="BA1417" s="65" t="n">
        <f aca="false">IF(AZ1417="",0,MAX(0,MIN(1,(IF(BU1417="L1",Parameter!$E$5,Parameter!$E$6+Parameter!$E$7)-(AZ1417-AV1417))/AV1417)))</f>
        <v>1</v>
      </c>
      <c r="BB1417" s="55" t="str">
        <f aca="false">IF(AF1417&lt;=0,"",IF(BU1417="Aussen","Aussenlager",IF(BU1417="-","Nicht im Lift",IF(AK1417&gt;=1,"Lift",IF(AK1417&lt;=0,"Aussenlager","teilweise")))))</f>
        <v/>
      </c>
      <c r="BC1417" s="55" t="str">
        <f aca="false">IF(AN1417&lt;=0,"",IF(BU1417="Aussen","Aussenlager",IF(BU1417="-","Nicht im Lift",IF(AS1417&gt;=1,"Lift",IF(AS1417&lt;=0,"Aussenlager","teilweise")))))</f>
        <v>Lift</v>
      </c>
      <c r="BD1417" s="55" t="str">
        <f aca="false">IF(AV1417&lt;=0,"",IF(BU1417="Aussen","Aussenlager",IF(BU1417="-","Nicht im Lift",IF(BA1417&gt;=1,"Lift",IF(BA1417&lt;=0,"Aussenlager","teilweise")))))</f>
        <v>Lift</v>
      </c>
      <c r="BE1417" s="55" t="str">
        <f aca="false">IF(A1417="","",IF(BN1417=1,"Neu; ","")&amp;IF(AND(BN1417=0,BI1417&lt;0),"negativer Bestand (Export "&amp;BI1417&amp;"); ","")&amp;IF(I1417&lt;=0,"Kein Verbrauch; ","")&amp;IF(CD1417&gt;0,"Lift "&amp;U1417&amp;" lt. Liftbericht (Fach "&amp;V1417&amp;" Stk); ",IF(BR1417=1,"Lose – Fläche geschätzt; ",""))&amp;IF(G1417&gt;AP1417,"Überbestand "&amp;ROUND(G1417-AP1417,0)&amp;" Stk / CHF "&amp;ROUND((G1417-AP1417)*F1417,0)&amp;"; ","")&amp;IF(AND(BW1417=1,BX1417&lt;BY1417),"MAX &lt; MB+LG; ","")&amp;IF(AND(CC1417&gt;0,CB1417*10&gt;CC1417),"zu hoch für Tablar; ","")&amp;IF(AND(BN1417=0,OR(BW1417=1,Y1417&lt;&gt;"",S1417&lt;&gt;"",T1417&lt;&gt;"",Z1417&lt;&gt;"")),"manuell übersteuert; ","")&amp;IF(AND(BR1417=0,Q1417=0),"Gebinde unbekannt / Stellmass fehlt; ","")&amp;IF(AND(BR1417=0,N(T1417)&lt;=0,N(P1417)&lt;=0),"Menge pro Gebinde fehlt (Ist = 1 Gebinde); ","")&amp;BM1417)</f>
        <v>negativer Bestand (Export -151); Lose – Fläche geschätzt; </v>
      </c>
      <c r="BF1417" s="55"/>
      <c r="BG1417" s="55"/>
      <c r="BH1417" s="62"/>
      <c r="BI1417" s="57" t="n">
        <v>-151</v>
      </c>
      <c r="BJ1417" s="57" t="n">
        <v>198</v>
      </c>
      <c r="BK1417" s="56" t="n">
        <v>-5247.25</v>
      </c>
      <c r="BL1417" s="57" t="n">
        <v>185</v>
      </c>
      <c r="BM1417" s="55"/>
      <c r="BN1417" s="60" t="n">
        <v>0</v>
      </c>
      <c r="BO1417" s="60" t="n">
        <v>1417</v>
      </c>
      <c r="BP1417" s="55" t="str">
        <f aca="false">IF(S1417&lt;&gt;"",UPPER(TRIM(S1417)),IF(O1417="","LOSE",O1417))</f>
        <v>LOSE</v>
      </c>
      <c r="BQ1417" s="57" t="n">
        <f aca="false">IF(BP1417="LOSE",1,IF(N(T1417)&gt;0,T1417,IF(N(P1417)&gt;0,P1417,MAX(1,G1417))))</f>
        <v>1</v>
      </c>
      <c r="BR1417" s="60" t="n">
        <f aca="false">IF(BP1417="LOSE",1,0)</f>
        <v>1</v>
      </c>
      <c r="BS1417" s="59" t="n">
        <f aca="false">IF(BR1417=0,0,IF(N(R1417)&gt;0,R1417,IFERROR(VLOOKUP(D1417,Parameter!$A$35:$C$64,3,0)+0,0)))</f>
        <v>0.15</v>
      </c>
      <c r="BT1417" s="55" t="n">
        <f aca="false">IF(Y1417&lt;&gt;"",Y1417,X1417)</f>
        <v>2</v>
      </c>
      <c r="BU1417" s="55" t="str">
        <f aca="false">IF(BT1417=1,"L1",IF(OR(BT1417=2,BT1417=3),"L23",IF(BT1417="Aussen","Aussen","-")))</f>
        <v>L23</v>
      </c>
      <c r="BV1417" s="66" t="n">
        <f aca="false">IF(N(Z1417)&gt;0,Z1417,0)</f>
        <v>0</v>
      </c>
      <c r="BW1417" s="60" t="n">
        <f aca="false">IF(ISNUMBER(AC1417),1,0)</f>
        <v>0</v>
      </c>
      <c r="BX1417" s="57" t="n">
        <f aca="false">N(AC1417)</f>
        <v>0</v>
      </c>
      <c r="BY1417" s="57" t="n">
        <f aca="false">N(L1417)+N(M1417)</f>
        <v>1</v>
      </c>
      <c r="BZ1417" s="57" t="n">
        <f aca="false">ROUNDUP(G1417/BQ1417,0)</f>
        <v>0</v>
      </c>
      <c r="CA1417" s="57" t="n">
        <f aca="false">ROUNDUP(BX1417/BQ1417,0)</f>
        <v>0</v>
      </c>
      <c r="CB1417" s="60" t="n">
        <f aca="false">IF(BR1417=1,0,IFERROR(VLOOKUP(BP1417,'Gebinde-Kategorie'!$A$5:$M$45,5,0)+0,0))</f>
        <v>0</v>
      </c>
      <c r="CC1417" s="60" t="n">
        <f aca="false">IFERROR(IF(OR(BT1417=1,BT1417=2,BT1417=3),N(INDEX(Parameter!$I$5:$I$7,BT1417)),0),0)</f>
        <v>0</v>
      </c>
      <c r="CD1417" s="59" t="n">
        <f aca="false">IF(AND(Parameter!$B$21="Ja",ISNUMBER(U1417),N(V1417)&gt;0),IFERROR(N(INDEX(Parameter!$L$5:$L$7,U1417))*INDEX(Parameter!$E$5:$E$7,U1417)*V1417/SUMIFS($V$7:$V$1576,$U$7:$U$1576,U1417),0),0)</f>
        <v>0</v>
      </c>
    </row>
    <row r="1418" customFormat="false" ht="15" hidden="false" customHeight="false" outlineLevel="0" collapsed="false">
      <c r="A1418" s="55" t="s">
        <v>2473</v>
      </c>
      <c r="B1418" s="55" t="s">
        <v>2474</v>
      </c>
      <c r="C1418" s="55" t="s">
        <v>160</v>
      </c>
      <c r="D1418" s="55" t="s">
        <v>168</v>
      </c>
      <c r="E1418" s="55" t="s">
        <v>210</v>
      </c>
      <c r="F1418" s="56" t="n">
        <v>505.01</v>
      </c>
      <c r="G1418" s="57" t="n">
        <f aca="false">MAX(0,IF(AND(Parameter!$B$21="Ja",ISNUMBER(W1418)),W1418,IF(Parameter!$B$20="Jahresanfang 2025 + Export",BJ1418+BI1418,BI1418)))</f>
        <v>0</v>
      </c>
      <c r="H1418" s="57" t="n">
        <f aca="false">G1418*F1418</f>
        <v>0</v>
      </c>
      <c r="I1418" s="57" t="n">
        <f aca="false">BL1418*Parameter!$B$18</f>
        <v>33</v>
      </c>
      <c r="J1418" s="58" t="n">
        <v>27.5</v>
      </c>
      <c r="K1418" s="59" t="n">
        <v>1.2</v>
      </c>
      <c r="L1418" s="57" t="n">
        <v>5</v>
      </c>
      <c r="M1418" s="57" t="n">
        <v>10</v>
      </c>
      <c r="N1418" s="60" t="n">
        <v>98</v>
      </c>
      <c r="O1418" s="55" t="s">
        <v>169</v>
      </c>
      <c r="P1418" s="57" t="n">
        <v>18</v>
      </c>
      <c r="Q1418" s="60" t="n">
        <f aca="false">IF(BR1418=1,0,IFERROR(VLOOKUP(BP1418,'Gebinde-Kategorie'!$A$5:$M$45,13,0)+0,0))</f>
        <v>6</v>
      </c>
      <c r="R1418" s="61"/>
      <c r="S1418" s="62"/>
      <c r="T1418" s="62"/>
      <c r="U1418" s="55"/>
      <c r="V1418" s="57"/>
      <c r="W1418" s="57"/>
      <c r="X1418" s="55" t="n">
        <f aca="false">IF(A1418="","",IF(AND(Parameter!$B$21="Ja",ISNUMBER(U1418)),U1418,IF(IFERROR(VLOOKUP(D1418,Parameter!$A$35:$C$64,2,0),"Nein")="2+3",IF(ISNUMBER(SEARCH("grosser Artikel",BM1418)),2,IFERROR(VLOOKUP(BP1418,Parameter!$F$35:$G$64,2,0),2)),IF(OR(IFERROR(VLOOKUP(D1418,Parameter!$A$35:$C$64,2,0),"Nein")="Nein",IFERROR(VLOOKUP(D1418,Parameter!$A$35:$C$64,2,0),"Nein")=""),"-",VLOOKUP(D1418,Parameter!$A$35:$C$64,2,0)))))</f>
        <v>2</v>
      </c>
      <c r="Y1418" s="62"/>
      <c r="Z1418" s="63"/>
      <c r="AA1418" s="57" t="n">
        <f aca="false">AP1418</f>
        <v>18</v>
      </c>
      <c r="AB1418" s="57" t="n">
        <f aca="false">MAX(AP1418,G1418)</f>
        <v>18</v>
      </c>
      <c r="AC1418" s="64"/>
      <c r="AD1418" s="57" t="n">
        <f aca="false">IF(LEFT(Cockpit!$C$5,1)="A",G1418,IF(BW1418=1,BX1418,IF(LEFT(Cockpit!$C$5,1)="B",AH1418,MAX(AH1418,G1418))))</f>
        <v>0</v>
      </c>
      <c r="AE1418" s="57" t="n">
        <f aca="false">IF(BR1418=1,0,ROUNDUP(AD1418/BQ1418,0))</f>
        <v>0</v>
      </c>
      <c r="AF1418" s="59" t="n">
        <f aca="false">IF(CD1418&gt;0,CD1418*MAX(1,AD1418/V1418),IF(BR1418=1,IF(AD1418&lt;=0,0,BS1418*MAX(1,IF(G1418&gt;0,AD1418/G1418,1))),IF(Q1418&gt;0,AE1418/Q1418,0))/MAX(0.1,N(Parameter!$M$21)))</f>
        <v>0</v>
      </c>
      <c r="AG1418" s="57" t="n">
        <f aca="false">AD1418*F1418</f>
        <v>0</v>
      </c>
      <c r="AH1418" s="57" t="n">
        <f aca="false">ROUNDUP(MAX(I1418/IF(BV1418&gt;0,BV1418,MAX(0.1,N(Cockpit!$C$6))),BY1418)/BQ1418,0)*BQ1418</f>
        <v>18</v>
      </c>
      <c r="AI1418" s="58" t="n">
        <f aca="false">IF(AF1418&gt;0,I1418/AF1418,-1)</f>
        <v>-1</v>
      </c>
      <c r="AJ1418" s="58" t="str">
        <f aca="false">IF(AND(OR(BU1418="L1",BU1418="L23"),AF1418&gt;0),SUMIFS($AF$7:$AF$1576,$BU$7:$BU$1576,BU1418,$AI$7:$AI$1576,"&gt;"&amp;AI1418)+SUMIFS($AF$7:$AF$1576,$BU$7:$BU$1576,BU1418,$AI$7:$AI$1576,AI1418,$BO$7:$BO$1576,"&lt;="&amp;BO1418),"")</f>
        <v/>
      </c>
      <c r="AK1418" s="65" t="n">
        <f aca="false">IF(AJ1418="",0,MAX(0,MIN(1,(IF(BU1418="L1",Parameter!$E$5,Parameter!$E$6+Parameter!$E$7)-(AJ1418-AF1418))/AF1418)))</f>
        <v>0</v>
      </c>
      <c r="AL1418" s="57" t="n">
        <f aca="false">IF(LEFT(Cockpit!$I$5,1)="A",G1418,IF(BW1418=1,BX1418,IF(LEFT(Cockpit!$I$5,1)="B",AP1418,MAX(AP1418,G1418))))</f>
        <v>18</v>
      </c>
      <c r="AM1418" s="57" t="n">
        <f aca="false">IF(BR1418=1,0,ROUNDUP(AL1418/BQ1418,0))</f>
        <v>1</v>
      </c>
      <c r="AN1418" s="59" t="n">
        <f aca="false">IF(CD1418&gt;0,CD1418*MAX(1,AL1418/V1418),IF(BR1418=1,IF(AL1418&lt;=0,0,BS1418*MAX(1,IF(G1418&gt;0,AL1418/G1418,1))),IF(Q1418&gt;0,AM1418/Q1418,0))/MAX(0.1,N(Parameter!$M$21)))</f>
        <v>0.166666666666667</v>
      </c>
      <c r="AO1418" s="57" t="n">
        <f aca="false">AL1418*F1418</f>
        <v>9090.18</v>
      </c>
      <c r="AP1418" s="57" t="n">
        <f aca="false">ROUNDUP(MAX(I1418/IF(BV1418&gt;0,BV1418,MAX(0.1,N(Cockpit!$I$6))),BY1418)/BQ1418,0)*BQ1418</f>
        <v>18</v>
      </c>
      <c r="AQ1418" s="58" t="n">
        <f aca="false">IF(AN1418&gt;0,I1418/AN1418,-1)</f>
        <v>198</v>
      </c>
      <c r="AR1418" s="58" t="n">
        <f aca="false">IF(AND(OR(BU1418="L1",BU1418="L23"),AN1418&gt;0),SUMIFS($AN$7:$AN$1576,$BU$7:$BU$1576,BU1418,$AQ$7:$AQ$1576,"&gt;"&amp;AQ1418)+SUMIFS($AN$7:$AN$1576,$BU$7:$BU$1576,BU1418,$AQ$7:$AQ$1576,AQ1418,$BO$7:$BO$1576,"&lt;="&amp;BO1418),"")</f>
        <v>51.1019241269353</v>
      </c>
      <c r="AS1418" s="65" t="n">
        <f aca="false">IF(AR1418="",0,MAX(0,MIN(1,(IF(BU1418="L1",Parameter!$E$5,Parameter!$E$6+Parameter!$E$7)-(AR1418-AN1418))/AN1418)))</f>
        <v>1</v>
      </c>
      <c r="AT1418" s="57" t="n">
        <f aca="false">IF(LEFT(Cockpit!$O$5,1)="A",G1418,IF(BW1418=1,BX1418,IF(LEFT(Cockpit!$O$5,1)="B",AX1418,MAX(AX1418,G1418))))</f>
        <v>18</v>
      </c>
      <c r="AU1418" s="57" t="n">
        <f aca="false">IF(BR1418=1,0,ROUNDUP(AT1418/BQ1418,0))</f>
        <v>1</v>
      </c>
      <c r="AV1418" s="59" t="n">
        <f aca="false">IF(CD1418&gt;0,CD1418*MAX(1,AT1418/V1418),IF(BR1418=1,IF(AT1418&lt;=0,0,BS1418*MAX(1,IF(G1418&gt;0,AT1418/G1418,1))),IF(Q1418&gt;0,AU1418/Q1418,0))/MAX(0.1,N(Parameter!$M$21)))</f>
        <v>0.166666666666667</v>
      </c>
      <c r="AW1418" s="57" t="n">
        <f aca="false">AT1418*F1418</f>
        <v>9090.18</v>
      </c>
      <c r="AX1418" s="57" t="n">
        <f aca="false">ROUNDUP(MAX(I1418/IF(BV1418&gt;0,BV1418,MAX(0.1,N(Cockpit!$O$6))),BY1418)/BQ1418,0)*BQ1418</f>
        <v>18</v>
      </c>
      <c r="AY1418" s="58" t="n">
        <f aca="false">IF(AV1418&gt;0,I1418/AV1418,-1)</f>
        <v>198</v>
      </c>
      <c r="AZ1418" s="58" t="n">
        <f aca="false">IF(AND(OR(BU1418="L1",BU1418="L23"),AV1418&gt;0),SUMIFS($AV$7:$AV$1576,$BU$7:$BU$1576,BU1418,$AY$7:$AY$1576,"&gt;"&amp;AY1418)+SUMIFS($AV$7:$AV$1576,$BU$7:$BU$1576,BU1418,$AY$7:$AY$1576,AY1418,$BO$7:$BO$1576,"&lt;="&amp;BO1418),"")</f>
        <v>47.2981845331957</v>
      </c>
      <c r="BA1418" s="65" t="n">
        <f aca="false">IF(AZ1418="",0,MAX(0,MIN(1,(IF(BU1418="L1",Parameter!$E$5,Parameter!$E$6+Parameter!$E$7)-(AZ1418-AV1418))/AV1418)))</f>
        <v>1</v>
      </c>
      <c r="BB1418" s="55" t="str">
        <f aca="false">IF(AF1418&lt;=0,"",IF(BU1418="Aussen","Aussenlager",IF(BU1418="-","Nicht im Lift",IF(AK1418&gt;=1,"Lift",IF(AK1418&lt;=0,"Aussenlager","teilweise")))))</f>
        <v/>
      </c>
      <c r="BC1418" s="55" t="str">
        <f aca="false">IF(AN1418&lt;=0,"",IF(BU1418="Aussen","Aussenlager",IF(BU1418="-","Nicht im Lift",IF(AS1418&gt;=1,"Lift",IF(AS1418&lt;=0,"Aussenlager","teilweise")))))</f>
        <v>Lift</v>
      </c>
      <c r="BD1418" s="55" t="str">
        <f aca="false">IF(AV1418&lt;=0,"",IF(BU1418="Aussen","Aussenlager",IF(BU1418="-","Nicht im Lift",IF(BA1418&gt;=1,"Lift",IF(BA1418&lt;=0,"Aussenlager","teilweise")))))</f>
        <v>Lift</v>
      </c>
      <c r="BE1418" s="55" t="str">
        <f aca="false">IF(A1418="","",IF(BN1418=1,"Neu; ","")&amp;IF(AND(BN1418=0,BI1418&lt;0),"negativer Bestand (Export "&amp;BI1418&amp;"); ","")&amp;IF(I1418&lt;=0,"Kein Verbrauch; ","")&amp;IF(CD1418&gt;0,"Lift "&amp;U1418&amp;" lt. Liftbericht (Fach "&amp;V1418&amp;" Stk); ",IF(BR1418=1,"Lose – Fläche geschätzt; ",""))&amp;IF(G1418&gt;AP1418,"Überbestand "&amp;ROUND(G1418-AP1418,0)&amp;" Stk / CHF "&amp;ROUND((G1418-AP1418)*F1418,0)&amp;"; ","")&amp;IF(AND(BW1418=1,BX1418&lt;BY1418),"MAX &lt; MB+LG; ","")&amp;IF(AND(CC1418&gt;0,CB1418*10&gt;CC1418),"zu hoch für Tablar; ","")&amp;IF(AND(BN1418=0,OR(BW1418=1,Y1418&lt;&gt;"",S1418&lt;&gt;"",T1418&lt;&gt;"",Z1418&lt;&gt;"")),"manuell übersteuert; ","")&amp;IF(AND(BR1418=0,Q1418=0),"Gebinde unbekannt / Stellmass fehlt; ","")&amp;IF(AND(BR1418=0,N(T1418)&lt;=0,N(P1418)&lt;=0),"Menge pro Gebinde fehlt (Ist = 1 Gebinde); ","")&amp;BM1418)</f>
        <v>negativer Bestand (Export -15); </v>
      </c>
      <c r="BF1418" s="55"/>
      <c r="BG1418" s="55"/>
      <c r="BH1418" s="62"/>
      <c r="BI1418" s="57" t="n">
        <v>-15</v>
      </c>
      <c r="BJ1418" s="57" t="n">
        <v>28</v>
      </c>
      <c r="BK1418" s="56" t="n">
        <v>-5279.71</v>
      </c>
      <c r="BL1418" s="57" t="n">
        <v>33</v>
      </c>
      <c r="BM1418" s="55"/>
      <c r="BN1418" s="60" t="n">
        <v>0</v>
      </c>
      <c r="BO1418" s="60" t="n">
        <v>1418</v>
      </c>
      <c r="BP1418" s="55" t="str">
        <f aca="false">IF(S1418&lt;&gt;"",UPPER(TRIM(S1418)),IF(O1418="","LOSE",O1418))</f>
        <v>S71</v>
      </c>
      <c r="BQ1418" s="57" t="n">
        <f aca="false">IF(BP1418="LOSE",1,IF(N(T1418)&gt;0,T1418,IF(N(P1418)&gt;0,P1418,MAX(1,G1418))))</f>
        <v>18</v>
      </c>
      <c r="BR1418" s="60" t="n">
        <f aca="false">IF(BP1418="LOSE",1,0)</f>
        <v>0</v>
      </c>
      <c r="BS1418" s="59" t="n">
        <f aca="false">IF(BR1418=0,0,IF(N(R1418)&gt;0,R1418,IFERROR(VLOOKUP(D1418,Parameter!$A$35:$C$64,3,0)+0,0)))</f>
        <v>0</v>
      </c>
      <c r="BT1418" s="55" t="n">
        <f aca="false">IF(Y1418&lt;&gt;"",Y1418,X1418)</f>
        <v>2</v>
      </c>
      <c r="BU1418" s="55" t="str">
        <f aca="false">IF(BT1418=1,"L1",IF(OR(BT1418=2,BT1418=3),"L23",IF(BT1418="Aussen","Aussen","-")))</f>
        <v>L23</v>
      </c>
      <c r="BV1418" s="66" t="n">
        <f aca="false">IF(N(Z1418)&gt;0,Z1418,0)</f>
        <v>0</v>
      </c>
      <c r="BW1418" s="60" t="n">
        <f aca="false">IF(ISNUMBER(AC1418),1,0)</f>
        <v>0</v>
      </c>
      <c r="BX1418" s="57" t="n">
        <f aca="false">N(AC1418)</f>
        <v>0</v>
      </c>
      <c r="BY1418" s="57" t="n">
        <f aca="false">N(L1418)+N(M1418)</f>
        <v>15</v>
      </c>
      <c r="BZ1418" s="57" t="n">
        <f aca="false">ROUNDUP(G1418/BQ1418,0)</f>
        <v>0</v>
      </c>
      <c r="CA1418" s="57" t="n">
        <f aca="false">ROUNDUP(BX1418/BQ1418,0)</f>
        <v>0</v>
      </c>
      <c r="CB1418" s="60" t="n">
        <f aca="false">IF(BR1418=1,0,IFERROR(VLOOKUP(BP1418,'Gebinde-Kategorie'!$A$5:$M$45,5,0)+0,0))</f>
        <v>20</v>
      </c>
      <c r="CC1418" s="60" t="n">
        <f aca="false">IFERROR(IF(OR(BT1418=1,BT1418=2,BT1418=3),N(INDEX(Parameter!$I$5:$I$7,BT1418)),0),0)</f>
        <v>0</v>
      </c>
      <c r="CD1418" s="59" t="n">
        <f aca="false">IF(AND(Parameter!$B$21="Ja",ISNUMBER(U1418),N(V1418)&gt;0),IFERROR(N(INDEX(Parameter!$L$5:$L$7,U1418))*INDEX(Parameter!$E$5:$E$7,U1418)*V1418/SUMIFS($V$7:$V$1576,$U$7:$U$1576,U1418),0),0)</f>
        <v>0</v>
      </c>
    </row>
    <row r="1419" customFormat="false" ht="15" hidden="false" customHeight="false" outlineLevel="0" collapsed="false">
      <c r="A1419" s="55" t="s">
        <v>2475</v>
      </c>
      <c r="B1419" s="55" t="s">
        <v>2476</v>
      </c>
      <c r="C1419" s="55" t="s">
        <v>160</v>
      </c>
      <c r="D1419" s="55" t="s">
        <v>984</v>
      </c>
      <c r="E1419" s="55" t="s">
        <v>210</v>
      </c>
      <c r="F1419" s="56" t="n">
        <v>609.56</v>
      </c>
      <c r="G1419" s="57" t="n">
        <f aca="false">MAX(0,IF(AND(Parameter!$B$21="Ja",ISNUMBER(W1419)),W1419,IF(Parameter!$B$20="Jahresanfang 2025 + Export",BJ1419+BI1419,BI1419)))</f>
        <v>0</v>
      </c>
      <c r="H1419" s="57" t="n">
        <f aca="false">G1419*F1419</f>
        <v>0</v>
      </c>
      <c r="I1419" s="57" t="n">
        <f aca="false">BL1419*Parameter!$B$18</f>
        <v>3</v>
      </c>
      <c r="J1419" s="58" t="n">
        <v>13</v>
      </c>
      <c r="K1419" s="59" t="n">
        <v>0.230769230769231</v>
      </c>
      <c r="L1419" s="57" t="n">
        <v>0</v>
      </c>
      <c r="M1419" s="57" t="n">
        <v>1</v>
      </c>
      <c r="N1419" s="60" t="n">
        <v>14</v>
      </c>
      <c r="O1419" s="55" t="s">
        <v>163</v>
      </c>
      <c r="P1419" s="57"/>
      <c r="Q1419" s="60" t="n">
        <f aca="false">IF(BR1419=1,0,IFERROR(VLOOKUP(BP1419,'Gebinde-Kategorie'!$A$5:$M$45,13,0)+0,0))</f>
        <v>0</v>
      </c>
      <c r="R1419" s="61"/>
      <c r="S1419" s="62"/>
      <c r="T1419" s="62"/>
      <c r="U1419" s="55"/>
      <c r="V1419" s="57"/>
      <c r="W1419" s="57"/>
      <c r="X1419" s="55" t="str">
        <f aca="false">IF(A1419="","",IF(AND(Parameter!$B$21="Ja",ISNUMBER(U1419)),U1419,IF(IFERROR(VLOOKUP(D1419,Parameter!$A$35:$C$64,2,0),"Nein")="2+3",IF(ISNUMBER(SEARCH("grosser Artikel",BM1419)),2,IFERROR(VLOOKUP(BP1419,Parameter!$F$35:$G$64,2,0),2)),IF(OR(IFERROR(VLOOKUP(D1419,Parameter!$A$35:$C$64,2,0),"Nein")="Nein",IFERROR(VLOOKUP(D1419,Parameter!$A$35:$C$64,2,0),"Nein")=""),"-",VLOOKUP(D1419,Parameter!$A$35:$C$64,2,0)))))</f>
        <v>-</v>
      </c>
      <c r="Y1419" s="62"/>
      <c r="Z1419" s="63"/>
      <c r="AA1419" s="57" t="n">
        <f aca="false">AP1419</f>
        <v>2</v>
      </c>
      <c r="AB1419" s="57" t="n">
        <f aca="false">MAX(AP1419,G1419)</f>
        <v>2</v>
      </c>
      <c r="AC1419" s="64"/>
      <c r="AD1419" s="57" t="n">
        <f aca="false">IF(LEFT(Cockpit!$C$5,1)="A",G1419,IF(BW1419=1,BX1419,IF(LEFT(Cockpit!$C$5,1)="B",AH1419,MAX(AH1419,G1419))))</f>
        <v>0</v>
      </c>
      <c r="AE1419" s="57" t="n">
        <f aca="false">IF(BR1419=1,0,ROUNDUP(AD1419/BQ1419,0))</f>
        <v>0</v>
      </c>
      <c r="AF1419" s="59" t="n">
        <f aca="false">IF(CD1419&gt;0,CD1419*MAX(1,AD1419/V1419),IF(BR1419=1,IF(AD1419&lt;=0,0,BS1419*MAX(1,IF(G1419&gt;0,AD1419/G1419,1))),IF(Q1419&gt;0,AE1419/Q1419,0))/MAX(0.1,N(Parameter!$M$21)))</f>
        <v>0</v>
      </c>
      <c r="AG1419" s="57" t="n">
        <f aca="false">AD1419*F1419</f>
        <v>0</v>
      </c>
      <c r="AH1419" s="57" t="n">
        <f aca="false">ROUNDUP(MAX(I1419/IF(BV1419&gt;0,BV1419,MAX(0.1,N(Cockpit!$C$6))),BY1419)/BQ1419,0)*BQ1419</f>
        <v>2</v>
      </c>
      <c r="AI1419" s="58" t="n">
        <f aca="false">IF(AF1419&gt;0,I1419/AF1419,-1)</f>
        <v>-1</v>
      </c>
      <c r="AJ1419" s="58" t="str">
        <f aca="false">IF(AND(OR(BU1419="L1",BU1419="L23"),AF1419&gt;0),SUMIFS($AF$7:$AF$1576,$BU$7:$BU$1576,BU1419,$AI$7:$AI$1576,"&gt;"&amp;AI1419)+SUMIFS($AF$7:$AF$1576,$BU$7:$BU$1576,BU1419,$AI$7:$AI$1576,AI1419,$BO$7:$BO$1576,"&lt;="&amp;BO1419),"")</f>
        <v/>
      </c>
      <c r="AK1419" s="65" t="n">
        <f aca="false">IF(AJ1419="",0,MAX(0,MIN(1,(IF(BU1419="L1",Parameter!$E$5,Parameter!$E$6+Parameter!$E$7)-(AJ1419-AF1419))/AF1419)))</f>
        <v>0</v>
      </c>
      <c r="AL1419" s="57" t="n">
        <f aca="false">IF(LEFT(Cockpit!$I$5,1)="A",G1419,IF(BW1419=1,BX1419,IF(LEFT(Cockpit!$I$5,1)="B",AP1419,MAX(AP1419,G1419))))</f>
        <v>2</v>
      </c>
      <c r="AM1419" s="57" t="n">
        <f aca="false">IF(BR1419=1,0,ROUNDUP(AL1419/BQ1419,0))</f>
        <v>0</v>
      </c>
      <c r="AN1419" s="59" t="n">
        <f aca="false">IF(CD1419&gt;0,CD1419*MAX(1,AL1419/V1419),IF(BR1419=1,IF(AL1419&lt;=0,0,BS1419*MAX(1,IF(G1419&gt;0,AL1419/G1419,1))),IF(Q1419&gt;0,AM1419/Q1419,0))/MAX(0.1,N(Parameter!$M$21)))</f>
        <v>0.15</v>
      </c>
      <c r="AO1419" s="57" t="n">
        <f aca="false">AL1419*F1419</f>
        <v>1219.12</v>
      </c>
      <c r="AP1419" s="57" t="n">
        <f aca="false">ROUNDUP(MAX(I1419/IF(BV1419&gt;0,BV1419,MAX(0.1,N(Cockpit!$I$6))),BY1419)/BQ1419,0)*BQ1419</f>
        <v>2</v>
      </c>
      <c r="AQ1419" s="58" t="n">
        <f aca="false">IF(AN1419&gt;0,I1419/AN1419,-1)</f>
        <v>20</v>
      </c>
      <c r="AR1419" s="58" t="str">
        <f aca="false">IF(AND(OR(BU1419="L1",BU1419="L23"),AN1419&gt;0),SUMIFS($AN$7:$AN$1576,$BU$7:$BU$1576,BU1419,$AQ$7:$AQ$1576,"&gt;"&amp;AQ1419)+SUMIFS($AN$7:$AN$1576,$BU$7:$BU$1576,BU1419,$AQ$7:$AQ$1576,AQ1419,$BO$7:$BO$1576,"&lt;="&amp;BO1419),"")</f>
        <v/>
      </c>
      <c r="AS1419" s="65" t="n">
        <f aca="false">IF(AR1419="",0,MAX(0,MIN(1,(IF(BU1419="L1",Parameter!$E$5,Parameter!$E$6+Parameter!$E$7)-(AR1419-AN1419))/AN1419)))</f>
        <v>0</v>
      </c>
      <c r="AT1419" s="57" t="n">
        <f aca="false">IF(LEFT(Cockpit!$O$5,1)="A",G1419,IF(BW1419=1,BX1419,IF(LEFT(Cockpit!$O$5,1)="B",AX1419,MAX(AX1419,G1419))))</f>
        <v>1</v>
      </c>
      <c r="AU1419" s="57" t="n">
        <f aca="false">IF(BR1419=1,0,ROUNDUP(AT1419/BQ1419,0))</f>
        <v>0</v>
      </c>
      <c r="AV1419" s="59" t="n">
        <f aca="false">IF(CD1419&gt;0,CD1419*MAX(1,AT1419/V1419),IF(BR1419=1,IF(AT1419&lt;=0,0,BS1419*MAX(1,IF(G1419&gt;0,AT1419/G1419,1))),IF(Q1419&gt;0,AU1419/Q1419,0))/MAX(0.1,N(Parameter!$M$21)))</f>
        <v>0.15</v>
      </c>
      <c r="AW1419" s="57" t="n">
        <f aca="false">AT1419*F1419</f>
        <v>609.56</v>
      </c>
      <c r="AX1419" s="57" t="n">
        <f aca="false">ROUNDUP(MAX(I1419/IF(BV1419&gt;0,BV1419,MAX(0.1,N(Cockpit!$O$6))),BY1419)/BQ1419,0)*BQ1419</f>
        <v>1</v>
      </c>
      <c r="AY1419" s="58" t="n">
        <f aca="false">IF(AV1419&gt;0,I1419/AV1419,-1)</f>
        <v>20</v>
      </c>
      <c r="AZ1419" s="58" t="str">
        <f aca="false">IF(AND(OR(BU1419="L1",BU1419="L23"),AV1419&gt;0),SUMIFS($AV$7:$AV$1576,$BU$7:$BU$1576,BU1419,$AY$7:$AY$1576,"&gt;"&amp;AY1419)+SUMIFS($AV$7:$AV$1576,$BU$7:$BU$1576,BU1419,$AY$7:$AY$1576,AY1419,$BO$7:$BO$1576,"&lt;="&amp;BO1419),"")</f>
        <v/>
      </c>
      <c r="BA1419" s="65" t="n">
        <f aca="false">IF(AZ1419="",0,MAX(0,MIN(1,(IF(BU1419="L1",Parameter!$E$5,Parameter!$E$6+Parameter!$E$7)-(AZ1419-AV1419))/AV1419)))</f>
        <v>0</v>
      </c>
      <c r="BB1419" s="55" t="str">
        <f aca="false">IF(AF1419&lt;=0,"",IF(BU1419="Aussen","Aussenlager",IF(BU1419="-","Nicht im Lift",IF(AK1419&gt;=1,"Lift",IF(AK1419&lt;=0,"Aussenlager","teilweise")))))</f>
        <v/>
      </c>
      <c r="BC1419" s="55" t="str">
        <f aca="false">IF(AN1419&lt;=0,"",IF(BU1419="Aussen","Aussenlager",IF(BU1419="-","Nicht im Lift",IF(AS1419&gt;=1,"Lift",IF(AS1419&lt;=0,"Aussenlager","teilweise")))))</f>
        <v>Nicht im Lift</v>
      </c>
      <c r="BD1419" s="55" t="str">
        <f aca="false">IF(AV1419&lt;=0,"",IF(BU1419="Aussen","Aussenlager",IF(BU1419="-","Nicht im Lift",IF(BA1419&gt;=1,"Lift",IF(BA1419&lt;=0,"Aussenlager","teilweise")))))</f>
        <v>Nicht im Lift</v>
      </c>
      <c r="BE1419" s="55" t="str">
        <f aca="false">IF(A1419="","",IF(BN1419=1,"Neu; ","")&amp;IF(AND(BN1419=0,BI1419&lt;0),"negativer Bestand (Export "&amp;BI1419&amp;"); ","")&amp;IF(I1419&lt;=0,"Kein Verbrauch; ","")&amp;IF(CD1419&gt;0,"Lift "&amp;U1419&amp;" lt. Liftbericht (Fach "&amp;V1419&amp;" Stk); ",IF(BR1419=1,"Lose – Fläche geschätzt; ",""))&amp;IF(G1419&gt;AP1419,"Überbestand "&amp;ROUND(G1419-AP1419,0)&amp;" Stk / CHF "&amp;ROUND((G1419-AP1419)*F1419,0)&amp;"; ","")&amp;IF(AND(BW1419=1,BX1419&lt;BY1419),"MAX &lt; MB+LG; ","")&amp;IF(AND(CC1419&gt;0,CB1419*10&gt;CC1419),"zu hoch für Tablar; ","")&amp;IF(AND(BN1419=0,OR(BW1419=1,Y1419&lt;&gt;"",S1419&lt;&gt;"",T1419&lt;&gt;"",Z1419&lt;&gt;"")),"manuell übersteuert; ","")&amp;IF(AND(BR1419=0,Q1419=0),"Gebinde unbekannt / Stellmass fehlt; ","")&amp;IF(AND(BR1419=0,N(T1419)&lt;=0,N(P1419)&lt;=0),"Menge pro Gebinde fehlt (Ist = 1 Gebinde); ","")&amp;BM1419)</f>
        <v>negativer Bestand (Export -17); Lose – Fläche geschätzt; </v>
      </c>
      <c r="BF1419" s="55"/>
      <c r="BG1419" s="55"/>
      <c r="BH1419" s="62"/>
      <c r="BI1419" s="57" t="n">
        <v>-17</v>
      </c>
      <c r="BJ1419" s="57" t="n">
        <v>17</v>
      </c>
      <c r="BK1419" s="56" t="n">
        <v>-5283.94</v>
      </c>
      <c r="BL1419" s="57" t="n">
        <v>3</v>
      </c>
      <c r="BM1419" s="55"/>
      <c r="BN1419" s="60" t="n">
        <v>0</v>
      </c>
      <c r="BO1419" s="60" t="n">
        <v>1419</v>
      </c>
      <c r="BP1419" s="55" t="str">
        <f aca="false">IF(S1419&lt;&gt;"",UPPER(TRIM(S1419)),IF(O1419="","LOSE",O1419))</f>
        <v>LOSE</v>
      </c>
      <c r="BQ1419" s="57" t="n">
        <f aca="false">IF(BP1419="LOSE",1,IF(N(T1419)&gt;0,T1419,IF(N(P1419)&gt;0,P1419,MAX(1,G1419))))</f>
        <v>1</v>
      </c>
      <c r="BR1419" s="60" t="n">
        <f aca="false">IF(BP1419="LOSE",1,0)</f>
        <v>1</v>
      </c>
      <c r="BS1419" s="59" t="n">
        <f aca="false">IF(BR1419=0,0,IF(N(R1419)&gt;0,R1419,IFERROR(VLOOKUP(D1419,Parameter!$A$35:$C$64,3,0)+0,0)))</f>
        <v>0.15</v>
      </c>
      <c r="BT1419" s="55" t="str">
        <f aca="false">IF(Y1419&lt;&gt;"",Y1419,X1419)</f>
        <v>-</v>
      </c>
      <c r="BU1419" s="55" t="str">
        <f aca="false">IF(BT1419=1,"L1",IF(OR(BT1419=2,BT1419=3),"L23",IF(BT1419="Aussen","Aussen","-")))</f>
        <v>-</v>
      </c>
      <c r="BV1419" s="66" t="n">
        <f aca="false">IF(N(Z1419)&gt;0,Z1419,0)</f>
        <v>0</v>
      </c>
      <c r="BW1419" s="60" t="n">
        <f aca="false">IF(ISNUMBER(AC1419),1,0)</f>
        <v>0</v>
      </c>
      <c r="BX1419" s="57" t="n">
        <f aca="false">N(AC1419)</f>
        <v>0</v>
      </c>
      <c r="BY1419" s="57" t="n">
        <f aca="false">N(L1419)+N(M1419)</f>
        <v>1</v>
      </c>
      <c r="BZ1419" s="57" t="n">
        <f aca="false">ROUNDUP(G1419/BQ1419,0)</f>
        <v>0</v>
      </c>
      <c r="CA1419" s="57" t="n">
        <f aca="false">ROUNDUP(BX1419/BQ1419,0)</f>
        <v>0</v>
      </c>
      <c r="CB1419" s="60" t="n">
        <f aca="false">IF(BR1419=1,0,IFERROR(VLOOKUP(BP1419,'Gebinde-Kategorie'!$A$5:$M$45,5,0)+0,0))</f>
        <v>0</v>
      </c>
      <c r="CC1419" s="60" t="n">
        <f aca="false">IFERROR(IF(OR(BT1419=1,BT1419=2,BT1419=3),N(INDEX(Parameter!$I$5:$I$7,BT1419)),0),0)</f>
        <v>0</v>
      </c>
      <c r="CD1419" s="59" t="n">
        <f aca="false">IF(AND(Parameter!$B$21="Ja",ISNUMBER(U1419),N(V1419)&gt;0),IFERROR(N(INDEX(Parameter!$L$5:$L$7,U1419))*INDEX(Parameter!$E$5:$E$7,U1419)*V1419/SUMIFS($V$7:$V$1576,$U$7:$U$1576,U1419),0),0)</f>
        <v>0</v>
      </c>
    </row>
    <row r="1420" customFormat="false" ht="15" hidden="false" customHeight="false" outlineLevel="0" collapsed="false">
      <c r="A1420" s="55" t="s">
        <v>2477</v>
      </c>
      <c r="B1420" s="55" t="s">
        <v>2478</v>
      </c>
      <c r="C1420" s="55" t="s">
        <v>160</v>
      </c>
      <c r="D1420" s="55" t="s">
        <v>178</v>
      </c>
      <c r="E1420" s="55" t="s">
        <v>210</v>
      </c>
      <c r="F1420" s="56" t="n">
        <v>126.08</v>
      </c>
      <c r="G1420" s="57" t="n">
        <f aca="false">MAX(0,IF(AND(Parameter!$B$21="Ja",ISNUMBER(W1420)),W1420,IF(Parameter!$B$20="Jahresanfang 2025 + Export",BJ1420+BI1420,BI1420)))</f>
        <v>0</v>
      </c>
      <c r="H1420" s="57" t="n">
        <f aca="false">G1420*F1420</f>
        <v>0</v>
      </c>
      <c r="I1420" s="57" t="n">
        <f aca="false">BL1420*Parameter!$B$18</f>
        <v>2</v>
      </c>
      <c r="J1420" s="58" t="n">
        <v>54</v>
      </c>
      <c r="K1420" s="59" t="n">
        <v>0.037037037037037</v>
      </c>
      <c r="L1420" s="57" t="n">
        <v>0</v>
      </c>
      <c r="M1420" s="57" t="n">
        <v>1</v>
      </c>
      <c r="N1420" s="60" t="n">
        <v>28</v>
      </c>
      <c r="O1420" s="55" t="s">
        <v>465</v>
      </c>
      <c r="P1420" s="57" t="n">
        <v>5</v>
      </c>
      <c r="Q1420" s="60" t="n">
        <f aca="false">IF(BR1420=1,0,IFERROR(VLOOKUP(BP1420,'Gebinde-Kategorie'!$A$5:$M$45,13,0)+0,0))</f>
        <v>66</v>
      </c>
      <c r="R1420" s="61"/>
      <c r="S1420" s="62"/>
      <c r="T1420" s="62"/>
      <c r="U1420" s="55"/>
      <c r="V1420" s="57"/>
      <c r="W1420" s="57"/>
      <c r="X1420" s="55" t="n">
        <f aca="false">IF(A1420="","",IF(AND(Parameter!$B$21="Ja",ISNUMBER(U1420)),U1420,IF(IFERROR(VLOOKUP(D1420,Parameter!$A$35:$C$64,2,0),"Nein")="2+3",IF(ISNUMBER(SEARCH("grosser Artikel",BM1420)),2,IFERROR(VLOOKUP(BP1420,Parameter!$F$35:$G$64,2,0),2)),IF(OR(IFERROR(VLOOKUP(D1420,Parameter!$A$35:$C$64,2,0),"Nein")="Nein",IFERROR(VLOOKUP(D1420,Parameter!$A$35:$C$64,2,0),"Nein")=""),"-",VLOOKUP(D1420,Parameter!$A$35:$C$64,2,0)))))</f>
        <v>3</v>
      </c>
      <c r="Y1420" s="62"/>
      <c r="Z1420" s="63"/>
      <c r="AA1420" s="57" t="n">
        <f aca="false">AP1420</f>
        <v>5</v>
      </c>
      <c r="AB1420" s="57" t="n">
        <f aca="false">MAX(AP1420,G1420)</f>
        <v>5</v>
      </c>
      <c r="AC1420" s="64"/>
      <c r="AD1420" s="57" t="n">
        <f aca="false">IF(LEFT(Cockpit!$C$5,1)="A",G1420,IF(BW1420=1,BX1420,IF(LEFT(Cockpit!$C$5,1)="B",AH1420,MAX(AH1420,G1420))))</f>
        <v>0</v>
      </c>
      <c r="AE1420" s="57" t="n">
        <f aca="false">IF(BR1420=1,0,ROUNDUP(AD1420/BQ1420,0))</f>
        <v>0</v>
      </c>
      <c r="AF1420" s="59" t="n">
        <f aca="false">IF(CD1420&gt;0,CD1420*MAX(1,AD1420/V1420),IF(BR1420=1,IF(AD1420&lt;=0,0,BS1420*MAX(1,IF(G1420&gt;0,AD1420/G1420,1))),IF(Q1420&gt;0,AE1420/Q1420,0))/MAX(0.1,N(Parameter!$M$21)))</f>
        <v>0</v>
      </c>
      <c r="AG1420" s="57" t="n">
        <f aca="false">AD1420*F1420</f>
        <v>0</v>
      </c>
      <c r="AH1420" s="57" t="n">
        <f aca="false">ROUNDUP(MAX(I1420/IF(BV1420&gt;0,BV1420,MAX(0.1,N(Cockpit!$C$6))),BY1420)/BQ1420,0)*BQ1420</f>
        <v>5</v>
      </c>
      <c r="AI1420" s="58" t="n">
        <f aca="false">IF(AF1420&gt;0,I1420/AF1420,-1)</f>
        <v>-1</v>
      </c>
      <c r="AJ1420" s="58" t="str">
        <f aca="false">IF(AND(OR(BU1420="L1",BU1420="L23"),AF1420&gt;0),SUMIFS($AF$7:$AF$1576,$BU$7:$BU$1576,BU1420,$AI$7:$AI$1576,"&gt;"&amp;AI1420)+SUMIFS($AF$7:$AF$1576,$BU$7:$BU$1576,BU1420,$AI$7:$AI$1576,AI1420,$BO$7:$BO$1576,"&lt;="&amp;BO1420),"")</f>
        <v/>
      </c>
      <c r="AK1420" s="65" t="n">
        <f aca="false">IF(AJ1420="",0,MAX(0,MIN(1,(IF(BU1420="L1",Parameter!$E$5,Parameter!$E$6+Parameter!$E$7)-(AJ1420-AF1420))/AF1420)))</f>
        <v>0</v>
      </c>
      <c r="AL1420" s="57" t="n">
        <f aca="false">IF(LEFT(Cockpit!$I$5,1)="A",G1420,IF(BW1420=1,BX1420,IF(LEFT(Cockpit!$I$5,1)="B",AP1420,MAX(AP1420,G1420))))</f>
        <v>5</v>
      </c>
      <c r="AM1420" s="57" t="n">
        <f aca="false">IF(BR1420=1,0,ROUNDUP(AL1420/BQ1420,0))</f>
        <v>1</v>
      </c>
      <c r="AN1420" s="59" t="n">
        <f aca="false">IF(CD1420&gt;0,CD1420*MAX(1,AL1420/V1420),IF(BR1420=1,IF(AL1420&lt;=0,0,BS1420*MAX(1,IF(G1420&gt;0,AL1420/G1420,1))),IF(Q1420&gt;0,AM1420/Q1420,0))/MAX(0.1,N(Parameter!$M$21)))</f>
        <v>0.0151515151515152</v>
      </c>
      <c r="AO1420" s="57" t="n">
        <f aca="false">AL1420*F1420</f>
        <v>630.4</v>
      </c>
      <c r="AP1420" s="57" t="n">
        <f aca="false">ROUNDUP(MAX(I1420/IF(BV1420&gt;0,BV1420,MAX(0.1,N(Cockpit!$I$6))),BY1420)/BQ1420,0)*BQ1420</f>
        <v>5</v>
      </c>
      <c r="AQ1420" s="58" t="n">
        <f aca="false">IF(AN1420&gt;0,I1420/AN1420,-1)</f>
        <v>132</v>
      </c>
      <c r="AR1420" s="58" t="n">
        <f aca="false">IF(AND(OR(BU1420="L1",BU1420="L23"),AN1420&gt;0),SUMIFS($AN$7:$AN$1576,$BU$7:$BU$1576,BU1420,$AQ$7:$AQ$1576,"&gt;"&amp;AQ1420)+SUMIFS($AN$7:$AN$1576,$BU$7:$BU$1576,BU1420,$AQ$7:$AQ$1576,AQ1420,$BO$7:$BO$1576,"&lt;="&amp;BO1420),"")</f>
        <v>60.8282844332956</v>
      </c>
      <c r="AS1420" s="65" t="n">
        <f aca="false">IF(AR1420="",0,MAX(0,MIN(1,(IF(BU1420="L1",Parameter!$E$5,Parameter!$E$6+Parameter!$E$7)-(AR1420-AN1420))/AN1420)))</f>
        <v>1</v>
      </c>
      <c r="AT1420" s="57" t="n">
        <f aca="false">IF(LEFT(Cockpit!$O$5,1)="A",G1420,IF(BW1420=1,BX1420,IF(LEFT(Cockpit!$O$5,1)="B",AX1420,MAX(AX1420,G1420))))</f>
        <v>5</v>
      </c>
      <c r="AU1420" s="57" t="n">
        <f aca="false">IF(BR1420=1,0,ROUNDUP(AT1420/BQ1420,0))</f>
        <v>1</v>
      </c>
      <c r="AV1420" s="59" t="n">
        <f aca="false">IF(CD1420&gt;0,CD1420*MAX(1,AT1420/V1420),IF(BR1420=1,IF(AT1420&lt;=0,0,BS1420*MAX(1,IF(G1420&gt;0,AT1420/G1420,1))),IF(Q1420&gt;0,AU1420/Q1420,0))/MAX(0.1,N(Parameter!$M$21)))</f>
        <v>0.0151515151515152</v>
      </c>
      <c r="AW1420" s="57" t="n">
        <f aca="false">AT1420*F1420</f>
        <v>630.4</v>
      </c>
      <c r="AX1420" s="57" t="n">
        <f aca="false">ROUNDUP(MAX(I1420/IF(BV1420&gt;0,BV1420,MAX(0.1,N(Cockpit!$O$6))),BY1420)/BQ1420,0)*BQ1420</f>
        <v>5</v>
      </c>
      <c r="AY1420" s="58" t="n">
        <f aca="false">IF(AV1420&gt;0,I1420/AV1420,-1)</f>
        <v>132</v>
      </c>
      <c r="AZ1420" s="58" t="n">
        <f aca="false">IF(AND(OR(BU1420="L1",BU1420="L23"),AV1420&gt;0),SUMIFS($AV$7:$AV$1576,$BU$7:$BU$1576,BU1420,$AY$7:$AY$1576,"&gt;"&amp;AY1420)+SUMIFS($AV$7:$AV$1576,$BU$7:$BU$1576,BU1420,$AY$7:$AY$1576,AY1420,$BO$7:$BO$1576,"&lt;="&amp;BO1420),"")</f>
        <v>55.4907515495127</v>
      </c>
      <c r="BA1420" s="65" t="n">
        <f aca="false">IF(AZ1420="",0,MAX(0,MIN(1,(IF(BU1420="L1",Parameter!$E$5,Parameter!$E$6+Parameter!$E$7)-(AZ1420-AV1420))/AV1420)))</f>
        <v>1</v>
      </c>
      <c r="BB1420" s="55" t="str">
        <f aca="false">IF(AF1420&lt;=0,"",IF(BU1420="Aussen","Aussenlager",IF(BU1420="-","Nicht im Lift",IF(AK1420&gt;=1,"Lift",IF(AK1420&lt;=0,"Aussenlager","teilweise")))))</f>
        <v/>
      </c>
      <c r="BC1420" s="55" t="str">
        <f aca="false">IF(AN1420&lt;=0,"",IF(BU1420="Aussen","Aussenlager",IF(BU1420="-","Nicht im Lift",IF(AS1420&gt;=1,"Lift",IF(AS1420&lt;=0,"Aussenlager","teilweise")))))</f>
        <v>Lift</v>
      </c>
      <c r="BD1420" s="55" t="str">
        <f aca="false">IF(AV1420&lt;=0,"",IF(BU1420="Aussen","Aussenlager",IF(BU1420="-","Nicht im Lift",IF(BA1420&gt;=1,"Lift",IF(BA1420&lt;=0,"Aussenlager","teilweise")))))</f>
        <v>Lift</v>
      </c>
      <c r="BE1420" s="55" t="str">
        <f aca="false">IF(A1420="","",IF(BN1420=1,"Neu; ","")&amp;IF(AND(BN1420=0,BI1420&lt;0),"negativer Bestand (Export "&amp;BI1420&amp;"); ","")&amp;IF(I1420&lt;=0,"Kein Verbrauch; ","")&amp;IF(CD1420&gt;0,"Lift "&amp;U1420&amp;" lt. Liftbericht (Fach "&amp;V1420&amp;" Stk); ",IF(BR1420=1,"Lose – Fläche geschätzt; ",""))&amp;IF(G1420&gt;AP1420,"Überbestand "&amp;ROUND(G1420-AP1420,0)&amp;" Stk / CHF "&amp;ROUND((G1420-AP1420)*F1420,0)&amp;"; ","")&amp;IF(AND(BW1420=1,BX1420&lt;BY1420),"MAX &lt; MB+LG; ","")&amp;IF(AND(CC1420&gt;0,CB1420*10&gt;CC1420),"zu hoch für Tablar; ","")&amp;IF(AND(BN1420=0,OR(BW1420=1,Y1420&lt;&gt;"",S1420&lt;&gt;"",T1420&lt;&gt;"",Z1420&lt;&gt;"")),"manuell übersteuert; ","")&amp;IF(AND(BR1420=0,Q1420=0),"Gebinde unbekannt / Stellmass fehlt; ","")&amp;IF(AND(BR1420=0,N(T1420)&lt;=0,N(P1420)&lt;=0),"Menge pro Gebinde fehlt (Ist = 1 Gebinde); ","")&amp;BM1420)</f>
        <v>negativer Bestand (Export -43); </v>
      </c>
      <c r="BF1420" s="55"/>
      <c r="BG1420" s="55"/>
      <c r="BH1420" s="62"/>
      <c r="BI1420" s="57" t="n">
        <v>-43</v>
      </c>
      <c r="BJ1420" s="57" t="n">
        <v>55</v>
      </c>
      <c r="BK1420" s="56" t="n">
        <v>-5421.44</v>
      </c>
      <c r="BL1420" s="57" t="n">
        <v>2</v>
      </c>
      <c r="BM1420" s="55"/>
      <c r="BN1420" s="60" t="n">
        <v>0</v>
      </c>
      <c r="BO1420" s="60" t="n">
        <v>1420</v>
      </c>
      <c r="BP1420" s="55" t="str">
        <f aca="false">IF(S1420&lt;&gt;"",UPPER(TRIM(S1420)),IF(O1420="","LOSE",O1420))</f>
        <v>S33</v>
      </c>
      <c r="BQ1420" s="57" t="n">
        <f aca="false">IF(BP1420="LOSE",1,IF(N(T1420)&gt;0,T1420,IF(N(P1420)&gt;0,P1420,MAX(1,G1420))))</f>
        <v>5</v>
      </c>
      <c r="BR1420" s="60" t="n">
        <f aca="false">IF(BP1420="LOSE",1,0)</f>
        <v>0</v>
      </c>
      <c r="BS1420" s="59" t="n">
        <f aca="false">IF(BR1420=0,0,IF(N(R1420)&gt;0,R1420,IFERROR(VLOOKUP(D1420,Parameter!$A$35:$C$64,3,0)+0,0)))</f>
        <v>0</v>
      </c>
      <c r="BT1420" s="55" t="n">
        <f aca="false">IF(Y1420&lt;&gt;"",Y1420,X1420)</f>
        <v>3</v>
      </c>
      <c r="BU1420" s="55" t="str">
        <f aca="false">IF(BT1420=1,"L1",IF(OR(BT1420=2,BT1420=3),"L23",IF(BT1420="Aussen","Aussen","-")))</f>
        <v>L23</v>
      </c>
      <c r="BV1420" s="66" t="n">
        <f aca="false">IF(N(Z1420)&gt;0,Z1420,0)</f>
        <v>0</v>
      </c>
      <c r="BW1420" s="60" t="n">
        <f aca="false">IF(ISNUMBER(AC1420),1,0)</f>
        <v>0</v>
      </c>
      <c r="BX1420" s="57" t="n">
        <f aca="false">N(AC1420)</f>
        <v>0</v>
      </c>
      <c r="BY1420" s="57" t="n">
        <f aca="false">N(L1420)+N(M1420)</f>
        <v>1</v>
      </c>
      <c r="BZ1420" s="57" t="n">
        <f aca="false">ROUNDUP(G1420/BQ1420,0)</f>
        <v>0</v>
      </c>
      <c r="CA1420" s="57" t="n">
        <f aca="false">ROUNDUP(BX1420/BQ1420,0)</f>
        <v>0</v>
      </c>
      <c r="CB1420" s="60" t="n">
        <f aca="false">IF(BR1420=1,0,IFERROR(VLOOKUP(BP1420,'Gebinde-Kategorie'!$A$5:$M$45,5,0)+0,0))</f>
        <v>8</v>
      </c>
      <c r="CC1420" s="60" t="n">
        <f aca="false">IFERROR(IF(OR(BT1420=1,BT1420=2,BT1420=3),N(INDEX(Parameter!$I$5:$I$7,BT1420)),0),0)</f>
        <v>0</v>
      </c>
      <c r="CD1420" s="59" t="n">
        <f aca="false">IF(AND(Parameter!$B$21="Ja",ISNUMBER(U1420),N(V1420)&gt;0),IFERROR(N(INDEX(Parameter!$L$5:$L$7,U1420))*INDEX(Parameter!$E$5:$E$7,U1420)*V1420/SUMIFS($V$7:$V$1576,$U$7:$U$1576,U1420),0),0)</f>
        <v>0</v>
      </c>
    </row>
    <row r="1421" customFormat="false" ht="15" hidden="false" customHeight="false" outlineLevel="0" collapsed="false">
      <c r="A1421" s="55" t="s">
        <v>2479</v>
      </c>
      <c r="B1421" s="55" t="s">
        <v>2480</v>
      </c>
      <c r="C1421" s="55" t="s">
        <v>160</v>
      </c>
      <c r="D1421" s="55" t="s">
        <v>168</v>
      </c>
      <c r="E1421" s="55" t="s">
        <v>210</v>
      </c>
      <c r="F1421" s="56" t="n">
        <v>699.44</v>
      </c>
      <c r="G1421" s="57" t="n">
        <f aca="false">MAX(0,IF(AND(Parameter!$B$21="Ja",ISNUMBER(W1421)),W1421,IF(Parameter!$B$20="Jahresanfang 2025 + Export",BJ1421+BI1421,BI1421)))</f>
        <v>0</v>
      </c>
      <c r="H1421" s="57" t="n">
        <f aca="false">G1421*F1421</f>
        <v>0</v>
      </c>
      <c r="I1421" s="57" t="n">
        <f aca="false">BL1421*Parameter!$B$18</f>
        <v>8</v>
      </c>
      <c r="J1421" s="58" t="n">
        <v>13.5</v>
      </c>
      <c r="K1421" s="59" t="n">
        <v>0.592592592592593</v>
      </c>
      <c r="L1421" s="57" t="n">
        <v>1</v>
      </c>
      <c r="M1421" s="57" t="n">
        <v>5</v>
      </c>
      <c r="N1421" s="60" t="n">
        <v>49</v>
      </c>
      <c r="O1421" s="55" t="s">
        <v>218</v>
      </c>
      <c r="P1421" s="57" t="n">
        <v>7</v>
      </c>
      <c r="Q1421" s="60" t="n">
        <f aca="false">IF(BR1421=1,0,IFERROR(VLOOKUP(BP1421,'Gebinde-Kategorie'!$A$5:$M$45,13,0)+0,0))</f>
        <v>12</v>
      </c>
      <c r="R1421" s="61"/>
      <c r="S1421" s="62"/>
      <c r="T1421" s="62"/>
      <c r="U1421" s="55"/>
      <c r="V1421" s="57"/>
      <c r="W1421" s="57"/>
      <c r="X1421" s="55" t="n">
        <f aca="false">IF(A1421="","",IF(AND(Parameter!$B$21="Ja",ISNUMBER(U1421)),U1421,IF(IFERROR(VLOOKUP(D1421,Parameter!$A$35:$C$64,2,0),"Nein")="2+3",IF(ISNUMBER(SEARCH("grosser Artikel",BM1421)),2,IFERROR(VLOOKUP(BP1421,Parameter!$F$35:$G$64,2,0),2)),IF(OR(IFERROR(VLOOKUP(D1421,Parameter!$A$35:$C$64,2,0),"Nein")="Nein",IFERROR(VLOOKUP(D1421,Parameter!$A$35:$C$64,2,0),"Nein")=""),"-",VLOOKUP(D1421,Parameter!$A$35:$C$64,2,0)))))</f>
        <v>2</v>
      </c>
      <c r="Y1421" s="62"/>
      <c r="Z1421" s="63"/>
      <c r="AA1421" s="57" t="n">
        <f aca="false">AP1421</f>
        <v>7</v>
      </c>
      <c r="AB1421" s="57" t="n">
        <f aca="false">MAX(AP1421,G1421)</f>
        <v>7</v>
      </c>
      <c r="AC1421" s="64"/>
      <c r="AD1421" s="57" t="n">
        <f aca="false">IF(LEFT(Cockpit!$C$5,1)="A",G1421,IF(BW1421=1,BX1421,IF(LEFT(Cockpit!$C$5,1)="B",AH1421,MAX(AH1421,G1421))))</f>
        <v>0</v>
      </c>
      <c r="AE1421" s="57" t="n">
        <f aca="false">IF(BR1421=1,0,ROUNDUP(AD1421/BQ1421,0))</f>
        <v>0</v>
      </c>
      <c r="AF1421" s="59" t="n">
        <f aca="false">IF(CD1421&gt;0,CD1421*MAX(1,AD1421/V1421),IF(BR1421=1,IF(AD1421&lt;=0,0,BS1421*MAX(1,IF(G1421&gt;0,AD1421/G1421,1))),IF(Q1421&gt;0,AE1421/Q1421,0))/MAX(0.1,N(Parameter!$M$21)))</f>
        <v>0</v>
      </c>
      <c r="AG1421" s="57" t="n">
        <f aca="false">AD1421*F1421</f>
        <v>0</v>
      </c>
      <c r="AH1421" s="57" t="n">
        <f aca="false">ROUNDUP(MAX(I1421/IF(BV1421&gt;0,BV1421,MAX(0.1,N(Cockpit!$C$6))),BY1421)/BQ1421,0)*BQ1421</f>
        <v>7</v>
      </c>
      <c r="AI1421" s="58" t="n">
        <f aca="false">IF(AF1421&gt;0,I1421/AF1421,-1)</f>
        <v>-1</v>
      </c>
      <c r="AJ1421" s="58" t="str">
        <f aca="false">IF(AND(OR(BU1421="L1",BU1421="L23"),AF1421&gt;0),SUMIFS($AF$7:$AF$1576,$BU$7:$BU$1576,BU1421,$AI$7:$AI$1576,"&gt;"&amp;AI1421)+SUMIFS($AF$7:$AF$1576,$BU$7:$BU$1576,BU1421,$AI$7:$AI$1576,AI1421,$BO$7:$BO$1576,"&lt;="&amp;BO1421),"")</f>
        <v/>
      </c>
      <c r="AK1421" s="65" t="n">
        <f aca="false">IF(AJ1421="",0,MAX(0,MIN(1,(IF(BU1421="L1",Parameter!$E$5,Parameter!$E$6+Parameter!$E$7)-(AJ1421-AF1421))/AF1421)))</f>
        <v>0</v>
      </c>
      <c r="AL1421" s="57" t="n">
        <f aca="false">IF(LEFT(Cockpit!$I$5,1)="A",G1421,IF(BW1421=1,BX1421,IF(LEFT(Cockpit!$I$5,1)="B",AP1421,MAX(AP1421,G1421))))</f>
        <v>7</v>
      </c>
      <c r="AM1421" s="57" t="n">
        <f aca="false">IF(BR1421=1,0,ROUNDUP(AL1421/BQ1421,0))</f>
        <v>1</v>
      </c>
      <c r="AN1421" s="59" t="n">
        <f aca="false">IF(CD1421&gt;0,CD1421*MAX(1,AL1421/V1421),IF(BR1421=1,IF(AL1421&lt;=0,0,BS1421*MAX(1,IF(G1421&gt;0,AL1421/G1421,1))),IF(Q1421&gt;0,AM1421/Q1421,0))/MAX(0.1,N(Parameter!$M$21)))</f>
        <v>0.0833333333333333</v>
      </c>
      <c r="AO1421" s="57" t="n">
        <f aca="false">AL1421*F1421</f>
        <v>4896.08</v>
      </c>
      <c r="AP1421" s="57" t="n">
        <f aca="false">ROUNDUP(MAX(I1421/IF(BV1421&gt;0,BV1421,MAX(0.1,N(Cockpit!$I$6))),BY1421)/BQ1421,0)*BQ1421</f>
        <v>7</v>
      </c>
      <c r="AQ1421" s="58" t="n">
        <f aca="false">IF(AN1421&gt;0,I1421/AN1421,-1)</f>
        <v>96</v>
      </c>
      <c r="AR1421" s="58" t="n">
        <f aca="false">IF(AND(OR(BU1421="L1",BU1421="L23"),AN1421&gt;0),SUMIFS($AN$7:$AN$1576,$BU$7:$BU$1576,BU1421,$AQ$7:$AQ$1576,"&gt;"&amp;AQ1421)+SUMIFS($AN$7:$AN$1576,$BU$7:$BU$1576,BU1421,$AQ$7:$AQ$1576,AQ1421,$BO$7:$BO$1576,"&lt;="&amp;BO1421),"")</f>
        <v>69.8769800432412</v>
      </c>
      <c r="AS1421" s="65" t="n">
        <f aca="false">IF(AR1421="",0,MAX(0,MIN(1,(IF(BU1421="L1",Parameter!$E$5,Parameter!$E$6+Parameter!$E$7)-(AR1421-AN1421))/AN1421)))</f>
        <v>1</v>
      </c>
      <c r="AT1421" s="57" t="n">
        <f aca="false">IF(LEFT(Cockpit!$O$5,1)="A",G1421,IF(BW1421=1,BX1421,IF(LEFT(Cockpit!$O$5,1)="B",AX1421,MAX(AX1421,G1421))))</f>
        <v>7</v>
      </c>
      <c r="AU1421" s="57" t="n">
        <f aca="false">IF(BR1421=1,0,ROUNDUP(AT1421/BQ1421,0))</f>
        <v>1</v>
      </c>
      <c r="AV1421" s="59" t="n">
        <f aca="false">IF(CD1421&gt;0,CD1421*MAX(1,AT1421/V1421),IF(BR1421=1,IF(AT1421&lt;=0,0,BS1421*MAX(1,IF(G1421&gt;0,AT1421/G1421,1))),IF(Q1421&gt;0,AU1421/Q1421,0))/MAX(0.1,N(Parameter!$M$21)))</f>
        <v>0.0833333333333333</v>
      </c>
      <c r="AW1421" s="57" t="n">
        <f aca="false">AT1421*F1421</f>
        <v>4896.08</v>
      </c>
      <c r="AX1421" s="57" t="n">
        <f aca="false">ROUNDUP(MAX(I1421/IF(BV1421&gt;0,BV1421,MAX(0.1,N(Cockpit!$O$6))),BY1421)/BQ1421,0)*BQ1421</f>
        <v>7</v>
      </c>
      <c r="AY1421" s="58" t="n">
        <f aca="false">IF(AV1421&gt;0,I1421/AV1421,-1)</f>
        <v>96</v>
      </c>
      <c r="AZ1421" s="58" t="n">
        <f aca="false">IF(AND(OR(BU1421="L1",BU1421="L23"),AV1421&gt;0),SUMIFS($AV$7:$AV$1576,$BU$7:$BU$1576,BU1421,$AY$7:$AY$1576,"&gt;"&amp;AY1421)+SUMIFS($AV$7:$AV$1576,$BU$7:$BU$1576,BU1421,$AY$7:$AY$1576,AY1421,$BO$7:$BO$1576,"&lt;="&amp;BO1421),"")</f>
        <v>64.437363826125</v>
      </c>
      <c r="BA1421" s="65" t="n">
        <f aca="false">IF(AZ1421="",0,MAX(0,MIN(1,(IF(BU1421="L1",Parameter!$E$5,Parameter!$E$6+Parameter!$E$7)-(AZ1421-AV1421))/AV1421)))</f>
        <v>1</v>
      </c>
      <c r="BB1421" s="55" t="str">
        <f aca="false">IF(AF1421&lt;=0,"",IF(BU1421="Aussen","Aussenlager",IF(BU1421="-","Nicht im Lift",IF(AK1421&gt;=1,"Lift",IF(AK1421&lt;=0,"Aussenlager","teilweise")))))</f>
        <v/>
      </c>
      <c r="BC1421" s="55" t="str">
        <f aca="false">IF(AN1421&lt;=0,"",IF(BU1421="Aussen","Aussenlager",IF(BU1421="-","Nicht im Lift",IF(AS1421&gt;=1,"Lift",IF(AS1421&lt;=0,"Aussenlager","teilweise")))))</f>
        <v>Lift</v>
      </c>
      <c r="BD1421" s="55" t="str">
        <f aca="false">IF(AV1421&lt;=0,"",IF(BU1421="Aussen","Aussenlager",IF(BU1421="-","Nicht im Lift",IF(BA1421&gt;=1,"Lift",IF(BA1421&lt;=0,"Aussenlager","teilweise")))))</f>
        <v>Lift</v>
      </c>
      <c r="BE1421" s="55" t="str">
        <f aca="false">IF(A1421="","",IF(BN1421=1,"Neu; ","")&amp;IF(AND(BN1421=0,BI1421&lt;0),"negativer Bestand (Export "&amp;BI1421&amp;"); ","")&amp;IF(I1421&lt;=0,"Kein Verbrauch; ","")&amp;IF(CD1421&gt;0,"Lift "&amp;U1421&amp;" lt. Liftbericht (Fach "&amp;V1421&amp;" Stk); ",IF(BR1421=1,"Lose – Fläche geschätzt; ",""))&amp;IF(G1421&gt;AP1421,"Überbestand "&amp;ROUND(G1421-AP1421,0)&amp;" Stk / CHF "&amp;ROUND((G1421-AP1421)*F1421,0)&amp;"; ","")&amp;IF(AND(BW1421=1,BX1421&lt;BY1421),"MAX &lt; MB+LG; ","")&amp;IF(AND(CC1421&gt;0,CB1421*10&gt;CC1421),"zu hoch für Tablar; ","")&amp;IF(AND(BN1421=0,OR(BW1421=1,Y1421&lt;&gt;"",S1421&lt;&gt;"",T1421&lt;&gt;"",Z1421&lt;&gt;"")),"manuell übersteuert; ","")&amp;IF(AND(BR1421=0,Q1421=0),"Gebinde unbekannt / Stellmass fehlt; ","")&amp;IF(AND(BR1421=0,N(T1421)&lt;=0,N(P1421)&lt;=0),"Menge pro Gebinde fehlt (Ist = 1 Gebinde); ","")&amp;BM1421)</f>
        <v>negativer Bestand (Export -9); B&amp;R</v>
      </c>
      <c r="BF1421" s="55"/>
      <c r="BG1421" s="55"/>
      <c r="BH1421" s="62"/>
      <c r="BI1421" s="57" t="n">
        <v>-9</v>
      </c>
      <c r="BJ1421" s="57" t="n">
        <v>16</v>
      </c>
      <c r="BK1421" s="56" t="n">
        <v>-5673.52</v>
      </c>
      <c r="BL1421" s="57" t="n">
        <v>8</v>
      </c>
      <c r="BM1421" s="55" t="s">
        <v>2204</v>
      </c>
      <c r="BN1421" s="60" t="n">
        <v>0</v>
      </c>
      <c r="BO1421" s="60" t="n">
        <v>1421</v>
      </c>
      <c r="BP1421" s="55" t="str">
        <f aca="false">IF(S1421&lt;&gt;"",UPPER(TRIM(S1421)),IF(O1421="","LOSE",O1421))</f>
        <v>S63</v>
      </c>
      <c r="BQ1421" s="57" t="n">
        <f aca="false">IF(BP1421="LOSE",1,IF(N(T1421)&gt;0,T1421,IF(N(P1421)&gt;0,P1421,MAX(1,G1421))))</f>
        <v>7</v>
      </c>
      <c r="BR1421" s="60" t="n">
        <f aca="false">IF(BP1421="LOSE",1,0)</f>
        <v>0</v>
      </c>
      <c r="BS1421" s="59" t="n">
        <f aca="false">IF(BR1421=0,0,IF(N(R1421)&gt;0,R1421,IFERROR(VLOOKUP(D1421,Parameter!$A$35:$C$64,3,0)+0,0)))</f>
        <v>0</v>
      </c>
      <c r="BT1421" s="55" t="n">
        <f aca="false">IF(Y1421&lt;&gt;"",Y1421,X1421)</f>
        <v>2</v>
      </c>
      <c r="BU1421" s="55" t="str">
        <f aca="false">IF(BT1421=1,"L1",IF(OR(BT1421=2,BT1421=3),"L23",IF(BT1421="Aussen","Aussen","-")))</f>
        <v>L23</v>
      </c>
      <c r="BV1421" s="66" t="n">
        <f aca="false">IF(N(Z1421)&gt;0,Z1421,0)</f>
        <v>0</v>
      </c>
      <c r="BW1421" s="60" t="n">
        <f aca="false">IF(ISNUMBER(AC1421),1,0)</f>
        <v>0</v>
      </c>
      <c r="BX1421" s="57" t="n">
        <f aca="false">N(AC1421)</f>
        <v>0</v>
      </c>
      <c r="BY1421" s="57" t="n">
        <f aca="false">N(L1421)+N(M1421)</f>
        <v>6</v>
      </c>
      <c r="BZ1421" s="57" t="n">
        <f aca="false">ROUNDUP(G1421/BQ1421,0)</f>
        <v>0</v>
      </c>
      <c r="CA1421" s="57" t="n">
        <f aca="false">ROUNDUP(BX1421/BQ1421,0)</f>
        <v>0</v>
      </c>
      <c r="CB1421" s="60" t="n">
        <f aca="false">IF(BR1421=1,0,IFERROR(VLOOKUP(BP1421,'Gebinde-Kategorie'!$A$5:$M$45,5,0)+0,0))</f>
        <v>31</v>
      </c>
      <c r="CC1421" s="60" t="n">
        <f aca="false">IFERROR(IF(OR(BT1421=1,BT1421=2,BT1421=3),N(INDEX(Parameter!$I$5:$I$7,BT1421)),0),0)</f>
        <v>0</v>
      </c>
      <c r="CD1421" s="59" t="n">
        <f aca="false">IF(AND(Parameter!$B$21="Ja",ISNUMBER(U1421),N(V1421)&gt;0),IFERROR(N(INDEX(Parameter!$L$5:$L$7,U1421))*INDEX(Parameter!$E$5:$E$7,U1421)*V1421/SUMIFS($V$7:$V$1576,$U$7:$U$1576,U1421),0),0)</f>
        <v>0</v>
      </c>
    </row>
    <row r="1422" customFormat="false" ht="15" hidden="false" customHeight="false" outlineLevel="0" collapsed="false">
      <c r="A1422" s="55" t="s">
        <v>2481</v>
      </c>
      <c r="B1422" s="55" t="s">
        <v>2159</v>
      </c>
      <c r="C1422" s="55" t="s">
        <v>160</v>
      </c>
      <c r="D1422" s="55" t="s">
        <v>178</v>
      </c>
      <c r="E1422" s="55" t="s">
        <v>210</v>
      </c>
      <c r="F1422" s="56" t="n">
        <v>671.53</v>
      </c>
      <c r="G1422" s="57" t="n">
        <f aca="false">MAX(0,IF(AND(Parameter!$B$21="Ja",ISNUMBER(W1422)),W1422,IF(Parameter!$B$20="Jahresanfang 2025 + Export",BJ1422+BI1422,BI1422)))</f>
        <v>0</v>
      </c>
      <c r="H1422" s="57" t="n">
        <f aca="false">G1422*F1422</f>
        <v>0</v>
      </c>
      <c r="I1422" s="57" t="n">
        <f aca="false">BL1422*Parameter!$B$18</f>
        <v>4</v>
      </c>
      <c r="J1422" s="58" t="n">
        <v>13</v>
      </c>
      <c r="K1422" s="59" t="n">
        <v>0.307692307692308</v>
      </c>
      <c r="L1422" s="57" t="n">
        <v>0</v>
      </c>
      <c r="M1422" s="57" t="n">
        <v>5</v>
      </c>
      <c r="N1422" s="60" t="n">
        <v>28</v>
      </c>
      <c r="O1422" s="55" t="s">
        <v>284</v>
      </c>
      <c r="P1422" s="57" t="n">
        <v>8</v>
      </c>
      <c r="Q1422" s="60" t="n">
        <f aca="false">IF(BR1422=1,0,IFERROR(VLOOKUP(BP1422,'Gebinde-Kategorie'!$A$5:$M$45,13,0)+0,0))</f>
        <v>12</v>
      </c>
      <c r="R1422" s="61"/>
      <c r="S1422" s="62"/>
      <c r="T1422" s="62"/>
      <c r="U1422" s="55"/>
      <c r="V1422" s="57"/>
      <c r="W1422" s="57"/>
      <c r="X1422" s="55" t="n">
        <f aca="false">IF(A1422="","",IF(AND(Parameter!$B$21="Ja",ISNUMBER(U1422)),U1422,IF(IFERROR(VLOOKUP(D1422,Parameter!$A$35:$C$64,2,0),"Nein")="2+3",IF(ISNUMBER(SEARCH("grosser Artikel",BM1422)),2,IFERROR(VLOOKUP(BP1422,Parameter!$F$35:$G$64,2,0),2)),IF(OR(IFERROR(VLOOKUP(D1422,Parameter!$A$35:$C$64,2,0),"Nein")="Nein",IFERROR(VLOOKUP(D1422,Parameter!$A$35:$C$64,2,0),"Nein")=""),"-",VLOOKUP(D1422,Parameter!$A$35:$C$64,2,0)))))</f>
        <v>2</v>
      </c>
      <c r="Y1422" s="62"/>
      <c r="Z1422" s="63"/>
      <c r="AA1422" s="57" t="n">
        <f aca="false">AP1422</f>
        <v>8</v>
      </c>
      <c r="AB1422" s="57" t="n">
        <f aca="false">MAX(AP1422,G1422)</f>
        <v>8</v>
      </c>
      <c r="AC1422" s="64"/>
      <c r="AD1422" s="57" t="n">
        <f aca="false">IF(LEFT(Cockpit!$C$5,1)="A",G1422,IF(BW1422=1,BX1422,IF(LEFT(Cockpit!$C$5,1)="B",AH1422,MAX(AH1422,G1422))))</f>
        <v>0</v>
      </c>
      <c r="AE1422" s="57" t="n">
        <f aca="false">IF(BR1422=1,0,ROUNDUP(AD1422/BQ1422,0))</f>
        <v>0</v>
      </c>
      <c r="AF1422" s="59" t="n">
        <f aca="false">IF(CD1422&gt;0,CD1422*MAX(1,AD1422/V1422),IF(BR1422=1,IF(AD1422&lt;=0,0,BS1422*MAX(1,IF(G1422&gt;0,AD1422/G1422,1))),IF(Q1422&gt;0,AE1422/Q1422,0))/MAX(0.1,N(Parameter!$M$21)))</f>
        <v>0</v>
      </c>
      <c r="AG1422" s="57" t="n">
        <f aca="false">AD1422*F1422</f>
        <v>0</v>
      </c>
      <c r="AH1422" s="57" t="n">
        <f aca="false">ROUNDUP(MAX(I1422/IF(BV1422&gt;0,BV1422,MAX(0.1,N(Cockpit!$C$6))),BY1422)/BQ1422,0)*BQ1422</f>
        <v>8</v>
      </c>
      <c r="AI1422" s="58" t="n">
        <f aca="false">IF(AF1422&gt;0,I1422/AF1422,-1)</f>
        <v>-1</v>
      </c>
      <c r="AJ1422" s="58" t="str">
        <f aca="false">IF(AND(OR(BU1422="L1",BU1422="L23"),AF1422&gt;0),SUMIFS($AF$7:$AF$1576,$BU$7:$BU$1576,BU1422,$AI$7:$AI$1576,"&gt;"&amp;AI1422)+SUMIFS($AF$7:$AF$1576,$BU$7:$BU$1576,BU1422,$AI$7:$AI$1576,AI1422,$BO$7:$BO$1576,"&lt;="&amp;BO1422),"")</f>
        <v/>
      </c>
      <c r="AK1422" s="65" t="n">
        <f aca="false">IF(AJ1422="",0,MAX(0,MIN(1,(IF(BU1422="L1",Parameter!$E$5,Parameter!$E$6+Parameter!$E$7)-(AJ1422-AF1422))/AF1422)))</f>
        <v>0</v>
      </c>
      <c r="AL1422" s="57" t="n">
        <f aca="false">IF(LEFT(Cockpit!$I$5,1)="A",G1422,IF(BW1422=1,BX1422,IF(LEFT(Cockpit!$I$5,1)="B",AP1422,MAX(AP1422,G1422))))</f>
        <v>8</v>
      </c>
      <c r="AM1422" s="57" t="n">
        <f aca="false">IF(BR1422=1,0,ROUNDUP(AL1422/BQ1422,0))</f>
        <v>1</v>
      </c>
      <c r="AN1422" s="59" t="n">
        <f aca="false">IF(CD1422&gt;0,CD1422*MAX(1,AL1422/V1422),IF(BR1422=1,IF(AL1422&lt;=0,0,BS1422*MAX(1,IF(G1422&gt;0,AL1422/G1422,1))),IF(Q1422&gt;0,AM1422/Q1422,0))/MAX(0.1,N(Parameter!$M$21)))</f>
        <v>0.0833333333333333</v>
      </c>
      <c r="AO1422" s="57" t="n">
        <f aca="false">AL1422*F1422</f>
        <v>5372.24</v>
      </c>
      <c r="AP1422" s="57" t="n">
        <f aca="false">ROUNDUP(MAX(I1422/IF(BV1422&gt;0,BV1422,MAX(0.1,N(Cockpit!$I$6))),BY1422)/BQ1422,0)*BQ1422</f>
        <v>8</v>
      </c>
      <c r="AQ1422" s="58" t="n">
        <f aca="false">IF(AN1422&gt;0,I1422/AN1422,-1)</f>
        <v>48</v>
      </c>
      <c r="AR1422" s="58" t="n">
        <f aca="false">IF(AND(OR(BU1422="L1",BU1422="L23"),AN1422&gt;0),SUMIFS($AN$7:$AN$1576,$BU$7:$BU$1576,BU1422,$AQ$7:$AQ$1576,"&gt;"&amp;AQ1422)+SUMIFS($AN$7:$AN$1576,$BU$7:$BU$1576,BU1422,$AQ$7:$AQ$1576,AQ1422,$BO$7:$BO$1576,"&lt;="&amp;BO1422),"")</f>
        <v>84.9702551015163</v>
      </c>
      <c r="AS1422" s="65" t="n">
        <f aca="false">IF(AR1422="",0,MAX(0,MIN(1,(IF(BU1422="L1",Parameter!$E$5,Parameter!$E$6+Parameter!$E$7)-(AR1422-AN1422))/AN1422)))</f>
        <v>1</v>
      </c>
      <c r="AT1422" s="57" t="n">
        <f aca="false">IF(LEFT(Cockpit!$O$5,1)="A",G1422,IF(BW1422=1,BX1422,IF(LEFT(Cockpit!$O$5,1)="B",AX1422,MAX(AX1422,G1422))))</f>
        <v>8</v>
      </c>
      <c r="AU1422" s="57" t="n">
        <f aca="false">IF(BR1422=1,0,ROUNDUP(AT1422/BQ1422,0))</f>
        <v>1</v>
      </c>
      <c r="AV1422" s="59" t="n">
        <f aca="false">IF(CD1422&gt;0,CD1422*MAX(1,AT1422/V1422),IF(BR1422=1,IF(AT1422&lt;=0,0,BS1422*MAX(1,IF(G1422&gt;0,AT1422/G1422,1))),IF(Q1422&gt;0,AU1422/Q1422,0))/MAX(0.1,N(Parameter!$M$21)))</f>
        <v>0.0833333333333333</v>
      </c>
      <c r="AW1422" s="57" t="n">
        <f aca="false">AT1422*F1422</f>
        <v>5372.24</v>
      </c>
      <c r="AX1422" s="57" t="n">
        <f aca="false">ROUNDUP(MAX(I1422/IF(BV1422&gt;0,BV1422,MAX(0.1,N(Cockpit!$O$6))),BY1422)/BQ1422,0)*BQ1422</f>
        <v>8</v>
      </c>
      <c r="AY1422" s="58" t="n">
        <f aca="false">IF(AV1422&gt;0,I1422/AV1422,-1)</f>
        <v>48</v>
      </c>
      <c r="AZ1422" s="58" t="n">
        <f aca="false">IF(AND(OR(BU1422="L1",BU1422="L23"),AV1422&gt;0),SUMIFS($AV$7:$AV$1576,$BU$7:$BU$1576,BU1422,$AY$7:$AY$1576,"&gt;"&amp;AY1422)+SUMIFS($AV$7:$AV$1576,$BU$7:$BU$1576,BU1422,$AY$7:$AY$1576,AY1422,$BO$7:$BO$1576,"&lt;="&amp;BO1422),"")</f>
        <v>80.8631388844</v>
      </c>
      <c r="BA1422" s="65" t="n">
        <f aca="false">IF(AZ1422="",0,MAX(0,MIN(1,(IF(BU1422="L1",Parameter!$E$5,Parameter!$E$6+Parameter!$E$7)-(AZ1422-AV1422))/AV1422)))</f>
        <v>1</v>
      </c>
      <c r="BB1422" s="55" t="str">
        <f aca="false">IF(AF1422&lt;=0,"",IF(BU1422="Aussen","Aussenlager",IF(BU1422="-","Nicht im Lift",IF(AK1422&gt;=1,"Lift",IF(AK1422&lt;=0,"Aussenlager","teilweise")))))</f>
        <v/>
      </c>
      <c r="BC1422" s="55" t="str">
        <f aca="false">IF(AN1422&lt;=0,"",IF(BU1422="Aussen","Aussenlager",IF(BU1422="-","Nicht im Lift",IF(AS1422&gt;=1,"Lift",IF(AS1422&lt;=0,"Aussenlager","teilweise")))))</f>
        <v>Lift</v>
      </c>
      <c r="BD1422" s="55" t="str">
        <f aca="false">IF(AV1422&lt;=0,"",IF(BU1422="Aussen","Aussenlager",IF(BU1422="-","Nicht im Lift",IF(BA1422&gt;=1,"Lift",IF(BA1422&lt;=0,"Aussenlager","teilweise")))))</f>
        <v>Lift</v>
      </c>
      <c r="BE1422" s="55" t="str">
        <f aca="false">IF(A1422="","",IF(BN1422=1,"Neu; ","")&amp;IF(AND(BN1422=0,BI1422&lt;0),"negativer Bestand (Export "&amp;BI1422&amp;"); ","")&amp;IF(I1422&lt;=0,"Kein Verbrauch; ","")&amp;IF(CD1422&gt;0,"Lift "&amp;U1422&amp;" lt. Liftbericht (Fach "&amp;V1422&amp;" Stk); ",IF(BR1422=1,"Lose – Fläche geschätzt; ",""))&amp;IF(G1422&gt;AP1422,"Überbestand "&amp;ROUND(G1422-AP1422,0)&amp;" Stk / CHF "&amp;ROUND((G1422-AP1422)*F1422,0)&amp;"; ","")&amp;IF(AND(BW1422=1,BX1422&lt;BY1422),"MAX &lt; MB+LG; ","")&amp;IF(AND(CC1422&gt;0,CB1422*10&gt;CC1422),"zu hoch für Tablar; ","")&amp;IF(AND(BN1422=0,OR(BW1422=1,Y1422&lt;&gt;"",S1422&lt;&gt;"",T1422&lt;&gt;"",Z1422&lt;&gt;"")),"manuell übersteuert; ","")&amp;IF(AND(BR1422=0,Q1422=0),"Gebinde unbekannt / Stellmass fehlt; ","")&amp;IF(AND(BR1422=0,N(T1422)&lt;=0,N(P1422)&lt;=0),"Menge pro Gebinde fehlt (Ist = 1 Gebinde); ","")&amp;BM1422)</f>
        <v>negativer Bestand (Export -9); </v>
      </c>
      <c r="BF1422" s="55"/>
      <c r="BG1422" s="55"/>
      <c r="BH1422" s="62"/>
      <c r="BI1422" s="57" t="n">
        <v>-9</v>
      </c>
      <c r="BJ1422" s="57" t="n">
        <v>16</v>
      </c>
      <c r="BK1422" s="56" t="n">
        <v>-6043.77</v>
      </c>
      <c r="BL1422" s="57" t="n">
        <v>4</v>
      </c>
      <c r="BM1422" s="55"/>
      <c r="BN1422" s="60" t="n">
        <v>0</v>
      </c>
      <c r="BO1422" s="60" t="n">
        <v>1422</v>
      </c>
      <c r="BP1422" s="55" t="str">
        <f aca="false">IF(S1422&lt;&gt;"",UPPER(TRIM(S1422)),IF(O1422="","LOSE",O1422))</f>
        <v>S62</v>
      </c>
      <c r="BQ1422" s="57" t="n">
        <f aca="false">IF(BP1422="LOSE",1,IF(N(T1422)&gt;0,T1422,IF(N(P1422)&gt;0,P1422,MAX(1,G1422))))</f>
        <v>8</v>
      </c>
      <c r="BR1422" s="60" t="n">
        <f aca="false">IF(BP1422="LOSE",1,0)</f>
        <v>0</v>
      </c>
      <c r="BS1422" s="59" t="n">
        <f aca="false">IF(BR1422=0,0,IF(N(R1422)&gt;0,R1422,IFERROR(VLOOKUP(D1422,Parameter!$A$35:$C$64,3,0)+0,0)))</f>
        <v>0</v>
      </c>
      <c r="BT1422" s="55" t="n">
        <f aca="false">IF(Y1422&lt;&gt;"",Y1422,X1422)</f>
        <v>2</v>
      </c>
      <c r="BU1422" s="55" t="str">
        <f aca="false">IF(BT1422=1,"L1",IF(OR(BT1422=2,BT1422=3),"L23",IF(BT1422="Aussen","Aussen","-")))</f>
        <v>L23</v>
      </c>
      <c r="BV1422" s="66" t="n">
        <f aca="false">IF(N(Z1422)&gt;0,Z1422,0)</f>
        <v>0</v>
      </c>
      <c r="BW1422" s="60" t="n">
        <f aca="false">IF(ISNUMBER(AC1422),1,0)</f>
        <v>0</v>
      </c>
      <c r="BX1422" s="57" t="n">
        <f aca="false">N(AC1422)</f>
        <v>0</v>
      </c>
      <c r="BY1422" s="57" t="n">
        <f aca="false">N(L1422)+N(M1422)</f>
        <v>5</v>
      </c>
      <c r="BZ1422" s="57" t="n">
        <f aca="false">ROUNDUP(G1422/BQ1422,0)</f>
        <v>0</v>
      </c>
      <c r="CA1422" s="57" t="n">
        <f aca="false">ROUNDUP(BX1422/BQ1422,0)</f>
        <v>0</v>
      </c>
      <c r="CB1422" s="60" t="n">
        <f aca="false">IF(BR1422=1,0,IFERROR(VLOOKUP(BP1422,'Gebinde-Kategorie'!$A$5:$M$45,5,0)+0,0))</f>
        <v>21</v>
      </c>
      <c r="CC1422" s="60" t="n">
        <f aca="false">IFERROR(IF(OR(BT1422=1,BT1422=2,BT1422=3),N(INDEX(Parameter!$I$5:$I$7,BT1422)),0),0)</f>
        <v>0</v>
      </c>
      <c r="CD1422" s="59" t="n">
        <f aca="false">IF(AND(Parameter!$B$21="Ja",ISNUMBER(U1422),N(V1422)&gt;0),IFERROR(N(INDEX(Parameter!$L$5:$L$7,U1422))*INDEX(Parameter!$E$5:$E$7,U1422)*V1422/SUMIFS($V$7:$V$1576,$U$7:$U$1576,U1422),0),0)</f>
        <v>0</v>
      </c>
    </row>
    <row r="1423" customFormat="false" ht="15" hidden="false" customHeight="false" outlineLevel="0" collapsed="false">
      <c r="A1423" s="55" t="s">
        <v>2482</v>
      </c>
      <c r="B1423" s="55" t="s">
        <v>245</v>
      </c>
      <c r="C1423" s="55" t="s">
        <v>160</v>
      </c>
      <c r="D1423" s="55" t="s">
        <v>168</v>
      </c>
      <c r="E1423" s="55" t="s">
        <v>210</v>
      </c>
      <c r="F1423" s="56" t="n">
        <v>1464.77</v>
      </c>
      <c r="G1423" s="57" t="n">
        <f aca="false">MAX(0,IF(AND(Parameter!$B$21="Ja",ISNUMBER(W1423)),W1423,IF(Parameter!$B$20="Jahresanfang 2025 + Export",BJ1423+BI1423,BI1423)))</f>
        <v>7</v>
      </c>
      <c r="H1423" s="57" t="n">
        <f aca="false">G1423*F1423</f>
        <v>10253.39</v>
      </c>
      <c r="I1423" s="57" t="n">
        <f aca="false">BL1423*Parameter!$B$18</f>
        <v>16</v>
      </c>
      <c r="J1423" s="58" t="n">
        <v>8</v>
      </c>
      <c r="K1423" s="59" t="n">
        <v>2</v>
      </c>
      <c r="L1423" s="57" t="n">
        <v>3</v>
      </c>
      <c r="M1423" s="57" t="n">
        <v>5</v>
      </c>
      <c r="N1423" s="60" t="n">
        <v>70</v>
      </c>
      <c r="O1423" s="55" t="s">
        <v>163</v>
      </c>
      <c r="P1423" s="57"/>
      <c r="Q1423" s="60" t="n">
        <f aca="false">IF(BR1423=1,0,IFERROR(VLOOKUP(BP1423,'Gebinde-Kategorie'!$A$5:$M$45,13,0)+0,0))</f>
        <v>0</v>
      </c>
      <c r="R1423" s="61"/>
      <c r="S1423" s="62"/>
      <c r="T1423" s="62"/>
      <c r="U1423" s="55" t="n">
        <v>1</v>
      </c>
      <c r="V1423" s="57" t="n">
        <v>10</v>
      </c>
      <c r="W1423" s="57" t="n">
        <v>7</v>
      </c>
      <c r="X1423" s="55" t="n">
        <f aca="false">IF(A1423="","",IF(AND(Parameter!$B$21="Ja",ISNUMBER(U1423)),U1423,IF(IFERROR(VLOOKUP(D1423,Parameter!$A$35:$C$64,2,0),"Nein")="2+3",IF(ISNUMBER(SEARCH("grosser Artikel",BM1423)),2,IFERROR(VLOOKUP(BP1423,Parameter!$F$35:$G$64,2,0),2)),IF(OR(IFERROR(VLOOKUP(D1423,Parameter!$A$35:$C$64,2,0),"Nein")="Nein",IFERROR(VLOOKUP(D1423,Parameter!$A$35:$C$64,2,0),"Nein")=""),"-",VLOOKUP(D1423,Parameter!$A$35:$C$64,2,0)))))</f>
        <v>1</v>
      </c>
      <c r="Y1423" s="62"/>
      <c r="Z1423" s="63"/>
      <c r="AA1423" s="57" t="n">
        <f aca="false">AP1423</f>
        <v>8</v>
      </c>
      <c r="AB1423" s="57" t="n">
        <f aca="false">MAX(AP1423,G1423)</f>
        <v>8</v>
      </c>
      <c r="AC1423" s="64"/>
      <c r="AD1423" s="57" t="n">
        <f aca="false">IF(LEFT(Cockpit!$C$5,1)="A",G1423,IF(BW1423=1,BX1423,IF(LEFT(Cockpit!$C$5,1)="B",AH1423,MAX(AH1423,G1423))))</f>
        <v>7</v>
      </c>
      <c r="AE1423" s="57" t="n">
        <f aca="false">IF(BR1423=1,0,ROUNDUP(AD1423/BQ1423,0))</f>
        <v>0</v>
      </c>
      <c r="AF1423" s="59" t="n">
        <f aca="false">IF(CD1423&gt;0,CD1423*MAX(1,AD1423/V1423),IF(BR1423=1,IF(AD1423&lt;=0,0,BS1423*MAX(1,IF(G1423&gt;0,AD1423/G1423,1))),IF(Q1423&gt;0,AE1423/Q1423,0))/MAX(0.1,N(Parameter!$M$21)))</f>
        <v>0.800376647834275</v>
      </c>
      <c r="AG1423" s="57" t="n">
        <f aca="false">AD1423*F1423</f>
        <v>10253.39</v>
      </c>
      <c r="AH1423" s="57" t="n">
        <f aca="false">ROUNDUP(MAX(I1423/IF(BV1423&gt;0,BV1423,MAX(0.1,N(Cockpit!$C$6))),BY1423)/BQ1423,0)*BQ1423</f>
        <v>8</v>
      </c>
      <c r="AI1423" s="58" t="n">
        <f aca="false">IF(AF1423&gt;0,I1423/AF1423,-1)</f>
        <v>19.9905882352941</v>
      </c>
      <c r="AJ1423" s="58" t="n">
        <f aca="false">IF(AND(OR(BU1423="L1",BU1423="L23"),AF1423&gt;0),SUMIFS($AF$7:$AF$1576,$BU$7:$BU$1576,BU1423,$AI$7:$AI$1576,"&gt;"&amp;AI1423)+SUMIFS($AF$7:$AF$1576,$BU$7:$BU$1576,BU1423,$AI$7:$AI$1576,AI1423,$BO$7:$BO$1576,"&lt;="&amp;BO1423),"")</f>
        <v>13.4463276836158</v>
      </c>
      <c r="AK1423" s="65" t="n">
        <f aca="false">IF(AJ1423="",0,MAX(0,MIN(1,(IF(BU1423="L1",Parameter!$E$5,Parameter!$E$6+Parameter!$E$7)-(AJ1423-AF1423))/AF1423)))</f>
        <v>1</v>
      </c>
      <c r="AL1423" s="57" t="n">
        <f aca="false">IF(LEFT(Cockpit!$I$5,1)="A",G1423,IF(BW1423=1,BX1423,IF(LEFT(Cockpit!$I$5,1)="B",AP1423,MAX(AP1423,G1423))))</f>
        <v>8</v>
      </c>
      <c r="AM1423" s="57" t="n">
        <f aca="false">IF(BR1423=1,0,ROUNDUP(AL1423/BQ1423,0))</f>
        <v>0</v>
      </c>
      <c r="AN1423" s="59" t="n">
        <f aca="false">IF(CD1423&gt;0,CD1423*MAX(1,AL1423/V1423),IF(BR1423=1,IF(AL1423&lt;=0,0,BS1423*MAX(1,IF(G1423&gt;0,AL1423/G1423,1))),IF(Q1423&gt;0,AM1423/Q1423,0))/MAX(0.1,N(Parameter!$M$21)))</f>
        <v>0.800376647834275</v>
      </c>
      <c r="AO1423" s="57" t="n">
        <f aca="false">AL1423*F1423</f>
        <v>11718.16</v>
      </c>
      <c r="AP1423" s="57" t="n">
        <f aca="false">ROUNDUP(MAX(I1423/IF(BV1423&gt;0,BV1423,MAX(0.1,N(Cockpit!$I$6))),BY1423)/BQ1423,0)*BQ1423</f>
        <v>8</v>
      </c>
      <c r="AQ1423" s="58" t="n">
        <f aca="false">IF(AN1423&gt;0,I1423/AN1423,-1)</f>
        <v>19.9905882352941</v>
      </c>
      <c r="AR1423" s="58" t="n">
        <f aca="false">IF(AND(OR(BU1423="L1",BU1423="L23"),AN1423&gt;0),SUMIFS($AN$7:$AN$1576,$BU$7:$BU$1576,BU1423,$AQ$7:$AQ$1576,"&gt;"&amp;AQ1423)+SUMIFS($AN$7:$AN$1576,$BU$7:$BU$1576,BU1423,$AQ$7:$AQ$1576,AQ1423,$BO$7:$BO$1576,"&lt;="&amp;BO1423),"")</f>
        <v>17.1280602636535</v>
      </c>
      <c r="AS1423" s="65" t="n">
        <f aca="false">IF(AR1423="",0,MAX(0,MIN(1,(IF(BU1423="L1",Parameter!$E$5,Parameter!$E$6+Parameter!$E$7)-(AR1423-AN1423))/AN1423)))</f>
        <v>1</v>
      </c>
      <c r="AT1423" s="57" t="n">
        <f aca="false">IF(LEFT(Cockpit!$O$5,1)="A",G1423,IF(BW1423=1,BX1423,IF(LEFT(Cockpit!$O$5,1)="B",AX1423,MAX(AX1423,G1423))))</f>
        <v>8</v>
      </c>
      <c r="AU1423" s="57" t="n">
        <f aca="false">IF(BR1423=1,0,ROUNDUP(AT1423/BQ1423,0))</f>
        <v>0</v>
      </c>
      <c r="AV1423" s="59" t="n">
        <f aca="false">IF(CD1423&gt;0,CD1423*MAX(1,AT1423/V1423),IF(BR1423=1,IF(AT1423&lt;=0,0,BS1423*MAX(1,IF(G1423&gt;0,AT1423/G1423,1))),IF(Q1423&gt;0,AU1423/Q1423,0))/MAX(0.1,N(Parameter!$M$21)))</f>
        <v>0.800376647834275</v>
      </c>
      <c r="AW1423" s="57" t="n">
        <f aca="false">AT1423*F1423</f>
        <v>11718.16</v>
      </c>
      <c r="AX1423" s="57" t="n">
        <f aca="false">ROUNDUP(MAX(I1423/IF(BV1423&gt;0,BV1423,MAX(0.1,N(Cockpit!$O$6))),BY1423)/BQ1423,0)*BQ1423</f>
        <v>8</v>
      </c>
      <c r="AY1423" s="58" t="n">
        <f aca="false">IF(AV1423&gt;0,I1423/AV1423,-1)</f>
        <v>19.9905882352941</v>
      </c>
      <c r="AZ1423" s="58" t="n">
        <f aca="false">IF(AND(OR(BU1423="L1",BU1423="L23"),AV1423&gt;0),SUMIFS($AV$7:$AV$1576,$BU$7:$BU$1576,BU1423,$AY$7:$AY$1576,"&gt;"&amp;AY1423)+SUMIFS($AV$7:$AV$1576,$BU$7:$BU$1576,BU1423,$AY$7:$AY$1576,AY1423,$BO$7:$BO$1576,"&lt;="&amp;BO1423),"")</f>
        <v>14.1666666666667</v>
      </c>
      <c r="BA1423" s="65" t="n">
        <f aca="false">IF(AZ1423="",0,MAX(0,MIN(1,(IF(BU1423="L1",Parameter!$E$5,Parameter!$E$6+Parameter!$E$7)-(AZ1423-AV1423))/AV1423)))</f>
        <v>1</v>
      </c>
      <c r="BB1423" s="55" t="str">
        <f aca="false">IF(AF1423&lt;=0,"",IF(BU1423="Aussen","Aussenlager",IF(BU1423="-","Nicht im Lift",IF(AK1423&gt;=1,"Lift",IF(AK1423&lt;=0,"Aussenlager","teilweise")))))</f>
        <v>Lift</v>
      </c>
      <c r="BC1423" s="55" t="str">
        <f aca="false">IF(AN1423&lt;=0,"",IF(BU1423="Aussen","Aussenlager",IF(BU1423="-","Nicht im Lift",IF(AS1423&gt;=1,"Lift",IF(AS1423&lt;=0,"Aussenlager","teilweise")))))</f>
        <v>Lift</v>
      </c>
      <c r="BD1423" s="55" t="str">
        <f aca="false">IF(AV1423&lt;=0,"",IF(BU1423="Aussen","Aussenlager",IF(BU1423="-","Nicht im Lift",IF(BA1423&gt;=1,"Lift",IF(BA1423&lt;=0,"Aussenlager","teilweise")))))</f>
        <v>Lift</v>
      </c>
      <c r="BE1423" s="55" t="str">
        <f aca="false">IF(A1423="","",IF(BN1423=1,"Neu; ","")&amp;IF(AND(BN1423=0,BI1423&lt;0),"negativer Bestand (Export "&amp;BI1423&amp;"); ","")&amp;IF(I1423&lt;=0,"Kein Verbrauch; ","")&amp;IF(CD1423&gt;0,"Lift "&amp;U1423&amp;" lt. Liftbericht (Fach "&amp;V1423&amp;" Stk); ",IF(BR1423=1,"Lose – Fläche geschätzt; ",""))&amp;IF(G1423&gt;AP1423,"Überbestand "&amp;ROUND(G1423-AP1423,0)&amp;" Stk / CHF "&amp;ROUND((G1423-AP1423)*F1423,0)&amp;"; ","")&amp;IF(AND(BW1423=1,BX1423&lt;BY1423),"MAX &lt; MB+LG; ","")&amp;IF(AND(CC1423&gt;0,CB1423*10&gt;CC1423),"zu hoch für Tablar; ","")&amp;IF(AND(BN1423=0,OR(BW1423=1,Y1423&lt;&gt;"",S1423&lt;&gt;"",T1423&lt;&gt;"",Z1423&lt;&gt;"")),"manuell übersteuert; ","")&amp;IF(AND(BR1423=0,Q1423=0),"Gebinde unbekannt / Stellmass fehlt; ","")&amp;IF(AND(BR1423=0,N(T1423)&lt;=0,N(P1423)&lt;=0),"Menge pro Gebinde fehlt (Ist = 1 Gebinde); ","")&amp;BM1423)</f>
        <v>negativer Bestand (Export -5); Lift 1 lt. Liftbericht (Fach 10 Stk); </v>
      </c>
      <c r="BF1423" s="55"/>
      <c r="BG1423" s="55"/>
      <c r="BH1423" s="62"/>
      <c r="BI1423" s="57" t="n">
        <v>-5</v>
      </c>
      <c r="BJ1423" s="57" t="n">
        <v>12</v>
      </c>
      <c r="BK1423" s="56" t="n">
        <v>-6065.88999999999</v>
      </c>
      <c r="BL1423" s="57" t="n">
        <v>16</v>
      </c>
      <c r="BM1423" s="55"/>
      <c r="BN1423" s="60" t="n">
        <v>0</v>
      </c>
      <c r="BO1423" s="60" t="n">
        <v>1423</v>
      </c>
      <c r="BP1423" s="55" t="str">
        <f aca="false">IF(S1423&lt;&gt;"",UPPER(TRIM(S1423)),IF(O1423="","LOSE",O1423))</f>
        <v>LOSE</v>
      </c>
      <c r="BQ1423" s="57" t="n">
        <f aca="false">IF(BP1423="LOSE",1,IF(N(T1423)&gt;0,T1423,IF(N(P1423)&gt;0,P1423,MAX(1,G1423))))</f>
        <v>1</v>
      </c>
      <c r="BR1423" s="60" t="n">
        <f aca="false">IF(BP1423="LOSE",1,0)</f>
        <v>1</v>
      </c>
      <c r="BS1423" s="59" t="n">
        <f aca="false">IF(BR1423=0,0,IF(N(R1423)&gt;0,R1423,IFERROR(VLOOKUP(D1423,Parameter!$A$35:$C$64,3,0)+0,0)))</f>
        <v>0.15</v>
      </c>
      <c r="BT1423" s="55" t="n">
        <f aca="false">IF(Y1423&lt;&gt;"",Y1423,X1423)</f>
        <v>1</v>
      </c>
      <c r="BU1423" s="55" t="str">
        <f aca="false">IF(BT1423=1,"L1",IF(OR(BT1423=2,BT1423=3),"L23",IF(BT1423="Aussen","Aussen","-")))</f>
        <v>L1</v>
      </c>
      <c r="BV1423" s="66" t="n">
        <f aca="false">IF(N(Z1423)&gt;0,Z1423,0)</f>
        <v>0</v>
      </c>
      <c r="BW1423" s="60" t="n">
        <f aca="false">IF(ISNUMBER(AC1423),1,0)</f>
        <v>0</v>
      </c>
      <c r="BX1423" s="57" t="n">
        <f aca="false">N(AC1423)</f>
        <v>0</v>
      </c>
      <c r="BY1423" s="57" t="n">
        <f aca="false">N(L1423)+N(M1423)</f>
        <v>8</v>
      </c>
      <c r="BZ1423" s="57" t="n">
        <f aca="false">ROUNDUP(G1423/BQ1423,0)</f>
        <v>7</v>
      </c>
      <c r="CA1423" s="57" t="n">
        <f aca="false">ROUNDUP(BX1423/BQ1423,0)</f>
        <v>0</v>
      </c>
      <c r="CB1423" s="60" t="n">
        <f aca="false">IF(BR1423=1,0,IFERROR(VLOOKUP(BP1423,'Gebinde-Kategorie'!$A$5:$M$45,5,0)+0,0))</f>
        <v>0</v>
      </c>
      <c r="CC1423" s="60" t="n">
        <f aca="false">IFERROR(IF(OR(BT1423=1,BT1423=2,BT1423=3),N(INDEX(Parameter!$I$5:$I$7,BT1423)),0),0)</f>
        <v>0</v>
      </c>
      <c r="CD1423" s="59" t="n">
        <f aca="false">IF(AND(Parameter!$B$21="Ja",ISNUMBER(U1423),N(V1423)&gt;0),IFERROR(N(INDEX(Parameter!$L$5:$L$7,U1423))*INDEX(Parameter!$E$5:$E$7,U1423)*V1423/SUMIFS($V$7:$V$1576,$U$7:$U$1576,U1423),0),0)</f>
        <v>0.800376647834275</v>
      </c>
    </row>
    <row r="1424" customFormat="false" ht="15" hidden="false" customHeight="false" outlineLevel="0" collapsed="false">
      <c r="A1424" s="55" t="s">
        <v>2483</v>
      </c>
      <c r="B1424" s="55" t="s">
        <v>2484</v>
      </c>
      <c r="C1424" s="55" t="s">
        <v>160</v>
      </c>
      <c r="D1424" s="55" t="s">
        <v>161</v>
      </c>
      <c r="E1424" s="55" t="s">
        <v>210</v>
      </c>
      <c r="F1424" s="56" t="n">
        <v>2751.82</v>
      </c>
      <c r="G1424" s="57" t="n">
        <f aca="false">MAX(0,IF(AND(Parameter!$B$21="Ja",ISNUMBER(W1424)),W1424,IF(Parameter!$B$20="Jahresanfang 2025 + Export",BJ1424+BI1424,BI1424)))</f>
        <v>0</v>
      </c>
      <c r="H1424" s="57" t="n">
        <f aca="false">G1424*F1424</f>
        <v>0</v>
      </c>
      <c r="I1424" s="57" t="n">
        <f aca="false">BL1424*Parameter!$B$18</f>
        <v>19</v>
      </c>
      <c r="J1424" s="58" t="n">
        <v>9.5</v>
      </c>
      <c r="K1424" s="59" t="n">
        <v>2</v>
      </c>
      <c r="L1424" s="57" t="n">
        <v>5</v>
      </c>
      <c r="M1424" s="57" t="n">
        <v>5</v>
      </c>
      <c r="N1424" s="60" t="n">
        <v>74</v>
      </c>
      <c r="O1424" s="55" t="s">
        <v>163</v>
      </c>
      <c r="P1424" s="57"/>
      <c r="Q1424" s="60" t="n">
        <f aca="false">IF(BR1424=1,0,IFERROR(VLOOKUP(BP1424,'Gebinde-Kategorie'!$A$5:$M$45,13,0)+0,0))</f>
        <v>0</v>
      </c>
      <c r="R1424" s="61"/>
      <c r="S1424" s="62"/>
      <c r="T1424" s="62"/>
      <c r="U1424" s="55" t="n">
        <v>1</v>
      </c>
      <c r="V1424" s="57" t="n">
        <v>11</v>
      </c>
      <c r="W1424" s="57" t="n">
        <v>0</v>
      </c>
      <c r="X1424" s="55" t="n">
        <f aca="false">IF(A1424="","",IF(AND(Parameter!$B$21="Ja",ISNUMBER(U1424)),U1424,IF(IFERROR(VLOOKUP(D1424,Parameter!$A$35:$C$64,2,0),"Nein")="2+3",IF(ISNUMBER(SEARCH("grosser Artikel",BM1424)),2,IFERROR(VLOOKUP(BP1424,Parameter!$F$35:$G$64,2,0),2)),IF(OR(IFERROR(VLOOKUP(D1424,Parameter!$A$35:$C$64,2,0),"Nein")="Nein",IFERROR(VLOOKUP(D1424,Parameter!$A$35:$C$64,2,0),"Nein")=""),"-",VLOOKUP(D1424,Parameter!$A$35:$C$64,2,0)))))</f>
        <v>1</v>
      </c>
      <c r="Y1424" s="62"/>
      <c r="Z1424" s="63"/>
      <c r="AA1424" s="57" t="n">
        <f aca="false">AP1424</f>
        <v>10</v>
      </c>
      <c r="AB1424" s="57" t="n">
        <f aca="false">MAX(AP1424,G1424)</f>
        <v>10</v>
      </c>
      <c r="AC1424" s="64"/>
      <c r="AD1424" s="57" t="n">
        <f aca="false">IF(LEFT(Cockpit!$C$5,1)="A",G1424,IF(BW1424=1,BX1424,IF(LEFT(Cockpit!$C$5,1)="B",AH1424,MAX(AH1424,G1424))))</f>
        <v>0</v>
      </c>
      <c r="AE1424" s="57" t="n">
        <f aca="false">IF(BR1424=1,0,ROUNDUP(AD1424/BQ1424,0))</f>
        <v>0</v>
      </c>
      <c r="AF1424" s="59" t="n">
        <f aca="false">IF(CD1424&gt;0,CD1424*MAX(1,AD1424/V1424),IF(BR1424=1,IF(AD1424&lt;=0,0,BS1424*MAX(1,IF(G1424&gt;0,AD1424/G1424,1))),IF(Q1424&gt;0,AE1424/Q1424,0))/MAX(0.1,N(Parameter!$M$21)))</f>
        <v>0.880414312617702</v>
      </c>
      <c r="AG1424" s="57" t="n">
        <f aca="false">AD1424*F1424</f>
        <v>0</v>
      </c>
      <c r="AH1424" s="57" t="n">
        <f aca="false">ROUNDUP(MAX(I1424/IF(BV1424&gt;0,BV1424,MAX(0.1,N(Cockpit!$C$6))),BY1424)/BQ1424,0)*BQ1424</f>
        <v>10</v>
      </c>
      <c r="AI1424" s="58" t="n">
        <f aca="false">IF(AF1424&gt;0,I1424/AF1424,-1)</f>
        <v>21.5807486631016</v>
      </c>
      <c r="AJ1424" s="58" t="n">
        <f aca="false">IF(AND(OR(BU1424="L1",BU1424="L23"),AF1424&gt;0),SUMIFS($AF$7:$AF$1576,$BU$7:$BU$1576,BU1424,$AI$7:$AI$1576,"&gt;"&amp;AI1424)+SUMIFS($AF$7:$AF$1576,$BU$7:$BU$1576,BU1424,$AI$7:$AI$1576,AI1424,$BO$7:$BO$1576,"&lt;="&amp;BO1424),"")</f>
        <v>12.6459510357815</v>
      </c>
      <c r="AK1424" s="65" t="n">
        <f aca="false">IF(AJ1424="",0,MAX(0,MIN(1,(IF(BU1424="L1",Parameter!$E$5,Parameter!$E$6+Parameter!$E$7)-(AJ1424-AF1424))/AF1424)))</f>
        <v>1</v>
      </c>
      <c r="AL1424" s="57" t="n">
        <f aca="false">IF(LEFT(Cockpit!$I$5,1)="A",G1424,IF(BW1424=1,BX1424,IF(LEFT(Cockpit!$I$5,1)="B",AP1424,MAX(AP1424,G1424))))</f>
        <v>10</v>
      </c>
      <c r="AM1424" s="57" t="n">
        <f aca="false">IF(BR1424=1,0,ROUNDUP(AL1424/BQ1424,0))</f>
        <v>0</v>
      </c>
      <c r="AN1424" s="59" t="n">
        <f aca="false">IF(CD1424&gt;0,CD1424*MAX(1,AL1424/V1424),IF(BR1424=1,IF(AL1424&lt;=0,0,BS1424*MAX(1,IF(G1424&gt;0,AL1424/G1424,1))),IF(Q1424&gt;0,AM1424/Q1424,0))/MAX(0.1,N(Parameter!$M$21)))</f>
        <v>0.880414312617702</v>
      </c>
      <c r="AO1424" s="57" t="n">
        <f aca="false">AL1424*F1424</f>
        <v>27518.2</v>
      </c>
      <c r="AP1424" s="57" t="n">
        <f aca="false">ROUNDUP(MAX(I1424/IF(BV1424&gt;0,BV1424,MAX(0.1,N(Cockpit!$I$6))),BY1424)/BQ1424,0)*BQ1424</f>
        <v>10</v>
      </c>
      <c r="AQ1424" s="58" t="n">
        <f aca="false">IF(AN1424&gt;0,I1424/AN1424,-1)</f>
        <v>21.5807486631016</v>
      </c>
      <c r="AR1424" s="58" t="n">
        <f aca="false">IF(AND(OR(BU1424="L1",BU1424="L23"),AN1424&gt;0),SUMIFS($AN$7:$AN$1576,$BU$7:$BU$1576,BU1424,$AQ$7:$AQ$1576,"&gt;"&amp;AQ1424)+SUMIFS($AN$7:$AN$1576,$BU$7:$BU$1576,BU1424,$AQ$7:$AQ$1576,AQ1424,$BO$7:$BO$1576,"&lt;="&amp;BO1424),"")</f>
        <v>16.3276836158192</v>
      </c>
      <c r="AS1424" s="65" t="n">
        <f aca="false">IF(AR1424="",0,MAX(0,MIN(1,(IF(BU1424="L1",Parameter!$E$5,Parameter!$E$6+Parameter!$E$7)-(AR1424-AN1424))/AN1424)))</f>
        <v>1</v>
      </c>
      <c r="AT1424" s="57" t="n">
        <f aca="false">IF(LEFT(Cockpit!$O$5,1)="A",G1424,IF(BW1424=1,BX1424,IF(LEFT(Cockpit!$O$5,1)="B",AX1424,MAX(AX1424,G1424))))</f>
        <v>10</v>
      </c>
      <c r="AU1424" s="57" t="n">
        <f aca="false">IF(BR1424=1,0,ROUNDUP(AT1424/BQ1424,0))</f>
        <v>0</v>
      </c>
      <c r="AV1424" s="59" t="n">
        <f aca="false">IF(CD1424&gt;0,CD1424*MAX(1,AT1424/V1424),IF(BR1424=1,IF(AT1424&lt;=0,0,BS1424*MAX(1,IF(G1424&gt;0,AT1424/G1424,1))),IF(Q1424&gt;0,AU1424/Q1424,0))/MAX(0.1,N(Parameter!$M$21)))</f>
        <v>0.880414312617702</v>
      </c>
      <c r="AW1424" s="57" t="n">
        <f aca="false">AT1424*F1424</f>
        <v>27518.2</v>
      </c>
      <c r="AX1424" s="57" t="n">
        <f aca="false">ROUNDUP(MAX(I1424/IF(BV1424&gt;0,BV1424,MAX(0.1,N(Cockpit!$O$6))),BY1424)/BQ1424,0)*BQ1424</f>
        <v>10</v>
      </c>
      <c r="AY1424" s="58" t="n">
        <f aca="false">IF(AV1424&gt;0,I1424/AV1424,-1)</f>
        <v>21.5807486631016</v>
      </c>
      <c r="AZ1424" s="58" t="n">
        <f aca="false">IF(AND(OR(BU1424="L1",BU1424="L23"),AV1424&gt;0),SUMIFS($AV$7:$AV$1576,$BU$7:$BU$1576,BU1424,$AY$7:$AY$1576,"&gt;"&amp;AY1424)+SUMIFS($AV$7:$AV$1576,$BU$7:$BU$1576,BU1424,$AY$7:$AY$1576,AY1424,$BO$7:$BO$1576,"&lt;="&amp;BO1424),"")</f>
        <v>13.3662900188324</v>
      </c>
      <c r="BA1424" s="65" t="n">
        <f aca="false">IF(AZ1424="",0,MAX(0,MIN(1,(IF(BU1424="L1",Parameter!$E$5,Parameter!$E$6+Parameter!$E$7)-(AZ1424-AV1424))/AV1424)))</f>
        <v>1</v>
      </c>
      <c r="BB1424" s="55" t="str">
        <f aca="false">IF(AF1424&lt;=0,"",IF(BU1424="Aussen","Aussenlager",IF(BU1424="-","Nicht im Lift",IF(AK1424&gt;=1,"Lift",IF(AK1424&lt;=0,"Aussenlager","teilweise")))))</f>
        <v>Lift</v>
      </c>
      <c r="BC1424" s="55" t="str">
        <f aca="false">IF(AN1424&lt;=0,"",IF(BU1424="Aussen","Aussenlager",IF(BU1424="-","Nicht im Lift",IF(AS1424&gt;=1,"Lift",IF(AS1424&lt;=0,"Aussenlager","teilweise")))))</f>
        <v>Lift</v>
      </c>
      <c r="BD1424" s="55" t="str">
        <f aca="false">IF(AV1424&lt;=0,"",IF(BU1424="Aussen","Aussenlager",IF(BU1424="-","Nicht im Lift",IF(BA1424&gt;=1,"Lift",IF(BA1424&lt;=0,"Aussenlager","teilweise")))))</f>
        <v>Lift</v>
      </c>
      <c r="BE1424" s="55" t="str">
        <f aca="false">IF(A1424="","",IF(BN1424=1,"Neu; ","")&amp;IF(AND(BN1424=0,BI1424&lt;0),"negativer Bestand (Export "&amp;BI1424&amp;"); ","")&amp;IF(I1424&lt;=0,"Kein Verbrauch; ","")&amp;IF(CD1424&gt;0,"Lift "&amp;U1424&amp;" lt. Liftbericht (Fach "&amp;V1424&amp;" Stk); ",IF(BR1424=1,"Lose – Fläche geschätzt; ",""))&amp;IF(G1424&gt;AP1424,"Überbestand "&amp;ROUND(G1424-AP1424,0)&amp;" Stk / CHF "&amp;ROUND((G1424-AP1424)*F1424,0)&amp;"; ","")&amp;IF(AND(BW1424=1,BX1424&lt;BY1424),"MAX &lt; MB+LG; ","")&amp;IF(AND(CC1424&gt;0,CB1424*10&gt;CC1424),"zu hoch für Tablar; ","")&amp;IF(AND(BN1424=0,OR(BW1424=1,Y1424&lt;&gt;"",S1424&lt;&gt;"",T1424&lt;&gt;"",Z1424&lt;&gt;"")),"manuell übersteuert; ","")&amp;IF(AND(BR1424=0,Q1424=0),"Gebinde unbekannt / Stellmass fehlt; ","")&amp;IF(AND(BR1424=0,N(T1424)&lt;=0,N(P1424)&lt;=0),"Menge pro Gebinde fehlt (Ist = 1 Gebinde); ","")&amp;BM1424)</f>
        <v>negativer Bestand (Export -4); Lift 1 lt. Liftbericht (Fach 11 Stk); </v>
      </c>
      <c r="BF1424" s="55"/>
      <c r="BG1424" s="55"/>
      <c r="BH1424" s="62"/>
      <c r="BI1424" s="57" t="n">
        <v>-4</v>
      </c>
      <c r="BJ1424" s="57" t="n">
        <v>7</v>
      </c>
      <c r="BK1424" s="56" t="n">
        <v>-6384.13</v>
      </c>
      <c r="BL1424" s="57" t="n">
        <v>19</v>
      </c>
      <c r="BM1424" s="55"/>
      <c r="BN1424" s="60" t="n">
        <v>0</v>
      </c>
      <c r="BO1424" s="60" t="n">
        <v>1424</v>
      </c>
      <c r="BP1424" s="55" t="str">
        <f aca="false">IF(S1424&lt;&gt;"",UPPER(TRIM(S1424)),IF(O1424="","LOSE",O1424))</f>
        <v>LOSE</v>
      </c>
      <c r="BQ1424" s="57" t="n">
        <f aca="false">IF(BP1424="LOSE",1,IF(N(T1424)&gt;0,T1424,IF(N(P1424)&gt;0,P1424,MAX(1,G1424))))</f>
        <v>1</v>
      </c>
      <c r="BR1424" s="60" t="n">
        <f aca="false">IF(BP1424="LOSE",1,0)</f>
        <v>1</v>
      </c>
      <c r="BS1424" s="59" t="n">
        <f aca="false">IF(BR1424=0,0,IF(N(R1424)&gt;0,R1424,IFERROR(VLOOKUP(D1424,Parameter!$A$35:$C$64,3,0)+0,0)))</f>
        <v>1</v>
      </c>
      <c r="BT1424" s="55" t="n">
        <f aca="false">IF(Y1424&lt;&gt;"",Y1424,X1424)</f>
        <v>1</v>
      </c>
      <c r="BU1424" s="55" t="str">
        <f aca="false">IF(BT1424=1,"L1",IF(OR(BT1424=2,BT1424=3),"L23",IF(BT1424="Aussen","Aussen","-")))</f>
        <v>L1</v>
      </c>
      <c r="BV1424" s="66" t="n">
        <f aca="false">IF(N(Z1424)&gt;0,Z1424,0)</f>
        <v>0</v>
      </c>
      <c r="BW1424" s="60" t="n">
        <f aca="false">IF(ISNUMBER(AC1424),1,0)</f>
        <v>0</v>
      </c>
      <c r="BX1424" s="57" t="n">
        <f aca="false">N(AC1424)</f>
        <v>0</v>
      </c>
      <c r="BY1424" s="57" t="n">
        <f aca="false">N(L1424)+N(M1424)</f>
        <v>10</v>
      </c>
      <c r="BZ1424" s="57" t="n">
        <f aca="false">ROUNDUP(G1424/BQ1424,0)</f>
        <v>0</v>
      </c>
      <c r="CA1424" s="57" t="n">
        <f aca="false">ROUNDUP(BX1424/BQ1424,0)</f>
        <v>0</v>
      </c>
      <c r="CB1424" s="60" t="n">
        <f aca="false">IF(BR1424=1,0,IFERROR(VLOOKUP(BP1424,'Gebinde-Kategorie'!$A$5:$M$45,5,0)+0,0))</f>
        <v>0</v>
      </c>
      <c r="CC1424" s="60" t="n">
        <f aca="false">IFERROR(IF(OR(BT1424=1,BT1424=2,BT1424=3),N(INDEX(Parameter!$I$5:$I$7,BT1424)),0),0)</f>
        <v>0</v>
      </c>
      <c r="CD1424" s="59" t="n">
        <f aca="false">IF(AND(Parameter!$B$21="Ja",ISNUMBER(U1424),N(V1424)&gt;0),IFERROR(N(INDEX(Parameter!$L$5:$L$7,U1424))*INDEX(Parameter!$E$5:$E$7,U1424)*V1424/SUMIFS($V$7:$V$1576,$U$7:$U$1576,U1424),0),0)</f>
        <v>0.880414312617702</v>
      </c>
    </row>
    <row r="1425" customFormat="false" ht="15" hidden="false" customHeight="false" outlineLevel="0" collapsed="false">
      <c r="A1425" s="55" t="s">
        <v>2485</v>
      </c>
      <c r="B1425" s="55" t="s">
        <v>1901</v>
      </c>
      <c r="C1425" s="55" t="s">
        <v>446</v>
      </c>
      <c r="D1425" s="55" t="s">
        <v>178</v>
      </c>
      <c r="E1425" s="55" t="s">
        <v>210</v>
      </c>
      <c r="F1425" s="56" t="n">
        <v>639.83</v>
      </c>
      <c r="G1425" s="57" t="n">
        <f aca="false">MAX(0,IF(AND(Parameter!$B$21="Ja",ISNUMBER(W1425)),W1425,IF(Parameter!$B$20="Jahresanfang 2025 + Export",BJ1425+BI1425,BI1425)))</f>
        <v>0</v>
      </c>
      <c r="H1425" s="57" t="n">
        <f aca="false">G1425*F1425</f>
        <v>0</v>
      </c>
      <c r="I1425" s="57" t="n">
        <f aca="false">BL1425*Parameter!$B$18</f>
        <v>10</v>
      </c>
      <c r="J1425" s="58" t="n">
        <v>10</v>
      </c>
      <c r="K1425" s="59" t="n">
        <v>1</v>
      </c>
      <c r="L1425" s="57" t="n">
        <v>1</v>
      </c>
      <c r="M1425" s="57" t="n">
        <v>10</v>
      </c>
      <c r="N1425" s="60" t="n">
        <v>56</v>
      </c>
      <c r="O1425" s="55" t="s">
        <v>163</v>
      </c>
      <c r="P1425" s="57"/>
      <c r="Q1425" s="60" t="n">
        <f aca="false">IF(BR1425=1,0,IFERROR(VLOOKUP(BP1425,'Gebinde-Kategorie'!$A$5:$M$45,13,0)+0,0))</f>
        <v>0</v>
      </c>
      <c r="R1425" s="61"/>
      <c r="S1425" s="62"/>
      <c r="T1425" s="62"/>
      <c r="U1425" s="55"/>
      <c r="V1425" s="57"/>
      <c r="W1425" s="57"/>
      <c r="X1425" s="55" t="n">
        <f aca="false">IF(A1425="","",IF(AND(Parameter!$B$21="Ja",ISNUMBER(U1425)),U1425,IF(IFERROR(VLOOKUP(D1425,Parameter!$A$35:$C$64,2,0),"Nein")="2+3",IF(ISNUMBER(SEARCH("grosser Artikel",BM1425)),2,IFERROR(VLOOKUP(BP1425,Parameter!$F$35:$G$64,2,0),2)),IF(OR(IFERROR(VLOOKUP(D1425,Parameter!$A$35:$C$64,2,0),"Nein")="Nein",IFERROR(VLOOKUP(D1425,Parameter!$A$35:$C$64,2,0),"Nein")=""),"-",VLOOKUP(D1425,Parameter!$A$35:$C$64,2,0)))))</f>
        <v>2</v>
      </c>
      <c r="Y1425" s="62"/>
      <c r="Z1425" s="63"/>
      <c r="AA1425" s="57" t="n">
        <f aca="false">AP1425</f>
        <v>11</v>
      </c>
      <c r="AB1425" s="57" t="n">
        <f aca="false">MAX(AP1425,G1425)</f>
        <v>11</v>
      </c>
      <c r="AC1425" s="64"/>
      <c r="AD1425" s="57" t="n">
        <f aca="false">IF(LEFT(Cockpit!$C$5,1)="A",G1425,IF(BW1425=1,BX1425,IF(LEFT(Cockpit!$C$5,1)="B",AH1425,MAX(AH1425,G1425))))</f>
        <v>0</v>
      </c>
      <c r="AE1425" s="57" t="n">
        <f aca="false">IF(BR1425=1,0,ROUNDUP(AD1425/BQ1425,0))</f>
        <v>0</v>
      </c>
      <c r="AF1425" s="59" t="n">
        <f aca="false">IF(CD1425&gt;0,CD1425*MAX(1,AD1425/V1425),IF(BR1425=1,IF(AD1425&lt;=0,0,BS1425*MAX(1,IF(G1425&gt;0,AD1425/G1425,1))),IF(Q1425&gt;0,AE1425/Q1425,0))/MAX(0.1,N(Parameter!$M$21)))</f>
        <v>0</v>
      </c>
      <c r="AG1425" s="57" t="n">
        <f aca="false">AD1425*F1425</f>
        <v>0</v>
      </c>
      <c r="AH1425" s="57" t="n">
        <f aca="false">ROUNDUP(MAX(I1425/IF(BV1425&gt;0,BV1425,MAX(0.1,N(Cockpit!$C$6))),BY1425)/BQ1425,0)*BQ1425</f>
        <v>11</v>
      </c>
      <c r="AI1425" s="58" t="n">
        <f aca="false">IF(AF1425&gt;0,I1425/AF1425,-1)</f>
        <v>-1</v>
      </c>
      <c r="AJ1425" s="58" t="str">
        <f aca="false">IF(AND(OR(BU1425="L1",BU1425="L23"),AF1425&gt;0),SUMIFS($AF$7:$AF$1576,$BU$7:$BU$1576,BU1425,$AI$7:$AI$1576,"&gt;"&amp;AI1425)+SUMIFS($AF$7:$AF$1576,$BU$7:$BU$1576,BU1425,$AI$7:$AI$1576,AI1425,$BO$7:$BO$1576,"&lt;="&amp;BO1425),"")</f>
        <v/>
      </c>
      <c r="AK1425" s="65" t="n">
        <f aca="false">IF(AJ1425="",0,MAX(0,MIN(1,(IF(BU1425="L1",Parameter!$E$5,Parameter!$E$6+Parameter!$E$7)-(AJ1425-AF1425))/AF1425)))</f>
        <v>0</v>
      </c>
      <c r="AL1425" s="57" t="n">
        <f aca="false">IF(LEFT(Cockpit!$I$5,1)="A",G1425,IF(BW1425=1,BX1425,IF(LEFT(Cockpit!$I$5,1)="B",AP1425,MAX(AP1425,G1425))))</f>
        <v>11</v>
      </c>
      <c r="AM1425" s="57" t="n">
        <f aca="false">IF(BR1425=1,0,ROUNDUP(AL1425/BQ1425,0))</f>
        <v>0</v>
      </c>
      <c r="AN1425" s="59" t="n">
        <f aca="false">IF(CD1425&gt;0,CD1425*MAX(1,AL1425/V1425),IF(BR1425=1,IF(AL1425&lt;=0,0,BS1425*MAX(1,IF(G1425&gt;0,AL1425/G1425,1))),IF(Q1425&gt;0,AM1425/Q1425,0))/MAX(0.1,N(Parameter!$M$21)))</f>
        <v>0.03</v>
      </c>
      <c r="AO1425" s="57" t="n">
        <f aca="false">AL1425*F1425</f>
        <v>7038.13</v>
      </c>
      <c r="AP1425" s="57" t="n">
        <f aca="false">ROUNDUP(MAX(I1425/IF(BV1425&gt;0,BV1425,MAX(0.1,N(Cockpit!$I$6))),BY1425)/BQ1425,0)*BQ1425</f>
        <v>11</v>
      </c>
      <c r="AQ1425" s="58" t="n">
        <f aca="false">IF(AN1425&gt;0,I1425/AN1425,-1)</f>
        <v>333.333333333333</v>
      </c>
      <c r="AR1425" s="58" t="n">
        <f aca="false">IF(AND(OR(BU1425="L1",BU1425="L23"),AN1425&gt;0),SUMIFS($AN$7:$AN$1576,$BU$7:$BU$1576,BU1425,$AQ$7:$AQ$1576,"&gt;"&amp;AQ1425)+SUMIFS($AN$7:$AN$1576,$BU$7:$BU$1576,BU1425,$AQ$7:$AQ$1576,AQ1425,$BO$7:$BO$1576,"&lt;="&amp;BO1425),"")</f>
        <v>41.7611086139459</v>
      </c>
      <c r="AS1425" s="65" t="n">
        <f aca="false">IF(AR1425="",0,MAX(0,MIN(1,(IF(BU1425="L1",Parameter!$E$5,Parameter!$E$6+Parameter!$E$7)-(AR1425-AN1425))/AN1425)))</f>
        <v>1</v>
      </c>
      <c r="AT1425" s="57" t="n">
        <f aca="false">IF(LEFT(Cockpit!$O$5,1)="A",G1425,IF(BW1425=1,BX1425,IF(LEFT(Cockpit!$O$5,1)="B",AX1425,MAX(AX1425,G1425))))</f>
        <v>11</v>
      </c>
      <c r="AU1425" s="57" t="n">
        <f aca="false">IF(BR1425=1,0,ROUNDUP(AT1425/BQ1425,0))</f>
        <v>0</v>
      </c>
      <c r="AV1425" s="59" t="n">
        <f aca="false">IF(CD1425&gt;0,CD1425*MAX(1,AT1425/V1425),IF(BR1425=1,IF(AT1425&lt;=0,0,BS1425*MAX(1,IF(G1425&gt;0,AT1425/G1425,1))),IF(Q1425&gt;0,AU1425/Q1425,0))/MAX(0.1,N(Parameter!$M$21)))</f>
        <v>0.03</v>
      </c>
      <c r="AW1425" s="57" t="n">
        <f aca="false">AT1425*F1425</f>
        <v>7038.13</v>
      </c>
      <c r="AX1425" s="57" t="n">
        <f aca="false">ROUNDUP(MAX(I1425/IF(BV1425&gt;0,BV1425,MAX(0.1,N(Cockpit!$O$6))),BY1425)/BQ1425,0)*BQ1425</f>
        <v>11</v>
      </c>
      <c r="AY1425" s="58" t="n">
        <f aca="false">IF(AV1425&gt;0,I1425/AV1425,-1)</f>
        <v>333.333333333333</v>
      </c>
      <c r="AZ1425" s="58" t="n">
        <f aca="false">IF(AND(OR(BU1425="L1",BU1425="L23"),AV1425&gt;0),SUMIFS($AV$7:$AV$1576,$BU$7:$BU$1576,BU1425,$AY$7:$AY$1576,"&gt;"&amp;AY1425)+SUMIFS($AV$7:$AV$1576,$BU$7:$BU$1576,BU1425,$AY$7:$AY$1576,AY1425,$BO$7:$BO$1576,"&lt;="&amp;BO1425),"")</f>
        <v>38.5091872020245</v>
      </c>
      <c r="BA1425" s="65" t="n">
        <f aca="false">IF(AZ1425="",0,MAX(0,MIN(1,(IF(BU1425="L1",Parameter!$E$5,Parameter!$E$6+Parameter!$E$7)-(AZ1425-AV1425))/AV1425)))</f>
        <v>1</v>
      </c>
      <c r="BB1425" s="55" t="str">
        <f aca="false">IF(AF1425&lt;=0,"",IF(BU1425="Aussen","Aussenlager",IF(BU1425="-","Nicht im Lift",IF(AK1425&gt;=1,"Lift",IF(AK1425&lt;=0,"Aussenlager","teilweise")))))</f>
        <v/>
      </c>
      <c r="BC1425" s="55" t="str">
        <f aca="false">IF(AN1425&lt;=0,"",IF(BU1425="Aussen","Aussenlager",IF(BU1425="-","Nicht im Lift",IF(AS1425&gt;=1,"Lift",IF(AS1425&lt;=0,"Aussenlager","teilweise")))))</f>
        <v>Lift</v>
      </c>
      <c r="BD1425" s="55" t="str">
        <f aca="false">IF(AV1425&lt;=0,"",IF(BU1425="Aussen","Aussenlager",IF(BU1425="-","Nicht im Lift",IF(BA1425&gt;=1,"Lift",IF(BA1425&lt;=0,"Aussenlager","teilweise")))))</f>
        <v>Lift</v>
      </c>
      <c r="BE1425" s="55" t="str">
        <f aca="false">IF(A1425="","",IF(BN1425=1,"Neu; ","")&amp;IF(AND(BN1425=0,BI1425&lt;0),"negativer Bestand (Export "&amp;BI1425&amp;"); ","")&amp;IF(I1425&lt;=0,"Kein Verbrauch; ","")&amp;IF(CD1425&gt;0,"Lift "&amp;U1425&amp;" lt. Liftbericht (Fach "&amp;V1425&amp;" Stk); ",IF(BR1425=1,"Lose – Fläche geschätzt; ",""))&amp;IF(G1425&gt;AP1425,"Überbestand "&amp;ROUND(G1425-AP1425,0)&amp;" Stk / CHF "&amp;ROUND((G1425-AP1425)*F1425,0)&amp;"; ","")&amp;IF(AND(BW1425=1,BX1425&lt;BY1425),"MAX &lt; MB+LG; ","")&amp;IF(AND(CC1425&gt;0,CB1425*10&gt;CC1425),"zu hoch für Tablar; ","")&amp;IF(AND(BN1425=0,OR(BW1425=1,Y1425&lt;&gt;"",S1425&lt;&gt;"",T1425&lt;&gt;"",Z1425&lt;&gt;"")),"manuell übersteuert; ","")&amp;IF(AND(BR1425=0,Q1425=0),"Gebinde unbekannt / Stellmass fehlt; ","")&amp;IF(AND(BR1425=0,N(T1425)&lt;=0,N(P1425)&lt;=0),"Menge pro Gebinde fehlt (Ist = 1 Gebinde); ","")&amp;BM1425)</f>
        <v>negativer Bestand (Export -10); Lose – Fläche geschätzt; </v>
      </c>
      <c r="BF1425" s="55"/>
      <c r="BG1425" s="55"/>
      <c r="BH1425" s="62"/>
      <c r="BI1425" s="57" t="n">
        <v>-10</v>
      </c>
      <c r="BJ1425" s="57" t="n">
        <v>20</v>
      </c>
      <c r="BK1425" s="56" t="n">
        <v>-6398.3</v>
      </c>
      <c r="BL1425" s="57" t="n">
        <v>10</v>
      </c>
      <c r="BM1425" s="55"/>
      <c r="BN1425" s="60" t="n">
        <v>0</v>
      </c>
      <c r="BO1425" s="60" t="n">
        <v>1425</v>
      </c>
      <c r="BP1425" s="55" t="str">
        <f aca="false">IF(S1425&lt;&gt;"",UPPER(TRIM(S1425)),IF(O1425="","LOSE",O1425))</f>
        <v>LOSE</v>
      </c>
      <c r="BQ1425" s="57" t="n">
        <f aca="false">IF(BP1425="LOSE",1,IF(N(T1425)&gt;0,T1425,IF(N(P1425)&gt;0,P1425,MAX(1,G1425))))</f>
        <v>1</v>
      </c>
      <c r="BR1425" s="60" t="n">
        <f aca="false">IF(BP1425="LOSE",1,0)</f>
        <v>1</v>
      </c>
      <c r="BS1425" s="59" t="n">
        <f aca="false">IF(BR1425=0,0,IF(N(R1425)&gt;0,R1425,IFERROR(VLOOKUP(D1425,Parameter!$A$35:$C$64,3,0)+0,0)))</f>
        <v>0.03</v>
      </c>
      <c r="BT1425" s="55" t="n">
        <f aca="false">IF(Y1425&lt;&gt;"",Y1425,X1425)</f>
        <v>2</v>
      </c>
      <c r="BU1425" s="55" t="str">
        <f aca="false">IF(BT1425=1,"L1",IF(OR(BT1425=2,BT1425=3),"L23",IF(BT1425="Aussen","Aussen","-")))</f>
        <v>L23</v>
      </c>
      <c r="BV1425" s="66" t="n">
        <f aca="false">IF(N(Z1425)&gt;0,Z1425,0)</f>
        <v>0</v>
      </c>
      <c r="BW1425" s="60" t="n">
        <f aca="false">IF(ISNUMBER(AC1425),1,0)</f>
        <v>0</v>
      </c>
      <c r="BX1425" s="57" t="n">
        <f aca="false">N(AC1425)</f>
        <v>0</v>
      </c>
      <c r="BY1425" s="57" t="n">
        <f aca="false">N(L1425)+N(M1425)</f>
        <v>11</v>
      </c>
      <c r="BZ1425" s="57" t="n">
        <f aca="false">ROUNDUP(G1425/BQ1425,0)</f>
        <v>0</v>
      </c>
      <c r="CA1425" s="57" t="n">
        <f aca="false">ROUNDUP(BX1425/BQ1425,0)</f>
        <v>0</v>
      </c>
      <c r="CB1425" s="60" t="n">
        <f aca="false">IF(BR1425=1,0,IFERROR(VLOOKUP(BP1425,'Gebinde-Kategorie'!$A$5:$M$45,5,0)+0,0))</f>
        <v>0</v>
      </c>
      <c r="CC1425" s="60" t="n">
        <f aca="false">IFERROR(IF(OR(BT1425=1,BT1425=2,BT1425=3),N(INDEX(Parameter!$I$5:$I$7,BT1425)),0),0)</f>
        <v>0</v>
      </c>
      <c r="CD1425" s="59" t="n">
        <f aca="false">IF(AND(Parameter!$B$21="Ja",ISNUMBER(U1425),N(V1425)&gt;0),IFERROR(N(INDEX(Parameter!$L$5:$L$7,U1425))*INDEX(Parameter!$E$5:$E$7,U1425)*V1425/SUMIFS($V$7:$V$1576,$U$7:$U$1576,U1425),0),0)</f>
        <v>0</v>
      </c>
    </row>
    <row r="1426" customFormat="false" ht="15" hidden="false" customHeight="false" outlineLevel="0" collapsed="false">
      <c r="A1426" s="55" t="s">
        <v>2486</v>
      </c>
      <c r="B1426" s="55" t="s">
        <v>2487</v>
      </c>
      <c r="C1426" s="55" t="s">
        <v>446</v>
      </c>
      <c r="D1426" s="55" t="s">
        <v>168</v>
      </c>
      <c r="E1426" s="55" t="s">
        <v>210</v>
      </c>
      <c r="F1426" s="56" t="n">
        <v>518.83</v>
      </c>
      <c r="G1426" s="57" t="n">
        <f aca="false">MAX(0,IF(AND(Parameter!$B$21="Ja",ISNUMBER(W1426)),W1426,IF(Parameter!$B$20="Jahresanfang 2025 + Export",BJ1426+BI1426,BI1426)))</f>
        <v>0</v>
      </c>
      <c r="H1426" s="57" t="n">
        <f aca="false">G1426*F1426</f>
        <v>0</v>
      </c>
      <c r="I1426" s="57" t="n">
        <f aca="false">BL1426*Parameter!$B$18</f>
        <v>50</v>
      </c>
      <c r="J1426" s="58" t="n">
        <v>13</v>
      </c>
      <c r="K1426" s="59" t="n">
        <v>3.84615384615385</v>
      </c>
      <c r="L1426" s="57" t="n">
        <v>0</v>
      </c>
      <c r="M1426" s="57" t="n">
        <v>4</v>
      </c>
      <c r="N1426" s="60" t="n">
        <v>63</v>
      </c>
      <c r="O1426" s="55" t="s">
        <v>163</v>
      </c>
      <c r="P1426" s="57"/>
      <c r="Q1426" s="60" t="n">
        <f aca="false">IF(BR1426=1,0,IFERROR(VLOOKUP(BP1426,'Gebinde-Kategorie'!$A$5:$M$45,13,0)+0,0))</f>
        <v>0</v>
      </c>
      <c r="R1426" s="61"/>
      <c r="S1426" s="62"/>
      <c r="T1426" s="62"/>
      <c r="U1426" s="55"/>
      <c r="V1426" s="57"/>
      <c r="W1426" s="57"/>
      <c r="X1426" s="55" t="n">
        <f aca="false">IF(A1426="","",IF(AND(Parameter!$B$21="Ja",ISNUMBER(U1426)),U1426,IF(IFERROR(VLOOKUP(D1426,Parameter!$A$35:$C$64,2,0),"Nein")="2+3",IF(ISNUMBER(SEARCH("grosser Artikel",BM1426)),2,IFERROR(VLOOKUP(BP1426,Parameter!$F$35:$G$64,2,0),2)),IF(OR(IFERROR(VLOOKUP(D1426,Parameter!$A$35:$C$64,2,0),"Nein")="Nein",IFERROR(VLOOKUP(D1426,Parameter!$A$35:$C$64,2,0),"Nein")=""),"-",VLOOKUP(D1426,Parameter!$A$35:$C$64,2,0)))))</f>
        <v>2</v>
      </c>
      <c r="Y1426" s="62"/>
      <c r="Z1426" s="63"/>
      <c r="AA1426" s="57" t="n">
        <f aca="false">AP1426</f>
        <v>25</v>
      </c>
      <c r="AB1426" s="57" t="n">
        <f aca="false">MAX(AP1426,G1426)</f>
        <v>25</v>
      </c>
      <c r="AC1426" s="64"/>
      <c r="AD1426" s="57" t="n">
        <f aca="false">IF(LEFT(Cockpit!$C$5,1)="A",G1426,IF(BW1426=1,BX1426,IF(LEFT(Cockpit!$C$5,1)="B",AH1426,MAX(AH1426,G1426))))</f>
        <v>0</v>
      </c>
      <c r="AE1426" s="57" t="n">
        <f aca="false">IF(BR1426=1,0,ROUNDUP(AD1426/BQ1426,0))</f>
        <v>0</v>
      </c>
      <c r="AF1426" s="59" t="n">
        <f aca="false">IF(CD1426&gt;0,CD1426*MAX(1,AD1426/V1426),IF(BR1426=1,IF(AD1426&lt;=0,0,BS1426*MAX(1,IF(G1426&gt;0,AD1426/G1426,1))),IF(Q1426&gt;0,AE1426/Q1426,0))/MAX(0.1,N(Parameter!$M$21)))</f>
        <v>0</v>
      </c>
      <c r="AG1426" s="57" t="n">
        <f aca="false">AD1426*F1426</f>
        <v>0</v>
      </c>
      <c r="AH1426" s="57" t="n">
        <f aca="false">ROUNDUP(MAX(I1426/IF(BV1426&gt;0,BV1426,MAX(0.1,N(Cockpit!$C$6))),BY1426)/BQ1426,0)*BQ1426</f>
        <v>25</v>
      </c>
      <c r="AI1426" s="58" t="n">
        <f aca="false">IF(AF1426&gt;0,I1426/AF1426,-1)</f>
        <v>-1</v>
      </c>
      <c r="AJ1426" s="58" t="str">
        <f aca="false">IF(AND(OR(BU1426="L1",BU1426="L23"),AF1426&gt;0),SUMIFS($AF$7:$AF$1576,$BU$7:$BU$1576,BU1426,$AI$7:$AI$1576,"&gt;"&amp;AI1426)+SUMIFS($AF$7:$AF$1576,$BU$7:$BU$1576,BU1426,$AI$7:$AI$1576,AI1426,$BO$7:$BO$1576,"&lt;="&amp;BO1426),"")</f>
        <v/>
      </c>
      <c r="AK1426" s="65" t="n">
        <f aca="false">IF(AJ1426="",0,MAX(0,MIN(1,(IF(BU1426="L1",Parameter!$E$5,Parameter!$E$6+Parameter!$E$7)-(AJ1426-AF1426))/AF1426)))</f>
        <v>0</v>
      </c>
      <c r="AL1426" s="57" t="n">
        <f aca="false">IF(LEFT(Cockpit!$I$5,1)="A",G1426,IF(BW1426=1,BX1426,IF(LEFT(Cockpit!$I$5,1)="B",AP1426,MAX(AP1426,G1426))))</f>
        <v>25</v>
      </c>
      <c r="AM1426" s="57" t="n">
        <f aca="false">IF(BR1426=1,0,ROUNDUP(AL1426/BQ1426,0))</f>
        <v>0</v>
      </c>
      <c r="AN1426" s="59" t="n">
        <f aca="false">IF(CD1426&gt;0,CD1426*MAX(1,AL1426/V1426),IF(BR1426=1,IF(AL1426&lt;=0,0,BS1426*MAX(1,IF(G1426&gt;0,AL1426/G1426,1))),IF(Q1426&gt;0,AM1426/Q1426,0))/MAX(0.1,N(Parameter!$M$21)))</f>
        <v>0.15</v>
      </c>
      <c r="AO1426" s="57" t="n">
        <f aca="false">AL1426*F1426</f>
        <v>12970.75</v>
      </c>
      <c r="AP1426" s="57" t="n">
        <f aca="false">ROUNDUP(MAX(I1426/IF(BV1426&gt;0,BV1426,MAX(0.1,N(Cockpit!$I$6))),BY1426)/BQ1426,0)*BQ1426</f>
        <v>25</v>
      </c>
      <c r="AQ1426" s="58" t="n">
        <f aca="false">IF(AN1426&gt;0,I1426/AN1426,-1)</f>
        <v>333.333333333333</v>
      </c>
      <c r="AR1426" s="58" t="n">
        <f aca="false">IF(AND(OR(BU1426="L1",BU1426="L23"),AN1426&gt;0),SUMIFS($AN$7:$AN$1576,$BU$7:$BU$1576,BU1426,$AQ$7:$AQ$1576,"&gt;"&amp;AQ1426)+SUMIFS($AN$7:$AN$1576,$BU$7:$BU$1576,BU1426,$AQ$7:$AQ$1576,AQ1426,$BO$7:$BO$1576,"&lt;="&amp;BO1426),"")</f>
        <v>41.9111086139459</v>
      </c>
      <c r="AS1426" s="65" t="n">
        <f aca="false">IF(AR1426="",0,MAX(0,MIN(1,(IF(BU1426="L1",Parameter!$E$5,Parameter!$E$6+Parameter!$E$7)-(AR1426-AN1426))/AN1426)))</f>
        <v>1</v>
      </c>
      <c r="AT1426" s="57" t="n">
        <f aca="false">IF(LEFT(Cockpit!$O$5,1)="A",G1426,IF(BW1426=1,BX1426,IF(LEFT(Cockpit!$O$5,1)="B",AX1426,MAX(AX1426,G1426))))</f>
        <v>17</v>
      </c>
      <c r="AU1426" s="57" t="n">
        <f aca="false">IF(BR1426=1,0,ROUNDUP(AT1426/BQ1426,0))</f>
        <v>0</v>
      </c>
      <c r="AV1426" s="59" t="n">
        <f aca="false">IF(CD1426&gt;0,CD1426*MAX(1,AT1426/V1426),IF(BR1426=1,IF(AT1426&lt;=0,0,BS1426*MAX(1,IF(G1426&gt;0,AT1426/G1426,1))),IF(Q1426&gt;0,AU1426/Q1426,0))/MAX(0.1,N(Parameter!$M$21)))</f>
        <v>0.15</v>
      </c>
      <c r="AW1426" s="57" t="n">
        <f aca="false">AT1426*F1426</f>
        <v>8820.11</v>
      </c>
      <c r="AX1426" s="57" t="n">
        <f aca="false">ROUNDUP(MAX(I1426/IF(BV1426&gt;0,BV1426,MAX(0.1,N(Cockpit!$O$6))),BY1426)/BQ1426,0)*BQ1426</f>
        <v>17</v>
      </c>
      <c r="AY1426" s="58" t="n">
        <f aca="false">IF(AV1426&gt;0,I1426/AV1426,-1)</f>
        <v>333.333333333333</v>
      </c>
      <c r="AZ1426" s="58" t="n">
        <f aca="false">IF(AND(OR(BU1426="L1",BU1426="L23"),AV1426&gt;0),SUMIFS($AV$7:$AV$1576,$BU$7:$BU$1576,BU1426,$AY$7:$AY$1576,"&gt;"&amp;AY1426)+SUMIFS($AV$7:$AV$1576,$BU$7:$BU$1576,BU1426,$AY$7:$AY$1576,AY1426,$BO$7:$BO$1576,"&lt;="&amp;BO1426),"")</f>
        <v>38.6591872020245</v>
      </c>
      <c r="BA1426" s="65" t="n">
        <f aca="false">IF(AZ1426="",0,MAX(0,MIN(1,(IF(BU1426="L1",Parameter!$E$5,Parameter!$E$6+Parameter!$E$7)-(AZ1426-AV1426))/AV1426)))</f>
        <v>1</v>
      </c>
      <c r="BB1426" s="55" t="str">
        <f aca="false">IF(AF1426&lt;=0,"",IF(BU1426="Aussen","Aussenlager",IF(BU1426="-","Nicht im Lift",IF(AK1426&gt;=1,"Lift",IF(AK1426&lt;=0,"Aussenlager","teilweise")))))</f>
        <v/>
      </c>
      <c r="BC1426" s="55" t="str">
        <f aca="false">IF(AN1426&lt;=0,"",IF(BU1426="Aussen","Aussenlager",IF(BU1426="-","Nicht im Lift",IF(AS1426&gt;=1,"Lift",IF(AS1426&lt;=0,"Aussenlager","teilweise")))))</f>
        <v>Lift</v>
      </c>
      <c r="BD1426" s="55" t="str">
        <f aca="false">IF(AV1426&lt;=0,"",IF(BU1426="Aussen","Aussenlager",IF(BU1426="-","Nicht im Lift",IF(BA1426&gt;=1,"Lift",IF(BA1426&lt;=0,"Aussenlager","teilweise")))))</f>
        <v>Lift</v>
      </c>
      <c r="BE1426" s="55" t="str">
        <f aca="false">IF(A1426="","",IF(BN1426=1,"Neu; ","")&amp;IF(AND(BN1426=0,BI1426&lt;0),"negativer Bestand (Export "&amp;BI1426&amp;"); ","")&amp;IF(I1426&lt;=0,"Kein Verbrauch; ","")&amp;IF(CD1426&gt;0,"Lift "&amp;U1426&amp;" lt. Liftbericht (Fach "&amp;V1426&amp;" Stk); ",IF(BR1426=1,"Lose – Fläche geschätzt; ",""))&amp;IF(G1426&gt;AP1426,"Überbestand "&amp;ROUND(G1426-AP1426,0)&amp;" Stk / CHF "&amp;ROUND((G1426-AP1426)*F1426,0)&amp;"; ","")&amp;IF(AND(BW1426=1,BX1426&lt;BY1426),"MAX &lt; MB+LG; ","")&amp;IF(AND(CC1426&gt;0,CB1426*10&gt;CC1426),"zu hoch für Tablar; ","")&amp;IF(AND(BN1426=0,OR(BW1426=1,Y1426&lt;&gt;"",S1426&lt;&gt;"",T1426&lt;&gt;"",Z1426&lt;&gt;"")),"manuell übersteuert; ","")&amp;IF(AND(BR1426=0,Q1426=0),"Gebinde unbekannt / Stellmass fehlt; ","")&amp;IF(AND(BR1426=0,N(T1426)&lt;=0,N(P1426)&lt;=0),"Menge pro Gebinde fehlt (Ist = 1 Gebinde); ","")&amp;BM1426)</f>
        <v>negativer Bestand (Export -12); Lose – Fläche geschätzt; </v>
      </c>
      <c r="BF1426" s="55"/>
      <c r="BG1426" s="55"/>
      <c r="BH1426" s="62"/>
      <c r="BI1426" s="57" t="n">
        <v>-12</v>
      </c>
      <c r="BJ1426" s="57" t="n">
        <v>12</v>
      </c>
      <c r="BK1426" s="56" t="n">
        <v>-6584.28</v>
      </c>
      <c r="BL1426" s="57" t="n">
        <v>50</v>
      </c>
      <c r="BM1426" s="55"/>
      <c r="BN1426" s="60" t="n">
        <v>0</v>
      </c>
      <c r="BO1426" s="60" t="n">
        <v>1426</v>
      </c>
      <c r="BP1426" s="55" t="str">
        <f aca="false">IF(S1426&lt;&gt;"",UPPER(TRIM(S1426)),IF(O1426="","LOSE",O1426))</f>
        <v>LOSE</v>
      </c>
      <c r="BQ1426" s="57" t="n">
        <f aca="false">IF(BP1426="LOSE",1,IF(N(T1426)&gt;0,T1426,IF(N(P1426)&gt;0,P1426,MAX(1,G1426))))</f>
        <v>1</v>
      </c>
      <c r="BR1426" s="60" t="n">
        <f aca="false">IF(BP1426="LOSE",1,0)</f>
        <v>1</v>
      </c>
      <c r="BS1426" s="59" t="n">
        <f aca="false">IF(BR1426=0,0,IF(N(R1426)&gt;0,R1426,IFERROR(VLOOKUP(D1426,Parameter!$A$35:$C$64,3,0)+0,0)))</f>
        <v>0.15</v>
      </c>
      <c r="BT1426" s="55" t="n">
        <f aca="false">IF(Y1426&lt;&gt;"",Y1426,X1426)</f>
        <v>2</v>
      </c>
      <c r="BU1426" s="55" t="str">
        <f aca="false">IF(BT1426=1,"L1",IF(OR(BT1426=2,BT1426=3),"L23",IF(BT1426="Aussen","Aussen","-")))</f>
        <v>L23</v>
      </c>
      <c r="BV1426" s="66" t="n">
        <f aca="false">IF(N(Z1426)&gt;0,Z1426,0)</f>
        <v>0</v>
      </c>
      <c r="BW1426" s="60" t="n">
        <f aca="false">IF(ISNUMBER(AC1426),1,0)</f>
        <v>0</v>
      </c>
      <c r="BX1426" s="57" t="n">
        <f aca="false">N(AC1426)</f>
        <v>0</v>
      </c>
      <c r="BY1426" s="57" t="n">
        <f aca="false">N(L1426)+N(M1426)</f>
        <v>4</v>
      </c>
      <c r="BZ1426" s="57" t="n">
        <f aca="false">ROUNDUP(G1426/BQ1426,0)</f>
        <v>0</v>
      </c>
      <c r="CA1426" s="57" t="n">
        <f aca="false">ROUNDUP(BX1426/BQ1426,0)</f>
        <v>0</v>
      </c>
      <c r="CB1426" s="60" t="n">
        <f aca="false">IF(BR1426=1,0,IFERROR(VLOOKUP(BP1426,'Gebinde-Kategorie'!$A$5:$M$45,5,0)+0,0))</f>
        <v>0</v>
      </c>
      <c r="CC1426" s="60" t="n">
        <f aca="false">IFERROR(IF(OR(BT1426=1,BT1426=2,BT1426=3),N(INDEX(Parameter!$I$5:$I$7,BT1426)),0),0)</f>
        <v>0</v>
      </c>
      <c r="CD1426" s="59" t="n">
        <f aca="false">IF(AND(Parameter!$B$21="Ja",ISNUMBER(U1426),N(V1426)&gt;0),IFERROR(N(INDEX(Parameter!$L$5:$L$7,U1426))*INDEX(Parameter!$E$5:$E$7,U1426)*V1426/SUMIFS($V$7:$V$1576,$U$7:$U$1576,U1426),0),0)</f>
        <v>0</v>
      </c>
    </row>
    <row r="1427" customFormat="false" ht="15" hidden="false" customHeight="false" outlineLevel="0" collapsed="false">
      <c r="A1427" s="55" t="s">
        <v>2488</v>
      </c>
      <c r="B1427" s="55" t="s">
        <v>2453</v>
      </c>
      <c r="C1427" s="55" t="s">
        <v>160</v>
      </c>
      <c r="D1427" s="55" t="s">
        <v>178</v>
      </c>
      <c r="E1427" s="55" t="s">
        <v>210</v>
      </c>
      <c r="F1427" s="56" t="n">
        <v>24.77</v>
      </c>
      <c r="G1427" s="57" t="n">
        <f aca="false">MAX(0,IF(AND(Parameter!$B$21="Ja",ISNUMBER(W1427)),W1427,IF(Parameter!$B$20="Jahresanfang 2025 + Export",BJ1427+BI1427,BI1427)))</f>
        <v>0</v>
      </c>
      <c r="H1427" s="57" t="n">
        <f aca="false">G1427*F1427</f>
        <v>0</v>
      </c>
      <c r="I1427" s="57" t="n">
        <f aca="false">BL1427*Parameter!$B$18</f>
        <v>1802</v>
      </c>
      <c r="J1427" s="58" t="n">
        <v>434.5</v>
      </c>
      <c r="K1427" s="59" t="n">
        <v>4.14729574223245</v>
      </c>
      <c r="L1427" s="57" t="n">
        <v>105</v>
      </c>
      <c r="M1427" s="57" t="n">
        <v>300</v>
      </c>
      <c r="N1427" s="60" t="n">
        <v>21</v>
      </c>
      <c r="O1427" s="55" t="s">
        <v>225</v>
      </c>
      <c r="P1427" s="57" t="n">
        <v>200</v>
      </c>
      <c r="Q1427" s="60" t="n">
        <f aca="false">IF(BR1427=1,0,IFERROR(VLOOKUP(BP1427,'Gebinde-Kategorie'!$A$5:$M$45,13,0)+0,0))</f>
        <v>26</v>
      </c>
      <c r="R1427" s="61"/>
      <c r="S1427" s="62"/>
      <c r="T1427" s="62"/>
      <c r="U1427" s="55"/>
      <c r="V1427" s="57"/>
      <c r="W1427" s="57"/>
      <c r="X1427" s="55" t="n">
        <f aca="false">IF(A1427="","",IF(AND(Parameter!$B$21="Ja",ISNUMBER(U1427)),U1427,IF(IFERROR(VLOOKUP(D1427,Parameter!$A$35:$C$64,2,0),"Nein")="2+3",IF(ISNUMBER(SEARCH("grosser Artikel",BM1427)),2,IFERROR(VLOOKUP(BP1427,Parameter!$F$35:$G$64,2,0),2)),IF(OR(IFERROR(VLOOKUP(D1427,Parameter!$A$35:$C$64,2,0),"Nein")="Nein",IFERROR(VLOOKUP(D1427,Parameter!$A$35:$C$64,2,0),"Nein")=""),"-",VLOOKUP(D1427,Parameter!$A$35:$C$64,2,0)))))</f>
        <v>3</v>
      </c>
      <c r="Y1427" s="62"/>
      <c r="Z1427" s="63"/>
      <c r="AA1427" s="57" t="n">
        <f aca="false">AP1427</f>
        <v>1000</v>
      </c>
      <c r="AB1427" s="57" t="n">
        <f aca="false">MAX(AP1427,G1427)</f>
        <v>1000</v>
      </c>
      <c r="AC1427" s="64"/>
      <c r="AD1427" s="57" t="n">
        <f aca="false">IF(LEFT(Cockpit!$C$5,1)="A",G1427,IF(BW1427=1,BX1427,IF(LEFT(Cockpit!$C$5,1)="B",AH1427,MAX(AH1427,G1427))))</f>
        <v>0</v>
      </c>
      <c r="AE1427" s="57" t="n">
        <f aca="false">IF(BR1427=1,0,ROUNDUP(AD1427/BQ1427,0))</f>
        <v>0</v>
      </c>
      <c r="AF1427" s="59" t="n">
        <f aca="false">IF(CD1427&gt;0,CD1427*MAX(1,AD1427/V1427),IF(BR1427=1,IF(AD1427&lt;=0,0,BS1427*MAX(1,IF(G1427&gt;0,AD1427/G1427,1))),IF(Q1427&gt;0,AE1427/Q1427,0))/MAX(0.1,N(Parameter!$M$21)))</f>
        <v>0</v>
      </c>
      <c r="AG1427" s="57" t="n">
        <f aca="false">AD1427*F1427</f>
        <v>0</v>
      </c>
      <c r="AH1427" s="57" t="n">
        <f aca="false">ROUNDUP(MAX(I1427/IF(BV1427&gt;0,BV1427,MAX(0.1,N(Cockpit!$C$6))),BY1427)/BQ1427,0)*BQ1427</f>
        <v>1000</v>
      </c>
      <c r="AI1427" s="58" t="n">
        <f aca="false">IF(AF1427&gt;0,I1427/AF1427,-1)</f>
        <v>-1</v>
      </c>
      <c r="AJ1427" s="58" t="str">
        <f aca="false">IF(AND(OR(BU1427="L1",BU1427="L23"),AF1427&gt;0),SUMIFS($AF$7:$AF$1576,$BU$7:$BU$1576,BU1427,$AI$7:$AI$1576,"&gt;"&amp;AI1427)+SUMIFS($AF$7:$AF$1576,$BU$7:$BU$1576,BU1427,$AI$7:$AI$1576,AI1427,$BO$7:$BO$1576,"&lt;="&amp;BO1427),"")</f>
        <v/>
      </c>
      <c r="AK1427" s="65" t="n">
        <f aca="false">IF(AJ1427="",0,MAX(0,MIN(1,(IF(BU1427="L1",Parameter!$E$5,Parameter!$E$6+Parameter!$E$7)-(AJ1427-AF1427))/AF1427)))</f>
        <v>0</v>
      </c>
      <c r="AL1427" s="57" t="n">
        <f aca="false">IF(LEFT(Cockpit!$I$5,1)="A",G1427,IF(BW1427=1,BX1427,IF(LEFT(Cockpit!$I$5,1)="B",AP1427,MAX(AP1427,G1427))))</f>
        <v>1000</v>
      </c>
      <c r="AM1427" s="57" t="n">
        <f aca="false">IF(BR1427=1,0,ROUNDUP(AL1427/BQ1427,0))</f>
        <v>5</v>
      </c>
      <c r="AN1427" s="59" t="n">
        <f aca="false">IF(CD1427&gt;0,CD1427*MAX(1,AL1427/V1427),IF(BR1427=1,IF(AL1427&lt;=0,0,BS1427*MAX(1,IF(G1427&gt;0,AL1427/G1427,1))),IF(Q1427&gt;0,AM1427/Q1427,0))/MAX(0.1,N(Parameter!$M$21)))</f>
        <v>0.192307692307692</v>
      </c>
      <c r="AO1427" s="57" t="n">
        <f aca="false">AL1427*F1427</f>
        <v>24770</v>
      </c>
      <c r="AP1427" s="57" t="n">
        <f aca="false">ROUNDUP(MAX(I1427/IF(BV1427&gt;0,BV1427,MAX(0.1,N(Cockpit!$I$6))),BY1427)/BQ1427,0)*BQ1427</f>
        <v>1000</v>
      </c>
      <c r="AQ1427" s="58" t="n">
        <f aca="false">IF(AN1427&gt;0,I1427/AN1427,-1)</f>
        <v>9370.4</v>
      </c>
      <c r="AR1427" s="58" t="n">
        <f aca="false">IF(AND(OR(BU1427="L1",BU1427="L23"),AN1427&gt;0),SUMIFS($AN$7:$AN$1576,$BU$7:$BU$1576,BU1427,$AQ$7:$AQ$1576,"&gt;"&amp;AQ1427)+SUMIFS($AN$7:$AN$1576,$BU$7:$BU$1576,BU1427,$AQ$7:$AQ$1576,AQ1427,$BO$7:$BO$1576,"&lt;="&amp;BO1427),"")</f>
        <v>7.40932975237323</v>
      </c>
      <c r="AS1427" s="65" t="n">
        <f aca="false">IF(AR1427="",0,MAX(0,MIN(1,(IF(BU1427="L1",Parameter!$E$5,Parameter!$E$6+Parameter!$E$7)-(AR1427-AN1427))/AN1427)))</f>
        <v>1</v>
      </c>
      <c r="AT1427" s="57" t="n">
        <f aca="false">IF(LEFT(Cockpit!$O$5,1)="A",G1427,IF(BW1427=1,BX1427,IF(LEFT(Cockpit!$O$5,1)="B",AX1427,MAX(AX1427,G1427))))</f>
        <v>800</v>
      </c>
      <c r="AU1427" s="57" t="n">
        <f aca="false">IF(BR1427=1,0,ROUNDUP(AT1427/BQ1427,0))</f>
        <v>4</v>
      </c>
      <c r="AV1427" s="59" t="n">
        <f aca="false">IF(CD1427&gt;0,CD1427*MAX(1,AT1427/V1427),IF(BR1427=1,IF(AT1427&lt;=0,0,BS1427*MAX(1,IF(G1427&gt;0,AT1427/G1427,1))),IF(Q1427&gt;0,AU1427/Q1427,0))/MAX(0.1,N(Parameter!$M$21)))</f>
        <v>0.153846153846154</v>
      </c>
      <c r="AW1427" s="57" t="n">
        <f aca="false">AT1427*F1427</f>
        <v>19816</v>
      </c>
      <c r="AX1427" s="57" t="n">
        <f aca="false">ROUNDUP(MAX(I1427/IF(BV1427&gt;0,BV1427,MAX(0.1,N(Cockpit!$O$6))),BY1427)/BQ1427,0)*BQ1427</f>
        <v>800</v>
      </c>
      <c r="AY1427" s="58" t="n">
        <f aca="false">IF(AV1427&gt;0,I1427/AV1427,-1)</f>
        <v>11713</v>
      </c>
      <c r="AZ1427" s="58" t="n">
        <f aca="false">IF(AND(OR(BU1427="L1",BU1427="L23"),AV1427&gt;0),SUMIFS($AV$7:$AV$1576,$BU$7:$BU$1576,BU1427,$AY$7:$AY$1576,"&gt;"&amp;AY1427)+SUMIFS($AV$7:$AV$1576,$BU$7:$BU$1576,BU1427,$AY$7:$AY$1576,AY1427,$BO$7:$BO$1576,"&lt;="&amp;BO1427),"")</f>
        <v>6.01494172494173</v>
      </c>
      <c r="BA1427" s="65" t="n">
        <f aca="false">IF(AZ1427="",0,MAX(0,MIN(1,(IF(BU1427="L1",Parameter!$E$5,Parameter!$E$6+Parameter!$E$7)-(AZ1427-AV1427))/AV1427)))</f>
        <v>1</v>
      </c>
      <c r="BB1427" s="55" t="str">
        <f aca="false">IF(AF1427&lt;=0,"",IF(BU1427="Aussen","Aussenlager",IF(BU1427="-","Nicht im Lift",IF(AK1427&gt;=1,"Lift",IF(AK1427&lt;=0,"Aussenlager","teilweise")))))</f>
        <v/>
      </c>
      <c r="BC1427" s="55" t="str">
        <f aca="false">IF(AN1427&lt;=0,"",IF(BU1427="Aussen","Aussenlager",IF(BU1427="-","Nicht im Lift",IF(AS1427&gt;=1,"Lift",IF(AS1427&lt;=0,"Aussenlager","teilweise")))))</f>
        <v>Lift</v>
      </c>
      <c r="BD1427" s="55" t="str">
        <f aca="false">IF(AV1427&lt;=0,"",IF(BU1427="Aussen","Aussenlager",IF(BU1427="-","Nicht im Lift",IF(BA1427&gt;=1,"Lift",IF(BA1427&lt;=0,"Aussenlager","teilweise")))))</f>
        <v>Lift</v>
      </c>
      <c r="BE1427" s="55" t="str">
        <f aca="false">IF(A1427="","",IF(BN1427=1,"Neu; ","")&amp;IF(AND(BN1427=0,BI1427&lt;0),"negativer Bestand (Export "&amp;BI1427&amp;"); ","")&amp;IF(I1427&lt;=0,"Kein Verbrauch; ","")&amp;IF(CD1427&gt;0,"Lift "&amp;U1427&amp;" lt. Liftbericht (Fach "&amp;V1427&amp;" Stk); ",IF(BR1427=1,"Lose – Fläche geschätzt; ",""))&amp;IF(G1427&gt;AP1427,"Überbestand "&amp;ROUND(G1427-AP1427,0)&amp;" Stk / CHF "&amp;ROUND((G1427-AP1427)*F1427,0)&amp;"; ","")&amp;IF(AND(BW1427=1,BX1427&lt;BY1427),"MAX &lt; MB+LG; ","")&amp;IF(AND(CC1427&gt;0,CB1427*10&gt;CC1427),"zu hoch für Tablar; ","")&amp;IF(AND(BN1427=0,OR(BW1427=1,Y1427&lt;&gt;"",S1427&lt;&gt;"",T1427&lt;&gt;"",Z1427&lt;&gt;"")),"manuell übersteuert; ","")&amp;IF(AND(BR1427=0,Q1427=0),"Gebinde unbekannt / Stellmass fehlt; ","")&amp;IF(AND(BR1427=0,N(T1427)&lt;=0,N(P1427)&lt;=0),"Menge pro Gebinde fehlt (Ist = 1 Gebinde); ","")&amp;BM1427)</f>
        <v>negativer Bestand (Export -213); </v>
      </c>
      <c r="BF1427" s="55"/>
      <c r="BG1427" s="55"/>
      <c r="BH1427" s="62"/>
      <c r="BI1427" s="57" t="n">
        <v>-213</v>
      </c>
      <c r="BJ1427" s="57" t="n">
        <v>365</v>
      </c>
      <c r="BK1427" s="56" t="n">
        <v>-6658.63999999999</v>
      </c>
      <c r="BL1427" s="57" t="n">
        <v>1802</v>
      </c>
      <c r="BM1427" s="55"/>
      <c r="BN1427" s="60" t="n">
        <v>0</v>
      </c>
      <c r="BO1427" s="60" t="n">
        <v>1427</v>
      </c>
      <c r="BP1427" s="55" t="str">
        <f aca="false">IF(S1427&lt;&gt;"",UPPER(TRIM(S1427)),IF(O1427="","LOSE",O1427))</f>
        <v>S52</v>
      </c>
      <c r="BQ1427" s="57" t="n">
        <f aca="false">IF(BP1427="LOSE",1,IF(N(T1427)&gt;0,T1427,IF(N(P1427)&gt;0,P1427,MAX(1,G1427))))</f>
        <v>200</v>
      </c>
      <c r="BR1427" s="60" t="n">
        <f aca="false">IF(BP1427="LOSE",1,0)</f>
        <v>0</v>
      </c>
      <c r="BS1427" s="59" t="n">
        <f aca="false">IF(BR1427=0,0,IF(N(R1427)&gt;0,R1427,IFERROR(VLOOKUP(D1427,Parameter!$A$35:$C$64,3,0)+0,0)))</f>
        <v>0</v>
      </c>
      <c r="BT1427" s="55" t="n">
        <f aca="false">IF(Y1427&lt;&gt;"",Y1427,X1427)</f>
        <v>3</v>
      </c>
      <c r="BU1427" s="55" t="str">
        <f aca="false">IF(BT1427=1,"L1",IF(OR(BT1427=2,BT1427=3),"L23",IF(BT1427="Aussen","Aussen","-")))</f>
        <v>L23</v>
      </c>
      <c r="BV1427" s="66" t="n">
        <f aca="false">IF(N(Z1427)&gt;0,Z1427,0)</f>
        <v>0</v>
      </c>
      <c r="BW1427" s="60" t="n">
        <f aca="false">IF(ISNUMBER(AC1427),1,0)</f>
        <v>0</v>
      </c>
      <c r="BX1427" s="57" t="n">
        <f aca="false">N(AC1427)</f>
        <v>0</v>
      </c>
      <c r="BY1427" s="57" t="n">
        <f aca="false">N(L1427)+N(M1427)</f>
        <v>405</v>
      </c>
      <c r="BZ1427" s="57" t="n">
        <f aca="false">ROUNDUP(G1427/BQ1427,0)</f>
        <v>0</v>
      </c>
      <c r="CA1427" s="57" t="n">
        <f aca="false">ROUNDUP(BX1427/BQ1427,0)</f>
        <v>0</v>
      </c>
      <c r="CB1427" s="60" t="n">
        <f aca="false">IF(BR1427=1,0,IFERROR(VLOOKUP(BP1427,'Gebinde-Kategorie'!$A$5:$M$45,5,0)+0,0))</f>
        <v>21</v>
      </c>
      <c r="CC1427" s="60" t="n">
        <f aca="false">IFERROR(IF(OR(BT1427=1,BT1427=2,BT1427=3),N(INDEX(Parameter!$I$5:$I$7,BT1427)),0),0)</f>
        <v>0</v>
      </c>
      <c r="CD1427" s="59" t="n">
        <f aca="false">IF(AND(Parameter!$B$21="Ja",ISNUMBER(U1427),N(V1427)&gt;0),IFERROR(N(INDEX(Parameter!$L$5:$L$7,U1427))*INDEX(Parameter!$E$5:$E$7,U1427)*V1427/SUMIFS($V$7:$V$1576,$U$7:$U$1576,U1427),0),0)</f>
        <v>0</v>
      </c>
    </row>
    <row r="1428" customFormat="false" ht="15" hidden="false" customHeight="false" outlineLevel="0" collapsed="false">
      <c r="A1428" s="55" t="s">
        <v>2489</v>
      </c>
      <c r="B1428" s="55" t="s">
        <v>2467</v>
      </c>
      <c r="C1428" s="55" t="s">
        <v>160</v>
      </c>
      <c r="D1428" s="55" t="s">
        <v>178</v>
      </c>
      <c r="E1428" s="55" t="s">
        <v>210</v>
      </c>
      <c r="F1428" s="56" t="n">
        <v>95.42</v>
      </c>
      <c r="G1428" s="57" t="n">
        <f aca="false">MAX(0,IF(AND(Parameter!$B$21="Ja",ISNUMBER(W1428)),W1428,IF(Parameter!$B$20="Jahresanfang 2025 + Export",BJ1428+BI1428,BI1428)))</f>
        <v>0</v>
      </c>
      <c r="H1428" s="57" t="n">
        <f aca="false">G1428*F1428</f>
        <v>0</v>
      </c>
      <c r="I1428" s="57" t="n">
        <f aca="false">BL1428*Parameter!$B$18</f>
        <v>145</v>
      </c>
      <c r="J1428" s="58" t="n">
        <v>46</v>
      </c>
      <c r="K1428" s="59" t="n">
        <v>3.15217391304348</v>
      </c>
      <c r="L1428" s="57" t="n">
        <v>8</v>
      </c>
      <c r="M1428" s="57" t="n">
        <v>25</v>
      </c>
      <c r="N1428" s="60" t="n">
        <v>21</v>
      </c>
      <c r="O1428" s="55" t="s">
        <v>284</v>
      </c>
      <c r="P1428" s="57" t="n">
        <v>76</v>
      </c>
      <c r="Q1428" s="60" t="n">
        <f aca="false">IF(BR1428=1,0,IFERROR(VLOOKUP(BP1428,'Gebinde-Kategorie'!$A$5:$M$45,13,0)+0,0))</f>
        <v>12</v>
      </c>
      <c r="R1428" s="61"/>
      <c r="S1428" s="62"/>
      <c r="T1428" s="62"/>
      <c r="U1428" s="55"/>
      <c r="V1428" s="57"/>
      <c r="W1428" s="57"/>
      <c r="X1428" s="55" t="n">
        <f aca="false">IF(A1428="","",IF(AND(Parameter!$B$21="Ja",ISNUMBER(U1428)),U1428,IF(IFERROR(VLOOKUP(D1428,Parameter!$A$35:$C$64,2,0),"Nein")="2+3",IF(ISNUMBER(SEARCH("grosser Artikel",BM1428)),2,IFERROR(VLOOKUP(BP1428,Parameter!$F$35:$G$64,2,0),2)),IF(OR(IFERROR(VLOOKUP(D1428,Parameter!$A$35:$C$64,2,0),"Nein")="Nein",IFERROR(VLOOKUP(D1428,Parameter!$A$35:$C$64,2,0),"Nein")=""),"-",VLOOKUP(D1428,Parameter!$A$35:$C$64,2,0)))))</f>
        <v>2</v>
      </c>
      <c r="Y1428" s="62"/>
      <c r="Z1428" s="63"/>
      <c r="AA1428" s="57" t="n">
        <f aca="false">AP1428</f>
        <v>76</v>
      </c>
      <c r="AB1428" s="57" t="n">
        <f aca="false">MAX(AP1428,G1428)</f>
        <v>76</v>
      </c>
      <c r="AC1428" s="64"/>
      <c r="AD1428" s="57" t="n">
        <f aca="false">IF(LEFT(Cockpit!$C$5,1)="A",G1428,IF(BW1428=1,BX1428,IF(LEFT(Cockpit!$C$5,1)="B",AH1428,MAX(AH1428,G1428))))</f>
        <v>0</v>
      </c>
      <c r="AE1428" s="57" t="n">
        <f aca="false">IF(BR1428=1,0,ROUNDUP(AD1428/BQ1428,0))</f>
        <v>0</v>
      </c>
      <c r="AF1428" s="59" t="n">
        <f aca="false">IF(CD1428&gt;0,CD1428*MAX(1,AD1428/V1428),IF(BR1428=1,IF(AD1428&lt;=0,0,BS1428*MAX(1,IF(G1428&gt;0,AD1428/G1428,1))),IF(Q1428&gt;0,AE1428/Q1428,0))/MAX(0.1,N(Parameter!$M$21)))</f>
        <v>0</v>
      </c>
      <c r="AG1428" s="57" t="n">
        <f aca="false">AD1428*F1428</f>
        <v>0</v>
      </c>
      <c r="AH1428" s="57" t="n">
        <f aca="false">ROUNDUP(MAX(I1428/IF(BV1428&gt;0,BV1428,MAX(0.1,N(Cockpit!$C$6))),BY1428)/BQ1428,0)*BQ1428</f>
        <v>76</v>
      </c>
      <c r="AI1428" s="58" t="n">
        <f aca="false">IF(AF1428&gt;0,I1428/AF1428,-1)</f>
        <v>-1</v>
      </c>
      <c r="AJ1428" s="58" t="str">
        <f aca="false">IF(AND(OR(BU1428="L1",BU1428="L23"),AF1428&gt;0),SUMIFS($AF$7:$AF$1576,$BU$7:$BU$1576,BU1428,$AI$7:$AI$1576,"&gt;"&amp;AI1428)+SUMIFS($AF$7:$AF$1576,$BU$7:$BU$1576,BU1428,$AI$7:$AI$1576,AI1428,$BO$7:$BO$1576,"&lt;="&amp;BO1428),"")</f>
        <v/>
      </c>
      <c r="AK1428" s="65" t="n">
        <f aca="false">IF(AJ1428="",0,MAX(0,MIN(1,(IF(BU1428="L1",Parameter!$E$5,Parameter!$E$6+Parameter!$E$7)-(AJ1428-AF1428))/AF1428)))</f>
        <v>0</v>
      </c>
      <c r="AL1428" s="57" t="n">
        <f aca="false">IF(LEFT(Cockpit!$I$5,1)="A",G1428,IF(BW1428=1,BX1428,IF(LEFT(Cockpit!$I$5,1)="B",AP1428,MAX(AP1428,G1428))))</f>
        <v>76</v>
      </c>
      <c r="AM1428" s="57" t="n">
        <f aca="false">IF(BR1428=1,0,ROUNDUP(AL1428/BQ1428,0))</f>
        <v>1</v>
      </c>
      <c r="AN1428" s="59" t="n">
        <f aca="false">IF(CD1428&gt;0,CD1428*MAX(1,AL1428/V1428),IF(BR1428=1,IF(AL1428&lt;=0,0,BS1428*MAX(1,IF(G1428&gt;0,AL1428/G1428,1))),IF(Q1428&gt;0,AM1428/Q1428,0))/MAX(0.1,N(Parameter!$M$21)))</f>
        <v>0.0833333333333333</v>
      </c>
      <c r="AO1428" s="57" t="n">
        <f aca="false">AL1428*F1428</f>
        <v>7251.92</v>
      </c>
      <c r="AP1428" s="57" t="n">
        <f aca="false">ROUNDUP(MAX(I1428/IF(BV1428&gt;0,BV1428,MAX(0.1,N(Cockpit!$I$6))),BY1428)/BQ1428,0)*BQ1428</f>
        <v>76</v>
      </c>
      <c r="AQ1428" s="58" t="n">
        <f aca="false">IF(AN1428&gt;0,I1428/AN1428,-1)</f>
        <v>1740</v>
      </c>
      <c r="AR1428" s="58" t="n">
        <f aca="false">IF(AND(OR(BU1428="L1",BU1428="L23"),AN1428&gt;0),SUMIFS($AN$7:$AN$1576,$BU$7:$BU$1576,BU1428,$AQ$7:$AQ$1576,"&gt;"&amp;AQ1428)+SUMIFS($AN$7:$AN$1576,$BU$7:$BU$1576,BU1428,$AQ$7:$AQ$1576,AQ1428,$BO$7:$BO$1576,"&lt;="&amp;BO1428),"")</f>
        <v>18.21338667405</v>
      </c>
      <c r="AS1428" s="65" t="n">
        <f aca="false">IF(AR1428="",0,MAX(0,MIN(1,(IF(BU1428="L1",Parameter!$E$5,Parameter!$E$6+Parameter!$E$7)-(AR1428-AN1428))/AN1428)))</f>
        <v>1</v>
      </c>
      <c r="AT1428" s="57" t="n">
        <f aca="false">IF(LEFT(Cockpit!$O$5,1)="A",G1428,IF(BW1428=1,BX1428,IF(LEFT(Cockpit!$O$5,1)="B",AX1428,MAX(AX1428,G1428))))</f>
        <v>76</v>
      </c>
      <c r="AU1428" s="57" t="n">
        <f aca="false">IF(BR1428=1,0,ROUNDUP(AT1428/BQ1428,0))</f>
        <v>1</v>
      </c>
      <c r="AV1428" s="59" t="n">
        <f aca="false">IF(CD1428&gt;0,CD1428*MAX(1,AT1428/V1428),IF(BR1428=1,IF(AT1428&lt;=0,0,BS1428*MAX(1,IF(G1428&gt;0,AT1428/G1428,1))),IF(Q1428&gt;0,AU1428/Q1428,0))/MAX(0.1,N(Parameter!$M$21)))</f>
        <v>0.0833333333333333</v>
      </c>
      <c r="AW1428" s="57" t="n">
        <f aca="false">AT1428*F1428</f>
        <v>7251.92</v>
      </c>
      <c r="AX1428" s="57" t="n">
        <f aca="false">ROUNDUP(MAX(I1428/IF(BV1428&gt;0,BV1428,MAX(0.1,N(Cockpit!$O$6))),BY1428)/BQ1428,0)*BQ1428</f>
        <v>76</v>
      </c>
      <c r="AY1428" s="58" t="n">
        <f aca="false">IF(AV1428&gt;0,I1428/AV1428,-1)</f>
        <v>1740</v>
      </c>
      <c r="AZ1428" s="58" t="n">
        <f aca="false">IF(AND(OR(BU1428="L1",BU1428="L23"),AV1428&gt;0),SUMIFS($AV$7:$AV$1576,$BU$7:$BU$1576,BU1428,$AY$7:$AY$1576,"&gt;"&amp;AY1428)+SUMIFS($AV$7:$AV$1576,$BU$7:$BU$1576,BU1428,$AY$7:$AY$1576,AY1428,$BO$7:$BO$1576,"&lt;="&amp;BO1428),"")</f>
        <v>17.1906594013227</v>
      </c>
      <c r="BA1428" s="65" t="n">
        <f aca="false">IF(AZ1428="",0,MAX(0,MIN(1,(IF(BU1428="L1",Parameter!$E$5,Parameter!$E$6+Parameter!$E$7)-(AZ1428-AV1428))/AV1428)))</f>
        <v>1</v>
      </c>
      <c r="BB1428" s="55" t="str">
        <f aca="false">IF(AF1428&lt;=0,"",IF(BU1428="Aussen","Aussenlager",IF(BU1428="-","Nicht im Lift",IF(AK1428&gt;=1,"Lift",IF(AK1428&lt;=0,"Aussenlager","teilweise")))))</f>
        <v/>
      </c>
      <c r="BC1428" s="55" t="str">
        <f aca="false">IF(AN1428&lt;=0,"",IF(BU1428="Aussen","Aussenlager",IF(BU1428="-","Nicht im Lift",IF(AS1428&gt;=1,"Lift",IF(AS1428&lt;=0,"Aussenlager","teilweise")))))</f>
        <v>Lift</v>
      </c>
      <c r="BD1428" s="55" t="str">
        <f aca="false">IF(AV1428&lt;=0,"",IF(BU1428="Aussen","Aussenlager",IF(BU1428="-","Nicht im Lift",IF(BA1428&gt;=1,"Lift",IF(BA1428&lt;=0,"Aussenlager","teilweise")))))</f>
        <v>Lift</v>
      </c>
      <c r="BE1428" s="55" t="str">
        <f aca="false">IF(A1428="","",IF(BN1428=1,"Neu; ","")&amp;IF(AND(BN1428=0,BI1428&lt;0),"negativer Bestand (Export "&amp;BI1428&amp;"); ","")&amp;IF(I1428&lt;=0,"Kein Verbrauch; ","")&amp;IF(CD1428&gt;0,"Lift "&amp;U1428&amp;" lt. Liftbericht (Fach "&amp;V1428&amp;" Stk); ",IF(BR1428=1,"Lose – Fläche geschätzt; ",""))&amp;IF(G1428&gt;AP1428,"Überbestand "&amp;ROUND(G1428-AP1428,0)&amp;" Stk / CHF "&amp;ROUND((G1428-AP1428)*F1428,0)&amp;"; ","")&amp;IF(AND(BW1428=1,BX1428&lt;BY1428),"MAX &lt; MB+LG; ","")&amp;IF(AND(CC1428&gt;0,CB1428*10&gt;CC1428),"zu hoch für Tablar; ","")&amp;IF(AND(BN1428=0,OR(BW1428=1,Y1428&lt;&gt;"",S1428&lt;&gt;"",T1428&lt;&gt;"",Z1428&lt;&gt;"")),"manuell übersteuert; ","")&amp;IF(AND(BR1428=0,Q1428=0),"Gebinde unbekannt / Stellmass fehlt; ","")&amp;IF(AND(BR1428=0,N(T1428)&lt;=0,N(P1428)&lt;=0),"Menge pro Gebinde fehlt (Ist = 1 Gebinde); ","")&amp;BM1428)</f>
        <v>negativer Bestand (Export -31); </v>
      </c>
      <c r="BF1428" s="55"/>
      <c r="BG1428" s="55"/>
      <c r="BH1428" s="62"/>
      <c r="BI1428" s="57" t="n">
        <v>-31</v>
      </c>
      <c r="BJ1428" s="57" t="n">
        <v>69</v>
      </c>
      <c r="BK1428" s="56" t="n">
        <v>-6670.22000000001</v>
      </c>
      <c r="BL1428" s="57" t="n">
        <v>145</v>
      </c>
      <c r="BM1428" s="55"/>
      <c r="BN1428" s="60" t="n">
        <v>0</v>
      </c>
      <c r="BO1428" s="60" t="n">
        <v>1428</v>
      </c>
      <c r="BP1428" s="55" t="str">
        <f aca="false">IF(S1428&lt;&gt;"",UPPER(TRIM(S1428)),IF(O1428="","LOSE",O1428))</f>
        <v>S62</v>
      </c>
      <c r="BQ1428" s="57" t="n">
        <f aca="false">IF(BP1428="LOSE",1,IF(N(T1428)&gt;0,T1428,IF(N(P1428)&gt;0,P1428,MAX(1,G1428))))</f>
        <v>76</v>
      </c>
      <c r="BR1428" s="60" t="n">
        <f aca="false">IF(BP1428="LOSE",1,0)</f>
        <v>0</v>
      </c>
      <c r="BS1428" s="59" t="n">
        <f aca="false">IF(BR1428=0,0,IF(N(R1428)&gt;0,R1428,IFERROR(VLOOKUP(D1428,Parameter!$A$35:$C$64,3,0)+0,0)))</f>
        <v>0</v>
      </c>
      <c r="BT1428" s="55" t="n">
        <f aca="false">IF(Y1428&lt;&gt;"",Y1428,X1428)</f>
        <v>2</v>
      </c>
      <c r="BU1428" s="55" t="str">
        <f aca="false">IF(BT1428=1,"L1",IF(OR(BT1428=2,BT1428=3),"L23",IF(BT1428="Aussen","Aussen","-")))</f>
        <v>L23</v>
      </c>
      <c r="BV1428" s="66" t="n">
        <f aca="false">IF(N(Z1428)&gt;0,Z1428,0)</f>
        <v>0</v>
      </c>
      <c r="BW1428" s="60" t="n">
        <f aca="false">IF(ISNUMBER(AC1428),1,0)</f>
        <v>0</v>
      </c>
      <c r="BX1428" s="57" t="n">
        <f aca="false">N(AC1428)</f>
        <v>0</v>
      </c>
      <c r="BY1428" s="57" t="n">
        <f aca="false">N(L1428)+N(M1428)</f>
        <v>33</v>
      </c>
      <c r="BZ1428" s="57" t="n">
        <f aca="false">ROUNDUP(G1428/BQ1428,0)</f>
        <v>0</v>
      </c>
      <c r="CA1428" s="57" t="n">
        <f aca="false">ROUNDUP(BX1428/BQ1428,0)</f>
        <v>0</v>
      </c>
      <c r="CB1428" s="60" t="n">
        <f aca="false">IF(BR1428=1,0,IFERROR(VLOOKUP(BP1428,'Gebinde-Kategorie'!$A$5:$M$45,5,0)+0,0))</f>
        <v>21</v>
      </c>
      <c r="CC1428" s="60" t="n">
        <f aca="false">IFERROR(IF(OR(BT1428=1,BT1428=2,BT1428=3),N(INDEX(Parameter!$I$5:$I$7,BT1428)),0),0)</f>
        <v>0</v>
      </c>
      <c r="CD1428" s="59" t="n">
        <f aca="false">IF(AND(Parameter!$B$21="Ja",ISNUMBER(U1428),N(V1428)&gt;0),IFERROR(N(INDEX(Parameter!$L$5:$L$7,U1428))*INDEX(Parameter!$E$5:$E$7,U1428)*V1428/SUMIFS($V$7:$V$1576,$U$7:$U$1576,U1428),0),0)</f>
        <v>0</v>
      </c>
    </row>
    <row r="1429" customFormat="false" ht="15" hidden="false" customHeight="false" outlineLevel="0" collapsed="false">
      <c r="A1429" s="55" t="s">
        <v>2490</v>
      </c>
      <c r="B1429" s="55" t="s">
        <v>2098</v>
      </c>
      <c r="C1429" s="55" t="s">
        <v>160</v>
      </c>
      <c r="D1429" s="55" t="s">
        <v>168</v>
      </c>
      <c r="E1429" s="55" t="s">
        <v>210</v>
      </c>
      <c r="F1429" s="56" t="n">
        <v>353.57</v>
      </c>
      <c r="G1429" s="57" t="n">
        <f aca="false">MAX(0,IF(AND(Parameter!$B$21="Ja",ISNUMBER(W1429)),W1429,IF(Parameter!$B$20="Jahresanfang 2025 + Export",BJ1429+BI1429,BI1429)))</f>
        <v>0</v>
      </c>
      <c r="H1429" s="57" t="n">
        <f aca="false">G1429*F1429</f>
        <v>0</v>
      </c>
      <c r="I1429" s="57" t="n">
        <f aca="false">BL1429*Parameter!$B$18</f>
        <v>14</v>
      </c>
      <c r="J1429" s="58" t="n">
        <v>35</v>
      </c>
      <c r="K1429" s="59" t="n">
        <v>0.4</v>
      </c>
      <c r="L1429" s="57" t="n">
        <v>1</v>
      </c>
      <c r="M1429" s="57" t="n">
        <v>10</v>
      </c>
      <c r="N1429" s="60" t="n">
        <v>35</v>
      </c>
      <c r="O1429" s="55" t="s">
        <v>169</v>
      </c>
      <c r="P1429" s="57" t="n">
        <v>36</v>
      </c>
      <c r="Q1429" s="60" t="n">
        <f aca="false">IF(BR1429=1,0,IFERROR(VLOOKUP(BP1429,'Gebinde-Kategorie'!$A$5:$M$45,13,0)+0,0))</f>
        <v>6</v>
      </c>
      <c r="R1429" s="61"/>
      <c r="S1429" s="62"/>
      <c r="T1429" s="62"/>
      <c r="U1429" s="55"/>
      <c r="V1429" s="57"/>
      <c r="W1429" s="57"/>
      <c r="X1429" s="55" t="n">
        <f aca="false">IF(A1429="","",IF(AND(Parameter!$B$21="Ja",ISNUMBER(U1429)),U1429,IF(IFERROR(VLOOKUP(D1429,Parameter!$A$35:$C$64,2,0),"Nein")="2+3",IF(ISNUMBER(SEARCH("grosser Artikel",BM1429)),2,IFERROR(VLOOKUP(BP1429,Parameter!$F$35:$G$64,2,0),2)),IF(OR(IFERROR(VLOOKUP(D1429,Parameter!$A$35:$C$64,2,0),"Nein")="Nein",IFERROR(VLOOKUP(D1429,Parameter!$A$35:$C$64,2,0),"Nein")=""),"-",VLOOKUP(D1429,Parameter!$A$35:$C$64,2,0)))))</f>
        <v>2</v>
      </c>
      <c r="Y1429" s="62"/>
      <c r="Z1429" s="63"/>
      <c r="AA1429" s="57" t="n">
        <f aca="false">AP1429</f>
        <v>36</v>
      </c>
      <c r="AB1429" s="57" t="n">
        <f aca="false">MAX(AP1429,G1429)</f>
        <v>36</v>
      </c>
      <c r="AC1429" s="64"/>
      <c r="AD1429" s="57" t="n">
        <f aca="false">IF(LEFT(Cockpit!$C$5,1)="A",G1429,IF(BW1429=1,BX1429,IF(LEFT(Cockpit!$C$5,1)="B",AH1429,MAX(AH1429,G1429))))</f>
        <v>0</v>
      </c>
      <c r="AE1429" s="57" t="n">
        <f aca="false">IF(BR1429=1,0,ROUNDUP(AD1429/BQ1429,0))</f>
        <v>0</v>
      </c>
      <c r="AF1429" s="59" t="n">
        <f aca="false">IF(CD1429&gt;0,CD1429*MAX(1,AD1429/V1429),IF(BR1429=1,IF(AD1429&lt;=0,0,BS1429*MAX(1,IF(G1429&gt;0,AD1429/G1429,1))),IF(Q1429&gt;0,AE1429/Q1429,0))/MAX(0.1,N(Parameter!$M$21)))</f>
        <v>0</v>
      </c>
      <c r="AG1429" s="57" t="n">
        <f aca="false">AD1429*F1429</f>
        <v>0</v>
      </c>
      <c r="AH1429" s="57" t="n">
        <f aca="false">ROUNDUP(MAX(I1429/IF(BV1429&gt;0,BV1429,MAX(0.1,N(Cockpit!$C$6))),BY1429)/BQ1429,0)*BQ1429</f>
        <v>36</v>
      </c>
      <c r="AI1429" s="58" t="n">
        <f aca="false">IF(AF1429&gt;0,I1429/AF1429,-1)</f>
        <v>-1</v>
      </c>
      <c r="AJ1429" s="58" t="str">
        <f aca="false">IF(AND(OR(BU1429="L1",BU1429="L23"),AF1429&gt;0),SUMIFS($AF$7:$AF$1576,$BU$7:$BU$1576,BU1429,$AI$7:$AI$1576,"&gt;"&amp;AI1429)+SUMIFS($AF$7:$AF$1576,$BU$7:$BU$1576,BU1429,$AI$7:$AI$1576,AI1429,$BO$7:$BO$1576,"&lt;="&amp;BO1429),"")</f>
        <v/>
      </c>
      <c r="AK1429" s="65" t="n">
        <f aca="false">IF(AJ1429="",0,MAX(0,MIN(1,(IF(BU1429="L1",Parameter!$E$5,Parameter!$E$6+Parameter!$E$7)-(AJ1429-AF1429))/AF1429)))</f>
        <v>0</v>
      </c>
      <c r="AL1429" s="57" t="n">
        <f aca="false">IF(LEFT(Cockpit!$I$5,1)="A",G1429,IF(BW1429=1,BX1429,IF(LEFT(Cockpit!$I$5,1)="B",AP1429,MAX(AP1429,G1429))))</f>
        <v>36</v>
      </c>
      <c r="AM1429" s="57" t="n">
        <f aca="false">IF(BR1429=1,0,ROUNDUP(AL1429/BQ1429,0))</f>
        <v>1</v>
      </c>
      <c r="AN1429" s="59" t="n">
        <f aca="false">IF(CD1429&gt;0,CD1429*MAX(1,AL1429/V1429),IF(BR1429=1,IF(AL1429&lt;=0,0,BS1429*MAX(1,IF(G1429&gt;0,AL1429/G1429,1))),IF(Q1429&gt;0,AM1429/Q1429,0))/MAX(0.1,N(Parameter!$M$21)))</f>
        <v>0.166666666666667</v>
      </c>
      <c r="AO1429" s="57" t="n">
        <f aca="false">AL1429*F1429</f>
        <v>12728.52</v>
      </c>
      <c r="AP1429" s="57" t="n">
        <f aca="false">ROUNDUP(MAX(I1429/IF(BV1429&gt;0,BV1429,MAX(0.1,N(Cockpit!$I$6))),BY1429)/BQ1429,0)*BQ1429</f>
        <v>36</v>
      </c>
      <c r="AQ1429" s="58" t="n">
        <f aca="false">IF(AN1429&gt;0,I1429/AN1429,-1)</f>
        <v>84</v>
      </c>
      <c r="AR1429" s="58" t="n">
        <f aca="false">IF(AND(OR(BU1429="L1",BU1429="L23"),AN1429&gt;0),SUMIFS($AN$7:$AN$1576,$BU$7:$BU$1576,BU1429,$AQ$7:$AQ$1576,"&gt;"&amp;AQ1429)+SUMIFS($AN$7:$AN$1576,$BU$7:$BU$1576,BU1429,$AQ$7:$AQ$1576,AQ1429,$BO$7:$BO$1576,"&lt;="&amp;BO1429),"")</f>
        <v>74.1308261970873</v>
      </c>
      <c r="AS1429" s="65" t="n">
        <f aca="false">IF(AR1429="",0,MAX(0,MIN(1,(IF(BU1429="L1",Parameter!$E$5,Parameter!$E$6+Parameter!$E$7)-(AR1429-AN1429))/AN1429)))</f>
        <v>1</v>
      </c>
      <c r="AT1429" s="57" t="n">
        <f aca="false">IF(LEFT(Cockpit!$O$5,1)="A",G1429,IF(BW1429=1,BX1429,IF(LEFT(Cockpit!$O$5,1)="B",AX1429,MAX(AX1429,G1429))))</f>
        <v>36</v>
      </c>
      <c r="AU1429" s="57" t="n">
        <f aca="false">IF(BR1429=1,0,ROUNDUP(AT1429/BQ1429,0))</f>
        <v>1</v>
      </c>
      <c r="AV1429" s="59" t="n">
        <f aca="false">IF(CD1429&gt;0,CD1429*MAX(1,AT1429/V1429),IF(BR1429=1,IF(AT1429&lt;=0,0,BS1429*MAX(1,IF(G1429&gt;0,AT1429/G1429,1))),IF(Q1429&gt;0,AU1429/Q1429,0))/MAX(0.1,N(Parameter!$M$21)))</f>
        <v>0.166666666666667</v>
      </c>
      <c r="AW1429" s="57" t="n">
        <f aca="false">AT1429*F1429</f>
        <v>12728.52</v>
      </c>
      <c r="AX1429" s="57" t="n">
        <f aca="false">ROUNDUP(MAX(I1429/IF(BV1429&gt;0,BV1429,MAX(0.1,N(Cockpit!$O$6))),BY1429)/BQ1429,0)*BQ1429</f>
        <v>36</v>
      </c>
      <c r="AY1429" s="58" t="n">
        <f aca="false">IF(AV1429&gt;0,I1429/AV1429,-1)</f>
        <v>84</v>
      </c>
      <c r="AZ1429" s="58" t="n">
        <f aca="false">IF(AND(OR(BU1429="L1",BU1429="L23"),AV1429&gt;0),SUMIFS($AV$7:$AV$1576,$BU$7:$BU$1576,BU1429,$AY$7:$AY$1576,"&gt;"&amp;AY1429)+SUMIFS($AV$7:$AV$1576,$BU$7:$BU$1576,BU1429,$AY$7:$AY$1576,AY1429,$BO$7:$BO$1576,"&lt;="&amp;BO1429),"")</f>
        <v>67.6912099799711</v>
      </c>
      <c r="BA1429" s="65" t="n">
        <f aca="false">IF(AZ1429="",0,MAX(0,MIN(1,(IF(BU1429="L1",Parameter!$E$5,Parameter!$E$6+Parameter!$E$7)-(AZ1429-AV1429))/AV1429)))</f>
        <v>1</v>
      </c>
      <c r="BB1429" s="55" t="str">
        <f aca="false">IF(AF1429&lt;=0,"",IF(BU1429="Aussen","Aussenlager",IF(BU1429="-","Nicht im Lift",IF(AK1429&gt;=1,"Lift",IF(AK1429&lt;=0,"Aussenlager","teilweise")))))</f>
        <v/>
      </c>
      <c r="BC1429" s="55" t="str">
        <f aca="false">IF(AN1429&lt;=0,"",IF(BU1429="Aussen","Aussenlager",IF(BU1429="-","Nicht im Lift",IF(AS1429&gt;=1,"Lift",IF(AS1429&lt;=0,"Aussenlager","teilweise")))))</f>
        <v>Lift</v>
      </c>
      <c r="BD1429" s="55" t="str">
        <f aca="false">IF(AV1429&lt;=0,"",IF(BU1429="Aussen","Aussenlager",IF(BU1429="-","Nicht im Lift",IF(BA1429&gt;=1,"Lift",IF(BA1429&lt;=0,"Aussenlager","teilweise")))))</f>
        <v>Lift</v>
      </c>
      <c r="BE1429" s="55" t="str">
        <f aca="false">IF(A1429="","",IF(BN1429=1,"Neu; ","")&amp;IF(AND(BN1429=0,BI1429&lt;0),"negativer Bestand (Export "&amp;BI1429&amp;"); ","")&amp;IF(I1429&lt;=0,"Kein Verbrauch; ","")&amp;IF(CD1429&gt;0,"Lift "&amp;U1429&amp;" lt. Liftbericht (Fach "&amp;V1429&amp;" Stk); ",IF(BR1429=1,"Lose – Fläche geschätzt; ",""))&amp;IF(G1429&gt;AP1429,"Überbestand "&amp;ROUND(G1429-AP1429,0)&amp;" Stk / CHF "&amp;ROUND((G1429-AP1429)*F1429,0)&amp;"; ","")&amp;IF(AND(BW1429=1,BX1429&lt;BY1429),"MAX &lt; MB+LG; ","")&amp;IF(AND(CC1429&gt;0,CB1429*10&gt;CC1429),"zu hoch für Tablar; ","")&amp;IF(AND(BN1429=0,OR(BW1429=1,Y1429&lt;&gt;"",S1429&lt;&gt;"",T1429&lt;&gt;"",Z1429&lt;&gt;"")),"manuell übersteuert; ","")&amp;IF(AND(BR1429=0,Q1429=0),"Gebinde unbekannt / Stellmass fehlt; ","")&amp;IF(AND(BR1429=0,N(T1429)&lt;=0,N(P1429)&lt;=0),"Menge pro Gebinde fehlt (Ist = 1 Gebinde); ","")&amp;BM1429)</f>
        <v>negativer Bestand (Export -19); Neu; grosser Artikel &amp; nicht im KTL</v>
      </c>
      <c r="BF1429" s="55"/>
      <c r="BG1429" s="55"/>
      <c r="BH1429" s="62"/>
      <c r="BI1429" s="57" t="n">
        <v>-19</v>
      </c>
      <c r="BJ1429" s="57" t="n">
        <v>42</v>
      </c>
      <c r="BK1429" s="56" t="n">
        <v>-6717.83</v>
      </c>
      <c r="BL1429" s="57" t="n">
        <v>14</v>
      </c>
      <c r="BM1429" s="55" t="s">
        <v>2057</v>
      </c>
      <c r="BN1429" s="60" t="n">
        <v>0</v>
      </c>
      <c r="BO1429" s="60" t="n">
        <v>1429</v>
      </c>
      <c r="BP1429" s="55" t="str">
        <f aca="false">IF(S1429&lt;&gt;"",UPPER(TRIM(S1429)),IF(O1429="","LOSE",O1429))</f>
        <v>S71</v>
      </c>
      <c r="BQ1429" s="57" t="n">
        <f aca="false">IF(BP1429="LOSE",1,IF(N(T1429)&gt;0,T1429,IF(N(P1429)&gt;0,P1429,MAX(1,G1429))))</f>
        <v>36</v>
      </c>
      <c r="BR1429" s="60" t="n">
        <f aca="false">IF(BP1429="LOSE",1,0)</f>
        <v>0</v>
      </c>
      <c r="BS1429" s="59" t="n">
        <f aca="false">IF(BR1429=0,0,IF(N(R1429)&gt;0,R1429,IFERROR(VLOOKUP(D1429,Parameter!$A$35:$C$64,3,0)+0,0)))</f>
        <v>0</v>
      </c>
      <c r="BT1429" s="55" t="n">
        <f aca="false">IF(Y1429&lt;&gt;"",Y1429,X1429)</f>
        <v>2</v>
      </c>
      <c r="BU1429" s="55" t="str">
        <f aca="false">IF(BT1429=1,"L1",IF(OR(BT1429=2,BT1429=3),"L23",IF(BT1429="Aussen","Aussen","-")))</f>
        <v>L23</v>
      </c>
      <c r="BV1429" s="66" t="n">
        <f aca="false">IF(N(Z1429)&gt;0,Z1429,0)</f>
        <v>0</v>
      </c>
      <c r="BW1429" s="60" t="n">
        <f aca="false">IF(ISNUMBER(AC1429),1,0)</f>
        <v>0</v>
      </c>
      <c r="BX1429" s="57" t="n">
        <f aca="false">N(AC1429)</f>
        <v>0</v>
      </c>
      <c r="BY1429" s="57" t="n">
        <f aca="false">N(L1429)+N(M1429)</f>
        <v>11</v>
      </c>
      <c r="BZ1429" s="57" t="n">
        <f aca="false">ROUNDUP(G1429/BQ1429,0)</f>
        <v>0</v>
      </c>
      <c r="CA1429" s="57" t="n">
        <f aca="false">ROUNDUP(BX1429/BQ1429,0)</f>
        <v>0</v>
      </c>
      <c r="CB1429" s="60" t="n">
        <f aca="false">IF(BR1429=1,0,IFERROR(VLOOKUP(BP1429,'Gebinde-Kategorie'!$A$5:$M$45,5,0)+0,0))</f>
        <v>20</v>
      </c>
      <c r="CC1429" s="60" t="n">
        <f aca="false">IFERROR(IF(OR(BT1429=1,BT1429=2,BT1429=3),N(INDEX(Parameter!$I$5:$I$7,BT1429)),0),0)</f>
        <v>0</v>
      </c>
      <c r="CD1429" s="59" t="n">
        <f aca="false">IF(AND(Parameter!$B$21="Ja",ISNUMBER(U1429),N(V1429)&gt;0),IFERROR(N(INDEX(Parameter!$L$5:$L$7,U1429))*INDEX(Parameter!$E$5:$E$7,U1429)*V1429/SUMIFS($V$7:$V$1576,$U$7:$U$1576,U1429),0),0)</f>
        <v>0</v>
      </c>
    </row>
    <row r="1430" customFormat="false" ht="15" hidden="false" customHeight="false" outlineLevel="0" collapsed="false">
      <c r="A1430" s="55" t="s">
        <v>2491</v>
      </c>
      <c r="B1430" s="55" t="s">
        <v>2492</v>
      </c>
      <c r="C1430" s="55" t="s">
        <v>160</v>
      </c>
      <c r="D1430" s="55" t="s">
        <v>178</v>
      </c>
      <c r="E1430" s="55" t="s">
        <v>210</v>
      </c>
      <c r="F1430" s="56" t="n">
        <v>116.4</v>
      </c>
      <c r="G1430" s="57" t="n">
        <f aca="false">MAX(0,IF(AND(Parameter!$B$21="Ja",ISNUMBER(W1430)),W1430,IF(Parameter!$B$20="Jahresanfang 2025 + Export",BJ1430+BI1430,BI1430)))</f>
        <v>0</v>
      </c>
      <c r="H1430" s="57" t="n">
        <f aca="false">G1430*F1430</f>
        <v>0</v>
      </c>
      <c r="I1430" s="57" t="n">
        <f aca="false">BL1430*Parameter!$B$18</f>
        <v>10</v>
      </c>
      <c r="J1430" s="58" t="n">
        <v>111</v>
      </c>
      <c r="K1430" s="59" t="n">
        <v>0.0900900900900901</v>
      </c>
      <c r="L1430" s="57" t="n">
        <v>0</v>
      </c>
      <c r="M1430" s="57" t="n">
        <v>10</v>
      </c>
      <c r="N1430" s="60" t="n">
        <v>28</v>
      </c>
      <c r="O1430" s="55" t="s">
        <v>284</v>
      </c>
      <c r="P1430" s="57" t="n">
        <v>80</v>
      </c>
      <c r="Q1430" s="60" t="n">
        <f aca="false">IF(BR1430=1,0,IFERROR(VLOOKUP(BP1430,'Gebinde-Kategorie'!$A$5:$M$45,13,0)+0,0))</f>
        <v>12</v>
      </c>
      <c r="R1430" s="61"/>
      <c r="S1430" s="62"/>
      <c r="T1430" s="62"/>
      <c r="U1430" s="55"/>
      <c r="V1430" s="57"/>
      <c r="W1430" s="57"/>
      <c r="X1430" s="55" t="n">
        <f aca="false">IF(A1430="","",IF(AND(Parameter!$B$21="Ja",ISNUMBER(U1430)),U1430,IF(IFERROR(VLOOKUP(D1430,Parameter!$A$35:$C$64,2,0),"Nein")="2+3",IF(ISNUMBER(SEARCH("grosser Artikel",BM1430)),2,IFERROR(VLOOKUP(BP1430,Parameter!$F$35:$G$64,2,0),2)),IF(OR(IFERROR(VLOOKUP(D1430,Parameter!$A$35:$C$64,2,0),"Nein")="Nein",IFERROR(VLOOKUP(D1430,Parameter!$A$35:$C$64,2,0),"Nein")=""),"-",VLOOKUP(D1430,Parameter!$A$35:$C$64,2,0)))))</f>
        <v>2</v>
      </c>
      <c r="Y1430" s="62"/>
      <c r="Z1430" s="63"/>
      <c r="AA1430" s="57" t="n">
        <f aca="false">AP1430</f>
        <v>80</v>
      </c>
      <c r="AB1430" s="57" t="n">
        <f aca="false">MAX(AP1430,G1430)</f>
        <v>80</v>
      </c>
      <c r="AC1430" s="64"/>
      <c r="AD1430" s="57" t="n">
        <f aca="false">IF(LEFT(Cockpit!$C$5,1)="A",G1430,IF(BW1430=1,BX1430,IF(LEFT(Cockpit!$C$5,1)="B",AH1430,MAX(AH1430,G1430))))</f>
        <v>0</v>
      </c>
      <c r="AE1430" s="57" t="n">
        <f aca="false">IF(BR1430=1,0,ROUNDUP(AD1430/BQ1430,0))</f>
        <v>0</v>
      </c>
      <c r="AF1430" s="59" t="n">
        <f aca="false">IF(CD1430&gt;0,CD1430*MAX(1,AD1430/V1430),IF(BR1430=1,IF(AD1430&lt;=0,0,BS1430*MAX(1,IF(G1430&gt;0,AD1430/G1430,1))),IF(Q1430&gt;0,AE1430/Q1430,0))/MAX(0.1,N(Parameter!$M$21)))</f>
        <v>0</v>
      </c>
      <c r="AG1430" s="57" t="n">
        <f aca="false">AD1430*F1430</f>
        <v>0</v>
      </c>
      <c r="AH1430" s="57" t="n">
        <f aca="false">ROUNDUP(MAX(I1430/IF(BV1430&gt;0,BV1430,MAX(0.1,N(Cockpit!$C$6))),BY1430)/BQ1430,0)*BQ1430</f>
        <v>80</v>
      </c>
      <c r="AI1430" s="58" t="n">
        <f aca="false">IF(AF1430&gt;0,I1430/AF1430,-1)</f>
        <v>-1</v>
      </c>
      <c r="AJ1430" s="58" t="str">
        <f aca="false">IF(AND(OR(BU1430="L1",BU1430="L23"),AF1430&gt;0),SUMIFS($AF$7:$AF$1576,$BU$7:$BU$1576,BU1430,$AI$7:$AI$1576,"&gt;"&amp;AI1430)+SUMIFS($AF$7:$AF$1576,$BU$7:$BU$1576,BU1430,$AI$7:$AI$1576,AI1430,$BO$7:$BO$1576,"&lt;="&amp;BO1430),"")</f>
        <v/>
      </c>
      <c r="AK1430" s="65" t="n">
        <f aca="false">IF(AJ1430="",0,MAX(0,MIN(1,(IF(BU1430="L1",Parameter!$E$5,Parameter!$E$6+Parameter!$E$7)-(AJ1430-AF1430))/AF1430)))</f>
        <v>0</v>
      </c>
      <c r="AL1430" s="57" t="n">
        <f aca="false">IF(LEFT(Cockpit!$I$5,1)="A",G1430,IF(BW1430=1,BX1430,IF(LEFT(Cockpit!$I$5,1)="B",AP1430,MAX(AP1430,G1430))))</f>
        <v>80</v>
      </c>
      <c r="AM1430" s="57" t="n">
        <f aca="false">IF(BR1430=1,0,ROUNDUP(AL1430/BQ1430,0))</f>
        <v>1</v>
      </c>
      <c r="AN1430" s="59" t="n">
        <f aca="false">IF(CD1430&gt;0,CD1430*MAX(1,AL1430/V1430),IF(BR1430=1,IF(AL1430&lt;=0,0,BS1430*MAX(1,IF(G1430&gt;0,AL1430/G1430,1))),IF(Q1430&gt;0,AM1430/Q1430,0))/MAX(0.1,N(Parameter!$M$21)))</f>
        <v>0.0833333333333333</v>
      </c>
      <c r="AO1430" s="57" t="n">
        <f aca="false">AL1430*F1430</f>
        <v>9312</v>
      </c>
      <c r="AP1430" s="57" t="n">
        <f aca="false">ROUNDUP(MAX(I1430/IF(BV1430&gt;0,BV1430,MAX(0.1,N(Cockpit!$I$6))),BY1430)/BQ1430,0)*BQ1430</f>
        <v>80</v>
      </c>
      <c r="AQ1430" s="58" t="n">
        <f aca="false">IF(AN1430&gt;0,I1430/AN1430,-1)</f>
        <v>120</v>
      </c>
      <c r="AR1430" s="58" t="n">
        <f aca="false">IF(AND(OR(BU1430="L1",BU1430="L23"),AN1430&gt;0),SUMIFS($AN$7:$AN$1576,$BU$7:$BU$1576,BU1430,$AQ$7:$AQ$1576,"&gt;"&amp;AQ1430)+SUMIFS($AN$7:$AN$1576,$BU$7:$BU$1576,BU1430,$AQ$7:$AQ$1576,AQ1430,$BO$7:$BO$1576,"&lt;="&amp;BO1430),"")</f>
        <v>64.7770023820135</v>
      </c>
      <c r="AS1430" s="65" t="n">
        <f aca="false">IF(AR1430="",0,MAX(0,MIN(1,(IF(BU1430="L1",Parameter!$E$5,Parameter!$E$6+Parameter!$E$7)-(AR1430-AN1430))/AN1430)))</f>
        <v>1</v>
      </c>
      <c r="AT1430" s="57" t="n">
        <f aca="false">IF(LEFT(Cockpit!$O$5,1)="A",G1430,IF(BW1430=1,BX1430,IF(LEFT(Cockpit!$O$5,1)="B",AX1430,MAX(AX1430,G1430))))</f>
        <v>80</v>
      </c>
      <c r="AU1430" s="57" t="n">
        <f aca="false">IF(BR1430=1,0,ROUNDUP(AT1430/BQ1430,0))</f>
        <v>1</v>
      </c>
      <c r="AV1430" s="59" t="n">
        <f aca="false">IF(CD1430&gt;0,CD1430*MAX(1,AT1430/V1430),IF(BR1430=1,IF(AT1430&lt;=0,0,BS1430*MAX(1,IF(G1430&gt;0,AT1430/G1430,1))),IF(Q1430&gt;0,AU1430/Q1430,0))/MAX(0.1,N(Parameter!$M$21)))</f>
        <v>0.0833333333333333</v>
      </c>
      <c r="AW1430" s="57" t="n">
        <f aca="false">AT1430*F1430</f>
        <v>9312</v>
      </c>
      <c r="AX1430" s="57" t="n">
        <f aca="false">ROUNDUP(MAX(I1430/IF(BV1430&gt;0,BV1430,MAX(0.1,N(Cockpit!$O$6))),BY1430)/BQ1430,0)*BQ1430</f>
        <v>80</v>
      </c>
      <c r="AY1430" s="58" t="n">
        <f aca="false">IF(AV1430&gt;0,I1430/AV1430,-1)</f>
        <v>120</v>
      </c>
      <c r="AZ1430" s="58" t="n">
        <f aca="false">IF(AND(OR(BU1430="L1",BU1430="L23"),AV1430&gt;0),SUMIFS($AV$7:$AV$1576,$BU$7:$BU$1576,BU1430,$AY$7:$AY$1576,"&gt;"&amp;AY1430)+SUMIFS($AV$7:$AV$1576,$BU$7:$BU$1576,BU1430,$AY$7:$AY$1576,AY1430,$BO$7:$BO$1576,"&lt;="&amp;BO1430),"")</f>
        <v>60.1061361648973</v>
      </c>
      <c r="BA1430" s="65" t="n">
        <f aca="false">IF(AZ1430="",0,MAX(0,MIN(1,(IF(BU1430="L1",Parameter!$E$5,Parameter!$E$6+Parameter!$E$7)-(AZ1430-AV1430))/AV1430)))</f>
        <v>1</v>
      </c>
      <c r="BB1430" s="55" t="str">
        <f aca="false">IF(AF1430&lt;=0,"",IF(BU1430="Aussen","Aussenlager",IF(BU1430="-","Nicht im Lift",IF(AK1430&gt;=1,"Lift",IF(AK1430&lt;=0,"Aussenlager","teilweise")))))</f>
        <v/>
      </c>
      <c r="BC1430" s="55" t="str">
        <f aca="false">IF(AN1430&lt;=0,"",IF(BU1430="Aussen","Aussenlager",IF(BU1430="-","Nicht im Lift",IF(AS1430&gt;=1,"Lift",IF(AS1430&lt;=0,"Aussenlager","teilweise")))))</f>
        <v>Lift</v>
      </c>
      <c r="BD1430" s="55" t="str">
        <f aca="false">IF(AV1430&lt;=0,"",IF(BU1430="Aussen","Aussenlager",IF(BU1430="-","Nicht im Lift",IF(BA1430&gt;=1,"Lift",IF(BA1430&lt;=0,"Aussenlager","teilweise")))))</f>
        <v>Lift</v>
      </c>
      <c r="BE1430" s="55" t="str">
        <f aca="false">IF(A1430="","",IF(BN1430=1,"Neu; ","")&amp;IF(AND(BN1430=0,BI1430&lt;0),"negativer Bestand (Export "&amp;BI1430&amp;"); ","")&amp;IF(I1430&lt;=0,"Kein Verbrauch; ","")&amp;IF(CD1430&gt;0,"Lift "&amp;U1430&amp;" lt. Liftbericht (Fach "&amp;V1430&amp;" Stk); ",IF(BR1430=1,"Lose – Fläche geschätzt; ",""))&amp;IF(G1430&gt;AP1430,"Überbestand "&amp;ROUND(G1430-AP1430,0)&amp;" Stk / CHF "&amp;ROUND((G1430-AP1430)*F1430,0)&amp;"; ","")&amp;IF(AND(BW1430=1,BX1430&lt;BY1430),"MAX &lt; MB+LG; ","")&amp;IF(AND(CC1430&gt;0,CB1430*10&gt;CC1430),"zu hoch für Tablar; ","")&amp;IF(AND(BN1430=0,OR(BW1430=1,Y1430&lt;&gt;"",S1430&lt;&gt;"",T1430&lt;&gt;"",Z1430&lt;&gt;"")),"manuell übersteuert; ","")&amp;IF(AND(BR1430=0,Q1430=0),"Gebinde unbekannt / Stellmass fehlt; ","")&amp;IF(AND(BR1430=0,N(T1430)&lt;=0,N(P1430)&lt;=0),"Menge pro Gebinde fehlt (Ist = 1 Gebinde); ","")&amp;BM1430)</f>
        <v>negativer Bestand (Export -58); </v>
      </c>
      <c r="BF1430" s="55"/>
      <c r="BG1430" s="55"/>
      <c r="BH1430" s="62"/>
      <c r="BI1430" s="57" t="n">
        <v>-58</v>
      </c>
      <c r="BJ1430" s="57" t="n">
        <v>116</v>
      </c>
      <c r="BK1430" s="56" t="n">
        <v>-6751.2</v>
      </c>
      <c r="BL1430" s="57" t="n">
        <v>10</v>
      </c>
      <c r="BM1430" s="55"/>
      <c r="BN1430" s="60" t="n">
        <v>0</v>
      </c>
      <c r="BO1430" s="60" t="n">
        <v>1430</v>
      </c>
      <c r="BP1430" s="55" t="str">
        <f aca="false">IF(S1430&lt;&gt;"",UPPER(TRIM(S1430)),IF(O1430="","LOSE",O1430))</f>
        <v>S62</v>
      </c>
      <c r="BQ1430" s="57" t="n">
        <f aca="false">IF(BP1430="LOSE",1,IF(N(T1430)&gt;0,T1430,IF(N(P1430)&gt;0,P1430,MAX(1,G1430))))</f>
        <v>80</v>
      </c>
      <c r="BR1430" s="60" t="n">
        <f aca="false">IF(BP1430="LOSE",1,0)</f>
        <v>0</v>
      </c>
      <c r="BS1430" s="59" t="n">
        <f aca="false">IF(BR1430=0,0,IF(N(R1430)&gt;0,R1430,IFERROR(VLOOKUP(D1430,Parameter!$A$35:$C$64,3,0)+0,0)))</f>
        <v>0</v>
      </c>
      <c r="BT1430" s="55" t="n">
        <f aca="false">IF(Y1430&lt;&gt;"",Y1430,X1430)</f>
        <v>2</v>
      </c>
      <c r="BU1430" s="55" t="str">
        <f aca="false">IF(BT1430=1,"L1",IF(OR(BT1430=2,BT1430=3),"L23",IF(BT1430="Aussen","Aussen","-")))</f>
        <v>L23</v>
      </c>
      <c r="BV1430" s="66" t="n">
        <f aca="false">IF(N(Z1430)&gt;0,Z1430,0)</f>
        <v>0</v>
      </c>
      <c r="BW1430" s="60" t="n">
        <f aca="false">IF(ISNUMBER(AC1430),1,0)</f>
        <v>0</v>
      </c>
      <c r="BX1430" s="57" t="n">
        <f aca="false">N(AC1430)</f>
        <v>0</v>
      </c>
      <c r="BY1430" s="57" t="n">
        <f aca="false">N(L1430)+N(M1430)</f>
        <v>10</v>
      </c>
      <c r="BZ1430" s="57" t="n">
        <f aca="false">ROUNDUP(G1430/BQ1430,0)</f>
        <v>0</v>
      </c>
      <c r="CA1430" s="57" t="n">
        <f aca="false">ROUNDUP(BX1430/BQ1430,0)</f>
        <v>0</v>
      </c>
      <c r="CB1430" s="60" t="n">
        <f aca="false">IF(BR1430=1,0,IFERROR(VLOOKUP(BP1430,'Gebinde-Kategorie'!$A$5:$M$45,5,0)+0,0))</f>
        <v>21</v>
      </c>
      <c r="CC1430" s="60" t="n">
        <f aca="false">IFERROR(IF(OR(BT1430=1,BT1430=2,BT1430=3),N(INDEX(Parameter!$I$5:$I$7,BT1430)),0),0)</f>
        <v>0</v>
      </c>
      <c r="CD1430" s="59" t="n">
        <f aca="false">IF(AND(Parameter!$B$21="Ja",ISNUMBER(U1430),N(V1430)&gt;0),IFERROR(N(INDEX(Parameter!$L$5:$L$7,U1430))*INDEX(Parameter!$E$5:$E$7,U1430)*V1430/SUMIFS($V$7:$V$1576,$U$7:$U$1576,U1430),0),0)</f>
        <v>0</v>
      </c>
    </row>
    <row r="1431" customFormat="false" ht="15" hidden="false" customHeight="false" outlineLevel="0" collapsed="false">
      <c r="A1431" s="55" t="s">
        <v>2493</v>
      </c>
      <c r="B1431" s="55" t="s">
        <v>777</v>
      </c>
      <c r="C1431" s="55" t="s">
        <v>160</v>
      </c>
      <c r="D1431" s="55" t="s">
        <v>168</v>
      </c>
      <c r="E1431" s="55" t="s">
        <v>210</v>
      </c>
      <c r="F1431" s="56" t="n">
        <v>285.45</v>
      </c>
      <c r="G1431" s="57" t="n">
        <f aca="false">MAX(0,IF(AND(Parameter!$B$21="Ja",ISNUMBER(W1431)),W1431,IF(Parameter!$B$20="Jahresanfang 2025 + Export",BJ1431+BI1431,BI1431)))</f>
        <v>0</v>
      </c>
      <c r="H1431" s="57" t="n">
        <f aca="false">G1431*F1431</f>
        <v>0</v>
      </c>
      <c r="I1431" s="57" t="n">
        <f aca="false">BL1431*Parameter!$B$18</f>
        <v>310</v>
      </c>
      <c r="J1431" s="58" t="n">
        <v>64</v>
      </c>
      <c r="K1431" s="59" t="n">
        <v>4.84375</v>
      </c>
      <c r="L1431" s="57" t="n">
        <v>18</v>
      </c>
      <c r="M1431" s="57" t="n">
        <v>60</v>
      </c>
      <c r="N1431" s="60" t="n">
        <v>21</v>
      </c>
      <c r="O1431" s="55" t="s">
        <v>169</v>
      </c>
      <c r="P1431" s="57" t="n">
        <v>112</v>
      </c>
      <c r="Q1431" s="60" t="n">
        <f aca="false">IF(BR1431=1,0,IFERROR(VLOOKUP(BP1431,'Gebinde-Kategorie'!$A$5:$M$45,13,0)+0,0))</f>
        <v>6</v>
      </c>
      <c r="R1431" s="61"/>
      <c r="S1431" s="62"/>
      <c r="T1431" s="62"/>
      <c r="U1431" s="55"/>
      <c r="V1431" s="57"/>
      <c r="W1431" s="57"/>
      <c r="X1431" s="55" t="n">
        <f aca="false">IF(A1431="","",IF(AND(Parameter!$B$21="Ja",ISNUMBER(U1431)),U1431,IF(IFERROR(VLOOKUP(D1431,Parameter!$A$35:$C$64,2,0),"Nein")="2+3",IF(ISNUMBER(SEARCH("grosser Artikel",BM1431)),2,IFERROR(VLOOKUP(BP1431,Parameter!$F$35:$G$64,2,0),2)),IF(OR(IFERROR(VLOOKUP(D1431,Parameter!$A$35:$C$64,2,0),"Nein")="Nein",IFERROR(VLOOKUP(D1431,Parameter!$A$35:$C$64,2,0),"Nein")=""),"-",VLOOKUP(D1431,Parameter!$A$35:$C$64,2,0)))))</f>
        <v>2</v>
      </c>
      <c r="Y1431" s="62"/>
      <c r="Z1431" s="63"/>
      <c r="AA1431" s="57" t="n">
        <f aca="false">AP1431</f>
        <v>224</v>
      </c>
      <c r="AB1431" s="57" t="n">
        <f aca="false">MAX(AP1431,G1431)</f>
        <v>224</v>
      </c>
      <c r="AC1431" s="64"/>
      <c r="AD1431" s="57" t="n">
        <f aca="false">IF(LEFT(Cockpit!$C$5,1)="A",G1431,IF(BW1431=1,BX1431,IF(LEFT(Cockpit!$C$5,1)="B",AH1431,MAX(AH1431,G1431))))</f>
        <v>0</v>
      </c>
      <c r="AE1431" s="57" t="n">
        <f aca="false">IF(BR1431=1,0,ROUNDUP(AD1431/BQ1431,0))</f>
        <v>0</v>
      </c>
      <c r="AF1431" s="59" t="n">
        <f aca="false">IF(CD1431&gt;0,CD1431*MAX(1,AD1431/V1431),IF(BR1431=1,IF(AD1431&lt;=0,0,BS1431*MAX(1,IF(G1431&gt;0,AD1431/G1431,1))),IF(Q1431&gt;0,AE1431/Q1431,0))/MAX(0.1,N(Parameter!$M$21)))</f>
        <v>0</v>
      </c>
      <c r="AG1431" s="57" t="n">
        <f aca="false">AD1431*F1431</f>
        <v>0</v>
      </c>
      <c r="AH1431" s="57" t="n">
        <f aca="false">ROUNDUP(MAX(I1431/IF(BV1431&gt;0,BV1431,MAX(0.1,N(Cockpit!$C$6))),BY1431)/BQ1431,0)*BQ1431</f>
        <v>224</v>
      </c>
      <c r="AI1431" s="58" t="n">
        <f aca="false">IF(AF1431&gt;0,I1431/AF1431,-1)</f>
        <v>-1</v>
      </c>
      <c r="AJ1431" s="58" t="str">
        <f aca="false">IF(AND(OR(BU1431="L1",BU1431="L23"),AF1431&gt;0),SUMIFS($AF$7:$AF$1576,$BU$7:$BU$1576,BU1431,$AI$7:$AI$1576,"&gt;"&amp;AI1431)+SUMIFS($AF$7:$AF$1576,$BU$7:$BU$1576,BU1431,$AI$7:$AI$1576,AI1431,$BO$7:$BO$1576,"&lt;="&amp;BO1431),"")</f>
        <v/>
      </c>
      <c r="AK1431" s="65" t="n">
        <f aca="false">IF(AJ1431="",0,MAX(0,MIN(1,(IF(BU1431="L1",Parameter!$E$5,Parameter!$E$6+Parameter!$E$7)-(AJ1431-AF1431))/AF1431)))</f>
        <v>0</v>
      </c>
      <c r="AL1431" s="57" t="n">
        <f aca="false">IF(LEFT(Cockpit!$I$5,1)="A",G1431,IF(BW1431=1,BX1431,IF(LEFT(Cockpit!$I$5,1)="B",AP1431,MAX(AP1431,G1431))))</f>
        <v>224</v>
      </c>
      <c r="AM1431" s="57" t="n">
        <f aca="false">IF(BR1431=1,0,ROUNDUP(AL1431/BQ1431,0))</f>
        <v>2</v>
      </c>
      <c r="AN1431" s="59" t="n">
        <f aca="false">IF(CD1431&gt;0,CD1431*MAX(1,AL1431/V1431),IF(BR1431=1,IF(AL1431&lt;=0,0,BS1431*MAX(1,IF(G1431&gt;0,AL1431/G1431,1))),IF(Q1431&gt;0,AM1431/Q1431,0))/MAX(0.1,N(Parameter!$M$21)))</f>
        <v>0.333333333333333</v>
      </c>
      <c r="AO1431" s="57" t="n">
        <f aca="false">AL1431*F1431</f>
        <v>63940.8</v>
      </c>
      <c r="AP1431" s="57" t="n">
        <f aca="false">ROUNDUP(MAX(I1431/IF(BV1431&gt;0,BV1431,MAX(0.1,N(Cockpit!$I$6))),BY1431)/BQ1431,0)*BQ1431</f>
        <v>224</v>
      </c>
      <c r="AQ1431" s="58" t="n">
        <f aca="false">IF(AN1431&gt;0,I1431/AN1431,-1)</f>
        <v>930</v>
      </c>
      <c r="AR1431" s="58" t="n">
        <f aca="false">IF(AND(OR(BU1431="L1",BU1431="L23"),AN1431&gt;0),SUMIFS($AN$7:$AN$1576,$BU$7:$BU$1576,BU1431,$AQ$7:$AQ$1576,"&gt;"&amp;AQ1431)+SUMIFS($AN$7:$AN$1576,$BU$7:$BU$1576,BU1431,$AQ$7:$AQ$1576,AQ1431,$BO$7:$BO$1576,"&lt;="&amp;BO1431),"")</f>
        <v>23.9583591411964</v>
      </c>
      <c r="AS1431" s="65" t="n">
        <f aca="false">IF(AR1431="",0,MAX(0,MIN(1,(IF(BU1431="L1",Parameter!$E$5,Parameter!$E$6+Parameter!$E$7)-(AR1431-AN1431))/AN1431)))</f>
        <v>1</v>
      </c>
      <c r="AT1431" s="57" t="n">
        <f aca="false">IF(LEFT(Cockpit!$O$5,1)="A",G1431,IF(BW1431=1,BX1431,IF(LEFT(Cockpit!$O$5,1)="B",AX1431,MAX(AX1431,G1431))))</f>
        <v>112</v>
      </c>
      <c r="AU1431" s="57" t="n">
        <f aca="false">IF(BR1431=1,0,ROUNDUP(AT1431/BQ1431,0))</f>
        <v>1</v>
      </c>
      <c r="AV1431" s="59" t="n">
        <f aca="false">IF(CD1431&gt;0,CD1431*MAX(1,AT1431/V1431),IF(BR1431=1,IF(AT1431&lt;=0,0,BS1431*MAX(1,IF(G1431&gt;0,AT1431/G1431,1))),IF(Q1431&gt;0,AU1431/Q1431,0))/MAX(0.1,N(Parameter!$M$21)))</f>
        <v>0.166666666666667</v>
      </c>
      <c r="AW1431" s="57" t="n">
        <f aca="false">AT1431*F1431</f>
        <v>31970.4</v>
      </c>
      <c r="AX1431" s="57" t="n">
        <f aca="false">ROUNDUP(MAX(I1431/IF(BV1431&gt;0,BV1431,MAX(0.1,N(Cockpit!$O$6))),BY1431)/BQ1431,0)*BQ1431</f>
        <v>112</v>
      </c>
      <c r="AY1431" s="58" t="n">
        <f aca="false">IF(AV1431&gt;0,I1431/AV1431,-1)</f>
        <v>1860</v>
      </c>
      <c r="AZ1431" s="58" t="n">
        <f aca="false">IF(AND(OR(BU1431="L1",BU1431="L23"),AV1431&gt;0),SUMIFS($AV$7:$AV$1576,$BU$7:$BU$1576,BU1431,$AY$7:$AY$1576,"&gt;"&amp;AY1431)+SUMIFS($AV$7:$AV$1576,$BU$7:$BU$1576,BU1431,$AY$7:$AY$1576,AY1431,$BO$7:$BO$1576,"&lt;="&amp;BO1431),"")</f>
        <v>16.6318015924649</v>
      </c>
      <c r="BA1431" s="65" t="n">
        <f aca="false">IF(AZ1431="",0,MAX(0,MIN(1,(IF(BU1431="L1",Parameter!$E$5,Parameter!$E$6+Parameter!$E$7)-(AZ1431-AV1431))/AV1431)))</f>
        <v>1</v>
      </c>
      <c r="BB1431" s="55" t="str">
        <f aca="false">IF(AF1431&lt;=0,"",IF(BU1431="Aussen","Aussenlager",IF(BU1431="-","Nicht im Lift",IF(AK1431&gt;=1,"Lift",IF(AK1431&lt;=0,"Aussenlager","teilweise")))))</f>
        <v/>
      </c>
      <c r="BC1431" s="55" t="str">
        <f aca="false">IF(AN1431&lt;=0,"",IF(BU1431="Aussen","Aussenlager",IF(BU1431="-","Nicht im Lift",IF(AS1431&gt;=1,"Lift",IF(AS1431&lt;=0,"Aussenlager","teilweise")))))</f>
        <v>Lift</v>
      </c>
      <c r="BD1431" s="55" t="str">
        <f aca="false">IF(AV1431&lt;=0,"",IF(BU1431="Aussen","Aussenlager",IF(BU1431="-","Nicht im Lift",IF(BA1431&gt;=1,"Lift",IF(BA1431&lt;=0,"Aussenlager","teilweise")))))</f>
        <v>Lift</v>
      </c>
      <c r="BE1431" s="55" t="str">
        <f aca="false">IF(A1431="","",IF(BN1431=1,"Neu; ","")&amp;IF(AND(BN1431=0,BI1431&lt;0),"negativer Bestand (Export "&amp;BI1431&amp;"); ","")&amp;IF(I1431&lt;=0,"Kein Verbrauch; ","")&amp;IF(CD1431&gt;0,"Lift "&amp;U1431&amp;" lt. Liftbericht (Fach "&amp;V1431&amp;" Stk); ",IF(BR1431=1,"Lose – Fläche geschätzt; ",""))&amp;IF(G1431&gt;AP1431,"Überbestand "&amp;ROUND(G1431-AP1431,0)&amp;" Stk / CHF "&amp;ROUND((G1431-AP1431)*F1431,0)&amp;"; ","")&amp;IF(AND(BW1431=1,BX1431&lt;BY1431),"MAX &lt; MB+LG; ","")&amp;IF(AND(CC1431&gt;0,CB1431*10&gt;CC1431),"zu hoch für Tablar; ","")&amp;IF(AND(BN1431=0,OR(BW1431=1,Y1431&lt;&gt;"",S1431&lt;&gt;"",T1431&lt;&gt;"",Z1431&lt;&gt;"")),"manuell übersteuert; ","")&amp;IF(AND(BR1431=0,Q1431=0),"Gebinde unbekannt / Stellmass fehlt; ","")&amp;IF(AND(BR1431=0,N(T1431)&lt;=0,N(P1431)&lt;=0),"Menge pro Gebinde fehlt (Ist = 1 Gebinde); ","")&amp;BM1431)</f>
        <v>negativer Bestand (Export -14); grosser Artikel &amp; nicht im KTL</v>
      </c>
      <c r="BF1431" s="55"/>
      <c r="BG1431" s="55"/>
      <c r="BH1431" s="62"/>
      <c r="BI1431" s="57" t="n">
        <v>-14</v>
      </c>
      <c r="BJ1431" s="57" t="n">
        <v>66</v>
      </c>
      <c r="BK1431" s="56" t="n">
        <v>-6931.97999999999</v>
      </c>
      <c r="BL1431" s="57" t="n">
        <v>310</v>
      </c>
      <c r="BM1431" s="55" t="s">
        <v>253</v>
      </c>
      <c r="BN1431" s="60" t="n">
        <v>0</v>
      </c>
      <c r="BO1431" s="60" t="n">
        <v>1431</v>
      </c>
      <c r="BP1431" s="55" t="str">
        <f aca="false">IF(S1431&lt;&gt;"",UPPER(TRIM(S1431)),IF(O1431="","LOSE",O1431))</f>
        <v>S71</v>
      </c>
      <c r="BQ1431" s="57" t="n">
        <f aca="false">IF(BP1431="LOSE",1,IF(N(T1431)&gt;0,T1431,IF(N(P1431)&gt;0,P1431,MAX(1,G1431))))</f>
        <v>112</v>
      </c>
      <c r="BR1431" s="60" t="n">
        <f aca="false">IF(BP1431="LOSE",1,0)</f>
        <v>0</v>
      </c>
      <c r="BS1431" s="59" t="n">
        <f aca="false">IF(BR1431=0,0,IF(N(R1431)&gt;0,R1431,IFERROR(VLOOKUP(D1431,Parameter!$A$35:$C$64,3,0)+0,0)))</f>
        <v>0</v>
      </c>
      <c r="BT1431" s="55" t="n">
        <f aca="false">IF(Y1431&lt;&gt;"",Y1431,X1431)</f>
        <v>2</v>
      </c>
      <c r="BU1431" s="55" t="str">
        <f aca="false">IF(BT1431=1,"L1",IF(OR(BT1431=2,BT1431=3),"L23",IF(BT1431="Aussen","Aussen","-")))</f>
        <v>L23</v>
      </c>
      <c r="BV1431" s="66" t="n">
        <f aca="false">IF(N(Z1431)&gt;0,Z1431,0)</f>
        <v>0</v>
      </c>
      <c r="BW1431" s="60" t="n">
        <f aca="false">IF(ISNUMBER(AC1431),1,0)</f>
        <v>0</v>
      </c>
      <c r="BX1431" s="57" t="n">
        <f aca="false">N(AC1431)</f>
        <v>0</v>
      </c>
      <c r="BY1431" s="57" t="n">
        <f aca="false">N(L1431)+N(M1431)</f>
        <v>78</v>
      </c>
      <c r="BZ1431" s="57" t="n">
        <f aca="false">ROUNDUP(G1431/BQ1431,0)</f>
        <v>0</v>
      </c>
      <c r="CA1431" s="57" t="n">
        <f aca="false">ROUNDUP(BX1431/BQ1431,0)</f>
        <v>0</v>
      </c>
      <c r="CB1431" s="60" t="n">
        <f aca="false">IF(BR1431=1,0,IFERROR(VLOOKUP(BP1431,'Gebinde-Kategorie'!$A$5:$M$45,5,0)+0,0))</f>
        <v>20</v>
      </c>
      <c r="CC1431" s="60" t="n">
        <f aca="false">IFERROR(IF(OR(BT1431=1,BT1431=2,BT1431=3),N(INDEX(Parameter!$I$5:$I$7,BT1431)),0),0)</f>
        <v>0</v>
      </c>
      <c r="CD1431" s="59" t="n">
        <f aca="false">IF(AND(Parameter!$B$21="Ja",ISNUMBER(U1431),N(V1431)&gt;0),IFERROR(N(INDEX(Parameter!$L$5:$L$7,U1431))*INDEX(Parameter!$E$5:$E$7,U1431)*V1431/SUMIFS($V$7:$V$1576,$U$7:$U$1576,U1431),0),0)</f>
        <v>0</v>
      </c>
    </row>
    <row r="1432" customFormat="false" ht="15" hidden="false" customHeight="false" outlineLevel="0" collapsed="false">
      <c r="A1432" s="55" t="s">
        <v>2494</v>
      </c>
      <c r="B1432" s="55" t="s">
        <v>159</v>
      </c>
      <c r="C1432" s="55" t="s">
        <v>160</v>
      </c>
      <c r="D1432" s="55" t="s">
        <v>161</v>
      </c>
      <c r="E1432" s="55" t="s">
        <v>210</v>
      </c>
      <c r="F1432" s="56" t="n">
        <v>2330</v>
      </c>
      <c r="G1432" s="57" t="n">
        <f aca="false">MAX(0,IF(AND(Parameter!$B$21="Ja",ISNUMBER(W1432)),W1432,IF(Parameter!$B$20="Jahresanfang 2025 + Export",BJ1432+BI1432,BI1432)))</f>
        <v>1</v>
      </c>
      <c r="H1432" s="57" t="n">
        <f aca="false">G1432*F1432</f>
        <v>2330</v>
      </c>
      <c r="I1432" s="57" t="n">
        <f aca="false">BL1432*Parameter!$B$18</f>
        <v>1</v>
      </c>
      <c r="J1432" s="58" t="n">
        <v>3.5</v>
      </c>
      <c r="K1432" s="59" t="n">
        <v>0.285714285714286</v>
      </c>
      <c r="L1432" s="57" t="n">
        <v>0</v>
      </c>
      <c r="M1432" s="57" t="n">
        <v>1</v>
      </c>
      <c r="N1432" s="60" t="n">
        <v>58</v>
      </c>
      <c r="O1432" s="55" t="s">
        <v>163</v>
      </c>
      <c r="P1432" s="57"/>
      <c r="Q1432" s="60" t="n">
        <f aca="false">IF(BR1432=1,0,IFERROR(VLOOKUP(BP1432,'Gebinde-Kategorie'!$A$5:$M$45,13,0)+0,0))</f>
        <v>0</v>
      </c>
      <c r="R1432" s="61"/>
      <c r="S1432" s="62"/>
      <c r="T1432" s="62"/>
      <c r="U1432" s="55" t="n">
        <v>1</v>
      </c>
      <c r="V1432" s="57" t="n">
        <v>3</v>
      </c>
      <c r="W1432" s="57" t="n">
        <v>1</v>
      </c>
      <c r="X1432" s="55" t="n">
        <f aca="false">IF(A1432="","",IF(AND(Parameter!$B$21="Ja",ISNUMBER(U1432)),U1432,IF(IFERROR(VLOOKUP(D1432,Parameter!$A$35:$C$64,2,0),"Nein")="2+3",IF(ISNUMBER(SEARCH("grosser Artikel",BM1432)),2,IFERROR(VLOOKUP(BP1432,Parameter!$F$35:$G$64,2,0),2)),IF(OR(IFERROR(VLOOKUP(D1432,Parameter!$A$35:$C$64,2,0),"Nein")="Nein",IFERROR(VLOOKUP(D1432,Parameter!$A$35:$C$64,2,0),"Nein")=""),"-",VLOOKUP(D1432,Parameter!$A$35:$C$64,2,0)))))</f>
        <v>1</v>
      </c>
      <c r="Y1432" s="62"/>
      <c r="Z1432" s="63"/>
      <c r="AA1432" s="57" t="n">
        <f aca="false">AP1432</f>
        <v>1</v>
      </c>
      <c r="AB1432" s="57" t="n">
        <f aca="false">MAX(AP1432,G1432)</f>
        <v>1</v>
      </c>
      <c r="AC1432" s="64"/>
      <c r="AD1432" s="57" t="n">
        <f aca="false">IF(LEFT(Cockpit!$C$5,1)="A",G1432,IF(BW1432=1,BX1432,IF(LEFT(Cockpit!$C$5,1)="B",AH1432,MAX(AH1432,G1432))))</f>
        <v>1</v>
      </c>
      <c r="AE1432" s="57" t="n">
        <f aca="false">IF(BR1432=1,0,ROUNDUP(AD1432/BQ1432,0))</f>
        <v>0</v>
      </c>
      <c r="AF1432" s="59" t="n">
        <f aca="false">IF(CD1432&gt;0,CD1432*MAX(1,AD1432/V1432),IF(BR1432=1,IF(AD1432&lt;=0,0,BS1432*MAX(1,IF(G1432&gt;0,AD1432/G1432,1))),IF(Q1432&gt;0,AE1432/Q1432,0))/MAX(0.1,N(Parameter!$M$21)))</f>
        <v>0.240112994350283</v>
      </c>
      <c r="AG1432" s="57" t="n">
        <f aca="false">AD1432*F1432</f>
        <v>2330</v>
      </c>
      <c r="AH1432" s="57" t="n">
        <f aca="false">ROUNDUP(MAX(I1432/IF(BV1432&gt;0,BV1432,MAX(0.1,N(Cockpit!$C$6))),BY1432)/BQ1432,0)*BQ1432</f>
        <v>1</v>
      </c>
      <c r="AI1432" s="58" t="n">
        <f aca="false">IF(AF1432&gt;0,I1432/AF1432,-1)</f>
        <v>4.16470588235294</v>
      </c>
      <c r="AJ1432" s="58" t="n">
        <f aca="false">IF(AND(OR(BU1432="L1",BU1432="L23"),AF1432&gt;0),SUMIFS($AF$7:$AF$1576,$BU$7:$BU$1576,BU1432,$AI$7:$AI$1576,"&gt;"&amp;AI1432)+SUMIFS($AF$7:$AF$1576,$BU$7:$BU$1576,BU1432,$AI$7:$AI$1576,AI1432,$BO$7:$BO$1576,"&lt;="&amp;BO1432),"")</f>
        <v>34.4962335216573</v>
      </c>
      <c r="AK1432" s="65" t="n">
        <f aca="false">IF(AJ1432="",0,MAX(0,MIN(1,(IF(BU1432="L1",Parameter!$E$5,Parameter!$E$6+Parameter!$E$7)-(AJ1432-AF1432))/AF1432)))</f>
        <v>1</v>
      </c>
      <c r="AL1432" s="57" t="n">
        <f aca="false">IF(LEFT(Cockpit!$I$5,1)="A",G1432,IF(BW1432=1,BX1432,IF(LEFT(Cockpit!$I$5,1)="B",AP1432,MAX(AP1432,G1432))))</f>
        <v>1</v>
      </c>
      <c r="AM1432" s="57" t="n">
        <f aca="false">IF(BR1432=1,0,ROUNDUP(AL1432/BQ1432,0))</f>
        <v>0</v>
      </c>
      <c r="AN1432" s="59" t="n">
        <f aca="false">IF(CD1432&gt;0,CD1432*MAX(1,AL1432/V1432),IF(BR1432=1,IF(AL1432&lt;=0,0,BS1432*MAX(1,IF(G1432&gt;0,AL1432/G1432,1))),IF(Q1432&gt;0,AM1432/Q1432,0))/MAX(0.1,N(Parameter!$M$21)))</f>
        <v>0.240112994350283</v>
      </c>
      <c r="AO1432" s="57" t="n">
        <f aca="false">AL1432*F1432</f>
        <v>2330</v>
      </c>
      <c r="AP1432" s="57" t="n">
        <f aca="false">ROUNDUP(MAX(I1432/IF(BV1432&gt;0,BV1432,MAX(0.1,N(Cockpit!$I$6))),BY1432)/BQ1432,0)*BQ1432</f>
        <v>1</v>
      </c>
      <c r="AQ1432" s="58" t="n">
        <f aca="false">IF(AN1432&gt;0,I1432/AN1432,-1)</f>
        <v>4.16470588235294</v>
      </c>
      <c r="AR1432" s="58" t="n">
        <f aca="false">IF(AND(OR(BU1432="L1",BU1432="L23"),AN1432&gt;0),SUMIFS($AN$7:$AN$1576,$BU$7:$BU$1576,BU1432,$AQ$7:$AQ$1576,"&gt;"&amp;AQ1432)+SUMIFS($AN$7:$AN$1576,$BU$7:$BU$1576,BU1432,$AQ$7:$AQ$1576,AQ1432,$BO$7:$BO$1576,"&lt;="&amp;BO1432),"")</f>
        <v>39.4585687382298</v>
      </c>
      <c r="AS1432" s="65" t="n">
        <f aca="false">IF(AR1432="",0,MAX(0,MIN(1,(IF(BU1432="L1",Parameter!$E$5,Parameter!$E$6+Parameter!$E$7)-(AR1432-AN1432))/AN1432)))</f>
        <v>1</v>
      </c>
      <c r="AT1432" s="57" t="n">
        <f aca="false">IF(LEFT(Cockpit!$O$5,1)="A",G1432,IF(BW1432=1,BX1432,IF(LEFT(Cockpit!$O$5,1)="B",AX1432,MAX(AX1432,G1432))))</f>
        <v>1</v>
      </c>
      <c r="AU1432" s="57" t="n">
        <f aca="false">IF(BR1432=1,0,ROUNDUP(AT1432/BQ1432,0))</f>
        <v>0</v>
      </c>
      <c r="AV1432" s="59" t="n">
        <f aca="false">IF(CD1432&gt;0,CD1432*MAX(1,AT1432/V1432),IF(BR1432=1,IF(AT1432&lt;=0,0,BS1432*MAX(1,IF(G1432&gt;0,AT1432/G1432,1))),IF(Q1432&gt;0,AU1432/Q1432,0))/MAX(0.1,N(Parameter!$M$21)))</f>
        <v>0.240112994350283</v>
      </c>
      <c r="AW1432" s="57" t="n">
        <f aca="false">AT1432*F1432</f>
        <v>2330</v>
      </c>
      <c r="AX1432" s="57" t="n">
        <f aca="false">ROUNDUP(MAX(I1432/IF(BV1432&gt;0,BV1432,MAX(0.1,N(Cockpit!$O$6))),BY1432)/BQ1432,0)*BQ1432</f>
        <v>1</v>
      </c>
      <c r="AY1432" s="58" t="n">
        <f aca="false">IF(AV1432&gt;0,I1432/AV1432,-1)</f>
        <v>4.16470588235294</v>
      </c>
      <c r="AZ1432" s="58" t="n">
        <f aca="false">IF(AND(OR(BU1432="L1",BU1432="L23"),AV1432&gt;0),SUMIFS($AV$7:$AV$1576,$BU$7:$BU$1576,BU1432,$AY$7:$AY$1576,"&gt;"&amp;AY1432)+SUMIFS($AV$7:$AV$1576,$BU$7:$BU$1576,BU1432,$AY$7:$AY$1576,AY1432,$BO$7:$BO$1576,"&lt;="&amp;BO1432),"")</f>
        <v>36.4971751412429</v>
      </c>
      <c r="BA1432" s="65" t="n">
        <f aca="false">IF(AZ1432="",0,MAX(0,MIN(1,(IF(BU1432="L1",Parameter!$E$5,Parameter!$E$6+Parameter!$E$7)-(AZ1432-AV1432))/AV1432)))</f>
        <v>1</v>
      </c>
      <c r="BB1432" s="55" t="str">
        <f aca="false">IF(AF1432&lt;=0,"",IF(BU1432="Aussen","Aussenlager",IF(BU1432="-","Nicht im Lift",IF(AK1432&gt;=1,"Lift",IF(AK1432&lt;=0,"Aussenlager","teilweise")))))</f>
        <v>Lift</v>
      </c>
      <c r="BC1432" s="55" t="str">
        <f aca="false">IF(AN1432&lt;=0,"",IF(BU1432="Aussen","Aussenlager",IF(BU1432="-","Nicht im Lift",IF(AS1432&gt;=1,"Lift",IF(AS1432&lt;=0,"Aussenlager","teilweise")))))</f>
        <v>Lift</v>
      </c>
      <c r="BD1432" s="55" t="str">
        <f aca="false">IF(AV1432&lt;=0,"",IF(BU1432="Aussen","Aussenlager",IF(BU1432="-","Nicht im Lift",IF(BA1432&gt;=1,"Lift",IF(BA1432&lt;=0,"Aussenlager","teilweise")))))</f>
        <v>Lift</v>
      </c>
      <c r="BE1432" s="55" t="str">
        <f aca="false">IF(A1432="","",IF(BN1432=1,"Neu; ","")&amp;IF(AND(BN1432=0,BI1432&lt;0),"negativer Bestand (Export "&amp;BI1432&amp;"); ","")&amp;IF(I1432&lt;=0,"Kein Verbrauch; ","")&amp;IF(CD1432&gt;0,"Lift "&amp;U1432&amp;" lt. Liftbericht (Fach "&amp;V1432&amp;" Stk); ",IF(BR1432=1,"Lose – Fläche geschätzt; ",""))&amp;IF(G1432&gt;AP1432,"Überbestand "&amp;ROUND(G1432-AP1432,0)&amp;" Stk / CHF "&amp;ROUND((G1432-AP1432)*F1432,0)&amp;"; ","")&amp;IF(AND(BW1432=1,BX1432&lt;BY1432),"MAX &lt; MB+LG; ","")&amp;IF(AND(CC1432&gt;0,CB1432*10&gt;CC1432),"zu hoch für Tablar; ","")&amp;IF(AND(BN1432=0,OR(BW1432=1,Y1432&lt;&gt;"",S1432&lt;&gt;"",T1432&lt;&gt;"",Z1432&lt;&gt;"")),"manuell übersteuert; ","")&amp;IF(AND(BR1432=0,Q1432=0),"Gebinde unbekannt / Stellmass fehlt; ","")&amp;IF(AND(BR1432=0,N(T1432)&lt;=0,N(P1432)&lt;=0),"Menge pro Gebinde fehlt (Ist = 1 Gebinde); ","")&amp;BM1432)</f>
        <v>negativer Bestand (Export -3); Lift 1 lt. Liftbericht (Fach 3 Stk); Überbestand</v>
      </c>
      <c r="BF1432" s="55"/>
      <c r="BG1432" s="55"/>
      <c r="BH1432" s="62"/>
      <c r="BI1432" s="57" t="n">
        <v>-3</v>
      </c>
      <c r="BJ1432" s="57" t="n">
        <v>4</v>
      </c>
      <c r="BK1432" s="56" t="n">
        <v>-6990</v>
      </c>
      <c r="BL1432" s="57" t="n">
        <v>1</v>
      </c>
      <c r="BM1432" s="55" t="s">
        <v>382</v>
      </c>
      <c r="BN1432" s="60" t="n">
        <v>0</v>
      </c>
      <c r="BO1432" s="60" t="n">
        <v>1432</v>
      </c>
      <c r="BP1432" s="55" t="str">
        <f aca="false">IF(S1432&lt;&gt;"",UPPER(TRIM(S1432)),IF(O1432="","LOSE",O1432))</f>
        <v>LOSE</v>
      </c>
      <c r="BQ1432" s="57" t="n">
        <f aca="false">IF(BP1432="LOSE",1,IF(N(T1432)&gt;0,T1432,IF(N(P1432)&gt;0,P1432,MAX(1,G1432))))</f>
        <v>1</v>
      </c>
      <c r="BR1432" s="60" t="n">
        <f aca="false">IF(BP1432="LOSE",1,0)</f>
        <v>1</v>
      </c>
      <c r="BS1432" s="59" t="n">
        <f aca="false">IF(BR1432=0,0,IF(N(R1432)&gt;0,R1432,IFERROR(VLOOKUP(D1432,Parameter!$A$35:$C$64,3,0)+0,0)))</f>
        <v>1</v>
      </c>
      <c r="BT1432" s="55" t="n">
        <f aca="false">IF(Y1432&lt;&gt;"",Y1432,X1432)</f>
        <v>1</v>
      </c>
      <c r="BU1432" s="55" t="str">
        <f aca="false">IF(BT1432=1,"L1",IF(OR(BT1432=2,BT1432=3),"L23",IF(BT1432="Aussen","Aussen","-")))</f>
        <v>L1</v>
      </c>
      <c r="BV1432" s="66" t="n">
        <f aca="false">IF(N(Z1432)&gt;0,Z1432,0)</f>
        <v>0</v>
      </c>
      <c r="BW1432" s="60" t="n">
        <f aca="false">IF(ISNUMBER(AC1432),1,0)</f>
        <v>0</v>
      </c>
      <c r="BX1432" s="57" t="n">
        <f aca="false">N(AC1432)</f>
        <v>0</v>
      </c>
      <c r="BY1432" s="57" t="n">
        <f aca="false">N(L1432)+N(M1432)</f>
        <v>1</v>
      </c>
      <c r="BZ1432" s="57" t="n">
        <f aca="false">ROUNDUP(G1432/BQ1432,0)</f>
        <v>1</v>
      </c>
      <c r="CA1432" s="57" t="n">
        <f aca="false">ROUNDUP(BX1432/BQ1432,0)</f>
        <v>0</v>
      </c>
      <c r="CB1432" s="60" t="n">
        <f aca="false">IF(BR1432=1,0,IFERROR(VLOOKUP(BP1432,'Gebinde-Kategorie'!$A$5:$M$45,5,0)+0,0))</f>
        <v>0</v>
      </c>
      <c r="CC1432" s="60" t="n">
        <f aca="false">IFERROR(IF(OR(BT1432=1,BT1432=2,BT1432=3),N(INDEX(Parameter!$I$5:$I$7,BT1432)),0),0)</f>
        <v>0</v>
      </c>
      <c r="CD1432" s="59" t="n">
        <f aca="false">IF(AND(Parameter!$B$21="Ja",ISNUMBER(U1432),N(V1432)&gt;0),IFERROR(N(INDEX(Parameter!$L$5:$L$7,U1432))*INDEX(Parameter!$E$5:$E$7,U1432)*V1432/SUMIFS($V$7:$V$1576,$U$7:$U$1576,U1432),0),0)</f>
        <v>0.240112994350283</v>
      </c>
    </row>
    <row r="1433" customFormat="false" ht="15" hidden="false" customHeight="false" outlineLevel="0" collapsed="false">
      <c r="A1433" s="55" t="s">
        <v>2495</v>
      </c>
      <c r="B1433" s="55" t="s">
        <v>2496</v>
      </c>
      <c r="C1433" s="55" t="s">
        <v>160</v>
      </c>
      <c r="D1433" s="55" t="s">
        <v>344</v>
      </c>
      <c r="E1433" s="55" t="s">
        <v>210</v>
      </c>
      <c r="F1433" s="56" t="n">
        <v>3532.08</v>
      </c>
      <c r="G1433" s="57" t="n">
        <f aca="false">MAX(0,IF(AND(Parameter!$B$21="Ja",ISNUMBER(W1433)),W1433,IF(Parameter!$B$20="Jahresanfang 2025 + Export",BJ1433+BI1433,BI1433)))</f>
        <v>0</v>
      </c>
      <c r="H1433" s="57" t="n">
        <f aca="false">G1433*F1433</f>
        <v>0</v>
      </c>
      <c r="I1433" s="57" t="n">
        <f aca="false">BL1433*Parameter!$B$18</f>
        <v>0</v>
      </c>
      <c r="J1433" s="58" t="n">
        <v>1</v>
      </c>
      <c r="K1433" s="59" t="n">
        <v>0</v>
      </c>
      <c r="L1433" s="57" t="n">
        <v>0</v>
      </c>
      <c r="M1433" s="57" t="n">
        <v>1</v>
      </c>
      <c r="N1433" s="60" t="n">
        <v>90</v>
      </c>
      <c r="O1433" s="55" t="s">
        <v>163</v>
      </c>
      <c r="P1433" s="57"/>
      <c r="Q1433" s="60" t="n">
        <f aca="false">IF(BR1433=1,0,IFERROR(VLOOKUP(BP1433,'Gebinde-Kategorie'!$A$5:$M$45,13,0)+0,0))</f>
        <v>0</v>
      </c>
      <c r="R1433" s="61"/>
      <c r="S1433" s="62"/>
      <c r="T1433" s="62"/>
      <c r="U1433" s="55"/>
      <c r="V1433" s="57"/>
      <c r="W1433" s="57"/>
      <c r="X1433" s="55" t="str">
        <f aca="false">IF(A1433="","",IF(AND(Parameter!$B$21="Ja",ISNUMBER(U1433)),U1433,IF(IFERROR(VLOOKUP(D1433,Parameter!$A$35:$C$64,2,0),"Nein")="2+3",IF(ISNUMBER(SEARCH("grosser Artikel",BM1433)),2,IFERROR(VLOOKUP(BP1433,Parameter!$F$35:$G$64,2,0),2)),IF(OR(IFERROR(VLOOKUP(D1433,Parameter!$A$35:$C$64,2,0),"Nein")="Nein",IFERROR(VLOOKUP(D1433,Parameter!$A$35:$C$64,2,0),"Nein")=""),"-",VLOOKUP(D1433,Parameter!$A$35:$C$64,2,0)))))</f>
        <v>-</v>
      </c>
      <c r="Y1433" s="62"/>
      <c r="Z1433" s="63"/>
      <c r="AA1433" s="57" t="n">
        <f aca="false">AP1433</f>
        <v>1</v>
      </c>
      <c r="AB1433" s="57" t="n">
        <f aca="false">MAX(AP1433,G1433)</f>
        <v>1</v>
      </c>
      <c r="AC1433" s="64"/>
      <c r="AD1433" s="57" t="n">
        <f aca="false">IF(LEFT(Cockpit!$C$5,1)="A",G1433,IF(BW1433=1,BX1433,IF(LEFT(Cockpit!$C$5,1)="B",AH1433,MAX(AH1433,G1433))))</f>
        <v>0</v>
      </c>
      <c r="AE1433" s="57" t="n">
        <f aca="false">IF(BR1433=1,0,ROUNDUP(AD1433/BQ1433,0))</f>
        <v>0</v>
      </c>
      <c r="AF1433" s="59" t="n">
        <f aca="false">IF(CD1433&gt;0,CD1433*MAX(1,AD1433/V1433),IF(BR1433=1,IF(AD1433&lt;=0,0,BS1433*MAX(1,IF(G1433&gt;0,AD1433/G1433,1))),IF(Q1433&gt;0,AE1433/Q1433,0))/MAX(0.1,N(Parameter!$M$21)))</f>
        <v>0</v>
      </c>
      <c r="AG1433" s="57" t="n">
        <f aca="false">AD1433*F1433</f>
        <v>0</v>
      </c>
      <c r="AH1433" s="57" t="n">
        <f aca="false">ROUNDUP(MAX(I1433/IF(BV1433&gt;0,BV1433,MAX(0.1,N(Cockpit!$C$6))),BY1433)/BQ1433,0)*BQ1433</f>
        <v>1</v>
      </c>
      <c r="AI1433" s="58" t="n">
        <f aca="false">IF(AF1433&gt;0,I1433/AF1433,-1)</f>
        <v>-1</v>
      </c>
      <c r="AJ1433" s="58" t="str">
        <f aca="false">IF(AND(OR(BU1433="L1",BU1433="L23"),AF1433&gt;0),SUMIFS($AF$7:$AF$1576,$BU$7:$BU$1576,BU1433,$AI$7:$AI$1576,"&gt;"&amp;AI1433)+SUMIFS($AF$7:$AF$1576,$BU$7:$BU$1576,BU1433,$AI$7:$AI$1576,AI1433,$BO$7:$BO$1576,"&lt;="&amp;BO1433),"")</f>
        <v/>
      </c>
      <c r="AK1433" s="65" t="n">
        <f aca="false">IF(AJ1433="",0,MAX(0,MIN(1,(IF(BU1433="L1",Parameter!$E$5,Parameter!$E$6+Parameter!$E$7)-(AJ1433-AF1433))/AF1433)))</f>
        <v>0</v>
      </c>
      <c r="AL1433" s="57" t="n">
        <f aca="false">IF(LEFT(Cockpit!$I$5,1)="A",G1433,IF(BW1433=1,BX1433,IF(LEFT(Cockpit!$I$5,1)="B",AP1433,MAX(AP1433,G1433))))</f>
        <v>1</v>
      </c>
      <c r="AM1433" s="57" t="n">
        <f aca="false">IF(BR1433=1,0,ROUNDUP(AL1433/BQ1433,0))</f>
        <v>0</v>
      </c>
      <c r="AN1433" s="59" t="n">
        <f aca="false">IF(CD1433&gt;0,CD1433*MAX(1,AL1433/V1433),IF(BR1433=1,IF(AL1433&lt;=0,0,BS1433*MAX(1,IF(G1433&gt;0,AL1433/G1433,1))),IF(Q1433&gt;0,AM1433/Q1433,0))/MAX(0.1,N(Parameter!$M$21)))</f>
        <v>0.15</v>
      </c>
      <c r="AO1433" s="57" t="n">
        <f aca="false">AL1433*F1433</f>
        <v>3532.08</v>
      </c>
      <c r="AP1433" s="57" t="n">
        <f aca="false">ROUNDUP(MAX(I1433/IF(BV1433&gt;0,BV1433,MAX(0.1,N(Cockpit!$I$6))),BY1433)/BQ1433,0)*BQ1433</f>
        <v>1</v>
      </c>
      <c r="AQ1433" s="58" t="n">
        <f aca="false">IF(AN1433&gt;0,I1433/AN1433,-1)</f>
        <v>0</v>
      </c>
      <c r="AR1433" s="58" t="str">
        <f aca="false">IF(AND(OR(BU1433="L1",BU1433="L23"),AN1433&gt;0),SUMIFS($AN$7:$AN$1576,$BU$7:$BU$1576,BU1433,$AQ$7:$AQ$1576,"&gt;"&amp;AQ1433)+SUMIFS($AN$7:$AN$1576,$BU$7:$BU$1576,BU1433,$AQ$7:$AQ$1576,AQ1433,$BO$7:$BO$1576,"&lt;="&amp;BO1433),"")</f>
        <v/>
      </c>
      <c r="AS1433" s="65" t="n">
        <f aca="false">IF(AR1433="",0,MAX(0,MIN(1,(IF(BU1433="L1",Parameter!$E$5,Parameter!$E$6+Parameter!$E$7)-(AR1433-AN1433))/AN1433)))</f>
        <v>0</v>
      </c>
      <c r="AT1433" s="57" t="n">
        <f aca="false">IF(LEFT(Cockpit!$O$5,1)="A",G1433,IF(BW1433=1,BX1433,IF(LEFT(Cockpit!$O$5,1)="B",AX1433,MAX(AX1433,G1433))))</f>
        <v>1</v>
      </c>
      <c r="AU1433" s="57" t="n">
        <f aca="false">IF(BR1433=1,0,ROUNDUP(AT1433/BQ1433,0))</f>
        <v>0</v>
      </c>
      <c r="AV1433" s="59" t="n">
        <f aca="false">IF(CD1433&gt;0,CD1433*MAX(1,AT1433/V1433),IF(BR1433=1,IF(AT1433&lt;=0,0,BS1433*MAX(1,IF(G1433&gt;0,AT1433/G1433,1))),IF(Q1433&gt;0,AU1433/Q1433,0))/MAX(0.1,N(Parameter!$M$21)))</f>
        <v>0.15</v>
      </c>
      <c r="AW1433" s="57" t="n">
        <f aca="false">AT1433*F1433</f>
        <v>3532.08</v>
      </c>
      <c r="AX1433" s="57" t="n">
        <f aca="false">ROUNDUP(MAX(I1433/IF(BV1433&gt;0,BV1433,MAX(0.1,N(Cockpit!$O$6))),BY1433)/BQ1433,0)*BQ1433</f>
        <v>1</v>
      </c>
      <c r="AY1433" s="58" t="n">
        <f aca="false">IF(AV1433&gt;0,I1433/AV1433,-1)</f>
        <v>0</v>
      </c>
      <c r="AZ1433" s="58" t="str">
        <f aca="false">IF(AND(OR(BU1433="L1",BU1433="L23"),AV1433&gt;0),SUMIFS($AV$7:$AV$1576,$BU$7:$BU$1576,BU1433,$AY$7:$AY$1576,"&gt;"&amp;AY1433)+SUMIFS($AV$7:$AV$1576,$BU$7:$BU$1576,BU1433,$AY$7:$AY$1576,AY1433,$BO$7:$BO$1576,"&lt;="&amp;BO1433),"")</f>
        <v/>
      </c>
      <c r="BA1433" s="65" t="n">
        <f aca="false">IF(AZ1433="",0,MAX(0,MIN(1,(IF(BU1433="L1",Parameter!$E$5,Parameter!$E$6+Parameter!$E$7)-(AZ1433-AV1433))/AV1433)))</f>
        <v>0</v>
      </c>
      <c r="BB1433" s="55" t="str">
        <f aca="false">IF(AF1433&lt;=0,"",IF(BU1433="Aussen","Aussenlager",IF(BU1433="-","Nicht im Lift",IF(AK1433&gt;=1,"Lift",IF(AK1433&lt;=0,"Aussenlager","teilweise")))))</f>
        <v/>
      </c>
      <c r="BC1433" s="55" t="str">
        <f aca="false">IF(AN1433&lt;=0,"",IF(BU1433="Aussen","Aussenlager",IF(BU1433="-","Nicht im Lift",IF(AS1433&gt;=1,"Lift",IF(AS1433&lt;=0,"Aussenlager","teilweise")))))</f>
        <v>Nicht im Lift</v>
      </c>
      <c r="BD1433" s="55" t="str">
        <f aca="false">IF(AV1433&lt;=0,"",IF(BU1433="Aussen","Aussenlager",IF(BU1433="-","Nicht im Lift",IF(BA1433&gt;=1,"Lift",IF(BA1433&lt;=0,"Aussenlager","teilweise")))))</f>
        <v>Nicht im Lift</v>
      </c>
      <c r="BE1433" s="55" t="str">
        <f aca="false">IF(A1433="","",IF(BN1433=1,"Neu; ","")&amp;IF(AND(BN1433=0,BI1433&lt;0),"negativer Bestand (Export "&amp;BI1433&amp;"); ","")&amp;IF(I1433&lt;=0,"Kein Verbrauch; ","")&amp;IF(CD1433&gt;0,"Lift "&amp;U1433&amp;" lt. Liftbericht (Fach "&amp;V1433&amp;" Stk); ",IF(BR1433=1,"Lose – Fläche geschätzt; ",""))&amp;IF(G1433&gt;AP1433,"Überbestand "&amp;ROUND(G1433-AP1433,0)&amp;" Stk / CHF "&amp;ROUND((G1433-AP1433)*F1433,0)&amp;"; ","")&amp;IF(AND(BW1433=1,BX1433&lt;BY1433),"MAX &lt; MB+LG; ","")&amp;IF(AND(CC1433&gt;0,CB1433*10&gt;CC1433),"zu hoch für Tablar; ","")&amp;IF(AND(BN1433=0,OR(BW1433=1,Y1433&lt;&gt;"",S1433&lt;&gt;"",T1433&lt;&gt;"",Z1433&lt;&gt;"")),"manuell übersteuert; ","")&amp;IF(AND(BR1433=0,Q1433=0),"Gebinde unbekannt / Stellmass fehlt; ","")&amp;IF(AND(BR1433=0,N(T1433)&lt;=0,N(P1433)&lt;=0),"Menge pro Gebinde fehlt (Ist = 1 Gebinde); ","")&amp;BM1433)</f>
        <v>negativer Bestand (Export -2); Kein Verbrauch; Lose – Fläche geschätzt; </v>
      </c>
      <c r="BF1433" s="55"/>
      <c r="BG1433" s="55"/>
      <c r="BH1433" s="62"/>
      <c r="BI1433" s="57" t="n">
        <v>-2</v>
      </c>
      <c r="BJ1433" s="57" t="n">
        <v>2</v>
      </c>
      <c r="BK1433" s="56" t="n">
        <v>-7064.16</v>
      </c>
      <c r="BL1433" s="57" t="n">
        <v>0</v>
      </c>
      <c r="BM1433" s="55"/>
      <c r="BN1433" s="60" t="n">
        <v>0</v>
      </c>
      <c r="BO1433" s="60" t="n">
        <v>1433</v>
      </c>
      <c r="BP1433" s="55" t="str">
        <f aca="false">IF(S1433&lt;&gt;"",UPPER(TRIM(S1433)),IF(O1433="","LOSE",O1433))</f>
        <v>LOSE</v>
      </c>
      <c r="BQ1433" s="57" t="n">
        <f aca="false">IF(BP1433="LOSE",1,IF(N(T1433)&gt;0,T1433,IF(N(P1433)&gt;0,P1433,MAX(1,G1433))))</f>
        <v>1</v>
      </c>
      <c r="BR1433" s="60" t="n">
        <f aca="false">IF(BP1433="LOSE",1,0)</f>
        <v>1</v>
      </c>
      <c r="BS1433" s="59" t="n">
        <f aca="false">IF(BR1433=0,0,IF(N(R1433)&gt;0,R1433,IFERROR(VLOOKUP(D1433,Parameter!$A$35:$C$64,3,0)+0,0)))</f>
        <v>0.15</v>
      </c>
      <c r="BT1433" s="55" t="str">
        <f aca="false">IF(Y1433&lt;&gt;"",Y1433,X1433)</f>
        <v>-</v>
      </c>
      <c r="BU1433" s="55" t="str">
        <f aca="false">IF(BT1433=1,"L1",IF(OR(BT1433=2,BT1433=3),"L23",IF(BT1433="Aussen","Aussen","-")))</f>
        <v>-</v>
      </c>
      <c r="BV1433" s="66" t="n">
        <f aca="false">IF(N(Z1433)&gt;0,Z1433,0)</f>
        <v>0</v>
      </c>
      <c r="BW1433" s="60" t="n">
        <f aca="false">IF(ISNUMBER(AC1433),1,0)</f>
        <v>0</v>
      </c>
      <c r="BX1433" s="57" t="n">
        <f aca="false">N(AC1433)</f>
        <v>0</v>
      </c>
      <c r="BY1433" s="57" t="n">
        <f aca="false">N(L1433)+N(M1433)</f>
        <v>1</v>
      </c>
      <c r="BZ1433" s="57" t="n">
        <f aca="false">ROUNDUP(G1433/BQ1433,0)</f>
        <v>0</v>
      </c>
      <c r="CA1433" s="57" t="n">
        <f aca="false">ROUNDUP(BX1433/BQ1433,0)</f>
        <v>0</v>
      </c>
      <c r="CB1433" s="60" t="n">
        <f aca="false">IF(BR1433=1,0,IFERROR(VLOOKUP(BP1433,'Gebinde-Kategorie'!$A$5:$M$45,5,0)+0,0))</f>
        <v>0</v>
      </c>
      <c r="CC1433" s="60" t="n">
        <f aca="false">IFERROR(IF(OR(BT1433=1,BT1433=2,BT1433=3),N(INDEX(Parameter!$I$5:$I$7,BT1433)),0),0)</f>
        <v>0</v>
      </c>
      <c r="CD1433" s="59" t="n">
        <f aca="false">IF(AND(Parameter!$B$21="Ja",ISNUMBER(U1433),N(V1433)&gt;0),IFERROR(N(INDEX(Parameter!$L$5:$L$7,U1433))*INDEX(Parameter!$E$5:$E$7,U1433)*V1433/SUMIFS($V$7:$V$1576,$U$7:$U$1576,U1433),0),0)</f>
        <v>0</v>
      </c>
    </row>
    <row r="1434" customFormat="false" ht="15" hidden="false" customHeight="false" outlineLevel="0" collapsed="false">
      <c r="A1434" s="55" t="s">
        <v>2497</v>
      </c>
      <c r="B1434" s="55" t="s">
        <v>2137</v>
      </c>
      <c r="C1434" s="55" t="s">
        <v>446</v>
      </c>
      <c r="D1434" s="55" t="s">
        <v>168</v>
      </c>
      <c r="E1434" s="55" t="s">
        <v>210</v>
      </c>
      <c r="F1434" s="56" t="n">
        <v>358.12</v>
      </c>
      <c r="G1434" s="57" t="n">
        <f aca="false">MAX(0,IF(AND(Parameter!$B$21="Ja",ISNUMBER(W1434)),W1434,IF(Parameter!$B$20="Jahresanfang 2025 + Export",BJ1434+BI1434,BI1434)))</f>
        <v>0</v>
      </c>
      <c r="H1434" s="57" t="n">
        <f aca="false">G1434*F1434</f>
        <v>0</v>
      </c>
      <c r="I1434" s="57" t="n">
        <f aca="false">BL1434*Parameter!$B$18</f>
        <v>0</v>
      </c>
      <c r="J1434" s="58" t="n">
        <v>20</v>
      </c>
      <c r="K1434" s="59" t="n">
        <v>0</v>
      </c>
      <c r="L1434" s="57" t="n">
        <v>0</v>
      </c>
      <c r="M1434" s="57" t="n">
        <v>1</v>
      </c>
      <c r="N1434" s="60" t="n">
        <v>77</v>
      </c>
      <c r="O1434" s="55" t="s">
        <v>163</v>
      </c>
      <c r="P1434" s="57"/>
      <c r="Q1434" s="60" t="n">
        <f aca="false">IF(BR1434=1,0,IFERROR(VLOOKUP(BP1434,'Gebinde-Kategorie'!$A$5:$M$45,13,0)+0,0))</f>
        <v>0</v>
      </c>
      <c r="R1434" s="61"/>
      <c r="S1434" s="62"/>
      <c r="T1434" s="62"/>
      <c r="U1434" s="55"/>
      <c r="V1434" s="57"/>
      <c r="W1434" s="57"/>
      <c r="X1434" s="55" t="n">
        <f aca="false">IF(A1434="","",IF(AND(Parameter!$B$21="Ja",ISNUMBER(U1434)),U1434,IF(IFERROR(VLOOKUP(D1434,Parameter!$A$35:$C$64,2,0),"Nein")="2+3",IF(ISNUMBER(SEARCH("grosser Artikel",BM1434)),2,IFERROR(VLOOKUP(BP1434,Parameter!$F$35:$G$64,2,0),2)),IF(OR(IFERROR(VLOOKUP(D1434,Parameter!$A$35:$C$64,2,0),"Nein")="Nein",IFERROR(VLOOKUP(D1434,Parameter!$A$35:$C$64,2,0),"Nein")=""),"-",VLOOKUP(D1434,Parameter!$A$35:$C$64,2,0)))))</f>
        <v>2</v>
      </c>
      <c r="Y1434" s="62"/>
      <c r="Z1434" s="63"/>
      <c r="AA1434" s="57" t="n">
        <f aca="false">AP1434</f>
        <v>1</v>
      </c>
      <c r="AB1434" s="57" t="n">
        <f aca="false">MAX(AP1434,G1434)</f>
        <v>1</v>
      </c>
      <c r="AC1434" s="64"/>
      <c r="AD1434" s="57" t="n">
        <f aca="false">IF(LEFT(Cockpit!$C$5,1)="A",G1434,IF(BW1434=1,BX1434,IF(LEFT(Cockpit!$C$5,1)="B",AH1434,MAX(AH1434,G1434))))</f>
        <v>0</v>
      </c>
      <c r="AE1434" s="57" t="n">
        <f aca="false">IF(BR1434=1,0,ROUNDUP(AD1434/BQ1434,0))</f>
        <v>0</v>
      </c>
      <c r="AF1434" s="59" t="n">
        <f aca="false">IF(CD1434&gt;0,CD1434*MAX(1,AD1434/V1434),IF(BR1434=1,IF(AD1434&lt;=0,0,BS1434*MAX(1,IF(G1434&gt;0,AD1434/G1434,1))),IF(Q1434&gt;0,AE1434/Q1434,0))/MAX(0.1,N(Parameter!$M$21)))</f>
        <v>0</v>
      </c>
      <c r="AG1434" s="57" t="n">
        <f aca="false">AD1434*F1434</f>
        <v>0</v>
      </c>
      <c r="AH1434" s="57" t="n">
        <f aca="false">ROUNDUP(MAX(I1434/IF(BV1434&gt;0,BV1434,MAX(0.1,N(Cockpit!$C$6))),BY1434)/BQ1434,0)*BQ1434</f>
        <v>1</v>
      </c>
      <c r="AI1434" s="58" t="n">
        <f aca="false">IF(AF1434&gt;0,I1434/AF1434,-1)</f>
        <v>-1</v>
      </c>
      <c r="AJ1434" s="58" t="str">
        <f aca="false">IF(AND(OR(BU1434="L1",BU1434="L23"),AF1434&gt;0),SUMIFS($AF$7:$AF$1576,$BU$7:$BU$1576,BU1434,$AI$7:$AI$1576,"&gt;"&amp;AI1434)+SUMIFS($AF$7:$AF$1576,$BU$7:$BU$1576,BU1434,$AI$7:$AI$1576,AI1434,$BO$7:$BO$1576,"&lt;="&amp;BO1434),"")</f>
        <v/>
      </c>
      <c r="AK1434" s="65" t="n">
        <f aca="false">IF(AJ1434="",0,MAX(0,MIN(1,(IF(BU1434="L1",Parameter!$E$5,Parameter!$E$6+Parameter!$E$7)-(AJ1434-AF1434))/AF1434)))</f>
        <v>0</v>
      </c>
      <c r="AL1434" s="57" t="n">
        <f aca="false">IF(LEFT(Cockpit!$I$5,1)="A",G1434,IF(BW1434=1,BX1434,IF(LEFT(Cockpit!$I$5,1)="B",AP1434,MAX(AP1434,G1434))))</f>
        <v>1</v>
      </c>
      <c r="AM1434" s="57" t="n">
        <f aca="false">IF(BR1434=1,0,ROUNDUP(AL1434/BQ1434,0))</f>
        <v>0</v>
      </c>
      <c r="AN1434" s="59" t="n">
        <f aca="false">IF(CD1434&gt;0,CD1434*MAX(1,AL1434/V1434),IF(BR1434=1,IF(AL1434&lt;=0,0,BS1434*MAX(1,IF(G1434&gt;0,AL1434/G1434,1))),IF(Q1434&gt;0,AM1434/Q1434,0))/MAX(0.1,N(Parameter!$M$21)))</f>
        <v>0.15</v>
      </c>
      <c r="AO1434" s="57" t="n">
        <f aca="false">AL1434*F1434</f>
        <v>358.12</v>
      </c>
      <c r="AP1434" s="57" t="n">
        <f aca="false">ROUNDUP(MAX(I1434/IF(BV1434&gt;0,BV1434,MAX(0.1,N(Cockpit!$I$6))),BY1434)/BQ1434,0)*BQ1434</f>
        <v>1</v>
      </c>
      <c r="AQ1434" s="58" t="n">
        <f aca="false">IF(AN1434&gt;0,I1434/AN1434,-1)</f>
        <v>0</v>
      </c>
      <c r="AR1434" s="58" t="n">
        <f aca="false">IF(AND(OR(BU1434="L1",BU1434="L23"),AN1434&gt;0),SUMIFS($AN$7:$AN$1576,$BU$7:$BU$1576,BU1434,$AQ$7:$AQ$1576,"&gt;"&amp;AQ1434)+SUMIFS($AN$7:$AN$1576,$BU$7:$BU$1576,BU1434,$AQ$7:$AQ$1576,AQ1434,$BO$7:$BO$1576,"&lt;="&amp;BO1434),"")</f>
        <v>139.316896798901</v>
      </c>
      <c r="AS1434" s="65" t="n">
        <f aca="false">IF(AR1434="",0,MAX(0,MIN(1,(IF(BU1434="L1",Parameter!$E$5,Parameter!$E$6+Parameter!$E$7)-(AR1434-AN1434))/AN1434)))</f>
        <v>0</v>
      </c>
      <c r="AT1434" s="57" t="n">
        <f aca="false">IF(LEFT(Cockpit!$O$5,1)="A",G1434,IF(BW1434=1,BX1434,IF(LEFT(Cockpit!$O$5,1)="B",AX1434,MAX(AX1434,G1434))))</f>
        <v>1</v>
      </c>
      <c r="AU1434" s="57" t="n">
        <f aca="false">IF(BR1434=1,0,ROUNDUP(AT1434/BQ1434,0))</f>
        <v>0</v>
      </c>
      <c r="AV1434" s="59" t="n">
        <f aca="false">IF(CD1434&gt;0,CD1434*MAX(1,AT1434/V1434),IF(BR1434=1,IF(AT1434&lt;=0,0,BS1434*MAX(1,IF(G1434&gt;0,AT1434/G1434,1))),IF(Q1434&gt;0,AU1434/Q1434,0))/MAX(0.1,N(Parameter!$M$21)))</f>
        <v>0.15</v>
      </c>
      <c r="AW1434" s="57" t="n">
        <f aca="false">AT1434*F1434</f>
        <v>358.12</v>
      </c>
      <c r="AX1434" s="57" t="n">
        <f aca="false">ROUNDUP(MAX(I1434/IF(BV1434&gt;0,BV1434,MAX(0.1,N(Cockpit!$O$6))),BY1434)/BQ1434,0)*BQ1434</f>
        <v>1</v>
      </c>
      <c r="AY1434" s="58" t="n">
        <f aca="false">IF(AV1434&gt;0,I1434/AV1434,-1)</f>
        <v>0</v>
      </c>
      <c r="AZ1434" s="58" t="n">
        <f aca="false">IF(AND(OR(BU1434="L1",BU1434="L23"),AV1434&gt;0),SUMIFS($AV$7:$AV$1576,$BU$7:$BU$1576,BU1434,$AY$7:$AY$1576,"&gt;"&amp;AY1434)+SUMIFS($AV$7:$AV$1576,$BU$7:$BU$1576,BU1434,$AY$7:$AY$1576,AY1434,$BO$7:$BO$1576,"&lt;="&amp;BO1434),"")</f>
        <v>129.376447248451</v>
      </c>
      <c r="BA1434" s="65" t="n">
        <f aca="false">IF(AZ1434="",0,MAX(0,MIN(1,(IF(BU1434="L1",Parameter!$E$5,Parameter!$E$6+Parameter!$E$7)-(AZ1434-AV1434))/AV1434)))</f>
        <v>0</v>
      </c>
      <c r="BB1434" s="55" t="str">
        <f aca="false">IF(AF1434&lt;=0,"",IF(BU1434="Aussen","Aussenlager",IF(BU1434="-","Nicht im Lift",IF(AK1434&gt;=1,"Lift",IF(AK1434&lt;=0,"Aussenlager","teilweise")))))</f>
        <v/>
      </c>
      <c r="BC1434" s="55" t="str">
        <f aca="false">IF(AN1434&lt;=0,"",IF(BU1434="Aussen","Aussenlager",IF(BU1434="-","Nicht im Lift",IF(AS1434&gt;=1,"Lift",IF(AS1434&lt;=0,"Aussenlager","teilweise")))))</f>
        <v>Aussenlager</v>
      </c>
      <c r="BD1434" s="55" t="str">
        <f aca="false">IF(AV1434&lt;=0,"",IF(BU1434="Aussen","Aussenlager",IF(BU1434="-","Nicht im Lift",IF(BA1434&gt;=1,"Lift",IF(BA1434&lt;=0,"Aussenlager","teilweise")))))</f>
        <v>Aussenlager</v>
      </c>
      <c r="BE1434" s="55" t="str">
        <f aca="false">IF(A1434="","",IF(BN1434=1,"Neu; ","")&amp;IF(AND(BN1434=0,BI1434&lt;0),"negativer Bestand (Export "&amp;BI1434&amp;"); ","")&amp;IF(I1434&lt;=0,"Kein Verbrauch; ","")&amp;IF(CD1434&gt;0,"Lift "&amp;U1434&amp;" lt. Liftbericht (Fach "&amp;V1434&amp;" Stk); ",IF(BR1434=1,"Lose – Fläche geschätzt; ",""))&amp;IF(G1434&gt;AP1434,"Überbestand "&amp;ROUND(G1434-AP1434,0)&amp;" Stk / CHF "&amp;ROUND((G1434-AP1434)*F1434,0)&amp;"; ","")&amp;IF(AND(BW1434=1,BX1434&lt;BY1434),"MAX &lt; MB+LG; ","")&amp;IF(AND(CC1434&gt;0,CB1434*10&gt;CC1434),"zu hoch für Tablar; ","")&amp;IF(AND(BN1434=0,OR(BW1434=1,Y1434&lt;&gt;"",S1434&lt;&gt;"",T1434&lt;&gt;"",Z1434&lt;&gt;"")),"manuell übersteuert; ","")&amp;IF(AND(BR1434=0,Q1434=0),"Gebinde unbekannt / Stellmass fehlt; ","")&amp;IF(AND(BR1434=0,N(T1434)&lt;=0,N(P1434)&lt;=0),"Menge pro Gebinde fehlt (Ist = 1 Gebinde); ","")&amp;BM1434)</f>
        <v>negativer Bestand (Export -20); Kein Verbrauch; Lose – Fläche geschätzt; </v>
      </c>
      <c r="BF1434" s="55"/>
      <c r="BG1434" s="55"/>
      <c r="BH1434" s="62"/>
      <c r="BI1434" s="57" t="n">
        <v>-20</v>
      </c>
      <c r="BJ1434" s="57" t="n">
        <v>20</v>
      </c>
      <c r="BK1434" s="56" t="n">
        <v>-7162.4</v>
      </c>
      <c r="BL1434" s="57" t="n">
        <v>0</v>
      </c>
      <c r="BM1434" s="55"/>
      <c r="BN1434" s="60" t="n">
        <v>0</v>
      </c>
      <c r="BO1434" s="60" t="n">
        <v>1434</v>
      </c>
      <c r="BP1434" s="55" t="str">
        <f aca="false">IF(S1434&lt;&gt;"",UPPER(TRIM(S1434)),IF(O1434="","LOSE",O1434))</f>
        <v>LOSE</v>
      </c>
      <c r="BQ1434" s="57" t="n">
        <f aca="false">IF(BP1434="LOSE",1,IF(N(T1434)&gt;0,T1434,IF(N(P1434)&gt;0,P1434,MAX(1,G1434))))</f>
        <v>1</v>
      </c>
      <c r="BR1434" s="60" t="n">
        <f aca="false">IF(BP1434="LOSE",1,0)</f>
        <v>1</v>
      </c>
      <c r="BS1434" s="59" t="n">
        <f aca="false">IF(BR1434=0,0,IF(N(R1434)&gt;0,R1434,IFERROR(VLOOKUP(D1434,Parameter!$A$35:$C$64,3,0)+0,0)))</f>
        <v>0.15</v>
      </c>
      <c r="BT1434" s="55" t="n">
        <f aca="false">IF(Y1434&lt;&gt;"",Y1434,X1434)</f>
        <v>2</v>
      </c>
      <c r="BU1434" s="55" t="str">
        <f aca="false">IF(BT1434=1,"L1",IF(OR(BT1434=2,BT1434=3),"L23",IF(BT1434="Aussen","Aussen","-")))</f>
        <v>L23</v>
      </c>
      <c r="BV1434" s="66" t="n">
        <f aca="false">IF(N(Z1434)&gt;0,Z1434,0)</f>
        <v>0</v>
      </c>
      <c r="BW1434" s="60" t="n">
        <f aca="false">IF(ISNUMBER(AC1434),1,0)</f>
        <v>0</v>
      </c>
      <c r="BX1434" s="57" t="n">
        <f aca="false">N(AC1434)</f>
        <v>0</v>
      </c>
      <c r="BY1434" s="57" t="n">
        <f aca="false">N(L1434)+N(M1434)</f>
        <v>1</v>
      </c>
      <c r="BZ1434" s="57" t="n">
        <f aca="false">ROUNDUP(G1434/BQ1434,0)</f>
        <v>0</v>
      </c>
      <c r="CA1434" s="57" t="n">
        <f aca="false">ROUNDUP(BX1434/BQ1434,0)</f>
        <v>0</v>
      </c>
      <c r="CB1434" s="60" t="n">
        <f aca="false">IF(BR1434=1,0,IFERROR(VLOOKUP(BP1434,'Gebinde-Kategorie'!$A$5:$M$45,5,0)+0,0))</f>
        <v>0</v>
      </c>
      <c r="CC1434" s="60" t="n">
        <f aca="false">IFERROR(IF(OR(BT1434=1,BT1434=2,BT1434=3),N(INDEX(Parameter!$I$5:$I$7,BT1434)),0),0)</f>
        <v>0</v>
      </c>
      <c r="CD1434" s="59" t="n">
        <f aca="false">IF(AND(Parameter!$B$21="Ja",ISNUMBER(U1434),N(V1434)&gt;0),IFERROR(N(INDEX(Parameter!$L$5:$L$7,U1434))*INDEX(Parameter!$E$5:$E$7,U1434)*V1434/SUMIFS($V$7:$V$1576,$U$7:$U$1576,U1434),0),0)</f>
        <v>0</v>
      </c>
    </row>
    <row r="1435" customFormat="false" ht="15" hidden="false" customHeight="false" outlineLevel="0" collapsed="false">
      <c r="A1435" s="55" t="s">
        <v>2498</v>
      </c>
      <c r="B1435" s="55" t="s">
        <v>2499</v>
      </c>
      <c r="C1435" s="55" t="s">
        <v>446</v>
      </c>
      <c r="D1435" s="55" t="s">
        <v>168</v>
      </c>
      <c r="E1435" s="55" t="s">
        <v>210</v>
      </c>
      <c r="F1435" s="56" t="n">
        <v>700.22</v>
      </c>
      <c r="G1435" s="57" t="n">
        <f aca="false">MAX(0,IF(AND(Parameter!$B$21="Ja",ISNUMBER(W1435)),W1435,IF(Parameter!$B$20="Jahresanfang 2025 + Export",BJ1435+BI1435,BI1435)))</f>
        <v>0</v>
      </c>
      <c r="H1435" s="57" t="n">
        <f aca="false">G1435*F1435</f>
        <v>0</v>
      </c>
      <c r="I1435" s="57" t="n">
        <f aca="false">BL1435*Parameter!$B$18</f>
        <v>21</v>
      </c>
      <c r="J1435" s="58" t="n">
        <v>12.5</v>
      </c>
      <c r="K1435" s="59" t="n">
        <v>1.68</v>
      </c>
      <c r="L1435" s="57" t="n">
        <v>0</v>
      </c>
      <c r="M1435" s="57" t="n">
        <v>10</v>
      </c>
      <c r="N1435" s="60" t="n">
        <v>63</v>
      </c>
      <c r="O1435" s="55" t="s">
        <v>163</v>
      </c>
      <c r="P1435" s="57"/>
      <c r="Q1435" s="60" t="n">
        <f aca="false">IF(BR1435=1,0,IFERROR(VLOOKUP(BP1435,'Gebinde-Kategorie'!$A$5:$M$45,13,0)+0,0))</f>
        <v>0</v>
      </c>
      <c r="R1435" s="61"/>
      <c r="S1435" s="62"/>
      <c r="T1435" s="62"/>
      <c r="U1435" s="55"/>
      <c r="V1435" s="57"/>
      <c r="W1435" s="57"/>
      <c r="X1435" s="55" t="n">
        <f aca="false">IF(A1435="","",IF(AND(Parameter!$B$21="Ja",ISNUMBER(U1435)),U1435,IF(IFERROR(VLOOKUP(D1435,Parameter!$A$35:$C$64,2,0),"Nein")="2+3",IF(ISNUMBER(SEARCH("grosser Artikel",BM1435)),2,IFERROR(VLOOKUP(BP1435,Parameter!$F$35:$G$64,2,0),2)),IF(OR(IFERROR(VLOOKUP(D1435,Parameter!$A$35:$C$64,2,0),"Nein")="Nein",IFERROR(VLOOKUP(D1435,Parameter!$A$35:$C$64,2,0),"Nein")=""),"-",VLOOKUP(D1435,Parameter!$A$35:$C$64,2,0)))))</f>
        <v>2</v>
      </c>
      <c r="Y1435" s="62"/>
      <c r="Z1435" s="63"/>
      <c r="AA1435" s="57" t="n">
        <f aca="false">AP1435</f>
        <v>11</v>
      </c>
      <c r="AB1435" s="57" t="n">
        <f aca="false">MAX(AP1435,G1435)</f>
        <v>11</v>
      </c>
      <c r="AC1435" s="64"/>
      <c r="AD1435" s="57" t="n">
        <f aca="false">IF(LEFT(Cockpit!$C$5,1)="A",G1435,IF(BW1435=1,BX1435,IF(LEFT(Cockpit!$C$5,1)="B",AH1435,MAX(AH1435,G1435))))</f>
        <v>0</v>
      </c>
      <c r="AE1435" s="57" t="n">
        <f aca="false">IF(BR1435=1,0,ROUNDUP(AD1435/BQ1435,0))</f>
        <v>0</v>
      </c>
      <c r="AF1435" s="59" t="n">
        <f aca="false">IF(CD1435&gt;0,CD1435*MAX(1,AD1435/V1435),IF(BR1435=1,IF(AD1435&lt;=0,0,BS1435*MAX(1,IF(G1435&gt;0,AD1435/G1435,1))),IF(Q1435&gt;0,AE1435/Q1435,0))/MAX(0.1,N(Parameter!$M$21)))</f>
        <v>0</v>
      </c>
      <c r="AG1435" s="57" t="n">
        <f aca="false">AD1435*F1435</f>
        <v>0</v>
      </c>
      <c r="AH1435" s="57" t="n">
        <f aca="false">ROUNDUP(MAX(I1435/IF(BV1435&gt;0,BV1435,MAX(0.1,N(Cockpit!$C$6))),BY1435)/BQ1435,0)*BQ1435</f>
        <v>11</v>
      </c>
      <c r="AI1435" s="58" t="n">
        <f aca="false">IF(AF1435&gt;0,I1435/AF1435,-1)</f>
        <v>-1</v>
      </c>
      <c r="AJ1435" s="58" t="str">
        <f aca="false">IF(AND(OR(BU1435="L1",BU1435="L23"),AF1435&gt;0),SUMIFS($AF$7:$AF$1576,$BU$7:$BU$1576,BU1435,$AI$7:$AI$1576,"&gt;"&amp;AI1435)+SUMIFS($AF$7:$AF$1576,$BU$7:$BU$1576,BU1435,$AI$7:$AI$1576,AI1435,$BO$7:$BO$1576,"&lt;="&amp;BO1435),"")</f>
        <v/>
      </c>
      <c r="AK1435" s="65" t="n">
        <f aca="false">IF(AJ1435="",0,MAX(0,MIN(1,(IF(BU1435="L1",Parameter!$E$5,Parameter!$E$6+Parameter!$E$7)-(AJ1435-AF1435))/AF1435)))</f>
        <v>0</v>
      </c>
      <c r="AL1435" s="57" t="n">
        <f aca="false">IF(LEFT(Cockpit!$I$5,1)="A",G1435,IF(BW1435=1,BX1435,IF(LEFT(Cockpit!$I$5,1)="B",AP1435,MAX(AP1435,G1435))))</f>
        <v>11</v>
      </c>
      <c r="AM1435" s="57" t="n">
        <f aca="false">IF(BR1435=1,0,ROUNDUP(AL1435/BQ1435,0))</f>
        <v>0</v>
      </c>
      <c r="AN1435" s="59" t="n">
        <f aca="false">IF(CD1435&gt;0,CD1435*MAX(1,AL1435/V1435),IF(BR1435=1,IF(AL1435&lt;=0,0,BS1435*MAX(1,IF(G1435&gt;0,AL1435/G1435,1))),IF(Q1435&gt;0,AM1435/Q1435,0))/MAX(0.1,N(Parameter!$M$21)))</f>
        <v>0.15</v>
      </c>
      <c r="AO1435" s="57" t="n">
        <f aca="false">AL1435*F1435</f>
        <v>7702.42</v>
      </c>
      <c r="AP1435" s="57" t="n">
        <f aca="false">ROUNDUP(MAX(I1435/IF(BV1435&gt;0,BV1435,MAX(0.1,N(Cockpit!$I$6))),BY1435)/BQ1435,0)*BQ1435</f>
        <v>11</v>
      </c>
      <c r="AQ1435" s="58" t="n">
        <f aca="false">IF(AN1435&gt;0,I1435/AN1435,-1)</f>
        <v>140</v>
      </c>
      <c r="AR1435" s="58" t="n">
        <f aca="false">IF(AND(OR(BU1435="L1",BU1435="L23"),AN1435&gt;0),SUMIFS($AN$7:$AN$1576,$BU$7:$BU$1576,BU1435,$AQ$7:$AQ$1576,"&gt;"&amp;AQ1435)+SUMIFS($AN$7:$AN$1576,$BU$7:$BU$1576,BU1435,$AQ$7:$AQ$1576,AQ1435,$BO$7:$BO$1576,"&lt;="&amp;BO1435),"")</f>
        <v>58.0796597246709</v>
      </c>
      <c r="AS1435" s="65" t="n">
        <f aca="false">IF(AR1435="",0,MAX(0,MIN(1,(IF(BU1435="L1",Parameter!$E$5,Parameter!$E$6+Parameter!$E$7)-(AR1435-AN1435))/AN1435)))</f>
        <v>1</v>
      </c>
      <c r="AT1435" s="57" t="n">
        <f aca="false">IF(LEFT(Cockpit!$O$5,1)="A",G1435,IF(BW1435=1,BX1435,IF(LEFT(Cockpit!$O$5,1)="B",AX1435,MAX(AX1435,G1435))))</f>
        <v>10</v>
      </c>
      <c r="AU1435" s="57" t="n">
        <f aca="false">IF(BR1435=1,0,ROUNDUP(AT1435/BQ1435,0))</f>
        <v>0</v>
      </c>
      <c r="AV1435" s="59" t="n">
        <f aca="false">IF(CD1435&gt;0,CD1435*MAX(1,AT1435/V1435),IF(BR1435=1,IF(AT1435&lt;=0,0,BS1435*MAX(1,IF(G1435&gt;0,AT1435/G1435,1))),IF(Q1435&gt;0,AU1435/Q1435,0))/MAX(0.1,N(Parameter!$M$21)))</f>
        <v>0.15</v>
      </c>
      <c r="AW1435" s="57" t="n">
        <f aca="false">AT1435*F1435</f>
        <v>7002.2</v>
      </c>
      <c r="AX1435" s="57" t="n">
        <f aca="false">ROUNDUP(MAX(I1435/IF(BV1435&gt;0,BV1435,MAX(0.1,N(Cockpit!$O$6))),BY1435)/BQ1435,0)*BQ1435</f>
        <v>10</v>
      </c>
      <c r="AY1435" s="58" t="n">
        <f aca="false">IF(AV1435&gt;0,I1435/AV1435,-1)</f>
        <v>140</v>
      </c>
      <c r="AZ1435" s="58" t="n">
        <f aca="false">IF(AND(OR(BU1435="L1",BU1435="L23"),AV1435&gt;0),SUMIFS($AV$7:$AV$1576,$BU$7:$BU$1576,BU1435,$AY$7:$AY$1576,"&gt;"&amp;AY1435)+SUMIFS($AV$7:$AV$1576,$BU$7:$BU$1576,BU1435,$AY$7:$AY$1576,AY1435,$BO$7:$BO$1576,"&lt;="&amp;BO1435),"")</f>
        <v>52.742126840888</v>
      </c>
      <c r="BA1435" s="65" t="n">
        <f aca="false">IF(AZ1435="",0,MAX(0,MIN(1,(IF(BU1435="L1",Parameter!$E$5,Parameter!$E$6+Parameter!$E$7)-(AZ1435-AV1435))/AV1435)))</f>
        <v>1</v>
      </c>
      <c r="BB1435" s="55" t="str">
        <f aca="false">IF(AF1435&lt;=0,"",IF(BU1435="Aussen","Aussenlager",IF(BU1435="-","Nicht im Lift",IF(AK1435&gt;=1,"Lift",IF(AK1435&lt;=0,"Aussenlager","teilweise")))))</f>
        <v/>
      </c>
      <c r="BC1435" s="55" t="str">
        <f aca="false">IF(AN1435&lt;=0,"",IF(BU1435="Aussen","Aussenlager",IF(BU1435="-","Nicht im Lift",IF(AS1435&gt;=1,"Lift",IF(AS1435&lt;=0,"Aussenlager","teilweise")))))</f>
        <v>Lift</v>
      </c>
      <c r="BD1435" s="55" t="str">
        <f aca="false">IF(AV1435&lt;=0,"",IF(BU1435="Aussen","Aussenlager",IF(BU1435="-","Nicht im Lift",IF(BA1435&gt;=1,"Lift",IF(BA1435&lt;=0,"Aussenlager","teilweise")))))</f>
        <v>Lift</v>
      </c>
      <c r="BE1435" s="55" t="str">
        <f aca="false">IF(A1435="","",IF(BN1435=1,"Neu; ","")&amp;IF(AND(BN1435=0,BI1435&lt;0),"negativer Bestand (Export "&amp;BI1435&amp;"); ","")&amp;IF(I1435&lt;=0,"Kein Verbrauch; ","")&amp;IF(CD1435&gt;0,"Lift "&amp;U1435&amp;" lt. Liftbericht (Fach "&amp;V1435&amp;" Stk); ",IF(BR1435=1,"Lose – Fläche geschätzt; ",""))&amp;IF(G1435&gt;AP1435,"Überbestand "&amp;ROUND(G1435-AP1435,0)&amp;" Stk / CHF "&amp;ROUND((G1435-AP1435)*F1435,0)&amp;"; ","")&amp;IF(AND(BW1435=1,BX1435&lt;BY1435),"MAX &lt; MB+LG; ","")&amp;IF(AND(CC1435&gt;0,CB1435*10&gt;CC1435),"zu hoch für Tablar; ","")&amp;IF(AND(BN1435=0,OR(BW1435=1,Y1435&lt;&gt;"",S1435&lt;&gt;"",T1435&lt;&gt;"",Z1435&lt;&gt;"")),"manuell übersteuert; ","")&amp;IF(AND(BR1435=0,Q1435=0),"Gebinde unbekannt / Stellmass fehlt; ","")&amp;IF(AND(BR1435=0,N(T1435)&lt;=0,N(P1435)&lt;=0),"Menge pro Gebinde fehlt (Ist = 1 Gebinde); ","")&amp;BM1435)</f>
        <v>negativer Bestand (Export -11); Lose – Fläche geschätzt; </v>
      </c>
      <c r="BF1435" s="55"/>
      <c r="BG1435" s="55"/>
      <c r="BH1435" s="62"/>
      <c r="BI1435" s="57" t="n">
        <v>-11</v>
      </c>
      <c r="BJ1435" s="57" t="n">
        <v>11</v>
      </c>
      <c r="BK1435" s="56" t="n">
        <v>-7934.19</v>
      </c>
      <c r="BL1435" s="57" t="n">
        <v>21</v>
      </c>
      <c r="BM1435" s="55"/>
      <c r="BN1435" s="60" t="n">
        <v>0</v>
      </c>
      <c r="BO1435" s="60" t="n">
        <v>1435</v>
      </c>
      <c r="BP1435" s="55" t="str">
        <f aca="false">IF(S1435&lt;&gt;"",UPPER(TRIM(S1435)),IF(O1435="","LOSE",O1435))</f>
        <v>LOSE</v>
      </c>
      <c r="BQ1435" s="57" t="n">
        <f aca="false">IF(BP1435="LOSE",1,IF(N(T1435)&gt;0,T1435,IF(N(P1435)&gt;0,P1435,MAX(1,G1435))))</f>
        <v>1</v>
      </c>
      <c r="BR1435" s="60" t="n">
        <f aca="false">IF(BP1435="LOSE",1,0)</f>
        <v>1</v>
      </c>
      <c r="BS1435" s="59" t="n">
        <f aca="false">IF(BR1435=0,0,IF(N(R1435)&gt;0,R1435,IFERROR(VLOOKUP(D1435,Parameter!$A$35:$C$64,3,0)+0,0)))</f>
        <v>0.15</v>
      </c>
      <c r="BT1435" s="55" t="n">
        <f aca="false">IF(Y1435&lt;&gt;"",Y1435,X1435)</f>
        <v>2</v>
      </c>
      <c r="BU1435" s="55" t="str">
        <f aca="false">IF(BT1435=1,"L1",IF(OR(BT1435=2,BT1435=3),"L23",IF(BT1435="Aussen","Aussen","-")))</f>
        <v>L23</v>
      </c>
      <c r="BV1435" s="66" t="n">
        <f aca="false">IF(N(Z1435)&gt;0,Z1435,0)</f>
        <v>0</v>
      </c>
      <c r="BW1435" s="60" t="n">
        <f aca="false">IF(ISNUMBER(AC1435),1,0)</f>
        <v>0</v>
      </c>
      <c r="BX1435" s="57" t="n">
        <f aca="false">N(AC1435)</f>
        <v>0</v>
      </c>
      <c r="BY1435" s="57" t="n">
        <f aca="false">N(L1435)+N(M1435)</f>
        <v>10</v>
      </c>
      <c r="BZ1435" s="57" t="n">
        <f aca="false">ROUNDUP(G1435/BQ1435,0)</f>
        <v>0</v>
      </c>
      <c r="CA1435" s="57" t="n">
        <f aca="false">ROUNDUP(BX1435/BQ1435,0)</f>
        <v>0</v>
      </c>
      <c r="CB1435" s="60" t="n">
        <f aca="false">IF(BR1435=1,0,IFERROR(VLOOKUP(BP1435,'Gebinde-Kategorie'!$A$5:$M$45,5,0)+0,0))</f>
        <v>0</v>
      </c>
      <c r="CC1435" s="60" t="n">
        <f aca="false">IFERROR(IF(OR(BT1435=1,BT1435=2,BT1435=3),N(INDEX(Parameter!$I$5:$I$7,BT1435)),0),0)</f>
        <v>0</v>
      </c>
      <c r="CD1435" s="59" t="n">
        <f aca="false">IF(AND(Parameter!$B$21="Ja",ISNUMBER(U1435),N(V1435)&gt;0),IFERROR(N(INDEX(Parameter!$L$5:$L$7,U1435))*INDEX(Parameter!$E$5:$E$7,U1435)*V1435/SUMIFS($V$7:$V$1576,$U$7:$U$1576,U1435),0),0)</f>
        <v>0</v>
      </c>
    </row>
    <row r="1436" customFormat="false" ht="15" hidden="false" customHeight="false" outlineLevel="0" collapsed="false">
      <c r="A1436" s="55" t="s">
        <v>2500</v>
      </c>
      <c r="B1436" s="55" t="s">
        <v>2501</v>
      </c>
      <c r="C1436" s="55" t="s">
        <v>160</v>
      </c>
      <c r="D1436" s="55" t="s">
        <v>168</v>
      </c>
      <c r="E1436" s="55" t="s">
        <v>210</v>
      </c>
      <c r="F1436" s="56" t="n">
        <v>338.86</v>
      </c>
      <c r="G1436" s="57" t="n">
        <f aca="false">MAX(0,IF(AND(Parameter!$B$21="Ja",ISNUMBER(W1436)),W1436,IF(Parameter!$B$20="Jahresanfang 2025 + Export",BJ1436+BI1436,BI1436)))</f>
        <v>0</v>
      </c>
      <c r="H1436" s="57" t="n">
        <f aca="false">G1436*F1436</f>
        <v>0</v>
      </c>
      <c r="I1436" s="57" t="n">
        <f aca="false">BL1436*Parameter!$B$18</f>
        <v>36</v>
      </c>
      <c r="J1436" s="58" t="n">
        <v>27</v>
      </c>
      <c r="K1436" s="59" t="n">
        <v>1.33333333333333</v>
      </c>
      <c r="L1436" s="57" t="n">
        <v>2</v>
      </c>
      <c r="M1436" s="57" t="n">
        <v>15</v>
      </c>
      <c r="N1436" s="60" t="n">
        <v>21</v>
      </c>
      <c r="O1436" s="55" t="s">
        <v>169</v>
      </c>
      <c r="P1436" s="57" t="n">
        <v>18</v>
      </c>
      <c r="Q1436" s="60" t="n">
        <f aca="false">IF(BR1436=1,0,IFERROR(VLOOKUP(BP1436,'Gebinde-Kategorie'!$A$5:$M$45,13,0)+0,0))</f>
        <v>6</v>
      </c>
      <c r="R1436" s="61"/>
      <c r="S1436" s="62"/>
      <c r="T1436" s="62"/>
      <c r="U1436" s="55"/>
      <c r="V1436" s="57"/>
      <c r="W1436" s="57"/>
      <c r="X1436" s="55" t="n">
        <f aca="false">IF(A1436="","",IF(AND(Parameter!$B$21="Ja",ISNUMBER(U1436)),U1436,IF(IFERROR(VLOOKUP(D1436,Parameter!$A$35:$C$64,2,0),"Nein")="2+3",IF(ISNUMBER(SEARCH("grosser Artikel",BM1436)),2,IFERROR(VLOOKUP(BP1436,Parameter!$F$35:$G$64,2,0),2)),IF(OR(IFERROR(VLOOKUP(D1436,Parameter!$A$35:$C$64,2,0),"Nein")="Nein",IFERROR(VLOOKUP(D1436,Parameter!$A$35:$C$64,2,0),"Nein")=""),"-",VLOOKUP(D1436,Parameter!$A$35:$C$64,2,0)))))</f>
        <v>2</v>
      </c>
      <c r="Y1436" s="62"/>
      <c r="Z1436" s="63"/>
      <c r="AA1436" s="57" t="n">
        <f aca="false">AP1436</f>
        <v>18</v>
      </c>
      <c r="AB1436" s="57" t="n">
        <f aca="false">MAX(AP1436,G1436)</f>
        <v>18</v>
      </c>
      <c r="AC1436" s="64"/>
      <c r="AD1436" s="57" t="n">
        <f aca="false">IF(LEFT(Cockpit!$C$5,1)="A",G1436,IF(BW1436=1,BX1436,IF(LEFT(Cockpit!$C$5,1)="B",AH1436,MAX(AH1436,G1436))))</f>
        <v>0</v>
      </c>
      <c r="AE1436" s="57" t="n">
        <f aca="false">IF(BR1436=1,0,ROUNDUP(AD1436/BQ1436,0))</f>
        <v>0</v>
      </c>
      <c r="AF1436" s="59" t="n">
        <f aca="false">IF(CD1436&gt;0,CD1436*MAX(1,AD1436/V1436),IF(BR1436=1,IF(AD1436&lt;=0,0,BS1436*MAX(1,IF(G1436&gt;0,AD1436/G1436,1))),IF(Q1436&gt;0,AE1436/Q1436,0))/MAX(0.1,N(Parameter!$M$21)))</f>
        <v>0</v>
      </c>
      <c r="AG1436" s="57" t="n">
        <f aca="false">AD1436*F1436</f>
        <v>0</v>
      </c>
      <c r="AH1436" s="57" t="n">
        <f aca="false">ROUNDUP(MAX(I1436/IF(BV1436&gt;0,BV1436,MAX(0.1,N(Cockpit!$C$6))),BY1436)/BQ1436,0)*BQ1436</f>
        <v>18</v>
      </c>
      <c r="AI1436" s="58" t="n">
        <f aca="false">IF(AF1436&gt;0,I1436/AF1436,-1)</f>
        <v>-1</v>
      </c>
      <c r="AJ1436" s="58" t="str">
        <f aca="false">IF(AND(OR(BU1436="L1",BU1436="L23"),AF1436&gt;0),SUMIFS($AF$7:$AF$1576,$BU$7:$BU$1576,BU1436,$AI$7:$AI$1576,"&gt;"&amp;AI1436)+SUMIFS($AF$7:$AF$1576,$BU$7:$BU$1576,BU1436,$AI$7:$AI$1576,AI1436,$BO$7:$BO$1576,"&lt;="&amp;BO1436),"")</f>
        <v/>
      </c>
      <c r="AK1436" s="65" t="n">
        <f aca="false">IF(AJ1436="",0,MAX(0,MIN(1,(IF(BU1436="L1",Parameter!$E$5,Parameter!$E$6+Parameter!$E$7)-(AJ1436-AF1436))/AF1436)))</f>
        <v>0</v>
      </c>
      <c r="AL1436" s="57" t="n">
        <f aca="false">IF(LEFT(Cockpit!$I$5,1)="A",G1436,IF(BW1436=1,BX1436,IF(LEFT(Cockpit!$I$5,1)="B",AP1436,MAX(AP1436,G1436))))</f>
        <v>18</v>
      </c>
      <c r="AM1436" s="57" t="n">
        <f aca="false">IF(BR1436=1,0,ROUNDUP(AL1436/BQ1436,0))</f>
        <v>1</v>
      </c>
      <c r="AN1436" s="59" t="n">
        <f aca="false">IF(CD1436&gt;0,CD1436*MAX(1,AL1436/V1436),IF(BR1436=1,IF(AL1436&lt;=0,0,BS1436*MAX(1,IF(G1436&gt;0,AL1436/G1436,1))),IF(Q1436&gt;0,AM1436/Q1436,0))/MAX(0.1,N(Parameter!$M$21)))</f>
        <v>0.166666666666667</v>
      </c>
      <c r="AO1436" s="57" t="n">
        <f aca="false">AL1436*F1436</f>
        <v>6099.48</v>
      </c>
      <c r="AP1436" s="57" t="n">
        <f aca="false">ROUNDUP(MAX(I1436/IF(BV1436&gt;0,BV1436,MAX(0.1,N(Cockpit!$I$6))),BY1436)/BQ1436,0)*BQ1436</f>
        <v>18</v>
      </c>
      <c r="AQ1436" s="58" t="n">
        <f aca="false">IF(AN1436&gt;0,I1436/AN1436,-1)</f>
        <v>216</v>
      </c>
      <c r="AR1436" s="58" t="n">
        <f aca="false">IF(AND(OR(BU1436="L1",BU1436="L23"),AN1436&gt;0),SUMIFS($AN$7:$AN$1576,$BU$7:$BU$1576,BU1436,$AQ$7:$AQ$1576,"&gt;"&amp;AQ1436)+SUMIFS($AN$7:$AN$1576,$BU$7:$BU$1576,BU1436,$AQ$7:$AQ$1576,AQ1436,$BO$7:$BO$1576,"&lt;="&amp;BO1436),"")</f>
        <v>48.2647915976288</v>
      </c>
      <c r="AS1436" s="65" t="n">
        <f aca="false">IF(AR1436="",0,MAX(0,MIN(1,(IF(BU1436="L1",Parameter!$E$5,Parameter!$E$6+Parameter!$E$7)-(AR1436-AN1436))/AN1436)))</f>
        <v>1</v>
      </c>
      <c r="AT1436" s="57" t="n">
        <f aca="false">IF(LEFT(Cockpit!$O$5,1)="A",G1436,IF(BW1436=1,BX1436,IF(LEFT(Cockpit!$O$5,1)="B",AX1436,MAX(AX1436,G1436))))</f>
        <v>18</v>
      </c>
      <c r="AU1436" s="57" t="n">
        <f aca="false">IF(BR1436=1,0,ROUNDUP(AT1436/BQ1436,0))</f>
        <v>1</v>
      </c>
      <c r="AV1436" s="59" t="n">
        <f aca="false">IF(CD1436&gt;0,CD1436*MAX(1,AT1436/V1436),IF(BR1436=1,IF(AT1436&lt;=0,0,BS1436*MAX(1,IF(G1436&gt;0,AT1436/G1436,1))),IF(Q1436&gt;0,AU1436/Q1436,0))/MAX(0.1,N(Parameter!$M$21)))</f>
        <v>0.166666666666667</v>
      </c>
      <c r="AW1436" s="57" t="n">
        <f aca="false">AT1436*F1436</f>
        <v>6099.48</v>
      </c>
      <c r="AX1436" s="57" t="n">
        <f aca="false">ROUNDUP(MAX(I1436/IF(BV1436&gt;0,BV1436,MAX(0.1,N(Cockpit!$O$6))),BY1436)/BQ1436,0)*BQ1436</f>
        <v>18</v>
      </c>
      <c r="AY1436" s="58" t="n">
        <f aca="false">IF(AV1436&gt;0,I1436/AV1436,-1)</f>
        <v>216</v>
      </c>
      <c r="AZ1436" s="58" t="n">
        <f aca="false">IF(AND(OR(BU1436="L1",BU1436="L23"),AV1436&gt;0),SUMIFS($AV$7:$AV$1576,$BU$7:$BU$1576,BU1436,$AY$7:$AY$1576,"&gt;"&amp;AY1436)+SUMIFS($AV$7:$AV$1576,$BU$7:$BU$1576,BU1436,$AY$7:$AY$1576,AY1436,$BO$7:$BO$1576,"&lt;="&amp;BO1436),"")</f>
        <v>45.5443853372226</v>
      </c>
      <c r="BA1436" s="65" t="n">
        <f aca="false">IF(AZ1436="",0,MAX(0,MIN(1,(IF(BU1436="L1",Parameter!$E$5,Parameter!$E$6+Parameter!$E$7)-(AZ1436-AV1436))/AV1436)))</f>
        <v>1</v>
      </c>
      <c r="BB1436" s="55" t="str">
        <f aca="false">IF(AF1436&lt;=0,"",IF(BU1436="Aussen","Aussenlager",IF(BU1436="-","Nicht im Lift",IF(AK1436&gt;=1,"Lift",IF(AK1436&lt;=0,"Aussenlager","teilweise")))))</f>
        <v/>
      </c>
      <c r="BC1436" s="55" t="str">
        <f aca="false">IF(AN1436&lt;=0,"",IF(BU1436="Aussen","Aussenlager",IF(BU1436="-","Nicht im Lift",IF(AS1436&gt;=1,"Lift",IF(AS1436&lt;=0,"Aussenlager","teilweise")))))</f>
        <v>Lift</v>
      </c>
      <c r="BD1436" s="55" t="str">
        <f aca="false">IF(AV1436&lt;=0,"",IF(BU1436="Aussen","Aussenlager",IF(BU1436="-","Nicht im Lift",IF(BA1436&gt;=1,"Lift",IF(BA1436&lt;=0,"Aussenlager","teilweise")))))</f>
        <v>Lift</v>
      </c>
      <c r="BE1436" s="55" t="str">
        <f aca="false">IF(A1436="","",IF(BN1436=1,"Neu; ","")&amp;IF(AND(BN1436=0,BI1436&lt;0),"negativer Bestand (Export "&amp;BI1436&amp;"); ","")&amp;IF(I1436&lt;=0,"Kein Verbrauch; ","")&amp;IF(CD1436&gt;0,"Lift "&amp;U1436&amp;" lt. Liftbericht (Fach "&amp;V1436&amp;" Stk); ",IF(BR1436=1,"Lose – Fläche geschätzt; ",""))&amp;IF(G1436&gt;AP1436,"Überbestand "&amp;ROUND(G1436-AP1436,0)&amp;" Stk / CHF "&amp;ROUND((G1436-AP1436)*F1436,0)&amp;"; ","")&amp;IF(AND(BW1436=1,BX1436&lt;BY1436),"MAX &lt; MB+LG; ","")&amp;IF(AND(CC1436&gt;0,CB1436*10&gt;CC1436),"zu hoch für Tablar; ","")&amp;IF(AND(BN1436=0,OR(BW1436=1,Y1436&lt;&gt;"",S1436&lt;&gt;"",T1436&lt;&gt;"",Z1436&lt;&gt;"")),"manuell übersteuert; ","")&amp;IF(AND(BR1436=0,Q1436=0),"Gebinde unbekannt / Stellmass fehlt; ","")&amp;IF(AND(BR1436=0,N(T1436)&lt;=0,N(P1436)&lt;=0),"Menge pro Gebinde fehlt (Ist = 1 Gebinde); ","")&amp;BM1436)</f>
        <v>negativer Bestand (Export -22); </v>
      </c>
      <c r="BF1436" s="55"/>
      <c r="BG1436" s="55"/>
      <c r="BH1436" s="62"/>
      <c r="BI1436" s="57" t="n">
        <v>-22</v>
      </c>
      <c r="BJ1436" s="57" t="n">
        <v>37</v>
      </c>
      <c r="BK1436" s="56" t="n">
        <v>-8095.76</v>
      </c>
      <c r="BL1436" s="57" t="n">
        <v>36</v>
      </c>
      <c r="BM1436" s="55"/>
      <c r="BN1436" s="60" t="n">
        <v>0</v>
      </c>
      <c r="BO1436" s="60" t="n">
        <v>1436</v>
      </c>
      <c r="BP1436" s="55" t="str">
        <f aca="false">IF(S1436&lt;&gt;"",UPPER(TRIM(S1436)),IF(O1436="","LOSE",O1436))</f>
        <v>S71</v>
      </c>
      <c r="BQ1436" s="57" t="n">
        <f aca="false">IF(BP1436="LOSE",1,IF(N(T1436)&gt;0,T1436,IF(N(P1436)&gt;0,P1436,MAX(1,G1436))))</f>
        <v>18</v>
      </c>
      <c r="BR1436" s="60" t="n">
        <f aca="false">IF(BP1436="LOSE",1,0)</f>
        <v>0</v>
      </c>
      <c r="BS1436" s="59" t="n">
        <f aca="false">IF(BR1436=0,0,IF(N(R1436)&gt;0,R1436,IFERROR(VLOOKUP(D1436,Parameter!$A$35:$C$64,3,0)+0,0)))</f>
        <v>0</v>
      </c>
      <c r="BT1436" s="55" t="n">
        <f aca="false">IF(Y1436&lt;&gt;"",Y1436,X1436)</f>
        <v>2</v>
      </c>
      <c r="BU1436" s="55" t="str">
        <f aca="false">IF(BT1436=1,"L1",IF(OR(BT1436=2,BT1436=3),"L23",IF(BT1436="Aussen","Aussen","-")))</f>
        <v>L23</v>
      </c>
      <c r="BV1436" s="66" t="n">
        <f aca="false">IF(N(Z1436)&gt;0,Z1436,0)</f>
        <v>0</v>
      </c>
      <c r="BW1436" s="60" t="n">
        <f aca="false">IF(ISNUMBER(AC1436),1,0)</f>
        <v>0</v>
      </c>
      <c r="BX1436" s="57" t="n">
        <f aca="false">N(AC1436)</f>
        <v>0</v>
      </c>
      <c r="BY1436" s="57" t="n">
        <f aca="false">N(L1436)+N(M1436)</f>
        <v>17</v>
      </c>
      <c r="BZ1436" s="57" t="n">
        <f aca="false">ROUNDUP(G1436/BQ1436,0)</f>
        <v>0</v>
      </c>
      <c r="CA1436" s="57" t="n">
        <f aca="false">ROUNDUP(BX1436/BQ1436,0)</f>
        <v>0</v>
      </c>
      <c r="CB1436" s="60" t="n">
        <f aca="false">IF(BR1436=1,0,IFERROR(VLOOKUP(BP1436,'Gebinde-Kategorie'!$A$5:$M$45,5,0)+0,0))</f>
        <v>20</v>
      </c>
      <c r="CC1436" s="60" t="n">
        <f aca="false">IFERROR(IF(OR(BT1436=1,BT1436=2,BT1436=3),N(INDEX(Parameter!$I$5:$I$7,BT1436)),0),0)</f>
        <v>0</v>
      </c>
      <c r="CD1436" s="59" t="n">
        <f aca="false">IF(AND(Parameter!$B$21="Ja",ISNUMBER(U1436),N(V1436)&gt;0),IFERROR(N(INDEX(Parameter!$L$5:$L$7,U1436))*INDEX(Parameter!$E$5:$E$7,U1436)*V1436/SUMIFS($V$7:$V$1576,$U$7:$U$1576,U1436),0),0)</f>
        <v>0</v>
      </c>
    </row>
    <row r="1437" customFormat="false" ht="15" hidden="false" customHeight="false" outlineLevel="0" collapsed="false">
      <c r="A1437" s="55" t="s">
        <v>2502</v>
      </c>
      <c r="B1437" s="55" t="s">
        <v>2503</v>
      </c>
      <c r="C1437" s="55" t="s">
        <v>160</v>
      </c>
      <c r="D1437" s="55" t="s">
        <v>168</v>
      </c>
      <c r="E1437" s="55" t="s">
        <v>210</v>
      </c>
      <c r="F1437" s="56" t="n">
        <v>559.54</v>
      </c>
      <c r="G1437" s="57" t="n">
        <f aca="false">MAX(0,IF(AND(Parameter!$B$21="Ja",ISNUMBER(W1437)),W1437,IF(Parameter!$B$20="Jahresanfang 2025 + Export",BJ1437+BI1437,BI1437)))</f>
        <v>0</v>
      </c>
      <c r="H1437" s="57" t="n">
        <f aca="false">G1437*F1437</f>
        <v>0</v>
      </c>
      <c r="I1437" s="57" t="n">
        <f aca="false">BL1437*Parameter!$B$18</f>
        <v>29</v>
      </c>
      <c r="J1437" s="58" t="n">
        <v>37.5</v>
      </c>
      <c r="K1437" s="59" t="n">
        <v>0.773333333333333</v>
      </c>
      <c r="L1437" s="57" t="n">
        <v>1</v>
      </c>
      <c r="M1437" s="57" t="n">
        <v>20</v>
      </c>
      <c r="N1437" s="60" t="n">
        <v>21</v>
      </c>
      <c r="O1437" s="55" t="s">
        <v>169</v>
      </c>
      <c r="P1437" s="57" t="n">
        <v>12</v>
      </c>
      <c r="Q1437" s="60" t="n">
        <f aca="false">IF(BR1437=1,0,IFERROR(VLOOKUP(BP1437,'Gebinde-Kategorie'!$A$5:$M$45,13,0)+0,0))</f>
        <v>6</v>
      </c>
      <c r="R1437" s="61"/>
      <c r="S1437" s="62"/>
      <c r="T1437" s="62"/>
      <c r="U1437" s="55"/>
      <c r="V1437" s="57"/>
      <c r="W1437" s="57"/>
      <c r="X1437" s="55" t="n">
        <f aca="false">IF(A1437="","",IF(AND(Parameter!$B$21="Ja",ISNUMBER(U1437)),U1437,IF(IFERROR(VLOOKUP(D1437,Parameter!$A$35:$C$64,2,0),"Nein")="2+3",IF(ISNUMBER(SEARCH("grosser Artikel",BM1437)),2,IFERROR(VLOOKUP(BP1437,Parameter!$F$35:$G$64,2,0),2)),IF(OR(IFERROR(VLOOKUP(D1437,Parameter!$A$35:$C$64,2,0),"Nein")="Nein",IFERROR(VLOOKUP(D1437,Parameter!$A$35:$C$64,2,0),"Nein")=""),"-",VLOOKUP(D1437,Parameter!$A$35:$C$64,2,0)))))</f>
        <v>2</v>
      </c>
      <c r="Y1437" s="62"/>
      <c r="Z1437" s="63"/>
      <c r="AA1437" s="57" t="n">
        <f aca="false">AP1437</f>
        <v>24</v>
      </c>
      <c r="AB1437" s="57" t="n">
        <f aca="false">MAX(AP1437,G1437)</f>
        <v>24</v>
      </c>
      <c r="AC1437" s="64"/>
      <c r="AD1437" s="57" t="n">
        <f aca="false">IF(LEFT(Cockpit!$C$5,1)="A",G1437,IF(BW1437=1,BX1437,IF(LEFT(Cockpit!$C$5,1)="B",AH1437,MAX(AH1437,G1437))))</f>
        <v>0</v>
      </c>
      <c r="AE1437" s="57" t="n">
        <f aca="false">IF(BR1437=1,0,ROUNDUP(AD1437/BQ1437,0))</f>
        <v>0</v>
      </c>
      <c r="AF1437" s="59" t="n">
        <f aca="false">IF(CD1437&gt;0,CD1437*MAX(1,AD1437/V1437),IF(BR1437=1,IF(AD1437&lt;=0,0,BS1437*MAX(1,IF(G1437&gt;0,AD1437/G1437,1))),IF(Q1437&gt;0,AE1437/Q1437,0))/MAX(0.1,N(Parameter!$M$21)))</f>
        <v>0</v>
      </c>
      <c r="AG1437" s="57" t="n">
        <f aca="false">AD1437*F1437</f>
        <v>0</v>
      </c>
      <c r="AH1437" s="57" t="n">
        <f aca="false">ROUNDUP(MAX(I1437/IF(BV1437&gt;0,BV1437,MAX(0.1,N(Cockpit!$C$6))),BY1437)/BQ1437,0)*BQ1437</f>
        <v>24</v>
      </c>
      <c r="AI1437" s="58" t="n">
        <f aca="false">IF(AF1437&gt;0,I1437/AF1437,-1)</f>
        <v>-1</v>
      </c>
      <c r="AJ1437" s="58" t="str">
        <f aca="false">IF(AND(OR(BU1437="L1",BU1437="L23"),AF1437&gt;0),SUMIFS($AF$7:$AF$1576,$BU$7:$BU$1576,BU1437,$AI$7:$AI$1576,"&gt;"&amp;AI1437)+SUMIFS($AF$7:$AF$1576,$BU$7:$BU$1576,BU1437,$AI$7:$AI$1576,AI1437,$BO$7:$BO$1576,"&lt;="&amp;BO1437),"")</f>
        <v/>
      </c>
      <c r="AK1437" s="65" t="n">
        <f aca="false">IF(AJ1437="",0,MAX(0,MIN(1,(IF(BU1437="L1",Parameter!$E$5,Parameter!$E$6+Parameter!$E$7)-(AJ1437-AF1437))/AF1437)))</f>
        <v>0</v>
      </c>
      <c r="AL1437" s="57" t="n">
        <f aca="false">IF(LEFT(Cockpit!$I$5,1)="A",G1437,IF(BW1437=1,BX1437,IF(LEFT(Cockpit!$I$5,1)="B",AP1437,MAX(AP1437,G1437))))</f>
        <v>24</v>
      </c>
      <c r="AM1437" s="57" t="n">
        <f aca="false">IF(BR1437=1,0,ROUNDUP(AL1437/BQ1437,0))</f>
        <v>2</v>
      </c>
      <c r="AN1437" s="59" t="n">
        <f aca="false">IF(CD1437&gt;0,CD1437*MAX(1,AL1437/V1437),IF(BR1437=1,IF(AL1437&lt;=0,0,BS1437*MAX(1,IF(G1437&gt;0,AL1437/G1437,1))),IF(Q1437&gt;0,AM1437/Q1437,0))/MAX(0.1,N(Parameter!$M$21)))</f>
        <v>0.333333333333333</v>
      </c>
      <c r="AO1437" s="57" t="n">
        <f aca="false">AL1437*F1437</f>
        <v>13428.96</v>
      </c>
      <c r="AP1437" s="57" t="n">
        <f aca="false">ROUNDUP(MAX(I1437/IF(BV1437&gt;0,BV1437,MAX(0.1,N(Cockpit!$I$6))),BY1437)/BQ1437,0)*BQ1437</f>
        <v>24</v>
      </c>
      <c r="AQ1437" s="58" t="n">
        <f aca="false">IF(AN1437&gt;0,I1437/AN1437,-1)</f>
        <v>87</v>
      </c>
      <c r="AR1437" s="58" t="n">
        <f aca="false">IF(AND(OR(BU1437="L1",BU1437="L23"),AN1437&gt;0),SUMIFS($AN$7:$AN$1576,$BU$7:$BU$1576,BU1437,$AQ$7:$AQ$1576,"&gt;"&amp;AQ1437)+SUMIFS($AN$7:$AN$1576,$BU$7:$BU$1576,BU1437,$AQ$7:$AQ$1576,AQ1437,$BO$7:$BO$1576,"&lt;="&amp;BO1437),"")</f>
        <v>72.9436467099079</v>
      </c>
      <c r="AS1437" s="65" t="n">
        <f aca="false">IF(AR1437="",0,MAX(0,MIN(1,(IF(BU1437="L1",Parameter!$E$5,Parameter!$E$6+Parameter!$E$7)-(AR1437-AN1437))/AN1437)))</f>
        <v>1</v>
      </c>
      <c r="AT1437" s="57" t="n">
        <f aca="false">IF(LEFT(Cockpit!$O$5,1)="A",G1437,IF(BW1437=1,BX1437,IF(LEFT(Cockpit!$O$5,1)="B",AX1437,MAX(AX1437,G1437))))</f>
        <v>24</v>
      </c>
      <c r="AU1437" s="57" t="n">
        <f aca="false">IF(BR1437=1,0,ROUNDUP(AT1437/BQ1437,0))</f>
        <v>2</v>
      </c>
      <c r="AV1437" s="59" t="n">
        <f aca="false">IF(CD1437&gt;0,CD1437*MAX(1,AT1437/V1437),IF(BR1437=1,IF(AT1437&lt;=0,0,BS1437*MAX(1,IF(G1437&gt;0,AT1437/G1437,1))),IF(Q1437&gt;0,AU1437/Q1437,0))/MAX(0.1,N(Parameter!$M$21)))</f>
        <v>0.333333333333333</v>
      </c>
      <c r="AW1437" s="57" t="n">
        <f aca="false">AT1437*F1437</f>
        <v>13428.96</v>
      </c>
      <c r="AX1437" s="57" t="n">
        <f aca="false">ROUNDUP(MAX(I1437/IF(BV1437&gt;0,BV1437,MAX(0.1,N(Cockpit!$O$6))),BY1437)/BQ1437,0)*BQ1437</f>
        <v>24</v>
      </c>
      <c r="AY1437" s="58" t="n">
        <f aca="false">IF(AV1437&gt;0,I1437/AV1437,-1)</f>
        <v>87</v>
      </c>
      <c r="AZ1437" s="58" t="n">
        <f aca="false">IF(AND(OR(BU1437="L1",BU1437="L23"),AV1437&gt;0),SUMIFS($AV$7:$AV$1576,$BU$7:$BU$1576,BU1437,$AY$7:$AY$1576,"&gt;"&amp;AY1437)+SUMIFS($AV$7:$AV$1576,$BU$7:$BU$1576,BU1437,$AY$7:$AY$1576,AY1437,$BO$7:$BO$1576,"&lt;="&amp;BO1437),"")</f>
        <v>66.5040304927916</v>
      </c>
      <c r="BA1437" s="65" t="n">
        <f aca="false">IF(AZ1437="",0,MAX(0,MIN(1,(IF(BU1437="L1",Parameter!$E$5,Parameter!$E$6+Parameter!$E$7)-(AZ1437-AV1437))/AV1437)))</f>
        <v>1</v>
      </c>
      <c r="BB1437" s="55" t="str">
        <f aca="false">IF(AF1437&lt;=0,"",IF(BU1437="Aussen","Aussenlager",IF(BU1437="-","Nicht im Lift",IF(AK1437&gt;=1,"Lift",IF(AK1437&lt;=0,"Aussenlager","teilweise")))))</f>
        <v/>
      </c>
      <c r="BC1437" s="55" t="str">
        <f aca="false">IF(AN1437&lt;=0,"",IF(BU1437="Aussen","Aussenlager",IF(BU1437="-","Nicht im Lift",IF(AS1437&gt;=1,"Lift",IF(AS1437&lt;=0,"Aussenlager","teilweise")))))</f>
        <v>Lift</v>
      </c>
      <c r="BD1437" s="55" t="str">
        <f aca="false">IF(AV1437&lt;=0,"",IF(BU1437="Aussen","Aussenlager",IF(BU1437="-","Nicht im Lift",IF(BA1437&gt;=1,"Lift",IF(BA1437&lt;=0,"Aussenlager","teilweise")))))</f>
        <v>Lift</v>
      </c>
      <c r="BE1437" s="55" t="str">
        <f aca="false">IF(A1437="","",IF(BN1437=1,"Neu; ","")&amp;IF(AND(BN1437=0,BI1437&lt;0),"negativer Bestand (Export "&amp;BI1437&amp;"); ","")&amp;IF(I1437&lt;=0,"Kein Verbrauch; ","")&amp;IF(CD1437&gt;0,"Lift "&amp;U1437&amp;" lt. Liftbericht (Fach "&amp;V1437&amp;" Stk); ",IF(BR1437=1,"Lose – Fläche geschätzt; ",""))&amp;IF(G1437&gt;AP1437,"Überbestand "&amp;ROUND(G1437-AP1437,0)&amp;" Stk / CHF "&amp;ROUND((G1437-AP1437)*F1437,0)&amp;"; ","")&amp;IF(AND(BW1437=1,BX1437&lt;BY1437),"MAX &lt; MB+LG; ","")&amp;IF(AND(CC1437&gt;0,CB1437*10&gt;CC1437),"zu hoch für Tablar; ","")&amp;IF(AND(BN1437=0,OR(BW1437=1,Y1437&lt;&gt;"",S1437&lt;&gt;"",T1437&lt;&gt;"",Z1437&lt;&gt;"")),"manuell übersteuert; ","")&amp;IF(AND(BR1437=0,Q1437=0),"Gebinde unbekannt / Stellmass fehlt; ","")&amp;IF(AND(BR1437=0,N(T1437)&lt;=0,N(P1437)&lt;=0),"Menge pro Gebinde fehlt (Ist = 1 Gebinde); ","")&amp;BM1437)</f>
        <v>negativer Bestand (Export -19); </v>
      </c>
      <c r="BF1437" s="55"/>
      <c r="BG1437" s="55"/>
      <c r="BH1437" s="62"/>
      <c r="BI1437" s="57" t="n">
        <v>-19</v>
      </c>
      <c r="BJ1437" s="57" t="n">
        <v>32</v>
      </c>
      <c r="BK1437" s="56" t="n">
        <v>-8101.02</v>
      </c>
      <c r="BL1437" s="57" t="n">
        <v>29</v>
      </c>
      <c r="BM1437" s="55"/>
      <c r="BN1437" s="60" t="n">
        <v>0</v>
      </c>
      <c r="BO1437" s="60" t="n">
        <v>1437</v>
      </c>
      <c r="BP1437" s="55" t="str">
        <f aca="false">IF(S1437&lt;&gt;"",UPPER(TRIM(S1437)),IF(O1437="","LOSE",O1437))</f>
        <v>S71</v>
      </c>
      <c r="BQ1437" s="57" t="n">
        <f aca="false">IF(BP1437="LOSE",1,IF(N(T1437)&gt;0,T1437,IF(N(P1437)&gt;0,P1437,MAX(1,G1437))))</f>
        <v>12</v>
      </c>
      <c r="BR1437" s="60" t="n">
        <f aca="false">IF(BP1437="LOSE",1,0)</f>
        <v>0</v>
      </c>
      <c r="BS1437" s="59" t="n">
        <f aca="false">IF(BR1437=0,0,IF(N(R1437)&gt;0,R1437,IFERROR(VLOOKUP(D1437,Parameter!$A$35:$C$64,3,0)+0,0)))</f>
        <v>0</v>
      </c>
      <c r="BT1437" s="55" t="n">
        <f aca="false">IF(Y1437&lt;&gt;"",Y1437,X1437)</f>
        <v>2</v>
      </c>
      <c r="BU1437" s="55" t="str">
        <f aca="false">IF(BT1437=1,"L1",IF(OR(BT1437=2,BT1437=3),"L23",IF(BT1437="Aussen","Aussen","-")))</f>
        <v>L23</v>
      </c>
      <c r="BV1437" s="66" t="n">
        <f aca="false">IF(N(Z1437)&gt;0,Z1437,0)</f>
        <v>0</v>
      </c>
      <c r="BW1437" s="60" t="n">
        <f aca="false">IF(ISNUMBER(AC1437),1,0)</f>
        <v>0</v>
      </c>
      <c r="BX1437" s="57" t="n">
        <f aca="false">N(AC1437)</f>
        <v>0</v>
      </c>
      <c r="BY1437" s="57" t="n">
        <f aca="false">N(L1437)+N(M1437)</f>
        <v>21</v>
      </c>
      <c r="BZ1437" s="57" t="n">
        <f aca="false">ROUNDUP(G1437/BQ1437,0)</f>
        <v>0</v>
      </c>
      <c r="CA1437" s="57" t="n">
        <f aca="false">ROUNDUP(BX1437/BQ1437,0)</f>
        <v>0</v>
      </c>
      <c r="CB1437" s="60" t="n">
        <f aca="false">IF(BR1437=1,0,IFERROR(VLOOKUP(BP1437,'Gebinde-Kategorie'!$A$5:$M$45,5,0)+0,0))</f>
        <v>20</v>
      </c>
      <c r="CC1437" s="60" t="n">
        <f aca="false">IFERROR(IF(OR(BT1437=1,BT1437=2,BT1437=3),N(INDEX(Parameter!$I$5:$I$7,BT1437)),0),0)</f>
        <v>0</v>
      </c>
      <c r="CD1437" s="59" t="n">
        <f aca="false">IF(AND(Parameter!$B$21="Ja",ISNUMBER(U1437),N(V1437)&gt;0),IFERROR(N(INDEX(Parameter!$L$5:$L$7,U1437))*INDEX(Parameter!$E$5:$E$7,U1437)*V1437/SUMIFS($V$7:$V$1576,$U$7:$U$1576,U1437),0),0)</f>
        <v>0</v>
      </c>
    </row>
    <row r="1438" customFormat="false" ht="15" hidden="false" customHeight="false" outlineLevel="0" collapsed="false">
      <c r="A1438" s="55" t="s">
        <v>2504</v>
      </c>
      <c r="B1438" s="55" t="s">
        <v>2505</v>
      </c>
      <c r="C1438" s="55" t="s">
        <v>160</v>
      </c>
      <c r="D1438" s="55" t="s">
        <v>168</v>
      </c>
      <c r="E1438" s="55" t="s">
        <v>210</v>
      </c>
      <c r="F1438" s="56" t="n">
        <v>154.27</v>
      </c>
      <c r="G1438" s="57" t="n">
        <f aca="false">MAX(0,IF(AND(Parameter!$B$21="Ja",ISNUMBER(W1438)),W1438,IF(Parameter!$B$20="Jahresanfang 2025 + Export",BJ1438+BI1438,BI1438)))</f>
        <v>0</v>
      </c>
      <c r="H1438" s="57" t="n">
        <f aca="false">G1438*F1438</f>
        <v>0</v>
      </c>
      <c r="I1438" s="57" t="n">
        <f aca="false">BL1438*Parameter!$B$18</f>
        <v>222</v>
      </c>
      <c r="J1438" s="58" t="n">
        <v>124.5</v>
      </c>
      <c r="K1438" s="59" t="n">
        <v>1.78313253012048</v>
      </c>
      <c r="L1438" s="57" t="n">
        <v>22</v>
      </c>
      <c r="M1438" s="57" t="n">
        <v>65</v>
      </c>
      <c r="N1438" s="60" t="n">
        <v>84</v>
      </c>
      <c r="O1438" s="55" t="s">
        <v>169</v>
      </c>
      <c r="P1438" s="57" t="n">
        <v>80</v>
      </c>
      <c r="Q1438" s="60" t="n">
        <f aca="false">IF(BR1438=1,0,IFERROR(VLOOKUP(BP1438,'Gebinde-Kategorie'!$A$5:$M$45,13,0)+0,0))</f>
        <v>6</v>
      </c>
      <c r="R1438" s="61"/>
      <c r="S1438" s="62"/>
      <c r="T1438" s="62"/>
      <c r="U1438" s="55"/>
      <c r="V1438" s="57"/>
      <c r="W1438" s="57"/>
      <c r="X1438" s="55" t="n">
        <f aca="false">IF(A1438="","",IF(AND(Parameter!$B$21="Ja",ISNUMBER(U1438)),U1438,IF(IFERROR(VLOOKUP(D1438,Parameter!$A$35:$C$64,2,0),"Nein")="2+3",IF(ISNUMBER(SEARCH("grosser Artikel",BM1438)),2,IFERROR(VLOOKUP(BP1438,Parameter!$F$35:$G$64,2,0),2)),IF(OR(IFERROR(VLOOKUP(D1438,Parameter!$A$35:$C$64,2,0),"Nein")="Nein",IFERROR(VLOOKUP(D1438,Parameter!$A$35:$C$64,2,0),"Nein")=""),"-",VLOOKUP(D1438,Parameter!$A$35:$C$64,2,0)))))</f>
        <v>2</v>
      </c>
      <c r="Y1438" s="62"/>
      <c r="Z1438" s="63"/>
      <c r="AA1438" s="57" t="n">
        <f aca="false">AP1438</f>
        <v>160</v>
      </c>
      <c r="AB1438" s="57" t="n">
        <f aca="false">MAX(AP1438,G1438)</f>
        <v>160</v>
      </c>
      <c r="AC1438" s="64"/>
      <c r="AD1438" s="57" t="n">
        <f aca="false">IF(LEFT(Cockpit!$C$5,1)="A",G1438,IF(BW1438=1,BX1438,IF(LEFT(Cockpit!$C$5,1)="B",AH1438,MAX(AH1438,G1438))))</f>
        <v>0</v>
      </c>
      <c r="AE1438" s="57" t="n">
        <f aca="false">IF(BR1438=1,0,ROUNDUP(AD1438/BQ1438,0))</f>
        <v>0</v>
      </c>
      <c r="AF1438" s="59" t="n">
        <f aca="false">IF(CD1438&gt;0,CD1438*MAX(1,AD1438/V1438),IF(BR1438=1,IF(AD1438&lt;=0,0,BS1438*MAX(1,IF(G1438&gt;0,AD1438/G1438,1))),IF(Q1438&gt;0,AE1438/Q1438,0))/MAX(0.1,N(Parameter!$M$21)))</f>
        <v>0</v>
      </c>
      <c r="AG1438" s="57" t="n">
        <f aca="false">AD1438*F1438</f>
        <v>0</v>
      </c>
      <c r="AH1438" s="57" t="n">
        <f aca="false">ROUNDUP(MAX(I1438/IF(BV1438&gt;0,BV1438,MAX(0.1,N(Cockpit!$C$6))),BY1438)/BQ1438,0)*BQ1438</f>
        <v>160</v>
      </c>
      <c r="AI1438" s="58" t="n">
        <f aca="false">IF(AF1438&gt;0,I1438/AF1438,-1)</f>
        <v>-1</v>
      </c>
      <c r="AJ1438" s="58" t="str">
        <f aca="false">IF(AND(OR(BU1438="L1",BU1438="L23"),AF1438&gt;0),SUMIFS($AF$7:$AF$1576,$BU$7:$BU$1576,BU1438,$AI$7:$AI$1576,"&gt;"&amp;AI1438)+SUMIFS($AF$7:$AF$1576,$BU$7:$BU$1576,BU1438,$AI$7:$AI$1576,AI1438,$BO$7:$BO$1576,"&lt;="&amp;BO1438),"")</f>
        <v/>
      </c>
      <c r="AK1438" s="65" t="n">
        <f aca="false">IF(AJ1438="",0,MAX(0,MIN(1,(IF(BU1438="L1",Parameter!$E$5,Parameter!$E$6+Parameter!$E$7)-(AJ1438-AF1438))/AF1438)))</f>
        <v>0</v>
      </c>
      <c r="AL1438" s="57" t="n">
        <f aca="false">IF(LEFT(Cockpit!$I$5,1)="A",G1438,IF(BW1438=1,BX1438,IF(LEFT(Cockpit!$I$5,1)="B",AP1438,MAX(AP1438,G1438))))</f>
        <v>160</v>
      </c>
      <c r="AM1438" s="57" t="n">
        <f aca="false">IF(BR1438=1,0,ROUNDUP(AL1438/BQ1438,0))</f>
        <v>2</v>
      </c>
      <c r="AN1438" s="59" t="n">
        <f aca="false">IF(CD1438&gt;0,CD1438*MAX(1,AL1438/V1438),IF(BR1438=1,IF(AL1438&lt;=0,0,BS1438*MAX(1,IF(G1438&gt;0,AL1438/G1438,1))),IF(Q1438&gt;0,AM1438/Q1438,0))/MAX(0.1,N(Parameter!$M$21)))</f>
        <v>0.333333333333333</v>
      </c>
      <c r="AO1438" s="57" t="n">
        <f aca="false">AL1438*F1438</f>
        <v>24683.2</v>
      </c>
      <c r="AP1438" s="57" t="n">
        <f aca="false">ROUNDUP(MAX(I1438/IF(BV1438&gt;0,BV1438,MAX(0.1,N(Cockpit!$I$6))),BY1438)/BQ1438,0)*BQ1438</f>
        <v>160</v>
      </c>
      <c r="AQ1438" s="58" t="n">
        <f aca="false">IF(AN1438&gt;0,I1438/AN1438,-1)</f>
        <v>666</v>
      </c>
      <c r="AR1438" s="58" t="n">
        <f aca="false">IF(AND(OR(BU1438="L1",BU1438="L23"),AN1438&gt;0),SUMIFS($AN$7:$AN$1576,$BU$7:$BU$1576,BU1438,$AQ$7:$AQ$1576,"&gt;"&amp;AQ1438)+SUMIFS($AN$7:$AN$1576,$BU$7:$BU$1576,BU1438,$AQ$7:$AQ$1576,AQ1438,$BO$7:$BO$1576,"&lt;="&amp;BO1438),"")</f>
        <v>29.7091743163594</v>
      </c>
      <c r="AS1438" s="65" t="n">
        <f aca="false">IF(AR1438="",0,MAX(0,MIN(1,(IF(BU1438="L1",Parameter!$E$5,Parameter!$E$6+Parameter!$E$7)-(AR1438-AN1438))/AN1438)))</f>
        <v>1</v>
      </c>
      <c r="AT1438" s="57" t="n">
        <f aca="false">IF(LEFT(Cockpit!$O$5,1)="A",G1438,IF(BW1438=1,BX1438,IF(LEFT(Cockpit!$O$5,1)="B",AX1438,MAX(AX1438,G1438))))</f>
        <v>160</v>
      </c>
      <c r="AU1438" s="57" t="n">
        <f aca="false">IF(BR1438=1,0,ROUNDUP(AT1438/BQ1438,0))</f>
        <v>2</v>
      </c>
      <c r="AV1438" s="59" t="n">
        <f aca="false">IF(CD1438&gt;0,CD1438*MAX(1,AT1438/V1438),IF(BR1438=1,IF(AT1438&lt;=0,0,BS1438*MAX(1,IF(G1438&gt;0,AT1438/G1438,1))),IF(Q1438&gt;0,AU1438/Q1438,0))/MAX(0.1,N(Parameter!$M$21)))</f>
        <v>0.333333333333333</v>
      </c>
      <c r="AW1438" s="57" t="n">
        <f aca="false">AT1438*F1438</f>
        <v>24683.2</v>
      </c>
      <c r="AX1438" s="57" t="n">
        <f aca="false">ROUNDUP(MAX(I1438/IF(BV1438&gt;0,BV1438,MAX(0.1,N(Cockpit!$O$6))),BY1438)/BQ1438,0)*BQ1438</f>
        <v>160</v>
      </c>
      <c r="AY1438" s="58" t="n">
        <f aca="false">IF(AV1438&gt;0,I1438/AV1438,-1)</f>
        <v>666</v>
      </c>
      <c r="AZ1438" s="58" t="n">
        <f aca="false">IF(AND(OR(BU1438="L1",BU1438="L23"),AV1438&gt;0),SUMIFS($AV$7:$AV$1576,$BU$7:$BU$1576,BU1438,$AY$7:$AY$1576,"&gt;"&amp;AY1438)+SUMIFS($AV$7:$AV$1576,$BU$7:$BU$1576,BU1438,$AY$7:$AY$1576,AY1438,$BO$7:$BO$1576,"&lt;="&amp;BO1438),"")</f>
        <v>29.4204763476614</v>
      </c>
      <c r="BA1438" s="65" t="n">
        <f aca="false">IF(AZ1438="",0,MAX(0,MIN(1,(IF(BU1438="L1",Parameter!$E$5,Parameter!$E$6+Parameter!$E$7)-(AZ1438-AV1438))/AV1438)))</f>
        <v>1</v>
      </c>
      <c r="BB1438" s="55" t="str">
        <f aca="false">IF(AF1438&lt;=0,"",IF(BU1438="Aussen","Aussenlager",IF(BU1438="-","Nicht im Lift",IF(AK1438&gt;=1,"Lift",IF(AK1438&lt;=0,"Aussenlager","teilweise")))))</f>
        <v/>
      </c>
      <c r="BC1438" s="55" t="str">
        <f aca="false">IF(AN1438&lt;=0,"",IF(BU1438="Aussen","Aussenlager",IF(BU1438="-","Nicht im Lift",IF(AS1438&gt;=1,"Lift",IF(AS1438&lt;=0,"Aussenlager","teilweise")))))</f>
        <v>Lift</v>
      </c>
      <c r="BD1438" s="55" t="str">
        <f aca="false">IF(AV1438&lt;=0,"",IF(BU1438="Aussen","Aussenlager",IF(BU1438="-","Nicht im Lift",IF(BA1438&gt;=1,"Lift",IF(BA1438&lt;=0,"Aussenlager","teilweise")))))</f>
        <v>Lift</v>
      </c>
      <c r="BE1438" s="55" t="str">
        <f aca="false">IF(A1438="","",IF(BN1438=1,"Neu; ","")&amp;IF(AND(BN1438=0,BI1438&lt;0),"negativer Bestand (Export "&amp;BI1438&amp;"); ","")&amp;IF(I1438&lt;=0,"Kein Verbrauch; ","")&amp;IF(CD1438&gt;0,"Lift "&amp;U1438&amp;" lt. Liftbericht (Fach "&amp;V1438&amp;" Stk); ",IF(BR1438=1,"Lose – Fläche geschätzt; ",""))&amp;IF(G1438&gt;AP1438,"Überbestand "&amp;ROUND(G1438-AP1438,0)&amp;" Stk / CHF "&amp;ROUND((G1438-AP1438)*F1438,0)&amp;"; ","")&amp;IF(AND(BW1438=1,BX1438&lt;BY1438),"MAX &lt; MB+LG; ","")&amp;IF(AND(CC1438&gt;0,CB1438*10&gt;CC1438),"zu hoch für Tablar; ","")&amp;IF(AND(BN1438=0,OR(BW1438=1,Y1438&lt;&gt;"",S1438&lt;&gt;"",T1438&lt;&gt;"",Z1438&lt;&gt;"")),"manuell übersteuert; ","")&amp;IF(AND(BR1438=0,Q1438=0),"Gebinde unbekannt / Stellmass fehlt; ","")&amp;IF(AND(BR1438=0,N(T1438)&lt;=0,N(P1438)&lt;=0),"Menge pro Gebinde fehlt (Ist = 1 Gebinde); ","")&amp;BM1438)</f>
        <v>negativer Bestand (Export -50); </v>
      </c>
      <c r="BF1438" s="55"/>
      <c r="BG1438" s="55"/>
      <c r="BH1438" s="62"/>
      <c r="BI1438" s="57" t="n">
        <v>-50</v>
      </c>
      <c r="BJ1438" s="57" t="n">
        <v>110</v>
      </c>
      <c r="BK1438" s="56" t="n">
        <v>-8512.09999999997</v>
      </c>
      <c r="BL1438" s="57" t="n">
        <v>222</v>
      </c>
      <c r="BM1438" s="55"/>
      <c r="BN1438" s="60" t="n">
        <v>0</v>
      </c>
      <c r="BO1438" s="60" t="n">
        <v>1438</v>
      </c>
      <c r="BP1438" s="55" t="str">
        <f aca="false">IF(S1438&lt;&gt;"",UPPER(TRIM(S1438)),IF(O1438="","LOSE",O1438))</f>
        <v>S71</v>
      </c>
      <c r="BQ1438" s="57" t="n">
        <f aca="false">IF(BP1438="LOSE",1,IF(N(T1438)&gt;0,T1438,IF(N(P1438)&gt;0,P1438,MAX(1,G1438))))</f>
        <v>80</v>
      </c>
      <c r="BR1438" s="60" t="n">
        <f aca="false">IF(BP1438="LOSE",1,0)</f>
        <v>0</v>
      </c>
      <c r="BS1438" s="59" t="n">
        <f aca="false">IF(BR1438=0,0,IF(N(R1438)&gt;0,R1438,IFERROR(VLOOKUP(D1438,Parameter!$A$35:$C$64,3,0)+0,0)))</f>
        <v>0</v>
      </c>
      <c r="BT1438" s="55" t="n">
        <f aca="false">IF(Y1438&lt;&gt;"",Y1438,X1438)</f>
        <v>2</v>
      </c>
      <c r="BU1438" s="55" t="str">
        <f aca="false">IF(BT1438=1,"L1",IF(OR(BT1438=2,BT1438=3),"L23",IF(BT1438="Aussen","Aussen","-")))</f>
        <v>L23</v>
      </c>
      <c r="BV1438" s="66" t="n">
        <f aca="false">IF(N(Z1438)&gt;0,Z1438,0)</f>
        <v>0</v>
      </c>
      <c r="BW1438" s="60" t="n">
        <f aca="false">IF(ISNUMBER(AC1438),1,0)</f>
        <v>0</v>
      </c>
      <c r="BX1438" s="57" t="n">
        <f aca="false">N(AC1438)</f>
        <v>0</v>
      </c>
      <c r="BY1438" s="57" t="n">
        <f aca="false">N(L1438)+N(M1438)</f>
        <v>87</v>
      </c>
      <c r="BZ1438" s="57" t="n">
        <f aca="false">ROUNDUP(G1438/BQ1438,0)</f>
        <v>0</v>
      </c>
      <c r="CA1438" s="57" t="n">
        <f aca="false">ROUNDUP(BX1438/BQ1438,0)</f>
        <v>0</v>
      </c>
      <c r="CB1438" s="60" t="n">
        <f aca="false">IF(BR1438=1,0,IFERROR(VLOOKUP(BP1438,'Gebinde-Kategorie'!$A$5:$M$45,5,0)+0,0))</f>
        <v>20</v>
      </c>
      <c r="CC1438" s="60" t="n">
        <f aca="false">IFERROR(IF(OR(BT1438=1,BT1438=2,BT1438=3),N(INDEX(Parameter!$I$5:$I$7,BT1438)),0),0)</f>
        <v>0</v>
      </c>
      <c r="CD1438" s="59" t="n">
        <f aca="false">IF(AND(Parameter!$B$21="Ja",ISNUMBER(U1438),N(V1438)&gt;0),IFERROR(N(INDEX(Parameter!$L$5:$L$7,U1438))*INDEX(Parameter!$E$5:$E$7,U1438)*V1438/SUMIFS($V$7:$V$1576,$U$7:$U$1576,U1438),0),0)</f>
        <v>0</v>
      </c>
    </row>
    <row r="1439" customFormat="false" ht="15" hidden="false" customHeight="false" outlineLevel="0" collapsed="false">
      <c r="A1439" s="55" t="s">
        <v>2506</v>
      </c>
      <c r="B1439" s="55" t="s">
        <v>435</v>
      </c>
      <c r="C1439" s="55" t="s">
        <v>160</v>
      </c>
      <c r="D1439" s="55" t="s">
        <v>168</v>
      </c>
      <c r="E1439" s="55" t="s">
        <v>210</v>
      </c>
      <c r="F1439" s="56" t="n">
        <v>157.67</v>
      </c>
      <c r="G1439" s="57" t="n">
        <f aca="false">MAX(0,IF(AND(Parameter!$B$21="Ja",ISNUMBER(W1439)),W1439,IF(Parameter!$B$20="Jahresanfang 2025 + Export",BJ1439+BI1439,BI1439)))</f>
        <v>0</v>
      </c>
      <c r="H1439" s="57" t="n">
        <f aca="false">G1439*F1439</f>
        <v>0</v>
      </c>
      <c r="I1439" s="57" t="n">
        <f aca="false">BL1439*Parameter!$B$18</f>
        <v>86</v>
      </c>
      <c r="J1439" s="58" t="n">
        <v>55.5</v>
      </c>
      <c r="K1439" s="59" t="n">
        <v>1.54954954954955</v>
      </c>
      <c r="L1439" s="57" t="n">
        <v>5</v>
      </c>
      <c r="M1439" s="57" t="n">
        <v>25</v>
      </c>
      <c r="N1439" s="60" t="n">
        <v>21</v>
      </c>
      <c r="O1439" s="55" t="s">
        <v>339</v>
      </c>
      <c r="P1439" s="57" t="n">
        <v>22</v>
      </c>
      <c r="Q1439" s="60" t="n">
        <f aca="false">IF(BR1439=1,0,IFERROR(VLOOKUP(BP1439,'Gebinde-Kategorie'!$A$5:$M$45,13,0)+0,0))</f>
        <v>3</v>
      </c>
      <c r="R1439" s="61"/>
      <c r="S1439" s="62"/>
      <c r="T1439" s="62"/>
      <c r="U1439" s="55"/>
      <c r="V1439" s="57"/>
      <c r="W1439" s="57"/>
      <c r="X1439" s="55" t="n">
        <f aca="false">IF(A1439="","",IF(AND(Parameter!$B$21="Ja",ISNUMBER(U1439)),U1439,IF(IFERROR(VLOOKUP(D1439,Parameter!$A$35:$C$64,2,0),"Nein")="2+3",IF(ISNUMBER(SEARCH("grosser Artikel",BM1439)),2,IFERROR(VLOOKUP(BP1439,Parameter!$F$35:$G$64,2,0),2)),IF(OR(IFERROR(VLOOKUP(D1439,Parameter!$A$35:$C$64,2,0),"Nein")="Nein",IFERROR(VLOOKUP(D1439,Parameter!$A$35:$C$64,2,0),"Nein")=""),"-",VLOOKUP(D1439,Parameter!$A$35:$C$64,2,0)))))</f>
        <v>2</v>
      </c>
      <c r="Y1439" s="62"/>
      <c r="Z1439" s="63"/>
      <c r="AA1439" s="57" t="n">
        <f aca="false">AP1439</f>
        <v>44</v>
      </c>
      <c r="AB1439" s="57" t="n">
        <f aca="false">MAX(AP1439,G1439)</f>
        <v>44</v>
      </c>
      <c r="AC1439" s="64"/>
      <c r="AD1439" s="57" t="n">
        <f aca="false">IF(LEFT(Cockpit!$C$5,1)="A",G1439,IF(BW1439=1,BX1439,IF(LEFT(Cockpit!$C$5,1)="B",AH1439,MAX(AH1439,G1439))))</f>
        <v>0</v>
      </c>
      <c r="AE1439" s="57" t="n">
        <f aca="false">IF(BR1439=1,0,ROUNDUP(AD1439/BQ1439,0))</f>
        <v>0</v>
      </c>
      <c r="AF1439" s="59" t="n">
        <f aca="false">IF(CD1439&gt;0,CD1439*MAX(1,AD1439/V1439),IF(BR1439=1,IF(AD1439&lt;=0,0,BS1439*MAX(1,IF(G1439&gt;0,AD1439/G1439,1))),IF(Q1439&gt;0,AE1439/Q1439,0))/MAX(0.1,N(Parameter!$M$21)))</f>
        <v>0</v>
      </c>
      <c r="AG1439" s="57" t="n">
        <f aca="false">AD1439*F1439</f>
        <v>0</v>
      </c>
      <c r="AH1439" s="57" t="n">
        <f aca="false">ROUNDUP(MAX(I1439/IF(BV1439&gt;0,BV1439,MAX(0.1,N(Cockpit!$C$6))),BY1439)/BQ1439,0)*BQ1439</f>
        <v>44</v>
      </c>
      <c r="AI1439" s="58" t="n">
        <f aca="false">IF(AF1439&gt;0,I1439/AF1439,-1)</f>
        <v>-1</v>
      </c>
      <c r="AJ1439" s="58" t="str">
        <f aca="false">IF(AND(OR(BU1439="L1",BU1439="L23"),AF1439&gt;0),SUMIFS($AF$7:$AF$1576,$BU$7:$BU$1576,BU1439,$AI$7:$AI$1576,"&gt;"&amp;AI1439)+SUMIFS($AF$7:$AF$1576,$BU$7:$BU$1576,BU1439,$AI$7:$AI$1576,AI1439,$BO$7:$BO$1576,"&lt;="&amp;BO1439),"")</f>
        <v/>
      </c>
      <c r="AK1439" s="65" t="n">
        <f aca="false">IF(AJ1439="",0,MAX(0,MIN(1,(IF(BU1439="L1",Parameter!$E$5,Parameter!$E$6+Parameter!$E$7)-(AJ1439-AF1439))/AF1439)))</f>
        <v>0</v>
      </c>
      <c r="AL1439" s="57" t="n">
        <f aca="false">IF(LEFT(Cockpit!$I$5,1)="A",G1439,IF(BW1439=1,BX1439,IF(LEFT(Cockpit!$I$5,1)="B",AP1439,MAX(AP1439,G1439))))</f>
        <v>44</v>
      </c>
      <c r="AM1439" s="57" t="n">
        <f aca="false">IF(BR1439=1,0,ROUNDUP(AL1439/BQ1439,0))</f>
        <v>2</v>
      </c>
      <c r="AN1439" s="59" t="n">
        <f aca="false">IF(CD1439&gt;0,CD1439*MAX(1,AL1439/V1439),IF(BR1439=1,IF(AL1439&lt;=0,0,BS1439*MAX(1,IF(G1439&gt;0,AL1439/G1439,1))),IF(Q1439&gt;0,AM1439/Q1439,0))/MAX(0.1,N(Parameter!$M$21)))</f>
        <v>0.666666666666667</v>
      </c>
      <c r="AO1439" s="57" t="n">
        <f aca="false">AL1439*F1439</f>
        <v>6937.48</v>
      </c>
      <c r="AP1439" s="57" t="n">
        <f aca="false">ROUNDUP(MAX(I1439/IF(BV1439&gt;0,BV1439,MAX(0.1,N(Cockpit!$I$6))),BY1439)/BQ1439,0)*BQ1439</f>
        <v>44</v>
      </c>
      <c r="AQ1439" s="58" t="n">
        <f aca="false">IF(AN1439&gt;0,I1439/AN1439,-1)</f>
        <v>129</v>
      </c>
      <c r="AR1439" s="58" t="n">
        <f aca="false">IF(AND(OR(BU1439="L1",BU1439="L23"),AN1439&gt;0),SUMIFS($AN$7:$AN$1576,$BU$7:$BU$1576,BU1439,$AQ$7:$AQ$1576,"&gt;"&amp;AQ1439)+SUMIFS($AN$7:$AN$1576,$BU$7:$BU$1576,BU1439,$AQ$7:$AQ$1576,AQ1439,$BO$7:$BO$1576,"&lt;="&amp;BO1439),"")</f>
        <v>63.4436690486802</v>
      </c>
      <c r="AS1439" s="65" t="n">
        <f aca="false">IF(AR1439="",0,MAX(0,MIN(1,(IF(BU1439="L1",Parameter!$E$5,Parameter!$E$6+Parameter!$E$7)-(AR1439-AN1439))/AN1439)))</f>
        <v>1</v>
      </c>
      <c r="AT1439" s="57" t="n">
        <f aca="false">IF(LEFT(Cockpit!$O$5,1)="A",G1439,IF(BW1439=1,BX1439,IF(LEFT(Cockpit!$O$5,1)="B",AX1439,MAX(AX1439,G1439))))</f>
        <v>44</v>
      </c>
      <c r="AU1439" s="57" t="n">
        <f aca="false">IF(BR1439=1,0,ROUNDUP(AT1439/BQ1439,0))</f>
        <v>2</v>
      </c>
      <c r="AV1439" s="59" t="n">
        <f aca="false">IF(CD1439&gt;0,CD1439*MAX(1,AT1439/V1439),IF(BR1439=1,IF(AT1439&lt;=0,0,BS1439*MAX(1,IF(G1439&gt;0,AT1439/G1439,1))),IF(Q1439&gt;0,AU1439/Q1439,0))/MAX(0.1,N(Parameter!$M$21)))</f>
        <v>0.666666666666667</v>
      </c>
      <c r="AW1439" s="57" t="n">
        <f aca="false">AT1439*F1439</f>
        <v>6937.48</v>
      </c>
      <c r="AX1439" s="57" t="n">
        <f aca="false">ROUNDUP(MAX(I1439/IF(BV1439&gt;0,BV1439,MAX(0.1,N(Cockpit!$O$6))),BY1439)/BQ1439,0)*BQ1439</f>
        <v>44</v>
      </c>
      <c r="AY1439" s="58" t="n">
        <f aca="false">IF(AV1439&gt;0,I1439/AV1439,-1)</f>
        <v>129</v>
      </c>
      <c r="AZ1439" s="58" t="n">
        <f aca="false">IF(AND(OR(BU1439="L1",BU1439="L23"),AV1439&gt;0),SUMIFS($AV$7:$AV$1576,$BU$7:$BU$1576,BU1439,$AY$7:$AY$1576,"&gt;"&amp;AY1439)+SUMIFS($AV$7:$AV$1576,$BU$7:$BU$1576,BU1439,$AY$7:$AY$1576,AY1439,$BO$7:$BO$1576,"&lt;="&amp;BO1439),"")</f>
        <v>58.772802831564</v>
      </c>
      <c r="BA1439" s="65" t="n">
        <f aca="false">IF(AZ1439="",0,MAX(0,MIN(1,(IF(BU1439="L1",Parameter!$E$5,Parameter!$E$6+Parameter!$E$7)-(AZ1439-AV1439))/AV1439)))</f>
        <v>1</v>
      </c>
      <c r="BB1439" s="55" t="str">
        <f aca="false">IF(AF1439&lt;=0,"",IF(BU1439="Aussen","Aussenlager",IF(BU1439="-","Nicht im Lift",IF(AK1439&gt;=1,"Lift",IF(AK1439&lt;=0,"Aussenlager","teilweise")))))</f>
        <v/>
      </c>
      <c r="BC1439" s="55" t="str">
        <f aca="false">IF(AN1439&lt;=0,"",IF(BU1439="Aussen","Aussenlager",IF(BU1439="-","Nicht im Lift",IF(AS1439&gt;=1,"Lift",IF(AS1439&lt;=0,"Aussenlager","teilweise")))))</f>
        <v>Lift</v>
      </c>
      <c r="BD1439" s="55" t="str">
        <f aca="false">IF(AV1439&lt;=0,"",IF(BU1439="Aussen","Aussenlager",IF(BU1439="-","Nicht im Lift",IF(BA1439&gt;=1,"Lift",IF(BA1439&lt;=0,"Aussenlager","teilweise")))))</f>
        <v>Lift</v>
      </c>
      <c r="BE1439" s="55" t="str">
        <f aca="false">IF(A1439="","",IF(BN1439=1,"Neu; ","")&amp;IF(AND(BN1439=0,BI1439&lt;0),"negativer Bestand (Export "&amp;BI1439&amp;"); ","")&amp;IF(I1439&lt;=0,"Kein Verbrauch; ","")&amp;IF(CD1439&gt;0,"Lift "&amp;U1439&amp;" lt. Liftbericht (Fach "&amp;V1439&amp;" Stk); ",IF(BR1439=1,"Lose – Fläche geschätzt; ",""))&amp;IF(G1439&gt;AP1439,"Überbestand "&amp;ROUND(G1439-AP1439,0)&amp;" Stk / CHF "&amp;ROUND((G1439-AP1439)*F1439,0)&amp;"; ","")&amp;IF(AND(BW1439=1,BX1439&lt;BY1439),"MAX &lt; MB+LG; ","")&amp;IF(AND(CC1439&gt;0,CB1439*10&gt;CC1439),"zu hoch für Tablar; ","")&amp;IF(AND(BN1439=0,OR(BW1439=1,Y1439&lt;&gt;"",S1439&lt;&gt;"",T1439&lt;&gt;"",Z1439&lt;&gt;"")),"manuell übersteuert; ","")&amp;IF(AND(BR1439=0,Q1439=0),"Gebinde unbekannt / Stellmass fehlt; ","")&amp;IF(AND(BR1439=0,N(T1439)&lt;=0,N(P1439)&lt;=0),"Menge pro Gebinde fehlt (Ist = 1 Gebinde); ","")&amp;BM1439)</f>
        <v>negativer Bestand (Export -56); </v>
      </c>
      <c r="BF1439" s="55"/>
      <c r="BG1439" s="55"/>
      <c r="BH1439" s="62"/>
      <c r="BI1439" s="57" t="n">
        <v>-56</v>
      </c>
      <c r="BJ1439" s="57" t="n">
        <v>68</v>
      </c>
      <c r="BK1439" s="56" t="n">
        <v>-8826.12</v>
      </c>
      <c r="BL1439" s="57" t="n">
        <v>86</v>
      </c>
      <c r="BM1439" s="55"/>
      <c r="BN1439" s="60" t="n">
        <v>0</v>
      </c>
      <c r="BO1439" s="60" t="n">
        <v>1439</v>
      </c>
      <c r="BP1439" s="55" t="str">
        <f aca="false">IF(S1439&lt;&gt;"",UPPER(TRIM(S1439)),IF(O1439="","LOSE",O1439))</f>
        <v>S82</v>
      </c>
      <c r="BQ1439" s="57" t="n">
        <f aca="false">IF(BP1439="LOSE",1,IF(N(T1439)&gt;0,T1439,IF(N(P1439)&gt;0,P1439,MAX(1,G1439))))</f>
        <v>22</v>
      </c>
      <c r="BR1439" s="60" t="n">
        <f aca="false">IF(BP1439="LOSE",1,0)</f>
        <v>0</v>
      </c>
      <c r="BS1439" s="59" t="n">
        <f aca="false">IF(BR1439=0,0,IF(N(R1439)&gt;0,R1439,IFERROR(VLOOKUP(D1439,Parameter!$A$35:$C$64,3,0)+0,0)))</f>
        <v>0</v>
      </c>
      <c r="BT1439" s="55" t="n">
        <f aca="false">IF(Y1439&lt;&gt;"",Y1439,X1439)</f>
        <v>2</v>
      </c>
      <c r="BU1439" s="55" t="str">
        <f aca="false">IF(BT1439=1,"L1",IF(OR(BT1439=2,BT1439=3),"L23",IF(BT1439="Aussen","Aussen","-")))</f>
        <v>L23</v>
      </c>
      <c r="BV1439" s="66" t="n">
        <f aca="false">IF(N(Z1439)&gt;0,Z1439,0)</f>
        <v>0</v>
      </c>
      <c r="BW1439" s="60" t="n">
        <f aca="false">IF(ISNUMBER(AC1439),1,0)</f>
        <v>0</v>
      </c>
      <c r="BX1439" s="57" t="n">
        <f aca="false">N(AC1439)</f>
        <v>0</v>
      </c>
      <c r="BY1439" s="57" t="n">
        <f aca="false">N(L1439)+N(M1439)</f>
        <v>30</v>
      </c>
      <c r="BZ1439" s="57" t="n">
        <f aca="false">ROUNDUP(G1439/BQ1439,0)</f>
        <v>0</v>
      </c>
      <c r="CA1439" s="57" t="n">
        <f aca="false">ROUNDUP(BX1439/BQ1439,0)</f>
        <v>0</v>
      </c>
      <c r="CB1439" s="60" t="n">
        <f aca="false">IF(BR1439=1,0,IFERROR(VLOOKUP(BP1439,'Gebinde-Kategorie'!$A$5:$M$45,5,0)+0,0))</f>
        <v>40</v>
      </c>
      <c r="CC1439" s="60" t="n">
        <f aca="false">IFERROR(IF(OR(BT1439=1,BT1439=2,BT1439=3),N(INDEX(Parameter!$I$5:$I$7,BT1439)),0),0)</f>
        <v>0</v>
      </c>
      <c r="CD1439" s="59" t="n">
        <f aca="false">IF(AND(Parameter!$B$21="Ja",ISNUMBER(U1439),N(V1439)&gt;0),IFERROR(N(INDEX(Parameter!$L$5:$L$7,U1439))*INDEX(Parameter!$E$5:$E$7,U1439)*V1439/SUMIFS($V$7:$V$1576,$U$7:$U$1576,U1439),0),0)</f>
        <v>0</v>
      </c>
    </row>
    <row r="1440" customFormat="false" ht="15" hidden="false" customHeight="false" outlineLevel="0" collapsed="false">
      <c r="A1440" s="55" t="s">
        <v>2507</v>
      </c>
      <c r="B1440" s="55" t="s">
        <v>2508</v>
      </c>
      <c r="C1440" s="55" t="s">
        <v>160</v>
      </c>
      <c r="D1440" s="55" t="s">
        <v>344</v>
      </c>
      <c r="E1440" s="55"/>
      <c r="F1440" s="56" t="n">
        <v>4421.95</v>
      </c>
      <c r="G1440" s="57" t="n">
        <f aca="false">MAX(0,IF(AND(Parameter!$B$21="Ja",ISNUMBER(W1440)),W1440,IF(Parameter!$B$20="Jahresanfang 2025 + Export",BJ1440+BI1440,BI1440)))</f>
        <v>0</v>
      </c>
      <c r="H1440" s="57" t="n">
        <f aca="false">G1440*F1440</f>
        <v>0</v>
      </c>
      <c r="I1440" s="57" t="n">
        <f aca="false">BL1440*Parameter!$B$18</f>
        <v>2</v>
      </c>
      <c r="J1440" s="58"/>
      <c r="K1440" s="59"/>
      <c r="L1440" s="57" t="n">
        <v>0</v>
      </c>
      <c r="M1440" s="57" t="n">
        <v>1</v>
      </c>
      <c r="N1440" s="60"/>
      <c r="O1440" s="55" t="s">
        <v>163</v>
      </c>
      <c r="P1440" s="57"/>
      <c r="Q1440" s="60" t="n">
        <f aca="false">IF(BR1440=1,0,IFERROR(VLOOKUP(BP1440,'Gebinde-Kategorie'!$A$5:$M$45,13,0)+0,0))</f>
        <v>0</v>
      </c>
      <c r="R1440" s="61"/>
      <c r="S1440" s="62"/>
      <c r="T1440" s="62"/>
      <c r="U1440" s="55"/>
      <c r="V1440" s="57"/>
      <c r="W1440" s="57"/>
      <c r="X1440" s="55" t="str">
        <f aca="false">IF(A1440="","",IF(AND(Parameter!$B$21="Ja",ISNUMBER(U1440)),U1440,IF(IFERROR(VLOOKUP(D1440,Parameter!$A$35:$C$64,2,0),"Nein")="2+3",IF(ISNUMBER(SEARCH("grosser Artikel",BM1440)),2,IFERROR(VLOOKUP(BP1440,Parameter!$F$35:$G$64,2,0),2)),IF(OR(IFERROR(VLOOKUP(D1440,Parameter!$A$35:$C$64,2,0),"Nein")="Nein",IFERROR(VLOOKUP(D1440,Parameter!$A$35:$C$64,2,0),"Nein")=""),"-",VLOOKUP(D1440,Parameter!$A$35:$C$64,2,0)))))</f>
        <v>-</v>
      </c>
      <c r="Y1440" s="62"/>
      <c r="Z1440" s="63"/>
      <c r="AA1440" s="57" t="n">
        <f aca="false">AP1440</f>
        <v>1</v>
      </c>
      <c r="AB1440" s="57" t="n">
        <f aca="false">MAX(AP1440,G1440)</f>
        <v>1</v>
      </c>
      <c r="AC1440" s="64"/>
      <c r="AD1440" s="57" t="n">
        <f aca="false">IF(LEFT(Cockpit!$C$5,1)="A",G1440,IF(BW1440=1,BX1440,IF(LEFT(Cockpit!$C$5,1)="B",AH1440,MAX(AH1440,G1440))))</f>
        <v>0</v>
      </c>
      <c r="AE1440" s="57" t="n">
        <f aca="false">IF(BR1440=1,0,ROUNDUP(AD1440/BQ1440,0))</f>
        <v>0</v>
      </c>
      <c r="AF1440" s="59" t="n">
        <f aca="false">IF(CD1440&gt;0,CD1440*MAX(1,AD1440/V1440),IF(BR1440=1,IF(AD1440&lt;=0,0,BS1440*MAX(1,IF(G1440&gt;0,AD1440/G1440,1))),IF(Q1440&gt;0,AE1440/Q1440,0))/MAX(0.1,N(Parameter!$M$21)))</f>
        <v>0</v>
      </c>
      <c r="AG1440" s="57" t="n">
        <f aca="false">AD1440*F1440</f>
        <v>0</v>
      </c>
      <c r="AH1440" s="57" t="n">
        <f aca="false">ROUNDUP(MAX(I1440/IF(BV1440&gt;0,BV1440,MAX(0.1,N(Cockpit!$C$6))),BY1440)/BQ1440,0)*BQ1440</f>
        <v>1</v>
      </c>
      <c r="AI1440" s="58" t="n">
        <f aca="false">IF(AF1440&gt;0,I1440/AF1440,-1)</f>
        <v>-1</v>
      </c>
      <c r="AJ1440" s="58" t="str">
        <f aca="false">IF(AND(OR(BU1440="L1",BU1440="L23"),AF1440&gt;0),SUMIFS($AF$7:$AF$1576,$BU$7:$BU$1576,BU1440,$AI$7:$AI$1576,"&gt;"&amp;AI1440)+SUMIFS($AF$7:$AF$1576,$BU$7:$BU$1576,BU1440,$AI$7:$AI$1576,AI1440,$BO$7:$BO$1576,"&lt;="&amp;BO1440),"")</f>
        <v/>
      </c>
      <c r="AK1440" s="65" t="n">
        <f aca="false">IF(AJ1440="",0,MAX(0,MIN(1,(IF(BU1440="L1",Parameter!$E$5,Parameter!$E$6+Parameter!$E$7)-(AJ1440-AF1440))/AF1440)))</f>
        <v>0</v>
      </c>
      <c r="AL1440" s="57" t="n">
        <f aca="false">IF(LEFT(Cockpit!$I$5,1)="A",G1440,IF(BW1440=1,BX1440,IF(LEFT(Cockpit!$I$5,1)="B",AP1440,MAX(AP1440,G1440))))</f>
        <v>1</v>
      </c>
      <c r="AM1440" s="57" t="n">
        <f aca="false">IF(BR1440=1,0,ROUNDUP(AL1440/BQ1440,0))</f>
        <v>0</v>
      </c>
      <c r="AN1440" s="59" t="n">
        <f aca="false">IF(CD1440&gt;0,CD1440*MAX(1,AL1440/V1440),IF(BR1440=1,IF(AL1440&lt;=0,0,BS1440*MAX(1,IF(G1440&gt;0,AL1440/G1440,1))),IF(Q1440&gt;0,AM1440/Q1440,0))/MAX(0.1,N(Parameter!$M$21)))</f>
        <v>0.15</v>
      </c>
      <c r="AO1440" s="57" t="n">
        <f aca="false">AL1440*F1440</f>
        <v>4421.95</v>
      </c>
      <c r="AP1440" s="57" t="n">
        <f aca="false">ROUNDUP(MAX(I1440/IF(BV1440&gt;0,BV1440,MAX(0.1,N(Cockpit!$I$6))),BY1440)/BQ1440,0)*BQ1440</f>
        <v>1</v>
      </c>
      <c r="AQ1440" s="58" t="n">
        <f aca="false">IF(AN1440&gt;0,I1440/AN1440,-1)</f>
        <v>13.3333333333333</v>
      </c>
      <c r="AR1440" s="58" t="str">
        <f aca="false">IF(AND(OR(BU1440="L1",BU1440="L23"),AN1440&gt;0),SUMIFS($AN$7:$AN$1576,$BU$7:$BU$1576,BU1440,$AQ$7:$AQ$1576,"&gt;"&amp;AQ1440)+SUMIFS($AN$7:$AN$1576,$BU$7:$BU$1576,BU1440,$AQ$7:$AQ$1576,AQ1440,$BO$7:$BO$1576,"&lt;="&amp;BO1440),"")</f>
        <v/>
      </c>
      <c r="AS1440" s="65" t="n">
        <f aca="false">IF(AR1440="",0,MAX(0,MIN(1,(IF(BU1440="L1",Parameter!$E$5,Parameter!$E$6+Parameter!$E$7)-(AR1440-AN1440))/AN1440)))</f>
        <v>0</v>
      </c>
      <c r="AT1440" s="57" t="n">
        <f aca="false">IF(LEFT(Cockpit!$O$5,1)="A",G1440,IF(BW1440=1,BX1440,IF(LEFT(Cockpit!$O$5,1)="B",AX1440,MAX(AX1440,G1440))))</f>
        <v>1</v>
      </c>
      <c r="AU1440" s="57" t="n">
        <f aca="false">IF(BR1440=1,0,ROUNDUP(AT1440/BQ1440,0))</f>
        <v>0</v>
      </c>
      <c r="AV1440" s="59" t="n">
        <f aca="false">IF(CD1440&gt;0,CD1440*MAX(1,AT1440/V1440),IF(BR1440=1,IF(AT1440&lt;=0,0,BS1440*MAX(1,IF(G1440&gt;0,AT1440/G1440,1))),IF(Q1440&gt;0,AU1440/Q1440,0))/MAX(0.1,N(Parameter!$M$21)))</f>
        <v>0.15</v>
      </c>
      <c r="AW1440" s="57" t="n">
        <f aca="false">AT1440*F1440</f>
        <v>4421.95</v>
      </c>
      <c r="AX1440" s="57" t="n">
        <f aca="false">ROUNDUP(MAX(I1440/IF(BV1440&gt;0,BV1440,MAX(0.1,N(Cockpit!$O$6))),BY1440)/BQ1440,0)*BQ1440</f>
        <v>1</v>
      </c>
      <c r="AY1440" s="58" t="n">
        <f aca="false">IF(AV1440&gt;0,I1440/AV1440,-1)</f>
        <v>13.3333333333333</v>
      </c>
      <c r="AZ1440" s="58" t="str">
        <f aca="false">IF(AND(OR(BU1440="L1",BU1440="L23"),AV1440&gt;0),SUMIFS($AV$7:$AV$1576,$BU$7:$BU$1576,BU1440,$AY$7:$AY$1576,"&gt;"&amp;AY1440)+SUMIFS($AV$7:$AV$1576,$BU$7:$BU$1576,BU1440,$AY$7:$AY$1576,AY1440,$BO$7:$BO$1576,"&lt;="&amp;BO1440),"")</f>
        <v/>
      </c>
      <c r="BA1440" s="65" t="n">
        <f aca="false">IF(AZ1440="",0,MAX(0,MIN(1,(IF(BU1440="L1",Parameter!$E$5,Parameter!$E$6+Parameter!$E$7)-(AZ1440-AV1440))/AV1440)))</f>
        <v>0</v>
      </c>
      <c r="BB1440" s="55" t="str">
        <f aca="false">IF(AF1440&lt;=0,"",IF(BU1440="Aussen","Aussenlager",IF(BU1440="-","Nicht im Lift",IF(AK1440&gt;=1,"Lift",IF(AK1440&lt;=0,"Aussenlager","teilweise")))))</f>
        <v/>
      </c>
      <c r="BC1440" s="55" t="str">
        <f aca="false">IF(AN1440&lt;=0,"",IF(BU1440="Aussen","Aussenlager",IF(BU1440="-","Nicht im Lift",IF(AS1440&gt;=1,"Lift",IF(AS1440&lt;=0,"Aussenlager","teilweise")))))</f>
        <v>Nicht im Lift</v>
      </c>
      <c r="BD1440" s="55" t="str">
        <f aca="false">IF(AV1440&lt;=0,"",IF(BU1440="Aussen","Aussenlager",IF(BU1440="-","Nicht im Lift",IF(BA1440&gt;=1,"Lift",IF(BA1440&lt;=0,"Aussenlager","teilweise")))))</f>
        <v>Nicht im Lift</v>
      </c>
      <c r="BE1440" s="55" t="str">
        <f aca="false">IF(A1440="","",IF(BN1440=1,"Neu; ","")&amp;IF(AND(BN1440=0,BI1440&lt;0),"negativer Bestand (Export "&amp;BI1440&amp;"); ","")&amp;IF(I1440&lt;=0,"Kein Verbrauch; ","")&amp;IF(CD1440&gt;0,"Lift "&amp;U1440&amp;" lt. Liftbericht (Fach "&amp;V1440&amp;" Stk); ",IF(BR1440=1,"Lose – Fläche geschätzt; ",""))&amp;IF(G1440&gt;AP1440,"Überbestand "&amp;ROUND(G1440-AP1440,0)&amp;" Stk / CHF "&amp;ROUND((G1440-AP1440)*F1440,0)&amp;"; ","")&amp;IF(AND(BW1440=1,BX1440&lt;BY1440),"MAX &lt; MB+LG; ","")&amp;IF(AND(CC1440&gt;0,CB1440*10&gt;CC1440),"zu hoch für Tablar; ","")&amp;IF(AND(BN1440=0,OR(BW1440=1,Y1440&lt;&gt;"",S1440&lt;&gt;"",T1440&lt;&gt;"",Z1440&lt;&gt;"")),"manuell übersteuert; ","")&amp;IF(AND(BR1440=0,Q1440=0),"Gebinde unbekannt / Stellmass fehlt; ","")&amp;IF(AND(BR1440=0,N(T1440)&lt;=0,N(P1440)&lt;=0),"Menge pro Gebinde fehlt (Ist = 1 Gebinde); ","")&amp;BM1440)</f>
        <v>negativer Bestand (Export -2); Lose – Fläche geschätzt; </v>
      </c>
      <c r="BF1440" s="55"/>
      <c r="BG1440" s="55"/>
      <c r="BH1440" s="62"/>
      <c r="BI1440" s="57" t="n">
        <v>-2</v>
      </c>
      <c r="BJ1440" s="57" t="n">
        <v>0</v>
      </c>
      <c r="BK1440" s="56" t="n">
        <v>-8843.9</v>
      </c>
      <c r="BL1440" s="57" t="n">
        <v>2</v>
      </c>
      <c r="BM1440" s="55"/>
      <c r="BN1440" s="60" t="n">
        <v>0</v>
      </c>
      <c r="BO1440" s="60" t="n">
        <v>1440</v>
      </c>
      <c r="BP1440" s="55" t="str">
        <f aca="false">IF(S1440&lt;&gt;"",UPPER(TRIM(S1440)),IF(O1440="","LOSE",O1440))</f>
        <v>LOSE</v>
      </c>
      <c r="BQ1440" s="57" t="n">
        <f aca="false">IF(BP1440="LOSE",1,IF(N(T1440)&gt;0,T1440,IF(N(P1440)&gt;0,P1440,MAX(1,G1440))))</f>
        <v>1</v>
      </c>
      <c r="BR1440" s="60" t="n">
        <f aca="false">IF(BP1440="LOSE",1,0)</f>
        <v>1</v>
      </c>
      <c r="BS1440" s="59" t="n">
        <f aca="false">IF(BR1440=0,0,IF(N(R1440)&gt;0,R1440,IFERROR(VLOOKUP(D1440,Parameter!$A$35:$C$64,3,0)+0,0)))</f>
        <v>0.15</v>
      </c>
      <c r="BT1440" s="55" t="str">
        <f aca="false">IF(Y1440&lt;&gt;"",Y1440,X1440)</f>
        <v>-</v>
      </c>
      <c r="BU1440" s="55" t="str">
        <f aca="false">IF(BT1440=1,"L1",IF(OR(BT1440=2,BT1440=3),"L23",IF(BT1440="Aussen","Aussen","-")))</f>
        <v>-</v>
      </c>
      <c r="BV1440" s="66" t="n">
        <f aca="false">IF(N(Z1440)&gt;0,Z1440,0)</f>
        <v>0</v>
      </c>
      <c r="BW1440" s="60" t="n">
        <f aca="false">IF(ISNUMBER(AC1440),1,0)</f>
        <v>0</v>
      </c>
      <c r="BX1440" s="57" t="n">
        <f aca="false">N(AC1440)</f>
        <v>0</v>
      </c>
      <c r="BY1440" s="57" t="n">
        <f aca="false">N(L1440)+N(M1440)</f>
        <v>1</v>
      </c>
      <c r="BZ1440" s="57" t="n">
        <f aca="false">ROUNDUP(G1440/BQ1440,0)</f>
        <v>0</v>
      </c>
      <c r="CA1440" s="57" t="n">
        <f aca="false">ROUNDUP(BX1440/BQ1440,0)</f>
        <v>0</v>
      </c>
      <c r="CB1440" s="60" t="n">
        <f aca="false">IF(BR1440=1,0,IFERROR(VLOOKUP(BP1440,'Gebinde-Kategorie'!$A$5:$M$45,5,0)+0,0))</f>
        <v>0</v>
      </c>
      <c r="CC1440" s="60" t="n">
        <f aca="false">IFERROR(IF(OR(BT1440=1,BT1440=2,BT1440=3),N(INDEX(Parameter!$I$5:$I$7,BT1440)),0),0)</f>
        <v>0</v>
      </c>
      <c r="CD1440" s="59" t="n">
        <f aca="false">IF(AND(Parameter!$B$21="Ja",ISNUMBER(U1440),N(V1440)&gt;0),IFERROR(N(INDEX(Parameter!$L$5:$L$7,U1440))*INDEX(Parameter!$E$5:$E$7,U1440)*V1440/SUMIFS($V$7:$V$1576,$U$7:$U$1576,U1440),0),0)</f>
        <v>0</v>
      </c>
    </row>
    <row r="1441" customFormat="false" ht="15" hidden="false" customHeight="false" outlineLevel="0" collapsed="false">
      <c r="A1441" s="55" t="s">
        <v>2509</v>
      </c>
      <c r="B1441" s="55" t="s">
        <v>2510</v>
      </c>
      <c r="C1441" s="55" t="s">
        <v>160</v>
      </c>
      <c r="D1441" s="55" t="s">
        <v>168</v>
      </c>
      <c r="E1441" s="55"/>
      <c r="F1441" s="56" t="n">
        <v>234.8</v>
      </c>
      <c r="G1441" s="57" t="n">
        <f aca="false">MAX(0,IF(AND(Parameter!$B$21="Ja",ISNUMBER(W1441)),W1441,IF(Parameter!$B$20="Jahresanfang 2025 + Export",BJ1441+BI1441,BI1441)))</f>
        <v>0</v>
      </c>
      <c r="H1441" s="57" t="n">
        <f aca="false">G1441*F1441</f>
        <v>0</v>
      </c>
      <c r="I1441" s="57" t="n">
        <f aca="false">BL1441*Parameter!$B$18</f>
        <v>207</v>
      </c>
      <c r="J1441" s="58"/>
      <c r="K1441" s="59"/>
      <c r="L1441" s="57" t="n">
        <v>12</v>
      </c>
      <c r="M1441" s="57" t="n">
        <v>80</v>
      </c>
      <c r="N1441" s="60"/>
      <c r="O1441" s="55" t="s">
        <v>169</v>
      </c>
      <c r="P1441" s="57" t="n">
        <v>20</v>
      </c>
      <c r="Q1441" s="60" t="n">
        <f aca="false">IF(BR1441=1,0,IFERROR(VLOOKUP(BP1441,'Gebinde-Kategorie'!$A$5:$M$45,13,0)+0,0))</f>
        <v>6</v>
      </c>
      <c r="R1441" s="61"/>
      <c r="S1441" s="62"/>
      <c r="T1441" s="62"/>
      <c r="U1441" s="55"/>
      <c r="V1441" s="57"/>
      <c r="W1441" s="57"/>
      <c r="X1441" s="55" t="n">
        <f aca="false">IF(A1441="","",IF(AND(Parameter!$B$21="Ja",ISNUMBER(U1441)),U1441,IF(IFERROR(VLOOKUP(D1441,Parameter!$A$35:$C$64,2,0),"Nein")="2+3",IF(ISNUMBER(SEARCH("grosser Artikel",BM1441)),2,IFERROR(VLOOKUP(BP1441,Parameter!$F$35:$G$64,2,0),2)),IF(OR(IFERROR(VLOOKUP(D1441,Parameter!$A$35:$C$64,2,0),"Nein")="Nein",IFERROR(VLOOKUP(D1441,Parameter!$A$35:$C$64,2,0),"Nein")=""),"-",VLOOKUP(D1441,Parameter!$A$35:$C$64,2,0)))))</f>
        <v>2</v>
      </c>
      <c r="Y1441" s="62"/>
      <c r="Z1441" s="63"/>
      <c r="AA1441" s="57" t="n">
        <f aca="false">AP1441</f>
        <v>120</v>
      </c>
      <c r="AB1441" s="57" t="n">
        <f aca="false">MAX(AP1441,G1441)</f>
        <v>120</v>
      </c>
      <c r="AC1441" s="64"/>
      <c r="AD1441" s="57" t="n">
        <f aca="false">IF(LEFT(Cockpit!$C$5,1)="A",G1441,IF(BW1441=1,BX1441,IF(LEFT(Cockpit!$C$5,1)="B",AH1441,MAX(AH1441,G1441))))</f>
        <v>0</v>
      </c>
      <c r="AE1441" s="57" t="n">
        <f aca="false">IF(BR1441=1,0,ROUNDUP(AD1441/BQ1441,0))</f>
        <v>0</v>
      </c>
      <c r="AF1441" s="59" t="n">
        <f aca="false">IF(CD1441&gt;0,CD1441*MAX(1,AD1441/V1441),IF(BR1441=1,IF(AD1441&lt;=0,0,BS1441*MAX(1,IF(G1441&gt;0,AD1441/G1441,1))),IF(Q1441&gt;0,AE1441/Q1441,0))/MAX(0.1,N(Parameter!$M$21)))</f>
        <v>0</v>
      </c>
      <c r="AG1441" s="57" t="n">
        <f aca="false">AD1441*F1441</f>
        <v>0</v>
      </c>
      <c r="AH1441" s="57" t="n">
        <f aca="false">ROUNDUP(MAX(I1441/IF(BV1441&gt;0,BV1441,MAX(0.1,N(Cockpit!$C$6))),BY1441)/BQ1441,0)*BQ1441</f>
        <v>120</v>
      </c>
      <c r="AI1441" s="58" t="n">
        <f aca="false">IF(AF1441&gt;0,I1441/AF1441,-1)</f>
        <v>-1</v>
      </c>
      <c r="AJ1441" s="58" t="str">
        <f aca="false">IF(AND(OR(BU1441="L1",BU1441="L23"),AF1441&gt;0),SUMIFS($AF$7:$AF$1576,$BU$7:$BU$1576,BU1441,$AI$7:$AI$1576,"&gt;"&amp;AI1441)+SUMIFS($AF$7:$AF$1576,$BU$7:$BU$1576,BU1441,$AI$7:$AI$1576,AI1441,$BO$7:$BO$1576,"&lt;="&amp;BO1441),"")</f>
        <v/>
      </c>
      <c r="AK1441" s="65" t="n">
        <f aca="false">IF(AJ1441="",0,MAX(0,MIN(1,(IF(BU1441="L1",Parameter!$E$5,Parameter!$E$6+Parameter!$E$7)-(AJ1441-AF1441))/AF1441)))</f>
        <v>0</v>
      </c>
      <c r="AL1441" s="57" t="n">
        <f aca="false">IF(LEFT(Cockpit!$I$5,1)="A",G1441,IF(BW1441=1,BX1441,IF(LEFT(Cockpit!$I$5,1)="B",AP1441,MAX(AP1441,G1441))))</f>
        <v>120</v>
      </c>
      <c r="AM1441" s="57" t="n">
        <f aca="false">IF(BR1441=1,0,ROUNDUP(AL1441/BQ1441,0))</f>
        <v>6</v>
      </c>
      <c r="AN1441" s="59" t="n">
        <f aca="false">IF(CD1441&gt;0,CD1441*MAX(1,AL1441/V1441),IF(BR1441=1,IF(AL1441&lt;=0,0,BS1441*MAX(1,IF(G1441&gt;0,AL1441/G1441,1))),IF(Q1441&gt;0,AM1441/Q1441,0))/MAX(0.1,N(Parameter!$M$21)))</f>
        <v>1</v>
      </c>
      <c r="AO1441" s="57" t="n">
        <f aca="false">AL1441*F1441</f>
        <v>28176</v>
      </c>
      <c r="AP1441" s="57" t="n">
        <f aca="false">ROUNDUP(MAX(I1441/IF(BV1441&gt;0,BV1441,MAX(0.1,N(Cockpit!$I$6))),BY1441)/BQ1441,0)*BQ1441</f>
        <v>120</v>
      </c>
      <c r="AQ1441" s="58" t="n">
        <f aca="false">IF(AN1441&gt;0,I1441/AN1441,-1)</f>
        <v>207</v>
      </c>
      <c r="AR1441" s="58" t="n">
        <f aca="false">IF(AND(OR(BU1441="L1",BU1441="L23"),AN1441&gt;0),SUMIFS($AN$7:$AN$1576,$BU$7:$BU$1576,BU1441,$AQ$7:$AQ$1576,"&gt;"&amp;AQ1441)+SUMIFS($AN$7:$AN$1576,$BU$7:$BU$1576,BU1441,$AQ$7:$AQ$1576,AQ1441,$BO$7:$BO$1576,"&lt;="&amp;BO1441),"")</f>
        <v>50.5661665511777</v>
      </c>
      <c r="AS1441" s="65" t="n">
        <f aca="false">IF(AR1441="",0,MAX(0,MIN(1,(IF(BU1441="L1",Parameter!$E$5,Parameter!$E$6+Parameter!$E$7)-(AR1441-AN1441))/AN1441)))</f>
        <v>1</v>
      </c>
      <c r="AT1441" s="57" t="n">
        <f aca="false">IF(LEFT(Cockpit!$O$5,1)="A",G1441,IF(BW1441=1,BX1441,IF(LEFT(Cockpit!$O$5,1)="B",AX1441,MAX(AX1441,G1441))))</f>
        <v>100</v>
      </c>
      <c r="AU1441" s="57" t="n">
        <f aca="false">IF(BR1441=1,0,ROUNDUP(AT1441/BQ1441,0))</f>
        <v>5</v>
      </c>
      <c r="AV1441" s="59" t="n">
        <f aca="false">IF(CD1441&gt;0,CD1441*MAX(1,AT1441/V1441),IF(BR1441=1,IF(AT1441&lt;=0,0,BS1441*MAX(1,IF(G1441&gt;0,AT1441/G1441,1))),IF(Q1441&gt;0,AU1441/Q1441,0))/MAX(0.1,N(Parameter!$M$21)))</f>
        <v>0.833333333333333</v>
      </c>
      <c r="AW1441" s="57" t="n">
        <f aca="false">AT1441*F1441</f>
        <v>23480</v>
      </c>
      <c r="AX1441" s="57" t="n">
        <f aca="false">ROUNDUP(MAX(I1441/IF(BV1441&gt;0,BV1441,MAX(0.1,N(Cockpit!$O$6))),BY1441)/BQ1441,0)*BQ1441</f>
        <v>100</v>
      </c>
      <c r="AY1441" s="58" t="n">
        <f aca="false">IF(AV1441&gt;0,I1441/AV1441,-1)</f>
        <v>248.4</v>
      </c>
      <c r="AZ1441" s="58" t="n">
        <f aca="false">IF(AND(OR(BU1441="L1",BU1441="L23"),AV1441&gt;0),SUMIFS($AV$7:$AV$1576,$BU$7:$BU$1576,BU1441,$AY$7:$AY$1576,"&gt;"&amp;AY1441)+SUMIFS($AV$7:$AV$1576,$BU$7:$BU$1576,BU1441,$AY$7:$AY$1576,AY1441,$BO$7:$BO$1576,"&lt;="&amp;BO1441),"")</f>
        <v>42.6989541017914</v>
      </c>
      <c r="BA1441" s="65" t="n">
        <f aca="false">IF(AZ1441="",0,MAX(0,MIN(1,(IF(BU1441="L1",Parameter!$E$5,Parameter!$E$6+Parameter!$E$7)-(AZ1441-AV1441))/AV1441)))</f>
        <v>1</v>
      </c>
      <c r="BB1441" s="55" t="str">
        <f aca="false">IF(AF1441&lt;=0,"",IF(BU1441="Aussen","Aussenlager",IF(BU1441="-","Nicht im Lift",IF(AK1441&gt;=1,"Lift",IF(AK1441&lt;=0,"Aussenlager","teilweise")))))</f>
        <v/>
      </c>
      <c r="BC1441" s="55" t="str">
        <f aca="false">IF(AN1441&lt;=0,"",IF(BU1441="Aussen","Aussenlager",IF(BU1441="-","Nicht im Lift",IF(AS1441&gt;=1,"Lift",IF(AS1441&lt;=0,"Aussenlager","teilweise")))))</f>
        <v>Lift</v>
      </c>
      <c r="BD1441" s="55" t="str">
        <f aca="false">IF(AV1441&lt;=0,"",IF(BU1441="Aussen","Aussenlager",IF(BU1441="-","Nicht im Lift",IF(BA1441&gt;=1,"Lift",IF(BA1441&lt;=0,"Aussenlager","teilweise")))))</f>
        <v>Lift</v>
      </c>
      <c r="BE1441" s="55" t="str">
        <f aca="false">IF(A1441="","",IF(BN1441=1,"Neu; ","")&amp;IF(AND(BN1441=0,BI1441&lt;0),"negativer Bestand (Export "&amp;BI1441&amp;"); ","")&amp;IF(I1441&lt;=0,"Kein Verbrauch; ","")&amp;IF(CD1441&gt;0,"Lift "&amp;U1441&amp;" lt. Liftbericht (Fach "&amp;V1441&amp;" Stk); ",IF(BR1441=1,"Lose – Fläche geschätzt; ",""))&amp;IF(G1441&gt;AP1441,"Überbestand "&amp;ROUND(G1441-AP1441,0)&amp;" Stk / CHF "&amp;ROUND((G1441-AP1441)*F1441,0)&amp;"; ","")&amp;IF(AND(BW1441=1,BX1441&lt;BY1441),"MAX &lt; MB+LG; ","")&amp;IF(AND(CC1441&gt;0,CB1441*10&gt;CC1441),"zu hoch für Tablar; ","")&amp;IF(AND(BN1441=0,OR(BW1441=1,Y1441&lt;&gt;"",S1441&lt;&gt;"",T1441&lt;&gt;"",Z1441&lt;&gt;"")),"manuell übersteuert; ","")&amp;IF(AND(BR1441=0,Q1441=0),"Gebinde unbekannt / Stellmass fehlt; ","")&amp;IF(AND(BR1441=0,N(T1441)&lt;=0,N(P1441)&lt;=0),"Menge pro Gebinde fehlt (Ist = 1 Gebinde); ","")&amp;BM1441)</f>
        <v>negativer Bestand (Export -43); grosser Artikel &amp; nicht im KTL</v>
      </c>
      <c r="BF1441" s="55"/>
      <c r="BG1441" s="55"/>
      <c r="BH1441" s="62"/>
      <c r="BI1441" s="57" t="n">
        <v>-43</v>
      </c>
      <c r="BJ1441" s="57" t="n">
        <v>0</v>
      </c>
      <c r="BK1441" s="56" t="n">
        <v>-8983.15</v>
      </c>
      <c r="BL1441" s="57" t="n">
        <v>207</v>
      </c>
      <c r="BM1441" s="55" t="s">
        <v>253</v>
      </c>
      <c r="BN1441" s="60" t="n">
        <v>0</v>
      </c>
      <c r="BO1441" s="60" t="n">
        <v>1441</v>
      </c>
      <c r="BP1441" s="55" t="str">
        <f aca="false">IF(S1441&lt;&gt;"",UPPER(TRIM(S1441)),IF(O1441="","LOSE",O1441))</f>
        <v>S71</v>
      </c>
      <c r="BQ1441" s="57" t="n">
        <f aca="false">IF(BP1441="LOSE",1,IF(N(T1441)&gt;0,T1441,IF(N(P1441)&gt;0,P1441,MAX(1,G1441))))</f>
        <v>20</v>
      </c>
      <c r="BR1441" s="60" t="n">
        <f aca="false">IF(BP1441="LOSE",1,0)</f>
        <v>0</v>
      </c>
      <c r="BS1441" s="59" t="n">
        <f aca="false">IF(BR1441=0,0,IF(N(R1441)&gt;0,R1441,IFERROR(VLOOKUP(D1441,Parameter!$A$35:$C$64,3,0)+0,0)))</f>
        <v>0</v>
      </c>
      <c r="BT1441" s="55" t="n">
        <f aca="false">IF(Y1441&lt;&gt;"",Y1441,X1441)</f>
        <v>2</v>
      </c>
      <c r="BU1441" s="55" t="str">
        <f aca="false">IF(BT1441=1,"L1",IF(OR(BT1441=2,BT1441=3),"L23",IF(BT1441="Aussen","Aussen","-")))</f>
        <v>L23</v>
      </c>
      <c r="BV1441" s="66" t="n">
        <f aca="false">IF(N(Z1441)&gt;0,Z1441,0)</f>
        <v>0</v>
      </c>
      <c r="BW1441" s="60" t="n">
        <f aca="false">IF(ISNUMBER(AC1441),1,0)</f>
        <v>0</v>
      </c>
      <c r="BX1441" s="57" t="n">
        <f aca="false">N(AC1441)</f>
        <v>0</v>
      </c>
      <c r="BY1441" s="57" t="n">
        <f aca="false">N(L1441)+N(M1441)</f>
        <v>92</v>
      </c>
      <c r="BZ1441" s="57" t="n">
        <f aca="false">ROUNDUP(G1441/BQ1441,0)</f>
        <v>0</v>
      </c>
      <c r="CA1441" s="57" t="n">
        <f aca="false">ROUNDUP(BX1441/BQ1441,0)</f>
        <v>0</v>
      </c>
      <c r="CB1441" s="60" t="n">
        <f aca="false">IF(BR1441=1,0,IFERROR(VLOOKUP(BP1441,'Gebinde-Kategorie'!$A$5:$M$45,5,0)+0,0))</f>
        <v>20</v>
      </c>
      <c r="CC1441" s="60" t="n">
        <f aca="false">IFERROR(IF(OR(BT1441=1,BT1441=2,BT1441=3),N(INDEX(Parameter!$I$5:$I$7,BT1441)),0),0)</f>
        <v>0</v>
      </c>
      <c r="CD1441" s="59" t="n">
        <f aca="false">IF(AND(Parameter!$B$21="Ja",ISNUMBER(U1441),N(V1441)&gt;0),IFERROR(N(INDEX(Parameter!$L$5:$L$7,U1441))*INDEX(Parameter!$E$5:$E$7,U1441)*V1441/SUMIFS($V$7:$V$1576,$U$7:$U$1576,U1441),0),0)</f>
        <v>0</v>
      </c>
    </row>
    <row r="1442" customFormat="false" ht="15" hidden="false" customHeight="false" outlineLevel="0" collapsed="false">
      <c r="A1442" s="55" t="s">
        <v>2511</v>
      </c>
      <c r="B1442" s="55" t="s">
        <v>2512</v>
      </c>
      <c r="C1442" s="55" t="s">
        <v>162</v>
      </c>
      <c r="D1442" s="55" t="s">
        <v>161</v>
      </c>
      <c r="E1442" s="55"/>
      <c r="F1442" s="56" t="n">
        <v>1549.14</v>
      </c>
      <c r="G1442" s="57" t="n">
        <f aca="false">MAX(0,IF(AND(Parameter!$B$21="Ja",ISNUMBER(W1442)),W1442,IF(Parameter!$B$20="Jahresanfang 2025 + Export",BJ1442+BI1442,BI1442)))</f>
        <v>8</v>
      </c>
      <c r="H1442" s="57" t="n">
        <f aca="false">G1442*F1442</f>
        <v>12393.12</v>
      </c>
      <c r="I1442" s="57" t="n">
        <f aca="false">BL1442*Parameter!$B$18</f>
        <v>13</v>
      </c>
      <c r="J1442" s="58"/>
      <c r="K1442" s="59"/>
      <c r="L1442" s="57" t="n">
        <v>3</v>
      </c>
      <c r="M1442" s="57" t="n">
        <v>3</v>
      </c>
      <c r="N1442" s="60"/>
      <c r="O1442" s="55" t="s">
        <v>163</v>
      </c>
      <c r="P1442" s="57"/>
      <c r="Q1442" s="60" t="n">
        <f aca="false">IF(BR1442=1,0,IFERROR(VLOOKUP(BP1442,'Gebinde-Kategorie'!$A$5:$M$45,13,0)+0,0))</f>
        <v>0</v>
      </c>
      <c r="R1442" s="61"/>
      <c r="S1442" s="62"/>
      <c r="T1442" s="62"/>
      <c r="U1442" s="55" t="n">
        <v>1</v>
      </c>
      <c r="V1442" s="57" t="n">
        <v>20</v>
      </c>
      <c r="W1442" s="57" t="n">
        <v>8</v>
      </c>
      <c r="X1442" s="55" t="n">
        <f aca="false">IF(A1442="","",IF(AND(Parameter!$B$21="Ja",ISNUMBER(U1442)),U1442,IF(IFERROR(VLOOKUP(D1442,Parameter!$A$35:$C$64,2,0),"Nein")="2+3",IF(ISNUMBER(SEARCH("grosser Artikel",BM1442)),2,IFERROR(VLOOKUP(BP1442,Parameter!$F$35:$G$64,2,0),2)),IF(OR(IFERROR(VLOOKUP(D1442,Parameter!$A$35:$C$64,2,0),"Nein")="Nein",IFERROR(VLOOKUP(D1442,Parameter!$A$35:$C$64,2,0),"Nein")=""),"-",VLOOKUP(D1442,Parameter!$A$35:$C$64,2,0)))))</f>
        <v>1</v>
      </c>
      <c r="Y1442" s="62"/>
      <c r="Z1442" s="63"/>
      <c r="AA1442" s="57" t="n">
        <f aca="false">AP1442</f>
        <v>7</v>
      </c>
      <c r="AB1442" s="57" t="n">
        <f aca="false">MAX(AP1442,G1442)</f>
        <v>8</v>
      </c>
      <c r="AC1442" s="64"/>
      <c r="AD1442" s="57" t="n">
        <f aca="false">IF(LEFT(Cockpit!$C$5,1)="A",G1442,IF(BW1442=1,BX1442,IF(LEFT(Cockpit!$C$5,1)="B",AH1442,MAX(AH1442,G1442))))</f>
        <v>8</v>
      </c>
      <c r="AE1442" s="57" t="n">
        <f aca="false">IF(BR1442=1,0,ROUNDUP(AD1442/BQ1442,0))</f>
        <v>0</v>
      </c>
      <c r="AF1442" s="59" t="n">
        <f aca="false">IF(CD1442&gt;0,CD1442*MAX(1,AD1442/V1442),IF(BR1442=1,IF(AD1442&lt;=0,0,BS1442*MAX(1,IF(G1442&gt;0,AD1442/G1442,1))),IF(Q1442&gt;0,AE1442/Q1442,0))/MAX(0.1,N(Parameter!$M$21)))</f>
        <v>1.60075329566855</v>
      </c>
      <c r="AG1442" s="57" t="n">
        <f aca="false">AD1442*F1442</f>
        <v>12393.12</v>
      </c>
      <c r="AH1442" s="57" t="n">
        <f aca="false">ROUNDUP(MAX(I1442/IF(BV1442&gt;0,BV1442,MAX(0.1,N(Cockpit!$C$6))),BY1442)/BQ1442,0)*BQ1442</f>
        <v>7</v>
      </c>
      <c r="AI1442" s="58" t="n">
        <f aca="false">IF(AF1442&gt;0,I1442/AF1442,-1)</f>
        <v>8.12117647058824</v>
      </c>
      <c r="AJ1442" s="58" t="n">
        <f aca="false">IF(AND(OR(BU1442="L1",BU1442="L23"),AF1442&gt;0),SUMIFS($AF$7:$AF$1576,$BU$7:$BU$1576,BU1442,$AI$7:$AI$1576,"&gt;"&amp;AI1442)+SUMIFS($AF$7:$AF$1576,$BU$7:$BU$1576,BU1442,$AI$7:$AI$1576,AI1442,$BO$7:$BO$1576,"&lt;="&amp;BO1442),"")</f>
        <v>23.210922787194</v>
      </c>
      <c r="AK1442" s="65" t="n">
        <f aca="false">IF(AJ1442="",0,MAX(0,MIN(1,(IF(BU1442="L1",Parameter!$E$5,Parameter!$E$6+Parameter!$E$7)-(AJ1442-AF1442))/AF1442)))</f>
        <v>1</v>
      </c>
      <c r="AL1442" s="57" t="n">
        <f aca="false">IF(LEFT(Cockpit!$I$5,1)="A",G1442,IF(BW1442=1,BX1442,IF(LEFT(Cockpit!$I$5,1)="B",AP1442,MAX(AP1442,G1442))))</f>
        <v>8</v>
      </c>
      <c r="AM1442" s="57" t="n">
        <f aca="false">IF(BR1442=1,0,ROUNDUP(AL1442/BQ1442,0))</f>
        <v>0</v>
      </c>
      <c r="AN1442" s="59" t="n">
        <f aca="false">IF(CD1442&gt;0,CD1442*MAX(1,AL1442/V1442),IF(BR1442=1,IF(AL1442&lt;=0,0,BS1442*MAX(1,IF(G1442&gt;0,AL1442/G1442,1))),IF(Q1442&gt;0,AM1442/Q1442,0))/MAX(0.1,N(Parameter!$M$21)))</f>
        <v>1.60075329566855</v>
      </c>
      <c r="AO1442" s="57" t="n">
        <f aca="false">AL1442*F1442</f>
        <v>12393.12</v>
      </c>
      <c r="AP1442" s="57" t="n">
        <f aca="false">ROUNDUP(MAX(I1442/IF(BV1442&gt;0,BV1442,MAX(0.1,N(Cockpit!$I$6))),BY1442)/BQ1442,0)*BQ1442</f>
        <v>7</v>
      </c>
      <c r="AQ1442" s="58" t="n">
        <f aca="false">IF(AN1442&gt;0,I1442/AN1442,-1)</f>
        <v>8.12117647058824</v>
      </c>
      <c r="AR1442" s="58" t="n">
        <f aca="false">IF(AND(OR(BU1442="L1",BU1442="L23"),AN1442&gt;0),SUMIFS($AN$7:$AN$1576,$BU$7:$BU$1576,BU1442,$AQ$7:$AQ$1576,"&gt;"&amp;AQ1442)+SUMIFS($AN$7:$AN$1576,$BU$7:$BU$1576,BU1442,$AQ$7:$AQ$1576,AQ1442,$BO$7:$BO$1576,"&lt;="&amp;BO1442),"")</f>
        <v>28.653483992467</v>
      </c>
      <c r="AS1442" s="65" t="n">
        <f aca="false">IF(AR1442="",0,MAX(0,MIN(1,(IF(BU1442="L1",Parameter!$E$5,Parameter!$E$6+Parameter!$E$7)-(AR1442-AN1442))/AN1442)))</f>
        <v>1</v>
      </c>
      <c r="AT1442" s="57" t="n">
        <f aca="false">IF(LEFT(Cockpit!$O$5,1)="A",G1442,IF(BW1442=1,BX1442,IF(LEFT(Cockpit!$O$5,1)="B",AX1442,MAX(AX1442,G1442))))</f>
        <v>8</v>
      </c>
      <c r="AU1442" s="57" t="n">
        <f aca="false">IF(BR1442=1,0,ROUNDUP(AT1442/BQ1442,0))</f>
        <v>0</v>
      </c>
      <c r="AV1442" s="59" t="n">
        <f aca="false">IF(CD1442&gt;0,CD1442*MAX(1,AT1442/V1442),IF(BR1442=1,IF(AT1442&lt;=0,0,BS1442*MAX(1,IF(G1442&gt;0,AT1442/G1442,1))),IF(Q1442&gt;0,AU1442/Q1442,0))/MAX(0.1,N(Parameter!$M$21)))</f>
        <v>1.60075329566855</v>
      </c>
      <c r="AW1442" s="57" t="n">
        <f aca="false">AT1442*F1442</f>
        <v>12393.12</v>
      </c>
      <c r="AX1442" s="57" t="n">
        <f aca="false">ROUNDUP(MAX(I1442/IF(BV1442&gt;0,BV1442,MAX(0.1,N(Cockpit!$O$6))),BY1442)/BQ1442,0)*BQ1442</f>
        <v>6</v>
      </c>
      <c r="AY1442" s="58" t="n">
        <f aca="false">IF(AV1442&gt;0,I1442/AV1442,-1)</f>
        <v>8.12117647058824</v>
      </c>
      <c r="AZ1442" s="58" t="n">
        <f aca="false">IF(AND(OR(BU1442="L1",BU1442="L23"),AV1442&gt;0),SUMIFS($AV$7:$AV$1576,$BU$7:$BU$1576,BU1442,$AY$7:$AY$1576,"&gt;"&amp;AY1442)+SUMIFS($AV$7:$AV$1576,$BU$7:$BU$1576,BU1442,$AY$7:$AY$1576,AY1442,$BO$7:$BO$1576,"&lt;="&amp;BO1442),"")</f>
        <v>25.6920903954802</v>
      </c>
      <c r="BA1442" s="65" t="n">
        <f aca="false">IF(AZ1442="",0,MAX(0,MIN(1,(IF(BU1442="L1",Parameter!$E$5,Parameter!$E$6+Parameter!$E$7)-(AZ1442-AV1442))/AV1442)))</f>
        <v>1</v>
      </c>
      <c r="BB1442" s="55" t="str">
        <f aca="false">IF(AF1442&lt;=0,"",IF(BU1442="Aussen","Aussenlager",IF(BU1442="-","Nicht im Lift",IF(AK1442&gt;=1,"Lift",IF(AK1442&lt;=0,"Aussenlager","teilweise")))))</f>
        <v>Lift</v>
      </c>
      <c r="BC1442" s="55" t="str">
        <f aca="false">IF(AN1442&lt;=0,"",IF(BU1442="Aussen","Aussenlager",IF(BU1442="-","Nicht im Lift",IF(AS1442&gt;=1,"Lift",IF(AS1442&lt;=0,"Aussenlager","teilweise")))))</f>
        <v>Lift</v>
      </c>
      <c r="BD1442" s="55" t="str">
        <f aca="false">IF(AV1442&lt;=0,"",IF(BU1442="Aussen","Aussenlager",IF(BU1442="-","Nicht im Lift",IF(BA1442&gt;=1,"Lift",IF(BA1442&lt;=0,"Aussenlager","teilweise")))))</f>
        <v>Lift</v>
      </c>
      <c r="BE1442" s="55" t="str">
        <f aca="false">IF(A1442="","",IF(BN1442=1,"Neu; ","")&amp;IF(AND(BN1442=0,BI1442&lt;0),"negativer Bestand (Export "&amp;BI1442&amp;"); ","")&amp;IF(I1442&lt;=0,"Kein Verbrauch; ","")&amp;IF(CD1442&gt;0,"Lift "&amp;U1442&amp;" lt. Liftbericht (Fach "&amp;V1442&amp;" Stk); ",IF(BR1442=1,"Lose – Fläche geschätzt; ",""))&amp;IF(G1442&gt;AP1442,"Überbestand "&amp;ROUND(G1442-AP1442,0)&amp;" Stk / CHF "&amp;ROUND((G1442-AP1442)*F1442,0)&amp;"; ","")&amp;IF(AND(BW1442=1,BX1442&lt;BY1442),"MAX &lt; MB+LG; ","")&amp;IF(AND(CC1442&gt;0,CB1442*10&gt;CC1442),"zu hoch für Tablar; ","")&amp;IF(AND(BN1442=0,OR(BW1442=1,Y1442&lt;&gt;"",S1442&lt;&gt;"",T1442&lt;&gt;"",Z1442&lt;&gt;"")),"manuell übersteuert; ","")&amp;IF(AND(BR1442=0,Q1442=0),"Gebinde unbekannt / Stellmass fehlt; ","")&amp;IF(AND(BR1442=0,N(T1442)&lt;=0,N(P1442)&lt;=0),"Menge pro Gebinde fehlt (Ist = 1 Gebinde); ","")&amp;BM1442)</f>
        <v>negativer Bestand (Export -6); Lift 1 lt. Liftbericht (Fach 20 Stk); Überbestand 1 Stk / CHF 1549; </v>
      </c>
      <c r="BF1442" s="55"/>
      <c r="BG1442" s="55"/>
      <c r="BH1442" s="62"/>
      <c r="BI1442" s="57" t="n">
        <v>-6</v>
      </c>
      <c r="BJ1442" s="57" t="n">
        <v>0</v>
      </c>
      <c r="BK1442" s="56" t="n">
        <v>-9049.02</v>
      </c>
      <c r="BL1442" s="57" t="n">
        <v>13</v>
      </c>
      <c r="BM1442" s="55"/>
      <c r="BN1442" s="60" t="n">
        <v>0</v>
      </c>
      <c r="BO1442" s="60" t="n">
        <v>1442</v>
      </c>
      <c r="BP1442" s="55" t="str">
        <f aca="false">IF(S1442&lt;&gt;"",UPPER(TRIM(S1442)),IF(O1442="","LOSE",O1442))</f>
        <v>LOSE</v>
      </c>
      <c r="BQ1442" s="57" t="n">
        <f aca="false">IF(BP1442="LOSE",1,IF(N(T1442)&gt;0,T1442,IF(N(P1442)&gt;0,P1442,MAX(1,G1442))))</f>
        <v>1</v>
      </c>
      <c r="BR1442" s="60" t="n">
        <f aca="false">IF(BP1442="LOSE",1,0)</f>
        <v>1</v>
      </c>
      <c r="BS1442" s="59" t="n">
        <f aca="false">IF(BR1442=0,0,IF(N(R1442)&gt;0,R1442,IFERROR(VLOOKUP(D1442,Parameter!$A$35:$C$64,3,0)+0,0)))</f>
        <v>1</v>
      </c>
      <c r="BT1442" s="55" t="n">
        <f aca="false">IF(Y1442&lt;&gt;"",Y1442,X1442)</f>
        <v>1</v>
      </c>
      <c r="BU1442" s="55" t="str">
        <f aca="false">IF(BT1442=1,"L1",IF(OR(BT1442=2,BT1442=3),"L23",IF(BT1442="Aussen","Aussen","-")))</f>
        <v>L1</v>
      </c>
      <c r="BV1442" s="66" t="n">
        <f aca="false">IF(N(Z1442)&gt;0,Z1442,0)</f>
        <v>0</v>
      </c>
      <c r="BW1442" s="60" t="n">
        <f aca="false">IF(ISNUMBER(AC1442),1,0)</f>
        <v>0</v>
      </c>
      <c r="BX1442" s="57" t="n">
        <f aca="false">N(AC1442)</f>
        <v>0</v>
      </c>
      <c r="BY1442" s="57" t="n">
        <f aca="false">N(L1442)+N(M1442)</f>
        <v>6</v>
      </c>
      <c r="BZ1442" s="57" t="n">
        <f aca="false">ROUNDUP(G1442/BQ1442,0)</f>
        <v>8</v>
      </c>
      <c r="CA1442" s="57" t="n">
        <f aca="false">ROUNDUP(BX1442/BQ1442,0)</f>
        <v>0</v>
      </c>
      <c r="CB1442" s="60" t="n">
        <f aca="false">IF(BR1442=1,0,IFERROR(VLOOKUP(BP1442,'Gebinde-Kategorie'!$A$5:$M$45,5,0)+0,0))</f>
        <v>0</v>
      </c>
      <c r="CC1442" s="60" t="n">
        <f aca="false">IFERROR(IF(OR(BT1442=1,BT1442=2,BT1442=3),N(INDEX(Parameter!$I$5:$I$7,BT1442)),0),0)</f>
        <v>0</v>
      </c>
      <c r="CD1442" s="59" t="n">
        <f aca="false">IF(AND(Parameter!$B$21="Ja",ISNUMBER(U1442),N(V1442)&gt;0),IFERROR(N(INDEX(Parameter!$L$5:$L$7,U1442))*INDEX(Parameter!$E$5:$E$7,U1442)*V1442/SUMIFS($V$7:$V$1576,$U$7:$U$1576,U1442),0),0)</f>
        <v>1.60075329566855</v>
      </c>
    </row>
    <row r="1443" customFormat="false" ht="15" hidden="false" customHeight="false" outlineLevel="0" collapsed="false">
      <c r="A1443" s="55" t="s">
        <v>2513</v>
      </c>
      <c r="B1443" s="55" t="s">
        <v>421</v>
      </c>
      <c r="C1443" s="55" t="s">
        <v>446</v>
      </c>
      <c r="D1443" s="55" t="s">
        <v>168</v>
      </c>
      <c r="E1443" s="55"/>
      <c r="F1443" s="56" t="n">
        <v>77.09</v>
      </c>
      <c r="G1443" s="57" t="n">
        <f aca="false">MAX(0,IF(AND(Parameter!$B$21="Ja",ISNUMBER(W1443)),W1443,IF(Parameter!$B$20="Jahresanfang 2025 + Export",BJ1443+BI1443,BI1443)))</f>
        <v>0</v>
      </c>
      <c r="H1443" s="57" t="n">
        <f aca="false">G1443*F1443</f>
        <v>0</v>
      </c>
      <c r="I1443" s="57" t="n">
        <f aca="false">BL1443*Parameter!$B$18</f>
        <v>53</v>
      </c>
      <c r="J1443" s="58"/>
      <c r="K1443" s="59"/>
      <c r="L1443" s="57" t="n">
        <v>0</v>
      </c>
      <c r="M1443" s="57" t="n">
        <v>1</v>
      </c>
      <c r="N1443" s="60"/>
      <c r="O1443" s="55" t="s">
        <v>163</v>
      </c>
      <c r="P1443" s="57"/>
      <c r="Q1443" s="60" t="n">
        <f aca="false">IF(BR1443=1,0,IFERROR(VLOOKUP(BP1443,'Gebinde-Kategorie'!$A$5:$M$45,13,0)+0,0))</f>
        <v>0</v>
      </c>
      <c r="R1443" s="61"/>
      <c r="S1443" s="62"/>
      <c r="T1443" s="62"/>
      <c r="U1443" s="55"/>
      <c r="V1443" s="57"/>
      <c r="W1443" s="57"/>
      <c r="X1443" s="55" t="n">
        <f aca="false">IF(A1443="","",IF(AND(Parameter!$B$21="Ja",ISNUMBER(U1443)),U1443,IF(IFERROR(VLOOKUP(D1443,Parameter!$A$35:$C$64,2,0),"Nein")="2+3",IF(ISNUMBER(SEARCH("grosser Artikel",BM1443)),2,IFERROR(VLOOKUP(BP1443,Parameter!$F$35:$G$64,2,0),2)),IF(OR(IFERROR(VLOOKUP(D1443,Parameter!$A$35:$C$64,2,0),"Nein")="Nein",IFERROR(VLOOKUP(D1443,Parameter!$A$35:$C$64,2,0),"Nein")=""),"-",VLOOKUP(D1443,Parameter!$A$35:$C$64,2,0)))))</f>
        <v>2</v>
      </c>
      <c r="Y1443" s="62"/>
      <c r="Z1443" s="63"/>
      <c r="AA1443" s="57" t="n">
        <f aca="false">AP1443</f>
        <v>27</v>
      </c>
      <c r="AB1443" s="57" t="n">
        <f aca="false">MAX(AP1443,G1443)</f>
        <v>27</v>
      </c>
      <c r="AC1443" s="64"/>
      <c r="AD1443" s="57" t="n">
        <f aca="false">IF(LEFT(Cockpit!$C$5,1)="A",G1443,IF(BW1443=1,BX1443,IF(LEFT(Cockpit!$C$5,1)="B",AH1443,MAX(AH1443,G1443))))</f>
        <v>0</v>
      </c>
      <c r="AE1443" s="57" t="n">
        <f aca="false">IF(BR1443=1,0,ROUNDUP(AD1443/BQ1443,0))</f>
        <v>0</v>
      </c>
      <c r="AF1443" s="59" t="n">
        <f aca="false">IF(CD1443&gt;0,CD1443*MAX(1,AD1443/V1443),IF(BR1443=1,IF(AD1443&lt;=0,0,BS1443*MAX(1,IF(G1443&gt;0,AD1443/G1443,1))),IF(Q1443&gt;0,AE1443/Q1443,0))/MAX(0.1,N(Parameter!$M$21)))</f>
        <v>0</v>
      </c>
      <c r="AG1443" s="57" t="n">
        <f aca="false">AD1443*F1443</f>
        <v>0</v>
      </c>
      <c r="AH1443" s="57" t="n">
        <f aca="false">ROUNDUP(MAX(I1443/IF(BV1443&gt;0,BV1443,MAX(0.1,N(Cockpit!$C$6))),BY1443)/BQ1443,0)*BQ1443</f>
        <v>27</v>
      </c>
      <c r="AI1443" s="58" t="n">
        <f aca="false">IF(AF1443&gt;0,I1443/AF1443,-1)</f>
        <v>-1</v>
      </c>
      <c r="AJ1443" s="58" t="str">
        <f aca="false">IF(AND(OR(BU1443="L1",BU1443="L23"),AF1443&gt;0),SUMIFS($AF$7:$AF$1576,$BU$7:$BU$1576,BU1443,$AI$7:$AI$1576,"&gt;"&amp;AI1443)+SUMIFS($AF$7:$AF$1576,$BU$7:$BU$1576,BU1443,$AI$7:$AI$1576,AI1443,$BO$7:$BO$1576,"&lt;="&amp;BO1443),"")</f>
        <v/>
      </c>
      <c r="AK1443" s="65" t="n">
        <f aca="false">IF(AJ1443="",0,MAX(0,MIN(1,(IF(BU1443="L1",Parameter!$E$5,Parameter!$E$6+Parameter!$E$7)-(AJ1443-AF1443))/AF1443)))</f>
        <v>0</v>
      </c>
      <c r="AL1443" s="57" t="n">
        <f aca="false">IF(LEFT(Cockpit!$I$5,1)="A",G1443,IF(BW1443=1,BX1443,IF(LEFT(Cockpit!$I$5,1)="B",AP1443,MAX(AP1443,G1443))))</f>
        <v>27</v>
      </c>
      <c r="AM1443" s="57" t="n">
        <f aca="false">IF(BR1443=1,0,ROUNDUP(AL1443/BQ1443,0))</f>
        <v>0</v>
      </c>
      <c r="AN1443" s="59" t="n">
        <f aca="false">IF(CD1443&gt;0,CD1443*MAX(1,AL1443/V1443),IF(BR1443=1,IF(AL1443&lt;=0,0,BS1443*MAX(1,IF(G1443&gt;0,AL1443/G1443,1))),IF(Q1443&gt;0,AM1443/Q1443,0))/MAX(0.1,N(Parameter!$M$21)))</f>
        <v>0.15</v>
      </c>
      <c r="AO1443" s="57" t="n">
        <f aca="false">AL1443*F1443</f>
        <v>2081.43</v>
      </c>
      <c r="AP1443" s="57" t="n">
        <f aca="false">ROUNDUP(MAX(I1443/IF(BV1443&gt;0,BV1443,MAX(0.1,N(Cockpit!$I$6))),BY1443)/BQ1443,0)*BQ1443</f>
        <v>27</v>
      </c>
      <c r="AQ1443" s="58" t="n">
        <f aca="false">IF(AN1443&gt;0,I1443/AN1443,-1)</f>
        <v>353.333333333333</v>
      </c>
      <c r="AR1443" s="58" t="n">
        <f aca="false">IF(AND(OR(BU1443="L1",BU1443="L23"),AN1443&gt;0),SUMIFS($AN$7:$AN$1576,$BU$7:$BU$1576,BU1443,$AQ$7:$AQ$1576,"&gt;"&amp;AQ1443)+SUMIFS($AN$7:$AN$1576,$BU$7:$BU$1576,BU1443,$AQ$7:$AQ$1576,AQ1443,$BO$7:$BO$1576,"&lt;="&amp;BO1443),"")</f>
        <v>38.6321342549715</v>
      </c>
      <c r="AS1443" s="65" t="n">
        <f aca="false">IF(AR1443="",0,MAX(0,MIN(1,(IF(BU1443="L1",Parameter!$E$5,Parameter!$E$6+Parameter!$E$7)-(AR1443-AN1443))/AN1443)))</f>
        <v>1</v>
      </c>
      <c r="AT1443" s="57" t="n">
        <f aca="false">IF(LEFT(Cockpit!$O$5,1)="A",G1443,IF(BW1443=1,BX1443,IF(LEFT(Cockpit!$O$5,1)="B",AX1443,MAX(AX1443,G1443))))</f>
        <v>18</v>
      </c>
      <c r="AU1443" s="57" t="n">
        <f aca="false">IF(BR1443=1,0,ROUNDUP(AT1443/BQ1443,0))</f>
        <v>0</v>
      </c>
      <c r="AV1443" s="59" t="n">
        <f aca="false">IF(CD1443&gt;0,CD1443*MAX(1,AT1443/V1443),IF(BR1443=1,IF(AT1443&lt;=0,0,BS1443*MAX(1,IF(G1443&gt;0,AT1443/G1443,1))),IF(Q1443&gt;0,AU1443/Q1443,0))/MAX(0.1,N(Parameter!$M$21)))</f>
        <v>0.15</v>
      </c>
      <c r="AW1443" s="57" t="n">
        <f aca="false">AT1443*F1443</f>
        <v>1387.62</v>
      </c>
      <c r="AX1443" s="57" t="n">
        <f aca="false">ROUNDUP(MAX(I1443/IF(BV1443&gt;0,BV1443,MAX(0.1,N(Cockpit!$O$6))),BY1443)/BQ1443,0)*BQ1443</f>
        <v>18</v>
      </c>
      <c r="AY1443" s="58" t="n">
        <f aca="false">IF(AV1443&gt;0,I1443/AV1443,-1)</f>
        <v>353.333333333333</v>
      </c>
      <c r="AZ1443" s="58" t="n">
        <f aca="false">IF(AND(OR(BU1443="L1",BU1443="L23"),AV1443&gt;0),SUMIFS($AV$7:$AV$1576,$BU$7:$BU$1576,BU1443,$AY$7:$AY$1576,"&gt;"&amp;AY1443)+SUMIFS($AV$7:$AV$1576,$BU$7:$BU$1576,BU1443,$AY$7:$AY$1576,AY1443,$BO$7:$BO$1576,"&lt;="&amp;BO1443),"")</f>
        <v>37.8802128430501</v>
      </c>
      <c r="BA1443" s="65" t="n">
        <f aca="false">IF(AZ1443="",0,MAX(0,MIN(1,(IF(BU1443="L1",Parameter!$E$5,Parameter!$E$6+Parameter!$E$7)-(AZ1443-AV1443))/AV1443)))</f>
        <v>1</v>
      </c>
      <c r="BB1443" s="55" t="str">
        <f aca="false">IF(AF1443&lt;=0,"",IF(BU1443="Aussen","Aussenlager",IF(BU1443="-","Nicht im Lift",IF(AK1443&gt;=1,"Lift",IF(AK1443&lt;=0,"Aussenlager","teilweise")))))</f>
        <v/>
      </c>
      <c r="BC1443" s="55" t="str">
        <f aca="false">IF(AN1443&lt;=0,"",IF(BU1443="Aussen","Aussenlager",IF(BU1443="-","Nicht im Lift",IF(AS1443&gt;=1,"Lift",IF(AS1443&lt;=0,"Aussenlager","teilweise")))))</f>
        <v>Lift</v>
      </c>
      <c r="BD1443" s="55" t="str">
        <f aca="false">IF(AV1443&lt;=0,"",IF(BU1443="Aussen","Aussenlager",IF(BU1443="-","Nicht im Lift",IF(BA1443&gt;=1,"Lift",IF(BA1443&lt;=0,"Aussenlager","teilweise")))))</f>
        <v>Lift</v>
      </c>
      <c r="BE1443" s="55" t="str">
        <f aca="false">IF(A1443="","",IF(BN1443=1,"Neu; ","")&amp;IF(AND(BN1443=0,BI1443&lt;0),"negativer Bestand (Export "&amp;BI1443&amp;"); ","")&amp;IF(I1443&lt;=0,"Kein Verbrauch; ","")&amp;IF(CD1443&gt;0,"Lift "&amp;U1443&amp;" lt. Liftbericht (Fach "&amp;V1443&amp;" Stk); ",IF(BR1443=1,"Lose – Fläche geschätzt; ",""))&amp;IF(G1443&gt;AP1443,"Überbestand "&amp;ROUND(G1443-AP1443,0)&amp;" Stk / CHF "&amp;ROUND((G1443-AP1443)*F1443,0)&amp;"; ","")&amp;IF(AND(BW1443=1,BX1443&lt;BY1443),"MAX &lt; MB+LG; ","")&amp;IF(AND(CC1443&gt;0,CB1443*10&gt;CC1443),"zu hoch für Tablar; ","")&amp;IF(AND(BN1443=0,OR(BW1443=1,Y1443&lt;&gt;"",S1443&lt;&gt;"",T1443&lt;&gt;"",Z1443&lt;&gt;"")),"manuell übersteuert; ","")&amp;IF(AND(BR1443=0,Q1443=0),"Gebinde unbekannt / Stellmass fehlt; ","")&amp;IF(AND(BR1443=0,N(T1443)&lt;=0,N(P1443)&lt;=0),"Menge pro Gebinde fehlt (Ist = 1 Gebinde); ","")&amp;BM1443)</f>
        <v>negativer Bestand (Export -124); Lose – Fläche geschätzt; </v>
      </c>
      <c r="BF1443" s="55"/>
      <c r="BG1443" s="55"/>
      <c r="BH1443" s="62"/>
      <c r="BI1443" s="57" t="n">
        <v>-124</v>
      </c>
      <c r="BJ1443" s="57" t="n">
        <v>0</v>
      </c>
      <c r="BK1443" s="56" t="n">
        <v>-9566.6</v>
      </c>
      <c r="BL1443" s="57" t="n">
        <v>53</v>
      </c>
      <c r="BM1443" s="55"/>
      <c r="BN1443" s="60" t="n">
        <v>0</v>
      </c>
      <c r="BO1443" s="60" t="n">
        <v>1443</v>
      </c>
      <c r="BP1443" s="55" t="str">
        <f aca="false">IF(S1443&lt;&gt;"",UPPER(TRIM(S1443)),IF(O1443="","LOSE",O1443))</f>
        <v>LOSE</v>
      </c>
      <c r="BQ1443" s="57" t="n">
        <f aca="false">IF(BP1443="LOSE",1,IF(N(T1443)&gt;0,T1443,IF(N(P1443)&gt;0,P1443,MAX(1,G1443))))</f>
        <v>1</v>
      </c>
      <c r="BR1443" s="60" t="n">
        <f aca="false">IF(BP1443="LOSE",1,0)</f>
        <v>1</v>
      </c>
      <c r="BS1443" s="59" t="n">
        <f aca="false">IF(BR1443=0,0,IF(N(R1443)&gt;0,R1443,IFERROR(VLOOKUP(D1443,Parameter!$A$35:$C$64,3,0)+0,0)))</f>
        <v>0.15</v>
      </c>
      <c r="BT1443" s="55" t="n">
        <f aca="false">IF(Y1443&lt;&gt;"",Y1443,X1443)</f>
        <v>2</v>
      </c>
      <c r="BU1443" s="55" t="str">
        <f aca="false">IF(BT1443=1,"L1",IF(OR(BT1443=2,BT1443=3),"L23",IF(BT1443="Aussen","Aussen","-")))</f>
        <v>L23</v>
      </c>
      <c r="BV1443" s="66" t="n">
        <f aca="false">IF(N(Z1443)&gt;0,Z1443,0)</f>
        <v>0</v>
      </c>
      <c r="BW1443" s="60" t="n">
        <f aca="false">IF(ISNUMBER(AC1443),1,0)</f>
        <v>0</v>
      </c>
      <c r="BX1443" s="57" t="n">
        <f aca="false">N(AC1443)</f>
        <v>0</v>
      </c>
      <c r="BY1443" s="57" t="n">
        <f aca="false">N(L1443)+N(M1443)</f>
        <v>1</v>
      </c>
      <c r="BZ1443" s="57" t="n">
        <f aca="false">ROUNDUP(G1443/BQ1443,0)</f>
        <v>0</v>
      </c>
      <c r="CA1443" s="57" t="n">
        <f aca="false">ROUNDUP(BX1443/BQ1443,0)</f>
        <v>0</v>
      </c>
      <c r="CB1443" s="60" t="n">
        <f aca="false">IF(BR1443=1,0,IFERROR(VLOOKUP(BP1443,'Gebinde-Kategorie'!$A$5:$M$45,5,0)+0,0))</f>
        <v>0</v>
      </c>
      <c r="CC1443" s="60" t="n">
        <f aca="false">IFERROR(IF(OR(BT1443=1,BT1443=2,BT1443=3),N(INDEX(Parameter!$I$5:$I$7,BT1443)),0),0)</f>
        <v>0</v>
      </c>
      <c r="CD1443" s="59" t="n">
        <f aca="false">IF(AND(Parameter!$B$21="Ja",ISNUMBER(U1443),N(V1443)&gt;0),IFERROR(N(INDEX(Parameter!$L$5:$L$7,U1443))*INDEX(Parameter!$E$5:$E$7,U1443)*V1443/SUMIFS($V$7:$V$1576,$U$7:$U$1576,U1443),0),0)</f>
        <v>0</v>
      </c>
    </row>
    <row r="1444" customFormat="false" ht="15" hidden="false" customHeight="false" outlineLevel="0" collapsed="false">
      <c r="A1444" s="55" t="s">
        <v>2514</v>
      </c>
      <c r="B1444" s="55" t="s">
        <v>2515</v>
      </c>
      <c r="C1444" s="55" t="s">
        <v>160</v>
      </c>
      <c r="D1444" s="55" t="s">
        <v>168</v>
      </c>
      <c r="E1444" s="55"/>
      <c r="F1444" s="56" t="n">
        <v>1459.89</v>
      </c>
      <c r="G1444" s="57" t="n">
        <f aca="false">MAX(0,IF(AND(Parameter!$B$21="Ja",ISNUMBER(W1444)),W1444,IF(Parameter!$B$20="Jahresanfang 2025 + Export",BJ1444+BI1444,BI1444)))</f>
        <v>0</v>
      </c>
      <c r="H1444" s="57" t="n">
        <f aca="false">G1444*F1444</f>
        <v>0</v>
      </c>
      <c r="I1444" s="57" t="n">
        <f aca="false">BL1444*Parameter!$B$18</f>
        <v>125</v>
      </c>
      <c r="J1444" s="58"/>
      <c r="K1444" s="59"/>
      <c r="L1444" s="57" t="n">
        <v>7</v>
      </c>
      <c r="M1444" s="57" t="n">
        <v>20</v>
      </c>
      <c r="N1444" s="60"/>
      <c r="O1444" s="55" t="s">
        <v>169</v>
      </c>
      <c r="P1444" s="57" t="n">
        <v>4</v>
      </c>
      <c r="Q1444" s="60" t="n">
        <f aca="false">IF(BR1444=1,0,IFERROR(VLOOKUP(BP1444,'Gebinde-Kategorie'!$A$5:$M$45,13,0)+0,0))</f>
        <v>6</v>
      </c>
      <c r="R1444" s="61"/>
      <c r="S1444" s="62"/>
      <c r="T1444" s="62"/>
      <c r="U1444" s="55"/>
      <c r="V1444" s="57"/>
      <c r="W1444" s="57"/>
      <c r="X1444" s="55" t="n">
        <f aca="false">IF(A1444="","",IF(AND(Parameter!$B$21="Ja",ISNUMBER(U1444)),U1444,IF(IFERROR(VLOOKUP(D1444,Parameter!$A$35:$C$64,2,0),"Nein")="2+3",IF(ISNUMBER(SEARCH("grosser Artikel",BM1444)),2,IFERROR(VLOOKUP(BP1444,Parameter!$F$35:$G$64,2,0),2)),IF(OR(IFERROR(VLOOKUP(D1444,Parameter!$A$35:$C$64,2,0),"Nein")="Nein",IFERROR(VLOOKUP(D1444,Parameter!$A$35:$C$64,2,0),"Nein")=""),"-",VLOOKUP(D1444,Parameter!$A$35:$C$64,2,0)))))</f>
        <v>2</v>
      </c>
      <c r="Y1444" s="62"/>
      <c r="Z1444" s="63"/>
      <c r="AA1444" s="57" t="n">
        <f aca="false">AP1444</f>
        <v>64</v>
      </c>
      <c r="AB1444" s="57" t="n">
        <f aca="false">MAX(AP1444,G1444)</f>
        <v>64</v>
      </c>
      <c r="AC1444" s="64"/>
      <c r="AD1444" s="57" t="n">
        <f aca="false">IF(LEFT(Cockpit!$C$5,1)="A",G1444,IF(BW1444=1,BX1444,IF(LEFT(Cockpit!$C$5,1)="B",AH1444,MAX(AH1444,G1444))))</f>
        <v>0</v>
      </c>
      <c r="AE1444" s="57" t="n">
        <f aca="false">IF(BR1444=1,0,ROUNDUP(AD1444/BQ1444,0))</f>
        <v>0</v>
      </c>
      <c r="AF1444" s="59" t="n">
        <f aca="false">IF(CD1444&gt;0,CD1444*MAX(1,AD1444/V1444),IF(BR1444=1,IF(AD1444&lt;=0,0,BS1444*MAX(1,IF(G1444&gt;0,AD1444/G1444,1))),IF(Q1444&gt;0,AE1444/Q1444,0))/MAX(0.1,N(Parameter!$M$21)))</f>
        <v>0</v>
      </c>
      <c r="AG1444" s="57" t="n">
        <f aca="false">AD1444*F1444</f>
        <v>0</v>
      </c>
      <c r="AH1444" s="57" t="n">
        <f aca="false">ROUNDUP(MAX(I1444/IF(BV1444&gt;0,BV1444,MAX(0.1,N(Cockpit!$C$6))),BY1444)/BQ1444,0)*BQ1444</f>
        <v>64</v>
      </c>
      <c r="AI1444" s="58" t="n">
        <f aca="false">IF(AF1444&gt;0,I1444/AF1444,-1)</f>
        <v>-1</v>
      </c>
      <c r="AJ1444" s="58" t="str">
        <f aca="false">IF(AND(OR(BU1444="L1",BU1444="L23"),AF1444&gt;0),SUMIFS($AF$7:$AF$1576,$BU$7:$BU$1576,BU1444,$AI$7:$AI$1576,"&gt;"&amp;AI1444)+SUMIFS($AF$7:$AF$1576,$BU$7:$BU$1576,BU1444,$AI$7:$AI$1576,AI1444,$BO$7:$BO$1576,"&lt;="&amp;BO1444),"")</f>
        <v/>
      </c>
      <c r="AK1444" s="65" t="n">
        <f aca="false">IF(AJ1444="",0,MAX(0,MIN(1,(IF(BU1444="L1",Parameter!$E$5,Parameter!$E$6+Parameter!$E$7)-(AJ1444-AF1444))/AF1444)))</f>
        <v>0</v>
      </c>
      <c r="AL1444" s="57" t="n">
        <f aca="false">IF(LEFT(Cockpit!$I$5,1)="A",G1444,IF(BW1444=1,BX1444,IF(LEFT(Cockpit!$I$5,1)="B",AP1444,MAX(AP1444,G1444))))</f>
        <v>64</v>
      </c>
      <c r="AM1444" s="57" t="n">
        <f aca="false">IF(BR1444=1,0,ROUNDUP(AL1444/BQ1444,0))</f>
        <v>16</v>
      </c>
      <c r="AN1444" s="59" t="n">
        <f aca="false">IF(CD1444&gt;0,CD1444*MAX(1,AL1444/V1444),IF(BR1444=1,IF(AL1444&lt;=0,0,BS1444*MAX(1,IF(G1444&gt;0,AL1444/G1444,1))),IF(Q1444&gt;0,AM1444/Q1444,0))/MAX(0.1,N(Parameter!$M$21)))</f>
        <v>2.66666666666667</v>
      </c>
      <c r="AO1444" s="57" t="n">
        <f aca="false">AL1444*F1444</f>
        <v>93432.96</v>
      </c>
      <c r="AP1444" s="57" t="n">
        <f aca="false">ROUNDUP(MAX(I1444/IF(BV1444&gt;0,BV1444,MAX(0.1,N(Cockpit!$I$6))),BY1444)/BQ1444,0)*BQ1444</f>
        <v>64</v>
      </c>
      <c r="AQ1444" s="58" t="n">
        <f aca="false">IF(AN1444&gt;0,I1444/AN1444,-1)</f>
        <v>46.875</v>
      </c>
      <c r="AR1444" s="58" t="n">
        <f aca="false">IF(AND(OR(BU1444="L1",BU1444="L23"),AN1444&gt;0),SUMIFS($AN$7:$AN$1576,$BU$7:$BU$1576,BU1444,$AQ$7:$AQ$1576,"&gt;"&amp;AQ1444)+SUMIFS($AN$7:$AN$1576,$BU$7:$BU$1576,BU1444,$AQ$7:$AQ$1576,AQ1444,$BO$7:$BO$1576,"&lt;="&amp;BO1444),"")</f>
        <v>87.6369217681829</v>
      </c>
      <c r="AS1444" s="65" t="n">
        <f aca="false">IF(AR1444="",0,MAX(0,MIN(1,(IF(BU1444="L1",Parameter!$E$5,Parameter!$E$6+Parameter!$E$7)-(AR1444-AN1444))/AN1444)))</f>
        <v>1</v>
      </c>
      <c r="AT1444" s="57" t="n">
        <f aca="false">IF(LEFT(Cockpit!$O$5,1)="A",G1444,IF(BW1444=1,BX1444,IF(LEFT(Cockpit!$O$5,1)="B",AX1444,MAX(AX1444,G1444))))</f>
        <v>44</v>
      </c>
      <c r="AU1444" s="57" t="n">
        <f aca="false">IF(BR1444=1,0,ROUNDUP(AT1444/BQ1444,0))</f>
        <v>11</v>
      </c>
      <c r="AV1444" s="59" t="n">
        <f aca="false">IF(CD1444&gt;0,CD1444*MAX(1,AT1444/V1444),IF(BR1444=1,IF(AT1444&lt;=0,0,BS1444*MAX(1,IF(G1444&gt;0,AT1444/G1444,1))),IF(Q1444&gt;0,AU1444/Q1444,0))/MAX(0.1,N(Parameter!$M$21)))</f>
        <v>1.83333333333333</v>
      </c>
      <c r="AW1444" s="57" t="n">
        <f aca="false">AT1444*F1444</f>
        <v>64235.16</v>
      </c>
      <c r="AX1444" s="57" t="n">
        <f aca="false">ROUNDUP(MAX(I1444/IF(BV1444&gt;0,BV1444,MAX(0.1,N(Cockpit!$O$6))),BY1444)/BQ1444,0)*BQ1444</f>
        <v>44</v>
      </c>
      <c r="AY1444" s="58" t="n">
        <f aca="false">IF(AV1444&gt;0,I1444/AV1444,-1)</f>
        <v>68.1818181818182</v>
      </c>
      <c r="AZ1444" s="58" t="n">
        <f aca="false">IF(AND(OR(BU1444="L1",BU1444="L23"),AV1444&gt;0),SUMIFS($AV$7:$AV$1576,$BU$7:$BU$1576,BU1444,$AY$7:$AY$1576,"&gt;"&amp;AY1444)+SUMIFS($AV$7:$AV$1576,$BU$7:$BU$1576,BU1444,$AY$7:$AY$1576,AY1444,$BO$7:$BO$1576,"&lt;="&amp;BO1444),"")</f>
        <v>74.773511844773</v>
      </c>
      <c r="BA1444" s="65" t="n">
        <f aca="false">IF(AZ1444="",0,MAX(0,MIN(1,(IF(BU1444="L1",Parameter!$E$5,Parameter!$E$6+Parameter!$E$7)-(AZ1444-AV1444))/AV1444)))</f>
        <v>1</v>
      </c>
      <c r="BB1444" s="55" t="str">
        <f aca="false">IF(AF1444&lt;=0,"",IF(BU1444="Aussen","Aussenlager",IF(BU1444="-","Nicht im Lift",IF(AK1444&gt;=1,"Lift",IF(AK1444&lt;=0,"Aussenlager","teilweise")))))</f>
        <v/>
      </c>
      <c r="BC1444" s="55" t="str">
        <f aca="false">IF(AN1444&lt;=0,"",IF(BU1444="Aussen","Aussenlager",IF(BU1444="-","Nicht im Lift",IF(AS1444&gt;=1,"Lift",IF(AS1444&lt;=0,"Aussenlager","teilweise")))))</f>
        <v>Lift</v>
      </c>
      <c r="BD1444" s="55" t="str">
        <f aca="false">IF(AV1444&lt;=0,"",IF(BU1444="Aussen","Aussenlager",IF(BU1444="-","Nicht im Lift",IF(BA1444&gt;=1,"Lift",IF(BA1444&lt;=0,"Aussenlager","teilweise")))))</f>
        <v>Lift</v>
      </c>
      <c r="BE1444" s="55" t="str">
        <f aca="false">IF(A1444="","",IF(BN1444=1,"Neu; ","")&amp;IF(AND(BN1444=0,BI1444&lt;0),"negativer Bestand (Export "&amp;BI1444&amp;"); ","")&amp;IF(I1444&lt;=0,"Kein Verbrauch; ","")&amp;IF(CD1444&gt;0,"Lift "&amp;U1444&amp;" lt. Liftbericht (Fach "&amp;V1444&amp;" Stk); ",IF(BR1444=1,"Lose – Fläche geschätzt; ",""))&amp;IF(G1444&gt;AP1444,"Überbestand "&amp;ROUND(G1444-AP1444,0)&amp;" Stk / CHF "&amp;ROUND((G1444-AP1444)*F1444,0)&amp;"; ","")&amp;IF(AND(BW1444=1,BX1444&lt;BY1444),"MAX &lt; MB+LG; ","")&amp;IF(AND(CC1444&gt;0,CB1444*10&gt;CC1444),"zu hoch für Tablar; ","")&amp;IF(AND(BN1444=0,OR(BW1444=1,Y1444&lt;&gt;"",S1444&lt;&gt;"",T1444&lt;&gt;"",Z1444&lt;&gt;"")),"manuell übersteuert; ","")&amp;IF(AND(BR1444=0,Q1444=0),"Gebinde unbekannt / Stellmass fehlt; ","")&amp;IF(AND(BR1444=0,N(T1444)&lt;=0,N(P1444)&lt;=0),"Menge pro Gebinde fehlt (Ist = 1 Gebinde); ","")&amp;BM1444)</f>
        <v>negativer Bestand (Export -7); </v>
      </c>
      <c r="BF1444" s="55"/>
      <c r="BG1444" s="55"/>
      <c r="BH1444" s="62"/>
      <c r="BI1444" s="57" t="n">
        <v>-7</v>
      </c>
      <c r="BJ1444" s="57" t="n">
        <v>0</v>
      </c>
      <c r="BK1444" s="56" t="n">
        <v>-9808.88999999994</v>
      </c>
      <c r="BL1444" s="57" t="n">
        <v>125</v>
      </c>
      <c r="BM1444" s="55"/>
      <c r="BN1444" s="60" t="n">
        <v>0</v>
      </c>
      <c r="BO1444" s="60" t="n">
        <v>1444</v>
      </c>
      <c r="BP1444" s="55" t="str">
        <f aca="false">IF(S1444&lt;&gt;"",UPPER(TRIM(S1444)),IF(O1444="","LOSE",O1444))</f>
        <v>S71</v>
      </c>
      <c r="BQ1444" s="57" t="n">
        <f aca="false">IF(BP1444="LOSE",1,IF(N(T1444)&gt;0,T1444,IF(N(P1444)&gt;0,P1444,MAX(1,G1444))))</f>
        <v>4</v>
      </c>
      <c r="BR1444" s="60" t="n">
        <f aca="false">IF(BP1444="LOSE",1,0)</f>
        <v>0</v>
      </c>
      <c r="BS1444" s="59" t="n">
        <f aca="false">IF(BR1444=0,0,IF(N(R1444)&gt;0,R1444,IFERROR(VLOOKUP(D1444,Parameter!$A$35:$C$64,3,0)+0,0)))</f>
        <v>0</v>
      </c>
      <c r="BT1444" s="55" t="n">
        <f aca="false">IF(Y1444&lt;&gt;"",Y1444,X1444)</f>
        <v>2</v>
      </c>
      <c r="BU1444" s="55" t="str">
        <f aca="false">IF(BT1444=1,"L1",IF(OR(BT1444=2,BT1444=3),"L23",IF(BT1444="Aussen","Aussen","-")))</f>
        <v>L23</v>
      </c>
      <c r="BV1444" s="66" t="n">
        <f aca="false">IF(N(Z1444)&gt;0,Z1444,0)</f>
        <v>0</v>
      </c>
      <c r="BW1444" s="60" t="n">
        <f aca="false">IF(ISNUMBER(AC1444),1,0)</f>
        <v>0</v>
      </c>
      <c r="BX1444" s="57" t="n">
        <f aca="false">N(AC1444)</f>
        <v>0</v>
      </c>
      <c r="BY1444" s="57" t="n">
        <f aca="false">N(L1444)+N(M1444)</f>
        <v>27</v>
      </c>
      <c r="BZ1444" s="57" t="n">
        <f aca="false">ROUNDUP(G1444/BQ1444,0)</f>
        <v>0</v>
      </c>
      <c r="CA1444" s="57" t="n">
        <f aca="false">ROUNDUP(BX1444/BQ1444,0)</f>
        <v>0</v>
      </c>
      <c r="CB1444" s="60" t="n">
        <f aca="false">IF(BR1444=1,0,IFERROR(VLOOKUP(BP1444,'Gebinde-Kategorie'!$A$5:$M$45,5,0)+0,0))</f>
        <v>20</v>
      </c>
      <c r="CC1444" s="60" t="n">
        <f aca="false">IFERROR(IF(OR(BT1444=1,BT1444=2,BT1444=3),N(INDEX(Parameter!$I$5:$I$7,BT1444)),0),0)</f>
        <v>0</v>
      </c>
      <c r="CD1444" s="59" t="n">
        <f aca="false">IF(AND(Parameter!$B$21="Ja",ISNUMBER(U1444),N(V1444)&gt;0),IFERROR(N(INDEX(Parameter!$L$5:$L$7,U1444))*INDEX(Parameter!$E$5:$E$7,U1444)*V1444/SUMIFS($V$7:$V$1576,$U$7:$U$1576,U1444),0),0)</f>
        <v>0</v>
      </c>
    </row>
    <row r="1445" customFormat="false" ht="15" hidden="false" customHeight="false" outlineLevel="0" collapsed="false">
      <c r="A1445" s="55" t="s">
        <v>2516</v>
      </c>
      <c r="B1445" s="55" t="s">
        <v>2517</v>
      </c>
      <c r="C1445" s="55" t="s">
        <v>446</v>
      </c>
      <c r="D1445" s="55" t="s">
        <v>168</v>
      </c>
      <c r="E1445" s="55"/>
      <c r="F1445" s="56" t="n">
        <v>3326.28</v>
      </c>
      <c r="G1445" s="57" t="n">
        <f aca="false">MAX(0,IF(AND(Parameter!$B$21="Ja",ISNUMBER(W1445)),W1445,IF(Parameter!$B$20="Jahresanfang 2025 + Export",BJ1445+BI1445,BI1445)))</f>
        <v>0</v>
      </c>
      <c r="H1445" s="57" t="n">
        <f aca="false">G1445*F1445</f>
        <v>0</v>
      </c>
      <c r="I1445" s="57" t="n">
        <f aca="false">BL1445*Parameter!$B$18</f>
        <v>0</v>
      </c>
      <c r="J1445" s="58"/>
      <c r="K1445" s="59"/>
      <c r="L1445" s="57" t="n">
        <v>0</v>
      </c>
      <c r="M1445" s="57" t="n">
        <v>1</v>
      </c>
      <c r="N1445" s="60"/>
      <c r="O1445" s="55" t="s">
        <v>163</v>
      </c>
      <c r="P1445" s="57"/>
      <c r="Q1445" s="60" t="n">
        <f aca="false">IF(BR1445=1,0,IFERROR(VLOOKUP(BP1445,'Gebinde-Kategorie'!$A$5:$M$45,13,0)+0,0))</f>
        <v>0</v>
      </c>
      <c r="R1445" s="61"/>
      <c r="S1445" s="62"/>
      <c r="T1445" s="62"/>
      <c r="U1445" s="55"/>
      <c r="V1445" s="57"/>
      <c r="W1445" s="57"/>
      <c r="X1445" s="55" t="n">
        <f aca="false">IF(A1445="","",IF(AND(Parameter!$B$21="Ja",ISNUMBER(U1445)),U1445,IF(IFERROR(VLOOKUP(D1445,Parameter!$A$35:$C$64,2,0),"Nein")="2+3",IF(ISNUMBER(SEARCH("grosser Artikel",BM1445)),2,IFERROR(VLOOKUP(BP1445,Parameter!$F$35:$G$64,2,0),2)),IF(OR(IFERROR(VLOOKUP(D1445,Parameter!$A$35:$C$64,2,0),"Nein")="Nein",IFERROR(VLOOKUP(D1445,Parameter!$A$35:$C$64,2,0),"Nein")=""),"-",VLOOKUP(D1445,Parameter!$A$35:$C$64,2,0)))))</f>
        <v>2</v>
      </c>
      <c r="Y1445" s="62"/>
      <c r="Z1445" s="63"/>
      <c r="AA1445" s="57" t="n">
        <f aca="false">AP1445</f>
        <v>1</v>
      </c>
      <c r="AB1445" s="57" t="n">
        <f aca="false">MAX(AP1445,G1445)</f>
        <v>1</v>
      </c>
      <c r="AC1445" s="64"/>
      <c r="AD1445" s="57" t="n">
        <f aca="false">IF(LEFT(Cockpit!$C$5,1)="A",G1445,IF(BW1445=1,BX1445,IF(LEFT(Cockpit!$C$5,1)="B",AH1445,MAX(AH1445,G1445))))</f>
        <v>0</v>
      </c>
      <c r="AE1445" s="57" t="n">
        <f aca="false">IF(BR1445=1,0,ROUNDUP(AD1445/BQ1445,0))</f>
        <v>0</v>
      </c>
      <c r="AF1445" s="59" t="n">
        <f aca="false">IF(CD1445&gt;0,CD1445*MAX(1,AD1445/V1445),IF(BR1445=1,IF(AD1445&lt;=0,0,BS1445*MAX(1,IF(G1445&gt;0,AD1445/G1445,1))),IF(Q1445&gt;0,AE1445/Q1445,0))/MAX(0.1,N(Parameter!$M$21)))</f>
        <v>0</v>
      </c>
      <c r="AG1445" s="57" t="n">
        <f aca="false">AD1445*F1445</f>
        <v>0</v>
      </c>
      <c r="AH1445" s="57" t="n">
        <f aca="false">ROUNDUP(MAX(I1445/IF(BV1445&gt;0,BV1445,MAX(0.1,N(Cockpit!$C$6))),BY1445)/BQ1445,0)*BQ1445</f>
        <v>1</v>
      </c>
      <c r="AI1445" s="58" t="n">
        <f aca="false">IF(AF1445&gt;0,I1445/AF1445,-1)</f>
        <v>-1</v>
      </c>
      <c r="AJ1445" s="58" t="str">
        <f aca="false">IF(AND(OR(BU1445="L1",BU1445="L23"),AF1445&gt;0),SUMIFS($AF$7:$AF$1576,$BU$7:$BU$1576,BU1445,$AI$7:$AI$1576,"&gt;"&amp;AI1445)+SUMIFS($AF$7:$AF$1576,$BU$7:$BU$1576,BU1445,$AI$7:$AI$1576,AI1445,$BO$7:$BO$1576,"&lt;="&amp;BO1445),"")</f>
        <v/>
      </c>
      <c r="AK1445" s="65" t="n">
        <f aca="false">IF(AJ1445="",0,MAX(0,MIN(1,(IF(BU1445="L1",Parameter!$E$5,Parameter!$E$6+Parameter!$E$7)-(AJ1445-AF1445))/AF1445)))</f>
        <v>0</v>
      </c>
      <c r="AL1445" s="57" t="n">
        <f aca="false">IF(LEFT(Cockpit!$I$5,1)="A",G1445,IF(BW1445=1,BX1445,IF(LEFT(Cockpit!$I$5,1)="B",AP1445,MAX(AP1445,G1445))))</f>
        <v>1</v>
      </c>
      <c r="AM1445" s="57" t="n">
        <f aca="false">IF(BR1445=1,0,ROUNDUP(AL1445/BQ1445,0))</f>
        <v>0</v>
      </c>
      <c r="AN1445" s="59" t="n">
        <f aca="false">IF(CD1445&gt;0,CD1445*MAX(1,AL1445/V1445),IF(BR1445=1,IF(AL1445&lt;=0,0,BS1445*MAX(1,IF(G1445&gt;0,AL1445/G1445,1))),IF(Q1445&gt;0,AM1445/Q1445,0))/MAX(0.1,N(Parameter!$M$21)))</f>
        <v>0.15</v>
      </c>
      <c r="AO1445" s="57" t="n">
        <f aca="false">AL1445*F1445</f>
        <v>3326.28</v>
      </c>
      <c r="AP1445" s="57" t="n">
        <f aca="false">ROUNDUP(MAX(I1445/IF(BV1445&gt;0,BV1445,MAX(0.1,N(Cockpit!$I$6))),BY1445)/BQ1445,0)*BQ1445</f>
        <v>1</v>
      </c>
      <c r="AQ1445" s="58" t="n">
        <f aca="false">IF(AN1445&gt;0,I1445/AN1445,-1)</f>
        <v>0</v>
      </c>
      <c r="AR1445" s="58" t="n">
        <f aca="false">IF(AND(OR(BU1445="L1",BU1445="L23"),AN1445&gt;0),SUMIFS($AN$7:$AN$1576,$BU$7:$BU$1576,BU1445,$AQ$7:$AQ$1576,"&gt;"&amp;AQ1445)+SUMIFS($AN$7:$AN$1576,$BU$7:$BU$1576,BU1445,$AQ$7:$AQ$1576,AQ1445,$BO$7:$BO$1576,"&lt;="&amp;BO1445),"")</f>
        <v>139.466896798901</v>
      </c>
      <c r="AS1445" s="65" t="n">
        <f aca="false">IF(AR1445="",0,MAX(0,MIN(1,(IF(BU1445="L1",Parameter!$E$5,Parameter!$E$6+Parameter!$E$7)-(AR1445-AN1445))/AN1445)))</f>
        <v>0</v>
      </c>
      <c r="AT1445" s="57" t="n">
        <f aca="false">IF(LEFT(Cockpit!$O$5,1)="A",G1445,IF(BW1445=1,BX1445,IF(LEFT(Cockpit!$O$5,1)="B",AX1445,MAX(AX1445,G1445))))</f>
        <v>1</v>
      </c>
      <c r="AU1445" s="57" t="n">
        <f aca="false">IF(BR1445=1,0,ROUNDUP(AT1445/BQ1445,0))</f>
        <v>0</v>
      </c>
      <c r="AV1445" s="59" t="n">
        <f aca="false">IF(CD1445&gt;0,CD1445*MAX(1,AT1445/V1445),IF(BR1445=1,IF(AT1445&lt;=0,0,BS1445*MAX(1,IF(G1445&gt;0,AT1445/G1445,1))),IF(Q1445&gt;0,AU1445/Q1445,0))/MAX(0.1,N(Parameter!$M$21)))</f>
        <v>0.15</v>
      </c>
      <c r="AW1445" s="57" t="n">
        <f aca="false">AT1445*F1445</f>
        <v>3326.28</v>
      </c>
      <c r="AX1445" s="57" t="n">
        <f aca="false">ROUNDUP(MAX(I1445/IF(BV1445&gt;0,BV1445,MAX(0.1,N(Cockpit!$O$6))),BY1445)/BQ1445,0)*BQ1445</f>
        <v>1</v>
      </c>
      <c r="AY1445" s="58" t="n">
        <f aca="false">IF(AV1445&gt;0,I1445/AV1445,-1)</f>
        <v>0</v>
      </c>
      <c r="AZ1445" s="58" t="n">
        <f aca="false">IF(AND(OR(BU1445="L1",BU1445="L23"),AV1445&gt;0),SUMIFS($AV$7:$AV$1576,$BU$7:$BU$1576,BU1445,$AY$7:$AY$1576,"&gt;"&amp;AY1445)+SUMIFS($AV$7:$AV$1576,$BU$7:$BU$1576,BU1445,$AY$7:$AY$1576,AY1445,$BO$7:$BO$1576,"&lt;="&amp;BO1445),"")</f>
        <v>129.526447248451</v>
      </c>
      <c r="BA1445" s="65" t="n">
        <f aca="false">IF(AZ1445="",0,MAX(0,MIN(1,(IF(BU1445="L1",Parameter!$E$5,Parameter!$E$6+Parameter!$E$7)-(AZ1445-AV1445))/AV1445)))</f>
        <v>0</v>
      </c>
      <c r="BB1445" s="55" t="str">
        <f aca="false">IF(AF1445&lt;=0,"",IF(BU1445="Aussen","Aussenlager",IF(BU1445="-","Nicht im Lift",IF(AK1445&gt;=1,"Lift",IF(AK1445&lt;=0,"Aussenlager","teilweise")))))</f>
        <v/>
      </c>
      <c r="BC1445" s="55" t="str">
        <f aca="false">IF(AN1445&lt;=0,"",IF(BU1445="Aussen","Aussenlager",IF(BU1445="-","Nicht im Lift",IF(AS1445&gt;=1,"Lift",IF(AS1445&lt;=0,"Aussenlager","teilweise")))))</f>
        <v>Aussenlager</v>
      </c>
      <c r="BD1445" s="55" t="str">
        <f aca="false">IF(AV1445&lt;=0,"",IF(BU1445="Aussen","Aussenlager",IF(BU1445="-","Nicht im Lift",IF(BA1445&gt;=1,"Lift",IF(BA1445&lt;=0,"Aussenlager","teilweise")))))</f>
        <v>Aussenlager</v>
      </c>
      <c r="BE1445" s="55" t="str">
        <f aca="false">IF(A1445="","",IF(BN1445=1,"Neu; ","")&amp;IF(AND(BN1445=0,BI1445&lt;0),"negativer Bestand (Export "&amp;BI1445&amp;"); ","")&amp;IF(I1445&lt;=0,"Kein Verbrauch; ","")&amp;IF(CD1445&gt;0,"Lift "&amp;U1445&amp;" lt. Liftbericht (Fach "&amp;V1445&amp;" Stk); ",IF(BR1445=1,"Lose – Fläche geschätzt; ",""))&amp;IF(G1445&gt;AP1445,"Überbestand "&amp;ROUND(G1445-AP1445,0)&amp;" Stk / CHF "&amp;ROUND((G1445-AP1445)*F1445,0)&amp;"; ","")&amp;IF(AND(BW1445=1,BX1445&lt;BY1445),"MAX &lt; MB+LG; ","")&amp;IF(AND(CC1445&gt;0,CB1445*10&gt;CC1445),"zu hoch für Tablar; ","")&amp;IF(AND(BN1445=0,OR(BW1445=1,Y1445&lt;&gt;"",S1445&lt;&gt;"",T1445&lt;&gt;"",Z1445&lt;&gt;"")),"manuell übersteuert; ","")&amp;IF(AND(BR1445=0,Q1445=0),"Gebinde unbekannt / Stellmass fehlt; ","")&amp;IF(AND(BR1445=0,N(T1445)&lt;=0,N(P1445)&lt;=0),"Menge pro Gebinde fehlt (Ist = 1 Gebinde); ","")&amp;BM1445)</f>
        <v>negativer Bestand (Export -3); Kein Verbrauch; Lose – Fläche geschätzt; </v>
      </c>
      <c r="BF1445" s="55"/>
      <c r="BG1445" s="55"/>
      <c r="BH1445" s="62"/>
      <c r="BI1445" s="57" t="n">
        <v>-3</v>
      </c>
      <c r="BJ1445" s="57" t="n">
        <v>0</v>
      </c>
      <c r="BK1445" s="56" t="n">
        <v>-9978.84</v>
      </c>
      <c r="BL1445" s="57" t="n">
        <v>0</v>
      </c>
      <c r="BM1445" s="55"/>
      <c r="BN1445" s="60" t="n">
        <v>0</v>
      </c>
      <c r="BO1445" s="60" t="n">
        <v>1445</v>
      </c>
      <c r="BP1445" s="55" t="str">
        <f aca="false">IF(S1445&lt;&gt;"",UPPER(TRIM(S1445)),IF(O1445="","LOSE",O1445))</f>
        <v>LOSE</v>
      </c>
      <c r="BQ1445" s="57" t="n">
        <f aca="false">IF(BP1445="LOSE",1,IF(N(T1445)&gt;0,T1445,IF(N(P1445)&gt;0,P1445,MAX(1,G1445))))</f>
        <v>1</v>
      </c>
      <c r="BR1445" s="60" t="n">
        <f aca="false">IF(BP1445="LOSE",1,0)</f>
        <v>1</v>
      </c>
      <c r="BS1445" s="59" t="n">
        <f aca="false">IF(BR1445=0,0,IF(N(R1445)&gt;0,R1445,IFERROR(VLOOKUP(D1445,Parameter!$A$35:$C$64,3,0)+0,0)))</f>
        <v>0.15</v>
      </c>
      <c r="BT1445" s="55" t="n">
        <f aca="false">IF(Y1445&lt;&gt;"",Y1445,X1445)</f>
        <v>2</v>
      </c>
      <c r="BU1445" s="55" t="str">
        <f aca="false">IF(BT1445=1,"L1",IF(OR(BT1445=2,BT1445=3),"L23",IF(BT1445="Aussen","Aussen","-")))</f>
        <v>L23</v>
      </c>
      <c r="BV1445" s="66" t="n">
        <f aca="false">IF(N(Z1445)&gt;0,Z1445,0)</f>
        <v>0</v>
      </c>
      <c r="BW1445" s="60" t="n">
        <f aca="false">IF(ISNUMBER(AC1445),1,0)</f>
        <v>0</v>
      </c>
      <c r="BX1445" s="57" t="n">
        <f aca="false">N(AC1445)</f>
        <v>0</v>
      </c>
      <c r="BY1445" s="57" t="n">
        <f aca="false">N(L1445)+N(M1445)</f>
        <v>1</v>
      </c>
      <c r="BZ1445" s="57" t="n">
        <f aca="false">ROUNDUP(G1445/BQ1445,0)</f>
        <v>0</v>
      </c>
      <c r="CA1445" s="57" t="n">
        <f aca="false">ROUNDUP(BX1445/BQ1445,0)</f>
        <v>0</v>
      </c>
      <c r="CB1445" s="60" t="n">
        <f aca="false">IF(BR1445=1,0,IFERROR(VLOOKUP(BP1445,'Gebinde-Kategorie'!$A$5:$M$45,5,0)+0,0))</f>
        <v>0</v>
      </c>
      <c r="CC1445" s="60" t="n">
        <f aca="false">IFERROR(IF(OR(BT1445=1,BT1445=2,BT1445=3),N(INDEX(Parameter!$I$5:$I$7,BT1445)),0),0)</f>
        <v>0</v>
      </c>
      <c r="CD1445" s="59" t="n">
        <f aca="false">IF(AND(Parameter!$B$21="Ja",ISNUMBER(U1445),N(V1445)&gt;0),IFERROR(N(INDEX(Parameter!$L$5:$L$7,U1445))*INDEX(Parameter!$E$5:$E$7,U1445)*V1445/SUMIFS($V$7:$V$1576,$U$7:$U$1576,U1445),0),0)</f>
        <v>0</v>
      </c>
    </row>
    <row r="1446" customFormat="false" ht="15" hidden="false" customHeight="false" outlineLevel="0" collapsed="false">
      <c r="A1446" s="55" t="s">
        <v>2518</v>
      </c>
      <c r="B1446" s="55" t="s">
        <v>415</v>
      </c>
      <c r="C1446" s="55" t="s">
        <v>160</v>
      </c>
      <c r="D1446" s="55" t="s">
        <v>178</v>
      </c>
      <c r="E1446" s="55"/>
      <c r="F1446" s="56" t="n">
        <v>52.49</v>
      </c>
      <c r="G1446" s="57" t="n">
        <f aca="false">MAX(0,IF(AND(Parameter!$B$21="Ja",ISNUMBER(W1446)),W1446,IF(Parameter!$B$20="Jahresanfang 2025 + Export",BJ1446+BI1446,BI1446)))</f>
        <v>0</v>
      </c>
      <c r="H1446" s="57" t="n">
        <f aca="false">G1446*F1446</f>
        <v>0</v>
      </c>
      <c r="I1446" s="57" t="n">
        <f aca="false">BL1446*Parameter!$B$18</f>
        <v>859</v>
      </c>
      <c r="J1446" s="58"/>
      <c r="K1446" s="59"/>
      <c r="L1446" s="57" t="n">
        <v>50</v>
      </c>
      <c r="M1446" s="57" t="n">
        <v>100</v>
      </c>
      <c r="N1446" s="60"/>
      <c r="O1446" s="55" t="s">
        <v>284</v>
      </c>
      <c r="P1446" s="57" t="n">
        <v>430</v>
      </c>
      <c r="Q1446" s="60" t="n">
        <f aca="false">IF(BR1446=1,0,IFERROR(VLOOKUP(BP1446,'Gebinde-Kategorie'!$A$5:$M$45,13,0)+0,0))</f>
        <v>12</v>
      </c>
      <c r="R1446" s="61"/>
      <c r="S1446" s="62"/>
      <c r="T1446" s="62"/>
      <c r="U1446" s="55"/>
      <c r="V1446" s="57"/>
      <c r="W1446" s="57"/>
      <c r="X1446" s="55" t="n">
        <f aca="false">IF(A1446="","",IF(AND(Parameter!$B$21="Ja",ISNUMBER(U1446)),U1446,IF(IFERROR(VLOOKUP(D1446,Parameter!$A$35:$C$64,2,0),"Nein")="2+3",IF(ISNUMBER(SEARCH("grosser Artikel",BM1446)),2,IFERROR(VLOOKUP(BP1446,Parameter!$F$35:$G$64,2,0),2)),IF(OR(IFERROR(VLOOKUP(D1446,Parameter!$A$35:$C$64,2,0),"Nein")="Nein",IFERROR(VLOOKUP(D1446,Parameter!$A$35:$C$64,2,0),"Nein")=""),"-",VLOOKUP(D1446,Parameter!$A$35:$C$64,2,0)))))</f>
        <v>2</v>
      </c>
      <c r="Y1446" s="62"/>
      <c r="Z1446" s="63"/>
      <c r="AA1446" s="57" t="n">
        <f aca="false">AP1446</f>
        <v>430</v>
      </c>
      <c r="AB1446" s="57" t="n">
        <f aca="false">MAX(AP1446,G1446)</f>
        <v>430</v>
      </c>
      <c r="AC1446" s="64"/>
      <c r="AD1446" s="57" t="n">
        <f aca="false">IF(LEFT(Cockpit!$C$5,1)="A",G1446,IF(BW1446=1,BX1446,IF(LEFT(Cockpit!$C$5,1)="B",AH1446,MAX(AH1446,G1446))))</f>
        <v>0</v>
      </c>
      <c r="AE1446" s="57" t="n">
        <f aca="false">IF(BR1446=1,0,ROUNDUP(AD1446/BQ1446,0))</f>
        <v>0</v>
      </c>
      <c r="AF1446" s="59" t="n">
        <f aca="false">IF(CD1446&gt;0,CD1446*MAX(1,AD1446/V1446),IF(BR1446=1,IF(AD1446&lt;=0,0,BS1446*MAX(1,IF(G1446&gt;0,AD1446/G1446,1))),IF(Q1446&gt;0,AE1446/Q1446,0))/MAX(0.1,N(Parameter!$M$21)))</f>
        <v>0</v>
      </c>
      <c r="AG1446" s="57" t="n">
        <f aca="false">AD1446*F1446</f>
        <v>0</v>
      </c>
      <c r="AH1446" s="57" t="n">
        <f aca="false">ROUNDUP(MAX(I1446/IF(BV1446&gt;0,BV1446,MAX(0.1,N(Cockpit!$C$6))),BY1446)/BQ1446,0)*BQ1446</f>
        <v>430</v>
      </c>
      <c r="AI1446" s="58" t="n">
        <f aca="false">IF(AF1446&gt;0,I1446/AF1446,-1)</f>
        <v>-1</v>
      </c>
      <c r="AJ1446" s="58" t="str">
        <f aca="false">IF(AND(OR(BU1446="L1",BU1446="L23"),AF1446&gt;0),SUMIFS($AF$7:$AF$1576,$BU$7:$BU$1576,BU1446,$AI$7:$AI$1576,"&gt;"&amp;AI1446)+SUMIFS($AF$7:$AF$1576,$BU$7:$BU$1576,BU1446,$AI$7:$AI$1576,AI1446,$BO$7:$BO$1576,"&lt;="&amp;BO1446),"")</f>
        <v/>
      </c>
      <c r="AK1446" s="65" t="n">
        <f aca="false">IF(AJ1446="",0,MAX(0,MIN(1,(IF(BU1446="L1",Parameter!$E$5,Parameter!$E$6+Parameter!$E$7)-(AJ1446-AF1446))/AF1446)))</f>
        <v>0</v>
      </c>
      <c r="AL1446" s="57" t="n">
        <f aca="false">IF(LEFT(Cockpit!$I$5,1)="A",G1446,IF(BW1446=1,BX1446,IF(LEFT(Cockpit!$I$5,1)="B",AP1446,MAX(AP1446,G1446))))</f>
        <v>430</v>
      </c>
      <c r="AM1446" s="57" t="n">
        <f aca="false">IF(BR1446=1,0,ROUNDUP(AL1446/BQ1446,0))</f>
        <v>1</v>
      </c>
      <c r="AN1446" s="59" t="n">
        <f aca="false">IF(CD1446&gt;0,CD1446*MAX(1,AL1446/V1446),IF(BR1446=1,IF(AL1446&lt;=0,0,BS1446*MAX(1,IF(G1446&gt;0,AL1446/G1446,1))),IF(Q1446&gt;0,AM1446/Q1446,0))/MAX(0.1,N(Parameter!$M$21)))</f>
        <v>0.0833333333333333</v>
      </c>
      <c r="AO1446" s="57" t="n">
        <f aca="false">AL1446*F1446</f>
        <v>22570.7</v>
      </c>
      <c r="AP1446" s="57" t="n">
        <f aca="false">ROUNDUP(MAX(I1446/IF(BV1446&gt;0,BV1446,MAX(0.1,N(Cockpit!$I$6))),BY1446)/BQ1446,0)*BQ1446</f>
        <v>430</v>
      </c>
      <c r="AQ1446" s="58" t="n">
        <f aca="false">IF(AN1446&gt;0,I1446/AN1446,-1)</f>
        <v>10308</v>
      </c>
      <c r="AR1446" s="58" t="n">
        <f aca="false">IF(AND(OR(BU1446="L1",BU1446="L23"),AN1446&gt;0),SUMIFS($AN$7:$AN$1576,$BU$7:$BU$1576,BU1446,$AQ$7:$AQ$1576,"&gt;"&amp;AQ1446)+SUMIFS($AN$7:$AN$1576,$BU$7:$BU$1576,BU1446,$AQ$7:$AQ$1576,AQ1446,$BO$7:$BO$1576,"&lt;="&amp;BO1446),"")</f>
        <v>7.06531265835614</v>
      </c>
      <c r="AS1446" s="65" t="n">
        <f aca="false">IF(AR1446="",0,MAX(0,MIN(1,(IF(BU1446="L1",Parameter!$E$5,Parameter!$E$6+Parameter!$E$7)-(AR1446-AN1446))/AN1446)))</f>
        <v>1</v>
      </c>
      <c r="AT1446" s="57" t="n">
        <f aca="false">IF(LEFT(Cockpit!$O$5,1)="A",G1446,IF(BW1446=1,BX1446,IF(LEFT(Cockpit!$O$5,1)="B",AX1446,MAX(AX1446,G1446))))</f>
        <v>430</v>
      </c>
      <c r="AU1446" s="57" t="n">
        <f aca="false">IF(BR1446=1,0,ROUNDUP(AT1446/BQ1446,0))</f>
        <v>1</v>
      </c>
      <c r="AV1446" s="59" t="n">
        <f aca="false">IF(CD1446&gt;0,CD1446*MAX(1,AT1446/V1446),IF(BR1446=1,IF(AT1446&lt;=0,0,BS1446*MAX(1,IF(G1446&gt;0,AT1446/G1446,1))),IF(Q1446&gt;0,AU1446/Q1446,0))/MAX(0.1,N(Parameter!$M$21)))</f>
        <v>0.0833333333333333</v>
      </c>
      <c r="AW1446" s="57" t="n">
        <f aca="false">AT1446*F1446</f>
        <v>22570.7</v>
      </c>
      <c r="AX1446" s="57" t="n">
        <f aca="false">ROUNDUP(MAX(I1446/IF(BV1446&gt;0,BV1446,MAX(0.1,N(Cockpit!$O$6))),BY1446)/BQ1446,0)*BQ1446</f>
        <v>430</v>
      </c>
      <c r="AY1446" s="58" t="n">
        <f aca="false">IF(AV1446&gt;0,I1446/AV1446,-1)</f>
        <v>10308</v>
      </c>
      <c r="AZ1446" s="58" t="n">
        <f aca="false">IF(AND(OR(BU1446="L1",BU1446="L23"),AV1446&gt;0),SUMIFS($AV$7:$AV$1576,$BU$7:$BU$1576,BU1446,$AY$7:$AY$1576,"&gt;"&amp;AY1446)+SUMIFS($AV$7:$AV$1576,$BU$7:$BU$1576,BU1446,$AY$7:$AY$1576,AY1446,$BO$7:$BO$1576,"&lt;="&amp;BO1446),"")</f>
        <v>6.76694435998784</v>
      </c>
      <c r="BA1446" s="65" t="n">
        <f aca="false">IF(AZ1446="",0,MAX(0,MIN(1,(IF(BU1446="L1",Parameter!$E$5,Parameter!$E$6+Parameter!$E$7)-(AZ1446-AV1446))/AV1446)))</f>
        <v>1</v>
      </c>
      <c r="BB1446" s="55" t="str">
        <f aca="false">IF(AF1446&lt;=0,"",IF(BU1446="Aussen","Aussenlager",IF(BU1446="-","Nicht im Lift",IF(AK1446&gt;=1,"Lift",IF(AK1446&lt;=0,"Aussenlager","teilweise")))))</f>
        <v/>
      </c>
      <c r="BC1446" s="55" t="str">
        <f aca="false">IF(AN1446&lt;=0,"",IF(BU1446="Aussen","Aussenlager",IF(BU1446="-","Nicht im Lift",IF(AS1446&gt;=1,"Lift",IF(AS1446&lt;=0,"Aussenlager","teilweise")))))</f>
        <v>Lift</v>
      </c>
      <c r="BD1446" s="55" t="str">
        <f aca="false">IF(AV1446&lt;=0,"",IF(BU1446="Aussen","Aussenlager",IF(BU1446="-","Nicht im Lift",IF(BA1446&gt;=1,"Lift",IF(BA1446&lt;=0,"Aussenlager","teilweise")))))</f>
        <v>Lift</v>
      </c>
      <c r="BE1446" s="55" t="str">
        <f aca="false">IF(A1446="","",IF(BN1446=1,"Neu; ","")&amp;IF(AND(BN1446=0,BI1446&lt;0),"negativer Bestand (Export "&amp;BI1446&amp;"); ","")&amp;IF(I1446&lt;=0,"Kein Verbrauch; ","")&amp;IF(CD1446&gt;0,"Lift "&amp;U1446&amp;" lt. Liftbericht (Fach "&amp;V1446&amp;" Stk); ",IF(BR1446=1,"Lose – Fläche geschätzt; ",""))&amp;IF(G1446&gt;AP1446,"Überbestand "&amp;ROUND(G1446-AP1446,0)&amp;" Stk / CHF "&amp;ROUND((G1446-AP1446)*F1446,0)&amp;"; ","")&amp;IF(AND(BW1446=1,BX1446&lt;BY1446),"MAX &lt; MB+LG; ","")&amp;IF(AND(CC1446&gt;0,CB1446*10&gt;CC1446),"zu hoch für Tablar; ","")&amp;IF(AND(BN1446=0,OR(BW1446=1,Y1446&lt;&gt;"",S1446&lt;&gt;"",T1446&lt;&gt;"",Z1446&lt;&gt;"")),"manuell übersteuert; ","")&amp;IF(AND(BR1446=0,Q1446=0),"Gebinde unbekannt / Stellmass fehlt; ","")&amp;IF(AND(BR1446=0,N(T1446)&lt;=0,N(P1446)&lt;=0),"Menge pro Gebinde fehlt (Ist = 1 Gebinde); ","")&amp;BM1446)</f>
        <v>negativer Bestand (Export -228); Neuer Art.</v>
      </c>
      <c r="BF1446" s="55"/>
      <c r="BG1446" s="55"/>
      <c r="BH1446" s="62"/>
      <c r="BI1446" s="57" t="n">
        <v>-228</v>
      </c>
      <c r="BJ1446" s="57" t="n">
        <v>0</v>
      </c>
      <c r="BK1446" s="56" t="n">
        <v>-10655.48</v>
      </c>
      <c r="BL1446" s="57" t="n">
        <v>859</v>
      </c>
      <c r="BM1446" s="55" t="s">
        <v>501</v>
      </c>
      <c r="BN1446" s="60" t="n">
        <v>0</v>
      </c>
      <c r="BO1446" s="60" t="n">
        <v>1446</v>
      </c>
      <c r="BP1446" s="55" t="str">
        <f aca="false">IF(S1446&lt;&gt;"",UPPER(TRIM(S1446)),IF(O1446="","LOSE",O1446))</f>
        <v>S62</v>
      </c>
      <c r="BQ1446" s="57" t="n">
        <f aca="false">IF(BP1446="LOSE",1,IF(N(T1446)&gt;0,T1446,IF(N(P1446)&gt;0,P1446,MAX(1,G1446))))</f>
        <v>430</v>
      </c>
      <c r="BR1446" s="60" t="n">
        <f aca="false">IF(BP1446="LOSE",1,0)</f>
        <v>0</v>
      </c>
      <c r="BS1446" s="59" t="n">
        <f aca="false">IF(BR1446=0,0,IF(N(R1446)&gt;0,R1446,IFERROR(VLOOKUP(D1446,Parameter!$A$35:$C$64,3,0)+0,0)))</f>
        <v>0</v>
      </c>
      <c r="BT1446" s="55" t="n">
        <f aca="false">IF(Y1446&lt;&gt;"",Y1446,X1446)</f>
        <v>2</v>
      </c>
      <c r="BU1446" s="55" t="str">
        <f aca="false">IF(BT1446=1,"L1",IF(OR(BT1446=2,BT1446=3),"L23",IF(BT1446="Aussen","Aussen","-")))</f>
        <v>L23</v>
      </c>
      <c r="BV1446" s="66" t="n">
        <f aca="false">IF(N(Z1446)&gt;0,Z1446,0)</f>
        <v>0</v>
      </c>
      <c r="BW1446" s="60" t="n">
        <f aca="false">IF(ISNUMBER(AC1446),1,0)</f>
        <v>0</v>
      </c>
      <c r="BX1446" s="57" t="n">
        <f aca="false">N(AC1446)</f>
        <v>0</v>
      </c>
      <c r="BY1446" s="57" t="n">
        <f aca="false">N(L1446)+N(M1446)</f>
        <v>150</v>
      </c>
      <c r="BZ1446" s="57" t="n">
        <f aca="false">ROUNDUP(G1446/BQ1446,0)</f>
        <v>0</v>
      </c>
      <c r="CA1446" s="57" t="n">
        <f aca="false">ROUNDUP(BX1446/BQ1446,0)</f>
        <v>0</v>
      </c>
      <c r="CB1446" s="60" t="n">
        <f aca="false">IF(BR1446=1,0,IFERROR(VLOOKUP(BP1446,'Gebinde-Kategorie'!$A$5:$M$45,5,0)+0,0))</f>
        <v>21</v>
      </c>
      <c r="CC1446" s="60" t="n">
        <f aca="false">IFERROR(IF(OR(BT1446=1,BT1446=2,BT1446=3),N(INDEX(Parameter!$I$5:$I$7,BT1446)),0),0)</f>
        <v>0</v>
      </c>
      <c r="CD1446" s="59" t="n">
        <f aca="false">IF(AND(Parameter!$B$21="Ja",ISNUMBER(U1446),N(V1446)&gt;0),IFERROR(N(INDEX(Parameter!$L$5:$L$7,U1446))*INDEX(Parameter!$E$5:$E$7,U1446)*V1446/SUMIFS($V$7:$V$1576,$U$7:$U$1576,U1446),0),0)</f>
        <v>0</v>
      </c>
    </row>
    <row r="1447" customFormat="false" ht="15" hidden="false" customHeight="false" outlineLevel="0" collapsed="false">
      <c r="A1447" s="55" t="s">
        <v>2519</v>
      </c>
      <c r="B1447" s="55" t="s">
        <v>2520</v>
      </c>
      <c r="C1447" s="55" t="s">
        <v>160</v>
      </c>
      <c r="D1447" s="55" t="s">
        <v>178</v>
      </c>
      <c r="E1447" s="55"/>
      <c r="F1447" s="56" t="n">
        <v>315</v>
      </c>
      <c r="G1447" s="57" t="n">
        <f aca="false">MAX(0,IF(AND(Parameter!$B$21="Ja",ISNUMBER(W1447)),W1447,IF(Parameter!$B$20="Jahresanfang 2025 + Export",BJ1447+BI1447,BI1447)))</f>
        <v>0</v>
      </c>
      <c r="H1447" s="57" t="n">
        <f aca="false">G1447*F1447</f>
        <v>0</v>
      </c>
      <c r="I1447" s="57" t="n">
        <f aca="false">BL1447*Parameter!$B$18</f>
        <v>37</v>
      </c>
      <c r="J1447" s="58"/>
      <c r="K1447" s="59"/>
      <c r="L1447" s="57" t="n">
        <v>5</v>
      </c>
      <c r="M1447" s="57" t="n">
        <v>1</v>
      </c>
      <c r="N1447" s="60"/>
      <c r="O1447" s="55" t="s">
        <v>225</v>
      </c>
      <c r="P1447" s="57" t="n">
        <v>50</v>
      </c>
      <c r="Q1447" s="60" t="n">
        <f aca="false">IF(BR1447=1,0,IFERROR(VLOOKUP(BP1447,'Gebinde-Kategorie'!$A$5:$M$45,13,0)+0,0))</f>
        <v>26</v>
      </c>
      <c r="R1447" s="61"/>
      <c r="S1447" s="62"/>
      <c r="T1447" s="62"/>
      <c r="U1447" s="55"/>
      <c r="V1447" s="57"/>
      <c r="W1447" s="57"/>
      <c r="X1447" s="55" t="n">
        <f aca="false">IF(A1447="","",IF(AND(Parameter!$B$21="Ja",ISNUMBER(U1447)),U1447,IF(IFERROR(VLOOKUP(D1447,Parameter!$A$35:$C$64,2,0),"Nein")="2+3",IF(ISNUMBER(SEARCH("grosser Artikel",BM1447)),2,IFERROR(VLOOKUP(BP1447,Parameter!$F$35:$G$64,2,0),2)),IF(OR(IFERROR(VLOOKUP(D1447,Parameter!$A$35:$C$64,2,0),"Nein")="Nein",IFERROR(VLOOKUP(D1447,Parameter!$A$35:$C$64,2,0),"Nein")=""),"-",VLOOKUP(D1447,Parameter!$A$35:$C$64,2,0)))))</f>
        <v>3</v>
      </c>
      <c r="Y1447" s="62"/>
      <c r="Z1447" s="63"/>
      <c r="AA1447" s="57" t="n">
        <f aca="false">AP1447</f>
        <v>50</v>
      </c>
      <c r="AB1447" s="57" t="n">
        <f aca="false">MAX(AP1447,G1447)</f>
        <v>50</v>
      </c>
      <c r="AC1447" s="64"/>
      <c r="AD1447" s="57" t="n">
        <f aca="false">IF(LEFT(Cockpit!$C$5,1)="A",G1447,IF(BW1447=1,BX1447,IF(LEFT(Cockpit!$C$5,1)="B",AH1447,MAX(AH1447,G1447))))</f>
        <v>0</v>
      </c>
      <c r="AE1447" s="57" t="n">
        <f aca="false">IF(BR1447=1,0,ROUNDUP(AD1447/BQ1447,0))</f>
        <v>0</v>
      </c>
      <c r="AF1447" s="59" t="n">
        <f aca="false">IF(CD1447&gt;0,CD1447*MAX(1,AD1447/V1447),IF(BR1447=1,IF(AD1447&lt;=0,0,BS1447*MAX(1,IF(G1447&gt;0,AD1447/G1447,1))),IF(Q1447&gt;0,AE1447/Q1447,0))/MAX(0.1,N(Parameter!$M$21)))</f>
        <v>0</v>
      </c>
      <c r="AG1447" s="57" t="n">
        <f aca="false">AD1447*F1447</f>
        <v>0</v>
      </c>
      <c r="AH1447" s="57" t="n">
        <f aca="false">ROUNDUP(MAX(I1447/IF(BV1447&gt;0,BV1447,MAX(0.1,N(Cockpit!$C$6))),BY1447)/BQ1447,0)*BQ1447</f>
        <v>50</v>
      </c>
      <c r="AI1447" s="58" t="n">
        <f aca="false">IF(AF1447&gt;0,I1447/AF1447,-1)</f>
        <v>-1</v>
      </c>
      <c r="AJ1447" s="58" t="str">
        <f aca="false">IF(AND(OR(BU1447="L1",BU1447="L23"),AF1447&gt;0),SUMIFS($AF$7:$AF$1576,$BU$7:$BU$1576,BU1447,$AI$7:$AI$1576,"&gt;"&amp;AI1447)+SUMIFS($AF$7:$AF$1576,$BU$7:$BU$1576,BU1447,$AI$7:$AI$1576,AI1447,$BO$7:$BO$1576,"&lt;="&amp;BO1447),"")</f>
        <v/>
      </c>
      <c r="AK1447" s="65" t="n">
        <f aca="false">IF(AJ1447="",0,MAX(0,MIN(1,(IF(BU1447="L1",Parameter!$E$5,Parameter!$E$6+Parameter!$E$7)-(AJ1447-AF1447))/AF1447)))</f>
        <v>0</v>
      </c>
      <c r="AL1447" s="57" t="n">
        <f aca="false">IF(LEFT(Cockpit!$I$5,1)="A",G1447,IF(BW1447=1,BX1447,IF(LEFT(Cockpit!$I$5,1)="B",AP1447,MAX(AP1447,G1447))))</f>
        <v>50</v>
      </c>
      <c r="AM1447" s="57" t="n">
        <f aca="false">IF(BR1447=1,0,ROUNDUP(AL1447/BQ1447,0))</f>
        <v>1</v>
      </c>
      <c r="AN1447" s="59" t="n">
        <f aca="false">IF(CD1447&gt;0,CD1447*MAX(1,AL1447/V1447),IF(BR1447=1,IF(AL1447&lt;=0,0,BS1447*MAX(1,IF(G1447&gt;0,AL1447/G1447,1))),IF(Q1447&gt;0,AM1447/Q1447,0))/MAX(0.1,N(Parameter!$M$21)))</f>
        <v>0.0384615384615385</v>
      </c>
      <c r="AO1447" s="57" t="n">
        <f aca="false">AL1447*F1447</f>
        <v>15750</v>
      </c>
      <c r="AP1447" s="57" t="n">
        <f aca="false">ROUNDUP(MAX(I1447/IF(BV1447&gt;0,BV1447,MAX(0.1,N(Cockpit!$I$6))),BY1447)/BQ1447,0)*BQ1447</f>
        <v>50</v>
      </c>
      <c r="AQ1447" s="58" t="n">
        <f aca="false">IF(AN1447&gt;0,I1447/AN1447,-1)</f>
        <v>962</v>
      </c>
      <c r="AR1447" s="58" t="n">
        <f aca="false">IF(AND(OR(BU1447="L1",BU1447="L23"),AN1447&gt;0),SUMIFS($AN$7:$AN$1576,$BU$7:$BU$1576,BU1447,$AQ$7:$AQ$1576,"&gt;"&amp;AQ1447)+SUMIFS($AN$7:$AN$1576,$BU$7:$BU$1576,BU1447,$AQ$7:$AQ$1576,AQ1447,$BO$7:$BO$1576,"&lt;="&amp;BO1447),"")</f>
        <v>23.3250258078631</v>
      </c>
      <c r="AS1447" s="65" t="n">
        <f aca="false">IF(AR1447="",0,MAX(0,MIN(1,(IF(BU1447="L1",Parameter!$E$5,Parameter!$E$6+Parameter!$E$7)-(AR1447-AN1447))/AN1447)))</f>
        <v>1</v>
      </c>
      <c r="AT1447" s="57" t="n">
        <f aca="false">IF(LEFT(Cockpit!$O$5,1)="A",G1447,IF(BW1447=1,BX1447,IF(LEFT(Cockpit!$O$5,1)="B",AX1447,MAX(AX1447,G1447))))</f>
        <v>50</v>
      </c>
      <c r="AU1447" s="57" t="n">
        <f aca="false">IF(BR1447=1,0,ROUNDUP(AT1447/BQ1447,0))</f>
        <v>1</v>
      </c>
      <c r="AV1447" s="59" t="n">
        <f aca="false">IF(CD1447&gt;0,CD1447*MAX(1,AT1447/V1447),IF(BR1447=1,IF(AT1447&lt;=0,0,BS1447*MAX(1,IF(G1447&gt;0,AT1447/G1447,1))),IF(Q1447&gt;0,AU1447/Q1447,0))/MAX(0.1,N(Parameter!$M$21)))</f>
        <v>0.0384615384615385</v>
      </c>
      <c r="AW1447" s="57" t="n">
        <f aca="false">AT1447*F1447</f>
        <v>15750</v>
      </c>
      <c r="AX1447" s="57" t="n">
        <f aca="false">ROUNDUP(MAX(I1447/IF(BV1447&gt;0,BV1447,MAX(0.1,N(Cockpit!$O$6))),BY1447)/BQ1447,0)*BQ1447</f>
        <v>50</v>
      </c>
      <c r="AY1447" s="58" t="n">
        <f aca="false">IF(AV1447&gt;0,I1447/AV1447,-1)</f>
        <v>962</v>
      </c>
      <c r="AZ1447" s="58" t="n">
        <f aca="false">IF(AND(OR(BU1447="L1",BU1447="L23"),AV1447&gt;0),SUMIFS($AV$7:$AV$1576,$BU$7:$BU$1576,BU1447,$AY$7:$AY$1576,"&gt;"&amp;AY1447)+SUMIFS($AV$7:$AV$1576,$BU$7:$BU$1576,BU1447,$AY$7:$AY$1576,AY1447,$BO$7:$BO$1576,"&lt;="&amp;BO1447),"")</f>
        <v>22.3920421248794</v>
      </c>
      <c r="BA1447" s="65" t="n">
        <f aca="false">IF(AZ1447="",0,MAX(0,MIN(1,(IF(BU1447="L1",Parameter!$E$5,Parameter!$E$6+Parameter!$E$7)-(AZ1447-AV1447))/AV1447)))</f>
        <v>1</v>
      </c>
      <c r="BB1447" s="55" t="str">
        <f aca="false">IF(AF1447&lt;=0,"",IF(BU1447="Aussen","Aussenlager",IF(BU1447="-","Nicht im Lift",IF(AK1447&gt;=1,"Lift",IF(AK1447&lt;=0,"Aussenlager","teilweise")))))</f>
        <v/>
      </c>
      <c r="BC1447" s="55" t="str">
        <f aca="false">IF(AN1447&lt;=0,"",IF(BU1447="Aussen","Aussenlager",IF(BU1447="-","Nicht im Lift",IF(AS1447&gt;=1,"Lift",IF(AS1447&lt;=0,"Aussenlager","teilweise")))))</f>
        <v>Lift</v>
      </c>
      <c r="BD1447" s="55" t="str">
        <f aca="false">IF(AV1447&lt;=0,"",IF(BU1447="Aussen","Aussenlager",IF(BU1447="-","Nicht im Lift",IF(BA1447&gt;=1,"Lift",IF(BA1447&lt;=0,"Aussenlager","teilweise")))))</f>
        <v>Lift</v>
      </c>
      <c r="BE1447" s="55" t="str">
        <f aca="false">IF(A1447="","",IF(BN1447=1,"Neu; ","")&amp;IF(AND(BN1447=0,BI1447&lt;0),"negativer Bestand (Export "&amp;BI1447&amp;"); ","")&amp;IF(I1447&lt;=0,"Kein Verbrauch; ","")&amp;IF(CD1447&gt;0,"Lift "&amp;U1447&amp;" lt. Liftbericht (Fach "&amp;V1447&amp;" Stk); ",IF(BR1447=1,"Lose – Fläche geschätzt; ",""))&amp;IF(G1447&gt;AP1447,"Überbestand "&amp;ROUND(G1447-AP1447,0)&amp;" Stk / CHF "&amp;ROUND((G1447-AP1447)*F1447,0)&amp;"; ","")&amp;IF(AND(BW1447=1,BX1447&lt;BY1447),"MAX &lt; MB+LG; ","")&amp;IF(AND(CC1447&gt;0,CB1447*10&gt;CC1447),"zu hoch für Tablar; ","")&amp;IF(AND(BN1447=0,OR(BW1447=1,Y1447&lt;&gt;"",S1447&lt;&gt;"",T1447&lt;&gt;"",Z1447&lt;&gt;"")),"manuell übersteuert; ","")&amp;IF(AND(BR1447=0,Q1447=0),"Gebinde unbekannt / Stellmass fehlt; ","")&amp;IF(AND(BR1447=0,N(T1447)&lt;=0,N(P1447)&lt;=0),"Menge pro Gebinde fehlt (Ist = 1 Gebinde); ","")&amp;BM1447)</f>
        <v>negativer Bestand (Export -37); </v>
      </c>
      <c r="BF1447" s="55"/>
      <c r="BG1447" s="55"/>
      <c r="BH1447" s="62"/>
      <c r="BI1447" s="57" t="n">
        <v>-37</v>
      </c>
      <c r="BJ1447" s="57" t="n">
        <v>0</v>
      </c>
      <c r="BK1447" s="56" t="n">
        <v>-11655</v>
      </c>
      <c r="BL1447" s="57" t="n">
        <v>37</v>
      </c>
      <c r="BM1447" s="55"/>
      <c r="BN1447" s="60" t="n">
        <v>0</v>
      </c>
      <c r="BO1447" s="60" t="n">
        <v>1447</v>
      </c>
      <c r="BP1447" s="55" t="str">
        <f aca="false">IF(S1447&lt;&gt;"",UPPER(TRIM(S1447)),IF(O1447="","LOSE",O1447))</f>
        <v>S52</v>
      </c>
      <c r="BQ1447" s="57" t="n">
        <f aca="false">IF(BP1447="LOSE",1,IF(N(T1447)&gt;0,T1447,IF(N(P1447)&gt;0,P1447,MAX(1,G1447))))</f>
        <v>50</v>
      </c>
      <c r="BR1447" s="60" t="n">
        <f aca="false">IF(BP1447="LOSE",1,0)</f>
        <v>0</v>
      </c>
      <c r="BS1447" s="59" t="n">
        <f aca="false">IF(BR1447=0,0,IF(N(R1447)&gt;0,R1447,IFERROR(VLOOKUP(D1447,Parameter!$A$35:$C$64,3,0)+0,0)))</f>
        <v>0</v>
      </c>
      <c r="BT1447" s="55" t="n">
        <f aca="false">IF(Y1447&lt;&gt;"",Y1447,X1447)</f>
        <v>3</v>
      </c>
      <c r="BU1447" s="55" t="str">
        <f aca="false">IF(BT1447=1,"L1",IF(OR(BT1447=2,BT1447=3),"L23",IF(BT1447="Aussen","Aussen","-")))</f>
        <v>L23</v>
      </c>
      <c r="BV1447" s="66" t="n">
        <f aca="false">IF(N(Z1447)&gt;0,Z1447,0)</f>
        <v>0</v>
      </c>
      <c r="BW1447" s="60" t="n">
        <f aca="false">IF(ISNUMBER(AC1447),1,0)</f>
        <v>0</v>
      </c>
      <c r="BX1447" s="57" t="n">
        <f aca="false">N(AC1447)</f>
        <v>0</v>
      </c>
      <c r="BY1447" s="57" t="n">
        <f aca="false">N(L1447)+N(M1447)</f>
        <v>6</v>
      </c>
      <c r="BZ1447" s="57" t="n">
        <f aca="false">ROUNDUP(G1447/BQ1447,0)</f>
        <v>0</v>
      </c>
      <c r="CA1447" s="57" t="n">
        <f aca="false">ROUNDUP(BX1447/BQ1447,0)</f>
        <v>0</v>
      </c>
      <c r="CB1447" s="60" t="n">
        <f aca="false">IF(BR1447=1,0,IFERROR(VLOOKUP(BP1447,'Gebinde-Kategorie'!$A$5:$M$45,5,0)+0,0))</f>
        <v>21</v>
      </c>
      <c r="CC1447" s="60" t="n">
        <f aca="false">IFERROR(IF(OR(BT1447=1,BT1447=2,BT1447=3),N(INDEX(Parameter!$I$5:$I$7,BT1447)),0),0)</f>
        <v>0</v>
      </c>
      <c r="CD1447" s="59" t="n">
        <f aca="false">IF(AND(Parameter!$B$21="Ja",ISNUMBER(U1447),N(V1447)&gt;0),IFERROR(N(INDEX(Parameter!$L$5:$L$7,U1447))*INDEX(Parameter!$E$5:$E$7,U1447)*V1447/SUMIFS($V$7:$V$1576,$U$7:$U$1576,U1447),0),0)</f>
        <v>0</v>
      </c>
    </row>
    <row r="1448" customFormat="false" ht="15" hidden="false" customHeight="false" outlineLevel="0" collapsed="false">
      <c r="A1448" s="55" t="s">
        <v>2521</v>
      </c>
      <c r="B1448" s="55" t="s">
        <v>395</v>
      </c>
      <c r="C1448" s="55" t="s">
        <v>160</v>
      </c>
      <c r="D1448" s="55" t="s">
        <v>178</v>
      </c>
      <c r="E1448" s="55"/>
      <c r="F1448" s="56" t="n">
        <v>3.25</v>
      </c>
      <c r="G1448" s="57" t="n">
        <f aca="false">MAX(0,IF(AND(Parameter!$B$21="Ja",ISNUMBER(W1448)),W1448,IF(Parameter!$B$20="Jahresanfang 2025 + Export",BJ1448+BI1448,BI1448)))</f>
        <v>0</v>
      </c>
      <c r="H1448" s="57" t="n">
        <f aca="false">G1448*F1448</f>
        <v>0</v>
      </c>
      <c r="I1448" s="57" t="n">
        <f aca="false">BL1448*Parameter!$B$18</f>
        <v>2410</v>
      </c>
      <c r="J1448" s="58"/>
      <c r="K1448" s="59"/>
      <c r="L1448" s="57" t="n">
        <v>150</v>
      </c>
      <c r="M1448" s="57" t="n">
        <v>500</v>
      </c>
      <c r="N1448" s="60"/>
      <c r="O1448" s="55" t="s">
        <v>251</v>
      </c>
      <c r="P1448" s="57" t="n">
        <v>1200</v>
      </c>
      <c r="Q1448" s="60" t="n">
        <f aca="false">IF(BR1448=1,0,IFERROR(VLOOKUP(BP1448,'Gebinde-Kategorie'!$A$5:$M$45,13,0)+0,0))</f>
        <v>6</v>
      </c>
      <c r="R1448" s="61"/>
      <c r="S1448" s="62"/>
      <c r="T1448" s="62"/>
      <c r="U1448" s="55"/>
      <c r="V1448" s="57"/>
      <c r="W1448" s="57"/>
      <c r="X1448" s="55" t="n">
        <f aca="false">IF(A1448="","",IF(AND(Parameter!$B$21="Ja",ISNUMBER(U1448)),U1448,IF(IFERROR(VLOOKUP(D1448,Parameter!$A$35:$C$64,2,0),"Nein")="2+3",IF(ISNUMBER(SEARCH("grosser Artikel",BM1448)),2,IFERROR(VLOOKUP(BP1448,Parameter!$F$35:$G$64,2,0),2)),IF(OR(IFERROR(VLOOKUP(D1448,Parameter!$A$35:$C$64,2,0),"Nein")="Nein",IFERROR(VLOOKUP(D1448,Parameter!$A$35:$C$64,2,0),"Nein")=""),"-",VLOOKUP(D1448,Parameter!$A$35:$C$64,2,0)))))</f>
        <v>2</v>
      </c>
      <c r="Y1448" s="62"/>
      <c r="Z1448" s="63"/>
      <c r="AA1448" s="57" t="n">
        <f aca="false">AP1448</f>
        <v>2400</v>
      </c>
      <c r="AB1448" s="57" t="n">
        <f aca="false">MAX(AP1448,G1448)</f>
        <v>2400</v>
      </c>
      <c r="AC1448" s="64"/>
      <c r="AD1448" s="57" t="n">
        <f aca="false">IF(LEFT(Cockpit!$C$5,1)="A",G1448,IF(BW1448=1,BX1448,IF(LEFT(Cockpit!$C$5,1)="B",AH1448,MAX(AH1448,G1448))))</f>
        <v>0</v>
      </c>
      <c r="AE1448" s="57" t="n">
        <f aca="false">IF(BR1448=1,0,ROUNDUP(AD1448/BQ1448,0))</f>
        <v>0</v>
      </c>
      <c r="AF1448" s="59" t="n">
        <f aca="false">IF(CD1448&gt;0,CD1448*MAX(1,AD1448/V1448),IF(BR1448=1,IF(AD1448&lt;=0,0,BS1448*MAX(1,IF(G1448&gt;0,AD1448/G1448,1))),IF(Q1448&gt;0,AE1448/Q1448,0))/MAX(0.1,N(Parameter!$M$21)))</f>
        <v>0</v>
      </c>
      <c r="AG1448" s="57" t="n">
        <f aca="false">AD1448*F1448</f>
        <v>0</v>
      </c>
      <c r="AH1448" s="57" t="n">
        <f aca="false">ROUNDUP(MAX(I1448/IF(BV1448&gt;0,BV1448,MAX(0.1,N(Cockpit!$C$6))),BY1448)/BQ1448,0)*BQ1448</f>
        <v>2400</v>
      </c>
      <c r="AI1448" s="58" t="n">
        <f aca="false">IF(AF1448&gt;0,I1448/AF1448,-1)</f>
        <v>-1</v>
      </c>
      <c r="AJ1448" s="58" t="str">
        <f aca="false">IF(AND(OR(BU1448="L1",BU1448="L23"),AF1448&gt;0),SUMIFS($AF$7:$AF$1576,$BU$7:$BU$1576,BU1448,$AI$7:$AI$1576,"&gt;"&amp;AI1448)+SUMIFS($AF$7:$AF$1576,$BU$7:$BU$1576,BU1448,$AI$7:$AI$1576,AI1448,$BO$7:$BO$1576,"&lt;="&amp;BO1448),"")</f>
        <v/>
      </c>
      <c r="AK1448" s="65" t="n">
        <f aca="false">IF(AJ1448="",0,MAX(0,MIN(1,(IF(BU1448="L1",Parameter!$E$5,Parameter!$E$6+Parameter!$E$7)-(AJ1448-AF1448))/AF1448)))</f>
        <v>0</v>
      </c>
      <c r="AL1448" s="57" t="n">
        <f aca="false">IF(LEFT(Cockpit!$I$5,1)="A",G1448,IF(BW1448=1,BX1448,IF(LEFT(Cockpit!$I$5,1)="B",AP1448,MAX(AP1448,G1448))))</f>
        <v>2400</v>
      </c>
      <c r="AM1448" s="57" t="n">
        <f aca="false">IF(BR1448=1,0,ROUNDUP(AL1448/BQ1448,0))</f>
        <v>2</v>
      </c>
      <c r="AN1448" s="59" t="n">
        <f aca="false">IF(CD1448&gt;0,CD1448*MAX(1,AL1448/V1448),IF(BR1448=1,IF(AL1448&lt;=0,0,BS1448*MAX(1,IF(G1448&gt;0,AL1448/G1448,1))),IF(Q1448&gt;0,AM1448/Q1448,0))/MAX(0.1,N(Parameter!$M$21)))</f>
        <v>0.333333333333333</v>
      </c>
      <c r="AO1448" s="57" t="n">
        <f aca="false">AL1448*F1448</f>
        <v>7800</v>
      </c>
      <c r="AP1448" s="57" t="n">
        <f aca="false">ROUNDUP(MAX(I1448/IF(BV1448&gt;0,BV1448,MAX(0.1,N(Cockpit!$I$6))),BY1448)/BQ1448,0)*BQ1448</f>
        <v>2400</v>
      </c>
      <c r="AQ1448" s="58" t="n">
        <f aca="false">IF(AN1448&gt;0,I1448/AN1448,-1)</f>
        <v>7230</v>
      </c>
      <c r="AR1448" s="58" t="n">
        <f aca="false">IF(AND(OR(BU1448="L1",BU1448="L23"),AN1448&gt;0),SUMIFS($AN$7:$AN$1576,$BU$7:$BU$1576,BU1448,$AQ$7:$AQ$1576,"&gt;"&amp;AQ1448)+SUMIFS($AN$7:$AN$1576,$BU$7:$BU$1576,BU1448,$AQ$7:$AQ$1576,AQ1448,$BO$7:$BO$1576,"&lt;="&amp;BO1448),"")</f>
        <v>8.40492111752981</v>
      </c>
      <c r="AS1448" s="65" t="n">
        <f aca="false">IF(AR1448="",0,MAX(0,MIN(1,(IF(BU1448="L1",Parameter!$E$5,Parameter!$E$6+Parameter!$E$7)-(AR1448-AN1448))/AN1448)))</f>
        <v>1</v>
      </c>
      <c r="AT1448" s="57" t="n">
        <f aca="false">IF(LEFT(Cockpit!$O$5,1)="A",G1448,IF(BW1448=1,BX1448,IF(LEFT(Cockpit!$O$5,1)="B",AX1448,MAX(AX1448,G1448))))</f>
        <v>1200</v>
      </c>
      <c r="AU1448" s="57" t="n">
        <f aca="false">IF(BR1448=1,0,ROUNDUP(AT1448/BQ1448,0))</f>
        <v>1</v>
      </c>
      <c r="AV1448" s="59" t="n">
        <f aca="false">IF(CD1448&gt;0,CD1448*MAX(1,AT1448/V1448),IF(BR1448=1,IF(AT1448&lt;=0,0,BS1448*MAX(1,IF(G1448&gt;0,AT1448/G1448,1))),IF(Q1448&gt;0,AU1448/Q1448,0))/MAX(0.1,N(Parameter!$M$21)))</f>
        <v>0.166666666666667</v>
      </c>
      <c r="AW1448" s="57" t="n">
        <f aca="false">AT1448*F1448</f>
        <v>3900</v>
      </c>
      <c r="AX1448" s="57" t="n">
        <f aca="false">ROUNDUP(MAX(I1448/IF(BV1448&gt;0,BV1448,MAX(0.1,N(Cockpit!$O$6))),BY1448)/BQ1448,0)*BQ1448</f>
        <v>1200</v>
      </c>
      <c r="AY1448" s="58" t="n">
        <f aca="false">IF(AV1448&gt;0,I1448/AV1448,-1)</f>
        <v>14460</v>
      </c>
      <c r="AZ1448" s="58" t="n">
        <f aca="false">IF(AND(OR(BU1448="L1",BU1448="L23"),AV1448&gt;0),SUMIFS($AV$7:$AV$1576,$BU$7:$BU$1576,BU1448,$AY$7:$AY$1576,"&gt;"&amp;AY1448)+SUMIFS($AV$7:$AV$1576,$BU$7:$BU$1576,BU1448,$AY$7:$AY$1576,AY1448,$BO$7:$BO$1576,"&lt;="&amp;BO1448),"")</f>
        <v>5.19501165501166</v>
      </c>
      <c r="BA1448" s="65" t="n">
        <f aca="false">IF(AZ1448="",0,MAX(0,MIN(1,(IF(BU1448="L1",Parameter!$E$5,Parameter!$E$6+Parameter!$E$7)-(AZ1448-AV1448))/AV1448)))</f>
        <v>1</v>
      </c>
      <c r="BB1448" s="55" t="str">
        <f aca="false">IF(AF1448&lt;=0,"",IF(BU1448="Aussen","Aussenlager",IF(BU1448="-","Nicht im Lift",IF(AK1448&gt;=1,"Lift",IF(AK1448&lt;=0,"Aussenlager","teilweise")))))</f>
        <v/>
      </c>
      <c r="BC1448" s="55" t="str">
        <f aca="false">IF(AN1448&lt;=0,"",IF(BU1448="Aussen","Aussenlager",IF(BU1448="-","Nicht im Lift",IF(AS1448&gt;=1,"Lift",IF(AS1448&lt;=0,"Aussenlager","teilweise")))))</f>
        <v>Lift</v>
      </c>
      <c r="BD1448" s="55" t="str">
        <f aca="false">IF(AV1448&lt;=0,"",IF(BU1448="Aussen","Aussenlager",IF(BU1448="-","Nicht im Lift",IF(BA1448&gt;=1,"Lift",IF(BA1448&lt;=0,"Aussenlager","teilweise")))))</f>
        <v>Lift</v>
      </c>
      <c r="BE1448" s="55" t="str">
        <f aca="false">IF(A1448="","",IF(BN1448=1,"Neu; ","")&amp;IF(AND(BN1448=0,BI1448&lt;0),"negativer Bestand (Export "&amp;BI1448&amp;"); ","")&amp;IF(I1448&lt;=0,"Kein Verbrauch; ","")&amp;IF(CD1448&gt;0,"Lift "&amp;U1448&amp;" lt. Liftbericht (Fach "&amp;V1448&amp;" Stk); ",IF(BR1448=1,"Lose – Fläche geschätzt; ",""))&amp;IF(G1448&gt;AP1448,"Überbestand "&amp;ROUND(G1448-AP1448,0)&amp;" Stk / CHF "&amp;ROUND((G1448-AP1448)*F1448,0)&amp;"; ","")&amp;IF(AND(BW1448=1,BX1448&lt;BY1448),"MAX &lt; MB+LG; ","")&amp;IF(AND(CC1448&gt;0,CB1448*10&gt;CC1448),"zu hoch für Tablar; ","")&amp;IF(AND(BN1448=0,OR(BW1448=1,Y1448&lt;&gt;"",S1448&lt;&gt;"",T1448&lt;&gt;"",Z1448&lt;&gt;"")),"manuell übersteuert; ","")&amp;IF(AND(BR1448=0,Q1448=0),"Gebinde unbekannt / Stellmass fehlt; ","")&amp;IF(AND(BR1448=0,N(T1448)&lt;=0,N(P1448)&lt;=0),"Menge pro Gebinde fehlt (Ist = 1 Gebinde); ","")&amp;BM1448)</f>
        <v>negativer Bestand (Export -3665); grosse  Artikelmenge</v>
      </c>
      <c r="BF1448" s="55"/>
      <c r="BG1448" s="55"/>
      <c r="BH1448" s="62"/>
      <c r="BI1448" s="57" t="n">
        <v>-3665</v>
      </c>
      <c r="BJ1448" s="57" t="n">
        <v>0</v>
      </c>
      <c r="BK1448" s="56" t="n">
        <v>-11911.25</v>
      </c>
      <c r="BL1448" s="57" t="n">
        <v>2410</v>
      </c>
      <c r="BM1448" s="55" t="s">
        <v>1594</v>
      </c>
      <c r="BN1448" s="60" t="n">
        <v>0</v>
      </c>
      <c r="BO1448" s="60" t="n">
        <v>1448</v>
      </c>
      <c r="BP1448" s="55" t="str">
        <f aca="false">IF(S1448&lt;&gt;"",UPPER(TRIM(S1448)),IF(O1448="","LOSE",O1448))</f>
        <v>S72</v>
      </c>
      <c r="BQ1448" s="57" t="n">
        <f aca="false">IF(BP1448="LOSE",1,IF(N(T1448)&gt;0,T1448,IF(N(P1448)&gt;0,P1448,MAX(1,G1448))))</f>
        <v>1200</v>
      </c>
      <c r="BR1448" s="60" t="n">
        <f aca="false">IF(BP1448="LOSE",1,0)</f>
        <v>0</v>
      </c>
      <c r="BS1448" s="59" t="n">
        <f aca="false">IF(BR1448=0,0,IF(N(R1448)&gt;0,R1448,IFERROR(VLOOKUP(D1448,Parameter!$A$35:$C$64,3,0)+0,0)))</f>
        <v>0</v>
      </c>
      <c r="BT1448" s="55" t="n">
        <f aca="false">IF(Y1448&lt;&gt;"",Y1448,X1448)</f>
        <v>2</v>
      </c>
      <c r="BU1448" s="55" t="str">
        <f aca="false">IF(BT1448=1,"L1",IF(OR(BT1448=2,BT1448=3),"L23",IF(BT1448="Aussen","Aussen","-")))</f>
        <v>L23</v>
      </c>
      <c r="BV1448" s="66" t="n">
        <f aca="false">IF(N(Z1448)&gt;0,Z1448,0)</f>
        <v>0</v>
      </c>
      <c r="BW1448" s="60" t="n">
        <f aca="false">IF(ISNUMBER(AC1448),1,0)</f>
        <v>0</v>
      </c>
      <c r="BX1448" s="57" t="n">
        <f aca="false">N(AC1448)</f>
        <v>0</v>
      </c>
      <c r="BY1448" s="57" t="n">
        <f aca="false">N(L1448)+N(M1448)</f>
        <v>650</v>
      </c>
      <c r="BZ1448" s="57" t="n">
        <f aca="false">ROUNDUP(G1448/BQ1448,0)</f>
        <v>0</v>
      </c>
      <c r="CA1448" s="57" t="n">
        <f aca="false">ROUNDUP(BX1448/BQ1448,0)</f>
        <v>0</v>
      </c>
      <c r="CB1448" s="60" t="n">
        <f aca="false">IF(BR1448=1,0,IFERROR(VLOOKUP(BP1448,'Gebinde-Kategorie'!$A$5:$M$45,5,0)+0,0))</f>
        <v>40</v>
      </c>
      <c r="CC1448" s="60" t="n">
        <f aca="false">IFERROR(IF(OR(BT1448=1,BT1448=2,BT1448=3),N(INDEX(Parameter!$I$5:$I$7,BT1448)),0),0)</f>
        <v>0</v>
      </c>
      <c r="CD1448" s="59" t="n">
        <f aca="false">IF(AND(Parameter!$B$21="Ja",ISNUMBER(U1448),N(V1448)&gt;0),IFERROR(N(INDEX(Parameter!$L$5:$L$7,U1448))*INDEX(Parameter!$E$5:$E$7,U1448)*V1448/SUMIFS($V$7:$V$1576,$U$7:$U$1576,U1448),0),0)</f>
        <v>0</v>
      </c>
    </row>
    <row r="1449" customFormat="false" ht="15" hidden="false" customHeight="false" outlineLevel="0" collapsed="false">
      <c r="A1449" s="55" t="s">
        <v>2522</v>
      </c>
      <c r="B1449" s="55" t="s">
        <v>2370</v>
      </c>
      <c r="C1449" s="55" t="s">
        <v>160</v>
      </c>
      <c r="D1449" s="55" t="s">
        <v>161</v>
      </c>
      <c r="E1449" s="55"/>
      <c r="F1449" s="56" t="n">
        <v>2608.01</v>
      </c>
      <c r="G1449" s="57" t="n">
        <f aca="false">MAX(0,IF(AND(Parameter!$B$21="Ja",ISNUMBER(W1449)),W1449,IF(Parameter!$B$20="Jahresanfang 2025 + Export",BJ1449+BI1449,BI1449)))</f>
        <v>6</v>
      </c>
      <c r="H1449" s="57" t="n">
        <f aca="false">G1449*F1449</f>
        <v>15648.06</v>
      </c>
      <c r="I1449" s="57" t="n">
        <f aca="false">BL1449*Parameter!$B$18</f>
        <v>30</v>
      </c>
      <c r="J1449" s="58"/>
      <c r="K1449" s="59"/>
      <c r="L1449" s="57" t="n">
        <v>1</v>
      </c>
      <c r="M1449" s="57" t="n">
        <v>5</v>
      </c>
      <c r="N1449" s="60"/>
      <c r="O1449" s="55" t="s">
        <v>163</v>
      </c>
      <c r="P1449" s="57"/>
      <c r="Q1449" s="60" t="n">
        <f aca="false">IF(BR1449=1,0,IFERROR(VLOOKUP(BP1449,'Gebinde-Kategorie'!$A$5:$M$45,13,0)+0,0))</f>
        <v>0</v>
      </c>
      <c r="R1449" s="61"/>
      <c r="S1449" s="62"/>
      <c r="T1449" s="62"/>
      <c r="U1449" s="55" t="n">
        <v>1</v>
      </c>
      <c r="V1449" s="57" t="n">
        <v>13</v>
      </c>
      <c r="W1449" s="57" t="n">
        <v>6</v>
      </c>
      <c r="X1449" s="55" t="n">
        <f aca="false">IF(A1449="","",IF(AND(Parameter!$B$21="Ja",ISNUMBER(U1449)),U1449,IF(IFERROR(VLOOKUP(D1449,Parameter!$A$35:$C$64,2,0),"Nein")="2+3",IF(ISNUMBER(SEARCH("grosser Artikel",BM1449)),2,IFERROR(VLOOKUP(BP1449,Parameter!$F$35:$G$64,2,0),2)),IF(OR(IFERROR(VLOOKUP(D1449,Parameter!$A$35:$C$64,2,0),"Nein")="Nein",IFERROR(VLOOKUP(D1449,Parameter!$A$35:$C$64,2,0),"Nein")=""),"-",VLOOKUP(D1449,Parameter!$A$35:$C$64,2,0)))))</f>
        <v>1</v>
      </c>
      <c r="Y1449" s="62"/>
      <c r="Z1449" s="63"/>
      <c r="AA1449" s="57" t="n">
        <f aca="false">AP1449</f>
        <v>15</v>
      </c>
      <c r="AB1449" s="57" t="n">
        <f aca="false">MAX(AP1449,G1449)</f>
        <v>15</v>
      </c>
      <c r="AC1449" s="64"/>
      <c r="AD1449" s="57" t="n">
        <f aca="false">IF(LEFT(Cockpit!$C$5,1)="A",G1449,IF(BW1449=1,BX1449,IF(LEFT(Cockpit!$C$5,1)="B",AH1449,MAX(AH1449,G1449))))</f>
        <v>6</v>
      </c>
      <c r="AE1449" s="57" t="n">
        <f aca="false">IF(BR1449=1,0,ROUNDUP(AD1449/BQ1449,0))</f>
        <v>0</v>
      </c>
      <c r="AF1449" s="59" t="n">
        <f aca="false">IF(CD1449&gt;0,CD1449*MAX(1,AD1449/V1449),IF(BR1449=1,IF(AD1449&lt;=0,0,BS1449*MAX(1,IF(G1449&gt;0,AD1449/G1449,1))),IF(Q1449&gt;0,AE1449/Q1449,0))/MAX(0.1,N(Parameter!$M$21)))</f>
        <v>1.04048964218456</v>
      </c>
      <c r="AG1449" s="57" t="n">
        <f aca="false">AD1449*F1449</f>
        <v>15648.06</v>
      </c>
      <c r="AH1449" s="57" t="n">
        <f aca="false">ROUNDUP(MAX(I1449/IF(BV1449&gt;0,BV1449,MAX(0.1,N(Cockpit!$C$6))),BY1449)/BQ1449,0)*BQ1449</f>
        <v>15</v>
      </c>
      <c r="AI1449" s="58" t="n">
        <f aca="false">IF(AF1449&gt;0,I1449/AF1449,-1)</f>
        <v>28.8325791855204</v>
      </c>
      <c r="AJ1449" s="58" t="n">
        <f aca="false">IF(AND(OR(BU1449="L1",BU1449="L23"),AF1449&gt;0),SUMIFS($AF$7:$AF$1576,$BU$7:$BU$1576,BU1449,$AI$7:$AI$1576,"&gt;"&amp;AI1449)+SUMIFS($AF$7:$AF$1576,$BU$7:$BU$1576,BU1449,$AI$7:$AI$1576,AI1449,$BO$7:$BO$1576,"&lt;="&amp;BO1449),"")</f>
        <v>6.08286252354049</v>
      </c>
      <c r="AK1449" s="65" t="n">
        <f aca="false">IF(AJ1449="",0,MAX(0,MIN(1,(IF(BU1449="L1",Parameter!$E$5,Parameter!$E$6+Parameter!$E$7)-(AJ1449-AF1449))/AF1449)))</f>
        <v>1</v>
      </c>
      <c r="AL1449" s="57" t="n">
        <f aca="false">IF(LEFT(Cockpit!$I$5,1)="A",G1449,IF(BW1449=1,BX1449,IF(LEFT(Cockpit!$I$5,1)="B",AP1449,MAX(AP1449,G1449))))</f>
        <v>15</v>
      </c>
      <c r="AM1449" s="57" t="n">
        <f aca="false">IF(BR1449=1,0,ROUNDUP(AL1449/BQ1449,0))</f>
        <v>0</v>
      </c>
      <c r="AN1449" s="59" t="n">
        <f aca="false">IF(CD1449&gt;0,CD1449*MAX(1,AL1449/V1449),IF(BR1449=1,IF(AL1449&lt;=0,0,BS1449*MAX(1,IF(G1449&gt;0,AL1449/G1449,1))),IF(Q1449&gt;0,AM1449/Q1449,0))/MAX(0.1,N(Parameter!$M$21)))</f>
        <v>1.20056497175141</v>
      </c>
      <c r="AO1449" s="57" t="n">
        <f aca="false">AL1449*F1449</f>
        <v>39120.15</v>
      </c>
      <c r="AP1449" s="57" t="n">
        <f aca="false">ROUNDUP(MAX(I1449/IF(BV1449&gt;0,BV1449,MAX(0.1,N(Cockpit!$I$6))),BY1449)/BQ1449,0)*BQ1449</f>
        <v>15</v>
      </c>
      <c r="AQ1449" s="58" t="n">
        <f aca="false">IF(AN1449&gt;0,I1449/AN1449,-1)</f>
        <v>24.9882352941176</v>
      </c>
      <c r="AR1449" s="58" t="n">
        <f aca="false">IF(AND(OR(BU1449="L1",BU1449="L23"),AN1449&gt;0),SUMIFS($AN$7:$AN$1576,$BU$7:$BU$1576,BU1449,$AQ$7:$AQ$1576,"&gt;"&amp;AQ1449)+SUMIFS($AN$7:$AN$1576,$BU$7:$BU$1576,BU1449,$AQ$7:$AQ$1576,AQ1449,$BO$7:$BO$1576,"&lt;="&amp;BO1449),"")</f>
        <v>3.76177024482109</v>
      </c>
      <c r="AS1449" s="65" t="n">
        <f aca="false">IF(AR1449="",0,MAX(0,MIN(1,(IF(BU1449="L1",Parameter!$E$5,Parameter!$E$6+Parameter!$E$7)-(AR1449-AN1449))/AN1449)))</f>
        <v>1</v>
      </c>
      <c r="AT1449" s="57" t="n">
        <f aca="false">IF(LEFT(Cockpit!$O$5,1)="A",G1449,IF(BW1449=1,BX1449,IF(LEFT(Cockpit!$O$5,1)="B",AX1449,MAX(AX1449,G1449))))</f>
        <v>10</v>
      </c>
      <c r="AU1449" s="57" t="n">
        <f aca="false">IF(BR1449=1,0,ROUNDUP(AT1449/BQ1449,0))</f>
        <v>0</v>
      </c>
      <c r="AV1449" s="59" t="n">
        <f aca="false">IF(CD1449&gt;0,CD1449*MAX(1,AT1449/V1449),IF(BR1449=1,IF(AT1449&lt;=0,0,BS1449*MAX(1,IF(G1449&gt;0,AT1449/G1449,1))),IF(Q1449&gt;0,AU1449/Q1449,0))/MAX(0.1,N(Parameter!$M$21)))</f>
        <v>1.04048964218456</v>
      </c>
      <c r="AW1449" s="57" t="n">
        <f aca="false">AT1449*F1449</f>
        <v>26080.1</v>
      </c>
      <c r="AX1449" s="57" t="n">
        <f aca="false">ROUNDUP(MAX(I1449/IF(BV1449&gt;0,BV1449,MAX(0.1,N(Cockpit!$O$6))),BY1449)/BQ1449,0)*BQ1449</f>
        <v>10</v>
      </c>
      <c r="AY1449" s="58" t="n">
        <f aca="false">IF(AV1449&gt;0,I1449/AV1449,-1)</f>
        <v>28.8325791855204</v>
      </c>
      <c r="AZ1449" s="58" t="n">
        <f aca="false">IF(AND(OR(BU1449="L1",BU1449="L23"),AV1449&gt;0),SUMIFS($AV$7:$AV$1576,$BU$7:$BU$1576,BU1449,$AY$7:$AY$1576,"&gt;"&amp;AY1449)+SUMIFS($AV$7:$AV$1576,$BU$7:$BU$1576,BU1449,$AY$7:$AY$1576,AY1449,$BO$7:$BO$1576,"&lt;="&amp;BO1449),"")</f>
        <v>7.92372881355932</v>
      </c>
      <c r="BA1449" s="65" t="n">
        <f aca="false">IF(AZ1449="",0,MAX(0,MIN(1,(IF(BU1449="L1",Parameter!$E$5,Parameter!$E$6+Parameter!$E$7)-(AZ1449-AV1449))/AV1449)))</f>
        <v>1</v>
      </c>
      <c r="BB1449" s="55" t="str">
        <f aca="false">IF(AF1449&lt;=0,"",IF(BU1449="Aussen","Aussenlager",IF(BU1449="-","Nicht im Lift",IF(AK1449&gt;=1,"Lift",IF(AK1449&lt;=0,"Aussenlager","teilweise")))))</f>
        <v>Lift</v>
      </c>
      <c r="BC1449" s="55" t="str">
        <f aca="false">IF(AN1449&lt;=0,"",IF(BU1449="Aussen","Aussenlager",IF(BU1449="-","Nicht im Lift",IF(AS1449&gt;=1,"Lift",IF(AS1449&lt;=0,"Aussenlager","teilweise")))))</f>
        <v>Lift</v>
      </c>
      <c r="BD1449" s="55" t="str">
        <f aca="false">IF(AV1449&lt;=0,"",IF(BU1449="Aussen","Aussenlager",IF(BU1449="-","Nicht im Lift",IF(BA1449&gt;=1,"Lift",IF(BA1449&lt;=0,"Aussenlager","teilweise")))))</f>
        <v>Lift</v>
      </c>
      <c r="BE1449" s="55" t="str">
        <f aca="false">IF(A1449="","",IF(BN1449=1,"Neu; ","")&amp;IF(AND(BN1449=0,BI1449&lt;0),"negativer Bestand (Export "&amp;BI1449&amp;"); ","")&amp;IF(I1449&lt;=0,"Kein Verbrauch; ","")&amp;IF(CD1449&gt;0,"Lift "&amp;U1449&amp;" lt. Liftbericht (Fach "&amp;V1449&amp;" Stk); ",IF(BR1449=1,"Lose – Fläche geschätzt; ",""))&amp;IF(G1449&gt;AP1449,"Überbestand "&amp;ROUND(G1449-AP1449,0)&amp;" Stk / CHF "&amp;ROUND((G1449-AP1449)*F1449,0)&amp;"; ","")&amp;IF(AND(BW1449=1,BX1449&lt;BY1449),"MAX &lt; MB+LG; ","")&amp;IF(AND(CC1449&gt;0,CB1449*10&gt;CC1449),"zu hoch für Tablar; ","")&amp;IF(AND(BN1449=0,OR(BW1449=1,Y1449&lt;&gt;"",S1449&lt;&gt;"",T1449&lt;&gt;"",Z1449&lt;&gt;"")),"manuell übersteuert; ","")&amp;IF(AND(BR1449=0,Q1449=0),"Gebinde unbekannt / Stellmass fehlt; ","")&amp;IF(AND(BR1449=0,N(T1449)&lt;=0,N(P1449)&lt;=0),"Menge pro Gebinde fehlt (Ist = 1 Gebinde); ","")&amp;BM1449)</f>
        <v>negativer Bestand (Export -3); Lift 1 lt. Liftbericht (Fach 13 Stk); </v>
      </c>
      <c r="BF1449" s="55"/>
      <c r="BG1449" s="55"/>
      <c r="BH1449" s="62"/>
      <c r="BI1449" s="57" t="n">
        <v>-3</v>
      </c>
      <c r="BJ1449" s="57" t="n">
        <v>0</v>
      </c>
      <c r="BK1449" s="56" t="n">
        <v>-12165.3900000001</v>
      </c>
      <c r="BL1449" s="57" t="n">
        <v>30</v>
      </c>
      <c r="BM1449" s="55"/>
      <c r="BN1449" s="60" t="n">
        <v>0</v>
      </c>
      <c r="BO1449" s="60" t="n">
        <v>1449</v>
      </c>
      <c r="BP1449" s="55" t="str">
        <f aca="false">IF(S1449&lt;&gt;"",UPPER(TRIM(S1449)),IF(O1449="","LOSE",O1449))</f>
        <v>LOSE</v>
      </c>
      <c r="BQ1449" s="57" t="n">
        <f aca="false">IF(BP1449="LOSE",1,IF(N(T1449)&gt;0,T1449,IF(N(P1449)&gt;0,P1449,MAX(1,G1449))))</f>
        <v>1</v>
      </c>
      <c r="BR1449" s="60" t="n">
        <f aca="false">IF(BP1449="LOSE",1,0)</f>
        <v>1</v>
      </c>
      <c r="BS1449" s="59" t="n">
        <f aca="false">IF(BR1449=0,0,IF(N(R1449)&gt;0,R1449,IFERROR(VLOOKUP(D1449,Parameter!$A$35:$C$64,3,0)+0,0)))</f>
        <v>1</v>
      </c>
      <c r="BT1449" s="55" t="n">
        <f aca="false">IF(Y1449&lt;&gt;"",Y1449,X1449)</f>
        <v>1</v>
      </c>
      <c r="BU1449" s="55" t="str">
        <f aca="false">IF(BT1449=1,"L1",IF(OR(BT1449=2,BT1449=3),"L23",IF(BT1449="Aussen","Aussen","-")))</f>
        <v>L1</v>
      </c>
      <c r="BV1449" s="66" t="n">
        <f aca="false">IF(N(Z1449)&gt;0,Z1449,0)</f>
        <v>0</v>
      </c>
      <c r="BW1449" s="60" t="n">
        <f aca="false">IF(ISNUMBER(AC1449),1,0)</f>
        <v>0</v>
      </c>
      <c r="BX1449" s="57" t="n">
        <f aca="false">N(AC1449)</f>
        <v>0</v>
      </c>
      <c r="BY1449" s="57" t="n">
        <f aca="false">N(L1449)+N(M1449)</f>
        <v>6</v>
      </c>
      <c r="BZ1449" s="57" t="n">
        <f aca="false">ROUNDUP(G1449/BQ1449,0)</f>
        <v>6</v>
      </c>
      <c r="CA1449" s="57" t="n">
        <f aca="false">ROUNDUP(BX1449/BQ1449,0)</f>
        <v>0</v>
      </c>
      <c r="CB1449" s="60" t="n">
        <f aca="false">IF(BR1449=1,0,IFERROR(VLOOKUP(BP1449,'Gebinde-Kategorie'!$A$5:$M$45,5,0)+0,0))</f>
        <v>0</v>
      </c>
      <c r="CC1449" s="60" t="n">
        <f aca="false">IFERROR(IF(OR(BT1449=1,BT1449=2,BT1449=3),N(INDEX(Parameter!$I$5:$I$7,BT1449)),0),0)</f>
        <v>0</v>
      </c>
      <c r="CD1449" s="59" t="n">
        <f aca="false">IF(AND(Parameter!$B$21="Ja",ISNUMBER(U1449),N(V1449)&gt;0),IFERROR(N(INDEX(Parameter!$L$5:$L$7,U1449))*INDEX(Parameter!$E$5:$E$7,U1449)*V1449/SUMIFS($V$7:$V$1576,$U$7:$U$1576,U1449),0),0)</f>
        <v>1.04048964218456</v>
      </c>
    </row>
    <row r="1450" customFormat="false" ht="15" hidden="false" customHeight="false" outlineLevel="0" collapsed="false">
      <c r="A1450" s="55" t="s">
        <v>2523</v>
      </c>
      <c r="B1450" s="55" t="s">
        <v>421</v>
      </c>
      <c r="C1450" s="55" t="s">
        <v>160</v>
      </c>
      <c r="D1450" s="55" t="s">
        <v>178</v>
      </c>
      <c r="E1450" s="55"/>
      <c r="F1450" s="56" t="n">
        <v>456.15</v>
      </c>
      <c r="G1450" s="57" t="n">
        <f aca="false">MAX(0,IF(AND(Parameter!$B$21="Ja",ISNUMBER(W1450)),W1450,IF(Parameter!$B$20="Jahresanfang 2025 + Export",BJ1450+BI1450,BI1450)))</f>
        <v>0</v>
      </c>
      <c r="H1450" s="57" t="n">
        <f aca="false">G1450*F1450</f>
        <v>0</v>
      </c>
      <c r="I1450" s="57" t="n">
        <f aca="false">BL1450*Parameter!$B$18</f>
        <v>9</v>
      </c>
      <c r="J1450" s="58"/>
      <c r="K1450" s="59"/>
      <c r="L1450" s="57" t="n">
        <v>1</v>
      </c>
      <c r="M1450" s="57" t="n">
        <v>20</v>
      </c>
      <c r="N1450" s="60"/>
      <c r="O1450" s="55" t="s">
        <v>225</v>
      </c>
      <c r="P1450" s="57" t="n">
        <v>24</v>
      </c>
      <c r="Q1450" s="60" t="n">
        <f aca="false">IF(BR1450=1,0,IFERROR(VLOOKUP(BP1450,'Gebinde-Kategorie'!$A$5:$M$45,13,0)+0,0))</f>
        <v>26</v>
      </c>
      <c r="R1450" s="61"/>
      <c r="S1450" s="62"/>
      <c r="T1450" s="62"/>
      <c r="U1450" s="55"/>
      <c r="V1450" s="57"/>
      <c r="W1450" s="57"/>
      <c r="X1450" s="55" t="n">
        <f aca="false">IF(A1450="","",IF(AND(Parameter!$B$21="Ja",ISNUMBER(U1450)),U1450,IF(IFERROR(VLOOKUP(D1450,Parameter!$A$35:$C$64,2,0),"Nein")="2+3",IF(ISNUMBER(SEARCH("grosser Artikel",BM1450)),2,IFERROR(VLOOKUP(BP1450,Parameter!$F$35:$G$64,2,0),2)),IF(OR(IFERROR(VLOOKUP(D1450,Parameter!$A$35:$C$64,2,0),"Nein")="Nein",IFERROR(VLOOKUP(D1450,Parameter!$A$35:$C$64,2,0),"Nein")=""),"-",VLOOKUP(D1450,Parameter!$A$35:$C$64,2,0)))))</f>
        <v>3</v>
      </c>
      <c r="Y1450" s="62"/>
      <c r="Z1450" s="63"/>
      <c r="AA1450" s="57" t="n">
        <f aca="false">AP1450</f>
        <v>24</v>
      </c>
      <c r="AB1450" s="57" t="n">
        <f aca="false">MAX(AP1450,G1450)</f>
        <v>24</v>
      </c>
      <c r="AC1450" s="64"/>
      <c r="AD1450" s="57" t="n">
        <f aca="false">IF(LEFT(Cockpit!$C$5,1)="A",G1450,IF(BW1450=1,BX1450,IF(LEFT(Cockpit!$C$5,1)="B",AH1450,MAX(AH1450,G1450))))</f>
        <v>0</v>
      </c>
      <c r="AE1450" s="57" t="n">
        <f aca="false">IF(BR1450=1,0,ROUNDUP(AD1450/BQ1450,0))</f>
        <v>0</v>
      </c>
      <c r="AF1450" s="59" t="n">
        <f aca="false">IF(CD1450&gt;0,CD1450*MAX(1,AD1450/V1450),IF(BR1450=1,IF(AD1450&lt;=0,0,BS1450*MAX(1,IF(G1450&gt;0,AD1450/G1450,1))),IF(Q1450&gt;0,AE1450/Q1450,0))/MAX(0.1,N(Parameter!$M$21)))</f>
        <v>0</v>
      </c>
      <c r="AG1450" s="57" t="n">
        <f aca="false">AD1450*F1450</f>
        <v>0</v>
      </c>
      <c r="AH1450" s="57" t="n">
        <f aca="false">ROUNDUP(MAX(I1450/IF(BV1450&gt;0,BV1450,MAX(0.1,N(Cockpit!$C$6))),BY1450)/BQ1450,0)*BQ1450</f>
        <v>24</v>
      </c>
      <c r="AI1450" s="58" t="n">
        <f aca="false">IF(AF1450&gt;0,I1450/AF1450,-1)</f>
        <v>-1</v>
      </c>
      <c r="AJ1450" s="58" t="str">
        <f aca="false">IF(AND(OR(BU1450="L1",BU1450="L23"),AF1450&gt;0),SUMIFS($AF$7:$AF$1576,$BU$7:$BU$1576,BU1450,$AI$7:$AI$1576,"&gt;"&amp;AI1450)+SUMIFS($AF$7:$AF$1576,$BU$7:$BU$1576,BU1450,$AI$7:$AI$1576,AI1450,$BO$7:$BO$1576,"&lt;="&amp;BO1450),"")</f>
        <v/>
      </c>
      <c r="AK1450" s="65" t="n">
        <f aca="false">IF(AJ1450="",0,MAX(0,MIN(1,(IF(BU1450="L1",Parameter!$E$5,Parameter!$E$6+Parameter!$E$7)-(AJ1450-AF1450))/AF1450)))</f>
        <v>0</v>
      </c>
      <c r="AL1450" s="57" t="n">
        <f aca="false">IF(LEFT(Cockpit!$I$5,1)="A",G1450,IF(BW1450=1,BX1450,IF(LEFT(Cockpit!$I$5,1)="B",AP1450,MAX(AP1450,G1450))))</f>
        <v>24</v>
      </c>
      <c r="AM1450" s="57" t="n">
        <f aca="false">IF(BR1450=1,0,ROUNDUP(AL1450/BQ1450,0))</f>
        <v>1</v>
      </c>
      <c r="AN1450" s="59" t="n">
        <f aca="false">IF(CD1450&gt;0,CD1450*MAX(1,AL1450/V1450),IF(BR1450=1,IF(AL1450&lt;=0,0,BS1450*MAX(1,IF(G1450&gt;0,AL1450/G1450,1))),IF(Q1450&gt;0,AM1450/Q1450,0))/MAX(0.1,N(Parameter!$M$21)))</f>
        <v>0.0384615384615385</v>
      </c>
      <c r="AO1450" s="57" t="n">
        <f aca="false">AL1450*F1450</f>
        <v>10947.6</v>
      </c>
      <c r="AP1450" s="57" t="n">
        <f aca="false">ROUNDUP(MAX(I1450/IF(BV1450&gt;0,BV1450,MAX(0.1,N(Cockpit!$I$6))),BY1450)/BQ1450,0)*BQ1450</f>
        <v>24</v>
      </c>
      <c r="AQ1450" s="58" t="n">
        <f aca="false">IF(AN1450&gt;0,I1450/AN1450,-1)</f>
        <v>234</v>
      </c>
      <c r="AR1450" s="58" t="n">
        <f aca="false">IF(AND(OR(BU1450="L1",BU1450="L23"),AN1450&gt;0),SUMIFS($AN$7:$AN$1576,$BU$7:$BU$1576,BU1450,$AQ$7:$AQ$1576,"&gt;"&amp;AQ1450)+SUMIFS($AN$7:$AN$1576,$BU$7:$BU$1576,BU1450,$AQ$7:$AQ$1576,AQ1450,$BO$7:$BO$1576,"&lt;="&amp;BO1450),"")</f>
        <v>46.8593370521743</v>
      </c>
      <c r="AS1450" s="65" t="n">
        <f aca="false">IF(AR1450="",0,MAX(0,MIN(1,(IF(BU1450="L1",Parameter!$E$5,Parameter!$E$6+Parameter!$E$7)-(AR1450-AN1450))/AN1450)))</f>
        <v>1</v>
      </c>
      <c r="AT1450" s="57" t="n">
        <f aca="false">IF(LEFT(Cockpit!$O$5,1)="A",G1450,IF(BW1450=1,BX1450,IF(LEFT(Cockpit!$O$5,1)="B",AX1450,MAX(AX1450,G1450))))</f>
        <v>24</v>
      </c>
      <c r="AU1450" s="57" t="n">
        <f aca="false">IF(BR1450=1,0,ROUNDUP(AT1450/BQ1450,0))</f>
        <v>1</v>
      </c>
      <c r="AV1450" s="59" t="n">
        <f aca="false">IF(CD1450&gt;0,CD1450*MAX(1,AT1450/V1450),IF(BR1450=1,IF(AT1450&lt;=0,0,BS1450*MAX(1,IF(G1450&gt;0,AT1450/G1450,1))),IF(Q1450&gt;0,AU1450/Q1450,0))/MAX(0.1,N(Parameter!$M$21)))</f>
        <v>0.0384615384615385</v>
      </c>
      <c r="AW1450" s="57" t="n">
        <f aca="false">AT1450*F1450</f>
        <v>10947.6</v>
      </c>
      <c r="AX1450" s="57" t="n">
        <f aca="false">ROUNDUP(MAX(I1450/IF(BV1450&gt;0,BV1450,MAX(0.1,N(Cockpit!$O$6))),BY1450)/BQ1450,0)*BQ1450</f>
        <v>24</v>
      </c>
      <c r="AY1450" s="58" t="n">
        <f aca="false">IF(AV1450&gt;0,I1450/AV1450,-1)</f>
        <v>234</v>
      </c>
      <c r="AZ1450" s="58" t="n">
        <f aca="false">IF(AND(OR(BU1450="L1",BU1450="L23"),AV1450&gt;0),SUMIFS($AV$7:$AV$1576,$BU$7:$BU$1576,BU1450,$AY$7:$AY$1576,"&gt;"&amp;AY1450)+SUMIFS($AV$7:$AV$1576,$BU$7:$BU$1576,BU1450,$AY$7:$AY$1576,AY1450,$BO$7:$BO$1576,"&lt;="&amp;BO1450),"")</f>
        <v>43.4707489735862</v>
      </c>
      <c r="BA1450" s="65" t="n">
        <f aca="false">IF(AZ1450="",0,MAX(0,MIN(1,(IF(BU1450="L1",Parameter!$E$5,Parameter!$E$6+Parameter!$E$7)-(AZ1450-AV1450))/AV1450)))</f>
        <v>1</v>
      </c>
      <c r="BB1450" s="55" t="str">
        <f aca="false">IF(AF1450&lt;=0,"",IF(BU1450="Aussen","Aussenlager",IF(BU1450="-","Nicht im Lift",IF(AK1450&gt;=1,"Lift",IF(AK1450&lt;=0,"Aussenlager","teilweise")))))</f>
        <v/>
      </c>
      <c r="BC1450" s="55" t="str">
        <f aca="false">IF(AN1450&lt;=0,"",IF(BU1450="Aussen","Aussenlager",IF(BU1450="-","Nicht im Lift",IF(AS1450&gt;=1,"Lift",IF(AS1450&lt;=0,"Aussenlager","teilweise")))))</f>
        <v>Lift</v>
      </c>
      <c r="BD1450" s="55" t="str">
        <f aca="false">IF(AV1450&lt;=0,"",IF(BU1450="Aussen","Aussenlager",IF(BU1450="-","Nicht im Lift",IF(BA1450&gt;=1,"Lift",IF(BA1450&lt;=0,"Aussenlager","teilweise")))))</f>
        <v>Lift</v>
      </c>
      <c r="BE1450" s="55" t="str">
        <f aca="false">IF(A1450="","",IF(BN1450=1,"Neu; ","")&amp;IF(AND(BN1450=0,BI1450&lt;0),"negativer Bestand (Export "&amp;BI1450&amp;"); ","")&amp;IF(I1450&lt;=0,"Kein Verbrauch; ","")&amp;IF(CD1450&gt;0,"Lift "&amp;U1450&amp;" lt. Liftbericht (Fach "&amp;V1450&amp;" Stk); ",IF(BR1450=1,"Lose – Fläche geschätzt; ",""))&amp;IF(G1450&gt;AP1450,"Überbestand "&amp;ROUND(G1450-AP1450,0)&amp;" Stk / CHF "&amp;ROUND((G1450-AP1450)*F1450,0)&amp;"; ","")&amp;IF(AND(BW1450=1,BX1450&lt;BY1450),"MAX &lt; MB+LG; ","")&amp;IF(AND(CC1450&gt;0,CB1450*10&gt;CC1450),"zu hoch für Tablar; ","")&amp;IF(AND(BN1450=0,OR(BW1450=1,Y1450&lt;&gt;"",S1450&lt;&gt;"",T1450&lt;&gt;"",Z1450&lt;&gt;"")),"manuell übersteuert; ","")&amp;IF(AND(BR1450=0,Q1450=0),"Gebinde unbekannt / Stellmass fehlt; ","")&amp;IF(AND(BR1450=0,N(T1450)&lt;=0,N(P1450)&lt;=0),"Menge pro Gebinde fehlt (Ist = 1 Gebinde); ","")&amp;BM1450)</f>
        <v>negativer Bestand (Export -33); twin</v>
      </c>
      <c r="BF1450" s="55"/>
      <c r="BG1450" s="55"/>
      <c r="BH1450" s="62"/>
      <c r="BI1450" s="57" t="n">
        <v>-33</v>
      </c>
      <c r="BJ1450" s="57" t="n">
        <v>0</v>
      </c>
      <c r="BK1450" s="56" t="n">
        <v>-12841.95</v>
      </c>
      <c r="BL1450" s="57" t="n">
        <v>9</v>
      </c>
      <c r="BM1450" s="55" t="s">
        <v>1728</v>
      </c>
      <c r="BN1450" s="60" t="n">
        <v>0</v>
      </c>
      <c r="BO1450" s="60" t="n">
        <v>1450</v>
      </c>
      <c r="BP1450" s="55" t="str">
        <f aca="false">IF(S1450&lt;&gt;"",UPPER(TRIM(S1450)),IF(O1450="","LOSE",O1450))</f>
        <v>S52</v>
      </c>
      <c r="BQ1450" s="57" t="n">
        <f aca="false">IF(BP1450="LOSE",1,IF(N(T1450)&gt;0,T1450,IF(N(P1450)&gt;0,P1450,MAX(1,G1450))))</f>
        <v>24</v>
      </c>
      <c r="BR1450" s="60" t="n">
        <f aca="false">IF(BP1450="LOSE",1,0)</f>
        <v>0</v>
      </c>
      <c r="BS1450" s="59" t="n">
        <f aca="false">IF(BR1450=0,0,IF(N(R1450)&gt;0,R1450,IFERROR(VLOOKUP(D1450,Parameter!$A$35:$C$64,3,0)+0,0)))</f>
        <v>0</v>
      </c>
      <c r="BT1450" s="55" t="n">
        <f aca="false">IF(Y1450&lt;&gt;"",Y1450,X1450)</f>
        <v>3</v>
      </c>
      <c r="BU1450" s="55" t="str">
        <f aca="false">IF(BT1450=1,"L1",IF(OR(BT1450=2,BT1450=3),"L23",IF(BT1450="Aussen","Aussen","-")))</f>
        <v>L23</v>
      </c>
      <c r="BV1450" s="66" t="n">
        <f aca="false">IF(N(Z1450)&gt;0,Z1450,0)</f>
        <v>0</v>
      </c>
      <c r="BW1450" s="60" t="n">
        <f aca="false">IF(ISNUMBER(AC1450),1,0)</f>
        <v>0</v>
      </c>
      <c r="BX1450" s="57" t="n">
        <f aca="false">N(AC1450)</f>
        <v>0</v>
      </c>
      <c r="BY1450" s="57" t="n">
        <f aca="false">N(L1450)+N(M1450)</f>
        <v>21</v>
      </c>
      <c r="BZ1450" s="57" t="n">
        <f aca="false">ROUNDUP(G1450/BQ1450,0)</f>
        <v>0</v>
      </c>
      <c r="CA1450" s="57" t="n">
        <f aca="false">ROUNDUP(BX1450/BQ1450,0)</f>
        <v>0</v>
      </c>
      <c r="CB1450" s="60" t="n">
        <f aca="false">IF(BR1450=1,0,IFERROR(VLOOKUP(BP1450,'Gebinde-Kategorie'!$A$5:$M$45,5,0)+0,0))</f>
        <v>21</v>
      </c>
      <c r="CC1450" s="60" t="n">
        <f aca="false">IFERROR(IF(OR(BT1450=1,BT1450=2,BT1450=3),N(INDEX(Parameter!$I$5:$I$7,BT1450)),0),0)</f>
        <v>0</v>
      </c>
      <c r="CD1450" s="59" t="n">
        <f aca="false">IF(AND(Parameter!$B$21="Ja",ISNUMBER(U1450),N(V1450)&gt;0),IFERROR(N(INDEX(Parameter!$L$5:$L$7,U1450))*INDEX(Parameter!$E$5:$E$7,U1450)*V1450/SUMIFS($V$7:$V$1576,$U$7:$U$1576,U1450),0),0)</f>
        <v>0</v>
      </c>
    </row>
    <row r="1451" customFormat="false" ht="15" hidden="false" customHeight="false" outlineLevel="0" collapsed="false">
      <c r="A1451" s="55" t="s">
        <v>2524</v>
      </c>
      <c r="B1451" s="55" t="s">
        <v>2525</v>
      </c>
      <c r="C1451" s="55" t="s">
        <v>160</v>
      </c>
      <c r="D1451" s="55" t="s">
        <v>168</v>
      </c>
      <c r="E1451" s="55"/>
      <c r="F1451" s="56" t="n">
        <v>216.49</v>
      </c>
      <c r="G1451" s="57" t="n">
        <f aca="false">MAX(0,IF(AND(Parameter!$B$21="Ja",ISNUMBER(W1451)),W1451,IF(Parameter!$B$20="Jahresanfang 2025 + Export",BJ1451+BI1451,BI1451)))</f>
        <v>0</v>
      </c>
      <c r="H1451" s="57" t="n">
        <f aca="false">G1451*F1451</f>
        <v>0</v>
      </c>
      <c r="I1451" s="57" t="n">
        <f aca="false">BL1451*Parameter!$B$18</f>
        <v>849</v>
      </c>
      <c r="J1451" s="58"/>
      <c r="K1451" s="59"/>
      <c r="L1451" s="57" t="n">
        <v>49</v>
      </c>
      <c r="M1451" s="57" t="n">
        <v>90</v>
      </c>
      <c r="N1451" s="60"/>
      <c r="O1451" s="55" t="s">
        <v>169</v>
      </c>
      <c r="P1451" s="57" t="n">
        <v>30</v>
      </c>
      <c r="Q1451" s="60" t="n">
        <f aca="false">IF(BR1451=1,0,IFERROR(VLOOKUP(BP1451,'Gebinde-Kategorie'!$A$5:$M$45,13,0)+0,0))</f>
        <v>6</v>
      </c>
      <c r="R1451" s="61"/>
      <c r="S1451" s="62"/>
      <c r="T1451" s="62"/>
      <c r="U1451" s="55"/>
      <c r="V1451" s="57"/>
      <c r="W1451" s="57"/>
      <c r="X1451" s="55" t="n">
        <f aca="false">IF(A1451="","",IF(AND(Parameter!$B$21="Ja",ISNUMBER(U1451)),U1451,IF(IFERROR(VLOOKUP(D1451,Parameter!$A$35:$C$64,2,0),"Nein")="2+3",IF(ISNUMBER(SEARCH("grosser Artikel",BM1451)),2,IFERROR(VLOOKUP(BP1451,Parameter!$F$35:$G$64,2,0),2)),IF(OR(IFERROR(VLOOKUP(D1451,Parameter!$A$35:$C$64,2,0),"Nein")="Nein",IFERROR(VLOOKUP(D1451,Parameter!$A$35:$C$64,2,0),"Nein")=""),"-",VLOOKUP(D1451,Parameter!$A$35:$C$64,2,0)))))</f>
        <v>2</v>
      </c>
      <c r="Y1451" s="62"/>
      <c r="Z1451" s="63"/>
      <c r="AA1451" s="57" t="n">
        <f aca="false">AP1451</f>
        <v>450</v>
      </c>
      <c r="AB1451" s="57" t="n">
        <f aca="false">MAX(AP1451,G1451)</f>
        <v>450</v>
      </c>
      <c r="AC1451" s="64"/>
      <c r="AD1451" s="57" t="n">
        <f aca="false">IF(LEFT(Cockpit!$C$5,1)="A",G1451,IF(BW1451=1,BX1451,IF(LEFT(Cockpit!$C$5,1)="B",AH1451,MAX(AH1451,G1451))))</f>
        <v>0</v>
      </c>
      <c r="AE1451" s="57" t="n">
        <f aca="false">IF(BR1451=1,0,ROUNDUP(AD1451/BQ1451,0))</f>
        <v>0</v>
      </c>
      <c r="AF1451" s="59" t="n">
        <f aca="false">IF(CD1451&gt;0,CD1451*MAX(1,AD1451/V1451),IF(BR1451=1,IF(AD1451&lt;=0,0,BS1451*MAX(1,IF(G1451&gt;0,AD1451/G1451,1))),IF(Q1451&gt;0,AE1451/Q1451,0))/MAX(0.1,N(Parameter!$M$21)))</f>
        <v>0</v>
      </c>
      <c r="AG1451" s="57" t="n">
        <f aca="false">AD1451*F1451</f>
        <v>0</v>
      </c>
      <c r="AH1451" s="57" t="n">
        <f aca="false">ROUNDUP(MAX(I1451/IF(BV1451&gt;0,BV1451,MAX(0.1,N(Cockpit!$C$6))),BY1451)/BQ1451,0)*BQ1451</f>
        <v>450</v>
      </c>
      <c r="AI1451" s="58" t="n">
        <f aca="false">IF(AF1451&gt;0,I1451/AF1451,-1)</f>
        <v>-1</v>
      </c>
      <c r="AJ1451" s="58" t="str">
        <f aca="false">IF(AND(OR(BU1451="L1",BU1451="L23"),AF1451&gt;0),SUMIFS($AF$7:$AF$1576,$BU$7:$BU$1576,BU1451,$AI$7:$AI$1576,"&gt;"&amp;AI1451)+SUMIFS($AF$7:$AF$1576,$BU$7:$BU$1576,BU1451,$AI$7:$AI$1576,AI1451,$BO$7:$BO$1576,"&lt;="&amp;BO1451),"")</f>
        <v/>
      </c>
      <c r="AK1451" s="65" t="n">
        <f aca="false">IF(AJ1451="",0,MAX(0,MIN(1,(IF(BU1451="L1",Parameter!$E$5,Parameter!$E$6+Parameter!$E$7)-(AJ1451-AF1451))/AF1451)))</f>
        <v>0</v>
      </c>
      <c r="AL1451" s="57" t="n">
        <f aca="false">IF(LEFT(Cockpit!$I$5,1)="A",G1451,IF(BW1451=1,BX1451,IF(LEFT(Cockpit!$I$5,1)="B",AP1451,MAX(AP1451,G1451))))</f>
        <v>450</v>
      </c>
      <c r="AM1451" s="57" t="n">
        <f aca="false">IF(BR1451=1,0,ROUNDUP(AL1451/BQ1451,0))</f>
        <v>15</v>
      </c>
      <c r="AN1451" s="59" t="n">
        <f aca="false">IF(CD1451&gt;0,CD1451*MAX(1,AL1451/V1451),IF(BR1451=1,IF(AL1451&lt;=0,0,BS1451*MAX(1,IF(G1451&gt;0,AL1451/G1451,1))),IF(Q1451&gt;0,AM1451/Q1451,0))/MAX(0.1,N(Parameter!$M$21)))</f>
        <v>2.5</v>
      </c>
      <c r="AO1451" s="57" t="n">
        <f aca="false">AL1451*F1451</f>
        <v>97420.5</v>
      </c>
      <c r="AP1451" s="57" t="n">
        <f aca="false">ROUNDUP(MAX(I1451/IF(BV1451&gt;0,BV1451,MAX(0.1,N(Cockpit!$I$6))),BY1451)/BQ1451,0)*BQ1451</f>
        <v>450</v>
      </c>
      <c r="AQ1451" s="58" t="n">
        <f aca="false">IF(AN1451&gt;0,I1451/AN1451,-1)</f>
        <v>339.6</v>
      </c>
      <c r="AR1451" s="58" t="n">
        <f aca="false">IF(AND(OR(BU1451="L1",BU1451="L23"),AN1451&gt;0),SUMIFS($AN$7:$AN$1576,$BU$7:$BU$1576,BU1451,$AQ$7:$AQ$1576,"&gt;"&amp;AQ1451)+SUMIFS($AN$7:$AN$1576,$BU$7:$BU$1576,BU1451,$AQ$7:$AQ$1576,AQ1451,$BO$7:$BO$1576,"&lt;="&amp;BO1451),"")</f>
        <v>41.2988009216382</v>
      </c>
      <c r="AS1451" s="65" t="n">
        <f aca="false">IF(AR1451="",0,MAX(0,MIN(1,(IF(BU1451="L1",Parameter!$E$5,Parameter!$E$6+Parameter!$E$7)-(AR1451-AN1451))/AN1451)))</f>
        <v>1</v>
      </c>
      <c r="AT1451" s="57" t="n">
        <f aca="false">IF(LEFT(Cockpit!$O$5,1)="A",G1451,IF(BW1451=1,BX1451,IF(LEFT(Cockpit!$O$5,1)="B",AX1451,MAX(AX1451,G1451))))</f>
        <v>300</v>
      </c>
      <c r="AU1451" s="57" t="n">
        <f aca="false">IF(BR1451=1,0,ROUNDUP(AT1451/BQ1451,0))</f>
        <v>10</v>
      </c>
      <c r="AV1451" s="59" t="n">
        <f aca="false">IF(CD1451&gt;0,CD1451*MAX(1,AT1451/V1451),IF(BR1451=1,IF(AT1451&lt;=0,0,BS1451*MAX(1,IF(G1451&gt;0,AT1451/G1451,1))),IF(Q1451&gt;0,AU1451/Q1451,0))/MAX(0.1,N(Parameter!$M$21)))</f>
        <v>1.66666666666667</v>
      </c>
      <c r="AW1451" s="57" t="n">
        <f aca="false">AT1451*F1451</f>
        <v>64947</v>
      </c>
      <c r="AX1451" s="57" t="n">
        <f aca="false">ROUNDUP(MAX(I1451/IF(BV1451&gt;0,BV1451,MAX(0.1,N(Cockpit!$O$6))),BY1451)/BQ1451,0)*BQ1451</f>
        <v>300</v>
      </c>
      <c r="AY1451" s="58" t="n">
        <f aca="false">IF(AV1451&gt;0,I1451/AV1451,-1)</f>
        <v>509.4</v>
      </c>
      <c r="AZ1451" s="58" t="n">
        <f aca="false">IF(AND(OR(BU1451="L1",BU1451="L23"),AV1451&gt;0),SUMIFS($AV$7:$AV$1576,$BU$7:$BU$1576,BU1451,$AY$7:$AY$1576,"&gt;"&amp;AY1451)+SUMIFS($AV$7:$AV$1576,$BU$7:$BU$1576,BU1451,$AY$7:$AY$1576,AY1451,$BO$7:$BO$1576,"&lt;="&amp;BO1451),"")</f>
        <v>33.2363427035278</v>
      </c>
      <c r="BA1451" s="65" t="n">
        <f aca="false">IF(AZ1451="",0,MAX(0,MIN(1,(IF(BU1451="L1",Parameter!$E$5,Parameter!$E$6+Parameter!$E$7)-(AZ1451-AV1451))/AV1451)))</f>
        <v>1</v>
      </c>
      <c r="BB1451" s="55" t="str">
        <f aca="false">IF(AF1451&lt;=0,"",IF(BU1451="Aussen","Aussenlager",IF(BU1451="-","Nicht im Lift",IF(AK1451&gt;=1,"Lift",IF(AK1451&lt;=0,"Aussenlager","teilweise")))))</f>
        <v/>
      </c>
      <c r="BC1451" s="55" t="str">
        <f aca="false">IF(AN1451&lt;=0,"",IF(BU1451="Aussen","Aussenlager",IF(BU1451="-","Nicht im Lift",IF(AS1451&gt;=1,"Lift",IF(AS1451&lt;=0,"Aussenlager","teilweise")))))</f>
        <v>Lift</v>
      </c>
      <c r="BD1451" s="55" t="str">
        <f aca="false">IF(AV1451&lt;=0,"",IF(BU1451="Aussen","Aussenlager",IF(BU1451="-","Nicht im Lift",IF(BA1451&gt;=1,"Lift",IF(BA1451&lt;=0,"Aussenlager","teilweise")))))</f>
        <v>Lift</v>
      </c>
      <c r="BE1451" s="55" t="str">
        <f aca="false">IF(A1451="","",IF(BN1451=1,"Neu; ","")&amp;IF(AND(BN1451=0,BI1451&lt;0),"negativer Bestand (Export "&amp;BI1451&amp;"); ","")&amp;IF(I1451&lt;=0,"Kein Verbrauch; ","")&amp;IF(CD1451&gt;0,"Lift "&amp;U1451&amp;" lt. Liftbericht (Fach "&amp;V1451&amp;" Stk); ",IF(BR1451=1,"Lose – Fläche geschätzt; ",""))&amp;IF(G1451&gt;AP1451,"Überbestand "&amp;ROUND(G1451-AP1451,0)&amp;" Stk / CHF "&amp;ROUND((G1451-AP1451)*F1451,0)&amp;"; ","")&amp;IF(AND(BW1451=1,BX1451&lt;BY1451),"MAX &lt; MB+LG; ","")&amp;IF(AND(CC1451&gt;0,CB1451*10&gt;CC1451),"zu hoch für Tablar; ","")&amp;IF(AND(BN1451=0,OR(BW1451=1,Y1451&lt;&gt;"",S1451&lt;&gt;"",T1451&lt;&gt;"",Z1451&lt;&gt;"")),"manuell übersteuert; ","")&amp;IF(AND(BR1451=0,Q1451=0),"Gebinde unbekannt / Stellmass fehlt; ","")&amp;IF(AND(BR1451=0,N(T1451)&lt;=0,N(P1451)&lt;=0),"Menge pro Gebinde fehlt (Ist = 1 Gebinde); ","")&amp;BM1451)</f>
        <v>negativer Bestand (Export -57); grosser Artikel &amp; nicht im KTL</v>
      </c>
      <c r="BF1451" s="55"/>
      <c r="BG1451" s="55"/>
      <c r="BH1451" s="62"/>
      <c r="BI1451" s="57" t="n">
        <v>-57</v>
      </c>
      <c r="BJ1451" s="57" t="n">
        <v>0</v>
      </c>
      <c r="BK1451" s="56" t="n">
        <v>-12923.04</v>
      </c>
      <c r="BL1451" s="57" t="n">
        <v>849</v>
      </c>
      <c r="BM1451" s="55" t="s">
        <v>253</v>
      </c>
      <c r="BN1451" s="60" t="n">
        <v>0</v>
      </c>
      <c r="BO1451" s="60" t="n">
        <v>1451</v>
      </c>
      <c r="BP1451" s="55" t="str">
        <f aca="false">IF(S1451&lt;&gt;"",UPPER(TRIM(S1451)),IF(O1451="","LOSE",O1451))</f>
        <v>S71</v>
      </c>
      <c r="BQ1451" s="57" t="n">
        <f aca="false">IF(BP1451="LOSE",1,IF(N(T1451)&gt;0,T1451,IF(N(P1451)&gt;0,P1451,MAX(1,G1451))))</f>
        <v>30</v>
      </c>
      <c r="BR1451" s="60" t="n">
        <f aca="false">IF(BP1451="LOSE",1,0)</f>
        <v>0</v>
      </c>
      <c r="BS1451" s="59" t="n">
        <f aca="false">IF(BR1451=0,0,IF(N(R1451)&gt;0,R1451,IFERROR(VLOOKUP(D1451,Parameter!$A$35:$C$64,3,0)+0,0)))</f>
        <v>0</v>
      </c>
      <c r="BT1451" s="55" t="n">
        <f aca="false">IF(Y1451&lt;&gt;"",Y1451,X1451)</f>
        <v>2</v>
      </c>
      <c r="BU1451" s="55" t="str">
        <f aca="false">IF(BT1451=1,"L1",IF(OR(BT1451=2,BT1451=3),"L23",IF(BT1451="Aussen","Aussen","-")))</f>
        <v>L23</v>
      </c>
      <c r="BV1451" s="66" t="n">
        <f aca="false">IF(N(Z1451)&gt;0,Z1451,0)</f>
        <v>0</v>
      </c>
      <c r="BW1451" s="60" t="n">
        <f aca="false">IF(ISNUMBER(AC1451),1,0)</f>
        <v>0</v>
      </c>
      <c r="BX1451" s="57" t="n">
        <f aca="false">N(AC1451)</f>
        <v>0</v>
      </c>
      <c r="BY1451" s="57" t="n">
        <f aca="false">N(L1451)+N(M1451)</f>
        <v>139</v>
      </c>
      <c r="BZ1451" s="57" t="n">
        <f aca="false">ROUNDUP(G1451/BQ1451,0)</f>
        <v>0</v>
      </c>
      <c r="CA1451" s="57" t="n">
        <f aca="false">ROUNDUP(BX1451/BQ1451,0)</f>
        <v>0</v>
      </c>
      <c r="CB1451" s="60" t="n">
        <f aca="false">IF(BR1451=1,0,IFERROR(VLOOKUP(BP1451,'Gebinde-Kategorie'!$A$5:$M$45,5,0)+0,0))</f>
        <v>20</v>
      </c>
      <c r="CC1451" s="60" t="n">
        <f aca="false">IFERROR(IF(OR(BT1451=1,BT1451=2,BT1451=3),N(INDEX(Parameter!$I$5:$I$7,BT1451)),0),0)</f>
        <v>0</v>
      </c>
      <c r="CD1451" s="59" t="n">
        <f aca="false">IF(AND(Parameter!$B$21="Ja",ISNUMBER(U1451),N(V1451)&gt;0),IFERROR(N(INDEX(Parameter!$L$5:$L$7,U1451))*INDEX(Parameter!$E$5:$E$7,U1451)*V1451/SUMIFS($V$7:$V$1576,$U$7:$U$1576,U1451),0),0)</f>
        <v>0</v>
      </c>
    </row>
    <row r="1452" customFormat="false" ht="15" hidden="false" customHeight="false" outlineLevel="0" collapsed="false">
      <c r="A1452" s="55" t="s">
        <v>2526</v>
      </c>
      <c r="B1452" s="55" t="s">
        <v>330</v>
      </c>
      <c r="C1452" s="55" t="s">
        <v>160</v>
      </c>
      <c r="D1452" s="55" t="s">
        <v>168</v>
      </c>
      <c r="E1452" s="55"/>
      <c r="F1452" s="56" t="n">
        <v>457</v>
      </c>
      <c r="G1452" s="57" t="n">
        <f aca="false">MAX(0,IF(AND(Parameter!$B$21="Ja",ISNUMBER(W1452)),W1452,IF(Parameter!$B$20="Jahresanfang 2025 + Export",BJ1452+BI1452,BI1452)))</f>
        <v>0</v>
      </c>
      <c r="H1452" s="57" t="n">
        <f aca="false">G1452*F1452</f>
        <v>0</v>
      </c>
      <c r="I1452" s="57" t="n">
        <f aca="false">BL1452*Parameter!$B$18</f>
        <v>0</v>
      </c>
      <c r="J1452" s="58"/>
      <c r="K1452" s="59"/>
      <c r="L1452" s="57" t="n">
        <v>0</v>
      </c>
      <c r="M1452" s="57" t="n">
        <v>1</v>
      </c>
      <c r="N1452" s="60"/>
      <c r="O1452" s="55" t="s">
        <v>169</v>
      </c>
      <c r="P1452" s="57" t="n">
        <v>4</v>
      </c>
      <c r="Q1452" s="60" t="n">
        <f aca="false">IF(BR1452=1,0,IFERROR(VLOOKUP(BP1452,'Gebinde-Kategorie'!$A$5:$M$45,13,0)+0,0))</f>
        <v>6</v>
      </c>
      <c r="R1452" s="61"/>
      <c r="S1452" s="62"/>
      <c r="T1452" s="62"/>
      <c r="U1452" s="55"/>
      <c r="V1452" s="57"/>
      <c r="W1452" s="57"/>
      <c r="X1452" s="55" t="n">
        <f aca="false">IF(A1452="","",IF(AND(Parameter!$B$21="Ja",ISNUMBER(U1452)),U1452,IF(IFERROR(VLOOKUP(D1452,Parameter!$A$35:$C$64,2,0),"Nein")="2+3",IF(ISNUMBER(SEARCH("grosser Artikel",BM1452)),2,IFERROR(VLOOKUP(BP1452,Parameter!$F$35:$G$64,2,0),2)),IF(OR(IFERROR(VLOOKUP(D1452,Parameter!$A$35:$C$64,2,0),"Nein")="Nein",IFERROR(VLOOKUP(D1452,Parameter!$A$35:$C$64,2,0),"Nein")=""),"-",VLOOKUP(D1452,Parameter!$A$35:$C$64,2,0)))))</f>
        <v>2</v>
      </c>
      <c r="Y1452" s="62"/>
      <c r="Z1452" s="63"/>
      <c r="AA1452" s="57" t="n">
        <f aca="false">AP1452</f>
        <v>4</v>
      </c>
      <c r="AB1452" s="57" t="n">
        <f aca="false">MAX(AP1452,G1452)</f>
        <v>4</v>
      </c>
      <c r="AC1452" s="64"/>
      <c r="AD1452" s="57" t="n">
        <f aca="false">IF(LEFT(Cockpit!$C$5,1)="A",G1452,IF(BW1452=1,BX1452,IF(LEFT(Cockpit!$C$5,1)="B",AH1452,MAX(AH1452,G1452))))</f>
        <v>0</v>
      </c>
      <c r="AE1452" s="57" t="n">
        <f aca="false">IF(BR1452=1,0,ROUNDUP(AD1452/BQ1452,0))</f>
        <v>0</v>
      </c>
      <c r="AF1452" s="59" t="n">
        <f aca="false">IF(CD1452&gt;0,CD1452*MAX(1,AD1452/V1452),IF(BR1452=1,IF(AD1452&lt;=0,0,BS1452*MAX(1,IF(G1452&gt;0,AD1452/G1452,1))),IF(Q1452&gt;0,AE1452/Q1452,0))/MAX(0.1,N(Parameter!$M$21)))</f>
        <v>0</v>
      </c>
      <c r="AG1452" s="57" t="n">
        <f aca="false">AD1452*F1452</f>
        <v>0</v>
      </c>
      <c r="AH1452" s="57" t="n">
        <f aca="false">ROUNDUP(MAX(I1452/IF(BV1452&gt;0,BV1452,MAX(0.1,N(Cockpit!$C$6))),BY1452)/BQ1452,0)*BQ1452</f>
        <v>4</v>
      </c>
      <c r="AI1452" s="58" t="n">
        <f aca="false">IF(AF1452&gt;0,I1452/AF1452,-1)</f>
        <v>-1</v>
      </c>
      <c r="AJ1452" s="58" t="str">
        <f aca="false">IF(AND(OR(BU1452="L1",BU1452="L23"),AF1452&gt;0),SUMIFS($AF$7:$AF$1576,$BU$7:$BU$1576,BU1452,$AI$7:$AI$1576,"&gt;"&amp;AI1452)+SUMIFS($AF$7:$AF$1576,$BU$7:$BU$1576,BU1452,$AI$7:$AI$1576,AI1452,$BO$7:$BO$1576,"&lt;="&amp;BO1452),"")</f>
        <v/>
      </c>
      <c r="AK1452" s="65" t="n">
        <f aca="false">IF(AJ1452="",0,MAX(0,MIN(1,(IF(BU1452="L1",Parameter!$E$5,Parameter!$E$6+Parameter!$E$7)-(AJ1452-AF1452))/AF1452)))</f>
        <v>0</v>
      </c>
      <c r="AL1452" s="57" t="n">
        <f aca="false">IF(LEFT(Cockpit!$I$5,1)="A",G1452,IF(BW1452=1,BX1452,IF(LEFT(Cockpit!$I$5,1)="B",AP1452,MAX(AP1452,G1452))))</f>
        <v>4</v>
      </c>
      <c r="AM1452" s="57" t="n">
        <f aca="false">IF(BR1452=1,0,ROUNDUP(AL1452/BQ1452,0))</f>
        <v>1</v>
      </c>
      <c r="AN1452" s="59" t="n">
        <f aca="false">IF(CD1452&gt;0,CD1452*MAX(1,AL1452/V1452),IF(BR1452=1,IF(AL1452&lt;=0,0,BS1452*MAX(1,IF(G1452&gt;0,AL1452/G1452,1))),IF(Q1452&gt;0,AM1452/Q1452,0))/MAX(0.1,N(Parameter!$M$21)))</f>
        <v>0.166666666666667</v>
      </c>
      <c r="AO1452" s="57" t="n">
        <f aca="false">AL1452*F1452</f>
        <v>1828</v>
      </c>
      <c r="AP1452" s="57" t="n">
        <f aca="false">ROUNDUP(MAX(I1452/IF(BV1452&gt;0,BV1452,MAX(0.1,N(Cockpit!$I$6))),BY1452)/BQ1452,0)*BQ1452</f>
        <v>4</v>
      </c>
      <c r="AQ1452" s="58" t="n">
        <f aca="false">IF(AN1452&gt;0,I1452/AN1452,-1)</f>
        <v>0</v>
      </c>
      <c r="AR1452" s="58" t="n">
        <f aca="false">IF(AND(OR(BU1452="L1",BU1452="L23"),AN1452&gt;0),SUMIFS($AN$7:$AN$1576,$BU$7:$BU$1576,BU1452,$AQ$7:$AQ$1576,"&gt;"&amp;AQ1452)+SUMIFS($AN$7:$AN$1576,$BU$7:$BU$1576,BU1452,$AQ$7:$AQ$1576,AQ1452,$BO$7:$BO$1576,"&lt;="&amp;BO1452),"")</f>
        <v>139.633563465567</v>
      </c>
      <c r="AS1452" s="65" t="n">
        <f aca="false">IF(AR1452="",0,MAX(0,MIN(1,(IF(BU1452="L1",Parameter!$E$5,Parameter!$E$6+Parameter!$E$7)-(AR1452-AN1452))/AN1452)))</f>
        <v>0</v>
      </c>
      <c r="AT1452" s="57" t="n">
        <f aca="false">IF(LEFT(Cockpit!$O$5,1)="A",G1452,IF(BW1452=1,BX1452,IF(LEFT(Cockpit!$O$5,1)="B",AX1452,MAX(AX1452,G1452))))</f>
        <v>4</v>
      </c>
      <c r="AU1452" s="57" t="n">
        <f aca="false">IF(BR1452=1,0,ROUNDUP(AT1452/BQ1452,0))</f>
        <v>1</v>
      </c>
      <c r="AV1452" s="59" t="n">
        <f aca="false">IF(CD1452&gt;0,CD1452*MAX(1,AT1452/V1452),IF(BR1452=1,IF(AT1452&lt;=0,0,BS1452*MAX(1,IF(G1452&gt;0,AT1452/G1452,1))),IF(Q1452&gt;0,AU1452/Q1452,0))/MAX(0.1,N(Parameter!$M$21)))</f>
        <v>0.166666666666667</v>
      </c>
      <c r="AW1452" s="57" t="n">
        <f aca="false">AT1452*F1452</f>
        <v>1828</v>
      </c>
      <c r="AX1452" s="57" t="n">
        <f aca="false">ROUNDUP(MAX(I1452/IF(BV1452&gt;0,BV1452,MAX(0.1,N(Cockpit!$O$6))),BY1452)/BQ1452,0)*BQ1452</f>
        <v>4</v>
      </c>
      <c r="AY1452" s="58" t="n">
        <f aca="false">IF(AV1452&gt;0,I1452/AV1452,-1)</f>
        <v>0</v>
      </c>
      <c r="AZ1452" s="58" t="n">
        <f aca="false">IF(AND(OR(BU1452="L1",BU1452="L23"),AV1452&gt;0),SUMIFS($AV$7:$AV$1576,$BU$7:$BU$1576,BU1452,$AY$7:$AY$1576,"&gt;"&amp;AY1452)+SUMIFS($AV$7:$AV$1576,$BU$7:$BU$1576,BU1452,$AY$7:$AY$1576,AY1452,$BO$7:$BO$1576,"&lt;="&amp;BO1452),"")</f>
        <v>129.693113915118</v>
      </c>
      <c r="BA1452" s="65" t="n">
        <f aca="false">IF(AZ1452="",0,MAX(0,MIN(1,(IF(BU1452="L1",Parameter!$E$5,Parameter!$E$6+Parameter!$E$7)-(AZ1452-AV1452))/AV1452)))</f>
        <v>0</v>
      </c>
      <c r="BB1452" s="55" t="str">
        <f aca="false">IF(AF1452&lt;=0,"",IF(BU1452="Aussen","Aussenlager",IF(BU1452="-","Nicht im Lift",IF(AK1452&gt;=1,"Lift",IF(AK1452&lt;=0,"Aussenlager","teilweise")))))</f>
        <v/>
      </c>
      <c r="BC1452" s="55" t="str">
        <f aca="false">IF(AN1452&lt;=0,"",IF(BU1452="Aussen","Aussenlager",IF(BU1452="-","Nicht im Lift",IF(AS1452&gt;=1,"Lift",IF(AS1452&lt;=0,"Aussenlager","teilweise")))))</f>
        <v>Aussenlager</v>
      </c>
      <c r="BD1452" s="55" t="str">
        <f aca="false">IF(AV1452&lt;=0,"",IF(BU1452="Aussen","Aussenlager",IF(BU1452="-","Nicht im Lift",IF(BA1452&gt;=1,"Lift",IF(BA1452&lt;=0,"Aussenlager","teilweise")))))</f>
        <v>Aussenlager</v>
      </c>
      <c r="BE1452" s="55" t="str">
        <f aca="false">IF(A1452="","",IF(BN1452=1,"Neu; ","")&amp;IF(AND(BN1452=0,BI1452&lt;0),"negativer Bestand (Export "&amp;BI1452&amp;"); ","")&amp;IF(I1452&lt;=0,"Kein Verbrauch; ","")&amp;IF(CD1452&gt;0,"Lift "&amp;U1452&amp;" lt. Liftbericht (Fach "&amp;V1452&amp;" Stk); ",IF(BR1452=1,"Lose – Fläche geschätzt; ",""))&amp;IF(G1452&gt;AP1452,"Überbestand "&amp;ROUND(G1452-AP1452,0)&amp;" Stk / CHF "&amp;ROUND((G1452-AP1452)*F1452,0)&amp;"; ","")&amp;IF(AND(BW1452=1,BX1452&lt;BY1452),"MAX &lt; MB+LG; ","")&amp;IF(AND(CC1452&gt;0,CB1452*10&gt;CC1452),"zu hoch für Tablar; ","")&amp;IF(AND(BN1452=0,OR(BW1452=1,Y1452&lt;&gt;"",S1452&lt;&gt;"",T1452&lt;&gt;"",Z1452&lt;&gt;"")),"manuell übersteuert; ","")&amp;IF(AND(BR1452=0,Q1452=0),"Gebinde unbekannt / Stellmass fehlt; ","")&amp;IF(AND(BR1452=0,N(T1452)&lt;=0,N(P1452)&lt;=0),"Menge pro Gebinde fehlt (Ist = 1 Gebinde); ","")&amp;BM1452)</f>
        <v>negativer Bestand (Export -29); Kein Verbrauch; </v>
      </c>
      <c r="BF1452" s="55"/>
      <c r="BG1452" s="55"/>
      <c r="BH1452" s="62"/>
      <c r="BI1452" s="57" t="n">
        <v>-29</v>
      </c>
      <c r="BJ1452" s="57" t="n">
        <v>0</v>
      </c>
      <c r="BK1452" s="56" t="n">
        <v>-13253</v>
      </c>
      <c r="BL1452" s="57" t="n">
        <v>0</v>
      </c>
      <c r="BM1452" s="55"/>
      <c r="BN1452" s="60" t="n">
        <v>0</v>
      </c>
      <c r="BO1452" s="60" t="n">
        <v>1452</v>
      </c>
      <c r="BP1452" s="55" t="str">
        <f aca="false">IF(S1452&lt;&gt;"",UPPER(TRIM(S1452)),IF(O1452="","LOSE",O1452))</f>
        <v>S71</v>
      </c>
      <c r="BQ1452" s="57" t="n">
        <f aca="false">IF(BP1452="LOSE",1,IF(N(T1452)&gt;0,T1452,IF(N(P1452)&gt;0,P1452,MAX(1,G1452))))</f>
        <v>4</v>
      </c>
      <c r="BR1452" s="60" t="n">
        <f aca="false">IF(BP1452="LOSE",1,0)</f>
        <v>0</v>
      </c>
      <c r="BS1452" s="59" t="n">
        <f aca="false">IF(BR1452=0,0,IF(N(R1452)&gt;0,R1452,IFERROR(VLOOKUP(D1452,Parameter!$A$35:$C$64,3,0)+0,0)))</f>
        <v>0</v>
      </c>
      <c r="BT1452" s="55" t="n">
        <f aca="false">IF(Y1452&lt;&gt;"",Y1452,X1452)</f>
        <v>2</v>
      </c>
      <c r="BU1452" s="55" t="str">
        <f aca="false">IF(BT1452=1,"L1",IF(OR(BT1452=2,BT1452=3),"L23",IF(BT1452="Aussen","Aussen","-")))</f>
        <v>L23</v>
      </c>
      <c r="BV1452" s="66" t="n">
        <f aca="false">IF(N(Z1452)&gt;0,Z1452,0)</f>
        <v>0</v>
      </c>
      <c r="BW1452" s="60" t="n">
        <f aca="false">IF(ISNUMBER(AC1452),1,0)</f>
        <v>0</v>
      </c>
      <c r="BX1452" s="57" t="n">
        <f aca="false">N(AC1452)</f>
        <v>0</v>
      </c>
      <c r="BY1452" s="57" t="n">
        <f aca="false">N(L1452)+N(M1452)</f>
        <v>1</v>
      </c>
      <c r="BZ1452" s="57" t="n">
        <f aca="false">ROUNDUP(G1452/BQ1452,0)</f>
        <v>0</v>
      </c>
      <c r="CA1452" s="57" t="n">
        <f aca="false">ROUNDUP(BX1452/BQ1452,0)</f>
        <v>0</v>
      </c>
      <c r="CB1452" s="60" t="n">
        <f aca="false">IF(BR1452=1,0,IFERROR(VLOOKUP(BP1452,'Gebinde-Kategorie'!$A$5:$M$45,5,0)+0,0))</f>
        <v>20</v>
      </c>
      <c r="CC1452" s="60" t="n">
        <f aca="false">IFERROR(IF(OR(BT1452=1,BT1452=2,BT1452=3),N(INDEX(Parameter!$I$5:$I$7,BT1452)),0),0)</f>
        <v>0</v>
      </c>
      <c r="CD1452" s="59" t="n">
        <f aca="false">IF(AND(Parameter!$B$21="Ja",ISNUMBER(U1452),N(V1452)&gt;0),IFERROR(N(INDEX(Parameter!$L$5:$L$7,U1452))*INDEX(Parameter!$E$5:$E$7,U1452)*V1452/SUMIFS($V$7:$V$1576,$U$7:$U$1576,U1452),0),0)</f>
        <v>0</v>
      </c>
    </row>
    <row r="1453" customFormat="false" ht="15" hidden="false" customHeight="false" outlineLevel="0" collapsed="false">
      <c r="A1453" s="55" t="s">
        <v>2527</v>
      </c>
      <c r="B1453" s="55" t="s">
        <v>2159</v>
      </c>
      <c r="C1453" s="55" t="s">
        <v>160</v>
      </c>
      <c r="D1453" s="55" t="s">
        <v>178</v>
      </c>
      <c r="E1453" s="55"/>
      <c r="F1453" s="56" t="n">
        <v>1521.29</v>
      </c>
      <c r="G1453" s="57" t="n">
        <f aca="false">MAX(0,IF(AND(Parameter!$B$21="Ja",ISNUMBER(W1453)),W1453,IF(Parameter!$B$20="Jahresanfang 2025 + Export",BJ1453+BI1453,BI1453)))</f>
        <v>0</v>
      </c>
      <c r="H1453" s="57" t="n">
        <f aca="false">G1453*F1453</f>
        <v>0</v>
      </c>
      <c r="I1453" s="57" t="n">
        <f aca="false">BL1453*Parameter!$B$18</f>
        <v>0</v>
      </c>
      <c r="J1453" s="58"/>
      <c r="K1453" s="59"/>
      <c r="L1453" s="57" t="n">
        <v>0</v>
      </c>
      <c r="M1453" s="57" t="n">
        <v>1</v>
      </c>
      <c r="N1453" s="60"/>
      <c r="O1453" s="55" t="s">
        <v>163</v>
      </c>
      <c r="P1453" s="57"/>
      <c r="Q1453" s="60" t="n">
        <f aca="false">IF(BR1453=1,0,IFERROR(VLOOKUP(BP1453,'Gebinde-Kategorie'!$A$5:$M$45,13,0)+0,0))</f>
        <v>0</v>
      </c>
      <c r="R1453" s="61"/>
      <c r="S1453" s="62"/>
      <c r="T1453" s="62"/>
      <c r="U1453" s="55"/>
      <c r="V1453" s="57"/>
      <c r="W1453" s="57"/>
      <c r="X1453" s="55" t="n">
        <f aca="false">IF(A1453="","",IF(AND(Parameter!$B$21="Ja",ISNUMBER(U1453)),U1453,IF(IFERROR(VLOOKUP(D1453,Parameter!$A$35:$C$64,2,0),"Nein")="2+3",IF(ISNUMBER(SEARCH("grosser Artikel",BM1453)),2,IFERROR(VLOOKUP(BP1453,Parameter!$F$35:$G$64,2,0),2)),IF(OR(IFERROR(VLOOKUP(D1453,Parameter!$A$35:$C$64,2,0),"Nein")="Nein",IFERROR(VLOOKUP(D1453,Parameter!$A$35:$C$64,2,0),"Nein")=""),"-",VLOOKUP(D1453,Parameter!$A$35:$C$64,2,0)))))</f>
        <v>2</v>
      </c>
      <c r="Y1453" s="62"/>
      <c r="Z1453" s="63"/>
      <c r="AA1453" s="57" t="n">
        <f aca="false">AP1453</f>
        <v>1</v>
      </c>
      <c r="AB1453" s="57" t="n">
        <f aca="false">MAX(AP1453,G1453)</f>
        <v>1</v>
      </c>
      <c r="AC1453" s="64"/>
      <c r="AD1453" s="57" t="n">
        <f aca="false">IF(LEFT(Cockpit!$C$5,1)="A",G1453,IF(BW1453=1,BX1453,IF(LEFT(Cockpit!$C$5,1)="B",AH1453,MAX(AH1453,G1453))))</f>
        <v>0</v>
      </c>
      <c r="AE1453" s="57" t="n">
        <f aca="false">IF(BR1453=1,0,ROUNDUP(AD1453/BQ1453,0))</f>
        <v>0</v>
      </c>
      <c r="AF1453" s="59" t="n">
        <f aca="false">IF(CD1453&gt;0,CD1453*MAX(1,AD1453/V1453),IF(BR1453=1,IF(AD1453&lt;=0,0,BS1453*MAX(1,IF(G1453&gt;0,AD1453/G1453,1))),IF(Q1453&gt;0,AE1453/Q1453,0))/MAX(0.1,N(Parameter!$M$21)))</f>
        <v>0</v>
      </c>
      <c r="AG1453" s="57" t="n">
        <f aca="false">AD1453*F1453</f>
        <v>0</v>
      </c>
      <c r="AH1453" s="57" t="n">
        <f aca="false">ROUNDUP(MAX(I1453/IF(BV1453&gt;0,BV1453,MAX(0.1,N(Cockpit!$C$6))),BY1453)/BQ1453,0)*BQ1453</f>
        <v>1</v>
      </c>
      <c r="AI1453" s="58" t="n">
        <f aca="false">IF(AF1453&gt;0,I1453/AF1453,-1)</f>
        <v>-1</v>
      </c>
      <c r="AJ1453" s="58" t="str">
        <f aca="false">IF(AND(OR(BU1453="L1",BU1453="L23"),AF1453&gt;0),SUMIFS($AF$7:$AF$1576,$BU$7:$BU$1576,BU1453,$AI$7:$AI$1576,"&gt;"&amp;AI1453)+SUMIFS($AF$7:$AF$1576,$BU$7:$BU$1576,BU1453,$AI$7:$AI$1576,AI1453,$BO$7:$BO$1576,"&lt;="&amp;BO1453),"")</f>
        <v/>
      </c>
      <c r="AK1453" s="65" t="n">
        <f aca="false">IF(AJ1453="",0,MAX(0,MIN(1,(IF(BU1453="L1",Parameter!$E$5,Parameter!$E$6+Parameter!$E$7)-(AJ1453-AF1453))/AF1453)))</f>
        <v>0</v>
      </c>
      <c r="AL1453" s="57" t="n">
        <f aca="false">IF(LEFT(Cockpit!$I$5,1)="A",G1453,IF(BW1453=1,BX1453,IF(LEFT(Cockpit!$I$5,1)="B",AP1453,MAX(AP1453,G1453))))</f>
        <v>1</v>
      </c>
      <c r="AM1453" s="57" t="n">
        <f aca="false">IF(BR1453=1,0,ROUNDUP(AL1453/BQ1453,0))</f>
        <v>0</v>
      </c>
      <c r="AN1453" s="59" t="n">
        <f aca="false">IF(CD1453&gt;0,CD1453*MAX(1,AL1453/V1453),IF(BR1453=1,IF(AL1453&lt;=0,0,BS1453*MAX(1,IF(G1453&gt;0,AL1453/G1453,1))),IF(Q1453&gt;0,AM1453/Q1453,0))/MAX(0.1,N(Parameter!$M$21)))</f>
        <v>0.03</v>
      </c>
      <c r="AO1453" s="57" t="n">
        <f aca="false">AL1453*F1453</f>
        <v>1521.29</v>
      </c>
      <c r="AP1453" s="57" t="n">
        <f aca="false">ROUNDUP(MAX(I1453/IF(BV1453&gt;0,BV1453,MAX(0.1,N(Cockpit!$I$6))),BY1453)/BQ1453,0)*BQ1453</f>
        <v>1</v>
      </c>
      <c r="AQ1453" s="58" t="n">
        <f aca="false">IF(AN1453&gt;0,I1453/AN1453,-1)</f>
        <v>0</v>
      </c>
      <c r="AR1453" s="58" t="n">
        <f aca="false">IF(AND(OR(BU1453="L1",BU1453="L23"),AN1453&gt;0),SUMIFS($AN$7:$AN$1576,$BU$7:$BU$1576,BU1453,$AQ$7:$AQ$1576,"&gt;"&amp;AQ1453)+SUMIFS($AN$7:$AN$1576,$BU$7:$BU$1576,BU1453,$AQ$7:$AQ$1576,AQ1453,$BO$7:$BO$1576,"&lt;="&amp;BO1453),"")</f>
        <v>139.663563465567</v>
      </c>
      <c r="AS1453" s="65" t="n">
        <f aca="false">IF(AR1453="",0,MAX(0,MIN(1,(IF(BU1453="L1",Parameter!$E$5,Parameter!$E$6+Parameter!$E$7)-(AR1453-AN1453))/AN1453)))</f>
        <v>0</v>
      </c>
      <c r="AT1453" s="57" t="n">
        <f aca="false">IF(LEFT(Cockpit!$O$5,1)="A",G1453,IF(BW1453=1,BX1453,IF(LEFT(Cockpit!$O$5,1)="B",AX1453,MAX(AX1453,G1453))))</f>
        <v>1</v>
      </c>
      <c r="AU1453" s="57" t="n">
        <f aca="false">IF(BR1453=1,0,ROUNDUP(AT1453/BQ1453,0))</f>
        <v>0</v>
      </c>
      <c r="AV1453" s="59" t="n">
        <f aca="false">IF(CD1453&gt;0,CD1453*MAX(1,AT1453/V1453),IF(BR1453=1,IF(AT1453&lt;=0,0,BS1453*MAX(1,IF(G1453&gt;0,AT1453/G1453,1))),IF(Q1453&gt;0,AU1453/Q1453,0))/MAX(0.1,N(Parameter!$M$21)))</f>
        <v>0.03</v>
      </c>
      <c r="AW1453" s="57" t="n">
        <f aca="false">AT1453*F1453</f>
        <v>1521.29</v>
      </c>
      <c r="AX1453" s="57" t="n">
        <f aca="false">ROUNDUP(MAX(I1453/IF(BV1453&gt;0,BV1453,MAX(0.1,N(Cockpit!$O$6))),BY1453)/BQ1453,0)*BQ1453</f>
        <v>1</v>
      </c>
      <c r="AY1453" s="58" t="n">
        <f aca="false">IF(AV1453&gt;0,I1453/AV1453,-1)</f>
        <v>0</v>
      </c>
      <c r="AZ1453" s="58" t="n">
        <f aca="false">IF(AND(OR(BU1453="L1",BU1453="L23"),AV1453&gt;0),SUMIFS($AV$7:$AV$1576,$BU$7:$BU$1576,BU1453,$AY$7:$AY$1576,"&gt;"&amp;AY1453)+SUMIFS($AV$7:$AV$1576,$BU$7:$BU$1576,BU1453,$AY$7:$AY$1576,AY1453,$BO$7:$BO$1576,"&lt;="&amp;BO1453),"")</f>
        <v>129.723113915118</v>
      </c>
      <c r="BA1453" s="65" t="n">
        <f aca="false">IF(AZ1453="",0,MAX(0,MIN(1,(IF(BU1453="L1",Parameter!$E$5,Parameter!$E$6+Parameter!$E$7)-(AZ1453-AV1453))/AV1453)))</f>
        <v>0</v>
      </c>
      <c r="BB1453" s="55" t="str">
        <f aca="false">IF(AF1453&lt;=0,"",IF(BU1453="Aussen","Aussenlager",IF(BU1453="-","Nicht im Lift",IF(AK1453&gt;=1,"Lift",IF(AK1453&lt;=0,"Aussenlager","teilweise")))))</f>
        <v/>
      </c>
      <c r="BC1453" s="55" t="str">
        <f aca="false">IF(AN1453&lt;=0,"",IF(BU1453="Aussen","Aussenlager",IF(BU1453="-","Nicht im Lift",IF(AS1453&gt;=1,"Lift",IF(AS1453&lt;=0,"Aussenlager","teilweise")))))</f>
        <v>Aussenlager</v>
      </c>
      <c r="BD1453" s="55" t="str">
        <f aca="false">IF(AV1453&lt;=0,"",IF(BU1453="Aussen","Aussenlager",IF(BU1453="-","Nicht im Lift",IF(BA1453&gt;=1,"Lift",IF(BA1453&lt;=0,"Aussenlager","teilweise")))))</f>
        <v>Aussenlager</v>
      </c>
      <c r="BE1453" s="55" t="str">
        <f aca="false">IF(A1453="","",IF(BN1453=1,"Neu; ","")&amp;IF(AND(BN1453=0,BI1453&lt;0),"negativer Bestand (Export "&amp;BI1453&amp;"); ","")&amp;IF(I1453&lt;=0,"Kein Verbrauch; ","")&amp;IF(CD1453&gt;0,"Lift "&amp;U1453&amp;" lt. Liftbericht (Fach "&amp;V1453&amp;" Stk); ",IF(BR1453=1,"Lose – Fläche geschätzt; ",""))&amp;IF(G1453&gt;AP1453,"Überbestand "&amp;ROUND(G1453-AP1453,0)&amp;" Stk / CHF "&amp;ROUND((G1453-AP1453)*F1453,0)&amp;"; ","")&amp;IF(AND(BW1453=1,BX1453&lt;BY1453),"MAX &lt; MB+LG; ","")&amp;IF(AND(CC1453&gt;0,CB1453*10&gt;CC1453),"zu hoch für Tablar; ","")&amp;IF(AND(BN1453=0,OR(BW1453=1,Y1453&lt;&gt;"",S1453&lt;&gt;"",T1453&lt;&gt;"",Z1453&lt;&gt;"")),"manuell übersteuert; ","")&amp;IF(AND(BR1453=0,Q1453=0),"Gebinde unbekannt / Stellmass fehlt; ","")&amp;IF(AND(BR1453=0,N(T1453)&lt;=0,N(P1453)&lt;=0),"Menge pro Gebinde fehlt (Ist = 1 Gebinde); ","")&amp;BM1453)</f>
        <v>negativer Bestand (Export -9); Kein Verbrauch; Lose – Fläche geschätzt; </v>
      </c>
      <c r="BF1453" s="55"/>
      <c r="BG1453" s="55"/>
      <c r="BH1453" s="62"/>
      <c r="BI1453" s="57" t="n">
        <v>-9</v>
      </c>
      <c r="BJ1453" s="57" t="n">
        <v>0</v>
      </c>
      <c r="BK1453" s="56" t="n">
        <v>-13691.61</v>
      </c>
      <c r="BL1453" s="57" t="n">
        <v>0</v>
      </c>
      <c r="BM1453" s="55"/>
      <c r="BN1453" s="60" t="n">
        <v>0</v>
      </c>
      <c r="BO1453" s="60" t="n">
        <v>1453</v>
      </c>
      <c r="BP1453" s="55" t="str">
        <f aca="false">IF(S1453&lt;&gt;"",UPPER(TRIM(S1453)),IF(O1453="","LOSE",O1453))</f>
        <v>LOSE</v>
      </c>
      <c r="BQ1453" s="57" t="n">
        <f aca="false">IF(BP1453="LOSE",1,IF(N(T1453)&gt;0,T1453,IF(N(P1453)&gt;0,P1453,MAX(1,G1453))))</f>
        <v>1</v>
      </c>
      <c r="BR1453" s="60" t="n">
        <f aca="false">IF(BP1453="LOSE",1,0)</f>
        <v>1</v>
      </c>
      <c r="BS1453" s="59" t="n">
        <f aca="false">IF(BR1453=0,0,IF(N(R1453)&gt;0,R1453,IFERROR(VLOOKUP(D1453,Parameter!$A$35:$C$64,3,0)+0,0)))</f>
        <v>0.03</v>
      </c>
      <c r="BT1453" s="55" t="n">
        <f aca="false">IF(Y1453&lt;&gt;"",Y1453,X1453)</f>
        <v>2</v>
      </c>
      <c r="BU1453" s="55" t="str">
        <f aca="false">IF(BT1453=1,"L1",IF(OR(BT1453=2,BT1453=3),"L23",IF(BT1453="Aussen","Aussen","-")))</f>
        <v>L23</v>
      </c>
      <c r="BV1453" s="66" t="n">
        <f aca="false">IF(N(Z1453)&gt;0,Z1453,0)</f>
        <v>0</v>
      </c>
      <c r="BW1453" s="60" t="n">
        <f aca="false">IF(ISNUMBER(AC1453),1,0)</f>
        <v>0</v>
      </c>
      <c r="BX1453" s="57" t="n">
        <f aca="false">N(AC1453)</f>
        <v>0</v>
      </c>
      <c r="BY1453" s="57" t="n">
        <f aca="false">N(L1453)+N(M1453)</f>
        <v>1</v>
      </c>
      <c r="BZ1453" s="57" t="n">
        <f aca="false">ROUNDUP(G1453/BQ1453,0)</f>
        <v>0</v>
      </c>
      <c r="CA1453" s="57" t="n">
        <f aca="false">ROUNDUP(BX1453/BQ1453,0)</f>
        <v>0</v>
      </c>
      <c r="CB1453" s="60" t="n">
        <f aca="false">IF(BR1453=1,0,IFERROR(VLOOKUP(BP1453,'Gebinde-Kategorie'!$A$5:$M$45,5,0)+0,0))</f>
        <v>0</v>
      </c>
      <c r="CC1453" s="60" t="n">
        <f aca="false">IFERROR(IF(OR(BT1453=1,BT1453=2,BT1453=3),N(INDEX(Parameter!$I$5:$I$7,BT1453)),0),0)</f>
        <v>0</v>
      </c>
      <c r="CD1453" s="59" t="n">
        <f aca="false">IF(AND(Parameter!$B$21="Ja",ISNUMBER(U1453),N(V1453)&gt;0),IFERROR(N(INDEX(Parameter!$L$5:$L$7,U1453))*INDEX(Parameter!$E$5:$E$7,U1453)*V1453/SUMIFS($V$7:$V$1576,$U$7:$U$1576,U1453),0),0)</f>
        <v>0</v>
      </c>
    </row>
    <row r="1454" customFormat="false" ht="15" hidden="false" customHeight="false" outlineLevel="0" collapsed="false">
      <c r="A1454" s="55" t="s">
        <v>2528</v>
      </c>
      <c r="B1454" s="55" t="s">
        <v>2206</v>
      </c>
      <c r="C1454" s="55" t="s">
        <v>160</v>
      </c>
      <c r="D1454" s="55" t="s">
        <v>178</v>
      </c>
      <c r="E1454" s="55"/>
      <c r="F1454" s="56" t="n">
        <v>167.8</v>
      </c>
      <c r="G1454" s="57" t="n">
        <f aca="false">MAX(0,IF(AND(Parameter!$B$21="Ja",ISNUMBER(W1454)),W1454,IF(Parameter!$B$20="Jahresanfang 2025 + Export",BJ1454+BI1454,BI1454)))</f>
        <v>0</v>
      </c>
      <c r="H1454" s="57" t="n">
        <f aca="false">G1454*F1454</f>
        <v>0</v>
      </c>
      <c r="I1454" s="57" t="n">
        <f aca="false">BL1454*Parameter!$B$18</f>
        <v>4</v>
      </c>
      <c r="J1454" s="58"/>
      <c r="K1454" s="59"/>
      <c r="L1454" s="57" t="n">
        <v>0</v>
      </c>
      <c r="M1454" s="57" t="n">
        <v>5</v>
      </c>
      <c r="N1454" s="60"/>
      <c r="O1454" s="55" t="s">
        <v>293</v>
      </c>
      <c r="P1454" s="57" t="n">
        <v>10</v>
      </c>
      <c r="Q1454" s="60" t="n">
        <f aca="false">IF(BR1454=1,0,IFERROR(VLOOKUP(BP1454,'Gebinde-Kategorie'!$A$5:$M$45,13,0)+0,0))</f>
        <v>26</v>
      </c>
      <c r="R1454" s="61"/>
      <c r="S1454" s="62"/>
      <c r="T1454" s="62"/>
      <c r="U1454" s="55"/>
      <c r="V1454" s="57"/>
      <c r="W1454" s="57"/>
      <c r="X1454" s="55" t="n">
        <f aca="false">IF(A1454="","",IF(AND(Parameter!$B$21="Ja",ISNUMBER(U1454)),U1454,IF(IFERROR(VLOOKUP(D1454,Parameter!$A$35:$C$64,2,0),"Nein")="2+3",IF(ISNUMBER(SEARCH("grosser Artikel",BM1454)),2,IFERROR(VLOOKUP(BP1454,Parameter!$F$35:$G$64,2,0),2)),IF(OR(IFERROR(VLOOKUP(D1454,Parameter!$A$35:$C$64,2,0),"Nein")="Nein",IFERROR(VLOOKUP(D1454,Parameter!$A$35:$C$64,2,0),"Nein")=""),"-",VLOOKUP(D1454,Parameter!$A$35:$C$64,2,0)))))</f>
        <v>3</v>
      </c>
      <c r="Y1454" s="62"/>
      <c r="Z1454" s="63"/>
      <c r="AA1454" s="57" t="n">
        <f aca="false">AP1454</f>
        <v>10</v>
      </c>
      <c r="AB1454" s="57" t="n">
        <f aca="false">MAX(AP1454,G1454)</f>
        <v>10</v>
      </c>
      <c r="AC1454" s="64"/>
      <c r="AD1454" s="57" t="n">
        <f aca="false">IF(LEFT(Cockpit!$C$5,1)="A",G1454,IF(BW1454=1,BX1454,IF(LEFT(Cockpit!$C$5,1)="B",AH1454,MAX(AH1454,G1454))))</f>
        <v>0</v>
      </c>
      <c r="AE1454" s="57" t="n">
        <f aca="false">IF(BR1454=1,0,ROUNDUP(AD1454/BQ1454,0))</f>
        <v>0</v>
      </c>
      <c r="AF1454" s="59" t="n">
        <f aca="false">IF(CD1454&gt;0,CD1454*MAX(1,AD1454/V1454),IF(BR1454=1,IF(AD1454&lt;=0,0,BS1454*MAX(1,IF(G1454&gt;0,AD1454/G1454,1))),IF(Q1454&gt;0,AE1454/Q1454,0))/MAX(0.1,N(Parameter!$M$21)))</f>
        <v>0</v>
      </c>
      <c r="AG1454" s="57" t="n">
        <f aca="false">AD1454*F1454</f>
        <v>0</v>
      </c>
      <c r="AH1454" s="57" t="n">
        <f aca="false">ROUNDUP(MAX(I1454/IF(BV1454&gt;0,BV1454,MAX(0.1,N(Cockpit!$C$6))),BY1454)/BQ1454,0)*BQ1454</f>
        <v>10</v>
      </c>
      <c r="AI1454" s="58" t="n">
        <f aca="false">IF(AF1454&gt;0,I1454/AF1454,-1)</f>
        <v>-1</v>
      </c>
      <c r="AJ1454" s="58" t="str">
        <f aca="false">IF(AND(OR(BU1454="L1",BU1454="L23"),AF1454&gt;0),SUMIFS($AF$7:$AF$1576,$BU$7:$BU$1576,BU1454,$AI$7:$AI$1576,"&gt;"&amp;AI1454)+SUMIFS($AF$7:$AF$1576,$BU$7:$BU$1576,BU1454,$AI$7:$AI$1576,AI1454,$BO$7:$BO$1576,"&lt;="&amp;BO1454),"")</f>
        <v/>
      </c>
      <c r="AK1454" s="65" t="n">
        <f aca="false">IF(AJ1454="",0,MAX(0,MIN(1,(IF(BU1454="L1",Parameter!$E$5,Parameter!$E$6+Parameter!$E$7)-(AJ1454-AF1454))/AF1454)))</f>
        <v>0</v>
      </c>
      <c r="AL1454" s="57" t="n">
        <f aca="false">IF(LEFT(Cockpit!$I$5,1)="A",G1454,IF(BW1454=1,BX1454,IF(LEFT(Cockpit!$I$5,1)="B",AP1454,MAX(AP1454,G1454))))</f>
        <v>10</v>
      </c>
      <c r="AM1454" s="57" t="n">
        <f aca="false">IF(BR1454=1,0,ROUNDUP(AL1454/BQ1454,0))</f>
        <v>1</v>
      </c>
      <c r="AN1454" s="59" t="n">
        <f aca="false">IF(CD1454&gt;0,CD1454*MAX(1,AL1454/V1454),IF(BR1454=1,IF(AL1454&lt;=0,0,BS1454*MAX(1,IF(G1454&gt;0,AL1454/G1454,1))),IF(Q1454&gt;0,AM1454/Q1454,0))/MAX(0.1,N(Parameter!$M$21)))</f>
        <v>0.0384615384615385</v>
      </c>
      <c r="AO1454" s="57" t="n">
        <f aca="false">AL1454*F1454</f>
        <v>1678</v>
      </c>
      <c r="AP1454" s="57" t="n">
        <f aca="false">ROUNDUP(MAX(I1454/IF(BV1454&gt;0,BV1454,MAX(0.1,N(Cockpit!$I$6))),BY1454)/BQ1454,0)*BQ1454</f>
        <v>10</v>
      </c>
      <c r="AQ1454" s="58" t="n">
        <f aca="false">IF(AN1454&gt;0,I1454/AN1454,-1)</f>
        <v>104</v>
      </c>
      <c r="AR1454" s="58" t="n">
        <f aca="false">IF(AND(OR(BU1454="L1",BU1454="L23"),AN1454&gt;0),SUMIFS($AN$7:$AN$1576,$BU$7:$BU$1576,BU1454,$AQ$7:$AQ$1576,"&gt;"&amp;AQ1454)+SUMIFS($AN$7:$AN$1576,$BU$7:$BU$1576,BU1454,$AQ$7:$AQ$1576,AQ1454,$BO$7:$BO$1576,"&lt;="&amp;BO1454),"")</f>
        <v>68.7534446897058</v>
      </c>
      <c r="AS1454" s="65" t="n">
        <f aca="false">IF(AR1454="",0,MAX(0,MIN(1,(IF(BU1454="L1",Parameter!$E$5,Parameter!$E$6+Parameter!$E$7)-(AR1454-AN1454))/AN1454)))</f>
        <v>1</v>
      </c>
      <c r="AT1454" s="57" t="n">
        <f aca="false">IF(LEFT(Cockpit!$O$5,1)="A",G1454,IF(BW1454=1,BX1454,IF(LEFT(Cockpit!$O$5,1)="B",AX1454,MAX(AX1454,G1454))))</f>
        <v>10</v>
      </c>
      <c r="AU1454" s="57" t="n">
        <f aca="false">IF(BR1454=1,0,ROUNDUP(AT1454/BQ1454,0))</f>
        <v>1</v>
      </c>
      <c r="AV1454" s="59" t="n">
        <f aca="false">IF(CD1454&gt;0,CD1454*MAX(1,AT1454/V1454),IF(BR1454=1,IF(AT1454&lt;=0,0,BS1454*MAX(1,IF(G1454&gt;0,AT1454/G1454,1))),IF(Q1454&gt;0,AU1454/Q1454,0))/MAX(0.1,N(Parameter!$M$21)))</f>
        <v>0.0384615384615385</v>
      </c>
      <c r="AW1454" s="57" t="n">
        <f aca="false">AT1454*F1454</f>
        <v>1678</v>
      </c>
      <c r="AX1454" s="57" t="n">
        <f aca="false">ROUNDUP(MAX(I1454/IF(BV1454&gt;0,BV1454,MAX(0.1,N(Cockpit!$O$6))),BY1454)/BQ1454,0)*BQ1454</f>
        <v>10</v>
      </c>
      <c r="AY1454" s="58" t="n">
        <f aca="false">IF(AV1454&gt;0,I1454/AV1454,-1)</f>
        <v>104</v>
      </c>
      <c r="AZ1454" s="58" t="n">
        <f aca="false">IF(AND(OR(BU1454="L1",BU1454="L23"),AV1454&gt;0),SUMIFS($AV$7:$AV$1576,$BU$7:$BU$1576,BU1454,$AY$7:$AY$1576,"&gt;"&amp;AY1454)+SUMIFS($AV$7:$AV$1576,$BU$7:$BU$1576,BU1454,$AY$7:$AY$1576,AY1454,$BO$7:$BO$1576,"&lt;="&amp;BO1454),"")</f>
        <v>63.3138284725896</v>
      </c>
      <c r="BA1454" s="65" t="n">
        <f aca="false">IF(AZ1454="",0,MAX(0,MIN(1,(IF(BU1454="L1",Parameter!$E$5,Parameter!$E$6+Parameter!$E$7)-(AZ1454-AV1454))/AV1454)))</f>
        <v>1</v>
      </c>
      <c r="BB1454" s="55" t="str">
        <f aca="false">IF(AF1454&lt;=0,"",IF(BU1454="Aussen","Aussenlager",IF(BU1454="-","Nicht im Lift",IF(AK1454&gt;=1,"Lift",IF(AK1454&lt;=0,"Aussenlager","teilweise")))))</f>
        <v/>
      </c>
      <c r="BC1454" s="55" t="str">
        <f aca="false">IF(AN1454&lt;=0,"",IF(BU1454="Aussen","Aussenlager",IF(BU1454="-","Nicht im Lift",IF(AS1454&gt;=1,"Lift",IF(AS1454&lt;=0,"Aussenlager","teilweise")))))</f>
        <v>Lift</v>
      </c>
      <c r="BD1454" s="55" t="str">
        <f aca="false">IF(AV1454&lt;=0,"",IF(BU1454="Aussen","Aussenlager",IF(BU1454="-","Nicht im Lift",IF(BA1454&gt;=1,"Lift",IF(BA1454&lt;=0,"Aussenlager","teilweise")))))</f>
        <v>Lift</v>
      </c>
      <c r="BE1454" s="55" t="str">
        <f aca="false">IF(A1454="","",IF(BN1454=1,"Neu; ","")&amp;IF(AND(BN1454=0,BI1454&lt;0),"negativer Bestand (Export "&amp;BI1454&amp;"); ","")&amp;IF(I1454&lt;=0,"Kein Verbrauch; ","")&amp;IF(CD1454&gt;0,"Lift "&amp;U1454&amp;" lt. Liftbericht (Fach "&amp;V1454&amp;" Stk); ",IF(BR1454=1,"Lose – Fläche geschätzt; ",""))&amp;IF(G1454&gt;AP1454,"Überbestand "&amp;ROUND(G1454-AP1454,0)&amp;" Stk / CHF "&amp;ROUND((G1454-AP1454)*F1454,0)&amp;"; ","")&amp;IF(AND(BW1454=1,BX1454&lt;BY1454),"MAX &lt; MB+LG; ","")&amp;IF(AND(CC1454&gt;0,CB1454*10&gt;CC1454),"zu hoch für Tablar; ","")&amp;IF(AND(BN1454=0,OR(BW1454=1,Y1454&lt;&gt;"",S1454&lt;&gt;"",T1454&lt;&gt;"",Z1454&lt;&gt;"")),"manuell übersteuert; ","")&amp;IF(AND(BR1454=0,Q1454=0),"Gebinde unbekannt / Stellmass fehlt; ","")&amp;IF(AND(BR1454=0,N(T1454)&lt;=0,N(P1454)&lt;=0),"Menge pro Gebinde fehlt (Ist = 1 Gebinde); ","")&amp;BM1454)</f>
        <v>negativer Bestand (Export -89); Neu</v>
      </c>
      <c r="BF1454" s="55"/>
      <c r="BG1454" s="55"/>
      <c r="BH1454" s="62"/>
      <c r="BI1454" s="57" t="n">
        <v>-89</v>
      </c>
      <c r="BJ1454" s="57" t="n">
        <v>0</v>
      </c>
      <c r="BK1454" s="56" t="n">
        <v>-14934.2</v>
      </c>
      <c r="BL1454" s="57" t="n">
        <v>4</v>
      </c>
      <c r="BM1454" s="55" t="s">
        <v>615</v>
      </c>
      <c r="BN1454" s="60" t="n">
        <v>0</v>
      </c>
      <c r="BO1454" s="60" t="n">
        <v>1454</v>
      </c>
      <c r="BP1454" s="55" t="str">
        <f aca="false">IF(S1454&lt;&gt;"",UPPER(TRIM(S1454)),IF(O1454="","LOSE",O1454))</f>
        <v>S51</v>
      </c>
      <c r="BQ1454" s="57" t="n">
        <f aca="false">IF(BP1454="LOSE",1,IF(N(T1454)&gt;0,T1454,IF(N(P1454)&gt;0,P1454,MAX(1,G1454))))</f>
        <v>10</v>
      </c>
      <c r="BR1454" s="60" t="n">
        <f aca="false">IF(BP1454="LOSE",1,0)</f>
        <v>0</v>
      </c>
      <c r="BS1454" s="59" t="n">
        <f aca="false">IF(BR1454=0,0,IF(N(R1454)&gt;0,R1454,IFERROR(VLOOKUP(D1454,Parameter!$A$35:$C$64,3,0)+0,0)))</f>
        <v>0</v>
      </c>
      <c r="BT1454" s="55" t="n">
        <f aca="false">IF(Y1454&lt;&gt;"",Y1454,X1454)</f>
        <v>3</v>
      </c>
      <c r="BU1454" s="55" t="str">
        <f aca="false">IF(BT1454=1,"L1",IF(OR(BT1454=2,BT1454=3),"L23",IF(BT1454="Aussen","Aussen","-")))</f>
        <v>L23</v>
      </c>
      <c r="BV1454" s="66" t="n">
        <f aca="false">IF(N(Z1454)&gt;0,Z1454,0)</f>
        <v>0</v>
      </c>
      <c r="BW1454" s="60" t="n">
        <f aca="false">IF(ISNUMBER(AC1454),1,0)</f>
        <v>0</v>
      </c>
      <c r="BX1454" s="57" t="n">
        <f aca="false">N(AC1454)</f>
        <v>0</v>
      </c>
      <c r="BY1454" s="57" t="n">
        <f aca="false">N(L1454)+N(M1454)</f>
        <v>5</v>
      </c>
      <c r="BZ1454" s="57" t="n">
        <f aca="false">ROUNDUP(G1454/BQ1454,0)</f>
        <v>0</v>
      </c>
      <c r="CA1454" s="57" t="n">
        <f aca="false">ROUNDUP(BX1454/BQ1454,0)</f>
        <v>0</v>
      </c>
      <c r="CB1454" s="60" t="n">
        <f aca="false">IF(BR1454=1,0,IFERROR(VLOOKUP(BP1454,'Gebinde-Kategorie'!$A$5:$M$45,5,0)+0,0))</f>
        <v>11</v>
      </c>
      <c r="CC1454" s="60" t="n">
        <f aca="false">IFERROR(IF(OR(BT1454=1,BT1454=2,BT1454=3),N(INDEX(Parameter!$I$5:$I$7,BT1454)),0),0)</f>
        <v>0</v>
      </c>
      <c r="CD1454" s="59" t="n">
        <f aca="false">IF(AND(Parameter!$B$21="Ja",ISNUMBER(U1454),N(V1454)&gt;0),IFERROR(N(INDEX(Parameter!$L$5:$L$7,U1454))*INDEX(Parameter!$E$5:$E$7,U1454)*V1454/SUMIFS($V$7:$V$1576,$U$7:$U$1576,U1454),0),0)</f>
        <v>0</v>
      </c>
    </row>
    <row r="1455" customFormat="false" ht="15" hidden="false" customHeight="false" outlineLevel="0" collapsed="false">
      <c r="A1455" s="55" t="s">
        <v>2529</v>
      </c>
      <c r="B1455" s="55" t="s">
        <v>2530</v>
      </c>
      <c r="C1455" s="55" t="s">
        <v>162</v>
      </c>
      <c r="D1455" s="55" t="s">
        <v>1377</v>
      </c>
      <c r="E1455" s="55"/>
      <c r="F1455" s="56" t="n">
        <v>3762.62</v>
      </c>
      <c r="G1455" s="57" t="n">
        <f aca="false">MAX(0,IF(AND(Parameter!$B$21="Ja",ISNUMBER(W1455)),W1455,IF(Parameter!$B$20="Jahresanfang 2025 + Export",BJ1455+BI1455,BI1455)))</f>
        <v>0</v>
      </c>
      <c r="H1455" s="57" t="n">
        <f aca="false">G1455*F1455</f>
        <v>0</v>
      </c>
      <c r="I1455" s="57" t="n">
        <f aca="false">BL1455*Parameter!$B$18</f>
        <v>20</v>
      </c>
      <c r="J1455" s="58"/>
      <c r="K1455" s="59"/>
      <c r="L1455" s="57" t="n">
        <v>0</v>
      </c>
      <c r="M1455" s="57" t="n">
        <v>1</v>
      </c>
      <c r="N1455" s="60"/>
      <c r="O1455" s="55" t="s">
        <v>163</v>
      </c>
      <c r="P1455" s="57"/>
      <c r="Q1455" s="60" t="n">
        <f aca="false">IF(BR1455=1,0,IFERROR(VLOOKUP(BP1455,'Gebinde-Kategorie'!$A$5:$M$45,13,0)+0,0))</f>
        <v>0</v>
      </c>
      <c r="R1455" s="61"/>
      <c r="S1455" s="62"/>
      <c r="T1455" s="62"/>
      <c r="U1455" s="55"/>
      <c r="V1455" s="57"/>
      <c r="W1455" s="57"/>
      <c r="X1455" s="55" t="str">
        <f aca="false">IF(A1455="","",IF(AND(Parameter!$B$21="Ja",ISNUMBER(U1455)),U1455,IF(IFERROR(VLOOKUP(D1455,Parameter!$A$35:$C$64,2,0),"Nein")="2+3",IF(ISNUMBER(SEARCH("grosser Artikel",BM1455)),2,IFERROR(VLOOKUP(BP1455,Parameter!$F$35:$G$64,2,0),2)),IF(OR(IFERROR(VLOOKUP(D1455,Parameter!$A$35:$C$64,2,0),"Nein")="Nein",IFERROR(VLOOKUP(D1455,Parameter!$A$35:$C$64,2,0),"Nein")=""),"-",VLOOKUP(D1455,Parameter!$A$35:$C$64,2,0)))))</f>
        <v>-</v>
      </c>
      <c r="Y1455" s="62"/>
      <c r="Z1455" s="63"/>
      <c r="AA1455" s="57" t="n">
        <f aca="false">AP1455</f>
        <v>10</v>
      </c>
      <c r="AB1455" s="57" t="n">
        <f aca="false">MAX(AP1455,G1455)</f>
        <v>10</v>
      </c>
      <c r="AC1455" s="64"/>
      <c r="AD1455" s="57" t="n">
        <f aca="false">IF(LEFT(Cockpit!$C$5,1)="A",G1455,IF(BW1455=1,BX1455,IF(LEFT(Cockpit!$C$5,1)="B",AH1455,MAX(AH1455,G1455))))</f>
        <v>0</v>
      </c>
      <c r="AE1455" s="57" t="n">
        <f aca="false">IF(BR1455=1,0,ROUNDUP(AD1455/BQ1455,0))</f>
        <v>0</v>
      </c>
      <c r="AF1455" s="59" t="n">
        <f aca="false">IF(CD1455&gt;0,CD1455*MAX(1,AD1455/V1455),IF(BR1455=1,IF(AD1455&lt;=0,0,BS1455*MAX(1,IF(G1455&gt;0,AD1455/G1455,1))),IF(Q1455&gt;0,AE1455/Q1455,0))/MAX(0.1,N(Parameter!$M$21)))</f>
        <v>0</v>
      </c>
      <c r="AG1455" s="57" t="n">
        <f aca="false">AD1455*F1455</f>
        <v>0</v>
      </c>
      <c r="AH1455" s="57" t="n">
        <f aca="false">ROUNDUP(MAX(I1455/IF(BV1455&gt;0,BV1455,MAX(0.1,N(Cockpit!$C$6))),BY1455)/BQ1455,0)*BQ1455</f>
        <v>10</v>
      </c>
      <c r="AI1455" s="58" t="n">
        <f aca="false">IF(AF1455&gt;0,I1455/AF1455,-1)</f>
        <v>-1</v>
      </c>
      <c r="AJ1455" s="58" t="str">
        <f aca="false">IF(AND(OR(BU1455="L1",BU1455="L23"),AF1455&gt;0),SUMIFS($AF$7:$AF$1576,$BU$7:$BU$1576,BU1455,$AI$7:$AI$1576,"&gt;"&amp;AI1455)+SUMIFS($AF$7:$AF$1576,$BU$7:$BU$1576,BU1455,$AI$7:$AI$1576,AI1455,$BO$7:$BO$1576,"&lt;="&amp;BO1455),"")</f>
        <v/>
      </c>
      <c r="AK1455" s="65" t="n">
        <f aca="false">IF(AJ1455="",0,MAX(0,MIN(1,(IF(BU1455="L1",Parameter!$E$5,Parameter!$E$6+Parameter!$E$7)-(AJ1455-AF1455))/AF1455)))</f>
        <v>0</v>
      </c>
      <c r="AL1455" s="57" t="n">
        <f aca="false">IF(LEFT(Cockpit!$I$5,1)="A",G1455,IF(BW1455=1,BX1455,IF(LEFT(Cockpit!$I$5,1)="B",AP1455,MAX(AP1455,G1455))))</f>
        <v>10</v>
      </c>
      <c r="AM1455" s="57" t="n">
        <f aca="false">IF(BR1455=1,0,ROUNDUP(AL1455/BQ1455,0))</f>
        <v>0</v>
      </c>
      <c r="AN1455" s="59" t="n">
        <f aca="false">IF(CD1455&gt;0,CD1455*MAX(1,AL1455/V1455),IF(BR1455=1,IF(AL1455&lt;=0,0,BS1455*MAX(1,IF(G1455&gt;0,AL1455/G1455,1))),IF(Q1455&gt;0,AM1455/Q1455,0))/MAX(0.1,N(Parameter!$M$21)))</f>
        <v>0.15</v>
      </c>
      <c r="AO1455" s="57" t="n">
        <f aca="false">AL1455*F1455</f>
        <v>37626.2</v>
      </c>
      <c r="AP1455" s="57" t="n">
        <f aca="false">ROUNDUP(MAX(I1455/IF(BV1455&gt;0,BV1455,MAX(0.1,N(Cockpit!$I$6))),BY1455)/BQ1455,0)*BQ1455</f>
        <v>10</v>
      </c>
      <c r="AQ1455" s="58" t="n">
        <f aca="false">IF(AN1455&gt;0,I1455/AN1455,-1)</f>
        <v>133.333333333333</v>
      </c>
      <c r="AR1455" s="58" t="str">
        <f aca="false">IF(AND(OR(BU1455="L1",BU1455="L23"),AN1455&gt;0),SUMIFS($AN$7:$AN$1576,$BU$7:$BU$1576,BU1455,$AQ$7:$AQ$1576,"&gt;"&amp;AQ1455)+SUMIFS($AN$7:$AN$1576,$BU$7:$BU$1576,BU1455,$AQ$7:$AQ$1576,AQ1455,$BO$7:$BO$1576,"&lt;="&amp;BO1455),"")</f>
        <v/>
      </c>
      <c r="AS1455" s="65" t="n">
        <f aca="false">IF(AR1455="",0,MAX(0,MIN(1,(IF(BU1455="L1",Parameter!$E$5,Parameter!$E$6+Parameter!$E$7)-(AR1455-AN1455))/AN1455)))</f>
        <v>0</v>
      </c>
      <c r="AT1455" s="57" t="n">
        <f aca="false">IF(LEFT(Cockpit!$O$5,1)="A",G1455,IF(BW1455=1,BX1455,IF(LEFT(Cockpit!$O$5,1)="B",AX1455,MAX(AX1455,G1455))))</f>
        <v>7</v>
      </c>
      <c r="AU1455" s="57" t="n">
        <f aca="false">IF(BR1455=1,0,ROUNDUP(AT1455/BQ1455,0))</f>
        <v>0</v>
      </c>
      <c r="AV1455" s="59" t="n">
        <f aca="false">IF(CD1455&gt;0,CD1455*MAX(1,AT1455/V1455),IF(BR1455=1,IF(AT1455&lt;=0,0,BS1455*MAX(1,IF(G1455&gt;0,AT1455/G1455,1))),IF(Q1455&gt;0,AU1455/Q1455,0))/MAX(0.1,N(Parameter!$M$21)))</f>
        <v>0.15</v>
      </c>
      <c r="AW1455" s="57" t="n">
        <f aca="false">AT1455*F1455</f>
        <v>26338.34</v>
      </c>
      <c r="AX1455" s="57" t="n">
        <f aca="false">ROUNDUP(MAX(I1455/IF(BV1455&gt;0,BV1455,MAX(0.1,N(Cockpit!$O$6))),BY1455)/BQ1455,0)*BQ1455</f>
        <v>7</v>
      </c>
      <c r="AY1455" s="58" t="n">
        <f aca="false">IF(AV1455&gt;0,I1455/AV1455,-1)</f>
        <v>133.333333333333</v>
      </c>
      <c r="AZ1455" s="58" t="str">
        <f aca="false">IF(AND(OR(BU1455="L1",BU1455="L23"),AV1455&gt;0),SUMIFS($AV$7:$AV$1576,$BU$7:$BU$1576,BU1455,$AY$7:$AY$1576,"&gt;"&amp;AY1455)+SUMIFS($AV$7:$AV$1576,$BU$7:$BU$1576,BU1455,$AY$7:$AY$1576,AY1455,$BO$7:$BO$1576,"&lt;="&amp;BO1455),"")</f>
        <v/>
      </c>
      <c r="BA1455" s="65" t="n">
        <f aca="false">IF(AZ1455="",0,MAX(0,MIN(1,(IF(BU1455="L1",Parameter!$E$5,Parameter!$E$6+Parameter!$E$7)-(AZ1455-AV1455))/AV1455)))</f>
        <v>0</v>
      </c>
      <c r="BB1455" s="55" t="str">
        <f aca="false">IF(AF1455&lt;=0,"",IF(BU1455="Aussen","Aussenlager",IF(BU1455="-","Nicht im Lift",IF(AK1455&gt;=1,"Lift",IF(AK1455&lt;=0,"Aussenlager","teilweise")))))</f>
        <v/>
      </c>
      <c r="BC1455" s="55" t="str">
        <f aca="false">IF(AN1455&lt;=0,"",IF(BU1455="Aussen","Aussenlager",IF(BU1455="-","Nicht im Lift",IF(AS1455&gt;=1,"Lift",IF(AS1455&lt;=0,"Aussenlager","teilweise")))))</f>
        <v>Nicht im Lift</v>
      </c>
      <c r="BD1455" s="55" t="str">
        <f aca="false">IF(AV1455&lt;=0,"",IF(BU1455="Aussen","Aussenlager",IF(BU1455="-","Nicht im Lift",IF(BA1455&gt;=1,"Lift",IF(BA1455&lt;=0,"Aussenlager","teilweise")))))</f>
        <v>Nicht im Lift</v>
      </c>
      <c r="BE1455" s="55" t="str">
        <f aca="false">IF(A1455="","",IF(BN1455=1,"Neu; ","")&amp;IF(AND(BN1455=0,BI1455&lt;0),"negativer Bestand (Export "&amp;BI1455&amp;"); ","")&amp;IF(I1455&lt;=0,"Kein Verbrauch; ","")&amp;IF(CD1455&gt;0,"Lift "&amp;U1455&amp;" lt. Liftbericht (Fach "&amp;V1455&amp;" Stk); ",IF(BR1455=1,"Lose – Fläche geschätzt; ",""))&amp;IF(G1455&gt;AP1455,"Überbestand "&amp;ROUND(G1455-AP1455,0)&amp;" Stk / CHF "&amp;ROUND((G1455-AP1455)*F1455,0)&amp;"; ","")&amp;IF(AND(BW1455=1,BX1455&lt;BY1455),"MAX &lt; MB+LG; ","")&amp;IF(AND(CC1455&gt;0,CB1455*10&gt;CC1455),"zu hoch für Tablar; ","")&amp;IF(AND(BN1455=0,OR(BW1455=1,Y1455&lt;&gt;"",S1455&lt;&gt;"",T1455&lt;&gt;"",Z1455&lt;&gt;"")),"manuell übersteuert; ","")&amp;IF(AND(BR1455=0,Q1455=0),"Gebinde unbekannt / Stellmass fehlt; ","")&amp;IF(AND(BR1455=0,N(T1455)&lt;=0,N(P1455)&lt;=0),"Menge pro Gebinde fehlt (Ist = 1 Gebinde); ","")&amp;BM1455)</f>
        <v>negativer Bestand (Export -4); Lose – Fläche geschätzt; </v>
      </c>
      <c r="BF1455" s="55"/>
      <c r="BG1455" s="55"/>
      <c r="BH1455" s="62"/>
      <c r="BI1455" s="57" t="n">
        <v>-4</v>
      </c>
      <c r="BJ1455" s="57" t="n">
        <v>0</v>
      </c>
      <c r="BK1455" s="56" t="n">
        <v>-15318.52</v>
      </c>
      <c r="BL1455" s="57" t="n">
        <v>20</v>
      </c>
      <c r="BM1455" s="55"/>
      <c r="BN1455" s="60" t="n">
        <v>0</v>
      </c>
      <c r="BO1455" s="60" t="n">
        <v>1455</v>
      </c>
      <c r="BP1455" s="55" t="str">
        <f aca="false">IF(S1455&lt;&gt;"",UPPER(TRIM(S1455)),IF(O1455="","LOSE",O1455))</f>
        <v>LOSE</v>
      </c>
      <c r="BQ1455" s="57" t="n">
        <f aca="false">IF(BP1455="LOSE",1,IF(N(T1455)&gt;0,T1455,IF(N(P1455)&gt;0,P1455,MAX(1,G1455))))</f>
        <v>1</v>
      </c>
      <c r="BR1455" s="60" t="n">
        <f aca="false">IF(BP1455="LOSE",1,0)</f>
        <v>1</v>
      </c>
      <c r="BS1455" s="59" t="n">
        <f aca="false">IF(BR1455=0,0,IF(N(R1455)&gt;0,R1455,IFERROR(VLOOKUP(D1455,Parameter!$A$35:$C$64,3,0)+0,0)))</f>
        <v>0.15</v>
      </c>
      <c r="BT1455" s="55" t="str">
        <f aca="false">IF(Y1455&lt;&gt;"",Y1455,X1455)</f>
        <v>-</v>
      </c>
      <c r="BU1455" s="55" t="str">
        <f aca="false">IF(BT1455=1,"L1",IF(OR(BT1455=2,BT1455=3),"L23",IF(BT1455="Aussen","Aussen","-")))</f>
        <v>-</v>
      </c>
      <c r="BV1455" s="66" t="n">
        <f aca="false">IF(N(Z1455)&gt;0,Z1455,0)</f>
        <v>0</v>
      </c>
      <c r="BW1455" s="60" t="n">
        <f aca="false">IF(ISNUMBER(AC1455),1,0)</f>
        <v>0</v>
      </c>
      <c r="BX1455" s="57" t="n">
        <f aca="false">N(AC1455)</f>
        <v>0</v>
      </c>
      <c r="BY1455" s="57" t="n">
        <f aca="false">N(L1455)+N(M1455)</f>
        <v>1</v>
      </c>
      <c r="BZ1455" s="57" t="n">
        <f aca="false">ROUNDUP(G1455/BQ1455,0)</f>
        <v>0</v>
      </c>
      <c r="CA1455" s="57" t="n">
        <f aca="false">ROUNDUP(BX1455/BQ1455,0)</f>
        <v>0</v>
      </c>
      <c r="CB1455" s="60" t="n">
        <f aca="false">IF(BR1455=1,0,IFERROR(VLOOKUP(BP1455,'Gebinde-Kategorie'!$A$5:$M$45,5,0)+0,0))</f>
        <v>0</v>
      </c>
      <c r="CC1455" s="60" t="n">
        <f aca="false">IFERROR(IF(OR(BT1455=1,BT1455=2,BT1455=3),N(INDEX(Parameter!$I$5:$I$7,BT1455)),0),0)</f>
        <v>0</v>
      </c>
      <c r="CD1455" s="59" t="n">
        <f aca="false">IF(AND(Parameter!$B$21="Ja",ISNUMBER(U1455),N(V1455)&gt;0),IFERROR(N(INDEX(Parameter!$L$5:$L$7,U1455))*INDEX(Parameter!$E$5:$E$7,U1455)*V1455/SUMIFS($V$7:$V$1576,$U$7:$U$1576,U1455),0),0)</f>
        <v>0</v>
      </c>
    </row>
    <row r="1456" customFormat="false" ht="15" hidden="false" customHeight="false" outlineLevel="0" collapsed="false">
      <c r="A1456" s="55" t="s">
        <v>2531</v>
      </c>
      <c r="B1456" s="55" t="s">
        <v>2532</v>
      </c>
      <c r="C1456" s="55" t="s">
        <v>160</v>
      </c>
      <c r="D1456" s="55" t="s">
        <v>161</v>
      </c>
      <c r="E1456" s="55"/>
      <c r="F1456" s="56" t="n">
        <v>2011.57</v>
      </c>
      <c r="G1456" s="57" t="n">
        <f aca="false">MAX(0,IF(AND(Parameter!$B$21="Ja",ISNUMBER(W1456)),W1456,IF(Parameter!$B$20="Jahresanfang 2025 + Export",BJ1456+BI1456,BI1456)))</f>
        <v>9</v>
      </c>
      <c r="H1456" s="57" t="n">
        <f aca="false">G1456*F1456</f>
        <v>18104.13</v>
      </c>
      <c r="I1456" s="57" t="n">
        <f aca="false">BL1456*Parameter!$B$18</f>
        <v>12</v>
      </c>
      <c r="J1456" s="58"/>
      <c r="K1456" s="59"/>
      <c r="L1456" s="57" t="n">
        <v>2</v>
      </c>
      <c r="M1456" s="57" t="n">
        <v>3</v>
      </c>
      <c r="N1456" s="60"/>
      <c r="O1456" s="55" t="s">
        <v>163</v>
      </c>
      <c r="P1456" s="57"/>
      <c r="Q1456" s="60" t="n">
        <f aca="false">IF(BR1456=1,0,IFERROR(VLOOKUP(BP1456,'Gebinde-Kategorie'!$A$5:$M$45,13,0)+0,0))</f>
        <v>0</v>
      </c>
      <c r="R1456" s="61"/>
      <c r="S1456" s="62"/>
      <c r="T1456" s="62"/>
      <c r="U1456" s="55" t="n">
        <v>1</v>
      </c>
      <c r="V1456" s="57" t="n">
        <v>29</v>
      </c>
      <c r="W1456" s="57" t="n">
        <v>9</v>
      </c>
      <c r="X1456" s="55" t="n">
        <f aca="false">IF(A1456="","",IF(AND(Parameter!$B$21="Ja",ISNUMBER(U1456)),U1456,IF(IFERROR(VLOOKUP(D1456,Parameter!$A$35:$C$64,2,0),"Nein")="2+3",IF(ISNUMBER(SEARCH("grosser Artikel",BM1456)),2,IFERROR(VLOOKUP(BP1456,Parameter!$F$35:$G$64,2,0),2)),IF(OR(IFERROR(VLOOKUP(D1456,Parameter!$A$35:$C$64,2,0),"Nein")="Nein",IFERROR(VLOOKUP(D1456,Parameter!$A$35:$C$64,2,0),"Nein")=""),"-",VLOOKUP(D1456,Parameter!$A$35:$C$64,2,0)))))</f>
        <v>1</v>
      </c>
      <c r="Y1456" s="62"/>
      <c r="Z1456" s="63"/>
      <c r="AA1456" s="57" t="n">
        <f aca="false">AP1456</f>
        <v>6</v>
      </c>
      <c r="AB1456" s="57" t="n">
        <f aca="false">MAX(AP1456,G1456)</f>
        <v>9</v>
      </c>
      <c r="AC1456" s="64"/>
      <c r="AD1456" s="57" t="n">
        <f aca="false">IF(LEFT(Cockpit!$C$5,1)="A",G1456,IF(BW1456=1,BX1456,IF(LEFT(Cockpit!$C$5,1)="B",AH1456,MAX(AH1456,G1456))))</f>
        <v>9</v>
      </c>
      <c r="AE1456" s="57" t="n">
        <f aca="false">IF(BR1456=1,0,ROUNDUP(AD1456/BQ1456,0))</f>
        <v>0</v>
      </c>
      <c r="AF1456" s="59" t="n">
        <f aca="false">IF(CD1456&gt;0,CD1456*MAX(1,AD1456/V1456),IF(BR1456=1,IF(AD1456&lt;=0,0,BS1456*MAX(1,IF(G1456&gt;0,AD1456/G1456,1))),IF(Q1456&gt;0,AE1456/Q1456,0))/MAX(0.1,N(Parameter!$M$21)))</f>
        <v>2.3210922787194</v>
      </c>
      <c r="AG1456" s="57" t="n">
        <f aca="false">AD1456*F1456</f>
        <v>18104.13</v>
      </c>
      <c r="AH1456" s="57" t="n">
        <f aca="false">ROUNDUP(MAX(I1456/IF(BV1456&gt;0,BV1456,MAX(0.1,N(Cockpit!$C$6))),BY1456)/BQ1456,0)*BQ1456</f>
        <v>6</v>
      </c>
      <c r="AI1456" s="58" t="n">
        <f aca="false">IF(AF1456&gt;0,I1456/AF1456,-1)</f>
        <v>5.16997971602434</v>
      </c>
      <c r="AJ1456" s="58" t="n">
        <f aca="false">IF(AND(OR(BU1456="L1",BU1456="L23"),AF1456&gt;0),SUMIFS($AF$7:$AF$1576,$BU$7:$BU$1576,BU1456,$AI$7:$AI$1576,"&gt;"&amp;AI1456)+SUMIFS($AF$7:$AF$1576,$BU$7:$BU$1576,BU1456,$AI$7:$AI$1576,AI1456,$BO$7:$BO$1576,"&lt;="&amp;BO1456),"")</f>
        <v>33.2956685499058</v>
      </c>
      <c r="AK1456" s="65" t="n">
        <f aca="false">IF(AJ1456="",0,MAX(0,MIN(1,(IF(BU1456="L1",Parameter!$E$5,Parameter!$E$6+Parameter!$E$7)-(AJ1456-AF1456))/AF1456)))</f>
        <v>1</v>
      </c>
      <c r="AL1456" s="57" t="n">
        <f aca="false">IF(LEFT(Cockpit!$I$5,1)="A",G1456,IF(BW1456=1,BX1456,IF(LEFT(Cockpit!$I$5,1)="B",AP1456,MAX(AP1456,G1456))))</f>
        <v>9</v>
      </c>
      <c r="AM1456" s="57" t="n">
        <f aca="false">IF(BR1456=1,0,ROUNDUP(AL1456/BQ1456,0))</f>
        <v>0</v>
      </c>
      <c r="AN1456" s="59" t="n">
        <f aca="false">IF(CD1456&gt;0,CD1456*MAX(1,AL1456/V1456),IF(BR1456=1,IF(AL1456&lt;=0,0,BS1456*MAX(1,IF(G1456&gt;0,AL1456/G1456,1))),IF(Q1456&gt;0,AM1456/Q1456,0))/MAX(0.1,N(Parameter!$M$21)))</f>
        <v>2.3210922787194</v>
      </c>
      <c r="AO1456" s="57" t="n">
        <f aca="false">AL1456*F1456</f>
        <v>18104.13</v>
      </c>
      <c r="AP1456" s="57" t="n">
        <f aca="false">ROUNDUP(MAX(I1456/IF(BV1456&gt;0,BV1456,MAX(0.1,N(Cockpit!$I$6))),BY1456)/BQ1456,0)*BQ1456</f>
        <v>6</v>
      </c>
      <c r="AQ1456" s="58" t="n">
        <f aca="false">IF(AN1456&gt;0,I1456/AN1456,-1)</f>
        <v>5.16997971602434</v>
      </c>
      <c r="AR1456" s="58" t="n">
        <f aca="false">IF(AND(OR(BU1456="L1",BU1456="L23"),AN1456&gt;0),SUMIFS($AN$7:$AN$1576,$BU$7:$BU$1576,BU1456,$AQ$7:$AQ$1576,"&gt;"&amp;AQ1456)+SUMIFS($AN$7:$AN$1576,$BU$7:$BU$1576,BU1456,$AQ$7:$AQ$1576,AQ1456,$BO$7:$BO$1576,"&lt;="&amp;BO1456),"")</f>
        <v>38.7382297551789</v>
      </c>
      <c r="AS1456" s="65" t="n">
        <f aca="false">IF(AR1456="",0,MAX(0,MIN(1,(IF(BU1456="L1",Parameter!$E$5,Parameter!$E$6+Parameter!$E$7)-(AR1456-AN1456))/AN1456)))</f>
        <v>1</v>
      </c>
      <c r="AT1456" s="57" t="n">
        <f aca="false">IF(LEFT(Cockpit!$O$5,1)="A",G1456,IF(BW1456=1,BX1456,IF(LEFT(Cockpit!$O$5,1)="B",AX1456,MAX(AX1456,G1456))))</f>
        <v>9</v>
      </c>
      <c r="AU1456" s="57" t="n">
        <f aca="false">IF(BR1456=1,0,ROUNDUP(AT1456/BQ1456,0))</f>
        <v>0</v>
      </c>
      <c r="AV1456" s="59" t="n">
        <f aca="false">IF(CD1456&gt;0,CD1456*MAX(1,AT1456/V1456),IF(BR1456=1,IF(AT1456&lt;=0,0,BS1456*MAX(1,IF(G1456&gt;0,AT1456/G1456,1))),IF(Q1456&gt;0,AU1456/Q1456,0))/MAX(0.1,N(Parameter!$M$21)))</f>
        <v>2.3210922787194</v>
      </c>
      <c r="AW1456" s="57" t="n">
        <f aca="false">AT1456*F1456</f>
        <v>18104.13</v>
      </c>
      <c r="AX1456" s="57" t="n">
        <f aca="false">ROUNDUP(MAX(I1456/IF(BV1456&gt;0,BV1456,MAX(0.1,N(Cockpit!$O$6))),BY1456)/BQ1456,0)*BQ1456</f>
        <v>5</v>
      </c>
      <c r="AY1456" s="58" t="n">
        <f aca="false">IF(AV1456&gt;0,I1456/AV1456,-1)</f>
        <v>5.16997971602434</v>
      </c>
      <c r="AZ1456" s="58" t="n">
        <f aca="false">IF(AND(OR(BU1456="L1",BU1456="L23"),AV1456&gt;0),SUMIFS($AV$7:$AV$1576,$BU$7:$BU$1576,BU1456,$AY$7:$AY$1576,"&gt;"&amp;AY1456)+SUMIFS($AV$7:$AV$1576,$BU$7:$BU$1576,BU1456,$AY$7:$AY$1576,AY1456,$BO$7:$BO$1576,"&lt;="&amp;BO1456),"")</f>
        <v>35.7768361581921</v>
      </c>
      <c r="BA1456" s="65" t="n">
        <f aca="false">IF(AZ1456="",0,MAX(0,MIN(1,(IF(BU1456="L1",Parameter!$E$5,Parameter!$E$6+Parameter!$E$7)-(AZ1456-AV1456))/AV1456)))</f>
        <v>1</v>
      </c>
      <c r="BB1456" s="55" t="str">
        <f aca="false">IF(AF1456&lt;=0,"",IF(BU1456="Aussen","Aussenlager",IF(BU1456="-","Nicht im Lift",IF(AK1456&gt;=1,"Lift",IF(AK1456&lt;=0,"Aussenlager","teilweise")))))</f>
        <v>Lift</v>
      </c>
      <c r="BC1456" s="55" t="str">
        <f aca="false">IF(AN1456&lt;=0,"",IF(BU1456="Aussen","Aussenlager",IF(BU1456="-","Nicht im Lift",IF(AS1456&gt;=1,"Lift",IF(AS1456&lt;=0,"Aussenlager","teilweise")))))</f>
        <v>Lift</v>
      </c>
      <c r="BD1456" s="55" t="str">
        <f aca="false">IF(AV1456&lt;=0,"",IF(BU1456="Aussen","Aussenlager",IF(BU1456="-","Nicht im Lift",IF(BA1456&gt;=1,"Lift",IF(BA1456&lt;=0,"Aussenlager","teilweise")))))</f>
        <v>Lift</v>
      </c>
      <c r="BE1456" s="55" t="str">
        <f aca="false">IF(A1456="","",IF(BN1456=1,"Neu; ","")&amp;IF(AND(BN1456=0,BI1456&lt;0),"negativer Bestand (Export "&amp;BI1456&amp;"); ","")&amp;IF(I1456&lt;=0,"Kein Verbrauch; ","")&amp;IF(CD1456&gt;0,"Lift "&amp;U1456&amp;" lt. Liftbericht (Fach "&amp;V1456&amp;" Stk); ",IF(BR1456=1,"Lose – Fläche geschätzt; ",""))&amp;IF(G1456&gt;AP1456,"Überbestand "&amp;ROUND(G1456-AP1456,0)&amp;" Stk / CHF "&amp;ROUND((G1456-AP1456)*F1456,0)&amp;"; ","")&amp;IF(AND(BW1456=1,BX1456&lt;BY1456),"MAX &lt; MB+LG; ","")&amp;IF(AND(CC1456&gt;0,CB1456*10&gt;CC1456),"zu hoch für Tablar; ","")&amp;IF(AND(BN1456=0,OR(BW1456=1,Y1456&lt;&gt;"",S1456&lt;&gt;"",T1456&lt;&gt;"",Z1456&lt;&gt;"")),"manuell übersteuert; ","")&amp;IF(AND(BR1456=0,Q1456=0),"Gebinde unbekannt / Stellmass fehlt; ","")&amp;IF(AND(BR1456=0,N(T1456)&lt;=0,N(P1456)&lt;=0),"Menge pro Gebinde fehlt (Ist = 1 Gebinde); ","")&amp;BM1456)</f>
        <v>negativer Bestand (Export -8); Lift 1 lt. Liftbericht (Fach 29 Stk); Überbestand 3 Stk / CHF 6035; </v>
      </c>
      <c r="BF1456" s="55"/>
      <c r="BG1456" s="55"/>
      <c r="BH1456" s="62"/>
      <c r="BI1456" s="57" t="n">
        <v>-8</v>
      </c>
      <c r="BJ1456" s="57" t="n">
        <v>0</v>
      </c>
      <c r="BK1456" s="56" t="n">
        <v>-15753.9</v>
      </c>
      <c r="BL1456" s="57" t="n">
        <v>12</v>
      </c>
      <c r="BM1456" s="55"/>
      <c r="BN1456" s="60" t="n">
        <v>0</v>
      </c>
      <c r="BO1456" s="60" t="n">
        <v>1456</v>
      </c>
      <c r="BP1456" s="55" t="str">
        <f aca="false">IF(S1456&lt;&gt;"",UPPER(TRIM(S1456)),IF(O1456="","LOSE",O1456))</f>
        <v>LOSE</v>
      </c>
      <c r="BQ1456" s="57" t="n">
        <f aca="false">IF(BP1456="LOSE",1,IF(N(T1456)&gt;0,T1456,IF(N(P1456)&gt;0,P1456,MAX(1,G1456))))</f>
        <v>1</v>
      </c>
      <c r="BR1456" s="60" t="n">
        <f aca="false">IF(BP1456="LOSE",1,0)</f>
        <v>1</v>
      </c>
      <c r="BS1456" s="59" t="n">
        <f aca="false">IF(BR1456=0,0,IF(N(R1456)&gt;0,R1456,IFERROR(VLOOKUP(D1456,Parameter!$A$35:$C$64,3,0)+0,0)))</f>
        <v>1</v>
      </c>
      <c r="BT1456" s="55" t="n">
        <f aca="false">IF(Y1456&lt;&gt;"",Y1456,X1456)</f>
        <v>1</v>
      </c>
      <c r="BU1456" s="55" t="str">
        <f aca="false">IF(BT1456=1,"L1",IF(OR(BT1456=2,BT1456=3),"L23",IF(BT1456="Aussen","Aussen","-")))</f>
        <v>L1</v>
      </c>
      <c r="BV1456" s="66" t="n">
        <f aca="false">IF(N(Z1456)&gt;0,Z1456,0)</f>
        <v>0</v>
      </c>
      <c r="BW1456" s="60" t="n">
        <f aca="false">IF(ISNUMBER(AC1456),1,0)</f>
        <v>0</v>
      </c>
      <c r="BX1456" s="57" t="n">
        <f aca="false">N(AC1456)</f>
        <v>0</v>
      </c>
      <c r="BY1456" s="57" t="n">
        <f aca="false">N(L1456)+N(M1456)</f>
        <v>5</v>
      </c>
      <c r="BZ1456" s="57" t="n">
        <f aca="false">ROUNDUP(G1456/BQ1456,0)</f>
        <v>9</v>
      </c>
      <c r="CA1456" s="57" t="n">
        <f aca="false">ROUNDUP(BX1456/BQ1456,0)</f>
        <v>0</v>
      </c>
      <c r="CB1456" s="60" t="n">
        <f aca="false">IF(BR1456=1,0,IFERROR(VLOOKUP(BP1456,'Gebinde-Kategorie'!$A$5:$M$45,5,0)+0,0))</f>
        <v>0</v>
      </c>
      <c r="CC1456" s="60" t="n">
        <f aca="false">IFERROR(IF(OR(BT1456=1,BT1456=2,BT1456=3),N(INDEX(Parameter!$I$5:$I$7,BT1456)),0),0)</f>
        <v>0</v>
      </c>
      <c r="CD1456" s="59" t="n">
        <f aca="false">IF(AND(Parameter!$B$21="Ja",ISNUMBER(U1456),N(V1456)&gt;0),IFERROR(N(INDEX(Parameter!$L$5:$L$7,U1456))*INDEX(Parameter!$E$5:$E$7,U1456)*V1456/SUMIFS($V$7:$V$1576,$U$7:$U$1576,U1456),0),0)</f>
        <v>2.3210922787194</v>
      </c>
    </row>
    <row r="1457" customFormat="false" ht="15" hidden="false" customHeight="false" outlineLevel="0" collapsed="false">
      <c r="A1457" s="55" t="s">
        <v>2533</v>
      </c>
      <c r="B1457" s="55" t="s">
        <v>175</v>
      </c>
      <c r="C1457" s="55" t="s">
        <v>446</v>
      </c>
      <c r="D1457" s="55" t="s">
        <v>168</v>
      </c>
      <c r="E1457" s="55"/>
      <c r="F1457" s="56" t="n">
        <v>5331</v>
      </c>
      <c r="G1457" s="57" t="n">
        <f aca="false">MAX(0,IF(AND(Parameter!$B$21="Ja",ISNUMBER(W1457)),W1457,IF(Parameter!$B$20="Jahresanfang 2025 + Export",BJ1457+BI1457,BI1457)))</f>
        <v>0</v>
      </c>
      <c r="H1457" s="57" t="n">
        <f aca="false">G1457*F1457</f>
        <v>0</v>
      </c>
      <c r="I1457" s="57" t="n">
        <f aca="false">BL1457*Parameter!$B$18</f>
        <v>5</v>
      </c>
      <c r="J1457" s="58"/>
      <c r="K1457" s="59"/>
      <c r="L1457" s="57" t="n">
        <v>0</v>
      </c>
      <c r="M1457" s="57" t="n">
        <v>1</v>
      </c>
      <c r="N1457" s="60"/>
      <c r="O1457" s="55" t="s">
        <v>163</v>
      </c>
      <c r="P1457" s="57"/>
      <c r="Q1457" s="60" t="n">
        <f aca="false">IF(BR1457=1,0,IFERROR(VLOOKUP(BP1457,'Gebinde-Kategorie'!$A$5:$M$45,13,0)+0,0))</f>
        <v>0</v>
      </c>
      <c r="R1457" s="61"/>
      <c r="S1457" s="62"/>
      <c r="T1457" s="62"/>
      <c r="U1457" s="55"/>
      <c r="V1457" s="57"/>
      <c r="W1457" s="57"/>
      <c r="X1457" s="55" t="n">
        <f aca="false">IF(A1457="","",IF(AND(Parameter!$B$21="Ja",ISNUMBER(U1457)),U1457,IF(IFERROR(VLOOKUP(D1457,Parameter!$A$35:$C$64,2,0),"Nein")="2+3",IF(ISNUMBER(SEARCH("grosser Artikel",BM1457)),2,IFERROR(VLOOKUP(BP1457,Parameter!$F$35:$G$64,2,0),2)),IF(OR(IFERROR(VLOOKUP(D1457,Parameter!$A$35:$C$64,2,0),"Nein")="Nein",IFERROR(VLOOKUP(D1457,Parameter!$A$35:$C$64,2,0),"Nein")=""),"-",VLOOKUP(D1457,Parameter!$A$35:$C$64,2,0)))))</f>
        <v>2</v>
      </c>
      <c r="Y1457" s="62"/>
      <c r="Z1457" s="63"/>
      <c r="AA1457" s="57" t="n">
        <f aca="false">AP1457</f>
        <v>3</v>
      </c>
      <c r="AB1457" s="57" t="n">
        <f aca="false">MAX(AP1457,G1457)</f>
        <v>3</v>
      </c>
      <c r="AC1457" s="64"/>
      <c r="AD1457" s="57" t="n">
        <f aca="false">IF(LEFT(Cockpit!$C$5,1)="A",G1457,IF(BW1457=1,BX1457,IF(LEFT(Cockpit!$C$5,1)="B",AH1457,MAX(AH1457,G1457))))</f>
        <v>0</v>
      </c>
      <c r="AE1457" s="57" t="n">
        <f aca="false">IF(BR1457=1,0,ROUNDUP(AD1457/BQ1457,0))</f>
        <v>0</v>
      </c>
      <c r="AF1457" s="59" t="n">
        <f aca="false">IF(CD1457&gt;0,CD1457*MAX(1,AD1457/V1457),IF(BR1457=1,IF(AD1457&lt;=0,0,BS1457*MAX(1,IF(G1457&gt;0,AD1457/G1457,1))),IF(Q1457&gt;0,AE1457/Q1457,0))/MAX(0.1,N(Parameter!$M$21)))</f>
        <v>0</v>
      </c>
      <c r="AG1457" s="57" t="n">
        <f aca="false">AD1457*F1457</f>
        <v>0</v>
      </c>
      <c r="AH1457" s="57" t="n">
        <f aca="false">ROUNDUP(MAX(I1457/IF(BV1457&gt;0,BV1457,MAX(0.1,N(Cockpit!$C$6))),BY1457)/BQ1457,0)*BQ1457</f>
        <v>3</v>
      </c>
      <c r="AI1457" s="58" t="n">
        <f aca="false">IF(AF1457&gt;0,I1457/AF1457,-1)</f>
        <v>-1</v>
      </c>
      <c r="AJ1457" s="58" t="str">
        <f aca="false">IF(AND(OR(BU1457="L1",BU1457="L23"),AF1457&gt;0),SUMIFS($AF$7:$AF$1576,$BU$7:$BU$1576,BU1457,$AI$7:$AI$1576,"&gt;"&amp;AI1457)+SUMIFS($AF$7:$AF$1576,$BU$7:$BU$1576,BU1457,$AI$7:$AI$1576,AI1457,$BO$7:$BO$1576,"&lt;="&amp;BO1457),"")</f>
        <v/>
      </c>
      <c r="AK1457" s="65" t="n">
        <f aca="false">IF(AJ1457="",0,MAX(0,MIN(1,(IF(BU1457="L1",Parameter!$E$5,Parameter!$E$6+Parameter!$E$7)-(AJ1457-AF1457))/AF1457)))</f>
        <v>0</v>
      </c>
      <c r="AL1457" s="57" t="n">
        <f aca="false">IF(LEFT(Cockpit!$I$5,1)="A",G1457,IF(BW1457=1,BX1457,IF(LEFT(Cockpit!$I$5,1)="B",AP1457,MAX(AP1457,G1457))))</f>
        <v>3</v>
      </c>
      <c r="AM1457" s="57" t="n">
        <f aca="false">IF(BR1457=1,0,ROUNDUP(AL1457/BQ1457,0))</f>
        <v>0</v>
      </c>
      <c r="AN1457" s="59" t="n">
        <f aca="false">IF(CD1457&gt;0,CD1457*MAX(1,AL1457/V1457),IF(BR1457=1,IF(AL1457&lt;=0,0,BS1457*MAX(1,IF(G1457&gt;0,AL1457/G1457,1))),IF(Q1457&gt;0,AM1457/Q1457,0))/MAX(0.1,N(Parameter!$M$21)))</f>
        <v>0.15</v>
      </c>
      <c r="AO1457" s="57" t="n">
        <f aca="false">AL1457*F1457</f>
        <v>15993</v>
      </c>
      <c r="AP1457" s="57" t="n">
        <f aca="false">ROUNDUP(MAX(I1457/IF(BV1457&gt;0,BV1457,MAX(0.1,N(Cockpit!$I$6))),BY1457)/BQ1457,0)*BQ1457</f>
        <v>3</v>
      </c>
      <c r="AQ1457" s="58" t="n">
        <f aca="false">IF(AN1457&gt;0,I1457/AN1457,-1)</f>
        <v>33.3333333333333</v>
      </c>
      <c r="AR1457" s="58" t="n">
        <f aca="false">IF(AND(OR(BU1457="L1",BU1457="L23"),AN1457&gt;0),SUMIFS($AN$7:$AN$1576,$BU$7:$BU$1576,BU1457,$AQ$7:$AQ$1576,"&gt;"&amp;AQ1457)+SUMIFS($AN$7:$AN$1576,$BU$7:$BU$1576,BU1457,$AQ$7:$AQ$1576,AQ1457,$BO$7:$BO$1576,"&lt;="&amp;BO1457),"")</f>
        <v>94.6374345886957</v>
      </c>
      <c r="AS1457" s="65" t="n">
        <f aca="false">IF(AR1457="",0,MAX(0,MIN(1,(IF(BU1457="L1",Parameter!$E$5,Parameter!$E$6+Parameter!$E$7)-(AR1457-AN1457))/AN1457)))</f>
        <v>1</v>
      </c>
      <c r="AT1457" s="57" t="n">
        <f aca="false">IF(LEFT(Cockpit!$O$5,1)="A",G1457,IF(BW1457=1,BX1457,IF(LEFT(Cockpit!$O$5,1)="B",AX1457,MAX(AX1457,G1457))))</f>
        <v>2</v>
      </c>
      <c r="AU1457" s="57" t="n">
        <f aca="false">IF(BR1457=1,0,ROUNDUP(AT1457/BQ1457,0))</f>
        <v>0</v>
      </c>
      <c r="AV1457" s="59" t="n">
        <f aca="false">IF(CD1457&gt;0,CD1457*MAX(1,AT1457/V1457),IF(BR1457=1,IF(AT1457&lt;=0,0,BS1457*MAX(1,IF(G1457&gt;0,AT1457/G1457,1))),IF(Q1457&gt;0,AU1457/Q1457,0))/MAX(0.1,N(Parameter!$M$21)))</f>
        <v>0.15</v>
      </c>
      <c r="AW1457" s="57" t="n">
        <f aca="false">AT1457*F1457</f>
        <v>10662</v>
      </c>
      <c r="AX1457" s="57" t="n">
        <f aca="false">ROUNDUP(MAX(I1457/IF(BV1457&gt;0,BV1457,MAX(0.1,N(Cockpit!$O$6))),BY1457)/BQ1457,0)*BQ1457</f>
        <v>2</v>
      </c>
      <c r="AY1457" s="58" t="n">
        <f aca="false">IF(AV1457&gt;0,I1457/AV1457,-1)</f>
        <v>33.3333333333333</v>
      </c>
      <c r="AZ1457" s="58" t="n">
        <f aca="false">IF(AND(OR(BU1457="L1",BU1457="L23"),AV1457&gt;0),SUMIFS($AV$7:$AV$1576,$BU$7:$BU$1576,BU1457,$AY$7:$AY$1576,"&gt;"&amp;AY1457)+SUMIFS($AV$7:$AV$1576,$BU$7:$BU$1576,BU1457,$AY$7:$AY$1576,AY1457,$BO$7:$BO$1576,"&lt;="&amp;BO1457),"")</f>
        <v>86.4219850382462</v>
      </c>
      <c r="BA1457" s="65" t="n">
        <f aca="false">IF(AZ1457="",0,MAX(0,MIN(1,(IF(BU1457="L1",Parameter!$E$5,Parameter!$E$6+Parameter!$E$7)-(AZ1457-AV1457))/AV1457)))</f>
        <v>1</v>
      </c>
      <c r="BB1457" s="55" t="str">
        <f aca="false">IF(AF1457&lt;=0,"",IF(BU1457="Aussen","Aussenlager",IF(BU1457="-","Nicht im Lift",IF(AK1457&gt;=1,"Lift",IF(AK1457&lt;=0,"Aussenlager","teilweise")))))</f>
        <v/>
      </c>
      <c r="BC1457" s="55" t="str">
        <f aca="false">IF(AN1457&lt;=0,"",IF(BU1457="Aussen","Aussenlager",IF(BU1457="-","Nicht im Lift",IF(AS1457&gt;=1,"Lift",IF(AS1457&lt;=0,"Aussenlager","teilweise")))))</f>
        <v>Lift</v>
      </c>
      <c r="BD1457" s="55" t="str">
        <f aca="false">IF(AV1457&lt;=0,"",IF(BU1457="Aussen","Aussenlager",IF(BU1457="-","Nicht im Lift",IF(BA1457&gt;=1,"Lift",IF(BA1457&lt;=0,"Aussenlager","teilweise")))))</f>
        <v>Lift</v>
      </c>
      <c r="BE1457" s="55" t="str">
        <f aca="false">IF(A1457="","",IF(BN1457=1,"Neu; ","")&amp;IF(AND(BN1457=0,BI1457&lt;0),"negativer Bestand (Export "&amp;BI1457&amp;"); ","")&amp;IF(I1457&lt;=0,"Kein Verbrauch; ","")&amp;IF(CD1457&gt;0,"Lift "&amp;U1457&amp;" lt. Liftbericht (Fach "&amp;V1457&amp;" Stk); ",IF(BR1457=1,"Lose – Fläche geschätzt; ",""))&amp;IF(G1457&gt;AP1457,"Überbestand "&amp;ROUND(G1457-AP1457,0)&amp;" Stk / CHF "&amp;ROUND((G1457-AP1457)*F1457,0)&amp;"; ","")&amp;IF(AND(BW1457=1,BX1457&lt;BY1457),"MAX &lt; MB+LG; ","")&amp;IF(AND(CC1457&gt;0,CB1457*10&gt;CC1457),"zu hoch für Tablar; ","")&amp;IF(AND(BN1457=0,OR(BW1457=1,Y1457&lt;&gt;"",S1457&lt;&gt;"",T1457&lt;&gt;"",Z1457&lt;&gt;"")),"manuell übersteuert; ","")&amp;IF(AND(BR1457=0,Q1457=0),"Gebinde unbekannt / Stellmass fehlt; ","")&amp;IF(AND(BR1457=0,N(T1457)&lt;=0,N(P1457)&lt;=0),"Menge pro Gebinde fehlt (Ist = 1 Gebinde); ","")&amp;BM1457)</f>
        <v>negativer Bestand (Export -3); Lose – Fläche geschätzt; grosser Artikel &amp; nicht im KTL</v>
      </c>
      <c r="BF1457" s="55"/>
      <c r="BG1457" s="55"/>
      <c r="BH1457" s="62"/>
      <c r="BI1457" s="57" t="n">
        <v>-3</v>
      </c>
      <c r="BJ1457" s="57" t="n">
        <v>0</v>
      </c>
      <c r="BK1457" s="56" t="n">
        <v>-15993</v>
      </c>
      <c r="BL1457" s="57" t="n">
        <v>5</v>
      </c>
      <c r="BM1457" s="55" t="s">
        <v>253</v>
      </c>
      <c r="BN1457" s="60" t="n">
        <v>0</v>
      </c>
      <c r="BO1457" s="60" t="n">
        <v>1457</v>
      </c>
      <c r="BP1457" s="55" t="str">
        <f aca="false">IF(S1457&lt;&gt;"",UPPER(TRIM(S1457)),IF(O1457="","LOSE",O1457))</f>
        <v>LOSE</v>
      </c>
      <c r="BQ1457" s="57" t="n">
        <f aca="false">IF(BP1457="LOSE",1,IF(N(T1457)&gt;0,T1457,IF(N(P1457)&gt;0,P1457,MAX(1,G1457))))</f>
        <v>1</v>
      </c>
      <c r="BR1457" s="60" t="n">
        <f aca="false">IF(BP1457="LOSE",1,0)</f>
        <v>1</v>
      </c>
      <c r="BS1457" s="59" t="n">
        <f aca="false">IF(BR1457=0,0,IF(N(R1457)&gt;0,R1457,IFERROR(VLOOKUP(D1457,Parameter!$A$35:$C$64,3,0)+0,0)))</f>
        <v>0.15</v>
      </c>
      <c r="BT1457" s="55" t="n">
        <f aca="false">IF(Y1457&lt;&gt;"",Y1457,X1457)</f>
        <v>2</v>
      </c>
      <c r="BU1457" s="55" t="str">
        <f aca="false">IF(BT1457=1,"L1",IF(OR(BT1457=2,BT1457=3),"L23",IF(BT1457="Aussen","Aussen","-")))</f>
        <v>L23</v>
      </c>
      <c r="BV1457" s="66" t="n">
        <f aca="false">IF(N(Z1457)&gt;0,Z1457,0)</f>
        <v>0</v>
      </c>
      <c r="BW1457" s="60" t="n">
        <f aca="false">IF(ISNUMBER(AC1457),1,0)</f>
        <v>0</v>
      </c>
      <c r="BX1457" s="57" t="n">
        <f aca="false">N(AC1457)</f>
        <v>0</v>
      </c>
      <c r="BY1457" s="57" t="n">
        <f aca="false">N(L1457)+N(M1457)</f>
        <v>1</v>
      </c>
      <c r="BZ1457" s="57" t="n">
        <f aca="false">ROUNDUP(G1457/BQ1457,0)</f>
        <v>0</v>
      </c>
      <c r="CA1457" s="57" t="n">
        <f aca="false">ROUNDUP(BX1457/BQ1457,0)</f>
        <v>0</v>
      </c>
      <c r="CB1457" s="60" t="n">
        <f aca="false">IF(BR1457=1,0,IFERROR(VLOOKUP(BP1457,'Gebinde-Kategorie'!$A$5:$M$45,5,0)+0,0))</f>
        <v>0</v>
      </c>
      <c r="CC1457" s="60" t="n">
        <f aca="false">IFERROR(IF(OR(BT1457=1,BT1457=2,BT1457=3),N(INDEX(Parameter!$I$5:$I$7,BT1457)),0),0)</f>
        <v>0</v>
      </c>
      <c r="CD1457" s="59" t="n">
        <f aca="false">IF(AND(Parameter!$B$21="Ja",ISNUMBER(U1457),N(V1457)&gt;0),IFERROR(N(INDEX(Parameter!$L$5:$L$7,U1457))*INDEX(Parameter!$E$5:$E$7,U1457)*V1457/SUMIFS($V$7:$V$1576,$U$7:$U$1576,U1457),0),0)</f>
        <v>0</v>
      </c>
    </row>
    <row r="1458" customFormat="false" ht="15" hidden="false" customHeight="false" outlineLevel="0" collapsed="false">
      <c r="A1458" s="55" t="s">
        <v>2534</v>
      </c>
      <c r="B1458" s="55" t="s">
        <v>2535</v>
      </c>
      <c r="C1458" s="55" t="s">
        <v>160</v>
      </c>
      <c r="D1458" s="55" t="s">
        <v>168</v>
      </c>
      <c r="E1458" s="55"/>
      <c r="F1458" s="56" t="n">
        <v>1180.4</v>
      </c>
      <c r="G1458" s="57" t="n">
        <f aca="false">MAX(0,IF(AND(Parameter!$B$21="Ja",ISNUMBER(W1458)),W1458,IF(Parameter!$B$20="Jahresanfang 2025 + Export",BJ1458+BI1458,BI1458)))</f>
        <v>0</v>
      </c>
      <c r="H1458" s="57" t="n">
        <f aca="false">G1458*F1458</f>
        <v>0</v>
      </c>
      <c r="I1458" s="57" t="n">
        <f aca="false">BL1458*Parameter!$B$18</f>
        <v>55</v>
      </c>
      <c r="J1458" s="58"/>
      <c r="K1458" s="59"/>
      <c r="L1458" s="57" t="n">
        <v>3</v>
      </c>
      <c r="M1458" s="57" t="n">
        <v>15</v>
      </c>
      <c r="N1458" s="60"/>
      <c r="O1458" s="55" t="s">
        <v>163</v>
      </c>
      <c r="P1458" s="57"/>
      <c r="Q1458" s="60" t="n">
        <f aca="false">IF(BR1458=1,0,IFERROR(VLOOKUP(BP1458,'Gebinde-Kategorie'!$A$5:$M$45,13,0)+0,0))</f>
        <v>0</v>
      </c>
      <c r="R1458" s="61"/>
      <c r="S1458" s="62"/>
      <c r="T1458" s="62"/>
      <c r="U1458" s="55"/>
      <c r="V1458" s="57"/>
      <c r="W1458" s="57"/>
      <c r="X1458" s="55" t="n">
        <f aca="false">IF(A1458="","",IF(AND(Parameter!$B$21="Ja",ISNUMBER(U1458)),U1458,IF(IFERROR(VLOOKUP(D1458,Parameter!$A$35:$C$64,2,0),"Nein")="2+3",IF(ISNUMBER(SEARCH("grosser Artikel",BM1458)),2,IFERROR(VLOOKUP(BP1458,Parameter!$F$35:$G$64,2,0),2)),IF(OR(IFERROR(VLOOKUP(D1458,Parameter!$A$35:$C$64,2,0),"Nein")="Nein",IFERROR(VLOOKUP(D1458,Parameter!$A$35:$C$64,2,0),"Nein")=""),"-",VLOOKUP(D1458,Parameter!$A$35:$C$64,2,0)))))</f>
        <v>2</v>
      </c>
      <c r="Y1458" s="62"/>
      <c r="Z1458" s="63"/>
      <c r="AA1458" s="57" t="n">
        <f aca="false">AP1458</f>
        <v>28</v>
      </c>
      <c r="AB1458" s="57" t="n">
        <f aca="false">MAX(AP1458,G1458)</f>
        <v>28</v>
      </c>
      <c r="AC1458" s="64"/>
      <c r="AD1458" s="57" t="n">
        <f aca="false">IF(LEFT(Cockpit!$C$5,1)="A",G1458,IF(BW1458=1,BX1458,IF(LEFT(Cockpit!$C$5,1)="B",AH1458,MAX(AH1458,G1458))))</f>
        <v>0</v>
      </c>
      <c r="AE1458" s="57" t="n">
        <f aca="false">IF(BR1458=1,0,ROUNDUP(AD1458/BQ1458,0))</f>
        <v>0</v>
      </c>
      <c r="AF1458" s="59" t="n">
        <f aca="false">IF(CD1458&gt;0,CD1458*MAX(1,AD1458/V1458),IF(BR1458=1,IF(AD1458&lt;=0,0,BS1458*MAX(1,IF(G1458&gt;0,AD1458/G1458,1))),IF(Q1458&gt;0,AE1458/Q1458,0))/MAX(0.1,N(Parameter!$M$21)))</f>
        <v>0</v>
      </c>
      <c r="AG1458" s="57" t="n">
        <f aca="false">AD1458*F1458</f>
        <v>0</v>
      </c>
      <c r="AH1458" s="57" t="n">
        <f aca="false">ROUNDUP(MAX(I1458/IF(BV1458&gt;0,BV1458,MAX(0.1,N(Cockpit!$C$6))),BY1458)/BQ1458,0)*BQ1458</f>
        <v>28</v>
      </c>
      <c r="AI1458" s="58" t="n">
        <f aca="false">IF(AF1458&gt;0,I1458/AF1458,-1)</f>
        <v>-1</v>
      </c>
      <c r="AJ1458" s="58" t="str">
        <f aca="false">IF(AND(OR(BU1458="L1",BU1458="L23"),AF1458&gt;0),SUMIFS($AF$7:$AF$1576,$BU$7:$BU$1576,BU1458,$AI$7:$AI$1576,"&gt;"&amp;AI1458)+SUMIFS($AF$7:$AF$1576,$BU$7:$BU$1576,BU1458,$AI$7:$AI$1576,AI1458,$BO$7:$BO$1576,"&lt;="&amp;BO1458),"")</f>
        <v/>
      </c>
      <c r="AK1458" s="65" t="n">
        <f aca="false">IF(AJ1458="",0,MAX(0,MIN(1,(IF(BU1458="L1",Parameter!$E$5,Parameter!$E$6+Parameter!$E$7)-(AJ1458-AF1458))/AF1458)))</f>
        <v>0</v>
      </c>
      <c r="AL1458" s="57" t="n">
        <f aca="false">IF(LEFT(Cockpit!$I$5,1)="A",G1458,IF(BW1458=1,BX1458,IF(LEFT(Cockpit!$I$5,1)="B",AP1458,MAX(AP1458,G1458))))</f>
        <v>28</v>
      </c>
      <c r="AM1458" s="57" t="n">
        <f aca="false">IF(BR1458=1,0,ROUNDUP(AL1458/BQ1458,0))</f>
        <v>0</v>
      </c>
      <c r="AN1458" s="59" t="n">
        <f aca="false">IF(CD1458&gt;0,CD1458*MAX(1,AL1458/V1458),IF(BR1458=1,IF(AL1458&lt;=0,0,BS1458*MAX(1,IF(G1458&gt;0,AL1458/G1458,1))),IF(Q1458&gt;0,AM1458/Q1458,0))/MAX(0.1,N(Parameter!$M$21)))</f>
        <v>0.15</v>
      </c>
      <c r="AO1458" s="57" t="n">
        <f aca="false">AL1458*F1458</f>
        <v>33051.2</v>
      </c>
      <c r="AP1458" s="57" t="n">
        <f aca="false">ROUNDUP(MAX(I1458/IF(BV1458&gt;0,BV1458,MAX(0.1,N(Cockpit!$I$6))),BY1458)/BQ1458,0)*BQ1458</f>
        <v>28</v>
      </c>
      <c r="AQ1458" s="58" t="n">
        <f aca="false">IF(AN1458&gt;0,I1458/AN1458,-1)</f>
        <v>366.666666666667</v>
      </c>
      <c r="AR1458" s="58" t="n">
        <f aca="false">IF(AND(OR(BU1458="L1",BU1458="L23"),AN1458&gt;0),SUMIFS($AN$7:$AN$1576,$BU$7:$BU$1576,BU1458,$AQ$7:$AQ$1576,"&gt;"&amp;AQ1458)+SUMIFS($AN$7:$AN$1576,$BU$7:$BU$1576,BU1458,$AQ$7:$AQ$1576,AQ1458,$BO$7:$BO$1576,"&lt;="&amp;BO1458),"")</f>
        <v>37.8282881011253</v>
      </c>
      <c r="AS1458" s="65" t="n">
        <f aca="false">IF(AR1458="",0,MAX(0,MIN(1,(IF(BU1458="L1",Parameter!$E$5,Parameter!$E$6+Parameter!$E$7)-(AR1458-AN1458))/AN1458)))</f>
        <v>1</v>
      </c>
      <c r="AT1458" s="57" t="n">
        <f aca="false">IF(LEFT(Cockpit!$O$5,1)="A",G1458,IF(BW1458=1,BX1458,IF(LEFT(Cockpit!$O$5,1)="B",AX1458,MAX(AX1458,G1458))))</f>
        <v>19</v>
      </c>
      <c r="AU1458" s="57" t="n">
        <f aca="false">IF(BR1458=1,0,ROUNDUP(AT1458/BQ1458,0))</f>
        <v>0</v>
      </c>
      <c r="AV1458" s="59" t="n">
        <f aca="false">IF(CD1458&gt;0,CD1458*MAX(1,AT1458/V1458),IF(BR1458=1,IF(AT1458&lt;=0,0,BS1458*MAX(1,IF(G1458&gt;0,AT1458/G1458,1))),IF(Q1458&gt;0,AU1458/Q1458,0))/MAX(0.1,N(Parameter!$M$21)))</f>
        <v>0.15</v>
      </c>
      <c r="AW1458" s="57" t="n">
        <f aca="false">AT1458*F1458</f>
        <v>22427.6</v>
      </c>
      <c r="AX1458" s="57" t="n">
        <f aca="false">ROUNDUP(MAX(I1458/IF(BV1458&gt;0,BV1458,MAX(0.1,N(Cockpit!$O$6))),BY1458)/BQ1458,0)*BQ1458</f>
        <v>19</v>
      </c>
      <c r="AY1458" s="58" t="n">
        <f aca="false">IF(AV1458&gt;0,I1458/AV1458,-1)</f>
        <v>366.666666666667</v>
      </c>
      <c r="AZ1458" s="58" t="n">
        <f aca="false">IF(AND(OR(BU1458="L1",BU1458="L23"),AV1458&gt;0),SUMIFS($AV$7:$AV$1576,$BU$7:$BU$1576,BU1458,$AY$7:$AY$1576,"&gt;"&amp;AY1458)+SUMIFS($AV$7:$AV$1576,$BU$7:$BU$1576,BU1458,$AY$7:$AY$1576,AY1458,$BO$7:$BO$1576,"&lt;="&amp;BO1458),"")</f>
        <v>36.6597000225373</v>
      </c>
      <c r="BA1458" s="65" t="n">
        <f aca="false">IF(AZ1458="",0,MAX(0,MIN(1,(IF(BU1458="L1",Parameter!$E$5,Parameter!$E$6+Parameter!$E$7)-(AZ1458-AV1458))/AV1458)))</f>
        <v>1</v>
      </c>
      <c r="BB1458" s="55" t="str">
        <f aca="false">IF(AF1458&lt;=0,"",IF(BU1458="Aussen","Aussenlager",IF(BU1458="-","Nicht im Lift",IF(AK1458&gt;=1,"Lift",IF(AK1458&lt;=0,"Aussenlager","teilweise")))))</f>
        <v/>
      </c>
      <c r="BC1458" s="55" t="str">
        <f aca="false">IF(AN1458&lt;=0,"",IF(BU1458="Aussen","Aussenlager",IF(BU1458="-","Nicht im Lift",IF(AS1458&gt;=1,"Lift",IF(AS1458&lt;=0,"Aussenlager","teilweise")))))</f>
        <v>Lift</v>
      </c>
      <c r="BD1458" s="55" t="str">
        <f aca="false">IF(AV1458&lt;=0,"",IF(BU1458="Aussen","Aussenlager",IF(BU1458="-","Nicht im Lift",IF(BA1458&gt;=1,"Lift",IF(BA1458&lt;=0,"Aussenlager","teilweise")))))</f>
        <v>Lift</v>
      </c>
      <c r="BE1458" s="55" t="str">
        <f aca="false">IF(A1458="","",IF(BN1458=1,"Neu; ","")&amp;IF(AND(BN1458=0,BI1458&lt;0),"negativer Bestand (Export "&amp;BI1458&amp;"); ","")&amp;IF(I1458&lt;=0,"Kein Verbrauch; ","")&amp;IF(CD1458&gt;0,"Lift "&amp;U1458&amp;" lt. Liftbericht (Fach "&amp;V1458&amp;" Stk); ",IF(BR1458=1,"Lose – Fläche geschätzt; ",""))&amp;IF(G1458&gt;AP1458,"Überbestand "&amp;ROUND(G1458-AP1458,0)&amp;" Stk / CHF "&amp;ROUND((G1458-AP1458)*F1458,0)&amp;"; ","")&amp;IF(AND(BW1458=1,BX1458&lt;BY1458),"MAX &lt; MB+LG; ","")&amp;IF(AND(CC1458&gt;0,CB1458*10&gt;CC1458),"zu hoch für Tablar; ","")&amp;IF(AND(BN1458=0,OR(BW1458=1,Y1458&lt;&gt;"",S1458&lt;&gt;"",T1458&lt;&gt;"",Z1458&lt;&gt;"")),"manuell übersteuert; ","")&amp;IF(AND(BR1458=0,Q1458=0),"Gebinde unbekannt / Stellmass fehlt; ","")&amp;IF(AND(BR1458=0,N(T1458)&lt;=0,N(P1458)&lt;=0),"Menge pro Gebinde fehlt (Ist = 1 Gebinde); ","")&amp;BM1458)</f>
        <v>negativer Bestand (Export -13); Lose – Fläche geschätzt; </v>
      </c>
      <c r="BF1458" s="55"/>
      <c r="BG1458" s="55"/>
      <c r="BH1458" s="62"/>
      <c r="BI1458" s="57" t="n">
        <v>-13</v>
      </c>
      <c r="BJ1458" s="57" t="n">
        <v>0</v>
      </c>
      <c r="BK1458" s="56" t="n">
        <v>-18093.29</v>
      </c>
      <c r="BL1458" s="57" t="n">
        <v>55</v>
      </c>
      <c r="BM1458" s="55"/>
      <c r="BN1458" s="60" t="n">
        <v>0</v>
      </c>
      <c r="BO1458" s="60" t="n">
        <v>1458</v>
      </c>
      <c r="BP1458" s="55" t="str">
        <f aca="false">IF(S1458&lt;&gt;"",UPPER(TRIM(S1458)),IF(O1458="","LOSE",O1458))</f>
        <v>LOSE</v>
      </c>
      <c r="BQ1458" s="57" t="n">
        <f aca="false">IF(BP1458="LOSE",1,IF(N(T1458)&gt;0,T1458,IF(N(P1458)&gt;0,P1458,MAX(1,G1458))))</f>
        <v>1</v>
      </c>
      <c r="BR1458" s="60" t="n">
        <f aca="false">IF(BP1458="LOSE",1,0)</f>
        <v>1</v>
      </c>
      <c r="BS1458" s="59" t="n">
        <f aca="false">IF(BR1458=0,0,IF(N(R1458)&gt;0,R1458,IFERROR(VLOOKUP(D1458,Parameter!$A$35:$C$64,3,0)+0,0)))</f>
        <v>0.15</v>
      </c>
      <c r="BT1458" s="55" t="n">
        <f aca="false">IF(Y1458&lt;&gt;"",Y1458,X1458)</f>
        <v>2</v>
      </c>
      <c r="BU1458" s="55" t="str">
        <f aca="false">IF(BT1458=1,"L1",IF(OR(BT1458=2,BT1458=3),"L23",IF(BT1458="Aussen","Aussen","-")))</f>
        <v>L23</v>
      </c>
      <c r="BV1458" s="66" t="n">
        <f aca="false">IF(N(Z1458)&gt;0,Z1458,0)</f>
        <v>0</v>
      </c>
      <c r="BW1458" s="60" t="n">
        <f aca="false">IF(ISNUMBER(AC1458),1,0)</f>
        <v>0</v>
      </c>
      <c r="BX1458" s="57" t="n">
        <f aca="false">N(AC1458)</f>
        <v>0</v>
      </c>
      <c r="BY1458" s="57" t="n">
        <f aca="false">N(L1458)+N(M1458)</f>
        <v>18</v>
      </c>
      <c r="BZ1458" s="57" t="n">
        <f aca="false">ROUNDUP(G1458/BQ1458,0)</f>
        <v>0</v>
      </c>
      <c r="CA1458" s="57" t="n">
        <f aca="false">ROUNDUP(BX1458/BQ1458,0)</f>
        <v>0</v>
      </c>
      <c r="CB1458" s="60" t="n">
        <f aca="false">IF(BR1458=1,0,IFERROR(VLOOKUP(BP1458,'Gebinde-Kategorie'!$A$5:$M$45,5,0)+0,0))</f>
        <v>0</v>
      </c>
      <c r="CC1458" s="60" t="n">
        <f aca="false">IFERROR(IF(OR(BT1458=1,BT1458=2,BT1458=3),N(INDEX(Parameter!$I$5:$I$7,BT1458)),0),0)</f>
        <v>0</v>
      </c>
      <c r="CD1458" s="59" t="n">
        <f aca="false">IF(AND(Parameter!$B$21="Ja",ISNUMBER(U1458),N(V1458)&gt;0),IFERROR(N(INDEX(Parameter!$L$5:$L$7,U1458))*INDEX(Parameter!$E$5:$E$7,U1458)*V1458/SUMIFS($V$7:$V$1576,$U$7:$U$1576,U1458),0),0)</f>
        <v>0</v>
      </c>
    </row>
    <row r="1459" customFormat="false" ht="15" hidden="false" customHeight="false" outlineLevel="0" collapsed="false">
      <c r="A1459" s="55" t="s">
        <v>2536</v>
      </c>
      <c r="B1459" s="55" t="s">
        <v>2537</v>
      </c>
      <c r="C1459" s="55" t="s">
        <v>160</v>
      </c>
      <c r="D1459" s="55" t="s">
        <v>168</v>
      </c>
      <c r="E1459" s="55"/>
      <c r="F1459" s="56" t="n">
        <v>286.19</v>
      </c>
      <c r="G1459" s="57" t="n">
        <f aca="false">MAX(0,IF(AND(Parameter!$B$21="Ja",ISNUMBER(W1459)),W1459,IF(Parameter!$B$20="Jahresanfang 2025 + Export",BJ1459+BI1459,BI1459)))</f>
        <v>0</v>
      </c>
      <c r="H1459" s="57" t="n">
        <f aca="false">G1459*F1459</f>
        <v>0</v>
      </c>
      <c r="I1459" s="57" t="n">
        <f aca="false">BL1459*Parameter!$B$18</f>
        <v>44</v>
      </c>
      <c r="J1459" s="58"/>
      <c r="K1459" s="59"/>
      <c r="L1459" s="57" t="n">
        <v>2</v>
      </c>
      <c r="M1459" s="57" t="n">
        <v>35</v>
      </c>
      <c r="N1459" s="60"/>
      <c r="O1459" s="55" t="s">
        <v>169</v>
      </c>
      <c r="P1459" s="57" t="n">
        <v>36</v>
      </c>
      <c r="Q1459" s="60" t="n">
        <f aca="false">IF(BR1459=1,0,IFERROR(VLOOKUP(BP1459,'Gebinde-Kategorie'!$A$5:$M$45,13,0)+0,0))</f>
        <v>6</v>
      </c>
      <c r="R1459" s="61"/>
      <c r="S1459" s="62"/>
      <c r="T1459" s="62"/>
      <c r="U1459" s="55"/>
      <c r="V1459" s="57"/>
      <c r="W1459" s="57"/>
      <c r="X1459" s="55" t="n">
        <f aca="false">IF(A1459="","",IF(AND(Parameter!$B$21="Ja",ISNUMBER(U1459)),U1459,IF(IFERROR(VLOOKUP(D1459,Parameter!$A$35:$C$64,2,0),"Nein")="2+3",IF(ISNUMBER(SEARCH("grosser Artikel",BM1459)),2,IFERROR(VLOOKUP(BP1459,Parameter!$F$35:$G$64,2,0),2)),IF(OR(IFERROR(VLOOKUP(D1459,Parameter!$A$35:$C$64,2,0),"Nein")="Nein",IFERROR(VLOOKUP(D1459,Parameter!$A$35:$C$64,2,0),"Nein")=""),"-",VLOOKUP(D1459,Parameter!$A$35:$C$64,2,0)))))</f>
        <v>2</v>
      </c>
      <c r="Y1459" s="62"/>
      <c r="Z1459" s="63"/>
      <c r="AA1459" s="57" t="n">
        <f aca="false">AP1459</f>
        <v>72</v>
      </c>
      <c r="AB1459" s="57" t="n">
        <f aca="false">MAX(AP1459,G1459)</f>
        <v>72</v>
      </c>
      <c r="AC1459" s="64"/>
      <c r="AD1459" s="57" t="n">
        <f aca="false">IF(LEFT(Cockpit!$C$5,1)="A",G1459,IF(BW1459=1,BX1459,IF(LEFT(Cockpit!$C$5,1)="B",AH1459,MAX(AH1459,G1459))))</f>
        <v>0</v>
      </c>
      <c r="AE1459" s="57" t="n">
        <f aca="false">IF(BR1459=1,0,ROUNDUP(AD1459/BQ1459,0))</f>
        <v>0</v>
      </c>
      <c r="AF1459" s="59" t="n">
        <f aca="false">IF(CD1459&gt;0,CD1459*MAX(1,AD1459/V1459),IF(BR1459=1,IF(AD1459&lt;=0,0,BS1459*MAX(1,IF(G1459&gt;0,AD1459/G1459,1))),IF(Q1459&gt;0,AE1459/Q1459,0))/MAX(0.1,N(Parameter!$M$21)))</f>
        <v>0</v>
      </c>
      <c r="AG1459" s="57" t="n">
        <f aca="false">AD1459*F1459</f>
        <v>0</v>
      </c>
      <c r="AH1459" s="57" t="n">
        <f aca="false">ROUNDUP(MAX(I1459/IF(BV1459&gt;0,BV1459,MAX(0.1,N(Cockpit!$C$6))),BY1459)/BQ1459,0)*BQ1459</f>
        <v>72</v>
      </c>
      <c r="AI1459" s="58" t="n">
        <f aca="false">IF(AF1459&gt;0,I1459/AF1459,-1)</f>
        <v>-1</v>
      </c>
      <c r="AJ1459" s="58" t="str">
        <f aca="false">IF(AND(OR(BU1459="L1",BU1459="L23"),AF1459&gt;0),SUMIFS($AF$7:$AF$1576,$BU$7:$BU$1576,BU1459,$AI$7:$AI$1576,"&gt;"&amp;AI1459)+SUMIFS($AF$7:$AF$1576,$BU$7:$BU$1576,BU1459,$AI$7:$AI$1576,AI1459,$BO$7:$BO$1576,"&lt;="&amp;BO1459),"")</f>
        <v/>
      </c>
      <c r="AK1459" s="65" t="n">
        <f aca="false">IF(AJ1459="",0,MAX(0,MIN(1,(IF(BU1459="L1",Parameter!$E$5,Parameter!$E$6+Parameter!$E$7)-(AJ1459-AF1459))/AF1459)))</f>
        <v>0</v>
      </c>
      <c r="AL1459" s="57" t="n">
        <f aca="false">IF(LEFT(Cockpit!$I$5,1)="A",G1459,IF(BW1459=1,BX1459,IF(LEFT(Cockpit!$I$5,1)="B",AP1459,MAX(AP1459,G1459))))</f>
        <v>72</v>
      </c>
      <c r="AM1459" s="57" t="n">
        <f aca="false">IF(BR1459=1,0,ROUNDUP(AL1459/BQ1459,0))</f>
        <v>2</v>
      </c>
      <c r="AN1459" s="59" t="n">
        <f aca="false">IF(CD1459&gt;0,CD1459*MAX(1,AL1459/V1459),IF(BR1459=1,IF(AL1459&lt;=0,0,BS1459*MAX(1,IF(G1459&gt;0,AL1459/G1459,1))),IF(Q1459&gt;0,AM1459/Q1459,0))/MAX(0.1,N(Parameter!$M$21)))</f>
        <v>0.333333333333333</v>
      </c>
      <c r="AO1459" s="57" t="n">
        <f aca="false">AL1459*F1459</f>
        <v>20605.68</v>
      </c>
      <c r="AP1459" s="57" t="n">
        <f aca="false">ROUNDUP(MAX(I1459/IF(BV1459&gt;0,BV1459,MAX(0.1,N(Cockpit!$I$6))),BY1459)/BQ1459,0)*BQ1459</f>
        <v>72</v>
      </c>
      <c r="AQ1459" s="58" t="n">
        <f aca="false">IF(AN1459&gt;0,I1459/AN1459,-1)</f>
        <v>132</v>
      </c>
      <c r="AR1459" s="58" t="n">
        <f aca="false">IF(AND(OR(BU1459="L1",BU1459="L23"),AN1459&gt;0),SUMIFS($AN$7:$AN$1576,$BU$7:$BU$1576,BU1459,$AQ$7:$AQ$1576,"&gt;"&amp;AQ1459)+SUMIFS($AN$7:$AN$1576,$BU$7:$BU$1576,BU1459,$AQ$7:$AQ$1576,AQ1459,$BO$7:$BO$1576,"&lt;="&amp;BO1459),"")</f>
        <v>61.1616177666289</v>
      </c>
      <c r="AS1459" s="65" t="n">
        <f aca="false">IF(AR1459="",0,MAX(0,MIN(1,(IF(BU1459="L1",Parameter!$E$5,Parameter!$E$6+Parameter!$E$7)-(AR1459-AN1459))/AN1459)))</f>
        <v>1</v>
      </c>
      <c r="AT1459" s="57" t="n">
        <f aca="false">IF(LEFT(Cockpit!$O$5,1)="A",G1459,IF(BW1459=1,BX1459,IF(LEFT(Cockpit!$O$5,1)="B",AX1459,MAX(AX1459,G1459))))</f>
        <v>72</v>
      </c>
      <c r="AU1459" s="57" t="n">
        <f aca="false">IF(BR1459=1,0,ROUNDUP(AT1459/BQ1459,0))</f>
        <v>2</v>
      </c>
      <c r="AV1459" s="59" t="n">
        <f aca="false">IF(CD1459&gt;0,CD1459*MAX(1,AT1459/V1459),IF(BR1459=1,IF(AT1459&lt;=0,0,BS1459*MAX(1,IF(G1459&gt;0,AT1459/G1459,1))),IF(Q1459&gt;0,AU1459/Q1459,0))/MAX(0.1,N(Parameter!$M$21)))</f>
        <v>0.333333333333333</v>
      </c>
      <c r="AW1459" s="57" t="n">
        <f aca="false">AT1459*F1459</f>
        <v>20605.68</v>
      </c>
      <c r="AX1459" s="57" t="n">
        <f aca="false">ROUNDUP(MAX(I1459/IF(BV1459&gt;0,BV1459,MAX(0.1,N(Cockpit!$O$6))),BY1459)/BQ1459,0)*BQ1459</f>
        <v>72</v>
      </c>
      <c r="AY1459" s="58" t="n">
        <f aca="false">IF(AV1459&gt;0,I1459/AV1459,-1)</f>
        <v>132</v>
      </c>
      <c r="AZ1459" s="58" t="n">
        <f aca="false">IF(AND(OR(BU1459="L1",BU1459="L23"),AV1459&gt;0),SUMIFS($AV$7:$AV$1576,$BU$7:$BU$1576,BU1459,$AY$7:$AY$1576,"&gt;"&amp;AY1459)+SUMIFS($AV$7:$AV$1576,$BU$7:$BU$1576,BU1459,$AY$7:$AY$1576,AY1459,$BO$7:$BO$1576,"&lt;="&amp;BO1459),"")</f>
        <v>55.824084882846</v>
      </c>
      <c r="BA1459" s="65" t="n">
        <f aca="false">IF(AZ1459="",0,MAX(0,MIN(1,(IF(BU1459="L1",Parameter!$E$5,Parameter!$E$6+Parameter!$E$7)-(AZ1459-AV1459))/AV1459)))</f>
        <v>1</v>
      </c>
      <c r="BB1459" s="55" t="str">
        <f aca="false">IF(AF1459&lt;=0,"",IF(BU1459="Aussen","Aussenlager",IF(BU1459="-","Nicht im Lift",IF(AK1459&gt;=1,"Lift",IF(AK1459&lt;=0,"Aussenlager","teilweise")))))</f>
        <v/>
      </c>
      <c r="BC1459" s="55" t="str">
        <f aca="false">IF(AN1459&lt;=0,"",IF(BU1459="Aussen","Aussenlager",IF(BU1459="-","Nicht im Lift",IF(AS1459&gt;=1,"Lift",IF(AS1459&lt;=0,"Aussenlager","teilweise")))))</f>
        <v>Lift</v>
      </c>
      <c r="BD1459" s="55" t="str">
        <f aca="false">IF(AV1459&lt;=0,"",IF(BU1459="Aussen","Aussenlager",IF(BU1459="-","Nicht im Lift",IF(BA1459&gt;=1,"Lift",IF(BA1459&lt;=0,"Aussenlager","teilweise")))))</f>
        <v>Lift</v>
      </c>
      <c r="BE1459" s="55" t="str">
        <f aca="false">IF(A1459="","",IF(BN1459=1,"Neu; ","")&amp;IF(AND(BN1459=0,BI1459&lt;0),"negativer Bestand (Export "&amp;BI1459&amp;"); ","")&amp;IF(I1459&lt;=0,"Kein Verbrauch; ","")&amp;IF(CD1459&gt;0,"Lift "&amp;U1459&amp;" lt. Liftbericht (Fach "&amp;V1459&amp;" Stk); ",IF(BR1459=1,"Lose – Fläche geschätzt; ",""))&amp;IF(G1459&gt;AP1459,"Überbestand "&amp;ROUND(G1459-AP1459,0)&amp;" Stk / CHF "&amp;ROUND((G1459-AP1459)*F1459,0)&amp;"; ","")&amp;IF(AND(BW1459=1,BX1459&lt;BY1459),"MAX &lt; MB+LG; ","")&amp;IF(AND(CC1459&gt;0,CB1459*10&gt;CC1459),"zu hoch für Tablar; ","")&amp;IF(AND(BN1459=0,OR(BW1459=1,Y1459&lt;&gt;"",S1459&lt;&gt;"",T1459&lt;&gt;"",Z1459&lt;&gt;"")),"manuell übersteuert; ","")&amp;IF(AND(BR1459=0,Q1459=0),"Gebinde unbekannt / Stellmass fehlt; ","")&amp;IF(AND(BR1459=0,N(T1459)&lt;=0,N(P1459)&lt;=0),"Menge pro Gebinde fehlt (Ist = 1 Gebinde); ","")&amp;BM1459)</f>
        <v>negativer Bestand (Export -61); Neu</v>
      </c>
      <c r="BF1459" s="55"/>
      <c r="BG1459" s="55"/>
      <c r="BH1459" s="62"/>
      <c r="BI1459" s="57" t="n">
        <v>-61</v>
      </c>
      <c r="BJ1459" s="57" t="n">
        <v>0</v>
      </c>
      <c r="BK1459" s="56" t="n">
        <v>-18618.23</v>
      </c>
      <c r="BL1459" s="57" t="n">
        <v>44</v>
      </c>
      <c r="BM1459" s="55" t="s">
        <v>615</v>
      </c>
      <c r="BN1459" s="60" t="n">
        <v>0</v>
      </c>
      <c r="BO1459" s="60" t="n">
        <v>1459</v>
      </c>
      <c r="BP1459" s="55" t="str">
        <f aca="false">IF(S1459&lt;&gt;"",UPPER(TRIM(S1459)),IF(O1459="","LOSE",O1459))</f>
        <v>S71</v>
      </c>
      <c r="BQ1459" s="57" t="n">
        <f aca="false">IF(BP1459="LOSE",1,IF(N(T1459)&gt;0,T1459,IF(N(P1459)&gt;0,P1459,MAX(1,G1459))))</f>
        <v>36</v>
      </c>
      <c r="BR1459" s="60" t="n">
        <f aca="false">IF(BP1459="LOSE",1,0)</f>
        <v>0</v>
      </c>
      <c r="BS1459" s="59" t="n">
        <f aca="false">IF(BR1459=0,0,IF(N(R1459)&gt;0,R1459,IFERROR(VLOOKUP(D1459,Parameter!$A$35:$C$64,3,0)+0,0)))</f>
        <v>0</v>
      </c>
      <c r="BT1459" s="55" t="n">
        <f aca="false">IF(Y1459&lt;&gt;"",Y1459,X1459)</f>
        <v>2</v>
      </c>
      <c r="BU1459" s="55" t="str">
        <f aca="false">IF(BT1459=1,"L1",IF(OR(BT1459=2,BT1459=3),"L23",IF(BT1459="Aussen","Aussen","-")))</f>
        <v>L23</v>
      </c>
      <c r="BV1459" s="66" t="n">
        <f aca="false">IF(N(Z1459)&gt;0,Z1459,0)</f>
        <v>0</v>
      </c>
      <c r="BW1459" s="60" t="n">
        <f aca="false">IF(ISNUMBER(AC1459),1,0)</f>
        <v>0</v>
      </c>
      <c r="BX1459" s="57" t="n">
        <f aca="false">N(AC1459)</f>
        <v>0</v>
      </c>
      <c r="BY1459" s="57" t="n">
        <f aca="false">N(L1459)+N(M1459)</f>
        <v>37</v>
      </c>
      <c r="BZ1459" s="57" t="n">
        <f aca="false">ROUNDUP(G1459/BQ1459,0)</f>
        <v>0</v>
      </c>
      <c r="CA1459" s="57" t="n">
        <f aca="false">ROUNDUP(BX1459/BQ1459,0)</f>
        <v>0</v>
      </c>
      <c r="CB1459" s="60" t="n">
        <f aca="false">IF(BR1459=1,0,IFERROR(VLOOKUP(BP1459,'Gebinde-Kategorie'!$A$5:$M$45,5,0)+0,0))</f>
        <v>20</v>
      </c>
      <c r="CC1459" s="60" t="n">
        <f aca="false">IFERROR(IF(OR(BT1459=1,BT1459=2,BT1459=3),N(INDEX(Parameter!$I$5:$I$7,BT1459)),0),0)</f>
        <v>0</v>
      </c>
      <c r="CD1459" s="59" t="n">
        <f aca="false">IF(AND(Parameter!$B$21="Ja",ISNUMBER(U1459),N(V1459)&gt;0),IFERROR(N(INDEX(Parameter!$L$5:$L$7,U1459))*INDEX(Parameter!$E$5:$E$7,U1459)*V1459/SUMIFS($V$7:$V$1576,$U$7:$U$1576,U1459),0),0)</f>
        <v>0</v>
      </c>
    </row>
    <row r="1460" customFormat="false" ht="15" hidden="false" customHeight="false" outlineLevel="0" collapsed="false">
      <c r="A1460" s="55" t="s">
        <v>2538</v>
      </c>
      <c r="B1460" s="55" t="s">
        <v>395</v>
      </c>
      <c r="C1460" s="55" t="s">
        <v>446</v>
      </c>
      <c r="D1460" s="55" t="s">
        <v>168</v>
      </c>
      <c r="E1460" s="55"/>
      <c r="F1460" s="56" t="n">
        <v>5.53</v>
      </c>
      <c r="G1460" s="57" t="n">
        <f aca="false">MAX(0,IF(AND(Parameter!$B$21="Ja",ISNUMBER(W1460)),W1460,IF(Parameter!$B$20="Jahresanfang 2025 + Export",BJ1460+BI1460,BI1460)))</f>
        <v>0</v>
      </c>
      <c r="H1460" s="57" t="n">
        <f aca="false">G1460*F1460</f>
        <v>0</v>
      </c>
      <c r="I1460" s="57" t="n">
        <f aca="false">BL1460*Parameter!$B$18</f>
        <v>3500</v>
      </c>
      <c r="J1460" s="58"/>
      <c r="K1460" s="59"/>
      <c r="L1460" s="57" t="n">
        <v>2041</v>
      </c>
      <c r="M1460" s="57" t="n">
        <v>1265</v>
      </c>
      <c r="N1460" s="60"/>
      <c r="O1460" s="55" t="s">
        <v>163</v>
      </c>
      <c r="P1460" s="57"/>
      <c r="Q1460" s="60" t="n">
        <f aca="false">IF(BR1460=1,0,IFERROR(VLOOKUP(BP1460,'Gebinde-Kategorie'!$A$5:$M$45,13,0)+0,0))</f>
        <v>0</v>
      </c>
      <c r="R1460" s="61"/>
      <c r="S1460" s="62"/>
      <c r="T1460" s="62"/>
      <c r="U1460" s="55"/>
      <c r="V1460" s="57"/>
      <c r="W1460" s="57"/>
      <c r="X1460" s="55" t="n">
        <f aca="false">IF(A1460="","",IF(AND(Parameter!$B$21="Ja",ISNUMBER(U1460)),U1460,IF(IFERROR(VLOOKUP(D1460,Parameter!$A$35:$C$64,2,0),"Nein")="2+3",IF(ISNUMBER(SEARCH("grosser Artikel",BM1460)),2,IFERROR(VLOOKUP(BP1460,Parameter!$F$35:$G$64,2,0),2)),IF(OR(IFERROR(VLOOKUP(D1460,Parameter!$A$35:$C$64,2,0),"Nein")="Nein",IFERROR(VLOOKUP(D1460,Parameter!$A$35:$C$64,2,0),"Nein")=""),"-",VLOOKUP(D1460,Parameter!$A$35:$C$64,2,0)))))</f>
        <v>2</v>
      </c>
      <c r="Y1460" s="62"/>
      <c r="Z1460" s="63"/>
      <c r="AA1460" s="57" t="n">
        <f aca="false">AP1460</f>
        <v>3306</v>
      </c>
      <c r="AB1460" s="57" t="n">
        <f aca="false">MAX(AP1460,G1460)</f>
        <v>3306</v>
      </c>
      <c r="AC1460" s="64"/>
      <c r="AD1460" s="57" t="n">
        <f aca="false">IF(LEFT(Cockpit!$C$5,1)="A",G1460,IF(BW1460=1,BX1460,IF(LEFT(Cockpit!$C$5,1)="B",AH1460,MAX(AH1460,G1460))))</f>
        <v>0</v>
      </c>
      <c r="AE1460" s="57" t="n">
        <f aca="false">IF(BR1460=1,0,ROUNDUP(AD1460/BQ1460,0))</f>
        <v>0</v>
      </c>
      <c r="AF1460" s="59" t="n">
        <f aca="false">IF(CD1460&gt;0,CD1460*MAX(1,AD1460/V1460),IF(BR1460=1,IF(AD1460&lt;=0,0,BS1460*MAX(1,IF(G1460&gt;0,AD1460/G1460,1))),IF(Q1460&gt;0,AE1460/Q1460,0))/MAX(0.1,N(Parameter!$M$21)))</f>
        <v>0</v>
      </c>
      <c r="AG1460" s="57" t="n">
        <f aca="false">AD1460*F1460</f>
        <v>0</v>
      </c>
      <c r="AH1460" s="57" t="n">
        <f aca="false">ROUNDUP(MAX(I1460/IF(BV1460&gt;0,BV1460,MAX(0.1,N(Cockpit!$C$6))),BY1460)/BQ1460,0)*BQ1460</f>
        <v>3306</v>
      </c>
      <c r="AI1460" s="58" t="n">
        <f aca="false">IF(AF1460&gt;0,I1460/AF1460,-1)</f>
        <v>-1</v>
      </c>
      <c r="AJ1460" s="58" t="str">
        <f aca="false">IF(AND(OR(BU1460="L1",BU1460="L23"),AF1460&gt;0),SUMIFS($AF$7:$AF$1576,$BU$7:$BU$1576,BU1460,$AI$7:$AI$1576,"&gt;"&amp;AI1460)+SUMIFS($AF$7:$AF$1576,$BU$7:$BU$1576,BU1460,$AI$7:$AI$1576,AI1460,$BO$7:$BO$1576,"&lt;="&amp;BO1460),"")</f>
        <v/>
      </c>
      <c r="AK1460" s="65" t="n">
        <f aca="false">IF(AJ1460="",0,MAX(0,MIN(1,(IF(BU1460="L1",Parameter!$E$5,Parameter!$E$6+Parameter!$E$7)-(AJ1460-AF1460))/AF1460)))</f>
        <v>0</v>
      </c>
      <c r="AL1460" s="57" t="n">
        <f aca="false">IF(LEFT(Cockpit!$I$5,1)="A",G1460,IF(BW1460=1,BX1460,IF(LEFT(Cockpit!$I$5,1)="B",AP1460,MAX(AP1460,G1460))))</f>
        <v>3306</v>
      </c>
      <c r="AM1460" s="57" t="n">
        <f aca="false">IF(BR1460=1,0,ROUNDUP(AL1460/BQ1460,0))</f>
        <v>0</v>
      </c>
      <c r="AN1460" s="59" t="n">
        <f aca="false">IF(CD1460&gt;0,CD1460*MAX(1,AL1460/V1460),IF(BR1460=1,IF(AL1460&lt;=0,0,BS1460*MAX(1,IF(G1460&gt;0,AL1460/G1460,1))),IF(Q1460&gt;0,AM1460/Q1460,0))/MAX(0.1,N(Parameter!$M$21)))</f>
        <v>0.15</v>
      </c>
      <c r="AO1460" s="57" t="n">
        <f aca="false">AL1460*F1460</f>
        <v>18282.18</v>
      </c>
      <c r="AP1460" s="57" t="n">
        <f aca="false">ROUNDUP(MAX(I1460/IF(BV1460&gt;0,BV1460,MAX(0.1,N(Cockpit!$I$6))),BY1460)/BQ1460,0)*BQ1460</f>
        <v>3306</v>
      </c>
      <c r="AQ1460" s="58" t="n">
        <f aca="false">IF(AN1460&gt;0,I1460/AN1460,-1)</f>
        <v>23333.3333333333</v>
      </c>
      <c r="AR1460" s="58" t="n">
        <f aca="false">IF(AND(OR(BU1460="L1",BU1460="L23"),AN1460&gt;0),SUMIFS($AN$7:$AN$1576,$BU$7:$BU$1576,BU1460,$AQ$7:$AQ$1576,"&gt;"&amp;AQ1460)+SUMIFS($AN$7:$AN$1576,$BU$7:$BU$1576,BU1460,$AQ$7:$AQ$1576,AQ1460,$BO$7:$BO$1576,"&lt;="&amp;BO1460),"")</f>
        <v>3.51723049896963</v>
      </c>
      <c r="AS1460" s="65" t="n">
        <f aca="false">IF(AR1460="",0,MAX(0,MIN(1,(IF(BU1460="L1",Parameter!$E$5,Parameter!$E$6+Parameter!$E$7)-(AR1460-AN1460))/AN1460)))</f>
        <v>1</v>
      </c>
      <c r="AT1460" s="57" t="n">
        <f aca="false">IF(LEFT(Cockpit!$O$5,1)="A",G1460,IF(BW1460=1,BX1460,IF(LEFT(Cockpit!$O$5,1)="B",AX1460,MAX(AX1460,G1460))))</f>
        <v>3306</v>
      </c>
      <c r="AU1460" s="57" t="n">
        <f aca="false">IF(BR1460=1,0,ROUNDUP(AT1460/BQ1460,0))</f>
        <v>0</v>
      </c>
      <c r="AV1460" s="59" t="n">
        <f aca="false">IF(CD1460&gt;0,CD1460*MAX(1,AT1460/V1460),IF(BR1460=1,IF(AT1460&lt;=0,0,BS1460*MAX(1,IF(G1460&gt;0,AT1460/G1460,1))),IF(Q1460&gt;0,AU1460/Q1460,0))/MAX(0.1,N(Parameter!$M$21)))</f>
        <v>0.15</v>
      </c>
      <c r="AW1460" s="57" t="n">
        <f aca="false">AT1460*F1460</f>
        <v>18282.18</v>
      </c>
      <c r="AX1460" s="57" t="n">
        <f aca="false">ROUNDUP(MAX(I1460/IF(BV1460&gt;0,BV1460,MAX(0.1,N(Cockpit!$O$6))),BY1460)/BQ1460,0)*BQ1460</f>
        <v>3306</v>
      </c>
      <c r="AY1460" s="58" t="n">
        <f aca="false">IF(AV1460&gt;0,I1460/AV1460,-1)</f>
        <v>23333.3333333333</v>
      </c>
      <c r="AZ1460" s="58" t="n">
        <f aca="false">IF(AND(OR(BU1460="L1",BU1460="L23"),AV1460&gt;0),SUMIFS($AV$7:$AV$1576,$BU$7:$BU$1576,BU1460,$AY$7:$AY$1576,"&gt;"&amp;AY1460)+SUMIFS($AV$7:$AV$1576,$BU$7:$BU$1576,BU1460,$AY$7:$AY$1576,AY1460,$BO$7:$BO$1576,"&lt;="&amp;BO1460),"")</f>
        <v>3.87503935677849</v>
      </c>
      <c r="BA1460" s="65" t="n">
        <f aca="false">IF(AZ1460="",0,MAX(0,MIN(1,(IF(BU1460="L1",Parameter!$E$5,Parameter!$E$6+Parameter!$E$7)-(AZ1460-AV1460))/AV1460)))</f>
        <v>1</v>
      </c>
      <c r="BB1460" s="55" t="str">
        <f aca="false">IF(AF1460&lt;=0,"",IF(BU1460="Aussen","Aussenlager",IF(BU1460="-","Nicht im Lift",IF(AK1460&gt;=1,"Lift",IF(AK1460&lt;=0,"Aussenlager","teilweise")))))</f>
        <v/>
      </c>
      <c r="BC1460" s="55" t="str">
        <f aca="false">IF(AN1460&lt;=0,"",IF(BU1460="Aussen","Aussenlager",IF(BU1460="-","Nicht im Lift",IF(AS1460&gt;=1,"Lift",IF(AS1460&lt;=0,"Aussenlager","teilweise")))))</f>
        <v>Lift</v>
      </c>
      <c r="BD1460" s="55" t="str">
        <f aca="false">IF(AV1460&lt;=0,"",IF(BU1460="Aussen","Aussenlager",IF(BU1460="-","Nicht im Lift",IF(BA1460&gt;=1,"Lift",IF(BA1460&lt;=0,"Aussenlager","teilweise")))))</f>
        <v>Lift</v>
      </c>
      <c r="BE1460" s="55" t="str">
        <f aca="false">IF(A1460="","",IF(BN1460=1,"Neu; ","")&amp;IF(AND(BN1460=0,BI1460&lt;0),"negativer Bestand (Export "&amp;BI1460&amp;"); ","")&amp;IF(I1460&lt;=0,"Kein Verbrauch; ","")&amp;IF(CD1460&gt;0,"Lift "&amp;U1460&amp;" lt. Liftbericht (Fach "&amp;V1460&amp;" Stk); ",IF(BR1460=1,"Lose – Fläche geschätzt; ",""))&amp;IF(G1460&gt;AP1460,"Überbestand "&amp;ROUND(G1460-AP1460,0)&amp;" Stk / CHF "&amp;ROUND((G1460-AP1460)*F1460,0)&amp;"; ","")&amp;IF(AND(BW1460=1,BX1460&lt;BY1460),"MAX &lt; MB+LG; ","")&amp;IF(AND(CC1460&gt;0,CB1460*10&gt;CC1460),"zu hoch für Tablar; ","")&amp;IF(AND(BN1460=0,OR(BW1460=1,Y1460&lt;&gt;"",S1460&lt;&gt;"",T1460&lt;&gt;"",Z1460&lt;&gt;"")),"manuell übersteuert; ","")&amp;IF(AND(BR1460=0,Q1460=0),"Gebinde unbekannt / Stellmass fehlt; ","")&amp;IF(AND(BR1460=0,N(T1460)&lt;=0,N(P1460)&lt;=0),"Menge pro Gebinde fehlt (Ist = 1 Gebinde); ","")&amp;BM1460)</f>
        <v>negativer Bestand (Export -3500); Lose – Fläche geschätzt; </v>
      </c>
      <c r="BF1460" s="55"/>
      <c r="BG1460" s="55"/>
      <c r="BH1460" s="62"/>
      <c r="BI1460" s="57" t="n">
        <v>-3500</v>
      </c>
      <c r="BJ1460" s="57" t="n">
        <v>0</v>
      </c>
      <c r="BK1460" s="56" t="n">
        <v>-19355</v>
      </c>
      <c r="BL1460" s="57" t="n">
        <v>3500</v>
      </c>
      <c r="BM1460" s="55"/>
      <c r="BN1460" s="60" t="n">
        <v>0</v>
      </c>
      <c r="BO1460" s="60" t="n">
        <v>1460</v>
      </c>
      <c r="BP1460" s="55" t="str">
        <f aca="false">IF(S1460&lt;&gt;"",UPPER(TRIM(S1460)),IF(O1460="","LOSE",O1460))</f>
        <v>LOSE</v>
      </c>
      <c r="BQ1460" s="57" t="n">
        <f aca="false">IF(BP1460="LOSE",1,IF(N(T1460)&gt;0,T1460,IF(N(P1460)&gt;0,P1460,MAX(1,G1460))))</f>
        <v>1</v>
      </c>
      <c r="BR1460" s="60" t="n">
        <f aca="false">IF(BP1460="LOSE",1,0)</f>
        <v>1</v>
      </c>
      <c r="BS1460" s="59" t="n">
        <f aca="false">IF(BR1460=0,0,IF(N(R1460)&gt;0,R1460,IFERROR(VLOOKUP(D1460,Parameter!$A$35:$C$64,3,0)+0,0)))</f>
        <v>0.15</v>
      </c>
      <c r="BT1460" s="55" t="n">
        <f aca="false">IF(Y1460&lt;&gt;"",Y1460,X1460)</f>
        <v>2</v>
      </c>
      <c r="BU1460" s="55" t="str">
        <f aca="false">IF(BT1460=1,"L1",IF(OR(BT1460=2,BT1460=3),"L23",IF(BT1460="Aussen","Aussen","-")))</f>
        <v>L23</v>
      </c>
      <c r="BV1460" s="66" t="n">
        <f aca="false">IF(N(Z1460)&gt;0,Z1460,0)</f>
        <v>0</v>
      </c>
      <c r="BW1460" s="60" t="n">
        <f aca="false">IF(ISNUMBER(AC1460),1,0)</f>
        <v>0</v>
      </c>
      <c r="BX1460" s="57" t="n">
        <f aca="false">N(AC1460)</f>
        <v>0</v>
      </c>
      <c r="BY1460" s="57" t="n">
        <f aca="false">N(L1460)+N(M1460)</f>
        <v>3306</v>
      </c>
      <c r="BZ1460" s="57" t="n">
        <f aca="false">ROUNDUP(G1460/BQ1460,0)</f>
        <v>0</v>
      </c>
      <c r="CA1460" s="57" t="n">
        <f aca="false">ROUNDUP(BX1460/BQ1460,0)</f>
        <v>0</v>
      </c>
      <c r="CB1460" s="60" t="n">
        <f aca="false">IF(BR1460=1,0,IFERROR(VLOOKUP(BP1460,'Gebinde-Kategorie'!$A$5:$M$45,5,0)+0,0))</f>
        <v>0</v>
      </c>
      <c r="CC1460" s="60" t="n">
        <f aca="false">IFERROR(IF(OR(BT1460=1,BT1460=2,BT1460=3),N(INDEX(Parameter!$I$5:$I$7,BT1460)),0),0)</f>
        <v>0</v>
      </c>
      <c r="CD1460" s="59" t="n">
        <f aca="false">IF(AND(Parameter!$B$21="Ja",ISNUMBER(U1460),N(V1460)&gt;0),IFERROR(N(INDEX(Parameter!$L$5:$L$7,U1460))*INDEX(Parameter!$E$5:$E$7,U1460)*V1460/SUMIFS($V$7:$V$1576,$U$7:$U$1576,U1460),0),0)</f>
        <v>0</v>
      </c>
    </row>
    <row r="1461" customFormat="false" ht="15" hidden="false" customHeight="false" outlineLevel="0" collapsed="false">
      <c r="A1461" s="55" t="s">
        <v>2539</v>
      </c>
      <c r="B1461" s="55" t="s">
        <v>2540</v>
      </c>
      <c r="C1461" s="55" t="s">
        <v>446</v>
      </c>
      <c r="D1461" s="55" t="s">
        <v>168</v>
      </c>
      <c r="E1461" s="55"/>
      <c r="F1461" s="56" t="n">
        <v>513.92</v>
      </c>
      <c r="G1461" s="57" t="n">
        <f aca="false">MAX(0,IF(AND(Parameter!$B$21="Ja",ISNUMBER(W1461)),W1461,IF(Parameter!$B$20="Jahresanfang 2025 + Export",BJ1461+BI1461,BI1461)))</f>
        <v>0</v>
      </c>
      <c r="H1461" s="57" t="n">
        <f aca="false">G1461*F1461</f>
        <v>0</v>
      </c>
      <c r="I1461" s="57" t="n">
        <f aca="false">BL1461*Parameter!$B$18</f>
        <v>135</v>
      </c>
      <c r="J1461" s="58"/>
      <c r="K1461" s="59"/>
      <c r="L1461" s="57" t="n">
        <v>0</v>
      </c>
      <c r="M1461" s="57" t="n">
        <v>4</v>
      </c>
      <c r="N1461" s="60"/>
      <c r="O1461" s="55" t="s">
        <v>163</v>
      </c>
      <c r="P1461" s="57"/>
      <c r="Q1461" s="60" t="n">
        <f aca="false">IF(BR1461=1,0,IFERROR(VLOOKUP(BP1461,'Gebinde-Kategorie'!$A$5:$M$45,13,0)+0,0))</f>
        <v>0</v>
      </c>
      <c r="R1461" s="61"/>
      <c r="S1461" s="62"/>
      <c r="T1461" s="62"/>
      <c r="U1461" s="55"/>
      <c r="V1461" s="57"/>
      <c r="W1461" s="57"/>
      <c r="X1461" s="55" t="n">
        <f aca="false">IF(A1461="","",IF(AND(Parameter!$B$21="Ja",ISNUMBER(U1461)),U1461,IF(IFERROR(VLOOKUP(D1461,Parameter!$A$35:$C$64,2,0),"Nein")="2+3",IF(ISNUMBER(SEARCH("grosser Artikel",BM1461)),2,IFERROR(VLOOKUP(BP1461,Parameter!$F$35:$G$64,2,0),2)),IF(OR(IFERROR(VLOOKUP(D1461,Parameter!$A$35:$C$64,2,0),"Nein")="Nein",IFERROR(VLOOKUP(D1461,Parameter!$A$35:$C$64,2,0),"Nein")=""),"-",VLOOKUP(D1461,Parameter!$A$35:$C$64,2,0)))))</f>
        <v>2</v>
      </c>
      <c r="Y1461" s="62"/>
      <c r="Z1461" s="63"/>
      <c r="AA1461" s="57" t="n">
        <f aca="false">AP1461</f>
        <v>68</v>
      </c>
      <c r="AB1461" s="57" t="n">
        <f aca="false">MAX(AP1461,G1461)</f>
        <v>68</v>
      </c>
      <c r="AC1461" s="64"/>
      <c r="AD1461" s="57" t="n">
        <f aca="false">IF(LEFT(Cockpit!$C$5,1)="A",G1461,IF(BW1461=1,BX1461,IF(LEFT(Cockpit!$C$5,1)="B",AH1461,MAX(AH1461,G1461))))</f>
        <v>0</v>
      </c>
      <c r="AE1461" s="57" t="n">
        <f aca="false">IF(BR1461=1,0,ROUNDUP(AD1461/BQ1461,0))</f>
        <v>0</v>
      </c>
      <c r="AF1461" s="59" t="n">
        <f aca="false">IF(CD1461&gt;0,CD1461*MAX(1,AD1461/V1461),IF(BR1461=1,IF(AD1461&lt;=0,0,BS1461*MAX(1,IF(G1461&gt;0,AD1461/G1461,1))),IF(Q1461&gt;0,AE1461/Q1461,0))/MAX(0.1,N(Parameter!$M$21)))</f>
        <v>0</v>
      </c>
      <c r="AG1461" s="57" t="n">
        <f aca="false">AD1461*F1461</f>
        <v>0</v>
      </c>
      <c r="AH1461" s="57" t="n">
        <f aca="false">ROUNDUP(MAX(I1461/IF(BV1461&gt;0,BV1461,MAX(0.1,N(Cockpit!$C$6))),BY1461)/BQ1461,0)*BQ1461</f>
        <v>68</v>
      </c>
      <c r="AI1461" s="58" t="n">
        <f aca="false">IF(AF1461&gt;0,I1461/AF1461,-1)</f>
        <v>-1</v>
      </c>
      <c r="AJ1461" s="58" t="str">
        <f aca="false">IF(AND(OR(BU1461="L1",BU1461="L23"),AF1461&gt;0),SUMIFS($AF$7:$AF$1576,$BU$7:$BU$1576,BU1461,$AI$7:$AI$1576,"&gt;"&amp;AI1461)+SUMIFS($AF$7:$AF$1576,$BU$7:$BU$1576,BU1461,$AI$7:$AI$1576,AI1461,$BO$7:$BO$1576,"&lt;="&amp;BO1461),"")</f>
        <v/>
      </c>
      <c r="AK1461" s="65" t="n">
        <f aca="false">IF(AJ1461="",0,MAX(0,MIN(1,(IF(BU1461="L1",Parameter!$E$5,Parameter!$E$6+Parameter!$E$7)-(AJ1461-AF1461))/AF1461)))</f>
        <v>0</v>
      </c>
      <c r="AL1461" s="57" t="n">
        <f aca="false">IF(LEFT(Cockpit!$I$5,1)="A",G1461,IF(BW1461=1,BX1461,IF(LEFT(Cockpit!$I$5,1)="B",AP1461,MAX(AP1461,G1461))))</f>
        <v>68</v>
      </c>
      <c r="AM1461" s="57" t="n">
        <f aca="false">IF(BR1461=1,0,ROUNDUP(AL1461/BQ1461,0))</f>
        <v>0</v>
      </c>
      <c r="AN1461" s="59" t="n">
        <f aca="false">IF(CD1461&gt;0,CD1461*MAX(1,AL1461/V1461),IF(BR1461=1,IF(AL1461&lt;=0,0,BS1461*MAX(1,IF(G1461&gt;0,AL1461/G1461,1))),IF(Q1461&gt;0,AM1461/Q1461,0))/MAX(0.1,N(Parameter!$M$21)))</f>
        <v>0.15</v>
      </c>
      <c r="AO1461" s="57" t="n">
        <f aca="false">AL1461*F1461</f>
        <v>34946.56</v>
      </c>
      <c r="AP1461" s="57" t="n">
        <f aca="false">ROUNDUP(MAX(I1461/IF(BV1461&gt;0,BV1461,MAX(0.1,N(Cockpit!$I$6))),BY1461)/BQ1461,0)*BQ1461</f>
        <v>68</v>
      </c>
      <c r="AQ1461" s="58" t="n">
        <f aca="false">IF(AN1461&gt;0,I1461/AN1461,-1)</f>
        <v>900</v>
      </c>
      <c r="AR1461" s="58" t="n">
        <f aca="false">IF(AND(OR(BU1461="L1",BU1461="L23"),AN1461&gt;0),SUMIFS($AN$7:$AN$1576,$BU$7:$BU$1576,BU1461,$AQ$7:$AQ$1576,"&gt;"&amp;AQ1461)+SUMIFS($AN$7:$AN$1576,$BU$7:$BU$1576,BU1461,$AQ$7:$AQ$1576,AQ1461,$BO$7:$BO$1576,"&lt;="&amp;BO1461),"")</f>
        <v>24.3880094908467</v>
      </c>
      <c r="AS1461" s="65" t="n">
        <f aca="false">IF(AR1461="",0,MAX(0,MIN(1,(IF(BU1461="L1",Parameter!$E$5,Parameter!$E$6+Parameter!$E$7)-(AR1461-AN1461))/AN1461)))</f>
        <v>1</v>
      </c>
      <c r="AT1461" s="57" t="n">
        <f aca="false">IF(LEFT(Cockpit!$O$5,1)="A",G1461,IF(BW1461=1,BX1461,IF(LEFT(Cockpit!$O$5,1)="B",AX1461,MAX(AX1461,G1461))))</f>
        <v>45</v>
      </c>
      <c r="AU1461" s="57" t="n">
        <f aca="false">IF(BR1461=1,0,ROUNDUP(AT1461/BQ1461,0))</f>
        <v>0</v>
      </c>
      <c r="AV1461" s="59" t="n">
        <f aca="false">IF(CD1461&gt;0,CD1461*MAX(1,AT1461/V1461),IF(BR1461=1,IF(AT1461&lt;=0,0,BS1461*MAX(1,IF(G1461&gt;0,AT1461/G1461,1))),IF(Q1461&gt;0,AU1461/Q1461,0))/MAX(0.1,N(Parameter!$M$21)))</f>
        <v>0.15</v>
      </c>
      <c r="AW1461" s="57" t="n">
        <f aca="false">AT1461*F1461</f>
        <v>23126.4</v>
      </c>
      <c r="AX1461" s="57" t="n">
        <f aca="false">ROUNDUP(MAX(I1461/IF(BV1461&gt;0,BV1461,MAX(0.1,N(Cockpit!$O$6))),BY1461)/BQ1461,0)*BQ1461</f>
        <v>45</v>
      </c>
      <c r="AY1461" s="58" t="n">
        <f aca="false">IF(AV1461&gt;0,I1461/AV1461,-1)</f>
        <v>900</v>
      </c>
      <c r="AZ1461" s="58" t="n">
        <f aca="false">IF(AND(OR(BU1461="L1",BU1461="L23"),AV1461&gt;0),SUMIFS($AV$7:$AV$1576,$BU$7:$BU$1576,BU1461,$AY$7:$AY$1576,"&gt;"&amp;AY1461)+SUMIFS($AV$7:$AV$1576,$BU$7:$BU$1576,BU1461,$AY$7:$AY$1576,AY1461,$BO$7:$BO$1576,"&lt;="&amp;BO1461),"")</f>
        <v>24.1216924745297</v>
      </c>
      <c r="BA1461" s="65" t="n">
        <f aca="false">IF(AZ1461="",0,MAX(0,MIN(1,(IF(BU1461="L1",Parameter!$E$5,Parameter!$E$6+Parameter!$E$7)-(AZ1461-AV1461))/AV1461)))</f>
        <v>1</v>
      </c>
      <c r="BB1461" s="55" t="str">
        <f aca="false">IF(AF1461&lt;=0,"",IF(BU1461="Aussen","Aussenlager",IF(BU1461="-","Nicht im Lift",IF(AK1461&gt;=1,"Lift",IF(AK1461&lt;=0,"Aussenlager","teilweise")))))</f>
        <v/>
      </c>
      <c r="BC1461" s="55" t="str">
        <f aca="false">IF(AN1461&lt;=0,"",IF(BU1461="Aussen","Aussenlager",IF(BU1461="-","Nicht im Lift",IF(AS1461&gt;=1,"Lift",IF(AS1461&lt;=0,"Aussenlager","teilweise")))))</f>
        <v>Lift</v>
      </c>
      <c r="BD1461" s="55" t="str">
        <f aca="false">IF(AV1461&lt;=0,"",IF(BU1461="Aussen","Aussenlager",IF(BU1461="-","Nicht im Lift",IF(BA1461&gt;=1,"Lift",IF(BA1461&lt;=0,"Aussenlager","teilweise")))))</f>
        <v>Lift</v>
      </c>
      <c r="BE1461" s="55" t="str">
        <f aca="false">IF(A1461="","",IF(BN1461=1,"Neu; ","")&amp;IF(AND(BN1461=0,BI1461&lt;0),"negativer Bestand (Export "&amp;BI1461&amp;"); ","")&amp;IF(I1461&lt;=0,"Kein Verbrauch; ","")&amp;IF(CD1461&gt;0,"Lift "&amp;U1461&amp;" lt. Liftbericht (Fach "&amp;V1461&amp;" Stk); ",IF(BR1461=1,"Lose – Fläche geschätzt; ",""))&amp;IF(G1461&gt;AP1461,"Überbestand "&amp;ROUND(G1461-AP1461,0)&amp;" Stk / CHF "&amp;ROUND((G1461-AP1461)*F1461,0)&amp;"; ","")&amp;IF(AND(BW1461=1,BX1461&lt;BY1461),"MAX &lt; MB+LG; ","")&amp;IF(AND(CC1461&gt;0,CB1461*10&gt;CC1461),"zu hoch für Tablar; ","")&amp;IF(AND(BN1461=0,OR(BW1461=1,Y1461&lt;&gt;"",S1461&lt;&gt;"",T1461&lt;&gt;"",Z1461&lt;&gt;"")),"manuell übersteuert; ","")&amp;IF(AND(BR1461=0,Q1461=0),"Gebinde unbekannt / Stellmass fehlt; ","")&amp;IF(AND(BR1461=0,N(T1461)&lt;=0,N(P1461)&lt;=0),"Menge pro Gebinde fehlt (Ist = 1 Gebinde); ","")&amp;BM1461)</f>
        <v>negativer Bestand (Export -40); Lose – Fläche geschätzt; </v>
      </c>
      <c r="BF1461" s="55"/>
      <c r="BG1461" s="55"/>
      <c r="BH1461" s="62"/>
      <c r="BI1461" s="57" t="n">
        <v>-40</v>
      </c>
      <c r="BJ1461" s="57" t="n">
        <v>0</v>
      </c>
      <c r="BK1461" s="56" t="n">
        <v>-21904</v>
      </c>
      <c r="BL1461" s="57" t="n">
        <v>135</v>
      </c>
      <c r="BM1461" s="55"/>
      <c r="BN1461" s="60" t="n">
        <v>0</v>
      </c>
      <c r="BO1461" s="60" t="n">
        <v>1461</v>
      </c>
      <c r="BP1461" s="55" t="str">
        <f aca="false">IF(S1461&lt;&gt;"",UPPER(TRIM(S1461)),IF(O1461="","LOSE",O1461))</f>
        <v>LOSE</v>
      </c>
      <c r="BQ1461" s="57" t="n">
        <f aca="false">IF(BP1461="LOSE",1,IF(N(T1461)&gt;0,T1461,IF(N(P1461)&gt;0,P1461,MAX(1,G1461))))</f>
        <v>1</v>
      </c>
      <c r="BR1461" s="60" t="n">
        <f aca="false">IF(BP1461="LOSE",1,0)</f>
        <v>1</v>
      </c>
      <c r="BS1461" s="59" t="n">
        <f aca="false">IF(BR1461=0,0,IF(N(R1461)&gt;0,R1461,IFERROR(VLOOKUP(D1461,Parameter!$A$35:$C$64,3,0)+0,0)))</f>
        <v>0.15</v>
      </c>
      <c r="BT1461" s="55" t="n">
        <f aca="false">IF(Y1461&lt;&gt;"",Y1461,X1461)</f>
        <v>2</v>
      </c>
      <c r="BU1461" s="55" t="str">
        <f aca="false">IF(BT1461=1,"L1",IF(OR(BT1461=2,BT1461=3),"L23",IF(BT1461="Aussen","Aussen","-")))</f>
        <v>L23</v>
      </c>
      <c r="BV1461" s="66" t="n">
        <f aca="false">IF(N(Z1461)&gt;0,Z1461,0)</f>
        <v>0</v>
      </c>
      <c r="BW1461" s="60" t="n">
        <f aca="false">IF(ISNUMBER(AC1461),1,0)</f>
        <v>0</v>
      </c>
      <c r="BX1461" s="57" t="n">
        <f aca="false">N(AC1461)</f>
        <v>0</v>
      </c>
      <c r="BY1461" s="57" t="n">
        <f aca="false">N(L1461)+N(M1461)</f>
        <v>4</v>
      </c>
      <c r="BZ1461" s="57" t="n">
        <f aca="false">ROUNDUP(G1461/BQ1461,0)</f>
        <v>0</v>
      </c>
      <c r="CA1461" s="57" t="n">
        <f aca="false">ROUNDUP(BX1461/BQ1461,0)</f>
        <v>0</v>
      </c>
      <c r="CB1461" s="60" t="n">
        <f aca="false">IF(BR1461=1,0,IFERROR(VLOOKUP(BP1461,'Gebinde-Kategorie'!$A$5:$M$45,5,0)+0,0))</f>
        <v>0</v>
      </c>
      <c r="CC1461" s="60" t="n">
        <f aca="false">IFERROR(IF(OR(BT1461=1,BT1461=2,BT1461=3),N(INDEX(Parameter!$I$5:$I$7,BT1461)),0),0)</f>
        <v>0</v>
      </c>
      <c r="CD1461" s="59" t="n">
        <f aca="false">IF(AND(Parameter!$B$21="Ja",ISNUMBER(U1461),N(V1461)&gt;0),IFERROR(N(INDEX(Parameter!$L$5:$L$7,U1461))*INDEX(Parameter!$E$5:$E$7,U1461)*V1461/SUMIFS($V$7:$V$1576,$U$7:$U$1576,U1461),0),0)</f>
        <v>0</v>
      </c>
    </row>
    <row r="1462" customFormat="false" ht="15" hidden="false" customHeight="false" outlineLevel="0" collapsed="false">
      <c r="A1462" s="55" t="s">
        <v>2541</v>
      </c>
      <c r="B1462" s="55" t="s">
        <v>2370</v>
      </c>
      <c r="C1462" s="55" t="s">
        <v>160</v>
      </c>
      <c r="D1462" s="55" t="s">
        <v>161</v>
      </c>
      <c r="E1462" s="55"/>
      <c r="F1462" s="56" t="n">
        <v>2045.23</v>
      </c>
      <c r="G1462" s="57" t="n">
        <f aca="false">MAX(0,IF(AND(Parameter!$B$21="Ja",ISNUMBER(W1462)),W1462,IF(Parameter!$B$20="Jahresanfang 2025 + Export",BJ1462+BI1462,BI1462)))</f>
        <v>10</v>
      </c>
      <c r="H1462" s="57" t="n">
        <f aca="false">G1462*F1462</f>
        <v>20452.3</v>
      </c>
      <c r="I1462" s="57" t="n">
        <f aca="false">BL1462*Parameter!$B$18</f>
        <v>55</v>
      </c>
      <c r="J1462" s="58"/>
      <c r="K1462" s="59"/>
      <c r="L1462" s="57" t="n">
        <v>2</v>
      </c>
      <c r="M1462" s="57" t="n">
        <v>10</v>
      </c>
      <c r="N1462" s="60"/>
      <c r="O1462" s="55" t="s">
        <v>163</v>
      </c>
      <c r="P1462" s="57"/>
      <c r="Q1462" s="60" t="n">
        <f aca="false">IF(BR1462=1,0,IFERROR(VLOOKUP(BP1462,'Gebinde-Kategorie'!$A$5:$M$45,13,0)+0,0))</f>
        <v>0</v>
      </c>
      <c r="R1462" s="61"/>
      <c r="S1462" s="62"/>
      <c r="T1462" s="62"/>
      <c r="U1462" s="55" t="n">
        <v>1</v>
      </c>
      <c r="V1462" s="57" t="n">
        <v>13</v>
      </c>
      <c r="W1462" s="57" t="n">
        <v>10</v>
      </c>
      <c r="X1462" s="55" t="n">
        <f aca="false">IF(A1462="","",IF(AND(Parameter!$B$21="Ja",ISNUMBER(U1462)),U1462,IF(IFERROR(VLOOKUP(D1462,Parameter!$A$35:$C$64,2,0),"Nein")="2+3",IF(ISNUMBER(SEARCH("grosser Artikel",BM1462)),2,IFERROR(VLOOKUP(BP1462,Parameter!$F$35:$G$64,2,0),2)),IF(OR(IFERROR(VLOOKUP(D1462,Parameter!$A$35:$C$64,2,0),"Nein")="Nein",IFERROR(VLOOKUP(D1462,Parameter!$A$35:$C$64,2,0),"Nein")=""),"-",VLOOKUP(D1462,Parameter!$A$35:$C$64,2,0)))))</f>
        <v>1</v>
      </c>
      <c r="Y1462" s="62"/>
      <c r="Z1462" s="63"/>
      <c r="AA1462" s="57" t="n">
        <f aca="false">AP1462</f>
        <v>28</v>
      </c>
      <c r="AB1462" s="57" t="n">
        <f aca="false">MAX(AP1462,G1462)</f>
        <v>28</v>
      </c>
      <c r="AC1462" s="64"/>
      <c r="AD1462" s="57" t="n">
        <f aca="false">IF(LEFT(Cockpit!$C$5,1)="A",G1462,IF(BW1462=1,BX1462,IF(LEFT(Cockpit!$C$5,1)="B",AH1462,MAX(AH1462,G1462))))</f>
        <v>10</v>
      </c>
      <c r="AE1462" s="57" t="n">
        <f aca="false">IF(BR1462=1,0,ROUNDUP(AD1462/BQ1462,0))</f>
        <v>0</v>
      </c>
      <c r="AF1462" s="59" t="n">
        <f aca="false">IF(CD1462&gt;0,CD1462*MAX(1,AD1462/V1462),IF(BR1462=1,IF(AD1462&lt;=0,0,BS1462*MAX(1,IF(G1462&gt;0,AD1462/G1462,1))),IF(Q1462&gt;0,AE1462/Q1462,0))/MAX(0.1,N(Parameter!$M$21)))</f>
        <v>1.04048964218456</v>
      </c>
      <c r="AG1462" s="57" t="n">
        <f aca="false">AD1462*F1462</f>
        <v>20452.3</v>
      </c>
      <c r="AH1462" s="57" t="n">
        <f aca="false">ROUNDUP(MAX(I1462/IF(BV1462&gt;0,BV1462,MAX(0.1,N(Cockpit!$C$6))),BY1462)/BQ1462,0)*BQ1462</f>
        <v>28</v>
      </c>
      <c r="AI1462" s="58" t="n">
        <f aca="false">IF(AF1462&gt;0,I1462/AF1462,-1)</f>
        <v>52.8597285067873</v>
      </c>
      <c r="AJ1462" s="58" t="n">
        <f aca="false">IF(AND(OR(BU1462="L1",BU1462="L23"),AF1462&gt;0),SUMIFS($AF$7:$AF$1576,$BU$7:$BU$1576,BU1462,$AI$7:$AI$1576,"&gt;"&amp;AI1462)+SUMIFS($AF$7:$AF$1576,$BU$7:$BU$1576,BU1462,$AI$7:$AI$1576,AI1462,$BO$7:$BO$1576,"&lt;="&amp;BO1462),"")</f>
        <v>2.00094161958569</v>
      </c>
      <c r="AK1462" s="65" t="n">
        <f aca="false">IF(AJ1462="",0,MAX(0,MIN(1,(IF(BU1462="L1",Parameter!$E$5,Parameter!$E$6+Parameter!$E$7)-(AJ1462-AF1462))/AF1462)))</f>
        <v>1</v>
      </c>
      <c r="AL1462" s="57" t="n">
        <f aca="false">IF(LEFT(Cockpit!$I$5,1)="A",G1462,IF(BW1462=1,BX1462,IF(LEFT(Cockpit!$I$5,1)="B",AP1462,MAX(AP1462,G1462))))</f>
        <v>28</v>
      </c>
      <c r="AM1462" s="57" t="n">
        <f aca="false">IF(BR1462=1,0,ROUNDUP(AL1462/BQ1462,0))</f>
        <v>0</v>
      </c>
      <c r="AN1462" s="59" t="n">
        <f aca="false">IF(CD1462&gt;0,CD1462*MAX(1,AL1462/V1462),IF(BR1462=1,IF(AL1462&lt;=0,0,BS1462*MAX(1,IF(G1462&gt;0,AL1462/G1462,1))),IF(Q1462&gt;0,AM1462/Q1462,0))/MAX(0.1,N(Parameter!$M$21)))</f>
        <v>2.24105461393597</v>
      </c>
      <c r="AO1462" s="57" t="n">
        <f aca="false">AL1462*F1462</f>
        <v>57266.44</v>
      </c>
      <c r="AP1462" s="57" t="n">
        <f aca="false">ROUNDUP(MAX(I1462/IF(BV1462&gt;0,BV1462,MAX(0.1,N(Cockpit!$I$6))),BY1462)/BQ1462,0)*BQ1462</f>
        <v>28</v>
      </c>
      <c r="AQ1462" s="58" t="n">
        <f aca="false">IF(AN1462&gt;0,I1462/AN1462,-1)</f>
        <v>24.5420168067227</v>
      </c>
      <c r="AR1462" s="58" t="n">
        <f aca="false">IF(AND(OR(BU1462="L1",BU1462="L23"),AN1462&gt;0),SUMIFS($AN$7:$AN$1576,$BU$7:$BU$1576,BU1462,$AQ$7:$AQ$1576,"&gt;"&amp;AQ1462)+SUMIFS($AN$7:$AN$1576,$BU$7:$BU$1576,BU1462,$AQ$7:$AQ$1576,AQ1462,$BO$7:$BO$1576,"&lt;="&amp;BO1462),"")</f>
        <v>11.1252354048964</v>
      </c>
      <c r="AS1462" s="65" t="n">
        <f aca="false">IF(AR1462="",0,MAX(0,MIN(1,(IF(BU1462="L1",Parameter!$E$5,Parameter!$E$6+Parameter!$E$7)-(AR1462-AN1462))/AN1462)))</f>
        <v>1</v>
      </c>
      <c r="AT1462" s="57" t="n">
        <f aca="false">IF(LEFT(Cockpit!$O$5,1)="A",G1462,IF(BW1462=1,BX1462,IF(LEFT(Cockpit!$O$5,1)="B",AX1462,MAX(AX1462,G1462))))</f>
        <v>19</v>
      </c>
      <c r="AU1462" s="57" t="n">
        <f aca="false">IF(BR1462=1,0,ROUNDUP(AT1462/BQ1462,0))</f>
        <v>0</v>
      </c>
      <c r="AV1462" s="59" t="n">
        <f aca="false">IF(CD1462&gt;0,CD1462*MAX(1,AT1462/V1462),IF(BR1462=1,IF(AT1462&lt;=0,0,BS1462*MAX(1,IF(G1462&gt;0,AT1462/G1462,1))),IF(Q1462&gt;0,AU1462/Q1462,0))/MAX(0.1,N(Parameter!$M$21)))</f>
        <v>1.52071563088512</v>
      </c>
      <c r="AW1462" s="57" t="n">
        <f aca="false">AT1462*F1462</f>
        <v>38859.37</v>
      </c>
      <c r="AX1462" s="57" t="n">
        <f aca="false">ROUNDUP(MAX(I1462/IF(BV1462&gt;0,BV1462,MAX(0.1,N(Cockpit!$O$6))),BY1462)/BQ1462,0)*BQ1462</f>
        <v>19</v>
      </c>
      <c r="AY1462" s="58" t="n">
        <f aca="false">IF(AV1462&gt;0,I1462/AV1462,-1)</f>
        <v>36.1671826625387</v>
      </c>
      <c r="AZ1462" s="58" t="n">
        <f aca="false">IF(AND(OR(BU1462="L1",BU1462="L23"),AV1462&gt;0),SUMIFS($AV$7:$AV$1576,$BU$7:$BU$1576,BU1462,$AY$7:$AY$1576,"&gt;"&amp;AY1462)+SUMIFS($AV$7:$AV$1576,$BU$7:$BU$1576,BU1462,$AY$7:$AY$1576,AY1462,$BO$7:$BO$1576,"&lt;="&amp;BO1462),"")</f>
        <v>3.44161958568738</v>
      </c>
      <c r="BA1462" s="65" t="n">
        <f aca="false">IF(AZ1462="",0,MAX(0,MIN(1,(IF(BU1462="L1",Parameter!$E$5,Parameter!$E$6+Parameter!$E$7)-(AZ1462-AV1462))/AV1462)))</f>
        <v>1</v>
      </c>
      <c r="BB1462" s="55" t="str">
        <f aca="false">IF(AF1462&lt;=0,"",IF(BU1462="Aussen","Aussenlager",IF(BU1462="-","Nicht im Lift",IF(AK1462&gt;=1,"Lift",IF(AK1462&lt;=0,"Aussenlager","teilweise")))))</f>
        <v>Lift</v>
      </c>
      <c r="BC1462" s="55" t="str">
        <f aca="false">IF(AN1462&lt;=0,"",IF(BU1462="Aussen","Aussenlager",IF(BU1462="-","Nicht im Lift",IF(AS1462&gt;=1,"Lift",IF(AS1462&lt;=0,"Aussenlager","teilweise")))))</f>
        <v>Lift</v>
      </c>
      <c r="BD1462" s="55" t="str">
        <f aca="false">IF(AV1462&lt;=0,"",IF(BU1462="Aussen","Aussenlager",IF(BU1462="-","Nicht im Lift",IF(BA1462&gt;=1,"Lift",IF(BA1462&lt;=0,"Aussenlager","teilweise")))))</f>
        <v>Lift</v>
      </c>
      <c r="BE1462" s="55" t="str">
        <f aca="false">IF(A1462="","",IF(BN1462=1,"Neu; ","")&amp;IF(AND(BN1462=0,BI1462&lt;0),"negativer Bestand (Export "&amp;BI1462&amp;"); ","")&amp;IF(I1462&lt;=0,"Kein Verbrauch; ","")&amp;IF(CD1462&gt;0,"Lift "&amp;U1462&amp;" lt. Liftbericht (Fach "&amp;V1462&amp;" Stk); ",IF(BR1462=1,"Lose – Fläche geschätzt; ",""))&amp;IF(G1462&gt;AP1462,"Überbestand "&amp;ROUND(G1462-AP1462,0)&amp;" Stk / CHF "&amp;ROUND((G1462-AP1462)*F1462,0)&amp;"; ","")&amp;IF(AND(BW1462=1,BX1462&lt;BY1462),"MAX &lt; MB+LG; ","")&amp;IF(AND(CC1462&gt;0,CB1462*10&gt;CC1462),"zu hoch für Tablar; ","")&amp;IF(AND(BN1462=0,OR(BW1462=1,Y1462&lt;&gt;"",S1462&lt;&gt;"",T1462&lt;&gt;"",Z1462&lt;&gt;"")),"manuell übersteuert; ","")&amp;IF(AND(BR1462=0,Q1462=0),"Gebinde unbekannt / Stellmass fehlt; ","")&amp;IF(AND(BR1462=0,N(T1462)&lt;=0,N(P1462)&lt;=0),"Menge pro Gebinde fehlt (Ist = 1 Gebinde); ","")&amp;BM1462)</f>
        <v>negativer Bestand (Export -24); Lift 1 lt. Liftbericht (Fach 13 Stk); Standartdüse</v>
      </c>
      <c r="BF1462" s="55"/>
      <c r="BG1462" s="55"/>
      <c r="BH1462" s="62"/>
      <c r="BI1462" s="57" t="n">
        <v>-24</v>
      </c>
      <c r="BJ1462" s="57" t="n">
        <v>0</v>
      </c>
      <c r="BK1462" s="56" t="n">
        <v>-22105.84</v>
      </c>
      <c r="BL1462" s="57" t="n">
        <v>55</v>
      </c>
      <c r="BM1462" s="55" t="s">
        <v>2384</v>
      </c>
      <c r="BN1462" s="60" t="n">
        <v>0</v>
      </c>
      <c r="BO1462" s="60" t="n">
        <v>1462</v>
      </c>
      <c r="BP1462" s="55" t="str">
        <f aca="false">IF(S1462&lt;&gt;"",UPPER(TRIM(S1462)),IF(O1462="","LOSE",O1462))</f>
        <v>LOSE</v>
      </c>
      <c r="BQ1462" s="57" t="n">
        <f aca="false">IF(BP1462="LOSE",1,IF(N(T1462)&gt;0,T1462,IF(N(P1462)&gt;0,P1462,MAX(1,G1462))))</f>
        <v>1</v>
      </c>
      <c r="BR1462" s="60" t="n">
        <f aca="false">IF(BP1462="LOSE",1,0)</f>
        <v>1</v>
      </c>
      <c r="BS1462" s="59" t="n">
        <f aca="false">IF(BR1462=0,0,IF(N(R1462)&gt;0,R1462,IFERROR(VLOOKUP(D1462,Parameter!$A$35:$C$64,3,0)+0,0)))</f>
        <v>1</v>
      </c>
      <c r="BT1462" s="55" t="n">
        <f aca="false">IF(Y1462&lt;&gt;"",Y1462,X1462)</f>
        <v>1</v>
      </c>
      <c r="BU1462" s="55" t="str">
        <f aca="false">IF(BT1462=1,"L1",IF(OR(BT1462=2,BT1462=3),"L23",IF(BT1462="Aussen","Aussen","-")))</f>
        <v>L1</v>
      </c>
      <c r="BV1462" s="66" t="n">
        <f aca="false">IF(N(Z1462)&gt;0,Z1462,0)</f>
        <v>0</v>
      </c>
      <c r="BW1462" s="60" t="n">
        <f aca="false">IF(ISNUMBER(AC1462),1,0)</f>
        <v>0</v>
      </c>
      <c r="BX1462" s="57" t="n">
        <f aca="false">N(AC1462)</f>
        <v>0</v>
      </c>
      <c r="BY1462" s="57" t="n">
        <f aca="false">N(L1462)+N(M1462)</f>
        <v>12</v>
      </c>
      <c r="BZ1462" s="57" t="n">
        <f aca="false">ROUNDUP(G1462/BQ1462,0)</f>
        <v>10</v>
      </c>
      <c r="CA1462" s="57" t="n">
        <f aca="false">ROUNDUP(BX1462/BQ1462,0)</f>
        <v>0</v>
      </c>
      <c r="CB1462" s="60" t="n">
        <f aca="false">IF(BR1462=1,0,IFERROR(VLOOKUP(BP1462,'Gebinde-Kategorie'!$A$5:$M$45,5,0)+0,0))</f>
        <v>0</v>
      </c>
      <c r="CC1462" s="60" t="n">
        <f aca="false">IFERROR(IF(OR(BT1462=1,BT1462=2,BT1462=3),N(INDEX(Parameter!$I$5:$I$7,BT1462)),0),0)</f>
        <v>0</v>
      </c>
      <c r="CD1462" s="59" t="n">
        <f aca="false">IF(AND(Parameter!$B$21="Ja",ISNUMBER(U1462),N(V1462)&gt;0),IFERROR(N(INDEX(Parameter!$L$5:$L$7,U1462))*INDEX(Parameter!$E$5:$E$7,U1462)*V1462/SUMIFS($V$7:$V$1576,$U$7:$U$1576,U1462),0),0)</f>
        <v>1.04048964218456</v>
      </c>
    </row>
    <row r="1463" customFormat="false" ht="15" hidden="false" customHeight="false" outlineLevel="0" collapsed="false">
      <c r="A1463" s="55" t="s">
        <v>2542</v>
      </c>
      <c r="B1463" s="55" t="s">
        <v>2543</v>
      </c>
      <c r="C1463" s="55" t="s">
        <v>162</v>
      </c>
      <c r="D1463" s="55" t="s">
        <v>1377</v>
      </c>
      <c r="E1463" s="55"/>
      <c r="F1463" s="56" t="n">
        <v>4524.05</v>
      </c>
      <c r="G1463" s="57" t="n">
        <f aca="false">MAX(0,IF(AND(Parameter!$B$21="Ja",ISNUMBER(W1463)),W1463,IF(Parameter!$B$20="Jahresanfang 2025 + Export",BJ1463+BI1463,BI1463)))</f>
        <v>0</v>
      </c>
      <c r="H1463" s="57" t="n">
        <f aca="false">G1463*F1463</f>
        <v>0</v>
      </c>
      <c r="I1463" s="57" t="n">
        <f aca="false">BL1463*Parameter!$B$18</f>
        <v>16</v>
      </c>
      <c r="J1463" s="58"/>
      <c r="K1463" s="59"/>
      <c r="L1463" s="57" t="n">
        <v>0</v>
      </c>
      <c r="M1463" s="57" t="n">
        <v>1</v>
      </c>
      <c r="N1463" s="60"/>
      <c r="O1463" s="55" t="s">
        <v>163</v>
      </c>
      <c r="P1463" s="57"/>
      <c r="Q1463" s="60" t="n">
        <f aca="false">IF(BR1463=1,0,IFERROR(VLOOKUP(BP1463,'Gebinde-Kategorie'!$A$5:$M$45,13,0)+0,0))</f>
        <v>0</v>
      </c>
      <c r="R1463" s="61"/>
      <c r="S1463" s="62"/>
      <c r="T1463" s="62"/>
      <c r="U1463" s="55"/>
      <c r="V1463" s="57"/>
      <c r="W1463" s="57"/>
      <c r="X1463" s="55" t="str">
        <f aca="false">IF(A1463="","",IF(AND(Parameter!$B$21="Ja",ISNUMBER(U1463)),U1463,IF(IFERROR(VLOOKUP(D1463,Parameter!$A$35:$C$64,2,0),"Nein")="2+3",IF(ISNUMBER(SEARCH("grosser Artikel",BM1463)),2,IFERROR(VLOOKUP(BP1463,Parameter!$F$35:$G$64,2,0),2)),IF(OR(IFERROR(VLOOKUP(D1463,Parameter!$A$35:$C$64,2,0),"Nein")="Nein",IFERROR(VLOOKUP(D1463,Parameter!$A$35:$C$64,2,0),"Nein")=""),"-",VLOOKUP(D1463,Parameter!$A$35:$C$64,2,0)))))</f>
        <v>-</v>
      </c>
      <c r="Y1463" s="62"/>
      <c r="Z1463" s="63"/>
      <c r="AA1463" s="57" t="n">
        <f aca="false">AP1463</f>
        <v>8</v>
      </c>
      <c r="AB1463" s="57" t="n">
        <f aca="false">MAX(AP1463,G1463)</f>
        <v>8</v>
      </c>
      <c r="AC1463" s="64"/>
      <c r="AD1463" s="57" t="n">
        <f aca="false">IF(LEFT(Cockpit!$C$5,1)="A",G1463,IF(BW1463=1,BX1463,IF(LEFT(Cockpit!$C$5,1)="B",AH1463,MAX(AH1463,G1463))))</f>
        <v>0</v>
      </c>
      <c r="AE1463" s="57" t="n">
        <f aca="false">IF(BR1463=1,0,ROUNDUP(AD1463/BQ1463,0))</f>
        <v>0</v>
      </c>
      <c r="AF1463" s="59" t="n">
        <f aca="false">IF(CD1463&gt;0,CD1463*MAX(1,AD1463/V1463),IF(BR1463=1,IF(AD1463&lt;=0,0,BS1463*MAX(1,IF(G1463&gt;0,AD1463/G1463,1))),IF(Q1463&gt;0,AE1463/Q1463,0))/MAX(0.1,N(Parameter!$M$21)))</f>
        <v>0</v>
      </c>
      <c r="AG1463" s="57" t="n">
        <f aca="false">AD1463*F1463</f>
        <v>0</v>
      </c>
      <c r="AH1463" s="57" t="n">
        <f aca="false">ROUNDUP(MAX(I1463/IF(BV1463&gt;0,BV1463,MAX(0.1,N(Cockpit!$C$6))),BY1463)/BQ1463,0)*BQ1463</f>
        <v>8</v>
      </c>
      <c r="AI1463" s="58" t="n">
        <f aca="false">IF(AF1463&gt;0,I1463/AF1463,-1)</f>
        <v>-1</v>
      </c>
      <c r="AJ1463" s="58" t="str">
        <f aca="false">IF(AND(OR(BU1463="L1",BU1463="L23"),AF1463&gt;0),SUMIFS($AF$7:$AF$1576,$BU$7:$BU$1576,BU1463,$AI$7:$AI$1576,"&gt;"&amp;AI1463)+SUMIFS($AF$7:$AF$1576,$BU$7:$BU$1576,BU1463,$AI$7:$AI$1576,AI1463,$BO$7:$BO$1576,"&lt;="&amp;BO1463),"")</f>
        <v/>
      </c>
      <c r="AK1463" s="65" t="n">
        <f aca="false">IF(AJ1463="",0,MAX(0,MIN(1,(IF(BU1463="L1",Parameter!$E$5,Parameter!$E$6+Parameter!$E$7)-(AJ1463-AF1463))/AF1463)))</f>
        <v>0</v>
      </c>
      <c r="AL1463" s="57" t="n">
        <f aca="false">IF(LEFT(Cockpit!$I$5,1)="A",G1463,IF(BW1463=1,BX1463,IF(LEFT(Cockpit!$I$5,1)="B",AP1463,MAX(AP1463,G1463))))</f>
        <v>8</v>
      </c>
      <c r="AM1463" s="57" t="n">
        <f aca="false">IF(BR1463=1,0,ROUNDUP(AL1463/BQ1463,0))</f>
        <v>0</v>
      </c>
      <c r="AN1463" s="59" t="n">
        <f aca="false">IF(CD1463&gt;0,CD1463*MAX(1,AL1463/V1463),IF(BR1463=1,IF(AL1463&lt;=0,0,BS1463*MAX(1,IF(G1463&gt;0,AL1463/G1463,1))),IF(Q1463&gt;0,AM1463/Q1463,0))/MAX(0.1,N(Parameter!$M$21)))</f>
        <v>0.15</v>
      </c>
      <c r="AO1463" s="57" t="n">
        <f aca="false">AL1463*F1463</f>
        <v>36192.4</v>
      </c>
      <c r="AP1463" s="57" t="n">
        <f aca="false">ROUNDUP(MAX(I1463/IF(BV1463&gt;0,BV1463,MAX(0.1,N(Cockpit!$I$6))),BY1463)/BQ1463,0)*BQ1463</f>
        <v>8</v>
      </c>
      <c r="AQ1463" s="58" t="n">
        <f aca="false">IF(AN1463&gt;0,I1463/AN1463,-1)</f>
        <v>106.666666666667</v>
      </c>
      <c r="AR1463" s="58" t="str">
        <f aca="false">IF(AND(OR(BU1463="L1",BU1463="L23"),AN1463&gt;0),SUMIFS($AN$7:$AN$1576,$BU$7:$BU$1576,BU1463,$AQ$7:$AQ$1576,"&gt;"&amp;AQ1463)+SUMIFS($AN$7:$AN$1576,$BU$7:$BU$1576,BU1463,$AQ$7:$AQ$1576,AQ1463,$BO$7:$BO$1576,"&lt;="&amp;BO1463),"")</f>
        <v/>
      </c>
      <c r="AS1463" s="65" t="n">
        <f aca="false">IF(AR1463="",0,MAX(0,MIN(1,(IF(BU1463="L1",Parameter!$E$5,Parameter!$E$6+Parameter!$E$7)-(AR1463-AN1463))/AN1463)))</f>
        <v>0</v>
      </c>
      <c r="AT1463" s="57" t="n">
        <f aca="false">IF(LEFT(Cockpit!$O$5,1)="A",G1463,IF(BW1463=1,BX1463,IF(LEFT(Cockpit!$O$5,1)="B",AX1463,MAX(AX1463,G1463))))</f>
        <v>6</v>
      </c>
      <c r="AU1463" s="57" t="n">
        <f aca="false">IF(BR1463=1,0,ROUNDUP(AT1463/BQ1463,0))</f>
        <v>0</v>
      </c>
      <c r="AV1463" s="59" t="n">
        <f aca="false">IF(CD1463&gt;0,CD1463*MAX(1,AT1463/V1463),IF(BR1463=1,IF(AT1463&lt;=0,0,BS1463*MAX(1,IF(G1463&gt;0,AT1463/G1463,1))),IF(Q1463&gt;0,AU1463/Q1463,0))/MAX(0.1,N(Parameter!$M$21)))</f>
        <v>0.15</v>
      </c>
      <c r="AW1463" s="57" t="n">
        <f aca="false">AT1463*F1463</f>
        <v>27144.3</v>
      </c>
      <c r="AX1463" s="57" t="n">
        <f aca="false">ROUNDUP(MAX(I1463/IF(BV1463&gt;0,BV1463,MAX(0.1,N(Cockpit!$O$6))),BY1463)/BQ1463,0)*BQ1463</f>
        <v>6</v>
      </c>
      <c r="AY1463" s="58" t="n">
        <f aca="false">IF(AV1463&gt;0,I1463/AV1463,-1)</f>
        <v>106.666666666667</v>
      </c>
      <c r="AZ1463" s="58" t="str">
        <f aca="false">IF(AND(OR(BU1463="L1",BU1463="L23"),AV1463&gt;0),SUMIFS($AV$7:$AV$1576,$BU$7:$BU$1576,BU1463,$AY$7:$AY$1576,"&gt;"&amp;AY1463)+SUMIFS($AV$7:$AV$1576,$BU$7:$BU$1576,BU1463,$AY$7:$AY$1576,AY1463,$BO$7:$BO$1576,"&lt;="&amp;BO1463),"")</f>
        <v/>
      </c>
      <c r="BA1463" s="65" t="n">
        <f aca="false">IF(AZ1463="",0,MAX(0,MIN(1,(IF(BU1463="L1",Parameter!$E$5,Parameter!$E$6+Parameter!$E$7)-(AZ1463-AV1463))/AV1463)))</f>
        <v>0</v>
      </c>
      <c r="BB1463" s="55" t="str">
        <f aca="false">IF(AF1463&lt;=0,"",IF(BU1463="Aussen","Aussenlager",IF(BU1463="-","Nicht im Lift",IF(AK1463&gt;=1,"Lift",IF(AK1463&lt;=0,"Aussenlager","teilweise")))))</f>
        <v/>
      </c>
      <c r="BC1463" s="55" t="str">
        <f aca="false">IF(AN1463&lt;=0,"",IF(BU1463="Aussen","Aussenlager",IF(BU1463="-","Nicht im Lift",IF(AS1463&gt;=1,"Lift",IF(AS1463&lt;=0,"Aussenlager","teilweise")))))</f>
        <v>Nicht im Lift</v>
      </c>
      <c r="BD1463" s="55" t="str">
        <f aca="false">IF(AV1463&lt;=0,"",IF(BU1463="Aussen","Aussenlager",IF(BU1463="-","Nicht im Lift",IF(BA1463&gt;=1,"Lift",IF(BA1463&lt;=0,"Aussenlager","teilweise")))))</f>
        <v>Nicht im Lift</v>
      </c>
      <c r="BE1463" s="55" t="str">
        <f aca="false">IF(A1463="","",IF(BN1463=1,"Neu; ","")&amp;IF(AND(BN1463=0,BI1463&lt;0),"negativer Bestand (Export "&amp;BI1463&amp;"); ","")&amp;IF(I1463&lt;=0,"Kein Verbrauch; ","")&amp;IF(CD1463&gt;0,"Lift "&amp;U1463&amp;" lt. Liftbericht (Fach "&amp;V1463&amp;" Stk); ",IF(BR1463=1,"Lose – Fläche geschätzt; ",""))&amp;IF(G1463&gt;AP1463,"Überbestand "&amp;ROUND(G1463-AP1463,0)&amp;" Stk / CHF "&amp;ROUND((G1463-AP1463)*F1463,0)&amp;"; ","")&amp;IF(AND(BW1463=1,BX1463&lt;BY1463),"MAX &lt; MB+LG; ","")&amp;IF(AND(CC1463&gt;0,CB1463*10&gt;CC1463),"zu hoch für Tablar; ","")&amp;IF(AND(BN1463=0,OR(BW1463=1,Y1463&lt;&gt;"",S1463&lt;&gt;"",T1463&lt;&gt;"",Z1463&lt;&gt;"")),"manuell übersteuert; ","")&amp;IF(AND(BR1463=0,Q1463=0),"Gebinde unbekannt / Stellmass fehlt; ","")&amp;IF(AND(BR1463=0,N(T1463)&lt;=0,N(P1463)&lt;=0),"Menge pro Gebinde fehlt (Ist = 1 Gebinde); ","")&amp;BM1463)</f>
        <v>negativer Bestand (Export -6); Lose – Fläche geschätzt; Neuer Art.</v>
      </c>
      <c r="BF1463" s="55"/>
      <c r="BG1463" s="55"/>
      <c r="BH1463" s="62"/>
      <c r="BI1463" s="57" t="n">
        <v>-6</v>
      </c>
      <c r="BJ1463" s="57" t="n">
        <v>0</v>
      </c>
      <c r="BK1463" s="56" t="n">
        <v>-26487.18</v>
      </c>
      <c r="BL1463" s="57" t="n">
        <v>16</v>
      </c>
      <c r="BM1463" s="55" t="s">
        <v>501</v>
      </c>
      <c r="BN1463" s="60" t="n">
        <v>0</v>
      </c>
      <c r="BO1463" s="60" t="n">
        <v>1463</v>
      </c>
      <c r="BP1463" s="55" t="str">
        <f aca="false">IF(S1463&lt;&gt;"",UPPER(TRIM(S1463)),IF(O1463="","LOSE",O1463))</f>
        <v>LOSE</v>
      </c>
      <c r="BQ1463" s="57" t="n">
        <f aca="false">IF(BP1463="LOSE",1,IF(N(T1463)&gt;0,T1463,IF(N(P1463)&gt;0,P1463,MAX(1,G1463))))</f>
        <v>1</v>
      </c>
      <c r="BR1463" s="60" t="n">
        <f aca="false">IF(BP1463="LOSE",1,0)</f>
        <v>1</v>
      </c>
      <c r="BS1463" s="59" t="n">
        <f aca="false">IF(BR1463=0,0,IF(N(R1463)&gt;0,R1463,IFERROR(VLOOKUP(D1463,Parameter!$A$35:$C$64,3,0)+0,0)))</f>
        <v>0.15</v>
      </c>
      <c r="BT1463" s="55" t="str">
        <f aca="false">IF(Y1463&lt;&gt;"",Y1463,X1463)</f>
        <v>-</v>
      </c>
      <c r="BU1463" s="55" t="str">
        <f aca="false">IF(BT1463=1,"L1",IF(OR(BT1463=2,BT1463=3),"L23",IF(BT1463="Aussen","Aussen","-")))</f>
        <v>-</v>
      </c>
      <c r="BV1463" s="66" t="n">
        <f aca="false">IF(N(Z1463)&gt;0,Z1463,0)</f>
        <v>0</v>
      </c>
      <c r="BW1463" s="60" t="n">
        <f aca="false">IF(ISNUMBER(AC1463),1,0)</f>
        <v>0</v>
      </c>
      <c r="BX1463" s="57" t="n">
        <f aca="false">N(AC1463)</f>
        <v>0</v>
      </c>
      <c r="BY1463" s="57" t="n">
        <f aca="false">N(L1463)+N(M1463)</f>
        <v>1</v>
      </c>
      <c r="BZ1463" s="57" t="n">
        <f aca="false">ROUNDUP(G1463/BQ1463,0)</f>
        <v>0</v>
      </c>
      <c r="CA1463" s="57" t="n">
        <f aca="false">ROUNDUP(BX1463/BQ1463,0)</f>
        <v>0</v>
      </c>
      <c r="CB1463" s="60" t="n">
        <f aca="false">IF(BR1463=1,0,IFERROR(VLOOKUP(BP1463,'Gebinde-Kategorie'!$A$5:$M$45,5,0)+0,0))</f>
        <v>0</v>
      </c>
      <c r="CC1463" s="60" t="n">
        <f aca="false">IFERROR(IF(OR(BT1463=1,BT1463=2,BT1463=3),N(INDEX(Parameter!$I$5:$I$7,BT1463)),0),0)</f>
        <v>0</v>
      </c>
      <c r="CD1463" s="59" t="n">
        <f aca="false">IF(AND(Parameter!$B$21="Ja",ISNUMBER(U1463),N(V1463)&gt;0),IFERROR(N(INDEX(Parameter!$L$5:$L$7,U1463))*INDEX(Parameter!$E$5:$E$7,U1463)*V1463/SUMIFS($V$7:$V$1576,$U$7:$U$1576,U1463),0),0)</f>
        <v>0</v>
      </c>
    </row>
    <row r="1464" customFormat="false" ht="15" hidden="false" customHeight="false" outlineLevel="0" collapsed="false">
      <c r="A1464" s="55" t="s">
        <v>2544</v>
      </c>
      <c r="B1464" s="55" t="s">
        <v>395</v>
      </c>
      <c r="C1464" s="55" t="s">
        <v>446</v>
      </c>
      <c r="D1464" s="55" t="s">
        <v>168</v>
      </c>
      <c r="E1464" s="55"/>
      <c r="F1464" s="56" t="n">
        <v>7.96</v>
      </c>
      <c r="G1464" s="57" t="n">
        <f aca="false">MAX(0,IF(AND(Parameter!$B$21="Ja",ISNUMBER(W1464)),W1464,IF(Parameter!$B$20="Jahresanfang 2025 + Export",BJ1464+BI1464,BI1464)))</f>
        <v>0</v>
      </c>
      <c r="H1464" s="57" t="n">
        <f aca="false">G1464*F1464</f>
        <v>0</v>
      </c>
      <c r="I1464" s="57" t="n">
        <f aca="false">BL1464*Parameter!$B$18</f>
        <v>6500</v>
      </c>
      <c r="J1464" s="58"/>
      <c r="K1464" s="59"/>
      <c r="L1464" s="57" t="n">
        <v>379</v>
      </c>
      <c r="M1464" s="57" t="n">
        <v>1435</v>
      </c>
      <c r="N1464" s="60"/>
      <c r="O1464" s="55" t="s">
        <v>163</v>
      </c>
      <c r="P1464" s="57"/>
      <c r="Q1464" s="60" t="n">
        <f aca="false">IF(BR1464=1,0,IFERROR(VLOOKUP(BP1464,'Gebinde-Kategorie'!$A$5:$M$45,13,0)+0,0))</f>
        <v>0</v>
      </c>
      <c r="R1464" s="61"/>
      <c r="S1464" s="62"/>
      <c r="T1464" s="62"/>
      <c r="U1464" s="55"/>
      <c r="V1464" s="57"/>
      <c r="W1464" s="57"/>
      <c r="X1464" s="55" t="n">
        <f aca="false">IF(A1464="","",IF(AND(Parameter!$B$21="Ja",ISNUMBER(U1464)),U1464,IF(IFERROR(VLOOKUP(D1464,Parameter!$A$35:$C$64,2,0),"Nein")="2+3",IF(ISNUMBER(SEARCH("grosser Artikel",BM1464)),2,IFERROR(VLOOKUP(BP1464,Parameter!$F$35:$G$64,2,0),2)),IF(OR(IFERROR(VLOOKUP(D1464,Parameter!$A$35:$C$64,2,0),"Nein")="Nein",IFERROR(VLOOKUP(D1464,Parameter!$A$35:$C$64,2,0),"Nein")=""),"-",VLOOKUP(D1464,Parameter!$A$35:$C$64,2,0)))))</f>
        <v>2</v>
      </c>
      <c r="Y1464" s="62"/>
      <c r="Z1464" s="63"/>
      <c r="AA1464" s="57" t="n">
        <f aca="false">AP1464</f>
        <v>3250</v>
      </c>
      <c r="AB1464" s="57" t="n">
        <f aca="false">MAX(AP1464,G1464)</f>
        <v>3250</v>
      </c>
      <c r="AC1464" s="64"/>
      <c r="AD1464" s="57" t="n">
        <f aca="false">IF(LEFT(Cockpit!$C$5,1)="A",G1464,IF(BW1464=1,BX1464,IF(LEFT(Cockpit!$C$5,1)="B",AH1464,MAX(AH1464,G1464))))</f>
        <v>0</v>
      </c>
      <c r="AE1464" s="57" t="n">
        <f aca="false">IF(BR1464=1,0,ROUNDUP(AD1464/BQ1464,0))</f>
        <v>0</v>
      </c>
      <c r="AF1464" s="59" t="n">
        <f aca="false">IF(CD1464&gt;0,CD1464*MAX(1,AD1464/V1464),IF(BR1464=1,IF(AD1464&lt;=0,0,BS1464*MAX(1,IF(G1464&gt;0,AD1464/G1464,1))),IF(Q1464&gt;0,AE1464/Q1464,0))/MAX(0.1,N(Parameter!$M$21)))</f>
        <v>0</v>
      </c>
      <c r="AG1464" s="57" t="n">
        <f aca="false">AD1464*F1464</f>
        <v>0</v>
      </c>
      <c r="AH1464" s="57" t="n">
        <f aca="false">ROUNDUP(MAX(I1464/IF(BV1464&gt;0,BV1464,MAX(0.1,N(Cockpit!$C$6))),BY1464)/BQ1464,0)*BQ1464</f>
        <v>3250</v>
      </c>
      <c r="AI1464" s="58" t="n">
        <f aca="false">IF(AF1464&gt;0,I1464/AF1464,-1)</f>
        <v>-1</v>
      </c>
      <c r="AJ1464" s="58" t="str">
        <f aca="false">IF(AND(OR(BU1464="L1",BU1464="L23"),AF1464&gt;0),SUMIFS($AF$7:$AF$1576,$BU$7:$BU$1576,BU1464,$AI$7:$AI$1576,"&gt;"&amp;AI1464)+SUMIFS($AF$7:$AF$1576,$BU$7:$BU$1576,BU1464,$AI$7:$AI$1576,AI1464,$BO$7:$BO$1576,"&lt;="&amp;BO1464),"")</f>
        <v/>
      </c>
      <c r="AK1464" s="65" t="n">
        <f aca="false">IF(AJ1464="",0,MAX(0,MIN(1,(IF(BU1464="L1",Parameter!$E$5,Parameter!$E$6+Parameter!$E$7)-(AJ1464-AF1464))/AF1464)))</f>
        <v>0</v>
      </c>
      <c r="AL1464" s="57" t="n">
        <f aca="false">IF(LEFT(Cockpit!$I$5,1)="A",G1464,IF(BW1464=1,BX1464,IF(LEFT(Cockpit!$I$5,1)="B",AP1464,MAX(AP1464,G1464))))</f>
        <v>3250</v>
      </c>
      <c r="AM1464" s="57" t="n">
        <f aca="false">IF(BR1464=1,0,ROUNDUP(AL1464/BQ1464,0))</f>
        <v>0</v>
      </c>
      <c r="AN1464" s="59" t="n">
        <f aca="false">IF(CD1464&gt;0,CD1464*MAX(1,AL1464/V1464),IF(BR1464=1,IF(AL1464&lt;=0,0,BS1464*MAX(1,IF(G1464&gt;0,AL1464/G1464,1))),IF(Q1464&gt;0,AM1464/Q1464,0))/MAX(0.1,N(Parameter!$M$21)))</f>
        <v>0.15</v>
      </c>
      <c r="AO1464" s="57" t="n">
        <f aca="false">AL1464*F1464</f>
        <v>25870</v>
      </c>
      <c r="AP1464" s="57" t="n">
        <f aca="false">ROUNDUP(MAX(I1464/IF(BV1464&gt;0,BV1464,MAX(0.1,N(Cockpit!$I$6))),BY1464)/BQ1464,0)*BQ1464</f>
        <v>3250</v>
      </c>
      <c r="AQ1464" s="58" t="n">
        <f aca="false">IF(AN1464&gt;0,I1464/AN1464,-1)</f>
        <v>43333.3333333333</v>
      </c>
      <c r="AR1464" s="58" t="n">
        <f aca="false">IF(AND(OR(BU1464="L1",BU1464="L23"),AN1464&gt;0),SUMIFS($AN$7:$AN$1576,$BU$7:$BU$1576,BU1464,$AQ$7:$AQ$1576,"&gt;"&amp;AQ1464)+SUMIFS($AN$7:$AN$1576,$BU$7:$BU$1576,BU1464,$AQ$7:$AQ$1576,AQ1464,$BO$7:$BO$1576,"&lt;="&amp;BO1464),"")</f>
        <v>1.75463092463092</v>
      </c>
      <c r="AS1464" s="65" t="n">
        <f aca="false">IF(AR1464="",0,MAX(0,MIN(1,(IF(BU1464="L1",Parameter!$E$5,Parameter!$E$6+Parameter!$E$7)-(AR1464-AN1464))/AN1464)))</f>
        <v>1</v>
      </c>
      <c r="AT1464" s="57" t="n">
        <f aca="false">IF(LEFT(Cockpit!$O$5,1)="A",G1464,IF(BW1464=1,BX1464,IF(LEFT(Cockpit!$O$5,1)="B",AX1464,MAX(AX1464,G1464))))</f>
        <v>2167</v>
      </c>
      <c r="AU1464" s="57" t="n">
        <f aca="false">IF(BR1464=1,0,ROUNDUP(AT1464/BQ1464,0))</f>
        <v>0</v>
      </c>
      <c r="AV1464" s="59" t="n">
        <f aca="false">IF(CD1464&gt;0,CD1464*MAX(1,AT1464/V1464),IF(BR1464=1,IF(AT1464&lt;=0,0,BS1464*MAX(1,IF(G1464&gt;0,AT1464/G1464,1))),IF(Q1464&gt;0,AU1464/Q1464,0))/MAX(0.1,N(Parameter!$M$21)))</f>
        <v>0.15</v>
      </c>
      <c r="AW1464" s="57" t="n">
        <f aca="false">AT1464*F1464</f>
        <v>17249.32</v>
      </c>
      <c r="AX1464" s="57" t="n">
        <f aca="false">ROUNDUP(MAX(I1464/IF(BV1464&gt;0,BV1464,MAX(0.1,N(Cockpit!$O$6))),BY1464)/BQ1464,0)*BQ1464</f>
        <v>2167</v>
      </c>
      <c r="AY1464" s="58" t="n">
        <f aca="false">IF(AV1464&gt;0,I1464/AV1464,-1)</f>
        <v>43333.3333333333</v>
      </c>
      <c r="AZ1464" s="58" t="n">
        <f aca="false">IF(AND(OR(BU1464="L1",BU1464="L23"),AV1464&gt;0),SUMIFS($AV$7:$AV$1576,$BU$7:$BU$1576,BU1464,$AY$7:$AY$1576,"&gt;"&amp;AY1464)+SUMIFS($AV$7:$AV$1576,$BU$7:$BU$1576,BU1464,$AY$7:$AY$1576,AY1464,$BO$7:$BO$1576,"&lt;="&amp;BO1464),"")</f>
        <v>2.083885003885</v>
      </c>
      <c r="BA1464" s="65" t="n">
        <f aca="false">IF(AZ1464="",0,MAX(0,MIN(1,(IF(BU1464="L1",Parameter!$E$5,Parameter!$E$6+Parameter!$E$7)-(AZ1464-AV1464))/AV1464)))</f>
        <v>1</v>
      </c>
      <c r="BB1464" s="55" t="str">
        <f aca="false">IF(AF1464&lt;=0,"",IF(BU1464="Aussen","Aussenlager",IF(BU1464="-","Nicht im Lift",IF(AK1464&gt;=1,"Lift",IF(AK1464&lt;=0,"Aussenlager","teilweise")))))</f>
        <v/>
      </c>
      <c r="BC1464" s="55" t="str">
        <f aca="false">IF(AN1464&lt;=0,"",IF(BU1464="Aussen","Aussenlager",IF(BU1464="-","Nicht im Lift",IF(AS1464&gt;=1,"Lift",IF(AS1464&lt;=0,"Aussenlager","teilweise")))))</f>
        <v>Lift</v>
      </c>
      <c r="BD1464" s="55" t="str">
        <f aca="false">IF(AV1464&lt;=0,"",IF(BU1464="Aussen","Aussenlager",IF(BU1464="-","Nicht im Lift",IF(BA1464&gt;=1,"Lift",IF(BA1464&lt;=0,"Aussenlager","teilweise")))))</f>
        <v>Lift</v>
      </c>
      <c r="BE1464" s="55" t="str">
        <f aca="false">IF(A1464="","",IF(BN1464=1,"Neu; ","")&amp;IF(AND(BN1464=0,BI1464&lt;0),"negativer Bestand (Export "&amp;BI1464&amp;"); ","")&amp;IF(I1464&lt;=0,"Kein Verbrauch; ","")&amp;IF(CD1464&gt;0,"Lift "&amp;U1464&amp;" lt. Liftbericht (Fach "&amp;V1464&amp;" Stk); ",IF(BR1464=1,"Lose – Fläche geschätzt; ",""))&amp;IF(G1464&gt;AP1464,"Überbestand "&amp;ROUND(G1464-AP1464,0)&amp;" Stk / CHF "&amp;ROUND((G1464-AP1464)*F1464,0)&amp;"; ","")&amp;IF(AND(BW1464=1,BX1464&lt;BY1464),"MAX &lt; MB+LG; ","")&amp;IF(AND(CC1464&gt;0,CB1464*10&gt;CC1464),"zu hoch für Tablar; ","")&amp;IF(AND(BN1464=0,OR(BW1464=1,Y1464&lt;&gt;"",S1464&lt;&gt;"",T1464&lt;&gt;"",Z1464&lt;&gt;"")),"manuell übersteuert; ","")&amp;IF(AND(BR1464=0,Q1464=0),"Gebinde unbekannt / Stellmass fehlt; ","")&amp;IF(AND(BR1464=0,N(T1464)&lt;=0,N(P1464)&lt;=0),"Menge pro Gebinde fehlt (Ist = 1 Gebinde); ","")&amp;BM1464)</f>
        <v>negativer Bestand (Export -3000); Lose – Fläche geschätzt; </v>
      </c>
      <c r="BF1464" s="55"/>
      <c r="BG1464" s="55"/>
      <c r="BH1464" s="62"/>
      <c r="BI1464" s="57" t="n">
        <v>-3000</v>
      </c>
      <c r="BJ1464" s="57" t="n">
        <v>0</v>
      </c>
      <c r="BK1464" s="56" t="n">
        <v>-26550</v>
      </c>
      <c r="BL1464" s="57" t="n">
        <v>6500</v>
      </c>
      <c r="BM1464" s="55"/>
      <c r="BN1464" s="60" t="n">
        <v>0</v>
      </c>
      <c r="BO1464" s="60" t="n">
        <v>1464</v>
      </c>
      <c r="BP1464" s="55" t="str">
        <f aca="false">IF(S1464&lt;&gt;"",UPPER(TRIM(S1464)),IF(O1464="","LOSE",O1464))</f>
        <v>LOSE</v>
      </c>
      <c r="BQ1464" s="57" t="n">
        <f aca="false">IF(BP1464="LOSE",1,IF(N(T1464)&gt;0,T1464,IF(N(P1464)&gt;0,P1464,MAX(1,G1464))))</f>
        <v>1</v>
      </c>
      <c r="BR1464" s="60" t="n">
        <f aca="false">IF(BP1464="LOSE",1,0)</f>
        <v>1</v>
      </c>
      <c r="BS1464" s="59" t="n">
        <f aca="false">IF(BR1464=0,0,IF(N(R1464)&gt;0,R1464,IFERROR(VLOOKUP(D1464,Parameter!$A$35:$C$64,3,0)+0,0)))</f>
        <v>0.15</v>
      </c>
      <c r="BT1464" s="55" t="n">
        <f aca="false">IF(Y1464&lt;&gt;"",Y1464,X1464)</f>
        <v>2</v>
      </c>
      <c r="BU1464" s="55" t="str">
        <f aca="false">IF(BT1464=1,"L1",IF(OR(BT1464=2,BT1464=3),"L23",IF(BT1464="Aussen","Aussen","-")))</f>
        <v>L23</v>
      </c>
      <c r="BV1464" s="66" t="n">
        <f aca="false">IF(N(Z1464)&gt;0,Z1464,0)</f>
        <v>0</v>
      </c>
      <c r="BW1464" s="60" t="n">
        <f aca="false">IF(ISNUMBER(AC1464),1,0)</f>
        <v>0</v>
      </c>
      <c r="BX1464" s="57" t="n">
        <f aca="false">N(AC1464)</f>
        <v>0</v>
      </c>
      <c r="BY1464" s="57" t="n">
        <f aca="false">N(L1464)+N(M1464)</f>
        <v>1814</v>
      </c>
      <c r="BZ1464" s="57" t="n">
        <f aca="false">ROUNDUP(G1464/BQ1464,0)</f>
        <v>0</v>
      </c>
      <c r="CA1464" s="57" t="n">
        <f aca="false">ROUNDUP(BX1464/BQ1464,0)</f>
        <v>0</v>
      </c>
      <c r="CB1464" s="60" t="n">
        <f aca="false">IF(BR1464=1,0,IFERROR(VLOOKUP(BP1464,'Gebinde-Kategorie'!$A$5:$M$45,5,0)+0,0))</f>
        <v>0</v>
      </c>
      <c r="CC1464" s="60" t="n">
        <f aca="false">IFERROR(IF(OR(BT1464=1,BT1464=2,BT1464=3),N(INDEX(Parameter!$I$5:$I$7,BT1464)),0),0)</f>
        <v>0</v>
      </c>
      <c r="CD1464" s="59" t="n">
        <f aca="false">IF(AND(Parameter!$B$21="Ja",ISNUMBER(U1464),N(V1464)&gt;0),IFERROR(N(INDEX(Parameter!$L$5:$L$7,U1464))*INDEX(Parameter!$E$5:$E$7,U1464)*V1464/SUMIFS($V$7:$V$1576,$U$7:$U$1576,U1464),0),0)</f>
        <v>0</v>
      </c>
    </row>
    <row r="1465" customFormat="false" ht="15" hidden="false" customHeight="false" outlineLevel="0" collapsed="false">
      <c r="A1465" s="55" t="s">
        <v>2545</v>
      </c>
      <c r="B1465" s="55" t="s">
        <v>159</v>
      </c>
      <c r="C1465" s="55" t="s">
        <v>160</v>
      </c>
      <c r="D1465" s="55" t="s">
        <v>161</v>
      </c>
      <c r="E1465" s="55"/>
      <c r="F1465" s="56" t="n">
        <v>4042.46</v>
      </c>
      <c r="G1465" s="57" t="n">
        <f aca="false">MAX(0,IF(AND(Parameter!$B$21="Ja",ISNUMBER(W1465)),W1465,IF(Parameter!$B$20="Jahresanfang 2025 + Export",BJ1465+BI1465,BI1465)))</f>
        <v>8</v>
      </c>
      <c r="H1465" s="57" t="n">
        <f aca="false">G1465*F1465</f>
        <v>32339.68</v>
      </c>
      <c r="I1465" s="57" t="n">
        <f aca="false">BL1465*Parameter!$B$18</f>
        <v>71</v>
      </c>
      <c r="J1465" s="58"/>
      <c r="K1465" s="59"/>
      <c r="L1465" s="57" t="n">
        <v>4</v>
      </c>
      <c r="M1465" s="57" t="n">
        <v>8</v>
      </c>
      <c r="N1465" s="60"/>
      <c r="O1465" s="55" t="s">
        <v>163</v>
      </c>
      <c r="P1465" s="57"/>
      <c r="Q1465" s="60" t="n">
        <f aca="false">IF(BR1465=1,0,IFERROR(VLOOKUP(BP1465,'Gebinde-Kategorie'!$A$5:$M$45,13,0)+0,0))</f>
        <v>0</v>
      </c>
      <c r="R1465" s="61"/>
      <c r="S1465" s="62"/>
      <c r="T1465" s="62"/>
      <c r="U1465" s="55" t="n">
        <v>1</v>
      </c>
      <c r="V1465" s="57" t="n">
        <v>11</v>
      </c>
      <c r="W1465" s="57" t="n">
        <v>8</v>
      </c>
      <c r="X1465" s="55" t="n">
        <f aca="false">IF(A1465="","",IF(AND(Parameter!$B$21="Ja",ISNUMBER(U1465)),U1465,IF(IFERROR(VLOOKUP(D1465,Parameter!$A$35:$C$64,2,0),"Nein")="2+3",IF(ISNUMBER(SEARCH("grosser Artikel",BM1465)),2,IFERROR(VLOOKUP(BP1465,Parameter!$F$35:$G$64,2,0),2)),IF(OR(IFERROR(VLOOKUP(D1465,Parameter!$A$35:$C$64,2,0),"Nein")="Nein",IFERROR(VLOOKUP(D1465,Parameter!$A$35:$C$64,2,0),"Nein")=""),"-",VLOOKUP(D1465,Parameter!$A$35:$C$64,2,0)))))</f>
        <v>1</v>
      </c>
      <c r="Y1465" s="62"/>
      <c r="Z1465" s="63"/>
      <c r="AA1465" s="57" t="n">
        <f aca="false">AP1465</f>
        <v>36</v>
      </c>
      <c r="AB1465" s="57" t="n">
        <f aca="false">MAX(AP1465,G1465)</f>
        <v>36</v>
      </c>
      <c r="AC1465" s="64"/>
      <c r="AD1465" s="57" t="n">
        <f aca="false">IF(LEFT(Cockpit!$C$5,1)="A",G1465,IF(BW1465=1,BX1465,IF(LEFT(Cockpit!$C$5,1)="B",AH1465,MAX(AH1465,G1465))))</f>
        <v>8</v>
      </c>
      <c r="AE1465" s="57" t="n">
        <f aca="false">IF(BR1465=1,0,ROUNDUP(AD1465/BQ1465,0))</f>
        <v>0</v>
      </c>
      <c r="AF1465" s="59" t="n">
        <f aca="false">IF(CD1465&gt;0,CD1465*MAX(1,AD1465/V1465),IF(BR1465=1,IF(AD1465&lt;=0,0,BS1465*MAX(1,IF(G1465&gt;0,AD1465/G1465,1))),IF(Q1465&gt;0,AE1465/Q1465,0))/MAX(0.1,N(Parameter!$M$21)))</f>
        <v>0.880414312617702</v>
      </c>
      <c r="AG1465" s="57" t="n">
        <f aca="false">AD1465*F1465</f>
        <v>32339.68</v>
      </c>
      <c r="AH1465" s="57" t="n">
        <f aca="false">ROUNDUP(MAX(I1465/IF(BV1465&gt;0,BV1465,MAX(0.1,N(Cockpit!$C$6))),BY1465)/BQ1465,0)*BQ1465</f>
        <v>36</v>
      </c>
      <c r="AI1465" s="58" t="n">
        <f aca="false">IF(AF1465&gt;0,I1465/AF1465,-1)</f>
        <v>80.6438502673797</v>
      </c>
      <c r="AJ1465" s="58" t="n">
        <f aca="false">IF(AND(OR(BU1465="L1",BU1465="L23"),AF1465&gt;0),SUMIFS($AF$7:$AF$1576,$BU$7:$BU$1576,BU1465,$AI$7:$AI$1576,"&gt;"&amp;AI1465)+SUMIFS($AF$7:$AF$1576,$BU$7:$BU$1576,BU1465,$AI$7:$AI$1576,AI1465,$BO$7:$BO$1576,"&lt;="&amp;BO1465),"")</f>
        <v>0.96045197740113</v>
      </c>
      <c r="AK1465" s="65" t="n">
        <f aca="false">IF(AJ1465="",0,MAX(0,MIN(1,(IF(BU1465="L1",Parameter!$E$5,Parameter!$E$6+Parameter!$E$7)-(AJ1465-AF1465))/AF1465)))</f>
        <v>1</v>
      </c>
      <c r="AL1465" s="57" t="n">
        <f aca="false">IF(LEFT(Cockpit!$I$5,1)="A",G1465,IF(BW1465=1,BX1465,IF(LEFT(Cockpit!$I$5,1)="B",AP1465,MAX(AP1465,G1465))))</f>
        <v>36</v>
      </c>
      <c r="AM1465" s="57" t="n">
        <f aca="false">IF(BR1465=1,0,ROUNDUP(AL1465/BQ1465,0))</f>
        <v>0</v>
      </c>
      <c r="AN1465" s="59" t="n">
        <f aca="false">IF(CD1465&gt;0,CD1465*MAX(1,AL1465/V1465),IF(BR1465=1,IF(AL1465&lt;=0,0,BS1465*MAX(1,IF(G1465&gt;0,AL1465/G1465,1))),IF(Q1465&gt;0,AM1465/Q1465,0))/MAX(0.1,N(Parameter!$M$21)))</f>
        <v>2.88135593220339</v>
      </c>
      <c r="AO1465" s="57" t="n">
        <f aca="false">AL1465*F1465</f>
        <v>145528.56</v>
      </c>
      <c r="AP1465" s="57" t="n">
        <f aca="false">ROUNDUP(MAX(I1465/IF(BV1465&gt;0,BV1465,MAX(0.1,N(Cockpit!$I$6))),BY1465)/BQ1465,0)*BQ1465</f>
        <v>36</v>
      </c>
      <c r="AQ1465" s="58" t="n">
        <f aca="false">IF(AN1465&gt;0,I1465/AN1465,-1)</f>
        <v>24.6411764705882</v>
      </c>
      <c r="AR1465" s="58" t="n">
        <f aca="false">IF(AND(OR(BU1465="L1",BU1465="L23"),AN1465&gt;0),SUMIFS($AN$7:$AN$1576,$BU$7:$BU$1576,BU1465,$AQ$7:$AQ$1576,"&gt;"&amp;AQ1465)+SUMIFS($AN$7:$AN$1576,$BU$7:$BU$1576,BU1465,$AQ$7:$AQ$1576,AQ1465,$BO$7:$BO$1576,"&lt;="&amp;BO1465),"")</f>
        <v>6.64312617702448</v>
      </c>
      <c r="AS1465" s="65" t="n">
        <f aca="false">IF(AR1465="",0,MAX(0,MIN(1,(IF(BU1465="L1",Parameter!$E$5,Parameter!$E$6+Parameter!$E$7)-(AR1465-AN1465))/AN1465)))</f>
        <v>1</v>
      </c>
      <c r="AT1465" s="57" t="n">
        <f aca="false">IF(LEFT(Cockpit!$O$5,1)="A",G1465,IF(BW1465=1,BX1465,IF(LEFT(Cockpit!$O$5,1)="B",AX1465,MAX(AX1465,G1465))))</f>
        <v>24</v>
      </c>
      <c r="AU1465" s="57" t="n">
        <f aca="false">IF(BR1465=1,0,ROUNDUP(AT1465/BQ1465,0))</f>
        <v>0</v>
      </c>
      <c r="AV1465" s="59" t="n">
        <f aca="false">IF(CD1465&gt;0,CD1465*MAX(1,AT1465/V1465),IF(BR1465=1,IF(AT1465&lt;=0,0,BS1465*MAX(1,IF(G1465&gt;0,AT1465/G1465,1))),IF(Q1465&gt;0,AU1465/Q1465,0))/MAX(0.1,N(Parameter!$M$21)))</f>
        <v>1.92090395480226</v>
      </c>
      <c r="AW1465" s="57" t="n">
        <f aca="false">AT1465*F1465</f>
        <v>97019.04</v>
      </c>
      <c r="AX1465" s="57" t="n">
        <f aca="false">ROUNDUP(MAX(I1465/IF(BV1465&gt;0,BV1465,MAX(0.1,N(Cockpit!$O$6))),BY1465)/BQ1465,0)*BQ1465</f>
        <v>24</v>
      </c>
      <c r="AY1465" s="58" t="n">
        <f aca="false">IF(AV1465&gt;0,I1465/AV1465,-1)</f>
        <v>36.9617647058824</v>
      </c>
      <c r="AZ1465" s="58" t="n">
        <f aca="false">IF(AND(OR(BU1465="L1",BU1465="L23"),AV1465&gt;0),SUMIFS($AV$7:$AV$1576,$BU$7:$BU$1576,BU1465,$AY$7:$AY$1576,"&gt;"&amp;AY1465)+SUMIFS($AV$7:$AV$1576,$BU$7:$BU$1576,BU1465,$AY$7:$AY$1576,AY1465,$BO$7:$BO$1576,"&lt;="&amp;BO1465),"")</f>
        <v>1.92090395480226</v>
      </c>
      <c r="BA1465" s="65" t="n">
        <f aca="false">IF(AZ1465="",0,MAX(0,MIN(1,(IF(BU1465="L1",Parameter!$E$5,Parameter!$E$6+Parameter!$E$7)-(AZ1465-AV1465))/AV1465)))</f>
        <v>1</v>
      </c>
      <c r="BB1465" s="55" t="str">
        <f aca="false">IF(AF1465&lt;=0,"",IF(BU1465="Aussen","Aussenlager",IF(BU1465="-","Nicht im Lift",IF(AK1465&gt;=1,"Lift",IF(AK1465&lt;=0,"Aussenlager","teilweise")))))</f>
        <v>Lift</v>
      </c>
      <c r="BC1465" s="55" t="str">
        <f aca="false">IF(AN1465&lt;=0,"",IF(BU1465="Aussen","Aussenlager",IF(BU1465="-","Nicht im Lift",IF(AS1465&gt;=1,"Lift",IF(AS1465&lt;=0,"Aussenlager","teilweise")))))</f>
        <v>Lift</v>
      </c>
      <c r="BD1465" s="55" t="str">
        <f aca="false">IF(AV1465&lt;=0,"",IF(BU1465="Aussen","Aussenlager",IF(BU1465="-","Nicht im Lift",IF(BA1465&gt;=1,"Lift",IF(BA1465&lt;=0,"Aussenlager","teilweise")))))</f>
        <v>Lift</v>
      </c>
      <c r="BE1465" s="55" t="str">
        <f aca="false">IF(A1465="","",IF(BN1465=1,"Neu; ","")&amp;IF(AND(BN1465=0,BI1465&lt;0),"negativer Bestand (Export "&amp;BI1465&amp;"); ","")&amp;IF(I1465&lt;=0,"Kein Verbrauch; ","")&amp;IF(CD1465&gt;0,"Lift "&amp;U1465&amp;" lt. Liftbericht (Fach "&amp;V1465&amp;" Stk); ",IF(BR1465=1,"Lose – Fläche geschätzt; ",""))&amp;IF(G1465&gt;AP1465,"Überbestand "&amp;ROUND(G1465-AP1465,0)&amp;" Stk / CHF "&amp;ROUND((G1465-AP1465)*F1465,0)&amp;"; ","")&amp;IF(AND(BW1465=1,BX1465&lt;BY1465),"MAX &lt; MB+LG; ","")&amp;IF(AND(CC1465&gt;0,CB1465*10&gt;CC1465),"zu hoch für Tablar; ","")&amp;IF(AND(BN1465=0,OR(BW1465=1,Y1465&lt;&gt;"",S1465&lt;&gt;"",T1465&lt;&gt;"",Z1465&lt;&gt;"")),"manuell übersteuert; ","")&amp;IF(AND(BR1465=0,Q1465=0),"Gebinde unbekannt / Stellmass fehlt; ","")&amp;IF(AND(BR1465=0,N(T1465)&lt;=0,N(P1465)&lt;=0),"Menge pro Gebinde fehlt (Ist = 1 Gebinde); ","")&amp;BM1465)</f>
        <v>negativer Bestand (Export -4); Lift 1 lt. Liftbericht (Fach 11 Stk); </v>
      </c>
      <c r="BF1465" s="55"/>
      <c r="BG1465" s="55"/>
      <c r="BH1465" s="62"/>
      <c r="BI1465" s="57" t="n">
        <v>-4</v>
      </c>
      <c r="BJ1465" s="57" t="n">
        <v>0</v>
      </c>
      <c r="BK1465" s="56" t="n">
        <v>-28135.8199999999</v>
      </c>
      <c r="BL1465" s="57" t="n">
        <v>71</v>
      </c>
      <c r="BM1465" s="55"/>
      <c r="BN1465" s="60" t="n">
        <v>0</v>
      </c>
      <c r="BO1465" s="60" t="n">
        <v>1465</v>
      </c>
      <c r="BP1465" s="55" t="str">
        <f aca="false">IF(S1465&lt;&gt;"",UPPER(TRIM(S1465)),IF(O1465="","LOSE",O1465))</f>
        <v>LOSE</v>
      </c>
      <c r="BQ1465" s="57" t="n">
        <f aca="false">IF(BP1465="LOSE",1,IF(N(T1465)&gt;0,T1465,IF(N(P1465)&gt;0,P1465,MAX(1,G1465))))</f>
        <v>1</v>
      </c>
      <c r="BR1465" s="60" t="n">
        <f aca="false">IF(BP1465="LOSE",1,0)</f>
        <v>1</v>
      </c>
      <c r="BS1465" s="59" t="n">
        <f aca="false">IF(BR1465=0,0,IF(N(R1465)&gt;0,R1465,IFERROR(VLOOKUP(D1465,Parameter!$A$35:$C$64,3,0)+0,0)))</f>
        <v>1</v>
      </c>
      <c r="BT1465" s="55" t="n">
        <f aca="false">IF(Y1465&lt;&gt;"",Y1465,X1465)</f>
        <v>1</v>
      </c>
      <c r="BU1465" s="55" t="str">
        <f aca="false">IF(BT1465=1,"L1",IF(OR(BT1465=2,BT1465=3),"L23",IF(BT1465="Aussen","Aussen","-")))</f>
        <v>L1</v>
      </c>
      <c r="BV1465" s="66" t="n">
        <f aca="false">IF(N(Z1465)&gt;0,Z1465,0)</f>
        <v>0</v>
      </c>
      <c r="BW1465" s="60" t="n">
        <f aca="false">IF(ISNUMBER(AC1465),1,0)</f>
        <v>0</v>
      </c>
      <c r="BX1465" s="57" t="n">
        <f aca="false">N(AC1465)</f>
        <v>0</v>
      </c>
      <c r="BY1465" s="57" t="n">
        <f aca="false">N(L1465)+N(M1465)</f>
        <v>12</v>
      </c>
      <c r="BZ1465" s="57" t="n">
        <f aca="false">ROUNDUP(G1465/BQ1465,0)</f>
        <v>8</v>
      </c>
      <c r="CA1465" s="57" t="n">
        <f aca="false">ROUNDUP(BX1465/BQ1465,0)</f>
        <v>0</v>
      </c>
      <c r="CB1465" s="60" t="n">
        <f aca="false">IF(BR1465=1,0,IFERROR(VLOOKUP(BP1465,'Gebinde-Kategorie'!$A$5:$M$45,5,0)+0,0))</f>
        <v>0</v>
      </c>
      <c r="CC1465" s="60" t="n">
        <f aca="false">IFERROR(IF(OR(BT1465=1,BT1465=2,BT1465=3),N(INDEX(Parameter!$I$5:$I$7,BT1465)),0),0)</f>
        <v>0</v>
      </c>
      <c r="CD1465" s="59" t="n">
        <f aca="false">IF(AND(Parameter!$B$21="Ja",ISNUMBER(U1465),N(V1465)&gt;0),IFERROR(N(INDEX(Parameter!$L$5:$L$7,U1465))*INDEX(Parameter!$E$5:$E$7,U1465)*V1465/SUMIFS($V$7:$V$1576,$U$7:$U$1576,U1465),0),0)</f>
        <v>0.880414312617702</v>
      </c>
    </row>
    <row r="1466" customFormat="false" ht="15" hidden="false" customHeight="false" outlineLevel="0" collapsed="false">
      <c r="A1466" s="55" t="s">
        <v>2546</v>
      </c>
      <c r="B1466" s="55" t="s">
        <v>175</v>
      </c>
      <c r="C1466" s="55" t="s">
        <v>446</v>
      </c>
      <c r="D1466" s="55" t="s">
        <v>168</v>
      </c>
      <c r="E1466" s="55"/>
      <c r="F1466" s="56" t="n">
        <v>4933</v>
      </c>
      <c r="G1466" s="57" t="n">
        <f aca="false">MAX(0,IF(AND(Parameter!$B$21="Ja",ISNUMBER(W1466)),W1466,IF(Parameter!$B$20="Jahresanfang 2025 + Export",BJ1466+BI1466,BI1466)))</f>
        <v>0</v>
      </c>
      <c r="H1466" s="57" t="n">
        <f aca="false">G1466*F1466</f>
        <v>0</v>
      </c>
      <c r="I1466" s="57" t="n">
        <f aca="false">BL1466*Parameter!$B$18</f>
        <v>23</v>
      </c>
      <c r="J1466" s="58"/>
      <c r="K1466" s="59"/>
      <c r="L1466" s="57" t="n">
        <v>0</v>
      </c>
      <c r="M1466" s="57" t="n">
        <v>3</v>
      </c>
      <c r="N1466" s="60"/>
      <c r="O1466" s="55" t="s">
        <v>163</v>
      </c>
      <c r="P1466" s="57"/>
      <c r="Q1466" s="60" t="n">
        <f aca="false">IF(BR1466=1,0,IFERROR(VLOOKUP(BP1466,'Gebinde-Kategorie'!$A$5:$M$45,13,0)+0,0))</f>
        <v>0</v>
      </c>
      <c r="R1466" s="61"/>
      <c r="S1466" s="62"/>
      <c r="T1466" s="62"/>
      <c r="U1466" s="55"/>
      <c r="V1466" s="57"/>
      <c r="W1466" s="57"/>
      <c r="X1466" s="55" t="n">
        <f aca="false">IF(A1466="","",IF(AND(Parameter!$B$21="Ja",ISNUMBER(U1466)),U1466,IF(IFERROR(VLOOKUP(D1466,Parameter!$A$35:$C$64,2,0),"Nein")="2+3",IF(ISNUMBER(SEARCH("grosser Artikel",BM1466)),2,IFERROR(VLOOKUP(BP1466,Parameter!$F$35:$G$64,2,0),2)),IF(OR(IFERROR(VLOOKUP(D1466,Parameter!$A$35:$C$64,2,0),"Nein")="Nein",IFERROR(VLOOKUP(D1466,Parameter!$A$35:$C$64,2,0),"Nein")=""),"-",VLOOKUP(D1466,Parameter!$A$35:$C$64,2,0)))))</f>
        <v>2</v>
      </c>
      <c r="Y1466" s="62"/>
      <c r="Z1466" s="63"/>
      <c r="AA1466" s="57" t="n">
        <f aca="false">AP1466</f>
        <v>12</v>
      </c>
      <c r="AB1466" s="57" t="n">
        <f aca="false">MAX(AP1466,G1466)</f>
        <v>12</v>
      </c>
      <c r="AC1466" s="64"/>
      <c r="AD1466" s="57" t="n">
        <f aca="false">IF(LEFT(Cockpit!$C$5,1)="A",G1466,IF(BW1466=1,BX1466,IF(LEFT(Cockpit!$C$5,1)="B",AH1466,MAX(AH1466,G1466))))</f>
        <v>0</v>
      </c>
      <c r="AE1466" s="57" t="n">
        <f aca="false">IF(BR1466=1,0,ROUNDUP(AD1466/BQ1466,0))</f>
        <v>0</v>
      </c>
      <c r="AF1466" s="59" t="n">
        <f aca="false">IF(CD1466&gt;0,CD1466*MAX(1,AD1466/V1466),IF(BR1466=1,IF(AD1466&lt;=0,0,BS1466*MAX(1,IF(G1466&gt;0,AD1466/G1466,1))),IF(Q1466&gt;0,AE1466/Q1466,0))/MAX(0.1,N(Parameter!$M$21)))</f>
        <v>0</v>
      </c>
      <c r="AG1466" s="57" t="n">
        <f aca="false">AD1466*F1466</f>
        <v>0</v>
      </c>
      <c r="AH1466" s="57" t="n">
        <f aca="false">ROUNDUP(MAX(I1466/IF(BV1466&gt;0,BV1466,MAX(0.1,N(Cockpit!$C$6))),BY1466)/BQ1466,0)*BQ1466</f>
        <v>12</v>
      </c>
      <c r="AI1466" s="58" t="n">
        <f aca="false">IF(AF1466&gt;0,I1466/AF1466,-1)</f>
        <v>-1</v>
      </c>
      <c r="AJ1466" s="58" t="str">
        <f aca="false">IF(AND(OR(BU1466="L1",BU1466="L23"),AF1466&gt;0),SUMIFS($AF$7:$AF$1576,$BU$7:$BU$1576,BU1466,$AI$7:$AI$1576,"&gt;"&amp;AI1466)+SUMIFS($AF$7:$AF$1576,$BU$7:$BU$1576,BU1466,$AI$7:$AI$1576,AI1466,$BO$7:$BO$1576,"&lt;="&amp;BO1466),"")</f>
        <v/>
      </c>
      <c r="AK1466" s="65" t="n">
        <f aca="false">IF(AJ1466="",0,MAX(0,MIN(1,(IF(BU1466="L1",Parameter!$E$5,Parameter!$E$6+Parameter!$E$7)-(AJ1466-AF1466))/AF1466)))</f>
        <v>0</v>
      </c>
      <c r="AL1466" s="57" t="n">
        <f aca="false">IF(LEFT(Cockpit!$I$5,1)="A",G1466,IF(BW1466=1,BX1466,IF(LEFT(Cockpit!$I$5,1)="B",AP1466,MAX(AP1466,G1466))))</f>
        <v>12</v>
      </c>
      <c r="AM1466" s="57" t="n">
        <f aca="false">IF(BR1466=1,0,ROUNDUP(AL1466/BQ1466,0))</f>
        <v>0</v>
      </c>
      <c r="AN1466" s="59" t="n">
        <f aca="false">IF(CD1466&gt;0,CD1466*MAX(1,AL1466/V1466),IF(BR1466=1,IF(AL1466&lt;=0,0,BS1466*MAX(1,IF(G1466&gt;0,AL1466/G1466,1))),IF(Q1466&gt;0,AM1466/Q1466,0))/MAX(0.1,N(Parameter!$M$21)))</f>
        <v>0.15</v>
      </c>
      <c r="AO1466" s="57" t="n">
        <f aca="false">AL1466*F1466</f>
        <v>59196</v>
      </c>
      <c r="AP1466" s="57" t="n">
        <f aca="false">ROUNDUP(MAX(I1466/IF(BV1466&gt;0,BV1466,MAX(0.1,N(Cockpit!$I$6))),BY1466)/BQ1466,0)*BQ1466</f>
        <v>12</v>
      </c>
      <c r="AQ1466" s="58" t="n">
        <f aca="false">IF(AN1466&gt;0,I1466/AN1466,-1)</f>
        <v>153.333333333333</v>
      </c>
      <c r="AR1466" s="58" t="n">
        <f aca="false">IF(AND(OR(BU1466="L1",BU1466="L23"),AN1466&gt;0),SUMIFS($AN$7:$AN$1576,$BU$7:$BU$1576,BU1466,$AQ$7:$AQ$1576,"&gt;"&amp;AQ1466)+SUMIFS($AN$7:$AN$1576,$BU$7:$BU$1576,BU1466,$AQ$7:$AQ$1576,AQ1466,$BO$7:$BO$1576,"&lt;="&amp;BO1466),"")</f>
        <v>54.5615944566056</v>
      </c>
      <c r="AS1466" s="65" t="n">
        <f aca="false">IF(AR1466="",0,MAX(0,MIN(1,(IF(BU1466="L1",Parameter!$E$5,Parameter!$E$6+Parameter!$E$7)-(AR1466-AN1466))/AN1466)))</f>
        <v>1</v>
      </c>
      <c r="AT1466" s="57" t="n">
        <f aca="false">IF(LEFT(Cockpit!$O$5,1)="A",G1466,IF(BW1466=1,BX1466,IF(LEFT(Cockpit!$O$5,1)="B",AX1466,MAX(AX1466,G1466))))</f>
        <v>8</v>
      </c>
      <c r="AU1466" s="57" t="n">
        <f aca="false">IF(BR1466=1,0,ROUNDUP(AT1466/BQ1466,0))</f>
        <v>0</v>
      </c>
      <c r="AV1466" s="59" t="n">
        <f aca="false">IF(CD1466&gt;0,CD1466*MAX(1,AT1466/V1466),IF(BR1466=1,IF(AT1466&lt;=0,0,BS1466*MAX(1,IF(G1466&gt;0,AT1466/G1466,1))),IF(Q1466&gt;0,AU1466/Q1466,0))/MAX(0.1,N(Parameter!$M$21)))</f>
        <v>0.15</v>
      </c>
      <c r="AW1466" s="57" t="n">
        <f aca="false">AT1466*F1466</f>
        <v>39464</v>
      </c>
      <c r="AX1466" s="57" t="n">
        <f aca="false">ROUNDUP(MAX(I1466/IF(BV1466&gt;0,BV1466,MAX(0.1,N(Cockpit!$O$6))),BY1466)/BQ1466,0)*BQ1466</f>
        <v>8</v>
      </c>
      <c r="AY1466" s="58" t="n">
        <f aca="false">IF(AV1466&gt;0,I1466/AV1466,-1)</f>
        <v>153.333333333333</v>
      </c>
      <c r="AZ1466" s="58" t="n">
        <f aca="false">IF(AND(OR(BU1466="L1",BU1466="L23"),AV1466&gt;0),SUMIFS($AV$7:$AV$1576,$BU$7:$BU$1576,BU1466,$AY$7:$AY$1576,"&gt;"&amp;AY1466)+SUMIFS($AV$7:$AV$1576,$BU$7:$BU$1576,BU1466,$AY$7:$AY$1576,AY1466,$BO$7:$BO$1576,"&lt;="&amp;BO1466),"")</f>
        <v>50.8998191485803</v>
      </c>
      <c r="BA1466" s="65" t="n">
        <f aca="false">IF(AZ1466="",0,MAX(0,MIN(1,(IF(BU1466="L1",Parameter!$E$5,Parameter!$E$6+Parameter!$E$7)-(AZ1466-AV1466))/AV1466)))</f>
        <v>1</v>
      </c>
      <c r="BB1466" s="55" t="str">
        <f aca="false">IF(AF1466&lt;=0,"",IF(BU1466="Aussen","Aussenlager",IF(BU1466="-","Nicht im Lift",IF(AK1466&gt;=1,"Lift",IF(AK1466&lt;=0,"Aussenlager","teilweise")))))</f>
        <v/>
      </c>
      <c r="BC1466" s="55" t="str">
        <f aca="false">IF(AN1466&lt;=0,"",IF(BU1466="Aussen","Aussenlager",IF(BU1466="-","Nicht im Lift",IF(AS1466&gt;=1,"Lift",IF(AS1466&lt;=0,"Aussenlager","teilweise")))))</f>
        <v>Lift</v>
      </c>
      <c r="BD1466" s="55" t="str">
        <f aca="false">IF(AV1466&lt;=0,"",IF(BU1466="Aussen","Aussenlager",IF(BU1466="-","Nicht im Lift",IF(BA1466&gt;=1,"Lift",IF(BA1466&lt;=0,"Aussenlager","teilweise")))))</f>
        <v>Lift</v>
      </c>
      <c r="BE1466" s="55" t="str">
        <f aca="false">IF(A1466="","",IF(BN1466=1,"Neu; ","")&amp;IF(AND(BN1466=0,BI1466&lt;0),"negativer Bestand (Export "&amp;BI1466&amp;"); ","")&amp;IF(I1466&lt;=0,"Kein Verbrauch; ","")&amp;IF(CD1466&gt;0,"Lift "&amp;U1466&amp;" lt. Liftbericht (Fach "&amp;V1466&amp;" Stk); ",IF(BR1466=1,"Lose – Fläche geschätzt; ",""))&amp;IF(G1466&gt;AP1466,"Überbestand "&amp;ROUND(G1466-AP1466,0)&amp;" Stk / CHF "&amp;ROUND((G1466-AP1466)*F1466,0)&amp;"; ","")&amp;IF(AND(BW1466=1,BX1466&lt;BY1466),"MAX &lt; MB+LG; ","")&amp;IF(AND(CC1466&gt;0,CB1466*10&gt;CC1466),"zu hoch für Tablar; ","")&amp;IF(AND(BN1466=0,OR(BW1466=1,Y1466&lt;&gt;"",S1466&lt;&gt;"",T1466&lt;&gt;"",Z1466&lt;&gt;"")),"manuell übersteuert; ","")&amp;IF(AND(BR1466=0,Q1466=0),"Gebinde unbekannt / Stellmass fehlt; ","")&amp;IF(AND(BR1466=0,N(T1466)&lt;=0,N(P1466)&lt;=0),"Menge pro Gebinde fehlt (Ist = 1 Gebinde); ","")&amp;BM1466)</f>
        <v>negativer Bestand (Export -6); Lose – Fläche geschätzt; </v>
      </c>
      <c r="BF1466" s="55"/>
      <c r="BG1466" s="55"/>
      <c r="BH1466" s="62"/>
      <c r="BI1466" s="57" t="n">
        <v>-6</v>
      </c>
      <c r="BJ1466" s="57" t="n">
        <v>0</v>
      </c>
      <c r="BK1466" s="56" t="n">
        <v>-29571.19</v>
      </c>
      <c r="BL1466" s="57" t="n">
        <v>23</v>
      </c>
      <c r="BM1466" s="55"/>
      <c r="BN1466" s="60" t="n">
        <v>0</v>
      </c>
      <c r="BO1466" s="60" t="n">
        <v>1466</v>
      </c>
      <c r="BP1466" s="55" t="str">
        <f aca="false">IF(S1466&lt;&gt;"",UPPER(TRIM(S1466)),IF(O1466="","LOSE",O1466))</f>
        <v>LOSE</v>
      </c>
      <c r="BQ1466" s="57" t="n">
        <f aca="false">IF(BP1466="LOSE",1,IF(N(T1466)&gt;0,T1466,IF(N(P1466)&gt;0,P1466,MAX(1,G1466))))</f>
        <v>1</v>
      </c>
      <c r="BR1466" s="60" t="n">
        <f aca="false">IF(BP1466="LOSE",1,0)</f>
        <v>1</v>
      </c>
      <c r="BS1466" s="59" t="n">
        <f aca="false">IF(BR1466=0,0,IF(N(R1466)&gt;0,R1466,IFERROR(VLOOKUP(D1466,Parameter!$A$35:$C$64,3,0)+0,0)))</f>
        <v>0.15</v>
      </c>
      <c r="BT1466" s="55" t="n">
        <f aca="false">IF(Y1466&lt;&gt;"",Y1466,X1466)</f>
        <v>2</v>
      </c>
      <c r="BU1466" s="55" t="str">
        <f aca="false">IF(BT1466=1,"L1",IF(OR(BT1466=2,BT1466=3),"L23",IF(BT1466="Aussen","Aussen","-")))</f>
        <v>L23</v>
      </c>
      <c r="BV1466" s="66" t="n">
        <f aca="false">IF(N(Z1466)&gt;0,Z1466,0)</f>
        <v>0</v>
      </c>
      <c r="BW1466" s="60" t="n">
        <f aca="false">IF(ISNUMBER(AC1466),1,0)</f>
        <v>0</v>
      </c>
      <c r="BX1466" s="57" t="n">
        <f aca="false">N(AC1466)</f>
        <v>0</v>
      </c>
      <c r="BY1466" s="57" t="n">
        <f aca="false">N(L1466)+N(M1466)</f>
        <v>3</v>
      </c>
      <c r="BZ1466" s="57" t="n">
        <f aca="false">ROUNDUP(G1466/BQ1466,0)</f>
        <v>0</v>
      </c>
      <c r="CA1466" s="57" t="n">
        <f aca="false">ROUNDUP(BX1466/BQ1466,0)</f>
        <v>0</v>
      </c>
      <c r="CB1466" s="60" t="n">
        <f aca="false">IF(BR1466=1,0,IFERROR(VLOOKUP(BP1466,'Gebinde-Kategorie'!$A$5:$M$45,5,0)+0,0))</f>
        <v>0</v>
      </c>
      <c r="CC1466" s="60" t="n">
        <f aca="false">IFERROR(IF(OR(BT1466=1,BT1466=2,BT1466=3),N(INDEX(Parameter!$I$5:$I$7,BT1466)),0),0)</f>
        <v>0</v>
      </c>
      <c r="CD1466" s="59" t="n">
        <f aca="false">IF(AND(Parameter!$B$21="Ja",ISNUMBER(U1466),N(V1466)&gt;0),IFERROR(N(INDEX(Parameter!$L$5:$L$7,U1466))*INDEX(Parameter!$E$5:$E$7,U1466)*V1466/SUMIFS($V$7:$V$1576,$U$7:$U$1576,U1466),0),0)</f>
        <v>0</v>
      </c>
    </row>
    <row r="1467" customFormat="false" ht="15" hidden="false" customHeight="false" outlineLevel="0" collapsed="false">
      <c r="A1467" s="55" t="s">
        <v>2547</v>
      </c>
      <c r="B1467" s="55" t="s">
        <v>2548</v>
      </c>
      <c r="C1467" s="55" t="s">
        <v>160</v>
      </c>
      <c r="D1467" s="55" t="s">
        <v>178</v>
      </c>
      <c r="E1467" s="55"/>
      <c r="F1467" s="56" t="n">
        <v>388.42</v>
      </c>
      <c r="G1467" s="57" t="n">
        <f aca="false">MAX(0,IF(AND(Parameter!$B$21="Ja",ISNUMBER(W1467)),W1467,IF(Parameter!$B$20="Jahresanfang 2025 + Export",BJ1467+BI1467,BI1467)))</f>
        <v>0</v>
      </c>
      <c r="H1467" s="57" t="n">
        <f aca="false">G1467*F1467</f>
        <v>0</v>
      </c>
      <c r="I1467" s="57" t="n">
        <f aca="false">BL1467*Parameter!$B$18</f>
        <v>185</v>
      </c>
      <c r="J1467" s="58"/>
      <c r="K1467" s="59"/>
      <c r="L1467" s="57" t="n">
        <v>0</v>
      </c>
      <c r="M1467" s="57" t="n">
        <v>35</v>
      </c>
      <c r="N1467" s="60"/>
      <c r="O1467" s="55" t="s">
        <v>225</v>
      </c>
      <c r="P1467" s="57" t="n">
        <v>60</v>
      </c>
      <c r="Q1467" s="60" t="n">
        <f aca="false">IF(BR1467=1,0,IFERROR(VLOOKUP(BP1467,'Gebinde-Kategorie'!$A$5:$M$45,13,0)+0,0))</f>
        <v>26</v>
      </c>
      <c r="R1467" s="61"/>
      <c r="S1467" s="62"/>
      <c r="T1467" s="62"/>
      <c r="U1467" s="55"/>
      <c r="V1467" s="57"/>
      <c r="W1467" s="57"/>
      <c r="X1467" s="55" t="n">
        <f aca="false">IF(A1467="","",IF(AND(Parameter!$B$21="Ja",ISNUMBER(U1467)),U1467,IF(IFERROR(VLOOKUP(D1467,Parameter!$A$35:$C$64,2,0),"Nein")="2+3",IF(ISNUMBER(SEARCH("grosser Artikel",BM1467)),2,IFERROR(VLOOKUP(BP1467,Parameter!$F$35:$G$64,2,0),2)),IF(OR(IFERROR(VLOOKUP(D1467,Parameter!$A$35:$C$64,2,0),"Nein")="Nein",IFERROR(VLOOKUP(D1467,Parameter!$A$35:$C$64,2,0),"Nein")=""),"-",VLOOKUP(D1467,Parameter!$A$35:$C$64,2,0)))))</f>
        <v>3</v>
      </c>
      <c r="Y1467" s="62"/>
      <c r="Z1467" s="63"/>
      <c r="AA1467" s="57" t="n">
        <f aca="false">AP1467</f>
        <v>120</v>
      </c>
      <c r="AB1467" s="57" t="n">
        <f aca="false">MAX(AP1467,G1467)</f>
        <v>120</v>
      </c>
      <c r="AC1467" s="64"/>
      <c r="AD1467" s="57" t="n">
        <f aca="false">IF(LEFT(Cockpit!$C$5,1)="A",G1467,IF(BW1467=1,BX1467,IF(LEFT(Cockpit!$C$5,1)="B",AH1467,MAX(AH1467,G1467))))</f>
        <v>0</v>
      </c>
      <c r="AE1467" s="57" t="n">
        <f aca="false">IF(BR1467=1,0,ROUNDUP(AD1467/BQ1467,0))</f>
        <v>0</v>
      </c>
      <c r="AF1467" s="59" t="n">
        <f aca="false">IF(CD1467&gt;0,CD1467*MAX(1,AD1467/V1467),IF(BR1467=1,IF(AD1467&lt;=0,0,BS1467*MAX(1,IF(G1467&gt;0,AD1467/G1467,1))),IF(Q1467&gt;0,AE1467/Q1467,0))/MAX(0.1,N(Parameter!$M$21)))</f>
        <v>0</v>
      </c>
      <c r="AG1467" s="57" t="n">
        <f aca="false">AD1467*F1467</f>
        <v>0</v>
      </c>
      <c r="AH1467" s="57" t="n">
        <f aca="false">ROUNDUP(MAX(I1467/IF(BV1467&gt;0,BV1467,MAX(0.1,N(Cockpit!$C$6))),BY1467)/BQ1467,0)*BQ1467</f>
        <v>120</v>
      </c>
      <c r="AI1467" s="58" t="n">
        <f aca="false">IF(AF1467&gt;0,I1467/AF1467,-1)</f>
        <v>-1</v>
      </c>
      <c r="AJ1467" s="58" t="str">
        <f aca="false">IF(AND(OR(BU1467="L1",BU1467="L23"),AF1467&gt;0),SUMIFS($AF$7:$AF$1576,$BU$7:$BU$1576,BU1467,$AI$7:$AI$1576,"&gt;"&amp;AI1467)+SUMIFS($AF$7:$AF$1576,$BU$7:$BU$1576,BU1467,$AI$7:$AI$1576,AI1467,$BO$7:$BO$1576,"&lt;="&amp;BO1467),"")</f>
        <v/>
      </c>
      <c r="AK1467" s="65" t="n">
        <f aca="false">IF(AJ1467="",0,MAX(0,MIN(1,(IF(BU1467="L1",Parameter!$E$5,Parameter!$E$6+Parameter!$E$7)-(AJ1467-AF1467))/AF1467)))</f>
        <v>0</v>
      </c>
      <c r="AL1467" s="57" t="n">
        <f aca="false">IF(LEFT(Cockpit!$I$5,1)="A",G1467,IF(BW1467=1,BX1467,IF(LEFT(Cockpit!$I$5,1)="B",AP1467,MAX(AP1467,G1467))))</f>
        <v>120</v>
      </c>
      <c r="AM1467" s="57" t="n">
        <f aca="false">IF(BR1467=1,0,ROUNDUP(AL1467/BQ1467,0))</f>
        <v>2</v>
      </c>
      <c r="AN1467" s="59" t="n">
        <f aca="false">IF(CD1467&gt;0,CD1467*MAX(1,AL1467/V1467),IF(BR1467=1,IF(AL1467&lt;=0,0,BS1467*MAX(1,IF(G1467&gt;0,AL1467/G1467,1))),IF(Q1467&gt;0,AM1467/Q1467,0))/MAX(0.1,N(Parameter!$M$21)))</f>
        <v>0.0769230769230769</v>
      </c>
      <c r="AO1467" s="57" t="n">
        <f aca="false">AL1467*F1467</f>
        <v>46610.4</v>
      </c>
      <c r="AP1467" s="57" t="n">
        <f aca="false">ROUNDUP(MAX(I1467/IF(BV1467&gt;0,BV1467,MAX(0.1,N(Cockpit!$I$6))),BY1467)/BQ1467,0)*BQ1467</f>
        <v>120</v>
      </c>
      <c r="AQ1467" s="58" t="n">
        <f aca="false">IF(AN1467&gt;0,I1467/AN1467,-1)</f>
        <v>2405</v>
      </c>
      <c r="AR1467" s="58" t="n">
        <f aca="false">IF(AND(OR(BU1467="L1",BU1467="L23"),AN1467&gt;0),SUMIFS($AN$7:$AN$1576,$BU$7:$BU$1576,BU1467,$AQ$7:$AQ$1576,"&gt;"&amp;AQ1467)+SUMIFS($AN$7:$AN$1576,$BU$7:$BU$1576,BU1467,$AQ$7:$AQ$1576,AQ1467,$BO$7:$BO$1576,"&lt;="&amp;BO1467),"")</f>
        <v>15.7686878463077</v>
      </c>
      <c r="AS1467" s="65" t="n">
        <f aca="false">IF(AR1467="",0,MAX(0,MIN(1,(IF(BU1467="L1",Parameter!$E$5,Parameter!$E$6+Parameter!$E$7)-(AR1467-AN1467))/AN1467)))</f>
        <v>1</v>
      </c>
      <c r="AT1467" s="57" t="n">
        <f aca="false">IF(LEFT(Cockpit!$O$5,1)="A",G1467,IF(BW1467=1,BX1467,IF(LEFT(Cockpit!$O$5,1)="B",AX1467,MAX(AX1467,G1467))))</f>
        <v>120</v>
      </c>
      <c r="AU1467" s="57" t="n">
        <f aca="false">IF(BR1467=1,0,ROUNDUP(AT1467/BQ1467,0))</f>
        <v>2</v>
      </c>
      <c r="AV1467" s="59" t="n">
        <f aca="false">IF(CD1467&gt;0,CD1467*MAX(1,AT1467/V1467),IF(BR1467=1,IF(AT1467&lt;=0,0,BS1467*MAX(1,IF(G1467&gt;0,AT1467/G1467,1))),IF(Q1467&gt;0,AU1467/Q1467,0))/MAX(0.1,N(Parameter!$M$21)))</f>
        <v>0.0769230769230769</v>
      </c>
      <c r="AW1467" s="57" t="n">
        <f aca="false">AT1467*F1467</f>
        <v>46610.4</v>
      </c>
      <c r="AX1467" s="57" t="n">
        <f aca="false">ROUNDUP(MAX(I1467/IF(BV1467&gt;0,BV1467,MAX(0.1,N(Cockpit!$O$6))),BY1467)/BQ1467,0)*BQ1467</f>
        <v>120</v>
      </c>
      <c r="AY1467" s="58" t="n">
        <f aca="false">IF(AV1467&gt;0,I1467/AV1467,-1)</f>
        <v>2405</v>
      </c>
      <c r="AZ1467" s="58" t="n">
        <f aca="false">IF(AND(OR(BU1467="L1",BU1467="L23"),AV1467&gt;0),SUMIFS($AV$7:$AV$1576,$BU$7:$BU$1576,BU1467,$AY$7:$AY$1576,"&gt;"&amp;AY1467)+SUMIFS($AV$7:$AV$1576,$BU$7:$BU$1576,BU1467,$AY$7:$AY$1576,AY1467,$BO$7:$BO$1576,"&lt;="&amp;BO1467),"")</f>
        <v>14.5728836505035</v>
      </c>
      <c r="BA1467" s="65" t="n">
        <f aca="false">IF(AZ1467="",0,MAX(0,MIN(1,(IF(BU1467="L1",Parameter!$E$5,Parameter!$E$6+Parameter!$E$7)-(AZ1467-AV1467))/AV1467)))</f>
        <v>1</v>
      </c>
      <c r="BB1467" s="55" t="str">
        <f aca="false">IF(AF1467&lt;=0,"",IF(BU1467="Aussen","Aussenlager",IF(BU1467="-","Nicht im Lift",IF(AK1467&gt;=1,"Lift",IF(AK1467&lt;=0,"Aussenlager","teilweise")))))</f>
        <v/>
      </c>
      <c r="BC1467" s="55" t="str">
        <f aca="false">IF(AN1467&lt;=0,"",IF(BU1467="Aussen","Aussenlager",IF(BU1467="-","Nicht im Lift",IF(AS1467&gt;=1,"Lift",IF(AS1467&lt;=0,"Aussenlager","teilweise")))))</f>
        <v>Lift</v>
      </c>
      <c r="BD1467" s="55" t="str">
        <f aca="false">IF(AV1467&lt;=0,"",IF(BU1467="Aussen","Aussenlager",IF(BU1467="-","Nicht im Lift",IF(BA1467&gt;=1,"Lift",IF(BA1467&lt;=0,"Aussenlager","teilweise")))))</f>
        <v>Lift</v>
      </c>
      <c r="BE1467" s="55" t="str">
        <f aca="false">IF(A1467="","",IF(BN1467=1,"Neu; ","")&amp;IF(AND(BN1467=0,BI1467&lt;0),"negativer Bestand (Export "&amp;BI1467&amp;"); ","")&amp;IF(I1467&lt;=0,"Kein Verbrauch; ","")&amp;IF(CD1467&gt;0,"Lift "&amp;U1467&amp;" lt. Liftbericht (Fach "&amp;V1467&amp;" Stk); ",IF(BR1467=1,"Lose – Fläche geschätzt; ",""))&amp;IF(G1467&gt;AP1467,"Überbestand "&amp;ROUND(G1467-AP1467,0)&amp;" Stk / CHF "&amp;ROUND((G1467-AP1467)*F1467,0)&amp;"; ","")&amp;IF(AND(BW1467=1,BX1467&lt;BY1467),"MAX &lt; MB+LG; ","")&amp;IF(AND(CC1467&gt;0,CB1467*10&gt;CC1467),"zu hoch für Tablar; ","")&amp;IF(AND(BN1467=0,OR(BW1467=1,Y1467&lt;&gt;"",S1467&lt;&gt;"",T1467&lt;&gt;"",Z1467&lt;&gt;"")),"manuell übersteuert; ","")&amp;IF(AND(BR1467=0,Q1467=0),"Gebinde unbekannt / Stellmass fehlt; ","")&amp;IF(AND(BR1467=0,N(T1467)&lt;=0,N(P1467)&lt;=0),"Menge pro Gebinde fehlt (Ist = 1 Gebinde); ","")&amp;BM1467)</f>
        <v>negativer Bestand (Export -86); </v>
      </c>
      <c r="BF1467" s="55"/>
      <c r="BG1467" s="55"/>
      <c r="BH1467" s="62"/>
      <c r="BI1467" s="57" t="n">
        <v>-86</v>
      </c>
      <c r="BJ1467" s="57" t="n">
        <v>0</v>
      </c>
      <c r="BK1467" s="56" t="n">
        <v>-33137.78</v>
      </c>
      <c r="BL1467" s="57" t="n">
        <v>185</v>
      </c>
      <c r="BM1467" s="55"/>
      <c r="BN1467" s="60" t="n">
        <v>0</v>
      </c>
      <c r="BO1467" s="60" t="n">
        <v>1467</v>
      </c>
      <c r="BP1467" s="55" t="str">
        <f aca="false">IF(S1467&lt;&gt;"",UPPER(TRIM(S1467)),IF(O1467="","LOSE",O1467))</f>
        <v>S52</v>
      </c>
      <c r="BQ1467" s="57" t="n">
        <f aca="false">IF(BP1467="LOSE",1,IF(N(T1467)&gt;0,T1467,IF(N(P1467)&gt;0,P1467,MAX(1,G1467))))</f>
        <v>60</v>
      </c>
      <c r="BR1467" s="60" t="n">
        <f aca="false">IF(BP1467="LOSE",1,0)</f>
        <v>0</v>
      </c>
      <c r="BS1467" s="59" t="n">
        <f aca="false">IF(BR1467=0,0,IF(N(R1467)&gt;0,R1467,IFERROR(VLOOKUP(D1467,Parameter!$A$35:$C$64,3,0)+0,0)))</f>
        <v>0</v>
      </c>
      <c r="BT1467" s="55" t="n">
        <f aca="false">IF(Y1467&lt;&gt;"",Y1467,X1467)</f>
        <v>3</v>
      </c>
      <c r="BU1467" s="55" t="str">
        <f aca="false">IF(BT1467=1,"L1",IF(OR(BT1467=2,BT1467=3),"L23",IF(BT1467="Aussen","Aussen","-")))</f>
        <v>L23</v>
      </c>
      <c r="BV1467" s="66" t="n">
        <f aca="false">IF(N(Z1467)&gt;0,Z1467,0)</f>
        <v>0</v>
      </c>
      <c r="BW1467" s="60" t="n">
        <f aca="false">IF(ISNUMBER(AC1467),1,0)</f>
        <v>0</v>
      </c>
      <c r="BX1467" s="57" t="n">
        <f aca="false">N(AC1467)</f>
        <v>0</v>
      </c>
      <c r="BY1467" s="57" t="n">
        <f aca="false">N(L1467)+N(M1467)</f>
        <v>35</v>
      </c>
      <c r="BZ1467" s="57" t="n">
        <f aca="false">ROUNDUP(G1467/BQ1467,0)</f>
        <v>0</v>
      </c>
      <c r="CA1467" s="57" t="n">
        <f aca="false">ROUNDUP(BX1467/BQ1467,0)</f>
        <v>0</v>
      </c>
      <c r="CB1467" s="60" t="n">
        <f aca="false">IF(BR1467=1,0,IFERROR(VLOOKUP(BP1467,'Gebinde-Kategorie'!$A$5:$M$45,5,0)+0,0))</f>
        <v>21</v>
      </c>
      <c r="CC1467" s="60" t="n">
        <f aca="false">IFERROR(IF(OR(BT1467=1,BT1467=2,BT1467=3),N(INDEX(Parameter!$I$5:$I$7,BT1467)),0),0)</f>
        <v>0</v>
      </c>
      <c r="CD1467" s="59" t="n">
        <f aca="false">IF(AND(Parameter!$B$21="Ja",ISNUMBER(U1467),N(V1467)&gt;0),IFERROR(N(INDEX(Parameter!$L$5:$L$7,U1467))*INDEX(Parameter!$E$5:$E$7,U1467)*V1467/SUMIFS($V$7:$V$1576,$U$7:$U$1576,U1467),0),0)</f>
        <v>0</v>
      </c>
    </row>
    <row r="1468" customFormat="false" ht="15" hidden="false" customHeight="false" outlineLevel="0" collapsed="false">
      <c r="A1468" s="55" t="s">
        <v>2549</v>
      </c>
      <c r="B1468" s="55" t="s">
        <v>188</v>
      </c>
      <c r="C1468" s="55" t="s">
        <v>446</v>
      </c>
      <c r="D1468" s="55" t="s">
        <v>168</v>
      </c>
      <c r="E1468" s="55"/>
      <c r="F1468" s="56" t="n">
        <v>5022.3</v>
      </c>
      <c r="G1468" s="57" t="n">
        <f aca="false">MAX(0,IF(AND(Parameter!$B$21="Ja",ISNUMBER(W1468)),W1468,IF(Parameter!$B$20="Jahresanfang 2025 + Export",BJ1468+BI1468,BI1468)))</f>
        <v>0</v>
      </c>
      <c r="H1468" s="57" t="n">
        <f aca="false">G1468*F1468</f>
        <v>0</v>
      </c>
      <c r="I1468" s="57" t="n">
        <f aca="false">BL1468*Parameter!$B$18</f>
        <v>13</v>
      </c>
      <c r="J1468" s="58"/>
      <c r="K1468" s="59"/>
      <c r="L1468" s="57" t="n">
        <v>0</v>
      </c>
      <c r="M1468" s="57" t="n">
        <v>1</v>
      </c>
      <c r="N1468" s="60"/>
      <c r="O1468" s="55" t="s">
        <v>163</v>
      </c>
      <c r="P1468" s="57"/>
      <c r="Q1468" s="60" t="n">
        <f aca="false">IF(BR1468=1,0,IFERROR(VLOOKUP(BP1468,'Gebinde-Kategorie'!$A$5:$M$45,13,0)+0,0))</f>
        <v>0</v>
      </c>
      <c r="R1468" s="61"/>
      <c r="S1468" s="62"/>
      <c r="T1468" s="62"/>
      <c r="U1468" s="55"/>
      <c r="V1468" s="57"/>
      <c r="W1468" s="57"/>
      <c r="X1468" s="55" t="n">
        <f aca="false">IF(A1468="","",IF(AND(Parameter!$B$21="Ja",ISNUMBER(U1468)),U1468,IF(IFERROR(VLOOKUP(D1468,Parameter!$A$35:$C$64,2,0),"Nein")="2+3",IF(ISNUMBER(SEARCH("grosser Artikel",BM1468)),2,IFERROR(VLOOKUP(BP1468,Parameter!$F$35:$G$64,2,0),2)),IF(OR(IFERROR(VLOOKUP(D1468,Parameter!$A$35:$C$64,2,0),"Nein")="Nein",IFERROR(VLOOKUP(D1468,Parameter!$A$35:$C$64,2,0),"Nein")=""),"-",VLOOKUP(D1468,Parameter!$A$35:$C$64,2,0)))))</f>
        <v>2</v>
      </c>
      <c r="Y1468" s="62"/>
      <c r="Z1468" s="63"/>
      <c r="AA1468" s="57" t="n">
        <f aca="false">AP1468</f>
        <v>7</v>
      </c>
      <c r="AB1468" s="57" t="n">
        <f aca="false">MAX(AP1468,G1468)</f>
        <v>7</v>
      </c>
      <c r="AC1468" s="64"/>
      <c r="AD1468" s="57" t="n">
        <f aca="false">IF(LEFT(Cockpit!$C$5,1)="A",G1468,IF(BW1468=1,BX1468,IF(LEFT(Cockpit!$C$5,1)="B",AH1468,MAX(AH1468,G1468))))</f>
        <v>0</v>
      </c>
      <c r="AE1468" s="57" t="n">
        <f aca="false">IF(BR1468=1,0,ROUNDUP(AD1468/BQ1468,0))</f>
        <v>0</v>
      </c>
      <c r="AF1468" s="59" t="n">
        <f aca="false">IF(CD1468&gt;0,CD1468*MAX(1,AD1468/V1468),IF(BR1468=1,IF(AD1468&lt;=0,0,BS1468*MAX(1,IF(G1468&gt;0,AD1468/G1468,1))),IF(Q1468&gt;0,AE1468/Q1468,0))/MAX(0.1,N(Parameter!$M$21)))</f>
        <v>0</v>
      </c>
      <c r="AG1468" s="57" t="n">
        <f aca="false">AD1468*F1468</f>
        <v>0</v>
      </c>
      <c r="AH1468" s="57" t="n">
        <f aca="false">ROUNDUP(MAX(I1468/IF(BV1468&gt;0,BV1468,MAX(0.1,N(Cockpit!$C$6))),BY1468)/BQ1468,0)*BQ1468</f>
        <v>7</v>
      </c>
      <c r="AI1468" s="58" t="n">
        <f aca="false">IF(AF1468&gt;0,I1468/AF1468,-1)</f>
        <v>-1</v>
      </c>
      <c r="AJ1468" s="58" t="str">
        <f aca="false">IF(AND(OR(BU1468="L1",BU1468="L23"),AF1468&gt;0),SUMIFS($AF$7:$AF$1576,$BU$7:$BU$1576,BU1468,$AI$7:$AI$1576,"&gt;"&amp;AI1468)+SUMIFS($AF$7:$AF$1576,$BU$7:$BU$1576,BU1468,$AI$7:$AI$1576,AI1468,$BO$7:$BO$1576,"&lt;="&amp;BO1468),"")</f>
        <v/>
      </c>
      <c r="AK1468" s="65" t="n">
        <f aca="false">IF(AJ1468="",0,MAX(0,MIN(1,(IF(BU1468="L1",Parameter!$E$5,Parameter!$E$6+Parameter!$E$7)-(AJ1468-AF1468))/AF1468)))</f>
        <v>0</v>
      </c>
      <c r="AL1468" s="57" t="n">
        <f aca="false">IF(LEFT(Cockpit!$I$5,1)="A",G1468,IF(BW1468=1,BX1468,IF(LEFT(Cockpit!$I$5,1)="B",AP1468,MAX(AP1468,G1468))))</f>
        <v>7</v>
      </c>
      <c r="AM1468" s="57" t="n">
        <f aca="false">IF(BR1468=1,0,ROUNDUP(AL1468/BQ1468,0))</f>
        <v>0</v>
      </c>
      <c r="AN1468" s="59" t="n">
        <f aca="false">IF(CD1468&gt;0,CD1468*MAX(1,AL1468/V1468),IF(BR1468=1,IF(AL1468&lt;=0,0,BS1468*MAX(1,IF(G1468&gt;0,AL1468/G1468,1))),IF(Q1468&gt;0,AM1468/Q1468,0))/MAX(0.1,N(Parameter!$M$21)))</f>
        <v>0.15</v>
      </c>
      <c r="AO1468" s="57" t="n">
        <f aca="false">AL1468*F1468</f>
        <v>35156.1</v>
      </c>
      <c r="AP1468" s="57" t="n">
        <f aca="false">ROUNDUP(MAX(I1468/IF(BV1468&gt;0,BV1468,MAX(0.1,N(Cockpit!$I$6))),BY1468)/BQ1468,0)*BQ1468</f>
        <v>7</v>
      </c>
      <c r="AQ1468" s="58" t="n">
        <f aca="false">IF(AN1468&gt;0,I1468/AN1468,-1)</f>
        <v>86.6666666666667</v>
      </c>
      <c r="AR1468" s="58" t="n">
        <f aca="false">IF(AND(OR(BU1468="L1",BU1468="L23"),AN1468&gt;0),SUMIFS($AN$7:$AN$1576,$BU$7:$BU$1576,BU1468,$AQ$7:$AQ$1576,"&gt;"&amp;AQ1468)+SUMIFS($AN$7:$AN$1576,$BU$7:$BU$1576,BU1468,$AQ$7:$AQ$1576,AQ1468,$BO$7:$BO$1576,"&lt;="&amp;BO1468),"")</f>
        <v>73.3936467099079</v>
      </c>
      <c r="AS1468" s="65" t="n">
        <f aca="false">IF(AR1468="",0,MAX(0,MIN(1,(IF(BU1468="L1",Parameter!$E$5,Parameter!$E$6+Parameter!$E$7)-(AR1468-AN1468))/AN1468)))</f>
        <v>1</v>
      </c>
      <c r="AT1468" s="57" t="n">
        <f aca="false">IF(LEFT(Cockpit!$O$5,1)="A",G1468,IF(BW1468=1,BX1468,IF(LEFT(Cockpit!$O$5,1)="B",AX1468,MAX(AX1468,G1468))))</f>
        <v>5</v>
      </c>
      <c r="AU1468" s="57" t="n">
        <f aca="false">IF(BR1468=1,0,ROUNDUP(AT1468/BQ1468,0))</f>
        <v>0</v>
      </c>
      <c r="AV1468" s="59" t="n">
        <f aca="false">IF(CD1468&gt;0,CD1468*MAX(1,AT1468/V1468),IF(BR1468=1,IF(AT1468&lt;=0,0,BS1468*MAX(1,IF(G1468&gt;0,AT1468/G1468,1))),IF(Q1468&gt;0,AU1468/Q1468,0))/MAX(0.1,N(Parameter!$M$21)))</f>
        <v>0.15</v>
      </c>
      <c r="AW1468" s="57" t="n">
        <f aca="false">AT1468*F1468</f>
        <v>25111.5</v>
      </c>
      <c r="AX1468" s="57" t="n">
        <f aca="false">ROUNDUP(MAX(I1468/IF(BV1468&gt;0,BV1468,MAX(0.1,N(Cockpit!$O$6))),BY1468)/BQ1468,0)*BQ1468</f>
        <v>5</v>
      </c>
      <c r="AY1468" s="58" t="n">
        <f aca="false">IF(AV1468&gt;0,I1468/AV1468,-1)</f>
        <v>86.6666666666667</v>
      </c>
      <c r="AZ1468" s="58" t="n">
        <f aca="false">IF(AND(OR(BU1468="L1",BU1468="L23"),AV1468&gt;0),SUMIFS($AV$7:$AV$1576,$BU$7:$BU$1576,BU1468,$AY$7:$AY$1576,"&gt;"&amp;AY1468)+SUMIFS($AV$7:$AV$1576,$BU$7:$BU$1576,BU1468,$AY$7:$AY$1576,AY1468,$BO$7:$BO$1576,"&lt;="&amp;BO1468),"")</f>
        <v>66.9540304927917</v>
      </c>
      <c r="BA1468" s="65" t="n">
        <f aca="false">IF(AZ1468="",0,MAX(0,MIN(1,(IF(BU1468="L1",Parameter!$E$5,Parameter!$E$6+Parameter!$E$7)-(AZ1468-AV1468))/AV1468)))</f>
        <v>1</v>
      </c>
      <c r="BB1468" s="55" t="str">
        <f aca="false">IF(AF1468&lt;=0,"",IF(BU1468="Aussen","Aussenlager",IF(BU1468="-","Nicht im Lift",IF(AK1468&gt;=1,"Lift",IF(AK1468&lt;=0,"Aussenlager","teilweise")))))</f>
        <v/>
      </c>
      <c r="BC1468" s="55" t="str">
        <f aca="false">IF(AN1468&lt;=0,"",IF(BU1468="Aussen","Aussenlager",IF(BU1468="-","Nicht im Lift",IF(AS1468&gt;=1,"Lift",IF(AS1468&lt;=0,"Aussenlager","teilweise")))))</f>
        <v>Lift</v>
      </c>
      <c r="BD1468" s="55" t="str">
        <f aca="false">IF(AV1468&lt;=0,"",IF(BU1468="Aussen","Aussenlager",IF(BU1468="-","Nicht im Lift",IF(BA1468&gt;=1,"Lift",IF(BA1468&lt;=0,"Aussenlager","teilweise")))))</f>
        <v>Lift</v>
      </c>
      <c r="BE1468" s="55" t="str">
        <f aca="false">IF(A1468="","",IF(BN1468=1,"Neu; ","")&amp;IF(AND(BN1468=0,BI1468&lt;0),"negativer Bestand (Export "&amp;BI1468&amp;"); ","")&amp;IF(I1468&lt;=0,"Kein Verbrauch; ","")&amp;IF(CD1468&gt;0,"Lift "&amp;U1468&amp;" lt. Liftbericht (Fach "&amp;V1468&amp;" Stk); ",IF(BR1468=1,"Lose – Fläche geschätzt; ",""))&amp;IF(G1468&gt;AP1468,"Überbestand "&amp;ROUND(G1468-AP1468,0)&amp;" Stk / CHF "&amp;ROUND((G1468-AP1468)*F1468,0)&amp;"; ","")&amp;IF(AND(BW1468=1,BX1468&lt;BY1468),"MAX &lt; MB+LG; ","")&amp;IF(AND(CC1468&gt;0,CB1468*10&gt;CC1468),"zu hoch für Tablar; ","")&amp;IF(AND(BN1468=0,OR(BW1468=1,Y1468&lt;&gt;"",S1468&lt;&gt;"",T1468&lt;&gt;"",Z1468&lt;&gt;"")),"manuell übersteuert; ","")&amp;IF(AND(BR1468=0,Q1468=0),"Gebinde unbekannt / Stellmass fehlt; ","")&amp;IF(AND(BR1468=0,N(T1468)&lt;=0,N(P1468)&lt;=0),"Menge pro Gebinde fehlt (Ist = 1 Gebinde); ","")&amp;BM1468)</f>
        <v>negativer Bestand (Export -13); Lose – Fläche geschätzt; </v>
      </c>
      <c r="BF1468" s="55"/>
      <c r="BG1468" s="55"/>
      <c r="BH1468" s="62"/>
      <c r="BI1468" s="57" t="n">
        <v>-13</v>
      </c>
      <c r="BJ1468" s="57" t="n">
        <v>0</v>
      </c>
      <c r="BK1468" s="56" t="n">
        <v>-64779</v>
      </c>
      <c r="BL1468" s="57" t="n">
        <v>13</v>
      </c>
      <c r="BM1468" s="55"/>
      <c r="BN1468" s="60" t="n">
        <v>0</v>
      </c>
      <c r="BO1468" s="60" t="n">
        <v>1468</v>
      </c>
      <c r="BP1468" s="55" t="str">
        <f aca="false">IF(S1468&lt;&gt;"",UPPER(TRIM(S1468)),IF(O1468="","LOSE",O1468))</f>
        <v>LOSE</v>
      </c>
      <c r="BQ1468" s="57" t="n">
        <f aca="false">IF(BP1468="LOSE",1,IF(N(T1468)&gt;0,T1468,IF(N(P1468)&gt;0,P1468,MAX(1,G1468))))</f>
        <v>1</v>
      </c>
      <c r="BR1468" s="60" t="n">
        <f aca="false">IF(BP1468="LOSE",1,0)</f>
        <v>1</v>
      </c>
      <c r="BS1468" s="59" t="n">
        <f aca="false">IF(BR1468=0,0,IF(N(R1468)&gt;0,R1468,IFERROR(VLOOKUP(D1468,Parameter!$A$35:$C$64,3,0)+0,0)))</f>
        <v>0.15</v>
      </c>
      <c r="BT1468" s="55" t="n">
        <f aca="false">IF(Y1468&lt;&gt;"",Y1468,X1468)</f>
        <v>2</v>
      </c>
      <c r="BU1468" s="55" t="str">
        <f aca="false">IF(BT1468=1,"L1",IF(OR(BT1468=2,BT1468=3),"L23",IF(BT1468="Aussen","Aussen","-")))</f>
        <v>L23</v>
      </c>
      <c r="BV1468" s="66" t="n">
        <f aca="false">IF(N(Z1468)&gt;0,Z1468,0)</f>
        <v>0</v>
      </c>
      <c r="BW1468" s="60" t="n">
        <f aca="false">IF(ISNUMBER(AC1468),1,0)</f>
        <v>0</v>
      </c>
      <c r="BX1468" s="57" t="n">
        <f aca="false">N(AC1468)</f>
        <v>0</v>
      </c>
      <c r="BY1468" s="57" t="n">
        <f aca="false">N(L1468)+N(M1468)</f>
        <v>1</v>
      </c>
      <c r="BZ1468" s="57" t="n">
        <f aca="false">ROUNDUP(G1468/BQ1468,0)</f>
        <v>0</v>
      </c>
      <c r="CA1468" s="57" t="n">
        <f aca="false">ROUNDUP(BX1468/BQ1468,0)</f>
        <v>0</v>
      </c>
      <c r="CB1468" s="60" t="n">
        <f aca="false">IF(BR1468=1,0,IFERROR(VLOOKUP(BP1468,'Gebinde-Kategorie'!$A$5:$M$45,5,0)+0,0))</f>
        <v>0</v>
      </c>
      <c r="CC1468" s="60" t="n">
        <f aca="false">IFERROR(IF(OR(BT1468=1,BT1468=2,BT1468=3),N(INDEX(Parameter!$I$5:$I$7,BT1468)),0),0)</f>
        <v>0</v>
      </c>
      <c r="CD1468" s="59" t="n">
        <f aca="false">IF(AND(Parameter!$B$21="Ja",ISNUMBER(U1468),N(V1468)&gt;0),IFERROR(N(INDEX(Parameter!$L$5:$L$7,U1468))*INDEX(Parameter!$E$5:$E$7,U1468)*V1468/SUMIFS($V$7:$V$1576,$U$7:$U$1576,U1468),0),0)</f>
        <v>0</v>
      </c>
    </row>
    <row r="1469" customFormat="false" ht="15" hidden="false" customHeight="false" outlineLevel="0" collapsed="false">
      <c r="A1469" s="55" t="s">
        <v>2550</v>
      </c>
      <c r="B1469" s="55" t="s">
        <v>1372</v>
      </c>
      <c r="C1469" s="55" t="s">
        <v>160</v>
      </c>
      <c r="D1469" s="55" t="s">
        <v>168</v>
      </c>
      <c r="E1469" s="55"/>
      <c r="F1469" s="56" t="n">
        <v>11412.99</v>
      </c>
      <c r="G1469" s="57" t="n">
        <f aca="false">MAX(0,IF(AND(Parameter!$B$21="Ja",ISNUMBER(W1469)),W1469,IF(Parameter!$B$20="Jahresanfang 2025 + Export",BJ1469+BI1469,BI1469)))</f>
        <v>0</v>
      </c>
      <c r="H1469" s="57" t="n">
        <f aca="false">G1469*F1469</f>
        <v>0</v>
      </c>
      <c r="I1469" s="57" t="n">
        <f aca="false">BL1469*Parameter!$B$18</f>
        <v>12</v>
      </c>
      <c r="J1469" s="58"/>
      <c r="K1469" s="59"/>
      <c r="L1469" s="57" t="n">
        <v>2</v>
      </c>
      <c r="M1469" s="57" t="n">
        <v>1</v>
      </c>
      <c r="N1469" s="60"/>
      <c r="O1469" s="55" t="s">
        <v>163</v>
      </c>
      <c r="P1469" s="57"/>
      <c r="Q1469" s="60" t="n">
        <f aca="false">IF(BR1469=1,0,IFERROR(VLOOKUP(BP1469,'Gebinde-Kategorie'!$A$5:$M$45,13,0)+0,0))</f>
        <v>0</v>
      </c>
      <c r="R1469" s="61"/>
      <c r="S1469" s="62"/>
      <c r="T1469" s="62"/>
      <c r="U1469" s="55"/>
      <c r="V1469" s="57"/>
      <c r="W1469" s="57"/>
      <c r="X1469" s="55" t="n">
        <f aca="false">IF(A1469="","",IF(AND(Parameter!$B$21="Ja",ISNUMBER(U1469)),U1469,IF(IFERROR(VLOOKUP(D1469,Parameter!$A$35:$C$64,2,0),"Nein")="2+3",IF(ISNUMBER(SEARCH("grosser Artikel",BM1469)),2,IFERROR(VLOOKUP(BP1469,Parameter!$F$35:$G$64,2,0),2)),IF(OR(IFERROR(VLOOKUP(D1469,Parameter!$A$35:$C$64,2,0),"Nein")="Nein",IFERROR(VLOOKUP(D1469,Parameter!$A$35:$C$64,2,0),"Nein")=""),"-",VLOOKUP(D1469,Parameter!$A$35:$C$64,2,0)))))</f>
        <v>2</v>
      </c>
      <c r="Y1469" s="62"/>
      <c r="Z1469" s="63"/>
      <c r="AA1469" s="57" t="n">
        <f aca="false">AP1469</f>
        <v>6</v>
      </c>
      <c r="AB1469" s="57" t="n">
        <f aca="false">MAX(AP1469,G1469)</f>
        <v>6</v>
      </c>
      <c r="AC1469" s="64"/>
      <c r="AD1469" s="57" t="n">
        <f aca="false">IF(LEFT(Cockpit!$C$5,1)="A",G1469,IF(BW1469=1,BX1469,IF(LEFT(Cockpit!$C$5,1)="B",AH1469,MAX(AH1469,G1469))))</f>
        <v>0</v>
      </c>
      <c r="AE1469" s="57" t="n">
        <f aca="false">IF(BR1469=1,0,ROUNDUP(AD1469/BQ1469,0))</f>
        <v>0</v>
      </c>
      <c r="AF1469" s="59" t="n">
        <f aca="false">IF(CD1469&gt;0,CD1469*MAX(1,AD1469/V1469),IF(BR1469=1,IF(AD1469&lt;=0,0,BS1469*MAX(1,IF(G1469&gt;0,AD1469/G1469,1))),IF(Q1469&gt;0,AE1469/Q1469,0))/MAX(0.1,N(Parameter!$M$21)))</f>
        <v>0</v>
      </c>
      <c r="AG1469" s="57" t="n">
        <f aca="false">AD1469*F1469</f>
        <v>0</v>
      </c>
      <c r="AH1469" s="57" t="n">
        <f aca="false">ROUNDUP(MAX(I1469/IF(BV1469&gt;0,BV1469,MAX(0.1,N(Cockpit!$C$6))),BY1469)/BQ1469,0)*BQ1469</f>
        <v>6</v>
      </c>
      <c r="AI1469" s="58" t="n">
        <f aca="false">IF(AF1469&gt;0,I1469/AF1469,-1)</f>
        <v>-1</v>
      </c>
      <c r="AJ1469" s="58" t="str">
        <f aca="false">IF(AND(OR(BU1469="L1",BU1469="L23"),AF1469&gt;0),SUMIFS($AF$7:$AF$1576,$BU$7:$BU$1576,BU1469,$AI$7:$AI$1576,"&gt;"&amp;AI1469)+SUMIFS($AF$7:$AF$1576,$BU$7:$BU$1576,BU1469,$AI$7:$AI$1576,AI1469,$BO$7:$BO$1576,"&lt;="&amp;BO1469),"")</f>
        <v/>
      </c>
      <c r="AK1469" s="65" t="n">
        <f aca="false">IF(AJ1469="",0,MAX(0,MIN(1,(IF(BU1469="L1",Parameter!$E$5,Parameter!$E$6+Parameter!$E$7)-(AJ1469-AF1469))/AF1469)))</f>
        <v>0</v>
      </c>
      <c r="AL1469" s="57" t="n">
        <f aca="false">IF(LEFT(Cockpit!$I$5,1)="A",G1469,IF(BW1469=1,BX1469,IF(LEFT(Cockpit!$I$5,1)="B",AP1469,MAX(AP1469,G1469))))</f>
        <v>6</v>
      </c>
      <c r="AM1469" s="57" t="n">
        <f aca="false">IF(BR1469=1,0,ROUNDUP(AL1469/BQ1469,0))</f>
        <v>0</v>
      </c>
      <c r="AN1469" s="59" t="n">
        <f aca="false">IF(CD1469&gt;0,CD1469*MAX(1,AL1469/V1469),IF(BR1469=1,IF(AL1469&lt;=0,0,BS1469*MAX(1,IF(G1469&gt;0,AL1469/G1469,1))),IF(Q1469&gt;0,AM1469/Q1469,0))/MAX(0.1,N(Parameter!$M$21)))</f>
        <v>0.15</v>
      </c>
      <c r="AO1469" s="57" t="n">
        <f aca="false">AL1469*F1469</f>
        <v>68477.94</v>
      </c>
      <c r="AP1469" s="57" t="n">
        <f aca="false">ROUNDUP(MAX(I1469/IF(BV1469&gt;0,BV1469,MAX(0.1,N(Cockpit!$I$6))),BY1469)/BQ1469,0)*BQ1469</f>
        <v>6</v>
      </c>
      <c r="AQ1469" s="58" t="n">
        <f aca="false">IF(AN1469&gt;0,I1469/AN1469,-1)</f>
        <v>80</v>
      </c>
      <c r="AR1469" s="58" t="n">
        <f aca="false">IF(AND(OR(BU1469="L1",BU1469="L23"),AN1469&gt;0),SUMIFS($AN$7:$AN$1576,$BU$7:$BU$1576,BU1469,$AQ$7:$AQ$1576,"&gt;"&amp;AQ1469)+SUMIFS($AN$7:$AN$1576,$BU$7:$BU$1576,BU1469,$AQ$7:$AQ$1576,AQ1469,$BO$7:$BO$1576,"&lt;="&amp;BO1469),"")</f>
        <v>74.5808261970874</v>
      </c>
      <c r="AS1469" s="65" t="n">
        <f aca="false">IF(AR1469="",0,MAX(0,MIN(1,(IF(BU1469="L1",Parameter!$E$5,Parameter!$E$6+Parameter!$E$7)-(AR1469-AN1469))/AN1469)))</f>
        <v>1</v>
      </c>
      <c r="AT1469" s="57" t="n">
        <f aca="false">IF(LEFT(Cockpit!$O$5,1)="A",G1469,IF(BW1469=1,BX1469,IF(LEFT(Cockpit!$O$5,1)="B",AX1469,MAX(AX1469,G1469))))</f>
        <v>4</v>
      </c>
      <c r="AU1469" s="57" t="n">
        <f aca="false">IF(BR1469=1,0,ROUNDUP(AT1469/BQ1469,0))</f>
        <v>0</v>
      </c>
      <c r="AV1469" s="59" t="n">
        <f aca="false">IF(CD1469&gt;0,CD1469*MAX(1,AT1469/V1469),IF(BR1469=1,IF(AT1469&lt;=0,0,BS1469*MAX(1,IF(G1469&gt;0,AT1469/G1469,1))),IF(Q1469&gt;0,AU1469/Q1469,0))/MAX(0.1,N(Parameter!$M$21)))</f>
        <v>0.15</v>
      </c>
      <c r="AW1469" s="57" t="n">
        <f aca="false">AT1469*F1469</f>
        <v>45651.96</v>
      </c>
      <c r="AX1469" s="57" t="n">
        <f aca="false">ROUNDUP(MAX(I1469/IF(BV1469&gt;0,BV1469,MAX(0.1,N(Cockpit!$O$6))),BY1469)/BQ1469,0)*BQ1469</f>
        <v>4</v>
      </c>
      <c r="AY1469" s="58" t="n">
        <f aca="false">IF(AV1469&gt;0,I1469/AV1469,-1)</f>
        <v>80</v>
      </c>
      <c r="AZ1469" s="58" t="n">
        <f aca="false">IF(AND(OR(BU1469="L1",BU1469="L23"),AV1469&gt;0),SUMIFS($AV$7:$AV$1576,$BU$7:$BU$1576,BU1469,$AY$7:$AY$1576,"&gt;"&amp;AY1469)+SUMIFS($AV$7:$AV$1576,$BU$7:$BU$1576,BU1469,$AY$7:$AY$1576,AY1469,$BO$7:$BO$1576,"&lt;="&amp;BO1469),"")</f>
        <v>68.7537099799711</v>
      </c>
      <c r="BA1469" s="65" t="n">
        <f aca="false">IF(AZ1469="",0,MAX(0,MIN(1,(IF(BU1469="L1",Parameter!$E$5,Parameter!$E$6+Parameter!$E$7)-(AZ1469-AV1469))/AV1469)))</f>
        <v>1</v>
      </c>
      <c r="BB1469" s="55" t="str">
        <f aca="false">IF(AF1469&lt;=0,"",IF(BU1469="Aussen","Aussenlager",IF(BU1469="-","Nicht im Lift",IF(AK1469&gt;=1,"Lift",IF(AK1469&lt;=0,"Aussenlager","teilweise")))))</f>
        <v/>
      </c>
      <c r="BC1469" s="55" t="str">
        <f aca="false">IF(AN1469&lt;=0,"",IF(BU1469="Aussen","Aussenlager",IF(BU1469="-","Nicht im Lift",IF(AS1469&gt;=1,"Lift",IF(AS1469&lt;=0,"Aussenlager","teilweise")))))</f>
        <v>Lift</v>
      </c>
      <c r="BD1469" s="55" t="str">
        <f aca="false">IF(AV1469&lt;=0,"",IF(BU1469="Aussen","Aussenlager",IF(BU1469="-","Nicht im Lift",IF(BA1469&gt;=1,"Lift",IF(BA1469&lt;=0,"Aussenlager","teilweise")))))</f>
        <v>Lift</v>
      </c>
      <c r="BE1469" s="55" t="str">
        <f aca="false">IF(A1469="","",IF(BN1469=1,"Neu; ","")&amp;IF(AND(BN1469=0,BI1469&lt;0),"negativer Bestand (Export "&amp;BI1469&amp;"); ","")&amp;IF(I1469&lt;=0,"Kein Verbrauch; ","")&amp;IF(CD1469&gt;0,"Lift "&amp;U1469&amp;" lt. Liftbericht (Fach "&amp;V1469&amp;" Stk); ",IF(BR1469=1,"Lose – Fläche geschätzt; ",""))&amp;IF(G1469&gt;AP1469,"Überbestand "&amp;ROUND(G1469-AP1469,0)&amp;" Stk / CHF "&amp;ROUND((G1469-AP1469)*F1469,0)&amp;"; ","")&amp;IF(AND(BW1469=1,BX1469&lt;BY1469),"MAX &lt; MB+LG; ","")&amp;IF(AND(CC1469&gt;0,CB1469*10&gt;CC1469),"zu hoch für Tablar; ","")&amp;IF(AND(BN1469=0,OR(BW1469=1,Y1469&lt;&gt;"",S1469&lt;&gt;"",T1469&lt;&gt;"",Z1469&lt;&gt;"")),"manuell übersteuert; ","")&amp;IF(AND(BR1469=0,Q1469=0),"Gebinde unbekannt / Stellmass fehlt; ","")&amp;IF(AND(BR1469=0,N(T1469)&lt;=0,N(P1469)&lt;=0),"Menge pro Gebinde fehlt (Ist = 1 Gebinde); ","")&amp;BM1469)</f>
        <v>negativer Bestand (Export -7); Lose – Fläche geschätzt; </v>
      </c>
      <c r="BF1469" s="55"/>
      <c r="BG1469" s="55"/>
      <c r="BH1469" s="62"/>
      <c r="BI1469" s="57" t="n">
        <v>-7</v>
      </c>
      <c r="BJ1469" s="57" t="n">
        <v>0</v>
      </c>
      <c r="BK1469" s="56" t="n">
        <v>-66765.84</v>
      </c>
      <c r="BL1469" s="57" t="n">
        <v>12</v>
      </c>
      <c r="BM1469" s="55"/>
      <c r="BN1469" s="60" t="n">
        <v>0</v>
      </c>
      <c r="BO1469" s="60" t="n">
        <v>1469</v>
      </c>
      <c r="BP1469" s="55" t="str">
        <f aca="false">IF(S1469&lt;&gt;"",UPPER(TRIM(S1469)),IF(O1469="","LOSE",O1469))</f>
        <v>LOSE</v>
      </c>
      <c r="BQ1469" s="57" t="n">
        <f aca="false">IF(BP1469="LOSE",1,IF(N(T1469)&gt;0,T1469,IF(N(P1469)&gt;0,P1469,MAX(1,G1469))))</f>
        <v>1</v>
      </c>
      <c r="BR1469" s="60" t="n">
        <f aca="false">IF(BP1469="LOSE",1,0)</f>
        <v>1</v>
      </c>
      <c r="BS1469" s="59" t="n">
        <f aca="false">IF(BR1469=0,0,IF(N(R1469)&gt;0,R1469,IFERROR(VLOOKUP(D1469,Parameter!$A$35:$C$64,3,0)+0,0)))</f>
        <v>0.15</v>
      </c>
      <c r="BT1469" s="55" t="n">
        <f aca="false">IF(Y1469&lt;&gt;"",Y1469,X1469)</f>
        <v>2</v>
      </c>
      <c r="BU1469" s="55" t="str">
        <f aca="false">IF(BT1469=1,"L1",IF(OR(BT1469=2,BT1469=3),"L23",IF(BT1469="Aussen","Aussen","-")))</f>
        <v>L23</v>
      </c>
      <c r="BV1469" s="66" t="n">
        <f aca="false">IF(N(Z1469)&gt;0,Z1469,0)</f>
        <v>0</v>
      </c>
      <c r="BW1469" s="60" t="n">
        <f aca="false">IF(ISNUMBER(AC1469),1,0)</f>
        <v>0</v>
      </c>
      <c r="BX1469" s="57" t="n">
        <f aca="false">N(AC1469)</f>
        <v>0</v>
      </c>
      <c r="BY1469" s="57" t="n">
        <f aca="false">N(L1469)+N(M1469)</f>
        <v>3</v>
      </c>
      <c r="BZ1469" s="57" t="n">
        <f aca="false">ROUNDUP(G1469/BQ1469,0)</f>
        <v>0</v>
      </c>
      <c r="CA1469" s="57" t="n">
        <f aca="false">ROUNDUP(BX1469/BQ1469,0)</f>
        <v>0</v>
      </c>
      <c r="CB1469" s="60" t="n">
        <f aca="false">IF(BR1469=1,0,IFERROR(VLOOKUP(BP1469,'Gebinde-Kategorie'!$A$5:$M$45,5,0)+0,0))</f>
        <v>0</v>
      </c>
      <c r="CC1469" s="60" t="n">
        <f aca="false">IFERROR(IF(OR(BT1469=1,BT1469=2,BT1469=3),N(INDEX(Parameter!$I$5:$I$7,BT1469)),0),0)</f>
        <v>0</v>
      </c>
      <c r="CD1469" s="59" t="n">
        <f aca="false">IF(AND(Parameter!$B$21="Ja",ISNUMBER(U1469),N(V1469)&gt;0),IFERROR(N(INDEX(Parameter!$L$5:$L$7,U1469))*INDEX(Parameter!$E$5:$E$7,U1469)*V1469/SUMIFS($V$7:$V$1576,$U$7:$U$1576,U1469),0),0)</f>
        <v>0</v>
      </c>
    </row>
    <row r="1470" customFormat="false" ht="15" hidden="false" customHeight="false" outlineLevel="0" collapsed="false">
      <c r="A1470" s="55" t="s">
        <v>2551</v>
      </c>
      <c r="B1470" s="55" t="s">
        <v>188</v>
      </c>
      <c r="C1470" s="55" t="s">
        <v>446</v>
      </c>
      <c r="D1470" s="55" t="s">
        <v>168</v>
      </c>
      <c r="E1470" s="55"/>
      <c r="F1470" s="56" t="n">
        <v>4545.65</v>
      </c>
      <c r="G1470" s="57" t="n">
        <f aca="false">MAX(0,IF(AND(Parameter!$B$21="Ja",ISNUMBER(W1470)),W1470,IF(Parameter!$B$20="Jahresanfang 2025 + Export",BJ1470+BI1470,BI1470)))</f>
        <v>0</v>
      </c>
      <c r="H1470" s="57" t="n">
        <f aca="false">G1470*F1470</f>
        <v>0</v>
      </c>
      <c r="I1470" s="57" t="n">
        <f aca="false">BL1470*Parameter!$B$18</f>
        <v>49</v>
      </c>
      <c r="J1470" s="58"/>
      <c r="K1470" s="59"/>
      <c r="L1470" s="57" t="n">
        <v>0</v>
      </c>
      <c r="M1470" s="57" t="n">
        <v>3</v>
      </c>
      <c r="N1470" s="60"/>
      <c r="O1470" s="55" t="s">
        <v>163</v>
      </c>
      <c r="P1470" s="57"/>
      <c r="Q1470" s="60" t="n">
        <f aca="false">IF(BR1470=1,0,IFERROR(VLOOKUP(BP1470,'Gebinde-Kategorie'!$A$5:$M$45,13,0)+0,0))</f>
        <v>0</v>
      </c>
      <c r="R1470" s="61"/>
      <c r="S1470" s="62"/>
      <c r="T1470" s="62"/>
      <c r="U1470" s="55"/>
      <c r="V1470" s="57"/>
      <c r="W1470" s="57"/>
      <c r="X1470" s="55" t="n">
        <f aca="false">IF(A1470="","",IF(AND(Parameter!$B$21="Ja",ISNUMBER(U1470)),U1470,IF(IFERROR(VLOOKUP(D1470,Parameter!$A$35:$C$64,2,0),"Nein")="2+3",IF(ISNUMBER(SEARCH("grosser Artikel",BM1470)),2,IFERROR(VLOOKUP(BP1470,Parameter!$F$35:$G$64,2,0),2)),IF(OR(IFERROR(VLOOKUP(D1470,Parameter!$A$35:$C$64,2,0),"Nein")="Nein",IFERROR(VLOOKUP(D1470,Parameter!$A$35:$C$64,2,0),"Nein")=""),"-",VLOOKUP(D1470,Parameter!$A$35:$C$64,2,0)))))</f>
        <v>2</v>
      </c>
      <c r="Y1470" s="62"/>
      <c r="Z1470" s="63"/>
      <c r="AA1470" s="57" t="n">
        <f aca="false">AP1470</f>
        <v>25</v>
      </c>
      <c r="AB1470" s="57" t="n">
        <f aca="false">MAX(AP1470,G1470)</f>
        <v>25</v>
      </c>
      <c r="AC1470" s="64"/>
      <c r="AD1470" s="57" t="n">
        <f aca="false">IF(LEFT(Cockpit!$C$5,1)="A",G1470,IF(BW1470=1,BX1470,IF(LEFT(Cockpit!$C$5,1)="B",AH1470,MAX(AH1470,G1470))))</f>
        <v>0</v>
      </c>
      <c r="AE1470" s="57" t="n">
        <f aca="false">IF(BR1470=1,0,ROUNDUP(AD1470/BQ1470,0))</f>
        <v>0</v>
      </c>
      <c r="AF1470" s="59" t="n">
        <f aca="false">IF(CD1470&gt;0,CD1470*MAX(1,AD1470/V1470),IF(BR1470=1,IF(AD1470&lt;=0,0,BS1470*MAX(1,IF(G1470&gt;0,AD1470/G1470,1))),IF(Q1470&gt;0,AE1470/Q1470,0))/MAX(0.1,N(Parameter!$M$21)))</f>
        <v>0</v>
      </c>
      <c r="AG1470" s="57" t="n">
        <f aca="false">AD1470*F1470</f>
        <v>0</v>
      </c>
      <c r="AH1470" s="57" t="n">
        <f aca="false">ROUNDUP(MAX(I1470/IF(BV1470&gt;0,BV1470,MAX(0.1,N(Cockpit!$C$6))),BY1470)/BQ1470,0)*BQ1470</f>
        <v>25</v>
      </c>
      <c r="AI1470" s="58" t="n">
        <f aca="false">IF(AF1470&gt;0,I1470/AF1470,-1)</f>
        <v>-1</v>
      </c>
      <c r="AJ1470" s="58" t="str">
        <f aca="false">IF(AND(OR(BU1470="L1",BU1470="L23"),AF1470&gt;0),SUMIFS($AF$7:$AF$1576,$BU$7:$BU$1576,BU1470,$AI$7:$AI$1576,"&gt;"&amp;AI1470)+SUMIFS($AF$7:$AF$1576,$BU$7:$BU$1576,BU1470,$AI$7:$AI$1576,AI1470,$BO$7:$BO$1576,"&lt;="&amp;BO1470),"")</f>
        <v/>
      </c>
      <c r="AK1470" s="65" t="n">
        <f aca="false">IF(AJ1470="",0,MAX(0,MIN(1,(IF(BU1470="L1",Parameter!$E$5,Parameter!$E$6+Parameter!$E$7)-(AJ1470-AF1470))/AF1470)))</f>
        <v>0</v>
      </c>
      <c r="AL1470" s="57" t="n">
        <f aca="false">IF(LEFT(Cockpit!$I$5,1)="A",G1470,IF(BW1470=1,BX1470,IF(LEFT(Cockpit!$I$5,1)="B",AP1470,MAX(AP1470,G1470))))</f>
        <v>25</v>
      </c>
      <c r="AM1470" s="57" t="n">
        <f aca="false">IF(BR1470=1,0,ROUNDUP(AL1470/BQ1470,0))</f>
        <v>0</v>
      </c>
      <c r="AN1470" s="59" t="n">
        <f aca="false">IF(CD1470&gt;0,CD1470*MAX(1,AL1470/V1470),IF(BR1470=1,IF(AL1470&lt;=0,0,BS1470*MAX(1,IF(G1470&gt;0,AL1470/G1470,1))),IF(Q1470&gt;0,AM1470/Q1470,0))/MAX(0.1,N(Parameter!$M$21)))</f>
        <v>0.15</v>
      </c>
      <c r="AO1470" s="57" t="n">
        <f aca="false">AL1470*F1470</f>
        <v>113641.25</v>
      </c>
      <c r="AP1470" s="57" t="n">
        <f aca="false">ROUNDUP(MAX(I1470/IF(BV1470&gt;0,BV1470,MAX(0.1,N(Cockpit!$I$6))),BY1470)/BQ1470,0)*BQ1470</f>
        <v>25</v>
      </c>
      <c r="AQ1470" s="58" t="n">
        <f aca="false">IF(AN1470&gt;0,I1470/AN1470,-1)</f>
        <v>326.666666666667</v>
      </c>
      <c r="AR1470" s="58" t="n">
        <f aca="false">IF(AND(OR(BU1470="L1",BU1470="L23"),AN1470&gt;0),SUMIFS($AN$7:$AN$1576,$BU$7:$BU$1576,BU1470,$AQ$7:$AQ$1576,"&gt;"&amp;AQ1470)+SUMIFS($AN$7:$AN$1576,$BU$7:$BU$1576,BU1470,$AQ$7:$AQ$1576,AQ1470,$BO$7:$BO$1576,"&lt;="&amp;BO1470),"")</f>
        <v>42.1642554670927</v>
      </c>
      <c r="AS1470" s="65" t="n">
        <f aca="false">IF(AR1470="",0,MAX(0,MIN(1,(IF(BU1470="L1",Parameter!$E$5,Parameter!$E$6+Parameter!$E$7)-(AR1470-AN1470))/AN1470)))</f>
        <v>1</v>
      </c>
      <c r="AT1470" s="57" t="n">
        <f aca="false">IF(LEFT(Cockpit!$O$5,1)="A",G1470,IF(BW1470=1,BX1470,IF(LEFT(Cockpit!$O$5,1)="B",AX1470,MAX(AX1470,G1470))))</f>
        <v>17</v>
      </c>
      <c r="AU1470" s="57" t="n">
        <f aca="false">IF(BR1470=1,0,ROUNDUP(AT1470/BQ1470,0))</f>
        <v>0</v>
      </c>
      <c r="AV1470" s="59" t="n">
        <f aca="false">IF(CD1470&gt;0,CD1470*MAX(1,AT1470/V1470),IF(BR1470=1,IF(AT1470&lt;=0,0,BS1470*MAX(1,IF(G1470&gt;0,AT1470/G1470,1))),IF(Q1470&gt;0,AU1470/Q1470,0))/MAX(0.1,N(Parameter!$M$21)))</f>
        <v>0.15</v>
      </c>
      <c r="AW1470" s="57" t="n">
        <f aca="false">AT1470*F1470</f>
        <v>77276.05</v>
      </c>
      <c r="AX1470" s="57" t="n">
        <f aca="false">ROUNDUP(MAX(I1470/IF(BV1470&gt;0,BV1470,MAX(0.1,N(Cockpit!$O$6))),BY1470)/BQ1470,0)*BQ1470</f>
        <v>17</v>
      </c>
      <c r="AY1470" s="58" t="n">
        <f aca="false">IF(AV1470&gt;0,I1470/AV1470,-1)</f>
        <v>326.666666666667</v>
      </c>
      <c r="AZ1470" s="58" t="n">
        <f aca="false">IF(AND(OR(BU1470="L1",BU1470="L23"),AV1470&gt;0),SUMIFS($AV$7:$AV$1576,$BU$7:$BU$1576,BU1470,$AY$7:$AY$1576,"&gt;"&amp;AY1470)+SUMIFS($AV$7:$AV$1576,$BU$7:$BU$1576,BU1470,$AY$7:$AY$1576,AY1470,$BO$7:$BO$1576,"&lt;="&amp;BO1470),"")</f>
        <v>38.9123340551713</v>
      </c>
      <c r="BA1470" s="65" t="n">
        <f aca="false">IF(AZ1470="",0,MAX(0,MIN(1,(IF(BU1470="L1",Parameter!$E$5,Parameter!$E$6+Parameter!$E$7)-(AZ1470-AV1470))/AV1470)))</f>
        <v>1</v>
      </c>
      <c r="BB1470" s="55" t="str">
        <f aca="false">IF(AF1470&lt;=0,"",IF(BU1470="Aussen","Aussenlager",IF(BU1470="-","Nicht im Lift",IF(AK1470&gt;=1,"Lift",IF(AK1470&lt;=0,"Aussenlager","teilweise")))))</f>
        <v/>
      </c>
      <c r="BC1470" s="55" t="str">
        <f aca="false">IF(AN1470&lt;=0,"",IF(BU1470="Aussen","Aussenlager",IF(BU1470="-","Nicht im Lift",IF(AS1470&gt;=1,"Lift",IF(AS1470&lt;=0,"Aussenlager","teilweise")))))</f>
        <v>Lift</v>
      </c>
      <c r="BD1470" s="55" t="str">
        <f aca="false">IF(AV1470&lt;=0,"",IF(BU1470="Aussen","Aussenlager",IF(BU1470="-","Nicht im Lift",IF(BA1470&gt;=1,"Lift",IF(BA1470&lt;=0,"Aussenlager","teilweise")))))</f>
        <v>Lift</v>
      </c>
      <c r="BE1470" s="55" t="str">
        <f aca="false">IF(A1470="","",IF(BN1470=1,"Neu; ","")&amp;IF(AND(BN1470=0,BI1470&lt;0),"negativer Bestand (Export "&amp;BI1470&amp;"); ","")&amp;IF(I1470&lt;=0,"Kein Verbrauch; ","")&amp;IF(CD1470&gt;0,"Lift "&amp;U1470&amp;" lt. Liftbericht (Fach "&amp;V1470&amp;" Stk); ",IF(BR1470=1,"Lose – Fläche geschätzt; ",""))&amp;IF(G1470&gt;AP1470,"Überbestand "&amp;ROUND(G1470-AP1470,0)&amp;" Stk / CHF "&amp;ROUND((G1470-AP1470)*F1470,0)&amp;"; ","")&amp;IF(AND(BW1470=1,BX1470&lt;BY1470),"MAX &lt; MB+LG; ","")&amp;IF(AND(CC1470&gt;0,CB1470*10&gt;CC1470),"zu hoch für Tablar; ","")&amp;IF(AND(BN1470=0,OR(BW1470=1,Y1470&lt;&gt;"",S1470&lt;&gt;"",T1470&lt;&gt;"",Z1470&lt;&gt;"")),"manuell übersteuert; ","")&amp;IF(AND(BR1470=0,Q1470=0),"Gebinde unbekannt / Stellmass fehlt; ","")&amp;IF(AND(BR1470=0,N(T1470)&lt;=0,N(P1470)&lt;=0),"Menge pro Gebinde fehlt (Ist = 1 Gebinde); ","")&amp;BM1470)</f>
        <v>negativer Bestand (Export -21); Lose – Fläche geschätzt; </v>
      </c>
      <c r="BF1470" s="55"/>
      <c r="BG1470" s="55"/>
      <c r="BH1470" s="62"/>
      <c r="BI1470" s="57" t="n">
        <v>-21</v>
      </c>
      <c r="BJ1470" s="57" t="n">
        <v>0</v>
      </c>
      <c r="BK1470" s="56" t="n">
        <v>-95302.94</v>
      </c>
      <c r="BL1470" s="57" t="n">
        <v>49</v>
      </c>
      <c r="BM1470" s="55"/>
      <c r="BN1470" s="60" t="n">
        <v>0</v>
      </c>
      <c r="BO1470" s="60" t="n">
        <v>1470</v>
      </c>
      <c r="BP1470" s="55" t="str">
        <f aca="false">IF(S1470&lt;&gt;"",UPPER(TRIM(S1470)),IF(O1470="","LOSE",O1470))</f>
        <v>LOSE</v>
      </c>
      <c r="BQ1470" s="57" t="n">
        <f aca="false">IF(BP1470="LOSE",1,IF(N(T1470)&gt;0,T1470,IF(N(P1470)&gt;0,P1470,MAX(1,G1470))))</f>
        <v>1</v>
      </c>
      <c r="BR1470" s="60" t="n">
        <f aca="false">IF(BP1470="LOSE",1,0)</f>
        <v>1</v>
      </c>
      <c r="BS1470" s="59" t="n">
        <f aca="false">IF(BR1470=0,0,IF(N(R1470)&gt;0,R1470,IFERROR(VLOOKUP(D1470,Parameter!$A$35:$C$64,3,0)+0,0)))</f>
        <v>0.15</v>
      </c>
      <c r="BT1470" s="55" t="n">
        <f aca="false">IF(Y1470&lt;&gt;"",Y1470,X1470)</f>
        <v>2</v>
      </c>
      <c r="BU1470" s="55" t="str">
        <f aca="false">IF(BT1470=1,"L1",IF(OR(BT1470=2,BT1470=3),"L23",IF(BT1470="Aussen","Aussen","-")))</f>
        <v>L23</v>
      </c>
      <c r="BV1470" s="66" t="n">
        <f aca="false">IF(N(Z1470)&gt;0,Z1470,0)</f>
        <v>0</v>
      </c>
      <c r="BW1470" s="60" t="n">
        <f aca="false">IF(ISNUMBER(AC1470),1,0)</f>
        <v>0</v>
      </c>
      <c r="BX1470" s="57" t="n">
        <f aca="false">N(AC1470)</f>
        <v>0</v>
      </c>
      <c r="BY1470" s="57" t="n">
        <f aca="false">N(L1470)+N(M1470)</f>
        <v>3</v>
      </c>
      <c r="BZ1470" s="57" t="n">
        <f aca="false">ROUNDUP(G1470/BQ1470,0)</f>
        <v>0</v>
      </c>
      <c r="CA1470" s="57" t="n">
        <f aca="false">ROUNDUP(BX1470/BQ1470,0)</f>
        <v>0</v>
      </c>
      <c r="CB1470" s="60" t="n">
        <f aca="false">IF(BR1470=1,0,IFERROR(VLOOKUP(BP1470,'Gebinde-Kategorie'!$A$5:$M$45,5,0)+0,0))</f>
        <v>0</v>
      </c>
      <c r="CC1470" s="60" t="n">
        <f aca="false">IFERROR(IF(OR(BT1470=1,BT1470=2,BT1470=3),N(INDEX(Parameter!$I$5:$I$7,BT1470)),0),0)</f>
        <v>0</v>
      </c>
      <c r="CD1470" s="59" t="n">
        <f aca="false">IF(AND(Parameter!$B$21="Ja",ISNUMBER(U1470),N(V1470)&gt;0),IFERROR(N(INDEX(Parameter!$L$5:$L$7,U1470))*INDEX(Parameter!$E$5:$E$7,U1470)*V1470/SUMIFS($V$7:$V$1576,$U$7:$U$1576,U1470),0),0)</f>
        <v>0</v>
      </c>
    </row>
    <row r="1471" customFormat="false" ht="15" hidden="false" customHeight="false" outlineLevel="0" collapsed="false">
      <c r="A1471" s="55" t="s">
        <v>2552</v>
      </c>
      <c r="B1471" s="55" t="s">
        <v>2409</v>
      </c>
      <c r="C1471" s="55" t="s">
        <v>160</v>
      </c>
      <c r="D1471" s="55" t="s">
        <v>168</v>
      </c>
      <c r="E1471" s="55"/>
      <c r="F1471" s="56" t="n">
        <v>1090</v>
      </c>
      <c r="G1471" s="57" t="n">
        <f aca="false">MAX(0,IF(AND(Parameter!$B$21="Ja",ISNUMBER(W1471)),W1471,IF(Parameter!$B$20="Jahresanfang 2025 + Export",BJ1471+BI1471,BI1471)))</f>
        <v>2</v>
      </c>
      <c r="H1471" s="57" t="n">
        <f aca="false">G1471*F1471</f>
        <v>2180</v>
      </c>
      <c r="I1471" s="57" t="n">
        <f aca="false">BL1471*Parameter!$B$18</f>
        <v>0</v>
      </c>
      <c r="J1471" s="58"/>
      <c r="K1471" s="59"/>
      <c r="L1471" s="57" t="n">
        <v>1</v>
      </c>
      <c r="M1471" s="57" t="n">
        <v>1</v>
      </c>
      <c r="N1471" s="60" t="n">
        <v>0</v>
      </c>
      <c r="O1471" s="55" t="s">
        <v>163</v>
      </c>
      <c r="P1471" s="57"/>
      <c r="Q1471" s="60" t="n">
        <f aca="false">IF(BR1471=1,0,IFERROR(VLOOKUP(BP1471,'Gebinde-Kategorie'!$A$5:$M$45,13,0)+0,0))</f>
        <v>0</v>
      </c>
      <c r="R1471" s="61"/>
      <c r="S1471" s="62"/>
      <c r="T1471" s="62"/>
      <c r="U1471" s="55" t="n">
        <v>1</v>
      </c>
      <c r="V1471" s="57" t="n">
        <v>2</v>
      </c>
      <c r="W1471" s="57" t="n">
        <v>2</v>
      </c>
      <c r="X1471" s="55" t="n">
        <f aca="false">IF(A1471="","",IF(AND(Parameter!$B$21="Ja",ISNUMBER(U1471)),U1471,IF(IFERROR(VLOOKUP(D1471,Parameter!$A$35:$C$64,2,0),"Nein")="2+3",IF(ISNUMBER(SEARCH("grosser Artikel",BM1471)),2,IFERROR(VLOOKUP(BP1471,Parameter!$F$35:$G$64,2,0),2)),IF(OR(IFERROR(VLOOKUP(D1471,Parameter!$A$35:$C$64,2,0),"Nein")="Nein",IFERROR(VLOOKUP(D1471,Parameter!$A$35:$C$64,2,0),"Nein")=""),"-",VLOOKUP(D1471,Parameter!$A$35:$C$64,2,0)))))</f>
        <v>1</v>
      </c>
      <c r="Y1471" s="62"/>
      <c r="Z1471" s="63"/>
      <c r="AA1471" s="57" t="n">
        <f aca="false">AP1471</f>
        <v>2</v>
      </c>
      <c r="AB1471" s="57" t="n">
        <f aca="false">MAX(AP1471,G1471)</f>
        <v>2</v>
      </c>
      <c r="AC1471" s="64"/>
      <c r="AD1471" s="57" t="n">
        <f aca="false">IF(LEFT(Cockpit!$C$5,1)="A",G1471,IF(BW1471=1,BX1471,IF(LEFT(Cockpit!$C$5,1)="B",AH1471,MAX(AH1471,G1471))))</f>
        <v>2</v>
      </c>
      <c r="AE1471" s="57" t="n">
        <f aca="false">IF(BR1471=1,0,ROUNDUP(AD1471/BQ1471,0))</f>
        <v>0</v>
      </c>
      <c r="AF1471" s="59" t="n">
        <f aca="false">IF(CD1471&gt;0,CD1471*MAX(1,AD1471/V1471),IF(BR1471=1,IF(AD1471&lt;=0,0,BS1471*MAX(1,IF(G1471&gt;0,AD1471/G1471,1))),IF(Q1471&gt;0,AE1471/Q1471,0))/MAX(0.1,N(Parameter!$M$21)))</f>
        <v>0.160075329566855</v>
      </c>
      <c r="AG1471" s="57" t="n">
        <f aca="false">AD1471*F1471</f>
        <v>2180</v>
      </c>
      <c r="AH1471" s="57" t="n">
        <f aca="false">ROUNDUP(MAX(I1471/IF(BV1471&gt;0,BV1471,MAX(0.1,N(Cockpit!$C$6))),BY1471)/BQ1471,0)*BQ1471</f>
        <v>2</v>
      </c>
      <c r="AI1471" s="58" t="n">
        <f aca="false">IF(AF1471&gt;0,I1471/AF1471,-1)</f>
        <v>0</v>
      </c>
      <c r="AJ1471" s="58" t="n">
        <f aca="false">IF(AND(OR(BU1471="L1",BU1471="L23"),AF1471&gt;0),SUMIFS($AF$7:$AF$1576,$BU$7:$BU$1576,BU1471,$AI$7:$AI$1576,"&gt;"&amp;AI1471)+SUMIFS($AF$7:$AF$1576,$BU$7:$BU$1576,BU1471,$AI$7:$AI$1576,AI1471,$BO$7:$BO$1576,"&lt;="&amp;BO1471),"")</f>
        <v>42.4463276836158</v>
      </c>
      <c r="AK1471" s="65" t="n">
        <f aca="false">IF(AJ1471="",0,MAX(0,MIN(1,(IF(BU1471="L1",Parameter!$E$5,Parameter!$E$6+Parameter!$E$7)-(AJ1471-AF1471))/AF1471)))</f>
        <v>1</v>
      </c>
      <c r="AL1471" s="57" t="n">
        <f aca="false">IF(LEFT(Cockpit!$I$5,1)="A",G1471,IF(BW1471=1,BX1471,IF(LEFT(Cockpit!$I$5,1)="B",AP1471,MAX(AP1471,G1471))))</f>
        <v>2</v>
      </c>
      <c r="AM1471" s="57" t="n">
        <f aca="false">IF(BR1471=1,0,ROUNDUP(AL1471/BQ1471,0))</f>
        <v>0</v>
      </c>
      <c r="AN1471" s="59" t="n">
        <f aca="false">IF(CD1471&gt;0,CD1471*MAX(1,AL1471/V1471),IF(BR1471=1,IF(AL1471&lt;=0,0,BS1471*MAX(1,IF(G1471&gt;0,AL1471/G1471,1))),IF(Q1471&gt;0,AM1471/Q1471,0))/MAX(0.1,N(Parameter!$M$21)))</f>
        <v>0.160075329566855</v>
      </c>
      <c r="AO1471" s="57" t="n">
        <f aca="false">AL1471*F1471</f>
        <v>2180</v>
      </c>
      <c r="AP1471" s="57" t="n">
        <f aca="false">ROUNDUP(MAX(I1471/IF(BV1471&gt;0,BV1471,MAX(0.1,N(Cockpit!$I$6))),BY1471)/BQ1471,0)*BQ1471</f>
        <v>2</v>
      </c>
      <c r="AQ1471" s="58" t="n">
        <f aca="false">IF(AN1471&gt;0,I1471/AN1471,-1)</f>
        <v>0</v>
      </c>
      <c r="AR1471" s="58" t="n">
        <f aca="false">IF(AND(OR(BU1471="L1",BU1471="L23"),AN1471&gt;0),SUMIFS($AN$7:$AN$1576,$BU$7:$BU$1576,BU1471,$AQ$7:$AQ$1576,"&gt;"&amp;AQ1471)+SUMIFS($AN$7:$AN$1576,$BU$7:$BU$1576,BU1471,$AQ$7:$AQ$1576,AQ1471,$BO$7:$BO$1576,"&lt;="&amp;BO1471),"")</f>
        <v>48.0489642184558</v>
      </c>
      <c r="AS1471" s="65" t="n">
        <f aca="false">IF(AR1471="",0,MAX(0,MIN(1,(IF(BU1471="L1",Parameter!$E$5,Parameter!$E$6+Parameter!$E$7)-(AR1471-AN1471))/AN1471)))</f>
        <v>1</v>
      </c>
      <c r="AT1471" s="57" t="n">
        <f aca="false">IF(LEFT(Cockpit!$O$5,1)="A",G1471,IF(BW1471=1,BX1471,IF(LEFT(Cockpit!$O$5,1)="B",AX1471,MAX(AX1471,G1471))))</f>
        <v>2</v>
      </c>
      <c r="AU1471" s="57" t="n">
        <f aca="false">IF(BR1471=1,0,ROUNDUP(AT1471/BQ1471,0))</f>
        <v>0</v>
      </c>
      <c r="AV1471" s="59" t="n">
        <f aca="false">IF(CD1471&gt;0,CD1471*MAX(1,AT1471/V1471),IF(BR1471=1,IF(AT1471&lt;=0,0,BS1471*MAX(1,IF(G1471&gt;0,AT1471/G1471,1))),IF(Q1471&gt;0,AU1471/Q1471,0))/MAX(0.1,N(Parameter!$M$21)))</f>
        <v>0.160075329566855</v>
      </c>
      <c r="AW1471" s="57" t="n">
        <f aca="false">AT1471*F1471</f>
        <v>2180</v>
      </c>
      <c r="AX1471" s="57" t="n">
        <f aca="false">ROUNDUP(MAX(I1471/IF(BV1471&gt;0,BV1471,MAX(0.1,N(Cockpit!$O$6))),BY1471)/BQ1471,0)*BQ1471</f>
        <v>2</v>
      </c>
      <c r="AY1471" s="58" t="n">
        <f aca="false">IF(AV1471&gt;0,I1471/AV1471,-1)</f>
        <v>0</v>
      </c>
      <c r="AZ1471" s="58" t="n">
        <f aca="false">IF(AND(OR(BU1471="L1",BU1471="L23"),AV1471&gt;0),SUMIFS($AV$7:$AV$1576,$BU$7:$BU$1576,BU1471,$AY$7:$AY$1576,"&gt;"&amp;AY1471)+SUMIFS($AV$7:$AV$1576,$BU$7:$BU$1576,BU1471,$AY$7:$AY$1576,AY1471,$BO$7:$BO$1576,"&lt;="&amp;BO1471),"")</f>
        <v>45.0875706214689</v>
      </c>
      <c r="BA1471" s="65" t="n">
        <f aca="false">IF(AZ1471="",0,MAX(0,MIN(1,(IF(BU1471="L1",Parameter!$E$5,Parameter!$E$6+Parameter!$E$7)-(AZ1471-AV1471))/AV1471)))</f>
        <v>1</v>
      </c>
      <c r="BB1471" s="55" t="str">
        <f aca="false">IF(AF1471&lt;=0,"",IF(BU1471="Aussen","Aussenlager",IF(BU1471="-","Nicht im Lift",IF(AK1471&gt;=1,"Lift",IF(AK1471&lt;=0,"Aussenlager","teilweise")))))</f>
        <v>Lift</v>
      </c>
      <c r="BC1471" s="55" t="str">
        <f aca="false">IF(AN1471&lt;=0,"",IF(BU1471="Aussen","Aussenlager",IF(BU1471="-","Nicht im Lift",IF(AS1471&gt;=1,"Lift",IF(AS1471&lt;=0,"Aussenlager","teilweise")))))</f>
        <v>Lift</v>
      </c>
      <c r="BD1471" s="55" t="str">
        <f aca="false">IF(AV1471&lt;=0,"",IF(BU1471="Aussen","Aussenlager",IF(BU1471="-","Nicht im Lift",IF(BA1471&gt;=1,"Lift",IF(BA1471&lt;=0,"Aussenlager","teilweise")))))</f>
        <v>Lift</v>
      </c>
      <c r="BE1471" s="55" t="str">
        <f aca="false">IF(A1471="","",IF(BN1471=1,"Neu; ","")&amp;IF(AND(BN1471=0,BI1471&lt;0),"negativer Bestand (Export "&amp;BI1471&amp;"); ","")&amp;IF(I1471&lt;=0,"Kein Verbrauch; ","")&amp;IF(CD1471&gt;0,"Lift "&amp;U1471&amp;" lt. Liftbericht (Fach "&amp;V1471&amp;" Stk); ",IF(BR1471=1,"Lose – Fläche geschätzt; ",""))&amp;IF(G1471&gt;AP1471,"Überbestand "&amp;ROUND(G1471-AP1471,0)&amp;" Stk / CHF "&amp;ROUND((G1471-AP1471)*F1471,0)&amp;"; ","")&amp;IF(AND(BW1471=1,BX1471&lt;BY1471),"MAX &lt; MB+LG; ","")&amp;IF(AND(CC1471&gt;0,CB1471*10&gt;CC1471),"zu hoch für Tablar; ","")&amp;IF(AND(BN1471=0,OR(BW1471=1,Y1471&lt;&gt;"",S1471&lt;&gt;"",T1471&lt;&gt;"",Z1471&lt;&gt;"")),"manuell übersteuert; ","")&amp;IF(AND(BR1471=0,Q1471=0),"Gebinde unbekannt / Stellmass fehlt; ","")&amp;IF(AND(BR1471=0,N(T1471)&lt;=0,N(P1471)&lt;=0),"Menge pro Gebinde fehlt (Ist = 1 Gebinde); ","")&amp;BM1471)</f>
        <v>Kein Verbrauch; Lift 1 lt. Liftbericht (Fach 2 Stk); nur im Liftbericht (nicht im Kennzahlen-Auszug)</v>
      </c>
      <c r="BF1471" s="55"/>
      <c r="BG1471" s="55"/>
      <c r="BH1471" s="62"/>
      <c r="BI1471" s="57" t="n">
        <v>2</v>
      </c>
      <c r="BJ1471" s="57" t="n">
        <v>0</v>
      </c>
      <c r="BK1471" s="56" t="n">
        <v>0</v>
      </c>
      <c r="BL1471" s="57" t="n">
        <v>0</v>
      </c>
      <c r="BM1471" s="55" t="s">
        <v>2553</v>
      </c>
      <c r="BN1471" s="60" t="n">
        <v>0</v>
      </c>
      <c r="BO1471" s="60" t="n">
        <v>1471</v>
      </c>
      <c r="BP1471" s="55" t="str">
        <f aca="false">IF(S1471&lt;&gt;"",UPPER(TRIM(S1471)),IF(O1471="","LOSE",O1471))</f>
        <v>LOSE</v>
      </c>
      <c r="BQ1471" s="57" t="n">
        <f aca="false">IF(BP1471="LOSE",1,IF(N(T1471)&gt;0,T1471,IF(N(P1471)&gt;0,P1471,MAX(1,G1471))))</f>
        <v>1</v>
      </c>
      <c r="BR1471" s="60" t="n">
        <f aca="false">IF(BP1471="LOSE",1,0)</f>
        <v>1</v>
      </c>
      <c r="BS1471" s="59" t="n">
        <f aca="false">IF(BR1471=0,0,IF(N(R1471)&gt;0,R1471,IFERROR(VLOOKUP(D1471,Parameter!$A$35:$C$64,3,0)+0,0)))</f>
        <v>0.15</v>
      </c>
      <c r="BT1471" s="55" t="n">
        <f aca="false">IF(Y1471&lt;&gt;"",Y1471,X1471)</f>
        <v>1</v>
      </c>
      <c r="BU1471" s="55" t="str">
        <f aca="false">IF(BT1471=1,"L1",IF(OR(BT1471=2,BT1471=3),"L23",IF(BT1471="Aussen","Aussen","-")))</f>
        <v>L1</v>
      </c>
      <c r="BV1471" s="66" t="n">
        <f aca="false">IF(N(Z1471)&gt;0,Z1471,0)</f>
        <v>0</v>
      </c>
      <c r="BW1471" s="60" t="n">
        <f aca="false">IF(ISNUMBER(AC1471),1,0)</f>
        <v>0</v>
      </c>
      <c r="BX1471" s="57" t="n">
        <f aca="false">N(AC1471)</f>
        <v>0</v>
      </c>
      <c r="BY1471" s="57" t="n">
        <f aca="false">N(L1471)+N(M1471)</f>
        <v>2</v>
      </c>
      <c r="BZ1471" s="57" t="n">
        <f aca="false">ROUNDUP(G1471/BQ1471,0)</f>
        <v>2</v>
      </c>
      <c r="CA1471" s="57" t="n">
        <f aca="false">ROUNDUP(BX1471/BQ1471,0)</f>
        <v>0</v>
      </c>
      <c r="CB1471" s="60" t="n">
        <f aca="false">IF(BR1471=1,0,IFERROR(VLOOKUP(BP1471,'Gebinde-Kategorie'!$A$5:$M$45,5,0)+0,0))</f>
        <v>0</v>
      </c>
      <c r="CC1471" s="60" t="n">
        <f aca="false">IFERROR(IF(OR(BT1471=1,BT1471=2,BT1471=3),N(INDEX(Parameter!$I$5:$I$7,BT1471)),0),0)</f>
        <v>0</v>
      </c>
      <c r="CD1471" s="59" t="n">
        <f aca="false">IF(AND(Parameter!$B$21="Ja",ISNUMBER(U1471),N(V1471)&gt;0),IFERROR(N(INDEX(Parameter!$L$5:$L$7,U1471))*INDEX(Parameter!$E$5:$E$7,U1471)*V1471/SUMIFS($V$7:$V$1576,$U$7:$U$1576,U1471),0),0)</f>
        <v>0.160075329566855</v>
      </c>
    </row>
    <row r="1472" customFormat="false" ht="15" hidden="false" customHeight="false" outlineLevel="0" collapsed="false">
      <c r="A1472" s="55" t="s">
        <v>2554</v>
      </c>
      <c r="B1472" s="55" t="s">
        <v>2555</v>
      </c>
      <c r="C1472" s="55" t="s">
        <v>160</v>
      </c>
      <c r="D1472" s="55" t="s">
        <v>168</v>
      </c>
      <c r="E1472" s="55"/>
      <c r="F1472" s="56" t="n">
        <v>132.8</v>
      </c>
      <c r="G1472" s="57" t="n">
        <f aca="false">MAX(0,IF(AND(Parameter!$B$21="Ja",ISNUMBER(W1472)),W1472,IF(Parameter!$B$20="Jahresanfang 2025 + Export",BJ1472+BI1472,BI1472)))</f>
        <v>1</v>
      </c>
      <c r="H1472" s="57" t="n">
        <f aca="false">G1472*F1472</f>
        <v>132.8</v>
      </c>
      <c r="I1472" s="57" t="n">
        <f aca="false">BL1472*Parameter!$B$18</f>
        <v>0</v>
      </c>
      <c r="J1472" s="58"/>
      <c r="K1472" s="59"/>
      <c r="L1472" s="57" t="n">
        <v>0</v>
      </c>
      <c r="M1472" s="57" t="n">
        <v>1</v>
      </c>
      <c r="N1472" s="60" t="n">
        <v>21</v>
      </c>
      <c r="O1472" s="55" t="s">
        <v>163</v>
      </c>
      <c r="P1472" s="57"/>
      <c r="Q1472" s="60" t="n">
        <f aca="false">IF(BR1472=1,0,IFERROR(VLOOKUP(BP1472,'Gebinde-Kategorie'!$A$5:$M$45,13,0)+0,0))</f>
        <v>0</v>
      </c>
      <c r="R1472" s="61"/>
      <c r="S1472" s="62"/>
      <c r="T1472" s="62"/>
      <c r="U1472" s="55" t="n">
        <v>1</v>
      </c>
      <c r="V1472" s="57" t="n">
        <v>1</v>
      </c>
      <c r="W1472" s="57" t="n">
        <v>1</v>
      </c>
      <c r="X1472" s="55" t="n">
        <f aca="false">IF(A1472="","",IF(AND(Parameter!$B$21="Ja",ISNUMBER(U1472)),U1472,IF(IFERROR(VLOOKUP(D1472,Parameter!$A$35:$C$64,2,0),"Nein")="2+3",IF(ISNUMBER(SEARCH("grosser Artikel",BM1472)),2,IFERROR(VLOOKUP(BP1472,Parameter!$F$35:$G$64,2,0),2)),IF(OR(IFERROR(VLOOKUP(D1472,Parameter!$A$35:$C$64,2,0),"Nein")="Nein",IFERROR(VLOOKUP(D1472,Parameter!$A$35:$C$64,2,0),"Nein")=""),"-",VLOOKUP(D1472,Parameter!$A$35:$C$64,2,0)))))</f>
        <v>1</v>
      </c>
      <c r="Y1472" s="62"/>
      <c r="Z1472" s="63"/>
      <c r="AA1472" s="57" t="n">
        <f aca="false">AP1472</f>
        <v>1</v>
      </c>
      <c r="AB1472" s="57" t="n">
        <f aca="false">MAX(AP1472,G1472)</f>
        <v>1</v>
      </c>
      <c r="AC1472" s="64"/>
      <c r="AD1472" s="57" t="n">
        <f aca="false">IF(LEFT(Cockpit!$C$5,1)="A",G1472,IF(BW1472=1,BX1472,IF(LEFT(Cockpit!$C$5,1)="B",AH1472,MAX(AH1472,G1472))))</f>
        <v>1</v>
      </c>
      <c r="AE1472" s="57" t="n">
        <f aca="false">IF(BR1472=1,0,ROUNDUP(AD1472/BQ1472,0))</f>
        <v>0</v>
      </c>
      <c r="AF1472" s="59" t="n">
        <f aca="false">IF(CD1472&gt;0,CD1472*MAX(1,AD1472/V1472),IF(BR1472=1,IF(AD1472&lt;=0,0,BS1472*MAX(1,IF(G1472&gt;0,AD1472/G1472,1))),IF(Q1472&gt;0,AE1472/Q1472,0))/MAX(0.1,N(Parameter!$M$21)))</f>
        <v>0.0800376647834275</v>
      </c>
      <c r="AG1472" s="57" t="n">
        <f aca="false">AD1472*F1472</f>
        <v>132.8</v>
      </c>
      <c r="AH1472" s="57" t="n">
        <f aca="false">ROUNDUP(MAX(I1472/IF(BV1472&gt;0,BV1472,MAX(0.1,N(Cockpit!$C$6))),BY1472)/BQ1472,0)*BQ1472</f>
        <v>1</v>
      </c>
      <c r="AI1472" s="58" t="n">
        <f aca="false">IF(AF1472&gt;0,I1472/AF1472,-1)</f>
        <v>0</v>
      </c>
      <c r="AJ1472" s="58" t="n">
        <f aca="false">IF(AND(OR(BU1472="L1",BU1472="L23"),AF1472&gt;0),SUMIFS($AF$7:$AF$1576,$BU$7:$BU$1576,BU1472,$AI$7:$AI$1576,"&gt;"&amp;AI1472)+SUMIFS($AF$7:$AF$1576,$BU$7:$BU$1576,BU1472,$AI$7:$AI$1576,AI1472,$BO$7:$BO$1576,"&lt;="&amp;BO1472),"")</f>
        <v>42.5263653483993</v>
      </c>
      <c r="AK1472" s="65" t="n">
        <f aca="false">IF(AJ1472="",0,MAX(0,MIN(1,(IF(BU1472="L1",Parameter!$E$5,Parameter!$E$6+Parameter!$E$7)-(AJ1472-AF1472))/AF1472)))</f>
        <v>1</v>
      </c>
      <c r="AL1472" s="57" t="n">
        <f aca="false">IF(LEFT(Cockpit!$I$5,1)="A",G1472,IF(BW1472=1,BX1472,IF(LEFT(Cockpit!$I$5,1)="B",AP1472,MAX(AP1472,G1472))))</f>
        <v>1</v>
      </c>
      <c r="AM1472" s="57" t="n">
        <f aca="false">IF(BR1472=1,0,ROUNDUP(AL1472/BQ1472,0))</f>
        <v>0</v>
      </c>
      <c r="AN1472" s="59" t="n">
        <f aca="false">IF(CD1472&gt;0,CD1472*MAX(1,AL1472/V1472),IF(BR1472=1,IF(AL1472&lt;=0,0,BS1472*MAX(1,IF(G1472&gt;0,AL1472/G1472,1))),IF(Q1472&gt;0,AM1472/Q1472,0))/MAX(0.1,N(Parameter!$M$21)))</f>
        <v>0.0800376647834275</v>
      </c>
      <c r="AO1472" s="57" t="n">
        <f aca="false">AL1472*F1472</f>
        <v>132.8</v>
      </c>
      <c r="AP1472" s="57" t="n">
        <f aca="false">ROUNDUP(MAX(I1472/IF(BV1472&gt;0,BV1472,MAX(0.1,N(Cockpit!$I$6))),BY1472)/BQ1472,0)*BQ1472</f>
        <v>1</v>
      </c>
      <c r="AQ1472" s="58" t="n">
        <f aca="false">IF(AN1472&gt;0,I1472/AN1472,-1)</f>
        <v>0</v>
      </c>
      <c r="AR1472" s="58" t="n">
        <f aca="false">IF(AND(OR(BU1472="L1",BU1472="L23"),AN1472&gt;0),SUMIFS($AN$7:$AN$1576,$BU$7:$BU$1576,BU1472,$AQ$7:$AQ$1576,"&gt;"&amp;AQ1472)+SUMIFS($AN$7:$AN$1576,$BU$7:$BU$1576,BU1472,$AQ$7:$AQ$1576,AQ1472,$BO$7:$BO$1576,"&lt;="&amp;BO1472),"")</f>
        <v>48.1290018832392</v>
      </c>
      <c r="AS1472" s="65" t="n">
        <f aca="false">IF(AR1472="",0,MAX(0,MIN(1,(IF(BU1472="L1",Parameter!$E$5,Parameter!$E$6+Parameter!$E$7)-(AR1472-AN1472))/AN1472)))</f>
        <v>1</v>
      </c>
      <c r="AT1472" s="57" t="n">
        <f aca="false">IF(LEFT(Cockpit!$O$5,1)="A",G1472,IF(BW1472=1,BX1472,IF(LEFT(Cockpit!$O$5,1)="B",AX1472,MAX(AX1472,G1472))))</f>
        <v>1</v>
      </c>
      <c r="AU1472" s="57" t="n">
        <f aca="false">IF(BR1472=1,0,ROUNDUP(AT1472/BQ1472,0))</f>
        <v>0</v>
      </c>
      <c r="AV1472" s="59" t="n">
        <f aca="false">IF(CD1472&gt;0,CD1472*MAX(1,AT1472/V1472),IF(BR1472=1,IF(AT1472&lt;=0,0,BS1472*MAX(1,IF(G1472&gt;0,AT1472/G1472,1))),IF(Q1472&gt;0,AU1472/Q1472,0))/MAX(0.1,N(Parameter!$M$21)))</f>
        <v>0.0800376647834275</v>
      </c>
      <c r="AW1472" s="57" t="n">
        <f aca="false">AT1472*F1472</f>
        <v>132.8</v>
      </c>
      <c r="AX1472" s="57" t="n">
        <f aca="false">ROUNDUP(MAX(I1472/IF(BV1472&gt;0,BV1472,MAX(0.1,N(Cockpit!$O$6))),BY1472)/BQ1472,0)*BQ1472</f>
        <v>1</v>
      </c>
      <c r="AY1472" s="58" t="n">
        <f aca="false">IF(AV1472&gt;0,I1472/AV1472,-1)</f>
        <v>0</v>
      </c>
      <c r="AZ1472" s="58" t="n">
        <f aca="false">IF(AND(OR(BU1472="L1",BU1472="L23"),AV1472&gt;0),SUMIFS($AV$7:$AV$1576,$BU$7:$BU$1576,BU1472,$AY$7:$AY$1576,"&gt;"&amp;AY1472)+SUMIFS($AV$7:$AV$1576,$BU$7:$BU$1576,BU1472,$AY$7:$AY$1576,AY1472,$BO$7:$BO$1576,"&lt;="&amp;BO1472),"")</f>
        <v>45.1676082862524</v>
      </c>
      <c r="BA1472" s="65" t="n">
        <f aca="false">IF(AZ1472="",0,MAX(0,MIN(1,(IF(BU1472="L1",Parameter!$E$5,Parameter!$E$6+Parameter!$E$7)-(AZ1472-AV1472))/AV1472)))</f>
        <v>1</v>
      </c>
      <c r="BB1472" s="55" t="str">
        <f aca="false">IF(AF1472&lt;=0,"",IF(BU1472="Aussen","Aussenlager",IF(BU1472="-","Nicht im Lift",IF(AK1472&gt;=1,"Lift",IF(AK1472&lt;=0,"Aussenlager","teilweise")))))</f>
        <v>Lift</v>
      </c>
      <c r="BC1472" s="55" t="str">
        <f aca="false">IF(AN1472&lt;=0,"",IF(BU1472="Aussen","Aussenlager",IF(BU1472="-","Nicht im Lift",IF(AS1472&gt;=1,"Lift",IF(AS1472&lt;=0,"Aussenlager","teilweise")))))</f>
        <v>Lift</v>
      </c>
      <c r="BD1472" s="55" t="str">
        <f aca="false">IF(AV1472&lt;=0,"",IF(BU1472="Aussen","Aussenlager",IF(BU1472="-","Nicht im Lift",IF(BA1472&gt;=1,"Lift",IF(BA1472&lt;=0,"Aussenlager","teilweise")))))</f>
        <v>Lift</v>
      </c>
      <c r="BE1472" s="55" t="str">
        <f aca="false">IF(A1472="","",IF(BN1472=1,"Neu; ","")&amp;IF(AND(BN1472=0,BI1472&lt;0),"negativer Bestand (Export "&amp;BI1472&amp;"); ","")&amp;IF(I1472&lt;=0,"Kein Verbrauch; ","")&amp;IF(CD1472&gt;0,"Lift "&amp;U1472&amp;" lt. Liftbericht (Fach "&amp;V1472&amp;" Stk); ",IF(BR1472=1,"Lose – Fläche geschätzt; ",""))&amp;IF(G1472&gt;AP1472,"Überbestand "&amp;ROUND(G1472-AP1472,0)&amp;" Stk / CHF "&amp;ROUND((G1472-AP1472)*F1472,0)&amp;"; ","")&amp;IF(AND(BW1472=1,BX1472&lt;BY1472),"MAX &lt; MB+LG; ","")&amp;IF(AND(CC1472&gt;0,CB1472*10&gt;CC1472),"zu hoch für Tablar; ","")&amp;IF(AND(BN1472=0,OR(BW1472=1,Y1472&lt;&gt;"",S1472&lt;&gt;"",T1472&lt;&gt;"",Z1472&lt;&gt;"")),"manuell übersteuert; ","")&amp;IF(AND(BR1472=0,Q1472=0),"Gebinde unbekannt / Stellmass fehlt; ","")&amp;IF(AND(BR1472=0,N(T1472)&lt;=0,N(P1472)&lt;=0),"Menge pro Gebinde fehlt (Ist = 1 Gebinde); ","")&amp;BM1472)</f>
        <v>Kein Verbrauch; Lift 1 lt. Liftbericht (Fach 1 Stk); nur im Liftbericht (nicht im Kennzahlen-Auszug)</v>
      </c>
      <c r="BF1472" s="55"/>
      <c r="BG1472" s="55"/>
      <c r="BH1472" s="62"/>
      <c r="BI1472" s="57" t="n">
        <v>1</v>
      </c>
      <c r="BJ1472" s="57" t="n">
        <v>0</v>
      </c>
      <c r="BK1472" s="56" t="n">
        <v>0</v>
      </c>
      <c r="BL1472" s="57" t="n">
        <v>0</v>
      </c>
      <c r="BM1472" s="55" t="s">
        <v>2553</v>
      </c>
      <c r="BN1472" s="60" t="n">
        <v>0</v>
      </c>
      <c r="BO1472" s="60" t="n">
        <v>1472</v>
      </c>
      <c r="BP1472" s="55" t="str">
        <f aca="false">IF(S1472&lt;&gt;"",UPPER(TRIM(S1472)),IF(O1472="","LOSE",O1472))</f>
        <v>LOSE</v>
      </c>
      <c r="BQ1472" s="57" t="n">
        <f aca="false">IF(BP1472="LOSE",1,IF(N(T1472)&gt;0,T1472,IF(N(P1472)&gt;0,P1472,MAX(1,G1472))))</f>
        <v>1</v>
      </c>
      <c r="BR1472" s="60" t="n">
        <f aca="false">IF(BP1472="LOSE",1,0)</f>
        <v>1</v>
      </c>
      <c r="BS1472" s="59" t="n">
        <f aca="false">IF(BR1472=0,0,IF(N(R1472)&gt;0,R1472,IFERROR(VLOOKUP(D1472,Parameter!$A$35:$C$64,3,0)+0,0)))</f>
        <v>0.15</v>
      </c>
      <c r="BT1472" s="55" t="n">
        <f aca="false">IF(Y1472&lt;&gt;"",Y1472,X1472)</f>
        <v>1</v>
      </c>
      <c r="BU1472" s="55" t="str">
        <f aca="false">IF(BT1472=1,"L1",IF(OR(BT1472=2,BT1472=3),"L23",IF(BT1472="Aussen","Aussen","-")))</f>
        <v>L1</v>
      </c>
      <c r="BV1472" s="66" t="n">
        <f aca="false">IF(N(Z1472)&gt;0,Z1472,0)</f>
        <v>0</v>
      </c>
      <c r="BW1472" s="60" t="n">
        <f aca="false">IF(ISNUMBER(AC1472),1,0)</f>
        <v>0</v>
      </c>
      <c r="BX1472" s="57" t="n">
        <f aca="false">N(AC1472)</f>
        <v>0</v>
      </c>
      <c r="BY1472" s="57" t="n">
        <f aca="false">N(L1472)+N(M1472)</f>
        <v>1</v>
      </c>
      <c r="BZ1472" s="57" t="n">
        <f aca="false">ROUNDUP(G1472/BQ1472,0)</f>
        <v>1</v>
      </c>
      <c r="CA1472" s="57" t="n">
        <f aca="false">ROUNDUP(BX1472/BQ1472,0)</f>
        <v>0</v>
      </c>
      <c r="CB1472" s="60" t="n">
        <f aca="false">IF(BR1472=1,0,IFERROR(VLOOKUP(BP1472,'Gebinde-Kategorie'!$A$5:$M$45,5,0)+0,0))</f>
        <v>0</v>
      </c>
      <c r="CC1472" s="60" t="n">
        <f aca="false">IFERROR(IF(OR(BT1472=1,BT1472=2,BT1472=3),N(INDEX(Parameter!$I$5:$I$7,BT1472)),0),0)</f>
        <v>0</v>
      </c>
      <c r="CD1472" s="59" t="n">
        <f aca="false">IF(AND(Parameter!$B$21="Ja",ISNUMBER(U1472),N(V1472)&gt;0),IFERROR(N(INDEX(Parameter!$L$5:$L$7,U1472))*INDEX(Parameter!$E$5:$E$7,U1472)*V1472/SUMIFS($V$7:$V$1576,$U$7:$U$1576,U1472),0),0)</f>
        <v>0.0800376647834275</v>
      </c>
    </row>
    <row r="1473" customFormat="false" ht="15" hidden="false" customHeight="false" outlineLevel="0" collapsed="false">
      <c r="A1473" s="55" t="s">
        <v>2556</v>
      </c>
      <c r="B1473" s="55" t="s">
        <v>2370</v>
      </c>
      <c r="C1473" s="55" t="s">
        <v>162</v>
      </c>
      <c r="D1473" s="55" t="s">
        <v>168</v>
      </c>
      <c r="E1473" s="55"/>
      <c r="F1473" s="56" t="n">
        <v>2289.27</v>
      </c>
      <c r="G1473" s="57" t="n">
        <f aca="false">MAX(0,IF(AND(Parameter!$B$21="Ja",ISNUMBER(W1473)),W1473,IF(Parameter!$B$20="Jahresanfang 2025 + Export",BJ1473+BI1473,BI1473)))</f>
        <v>3</v>
      </c>
      <c r="H1473" s="57" t="n">
        <f aca="false">G1473*F1473</f>
        <v>6867.81</v>
      </c>
      <c r="I1473" s="57" t="n">
        <f aca="false">BL1473*Parameter!$B$18</f>
        <v>0</v>
      </c>
      <c r="J1473" s="58"/>
      <c r="K1473" s="59"/>
      <c r="L1473" s="57" t="n">
        <v>0</v>
      </c>
      <c r="M1473" s="57" t="n">
        <v>6</v>
      </c>
      <c r="N1473" s="60" t="n">
        <v>70</v>
      </c>
      <c r="O1473" s="55" t="s">
        <v>163</v>
      </c>
      <c r="P1473" s="57"/>
      <c r="Q1473" s="60" t="n">
        <f aca="false">IF(BR1473=1,0,IFERROR(VLOOKUP(BP1473,'Gebinde-Kategorie'!$A$5:$M$45,13,0)+0,0))</f>
        <v>0</v>
      </c>
      <c r="R1473" s="61"/>
      <c r="S1473" s="62"/>
      <c r="T1473" s="62"/>
      <c r="U1473" s="55" t="n">
        <v>1</v>
      </c>
      <c r="V1473" s="57" t="n">
        <v>4</v>
      </c>
      <c r="W1473" s="57" t="n">
        <v>3</v>
      </c>
      <c r="X1473" s="55" t="n">
        <f aca="false">IF(A1473="","",IF(AND(Parameter!$B$21="Ja",ISNUMBER(U1473)),U1473,IF(IFERROR(VLOOKUP(D1473,Parameter!$A$35:$C$64,2,0),"Nein")="2+3",IF(ISNUMBER(SEARCH("grosser Artikel",BM1473)),2,IFERROR(VLOOKUP(BP1473,Parameter!$F$35:$G$64,2,0),2)),IF(OR(IFERROR(VLOOKUP(D1473,Parameter!$A$35:$C$64,2,0),"Nein")="Nein",IFERROR(VLOOKUP(D1473,Parameter!$A$35:$C$64,2,0),"Nein")=""),"-",VLOOKUP(D1473,Parameter!$A$35:$C$64,2,0)))))</f>
        <v>1</v>
      </c>
      <c r="Y1473" s="62"/>
      <c r="Z1473" s="63"/>
      <c r="AA1473" s="57" t="n">
        <f aca="false">AP1473</f>
        <v>6</v>
      </c>
      <c r="AB1473" s="57" t="n">
        <f aca="false">MAX(AP1473,G1473)</f>
        <v>6</v>
      </c>
      <c r="AC1473" s="64"/>
      <c r="AD1473" s="57" t="n">
        <f aca="false">IF(LEFT(Cockpit!$C$5,1)="A",G1473,IF(BW1473=1,BX1473,IF(LEFT(Cockpit!$C$5,1)="B",AH1473,MAX(AH1473,G1473))))</f>
        <v>3</v>
      </c>
      <c r="AE1473" s="57" t="n">
        <f aca="false">IF(BR1473=1,0,ROUNDUP(AD1473/BQ1473,0))</f>
        <v>0</v>
      </c>
      <c r="AF1473" s="59" t="n">
        <f aca="false">IF(CD1473&gt;0,CD1473*MAX(1,AD1473/V1473),IF(BR1473=1,IF(AD1473&lt;=0,0,BS1473*MAX(1,IF(G1473&gt;0,AD1473/G1473,1))),IF(Q1473&gt;0,AE1473/Q1473,0))/MAX(0.1,N(Parameter!$M$21)))</f>
        <v>0.32015065913371</v>
      </c>
      <c r="AG1473" s="57" t="n">
        <f aca="false">AD1473*F1473</f>
        <v>6867.81</v>
      </c>
      <c r="AH1473" s="57" t="n">
        <f aca="false">ROUNDUP(MAX(I1473/IF(BV1473&gt;0,BV1473,MAX(0.1,N(Cockpit!$C$6))),BY1473)/BQ1473,0)*BQ1473</f>
        <v>6</v>
      </c>
      <c r="AI1473" s="58" t="n">
        <f aca="false">IF(AF1473&gt;0,I1473/AF1473,-1)</f>
        <v>0</v>
      </c>
      <c r="AJ1473" s="58" t="n">
        <f aca="false">IF(AND(OR(BU1473="L1",BU1473="L23"),AF1473&gt;0),SUMIFS($AF$7:$AF$1576,$BU$7:$BU$1576,BU1473,$AI$7:$AI$1576,"&gt;"&amp;AI1473)+SUMIFS($AF$7:$AF$1576,$BU$7:$BU$1576,BU1473,$AI$7:$AI$1576,AI1473,$BO$7:$BO$1576,"&lt;="&amp;BO1473),"")</f>
        <v>42.846516007533</v>
      </c>
      <c r="AK1473" s="65" t="n">
        <f aca="false">IF(AJ1473="",0,MAX(0,MIN(1,(IF(BU1473="L1",Parameter!$E$5,Parameter!$E$6+Parameter!$E$7)-(AJ1473-AF1473))/AF1473)))</f>
        <v>1</v>
      </c>
      <c r="AL1473" s="57" t="n">
        <f aca="false">IF(LEFT(Cockpit!$I$5,1)="A",G1473,IF(BW1473=1,BX1473,IF(LEFT(Cockpit!$I$5,1)="B",AP1473,MAX(AP1473,G1473))))</f>
        <v>6</v>
      </c>
      <c r="AM1473" s="57" t="n">
        <f aca="false">IF(BR1473=1,0,ROUNDUP(AL1473/BQ1473,0))</f>
        <v>0</v>
      </c>
      <c r="AN1473" s="59" t="n">
        <f aca="false">IF(CD1473&gt;0,CD1473*MAX(1,AL1473/V1473),IF(BR1473=1,IF(AL1473&lt;=0,0,BS1473*MAX(1,IF(G1473&gt;0,AL1473/G1473,1))),IF(Q1473&gt;0,AM1473/Q1473,0))/MAX(0.1,N(Parameter!$M$21)))</f>
        <v>0.480225988700565</v>
      </c>
      <c r="AO1473" s="57" t="n">
        <f aca="false">AL1473*F1473</f>
        <v>13735.62</v>
      </c>
      <c r="AP1473" s="57" t="n">
        <f aca="false">ROUNDUP(MAX(I1473/IF(BV1473&gt;0,BV1473,MAX(0.1,N(Cockpit!$I$6))),BY1473)/BQ1473,0)*BQ1473</f>
        <v>6</v>
      </c>
      <c r="AQ1473" s="58" t="n">
        <f aca="false">IF(AN1473&gt;0,I1473/AN1473,-1)</f>
        <v>0</v>
      </c>
      <c r="AR1473" s="58" t="n">
        <f aca="false">IF(AND(OR(BU1473="L1",BU1473="L23"),AN1473&gt;0),SUMIFS($AN$7:$AN$1576,$BU$7:$BU$1576,BU1473,$AQ$7:$AQ$1576,"&gt;"&amp;AQ1473)+SUMIFS($AN$7:$AN$1576,$BU$7:$BU$1576,BU1473,$AQ$7:$AQ$1576,AQ1473,$BO$7:$BO$1576,"&lt;="&amp;BO1473),"")</f>
        <v>48.6092278719397</v>
      </c>
      <c r="AS1473" s="65" t="n">
        <f aca="false">IF(AR1473="",0,MAX(0,MIN(1,(IF(BU1473="L1",Parameter!$E$5,Parameter!$E$6+Parameter!$E$7)-(AR1473-AN1473))/AN1473)))</f>
        <v>1</v>
      </c>
      <c r="AT1473" s="57" t="n">
        <f aca="false">IF(LEFT(Cockpit!$O$5,1)="A",G1473,IF(BW1473=1,BX1473,IF(LEFT(Cockpit!$O$5,1)="B",AX1473,MAX(AX1473,G1473))))</f>
        <v>6</v>
      </c>
      <c r="AU1473" s="57" t="n">
        <f aca="false">IF(BR1473=1,0,ROUNDUP(AT1473/BQ1473,0))</f>
        <v>0</v>
      </c>
      <c r="AV1473" s="59" t="n">
        <f aca="false">IF(CD1473&gt;0,CD1473*MAX(1,AT1473/V1473),IF(BR1473=1,IF(AT1473&lt;=0,0,BS1473*MAX(1,IF(G1473&gt;0,AT1473/G1473,1))),IF(Q1473&gt;0,AU1473/Q1473,0))/MAX(0.1,N(Parameter!$M$21)))</f>
        <v>0.480225988700565</v>
      </c>
      <c r="AW1473" s="57" t="n">
        <f aca="false">AT1473*F1473</f>
        <v>13735.62</v>
      </c>
      <c r="AX1473" s="57" t="n">
        <f aca="false">ROUNDUP(MAX(I1473/IF(BV1473&gt;0,BV1473,MAX(0.1,N(Cockpit!$O$6))),BY1473)/BQ1473,0)*BQ1473</f>
        <v>6</v>
      </c>
      <c r="AY1473" s="58" t="n">
        <f aca="false">IF(AV1473&gt;0,I1473/AV1473,-1)</f>
        <v>0</v>
      </c>
      <c r="AZ1473" s="58" t="n">
        <f aca="false">IF(AND(OR(BU1473="L1",BU1473="L23"),AV1473&gt;0),SUMIFS($AV$7:$AV$1576,$BU$7:$BU$1576,BU1473,$AY$7:$AY$1576,"&gt;"&amp;AY1473)+SUMIFS($AV$7:$AV$1576,$BU$7:$BU$1576,BU1473,$AY$7:$AY$1576,AY1473,$BO$7:$BO$1576,"&lt;="&amp;BO1473),"")</f>
        <v>45.6478342749529</v>
      </c>
      <c r="BA1473" s="65" t="n">
        <f aca="false">IF(AZ1473="",0,MAX(0,MIN(1,(IF(BU1473="L1",Parameter!$E$5,Parameter!$E$6+Parameter!$E$7)-(AZ1473-AV1473))/AV1473)))</f>
        <v>1</v>
      </c>
      <c r="BB1473" s="55" t="str">
        <f aca="false">IF(AF1473&lt;=0,"",IF(BU1473="Aussen","Aussenlager",IF(BU1473="-","Nicht im Lift",IF(AK1473&gt;=1,"Lift",IF(AK1473&lt;=0,"Aussenlager","teilweise")))))</f>
        <v>Lift</v>
      </c>
      <c r="BC1473" s="55" t="str">
        <f aca="false">IF(AN1473&lt;=0,"",IF(BU1473="Aussen","Aussenlager",IF(BU1473="-","Nicht im Lift",IF(AS1473&gt;=1,"Lift",IF(AS1473&lt;=0,"Aussenlager","teilweise")))))</f>
        <v>Lift</v>
      </c>
      <c r="BD1473" s="55" t="str">
        <f aca="false">IF(AV1473&lt;=0,"",IF(BU1473="Aussen","Aussenlager",IF(BU1473="-","Nicht im Lift",IF(BA1473&gt;=1,"Lift",IF(BA1473&lt;=0,"Aussenlager","teilweise")))))</f>
        <v>Lift</v>
      </c>
      <c r="BE1473" s="55" t="str">
        <f aca="false">IF(A1473="","",IF(BN1473=1,"Neu; ","")&amp;IF(AND(BN1473=0,BI1473&lt;0),"negativer Bestand (Export "&amp;BI1473&amp;"); ","")&amp;IF(I1473&lt;=0,"Kein Verbrauch; ","")&amp;IF(CD1473&gt;0,"Lift "&amp;U1473&amp;" lt. Liftbericht (Fach "&amp;V1473&amp;" Stk); ",IF(BR1473=1,"Lose – Fläche geschätzt; ",""))&amp;IF(G1473&gt;AP1473,"Überbestand "&amp;ROUND(G1473-AP1473,0)&amp;" Stk / CHF "&amp;ROUND((G1473-AP1473)*F1473,0)&amp;"; ","")&amp;IF(AND(BW1473=1,BX1473&lt;BY1473),"MAX &lt; MB+LG; ","")&amp;IF(AND(CC1473&gt;0,CB1473*10&gt;CC1473),"zu hoch für Tablar; ","")&amp;IF(AND(BN1473=0,OR(BW1473=1,Y1473&lt;&gt;"",S1473&lt;&gt;"",T1473&lt;&gt;"",Z1473&lt;&gt;"")),"manuell übersteuert; ","")&amp;IF(AND(BR1473=0,Q1473=0),"Gebinde unbekannt / Stellmass fehlt; ","")&amp;IF(AND(BR1473=0,N(T1473)&lt;=0,N(P1473)&lt;=0),"Menge pro Gebinde fehlt (Ist = 1 Gebinde); ","")&amp;BM1473)</f>
        <v>Kein Verbrauch; Lift 1 lt. Liftbericht (Fach 4 Stk); nur im Liftbericht (nicht im Kennzahlen-Auszug); grosser Artikel &amp; nicht im KTL</v>
      </c>
      <c r="BF1473" s="55"/>
      <c r="BG1473" s="55"/>
      <c r="BH1473" s="62"/>
      <c r="BI1473" s="57" t="n">
        <v>3</v>
      </c>
      <c r="BJ1473" s="57" t="n">
        <v>0</v>
      </c>
      <c r="BK1473" s="56" t="n">
        <v>0</v>
      </c>
      <c r="BL1473" s="57" t="n">
        <v>0</v>
      </c>
      <c r="BM1473" s="55" t="s">
        <v>2557</v>
      </c>
      <c r="BN1473" s="60" t="n">
        <v>0</v>
      </c>
      <c r="BO1473" s="60" t="n">
        <v>1473</v>
      </c>
      <c r="BP1473" s="55" t="str">
        <f aca="false">IF(S1473&lt;&gt;"",UPPER(TRIM(S1473)),IF(O1473="","LOSE",O1473))</f>
        <v>LOSE</v>
      </c>
      <c r="BQ1473" s="57" t="n">
        <f aca="false">IF(BP1473="LOSE",1,IF(N(T1473)&gt;0,T1473,IF(N(P1473)&gt;0,P1473,MAX(1,G1473))))</f>
        <v>1</v>
      </c>
      <c r="BR1473" s="60" t="n">
        <f aca="false">IF(BP1473="LOSE",1,0)</f>
        <v>1</v>
      </c>
      <c r="BS1473" s="59" t="n">
        <f aca="false">IF(BR1473=0,0,IF(N(R1473)&gt;0,R1473,IFERROR(VLOOKUP(D1473,Parameter!$A$35:$C$64,3,0)+0,0)))</f>
        <v>0.15</v>
      </c>
      <c r="BT1473" s="55" t="n">
        <f aca="false">IF(Y1473&lt;&gt;"",Y1473,X1473)</f>
        <v>1</v>
      </c>
      <c r="BU1473" s="55" t="str">
        <f aca="false">IF(BT1473=1,"L1",IF(OR(BT1473=2,BT1473=3),"L23",IF(BT1473="Aussen","Aussen","-")))</f>
        <v>L1</v>
      </c>
      <c r="BV1473" s="66" t="n">
        <f aca="false">IF(N(Z1473)&gt;0,Z1473,0)</f>
        <v>0</v>
      </c>
      <c r="BW1473" s="60" t="n">
        <f aca="false">IF(ISNUMBER(AC1473),1,0)</f>
        <v>0</v>
      </c>
      <c r="BX1473" s="57" t="n">
        <f aca="false">N(AC1473)</f>
        <v>0</v>
      </c>
      <c r="BY1473" s="57" t="n">
        <f aca="false">N(L1473)+N(M1473)</f>
        <v>6</v>
      </c>
      <c r="BZ1473" s="57" t="n">
        <f aca="false">ROUNDUP(G1473/BQ1473,0)</f>
        <v>3</v>
      </c>
      <c r="CA1473" s="57" t="n">
        <f aca="false">ROUNDUP(BX1473/BQ1473,0)</f>
        <v>0</v>
      </c>
      <c r="CB1473" s="60" t="n">
        <f aca="false">IF(BR1473=1,0,IFERROR(VLOOKUP(BP1473,'Gebinde-Kategorie'!$A$5:$M$45,5,0)+0,0))</f>
        <v>0</v>
      </c>
      <c r="CC1473" s="60" t="n">
        <f aca="false">IFERROR(IF(OR(BT1473=1,BT1473=2,BT1473=3),N(INDEX(Parameter!$I$5:$I$7,BT1473)),0),0)</f>
        <v>0</v>
      </c>
      <c r="CD1473" s="59" t="n">
        <f aca="false">IF(AND(Parameter!$B$21="Ja",ISNUMBER(U1473),N(V1473)&gt;0),IFERROR(N(INDEX(Parameter!$L$5:$L$7,U1473))*INDEX(Parameter!$E$5:$E$7,U1473)*V1473/SUMIFS($V$7:$V$1576,$U$7:$U$1576,U1473),0),0)</f>
        <v>0.32015065913371</v>
      </c>
    </row>
    <row r="1474" customFormat="false" ht="15" hidden="false" customHeight="false" outlineLevel="0" collapsed="false">
      <c r="A1474" s="55" t="s">
        <v>2558</v>
      </c>
      <c r="B1474" s="55" t="s">
        <v>2409</v>
      </c>
      <c r="C1474" s="55" t="s">
        <v>160</v>
      </c>
      <c r="D1474" s="55" t="s">
        <v>168</v>
      </c>
      <c r="E1474" s="55"/>
      <c r="F1474" s="56" t="n">
        <v>341</v>
      </c>
      <c r="G1474" s="57" t="n">
        <f aca="false">MAX(0,IF(AND(Parameter!$B$21="Ja",ISNUMBER(W1474)),W1474,IF(Parameter!$B$20="Jahresanfang 2025 + Export",BJ1474+BI1474,BI1474)))</f>
        <v>1</v>
      </c>
      <c r="H1474" s="57" t="n">
        <f aca="false">G1474*F1474</f>
        <v>341</v>
      </c>
      <c r="I1474" s="57" t="n">
        <f aca="false">BL1474*Parameter!$B$18</f>
        <v>0</v>
      </c>
      <c r="J1474" s="58"/>
      <c r="K1474" s="59"/>
      <c r="L1474" s="57" t="n">
        <v>1</v>
      </c>
      <c r="M1474" s="57" t="n">
        <v>7</v>
      </c>
      <c r="N1474" s="60" t="n">
        <v>56</v>
      </c>
      <c r="O1474" s="55" t="s">
        <v>163</v>
      </c>
      <c r="P1474" s="57"/>
      <c r="Q1474" s="60" t="n">
        <f aca="false">IF(BR1474=1,0,IFERROR(VLOOKUP(BP1474,'Gebinde-Kategorie'!$A$5:$M$45,13,0)+0,0))</f>
        <v>0</v>
      </c>
      <c r="R1474" s="61"/>
      <c r="S1474" s="62"/>
      <c r="T1474" s="62"/>
      <c r="U1474" s="55" t="n">
        <v>1</v>
      </c>
      <c r="V1474" s="57" t="n">
        <v>1</v>
      </c>
      <c r="W1474" s="57" t="n">
        <v>1</v>
      </c>
      <c r="X1474" s="55" t="n">
        <f aca="false">IF(A1474="","",IF(AND(Parameter!$B$21="Ja",ISNUMBER(U1474)),U1474,IF(IFERROR(VLOOKUP(D1474,Parameter!$A$35:$C$64,2,0),"Nein")="2+3",IF(ISNUMBER(SEARCH("grosser Artikel",BM1474)),2,IFERROR(VLOOKUP(BP1474,Parameter!$F$35:$G$64,2,0),2)),IF(OR(IFERROR(VLOOKUP(D1474,Parameter!$A$35:$C$64,2,0),"Nein")="Nein",IFERROR(VLOOKUP(D1474,Parameter!$A$35:$C$64,2,0),"Nein")=""),"-",VLOOKUP(D1474,Parameter!$A$35:$C$64,2,0)))))</f>
        <v>1</v>
      </c>
      <c r="Y1474" s="62"/>
      <c r="Z1474" s="63"/>
      <c r="AA1474" s="57" t="n">
        <f aca="false">AP1474</f>
        <v>8</v>
      </c>
      <c r="AB1474" s="57" t="n">
        <f aca="false">MAX(AP1474,G1474)</f>
        <v>8</v>
      </c>
      <c r="AC1474" s="64"/>
      <c r="AD1474" s="57" t="n">
        <f aca="false">IF(LEFT(Cockpit!$C$5,1)="A",G1474,IF(BW1474=1,BX1474,IF(LEFT(Cockpit!$C$5,1)="B",AH1474,MAX(AH1474,G1474))))</f>
        <v>1</v>
      </c>
      <c r="AE1474" s="57" t="n">
        <f aca="false">IF(BR1474=1,0,ROUNDUP(AD1474/BQ1474,0))</f>
        <v>0</v>
      </c>
      <c r="AF1474" s="59" t="n">
        <f aca="false">IF(CD1474&gt;0,CD1474*MAX(1,AD1474/V1474),IF(BR1474=1,IF(AD1474&lt;=0,0,BS1474*MAX(1,IF(G1474&gt;0,AD1474/G1474,1))),IF(Q1474&gt;0,AE1474/Q1474,0))/MAX(0.1,N(Parameter!$M$21)))</f>
        <v>0.0800376647834275</v>
      </c>
      <c r="AG1474" s="57" t="n">
        <f aca="false">AD1474*F1474</f>
        <v>341</v>
      </c>
      <c r="AH1474" s="57" t="n">
        <f aca="false">ROUNDUP(MAX(I1474/IF(BV1474&gt;0,BV1474,MAX(0.1,N(Cockpit!$C$6))),BY1474)/BQ1474,0)*BQ1474</f>
        <v>8</v>
      </c>
      <c r="AI1474" s="58" t="n">
        <f aca="false">IF(AF1474&gt;0,I1474/AF1474,-1)</f>
        <v>0</v>
      </c>
      <c r="AJ1474" s="58" t="n">
        <f aca="false">IF(AND(OR(BU1474="L1",BU1474="L23"),AF1474&gt;0),SUMIFS($AF$7:$AF$1576,$BU$7:$BU$1576,BU1474,$AI$7:$AI$1576,"&gt;"&amp;AI1474)+SUMIFS($AF$7:$AF$1576,$BU$7:$BU$1576,BU1474,$AI$7:$AI$1576,AI1474,$BO$7:$BO$1576,"&lt;="&amp;BO1474),"")</f>
        <v>42.9265536723164</v>
      </c>
      <c r="AK1474" s="65" t="n">
        <f aca="false">IF(AJ1474="",0,MAX(0,MIN(1,(IF(BU1474="L1",Parameter!$E$5,Parameter!$E$6+Parameter!$E$7)-(AJ1474-AF1474))/AF1474)))</f>
        <v>1</v>
      </c>
      <c r="AL1474" s="57" t="n">
        <f aca="false">IF(LEFT(Cockpit!$I$5,1)="A",G1474,IF(BW1474=1,BX1474,IF(LEFT(Cockpit!$I$5,1)="B",AP1474,MAX(AP1474,G1474))))</f>
        <v>8</v>
      </c>
      <c r="AM1474" s="57" t="n">
        <f aca="false">IF(BR1474=1,0,ROUNDUP(AL1474/BQ1474,0))</f>
        <v>0</v>
      </c>
      <c r="AN1474" s="59" t="n">
        <f aca="false">IF(CD1474&gt;0,CD1474*MAX(1,AL1474/V1474),IF(BR1474=1,IF(AL1474&lt;=0,0,BS1474*MAX(1,IF(G1474&gt;0,AL1474/G1474,1))),IF(Q1474&gt;0,AM1474/Q1474,0))/MAX(0.1,N(Parameter!$M$21)))</f>
        <v>0.64030131826742</v>
      </c>
      <c r="AO1474" s="57" t="n">
        <f aca="false">AL1474*F1474</f>
        <v>2728</v>
      </c>
      <c r="AP1474" s="57" t="n">
        <f aca="false">ROUNDUP(MAX(I1474/IF(BV1474&gt;0,BV1474,MAX(0.1,N(Cockpit!$I$6))),BY1474)/BQ1474,0)*BQ1474</f>
        <v>8</v>
      </c>
      <c r="AQ1474" s="58" t="n">
        <f aca="false">IF(AN1474&gt;0,I1474/AN1474,-1)</f>
        <v>0</v>
      </c>
      <c r="AR1474" s="58" t="n">
        <f aca="false">IF(AND(OR(BU1474="L1",BU1474="L23"),AN1474&gt;0),SUMIFS($AN$7:$AN$1576,$BU$7:$BU$1576,BU1474,$AQ$7:$AQ$1576,"&gt;"&amp;AQ1474)+SUMIFS($AN$7:$AN$1576,$BU$7:$BU$1576,BU1474,$AQ$7:$AQ$1576,AQ1474,$BO$7:$BO$1576,"&lt;="&amp;BO1474),"")</f>
        <v>49.2495291902072</v>
      </c>
      <c r="AS1474" s="65" t="n">
        <f aca="false">IF(AR1474="",0,MAX(0,MIN(1,(IF(BU1474="L1",Parameter!$E$5,Parameter!$E$6+Parameter!$E$7)-(AR1474-AN1474))/AN1474)))</f>
        <v>1</v>
      </c>
      <c r="AT1474" s="57" t="n">
        <f aca="false">IF(LEFT(Cockpit!$O$5,1)="A",G1474,IF(BW1474=1,BX1474,IF(LEFT(Cockpit!$O$5,1)="B",AX1474,MAX(AX1474,G1474))))</f>
        <v>8</v>
      </c>
      <c r="AU1474" s="57" t="n">
        <f aca="false">IF(BR1474=1,0,ROUNDUP(AT1474/BQ1474,0))</f>
        <v>0</v>
      </c>
      <c r="AV1474" s="59" t="n">
        <f aca="false">IF(CD1474&gt;0,CD1474*MAX(1,AT1474/V1474),IF(BR1474=1,IF(AT1474&lt;=0,0,BS1474*MAX(1,IF(G1474&gt;0,AT1474/G1474,1))),IF(Q1474&gt;0,AU1474/Q1474,0))/MAX(0.1,N(Parameter!$M$21)))</f>
        <v>0.64030131826742</v>
      </c>
      <c r="AW1474" s="57" t="n">
        <f aca="false">AT1474*F1474</f>
        <v>2728</v>
      </c>
      <c r="AX1474" s="57" t="n">
        <f aca="false">ROUNDUP(MAX(I1474/IF(BV1474&gt;0,BV1474,MAX(0.1,N(Cockpit!$O$6))),BY1474)/BQ1474,0)*BQ1474</f>
        <v>8</v>
      </c>
      <c r="AY1474" s="58" t="n">
        <f aca="false">IF(AV1474&gt;0,I1474/AV1474,-1)</f>
        <v>0</v>
      </c>
      <c r="AZ1474" s="58" t="n">
        <f aca="false">IF(AND(OR(BU1474="L1",BU1474="L23"),AV1474&gt;0),SUMIFS($AV$7:$AV$1576,$BU$7:$BU$1576,BU1474,$AY$7:$AY$1576,"&gt;"&amp;AY1474)+SUMIFS($AV$7:$AV$1576,$BU$7:$BU$1576,BU1474,$AY$7:$AY$1576,AY1474,$BO$7:$BO$1576,"&lt;="&amp;BO1474),"")</f>
        <v>46.2881355932203</v>
      </c>
      <c r="BA1474" s="65" t="n">
        <f aca="false">IF(AZ1474="",0,MAX(0,MIN(1,(IF(BU1474="L1",Parameter!$E$5,Parameter!$E$6+Parameter!$E$7)-(AZ1474-AV1474))/AV1474)))</f>
        <v>1</v>
      </c>
      <c r="BB1474" s="55" t="str">
        <f aca="false">IF(AF1474&lt;=0,"",IF(BU1474="Aussen","Aussenlager",IF(BU1474="-","Nicht im Lift",IF(AK1474&gt;=1,"Lift",IF(AK1474&lt;=0,"Aussenlager","teilweise")))))</f>
        <v>Lift</v>
      </c>
      <c r="BC1474" s="55" t="str">
        <f aca="false">IF(AN1474&lt;=0,"",IF(BU1474="Aussen","Aussenlager",IF(BU1474="-","Nicht im Lift",IF(AS1474&gt;=1,"Lift",IF(AS1474&lt;=0,"Aussenlager","teilweise")))))</f>
        <v>Lift</v>
      </c>
      <c r="BD1474" s="55" t="str">
        <f aca="false">IF(AV1474&lt;=0,"",IF(BU1474="Aussen","Aussenlager",IF(BU1474="-","Nicht im Lift",IF(BA1474&gt;=1,"Lift",IF(BA1474&lt;=0,"Aussenlager","teilweise")))))</f>
        <v>Lift</v>
      </c>
      <c r="BE1474" s="55" t="str">
        <f aca="false">IF(A1474="","",IF(BN1474=1,"Neu; ","")&amp;IF(AND(BN1474=0,BI1474&lt;0),"negativer Bestand (Export "&amp;BI1474&amp;"); ","")&amp;IF(I1474&lt;=0,"Kein Verbrauch; ","")&amp;IF(CD1474&gt;0,"Lift "&amp;U1474&amp;" lt. Liftbericht (Fach "&amp;V1474&amp;" Stk); ",IF(BR1474=1,"Lose – Fläche geschätzt; ",""))&amp;IF(G1474&gt;AP1474,"Überbestand "&amp;ROUND(G1474-AP1474,0)&amp;" Stk / CHF "&amp;ROUND((G1474-AP1474)*F1474,0)&amp;"; ","")&amp;IF(AND(BW1474=1,BX1474&lt;BY1474),"MAX &lt; MB+LG; ","")&amp;IF(AND(CC1474&gt;0,CB1474*10&gt;CC1474),"zu hoch für Tablar; ","")&amp;IF(AND(BN1474=0,OR(BW1474=1,Y1474&lt;&gt;"",S1474&lt;&gt;"",T1474&lt;&gt;"",Z1474&lt;&gt;"")),"manuell übersteuert; ","")&amp;IF(AND(BR1474=0,Q1474=0),"Gebinde unbekannt / Stellmass fehlt; ","")&amp;IF(AND(BR1474=0,N(T1474)&lt;=0,N(P1474)&lt;=0),"Menge pro Gebinde fehlt (Ist = 1 Gebinde); ","")&amp;BM1474)</f>
        <v>Kein Verbrauch; Lift 1 lt. Liftbericht (Fach 1 Stk); nur im Liftbericht (nicht im Kennzahlen-Auszug)</v>
      </c>
      <c r="BF1474" s="55"/>
      <c r="BG1474" s="55"/>
      <c r="BH1474" s="62"/>
      <c r="BI1474" s="57" t="n">
        <v>1</v>
      </c>
      <c r="BJ1474" s="57" t="n">
        <v>0</v>
      </c>
      <c r="BK1474" s="56" t="n">
        <v>0</v>
      </c>
      <c r="BL1474" s="57" t="n">
        <v>0</v>
      </c>
      <c r="BM1474" s="55" t="s">
        <v>2553</v>
      </c>
      <c r="BN1474" s="60" t="n">
        <v>0</v>
      </c>
      <c r="BO1474" s="60" t="n">
        <v>1474</v>
      </c>
      <c r="BP1474" s="55" t="str">
        <f aca="false">IF(S1474&lt;&gt;"",UPPER(TRIM(S1474)),IF(O1474="","LOSE",O1474))</f>
        <v>LOSE</v>
      </c>
      <c r="BQ1474" s="57" t="n">
        <f aca="false">IF(BP1474="LOSE",1,IF(N(T1474)&gt;0,T1474,IF(N(P1474)&gt;0,P1474,MAX(1,G1474))))</f>
        <v>1</v>
      </c>
      <c r="BR1474" s="60" t="n">
        <f aca="false">IF(BP1474="LOSE",1,0)</f>
        <v>1</v>
      </c>
      <c r="BS1474" s="59" t="n">
        <f aca="false">IF(BR1474=0,0,IF(N(R1474)&gt;0,R1474,IFERROR(VLOOKUP(D1474,Parameter!$A$35:$C$64,3,0)+0,0)))</f>
        <v>0.15</v>
      </c>
      <c r="BT1474" s="55" t="n">
        <f aca="false">IF(Y1474&lt;&gt;"",Y1474,X1474)</f>
        <v>1</v>
      </c>
      <c r="BU1474" s="55" t="str">
        <f aca="false">IF(BT1474=1,"L1",IF(OR(BT1474=2,BT1474=3),"L23",IF(BT1474="Aussen","Aussen","-")))</f>
        <v>L1</v>
      </c>
      <c r="BV1474" s="66" t="n">
        <f aca="false">IF(N(Z1474)&gt;0,Z1474,0)</f>
        <v>0</v>
      </c>
      <c r="BW1474" s="60" t="n">
        <f aca="false">IF(ISNUMBER(AC1474),1,0)</f>
        <v>0</v>
      </c>
      <c r="BX1474" s="57" t="n">
        <f aca="false">N(AC1474)</f>
        <v>0</v>
      </c>
      <c r="BY1474" s="57" t="n">
        <f aca="false">N(L1474)+N(M1474)</f>
        <v>8</v>
      </c>
      <c r="BZ1474" s="57" t="n">
        <f aca="false">ROUNDUP(G1474/BQ1474,0)</f>
        <v>1</v>
      </c>
      <c r="CA1474" s="57" t="n">
        <f aca="false">ROUNDUP(BX1474/BQ1474,0)</f>
        <v>0</v>
      </c>
      <c r="CB1474" s="60" t="n">
        <f aca="false">IF(BR1474=1,0,IFERROR(VLOOKUP(BP1474,'Gebinde-Kategorie'!$A$5:$M$45,5,0)+0,0))</f>
        <v>0</v>
      </c>
      <c r="CC1474" s="60" t="n">
        <f aca="false">IFERROR(IF(OR(BT1474=1,BT1474=2,BT1474=3),N(INDEX(Parameter!$I$5:$I$7,BT1474)),0),0)</f>
        <v>0</v>
      </c>
      <c r="CD1474" s="59" t="n">
        <f aca="false">IF(AND(Parameter!$B$21="Ja",ISNUMBER(U1474),N(V1474)&gt;0),IFERROR(N(INDEX(Parameter!$L$5:$L$7,U1474))*INDEX(Parameter!$E$5:$E$7,U1474)*V1474/SUMIFS($V$7:$V$1576,$U$7:$U$1576,U1474),0),0)</f>
        <v>0.0800376647834275</v>
      </c>
    </row>
    <row r="1475" customFormat="false" ht="15" hidden="false" customHeight="false" outlineLevel="0" collapsed="false">
      <c r="A1475" s="55" t="s">
        <v>2559</v>
      </c>
      <c r="B1475" s="55" t="s">
        <v>2409</v>
      </c>
      <c r="C1475" s="55" t="s">
        <v>160</v>
      </c>
      <c r="D1475" s="55" t="s">
        <v>168</v>
      </c>
      <c r="E1475" s="55"/>
      <c r="F1475" s="56" t="n">
        <v>463.5</v>
      </c>
      <c r="G1475" s="57" t="n">
        <f aca="false">MAX(0,IF(AND(Parameter!$B$21="Ja",ISNUMBER(W1475)),W1475,IF(Parameter!$B$20="Jahresanfang 2025 + Export",BJ1475+BI1475,BI1475)))</f>
        <v>1</v>
      </c>
      <c r="H1475" s="57" t="n">
        <f aca="false">G1475*F1475</f>
        <v>463.5</v>
      </c>
      <c r="I1475" s="57" t="n">
        <f aca="false">BL1475*Parameter!$B$18</f>
        <v>0</v>
      </c>
      <c r="J1475" s="58"/>
      <c r="K1475" s="59"/>
      <c r="L1475" s="57" t="n">
        <v>1</v>
      </c>
      <c r="M1475" s="57" t="n">
        <v>7</v>
      </c>
      <c r="N1475" s="60" t="n">
        <v>56</v>
      </c>
      <c r="O1475" s="55" t="s">
        <v>163</v>
      </c>
      <c r="P1475" s="57"/>
      <c r="Q1475" s="60" t="n">
        <f aca="false">IF(BR1475=1,0,IFERROR(VLOOKUP(BP1475,'Gebinde-Kategorie'!$A$5:$M$45,13,0)+0,0))</f>
        <v>0</v>
      </c>
      <c r="R1475" s="61"/>
      <c r="S1475" s="62"/>
      <c r="T1475" s="62"/>
      <c r="U1475" s="55" t="n">
        <v>1</v>
      </c>
      <c r="V1475" s="57" t="n">
        <v>1</v>
      </c>
      <c r="W1475" s="57" t="n">
        <v>1</v>
      </c>
      <c r="X1475" s="55" t="n">
        <f aca="false">IF(A1475="","",IF(AND(Parameter!$B$21="Ja",ISNUMBER(U1475)),U1475,IF(IFERROR(VLOOKUP(D1475,Parameter!$A$35:$C$64,2,0),"Nein")="2+3",IF(ISNUMBER(SEARCH("grosser Artikel",BM1475)),2,IFERROR(VLOOKUP(BP1475,Parameter!$F$35:$G$64,2,0),2)),IF(OR(IFERROR(VLOOKUP(D1475,Parameter!$A$35:$C$64,2,0),"Nein")="Nein",IFERROR(VLOOKUP(D1475,Parameter!$A$35:$C$64,2,0),"Nein")=""),"-",VLOOKUP(D1475,Parameter!$A$35:$C$64,2,0)))))</f>
        <v>1</v>
      </c>
      <c r="Y1475" s="62"/>
      <c r="Z1475" s="63"/>
      <c r="AA1475" s="57" t="n">
        <f aca="false">AP1475</f>
        <v>8</v>
      </c>
      <c r="AB1475" s="57" t="n">
        <f aca="false">MAX(AP1475,G1475)</f>
        <v>8</v>
      </c>
      <c r="AC1475" s="64"/>
      <c r="AD1475" s="57" t="n">
        <f aca="false">IF(LEFT(Cockpit!$C$5,1)="A",G1475,IF(BW1475=1,BX1475,IF(LEFT(Cockpit!$C$5,1)="B",AH1475,MAX(AH1475,G1475))))</f>
        <v>1</v>
      </c>
      <c r="AE1475" s="57" t="n">
        <f aca="false">IF(BR1475=1,0,ROUNDUP(AD1475/BQ1475,0))</f>
        <v>0</v>
      </c>
      <c r="AF1475" s="59" t="n">
        <f aca="false">IF(CD1475&gt;0,CD1475*MAX(1,AD1475/V1475),IF(BR1475=1,IF(AD1475&lt;=0,0,BS1475*MAX(1,IF(G1475&gt;0,AD1475/G1475,1))),IF(Q1475&gt;0,AE1475/Q1475,0))/MAX(0.1,N(Parameter!$M$21)))</f>
        <v>0.0800376647834275</v>
      </c>
      <c r="AG1475" s="57" t="n">
        <f aca="false">AD1475*F1475</f>
        <v>463.5</v>
      </c>
      <c r="AH1475" s="57" t="n">
        <f aca="false">ROUNDUP(MAX(I1475/IF(BV1475&gt;0,BV1475,MAX(0.1,N(Cockpit!$C$6))),BY1475)/BQ1475,0)*BQ1475</f>
        <v>8</v>
      </c>
      <c r="AI1475" s="58" t="n">
        <f aca="false">IF(AF1475&gt;0,I1475/AF1475,-1)</f>
        <v>0</v>
      </c>
      <c r="AJ1475" s="58" t="n">
        <f aca="false">IF(AND(OR(BU1475="L1",BU1475="L23"),AF1475&gt;0),SUMIFS($AF$7:$AF$1576,$BU$7:$BU$1576,BU1475,$AI$7:$AI$1576,"&gt;"&amp;AI1475)+SUMIFS($AF$7:$AF$1576,$BU$7:$BU$1576,BU1475,$AI$7:$AI$1576,AI1475,$BO$7:$BO$1576,"&lt;="&amp;BO1475),"")</f>
        <v>43.0065913370998</v>
      </c>
      <c r="AK1475" s="65" t="n">
        <f aca="false">IF(AJ1475="",0,MAX(0,MIN(1,(IF(BU1475="L1",Parameter!$E$5,Parameter!$E$6+Parameter!$E$7)-(AJ1475-AF1475))/AF1475)))</f>
        <v>1</v>
      </c>
      <c r="AL1475" s="57" t="n">
        <f aca="false">IF(LEFT(Cockpit!$I$5,1)="A",G1475,IF(BW1475=1,BX1475,IF(LEFT(Cockpit!$I$5,1)="B",AP1475,MAX(AP1475,G1475))))</f>
        <v>8</v>
      </c>
      <c r="AM1475" s="57" t="n">
        <f aca="false">IF(BR1475=1,0,ROUNDUP(AL1475/BQ1475,0))</f>
        <v>0</v>
      </c>
      <c r="AN1475" s="59" t="n">
        <f aca="false">IF(CD1475&gt;0,CD1475*MAX(1,AL1475/V1475),IF(BR1475=1,IF(AL1475&lt;=0,0,BS1475*MAX(1,IF(G1475&gt;0,AL1475/G1475,1))),IF(Q1475&gt;0,AM1475/Q1475,0))/MAX(0.1,N(Parameter!$M$21)))</f>
        <v>0.64030131826742</v>
      </c>
      <c r="AO1475" s="57" t="n">
        <f aca="false">AL1475*F1475</f>
        <v>3708</v>
      </c>
      <c r="AP1475" s="57" t="n">
        <f aca="false">ROUNDUP(MAX(I1475/IF(BV1475&gt;0,BV1475,MAX(0.1,N(Cockpit!$I$6))),BY1475)/BQ1475,0)*BQ1475</f>
        <v>8</v>
      </c>
      <c r="AQ1475" s="58" t="n">
        <f aca="false">IF(AN1475&gt;0,I1475/AN1475,-1)</f>
        <v>0</v>
      </c>
      <c r="AR1475" s="58" t="n">
        <f aca="false">IF(AND(OR(BU1475="L1",BU1475="L23"),AN1475&gt;0),SUMIFS($AN$7:$AN$1576,$BU$7:$BU$1576,BU1475,$AQ$7:$AQ$1576,"&gt;"&amp;AQ1475)+SUMIFS($AN$7:$AN$1576,$BU$7:$BU$1576,BU1475,$AQ$7:$AQ$1576,AQ1475,$BO$7:$BO$1576,"&lt;="&amp;BO1475),"")</f>
        <v>49.8898305084746</v>
      </c>
      <c r="AS1475" s="65" t="n">
        <f aca="false">IF(AR1475="",0,MAX(0,MIN(1,(IF(BU1475="L1",Parameter!$E$5,Parameter!$E$6+Parameter!$E$7)-(AR1475-AN1475))/AN1475)))</f>
        <v>1</v>
      </c>
      <c r="AT1475" s="57" t="n">
        <f aca="false">IF(LEFT(Cockpit!$O$5,1)="A",G1475,IF(BW1475=1,BX1475,IF(LEFT(Cockpit!$O$5,1)="B",AX1475,MAX(AX1475,G1475))))</f>
        <v>8</v>
      </c>
      <c r="AU1475" s="57" t="n">
        <f aca="false">IF(BR1475=1,0,ROUNDUP(AT1475/BQ1475,0))</f>
        <v>0</v>
      </c>
      <c r="AV1475" s="59" t="n">
        <f aca="false">IF(CD1475&gt;0,CD1475*MAX(1,AT1475/V1475),IF(BR1475=1,IF(AT1475&lt;=0,0,BS1475*MAX(1,IF(G1475&gt;0,AT1475/G1475,1))),IF(Q1475&gt;0,AU1475/Q1475,0))/MAX(0.1,N(Parameter!$M$21)))</f>
        <v>0.64030131826742</v>
      </c>
      <c r="AW1475" s="57" t="n">
        <f aca="false">AT1475*F1475</f>
        <v>3708</v>
      </c>
      <c r="AX1475" s="57" t="n">
        <f aca="false">ROUNDUP(MAX(I1475/IF(BV1475&gt;0,BV1475,MAX(0.1,N(Cockpit!$O$6))),BY1475)/BQ1475,0)*BQ1475</f>
        <v>8</v>
      </c>
      <c r="AY1475" s="58" t="n">
        <f aca="false">IF(AV1475&gt;0,I1475/AV1475,-1)</f>
        <v>0</v>
      </c>
      <c r="AZ1475" s="58" t="n">
        <f aca="false">IF(AND(OR(BU1475="L1",BU1475="L23"),AV1475&gt;0),SUMIFS($AV$7:$AV$1576,$BU$7:$BU$1576,BU1475,$AY$7:$AY$1576,"&gt;"&amp;AY1475)+SUMIFS($AV$7:$AV$1576,$BU$7:$BU$1576,BU1475,$AY$7:$AY$1576,AY1475,$BO$7:$BO$1576,"&lt;="&amp;BO1475),"")</f>
        <v>46.9284369114878</v>
      </c>
      <c r="BA1475" s="65" t="n">
        <f aca="false">IF(AZ1475="",0,MAX(0,MIN(1,(IF(BU1475="L1",Parameter!$E$5,Parameter!$E$6+Parameter!$E$7)-(AZ1475-AV1475))/AV1475)))</f>
        <v>1</v>
      </c>
      <c r="BB1475" s="55" t="str">
        <f aca="false">IF(AF1475&lt;=0,"",IF(BU1475="Aussen","Aussenlager",IF(BU1475="-","Nicht im Lift",IF(AK1475&gt;=1,"Lift",IF(AK1475&lt;=0,"Aussenlager","teilweise")))))</f>
        <v>Lift</v>
      </c>
      <c r="BC1475" s="55" t="str">
        <f aca="false">IF(AN1475&lt;=0,"",IF(BU1475="Aussen","Aussenlager",IF(BU1475="-","Nicht im Lift",IF(AS1475&gt;=1,"Lift",IF(AS1475&lt;=0,"Aussenlager","teilweise")))))</f>
        <v>Lift</v>
      </c>
      <c r="BD1475" s="55" t="str">
        <f aca="false">IF(AV1475&lt;=0,"",IF(BU1475="Aussen","Aussenlager",IF(BU1475="-","Nicht im Lift",IF(BA1475&gt;=1,"Lift",IF(BA1475&lt;=0,"Aussenlager","teilweise")))))</f>
        <v>Lift</v>
      </c>
      <c r="BE1475" s="55" t="str">
        <f aca="false">IF(A1475="","",IF(BN1475=1,"Neu; ","")&amp;IF(AND(BN1475=0,BI1475&lt;0),"negativer Bestand (Export "&amp;BI1475&amp;"); ","")&amp;IF(I1475&lt;=0,"Kein Verbrauch; ","")&amp;IF(CD1475&gt;0,"Lift "&amp;U1475&amp;" lt. Liftbericht (Fach "&amp;V1475&amp;" Stk); ",IF(BR1475=1,"Lose – Fläche geschätzt; ",""))&amp;IF(G1475&gt;AP1475,"Überbestand "&amp;ROUND(G1475-AP1475,0)&amp;" Stk / CHF "&amp;ROUND((G1475-AP1475)*F1475,0)&amp;"; ","")&amp;IF(AND(BW1475=1,BX1475&lt;BY1475),"MAX &lt; MB+LG; ","")&amp;IF(AND(CC1475&gt;0,CB1475*10&gt;CC1475),"zu hoch für Tablar; ","")&amp;IF(AND(BN1475=0,OR(BW1475=1,Y1475&lt;&gt;"",S1475&lt;&gt;"",T1475&lt;&gt;"",Z1475&lt;&gt;"")),"manuell übersteuert; ","")&amp;IF(AND(BR1475=0,Q1475=0),"Gebinde unbekannt / Stellmass fehlt; ","")&amp;IF(AND(BR1475=0,N(T1475)&lt;=0,N(P1475)&lt;=0),"Menge pro Gebinde fehlt (Ist = 1 Gebinde); ","")&amp;BM1475)</f>
        <v>Kein Verbrauch; Lift 1 lt. Liftbericht (Fach 1 Stk); nur im Liftbericht (nicht im Kennzahlen-Auszug)</v>
      </c>
      <c r="BF1475" s="55"/>
      <c r="BG1475" s="55"/>
      <c r="BH1475" s="62"/>
      <c r="BI1475" s="57" t="n">
        <v>1</v>
      </c>
      <c r="BJ1475" s="57" t="n">
        <v>0</v>
      </c>
      <c r="BK1475" s="56" t="n">
        <v>0</v>
      </c>
      <c r="BL1475" s="57" t="n">
        <v>0</v>
      </c>
      <c r="BM1475" s="55" t="s">
        <v>2553</v>
      </c>
      <c r="BN1475" s="60" t="n">
        <v>0</v>
      </c>
      <c r="BO1475" s="60" t="n">
        <v>1475</v>
      </c>
      <c r="BP1475" s="55" t="str">
        <f aca="false">IF(S1475&lt;&gt;"",UPPER(TRIM(S1475)),IF(O1475="","LOSE",O1475))</f>
        <v>LOSE</v>
      </c>
      <c r="BQ1475" s="57" t="n">
        <f aca="false">IF(BP1475="LOSE",1,IF(N(T1475)&gt;0,T1475,IF(N(P1475)&gt;0,P1475,MAX(1,G1475))))</f>
        <v>1</v>
      </c>
      <c r="BR1475" s="60" t="n">
        <f aca="false">IF(BP1475="LOSE",1,0)</f>
        <v>1</v>
      </c>
      <c r="BS1475" s="59" t="n">
        <f aca="false">IF(BR1475=0,0,IF(N(R1475)&gt;0,R1475,IFERROR(VLOOKUP(D1475,Parameter!$A$35:$C$64,3,0)+0,0)))</f>
        <v>0.15</v>
      </c>
      <c r="BT1475" s="55" t="n">
        <f aca="false">IF(Y1475&lt;&gt;"",Y1475,X1475)</f>
        <v>1</v>
      </c>
      <c r="BU1475" s="55" t="str">
        <f aca="false">IF(BT1475=1,"L1",IF(OR(BT1475=2,BT1475=3),"L23",IF(BT1475="Aussen","Aussen","-")))</f>
        <v>L1</v>
      </c>
      <c r="BV1475" s="66" t="n">
        <f aca="false">IF(N(Z1475)&gt;0,Z1475,0)</f>
        <v>0</v>
      </c>
      <c r="BW1475" s="60" t="n">
        <f aca="false">IF(ISNUMBER(AC1475),1,0)</f>
        <v>0</v>
      </c>
      <c r="BX1475" s="57" t="n">
        <f aca="false">N(AC1475)</f>
        <v>0</v>
      </c>
      <c r="BY1475" s="57" t="n">
        <f aca="false">N(L1475)+N(M1475)</f>
        <v>8</v>
      </c>
      <c r="BZ1475" s="57" t="n">
        <f aca="false">ROUNDUP(G1475/BQ1475,0)</f>
        <v>1</v>
      </c>
      <c r="CA1475" s="57" t="n">
        <f aca="false">ROUNDUP(BX1475/BQ1475,0)</f>
        <v>0</v>
      </c>
      <c r="CB1475" s="60" t="n">
        <f aca="false">IF(BR1475=1,0,IFERROR(VLOOKUP(BP1475,'Gebinde-Kategorie'!$A$5:$M$45,5,0)+0,0))</f>
        <v>0</v>
      </c>
      <c r="CC1475" s="60" t="n">
        <f aca="false">IFERROR(IF(OR(BT1475=1,BT1475=2,BT1475=3),N(INDEX(Parameter!$I$5:$I$7,BT1475)),0),0)</f>
        <v>0</v>
      </c>
      <c r="CD1475" s="59" t="n">
        <f aca="false">IF(AND(Parameter!$B$21="Ja",ISNUMBER(U1475),N(V1475)&gt;0),IFERROR(N(INDEX(Parameter!$L$5:$L$7,U1475))*INDEX(Parameter!$E$5:$E$7,U1475)*V1475/SUMIFS($V$7:$V$1576,$U$7:$U$1576,U1475),0),0)</f>
        <v>0.0800376647834275</v>
      </c>
    </row>
    <row r="1476" customFormat="false" ht="15" hidden="false" customHeight="false" outlineLevel="0" collapsed="false">
      <c r="A1476" s="55" t="s">
        <v>2560</v>
      </c>
      <c r="B1476" s="55" t="s">
        <v>2409</v>
      </c>
      <c r="C1476" s="55" t="s">
        <v>160</v>
      </c>
      <c r="D1476" s="55" t="s">
        <v>168</v>
      </c>
      <c r="E1476" s="55"/>
      <c r="F1476" s="56" t="n">
        <v>513.5</v>
      </c>
      <c r="G1476" s="57" t="n">
        <f aca="false">MAX(0,IF(AND(Parameter!$B$21="Ja",ISNUMBER(W1476)),W1476,IF(Parameter!$B$20="Jahresanfang 2025 + Export",BJ1476+BI1476,BI1476)))</f>
        <v>2</v>
      </c>
      <c r="H1476" s="57" t="n">
        <f aca="false">G1476*F1476</f>
        <v>1027</v>
      </c>
      <c r="I1476" s="57" t="n">
        <f aca="false">BL1476*Parameter!$B$18</f>
        <v>0</v>
      </c>
      <c r="J1476" s="58"/>
      <c r="K1476" s="59"/>
      <c r="L1476" s="57" t="n">
        <v>1</v>
      </c>
      <c r="M1476" s="57" t="n">
        <v>1</v>
      </c>
      <c r="N1476" s="60" t="n">
        <v>42</v>
      </c>
      <c r="O1476" s="55" t="s">
        <v>163</v>
      </c>
      <c r="P1476" s="57"/>
      <c r="Q1476" s="60" t="n">
        <f aca="false">IF(BR1476=1,0,IFERROR(VLOOKUP(BP1476,'Gebinde-Kategorie'!$A$5:$M$45,13,0)+0,0))</f>
        <v>0</v>
      </c>
      <c r="R1476" s="61"/>
      <c r="S1476" s="62"/>
      <c r="T1476" s="62"/>
      <c r="U1476" s="55" t="n">
        <v>1</v>
      </c>
      <c r="V1476" s="57" t="n">
        <v>2</v>
      </c>
      <c r="W1476" s="57" t="n">
        <v>2</v>
      </c>
      <c r="X1476" s="55" t="n">
        <f aca="false">IF(A1476="","",IF(AND(Parameter!$B$21="Ja",ISNUMBER(U1476)),U1476,IF(IFERROR(VLOOKUP(D1476,Parameter!$A$35:$C$64,2,0),"Nein")="2+3",IF(ISNUMBER(SEARCH("grosser Artikel",BM1476)),2,IFERROR(VLOOKUP(BP1476,Parameter!$F$35:$G$64,2,0),2)),IF(OR(IFERROR(VLOOKUP(D1476,Parameter!$A$35:$C$64,2,0),"Nein")="Nein",IFERROR(VLOOKUP(D1476,Parameter!$A$35:$C$64,2,0),"Nein")=""),"-",VLOOKUP(D1476,Parameter!$A$35:$C$64,2,0)))))</f>
        <v>1</v>
      </c>
      <c r="Y1476" s="62"/>
      <c r="Z1476" s="63"/>
      <c r="AA1476" s="57" t="n">
        <f aca="false">AP1476</f>
        <v>2</v>
      </c>
      <c r="AB1476" s="57" t="n">
        <f aca="false">MAX(AP1476,G1476)</f>
        <v>2</v>
      </c>
      <c r="AC1476" s="64"/>
      <c r="AD1476" s="57" t="n">
        <f aca="false">IF(LEFT(Cockpit!$C$5,1)="A",G1476,IF(BW1476=1,BX1476,IF(LEFT(Cockpit!$C$5,1)="B",AH1476,MAX(AH1476,G1476))))</f>
        <v>2</v>
      </c>
      <c r="AE1476" s="57" t="n">
        <f aca="false">IF(BR1476=1,0,ROUNDUP(AD1476/BQ1476,0))</f>
        <v>0</v>
      </c>
      <c r="AF1476" s="59" t="n">
        <f aca="false">IF(CD1476&gt;0,CD1476*MAX(1,AD1476/V1476),IF(BR1476=1,IF(AD1476&lt;=0,0,BS1476*MAX(1,IF(G1476&gt;0,AD1476/G1476,1))),IF(Q1476&gt;0,AE1476/Q1476,0))/MAX(0.1,N(Parameter!$M$21)))</f>
        <v>0.160075329566855</v>
      </c>
      <c r="AG1476" s="57" t="n">
        <f aca="false">AD1476*F1476</f>
        <v>1027</v>
      </c>
      <c r="AH1476" s="57" t="n">
        <f aca="false">ROUNDUP(MAX(I1476/IF(BV1476&gt;0,BV1476,MAX(0.1,N(Cockpit!$C$6))),BY1476)/BQ1476,0)*BQ1476</f>
        <v>2</v>
      </c>
      <c r="AI1476" s="58" t="n">
        <f aca="false">IF(AF1476&gt;0,I1476/AF1476,-1)</f>
        <v>0</v>
      </c>
      <c r="AJ1476" s="58" t="n">
        <f aca="false">IF(AND(OR(BU1476="L1",BU1476="L23"),AF1476&gt;0),SUMIFS($AF$7:$AF$1576,$BU$7:$BU$1576,BU1476,$AI$7:$AI$1576,"&gt;"&amp;AI1476)+SUMIFS($AF$7:$AF$1576,$BU$7:$BU$1576,BU1476,$AI$7:$AI$1576,AI1476,$BO$7:$BO$1576,"&lt;="&amp;BO1476),"")</f>
        <v>43.1666666666667</v>
      </c>
      <c r="AK1476" s="65" t="n">
        <f aca="false">IF(AJ1476="",0,MAX(0,MIN(1,(IF(BU1476="L1",Parameter!$E$5,Parameter!$E$6+Parameter!$E$7)-(AJ1476-AF1476))/AF1476)))</f>
        <v>1</v>
      </c>
      <c r="AL1476" s="57" t="n">
        <f aca="false">IF(LEFT(Cockpit!$I$5,1)="A",G1476,IF(BW1476=1,BX1476,IF(LEFT(Cockpit!$I$5,1)="B",AP1476,MAX(AP1476,G1476))))</f>
        <v>2</v>
      </c>
      <c r="AM1476" s="57" t="n">
        <f aca="false">IF(BR1476=1,0,ROUNDUP(AL1476/BQ1476,0))</f>
        <v>0</v>
      </c>
      <c r="AN1476" s="59" t="n">
        <f aca="false">IF(CD1476&gt;0,CD1476*MAX(1,AL1476/V1476),IF(BR1476=1,IF(AL1476&lt;=0,0,BS1476*MAX(1,IF(G1476&gt;0,AL1476/G1476,1))),IF(Q1476&gt;0,AM1476/Q1476,0))/MAX(0.1,N(Parameter!$M$21)))</f>
        <v>0.160075329566855</v>
      </c>
      <c r="AO1476" s="57" t="n">
        <f aca="false">AL1476*F1476</f>
        <v>1027</v>
      </c>
      <c r="AP1476" s="57" t="n">
        <f aca="false">ROUNDUP(MAX(I1476/IF(BV1476&gt;0,BV1476,MAX(0.1,N(Cockpit!$I$6))),BY1476)/BQ1476,0)*BQ1476</f>
        <v>2</v>
      </c>
      <c r="AQ1476" s="58" t="n">
        <f aca="false">IF(AN1476&gt;0,I1476/AN1476,-1)</f>
        <v>0</v>
      </c>
      <c r="AR1476" s="58" t="n">
        <f aca="false">IF(AND(OR(BU1476="L1",BU1476="L23"),AN1476&gt;0),SUMIFS($AN$7:$AN$1576,$BU$7:$BU$1576,BU1476,$AQ$7:$AQ$1576,"&gt;"&amp;AQ1476)+SUMIFS($AN$7:$AN$1576,$BU$7:$BU$1576,BU1476,$AQ$7:$AQ$1576,AQ1476,$BO$7:$BO$1576,"&lt;="&amp;BO1476),"")</f>
        <v>50.0499058380414</v>
      </c>
      <c r="AS1476" s="65" t="n">
        <f aca="false">IF(AR1476="",0,MAX(0,MIN(1,(IF(BU1476="L1",Parameter!$E$5,Parameter!$E$6+Parameter!$E$7)-(AR1476-AN1476))/AN1476)))</f>
        <v>0.688235294117659</v>
      </c>
      <c r="AT1476" s="57" t="n">
        <f aca="false">IF(LEFT(Cockpit!$O$5,1)="A",G1476,IF(BW1476=1,BX1476,IF(LEFT(Cockpit!$O$5,1)="B",AX1476,MAX(AX1476,G1476))))</f>
        <v>2</v>
      </c>
      <c r="AU1476" s="57" t="n">
        <f aca="false">IF(BR1476=1,0,ROUNDUP(AT1476/BQ1476,0))</f>
        <v>0</v>
      </c>
      <c r="AV1476" s="59" t="n">
        <f aca="false">IF(CD1476&gt;0,CD1476*MAX(1,AT1476/V1476),IF(BR1476=1,IF(AT1476&lt;=0,0,BS1476*MAX(1,IF(G1476&gt;0,AT1476/G1476,1))),IF(Q1476&gt;0,AU1476/Q1476,0))/MAX(0.1,N(Parameter!$M$21)))</f>
        <v>0.160075329566855</v>
      </c>
      <c r="AW1476" s="57" t="n">
        <f aca="false">AT1476*F1476</f>
        <v>1027</v>
      </c>
      <c r="AX1476" s="57" t="n">
        <f aca="false">ROUNDUP(MAX(I1476/IF(BV1476&gt;0,BV1476,MAX(0.1,N(Cockpit!$O$6))),BY1476)/BQ1476,0)*BQ1476</f>
        <v>2</v>
      </c>
      <c r="AY1476" s="58" t="n">
        <f aca="false">IF(AV1476&gt;0,I1476/AV1476,-1)</f>
        <v>0</v>
      </c>
      <c r="AZ1476" s="58" t="n">
        <f aca="false">IF(AND(OR(BU1476="L1",BU1476="L23"),AV1476&gt;0),SUMIFS($AV$7:$AV$1576,$BU$7:$BU$1576,BU1476,$AY$7:$AY$1576,"&gt;"&amp;AY1476)+SUMIFS($AV$7:$AV$1576,$BU$7:$BU$1576,BU1476,$AY$7:$AY$1576,AY1476,$BO$7:$BO$1576,"&lt;="&amp;BO1476),"")</f>
        <v>47.0885122410546</v>
      </c>
      <c r="BA1476" s="65" t="n">
        <f aca="false">IF(AZ1476="",0,MAX(0,MIN(1,(IF(BU1476="L1",Parameter!$E$5,Parameter!$E$6+Parameter!$E$7)-(AZ1476-AV1476))/AV1476)))</f>
        <v>1</v>
      </c>
      <c r="BB1476" s="55" t="str">
        <f aca="false">IF(AF1476&lt;=0,"",IF(BU1476="Aussen","Aussenlager",IF(BU1476="-","Nicht im Lift",IF(AK1476&gt;=1,"Lift",IF(AK1476&lt;=0,"Aussenlager","teilweise")))))</f>
        <v>Lift</v>
      </c>
      <c r="BC1476" s="55" t="str">
        <f aca="false">IF(AN1476&lt;=0,"",IF(BU1476="Aussen","Aussenlager",IF(BU1476="-","Nicht im Lift",IF(AS1476&gt;=1,"Lift",IF(AS1476&lt;=0,"Aussenlager","teilweise")))))</f>
        <v>teilweise</v>
      </c>
      <c r="BD1476" s="55" t="str">
        <f aca="false">IF(AV1476&lt;=0,"",IF(BU1476="Aussen","Aussenlager",IF(BU1476="-","Nicht im Lift",IF(BA1476&gt;=1,"Lift",IF(BA1476&lt;=0,"Aussenlager","teilweise")))))</f>
        <v>Lift</v>
      </c>
      <c r="BE1476" s="55" t="str">
        <f aca="false">IF(A1476="","",IF(BN1476=1,"Neu; ","")&amp;IF(AND(BN1476=0,BI1476&lt;0),"negativer Bestand (Export "&amp;BI1476&amp;"); ","")&amp;IF(I1476&lt;=0,"Kein Verbrauch; ","")&amp;IF(CD1476&gt;0,"Lift "&amp;U1476&amp;" lt. Liftbericht (Fach "&amp;V1476&amp;" Stk); ",IF(BR1476=1,"Lose – Fläche geschätzt; ",""))&amp;IF(G1476&gt;AP1476,"Überbestand "&amp;ROUND(G1476-AP1476,0)&amp;" Stk / CHF "&amp;ROUND((G1476-AP1476)*F1476,0)&amp;"; ","")&amp;IF(AND(BW1476=1,BX1476&lt;BY1476),"MAX &lt; MB+LG; ","")&amp;IF(AND(CC1476&gt;0,CB1476*10&gt;CC1476),"zu hoch für Tablar; ","")&amp;IF(AND(BN1476=0,OR(BW1476=1,Y1476&lt;&gt;"",S1476&lt;&gt;"",T1476&lt;&gt;"",Z1476&lt;&gt;"")),"manuell übersteuert; ","")&amp;IF(AND(BR1476=0,Q1476=0),"Gebinde unbekannt / Stellmass fehlt; ","")&amp;IF(AND(BR1476=0,N(T1476)&lt;=0,N(P1476)&lt;=0),"Menge pro Gebinde fehlt (Ist = 1 Gebinde); ","")&amp;BM1476)</f>
        <v>Kein Verbrauch; Lift 1 lt. Liftbericht (Fach 2 Stk); nur im Liftbericht (nicht im Kennzahlen-Auszug)</v>
      </c>
      <c r="BF1476" s="55"/>
      <c r="BG1476" s="55"/>
      <c r="BH1476" s="62"/>
      <c r="BI1476" s="57" t="n">
        <v>2</v>
      </c>
      <c r="BJ1476" s="57" t="n">
        <v>0</v>
      </c>
      <c r="BK1476" s="56" t="n">
        <v>0</v>
      </c>
      <c r="BL1476" s="57" t="n">
        <v>0</v>
      </c>
      <c r="BM1476" s="55" t="s">
        <v>2553</v>
      </c>
      <c r="BN1476" s="60" t="n">
        <v>0</v>
      </c>
      <c r="BO1476" s="60" t="n">
        <v>1476</v>
      </c>
      <c r="BP1476" s="55" t="str">
        <f aca="false">IF(S1476&lt;&gt;"",UPPER(TRIM(S1476)),IF(O1476="","LOSE",O1476))</f>
        <v>LOSE</v>
      </c>
      <c r="BQ1476" s="57" t="n">
        <f aca="false">IF(BP1476="LOSE",1,IF(N(T1476)&gt;0,T1476,IF(N(P1476)&gt;0,P1476,MAX(1,G1476))))</f>
        <v>1</v>
      </c>
      <c r="BR1476" s="60" t="n">
        <f aca="false">IF(BP1476="LOSE",1,0)</f>
        <v>1</v>
      </c>
      <c r="BS1476" s="59" t="n">
        <f aca="false">IF(BR1476=0,0,IF(N(R1476)&gt;0,R1476,IFERROR(VLOOKUP(D1476,Parameter!$A$35:$C$64,3,0)+0,0)))</f>
        <v>0.15</v>
      </c>
      <c r="BT1476" s="55" t="n">
        <f aca="false">IF(Y1476&lt;&gt;"",Y1476,X1476)</f>
        <v>1</v>
      </c>
      <c r="BU1476" s="55" t="str">
        <f aca="false">IF(BT1476=1,"L1",IF(OR(BT1476=2,BT1476=3),"L23",IF(BT1476="Aussen","Aussen","-")))</f>
        <v>L1</v>
      </c>
      <c r="BV1476" s="66" t="n">
        <f aca="false">IF(N(Z1476)&gt;0,Z1476,0)</f>
        <v>0</v>
      </c>
      <c r="BW1476" s="60" t="n">
        <f aca="false">IF(ISNUMBER(AC1476),1,0)</f>
        <v>0</v>
      </c>
      <c r="BX1476" s="57" t="n">
        <f aca="false">N(AC1476)</f>
        <v>0</v>
      </c>
      <c r="BY1476" s="57" t="n">
        <f aca="false">N(L1476)+N(M1476)</f>
        <v>2</v>
      </c>
      <c r="BZ1476" s="57" t="n">
        <f aca="false">ROUNDUP(G1476/BQ1476,0)</f>
        <v>2</v>
      </c>
      <c r="CA1476" s="57" t="n">
        <f aca="false">ROUNDUP(BX1476/BQ1476,0)</f>
        <v>0</v>
      </c>
      <c r="CB1476" s="60" t="n">
        <f aca="false">IF(BR1476=1,0,IFERROR(VLOOKUP(BP1476,'Gebinde-Kategorie'!$A$5:$M$45,5,0)+0,0))</f>
        <v>0</v>
      </c>
      <c r="CC1476" s="60" t="n">
        <f aca="false">IFERROR(IF(OR(BT1476=1,BT1476=2,BT1476=3),N(INDEX(Parameter!$I$5:$I$7,BT1476)),0),0)</f>
        <v>0</v>
      </c>
      <c r="CD1476" s="59" t="n">
        <f aca="false">IF(AND(Parameter!$B$21="Ja",ISNUMBER(U1476),N(V1476)&gt;0),IFERROR(N(INDEX(Parameter!$L$5:$L$7,U1476))*INDEX(Parameter!$E$5:$E$7,U1476)*V1476/SUMIFS($V$7:$V$1576,$U$7:$U$1576,U1476),0),0)</f>
        <v>0.160075329566855</v>
      </c>
    </row>
    <row r="1477" customFormat="false" ht="15" hidden="false" customHeight="false" outlineLevel="0" collapsed="false">
      <c r="A1477" s="55" t="str">
        <f aca="false">IF('Neue Artikel'!$A$5="","",'Neue Artikel'!$A$5&amp;"")</f>
        <v/>
      </c>
      <c r="B1477" s="55" t="str">
        <f aca="false">'Neue Artikel'!$B$5&amp;""</f>
        <v/>
      </c>
      <c r="C1477" s="55"/>
      <c r="D1477" s="55" t="s">
        <v>2561</v>
      </c>
      <c r="E1477" s="55"/>
      <c r="F1477" s="56" t="n">
        <f aca="false">N('Neue Artikel'!$G$5)</f>
        <v>0</v>
      </c>
      <c r="G1477" s="57" t="n">
        <f aca="false">MAX(0,IF(AND(Parameter!$B$21="Ja",ISNUMBER(W1477)),W1477,IF(Parameter!$B$20="Jahresanfang 2025 + Export",BJ1477+BI1477,BI1477)))</f>
        <v>0</v>
      </c>
      <c r="H1477" s="57" t="n">
        <f aca="false">G1477*F1477</f>
        <v>0</v>
      </c>
      <c r="I1477" s="57" t="n">
        <f aca="false">BL1477*Parameter!$B$18</f>
        <v>0</v>
      </c>
      <c r="J1477" s="58"/>
      <c r="K1477" s="59"/>
      <c r="L1477" s="57" t="n">
        <f aca="false">N('Neue Artikel'!$E$5)</f>
        <v>0</v>
      </c>
      <c r="M1477" s="57" t="n">
        <f aca="false">N('Neue Artikel'!$F$5)</f>
        <v>0</v>
      </c>
      <c r="N1477" s="60"/>
      <c r="O1477" s="55" t="str">
        <f aca="false">IF('Neue Artikel'!$H$5="","LOSE",UPPER(TRIM('Neue Artikel'!$H$5)))</f>
        <v>LOSE</v>
      </c>
      <c r="P1477" s="57" t="n">
        <f aca="false">N('Neue Artikel'!$I$5)</f>
        <v>0</v>
      </c>
      <c r="Q1477" s="60" t="n">
        <f aca="false">IF(BR1477=1,0,IFERROR(VLOOKUP(BP1477,'Gebinde-Kategorie'!$A$5:$M$45,13,0)+0,0))</f>
        <v>0</v>
      </c>
      <c r="R1477" s="61"/>
      <c r="S1477" s="62"/>
      <c r="T1477" s="62"/>
      <c r="U1477" s="55"/>
      <c r="V1477" s="57"/>
      <c r="W1477" s="57"/>
      <c r="X1477" s="55" t="str">
        <f aca="false">IF(A1477="","",IF(AND(Parameter!$B$21="Ja",ISNUMBER(U1477)),U1477,IF(IFERROR(VLOOKUP(D1477,Parameter!$A$35:$C$64,2,0),"Nein")="2+3",IF(ISNUMBER(SEARCH("grosser Artikel",BM1477)),2,IFERROR(VLOOKUP(BP1477,Parameter!$F$35:$G$64,2,0),2)),IF(OR(IFERROR(VLOOKUP(D1477,Parameter!$A$35:$C$64,2,0),"Nein")="Nein",IFERROR(VLOOKUP(D1477,Parameter!$A$35:$C$64,2,0),"Nein")=""),"-",VLOOKUP(D1477,Parameter!$A$35:$C$64,2,0)))))</f>
        <v/>
      </c>
      <c r="Y1477" s="55" t="str">
        <f aca="false">IF('Neue Artikel'!$J$5="","",'Neue Artikel'!$J$5)</f>
        <v/>
      </c>
      <c r="Z1477" s="63"/>
      <c r="AA1477" s="57" t="n">
        <f aca="false">AP1477</f>
        <v>0</v>
      </c>
      <c r="AB1477" s="57" t="n">
        <f aca="false">MAX(AP1477,G1477)</f>
        <v>0</v>
      </c>
      <c r="AC1477" s="64"/>
      <c r="AD1477" s="57" t="n">
        <f aca="false">IF(LEFT(Cockpit!$C$5,1)="A",G1477,IF(BW1477=1,BX1477,IF(LEFT(Cockpit!$C$5,1)="B",AH1477,MAX(AH1477,G1477))))</f>
        <v>0</v>
      </c>
      <c r="AE1477" s="57" t="n">
        <f aca="false">IF(BR1477=1,0,ROUNDUP(AD1477/BQ1477,0))</f>
        <v>0</v>
      </c>
      <c r="AF1477" s="59" t="n">
        <f aca="false">IF(CD1477&gt;0,CD1477*MAX(1,AD1477/V1477),IF(BR1477=1,IF(AD1477&lt;=0,0,BS1477*MAX(1,IF(G1477&gt;0,AD1477/G1477,1))),IF(Q1477&gt;0,AE1477/Q1477,0))/MAX(0.1,N(Parameter!$M$21)))</f>
        <v>0</v>
      </c>
      <c r="AG1477" s="57" t="n">
        <f aca="false">AD1477*F1477</f>
        <v>0</v>
      </c>
      <c r="AH1477" s="57" t="n">
        <f aca="false">ROUNDUP(MAX(I1477/IF(BV1477&gt;0,BV1477,MAX(0.1,N(Cockpit!$C$6))),BY1477)/BQ1477,0)*BQ1477</f>
        <v>0</v>
      </c>
      <c r="AI1477" s="58" t="n">
        <f aca="false">IF(AF1477&gt;0,I1477/AF1477,-1)</f>
        <v>-1</v>
      </c>
      <c r="AJ1477" s="58" t="str">
        <f aca="false">IF(AND(OR(BU1477="L1",BU1477="L23"),AF1477&gt;0),SUMIFS($AF$7:$AF$1576,$BU$7:$BU$1576,BU1477,$AI$7:$AI$1576,"&gt;"&amp;AI1477)+SUMIFS($AF$7:$AF$1576,$BU$7:$BU$1576,BU1477,$AI$7:$AI$1576,AI1477,$BO$7:$BO$1576,"&lt;="&amp;BO1477),"")</f>
        <v/>
      </c>
      <c r="AK1477" s="65" t="n">
        <f aca="false">IF(AJ1477="",0,MAX(0,MIN(1,(IF(BU1477="L1",Parameter!$E$5,Parameter!$E$6+Parameter!$E$7)-(AJ1477-AF1477))/AF1477)))</f>
        <v>0</v>
      </c>
      <c r="AL1477" s="57" t="n">
        <f aca="false">IF(LEFT(Cockpit!$I$5,1)="A",G1477,IF(BW1477=1,BX1477,IF(LEFT(Cockpit!$I$5,1)="B",AP1477,MAX(AP1477,G1477))))</f>
        <v>0</v>
      </c>
      <c r="AM1477" s="57" t="n">
        <f aca="false">IF(BR1477=1,0,ROUNDUP(AL1477/BQ1477,0))</f>
        <v>0</v>
      </c>
      <c r="AN1477" s="59" t="n">
        <f aca="false">IF(CD1477&gt;0,CD1477*MAX(1,AL1477/V1477),IF(BR1477=1,IF(AL1477&lt;=0,0,BS1477*MAX(1,IF(G1477&gt;0,AL1477/G1477,1))),IF(Q1477&gt;0,AM1477/Q1477,0))/MAX(0.1,N(Parameter!$M$21)))</f>
        <v>0</v>
      </c>
      <c r="AO1477" s="57" t="n">
        <f aca="false">AL1477*F1477</f>
        <v>0</v>
      </c>
      <c r="AP1477" s="57" t="n">
        <f aca="false">ROUNDUP(MAX(I1477/IF(BV1477&gt;0,BV1477,MAX(0.1,N(Cockpit!$I$6))),BY1477)/BQ1477,0)*BQ1477</f>
        <v>0</v>
      </c>
      <c r="AQ1477" s="58" t="n">
        <f aca="false">IF(AN1477&gt;0,I1477/AN1477,-1)</f>
        <v>-1</v>
      </c>
      <c r="AR1477" s="58" t="str">
        <f aca="false">IF(AND(OR(BU1477="L1",BU1477="L23"),AN1477&gt;0),SUMIFS($AN$7:$AN$1576,$BU$7:$BU$1576,BU1477,$AQ$7:$AQ$1576,"&gt;"&amp;AQ1477)+SUMIFS($AN$7:$AN$1576,$BU$7:$BU$1576,BU1477,$AQ$7:$AQ$1576,AQ1477,$BO$7:$BO$1576,"&lt;="&amp;BO1477),"")</f>
        <v/>
      </c>
      <c r="AS1477" s="65" t="n">
        <f aca="false">IF(AR1477="",0,MAX(0,MIN(1,(IF(BU1477="L1",Parameter!$E$5,Parameter!$E$6+Parameter!$E$7)-(AR1477-AN1477))/AN1477)))</f>
        <v>0</v>
      </c>
      <c r="AT1477" s="57" t="n">
        <f aca="false">IF(LEFT(Cockpit!$O$5,1)="A",G1477,IF(BW1477=1,BX1477,IF(LEFT(Cockpit!$O$5,1)="B",AX1477,MAX(AX1477,G1477))))</f>
        <v>0</v>
      </c>
      <c r="AU1477" s="57" t="n">
        <f aca="false">IF(BR1477=1,0,ROUNDUP(AT1477/BQ1477,0))</f>
        <v>0</v>
      </c>
      <c r="AV1477" s="59" t="n">
        <f aca="false">IF(CD1477&gt;0,CD1477*MAX(1,AT1477/V1477),IF(BR1477=1,IF(AT1477&lt;=0,0,BS1477*MAX(1,IF(G1477&gt;0,AT1477/G1477,1))),IF(Q1477&gt;0,AU1477/Q1477,0))/MAX(0.1,N(Parameter!$M$21)))</f>
        <v>0</v>
      </c>
      <c r="AW1477" s="57" t="n">
        <f aca="false">AT1477*F1477</f>
        <v>0</v>
      </c>
      <c r="AX1477" s="57" t="n">
        <f aca="false">ROUNDUP(MAX(I1477/IF(BV1477&gt;0,BV1477,MAX(0.1,N(Cockpit!$O$6))),BY1477)/BQ1477,0)*BQ1477</f>
        <v>0</v>
      </c>
      <c r="AY1477" s="58" t="n">
        <f aca="false">IF(AV1477&gt;0,I1477/AV1477,-1)</f>
        <v>-1</v>
      </c>
      <c r="AZ1477" s="58" t="str">
        <f aca="false">IF(AND(OR(BU1477="L1",BU1477="L23"),AV1477&gt;0),SUMIFS($AV$7:$AV$1576,$BU$7:$BU$1576,BU1477,$AY$7:$AY$1576,"&gt;"&amp;AY1477)+SUMIFS($AV$7:$AV$1576,$BU$7:$BU$1576,BU1477,$AY$7:$AY$1576,AY1477,$BO$7:$BO$1576,"&lt;="&amp;BO1477),"")</f>
        <v/>
      </c>
      <c r="BA1477" s="65" t="n">
        <f aca="false">IF(AZ1477="",0,MAX(0,MIN(1,(IF(BU1477="L1",Parameter!$E$5,Parameter!$E$6+Parameter!$E$7)-(AZ1477-AV1477))/AV1477)))</f>
        <v>0</v>
      </c>
      <c r="BB1477" s="55" t="str">
        <f aca="false">IF(AF1477&lt;=0,"",IF(BU1477="Aussen","Aussenlager",IF(BU1477="-","Nicht im Lift",IF(AK1477&gt;=1,"Lift",IF(AK1477&lt;=0,"Aussenlager","teilweise")))))</f>
        <v/>
      </c>
      <c r="BC1477" s="55" t="str">
        <f aca="false">IF(AN1477&lt;=0,"",IF(BU1477="Aussen","Aussenlager",IF(BU1477="-","Nicht im Lift",IF(AS1477&gt;=1,"Lift",IF(AS1477&lt;=0,"Aussenlager","teilweise")))))</f>
        <v/>
      </c>
      <c r="BD1477" s="55" t="str">
        <f aca="false">IF(AV1477&lt;=0,"",IF(BU1477="Aussen","Aussenlager",IF(BU1477="-","Nicht im Lift",IF(BA1477&gt;=1,"Lift",IF(BA1477&lt;=0,"Aussenlager","teilweise")))))</f>
        <v/>
      </c>
      <c r="BE1477" s="55" t="str">
        <f aca="false">IF(A1477="","",IF(BN1477=1,"Neu; ","")&amp;IF(AND(BN1477=0,BI1477&lt;0),"negativer Bestand (Export "&amp;BI1477&amp;"); ","")&amp;IF(I1477&lt;=0,"Kein Verbrauch; ","")&amp;IF(CD1477&gt;0,"Lift "&amp;U1477&amp;" lt. Liftbericht (Fach "&amp;V1477&amp;" Stk); ",IF(BR1477=1,"Lose – Fläche geschätzt; ",""))&amp;IF(G1477&gt;AP1477,"Überbestand "&amp;ROUND(G1477-AP1477,0)&amp;" Stk / CHF "&amp;ROUND((G1477-AP1477)*F1477,0)&amp;"; ","")&amp;IF(AND(BW1477=1,BX1477&lt;BY1477),"MAX &lt; MB+LG; ","")&amp;IF(AND(CC1477&gt;0,CB1477*10&gt;CC1477),"zu hoch für Tablar; ","")&amp;IF(AND(BN1477=0,OR(BW1477=1,Y1477&lt;&gt;"",S1477&lt;&gt;"",T1477&lt;&gt;"",Z1477&lt;&gt;"")),"manuell übersteuert; ","")&amp;IF(AND(BR1477=0,Q1477=0),"Gebinde unbekannt / Stellmass fehlt; ","")&amp;IF(AND(BR1477=0,N(T1477)&lt;=0,N(P1477)&lt;=0),"Menge pro Gebinde fehlt (Ist = 1 Gebinde); ","")&amp;BM1477)</f>
        <v/>
      </c>
      <c r="BF1477" s="55"/>
      <c r="BG1477" s="55"/>
      <c r="BH1477" s="62"/>
      <c r="BI1477" s="57" t="n">
        <f aca="false">N('Neue Artikel'!$D$5)</f>
        <v>0</v>
      </c>
      <c r="BJ1477" s="57" t="n">
        <v>0</v>
      </c>
      <c r="BK1477" s="56" t="n">
        <v>0</v>
      </c>
      <c r="BL1477" s="57" t="n">
        <f aca="false">N('Neue Artikel'!$C$5)/Parameter!$B$18</f>
        <v>0</v>
      </c>
      <c r="BM1477" s="55"/>
      <c r="BN1477" s="60" t="n">
        <v>1</v>
      </c>
      <c r="BO1477" s="60" t="n">
        <v>1477</v>
      </c>
      <c r="BP1477" s="55" t="str">
        <f aca="false">IF(S1477&lt;&gt;"",UPPER(TRIM(S1477)),IF(O1477="","LOSE",O1477))</f>
        <v>LOSE</v>
      </c>
      <c r="BQ1477" s="57" t="n">
        <f aca="false">IF(BP1477="LOSE",1,IF(N(T1477)&gt;0,T1477,IF(N(P1477)&gt;0,P1477,MAX(1,G1477))))</f>
        <v>1</v>
      </c>
      <c r="BR1477" s="60" t="n">
        <f aca="false">IF(BP1477="LOSE",1,0)</f>
        <v>1</v>
      </c>
      <c r="BS1477" s="59" t="n">
        <f aca="false">IF(BR1477=0,0,IF(N(R1477)&gt;0,R1477,IFERROR(VLOOKUP(D1477,Parameter!$A$35:$C$64,3,0)+0,0)))</f>
        <v>0.15</v>
      </c>
      <c r="BT1477" s="55" t="str">
        <f aca="false">IF(Y1477&lt;&gt;"",Y1477,X1477)</f>
        <v/>
      </c>
      <c r="BU1477" s="55" t="str">
        <f aca="false">IF(BT1477=1,"L1",IF(OR(BT1477=2,BT1477=3),"L23",IF(BT1477="Aussen","Aussen","-")))</f>
        <v>-</v>
      </c>
      <c r="BV1477" s="66" t="n">
        <f aca="false">IF(N(Z1477)&gt;0,Z1477,0)</f>
        <v>0</v>
      </c>
      <c r="BW1477" s="60" t="n">
        <f aca="false">IF(ISNUMBER(AC1477),1,0)</f>
        <v>0</v>
      </c>
      <c r="BX1477" s="57" t="n">
        <f aca="false">N(AC1477)</f>
        <v>0</v>
      </c>
      <c r="BY1477" s="57" t="n">
        <f aca="false">N(L1477)+N(M1477)</f>
        <v>0</v>
      </c>
      <c r="BZ1477" s="57" t="n">
        <f aca="false">ROUNDUP(G1477/BQ1477,0)</f>
        <v>0</v>
      </c>
      <c r="CA1477" s="57" t="n">
        <f aca="false">ROUNDUP(BX1477/BQ1477,0)</f>
        <v>0</v>
      </c>
      <c r="CB1477" s="60" t="n">
        <f aca="false">IF(BR1477=1,0,IFERROR(VLOOKUP(BP1477,'Gebinde-Kategorie'!$A$5:$M$45,5,0)+0,0))</f>
        <v>0</v>
      </c>
      <c r="CC1477" s="60" t="n">
        <f aca="false">IFERROR(IF(OR(BT1477=1,BT1477=2,BT1477=3),N(INDEX(Parameter!$I$5:$I$7,BT1477)),0),0)</f>
        <v>0</v>
      </c>
      <c r="CD1477" s="59" t="n">
        <f aca="false">IF(AND(Parameter!$B$21="Ja",ISNUMBER(U1477),N(V1477)&gt;0),IFERROR(N(INDEX(Parameter!$L$5:$L$7,U1477))*INDEX(Parameter!$E$5:$E$7,U1477)*V1477/SUMIFS($V$7:$V$1576,$U$7:$U$1576,U1477),0),0)</f>
        <v>0</v>
      </c>
    </row>
    <row r="1478" customFormat="false" ht="15" hidden="false" customHeight="false" outlineLevel="0" collapsed="false">
      <c r="A1478" s="55" t="str">
        <f aca="false">IF('Neue Artikel'!$A$6="","",'Neue Artikel'!$A$6&amp;"")</f>
        <v/>
      </c>
      <c r="B1478" s="55" t="str">
        <f aca="false">'Neue Artikel'!$B$6&amp;""</f>
        <v/>
      </c>
      <c r="C1478" s="55"/>
      <c r="D1478" s="55" t="s">
        <v>2561</v>
      </c>
      <c r="E1478" s="55"/>
      <c r="F1478" s="56" t="n">
        <f aca="false">N('Neue Artikel'!$G$6)</f>
        <v>0</v>
      </c>
      <c r="G1478" s="57" t="n">
        <f aca="false">MAX(0,IF(AND(Parameter!$B$21="Ja",ISNUMBER(W1478)),W1478,IF(Parameter!$B$20="Jahresanfang 2025 + Export",BJ1478+BI1478,BI1478)))</f>
        <v>0</v>
      </c>
      <c r="H1478" s="57" t="n">
        <f aca="false">G1478*F1478</f>
        <v>0</v>
      </c>
      <c r="I1478" s="57" t="n">
        <f aca="false">BL1478*Parameter!$B$18</f>
        <v>0</v>
      </c>
      <c r="J1478" s="58"/>
      <c r="K1478" s="59"/>
      <c r="L1478" s="57" t="n">
        <f aca="false">N('Neue Artikel'!$E$6)</f>
        <v>0</v>
      </c>
      <c r="M1478" s="57" t="n">
        <f aca="false">N('Neue Artikel'!$F$6)</f>
        <v>0</v>
      </c>
      <c r="N1478" s="60"/>
      <c r="O1478" s="55" t="str">
        <f aca="false">IF('Neue Artikel'!$H$6="","LOSE",UPPER(TRIM('Neue Artikel'!$H$6)))</f>
        <v>LOSE</v>
      </c>
      <c r="P1478" s="57" t="n">
        <f aca="false">N('Neue Artikel'!$I$6)</f>
        <v>0</v>
      </c>
      <c r="Q1478" s="60" t="n">
        <f aca="false">IF(BR1478=1,0,IFERROR(VLOOKUP(BP1478,'Gebinde-Kategorie'!$A$5:$M$45,13,0)+0,0))</f>
        <v>0</v>
      </c>
      <c r="R1478" s="61"/>
      <c r="S1478" s="62"/>
      <c r="T1478" s="62"/>
      <c r="U1478" s="55"/>
      <c r="V1478" s="57"/>
      <c r="W1478" s="57"/>
      <c r="X1478" s="55" t="str">
        <f aca="false">IF(A1478="","",IF(AND(Parameter!$B$21="Ja",ISNUMBER(U1478)),U1478,IF(IFERROR(VLOOKUP(D1478,Parameter!$A$35:$C$64,2,0),"Nein")="2+3",IF(ISNUMBER(SEARCH("grosser Artikel",BM1478)),2,IFERROR(VLOOKUP(BP1478,Parameter!$F$35:$G$64,2,0),2)),IF(OR(IFERROR(VLOOKUP(D1478,Parameter!$A$35:$C$64,2,0),"Nein")="Nein",IFERROR(VLOOKUP(D1478,Parameter!$A$35:$C$64,2,0),"Nein")=""),"-",VLOOKUP(D1478,Parameter!$A$35:$C$64,2,0)))))</f>
        <v/>
      </c>
      <c r="Y1478" s="55" t="str">
        <f aca="false">IF('Neue Artikel'!$J$6="","",'Neue Artikel'!$J$6)</f>
        <v/>
      </c>
      <c r="Z1478" s="63"/>
      <c r="AA1478" s="57" t="n">
        <f aca="false">AP1478</f>
        <v>0</v>
      </c>
      <c r="AB1478" s="57" t="n">
        <f aca="false">MAX(AP1478,G1478)</f>
        <v>0</v>
      </c>
      <c r="AC1478" s="64"/>
      <c r="AD1478" s="57" t="n">
        <f aca="false">IF(LEFT(Cockpit!$C$5,1)="A",G1478,IF(BW1478=1,BX1478,IF(LEFT(Cockpit!$C$5,1)="B",AH1478,MAX(AH1478,G1478))))</f>
        <v>0</v>
      </c>
      <c r="AE1478" s="57" t="n">
        <f aca="false">IF(BR1478=1,0,ROUNDUP(AD1478/BQ1478,0))</f>
        <v>0</v>
      </c>
      <c r="AF1478" s="59" t="n">
        <f aca="false">IF(CD1478&gt;0,CD1478*MAX(1,AD1478/V1478),IF(BR1478=1,IF(AD1478&lt;=0,0,BS1478*MAX(1,IF(G1478&gt;0,AD1478/G1478,1))),IF(Q1478&gt;0,AE1478/Q1478,0))/MAX(0.1,N(Parameter!$M$21)))</f>
        <v>0</v>
      </c>
      <c r="AG1478" s="57" t="n">
        <f aca="false">AD1478*F1478</f>
        <v>0</v>
      </c>
      <c r="AH1478" s="57" t="n">
        <f aca="false">ROUNDUP(MAX(I1478/IF(BV1478&gt;0,BV1478,MAX(0.1,N(Cockpit!$C$6))),BY1478)/BQ1478,0)*BQ1478</f>
        <v>0</v>
      </c>
      <c r="AI1478" s="58" t="n">
        <f aca="false">IF(AF1478&gt;0,I1478/AF1478,-1)</f>
        <v>-1</v>
      </c>
      <c r="AJ1478" s="58" t="str">
        <f aca="false">IF(AND(OR(BU1478="L1",BU1478="L23"),AF1478&gt;0),SUMIFS($AF$7:$AF$1576,$BU$7:$BU$1576,BU1478,$AI$7:$AI$1576,"&gt;"&amp;AI1478)+SUMIFS($AF$7:$AF$1576,$BU$7:$BU$1576,BU1478,$AI$7:$AI$1576,AI1478,$BO$7:$BO$1576,"&lt;="&amp;BO1478),"")</f>
        <v/>
      </c>
      <c r="AK1478" s="65" t="n">
        <f aca="false">IF(AJ1478="",0,MAX(0,MIN(1,(IF(BU1478="L1",Parameter!$E$5,Parameter!$E$6+Parameter!$E$7)-(AJ1478-AF1478))/AF1478)))</f>
        <v>0</v>
      </c>
      <c r="AL1478" s="57" t="n">
        <f aca="false">IF(LEFT(Cockpit!$I$5,1)="A",G1478,IF(BW1478=1,BX1478,IF(LEFT(Cockpit!$I$5,1)="B",AP1478,MAX(AP1478,G1478))))</f>
        <v>0</v>
      </c>
      <c r="AM1478" s="57" t="n">
        <f aca="false">IF(BR1478=1,0,ROUNDUP(AL1478/BQ1478,0))</f>
        <v>0</v>
      </c>
      <c r="AN1478" s="59" t="n">
        <f aca="false">IF(CD1478&gt;0,CD1478*MAX(1,AL1478/V1478),IF(BR1478=1,IF(AL1478&lt;=0,0,BS1478*MAX(1,IF(G1478&gt;0,AL1478/G1478,1))),IF(Q1478&gt;0,AM1478/Q1478,0))/MAX(0.1,N(Parameter!$M$21)))</f>
        <v>0</v>
      </c>
      <c r="AO1478" s="57" t="n">
        <f aca="false">AL1478*F1478</f>
        <v>0</v>
      </c>
      <c r="AP1478" s="57" t="n">
        <f aca="false">ROUNDUP(MAX(I1478/IF(BV1478&gt;0,BV1478,MAX(0.1,N(Cockpit!$I$6))),BY1478)/BQ1478,0)*BQ1478</f>
        <v>0</v>
      </c>
      <c r="AQ1478" s="58" t="n">
        <f aca="false">IF(AN1478&gt;0,I1478/AN1478,-1)</f>
        <v>-1</v>
      </c>
      <c r="AR1478" s="58" t="str">
        <f aca="false">IF(AND(OR(BU1478="L1",BU1478="L23"),AN1478&gt;0),SUMIFS($AN$7:$AN$1576,$BU$7:$BU$1576,BU1478,$AQ$7:$AQ$1576,"&gt;"&amp;AQ1478)+SUMIFS($AN$7:$AN$1576,$BU$7:$BU$1576,BU1478,$AQ$7:$AQ$1576,AQ1478,$BO$7:$BO$1576,"&lt;="&amp;BO1478),"")</f>
        <v/>
      </c>
      <c r="AS1478" s="65" t="n">
        <f aca="false">IF(AR1478="",0,MAX(0,MIN(1,(IF(BU1478="L1",Parameter!$E$5,Parameter!$E$6+Parameter!$E$7)-(AR1478-AN1478))/AN1478)))</f>
        <v>0</v>
      </c>
      <c r="AT1478" s="57" t="n">
        <f aca="false">IF(LEFT(Cockpit!$O$5,1)="A",G1478,IF(BW1478=1,BX1478,IF(LEFT(Cockpit!$O$5,1)="B",AX1478,MAX(AX1478,G1478))))</f>
        <v>0</v>
      </c>
      <c r="AU1478" s="57" t="n">
        <f aca="false">IF(BR1478=1,0,ROUNDUP(AT1478/BQ1478,0))</f>
        <v>0</v>
      </c>
      <c r="AV1478" s="59" t="n">
        <f aca="false">IF(CD1478&gt;0,CD1478*MAX(1,AT1478/V1478),IF(BR1478=1,IF(AT1478&lt;=0,0,BS1478*MAX(1,IF(G1478&gt;0,AT1478/G1478,1))),IF(Q1478&gt;0,AU1478/Q1478,0))/MAX(0.1,N(Parameter!$M$21)))</f>
        <v>0</v>
      </c>
      <c r="AW1478" s="57" t="n">
        <f aca="false">AT1478*F1478</f>
        <v>0</v>
      </c>
      <c r="AX1478" s="57" t="n">
        <f aca="false">ROUNDUP(MAX(I1478/IF(BV1478&gt;0,BV1478,MAX(0.1,N(Cockpit!$O$6))),BY1478)/BQ1478,0)*BQ1478</f>
        <v>0</v>
      </c>
      <c r="AY1478" s="58" t="n">
        <f aca="false">IF(AV1478&gt;0,I1478/AV1478,-1)</f>
        <v>-1</v>
      </c>
      <c r="AZ1478" s="58" t="str">
        <f aca="false">IF(AND(OR(BU1478="L1",BU1478="L23"),AV1478&gt;0),SUMIFS($AV$7:$AV$1576,$BU$7:$BU$1576,BU1478,$AY$7:$AY$1576,"&gt;"&amp;AY1478)+SUMIFS($AV$7:$AV$1576,$BU$7:$BU$1576,BU1478,$AY$7:$AY$1576,AY1478,$BO$7:$BO$1576,"&lt;="&amp;BO1478),"")</f>
        <v/>
      </c>
      <c r="BA1478" s="65" t="n">
        <f aca="false">IF(AZ1478="",0,MAX(0,MIN(1,(IF(BU1478="L1",Parameter!$E$5,Parameter!$E$6+Parameter!$E$7)-(AZ1478-AV1478))/AV1478)))</f>
        <v>0</v>
      </c>
      <c r="BB1478" s="55" t="str">
        <f aca="false">IF(AF1478&lt;=0,"",IF(BU1478="Aussen","Aussenlager",IF(BU1478="-","Nicht im Lift",IF(AK1478&gt;=1,"Lift",IF(AK1478&lt;=0,"Aussenlager","teilweise")))))</f>
        <v/>
      </c>
      <c r="BC1478" s="55" t="str">
        <f aca="false">IF(AN1478&lt;=0,"",IF(BU1478="Aussen","Aussenlager",IF(BU1478="-","Nicht im Lift",IF(AS1478&gt;=1,"Lift",IF(AS1478&lt;=0,"Aussenlager","teilweise")))))</f>
        <v/>
      </c>
      <c r="BD1478" s="55" t="str">
        <f aca="false">IF(AV1478&lt;=0,"",IF(BU1478="Aussen","Aussenlager",IF(BU1478="-","Nicht im Lift",IF(BA1478&gt;=1,"Lift",IF(BA1478&lt;=0,"Aussenlager","teilweise")))))</f>
        <v/>
      </c>
      <c r="BE1478" s="55" t="str">
        <f aca="false">IF(A1478="","",IF(BN1478=1,"Neu; ","")&amp;IF(AND(BN1478=0,BI1478&lt;0),"negativer Bestand (Export "&amp;BI1478&amp;"); ","")&amp;IF(I1478&lt;=0,"Kein Verbrauch; ","")&amp;IF(CD1478&gt;0,"Lift "&amp;U1478&amp;" lt. Liftbericht (Fach "&amp;V1478&amp;" Stk); ",IF(BR1478=1,"Lose – Fläche geschätzt; ",""))&amp;IF(G1478&gt;AP1478,"Überbestand "&amp;ROUND(G1478-AP1478,0)&amp;" Stk / CHF "&amp;ROUND((G1478-AP1478)*F1478,0)&amp;"; ","")&amp;IF(AND(BW1478=1,BX1478&lt;BY1478),"MAX &lt; MB+LG; ","")&amp;IF(AND(CC1478&gt;0,CB1478*10&gt;CC1478),"zu hoch für Tablar; ","")&amp;IF(AND(BN1478=0,OR(BW1478=1,Y1478&lt;&gt;"",S1478&lt;&gt;"",T1478&lt;&gt;"",Z1478&lt;&gt;"")),"manuell übersteuert; ","")&amp;IF(AND(BR1478=0,Q1478=0),"Gebinde unbekannt / Stellmass fehlt; ","")&amp;IF(AND(BR1478=0,N(T1478)&lt;=0,N(P1478)&lt;=0),"Menge pro Gebinde fehlt (Ist = 1 Gebinde); ","")&amp;BM1478)</f>
        <v/>
      </c>
      <c r="BF1478" s="55"/>
      <c r="BG1478" s="55"/>
      <c r="BH1478" s="62"/>
      <c r="BI1478" s="57" t="n">
        <f aca="false">N('Neue Artikel'!$D$6)</f>
        <v>0</v>
      </c>
      <c r="BJ1478" s="57" t="n">
        <v>0</v>
      </c>
      <c r="BK1478" s="56" t="n">
        <v>0</v>
      </c>
      <c r="BL1478" s="57" t="n">
        <f aca="false">N('Neue Artikel'!$C$6)/Parameter!$B$18</f>
        <v>0</v>
      </c>
      <c r="BM1478" s="55"/>
      <c r="BN1478" s="60" t="n">
        <v>1</v>
      </c>
      <c r="BO1478" s="60" t="n">
        <v>1478</v>
      </c>
      <c r="BP1478" s="55" t="str">
        <f aca="false">IF(S1478&lt;&gt;"",UPPER(TRIM(S1478)),IF(O1478="","LOSE",O1478))</f>
        <v>LOSE</v>
      </c>
      <c r="BQ1478" s="57" t="n">
        <f aca="false">IF(BP1478="LOSE",1,IF(N(T1478)&gt;0,T1478,IF(N(P1478)&gt;0,P1478,MAX(1,G1478))))</f>
        <v>1</v>
      </c>
      <c r="BR1478" s="60" t="n">
        <f aca="false">IF(BP1478="LOSE",1,0)</f>
        <v>1</v>
      </c>
      <c r="BS1478" s="59" t="n">
        <f aca="false">IF(BR1478=0,0,IF(N(R1478)&gt;0,R1478,IFERROR(VLOOKUP(D1478,Parameter!$A$35:$C$64,3,0)+0,0)))</f>
        <v>0.15</v>
      </c>
      <c r="BT1478" s="55" t="str">
        <f aca="false">IF(Y1478&lt;&gt;"",Y1478,X1478)</f>
        <v/>
      </c>
      <c r="BU1478" s="55" t="str">
        <f aca="false">IF(BT1478=1,"L1",IF(OR(BT1478=2,BT1478=3),"L23",IF(BT1478="Aussen","Aussen","-")))</f>
        <v>-</v>
      </c>
      <c r="BV1478" s="66" t="n">
        <f aca="false">IF(N(Z1478)&gt;0,Z1478,0)</f>
        <v>0</v>
      </c>
      <c r="BW1478" s="60" t="n">
        <f aca="false">IF(ISNUMBER(AC1478),1,0)</f>
        <v>0</v>
      </c>
      <c r="BX1478" s="57" t="n">
        <f aca="false">N(AC1478)</f>
        <v>0</v>
      </c>
      <c r="BY1478" s="57" t="n">
        <f aca="false">N(L1478)+N(M1478)</f>
        <v>0</v>
      </c>
      <c r="BZ1478" s="57" t="n">
        <f aca="false">ROUNDUP(G1478/BQ1478,0)</f>
        <v>0</v>
      </c>
      <c r="CA1478" s="57" t="n">
        <f aca="false">ROUNDUP(BX1478/BQ1478,0)</f>
        <v>0</v>
      </c>
      <c r="CB1478" s="60" t="n">
        <f aca="false">IF(BR1478=1,0,IFERROR(VLOOKUP(BP1478,'Gebinde-Kategorie'!$A$5:$M$45,5,0)+0,0))</f>
        <v>0</v>
      </c>
      <c r="CC1478" s="60" t="n">
        <f aca="false">IFERROR(IF(OR(BT1478=1,BT1478=2,BT1478=3),N(INDEX(Parameter!$I$5:$I$7,BT1478)),0),0)</f>
        <v>0</v>
      </c>
      <c r="CD1478" s="59" t="n">
        <f aca="false">IF(AND(Parameter!$B$21="Ja",ISNUMBER(U1478),N(V1478)&gt;0),IFERROR(N(INDEX(Parameter!$L$5:$L$7,U1478))*INDEX(Parameter!$E$5:$E$7,U1478)*V1478/SUMIFS($V$7:$V$1576,$U$7:$U$1576,U1478),0),0)</f>
        <v>0</v>
      </c>
    </row>
    <row r="1479" customFormat="false" ht="15" hidden="false" customHeight="false" outlineLevel="0" collapsed="false">
      <c r="A1479" s="55" t="str">
        <f aca="false">IF('Neue Artikel'!$A$7="","",'Neue Artikel'!$A$7&amp;"")</f>
        <v/>
      </c>
      <c r="B1479" s="55" t="str">
        <f aca="false">'Neue Artikel'!$B$7&amp;""</f>
        <v/>
      </c>
      <c r="C1479" s="55"/>
      <c r="D1479" s="55" t="s">
        <v>2561</v>
      </c>
      <c r="E1479" s="55"/>
      <c r="F1479" s="56" t="n">
        <f aca="false">N('Neue Artikel'!$G$7)</f>
        <v>0</v>
      </c>
      <c r="G1479" s="57" t="n">
        <f aca="false">MAX(0,IF(AND(Parameter!$B$21="Ja",ISNUMBER(W1479)),W1479,IF(Parameter!$B$20="Jahresanfang 2025 + Export",BJ1479+BI1479,BI1479)))</f>
        <v>0</v>
      </c>
      <c r="H1479" s="57" t="n">
        <f aca="false">G1479*F1479</f>
        <v>0</v>
      </c>
      <c r="I1479" s="57" t="n">
        <f aca="false">BL1479*Parameter!$B$18</f>
        <v>0</v>
      </c>
      <c r="J1479" s="58"/>
      <c r="K1479" s="59"/>
      <c r="L1479" s="57" t="n">
        <f aca="false">N('Neue Artikel'!$E$7)</f>
        <v>0</v>
      </c>
      <c r="M1479" s="57" t="n">
        <f aca="false">N('Neue Artikel'!$F$7)</f>
        <v>0</v>
      </c>
      <c r="N1479" s="60"/>
      <c r="O1479" s="55" t="str">
        <f aca="false">IF('Neue Artikel'!$H$7="","LOSE",UPPER(TRIM('Neue Artikel'!$H$7)))</f>
        <v>LOSE</v>
      </c>
      <c r="P1479" s="57" t="n">
        <f aca="false">N('Neue Artikel'!$I$7)</f>
        <v>0</v>
      </c>
      <c r="Q1479" s="60" t="n">
        <f aca="false">IF(BR1479=1,0,IFERROR(VLOOKUP(BP1479,'Gebinde-Kategorie'!$A$5:$M$45,13,0)+0,0))</f>
        <v>0</v>
      </c>
      <c r="R1479" s="61"/>
      <c r="S1479" s="62"/>
      <c r="T1479" s="62"/>
      <c r="U1479" s="55"/>
      <c r="V1479" s="57"/>
      <c r="W1479" s="57"/>
      <c r="X1479" s="55" t="str">
        <f aca="false">IF(A1479="","",IF(AND(Parameter!$B$21="Ja",ISNUMBER(U1479)),U1479,IF(IFERROR(VLOOKUP(D1479,Parameter!$A$35:$C$64,2,0),"Nein")="2+3",IF(ISNUMBER(SEARCH("grosser Artikel",BM1479)),2,IFERROR(VLOOKUP(BP1479,Parameter!$F$35:$G$64,2,0),2)),IF(OR(IFERROR(VLOOKUP(D1479,Parameter!$A$35:$C$64,2,0),"Nein")="Nein",IFERROR(VLOOKUP(D1479,Parameter!$A$35:$C$64,2,0),"Nein")=""),"-",VLOOKUP(D1479,Parameter!$A$35:$C$64,2,0)))))</f>
        <v/>
      </c>
      <c r="Y1479" s="55" t="str">
        <f aca="false">IF('Neue Artikel'!$J$7="","",'Neue Artikel'!$J$7)</f>
        <v/>
      </c>
      <c r="Z1479" s="63"/>
      <c r="AA1479" s="57" t="n">
        <f aca="false">AP1479</f>
        <v>0</v>
      </c>
      <c r="AB1479" s="57" t="n">
        <f aca="false">MAX(AP1479,G1479)</f>
        <v>0</v>
      </c>
      <c r="AC1479" s="64"/>
      <c r="AD1479" s="57" t="n">
        <f aca="false">IF(LEFT(Cockpit!$C$5,1)="A",G1479,IF(BW1479=1,BX1479,IF(LEFT(Cockpit!$C$5,1)="B",AH1479,MAX(AH1479,G1479))))</f>
        <v>0</v>
      </c>
      <c r="AE1479" s="57" t="n">
        <f aca="false">IF(BR1479=1,0,ROUNDUP(AD1479/BQ1479,0))</f>
        <v>0</v>
      </c>
      <c r="AF1479" s="59" t="n">
        <f aca="false">IF(CD1479&gt;0,CD1479*MAX(1,AD1479/V1479),IF(BR1479=1,IF(AD1479&lt;=0,0,BS1479*MAX(1,IF(G1479&gt;0,AD1479/G1479,1))),IF(Q1479&gt;0,AE1479/Q1479,0))/MAX(0.1,N(Parameter!$M$21)))</f>
        <v>0</v>
      </c>
      <c r="AG1479" s="57" t="n">
        <f aca="false">AD1479*F1479</f>
        <v>0</v>
      </c>
      <c r="AH1479" s="57" t="n">
        <f aca="false">ROUNDUP(MAX(I1479/IF(BV1479&gt;0,BV1479,MAX(0.1,N(Cockpit!$C$6))),BY1479)/BQ1479,0)*BQ1479</f>
        <v>0</v>
      </c>
      <c r="AI1479" s="58" t="n">
        <f aca="false">IF(AF1479&gt;0,I1479/AF1479,-1)</f>
        <v>-1</v>
      </c>
      <c r="AJ1479" s="58" t="str">
        <f aca="false">IF(AND(OR(BU1479="L1",BU1479="L23"),AF1479&gt;0),SUMIFS($AF$7:$AF$1576,$BU$7:$BU$1576,BU1479,$AI$7:$AI$1576,"&gt;"&amp;AI1479)+SUMIFS($AF$7:$AF$1576,$BU$7:$BU$1576,BU1479,$AI$7:$AI$1576,AI1479,$BO$7:$BO$1576,"&lt;="&amp;BO1479),"")</f>
        <v/>
      </c>
      <c r="AK1479" s="65" t="n">
        <f aca="false">IF(AJ1479="",0,MAX(0,MIN(1,(IF(BU1479="L1",Parameter!$E$5,Parameter!$E$6+Parameter!$E$7)-(AJ1479-AF1479))/AF1479)))</f>
        <v>0</v>
      </c>
      <c r="AL1479" s="57" t="n">
        <f aca="false">IF(LEFT(Cockpit!$I$5,1)="A",G1479,IF(BW1479=1,BX1479,IF(LEFT(Cockpit!$I$5,1)="B",AP1479,MAX(AP1479,G1479))))</f>
        <v>0</v>
      </c>
      <c r="AM1479" s="57" t="n">
        <f aca="false">IF(BR1479=1,0,ROUNDUP(AL1479/BQ1479,0))</f>
        <v>0</v>
      </c>
      <c r="AN1479" s="59" t="n">
        <f aca="false">IF(CD1479&gt;0,CD1479*MAX(1,AL1479/V1479),IF(BR1479=1,IF(AL1479&lt;=0,0,BS1479*MAX(1,IF(G1479&gt;0,AL1479/G1479,1))),IF(Q1479&gt;0,AM1479/Q1479,0))/MAX(0.1,N(Parameter!$M$21)))</f>
        <v>0</v>
      </c>
      <c r="AO1479" s="57" t="n">
        <f aca="false">AL1479*F1479</f>
        <v>0</v>
      </c>
      <c r="AP1479" s="57" t="n">
        <f aca="false">ROUNDUP(MAX(I1479/IF(BV1479&gt;0,BV1479,MAX(0.1,N(Cockpit!$I$6))),BY1479)/BQ1479,0)*BQ1479</f>
        <v>0</v>
      </c>
      <c r="AQ1479" s="58" t="n">
        <f aca="false">IF(AN1479&gt;0,I1479/AN1479,-1)</f>
        <v>-1</v>
      </c>
      <c r="AR1479" s="58" t="str">
        <f aca="false">IF(AND(OR(BU1479="L1",BU1479="L23"),AN1479&gt;0),SUMIFS($AN$7:$AN$1576,$BU$7:$BU$1576,BU1479,$AQ$7:$AQ$1576,"&gt;"&amp;AQ1479)+SUMIFS($AN$7:$AN$1576,$BU$7:$BU$1576,BU1479,$AQ$7:$AQ$1576,AQ1479,$BO$7:$BO$1576,"&lt;="&amp;BO1479),"")</f>
        <v/>
      </c>
      <c r="AS1479" s="65" t="n">
        <f aca="false">IF(AR1479="",0,MAX(0,MIN(1,(IF(BU1479="L1",Parameter!$E$5,Parameter!$E$6+Parameter!$E$7)-(AR1479-AN1479))/AN1479)))</f>
        <v>0</v>
      </c>
      <c r="AT1479" s="57" t="n">
        <f aca="false">IF(LEFT(Cockpit!$O$5,1)="A",G1479,IF(BW1479=1,BX1479,IF(LEFT(Cockpit!$O$5,1)="B",AX1479,MAX(AX1479,G1479))))</f>
        <v>0</v>
      </c>
      <c r="AU1479" s="57" t="n">
        <f aca="false">IF(BR1479=1,0,ROUNDUP(AT1479/BQ1479,0))</f>
        <v>0</v>
      </c>
      <c r="AV1479" s="59" t="n">
        <f aca="false">IF(CD1479&gt;0,CD1479*MAX(1,AT1479/V1479),IF(BR1479=1,IF(AT1479&lt;=0,0,BS1479*MAX(1,IF(G1479&gt;0,AT1479/G1479,1))),IF(Q1479&gt;0,AU1479/Q1479,0))/MAX(0.1,N(Parameter!$M$21)))</f>
        <v>0</v>
      </c>
      <c r="AW1479" s="57" t="n">
        <f aca="false">AT1479*F1479</f>
        <v>0</v>
      </c>
      <c r="AX1479" s="57" t="n">
        <f aca="false">ROUNDUP(MAX(I1479/IF(BV1479&gt;0,BV1479,MAX(0.1,N(Cockpit!$O$6))),BY1479)/BQ1479,0)*BQ1479</f>
        <v>0</v>
      </c>
      <c r="AY1479" s="58" t="n">
        <f aca="false">IF(AV1479&gt;0,I1479/AV1479,-1)</f>
        <v>-1</v>
      </c>
      <c r="AZ1479" s="58" t="str">
        <f aca="false">IF(AND(OR(BU1479="L1",BU1479="L23"),AV1479&gt;0),SUMIFS($AV$7:$AV$1576,$BU$7:$BU$1576,BU1479,$AY$7:$AY$1576,"&gt;"&amp;AY1479)+SUMIFS($AV$7:$AV$1576,$BU$7:$BU$1576,BU1479,$AY$7:$AY$1576,AY1479,$BO$7:$BO$1576,"&lt;="&amp;BO1479),"")</f>
        <v/>
      </c>
      <c r="BA1479" s="65" t="n">
        <f aca="false">IF(AZ1479="",0,MAX(0,MIN(1,(IF(BU1479="L1",Parameter!$E$5,Parameter!$E$6+Parameter!$E$7)-(AZ1479-AV1479))/AV1479)))</f>
        <v>0</v>
      </c>
      <c r="BB1479" s="55" t="str">
        <f aca="false">IF(AF1479&lt;=0,"",IF(BU1479="Aussen","Aussenlager",IF(BU1479="-","Nicht im Lift",IF(AK1479&gt;=1,"Lift",IF(AK1479&lt;=0,"Aussenlager","teilweise")))))</f>
        <v/>
      </c>
      <c r="BC1479" s="55" t="str">
        <f aca="false">IF(AN1479&lt;=0,"",IF(BU1479="Aussen","Aussenlager",IF(BU1479="-","Nicht im Lift",IF(AS1479&gt;=1,"Lift",IF(AS1479&lt;=0,"Aussenlager","teilweise")))))</f>
        <v/>
      </c>
      <c r="BD1479" s="55" t="str">
        <f aca="false">IF(AV1479&lt;=0,"",IF(BU1479="Aussen","Aussenlager",IF(BU1479="-","Nicht im Lift",IF(BA1479&gt;=1,"Lift",IF(BA1479&lt;=0,"Aussenlager","teilweise")))))</f>
        <v/>
      </c>
      <c r="BE1479" s="55" t="str">
        <f aca="false">IF(A1479="","",IF(BN1479=1,"Neu; ","")&amp;IF(AND(BN1479=0,BI1479&lt;0),"negativer Bestand (Export "&amp;BI1479&amp;"); ","")&amp;IF(I1479&lt;=0,"Kein Verbrauch; ","")&amp;IF(CD1479&gt;0,"Lift "&amp;U1479&amp;" lt. Liftbericht (Fach "&amp;V1479&amp;" Stk); ",IF(BR1479=1,"Lose – Fläche geschätzt; ",""))&amp;IF(G1479&gt;AP1479,"Überbestand "&amp;ROUND(G1479-AP1479,0)&amp;" Stk / CHF "&amp;ROUND((G1479-AP1479)*F1479,0)&amp;"; ","")&amp;IF(AND(BW1479=1,BX1479&lt;BY1479),"MAX &lt; MB+LG; ","")&amp;IF(AND(CC1479&gt;0,CB1479*10&gt;CC1479),"zu hoch für Tablar; ","")&amp;IF(AND(BN1479=0,OR(BW1479=1,Y1479&lt;&gt;"",S1479&lt;&gt;"",T1479&lt;&gt;"",Z1479&lt;&gt;"")),"manuell übersteuert; ","")&amp;IF(AND(BR1479=0,Q1479=0),"Gebinde unbekannt / Stellmass fehlt; ","")&amp;IF(AND(BR1479=0,N(T1479)&lt;=0,N(P1479)&lt;=0),"Menge pro Gebinde fehlt (Ist = 1 Gebinde); ","")&amp;BM1479)</f>
        <v/>
      </c>
      <c r="BF1479" s="55"/>
      <c r="BG1479" s="55"/>
      <c r="BH1479" s="62"/>
      <c r="BI1479" s="57" t="n">
        <f aca="false">N('Neue Artikel'!$D$7)</f>
        <v>0</v>
      </c>
      <c r="BJ1479" s="57" t="n">
        <v>0</v>
      </c>
      <c r="BK1479" s="56" t="n">
        <v>0</v>
      </c>
      <c r="BL1479" s="57" t="n">
        <f aca="false">N('Neue Artikel'!$C$7)/Parameter!$B$18</f>
        <v>0</v>
      </c>
      <c r="BM1479" s="55"/>
      <c r="BN1479" s="60" t="n">
        <v>1</v>
      </c>
      <c r="BO1479" s="60" t="n">
        <v>1479</v>
      </c>
      <c r="BP1479" s="55" t="str">
        <f aca="false">IF(S1479&lt;&gt;"",UPPER(TRIM(S1479)),IF(O1479="","LOSE",O1479))</f>
        <v>LOSE</v>
      </c>
      <c r="BQ1479" s="57" t="n">
        <f aca="false">IF(BP1479="LOSE",1,IF(N(T1479)&gt;0,T1479,IF(N(P1479)&gt;0,P1479,MAX(1,G1479))))</f>
        <v>1</v>
      </c>
      <c r="BR1479" s="60" t="n">
        <f aca="false">IF(BP1479="LOSE",1,0)</f>
        <v>1</v>
      </c>
      <c r="BS1479" s="59" t="n">
        <f aca="false">IF(BR1479=0,0,IF(N(R1479)&gt;0,R1479,IFERROR(VLOOKUP(D1479,Parameter!$A$35:$C$64,3,0)+0,0)))</f>
        <v>0.15</v>
      </c>
      <c r="BT1479" s="55" t="str">
        <f aca="false">IF(Y1479&lt;&gt;"",Y1479,X1479)</f>
        <v/>
      </c>
      <c r="BU1479" s="55" t="str">
        <f aca="false">IF(BT1479=1,"L1",IF(OR(BT1479=2,BT1479=3),"L23",IF(BT1479="Aussen","Aussen","-")))</f>
        <v>-</v>
      </c>
      <c r="BV1479" s="66" t="n">
        <f aca="false">IF(N(Z1479)&gt;0,Z1479,0)</f>
        <v>0</v>
      </c>
      <c r="BW1479" s="60" t="n">
        <f aca="false">IF(ISNUMBER(AC1479),1,0)</f>
        <v>0</v>
      </c>
      <c r="BX1479" s="57" t="n">
        <f aca="false">N(AC1479)</f>
        <v>0</v>
      </c>
      <c r="BY1479" s="57" t="n">
        <f aca="false">N(L1479)+N(M1479)</f>
        <v>0</v>
      </c>
      <c r="BZ1479" s="57" t="n">
        <f aca="false">ROUNDUP(G1479/BQ1479,0)</f>
        <v>0</v>
      </c>
      <c r="CA1479" s="57" t="n">
        <f aca="false">ROUNDUP(BX1479/BQ1479,0)</f>
        <v>0</v>
      </c>
      <c r="CB1479" s="60" t="n">
        <f aca="false">IF(BR1479=1,0,IFERROR(VLOOKUP(BP1479,'Gebinde-Kategorie'!$A$5:$M$45,5,0)+0,0))</f>
        <v>0</v>
      </c>
      <c r="CC1479" s="60" t="n">
        <f aca="false">IFERROR(IF(OR(BT1479=1,BT1479=2,BT1479=3),N(INDEX(Parameter!$I$5:$I$7,BT1479)),0),0)</f>
        <v>0</v>
      </c>
      <c r="CD1479" s="59" t="n">
        <f aca="false">IF(AND(Parameter!$B$21="Ja",ISNUMBER(U1479),N(V1479)&gt;0),IFERROR(N(INDEX(Parameter!$L$5:$L$7,U1479))*INDEX(Parameter!$E$5:$E$7,U1479)*V1479/SUMIFS($V$7:$V$1576,$U$7:$U$1576,U1479),0),0)</f>
        <v>0</v>
      </c>
    </row>
    <row r="1480" customFormat="false" ht="15" hidden="false" customHeight="false" outlineLevel="0" collapsed="false">
      <c r="A1480" s="55" t="str">
        <f aca="false">IF('Neue Artikel'!$A$8="","",'Neue Artikel'!$A$8&amp;"")</f>
        <v/>
      </c>
      <c r="B1480" s="55" t="str">
        <f aca="false">'Neue Artikel'!$B$8&amp;""</f>
        <v/>
      </c>
      <c r="C1480" s="55"/>
      <c r="D1480" s="55" t="s">
        <v>2561</v>
      </c>
      <c r="E1480" s="55"/>
      <c r="F1480" s="56" t="n">
        <f aca="false">N('Neue Artikel'!$G$8)</f>
        <v>0</v>
      </c>
      <c r="G1480" s="57" t="n">
        <f aca="false">MAX(0,IF(AND(Parameter!$B$21="Ja",ISNUMBER(W1480)),W1480,IF(Parameter!$B$20="Jahresanfang 2025 + Export",BJ1480+BI1480,BI1480)))</f>
        <v>0</v>
      </c>
      <c r="H1480" s="57" t="n">
        <f aca="false">G1480*F1480</f>
        <v>0</v>
      </c>
      <c r="I1480" s="57" t="n">
        <f aca="false">BL1480*Parameter!$B$18</f>
        <v>0</v>
      </c>
      <c r="J1480" s="58"/>
      <c r="K1480" s="59"/>
      <c r="L1480" s="57" t="n">
        <f aca="false">N('Neue Artikel'!$E$8)</f>
        <v>0</v>
      </c>
      <c r="M1480" s="57" t="n">
        <f aca="false">N('Neue Artikel'!$F$8)</f>
        <v>0</v>
      </c>
      <c r="N1480" s="60"/>
      <c r="O1480" s="55" t="str">
        <f aca="false">IF('Neue Artikel'!$H$8="","LOSE",UPPER(TRIM('Neue Artikel'!$H$8)))</f>
        <v>LOSE</v>
      </c>
      <c r="P1480" s="57" t="n">
        <f aca="false">N('Neue Artikel'!$I$8)</f>
        <v>0</v>
      </c>
      <c r="Q1480" s="60" t="n">
        <f aca="false">IF(BR1480=1,0,IFERROR(VLOOKUP(BP1480,'Gebinde-Kategorie'!$A$5:$M$45,13,0)+0,0))</f>
        <v>0</v>
      </c>
      <c r="R1480" s="61"/>
      <c r="S1480" s="62"/>
      <c r="T1480" s="62"/>
      <c r="U1480" s="55"/>
      <c r="V1480" s="57"/>
      <c r="W1480" s="57"/>
      <c r="X1480" s="55" t="str">
        <f aca="false">IF(A1480="","",IF(AND(Parameter!$B$21="Ja",ISNUMBER(U1480)),U1480,IF(IFERROR(VLOOKUP(D1480,Parameter!$A$35:$C$64,2,0),"Nein")="2+3",IF(ISNUMBER(SEARCH("grosser Artikel",BM1480)),2,IFERROR(VLOOKUP(BP1480,Parameter!$F$35:$G$64,2,0),2)),IF(OR(IFERROR(VLOOKUP(D1480,Parameter!$A$35:$C$64,2,0),"Nein")="Nein",IFERROR(VLOOKUP(D1480,Parameter!$A$35:$C$64,2,0),"Nein")=""),"-",VLOOKUP(D1480,Parameter!$A$35:$C$64,2,0)))))</f>
        <v/>
      </c>
      <c r="Y1480" s="55" t="str">
        <f aca="false">IF('Neue Artikel'!$J$8="","",'Neue Artikel'!$J$8)</f>
        <v/>
      </c>
      <c r="Z1480" s="63"/>
      <c r="AA1480" s="57" t="n">
        <f aca="false">AP1480</f>
        <v>0</v>
      </c>
      <c r="AB1480" s="57" t="n">
        <f aca="false">MAX(AP1480,G1480)</f>
        <v>0</v>
      </c>
      <c r="AC1480" s="64"/>
      <c r="AD1480" s="57" t="n">
        <f aca="false">IF(LEFT(Cockpit!$C$5,1)="A",G1480,IF(BW1480=1,BX1480,IF(LEFT(Cockpit!$C$5,1)="B",AH1480,MAX(AH1480,G1480))))</f>
        <v>0</v>
      </c>
      <c r="AE1480" s="57" t="n">
        <f aca="false">IF(BR1480=1,0,ROUNDUP(AD1480/BQ1480,0))</f>
        <v>0</v>
      </c>
      <c r="AF1480" s="59" t="n">
        <f aca="false">IF(CD1480&gt;0,CD1480*MAX(1,AD1480/V1480),IF(BR1480=1,IF(AD1480&lt;=0,0,BS1480*MAX(1,IF(G1480&gt;0,AD1480/G1480,1))),IF(Q1480&gt;0,AE1480/Q1480,0))/MAX(0.1,N(Parameter!$M$21)))</f>
        <v>0</v>
      </c>
      <c r="AG1480" s="57" t="n">
        <f aca="false">AD1480*F1480</f>
        <v>0</v>
      </c>
      <c r="AH1480" s="57" t="n">
        <f aca="false">ROUNDUP(MAX(I1480/IF(BV1480&gt;0,BV1480,MAX(0.1,N(Cockpit!$C$6))),BY1480)/BQ1480,0)*BQ1480</f>
        <v>0</v>
      </c>
      <c r="AI1480" s="58" t="n">
        <f aca="false">IF(AF1480&gt;0,I1480/AF1480,-1)</f>
        <v>-1</v>
      </c>
      <c r="AJ1480" s="58" t="str">
        <f aca="false">IF(AND(OR(BU1480="L1",BU1480="L23"),AF1480&gt;0),SUMIFS($AF$7:$AF$1576,$BU$7:$BU$1576,BU1480,$AI$7:$AI$1576,"&gt;"&amp;AI1480)+SUMIFS($AF$7:$AF$1576,$BU$7:$BU$1576,BU1480,$AI$7:$AI$1576,AI1480,$BO$7:$BO$1576,"&lt;="&amp;BO1480),"")</f>
        <v/>
      </c>
      <c r="AK1480" s="65" t="n">
        <f aca="false">IF(AJ1480="",0,MAX(0,MIN(1,(IF(BU1480="L1",Parameter!$E$5,Parameter!$E$6+Parameter!$E$7)-(AJ1480-AF1480))/AF1480)))</f>
        <v>0</v>
      </c>
      <c r="AL1480" s="57" t="n">
        <f aca="false">IF(LEFT(Cockpit!$I$5,1)="A",G1480,IF(BW1480=1,BX1480,IF(LEFT(Cockpit!$I$5,1)="B",AP1480,MAX(AP1480,G1480))))</f>
        <v>0</v>
      </c>
      <c r="AM1480" s="57" t="n">
        <f aca="false">IF(BR1480=1,0,ROUNDUP(AL1480/BQ1480,0))</f>
        <v>0</v>
      </c>
      <c r="AN1480" s="59" t="n">
        <f aca="false">IF(CD1480&gt;0,CD1480*MAX(1,AL1480/V1480),IF(BR1480=1,IF(AL1480&lt;=0,0,BS1480*MAX(1,IF(G1480&gt;0,AL1480/G1480,1))),IF(Q1480&gt;0,AM1480/Q1480,0))/MAX(0.1,N(Parameter!$M$21)))</f>
        <v>0</v>
      </c>
      <c r="AO1480" s="57" t="n">
        <f aca="false">AL1480*F1480</f>
        <v>0</v>
      </c>
      <c r="AP1480" s="57" t="n">
        <f aca="false">ROUNDUP(MAX(I1480/IF(BV1480&gt;0,BV1480,MAX(0.1,N(Cockpit!$I$6))),BY1480)/BQ1480,0)*BQ1480</f>
        <v>0</v>
      </c>
      <c r="AQ1480" s="58" t="n">
        <f aca="false">IF(AN1480&gt;0,I1480/AN1480,-1)</f>
        <v>-1</v>
      </c>
      <c r="AR1480" s="58" t="str">
        <f aca="false">IF(AND(OR(BU1480="L1",BU1480="L23"),AN1480&gt;0),SUMIFS($AN$7:$AN$1576,$BU$7:$BU$1576,BU1480,$AQ$7:$AQ$1576,"&gt;"&amp;AQ1480)+SUMIFS($AN$7:$AN$1576,$BU$7:$BU$1576,BU1480,$AQ$7:$AQ$1576,AQ1480,$BO$7:$BO$1576,"&lt;="&amp;BO1480),"")</f>
        <v/>
      </c>
      <c r="AS1480" s="65" t="n">
        <f aca="false">IF(AR1480="",0,MAX(0,MIN(1,(IF(BU1480="L1",Parameter!$E$5,Parameter!$E$6+Parameter!$E$7)-(AR1480-AN1480))/AN1480)))</f>
        <v>0</v>
      </c>
      <c r="AT1480" s="57" t="n">
        <f aca="false">IF(LEFT(Cockpit!$O$5,1)="A",G1480,IF(BW1480=1,BX1480,IF(LEFT(Cockpit!$O$5,1)="B",AX1480,MAX(AX1480,G1480))))</f>
        <v>0</v>
      </c>
      <c r="AU1480" s="57" t="n">
        <f aca="false">IF(BR1480=1,0,ROUNDUP(AT1480/BQ1480,0))</f>
        <v>0</v>
      </c>
      <c r="AV1480" s="59" t="n">
        <f aca="false">IF(CD1480&gt;0,CD1480*MAX(1,AT1480/V1480),IF(BR1480=1,IF(AT1480&lt;=0,0,BS1480*MAX(1,IF(G1480&gt;0,AT1480/G1480,1))),IF(Q1480&gt;0,AU1480/Q1480,0))/MAX(0.1,N(Parameter!$M$21)))</f>
        <v>0</v>
      </c>
      <c r="AW1480" s="57" t="n">
        <f aca="false">AT1480*F1480</f>
        <v>0</v>
      </c>
      <c r="AX1480" s="57" t="n">
        <f aca="false">ROUNDUP(MAX(I1480/IF(BV1480&gt;0,BV1480,MAX(0.1,N(Cockpit!$O$6))),BY1480)/BQ1480,0)*BQ1480</f>
        <v>0</v>
      </c>
      <c r="AY1480" s="58" t="n">
        <f aca="false">IF(AV1480&gt;0,I1480/AV1480,-1)</f>
        <v>-1</v>
      </c>
      <c r="AZ1480" s="58" t="str">
        <f aca="false">IF(AND(OR(BU1480="L1",BU1480="L23"),AV1480&gt;0),SUMIFS($AV$7:$AV$1576,$BU$7:$BU$1576,BU1480,$AY$7:$AY$1576,"&gt;"&amp;AY1480)+SUMIFS($AV$7:$AV$1576,$BU$7:$BU$1576,BU1480,$AY$7:$AY$1576,AY1480,$BO$7:$BO$1576,"&lt;="&amp;BO1480),"")</f>
        <v/>
      </c>
      <c r="BA1480" s="65" t="n">
        <f aca="false">IF(AZ1480="",0,MAX(0,MIN(1,(IF(BU1480="L1",Parameter!$E$5,Parameter!$E$6+Parameter!$E$7)-(AZ1480-AV1480))/AV1480)))</f>
        <v>0</v>
      </c>
      <c r="BB1480" s="55" t="str">
        <f aca="false">IF(AF1480&lt;=0,"",IF(BU1480="Aussen","Aussenlager",IF(BU1480="-","Nicht im Lift",IF(AK1480&gt;=1,"Lift",IF(AK1480&lt;=0,"Aussenlager","teilweise")))))</f>
        <v/>
      </c>
      <c r="BC1480" s="55" t="str">
        <f aca="false">IF(AN1480&lt;=0,"",IF(BU1480="Aussen","Aussenlager",IF(BU1480="-","Nicht im Lift",IF(AS1480&gt;=1,"Lift",IF(AS1480&lt;=0,"Aussenlager","teilweise")))))</f>
        <v/>
      </c>
      <c r="BD1480" s="55" t="str">
        <f aca="false">IF(AV1480&lt;=0,"",IF(BU1480="Aussen","Aussenlager",IF(BU1480="-","Nicht im Lift",IF(BA1480&gt;=1,"Lift",IF(BA1480&lt;=0,"Aussenlager","teilweise")))))</f>
        <v/>
      </c>
      <c r="BE1480" s="55" t="str">
        <f aca="false">IF(A1480="","",IF(BN1480=1,"Neu; ","")&amp;IF(AND(BN1480=0,BI1480&lt;0),"negativer Bestand (Export "&amp;BI1480&amp;"); ","")&amp;IF(I1480&lt;=0,"Kein Verbrauch; ","")&amp;IF(CD1480&gt;0,"Lift "&amp;U1480&amp;" lt. Liftbericht (Fach "&amp;V1480&amp;" Stk); ",IF(BR1480=1,"Lose – Fläche geschätzt; ",""))&amp;IF(G1480&gt;AP1480,"Überbestand "&amp;ROUND(G1480-AP1480,0)&amp;" Stk / CHF "&amp;ROUND((G1480-AP1480)*F1480,0)&amp;"; ","")&amp;IF(AND(BW1480=1,BX1480&lt;BY1480),"MAX &lt; MB+LG; ","")&amp;IF(AND(CC1480&gt;0,CB1480*10&gt;CC1480),"zu hoch für Tablar; ","")&amp;IF(AND(BN1480=0,OR(BW1480=1,Y1480&lt;&gt;"",S1480&lt;&gt;"",T1480&lt;&gt;"",Z1480&lt;&gt;"")),"manuell übersteuert; ","")&amp;IF(AND(BR1480=0,Q1480=0),"Gebinde unbekannt / Stellmass fehlt; ","")&amp;IF(AND(BR1480=0,N(T1480)&lt;=0,N(P1480)&lt;=0),"Menge pro Gebinde fehlt (Ist = 1 Gebinde); ","")&amp;BM1480)</f>
        <v/>
      </c>
      <c r="BF1480" s="55"/>
      <c r="BG1480" s="55"/>
      <c r="BH1480" s="62"/>
      <c r="BI1480" s="57" t="n">
        <f aca="false">N('Neue Artikel'!$D$8)</f>
        <v>0</v>
      </c>
      <c r="BJ1480" s="57" t="n">
        <v>0</v>
      </c>
      <c r="BK1480" s="56" t="n">
        <v>0</v>
      </c>
      <c r="BL1480" s="57" t="n">
        <f aca="false">N('Neue Artikel'!$C$8)/Parameter!$B$18</f>
        <v>0</v>
      </c>
      <c r="BM1480" s="55"/>
      <c r="BN1480" s="60" t="n">
        <v>1</v>
      </c>
      <c r="BO1480" s="60" t="n">
        <v>1480</v>
      </c>
      <c r="BP1480" s="55" t="str">
        <f aca="false">IF(S1480&lt;&gt;"",UPPER(TRIM(S1480)),IF(O1480="","LOSE",O1480))</f>
        <v>LOSE</v>
      </c>
      <c r="BQ1480" s="57" t="n">
        <f aca="false">IF(BP1480="LOSE",1,IF(N(T1480)&gt;0,T1480,IF(N(P1480)&gt;0,P1480,MAX(1,G1480))))</f>
        <v>1</v>
      </c>
      <c r="BR1480" s="60" t="n">
        <f aca="false">IF(BP1480="LOSE",1,0)</f>
        <v>1</v>
      </c>
      <c r="BS1480" s="59" t="n">
        <f aca="false">IF(BR1480=0,0,IF(N(R1480)&gt;0,R1480,IFERROR(VLOOKUP(D1480,Parameter!$A$35:$C$64,3,0)+0,0)))</f>
        <v>0.15</v>
      </c>
      <c r="BT1480" s="55" t="str">
        <f aca="false">IF(Y1480&lt;&gt;"",Y1480,X1480)</f>
        <v/>
      </c>
      <c r="BU1480" s="55" t="str">
        <f aca="false">IF(BT1480=1,"L1",IF(OR(BT1480=2,BT1480=3),"L23",IF(BT1480="Aussen","Aussen","-")))</f>
        <v>-</v>
      </c>
      <c r="BV1480" s="66" t="n">
        <f aca="false">IF(N(Z1480)&gt;0,Z1480,0)</f>
        <v>0</v>
      </c>
      <c r="BW1480" s="60" t="n">
        <f aca="false">IF(ISNUMBER(AC1480),1,0)</f>
        <v>0</v>
      </c>
      <c r="BX1480" s="57" t="n">
        <f aca="false">N(AC1480)</f>
        <v>0</v>
      </c>
      <c r="BY1480" s="57" t="n">
        <f aca="false">N(L1480)+N(M1480)</f>
        <v>0</v>
      </c>
      <c r="BZ1480" s="57" t="n">
        <f aca="false">ROUNDUP(G1480/BQ1480,0)</f>
        <v>0</v>
      </c>
      <c r="CA1480" s="57" t="n">
        <f aca="false">ROUNDUP(BX1480/BQ1480,0)</f>
        <v>0</v>
      </c>
      <c r="CB1480" s="60" t="n">
        <f aca="false">IF(BR1480=1,0,IFERROR(VLOOKUP(BP1480,'Gebinde-Kategorie'!$A$5:$M$45,5,0)+0,0))</f>
        <v>0</v>
      </c>
      <c r="CC1480" s="60" t="n">
        <f aca="false">IFERROR(IF(OR(BT1480=1,BT1480=2,BT1480=3),N(INDEX(Parameter!$I$5:$I$7,BT1480)),0),0)</f>
        <v>0</v>
      </c>
      <c r="CD1480" s="59" t="n">
        <f aca="false">IF(AND(Parameter!$B$21="Ja",ISNUMBER(U1480),N(V1480)&gt;0),IFERROR(N(INDEX(Parameter!$L$5:$L$7,U1480))*INDEX(Parameter!$E$5:$E$7,U1480)*V1480/SUMIFS($V$7:$V$1576,$U$7:$U$1576,U1480),0),0)</f>
        <v>0</v>
      </c>
    </row>
    <row r="1481" customFormat="false" ht="15" hidden="false" customHeight="false" outlineLevel="0" collapsed="false">
      <c r="A1481" s="55" t="str">
        <f aca="false">IF('Neue Artikel'!$A$9="","",'Neue Artikel'!$A$9&amp;"")</f>
        <v/>
      </c>
      <c r="B1481" s="55" t="str">
        <f aca="false">'Neue Artikel'!$B$9&amp;""</f>
        <v/>
      </c>
      <c r="C1481" s="55"/>
      <c r="D1481" s="55" t="s">
        <v>2561</v>
      </c>
      <c r="E1481" s="55"/>
      <c r="F1481" s="56" t="n">
        <f aca="false">N('Neue Artikel'!$G$9)</f>
        <v>0</v>
      </c>
      <c r="G1481" s="57" t="n">
        <f aca="false">MAX(0,IF(AND(Parameter!$B$21="Ja",ISNUMBER(W1481)),W1481,IF(Parameter!$B$20="Jahresanfang 2025 + Export",BJ1481+BI1481,BI1481)))</f>
        <v>0</v>
      </c>
      <c r="H1481" s="57" t="n">
        <f aca="false">G1481*F1481</f>
        <v>0</v>
      </c>
      <c r="I1481" s="57" t="n">
        <f aca="false">BL1481*Parameter!$B$18</f>
        <v>0</v>
      </c>
      <c r="J1481" s="58"/>
      <c r="K1481" s="59"/>
      <c r="L1481" s="57" t="n">
        <f aca="false">N('Neue Artikel'!$E$9)</f>
        <v>0</v>
      </c>
      <c r="M1481" s="57" t="n">
        <f aca="false">N('Neue Artikel'!$F$9)</f>
        <v>0</v>
      </c>
      <c r="N1481" s="60"/>
      <c r="O1481" s="55" t="str">
        <f aca="false">IF('Neue Artikel'!$H$9="","LOSE",UPPER(TRIM('Neue Artikel'!$H$9)))</f>
        <v>LOSE</v>
      </c>
      <c r="P1481" s="57" t="n">
        <f aca="false">N('Neue Artikel'!$I$9)</f>
        <v>0</v>
      </c>
      <c r="Q1481" s="60" t="n">
        <f aca="false">IF(BR1481=1,0,IFERROR(VLOOKUP(BP1481,'Gebinde-Kategorie'!$A$5:$M$45,13,0)+0,0))</f>
        <v>0</v>
      </c>
      <c r="R1481" s="61"/>
      <c r="S1481" s="62"/>
      <c r="T1481" s="62"/>
      <c r="U1481" s="55"/>
      <c r="V1481" s="57"/>
      <c r="W1481" s="57"/>
      <c r="X1481" s="55" t="str">
        <f aca="false">IF(A1481="","",IF(AND(Parameter!$B$21="Ja",ISNUMBER(U1481)),U1481,IF(IFERROR(VLOOKUP(D1481,Parameter!$A$35:$C$64,2,0),"Nein")="2+3",IF(ISNUMBER(SEARCH("grosser Artikel",BM1481)),2,IFERROR(VLOOKUP(BP1481,Parameter!$F$35:$G$64,2,0),2)),IF(OR(IFERROR(VLOOKUP(D1481,Parameter!$A$35:$C$64,2,0),"Nein")="Nein",IFERROR(VLOOKUP(D1481,Parameter!$A$35:$C$64,2,0),"Nein")=""),"-",VLOOKUP(D1481,Parameter!$A$35:$C$64,2,0)))))</f>
        <v/>
      </c>
      <c r="Y1481" s="55" t="str">
        <f aca="false">IF('Neue Artikel'!$J$9="","",'Neue Artikel'!$J$9)</f>
        <v/>
      </c>
      <c r="Z1481" s="63"/>
      <c r="AA1481" s="57" t="n">
        <f aca="false">AP1481</f>
        <v>0</v>
      </c>
      <c r="AB1481" s="57" t="n">
        <f aca="false">MAX(AP1481,G1481)</f>
        <v>0</v>
      </c>
      <c r="AC1481" s="64"/>
      <c r="AD1481" s="57" t="n">
        <f aca="false">IF(LEFT(Cockpit!$C$5,1)="A",G1481,IF(BW1481=1,BX1481,IF(LEFT(Cockpit!$C$5,1)="B",AH1481,MAX(AH1481,G1481))))</f>
        <v>0</v>
      </c>
      <c r="AE1481" s="57" t="n">
        <f aca="false">IF(BR1481=1,0,ROUNDUP(AD1481/BQ1481,0))</f>
        <v>0</v>
      </c>
      <c r="AF1481" s="59" t="n">
        <f aca="false">IF(CD1481&gt;0,CD1481*MAX(1,AD1481/V1481),IF(BR1481=1,IF(AD1481&lt;=0,0,BS1481*MAX(1,IF(G1481&gt;0,AD1481/G1481,1))),IF(Q1481&gt;0,AE1481/Q1481,0))/MAX(0.1,N(Parameter!$M$21)))</f>
        <v>0</v>
      </c>
      <c r="AG1481" s="57" t="n">
        <f aca="false">AD1481*F1481</f>
        <v>0</v>
      </c>
      <c r="AH1481" s="57" t="n">
        <f aca="false">ROUNDUP(MAX(I1481/IF(BV1481&gt;0,BV1481,MAX(0.1,N(Cockpit!$C$6))),BY1481)/BQ1481,0)*BQ1481</f>
        <v>0</v>
      </c>
      <c r="AI1481" s="58" t="n">
        <f aca="false">IF(AF1481&gt;0,I1481/AF1481,-1)</f>
        <v>-1</v>
      </c>
      <c r="AJ1481" s="58" t="str">
        <f aca="false">IF(AND(OR(BU1481="L1",BU1481="L23"),AF1481&gt;0),SUMIFS($AF$7:$AF$1576,$BU$7:$BU$1576,BU1481,$AI$7:$AI$1576,"&gt;"&amp;AI1481)+SUMIFS($AF$7:$AF$1576,$BU$7:$BU$1576,BU1481,$AI$7:$AI$1576,AI1481,$BO$7:$BO$1576,"&lt;="&amp;BO1481),"")</f>
        <v/>
      </c>
      <c r="AK1481" s="65" t="n">
        <f aca="false">IF(AJ1481="",0,MAX(0,MIN(1,(IF(BU1481="L1",Parameter!$E$5,Parameter!$E$6+Parameter!$E$7)-(AJ1481-AF1481))/AF1481)))</f>
        <v>0</v>
      </c>
      <c r="AL1481" s="57" t="n">
        <f aca="false">IF(LEFT(Cockpit!$I$5,1)="A",G1481,IF(BW1481=1,BX1481,IF(LEFT(Cockpit!$I$5,1)="B",AP1481,MAX(AP1481,G1481))))</f>
        <v>0</v>
      </c>
      <c r="AM1481" s="57" t="n">
        <f aca="false">IF(BR1481=1,0,ROUNDUP(AL1481/BQ1481,0))</f>
        <v>0</v>
      </c>
      <c r="AN1481" s="59" t="n">
        <f aca="false">IF(CD1481&gt;0,CD1481*MAX(1,AL1481/V1481),IF(BR1481=1,IF(AL1481&lt;=0,0,BS1481*MAX(1,IF(G1481&gt;0,AL1481/G1481,1))),IF(Q1481&gt;0,AM1481/Q1481,0))/MAX(0.1,N(Parameter!$M$21)))</f>
        <v>0</v>
      </c>
      <c r="AO1481" s="57" t="n">
        <f aca="false">AL1481*F1481</f>
        <v>0</v>
      </c>
      <c r="AP1481" s="57" t="n">
        <f aca="false">ROUNDUP(MAX(I1481/IF(BV1481&gt;0,BV1481,MAX(0.1,N(Cockpit!$I$6))),BY1481)/BQ1481,0)*BQ1481</f>
        <v>0</v>
      </c>
      <c r="AQ1481" s="58" t="n">
        <f aca="false">IF(AN1481&gt;0,I1481/AN1481,-1)</f>
        <v>-1</v>
      </c>
      <c r="AR1481" s="58" t="str">
        <f aca="false">IF(AND(OR(BU1481="L1",BU1481="L23"),AN1481&gt;0),SUMIFS($AN$7:$AN$1576,$BU$7:$BU$1576,BU1481,$AQ$7:$AQ$1576,"&gt;"&amp;AQ1481)+SUMIFS($AN$7:$AN$1576,$BU$7:$BU$1576,BU1481,$AQ$7:$AQ$1576,AQ1481,$BO$7:$BO$1576,"&lt;="&amp;BO1481),"")</f>
        <v/>
      </c>
      <c r="AS1481" s="65" t="n">
        <f aca="false">IF(AR1481="",0,MAX(0,MIN(1,(IF(BU1481="L1",Parameter!$E$5,Parameter!$E$6+Parameter!$E$7)-(AR1481-AN1481))/AN1481)))</f>
        <v>0</v>
      </c>
      <c r="AT1481" s="57" t="n">
        <f aca="false">IF(LEFT(Cockpit!$O$5,1)="A",G1481,IF(BW1481=1,BX1481,IF(LEFT(Cockpit!$O$5,1)="B",AX1481,MAX(AX1481,G1481))))</f>
        <v>0</v>
      </c>
      <c r="AU1481" s="57" t="n">
        <f aca="false">IF(BR1481=1,0,ROUNDUP(AT1481/BQ1481,0))</f>
        <v>0</v>
      </c>
      <c r="AV1481" s="59" t="n">
        <f aca="false">IF(CD1481&gt;0,CD1481*MAX(1,AT1481/V1481),IF(BR1481=1,IF(AT1481&lt;=0,0,BS1481*MAX(1,IF(G1481&gt;0,AT1481/G1481,1))),IF(Q1481&gt;0,AU1481/Q1481,0))/MAX(0.1,N(Parameter!$M$21)))</f>
        <v>0</v>
      </c>
      <c r="AW1481" s="57" t="n">
        <f aca="false">AT1481*F1481</f>
        <v>0</v>
      </c>
      <c r="AX1481" s="57" t="n">
        <f aca="false">ROUNDUP(MAX(I1481/IF(BV1481&gt;0,BV1481,MAX(0.1,N(Cockpit!$O$6))),BY1481)/BQ1481,0)*BQ1481</f>
        <v>0</v>
      </c>
      <c r="AY1481" s="58" t="n">
        <f aca="false">IF(AV1481&gt;0,I1481/AV1481,-1)</f>
        <v>-1</v>
      </c>
      <c r="AZ1481" s="58" t="str">
        <f aca="false">IF(AND(OR(BU1481="L1",BU1481="L23"),AV1481&gt;0),SUMIFS($AV$7:$AV$1576,$BU$7:$BU$1576,BU1481,$AY$7:$AY$1576,"&gt;"&amp;AY1481)+SUMIFS($AV$7:$AV$1576,$BU$7:$BU$1576,BU1481,$AY$7:$AY$1576,AY1481,$BO$7:$BO$1576,"&lt;="&amp;BO1481),"")</f>
        <v/>
      </c>
      <c r="BA1481" s="65" t="n">
        <f aca="false">IF(AZ1481="",0,MAX(0,MIN(1,(IF(BU1481="L1",Parameter!$E$5,Parameter!$E$6+Parameter!$E$7)-(AZ1481-AV1481))/AV1481)))</f>
        <v>0</v>
      </c>
      <c r="BB1481" s="55" t="str">
        <f aca="false">IF(AF1481&lt;=0,"",IF(BU1481="Aussen","Aussenlager",IF(BU1481="-","Nicht im Lift",IF(AK1481&gt;=1,"Lift",IF(AK1481&lt;=0,"Aussenlager","teilweise")))))</f>
        <v/>
      </c>
      <c r="BC1481" s="55" t="str">
        <f aca="false">IF(AN1481&lt;=0,"",IF(BU1481="Aussen","Aussenlager",IF(BU1481="-","Nicht im Lift",IF(AS1481&gt;=1,"Lift",IF(AS1481&lt;=0,"Aussenlager","teilweise")))))</f>
        <v/>
      </c>
      <c r="BD1481" s="55" t="str">
        <f aca="false">IF(AV1481&lt;=0,"",IF(BU1481="Aussen","Aussenlager",IF(BU1481="-","Nicht im Lift",IF(BA1481&gt;=1,"Lift",IF(BA1481&lt;=0,"Aussenlager","teilweise")))))</f>
        <v/>
      </c>
      <c r="BE1481" s="55" t="str">
        <f aca="false">IF(A1481="","",IF(BN1481=1,"Neu; ","")&amp;IF(AND(BN1481=0,BI1481&lt;0),"negativer Bestand (Export "&amp;BI1481&amp;"); ","")&amp;IF(I1481&lt;=0,"Kein Verbrauch; ","")&amp;IF(CD1481&gt;0,"Lift "&amp;U1481&amp;" lt. Liftbericht (Fach "&amp;V1481&amp;" Stk); ",IF(BR1481=1,"Lose – Fläche geschätzt; ",""))&amp;IF(G1481&gt;AP1481,"Überbestand "&amp;ROUND(G1481-AP1481,0)&amp;" Stk / CHF "&amp;ROUND((G1481-AP1481)*F1481,0)&amp;"; ","")&amp;IF(AND(BW1481=1,BX1481&lt;BY1481),"MAX &lt; MB+LG; ","")&amp;IF(AND(CC1481&gt;0,CB1481*10&gt;CC1481),"zu hoch für Tablar; ","")&amp;IF(AND(BN1481=0,OR(BW1481=1,Y1481&lt;&gt;"",S1481&lt;&gt;"",T1481&lt;&gt;"",Z1481&lt;&gt;"")),"manuell übersteuert; ","")&amp;IF(AND(BR1481=0,Q1481=0),"Gebinde unbekannt / Stellmass fehlt; ","")&amp;IF(AND(BR1481=0,N(T1481)&lt;=0,N(P1481)&lt;=0),"Menge pro Gebinde fehlt (Ist = 1 Gebinde); ","")&amp;BM1481)</f>
        <v/>
      </c>
      <c r="BF1481" s="55"/>
      <c r="BG1481" s="55"/>
      <c r="BH1481" s="62"/>
      <c r="BI1481" s="57" t="n">
        <f aca="false">N('Neue Artikel'!$D$9)</f>
        <v>0</v>
      </c>
      <c r="BJ1481" s="57" t="n">
        <v>0</v>
      </c>
      <c r="BK1481" s="56" t="n">
        <v>0</v>
      </c>
      <c r="BL1481" s="57" t="n">
        <f aca="false">N('Neue Artikel'!$C$9)/Parameter!$B$18</f>
        <v>0</v>
      </c>
      <c r="BM1481" s="55"/>
      <c r="BN1481" s="60" t="n">
        <v>1</v>
      </c>
      <c r="BO1481" s="60" t="n">
        <v>1481</v>
      </c>
      <c r="BP1481" s="55" t="str">
        <f aca="false">IF(S1481&lt;&gt;"",UPPER(TRIM(S1481)),IF(O1481="","LOSE",O1481))</f>
        <v>LOSE</v>
      </c>
      <c r="BQ1481" s="57" t="n">
        <f aca="false">IF(BP1481="LOSE",1,IF(N(T1481)&gt;0,T1481,IF(N(P1481)&gt;0,P1481,MAX(1,G1481))))</f>
        <v>1</v>
      </c>
      <c r="BR1481" s="60" t="n">
        <f aca="false">IF(BP1481="LOSE",1,0)</f>
        <v>1</v>
      </c>
      <c r="BS1481" s="59" t="n">
        <f aca="false">IF(BR1481=0,0,IF(N(R1481)&gt;0,R1481,IFERROR(VLOOKUP(D1481,Parameter!$A$35:$C$64,3,0)+0,0)))</f>
        <v>0.15</v>
      </c>
      <c r="BT1481" s="55" t="str">
        <f aca="false">IF(Y1481&lt;&gt;"",Y1481,X1481)</f>
        <v/>
      </c>
      <c r="BU1481" s="55" t="str">
        <f aca="false">IF(BT1481=1,"L1",IF(OR(BT1481=2,BT1481=3),"L23",IF(BT1481="Aussen","Aussen","-")))</f>
        <v>-</v>
      </c>
      <c r="BV1481" s="66" t="n">
        <f aca="false">IF(N(Z1481)&gt;0,Z1481,0)</f>
        <v>0</v>
      </c>
      <c r="BW1481" s="60" t="n">
        <f aca="false">IF(ISNUMBER(AC1481),1,0)</f>
        <v>0</v>
      </c>
      <c r="BX1481" s="57" t="n">
        <f aca="false">N(AC1481)</f>
        <v>0</v>
      </c>
      <c r="BY1481" s="57" t="n">
        <f aca="false">N(L1481)+N(M1481)</f>
        <v>0</v>
      </c>
      <c r="BZ1481" s="57" t="n">
        <f aca="false">ROUNDUP(G1481/BQ1481,0)</f>
        <v>0</v>
      </c>
      <c r="CA1481" s="57" t="n">
        <f aca="false">ROUNDUP(BX1481/BQ1481,0)</f>
        <v>0</v>
      </c>
      <c r="CB1481" s="60" t="n">
        <f aca="false">IF(BR1481=1,0,IFERROR(VLOOKUP(BP1481,'Gebinde-Kategorie'!$A$5:$M$45,5,0)+0,0))</f>
        <v>0</v>
      </c>
      <c r="CC1481" s="60" t="n">
        <f aca="false">IFERROR(IF(OR(BT1481=1,BT1481=2,BT1481=3),N(INDEX(Parameter!$I$5:$I$7,BT1481)),0),0)</f>
        <v>0</v>
      </c>
      <c r="CD1481" s="59" t="n">
        <f aca="false">IF(AND(Parameter!$B$21="Ja",ISNUMBER(U1481),N(V1481)&gt;0),IFERROR(N(INDEX(Parameter!$L$5:$L$7,U1481))*INDEX(Parameter!$E$5:$E$7,U1481)*V1481/SUMIFS($V$7:$V$1576,$U$7:$U$1576,U1481),0),0)</f>
        <v>0</v>
      </c>
    </row>
    <row r="1482" customFormat="false" ht="15" hidden="false" customHeight="false" outlineLevel="0" collapsed="false">
      <c r="A1482" s="55" t="str">
        <f aca="false">IF('Neue Artikel'!$A$10="","",'Neue Artikel'!$A$10&amp;"")</f>
        <v/>
      </c>
      <c r="B1482" s="55" t="str">
        <f aca="false">'Neue Artikel'!$B$10&amp;""</f>
        <v/>
      </c>
      <c r="C1482" s="55"/>
      <c r="D1482" s="55" t="s">
        <v>2561</v>
      </c>
      <c r="E1482" s="55"/>
      <c r="F1482" s="56" t="n">
        <f aca="false">N('Neue Artikel'!$G$10)</f>
        <v>0</v>
      </c>
      <c r="G1482" s="57" t="n">
        <f aca="false">MAX(0,IF(AND(Parameter!$B$21="Ja",ISNUMBER(W1482)),W1482,IF(Parameter!$B$20="Jahresanfang 2025 + Export",BJ1482+BI1482,BI1482)))</f>
        <v>0</v>
      </c>
      <c r="H1482" s="57" t="n">
        <f aca="false">G1482*F1482</f>
        <v>0</v>
      </c>
      <c r="I1482" s="57" t="n">
        <f aca="false">BL1482*Parameter!$B$18</f>
        <v>0</v>
      </c>
      <c r="J1482" s="58"/>
      <c r="K1482" s="59"/>
      <c r="L1482" s="57" t="n">
        <f aca="false">N('Neue Artikel'!$E$10)</f>
        <v>0</v>
      </c>
      <c r="M1482" s="57" t="n">
        <f aca="false">N('Neue Artikel'!$F$10)</f>
        <v>0</v>
      </c>
      <c r="N1482" s="60"/>
      <c r="O1482" s="55" t="str">
        <f aca="false">IF('Neue Artikel'!$H$10="","LOSE",UPPER(TRIM('Neue Artikel'!$H$10)))</f>
        <v>LOSE</v>
      </c>
      <c r="P1482" s="57" t="n">
        <f aca="false">N('Neue Artikel'!$I$10)</f>
        <v>0</v>
      </c>
      <c r="Q1482" s="60" t="n">
        <f aca="false">IF(BR1482=1,0,IFERROR(VLOOKUP(BP1482,'Gebinde-Kategorie'!$A$5:$M$45,13,0)+0,0))</f>
        <v>0</v>
      </c>
      <c r="R1482" s="61"/>
      <c r="S1482" s="62"/>
      <c r="T1482" s="62"/>
      <c r="U1482" s="55"/>
      <c r="V1482" s="57"/>
      <c r="W1482" s="57"/>
      <c r="X1482" s="55" t="str">
        <f aca="false">IF(A1482="","",IF(AND(Parameter!$B$21="Ja",ISNUMBER(U1482)),U1482,IF(IFERROR(VLOOKUP(D1482,Parameter!$A$35:$C$64,2,0),"Nein")="2+3",IF(ISNUMBER(SEARCH("grosser Artikel",BM1482)),2,IFERROR(VLOOKUP(BP1482,Parameter!$F$35:$G$64,2,0),2)),IF(OR(IFERROR(VLOOKUP(D1482,Parameter!$A$35:$C$64,2,0),"Nein")="Nein",IFERROR(VLOOKUP(D1482,Parameter!$A$35:$C$64,2,0),"Nein")=""),"-",VLOOKUP(D1482,Parameter!$A$35:$C$64,2,0)))))</f>
        <v/>
      </c>
      <c r="Y1482" s="55" t="str">
        <f aca="false">IF('Neue Artikel'!$J$10="","",'Neue Artikel'!$J$10)</f>
        <v/>
      </c>
      <c r="Z1482" s="63"/>
      <c r="AA1482" s="57" t="n">
        <f aca="false">AP1482</f>
        <v>0</v>
      </c>
      <c r="AB1482" s="57" t="n">
        <f aca="false">MAX(AP1482,G1482)</f>
        <v>0</v>
      </c>
      <c r="AC1482" s="64"/>
      <c r="AD1482" s="57" t="n">
        <f aca="false">IF(LEFT(Cockpit!$C$5,1)="A",G1482,IF(BW1482=1,BX1482,IF(LEFT(Cockpit!$C$5,1)="B",AH1482,MAX(AH1482,G1482))))</f>
        <v>0</v>
      </c>
      <c r="AE1482" s="57" t="n">
        <f aca="false">IF(BR1482=1,0,ROUNDUP(AD1482/BQ1482,0))</f>
        <v>0</v>
      </c>
      <c r="AF1482" s="59" t="n">
        <f aca="false">IF(CD1482&gt;0,CD1482*MAX(1,AD1482/V1482),IF(BR1482=1,IF(AD1482&lt;=0,0,BS1482*MAX(1,IF(G1482&gt;0,AD1482/G1482,1))),IF(Q1482&gt;0,AE1482/Q1482,0))/MAX(0.1,N(Parameter!$M$21)))</f>
        <v>0</v>
      </c>
      <c r="AG1482" s="57" t="n">
        <f aca="false">AD1482*F1482</f>
        <v>0</v>
      </c>
      <c r="AH1482" s="57" t="n">
        <f aca="false">ROUNDUP(MAX(I1482/IF(BV1482&gt;0,BV1482,MAX(0.1,N(Cockpit!$C$6))),BY1482)/BQ1482,0)*BQ1482</f>
        <v>0</v>
      </c>
      <c r="AI1482" s="58" t="n">
        <f aca="false">IF(AF1482&gt;0,I1482/AF1482,-1)</f>
        <v>-1</v>
      </c>
      <c r="AJ1482" s="58" t="str">
        <f aca="false">IF(AND(OR(BU1482="L1",BU1482="L23"),AF1482&gt;0),SUMIFS($AF$7:$AF$1576,$BU$7:$BU$1576,BU1482,$AI$7:$AI$1576,"&gt;"&amp;AI1482)+SUMIFS($AF$7:$AF$1576,$BU$7:$BU$1576,BU1482,$AI$7:$AI$1576,AI1482,$BO$7:$BO$1576,"&lt;="&amp;BO1482),"")</f>
        <v/>
      </c>
      <c r="AK1482" s="65" t="n">
        <f aca="false">IF(AJ1482="",0,MAX(0,MIN(1,(IF(BU1482="L1",Parameter!$E$5,Parameter!$E$6+Parameter!$E$7)-(AJ1482-AF1482))/AF1482)))</f>
        <v>0</v>
      </c>
      <c r="AL1482" s="57" t="n">
        <f aca="false">IF(LEFT(Cockpit!$I$5,1)="A",G1482,IF(BW1482=1,BX1482,IF(LEFT(Cockpit!$I$5,1)="B",AP1482,MAX(AP1482,G1482))))</f>
        <v>0</v>
      </c>
      <c r="AM1482" s="57" t="n">
        <f aca="false">IF(BR1482=1,0,ROUNDUP(AL1482/BQ1482,0))</f>
        <v>0</v>
      </c>
      <c r="AN1482" s="59" t="n">
        <f aca="false">IF(CD1482&gt;0,CD1482*MAX(1,AL1482/V1482),IF(BR1482=1,IF(AL1482&lt;=0,0,BS1482*MAX(1,IF(G1482&gt;0,AL1482/G1482,1))),IF(Q1482&gt;0,AM1482/Q1482,0))/MAX(0.1,N(Parameter!$M$21)))</f>
        <v>0</v>
      </c>
      <c r="AO1482" s="57" t="n">
        <f aca="false">AL1482*F1482</f>
        <v>0</v>
      </c>
      <c r="AP1482" s="57" t="n">
        <f aca="false">ROUNDUP(MAX(I1482/IF(BV1482&gt;0,BV1482,MAX(0.1,N(Cockpit!$I$6))),BY1482)/BQ1482,0)*BQ1482</f>
        <v>0</v>
      </c>
      <c r="AQ1482" s="58" t="n">
        <f aca="false">IF(AN1482&gt;0,I1482/AN1482,-1)</f>
        <v>-1</v>
      </c>
      <c r="AR1482" s="58" t="str">
        <f aca="false">IF(AND(OR(BU1482="L1",BU1482="L23"),AN1482&gt;0),SUMIFS($AN$7:$AN$1576,$BU$7:$BU$1576,BU1482,$AQ$7:$AQ$1576,"&gt;"&amp;AQ1482)+SUMIFS($AN$7:$AN$1576,$BU$7:$BU$1576,BU1482,$AQ$7:$AQ$1576,AQ1482,$BO$7:$BO$1576,"&lt;="&amp;BO1482),"")</f>
        <v/>
      </c>
      <c r="AS1482" s="65" t="n">
        <f aca="false">IF(AR1482="",0,MAX(0,MIN(1,(IF(BU1482="L1",Parameter!$E$5,Parameter!$E$6+Parameter!$E$7)-(AR1482-AN1482))/AN1482)))</f>
        <v>0</v>
      </c>
      <c r="AT1482" s="57" t="n">
        <f aca="false">IF(LEFT(Cockpit!$O$5,1)="A",G1482,IF(BW1482=1,BX1482,IF(LEFT(Cockpit!$O$5,1)="B",AX1482,MAX(AX1482,G1482))))</f>
        <v>0</v>
      </c>
      <c r="AU1482" s="57" t="n">
        <f aca="false">IF(BR1482=1,0,ROUNDUP(AT1482/BQ1482,0))</f>
        <v>0</v>
      </c>
      <c r="AV1482" s="59" t="n">
        <f aca="false">IF(CD1482&gt;0,CD1482*MAX(1,AT1482/V1482),IF(BR1482=1,IF(AT1482&lt;=0,0,BS1482*MAX(1,IF(G1482&gt;0,AT1482/G1482,1))),IF(Q1482&gt;0,AU1482/Q1482,0))/MAX(0.1,N(Parameter!$M$21)))</f>
        <v>0</v>
      </c>
      <c r="AW1482" s="57" t="n">
        <f aca="false">AT1482*F1482</f>
        <v>0</v>
      </c>
      <c r="AX1482" s="57" t="n">
        <f aca="false">ROUNDUP(MAX(I1482/IF(BV1482&gt;0,BV1482,MAX(0.1,N(Cockpit!$O$6))),BY1482)/BQ1482,0)*BQ1482</f>
        <v>0</v>
      </c>
      <c r="AY1482" s="58" t="n">
        <f aca="false">IF(AV1482&gt;0,I1482/AV1482,-1)</f>
        <v>-1</v>
      </c>
      <c r="AZ1482" s="58" t="str">
        <f aca="false">IF(AND(OR(BU1482="L1",BU1482="L23"),AV1482&gt;0),SUMIFS($AV$7:$AV$1576,$BU$7:$BU$1576,BU1482,$AY$7:$AY$1576,"&gt;"&amp;AY1482)+SUMIFS($AV$7:$AV$1576,$BU$7:$BU$1576,BU1482,$AY$7:$AY$1576,AY1482,$BO$7:$BO$1576,"&lt;="&amp;BO1482),"")</f>
        <v/>
      </c>
      <c r="BA1482" s="65" t="n">
        <f aca="false">IF(AZ1482="",0,MAX(0,MIN(1,(IF(BU1482="L1",Parameter!$E$5,Parameter!$E$6+Parameter!$E$7)-(AZ1482-AV1482))/AV1482)))</f>
        <v>0</v>
      </c>
      <c r="BB1482" s="55" t="str">
        <f aca="false">IF(AF1482&lt;=0,"",IF(BU1482="Aussen","Aussenlager",IF(BU1482="-","Nicht im Lift",IF(AK1482&gt;=1,"Lift",IF(AK1482&lt;=0,"Aussenlager","teilweise")))))</f>
        <v/>
      </c>
      <c r="BC1482" s="55" t="str">
        <f aca="false">IF(AN1482&lt;=0,"",IF(BU1482="Aussen","Aussenlager",IF(BU1482="-","Nicht im Lift",IF(AS1482&gt;=1,"Lift",IF(AS1482&lt;=0,"Aussenlager","teilweise")))))</f>
        <v/>
      </c>
      <c r="BD1482" s="55" t="str">
        <f aca="false">IF(AV1482&lt;=0,"",IF(BU1482="Aussen","Aussenlager",IF(BU1482="-","Nicht im Lift",IF(BA1482&gt;=1,"Lift",IF(BA1482&lt;=0,"Aussenlager","teilweise")))))</f>
        <v/>
      </c>
      <c r="BE1482" s="55" t="str">
        <f aca="false">IF(A1482="","",IF(BN1482=1,"Neu; ","")&amp;IF(AND(BN1482=0,BI1482&lt;0),"negativer Bestand (Export "&amp;BI1482&amp;"); ","")&amp;IF(I1482&lt;=0,"Kein Verbrauch; ","")&amp;IF(CD1482&gt;0,"Lift "&amp;U1482&amp;" lt. Liftbericht (Fach "&amp;V1482&amp;" Stk); ",IF(BR1482=1,"Lose – Fläche geschätzt; ",""))&amp;IF(G1482&gt;AP1482,"Überbestand "&amp;ROUND(G1482-AP1482,0)&amp;" Stk / CHF "&amp;ROUND((G1482-AP1482)*F1482,0)&amp;"; ","")&amp;IF(AND(BW1482=1,BX1482&lt;BY1482),"MAX &lt; MB+LG; ","")&amp;IF(AND(CC1482&gt;0,CB1482*10&gt;CC1482),"zu hoch für Tablar; ","")&amp;IF(AND(BN1482=0,OR(BW1482=1,Y1482&lt;&gt;"",S1482&lt;&gt;"",T1482&lt;&gt;"",Z1482&lt;&gt;"")),"manuell übersteuert; ","")&amp;IF(AND(BR1482=0,Q1482=0),"Gebinde unbekannt / Stellmass fehlt; ","")&amp;IF(AND(BR1482=0,N(T1482)&lt;=0,N(P1482)&lt;=0),"Menge pro Gebinde fehlt (Ist = 1 Gebinde); ","")&amp;BM1482)</f>
        <v/>
      </c>
      <c r="BF1482" s="55"/>
      <c r="BG1482" s="55"/>
      <c r="BH1482" s="62"/>
      <c r="BI1482" s="57" t="n">
        <f aca="false">N('Neue Artikel'!$D$10)</f>
        <v>0</v>
      </c>
      <c r="BJ1482" s="57" t="n">
        <v>0</v>
      </c>
      <c r="BK1482" s="56" t="n">
        <v>0</v>
      </c>
      <c r="BL1482" s="57" t="n">
        <f aca="false">N('Neue Artikel'!$C$10)/Parameter!$B$18</f>
        <v>0</v>
      </c>
      <c r="BM1482" s="55"/>
      <c r="BN1482" s="60" t="n">
        <v>1</v>
      </c>
      <c r="BO1482" s="60" t="n">
        <v>1482</v>
      </c>
      <c r="BP1482" s="55" t="str">
        <f aca="false">IF(S1482&lt;&gt;"",UPPER(TRIM(S1482)),IF(O1482="","LOSE",O1482))</f>
        <v>LOSE</v>
      </c>
      <c r="BQ1482" s="57" t="n">
        <f aca="false">IF(BP1482="LOSE",1,IF(N(T1482)&gt;0,T1482,IF(N(P1482)&gt;0,P1482,MAX(1,G1482))))</f>
        <v>1</v>
      </c>
      <c r="BR1482" s="60" t="n">
        <f aca="false">IF(BP1482="LOSE",1,0)</f>
        <v>1</v>
      </c>
      <c r="BS1482" s="59" t="n">
        <f aca="false">IF(BR1482=0,0,IF(N(R1482)&gt;0,R1482,IFERROR(VLOOKUP(D1482,Parameter!$A$35:$C$64,3,0)+0,0)))</f>
        <v>0.15</v>
      </c>
      <c r="BT1482" s="55" t="str">
        <f aca="false">IF(Y1482&lt;&gt;"",Y1482,X1482)</f>
        <v/>
      </c>
      <c r="BU1482" s="55" t="str">
        <f aca="false">IF(BT1482=1,"L1",IF(OR(BT1482=2,BT1482=3),"L23",IF(BT1482="Aussen","Aussen","-")))</f>
        <v>-</v>
      </c>
      <c r="BV1482" s="66" t="n">
        <f aca="false">IF(N(Z1482)&gt;0,Z1482,0)</f>
        <v>0</v>
      </c>
      <c r="BW1482" s="60" t="n">
        <f aca="false">IF(ISNUMBER(AC1482),1,0)</f>
        <v>0</v>
      </c>
      <c r="BX1482" s="57" t="n">
        <f aca="false">N(AC1482)</f>
        <v>0</v>
      </c>
      <c r="BY1482" s="57" t="n">
        <f aca="false">N(L1482)+N(M1482)</f>
        <v>0</v>
      </c>
      <c r="BZ1482" s="57" t="n">
        <f aca="false">ROUNDUP(G1482/BQ1482,0)</f>
        <v>0</v>
      </c>
      <c r="CA1482" s="57" t="n">
        <f aca="false">ROUNDUP(BX1482/BQ1482,0)</f>
        <v>0</v>
      </c>
      <c r="CB1482" s="60" t="n">
        <f aca="false">IF(BR1482=1,0,IFERROR(VLOOKUP(BP1482,'Gebinde-Kategorie'!$A$5:$M$45,5,0)+0,0))</f>
        <v>0</v>
      </c>
      <c r="CC1482" s="60" t="n">
        <f aca="false">IFERROR(IF(OR(BT1482=1,BT1482=2,BT1482=3),N(INDEX(Parameter!$I$5:$I$7,BT1482)),0),0)</f>
        <v>0</v>
      </c>
      <c r="CD1482" s="59" t="n">
        <f aca="false">IF(AND(Parameter!$B$21="Ja",ISNUMBER(U1482),N(V1482)&gt;0),IFERROR(N(INDEX(Parameter!$L$5:$L$7,U1482))*INDEX(Parameter!$E$5:$E$7,U1482)*V1482/SUMIFS($V$7:$V$1576,$U$7:$U$1576,U1482),0),0)</f>
        <v>0</v>
      </c>
    </row>
    <row r="1483" customFormat="false" ht="15" hidden="false" customHeight="false" outlineLevel="0" collapsed="false">
      <c r="A1483" s="55" t="str">
        <f aca="false">IF('Neue Artikel'!$A$11="","",'Neue Artikel'!$A$11&amp;"")</f>
        <v/>
      </c>
      <c r="B1483" s="55" t="str">
        <f aca="false">'Neue Artikel'!$B$11&amp;""</f>
        <v/>
      </c>
      <c r="C1483" s="55"/>
      <c r="D1483" s="55" t="s">
        <v>2561</v>
      </c>
      <c r="E1483" s="55"/>
      <c r="F1483" s="56" t="n">
        <f aca="false">N('Neue Artikel'!$G$11)</f>
        <v>0</v>
      </c>
      <c r="G1483" s="57" t="n">
        <f aca="false">MAX(0,IF(AND(Parameter!$B$21="Ja",ISNUMBER(W1483)),W1483,IF(Parameter!$B$20="Jahresanfang 2025 + Export",BJ1483+BI1483,BI1483)))</f>
        <v>0</v>
      </c>
      <c r="H1483" s="57" t="n">
        <f aca="false">G1483*F1483</f>
        <v>0</v>
      </c>
      <c r="I1483" s="57" t="n">
        <f aca="false">BL1483*Parameter!$B$18</f>
        <v>0</v>
      </c>
      <c r="J1483" s="58"/>
      <c r="K1483" s="59"/>
      <c r="L1483" s="57" t="n">
        <f aca="false">N('Neue Artikel'!$E$11)</f>
        <v>0</v>
      </c>
      <c r="M1483" s="57" t="n">
        <f aca="false">N('Neue Artikel'!$F$11)</f>
        <v>0</v>
      </c>
      <c r="N1483" s="60"/>
      <c r="O1483" s="55" t="str">
        <f aca="false">IF('Neue Artikel'!$H$11="","LOSE",UPPER(TRIM('Neue Artikel'!$H$11)))</f>
        <v>LOSE</v>
      </c>
      <c r="P1483" s="57" t="n">
        <f aca="false">N('Neue Artikel'!$I$11)</f>
        <v>0</v>
      </c>
      <c r="Q1483" s="60" t="n">
        <f aca="false">IF(BR1483=1,0,IFERROR(VLOOKUP(BP1483,'Gebinde-Kategorie'!$A$5:$M$45,13,0)+0,0))</f>
        <v>0</v>
      </c>
      <c r="R1483" s="61"/>
      <c r="S1483" s="62"/>
      <c r="T1483" s="62"/>
      <c r="U1483" s="55"/>
      <c r="V1483" s="57"/>
      <c r="W1483" s="57"/>
      <c r="X1483" s="55" t="str">
        <f aca="false">IF(A1483="","",IF(AND(Parameter!$B$21="Ja",ISNUMBER(U1483)),U1483,IF(IFERROR(VLOOKUP(D1483,Parameter!$A$35:$C$64,2,0),"Nein")="2+3",IF(ISNUMBER(SEARCH("grosser Artikel",BM1483)),2,IFERROR(VLOOKUP(BP1483,Parameter!$F$35:$G$64,2,0),2)),IF(OR(IFERROR(VLOOKUP(D1483,Parameter!$A$35:$C$64,2,0),"Nein")="Nein",IFERROR(VLOOKUP(D1483,Parameter!$A$35:$C$64,2,0),"Nein")=""),"-",VLOOKUP(D1483,Parameter!$A$35:$C$64,2,0)))))</f>
        <v/>
      </c>
      <c r="Y1483" s="55" t="str">
        <f aca="false">IF('Neue Artikel'!$J$11="","",'Neue Artikel'!$J$11)</f>
        <v/>
      </c>
      <c r="Z1483" s="63"/>
      <c r="AA1483" s="57" t="n">
        <f aca="false">AP1483</f>
        <v>0</v>
      </c>
      <c r="AB1483" s="57" t="n">
        <f aca="false">MAX(AP1483,G1483)</f>
        <v>0</v>
      </c>
      <c r="AC1483" s="64"/>
      <c r="AD1483" s="57" t="n">
        <f aca="false">IF(LEFT(Cockpit!$C$5,1)="A",G1483,IF(BW1483=1,BX1483,IF(LEFT(Cockpit!$C$5,1)="B",AH1483,MAX(AH1483,G1483))))</f>
        <v>0</v>
      </c>
      <c r="AE1483" s="57" t="n">
        <f aca="false">IF(BR1483=1,0,ROUNDUP(AD1483/BQ1483,0))</f>
        <v>0</v>
      </c>
      <c r="AF1483" s="59" t="n">
        <f aca="false">IF(CD1483&gt;0,CD1483*MAX(1,AD1483/V1483),IF(BR1483=1,IF(AD1483&lt;=0,0,BS1483*MAX(1,IF(G1483&gt;0,AD1483/G1483,1))),IF(Q1483&gt;0,AE1483/Q1483,0))/MAX(0.1,N(Parameter!$M$21)))</f>
        <v>0</v>
      </c>
      <c r="AG1483" s="57" t="n">
        <f aca="false">AD1483*F1483</f>
        <v>0</v>
      </c>
      <c r="AH1483" s="57" t="n">
        <f aca="false">ROUNDUP(MAX(I1483/IF(BV1483&gt;0,BV1483,MAX(0.1,N(Cockpit!$C$6))),BY1483)/BQ1483,0)*BQ1483</f>
        <v>0</v>
      </c>
      <c r="AI1483" s="58" t="n">
        <f aca="false">IF(AF1483&gt;0,I1483/AF1483,-1)</f>
        <v>-1</v>
      </c>
      <c r="AJ1483" s="58" t="str">
        <f aca="false">IF(AND(OR(BU1483="L1",BU1483="L23"),AF1483&gt;0),SUMIFS($AF$7:$AF$1576,$BU$7:$BU$1576,BU1483,$AI$7:$AI$1576,"&gt;"&amp;AI1483)+SUMIFS($AF$7:$AF$1576,$BU$7:$BU$1576,BU1483,$AI$7:$AI$1576,AI1483,$BO$7:$BO$1576,"&lt;="&amp;BO1483),"")</f>
        <v/>
      </c>
      <c r="AK1483" s="65" t="n">
        <f aca="false">IF(AJ1483="",0,MAX(0,MIN(1,(IF(BU1483="L1",Parameter!$E$5,Parameter!$E$6+Parameter!$E$7)-(AJ1483-AF1483))/AF1483)))</f>
        <v>0</v>
      </c>
      <c r="AL1483" s="57" t="n">
        <f aca="false">IF(LEFT(Cockpit!$I$5,1)="A",G1483,IF(BW1483=1,BX1483,IF(LEFT(Cockpit!$I$5,1)="B",AP1483,MAX(AP1483,G1483))))</f>
        <v>0</v>
      </c>
      <c r="AM1483" s="57" t="n">
        <f aca="false">IF(BR1483=1,0,ROUNDUP(AL1483/BQ1483,0))</f>
        <v>0</v>
      </c>
      <c r="AN1483" s="59" t="n">
        <f aca="false">IF(CD1483&gt;0,CD1483*MAX(1,AL1483/V1483),IF(BR1483=1,IF(AL1483&lt;=0,0,BS1483*MAX(1,IF(G1483&gt;0,AL1483/G1483,1))),IF(Q1483&gt;0,AM1483/Q1483,0))/MAX(0.1,N(Parameter!$M$21)))</f>
        <v>0</v>
      </c>
      <c r="AO1483" s="57" t="n">
        <f aca="false">AL1483*F1483</f>
        <v>0</v>
      </c>
      <c r="AP1483" s="57" t="n">
        <f aca="false">ROUNDUP(MAX(I1483/IF(BV1483&gt;0,BV1483,MAX(0.1,N(Cockpit!$I$6))),BY1483)/BQ1483,0)*BQ1483</f>
        <v>0</v>
      </c>
      <c r="AQ1483" s="58" t="n">
        <f aca="false">IF(AN1483&gt;0,I1483/AN1483,-1)</f>
        <v>-1</v>
      </c>
      <c r="AR1483" s="58" t="str">
        <f aca="false">IF(AND(OR(BU1483="L1",BU1483="L23"),AN1483&gt;0),SUMIFS($AN$7:$AN$1576,$BU$7:$BU$1576,BU1483,$AQ$7:$AQ$1576,"&gt;"&amp;AQ1483)+SUMIFS($AN$7:$AN$1576,$BU$7:$BU$1576,BU1483,$AQ$7:$AQ$1576,AQ1483,$BO$7:$BO$1576,"&lt;="&amp;BO1483),"")</f>
        <v/>
      </c>
      <c r="AS1483" s="65" t="n">
        <f aca="false">IF(AR1483="",0,MAX(0,MIN(1,(IF(BU1483="L1",Parameter!$E$5,Parameter!$E$6+Parameter!$E$7)-(AR1483-AN1483))/AN1483)))</f>
        <v>0</v>
      </c>
      <c r="AT1483" s="57" t="n">
        <f aca="false">IF(LEFT(Cockpit!$O$5,1)="A",G1483,IF(BW1483=1,BX1483,IF(LEFT(Cockpit!$O$5,1)="B",AX1483,MAX(AX1483,G1483))))</f>
        <v>0</v>
      </c>
      <c r="AU1483" s="57" t="n">
        <f aca="false">IF(BR1483=1,0,ROUNDUP(AT1483/BQ1483,0))</f>
        <v>0</v>
      </c>
      <c r="AV1483" s="59" t="n">
        <f aca="false">IF(CD1483&gt;0,CD1483*MAX(1,AT1483/V1483),IF(BR1483=1,IF(AT1483&lt;=0,0,BS1483*MAX(1,IF(G1483&gt;0,AT1483/G1483,1))),IF(Q1483&gt;0,AU1483/Q1483,0))/MAX(0.1,N(Parameter!$M$21)))</f>
        <v>0</v>
      </c>
      <c r="AW1483" s="57" t="n">
        <f aca="false">AT1483*F1483</f>
        <v>0</v>
      </c>
      <c r="AX1483" s="57" t="n">
        <f aca="false">ROUNDUP(MAX(I1483/IF(BV1483&gt;0,BV1483,MAX(0.1,N(Cockpit!$O$6))),BY1483)/BQ1483,0)*BQ1483</f>
        <v>0</v>
      </c>
      <c r="AY1483" s="58" t="n">
        <f aca="false">IF(AV1483&gt;0,I1483/AV1483,-1)</f>
        <v>-1</v>
      </c>
      <c r="AZ1483" s="58" t="str">
        <f aca="false">IF(AND(OR(BU1483="L1",BU1483="L23"),AV1483&gt;0),SUMIFS($AV$7:$AV$1576,$BU$7:$BU$1576,BU1483,$AY$7:$AY$1576,"&gt;"&amp;AY1483)+SUMIFS($AV$7:$AV$1576,$BU$7:$BU$1576,BU1483,$AY$7:$AY$1576,AY1483,$BO$7:$BO$1576,"&lt;="&amp;BO1483),"")</f>
        <v/>
      </c>
      <c r="BA1483" s="65" t="n">
        <f aca="false">IF(AZ1483="",0,MAX(0,MIN(1,(IF(BU1483="L1",Parameter!$E$5,Parameter!$E$6+Parameter!$E$7)-(AZ1483-AV1483))/AV1483)))</f>
        <v>0</v>
      </c>
      <c r="BB1483" s="55" t="str">
        <f aca="false">IF(AF1483&lt;=0,"",IF(BU1483="Aussen","Aussenlager",IF(BU1483="-","Nicht im Lift",IF(AK1483&gt;=1,"Lift",IF(AK1483&lt;=0,"Aussenlager","teilweise")))))</f>
        <v/>
      </c>
      <c r="BC1483" s="55" t="str">
        <f aca="false">IF(AN1483&lt;=0,"",IF(BU1483="Aussen","Aussenlager",IF(BU1483="-","Nicht im Lift",IF(AS1483&gt;=1,"Lift",IF(AS1483&lt;=0,"Aussenlager","teilweise")))))</f>
        <v/>
      </c>
      <c r="BD1483" s="55" t="str">
        <f aca="false">IF(AV1483&lt;=0,"",IF(BU1483="Aussen","Aussenlager",IF(BU1483="-","Nicht im Lift",IF(BA1483&gt;=1,"Lift",IF(BA1483&lt;=0,"Aussenlager","teilweise")))))</f>
        <v/>
      </c>
      <c r="BE1483" s="55" t="str">
        <f aca="false">IF(A1483="","",IF(BN1483=1,"Neu; ","")&amp;IF(AND(BN1483=0,BI1483&lt;0),"negativer Bestand (Export "&amp;BI1483&amp;"); ","")&amp;IF(I1483&lt;=0,"Kein Verbrauch; ","")&amp;IF(CD1483&gt;0,"Lift "&amp;U1483&amp;" lt. Liftbericht (Fach "&amp;V1483&amp;" Stk); ",IF(BR1483=1,"Lose – Fläche geschätzt; ",""))&amp;IF(G1483&gt;AP1483,"Überbestand "&amp;ROUND(G1483-AP1483,0)&amp;" Stk / CHF "&amp;ROUND((G1483-AP1483)*F1483,0)&amp;"; ","")&amp;IF(AND(BW1483=1,BX1483&lt;BY1483),"MAX &lt; MB+LG; ","")&amp;IF(AND(CC1483&gt;0,CB1483*10&gt;CC1483),"zu hoch für Tablar; ","")&amp;IF(AND(BN1483=0,OR(BW1483=1,Y1483&lt;&gt;"",S1483&lt;&gt;"",T1483&lt;&gt;"",Z1483&lt;&gt;"")),"manuell übersteuert; ","")&amp;IF(AND(BR1483=0,Q1483=0),"Gebinde unbekannt / Stellmass fehlt; ","")&amp;IF(AND(BR1483=0,N(T1483)&lt;=0,N(P1483)&lt;=0),"Menge pro Gebinde fehlt (Ist = 1 Gebinde); ","")&amp;BM1483)</f>
        <v/>
      </c>
      <c r="BF1483" s="55"/>
      <c r="BG1483" s="55"/>
      <c r="BH1483" s="62"/>
      <c r="BI1483" s="57" t="n">
        <f aca="false">N('Neue Artikel'!$D$11)</f>
        <v>0</v>
      </c>
      <c r="BJ1483" s="57" t="n">
        <v>0</v>
      </c>
      <c r="BK1483" s="56" t="n">
        <v>0</v>
      </c>
      <c r="BL1483" s="57" t="n">
        <f aca="false">N('Neue Artikel'!$C$11)/Parameter!$B$18</f>
        <v>0</v>
      </c>
      <c r="BM1483" s="55"/>
      <c r="BN1483" s="60" t="n">
        <v>1</v>
      </c>
      <c r="BO1483" s="60" t="n">
        <v>1483</v>
      </c>
      <c r="BP1483" s="55" t="str">
        <f aca="false">IF(S1483&lt;&gt;"",UPPER(TRIM(S1483)),IF(O1483="","LOSE",O1483))</f>
        <v>LOSE</v>
      </c>
      <c r="BQ1483" s="57" t="n">
        <f aca="false">IF(BP1483="LOSE",1,IF(N(T1483)&gt;0,T1483,IF(N(P1483)&gt;0,P1483,MAX(1,G1483))))</f>
        <v>1</v>
      </c>
      <c r="BR1483" s="60" t="n">
        <f aca="false">IF(BP1483="LOSE",1,0)</f>
        <v>1</v>
      </c>
      <c r="BS1483" s="59" t="n">
        <f aca="false">IF(BR1483=0,0,IF(N(R1483)&gt;0,R1483,IFERROR(VLOOKUP(D1483,Parameter!$A$35:$C$64,3,0)+0,0)))</f>
        <v>0.15</v>
      </c>
      <c r="BT1483" s="55" t="str">
        <f aca="false">IF(Y1483&lt;&gt;"",Y1483,X1483)</f>
        <v/>
      </c>
      <c r="BU1483" s="55" t="str">
        <f aca="false">IF(BT1483=1,"L1",IF(OR(BT1483=2,BT1483=3),"L23",IF(BT1483="Aussen","Aussen","-")))</f>
        <v>-</v>
      </c>
      <c r="BV1483" s="66" t="n">
        <f aca="false">IF(N(Z1483)&gt;0,Z1483,0)</f>
        <v>0</v>
      </c>
      <c r="BW1483" s="60" t="n">
        <f aca="false">IF(ISNUMBER(AC1483),1,0)</f>
        <v>0</v>
      </c>
      <c r="BX1483" s="57" t="n">
        <f aca="false">N(AC1483)</f>
        <v>0</v>
      </c>
      <c r="BY1483" s="57" t="n">
        <f aca="false">N(L1483)+N(M1483)</f>
        <v>0</v>
      </c>
      <c r="BZ1483" s="57" t="n">
        <f aca="false">ROUNDUP(G1483/BQ1483,0)</f>
        <v>0</v>
      </c>
      <c r="CA1483" s="57" t="n">
        <f aca="false">ROUNDUP(BX1483/BQ1483,0)</f>
        <v>0</v>
      </c>
      <c r="CB1483" s="60" t="n">
        <f aca="false">IF(BR1483=1,0,IFERROR(VLOOKUP(BP1483,'Gebinde-Kategorie'!$A$5:$M$45,5,0)+0,0))</f>
        <v>0</v>
      </c>
      <c r="CC1483" s="60" t="n">
        <f aca="false">IFERROR(IF(OR(BT1483=1,BT1483=2,BT1483=3),N(INDEX(Parameter!$I$5:$I$7,BT1483)),0),0)</f>
        <v>0</v>
      </c>
      <c r="CD1483" s="59" t="n">
        <f aca="false">IF(AND(Parameter!$B$21="Ja",ISNUMBER(U1483),N(V1483)&gt;0),IFERROR(N(INDEX(Parameter!$L$5:$L$7,U1483))*INDEX(Parameter!$E$5:$E$7,U1483)*V1483/SUMIFS($V$7:$V$1576,$U$7:$U$1576,U1483),0),0)</f>
        <v>0</v>
      </c>
    </row>
    <row r="1484" customFormat="false" ht="15" hidden="false" customHeight="false" outlineLevel="0" collapsed="false">
      <c r="A1484" s="55" t="str">
        <f aca="false">IF('Neue Artikel'!$A$12="","",'Neue Artikel'!$A$12&amp;"")</f>
        <v/>
      </c>
      <c r="B1484" s="55" t="str">
        <f aca="false">'Neue Artikel'!$B$12&amp;""</f>
        <v/>
      </c>
      <c r="C1484" s="55"/>
      <c r="D1484" s="55" t="s">
        <v>2561</v>
      </c>
      <c r="E1484" s="55"/>
      <c r="F1484" s="56" t="n">
        <f aca="false">N('Neue Artikel'!$G$12)</f>
        <v>0</v>
      </c>
      <c r="G1484" s="57" t="n">
        <f aca="false">MAX(0,IF(AND(Parameter!$B$21="Ja",ISNUMBER(W1484)),W1484,IF(Parameter!$B$20="Jahresanfang 2025 + Export",BJ1484+BI1484,BI1484)))</f>
        <v>0</v>
      </c>
      <c r="H1484" s="57" t="n">
        <f aca="false">G1484*F1484</f>
        <v>0</v>
      </c>
      <c r="I1484" s="57" t="n">
        <f aca="false">BL1484*Parameter!$B$18</f>
        <v>0</v>
      </c>
      <c r="J1484" s="58"/>
      <c r="K1484" s="59"/>
      <c r="L1484" s="57" t="n">
        <f aca="false">N('Neue Artikel'!$E$12)</f>
        <v>0</v>
      </c>
      <c r="M1484" s="57" t="n">
        <f aca="false">N('Neue Artikel'!$F$12)</f>
        <v>0</v>
      </c>
      <c r="N1484" s="60"/>
      <c r="O1484" s="55" t="str">
        <f aca="false">IF('Neue Artikel'!$H$12="","LOSE",UPPER(TRIM('Neue Artikel'!$H$12)))</f>
        <v>LOSE</v>
      </c>
      <c r="P1484" s="57" t="n">
        <f aca="false">N('Neue Artikel'!$I$12)</f>
        <v>0</v>
      </c>
      <c r="Q1484" s="60" t="n">
        <f aca="false">IF(BR1484=1,0,IFERROR(VLOOKUP(BP1484,'Gebinde-Kategorie'!$A$5:$M$45,13,0)+0,0))</f>
        <v>0</v>
      </c>
      <c r="R1484" s="61"/>
      <c r="S1484" s="62"/>
      <c r="T1484" s="62"/>
      <c r="U1484" s="55"/>
      <c r="V1484" s="57"/>
      <c r="W1484" s="57"/>
      <c r="X1484" s="55" t="str">
        <f aca="false">IF(A1484="","",IF(AND(Parameter!$B$21="Ja",ISNUMBER(U1484)),U1484,IF(IFERROR(VLOOKUP(D1484,Parameter!$A$35:$C$64,2,0),"Nein")="2+3",IF(ISNUMBER(SEARCH("grosser Artikel",BM1484)),2,IFERROR(VLOOKUP(BP1484,Parameter!$F$35:$G$64,2,0),2)),IF(OR(IFERROR(VLOOKUP(D1484,Parameter!$A$35:$C$64,2,0),"Nein")="Nein",IFERROR(VLOOKUP(D1484,Parameter!$A$35:$C$64,2,0),"Nein")=""),"-",VLOOKUP(D1484,Parameter!$A$35:$C$64,2,0)))))</f>
        <v/>
      </c>
      <c r="Y1484" s="55" t="str">
        <f aca="false">IF('Neue Artikel'!$J$12="","",'Neue Artikel'!$J$12)</f>
        <v/>
      </c>
      <c r="Z1484" s="63"/>
      <c r="AA1484" s="57" t="n">
        <f aca="false">AP1484</f>
        <v>0</v>
      </c>
      <c r="AB1484" s="57" t="n">
        <f aca="false">MAX(AP1484,G1484)</f>
        <v>0</v>
      </c>
      <c r="AC1484" s="64"/>
      <c r="AD1484" s="57" t="n">
        <f aca="false">IF(LEFT(Cockpit!$C$5,1)="A",G1484,IF(BW1484=1,BX1484,IF(LEFT(Cockpit!$C$5,1)="B",AH1484,MAX(AH1484,G1484))))</f>
        <v>0</v>
      </c>
      <c r="AE1484" s="57" t="n">
        <f aca="false">IF(BR1484=1,0,ROUNDUP(AD1484/BQ1484,0))</f>
        <v>0</v>
      </c>
      <c r="AF1484" s="59" t="n">
        <f aca="false">IF(CD1484&gt;0,CD1484*MAX(1,AD1484/V1484),IF(BR1484=1,IF(AD1484&lt;=0,0,BS1484*MAX(1,IF(G1484&gt;0,AD1484/G1484,1))),IF(Q1484&gt;0,AE1484/Q1484,0))/MAX(0.1,N(Parameter!$M$21)))</f>
        <v>0</v>
      </c>
      <c r="AG1484" s="57" t="n">
        <f aca="false">AD1484*F1484</f>
        <v>0</v>
      </c>
      <c r="AH1484" s="57" t="n">
        <f aca="false">ROUNDUP(MAX(I1484/IF(BV1484&gt;0,BV1484,MAX(0.1,N(Cockpit!$C$6))),BY1484)/BQ1484,0)*BQ1484</f>
        <v>0</v>
      </c>
      <c r="AI1484" s="58" t="n">
        <f aca="false">IF(AF1484&gt;0,I1484/AF1484,-1)</f>
        <v>-1</v>
      </c>
      <c r="AJ1484" s="58" t="str">
        <f aca="false">IF(AND(OR(BU1484="L1",BU1484="L23"),AF1484&gt;0),SUMIFS($AF$7:$AF$1576,$BU$7:$BU$1576,BU1484,$AI$7:$AI$1576,"&gt;"&amp;AI1484)+SUMIFS($AF$7:$AF$1576,$BU$7:$BU$1576,BU1484,$AI$7:$AI$1576,AI1484,$BO$7:$BO$1576,"&lt;="&amp;BO1484),"")</f>
        <v/>
      </c>
      <c r="AK1484" s="65" t="n">
        <f aca="false">IF(AJ1484="",0,MAX(0,MIN(1,(IF(BU1484="L1",Parameter!$E$5,Parameter!$E$6+Parameter!$E$7)-(AJ1484-AF1484))/AF1484)))</f>
        <v>0</v>
      </c>
      <c r="AL1484" s="57" t="n">
        <f aca="false">IF(LEFT(Cockpit!$I$5,1)="A",G1484,IF(BW1484=1,BX1484,IF(LEFT(Cockpit!$I$5,1)="B",AP1484,MAX(AP1484,G1484))))</f>
        <v>0</v>
      </c>
      <c r="AM1484" s="57" t="n">
        <f aca="false">IF(BR1484=1,0,ROUNDUP(AL1484/BQ1484,0))</f>
        <v>0</v>
      </c>
      <c r="AN1484" s="59" t="n">
        <f aca="false">IF(CD1484&gt;0,CD1484*MAX(1,AL1484/V1484),IF(BR1484=1,IF(AL1484&lt;=0,0,BS1484*MAX(1,IF(G1484&gt;0,AL1484/G1484,1))),IF(Q1484&gt;0,AM1484/Q1484,0))/MAX(0.1,N(Parameter!$M$21)))</f>
        <v>0</v>
      </c>
      <c r="AO1484" s="57" t="n">
        <f aca="false">AL1484*F1484</f>
        <v>0</v>
      </c>
      <c r="AP1484" s="57" t="n">
        <f aca="false">ROUNDUP(MAX(I1484/IF(BV1484&gt;0,BV1484,MAX(0.1,N(Cockpit!$I$6))),BY1484)/BQ1484,0)*BQ1484</f>
        <v>0</v>
      </c>
      <c r="AQ1484" s="58" t="n">
        <f aca="false">IF(AN1484&gt;0,I1484/AN1484,-1)</f>
        <v>-1</v>
      </c>
      <c r="AR1484" s="58" t="str">
        <f aca="false">IF(AND(OR(BU1484="L1",BU1484="L23"),AN1484&gt;0),SUMIFS($AN$7:$AN$1576,$BU$7:$BU$1576,BU1484,$AQ$7:$AQ$1576,"&gt;"&amp;AQ1484)+SUMIFS($AN$7:$AN$1576,$BU$7:$BU$1576,BU1484,$AQ$7:$AQ$1576,AQ1484,$BO$7:$BO$1576,"&lt;="&amp;BO1484),"")</f>
        <v/>
      </c>
      <c r="AS1484" s="65" t="n">
        <f aca="false">IF(AR1484="",0,MAX(0,MIN(1,(IF(BU1484="L1",Parameter!$E$5,Parameter!$E$6+Parameter!$E$7)-(AR1484-AN1484))/AN1484)))</f>
        <v>0</v>
      </c>
      <c r="AT1484" s="57" t="n">
        <f aca="false">IF(LEFT(Cockpit!$O$5,1)="A",G1484,IF(BW1484=1,BX1484,IF(LEFT(Cockpit!$O$5,1)="B",AX1484,MAX(AX1484,G1484))))</f>
        <v>0</v>
      </c>
      <c r="AU1484" s="57" t="n">
        <f aca="false">IF(BR1484=1,0,ROUNDUP(AT1484/BQ1484,0))</f>
        <v>0</v>
      </c>
      <c r="AV1484" s="59" t="n">
        <f aca="false">IF(CD1484&gt;0,CD1484*MAX(1,AT1484/V1484),IF(BR1484=1,IF(AT1484&lt;=0,0,BS1484*MAX(1,IF(G1484&gt;0,AT1484/G1484,1))),IF(Q1484&gt;0,AU1484/Q1484,0))/MAX(0.1,N(Parameter!$M$21)))</f>
        <v>0</v>
      </c>
      <c r="AW1484" s="57" t="n">
        <f aca="false">AT1484*F1484</f>
        <v>0</v>
      </c>
      <c r="AX1484" s="57" t="n">
        <f aca="false">ROUNDUP(MAX(I1484/IF(BV1484&gt;0,BV1484,MAX(0.1,N(Cockpit!$O$6))),BY1484)/BQ1484,0)*BQ1484</f>
        <v>0</v>
      </c>
      <c r="AY1484" s="58" t="n">
        <f aca="false">IF(AV1484&gt;0,I1484/AV1484,-1)</f>
        <v>-1</v>
      </c>
      <c r="AZ1484" s="58" t="str">
        <f aca="false">IF(AND(OR(BU1484="L1",BU1484="L23"),AV1484&gt;0),SUMIFS($AV$7:$AV$1576,$BU$7:$BU$1576,BU1484,$AY$7:$AY$1576,"&gt;"&amp;AY1484)+SUMIFS($AV$7:$AV$1576,$BU$7:$BU$1576,BU1484,$AY$7:$AY$1576,AY1484,$BO$7:$BO$1576,"&lt;="&amp;BO1484),"")</f>
        <v/>
      </c>
      <c r="BA1484" s="65" t="n">
        <f aca="false">IF(AZ1484="",0,MAX(0,MIN(1,(IF(BU1484="L1",Parameter!$E$5,Parameter!$E$6+Parameter!$E$7)-(AZ1484-AV1484))/AV1484)))</f>
        <v>0</v>
      </c>
      <c r="BB1484" s="55" t="str">
        <f aca="false">IF(AF1484&lt;=0,"",IF(BU1484="Aussen","Aussenlager",IF(BU1484="-","Nicht im Lift",IF(AK1484&gt;=1,"Lift",IF(AK1484&lt;=0,"Aussenlager","teilweise")))))</f>
        <v/>
      </c>
      <c r="BC1484" s="55" t="str">
        <f aca="false">IF(AN1484&lt;=0,"",IF(BU1484="Aussen","Aussenlager",IF(BU1484="-","Nicht im Lift",IF(AS1484&gt;=1,"Lift",IF(AS1484&lt;=0,"Aussenlager","teilweise")))))</f>
        <v/>
      </c>
      <c r="BD1484" s="55" t="str">
        <f aca="false">IF(AV1484&lt;=0,"",IF(BU1484="Aussen","Aussenlager",IF(BU1484="-","Nicht im Lift",IF(BA1484&gt;=1,"Lift",IF(BA1484&lt;=0,"Aussenlager","teilweise")))))</f>
        <v/>
      </c>
      <c r="BE1484" s="55" t="str">
        <f aca="false">IF(A1484="","",IF(BN1484=1,"Neu; ","")&amp;IF(AND(BN1484=0,BI1484&lt;0),"negativer Bestand (Export "&amp;BI1484&amp;"); ","")&amp;IF(I1484&lt;=0,"Kein Verbrauch; ","")&amp;IF(CD1484&gt;0,"Lift "&amp;U1484&amp;" lt. Liftbericht (Fach "&amp;V1484&amp;" Stk); ",IF(BR1484=1,"Lose – Fläche geschätzt; ",""))&amp;IF(G1484&gt;AP1484,"Überbestand "&amp;ROUND(G1484-AP1484,0)&amp;" Stk / CHF "&amp;ROUND((G1484-AP1484)*F1484,0)&amp;"; ","")&amp;IF(AND(BW1484=1,BX1484&lt;BY1484),"MAX &lt; MB+LG; ","")&amp;IF(AND(CC1484&gt;0,CB1484*10&gt;CC1484),"zu hoch für Tablar; ","")&amp;IF(AND(BN1484=0,OR(BW1484=1,Y1484&lt;&gt;"",S1484&lt;&gt;"",T1484&lt;&gt;"",Z1484&lt;&gt;"")),"manuell übersteuert; ","")&amp;IF(AND(BR1484=0,Q1484=0),"Gebinde unbekannt / Stellmass fehlt; ","")&amp;IF(AND(BR1484=0,N(T1484)&lt;=0,N(P1484)&lt;=0),"Menge pro Gebinde fehlt (Ist = 1 Gebinde); ","")&amp;BM1484)</f>
        <v/>
      </c>
      <c r="BF1484" s="55"/>
      <c r="BG1484" s="55"/>
      <c r="BH1484" s="62"/>
      <c r="BI1484" s="57" t="n">
        <f aca="false">N('Neue Artikel'!$D$12)</f>
        <v>0</v>
      </c>
      <c r="BJ1484" s="57" t="n">
        <v>0</v>
      </c>
      <c r="BK1484" s="56" t="n">
        <v>0</v>
      </c>
      <c r="BL1484" s="57" t="n">
        <f aca="false">N('Neue Artikel'!$C$12)/Parameter!$B$18</f>
        <v>0</v>
      </c>
      <c r="BM1484" s="55"/>
      <c r="BN1484" s="60" t="n">
        <v>1</v>
      </c>
      <c r="BO1484" s="60" t="n">
        <v>1484</v>
      </c>
      <c r="BP1484" s="55" t="str">
        <f aca="false">IF(S1484&lt;&gt;"",UPPER(TRIM(S1484)),IF(O1484="","LOSE",O1484))</f>
        <v>LOSE</v>
      </c>
      <c r="BQ1484" s="57" t="n">
        <f aca="false">IF(BP1484="LOSE",1,IF(N(T1484)&gt;0,T1484,IF(N(P1484)&gt;0,P1484,MAX(1,G1484))))</f>
        <v>1</v>
      </c>
      <c r="BR1484" s="60" t="n">
        <f aca="false">IF(BP1484="LOSE",1,0)</f>
        <v>1</v>
      </c>
      <c r="BS1484" s="59" t="n">
        <f aca="false">IF(BR1484=0,0,IF(N(R1484)&gt;0,R1484,IFERROR(VLOOKUP(D1484,Parameter!$A$35:$C$64,3,0)+0,0)))</f>
        <v>0.15</v>
      </c>
      <c r="BT1484" s="55" t="str">
        <f aca="false">IF(Y1484&lt;&gt;"",Y1484,X1484)</f>
        <v/>
      </c>
      <c r="BU1484" s="55" t="str">
        <f aca="false">IF(BT1484=1,"L1",IF(OR(BT1484=2,BT1484=3),"L23",IF(BT1484="Aussen","Aussen","-")))</f>
        <v>-</v>
      </c>
      <c r="BV1484" s="66" t="n">
        <f aca="false">IF(N(Z1484)&gt;0,Z1484,0)</f>
        <v>0</v>
      </c>
      <c r="BW1484" s="60" t="n">
        <f aca="false">IF(ISNUMBER(AC1484),1,0)</f>
        <v>0</v>
      </c>
      <c r="BX1484" s="57" t="n">
        <f aca="false">N(AC1484)</f>
        <v>0</v>
      </c>
      <c r="BY1484" s="57" t="n">
        <f aca="false">N(L1484)+N(M1484)</f>
        <v>0</v>
      </c>
      <c r="BZ1484" s="57" t="n">
        <f aca="false">ROUNDUP(G1484/BQ1484,0)</f>
        <v>0</v>
      </c>
      <c r="CA1484" s="57" t="n">
        <f aca="false">ROUNDUP(BX1484/BQ1484,0)</f>
        <v>0</v>
      </c>
      <c r="CB1484" s="60" t="n">
        <f aca="false">IF(BR1484=1,0,IFERROR(VLOOKUP(BP1484,'Gebinde-Kategorie'!$A$5:$M$45,5,0)+0,0))</f>
        <v>0</v>
      </c>
      <c r="CC1484" s="60" t="n">
        <f aca="false">IFERROR(IF(OR(BT1484=1,BT1484=2,BT1484=3),N(INDEX(Parameter!$I$5:$I$7,BT1484)),0),0)</f>
        <v>0</v>
      </c>
      <c r="CD1484" s="59" t="n">
        <f aca="false">IF(AND(Parameter!$B$21="Ja",ISNUMBER(U1484),N(V1484)&gt;0),IFERROR(N(INDEX(Parameter!$L$5:$L$7,U1484))*INDEX(Parameter!$E$5:$E$7,U1484)*V1484/SUMIFS($V$7:$V$1576,$U$7:$U$1576,U1484),0),0)</f>
        <v>0</v>
      </c>
    </row>
    <row r="1485" customFormat="false" ht="15" hidden="false" customHeight="false" outlineLevel="0" collapsed="false">
      <c r="A1485" s="55" t="str">
        <f aca="false">IF('Neue Artikel'!$A$13="","",'Neue Artikel'!$A$13&amp;"")</f>
        <v/>
      </c>
      <c r="B1485" s="55" t="str">
        <f aca="false">'Neue Artikel'!$B$13&amp;""</f>
        <v/>
      </c>
      <c r="C1485" s="55"/>
      <c r="D1485" s="55" t="s">
        <v>2561</v>
      </c>
      <c r="E1485" s="55"/>
      <c r="F1485" s="56" t="n">
        <f aca="false">N('Neue Artikel'!$G$13)</f>
        <v>0</v>
      </c>
      <c r="G1485" s="57" t="n">
        <f aca="false">MAX(0,IF(AND(Parameter!$B$21="Ja",ISNUMBER(W1485)),W1485,IF(Parameter!$B$20="Jahresanfang 2025 + Export",BJ1485+BI1485,BI1485)))</f>
        <v>0</v>
      </c>
      <c r="H1485" s="57" t="n">
        <f aca="false">G1485*F1485</f>
        <v>0</v>
      </c>
      <c r="I1485" s="57" t="n">
        <f aca="false">BL1485*Parameter!$B$18</f>
        <v>0</v>
      </c>
      <c r="J1485" s="58"/>
      <c r="K1485" s="59"/>
      <c r="L1485" s="57" t="n">
        <f aca="false">N('Neue Artikel'!$E$13)</f>
        <v>0</v>
      </c>
      <c r="M1485" s="57" t="n">
        <f aca="false">N('Neue Artikel'!$F$13)</f>
        <v>0</v>
      </c>
      <c r="N1485" s="60"/>
      <c r="O1485" s="55" t="str">
        <f aca="false">IF('Neue Artikel'!$H$13="","LOSE",UPPER(TRIM('Neue Artikel'!$H$13)))</f>
        <v>LOSE</v>
      </c>
      <c r="P1485" s="57" t="n">
        <f aca="false">N('Neue Artikel'!$I$13)</f>
        <v>0</v>
      </c>
      <c r="Q1485" s="60" t="n">
        <f aca="false">IF(BR1485=1,0,IFERROR(VLOOKUP(BP1485,'Gebinde-Kategorie'!$A$5:$M$45,13,0)+0,0))</f>
        <v>0</v>
      </c>
      <c r="R1485" s="61"/>
      <c r="S1485" s="62"/>
      <c r="T1485" s="62"/>
      <c r="U1485" s="55"/>
      <c r="V1485" s="57"/>
      <c r="W1485" s="57"/>
      <c r="X1485" s="55" t="str">
        <f aca="false">IF(A1485="","",IF(AND(Parameter!$B$21="Ja",ISNUMBER(U1485)),U1485,IF(IFERROR(VLOOKUP(D1485,Parameter!$A$35:$C$64,2,0),"Nein")="2+3",IF(ISNUMBER(SEARCH("grosser Artikel",BM1485)),2,IFERROR(VLOOKUP(BP1485,Parameter!$F$35:$G$64,2,0),2)),IF(OR(IFERROR(VLOOKUP(D1485,Parameter!$A$35:$C$64,2,0),"Nein")="Nein",IFERROR(VLOOKUP(D1485,Parameter!$A$35:$C$64,2,0),"Nein")=""),"-",VLOOKUP(D1485,Parameter!$A$35:$C$64,2,0)))))</f>
        <v/>
      </c>
      <c r="Y1485" s="55" t="str">
        <f aca="false">IF('Neue Artikel'!$J$13="","",'Neue Artikel'!$J$13)</f>
        <v/>
      </c>
      <c r="Z1485" s="63"/>
      <c r="AA1485" s="57" t="n">
        <f aca="false">AP1485</f>
        <v>0</v>
      </c>
      <c r="AB1485" s="57" t="n">
        <f aca="false">MAX(AP1485,G1485)</f>
        <v>0</v>
      </c>
      <c r="AC1485" s="64"/>
      <c r="AD1485" s="57" t="n">
        <f aca="false">IF(LEFT(Cockpit!$C$5,1)="A",G1485,IF(BW1485=1,BX1485,IF(LEFT(Cockpit!$C$5,1)="B",AH1485,MAX(AH1485,G1485))))</f>
        <v>0</v>
      </c>
      <c r="AE1485" s="57" t="n">
        <f aca="false">IF(BR1485=1,0,ROUNDUP(AD1485/BQ1485,0))</f>
        <v>0</v>
      </c>
      <c r="AF1485" s="59" t="n">
        <f aca="false">IF(CD1485&gt;0,CD1485*MAX(1,AD1485/V1485),IF(BR1485=1,IF(AD1485&lt;=0,0,BS1485*MAX(1,IF(G1485&gt;0,AD1485/G1485,1))),IF(Q1485&gt;0,AE1485/Q1485,0))/MAX(0.1,N(Parameter!$M$21)))</f>
        <v>0</v>
      </c>
      <c r="AG1485" s="57" t="n">
        <f aca="false">AD1485*F1485</f>
        <v>0</v>
      </c>
      <c r="AH1485" s="57" t="n">
        <f aca="false">ROUNDUP(MAX(I1485/IF(BV1485&gt;0,BV1485,MAX(0.1,N(Cockpit!$C$6))),BY1485)/BQ1485,0)*BQ1485</f>
        <v>0</v>
      </c>
      <c r="AI1485" s="58" t="n">
        <f aca="false">IF(AF1485&gt;0,I1485/AF1485,-1)</f>
        <v>-1</v>
      </c>
      <c r="AJ1485" s="58" t="str">
        <f aca="false">IF(AND(OR(BU1485="L1",BU1485="L23"),AF1485&gt;0),SUMIFS($AF$7:$AF$1576,$BU$7:$BU$1576,BU1485,$AI$7:$AI$1576,"&gt;"&amp;AI1485)+SUMIFS($AF$7:$AF$1576,$BU$7:$BU$1576,BU1485,$AI$7:$AI$1576,AI1485,$BO$7:$BO$1576,"&lt;="&amp;BO1485),"")</f>
        <v/>
      </c>
      <c r="AK1485" s="65" t="n">
        <f aca="false">IF(AJ1485="",0,MAX(0,MIN(1,(IF(BU1485="L1",Parameter!$E$5,Parameter!$E$6+Parameter!$E$7)-(AJ1485-AF1485))/AF1485)))</f>
        <v>0</v>
      </c>
      <c r="AL1485" s="57" t="n">
        <f aca="false">IF(LEFT(Cockpit!$I$5,1)="A",G1485,IF(BW1485=1,BX1485,IF(LEFT(Cockpit!$I$5,1)="B",AP1485,MAX(AP1485,G1485))))</f>
        <v>0</v>
      </c>
      <c r="AM1485" s="57" t="n">
        <f aca="false">IF(BR1485=1,0,ROUNDUP(AL1485/BQ1485,0))</f>
        <v>0</v>
      </c>
      <c r="AN1485" s="59" t="n">
        <f aca="false">IF(CD1485&gt;0,CD1485*MAX(1,AL1485/V1485),IF(BR1485=1,IF(AL1485&lt;=0,0,BS1485*MAX(1,IF(G1485&gt;0,AL1485/G1485,1))),IF(Q1485&gt;0,AM1485/Q1485,0))/MAX(0.1,N(Parameter!$M$21)))</f>
        <v>0</v>
      </c>
      <c r="AO1485" s="57" t="n">
        <f aca="false">AL1485*F1485</f>
        <v>0</v>
      </c>
      <c r="AP1485" s="57" t="n">
        <f aca="false">ROUNDUP(MAX(I1485/IF(BV1485&gt;0,BV1485,MAX(0.1,N(Cockpit!$I$6))),BY1485)/BQ1485,0)*BQ1485</f>
        <v>0</v>
      </c>
      <c r="AQ1485" s="58" t="n">
        <f aca="false">IF(AN1485&gt;0,I1485/AN1485,-1)</f>
        <v>-1</v>
      </c>
      <c r="AR1485" s="58" t="str">
        <f aca="false">IF(AND(OR(BU1485="L1",BU1485="L23"),AN1485&gt;0),SUMIFS($AN$7:$AN$1576,$BU$7:$BU$1576,BU1485,$AQ$7:$AQ$1576,"&gt;"&amp;AQ1485)+SUMIFS($AN$7:$AN$1576,$BU$7:$BU$1576,BU1485,$AQ$7:$AQ$1576,AQ1485,$BO$7:$BO$1576,"&lt;="&amp;BO1485),"")</f>
        <v/>
      </c>
      <c r="AS1485" s="65" t="n">
        <f aca="false">IF(AR1485="",0,MAX(0,MIN(1,(IF(BU1485="L1",Parameter!$E$5,Parameter!$E$6+Parameter!$E$7)-(AR1485-AN1485))/AN1485)))</f>
        <v>0</v>
      </c>
      <c r="AT1485" s="57" t="n">
        <f aca="false">IF(LEFT(Cockpit!$O$5,1)="A",G1485,IF(BW1485=1,BX1485,IF(LEFT(Cockpit!$O$5,1)="B",AX1485,MAX(AX1485,G1485))))</f>
        <v>0</v>
      </c>
      <c r="AU1485" s="57" t="n">
        <f aca="false">IF(BR1485=1,0,ROUNDUP(AT1485/BQ1485,0))</f>
        <v>0</v>
      </c>
      <c r="AV1485" s="59" t="n">
        <f aca="false">IF(CD1485&gt;0,CD1485*MAX(1,AT1485/V1485),IF(BR1485=1,IF(AT1485&lt;=0,0,BS1485*MAX(1,IF(G1485&gt;0,AT1485/G1485,1))),IF(Q1485&gt;0,AU1485/Q1485,0))/MAX(0.1,N(Parameter!$M$21)))</f>
        <v>0</v>
      </c>
      <c r="AW1485" s="57" t="n">
        <f aca="false">AT1485*F1485</f>
        <v>0</v>
      </c>
      <c r="AX1485" s="57" t="n">
        <f aca="false">ROUNDUP(MAX(I1485/IF(BV1485&gt;0,BV1485,MAX(0.1,N(Cockpit!$O$6))),BY1485)/BQ1485,0)*BQ1485</f>
        <v>0</v>
      </c>
      <c r="AY1485" s="58" t="n">
        <f aca="false">IF(AV1485&gt;0,I1485/AV1485,-1)</f>
        <v>-1</v>
      </c>
      <c r="AZ1485" s="58" t="str">
        <f aca="false">IF(AND(OR(BU1485="L1",BU1485="L23"),AV1485&gt;0),SUMIFS($AV$7:$AV$1576,$BU$7:$BU$1576,BU1485,$AY$7:$AY$1576,"&gt;"&amp;AY1485)+SUMIFS($AV$7:$AV$1576,$BU$7:$BU$1576,BU1485,$AY$7:$AY$1576,AY1485,$BO$7:$BO$1576,"&lt;="&amp;BO1485),"")</f>
        <v/>
      </c>
      <c r="BA1485" s="65" t="n">
        <f aca="false">IF(AZ1485="",0,MAX(0,MIN(1,(IF(BU1485="L1",Parameter!$E$5,Parameter!$E$6+Parameter!$E$7)-(AZ1485-AV1485))/AV1485)))</f>
        <v>0</v>
      </c>
      <c r="BB1485" s="55" t="str">
        <f aca="false">IF(AF1485&lt;=0,"",IF(BU1485="Aussen","Aussenlager",IF(BU1485="-","Nicht im Lift",IF(AK1485&gt;=1,"Lift",IF(AK1485&lt;=0,"Aussenlager","teilweise")))))</f>
        <v/>
      </c>
      <c r="BC1485" s="55" t="str">
        <f aca="false">IF(AN1485&lt;=0,"",IF(BU1485="Aussen","Aussenlager",IF(BU1485="-","Nicht im Lift",IF(AS1485&gt;=1,"Lift",IF(AS1485&lt;=0,"Aussenlager","teilweise")))))</f>
        <v/>
      </c>
      <c r="BD1485" s="55" t="str">
        <f aca="false">IF(AV1485&lt;=0,"",IF(BU1485="Aussen","Aussenlager",IF(BU1485="-","Nicht im Lift",IF(BA1485&gt;=1,"Lift",IF(BA1485&lt;=0,"Aussenlager","teilweise")))))</f>
        <v/>
      </c>
      <c r="BE1485" s="55" t="str">
        <f aca="false">IF(A1485="","",IF(BN1485=1,"Neu; ","")&amp;IF(AND(BN1485=0,BI1485&lt;0),"negativer Bestand (Export "&amp;BI1485&amp;"); ","")&amp;IF(I1485&lt;=0,"Kein Verbrauch; ","")&amp;IF(CD1485&gt;0,"Lift "&amp;U1485&amp;" lt. Liftbericht (Fach "&amp;V1485&amp;" Stk); ",IF(BR1485=1,"Lose – Fläche geschätzt; ",""))&amp;IF(G1485&gt;AP1485,"Überbestand "&amp;ROUND(G1485-AP1485,0)&amp;" Stk / CHF "&amp;ROUND((G1485-AP1485)*F1485,0)&amp;"; ","")&amp;IF(AND(BW1485=1,BX1485&lt;BY1485),"MAX &lt; MB+LG; ","")&amp;IF(AND(CC1485&gt;0,CB1485*10&gt;CC1485),"zu hoch für Tablar; ","")&amp;IF(AND(BN1485=0,OR(BW1485=1,Y1485&lt;&gt;"",S1485&lt;&gt;"",T1485&lt;&gt;"",Z1485&lt;&gt;"")),"manuell übersteuert; ","")&amp;IF(AND(BR1485=0,Q1485=0),"Gebinde unbekannt / Stellmass fehlt; ","")&amp;IF(AND(BR1485=0,N(T1485)&lt;=0,N(P1485)&lt;=0),"Menge pro Gebinde fehlt (Ist = 1 Gebinde); ","")&amp;BM1485)</f>
        <v/>
      </c>
      <c r="BF1485" s="55"/>
      <c r="BG1485" s="55"/>
      <c r="BH1485" s="62"/>
      <c r="BI1485" s="57" t="n">
        <f aca="false">N('Neue Artikel'!$D$13)</f>
        <v>0</v>
      </c>
      <c r="BJ1485" s="57" t="n">
        <v>0</v>
      </c>
      <c r="BK1485" s="56" t="n">
        <v>0</v>
      </c>
      <c r="BL1485" s="57" t="n">
        <f aca="false">N('Neue Artikel'!$C$13)/Parameter!$B$18</f>
        <v>0</v>
      </c>
      <c r="BM1485" s="55"/>
      <c r="BN1485" s="60" t="n">
        <v>1</v>
      </c>
      <c r="BO1485" s="60" t="n">
        <v>1485</v>
      </c>
      <c r="BP1485" s="55" t="str">
        <f aca="false">IF(S1485&lt;&gt;"",UPPER(TRIM(S1485)),IF(O1485="","LOSE",O1485))</f>
        <v>LOSE</v>
      </c>
      <c r="BQ1485" s="57" t="n">
        <f aca="false">IF(BP1485="LOSE",1,IF(N(T1485)&gt;0,T1485,IF(N(P1485)&gt;0,P1485,MAX(1,G1485))))</f>
        <v>1</v>
      </c>
      <c r="BR1485" s="60" t="n">
        <f aca="false">IF(BP1485="LOSE",1,0)</f>
        <v>1</v>
      </c>
      <c r="BS1485" s="59" t="n">
        <f aca="false">IF(BR1485=0,0,IF(N(R1485)&gt;0,R1485,IFERROR(VLOOKUP(D1485,Parameter!$A$35:$C$64,3,0)+0,0)))</f>
        <v>0.15</v>
      </c>
      <c r="BT1485" s="55" t="str">
        <f aca="false">IF(Y1485&lt;&gt;"",Y1485,X1485)</f>
        <v/>
      </c>
      <c r="BU1485" s="55" t="str">
        <f aca="false">IF(BT1485=1,"L1",IF(OR(BT1485=2,BT1485=3),"L23",IF(BT1485="Aussen","Aussen","-")))</f>
        <v>-</v>
      </c>
      <c r="BV1485" s="66" t="n">
        <f aca="false">IF(N(Z1485)&gt;0,Z1485,0)</f>
        <v>0</v>
      </c>
      <c r="BW1485" s="60" t="n">
        <f aca="false">IF(ISNUMBER(AC1485),1,0)</f>
        <v>0</v>
      </c>
      <c r="BX1485" s="57" t="n">
        <f aca="false">N(AC1485)</f>
        <v>0</v>
      </c>
      <c r="BY1485" s="57" t="n">
        <f aca="false">N(L1485)+N(M1485)</f>
        <v>0</v>
      </c>
      <c r="BZ1485" s="57" t="n">
        <f aca="false">ROUNDUP(G1485/BQ1485,0)</f>
        <v>0</v>
      </c>
      <c r="CA1485" s="57" t="n">
        <f aca="false">ROUNDUP(BX1485/BQ1485,0)</f>
        <v>0</v>
      </c>
      <c r="CB1485" s="60" t="n">
        <f aca="false">IF(BR1485=1,0,IFERROR(VLOOKUP(BP1485,'Gebinde-Kategorie'!$A$5:$M$45,5,0)+0,0))</f>
        <v>0</v>
      </c>
      <c r="CC1485" s="60" t="n">
        <f aca="false">IFERROR(IF(OR(BT1485=1,BT1485=2,BT1485=3),N(INDEX(Parameter!$I$5:$I$7,BT1485)),0),0)</f>
        <v>0</v>
      </c>
      <c r="CD1485" s="59" t="n">
        <f aca="false">IF(AND(Parameter!$B$21="Ja",ISNUMBER(U1485),N(V1485)&gt;0),IFERROR(N(INDEX(Parameter!$L$5:$L$7,U1485))*INDEX(Parameter!$E$5:$E$7,U1485)*V1485/SUMIFS($V$7:$V$1576,$U$7:$U$1576,U1485),0),0)</f>
        <v>0</v>
      </c>
    </row>
    <row r="1486" customFormat="false" ht="15" hidden="false" customHeight="false" outlineLevel="0" collapsed="false">
      <c r="A1486" s="55" t="str">
        <f aca="false">IF('Neue Artikel'!$A$14="","",'Neue Artikel'!$A$14&amp;"")</f>
        <v/>
      </c>
      <c r="B1486" s="55" t="str">
        <f aca="false">'Neue Artikel'!$B$14&amp;""</f>
        <v/>
      </c>
      <c r="C1486" s="55"/>
      <c r="D1486" s="55" t="s">
        <v>2561</v>
      </c>
      <c r="E1486" s="55"/>
      <c r="F1486" s="56" t="n">
        <f aca="false">N('Neue Artikel'!$G$14)</f>
        <v>0</v>
      </c>
      <c r="G1486" s="57" t="n">
        <f aca="false">MAX(0,IF(AND(Parameter!$B$21="Ja",ISNUMBER(W1486)),W1486,IF(Parameter!$B$20="Jahresanfang 2025 + Export",BJ1486+BI1486,BI1486)))</f>
        <v>0</v>
      </c>
      <c r="H1486" s="57" t="n">
        <f aca="false">G1486*F1486</f>
        <v>0</v>
      </c>
      <c r="I1486" s="57" t="n">
        <f aca="false">BL1486*Parameter!$B$18</f>
        <v>0</v>
      </c>
      <c r="J1486" s="58"/>
      <c r="K1486" s="59"/>
      <c r="L1486" s="57" t="n">
        <f aca="false">N('Neue Artikel'!$E$14)</f>
        <v>0</v>
      </c>
      <c r="M1486" s="57" t="n">
        <f aca="false">N('Neue Artikel'!$F$14)</f>
        <v>0</v>
      </c>
      <c r="N1486" s="60"/>
      <c r="O1486" s="55" t="str">
        <f aca="false">IF('Neue Artikel'!$H$14="","LOSE",UPPER(TRIM('Neue Artikel'!$H$14)))</f>
        <v>LOSE</v>
      </c>
      <c r="P1486" s="57" t="n">
        <f aca="false">N('Neue Artikel'!$I$14)</f>
        <v>0</v>
      </c>
      <c r="Q1486" s="60" t="n">
        <f aca="false">IF(BR1486=1,0,IFERROR(VLOOKUP(BP1486,'Gebinde-Kategorie'!$A$5:$M$45,13,0)+0,0))</f>
        <v>0</v>
      </c>
      <c r="R1486" s="61"/>
      <c r="S1486" s="62"/>
      <c r="T1486" s="62"/>
      <c r="U1486" s="55"/>
      <c r="V1486" s="57"/>
      <c r="W1486" s="57"/>
      <c r="X1486" s="55" t="str">
        <f aca="false">IF(A1486="","",IF(AND(Parameter!$B$21="Ja",ISNUMBER(U1486)),U1486,IF(IFERROR(VLOOKUP(D1486,Parameter!$A$35:$C$64,2,0),"Nein")="2+3",IF(ISNUMBER(SEARCH("grosser Artikel",BM1486)),2,IFERROR(VLOOKUP(BP1486,Parameter!$F$35:$G$64,2,0),2)),IF(OR(IFERROR(VLOOKUP(D1486,Parameter!$A$35:$C$64,2,0),"Nein")="Nein",IFERROR(VLOOKUP(D1486,Parameter!$A$35:$C$64,2,0),"Nein")=""),"-",VLOOKUP(D1486,Parameter!$A$35:$C$64,2,0)))))</f>
        <v/>
      </c>
      <c r="Y1486" s="55" t="str">
        <f aca="false">IF('Neue Artikel'!$J$14="","",'Neue Artikel'!$J$14)</f>
        <v/>
      </c>
      <c r="Z1486" s="63"/>
      <c r="AA1486" s="57" t="n">
        <f aca="false">AP1486</f>
        <v>0</v>
      </c>
      <c r="AB1486" s="57" t="n">
        <f aca="false">MAX(AP1486,G1486)</f>
        <v>0</v>
      </c>
      <c r="AC1486" s="64"/>
      <c r="AD1486" s="57" t="n">
        <f aca="false">IF(LEFT(Cockpit!$C$5,1)="A",G1486,IF(BW1486=1,BX1486,IF(LEFT(Cockpit!$C$5,1)="B",AH1486,MAX(AH1486,G1486))))</f>
        <v>0</v>
      </c>
      <c r="AE1486" s="57" t="n">
        <f aca="false">IF(BR1486=1,0,ROUNDUP(AD1486/BQ1486,0))</f>
        <v>0</v>
      </c>
      <c r="AF1486" s="59" t="n">
        <f aca="false">IF(CD1486&gt;0,CD1486*MAX(1,AD1486/V1486),IF(BR1486=1,IF(AD1486&lt;=0,0,BS1486*MAX(1,IF(G1486&gt;0,AD1486/G1486,1))),IF(Q1486&gt;0,AE1486/Q1486,0))/MAX(0.1,N(Parameter!$M$21)))</f>
        <v>0</v>
      </c>
      <c r="AG1486" s="57" t="n">
        <f aca="false">AD1486*F1486</f>
        <v>0</v>
      </c>
      <c r="AH1486" s="57" t="n">
        <f aca="false">ROUNDUP(MAX(I1486/IF(BV1486&gt;0,BV1486,MAX(0.1,N(Cockpit!$C$6))),BY1486)/BQ1486,0)*BQ1486</f>
        <v>0</v>
      </c>
      <c r="AI1486" s="58" t="n">
        <f aca="false">IF(AF1486&gt;0,I1486/AF1486,-1)</f>
        <v>-1</v>
      </c>
      <c r="AJ1486" s="58" t="str">
        <f aca="false">IF(AND(OR(BU1486="L1",BU1486="L23"),AF1486&gt;0),SUMIFS($AF$7:$AF$1576,$BU$7:$BU$1576,BU1486,$AI$7:$AI$1576,"&gt;"&amp;AI1486)+SUMIFS($AF$7:$AF$1576,$BU$7:$BU$1576,BU1486,$AI$7:$AI$1576,AI1486,$BO$7:$BO$1576,"&lt;="&amp;BO1486),"")</f>
        <v/>
      </c>
      <c r="AK1486" s="65" t="n">
        <f aca="false">IF(AJ1486="",0,MAX(0,MIN(1,(IF(BU1486="L1",Parameter!$E$5,Parameter!$E$6+Parameter!$E$7)-(AJ1486-AF1486))/AF1486)))</f>
        <v>0</v>
      </c>
      <c r="AL1486" s="57" t="n">
        <f aca="false">IF(LEFT(Cockpit!$I$5,1)="A",G1486,IF(BW1486=1,BX1486,IF(LEFT(Cockpit!$I$5,1)="B",AP1486,MAX(AP1486,G1486))))</f>
        <v>0</v>
      </c>
      <c r="AM1486" s="57" t="n">
        <f aca="false">IF(BR1486=1,0,ROUNDUP(AL1486/BQ1486,0))</f>
        <v>0</v>
      </c>
      <c r="AN1486" s="59" t="n">
        <f aca="false">IF(CD1486&gt;0,CD1486*MAX(1,AL1486/V1486),IF(BR1486=1,IF(AL1486&lt;=0,0,BS1486*MAX(1,IF(G1486&gt;0,AL1486/G1486,1))),IF(Q1486&gt;0,AM1486/Q1486,0))/MAX(0.1,N(Parameter!$M$21)))</f>
        <v>0</v>
      </c>
      <c r="AO1486" s="57" t="n">
        <f aca="false">AL1486*F1486</f>
        <v>0</v>
      </c>
      <c r="AP1486" s="57" t="n">
        <f aca="false">ROUNDUP(MAX(I1486/IF(BV1486&gt;0,BV1486,MAX(0.1,N(Cockpit!$I$6))),BY1486)/BQ1486,0)*BQ1486</f>
        <v>0</v>
      </c>
      <c r="AQ1486" s="58" t="n">
        <f aca="false">IF(AN1486&gt;0,I1486/AN1486,-1)</f>
        <v>-1</v>
      </c>
      <c r="AR1486" s="58" t="str">
        <f aca="false">IF(AND(OR(BU1486="L1",BU1486="L23"),AN1486&gt;0),SUMIFS($AN$7:$AN$1576,$BU$7:$BU$1576,BU1486,$AQ$7:$AQ$1576,"&gt;"&amp;AQ1486)+SUMIFS($AN$7:$AN$1576,$BU$7:$BU$1576,BU1486,$AQ$7:$AQ$1576,AQ1486,$BO$7:$BO$1576,"&lt;="&amp;BO1486),"")</f>
        <v/>
      </c>
      <c r="AS1486" s="65" t="n">
        <f aca="false">IF(AR1486="",0,MAX(0,MIN(1,(IF(BU1486="L1",Parameter!$E$5,Parameter!$E$6+Parameter!$E$7)-(AR1486-AN1486))/AN1486)))</f>
        <v>0</v>
      </c>
      <c r="AT1486" s="57" t="n">
        <f aca="false">IF(LEFT(Cockpit!$O$5,1)="A",G1486,IF(BW1486=1,BX1486,IF(LEFT(Cockpit!$O$5,1)="B",AX1486,MAX(AX1486,G1486))))</f>
        <v>0</v>
      </c>
      <c r="AU1486" s="57" t="n">
        <f aca="false">IF(BR1486=1,0,ROUNDUP(AT1486/BQ1486,0))</f>
        <v>0</v>
      </c>
      <c r="AV1486" s="59" t="n">
        <f aca="false">IF(CD1486&gt;0,CD1486*MAX(1,AT1486/V1486),IF(BR1486=1,IF(AT1486&lt;=0,0,BS1486*MAX(1,IF(G1486&gt;0,AT1486/G1486,1))),IF(Q1486&gt;0,AU1486/Q1486,0))/MAX(0.1,N(Parameter!$M$21)))</f>
        <v>0</v>
      </c>
      <c r="AW1486" s="57" t="n">
        <f aca="false">AT1486*F1486</f>
        <v>0</v>
      </c>
      <c r="AX1486" s="57" t="n">
        <f aca="false">ROUNDUP(MAX(I1486/IF(BV1486&gt;0,BV1486,MAX(0.1,N(Cockpit!$O$6))),BY1486)/BQ1486,0)*BQ1486</f>
        <v>0</v>
      </c>
      <c r="AY1486" s="58" t="n">
        <f aca="false">IF(AV1486&gt;0,I1486/AV1486,-1)</f>
        <v>-1</v>
      </c>
      <c r="AZ1486" s="58" t="str">
        <f aca="false">IF(AND(OR(BU1486="L1",BU1486="L23"),AV1486&gt;0),SUMIFS($AV$7:$AV$1576,$BU$7:$BU$1576,BU1486,$AY$7:$AY$1576,"&gt;"&amp;AY1486)+SUMIFS($AV$7:$AV$1576,$BU$7:$BU$1576,BU1486,$AY$7:$AY$1576,AY1486,$BO$7:$BO$1576,"&lt;="&amp;BO1486),"")</f>
        <v/>
      </c>
      <c r="BA1486" s="65" t="n">
        <f aca="false">IF(AZ1486="",0,MAX(0,MIN(1,(IF(BU1486="L1",Parameter!$E$5,Parameter!$E$6+Parameter!$E$7)-(AZ1486-AV1486))/AV1486)))</f>
        <v>0</v>
      </c>
      <c r="BB1486" s="55" t="str">
        <f aca="false">IF(AF1486&lt;=0,"",IF(BU1486="Aussen","Aussenlager",IF(BU1486="-","Nicht im Lift",IF(AK1486&gt;=1,"Lift",IF(AK1486&lt;=0,"Aussenlager","teilweise")))))</f>
        <v/>
      </c>
      <c r="BC1486" s="55" t="str">
        <f aca="false">IF(AN1486&lt;=0,"",IF(BU1486="Aussen","Aussenlager",IF(BU1486="-","Nicht im Lift",IF(AS1486&gt;=1,"Lift",IF(AS1486&lt;=0,"Aussenlager","teilweise")))))</f>
        <v/>
      </c>
      <c r="BD1486" s="55" t="str">
        <f aca="false">IF(AV1486&lt;=0,"",IF(BU1486="Aussen","Aussenlager",IF(BU1486="-","Nicht im Lift",IF(BA1486&gt;=1,"Lift",IF(BA1486&lt;=0,"Aussenlager","teilweise")))))</f>
        <v/>
      </c>
      <c r="BE1486" s="55" t="str">
        <f aca="false">IF(A1486="","",IF(BN1486=1,"Neu; ","")&amp;IF(AND(BN1486=0,BI1486&lt;0),"negativer Bestand (Export "&amp;BI1486&amp;"); ","")&amp;IF(I1486&lt;=0,"Kein Verbrauch; ","")&amp;IF(CD1486&gt;0,"Lift "&amp;U1486&amp;" lt. Liftbericht (Fach "&amp;V1486&amp;" Stk); ",IF(BR1486=1,"Lose – Fläche geschätzt; ",""))&amp;IF(G1486&gt;AP1486,"Überbestand "&amp;ROUND(G1486-AP1486,0)&amp;" Stk / CHF "&amp;ROUND((G1486-AP1486)*F1486,0)&amp;"; ","")&amp;IF(AND(BW1486=1,BX1486&lt;BY1486),"MAX &lt; MB+LG; ","")&amp;IF(AND(CC1486&gt;0,CB1486*10&gt;CC1486),"zu hoch für Tablar; ","")&amp;IF(AND(BN1486=0,OR(BW1486=1,Y1486&lt;&gt;"",S1486&lt;&gt;"",T1486&lt;&gt;"",Z1486&lt;&gt;"")),"manuell übersteuert; ","")&amp;IF(AND(BR1486=0,Q1486=0),"Gebinde unbekannt / Stellmass fehlt; ","")&amp;IF(AND(BR1486=0,N(T1486)&lt;=0,N(P1486)&lt;=0),"Menge pro Gebinde fehlt (Ist = 1 Gebinde); ","")&amp;BM1486)</f>
        <v/>
      </c>
      <c r="BF1486" s="55"/>
      <c r="BG1486" s="55"/>
      <c r="BH1486" s="62"/>
      <c r="BI1486" s="57" t="n">
        <f aca="false">N('Neue Artikel'!$D$14)</f>
        <v>0</v>
      </c>
      <c r="BJ1486" s="57" t="n">
        <v>0</v>
      </c>
      <c r="BK1486" s="56" t="n">
        <v>0</v>
      </c>
      <c r="BL1486" s="57" t="n">
        <f aca="false">N('Neue Artikel'!$C$14)/Parameter!$B$18</f>
        <v>0</v>
      </c>
      <c r="BM1486" s="55"/>
      <c r="BN1486" s="60" t="n">
        <v>1</v>
      </c>
      <c r="BO1486" s="60" t="n">
        <v>1486</v>
      </c>
      <c r="BP1486" s="55" t="str">
        <f aca="false">IF(S1486&lt;&gt;"",UPPER(TRIM(S1486)),IF(O1486="","LOSE",O1486))</f>
        <v>LOSE</v>
      </c>
      <c r="BQ1486" s="57" t="n">
        <f aca="false">IF(BP1486="LOSE",1,IF(N(T1486)&gt;0,T1486,IF(N(P1486)&gt;0,P1486,MAX(1,G1486))))</f>
        <v>1</v>
      </c>
      <c r="BR1486" s="60" t="n">
        <f aca="false">IF(BP1486="LOSE",1,0)</f>
        <v>1</v>
      </c>
      <c r="BS1486" s="59" t="n">
        <f aca="false">IF(BR1486=0,0,IF(N(R1486)&gt;0,R1486,IFERROR(VLOOKUP(D1486,Parameter!$A$35:$C$64,3,0)+0,0)))</f>
        <v>0.15</v>
      </c>
      <c r="BT1486" s="55" t="str">
        <f aca="false">IF(Y1486&lt;&gt;"",Y1486,X1486)</f>
        <v/>
      </c>
      <c r="BU1486" s="55" t="str">
        <f aca="false">IF(BT1486=1,"L1",IF(OR(BT1486=2,BT1486=3),"L23",IF(BT1486="Aussen","Aussen","-")))</f>
        <v>-</v>
      </c>
      <c r="BV1486" s="66" t="n">
        <f aca="false">IF(N(Z1486)&gt;0,Z1486,0)</f>
        <v>0</v>
      </c>
      <c r="BW1486" s="60" t="n">
        <f aca="false">IF(ISNUMBER(AC1486),1,0)</f>
        <v>0</v>
      </c>
      <c r="BX1486" s="57" t="n">
        <f aca="false">N(AC1486)</f>
        <v>0</v>
      </c>
      <c r="BY1486" s="57" t="n">
        <f aca="false">N(L1486)+N(M1486)</f>
        <v>0</v>
      </c>
      <c r="BZ1486" s="57" t="n">
        <f aca="false">ROUNDUP(G1486/BQ1486,0)</f>
        <v>0</v>
      </c>
      <c r="CA1486" s="57" t="n">
        <f aca="false">ROUNDUP(BX1486/BQ1486,0)</f>
        <v>0</v>
      </c>
      <c r="CB1486" s="60" t="n">
        <f aca="false">IF(BR1486=1,0,IFERROR(VLOOKUP(BP1486,'Gebinde-Kategorie'!$A$5:$M$45,5,0)+0,0))</f>
        <v>0</v>
      </c>
      <c r="CC1486" s="60" t="n">
        <f aca="false">IFERROR(IF(OR(BT1486=1,BT1486=2,BT1486=3),N(INDEX(Parameter!$I$5:$I$7,BT1486)),0),0)</f>
        <v>0</v>
      </c>
      <c r="CD1486" s="59" t="n">
        <f aca="false">IF(AND(Parameter!$B$21="Ja",ISNUMBER(U1486),N(V1486)&gt;0),IFERROR(N(INDEX(Parameter!$L$5:$L$7,U1486))*INDEX(Parameter!$E$5:$E$7,U1486)*V1486/SUMIFS($V$7:$V$1576,$U$7:$U$1576,U1486),0),0)</f>
        <v>0</v>
      </c>
    </row>
    <row r="1487" customFormat="false" ht="15" hidden="false" customHeight="false" outlineLevel="0" collapsed="false">
      <c r="A1487" s="55" t="str">
        <f aca="false">IF('Neue Artikel'!$A$15="","",'Neue Artikel'!$A$15&amp;"")</f>
        <v/>
      </c>
      <c r="B1487" s="55" t="str">
        <f aca="false">'Neue Artikel'!$B$15&amp;""</f>
        <v/>
      </c>
      <c r="C1487" s="55"/>
      <c r="D1487" s="55" t="s">
        <v>2561</v>
      </c>
      <c r="E1487" s="55"/>
      <c r="F1487" s="56" t="n">
        <f aca="false">N('Neue Artikel'!$G$15)</f>
        <v>0</v>
      </c>
      <c r="G1487" s="57" t="n">
        <f aca="false">MAX(0,IF(AND(Parameter!$B$21="Ja",ISNUMBER(W1487)),W1487,IF(Parameter!$B$20="Jahresanfang 2025 + Export",BJ1487+BI1487,BI1487)))</f>
        <v>0</v>
      </c>
      <c r="H1487" s="57" t="n">
        <f aca="false">G1487*F1487</f>
        <v>0</v>
      </c>
      <c r="I1487" s="57" t="n">
        <f aca="false">BL1487*Parameter!$B$18</f>
        <v>0</v>
      </c>
      <c r="J1487" s="58"/>
      <c r="K1487" s="59"/>
      <c r="L1487" s="57" t="n">
        <f aca="false">N('Neue Artikel'!$E$15)</f>
        <v>0</v>
      </c>
      <c r="M1487" s="57" t="n">
        <f aca="false">N('Neue Artikel'!$F$15)</f>
        <v>0</v>
      </c>
      <c r="N1487" s="60"/>
      <c r="O1487" s="55" t="str">
        <f aca="false">IF('Neue Artikel'!$H$15="","LOSE",UPPER(TRIM('Neue Artikel'!$H$15)))</f>
        <v>LOSE</v>
      </c>
      <c r="P1487" s="57" t="n">
        <f aca="false">N('Neue Artikel'!$I$15)</f>
        <v>0</v>
      </c>
      <c r="Q1487" s="60" t="n">
        <f aca="false">IF(BR1487=1,0,IFERROR(VLOOKUP(BP1487,'Gebinde-Kategorie'!$A$5:$M$45,13,0)+0,0))</f>
        <v>0</v>
      </c>
      <c r="R1487" s="61"/>
      <c r="S1487" s="62"/>
      <c r="T1487" s="62"/>
      <c r="U1487" s="55"/>
      <c r="V1487" s="57"/>
      <c r="W1487" s="57"/>
      <c r="X1487" s="55" t="str">
        <f aca="false">IF(A1487="","",IF(AND(Parameter!$B$21="Ja",ISNUMBER(U1487)),U1487,IF(IFERROR(VLOOKUP(D1487,Parameter!$A$35:$C$64,2,0),"Nein")="2+3",IF(ISNUMBER(SEARCH("grosser Artikel",BM1487)),2,IFERROR(VLOOKUP(BP1487,Parameter!$F$35:$G$64,2,0),2)),IF(OR(IFERROR(VLOOKUP(D1487,Parameter!$A$35:$C$64,2,0),"Nein")="Nein",IFERROR(VLOOKUP(D1487,Parameter!$A$35:$C$64,2,0),"Nein")=""),"-",VLOOKUP(D1487,Parameter!$A$35:$C$64,2,0)))))</f>
        <v/>
      </c>
      <c r="Y1487" s="55" t="str">
        <f aca="false">IF('Neue Artikel'!$J$15="","",'Neue Artikel'!$J$15)</f>
        <v/>
      </c>
      <c r="Z1487" s="63"/>
      <c r="AA1487" s="57" t="n">
        <f aca="false">AP1487</f>
        <v>0</v>
      </c>
      <c r="AB1487" s="57" t="n">
        <f aca="false">MAX(AP1487,G1487)</f>
        <v>0</v>
      </c>
      <c r="AC1487" s="64"/>
      <c r="AD1487" s="57" t="n">
        <f aca="false">IF(LEFT(Cockpit!$C$5,1)="A",G1487,IF(BW1487=1,BX1487,IF(LEFT(Cockpit!$C$5,1)="B",AH1487,MAX(AH1487,G1487))))</f>
        <v>0</v>
      </c>
      <c r="AE1487" s="57" t="n">
        <f aca="false">IF(BR1487=1,0,ROUNDUP(AD1487/BQ1487,0))</f>
        <v>0</v>
      </c>
      <c r="AF1487" s="59" t="n">
        <f aca="false">IF(CD1487&gt;0,CD1487*MAX(1,AD1487/V1487),IF(BR1487=1,IF(AD1487&lt;=0,0,BS1487*MAX(1,IF(G1487&gt;0,AD1487/G1487,1))),IF(Q1487&gt;0,AE1487/Q1487,0))/MAX(0.1,N(Parameter!$M$21)))</f>
        <v>0</v>
      </c>
      <c r="AG1487" s="57" t="n">
        <f aca="false">AD1487*F1487</f>
        <v>0</v>
      </c>
      <c r="AH1487" s="57" t="n">
        <f aca="false">ROUNDUP(MAX(I1487/IF(BV1487&gt;0,BV1487,MAX(0.1,N(Cockpit!$C$6))),BY1487)/BQ1487,0)*BQ1487</f>
        <v>0</v>
      </c>
      <c r="AI1487" s="58" t="n">
        <f aca="false">IF(AF1487&gt;0,I1487/AF1487,-1)</f>
        <v>-1</v>
      </c>
      <c r="AJ1487" s="58" t="str">
        <f aca="false">IF(AND(OR(BU1487="L1",BU1487="L23"),AF1487&gt;0),SUMIFS($AF$7:$AF$1576,$BU$7:$BU$1576,BU1487,$AI$7:$AI$1576,"&gt;"&amp;AI1487)+SUMIFS($AF$7:$AF$1576,$BU$7:$BU$1576,BU1487,$AI$7:$AI$1576,AI1487,$BO$7:$BO$1576,"&lt;="&amp;BO1487),"")</f>
        <v/>
      </c>
      <c r="AK1487" s="65" t="n">
        <f aca="false">IF(AJ1487="",0,MAX(0,MIN(1,(IF(BU1487="L1",Parameter!$E$5,Parameter!$E$6+Parameter!$E$7)-(AJ1487-AF1487))/AF1487)))</f>
        <v>0</v>
      </c>
      <c r="AL1487" s="57" t="n">
        <f aca="false">IF(LEFT(Cockpit!$I$5,1)="A",G1487,IF(BW1487=1,BX1487,IF(LEFT(Cockpit!$I$5,1)="B",AP1487,MAX(AP1487,G1487))))</f>
        <v>0</v>
      </c>
      <c r="AM1487" s="57" t="n">
        <f aca="false">IF(BR1487=1,0,ROUNDUP(AL1487/BQ1487,0))</f>
        <v>0</v>
      </c>
      <c r="AN1487" s="59" t="n">
        <f aca="false">IF(CD1487&gt;0,CD1487*MAX(1,AL1487/V1487),IF(BR1487=1,IF(AL1487&lt;=0,0,BS1487*MAX(1,IF(G1487&gt;0,AL1487/G1487,1))),IF(Q1487&gt;0,AM1487/Q1487,0))/MAX(0.1,N(Parameter!$M$21)))</f>
        <v>0</v>
      </c>
      <c r="AO1487" s="57" t="n">
        <f aca="false">AL1487*F1487</f>
        <v>0</v>
      </c>
      <c r="AP1487" s="57" t="n">
        <f aca="false">ROUNDUP(MAX(I1487/IF(BV1487&gt;0,BV1487,MAX(0.1,N(Cockpit!$I$6))),BY1487)/BQ1487,0)*BQ1487</f>
        <v>0</v>
      </c>
      <c r="AQ1487" s="58" t="n">
        <f aca="false">IF(AN1487&gt;0,I1487/AN1487,-1)</f>
        <v>-1</v>
      </c>
      <c r="AR1487" s="58" t="str">
        <f aca="false">IF(AND(OR(BU1487="L1",BU1487="L23"),AN1487&gt;0),SUMIFS($AN$7:$AN$1576,$BU$7:$BU$1576,BU1487,$AQ$7:$AQ$1576,"&gt;"&amp;AQ1487)+SUMIFS($AN$7:$AN$1576,$BU$7:$BU$1576,BU1487,$AQ$7:$AQ$1576,AQ1487,$BO$7:$BO$1576,"&lt;="&amp;BO1487),"")</f>
        <v/>
      </c>
      <c r="AS1487" s="65" t="n">
        <f aca="false">IF(AR1487="",0,MAX(0,MIN(1,(IF(BU1487="L1",Parameter!$E$5,Parameter!$E$6+Parameter!$E$7)-(AR1487-AN1487))/AN1487)))</f>
        <v>0</v>
      </c>
      <c r="AT1487" s="57" t="n">
        <f aca="false">IF(LEFT(Cockpit!$O$5,1)="A",G1487,IF(BW1487=1,BX1487,IF(LEFT(Cockpit!$O$5,1)="B",AX1487,MAX(AX1487,G1487))))</f>
        <v>0</v>
      </c>
      <c r="AU1487" s="57" t="n">
        <f aca="false">IF(BR1487=1,0,ROUNDUP(AT1487/BQ1487,0))</f>
        <v>0</v>
      </c>
      <c r="AV1487" s="59" t="n">
        <f aca="false">IF(CD1487&gt;0,CD1487*MAX(1,AT1487/V1487),IF(BR1487=1,IF(AT1487&lt;=0,0,BS1487*MAX(1,IF(G1487&gt;0,AT1487/G1487,1))),IF(Q1487&gt;0,AU1487/Q1487,0))/MAX(0.1,N(Parameter!$M$21)))</f>
        <v>0</v>
      </c>
      <c r="AW1487" s="57" t="n">
        <f aca="false">AT1487*F1487</f>
        <v>0</v>
      </c>
      <c r="AX1487" s="57" t="n">
        <f aca="false">ROUNDUP(MAX(I1487/IF(BV1487&gt;0,BV1487,MAX(0.1,N(Cockpit!$O$6))),BY1487)/BQ1487,0)*BQ1487</f>
        <v>0</v>
      </c>
      <c r="AY1487" s="58" t="n">
        <f aca="false">IF(AV1487&gt;0,I1487/AV1487,-1)</f>
        <v>-1</v>
      </c>
      <c r="AZ1487" s="58" t="str">
        <f aca="false">IF(AND(OR(BU1487="L1",BU1487="L23"),AV1487&gt;0),SUMIFS($AV$7:$AV$1576,$BU$7:$BU$1576,BU1487,$AY$7:$AY$1576,"&gt;"&amp;AY1487)+SUMIFS($AV$7:$AV$1576,$BU$7:$BU$1576,BU1487,$AY$7:$AY$1576,AY1487,$BO$7:$BO$1576,"&lt;="&amp;BO1487),"")</f>
        <v/>
      </c>
      <c r="BA1487" s="65" t="n">
        <f aca="false">IF(AZ1487="",0,MAX(0,MIN(1,(IF(BU1487="L1",Parameter!$E$5,Parameter!$E$6+Parameter!$E$7)-(AZ1487-AV1487))/AV1487)))</f>
        <v>0</v>
      </c>
      <c r="BB1487" s="55" t="str">
        <f aca="false">IF(AF1487&lt;=0,"",IF(BU1487="Aussen","Aussenlager",IF(BU1487="-","Nicht im Lift",IF(AK1487&gt;=1,"Lift",IF(AK1487&lt;=0,"Aussenlager","teilweise")))))</f>
        <v/>
      </c>
      <c r="BC1487" s="55" t="str">
        <f aca="false">IF(AN1487&lt;=0,"",IF(BU1487="Aussen","Aussenlager",IF(BU1487="-","Nicht im Lift",IF(AS1487&gt;=1,"Lift",IF(AS1487&lt;=0,"Aussenlager","teilweise")))))</f>
        <v/>
      </c>
      <c r="BD1487" s="55" t="str">
        <f aca="false">IF(AV1487&lt;=0,"",IF(BU1487="Aussen","Aussenlager",IF(BU1487="-","Nicht im Lift",IF(BA1487&gt;=1,"Lift",IF(BA1487&lt;=0,"Aussenlager","teilweise")))))</f>
        <v/>
      </c>
      <c r="BE1487" s="55" t="str">
        <f aca="false">IF(A1487="","",IF(BN1487=1,"Neu; ","")&amp;IF(AND(BN1487=0,BI1487&lt;0),"negativer Bestand (Export "&amp;BI1487&amp;"); ","")&amp;IF(I1487&lt;=0,"Kein Verbrauch; ","")&amp;IF(CD1487&gt;0,"Lift "&amp;U1487&amp;" lt. Liftbericht (Fach "&amp;V1487&amp;" Stk); ",IF(BR1487=1,"Lose – Fläche geschätzt; ",""))&amp;IF(G1487&gt;AP1487,"Überbestand "&amp;ROUND(G1487-AP1487,0)&amp;" Stk / CHF "&amp;ROUND((G1487-AP1487)*F1487,0)&amp;"; ","")&amp;IF(AND(BW1487=1,BX1487&lt;BY1487),"MAX &lt; MB+LG; ","")&amp;IF(AND(CC1487&gt;0,CB1487*10&gt;CC1487),"zu hoch für Tablar; ","")&amp;IF(AND(BN1487=0,OR(BW1487=1,Y1487&lt;&gt;"",S1487&lt;&gt;"",T1487&lt;&gt;"",Z1487&lt;&gt;"")),"manuell übersteuert; ","")&amp;IF(AND(BR1487=0,Q1487=0),"Gebinde unbekannt / Stellmass fehlt; ","")&amp;IF(AND(BR1487=0,N(T1487)&lt;=0,N(P1487)&lt;=0),"Menge pro Gebinde fehlt (Ist = 1 Gebinde); ","")&amp;BM1487)</f>
        <v/>
      </c>
      <c r="BF1487" s="55"/>
      <c r="BG1487" s="55"/>
      <c r="BH1487" s="62"/>
      <c r="BI1487" s="57" t="n">
        <f aca="false">N('Neue Artikel'!$D$15)</f>
        <v>0</v>
      </c>
      <c r="BJ1487" s="57" t="n">
        <v>0</v>
      </c>
      <c r="BK1487" s="56" t="n">
        <v>0</v>
      </c>
      <c r="BL1487" s="57" t="n">
        <f aca="false">N('Neue Artikel'!$C$15)/Parameter!$B$18</f>
        <v>0</v>
      </c>
      <c r="BM1487" s="55"/>
      <c r="BN1487" s="60" t="n">
        <v>1</v>
      </c>
      <c r="BO1487" s="60" t="n">
        <v>1487</v>
      </c>
      <c r="BP1487" s="55" t="str">
        <f aca="false">IF(S1487&lt;&gt;"",UPPER(TRIM(S1487)),IF(O1487="","LOSE",O1487))</f>
        <v>LOSE</v>
      </c>
      <c r="BQ1487" s="57" t="n">
        <f aca="false">IF(BP1487="LOSE",1,IF(N(T1487)&gt;0,T1487,IF(N(P1487)&gt;0,P1487,MAX(1,G1487))))</f>
        <v>1</v>
      </c>
      <c r="BR1487" s="60" t="n">
        <f aca="false">IF(BP1487="LOSE",1,0)</f>
        <v>1</v>
      </c>
      <c r="BS1487" s="59" t="n">
        <f aca="false">IF(BR1487=0,0,IF(N(R1487)&gt;0,R1487,IFERROR(VLOOKUP(D1487,Parameter!$A$35:$C$64,3,0)+0,0)))</f>
        <v>0.15</v>
      </c>
      <c r="BT1487" s="55" t="str">
        <f aca="false">IF(Y1487&lt;&gt;"",Y1487,X1487)</f>
        <v/>
      </c>
      <c r="BU1487" s="55" t="str">
        <f aca="false">IF(BT1487=1,"L1",IF(OR(BT1487=2,BT1487=3),"L23",IF(BT1487="Aussen","Aussen","-")))</f>
        <v>-</v>
      </c>
      <c r="BV1487" s="66" t="n">
        <f aca="false">IF(N(Z1487)&gt;0,Z1487,0)</f>
        <v>0</v>
      </c>
      <c r="BW1487" s="60" t="n">
        <f aca="false">IF(ISNUMBER(AC1487),1,0)</f>
        <v>0</v>
      </c>
      <c r="BX1487" s="57" t="n">
        <f aca="false">N(AC1487)</f>
        <v>0</v>
      </c>
      <c r="BY1487" s="57" t="n">
        <f aca="false">N(L1487)+N(M1487)</f>
        <v>0</v>
      </c>
      <c r="BZ1487" s="57" t="n">
        <f aca="false">ROUNDUP(G1487/BQ1487,0)</f>
        <v>0</v>
      </c>
      <c r="CA1487" s="57" t="n">
        <f aca="false">ROUNDUP(BX1487/BQ1487,0)</f>
        <v>0</v>
      </c>
      <c r="CB1487" s="60" t="n">
        <f aca="false">IF(BR1487=1,0,IFERROR(VLOOKUP(BP1487,'Gebinde-Kategorie'!$A$5:$M$45,5,0)+0,0))</f>
        <v>0</v>
      </c>
      <c r="CC1487" s="60" t="n">
        <f aca="false">IFERROR(IF(OR(BT1487=1,BT1487=2,BT1487=3),N(INDEX(Parameter!$I$5:$I$7,BT1487)),0),0)</f>
        <v>0</v>
      </c>
      <c r="CD1487" s="59" t="n">
        <f aca="false">IF(AND(Parameter!$B$21="Ja",ISNUMBER(U1487),N(V1487)&gt;0),IFERROR(N(INDEX(Parameter!$L$5:$L$7,U1487))*INDEX(Parameter!$E$5:$E$7,U1487)*V1487/SUMIFS($V$7:$V$1576,$U$7:$U$1576,U1487),0),0)</f>
        <v>0</v>
      </c>
    </row>
    <row r="1488" customFormat="false" ht="15" hidden="false" customHeight="false" outlineLevel="0" collapsed="false">
      <c r="A1488" s="55" t="str">
        <f aca="false">IF('Neue Artikel'!$A$16="","",'Neue Artikel'!$A$16&amp;"")</f>
        <v/>
      </c>
      <c r="B1488" s="55" t="str">
        <f aca="false">'Neue Artikel'!$B$16&amp;""</f>
        <v/>
      </c>
      <c r="C1488" s="55"/>
      <c r="D1488" s="55" t="s">
        <v>2561</v>
      </c>
      <c r="E1488" s="55"/>
      <c r="F1488" s="56" t="n">
        <f aca="false">N('Neue Artikel'!$G$16)</f>
        <v>0</v>
      </c>
      <c r="G1488" s="57" t="n">
        <f aca="false">MAX(0,IF(AND(Parameter!$B$21="Ja",ISNUMBER(W1488)),W1488,IF(Parameter!$B$20="Jahresanfang 2025 + Export",BJ1488+BI1488,BI1488)))</f>
        <v>0</v>
      </c>
      <c r="H1488" s="57" t="n">
        <f aca="false">G1488*F1488</f>
        <v>0</v>
      </c>
      <c r="I1488" s="57" t="n">
        <f aca="false">BL1488*Parameter!$B$18</f>
        <v>0</v>
      </c>
      <c r="J1488" s="58"/>
      <c r="K1488" s="59"/>
      <c r="L1488" s="57" t="n">
        <f aca="false">N('Neue Artikel'!$E$16)</f>
        <v>0</v>
      </c>
      <c r="M1488" s="57" t="n">
        <f aca="false">N('Neue Artikel'!$F$16)</f>
        <v>0</v>
      </c>
      <c r="N1488" s="60"/>
      <c r="O1488" s="55" t="str">
        <f aca="false">IF('Neue Artikel'!$H$16="","LOSE",UPPER(TRIM('Neue Artikel'!$H$16)))</f>
        <v>LOSE</v>
      </c>
      <c r="P1488" s="57" t="n">
        <f aca="false">N('Neue Artikel'!$I$16)</f>
        <v>0</v>
      </c>
      <c r="Q1488" s="60" t="n">
        <f aca="false">IF(BR1488=1,0,IFERROR(VLOOKUP(BP1488,'Gebinde-Kategorie'!$A$5:$M$45,13,0)+0,0))</f>
        <v>0</v>
      </c>
      <c r="R1488" s="61"/>
      <c r="S1488" s="62"/>
      <c r="T1488" s="62"/>
      <c r="U1488" s="55"/>
      <c r="V1488" s="57"/>
      <c r="W1488" s="57"/>
      <c r="X1488" s="55" t="str">
        <f aca="false">IF(A1488="","",IF(AND(Parameter!$B$21="Ja",ISNUMBER(U1488)),U1488,IF(IFERROR(VLOOKUP(D1488,Parameter!$A$35:$C$64,2,0),"Nein")="2+3",IF(ISNUMBER(SEARCH("grosser Artikel",BM1488)),2,IFERROR(VLOOKUP(BP1488,Parameter!$F$35:$G$64,2,0),2)),IF(OR(IFERROR(VLOOKUP(D1488,Parameter!$A$35:$C$64,2,0),"Nein")="Nein",IFERROR(VLOOKUP(D1488,Parameter!$A$35:$C$64,2,0),"Nein")=""),"-",VLOOKUP(D1488,Parameter!$A$35:$C$64,2,0)))))</f>
        <v/>
      </c>
      <c r="Y1488" s="55" t="str">
        <f aca="false">IF('Neue Artikel'!$J$16="","",'Neue Artikel'!$J$16)</f>
        <v/>
      </c>
      <c r="Z1488" s="63"/>
      <c r="AA1488" s="57" t="n">
        <f aca="false">AP1488</f>
        <v>0</v>
      </c>
      <c r="AB1488" s="57" t="n">
        <f aca="false">MAX(AP1488,G1488)</f>
        <v>0</v>
      </c>
      <c r="AC1488" s="64"/>
      <c r="AD1488" s="57" t="n">
        <f aca="false">IF(LEFT(Cockpit!$C$5,1)="A",G1488,IF(BW1488=1,BX1488,IF(LEFT(Cockpit!$C$5,1)="B",AH1488,MAX(AH1488,G1488))))</f>
        <v>0</v>
      </c>
      <c r="AE1488" s="57" t="n">
        <f aca="false">IF(BR1488=1,0,ROUNDUP(AD1488/BQ1488,0))</f>
        <v>0</v>
      </c>
      <c r="AF1488" s="59" t="n">
        <f aca="false">IF(CD1488&gt;0,CD1488*MAX(1,AD1488/V1488),IF(BR1488=1,IF(AD1488&lt;=0,0,BS1488*MAX(1,IF(G1488&gt;0,AD1488/G1488,1))),IF(Q1488&gt;0,AE1488/Q1488,0))/MAX(0.1,N(Parameter!$M$21)))</f>
        <v>0</v>
      </c>
      <c r="AG1488" s="57" t="n">
        <f aca="false">AD1488*F1488</f>
        <v>0</v>
      </c>
      <c r="AH1488" s="57" t="n">
        <f aca="false">ROUNDUP(MAX(I1488/IF(BV1488&gt;0,BV1488,MAX(0.1,N(Cockpit!$C$6))),BY1488)/BQ1488,0)*BQ1488</f>
        <v>0</v>
      </c>
      <c r="AI1488" s="58" t="n">
        <f aca="false">IF(AF1488&gt;0,I1488/AF1488,-1)</f>
        <v>-1</v>
      </c>
      <c r="AJ1488" s="58" t="str">
        <f aca="false">IF(AND(OR(BU1488="L1",BU1488="L23"),AF1488&gt;0),SUMIFS($AF$7:$AF$1576,$BU$7:$BU$1576,BU1488,$AI$7:$AI$1576,"&gt;"&amp;AI1488)+SUMIFS($AF$7:$AF$1576,$BU$7:$BU$1576,BU1488,$AI$7:$AI$1576,AI1488,$BO$7:$BO$1576,"&lt;="&amp;BO1488),"")</f>
        <v/>
      </c>
      <c r="AK1488" s="65" t="n">
        <f aca="false">IF(AJ1488="",0,MAX(0,MIN(1,(IF(BU1488="L1",Parameter!$E$5,Parameter!$E$6+Parameter!$E$7)-(AJ1488-AF1488))/AF1488)))</f>
        <v>0</v>
      </c>
      <c r="AL1488" s="57" t="n">
        <f aca="false">IF(LEFT(Cockpit!$I$5,1)="A",G1488,IF(BW1488=1,BX1488,IF(LEFT(Cockpit!$I$5,1)="B",AP1488,MAX(AP1488,G1488))))</f>
        <v>0</v>
      </c>
      <c r="AM1488" s="57" t="n">
        <f aca="false">IF(BR1488=1,0,ROUNDUP(AL1488/BQ1488,0))</f>
        <v>0</v>
      </c>
      <c r="AN1488" s="59" t="n">
        <f aca="false">IF(CD1488&gt;0,CD1488*MAX(1,AL1488/V1488),IF(BR1488=1,IF(AL1488&lt;=0,0,BS1488*MAX(1,IF(G1488&gt;0,AL1488/G1488,1))),IF(Q1488&gt;0,AM1488/Q1488,0))/MAX(0.1,N(Parameter!$M$21)))</f>
        <v>0</v>
      </c>
      <c r="AO1488" s="57" t="n">
        <f aca="false">AL1488*F1488</f>
        <v>0</v>
      </c>
      <c r="AP1488" s="57" t="n">
        <f aca="false">ROUNDUP(MAX(I1488/IF(BV1488&gt;0,BV1488,MAX(0.1,N(Cockpit!$I$6))),BY1488)/BQ1488,0)*BQ1488</f>
        <v>0</v>
      </c>
      <c r="AQ1488" s="58" t="n">
        <f aca="false">IF(AN1488&gt;0,I1488/AN1488,-1)</f>
        <v>-1</v>
      </c>
      <c r="AR1488" s="58" t="str">
        <f aca="false">IF(AND(OR(BU1488="L1",BU1488="L23"),AN1488&gt;0),SUMIFS($AN$7:$AN$1576,$BU$7:$BU$1576,BU1488,$AQ$7:$AQ$1576,"&gt;"&amp;AQ1488)+SUMIFS($AN$7:$AN$1576,$BU$7:$BU$1576,BU1488,$AQ$7:$AQ$1576,AQ1488,$BO$7:$BO$1576,"&lt;="&amp;BO1488),"")</f>
        <v/>
      </c>
      <c r="AS1488" s="65" t="n">
        <f aca="false">IF(AR1488="",0,MAX(0,MIN(1,(IF(BU1488="L1",Parameter!$E$5,Parameter!$E$6+Parameter!$E$7)-(AR1488-AN1488))/AN1488)))</f>
        <v>0</v>
      </c>
      <c r="AT1488" s="57" t="n">
        <f aca="false">IF(LEFT(Cockpit!$O$5,1)="A",G1488,IF(BW1488=1,BX1488,IF(LEFT(Cockpit!$O$5,1)="B",AX1488,MAX(AX1488,G1488))))</f>
        <v>0</v>
      </c>
      <c r="AU1488" s="57" t="n">
        <f aca="false">IF(BR1488=1,0,ROUNDUP(AT1488/BQ1488,0))</f>
        <v>0</v>
      </c>
      <c r="AV1488" s="59" t="n">
        <f aca="false">IF(CD1488&gt;0,CD1488*MAX(1,AT1488/V1488),IF(BR1488=1,IF(AT1488&lt;=0,0,BS1488*MAX(1,IF(G1488&gt;0,AT1488/G1488,1))),IF(Q1488&gt;0,AU1488/Q1488,0))/MAX(0.1,N(Parameter!$M$21)))</f>
        <v>0</v>
      </c>
      <c r="AW1488" s="57" t="n">
        <f aca="false">AT1488*F1488</f>
        <v>0</v>
      </c>
      <c r="AX1488" s="57" t="n">
        <f aca="false">ROUNDUP(MAX(I1488/IF(BV1488&gt;0,BV1488,MAX(0.1,N(Cockpit!$O$6))),BY1488)/BQ1488,0)*BQ1488</f>
        <v>0</v>
      </c>
      <c r="AY1488" s="58" t="n">
        <f aca="false">IF(AV1488&gt;0,I1488/AV1488,-1)</f>
        <v>-1</v>
      </c>
      <c r="AZ1488" s="58" t="str">
        <f aca="false">IF(AND(OR(BU1488="L1",BU1488="L23"),AV1488&gt;0),SUMIFS($AV$7:$AV$1576,$BU$7:$BU$1576,BU1488,$AY$7:$AY$1576,"&gt;"&amp;AY1488)+SUMIFS($AV$7:$AV$1576,$BU$7:$BU$1576,BU1488,$AY$7:$AY$1576,AY1488,$BO$7:$BO$1576,"&lt;="&amp;BO1488),"")</f>
        <v/>
      </c>
      <c r="BA1488" s="65" t="n">
        <f aca="false">IF(AZ1488="",0,MAX(0,MIN(1,(IF(BU1488="L1",Parameter!$E$5,Parameter!$E$6+Parameter!$E$7)-(AZ1488-AV1488))/AV1488)))</f>
        <v>0</v>
      </c>
      <c r="BB1488" s="55" t="str">
        <f aca="false">IF(AF1488&lt;=0,"",IF(BU1488="Aussen","Aussenlager",IF(BU1488="-","Nicht im Lift",IF(AK1488&gt;=1,"Lift",IF(AK1488&lt;=0,"Aussenlager","teilweise")))))</f>
        <v/>
      </c>
      <c r="BC1488" s="55" t="str">
        <f aca="false">IF(AN1488&lt;=0,"",IF(BU1488="Aussen","Aussenlager",IF(BU1488="-","Nicht im Lift",IF(AS1488&gt;=1,"Lift",IF(AS1488&lt;=0,"Aussenlager","teilweise")))))</f>
        <v/>
      </c>
      <c r="BD1488" s="55" t="str">
        <f aca="false">IF(AV1488&lt;=0,"",IF(BU1488="Aussen","Aussenlager",IF(BU1488="-","Nicht im Lift",IF(BA1488&gt;=1,"Lift",IF(BA1488&lt;=0,"Aussenlager","teilweise")))))</f>
        <v/>
      </c>
      <c r="BE1488" s="55" t="str">
        <f aca="false">IF(A1488="","",IF(BN1488=1,"Neu; ","")&amp;IF(AND(BN1488=0,BI1488&lt;0),"negativer Bestand (Export "&amp;BI1488&amp;"); ","")&amp;IF(I1488&lt;=0,"Kein Verbrauch; ","")&amp;IF(CD1488&gt;0,"Lift "&amp;U1488&amp;" lt. Liftbericht (Fach "&amp;V1488&amp;" Stk); ",IF(BR1488=1,"Lose – Fläche geschätzt; ",""))&amp;IF(G1488&gt;AP1488,"Überbestand "&amp;ROUND(G1488-AP1488,0)&amp;" Stk / CHF "&amp;ROUND((G1488-AP1488)*F1488,0)&amp;"; ","")&amp;IF(AND(BW1488=1,BX1488&lt;BY1488),"MAX &lt; MB+LG; ","")&amp;IF(AND(CC1488&gt;0,CB1488*10&gt;CC1488),"zu hoch für Tablar; ","")&amp;IF(AND(BN1488=0,OR(BW1488=1,Y1488&lt;&gt;"",S1488&lt;&gt;"",T1488&lt;&gt;"",Z1488&lt;&gt;"")),"manuell übersteuert; ","")&amp;IF(AND(BR1488=0,Q1488=0),"Gebinde unbekannt / Stellmass fehlt; ","")&amp;IF(AND(BR1488=0,N(T1488)&lt;=0,N(P1488)&lt;=0),"Menge pro Gebinde fehlt (Ist = 1 Gebinde); ","")&amp;BM1488)</f>
        <v/>
      </c>
      <c r="BF1488" s="55"/>
      <c r="BG1488" s="55"/>
      <c r="BH1488" s="62"/>
      <c r="BI1488" s="57" t="n">
        <f aca="false">N('Neue Artikel'!$D$16)</f>
        <v>0</v>
      </c>
      <c r="BJ1488" s="57" t="n">
        <v>0</v>
      </c>
      <c r="BK1488" s="56" t="n">
        <v>0</v>
      </c>
      <c r="BL1488" s="57" t="n">
        <f aca="false">N('Neue Artikel'!$C$16)/Parameter!$B$18</f>
        <v>0</v>
      </c>
      <c r="BM1488" s="55"/>
      <c r="BN1488" s="60" t="n">
        <v>1</v>
      </c>
      <c r="BO1488" s="60" t="n">
        <v>1488</v>
      </c>
      <c r="BP1488" s="55" t="str">
        <f aca="false">IF(S1488&lt;&gt;"",UPPER(TRIM(S1488)),IF(O1488="","LOSE",O1488))</f>
        <v>LOSE</v>
      </c>
      <c r="BQ1488" s="57" t="n">
        <f aca="false">IF(BP1488="LOSE",1,IF(N(T1488)&gt;0,T1488,IF(N(P1488)&gt;0,P1488,MAX(1,G1488))))</f>
        <v>1</v>
      </c>
      <c r="BR1488" s="60" t="n">
        <f aca="false">IF(BP1488="LOSE",1,0)</f>
        <v>1</v>
      </c>
      <c r="BS1488" s="59" t="n">
        <f aca="false">IF(BR1488=0,0,IF(N(R1488)&gt;0,R1488,IFERROR(VLOOKUP(D1488,Parameter!$A$35:$C$64,3,0)+0,0)))</f>
        <v>0.15</v>
      </c>
      <c r="BT1488" s="55" t="str">
        <f aca="false">IF(Y1488&lt;&gt;"",Y1488,X1488)</f>
        <v/>
      </c>
      <c r="BU1488" s="55" t="str">
        <f aca="false">IF(BT1488=1,"L1",IF(OR(BT1488=2,BT1488=3),"L23",IF(BT1488="Aussen","Aussen","-")))</f>
        <v>-</v>
      </c>
      <c r="BV1488" s="66" t="n">
        <f aca="false">IF(N(Z1488)&gt;0,Z1488,0)</f>
        <v>0</v>
      </c>
      <c r="BW1488" s="60" t="n">
        <f aca="false">IF(ISNUMBER(AC1488),1,0)</f>
        <v>0</v>
      </c>
      <c r="BX1488" s="57" t="n">
        <f aca="false">N(AC1488)</f>
        <v>0</v>
      </c>
      <c r="BY1488" s="57" t="n">
        <f aca="false">N(L1488)+N(M1488)</f>
        <v>0</v>
      </c>
      <c r="BZ1488" s="57" t="n">
        <f aca="false">ROUNDUP(G1488/BQ1488,0)</f>
        <v>0</v>
      </c>
      <c r="CA1488" s="57" t="n">
        <f aca="false">ROUNDUP(BX1488/BQ1488,0)</f>
        <v>0</v>
      </c>
      <c r="CB1488" s="60" t="n">
        <f aca="false">IF(BR1488=1,0,IFERROR(VLOOKUP(BP1488,'Gebinde-Kategorie'!$A$5:$M$45,5,0)+0,0))</f>
        <v>0</v>
      </c>
      <c r="CC1488" s="60" t="n">
        <f aca="false">IFERROR(IF(OR(BT1488=1,BT1488=2,BT1488=3),N(INDEX(Parameter!$I$5:$I$7,BT1488)),0),0)</f>
        <v>0</v>
      </c>
      <c r="CD1488" s="59" t="n">
        <f aca="false">IF(AND(Parameter!$B$21="Ja",ISNUMBER(U1488),N(V1488)&gt;0),IFERROR(N(INDEX(Parameter!$L$5:$L$7,U1488))*INDEX(Parameter!$E$5:$E$7,U1488)*V1488/SUMIFS($V$7:$V$1576,$U$7:$U$1576,U1488),0),0)</f>
        <v>0</v>
      </c>
    </row>
    <row r="1489" customFormat="false" ht="15" hidden="false" customHeight="false" outlineLevel="0" collapsed="false">
      <c r="A1489" s="55" t="str">
        <f aca="false">IF('Neue Artikel'!$A$17="","",'Neue Artikel'!$A$17&amp;"")</f>
        <v/>
      </c>
      <c r="B1489" s="55" t="str">
        <f aca="false">'Neue Artikel'!$B$17&amp;""</f>
        <v/>
      </c>
      <c r="C1489" s="55"/>
      <c r="D1489" s="55" t="s">
        <v>2561</v>
      </c>
      <c r="E1489" s="55"/>
      <c r="F1489" s="56" t="n">
        <f aca="false">N('Neue Artikel'!$G$17)</f>
        <v>0</v>
      </c>
      <c r="G1489" s="57" t="n">
        <f aca="false">MAX(0,IF(AND(Parameter!$B$21="Ja",ISNUMBER(W1489)),W1489,IF(Parameter!$B$20="Jahresanfang 2025 + Export",BJ1489+BI1489,BI1489)))</f>
        <v>0</v>
      </c>
      <c r="H1489" s="57" t="n">
        <f aca="false">G1489*F1489</f>
        <v>0</v>
      </c>
      <c r="I1489" s="57" t="n">
        <f aca="false">BL1489*Parameter!$B$18</f>
        <v>0</v>
      </c>
      <c r="J1489" s="58"/>
      <c r="K1489" s="59"/>
      <c r="L1489" s="57" t="n">
        <f aca="false">N('Neue Artikel'!$E$17)</f>
        <v>0</v>
      </c>
      <c r="M1489" s="57" t="n">
        <f aca="false">N('Neue Artikel'!$F$17)</f>
        <v>0</v>
      </c>
      <c r="N1489" s="60"/>
      <c r="O1489" s="55" t="str">
        <f aca="false">IF('Neue Artikel'!$H$17="","LOSE",UPPER(TRIM('Neue Artikel'!$H$17)))</f>
        <v>LOSE</v>
      </c>
      <c r="P1489" s="57" t="n">
        <f aca="false">N('Neue Artikel'!$I$17)</f>
        <v>0</v>
      </c>
      <c r="Q1489" s="60" t="n">
        <f aca="false">IF(BR1489=1,0,IFERROR(VLOOKUP(BP1489,'Gebinde-Kategorie'!$A$5:$M$45,13,0)+0,0))</f>
        <v>0</v>
      </c>
      <c r="R1489" s="61"/>
      <c r="S1489" s="62"/>
      <c r="T1489" s="62"/>
      <c r="U1489" s="55"/>
      <c r="V1489" s="57"/>
      <c r="W1489" s="57"/>
      <c r="X1489" s="55" t="str">
        <f aca="false">IF(A1489="","",IF(AND(Parameter!$B$21="Ja",ISNUMBER(U1489)),U1489,IF(IFERROR(VLOOKUP(D1489,Parameter!$A$35:$C$64,2,0),"Nein")="2+3",IF(ISNUMBER(SEARCH("grosser Artikel",BM1489)),2,IFERROR(VLOOKUP(BP1489,Parameter!$F$35:$G$64,2,0),2)),IF(OR(IFERROR(VLOOKUP(D1489,Parameter!$A$35:$C$64,2,0),"Nein")="Nein",IFERROR(VLOOKUP(D1489,Parameter!$A$35:$C$64,2,0),"Nein")=""),"-",VLOOKUP(D1489,Parameter!$A$35:$C$64,2,0)))))</f>
        <v/>
      </c>
      <c r="Y1489" s="55" t="str">
        <f aca="false">IF('Neue Artikel'!$J$17="","",'Neue Artikel'!$J$17)</f>
        <v/>
      </c>
      <c r="Z1489" s="63"/>
      <c r="AA1489" s="57" t="n">
        <f aca="false">AP1489</f>
        <v>0</v>
      </c>
      <c r="AB1489" s="57" t="n">
        <f aca="false">MAX(AP1489,G1489)</f>
        <v>0</v>
      </c>
      <c r="AC1489" s="64"/>
      <c r="AD1489" s="57" t="n">
        <f aca="false">IF(LEFT(Cockpit!$C$5,1)="A",G1489,IF(BW1489=1,BX1489,IF(LEFT(Cockpit!$C$5,1)="B",AH1489,MAX(AH1489,G1489))))</f>
        <v>0</v>
      </c>
      <c r="AE1489" s="57" t="n">
        <f aca="false">IF(BR1489=1,0,ROUNDUP(AD1489/BQ1489,0))</f>
        <v>0</v>
      </c>
      <c r="AF1489" s="59" t="n">
        <f aca="false">IF(CD1489&gt;0,CD1489*MAX(1,AD1489/V1489),IF(BR1489=1,IF(AD1489&lt;=0,0,BS1489*MAX(1,IF(G1489&gt;0,AD1489/G1489,1))),IF(Q1489&gt;0,AE1489/Q1489,0))/MAX(0.1,N(Parameter!$M$21)))</f>
        <v>0</v>
      </c>
      <c r="AG1489" s="57" t="n">
        <f aca="false">AD1489*F1489</f>
        <v>0</v>
      </c>
      <c r="AH1489" s="57" t="n">
        <f aca="false">ROUNDUP(MAX(I1489/IF(BV1489&gt;0,BV1489,MAX(0.1,N(Cockpit!$C$6))),BY1489)/BQ1489,0)*BQ1489</f>
        <v>0</v>
      </c>
      <c r="AI1489" s="58" t="n">
        <f aca="false">IF(AF1489&gt;0,I1489/AF1489,-1)</f>
        <v>-1</v>
      </c>
      <c r="AJ1489" s="58" t="str">
        <f aca="false">IF(AND(OR(BU1489="L1",BU1489="L23"),AF1489&gt;0),SUMIFS($AF$7:$AF$1576,$BU$7:$BU$1576,BU1489,$AI$7:$AI$1576,"&gt;"&amp;AI1489)+SUMIFS($AF$7:$AF$1576,$BU$7:$BU$1576,BU1489,$AI$7:$AI$1576,AI1489,$BO$7:$BO$1576,"&lt;="&amp;BO1489),"")</f>
        <v/>
      </c>
      <c r="AK1489" s="65" t="n">
        <f aca="false">IF(AJ1489="",0,MAX(0,MIN(1,(IF(BU1489="L1",Parameter!$E$5,Parameter!$E$6+Parameter!$E$7)-(AJ1489-AF1489))/AF1489)))</f>
        <v>0</v>
      </c>
      <c r="AL1489" s="57" t="n">
        <f aca="false">IF(LEFT(Cockpit!$I$5,1)="A",G1489,IF(BW1489=1,BX1489,IF(LEFT(Cockpit!$I$5,1)="B",AP1489,MAX(AP1489,G1489))))</f>
        <v>0</v>
      </c>
      <c r="AM1489" s="57" t="n">
        <f aca="false">IF(BR1489=1,0,ROUNDUP(AL1489/BQ1489,0))</f>
        <v>0</v>
      </c>
      <c r="AN1489" s="59" t="n">
        <f aca="false">IF(CD1489&gt;0,CD1489*MAX(1,AL1489/V1489),IF(BR1489=1,IF(AL1489&lt;=0,0,BS1489*MAX(1,IF(G1489&gt;0,AL1489/G1489,1))),IF(Q1489&gt;0,AM1489/Q1489,0))/MAX(0.1,N(Parameter!$M$21)))</f>
        <v>0</v>
      </c>
      <c r="AO1489" s="57" t="n">
        <f aca="false">AL1489*F1489</f>
        <v>0</v>
      </c>
      <c r="AP1489" s="57" t="n">
        <f aca="false">ROUNDUP(MAX(I1489/IF(BV1489&gt;0,BV1489,MAX(0.1,N(Cockpit!$I$6))),BY1489)/BQ1489,0)*BQ1489</f>
        <v>0</v>
      </c>
      <c r="AQ1489" s="58" t="n">
        <f aca="false">IF(AN1489&gt;0,I1489/AN1489,-1)</f>
        <v>-1</v>
      </c>
      <c r="AR1489" s="58" t="str">
        <f aca="false">IF(AND(OR(BU1489="L1",BU1489="L23"),AN1489&gt;0),SUMIFS($AN$7:$AN$1576,$BU$7:$BU$1576,BU1489,$AQ$7:$AQ$1576,"&gt;"&amp;AQ1489)+SUMIFS($AN$7:$AN$1576,$BU$7:$BU$1576,BU1489,$AQ$7:$AQ$1576,AQ1489,$BO$7:$BO$1576,"&lt;="&amp;BO1489),"")</f>
        <v/>
      </c>
      <c r="AS1489" s="65" t="n">
        <f aca="false">IF(AR1489="",0,MAX(0,MIN(1,(IF(BU1489="L1",Parameter!$E$5,Parameter!$E$6+Parameter!$E$7)-(AR1489-AN1489))/AN1489)))</f>
        <v>0</v>
      </c>
      <c r="AT1489" s="57" t="n">
        <f aca="false">IF(LEFT(Cockpit!$O$5,1)="A",G1489,IF(BW1489=1,BX1489,IF(LEFT(Cockpit!$O$5,1)="B",AX1489,MAX(AX1489,G1489))))</f>
        <v>0</v>
      </c>
      <c r="AU1489" s="57" t="n">
        <f aca="false">IF(BR1489=1,0,ROUNDUP(AT1489/BQ1489,0))</f>
        <v>0</v>
      </c>
      <c r="AV1489" s="59" t="n">
        <f aca="false">IF(CD1489&gt;0,CD1489*MAX(1,AT1489/V1489),IF(BR1489=1,IF(AT1489&lt;=0,0,BS1489*MAX(1,IF(G1489&gt;0,AT1489/G1489,1))),IF(Q1489&gt;0,AU1489/Q1489,0))/MAX(0.1,N(Parameter!$M$21)))</f>
        <v>0</v>
      </c>
      <c r="AW1489" s="57" t="n">
        <f aca="false">AT1489*F1489</f>
        <v>0</v>
      </c>
      <c r="AX1489" s="57" t="n">
        <f aca="false">ROUNDUP(MAX(I1489/IF(BV1489&gt;0,BV1489,MAX(0.1,N(Cockpit!$O$6))),BY1489)/BQ1489,0)*BQ1489</f>
        <v>0</v>
      </c>
      <c r="AY1489" s="58" t="n">
        <f aca="false">IF(AV1489&gt;0,I1489/AV1489,-1)</f>
        <v>-1</v>
      </c>
      <c r="AZ1489" s="58" t="str">
        <f aca="false">IF(AND(OR(BU1489="L1",BU1489="L23"),AV1489&gt;0),SUMIFS($AV$7:$AV$1576,$BU$7:$BU$1576,BU1489,$AY$7:$AY$1576,"&gt;"&amp;AY1489)+SUMIFS($AV$7:$AV$1576,$BU$7:$BU$1576,BU1489,$AY$7:$AY$1576,AY1489,$BO$7:$BO$1576,"&lt;="&amp;BO1489),"")</f>
        <v/>
      </c>
      <c r="BA1489" s="65" t="n">
        <f aca="false">IF(AZ1489="",0,MAX(0,MIN(1,(IF(BU1489="L1",Parameter!$E$5,Parameter!$E$6+Parameter!$E$7)-(AZ1489-AV1489))/AV1489)))</f>
        <v>0</v>
      </c>
      <c r="BB1489" s="55" t="str">
        <f aca="false">IF(AF1489&lt;=0,"",IF(BU1489="Aussen","Aussenlager",IF(BU1489="-","Nicht im Lift",IF(AK1489&gt;=1,"Lift",IF(AK1489&lt;=0,"Aussenlager","teilweise")))))</f>
        <v/>
      </c>
      <c r="BC1489" s="55" t="str">
        <f aca="false">IF(AN1489&lt;=0,"",IF(BU1489="Aussen","Aussenlager",IF(BU1489="-","Nicht im Lift",IF(AS1489&gt;=1,"Lift",IF(AS1489&lt;=0,"Aussenlager","teilweise")))))</f>
        <v/>
      </c>
      <c r="BD1489" s="55" t="str">
        <f aca="false">IF(AV1489&lt;=0,"",IF(BU1489="Aussen","Aussenlager",IF(BU1489="-","Nicht im Lift",IF(BA1489&gt;=1,"Lift",IF(BA1489&lt;=0,"Aussenlager","teilweise")))))</f>
        <v/>
      </c>
      <c r="BE1489" s="55" t="str">
        <f aca="false">IF(A1489="","",IF(BN1489=1,"Neu; ","")&amp;IF(AND(BN1489=0,BI1489&lt;0),"negativer Bestand (Export "&amp;BI1489&amp;"); ","")&amp;IF(I1489&lt;=0,"Kein Verbrauch; ","")&amp;IF(CD1489&gt;0,"Lift "&amp;U1489&amp;" lt. Liftbericht (Fach "&amp;V1489&amp;" Stk); ",IF(BR1489=1,"Lose – Fläche geschätzt; ",""))&amp;IF(G1489&gt;AP1489,"Überbestand "&amp;ROUND(G1489-AP1489,0)&amp;" Stk / CHF "&amp;ROUND((G1489-AP1489)*F1489,0)&amp;"; ","")&amp;IF(AND(BW1489=1,BX1489&lt;BY1489),"MAX &lt; MB+LG; ","")&amp;IF(AND(CC1489&gt;0,CB1489*10&gt;CC1489),"zu hoch für Tablar; ","")&amp;IF(AND(BN1489=0,OR(BW1489=1,Y1489&lt;&gt;"",S1489&lt;&gt;"",T1489&lt;&gt;"",Z1489&lt;&gt;"")),"manuell übersteuert; ","")&amp;IF(AND(BR1489=0,Q1489=0),"Gebinde unbekannt / Stellmass fehlt; ","")&amp;IF(AND(BR1489=0,N(T1489)&lt;=0,N(P1489)&lt;=0),"Menge pro Gebinde fehlt (Ist = 1 Gebinde); ","")&amp;BM1489)</f>
        <v/>
      </c>
      <c r="BF1489" s="55"/>
      <c r="BG1489" s="55"/>
      <c r="BH1489" s="62"/>
      <c r="BI1489" s="57" t="n">
        <f aca="false">N('Neue Artikel'!$D$17)</f>
        <v>0</v>
      </c>
      <c r="BJ1489" s="57" t="n">
        <v>0</v>
      </c>
      <c r="BK1489" s="56" t="n">
        <v>0</v>
      </c>
      <c r="BL1489" s="57" t="n">
        <f aca="false">N('Neue Artikel'!$C$17)/Parameter!$B$18</f>
        <v>0</v>
      </c>
      <c r="BM1489" s="55"/>
      <c r="BN1489" s="60" t="n">
        <v>1</v>
      </c>
      <c r="BO1489" s="60" t="n">
        <v>1489</v>
      </c>
      <c r="BP1489" s="55" t="str">
        <f aca="false">IF(S1489&lt;&gt;"",UPPER(TRIM(S1489)),IF(O1489="","LOSE",O1489))</f>
        <v>LOSE</v>
      </c>
      <c r="BQ1489" s="57" t="n">
        <f aca="false">IF(BP1489="LOSE",1,IF(N(T1489)&gt;0,T1489,IF(N(P1489)&gt;0,P1489,MAX(1,G1489))))</f>
        <v>1</v>
      </c>
      <c r="BR1489" s="60" t="n">
        <f aca="false">IF(BP1489="LOSE",1,0)</f>
        <v>1</v>
      </c>
      <c r="BS1489" s="59" t="n">
        <f aca="false">IF(BR1489=0,0,IF(N(R1489)&gt;0,R1489,IFERROR(VLOOKUP(D1489,Parameter!$A$35:$C$64,3,0)+0,0)))</f>
        <v>0.15</v>
      </c>
      <c r="BT1489" s="55" t="str">
        <f aca="false">IF(Y1489&lt;&gt;"",Y1489,X1489)</f>
        <v/>
      </c>
      <c r="BU1489" s="55" t="str">
        <f aca="false">IF(BT1489=1,"L1",IF(OR(BT1489=2,BT1489=3),"L23",IF(BT1489="Aussen","Aussen","-")))</f>
        <v>-</v>
      </c>
      <c r="BV1489" s="66" t="n">
        <f aca="false">IF(N(Z1489)&gt;0,Z1489,0)</f>
        <v>0</v>
      </c>
      <c r="BW1489" s="60" t="n">
        <f aca="false">IF(ISNUMBER(AC1489),1,0)</f>
        <v>0</v>
      </c>
      <c r="BX1489" s="57" t="n">
        <f aca="false">N(AC1489)</f>
        <v>0</v>
      </c>
      <c r="BY1489" s="57" t="n">
        <f aca="false">N(L1489)+N(M1489)</f>
        <v>0</v>
      </c>
      <c r="BZ1489" s="57" t="n">
        <f aca="false">ROUNDUP(G1489/BQ1489,0)</f>
        <v>0</v>
      </c>
      <c r="CA1489" s="57" t="n">
        <f aca="false">ROUNDUP(BX1489/BQ1489,0)</f>
        <v>0</v>
      </c>
      <c r="CB1489" s="60" t="n">
        <f aca="false">IF(BR1489=1,0,IFERROR(VLOOKUP(BP1489,'Gebinde-Kategorie'!$A$5:$M$45,5,0)+0,0))</f>
        <v>0</v>
      </c>
      <c r="CC1489" s="60" t="n">
        <f aca="false">IFERROR(IF(OR(BT1489=1,BT1489=2,BT1489=3),N(INDEX(Parameter!$I$5:$I$7,BT1489)),0),0)</f>
        <v>0</v>
      </c>
      <c r="CD1489" s="59" t="n">
        <f aca="false">IF(AND(Parameter!$B$21="Ja",ISNUMBER(U1489),N(V1489)&gt;0),IFERROR(N(INDEX(Parameter!$L$5:$L$7,U1489))*INDEX(Parameter!$E$5:$E$7,U1489)*V1489/SUMIFS($V$7:$V$1576,$U$7:$U$1576,U1489),0),0)</f>
        <v>0</v>
      </c>
    </row>
    <row r="1490" customFormat="false" ht="15" hidden="false" customHeight="false" outlineLevel="0" collapsed="false">
      <c r="A1490" s="55" t="str">
        <f aca="false">IF('Neue Artikel'!$A$18="","",'Neue Artikel'!$A$18&amp;"")</f>
        <v/>
      </c>
      <c r="B1490" s="55" t="str">
        <f aca="false">'Neue Artikel'!$B$18&amp;""</f>
        <v/>
      </c>
      <c r="C1490" s="55"/>
      <c r="D1490" s="55" t="s">
        <v>2561</v>
      </c>
      <c r="E1490" s="55"/>
      <c r="F1490" s="56" t="n">
        <f aca="false">N('Neue Artikel'!$G$18)</f>
        <v>0</v>
      </c>
      <c r="G1490" s="57" t="n">
        <f aca="false">MAX(0,IF(AND(Parameter!$B$21="Ja",ISNUMBER(W1490)),W1490,IF(Parameter!$B$20="Jahresanfang 2025 + Export",BJ1490+BI1490,BI1490)))</f>
        <v>0</v>
      </c>
      <c r="H1490" s="57" t="n">
        <f aca="false">G1490*F1490</f>
        <v>0</v>
      </c>
      <c r="I1490" s="57" t="n">
        <f aca="false">BL1490*Parameter!$B$18</f>
        <v>0</v>
      </c>
      <c r="J1490" s="58"/>
      <c r="K1490" s="59"/>
      <c r="L1490" s="57" t="n">
        <f aca="false">N('Neue Artikel'!$E$18)</f>
        <v>0</v>
      </c>
      <c r="M1490" s="57" t="n">
        <f aca="false">N('Neue Artikel'!$F$18)</f>
        <v>0</v>
      </c>
      <c r="N1490" s="60"/>
      <c r="O1490" s="55" t="str">
        <f aca="false">IF('Neue Artikel'!$H$18="","LOSE",UPPER(TRIM('Neue Artikel'!$H$18)))</f>
        <v>LOSE</v>
      </c>
      <c r="P1490" s="57" t="n">
        <f aca="false">N('Neue Artikel'!$I$18)</f>
        <v>0</v>
      </c>
      <c r="Q1490" s="60" t="n">
        <f aca="false">IF(BR1490=1,0,IFERROR(VLOOKUP(BP1490,'Gebinde-Kategorie'!$A$5:$M$45,13,0)+0,0))</f>
        <v>0</v>
      </c>
      <c r="R1490" s="61"/>
      <c r="S1490" s="62"/>
      <c r="T1490" s="62"/>
      <c r="U1490" s="55"/>
      <c r="V1490" s="57"/>
      <c r="W1490" s="57"/>
      <c r="X1490" s="55" t="str">
        <f aca="false">IF(A1490="","",IF(AND(Parameter!$B$21="Ja",ISNUMBER(U1490)),U1490,IF(IFERROR(VLOOKUP(D1490,Parameter!$A$35:$C$64,2,0),"Nein")="2+3",IF(ISNUMBER(SEARCH("grosser Artikel",BM1490)),2,IFERROR(VLOOKUP(BP1490,Parameter!$F$35:$G$64,2,0),2)),IF(OR(IFERROR(VLOOKUP(D1490,Parameter!$A$35:$C$64,2,0),"Nein")="Nein",IFERROR(VLOOKUP(D1490,Parameter!$A$35:$C$64,2,0),"Nein")=""),"-",VLOOKUP(D1490,Parameter!$A$35:$C$64,2,0)))))</f>
        <v/>
      </c>
      <c r="Y1490" s="55" t="str">
        <f aca="false">IF('Neue Artikel'!$J$18="","",'Neue Artikel'!$J$18)</f>
        <v/>
      </c>
      <c r="Z1490" s="63"/>
      <c r="AA1490" s="57" t="n">
        <f aca="false">AP1490</f>
        <v>0</v>
      </c>
      <c r="AB1490" s="57" t="n">
        <f aca="false">MAX(AP1490,G1490)</f>
        <v>0</v>
      </c>
      <c r="AC1490" s="64"/>
      <c r="AD1490" s="57" t="n">
        <f aca="false">IF(LEFT(Cockpit!$C$5,1)="A",G1490,IF(BW1490=1,BX1490,IF(LEFT(Cockpit!$C$5,1)="B",AH1490,MAX(AH1490,G1490))))</f>
        <v>0</v>
      </c>
      <c r="AE1490" s="57" t="n">
        <f aca="false">IF(BR1490=1,0,ROUNDUP(AD1490/BQ1490,0))</f>
        <v>0</v>
      </c>
      <c r="AF1490" s="59" t="n">
        <f aca="false">IF(CD1490&gt;0,CD1490*MAX(1,AD1490/V1490),IF(BR1490=1,IF(AD1490&lt;=0,0,BS1490*MAX(1,IF(G1490&gt;0,AD1490/G1490,1))),IF(Q1490&gt;0,AE1490/Q1490,0))/MAX(0.1,N(Parameter!$M$21)))</f>
        <v>0</v>
      </c>
      <c r="AG1490" s="57" t="n">
        <f aca="false">AD1490*F1490</f>
        <v>0</v>
      </c>
      <c r="AH1490" s="57" t="n">
        <f aca="false">ROUNDUP(MAX(I1490/IF(BV1490&gt;0,BV1490,MAX(0.1,N(Cockpit!$C$6))),BY1490)/BQ1490,0)*BQ1490</f>
        <v>0</v>
      </c>
      <c r="AI1490" s="58" t="n">
        <f aca="false">IF(AF1490&gt;0,I1490/AF1490,-1)</f>
        <v>-1</v>
      </c>
      <c r="AJ1490" s="58" t="str">
        <f aca="false">IF(AND(OR(BU1490="L1",BU1490="L23"),AF1490&gt;0),SUMIFS($AF$7:$AF$1576,$BU$7:$BU$1576,BU1490,$AI$7:$AI$1576,"&gt;"&amp;AI1490)+SUMIFS($AF$7:$AF$1576,$BU$7:$BU$1576,BU1490,$AI$7:$AI$1576,AI1490,$BO$7:$BO$1576,"&lt;="&amp;BO1490),"")</f>
        <v/>
      </c>
      <c r="AK1490" s="65" t="n">
        <f aca="false">IF(AJ1490="",0,MAX(0,MIN(1,(IF(BU1490="L1",Parameter!$E$5,Parameter!$E$6+Parameter!$E$7)-(AJ1490-AF1490))/AF1490)))</f>
        <v>0</v>
      </c>
      <c r="AL1490" s="57" t="n">
        <f aca="false">IF(LEFT(Cockpit!$I$5,1)="A",G1490,IF(BW1490=1,BX1490,IF(LEFT(Cockpit!$I$5,1)="B",AP1490,MAX(AP1490,G1490))))</f>
        <v>0</v>
      </c>
      <c r="AM1490" s="57" t="n">
        <f aca="false">IF(BR1490=1,0,ROUNDUP(AL1490/BQ1490,0))</f>
        <v>0</v>
      </c>
      <c r="AN1490" s="59" t="n">
        <f aca="false">IF(CD1490&gt;0,CD1490*MAX(1,AL1490/V1490),IF(BR1490=1,IF(AL1490&lt;=0,0,BS1490*MAX(1,IF(G1490&gt;0,AL1490/G1490,1))),IF(Q1490&gt;0,AM1490/Q1490,0))/MAX(0.1,N(Parameter!$M$21)))</f>
        <v>0</v>
      </c>
      <c r="AO1490" s="57" t="n">
        <f aca="false">AL1490*F1490</f>
        <v>0</v>
      </c>
      <c r="AP1490" s="57" t="n">
        <f aca="false">ROUNDUP(MAX(I1490/IF(BV1490&gt;0,BV1490,MAX(0.1,N(Cockpit!$I$6))),BY1490)/BQ1490,0)*BQ1490</f>
        <v>0</v>
      </c>
      <c r="AQ1490" s="58" t="n">
        <f aca="false">IF(AN1490&gt;0,I1490/AN1490,-1)</f>
        <v>-1</v>
      </c>
      <c r="AR1490" s="58" t="str">
        <f aca="false">IF(AND(OR(BU1490="L1",BU1490="L23"),AN1490&gt;0),SUMIFS($AN$7:$AN$1576,$BU$7:$BU$1576,BU1490,$AQ$7:$AQ$1576,"&gt;"&amp;AQ1490)+SUMIFS($AN$7:$AN$1576,$BU$7:$BU$1576,BU1490,$AQ$7:$AQ$1576,AQ1490,$BO$7:$BO$1576,"&lt;="&amp;BO1490),"")</f>
        <v/>
      </c>
      <c r="AS1490" s="65" t="n">
        <f aca="false">IF(AR1490="",0,MAX(0,MIN(1,(IF(BU1490="L1",Parameter!$E$5,Parameter!$E$6+Parameter!$E$7)-(AR1490-AN1490))/AN1490)))</f>
        <v>0</v>
      </c>
      <c r="AT1490" s="57" t="n">
        <f aca="false">IF(LEFT(Cockpit!$O$5,1)="A",G1490,IF(BW1490=1,BX1490,IF(LEFT(Cockpit!$O$5,1)="B",AX1490,MAX(AX1490,G1490))))</f>
        <v>0</v>
      </c>
      <c r="AU1490" s="57" t="n">
        <f aca="false">IF(BR1490=1,0,ROUNDUP(AT1490/BQ1490,0))</f>
        <v>0</v>
      </c>
      <c r="AV1490" s="59" t="n">
        <f aca="false">IF(CD1490&gt;0,CD1490*MAX(1,AT1490/V1490),IF(BR1490=1,IF(AT1490&lt;=0,0,BS1490*MAX(1,IF(G1490&gt;0,AT1490/G1490,1))),IF(Q1490&gt;0,AU1490/Q1490,0))/MAX(0.1,N(Parameter!$M$21)))</f>
        <v>0</v>
      </c>
      <c r="AW1490" s="57" t="n">
        <f aca="false">AT1490*F1490</f>
        <v>0</v>
      </c>
      <c r="AX1490" s="57" t="n">
        <f aca="false">ROUNDUP(MAX(I1490/IF(BV1490&gt;0,BV1490,MAX(0.1,N(Cockpit!$O$6))),BY1490)/BQ1490,0)*BQ1490</f>
        <v>0</v>
      </c>
      <c r="AY1490" s="58" t="n">
        <f aca="false">IF(AV1490&gt;0,I1490/AV1490,-1)</f>
        <v>-1</v>
      </c>
      <c r="AZ1490" s="58" t="str">
        <f aca="false">IF(AND(OR(BU1490="L1",BU1490="L23"),AV1490&gt;0),SUMIFS($AV$7:$AV$1576,$BU$7:$BU$1576,BU1490,$AY$7:$AY$1576,"&gt;"&amp;AY1490)+SUMIFS($AV$7:$AV$1576,$BU$7:$BU$1576,BU1490,$AY$7:$AY$1576,AY1490,$BO$7:$BO$1576,"&lt;="&amp;BO1490),"")</f>
        <v/>
      </c>
      <c r="BA1490" s="65" t="n">
        <f aca="false">IF(AZ1490="",0,MAX(0,MIN(1,(IF(BU1490="L1",Parameter!$E$5,Parameter!$E$6+Parameter!$E$7)-(AZ1490-AV1490))/AV1490)))</f>
        <v>0</v>
      </c>
      <c r="BB1490" s="55" t="str">
        <f aca="false">IF(AF1490&lt;=0,"",IF(BU1490="Aussen","Aussenlager",IF(BU1490="-","Nicht im Lift",IF(AK1490&gt;=1,"Lift",IF(AK1490&lt;=0,"Aussenlager","teilweise")))))</f>
        <v/>
      </c>
      <c r="BC1490" s="55" t="str">
        <f aca="false">IF(AN1490&lt;=0,"",IF(BU1490="Aussen","Aussenlager",IF(BU1490="-","Nicht im Lift",IF(AS1490&gt;=1,"Lift",IF(AS1490&lt;=0,"Aussenlager","teilweise")))))</f>
        <v/>
      </c>
      <c r="BD1490" s="55" t="str">
        <f aca="false">IF(AV1490&lt;=0,"",IF(BU1490="Aussen","Aussenlager",IF(BU1490="-","Nicht im Lift",IF(BA1490&gt;=1,"Lift",IF(BA1490&lt;=0,"Aussenlager","teilweise")))))</f>
        <v/>
      </c>
      <c r="BE1490" s="55" t="str">
        <f aca="false">IF(A1490="","",IF(BN1490=1,"Neu; ","")&amp;IF(AND(BN1490=0,BI1490&lt;0),"negativer Bestand (Export "&amp;BI1490&amp;"); ","")&amp;IF(I1490&lt;=0,"Kein Verbrauch; ","")&amp;IF(CD1490&gt;0,"Lift "&amp;U1490&amp;" lt. Liftbericht (Fach "&amp;V1490&amp;" Stk); ",IF(BR1490=1,"Lose – Fläche geschätzt; ",""))&amp;IF(G1490&gt;AP1490,"Überbestand "&amp;ROUND(G1490-AP1490,0)&amp;" Stk / CHF "&amp;ROUND((G1490-AP1490)*F1490,0)&amp;"; ","")&amp;IF(AND(BW1490=1,BX1490&lt;BY1490),"MAX &lt; MB+LG; ","")&amp;IF(AND(CC1490&gt;0,CB1490*10&gt;CC1490),"zu hoch für Tablar; ","")&amp;IF(AND(BN1490=0,OR(BW1490=1,Y1490&lt;&gt;"",S1490&lt;&gt;"",T1490&lt;&gt;"",Z1490&lt;&gt;"")),"manuell übersteuert; ","")&amp;IF(AND(BR1490=0,Q1490=0),"Gebinde unbekannt / Stellmass fehlt; ","")&amp;IF(AND(BR1490=0,N(T1490)&lt;=0,N(P1490)&lt;=0),"Menge pro Gebinde fehlt (Ist = 1 Gebinde); ","")&amp;BM1490)</f>
        <v/>
      </c>
      <c r="BF1490" s="55"/>
      <c r="BG1490" s="55"/>
      <c r="BH1490" s="62"/>
      <c r="BI1490" s="57" t="n">
        <f aca="false">N('Neue Artikel'!$D$18)</f>
        <v>0</v>
      </c>
      <c r="BJ1490" s="57" t="n">
        <v>0</v>
      </c>
      <c r="BK1490" s="56" t="n">
        <v>0</v>
      </c>
      <c r="BL1490" s="57" t="n">
        <f aca="false">N('Neue Artikel'!$C$18)/Parameter!$B$18</f>
        <v>0</v>
      </c>
      <c r="BM1490" s="55"/>
      <c r="BN1490" s="60" t="n">
        <v>1</v>
      </c>
      <c r="BO1490" s="60" t="n">
        <v>1490</v>
      </c>
      <c r="BP1490" s="55" t="str">
        <f aca="false">IF(S1490&lt;&gt;"",UPPER(TRIM(S1490)),IF(O1490="","LOSE",O1490))</f>
        <v>LOSE</v>
      </c>
      <c r="BQ1490" s="57" t="n">
        <f aca="false">IF(BP1490="LOSE",1,IF(N(T1490)&gt;0,T1490,IF(N(P1490)&gt;0,P1490,MAX(1,G1490))))</f>
        <v>1</v>
      </c>
      <c r="BR1490" s="60" t="n">
        <f aca="false">IF(BP1490="LOSE",1,0)</f>
        <v>1</v>
      </c>
      <c r="BS1490" s="59" t="n">
        <f aca="false">IF(BR1490=0,0,IF(N(R1490)&gt;0,R1490,IFERROR(VLOOKUP(D1490,Parameter!$A$35:$C$64,3,0)+0,0)))</f>
        <v>0.15</v>
      </c>
      <c r="BT1490" s="55" t="str">
        <f aca="false">IF(Y1490&lt;&gt;"",Y1490,X1490)</f>
        <v/>
      </c>
      <c r="BU1490" s="55" t="str">
        <f aca="false">IF(BT1490=1,"L1",IF(OR(BT1490=2,BT1490=3),"L23",IF(BT1490="Aussen","Aussen","-")))</f>
        <v>-</v>
      </c>
      <c r="BV1490" s="66" t="n">
        <f aca="false">IF(N(Z1490)&gt;0,Z1490,0)</f>
        <v>0</v>
      </c>
      <c r="BW1490" s="60" t="n">
        <f aca="false">IF(ISNUMBER(AC1490),1,0)</f>
        <v>0</v>
      </c>
      <c r="BX1490" s="57" t="n">
        <f aca="false">N(AC1490)</f>
        <v>0</v>
      </c>
      <c r="BY1490" s="57" t="n">
        <f aca="false">N(L1490)+N(M1490)</f>
        <v>0</v>
      </c>
      <c r="BZ1490" s="57" t="n">
        <f aca="false">ROUNDUP(G1490/BQ1490,0)</f>
        <v>0</v>
      </c>
      <c r="CA1490" s="57" t="n">
        <f aca="false">ROUNDUP(BX1490/BQ1490,0)</f>
        <v>0</v>
      </c>
      <c r="CB1490" s="60" t="n">
        <f aca="false">IF(BR1490=1,0,IFERROR(VLOOKUP(BP1490,'Gebinde-Kategorie'!$A$5:$M$45,5,0)+0,0))</f>
        <v>0</v>
      </c>
      <c r="CC1490" s="60" t="n">
        <f aca="false">IFERROR(IF(OR(BT1490=1,BT1490=2,BT1490=3),N(INDEX(Parameter!$I$5:$I$7,BT1490)),0),0)</f>
        <v>0</v>
      </c>
      <c r="CD1490" s="59" t="n">
        <f aca="false">IF(AND(Parameter!$B$21="Ja",ISNUMBER(U1490),N(V1490)&gt;0),IFERROR(N(INDEX(Parameter!$L$5:$L$7,U1490))*INDEX(Parameter!$E$5:$E$7,U1490)*V1490/SUMIFS($V$7:$V$1576,$U$7:$U$1576,U1490),0),0)</f>
        <v>0</v>
      </c>
    </row>
    <row r="1491" customFormat="false" ht="15" hidden="false" customHeight="false" outlineLevel="0" collapsed="false">
      <c r="A1491" s="55" t="str">
        <f aca="false">IF('Neue Artikel'!$A$19="","",'Neue Artikel'!$A$19&amp;"")</f>
        <v/>
      </c>
      <c r="B1491" s="55" t="str">
        <f aca="false">'Neue Artikel'!$B$19&amp;""</f>
        <v/>
      </c>
      <c r="C1491" s="55"/>
      <c r="D1491" s="55" t="s">
        <v>2561</v>
      </c>
      <c r="E1491" s="55"/>
      <c r="F1491" s="56" t="n">
        <f aca="false">N('Neue Artikel'!$G$19)</f>
        <v>0</v>
      </c>
      <c r="G1491" s="57" t="n">
        <f aca="false">MAX(0,IF(AND(Parameter!$B$21="Ja",ISNUMBER(W1491)),W1491,IF(Parameter!$B$20="Jahresanfang 2025 + Export",BJ1491+BI1491,BI1491)))</f>
        <v>0</v>
      </c>
      <c r="H1491" s="57" t="n">
        <f aca="false">G1491*F1491</f>
        <v>0</v>
      </c>
      <c r="I1491" s="57" t="n">
        <f aca="false">BL1491*Parameter!$B$18</f>
        <v>0</v>
      </c>
      <c r="J1491" s="58"/>
      <c r="K1491" s="59"/>
      <c r="L1491" s="57" t="n">
        <f aca="false">N('Neue Artikel'!$E$19)</f>
        <v>0</v>
      </c>
      <c r="M1491" s="57" t="n">
        <f aca="false">N('Neue Artikel'!$F$19)</f>
        <v>0</v>
      </c>
      <c r="N1491" s="60"/>
      <c r="O1491" s="55" t="str">
        <f aca="false">IF('Neue Artikel'!$H$19="","LOSE",UPPER(TRIM('Neue Artikel'!$H$19)))</f>
        <v>LOSE</v>
      </c>
      <c r="P1491" s="57" t="n">
        <f aca="false">N('Neue Artikel'!$I$19)</f>
        <v>0</v>
      </c>
      <c r="Q1491" s="60" t="n">
        <f aca="false">IF(BR1491=1,0,IFERROR(VLOOKUP(BP1491,'Gebinde-Kategorie'!$A$5:$M$45,13,0)+0,0))</f>
        <v>0</v>
      </c>
      <c r="R1491" s="61"/>
      <c r="S1491" s="62"/>
      <c r="T1491" s="62"/>
      <c r="U1491" s="55"/>
      <c r="V1491" s="57"/>
      <c r="W1491" s="57"/>
      <c r="X1491" s="55" t="str">
        <f aca="false">IF(A1491="","",IF(AND(Parameter!$B$21="Ja",ISNUMBER(U1491)),U1491,IF(IFERROR(VLOOKUP(D1491,Parameter!$A$35:$C$64,2,0),"Nein")="2+3",IF(ISNUMBER(SEARCH("grosser Artikel",BM1491)),2,IFERROR(VLOOKUP(BP1491,Parameter!$F$35:$G$64,2,0),2)),IF(OR(IFERROR(VLOOKUP(D1491,Parameter!$A$35:$C$64,2,0),"Nein")="Nein",IFERROR(VLOOKUP(D1491,Parameter!$A$35:$C$64,2,0),"Nein")=""),"-",VLOOKUP(D1491,Parameter!$A$35:$C$64,2,0)))))</f>
        <v/>
      </c>
      <c r="Y1491" s="55" t="str">
        <f aca="false">IF('Neue Artikel'!$J$19="","",'Neue Artikel'!$J$19)</f>
        <v/>
      </c>
      <c r="Z1491" s="63"/>
      <c r="AA1491" s="57" t="n">
        <f aca="false">AP1491</f>
        <v>0</v>
      </c>
      <c r="AB1491" s="57" t="n">
        <f aca="false">MAX(AP1491,G1491)</f>
        <v>0</v>
      </c>
      <c r="AC1491" s="64"/>
      <c r="AD1491" s="57" t="n">
        <f aca="false">IF(LEFT(Cockpit!$C$5,1)="A",G1491,IF(BW1491=1,BX1491,IF(LEFT(Cockpit!$C$5,1)="B",AH1491,MAX(AH1491,G1491))))</f>
        <v>0</v>
      </c>
      <c r="AE1491" s="57" t="n">
        <f aca="false">IF(BR1491=1,0,ROUNDUP(AD1491/BQ1491,0))</f>
        <v>0</v>
      </c>
      <c r="AF1491" s="59" t="n">
        <f aca="false">IF(CD1491&gt;0,CD1491*MAX(1,AD1491/V1491),IF(BR1491=1,IF(AD1491&lt;=0,0,BS1491*MAX(1,IF(G1491&gt;0,AD1491/G1491,1))),IF(Q1491&gt;0,AE1491/Q1491,0))/MAX(0.1,N(Parameter!$M$21)))</f>
        <v>0</v>
      </c>
      <c r="AG1491" s="57" t="n">
        <f aca="false">AD1491*F1491</f>
        <v>0</v>
      </c>
      <c r="AH1491" s="57" t="n">
        <f aca="false">ROUNDUP(MAX(I1491/IF(BV1491&gt;0,BV1491,MAX(0.1,N(Cockpit!$C$6))),BY1491)/BQ1491,0)*BQ1491</f>
        <v>0</v>
      </c>
      <c r="AI1491" s="58" t="n">
        <f aca="false">IF(AF1491&gt;0,I1491/AF1491,-1)</f>
        <v>-1</v>
      </c>
      <c r="AJ1491" s="58" t="str">
        <f aca="false">IF(AND(OR(BU1491="L1",BU1491="L23"),AF1491&gt;0),SUMIFS($AF$7:$AF$1576,$BU$7:$BU$1576,BU1491,$AI$7:$AI$1576,"&gt;"&amp;AI1491)+SUMIFS($AF$7:$AF$1576,$BU$7:$BU$1576,BU1491,$AI$7:$AI$1576,AI1491,$BO$7:$BO$1576,"&lt;="&amp;BO1491),"")</f>
        <v/>
      </c>
      <c r="AK1491" s="65" t="n">
        <f aca="false">IF(AJ1491="",0,MAX(0,MIN(1,(IF(BU1491="L1",Parameter!$E$5,Parameter!$E$6+Parameter!$E$7)-(AJ1491-AF1491))/AF1491)))</f>
        <v>0</v>
      </c>
      <c r="AL1491" s="57" t="n">
        <f aca="false">IF(LEFT(Cockpit!$I$5,1)="A",G1491,IF(BW1491=1,BX1491,IF(LEFT(Cockpit!$I$5,1)="B",AP1491,MAX(AP1491,G1491))))</f>
        <v>0</v>
      </c>
      <c r="AM1491" s="57" t="n">
        <f aca="false">IF(BR1491=1,0,ROUNDUP(AL1491/BQ1491,0))</f>
        <v>0</v>
      </c>
      <c r="AN1491" s="59" t="n">
        <f aca="false">IF(CD1491&gt;0,CD1491*MAX(1,AL1491/V1491),IF(BR1491=1,IF(AL1491&lt;=0,0,BS1491*MAX(1,IF(G1491&gt;0,AL1491/G1491,1))),IF(Q1491&gt;0,AM1491/Q1491,0))/MAX(0.1,N(Parameter!$M$21)))</f>
        <v>0</v>
      </c>
      <c r="AO1491" s="57" t="n">
        <f aca="false">AL1491*F1491</f>
        <v>0</v>
      </c>
      <c r="AP1491" s="57" t="n">
        <f aca="false">ROUNDUP(MAX(I1491/IF(BV1491&gt;0,BV1491,MAX(0.1,N(Cockpit!$I$6))),BY1491)/BQ1491,0)*BQ1491</f>
        <v>0</v>
      </c>
      <c r="AQ1491" s="58" t="n">
        <f aca="false">IF(AN1491&gt;0,I1491/AN1491,-1)</f>
        <v>-1</v>
      </c>
      <c r="AR1491" s="58" t="str">
        <f aca="false">IF(AND(OR(BU1491="L1",BU1491="L23"),AN1491&gt;0),SUMIFS($AN$7:$AN$1576,$BU$7:$BU$1576,BU1491,$AQ$7:$AQ$1576,"&gt;"&amp;AQ1491)+SUMIFS($AN$7:$AN$1576,$BU$7:$BU$1576,BU1491,$AQ$7:$AQ$1576,AQ1491,$BO$7:$BO$1576,"&lt;="&amp;BO1491),"")</f>
        <v/>
      </c>
      <c r="AS1491" s="65" t="n">
        <f aca="false">IF(AR1491="",0,MAX(0,MIN(1,(IF(BU1491="L1",Parameter!$E$5,Parameter!$E$6+Parameter!$E$7)-(AR1491-AN1491))/AN1491)))</f>
        <v>0</v>
      </c>
      <c r="AT1491" s="57" t="n">
        <f aca="false">IF(LEFT(Cockpit!$O$5,1)="A",G1491,IF(BW1491=1,BX1491,IF(LEFT(Cockpit!$O$5,1)="B",AX1491,MAX(AX1491,G1491))))</f>
        <v>0</v>
      </c>
      <c r="AU1491" s="57" t="n">
        <f aca="false">IF(BR1491=1,0,ROUNDUP(AT1491/BQ1491,0))</f>
        <v>0</v>
      </c>
      <c r="AV1491" s="59" t="n">
        <f aca="false">IF(CD1491&gt;0,CD1491*MAX(1,AT1491/V1491),IF(BR1491=1,IF(AT1491&lt;=0,0,BS1491*MAX(1,IF(G1491&gt;0,AT1491/G1491,1))),IF(Q1491&gt;0,AU1491/Q1491,0))/MAX(0.1,N(Parameter!$M$21)))</f>
        <v>0</v>
      </c>
      <c r="AW1491" s="57" t="n">
        <f aca="false">AT1491*F1491</f>
        <v>0</v>
      </c>
      <c r="AX1491" s="57" t="n">
        <f aca="false">ROUNDUP(MAX(I1491/IF(BV1491&gt;0,BV1491,MAX(0.1,N(Cockpit!$O$6))),BY1491)/BQ1491,0)*BQ1491</f>
        <v>0</v>
      </c>
      <c r="AY1491" s="58" t="n">
        <f aca="false">IF(AV1491&gt;0,I1491/AV1491,-1)</f>
        <v>-1</v>
      </c>
      <c r="AZ1491" s="58" t="str">
        <f aca="false">IF(AND(OR(BU1491="L1",BU1491="L23"),AV1491&gt;0),SUMIFS($AV$7:$AV$1576,$BU$7:$BU$1576,BU1491,$AY$7:$AY$1576,"&gt;"&amp;AY1491)+SUMIFS($AV$7:$AV$1576,$BU$7:$BU$1576,BU1491,$AY$7:$AY$1576,AY1491,$BO$7:$BO$1576,"&lt;="&amp;BO1491),"")</f>
        <v/>
      </c>
      <c r="BA1491" s="65" t="n">
        <f aca="false">IF(AZ1491="",0,MAX(0,MIN(1,(IF(BU1491="L1",Parameter!$E$5,Parameter!$E$6+Parameter!$E$7)-(AZ1491-AV1491))/AV1491)))</f>
        <v>0</v>
      </c>
      <c r="BB1491" s="55" t="str">
        <f aca="false">IF(AF1491&lt;=0,"",IF(BU1491="Aussen","Aussenlager",IF(BU1491="-","Nicht im Lift",IF(AK1491&gt;=1,"Lift",IF(AK1491&lt;=0,"Aussenlager","teilweise")))))</f>
        <v/>
      </c>
      <c r="BC1491" s="55" t="str">
        <f aca="false">IF(AN1491&lt;=0,"",IF(BU1491="Aussen","Aussenlager",IF(BU1491="-","Nicht im Lift",IF(AS1491&gt;=1,"Lift",IF(AS1491&lt;=0,"Aussenlager","teilweise")))))</f>
        <v/>
      </c>
      <c r="BD1491" s="55" t="str">
        <f aca="false">IF(AV1491&lt;=0,"",IF(BU1491="Aussen","Aussenlager",IF(BU1491="-","Nicht im Lift",IF(BA1491&gt;=1,"Lift",IF(BA1491&lt;=0,"Aussenlager","teilweise")))))</f>
        <v/>
      </c>
      <c r="BE1491" s="55" t="str">
        <f aca="false">IF(A1491="","",IF(BN1491=1,"Neu; ","")&amp;IF(AND(BN1491=0,BI1491&lt;0),"negativer Bestand (Export "&amp;BI1491&amp;"); ","")&amp;IF(I1491&lt;=0,"Kein Verbrauch; ","")&amp;IF(CD1491&gt;0,"Lift "&amp;U1491&amp;" lt. Liftbericht (Fach "&amp;V1491&amp;" Stk); ",IF(BR1491=1,"Lose – Fläche geschätzt; ",""))&amp;IF(G1491&gt;AP1491,"Überbestand "&amp;ROUND(G1491-AP1491,0)&amp;" Stk / CHF "&amp;ROUND((G1491-AP1491)*F1491,0)&amp;"; ","")&amp;IF(AND(BW1491=1,BX1491&lt;BY1491),"MAX &lt; MB+LG; ","")&amp;IF(AND(CC1491&gt;0,CB1491*10&gt;CC1491),"zu hoch für Tablar; ","")&amp;IF(AND(BN1491=0,OR(BW1491=1,Y1491&lt;&gt;"",S1491&lt;&gt;"",T1491&lt;&gt;"",Z1491&lt;&gt;"")),"manuell übersteuert; ","")&amp;IF(AND(BR1491=0,Q1491=0),"Gebinde unbekannt / Stellmass fehlt; ","")&amp;IF(AND(BR1491=0,N(T1491)&lt;=0,N(P1491)&lt;=0),"Menge pro Gebinde fehlt (Ist = 1 Gebinde); ","")&amp;BM1491)</f>
        <v/>
      </c>
      <c r="BF1491" s="55"/>
      <c r="BG1491" s="55"/>
      <c r="BH1491" s="62"/>
      <c r="BI1491" s="57" t="n">
        <f aca="false">N('Neue Artikel'!$D$19)</f>
        <v>0</v>
      </c>
      <c r="BJ1491" s="57" t="n">
        <v>0</v>
      </c>
      <c r="BK1491" s="56" t="n">
        <v>0</v>
      </c>
      <c r="BL1491" s="57" t="n">
        <f aca="false">N('Neue Artikel'!$C$19)/Parameter!$B$18</f>
        <v>0</v>
      </c>
      <c r="BM1491" s="55"/>
      <c r="BN1491" s="60" t="n">
        <v>1</v>
      </c>
      <c r="BO1491" s="60" t="n">
        <v>1491</v>
      </c>
      <c r="BP1491" s="55" t="str">
        <f aca="false">IF(S1491&lt;&gt;"",UPPER(TRIM(S1491)),IF(O1491="","LOSE",O1491))</f>
        <v>LOSE</v>
      </c>
      <c r="BQ1491" s="57" t="n">
        <f aca="false">IF(BP1491="LOSE",1,IF(N(T1491)&gt;0,T1491,IF(N(P1491)&gt;0,P1491,MAX(1,G1491))))</f>
        <v>1</v>
      </c>
      <c r="BR1491" s="60" t="n">
        <f aca="false">IF(BP1491="LOSE",1,0)</f>
        <v>1</v>
      </c>
      <c r="BS1491" s="59" t="n">
        <f aca="false">IF(BR1491=0,0,IF(N(R1491)&gt;0,R1491,IFERROR(VLOOKUP(D1491,Parameter!$A$35:$C$64,3,0)+0,0)))</f>
        <v>0.15</v>
      </c>
      <c r="BT1491" s="55" t="str">
        <f aca="false">IF(Y1491&lt;&gt;"",Y1491,X1491)</f>
        <v/>
      </c>
      <c r="BU1491" s="55" t="str">
        <f aca="false">IF(BT1491=1,"L1",IF(OR(BT1491=2,BT1491=3),"L23",IF(BT1491="Aussen","Aussen","-")))</f>
        <v>-</v>
      </c>
      <c r="BV1491" s="66" t="n">
        <f aca="false">IF(N(Z1491)&gt;0,Z1491,0)</f>
        <v>0</v>
      </c>
      <c r="BW1491" s="60" t="n">
        <f aca="false">IF(ISNUMBER(AC1491),1,0)</f>
        <v>0</v>
      </c>
      <c r="BX1491" s="57" t="n">
        <f aca="false">N(AC1491)</f>
        <v>0</v>
      </c>
      <c r="BY1491" s="57" t="n">
        <f aca="false">N(L1491)+N(M1491)</f>
        <v>0</v>
      </c>
      <c r="BZ1491" s="57" t="n">
        <f aca="false">ROUNDUP(G1491/BQ1491,0)</f>
        <v>0</v>
      </c>
      <c r="CA1491" s="57" t="n">
        <f aca="false">ROUNDUP(BX1491/BQ1491,0)</f>
        <v>0</v>
      </c>
      <c r="CB1491" s="60" t="n">
        <f aca="false">IF(BR1491=1,0,IFERROR(VLOOKUP(BP1491,'Gebinde-Kategorie'!$A$5:$M$45,5,0)+0,0))</f>
        <v>0</v>
      </c>
      <c r="CC1491" s="60" t="n">
        <f aca="false">IFERROR(IF(OR(BT1491=1,BT1491=2,BT1491=3),N(INDEX(Parameter!$I$5:$I$7,BT1491)),0),0)</f>
        <v>0</v>
      </c>
      <c r="CD1491" s="59" t="n">
        <f aca="false">IF(AND(Parameter!$B$21="Ja",ISNUMBER(U1491),N(V1491)&gt;0),IFERROR(N(INDEX(Parameter!$L$5:$L$7,U1491))*INDEX(Parameter!$E$5:$E$7,U1491)*V1491/SUMIFS($V$7:$V$1576,$U$7:$U$1576,U1491),0),0)</f>
        <v>0</v>
      </c>
    </row>
    <row r="1492" customFormat="false" ht="15" hidden="false" customHeight="false" outlineLevel="0" collapsed="false">
      <c r="A1492" s="55" t="str">
        <f aca="false">IF('Neue Artikel'!$A$20="","",'Neue Artikel'!$A$20&amp;"")</f>
        <v/>
      </c>
      <c r="B1492" s="55" t="str">
        <f aca="false">'Neue Artikel'!$B$20&amp;""</f>
        <v/>
      </c>
      <c r="C1492" s="55"/>
      <c r="D1492" s="55" t="s">
        <v>2561</v>
      </c>
      <c r="E1492" s="55"/>
      <c r="F1492" s="56" t="n">
        <f aca="false">N('Neue Artikel'!$G$20)</f>
        <v>0</v>
      </c>
      <c r="G1492" s="57" t="n">
        <f aca="false">MAX(0,IF(AND(Parameter!$B$21="Ja",ISNUMBER(W1492)),W1492,IF(Parameter!$B$20="Jahresanfang 2025 + Export",BJ1492+BI1492,BI1492)))</f>
        <v>0</v>
      </c>
      <c r="H1492" s="57" t="n">
        <f aca="false">G1492*F1492</f>
        <v>0</v>
      </c>
      <c r="I1492" s="57" t="n">
        <f aca="false">BL1492*Parameter!$B$18</f>
        <v>0</v>
      </c>
      <c r="J1492" s="58"/>
      <c r="K1492" s="59"/>
      <c r="L1492" s="57" t="n">
        <f aca="false">N('Neue Artikel'!$E$20)</f>
        <v>0</v>
      </c>
      <c r="M1492" s="57" t="n">
        <f aca="false">N('Neue Artikel'!$F$20)</f>
        <v>0</v>
      </c>
      <c r="N1492" s="60"/>
      <c r="O1492" s="55" t="str">
        <f aca="false">IF('Neue Artikel'!$H$20="","LOSE",UPPER(TRIM('Neue Artikel'!$H$20)))</f>
        <v>LOSE</v>
      </c>
      <c r="P1492" s="57" t="n">
        <f aca="false">N('Neue Artikel'!$I$20)</f>
        <v>0</v>
      </c>
      <c r="Q1492" s="60" t="n">
        <f aca="false">IF(BR1492=1,0,IFERROR(VLOOKUP(BP1492,'Gebinde-Kategorie'!$A$5:$M$45,13,0)+0,0))</f>
        <v>0</v>
      </c>
      <c r="R1492" s="61"/>
      <c r="S1492" s="62"/>
      <c r="T1492" s="62"/>
      <c r="U1492" s="55"/>
      <c r="V1492" s="57"/>
      <c r="W1492" s="57"/>
      <c r="X1492" s="55" t="str">
        <f aca="false">IF(A1492="","",IF(AND(Parameter!$B$21="Ja",ISNUMBER(U1492)),U1492,IF(IFERROR(VLOOKUP(D1492,Parameter!$A$35:$C$64,2,0),"Nein")="2+3",IF(ISNUMBER(SEARCH("grosser Artikel",BM1492)),2,IFERROR(VLOOKUP(BP1492,Parameter!$F$35:$G$64,2,0),2)),IF(OR(IFERROR(VLOOKUP(D1492,Parameter!$A$35:$C$64,2,0),"Nein")="Nein",IFERROR(VLOOKUP(D1492,Parameter!$A$35:$C$64,2,0),"Nein")=""),"-",VLOOKUP(D1492,Parameter!$A$35:$C$64,2,0)))))</f>
        <v/>
      </c>
      <c r="Y1492" s="55" t="str">
        <f aca="false">IF('Neue Artikel'!$J$20="","",'Neue Artikel'!$J$20)</f>
        <v/>
      </c>
      <c r="Z1492" s="63"/>
      <c r="AA1492" s="57" t="n">
        <f aca="false">AP1492</f>
        <v>0</v>
      </c>
      <c r="AB1492" s="57" t="n">
        <f aca="false">MAX(AP1492,G1492)</f>
        <v>0</v>
      </c>
      <c r="AC1492" s="64"/>
      <c r="AD1492" s="57" t="n">
        <f aca="false">IF(LEFT(Cockpit!$C$5,1)="A",G1492,IF(BW1492=1,BX1492,IF(LEFT(Cockpit!$C$5,1)="B",AH1492,MAX(AH1492,G1492))))</f>
        <v>0</v>
      </c>
      <c r="AE1492" s="57" t="n">
        <f aca="false">IF(BR1492=1,0,ROUNDUP(AD1492/BQ1492,0))</f>
        <v>0</v>
      </c>
      <c r="AF1492" s="59" t="n">
        <f aca="false">IF(CD1492&gt;0,CD1492*MAX(1,AD1492/V1492),IF(BR1492=1,IF(AD1492&lt;=0,0,BS1492*MAX(1,IF(G1492&gt;0,AD1492/G1492,1))),IF(Q1492&gt;0,AE1492/Q1492,0))/MAX(0.1,N(Parameter!$M$21)))</f>
        <v>0</v>
      </c>
      <c r="AG1492" s="57" t="n">
        <f aca="false">AD1492*F1492</f>
        <v>0</v>
      </c>
      <c r="AH1492" s="57" t="n">
        <f aca="false">ROUNDUP(MAX(I1492/IF(BV1492&gt;0,BV1492,MAX(0.1,N(Cockpit!$C$6))),BY1492)/BQ1492,0)*BQ1492</f>
        <v>0</v>
      </c>
      <c r="AI1492" s="58" t="n">
        <f aca="false">IF(AF1492&gt;0,I1492/AF1492,-1)</f>
        <v>-1</v>
      </c>
      <c r="AJ1492" s="58" t="str">
        <f aca="false">IF(AND(OR(BU1492="L1",BU1492="L23"),AF1492&gt;0),SUMIFS($AF$7:$AF$1576,$BU$7:$BU$1576,BU1492,$AI$7:$AI$1576,"&gt;"&amp;AI1492)+SUMIFS($AF$7:$AF$1576,$BU$7:$BU$1576,BU1492,$AI$7:$AI$1576,AI1492,$BO$7:$BO$1576,"&lt;="&amp;BO1492),"")</f>
        <v/>
      </c>
      <c r="AK1492" s="65" t="n">
        <f aca="false">IF(AJ1492="",0,MAX(0,MIN(1,(IF(BU1492="L1",Parameter!$E$5,Parameter!$E$6+Parameter!$E$7)-(AJ1492-AF1492))/AF1492)))</f>
        <v>0</v>
      </c>
      <c r="AL1492" s="57" t="n">
        <f aca="false">IF(LEFT(Cockpit!$I$5,1)="A",G1492,IF(BW1492=1,BX1492,IF(LEFT(Cockpit!$I$5,1)="B",AP1492,MAX(AP1492,G1492))))</f>
        <v>0</v>
      </c>
      <c r="AM1492" s="57" t="n">
        <f aca="false">IF(BR1492=1,0,ROUNDUP(AL1492/BQ1492,0))</f>
        <v>0</v>
      </c>
      <c r="AN1492" s="59" t="n">
        <f aca="false">IF(CD1492&gt;0,CD1492*MAX(1,AL1492/V1492),IF(BR1492=1,IF(AL1492&lt;=0,0,BS1492*MAX(1,IF(G1492&gt;0,AL1492/G1492,1))),IF(Q1492&gt;0,AM1492/Q1492,0))/MAX(0.1,N(Parameter!$M$21)))</f>
        <v>0</v>
      </c>
      <c r="AO1492" s="57" t="n">
        <f aca="false">AL1492*F1492</f>
        <v>0</v>
      </c>
      <c r="AP1492" s="57" t="n">
        <f aca="false">ROUNDUP(MAX(I1492/IF(BV1492&gt;0,BV1492,MAX(0.1,N(Cockpit!$I$6))),BY1492)/BQ1492,0)*BQ1492</f>
        <v>0</v>
      </c>
      <c r="AQ1492" s="58" t="n">
        <f aca="false">IF(AN1492&gt;0,I1492/AN1492,-1)</f>
        <v>-1</v>
      </c>
      <c r="AR1492" s="58" t="str">
        <f aca="false">IF(AND(OR(BU1492="L1",BU1492="L23"),AN1492&gt;0),SUMIFS($AN$7:$AN$1576,$BU$7:$BU$1576,BU1492,$AQ$7:$AQ$1576,"&gt;"&amp;AQ1492)+SUMIFS($AN$7:$AN$1576,$BU$7:$BU$1576,BU1492,$AQ$7:$AQ$1576,AQ1492,$BO$7:$BO$1576,"&lt;="&amp;BO1492),"")</f>
        <v/>
      </c>
      <c r="AS1492" s="65" t="n">
        <f aca="false">IF(AR1492="",0,MAX(0,MIN(1,(IF(BU1492="L1",Parameter!$E$5,Parameter!$E$6+Parameter!$E$7)-(AR1492-AN1492))/AN1492)))</f>
        <v>0</v>
      </c>
      <c r="AT1492" s="57" t="n">
        <f aca="false">IF(LEFT(Cockpit!$O$5,1)="A",G1492,IF(BW1492=1,BX1492,IF(LEFT(Cockpit!$O$5,1)="B",AX1492,MAX(AX1492,G1492))))</f>
        <v>0</v>
      </c>
      <c r="AU1492" s="57" t="n">
        <f aca="false">IF(BR1492=1,0,ROUNDUP(AT1492/BQ1492,0))</f>
        <v>0</v>
      </c>
      <c r="AV1492" s="59" t="n">
        <f aca="false">IF(CD1492&gt;0,CD1492*MAX(1,AT1492/V1492),IF(BR1492=1,IF(AT1492&lt;=0,0,BS1492*MAX(1,IF(G1492&gt;0,AT1492/G1492,1))),IF(Q1492&gt;0,AU1492/Q1492,0))/MAX(0.1,N(Parameter!$M$21)))</f>
        <v>0</v>
      </c>
      <c r="AW1492" s="57" t="n">
        <f aca="false">AT1492*F1492</f>
        <v>0</v>
      </c>
      <c r="AX1492" s="57" t="n">
        <f aca="false">ROUNDUP(MAX(I1492/IF(BV1492&gt;0,BV1492,MAX(0.1,N(Cockpit!$O$6))),BY1492)/BQ1492,0)*BQ1492</f>
        <v>0</v>
      </c>
      <c r="AY1492" s="58" t="n">
        <f aca="false">IF(AV1492&gt;0,I1492/AV1492,-1)</f>
        <v>-1</v>
      </c>
      <c r="AZ1492" s="58" t="str">
        <f aca="false">IF(AND(OR(BU1492="L1",BU1492="L23"),AV1492&gt;0),SUMIFS($AV$7:$AV$1576,$BU$7:$BU$1576,BU1492,$AY$7:$AY$1576,"&gt;"&amp;AY1492)+SUMIFS($AV$7:$AV$1576,$BU$7:$BU$1576,BU1492,$AY$7:$AY$1576,AY1492,$BO$7:$BO$1576,"&lt;="&amp;BO1492),"")</f>
        <v/>
      </c>
      <c r="BA1492" s="65" t="n">
        <f aca="false">IF(AZ1492="",0,MAX(0,MIN(1,(IF(BU1492="L1",Parameter!$E$5,Parameter!$E$6+Parameter!$E$7)-(AZ1492-AV1492))/AV1492)))</f>
        <v>0</v>
      </c>
      <c r="BB1492" s="55" t="str">
        <f aca="false">IF(AF1492&lt;=0,"",IF(BU1492="Aussen","Aussenlager",IF(BU1492="-","Nicht im Lift",IF(AK1492&gt;=1,"Lift",IF(AK1492&lt;=0,"Aussenlager","teilweise")))))</f>
        <v/>
      </c>
      <c r="BC1492" s="55" t="str">
        <f aca="false">IF(AN1492&lt;=0,"",IF(BU1492="Aussen","Aussenlager",IF(BU1492="-","Nicht im Lift",IF(AS1492&gt;=1,"Lift",IF(AS1492&lt;=0,"Aussenlager","teilweise")))))</f>
        <v/>
      </c>
      <c r="BD1492" s="55" t="str">
        <f aca="false">IF(AV1492&lt;=0,"",IF(BU1492="Aussen","Aussenlager",IF(BU1492="-","Nicht im Lift",IF(BA1492&gt;=1,"Lift",IF(BA1492&lt;=0,"Aussenlager","teilweise")))))</f>
        <v/>
      </c>
      <c r="BE1492" s="55" t="str">
        <f aca="false">IF(A1492="","",IF(BN1492=1,"Neu; ","")&amp;IF(AND(BN1492=0,BI1492&lt;0),"negativer Bestand (Export "&amp;BI1492&amp;"); ","")&amp;IF(I1492&lt;=0,"Kein Verbrauch; ","")&amp;IF(CD1492&gt;0,"Lift "&amp;U1492&amp;" lt. Liftbericht (Fach "&amp;V1492&amp;" Stk); ",IF(BR1492=1,"Lose – Fläche geschätzt; ",""))&amp;IF(G1492&gt;AP1492,"Überbestand "&amp;ROUND(G1492-AP1492,0)&amp;" Stk / CHF "&amp;ROUND((G1492-AP1492)*F1492,0)&amp;"; ","")&amp;IF(AND(BW1492=1,BX1492&lt;BY1492),"MAX &lt; MB+LG; ","")&amp;IF(AND(CC1492&gt;0,CB1492*10&gt;CC1492),"zu hoch für Tablar; ","")&amp;IF(AND(BN1492=0,OR(BW1492=1,Y1492&lt;&gt;"",S1492&lt;&gt;"",T1492&lt;&gt;"",Z1492&lt;&gt;"")),"manuell übersteuert; ","")&amp;IF(AND(BR1492=0,Q1492=0),"Gebinde unbekannt / Stellmass fehlt; ","")&amp;IF(AND(BR1492=0,N(T1492)&lt;=0,N(P1492)&lt;=0),"Menge pro Gebinde fehlt (Ist = 1 Gebinde); ","")&amp;BM1492)</f>
        <v/>
      </c>
      <c r="BF1492" s="55"/>
      <c r="BG1492" s="55"/>
      <c r="BH1492" s="62"/>
      <c r="BI1492" s="57" t="n">
        <f aca="false">N('Neue Artikel'!$D$20)</f>
        <v>0</v>
      </c>
      <c r="BJ1492" s="57" t="n">
        <v>0</v>
      </c>
      <c r="BK1492" s="56" t="n">
        <v>0</v>
      </c>
      <c r="BL1492" s="57" t="n">
        <f aca="false">N('Neue Artikel'!$C$20)/Parameter!$B$18</f>
        <v>0</v>
      </c>
      <c r="BM1492" s="55"/>
      <c r="BN1492" s="60" t="n">
        <v>1</v>
      </c>
      <c r="BO1492" s="60" t="n">
        <v>1492</v>
      </c>
      <c r="BP1492" s="55" t="str">
        <f aca="false">IF(S1492&lt;&gt;"",UPPER(TRIM(S1492)),IF(O1492="","LOSE",O1492))</f>
        <v>LOSE</v>
      </c>
      <c r="BQ1492" s="57" t="n">
        <f aca="false">IF(BP1492="LOSE",1,IF(N(T1492)&gt;0,T1492,IF(N(P1492)&gt;0,P1492,MAX(1,G1492))))</f>
        <v>1</v>
      </c>
      <c r="BR1492" s="60" t="n">
        <f aca="false">IF(BP1492="LOSE",1,0)</f>
        <v>1</v>
      </c>
      <c r="BS1492" s="59" t="n">
        <f aca="false">IF(BR1492=0,0,IF(N(R1492)&gt;0,R1492,IFERROR(VLOOKUP(D1492,Parameter!$A$35:$C$64,3,0)+0,0)))</f>
        <v>0.15</v>
      </c>
      <c r="BT1492" s="55" t="str">
        <f aca="false">IF(Y1492&lt;&gt;"",Y1492,X1492)</f>
        <v/>
      </c>
      <c r="BU1492" s="55" t="str">
        <f aca="false">IF(BT1492=1,"L1",IF(OR(BT1492=2,BT1492=3),"L23",IF(BT1492="Aussen","Aussen","-")))</f>
        <v>-</v>
      </c>
      <c r="BV1492" s="66" t="n">
        <f aca="false">IF(N(Z1492)&gt;0,Z1492,0)</f>
        <v>0</v>
      </c>
      <c r="BW1492" s="60" t="n">
        <f aca="false">IF(ISNUMBER(AC1492),1,0)</f>
        <v>0</v>
      </c>
      <c r="BX1492" s="57" t="n">
        <f aca="false">N(AC1492)</f>
        <v>0</v>
      </c>
      <c r="BY1492" s="57" t="n">
        <f aca="false">N(L1492)+N(M1492)</f>
        <v>0</v>
      </c>
      <c r="BZ1492" s="57" t="n">
        <f aca="false">ROUNDUP(G1492/BQ1492,0)</f>
        <v>0</v>
      </c>
      <c r="CA1492" s="57" t="n">
        <f aca="false">ROUNDUP(BX1492/BQ1492,0)</f>
        <v>0</v>
      </c>
      <c r="CB1492" s="60" t="n">
        <f aca="false">IF(BR1492=1,0,IFERROR(VLOOKUP(BP1492,'Gebinde-Kategorie'!$A$5:$M$45,5,0)+0,0))</f>
        <v>0</v>
      </c>
      <c r="CC1492" s="60" t="n">
        <f aca="false">IFERROR(IF(OR(BT1492=1,BT1492=2,BT1492=3),N(INDEX(Parameter!$I$5:$I$7,BT1492)),0),0)</f>
        <v>0</v>
      </c>
      <c r="CD1492" s="59" t="n">
        <f aca="false">IF(AND(Parameter!$B$21="Ja",ISNUMBER(U1492),N(V1492)&gt;0),IFERROR(N(INDEX(Parameter!$L$5:$L$7,U1492))*INDEX(Parameter!$E$5:$E$7,U1492)*V1492/SUMIFS($V$7:$V$1576,$U$7:$U$1576,U1492),0),0)</f>
        <v>0</v>
      </c>
    </row>
    <row r="1493" customFormat="false" ht="15" hidden="false" customHeight="false" outlineLevel="0" collapsed="false">
      <c r="A1493" s="55" t="str">
        <f aca="false">IF('Neue Artikel'!$A$21="","",'Neue Artikel'!$A$21&amp;"")</f>
        <v/>
      </c>
      <c r="B1493" s="55" t="str">
        <f aca="false">'Neue Artikel'!$B$21&amp;""</f>
        <v/>
      </c>
      <c r="C1493" s="55"/>
      <c r="D1493" s="55" t="s">
        <v>2561</v>
      </c>
      <c r="E1493" s="55"/>
      <c r="F1493" s="56" t="n">
        <f aca="false">N('Neue Artikel'!$G$21)</f>
        <v>0</v>
      </c>
      <c r="G1493" s="57" t="n">
        <f aca="false">MAX(0,IF(AND(Parameter!$B$21="Ja",ISNUMBER(W1493)),W1493,IF(Parameter!$B$20="Jahresanfang 2025 + Export",BJ1493+BI1493,BI1493)))</f>
        <v>0</v>
      </c>
      <c r="H1493" s="57" t="n">
        <f aca="false">G1493*F1493</f>
        <v>0</v>
      </c>
      <c r="I1493" s="57" t="n">
        <f aca="false">BL1493*Parameter!$B$18</f>
        <v>0</v>
      </c>
      <c r="J1493" s="58"/>
      <c r="K1493" s="59"/>
      <c r="L1493" s="57" t="n">
        <f aca="false">N('Neue Artikel'!$E$21)</f>
        <v>0</v>
      </c>
      <c r="M1493" s="57" t="n">
        <f aca="false">N('Neue Artikel'!$F$21)</f>
        <v>0</v>
      </c>
      <c r="N1493" s="60"/>
      <c r="O1493" s="55" t="str">
        <f aca="false">IF('Neue Artikel'!$H$21="","LOSE",UPPER(TRIM('Neue Artikel'!$H$21)))</f>
        <v>LOSE</v>
      </c>
      <c r="P1493" s="57" t="n">
        <f aca="false">N('Neue Artikel'!$I$21)</f>
        <v>0</v>
      </c>
      <c r="Q1493" s="60" t="n">
        <f aca="false">IF(BR1493=1,0,IFERROR(VLOOKUP(BP1493,'Gebinde-Kategorie'!$A$5:$M$45,13,0)+0,0))</f>
        <v>0</v>
      </c>
      <c r="R1493" s="61"/>
      <c r="S1493" s="62"/>
      <c r="T1493" s="62"/>
      <c r="U1493" s="55"/>
      <c r="V1493" s="57"/>
      <c r="W1493" s="57"/>
      <c r="X1493" s="55" t="str">
        <f aca="false">IF(A1493="","",IF(AND(Parameter!$B$21="Ja",ISNUMBER(U1493)),U1493,IF(IFERROR(VLOOKUP(D1493,Parameter!$A$35:$C$64,2,0),"Nein")="2+3",IF(ISNUMBER(SEARCH("grosser Artikel",BM1493)),2,IFERROR(VLOOKUP(BP1493,Parameter!$F$35:$G$64,2,0),2)),IF(OR(IFERROR(VLOOKUP(D1493,Parameter!$A$35:$C$64,2,0),"Nein")="Nein",IFERROR(VLOOKUP(D1493,Parameter!$A$35:$C$64,2,0),"Nein")=""),"-",VLOOKUP(D1493,Parameter!$A$35:$C$64,2,0)))))</f>
        <v/>
      </c>
      <c r="Y1493" s="55" t="str">
        <f aca="false">IF('Neue Artikel'!$J$21="","",'Neue Artikel'!$J$21)</f>
        <v/>
      </c>
      <c r="Z1493" s="63"/>
      <c r="AA1493" s="57" t="n">
        <f aca="false">AP1493</f>
        <v>0</v>
      </c>
      <c r="AB1493" s="57" t="n">
        <f aca="false">MAX(AP1493,G1493)</f>
        <v>0</v>
      </c>
      <c r="AC1493" s="64"/>
      <c r="AD1493" s="57" t="n">
        <f aca="false">IF(LEFT(Cockpit!$C$5,1)="A",G1493,IF(BW1493=1,BX1493,IF(LEFT(Cockpit!$C$5,1)="B",AH1493,MAX(AH1493,G1493))))</f>
        <v>0</v>
      </c>
      <c r="AE1493" s="57" t="n">
        <f aca="false">IF(BR1493=1,0,ROUNDUP(AD1493/BQ1493,0))</f>
        <v>0</v>
      </c>
      <c r="AF1493" s="59" t="n">
        <f aca="false">IF(CD1493&gt;0,CD1493*MAX(1,AD1493/V1493),IF(BR1493=1,IF(AD1493&lt;=0,0,BS1493*MAX(1,IF(G1493&gt;0,AD1493/G1493,1))),IF(Q1493&gt;0,AE1493/Q1493,0))/MAX(0.1,N(Parameter!$M$21)))</f>
        <v>0</v>
      </c>
      <c r="AG1493" s="57" t="n">
        <f aca="false">AD1493*F1493</f>
        <v>0</v>
      </c>
      <c r="AH1493" s="57" t="n">
        <f aca="false">ROUNDUP(MAX(I1493/IF(BV1493&gt;0,BV1493,MAX(0.1,N(Cockpit!$C$6))),BY1493)/BQ1493,0)*BQ1493</f>
        <v>0</v>
      </c>
      <c r="AI1493" s="58" t="n">
        <f aca="false">IF(AF1493&gt;0,I1493/AF1493,-1)</f>
        <v>-1</v>
      </c>
      <c r="AJ1493" s="58" t="str">
        <f aca="false">IF(AND(OR(BU1493="L1",BU1493="L23"),AF1493&gt;0),SUMIFS($AF$7:$AF$1576,$BU$7:$BU$1576,BU1493,$AI$7:$AI$1576,"&gt;"&amp;AI1493)+SUMIFS($AF$7:$AF$1576,$BU$7:$BU$1576,BU1493,$AI$7:$AI$1576,AI1493,$BO$7:$BO$1576,"&lt;="&amp;BO1493),"")</f>
        <v/>
      </c>
      <c r="AK1493" s="65" t="n">
        <f aca="false">IF(AJ1493="",0,MAX(0,MIN(1,(IF(BU1493="L1",Parameter!$E$5,Parameter!$E$6+Parameter!$E$7)-(AJ1493-AF1493))/AF1493)))</f>
        <v>0</v>
      </c>
      <c r="AL1493" s="57" t="n">
        <f aca="false">IF(LEFT(Cockpit!$I$5,1)="A",G1493,IF(BW1493=1,BX1493,IF(LEFT(Cockpit!$I$5,1)="B",AP1493,MAX(AP1493,G1493))))</f>
        <v>0</v>
      </c>
      <c r="AM1493" s="57" t="n">
        <f aca="false">IF(BR1493=1,0,ROUNDUP(AL1493/BQ1493,0))</f>
        <v>0</v>
      </c>
      <c r="AN1493" s="59" t="n">
        <f aca="false">IF(CD1493&gt;0,CD1493*MAX(1,AL1493/V1493),IF(BR1493=1,IF(AL1493&lt;=0,0,BS1493*MAX(1,IF(G1493&gt;0,AL1493/G1493,1))),IF(Q1493&gt;0,AM1493/Q1493,0))/MAX(0.1,N(Parameter!$M$21)))</f>
        <v>0</v>
      </c>
      <c r="AO1493" s="57" t="n">
        <f aca="false">AL1493*F1493</f>
        <v>0</v>
      </c>
      <c r="AP1493" s="57" t="n">
        <f aca="false">ROUNDUP(MAX(I1493/IF(BV1493&gt;0,BV1493,MAX(0.1,N(Cockpit!$I$6))),BY1493)/BQ1493,0)*BQ1493</f>
        <v>0</v>
      </c>
      <c r="AQ1493" s="58" t="n">
        <f aca="false">IF(AN1493&gt;0,I1493/AN1493,-1)</f>
        <v>-1</v>
      </c>
      <c r="AR1493" s="58" t="str">
        <f aca="false">IF(AND(OR(BU1493="L1",BU1493="L23"),AN1493&gt;0),SUMIFS($AN$7:$AN$1576,$BU$7:$BU$1576,BU1493,$AQ$7:$AQ$1576,"&gt;"&amp;AQ1493)+SUMIFS($AN$7:$AN$1576,$BU$7:$BU$1576,BU1493,$AQ$7:$AQ$1576,AQ1493,$BO$7:$BO$1576,"&lt;="&amp;BO1493),"")</f>
        <v/>
      </c>
      <c r="AS1493" s="65" t="n">
        <f aca="false">IF(AR1493="",0,MAX(0,MIN(1,(IF(BU1493="L1",Parameter!$E$5,Parameter!$E$6+Parameter!$E$7)-(AR1493-AN1493))/AN1493)))</f>
        <v>0</v>
      </c>
      <c r="AT1493" s="57" t="n">
        <f aca="false">IF(LEFT(Cockpit!$O$5,1)="A",G1493,IF(BW1493=1,BX1493,IF(LEFT(Cockpit!$O$5,1)="B",AX1493,MAX(AX1493,G1493))))</f>
        <v>0</v>
      </c>
      <c r="AU1493" s="57" t="n">
        <f aca="false">IF(BR1493=1,0,ROUNDUP(AT1493/BQ1493,0))</f>
        <v>0</v>
      </c>
      <c r="AV1493" s="59" t="n">
        <f aca="false">IF(CD1493&gt;0,CD1493*MAX(1,AT1493/V1493),IF(BR1493=1,IF(AT1493&lt;=0,0,BS1493*MAX(1,IF(G1493&gt;0,AT1493/G1493,1))),IF(Q1493&gt;0,AU1493/Q1493,0))/MAX(0.1,N(Parameter!$M$21)))</f>
        <v>0</v>
      </c>
      <c r="AW1493" s="57" t="n">
        <f aca="false">AT1493*F1493</f>
        <v>0</v>
      </c>
      <c r="AX1493" s="57" t="n">
        <f aca="false">ROUNDUP(MAX(I1493/IF(BV1493&gt;0,BV1493,MAX(0.1,N(Cockpit!$O$6))),BY1493)/BQ1493,0)*BQ1493</f>
        <v>0</v>
      </c>
      <c r="AY1493" s="58" t="n">
        <f aca="false">IF(AV1493&gt;0,I1493/AV1493,-1)</f>
        <v>-1</v>
      </c>
      <c r="AZ1493" s="58" t="str">
        <f aca="false">IF(AND(OR(BU1493="L1",BU1493="L23"),AV1493&gt;0),SUMIFS($AV$7:$AV$1576,$BU$7:$BU$1576,BU1493,$AY$7:$AY$1576,"&gt;"&amp;AY1493)+SUMIFS($AV$7:$AV$1576,$BU$7:$BU$1576,BU1493,$AY$7:$AY$1576,AY1493,$BO$7:$BO$1576,"&lt;="&amp;BO1493),"")</f>
        <v/>
      </c>
      <c r="BA1493" s="65" t="n">
        <f aca="false">IF(AZ1493="",0,MAX(0,MIN(1,(IF(BU1493="L1",Parameter!$E$5,Parameter!$E$6+Parameter!$E$7)-(AZ1493-AV1493))/AV1493)))</f>
        <v>0</v>
      </c>
      <c r="BB1493" s="55" t="str">
        <f aca="false">IF(AF1493&lt;=0,"",IF(BU1493="Aussen","Aussenlager",IF(BU1493="-","Nicht im Lift",IF(AK1493&gt;=1,"Lift",IF(AK1493&lt;=0,"Aussenlager","teilweise")))))</f>
        <v/>
      </c>
      <c r="BC1493" s="55" t="str">
        <f aca="false">IF(AN1493&lt;=0,"",IF(BU1493="Aussen","Aussenlager",IF(BU1493="-","Nicht im Lift",IF(AS1493&gt;=1,"Lift",IF(AS1493&lt;=0,"Aussenlager","teilweise")))))</f>
        <v/>
      </c>
      <c r="BD1493" s="55" t="str">
        <f aca="false">IF(AV1493&lt;=0,"",IF(BU1493="Aussen","Aussenlager",IF(BU1493="-","Nicht im Lift",IF(BA1493&gt;=1,"Lift",IF(BA1493&lt;=0,"Aussenlager","teilweise")))))</f>
        <v/>
      </c>
      <c r="BE1493" s="55" t="str">
        <f aca="false">IF(A1493="","",IF(BN1493=1,"Neu; ","")&amp;IF(AND(BN1493=0,BI1493&lt;0),"negativer Bestand (Export "&amp;BI1493&amp;"); ","")&amp;IF(I1493&lt;=0,"Kein Verbrauch; ","")&amp;IF(CD1493&gt;0,"Lift "&amp;U1493&amp;" lt. Liftbericht (Fach "&amp;V1493&amp;" Stk); ",IF(BR1493=1,"Lose – Fläche geschätzt; ",""))&amp;IF(G1493&gt;AP1493,"Überbestand "&amp;ROUND(G1493-AP1493,0)&amp;" Stk / CHF "&amp;ROUND((G1493-AP1493)*F1493,0)&amp;"; ","")&amp;IF(AND(BW1493=1,BX1493&lt;BY1493),"MAX &lt; MB+LG; ","")&amp;IF(AND(CC1493&gt;0,CB1493*10&gt;CC1493),"zu hoch für Tablar; ","")&amp;IF(AND(BN1493=0,OR(BW1493=1,Y1493&lt;&gt;"",S1493&lt;&gt;"",T1493&lt;&gt;"",Z1493&lt;&gt;"")),"manuell übersteuert; ","")&amp;IF(AND(BR1493=0,Q1493=0),"Gebinde unbekannt / Stellmass fehlt; ","")&amp;IF(AND(BR1493=0,N(T1493)&lt;=0,N(P1493)&lt;=0),"Menge pro Gebinde fehlt (Ist = 1 Gebinde); ","")&amp;BM1493)</f>
        <v/>
      </c>
      <c r="BF1493" s="55"/>
      <c r="BG1493" s="55"/>
      <c r="BH1493" s="62"/>
      <c r="BI1493" s="57" t="n">
        <f aca="false">N('Neue Artikel'!$D$21)</f>
        <v>0</v>
      </c>
      <c r="BJ1493" s="57" t="n">
        <v>0</v>
      </c>
      <c r="BK1493" s="56" t="n">
        <v>0</v>
      </c>
      <c r="BL1493" s="57" t="n">
        <f aca="false">N('Neue Artikel'!$C$21)/Parameter!$B$18</f>
        <v>0</v>
      </c>
      <c r="BM1493" s="55"/>
      <c r="BN1493" s="60" t="n">
        <v>1</v>
      </c>
      <c r="BO1493" s="60" t="n">
        <v>1493</v>
      </c>
      <c r="BP1493" s="55" t="str">
        <f aca="false">IF(S1493&lt;&gt;"",UPPER(TRIM(S1493)),IF(O1493="","LOSE",O1493))</f>
        <v>LOSE</v>
      </c>
      <c r="BQ1493" s="57" t="n">
        <f aca="false">IF(BP1493="LOSE",1,IF(N(T1493)&gt;0,T1493,IF(N(P1493)&gt;0,P1493,MAX(1,G1493))))</f>
        <v>1</v>
      </c>
      <c r="BR1493" s="60" t="n">
        <f aca="false">IF(BP1493="LOSE",1,0)</f>
        <v>1</v>
      </c>
      <c r="BS1493" s="59" t="n">
        <f aca="false">IF(BR1493=0,0,IF(N(R1493)&gt;0,R1493,IFERROR(VLOOKUP(D1493,Parameter!$A$35:$C$64,3,0)+0,0)))</f>
        <v>0.15</v>
      </c>
      <c r="BT1493" s="55" t="str">
        <f aca="false">IF(Y1493&lt;&gt;"",Y1493,X1493)</f>
        <v/>
      </c>
      <c r="BU1493" s="55" t="str">
        <f aca="false">IF(BT1493=1,"L1",IF(OR(BT1493=2,BT1493=3),"L23",IF(BT1493="Aussen","Aussen","-")))</f>
        <v>-</v>
      </c>
      <c r="BV1493" s="66" t="n">
        <f aca="false">IF(N(Z1493)&gt;0,Z1493,0)</f>
        <v>0</v>
      </c>
      <c r="BW1493" s="60" t="n">
        <f aca="false">IF(ISNUMBER(AC1493),1,0)</f>
        <v>0</v>
      </c>
      <c r="BX1493" s="57" t="n">
        <f aca="false">N(AC1493)</f>
        <v>0</v>
      </c>
      <c r="BY1493" s="57" t="n">
        <f aca="false">N(L1493)+N(M1493)</f>
        <v>0</v>
      </c>
      <c r="BZ1493" s="57" t="n">
        <f aca="false">ROUNDUP(G1493/BQ1493,0)</f>
        <v>0</v>
      </c>
      <c r="CA1493" s="57" t="n">
        <f aca="false">ROUNDUP(BX1493/BQ1493,0)</f>
        <v>0</v>
      </c>
      <c r="CB1493" s="60" t="n">
        <f aca="false">IF(BR1493=1,0,IFERROR(VLOOKUP(BP1493,'Gebinde-Kategorie'!$A$5:$M$45,5,0)+0,0))</f>
        <v>0</v>
      </c>
      <c r="CC1493" s="60" t="n">
        <f aca="false">IFERROR(IF(OR(BT1493=1,BT1493=2,BT1493=3),N(INDEX(Parameter!$I$5:$I$7,BT1493)),0),0)</f>
        <v>0</v>
      </c>
      <c r="CD1493" s="59" t="n">
        <f aca="false">IF(AND(Parameter!$B$21="Ja",ISNUMBER(U1493),N(V1493)&gt;0),IFERROR(N(INDEX(Parameter!$L$5:$L$7,U1493))*INDEX(Parameter!$E$5:$E$7,U1493)*V1493/SUMIFS($V$7:$V$1576,$U$7:$U$1576,U1493),0),0)</f>
        <v>0</v>
      </c>
    </row>
    <row r="1494" customFormat="false" ht="15" hidden="false" customHeight="false" outlineLevel="0" collapsed="false">
      <c r="A1494" s="55" t="str">
        <f aca="false">IF('Neue Artikel'!$A$22="","",'Neue Artikel'!$A$22&amp;"")</f>
        <v/>
      </c>
      <c r="B1494" s="55" t="str">
        <f aca="false">'Neue Artikel'!$B$22&amp;""</f>
        <v/>
      </c>
      <c r="C1494" s="55"/>
      <c r="D1494" s="55" t="s">
        <v>2561</v>
      </c>
      <c r="E1494" s="55"/>
      <c r="F1494" s="56" t="n">
        <f aca="false">N('Neue Artikel'!$G$22)</f>
        <v>0</v>
      </c>
      <c r="G1494" s="57" t="n">
        <f aca="false">MAX(0,IF(AND(Parameter!$B$21="Ja",ISNUMBER(W1494)),W1494,IF(Parameter!$B$20="Jahresanfang 2025 + Export",BJ1494+BI1494,BI1494)))</f>
        <v>0</v>
      </c>
      <c r="H1494" s="57" t="n">
        <f aca="false">G1494*F1494</f>
        <v>0</v>
      </c>
      <c r="I1494" s="57" t="n">
        <f aca="false">BL1494*Parameter!$B$18</f>
        <v>0</v>
      </c>
      <c r="J1494" s="58"/>
      <c r="K1494" s="59"/>
      <c r="L1494" s="57" t="n">
        <f aca="false">N('Neue Artikel'!$E$22)</f>
        <v>0</v>
      </c>
      <c r="M1494" s="57" t="n">
        <f aca="false">N('Neue Artikel'!$F$22)</f>
        <v>0</v>
      </c>
      <c r="N1494" s="60"/>
      <c r="O1494" s="55" t="str">
        <f aca="false">IF('Neue Artikel'!$H$22="","LOSE",UPPER(TRIM('Neue Artikel'!$H$22)))</f>
        <v>LOSE</v>
      </c>
      <c r="P1494" s="57" t="n">
        <f aca="false">N('Neue Artikel'!$I$22)</f>
        <v>0</v>
      </c>
      <c r="Q1494" s="60" t="n">
        <f aca="false">IF(BR1494=1,0,IFERROR(VLOOKUP(BP1494,'Gebinde-Kategorie'!$A$5:$M$45,13,0)+0,0))</f>
        <v>0</v>
      </c>
      <c r="R1494" s="61"/>
      <c r="S1494" s="62"/>
      <c r="T1494" s="62"/>
      <c r="U1494" s="55"/>
      <c r="V1494" s="57"/>
      <c r="W1494" s="57"/>
      <c r="X1494" s="55" t="str">
        <f aca="false">IF(A1494="","",IF(AND(Parameter!$B$21="Ja",ISNUMBER(U1494)),U1494,IF(IFERROR(VLOOKUP(D1494,Parameter!$A$35:$C$64,2,0),"Nein")="2+3",IF(ISNUMBER(SEARCH("grosser Artikel",BM1494)),2,IFERROR(VLOOKUP(BP1494,Parameter!$F$35:$G$64,2,0),2)),IF(OR(IFERROR(VLOOKUP(D1494,Parameter!$A$35:$C$64,2,0),"Nein")="Nein",IFERROR(VLOOKUP(D1494,Parameter!$A$35:$C$64,2,0),"Nein")=""),"-",VLOOKUP(D1494,Parameter!$A$35:$C$64,2,0)))))</f>
        <v/>
      </c>
      <c r="Y1494" s="55" t="str">
        <f aca="false">IF('Neue Artikel'!$J$22="","",'Neue Artikel'!$J$22)</f>
        <v/>
      </c>
      <c r="Z1494" s="63"/>
      <c r="AA1494" s="57" t="n">
        <f aca="false">AP1494</f>
        <v>0</v>
      </c>
      <c r="AB1494" s="57" t="n">
        <f aca="false">MAX(AP1494,G1494)</f>
        <v>0</v>
      </c>
      <c r="AC1494" s="64"/>
      <c r="AD1494" s="57" t="n">
        <f aca="false">IF(LEFT(Cockpit!$C$5,1)="A",G1494,IF(BW1494=1,BX1494,IF(LEFT(Cockpit!$C$5,1)="B",AH1494,MAX(AH1494,G1494))))</f>
        <v>0</v>
      </c>
      <c r="AE1494" s="57" t="n">
        <f aca="false">IF(BR1494=1,0,ROUNDUP(AD1494/BQ1494,0))</f>
        <v>0</v>
      </c>
      <c r="AF1494" s="59" t="n">
        <f aca="false">IF(CD1494&gt;0,CD1494*MAX(1,AD1494/V1494),IF(BR1494=1,IF(AD1494&lt;=0,0,BS1494*MAX(1,IF(G1494&gt;0,AD1494/G1494,1))),IF(Q1494&gt;0,AE1494/Q1494,0))/MAX(0.1,N(Parameter!$M$21)))</f>
        <v>0</v>
      </c>
      <c r="AG1494" s="57" t="n">
        <f aca="false">AD1494*F1494</f>
        <v>0</v>
      </c>
      <c r="AH1494" s="57" t="n">
        <f aca="false">ROUNDUP(MAX(I1494/IF(BV1494&gt;0,BV1494,MAX(0.1,N(Cockpit!$C$6))),BY1494)/BQ1494,0)*BQ1494</f>
        <v>0</v>
      </c>
      <c r="AI1494" s="58" t="n">
        <f aca="false">IF(AF1494&gt;0,I1494/AF1494,-1)</f>
        <v>-1</v>
      </c>
      <c r="AJ1494" s="58" t="str">
        <f aca="false">IF(AND(OR(BU1494="L1",BU1494="L23"),AF1494&gt;0),SUMIFS($AF$7:$AF$1576,$BU$7:$BU$1576,BU1494,$AI$7:$AI$1576,"&gt;"&amp;AI1494)+SUMIFS($AF$7:$AF$1576,$BU$7:$BU$1576,BU1494,$AI$7:$AI$1576,AI1494,$BO$7:$BO$1576,"&lt;="&amp;BO1494),"")</f>
        <v/>
      </c>
      <c r="AK1494" s="65" t="n">
        <f aca="false">IF(AJ1494="",0,MAX(0,MIN(1,(IF(BU1494="L1",Parameter!$E$5,Parameter!$E$6+Parameter!$E$7)-(AJ1494-AF1494))/AF1494)))</f>
        <v>0</v>
      </c>
      <c r="AL1494" s="57" t="n">
        <f aca="false">IF(LEFT(Cockpit!$I$5,1)="A",G1494,IF(BW1494=1,BX1494,IF(LEFT(Cockpit!$I$5,1)="B",AP1494,MAX(AP1494,G1494))))</f>
        <v>0</v>
      </c>
      <c r="AM1494" s="57" t="n">
        <f aca="false">IF(BR1494=1,0,ROUNDUP(AL1494/BQ1494,0))</f>
        <v>0</v>
      </c>
      <c r="AN1494" s="59" t="n">
        <f aca="false">IF(CD1494&gt;0,CD1494*MAX(1,AL1494/V1494),IF(BR1494=1,IF(AL1494&lt;=0,0,BS1494*MAX(1,IF(G1494&gt;0,AL1494/G1494,1))),IF(Q1494&gt;0,AM1494/Q1494,0))/MAX(0.1,N(Parameter!$M$21)))</f>
        <v>0</v>
      </c>
      <c r="AO1494" s="57" t="n">
        <f aca="false">AL1494*F1494</f>
        <v>0</v>
      </c>
      <c r="AP1494" s="57" t="n">
        <f aca="false">ROUNDUP(MAX(I1494/IF(BV1494&gt;0,BV1494,MAX(0.1,N(Cockpit!$I$6))),BY1494)/BQ1494,0)*BQ1494</f>
        <v>0</v>
      </c>
      <c r="AQ1494" s="58" t="n">
        <f aca="false">IF(AN1494&gt;0,I1494/AN1494,-1)</f>
        <v>-1</v>
      </c>
      <c r="AR1494" s="58" t="str">
        <f aca="false">IF(AND(OR(BU1494="L1",BU1494="L23"),AN1494&gt;0),SUMIFS($AN$7:$AN$1576,$BU$7:$BU$1576,BU1494,$AQ$7:$AQ$1576,"&gt;"&amp;AQ1494)+SUMIFS($AN$7:$AN$1576,$BU$7:$BU$1576,BU1494,$AQ$7:$AQ$1576,AQ1494,$BO$7:$BO$1576,"&lt;="&amp;BO1494),"")</f>
        <v/>
      </c>
      <c r="AS1494" s="65" t="n">
        <f aca="false">IF(AR1494="",0,MAX(0,MIN(1,(IF(BU1494="L1",Parameter!$E$5,Parameter!$E$6+Parameter!$E$7)-(AR1494-AN1494))/AN1494)))</f>
        <v>0</v>
      </c>
      <c r="AT1494" s="57" t="n">
        <f aca="false">IF(LEFT(Cockpit!$O$5,1)="A",G1494,IF(BW1494=1,BX1494,IF(LEFT(Cockpit!$O$5,1)="B",AX1494,MAX(AX1494,G1494))))</f>
        <v>0</v>
      </c>
      <c r="AU1494" s="57" t="n">
        <f aca="false">IF(BR1494=1,0,ROUNDUP(AT1494/BQ1494,0))</f>
        <v>0</v>
      </c>
      <c r="AV1494" s="59" t="n">
        <f aca="false">IF(CD1494&gt;0,CD1494*MAX(1,AT1494/V1494),IF(BR1494=1,IF(AT1494&lt;=0,0,BS1494*MAX(1,IF(G1494&gt;0,AT1494/G1494,1))),IF(Q1494&gt;0,AU1494/Q1494,0))/MAX(0.1,N(Parameter!$M$21)))</f>
        <v>0</v>
      </c>
      <c r="AW1494" s="57" t="n">
        <f aca="false">AT1494*F1494</f>
        <v>0</v>
      </c>
      <c r="AX1494" s="57" t="n">
        <f aca="false">ROUNDUP(MAX(I1494/IF(BV1494&gt;0,BV1494,MAX(0.1,N(Cockpit!$O$6))),BY1494)/BQ1494,0)*BQ1494</f>
        <v>0</v>
      </c>
      <c r="AY1494" s="58" t="n">
        <f aca="false">IF(AV1494&gt;0,I1494/AV1494,-1)</f>
        <v>-1</v>
      </c>
      <c r="AZ1494" s="58" t="str">
        <f aca="false">IF(AND(OR(BU1494="L1",BU1494="L23"),AV1494&gt;0),SUMIFS($AV$7:$AV$1576,$BU$7:$BU$1576,BU1494,$AY$7:$AY$1576,"&gt;"&amp;AY1494)+SUMIFS($AV$7:$AV$1576,$BU$7:$BU$1576,BU1494,$AY$7:$AY$1576,AY1494,$BO$7:$BO$1576,"&lt;="&amp;BO1494),"")</f>
        <v/>
      </c>
      <c r="BA1494" s="65" t="n">
        <f aca="false">IF(AZ1494="",0,MAX(0,MIN(1,(IF(BU1494="L1",Parameter!$E$5,Parameter!$E$6+Parameter!$E$7)-(AZ1494-AV1494))/AV1494)))</f>
        <v>0</v>
      </c>
      <c r="BB1494" s="55" t="str">
        <f aca="false">IF(AF1494&lt;=0,"",IF(BU1494="Aussen","Aussenlager",IF(BU1494="-","Nicht im Lift",IF(AK1494&gt;=1,"Lift",IF(AK1494&lt;=0,"Aussenlager","teilweise")))))</f>
        <v/>
      </c>
      <c r="BC1494" s="55" t="str">
        <f aca="false">IF(AN1494&lt;=0,"",IF(BU1494="Aussen","Aussenlager",IF(BU1494="-","Nicht im Lift",IF(AS1494&gt;=1,"Lift",IF(AS1494&lt;=0,"Aussenlager","teilweise")))))</f>
        <v/>
      </c>
      <c r="BD1494" s="55" t="str">
        <f aca="false">IF(AV1494&lt;=0,"",IF(BU1494="Aussen","Aussenlager",IF(BU1494="-","Nicht im Lift",IF(BA1494&gt;=1,"Lift",IF(BA1494&lt;=0,"Aussenlager","teilweise")))))</f>
        <v/>
      </c>
      <c r="BE1494" s="55" t="str">
        <f aca="false">IF(A1494="","",IF(BN1494=1,"Neu; ","")&amp;IF(AND(BN1494=0,BI1494&lt;0),"negativer Bestand (Export "&amp;BI1494&amp;"); ","")&amp;IF(I1494&lt;=0,"Kein Verbrauch; ","")&amp;IF(CD1494&gt;0,"Lift "&amp;U1494&amp;" lt. Liftbericht (Fach "&amp;V1494&amp;" Stk); ",IF(BR1494=1,"Lose – Fläche geschätzt; ",""))&amp;IF(G1494&gt;AP1494,"Überbestand "&amp;ROUND(G1494-AP1494,0)&amp;" Stk / CHF "&amp;ROUND((G1494-AP1494)*F1494,0)&amp;"; ","")&amp;IF(AND(BW1494=1,BX1494&lt;BY1494),"MAX &lt; MB+LG; ","")&amp;IF(AND(CC1494&gt;0,CB1494*10&gt;CC1494),"zu hoch für Tablar; ","")&amp;IF(AND(BN1494=0,OR(BW1494=1,Y1494&lt;&gt;"",S1494&lt;&gt;"",T1494&lt;&gt;"",Z1494&lt;&gt;"")),"manuell übersteuert; ","")&amp;IF(AND(BR1494=0,Q1494=0),"Gebinde unbekannt / Stellmass fehlt; ","")&amp;IF(AND(BR1494=0,N(T1494)&lt;=0,N(P1494)&lt;=0),"Menge pro Gebinde fehlt (Ist = 1 Gebinde); ","")&amp;BM1494)</f>
        <v/>
      </c>
      <c r="BF1494" s="55"/>
      <c r="BG1494" s="55"/>
      <c r="BH1494" s="62"/>
      <c r="BI1494" s="57" t="n">
        <f aca="false">N('Neue Artikel'!$D$22)</f>
        <v>0</v>
      </c>
      <c r="BJ1494" s="57" t="n">
        <v>0</v>
      </c>
      <c r="BK1494" s="56" t="n">
        <v>0</v>
      </c>
      <c r="BL1494" s="57" t="n">
        <f aca="false">N('Neue Artikel'!$C$22)/Parameter!$B$18</f>
        <v>0</v>
      </c>
      <c r="BM1494" s="55"/>
      <c r="BN1494" s="60" t="n">
        <v>1</v>
      </c>
      <c r="BO1494" s="60" t="n">
        <v>1494</v>
      </c>
      <c r="BP1494" s="55" t="str">
        <f aca="false">IF(S1494&lt;&gt;"",UPPER(TRIM(S1494)),IF(O1494="","LOSE",O1494))</f>
        <v>LOSE</v>
      </c>
      <c r="BQ1494" s="57" t="n">
        <f aca="false">IF(BP1494="LOSE",1,IF(N(T1494)&gt;0,T1494,IF(N(P1494)&gt;0,P1494,MAX(1,G1494))))</f>
        <v>1</v>
      </c>
      <c r="BR1494" s="60" t="n">
        <f aca="false">IF(BP1494="LOSE",1,0)</f>
        <v>1</v>
      </c>
      <c r="BS1494" s="59" t="n">
        <f aca="false">IF(BR1494=0,0,IF(N(R1494)&gt;0,R1494,IFERROR(VLOOKUP(D1494,Parameter!$A$35:$C$64,3,0)+0,0)))</f>
        <v>0.15</v>
      </c>
      <c r="BT1494" s="55" t="str">
        <f aca="false">IF(Y1494&lt;&gt;"",Y1494,X1494)</f>
        <v/>
      </c>
      <c r="BU1494" s="55" t="str">
        <f aca="false">IF(BT1494=1,"L1",IF(OR(BT1494=2,BT1494=3),"L23",IF(BT1494="Aussen","Aussen","-")))</f>
        <v>-</v>
      </c>
      <c r="BV1494" s="66" t="n">
        <f aca="false">IF(N(Z1494)&gt;0,Z1494,0)</f>
        <v>0</v>
      </c>
      <c r="BW1494" s="60" t="n">
        <f aca="false">IF(ISNUMBER(AC1494),1,0)</f>
        <v>0</v>
      </c>
      <c r="BX1494" s="57" t="n">
        <f aca="false">N(AC1494)</f>
        <v>0</v>
      </c>
      <c r="BY1494" s="57" t="n">
        <f aca="false">N(L1494)+N(M1494)</f>
        <v>0</v>
      </c>
      <c r="BZ1494" s="57" t="n">
        <f aca="false">ROUNDUP(G1494/BQ1494,0)</f>
        <v>0</v>
      </c>
      <c r="CA1494" s="57" t="n">
        <f aca="false">ROUNDUP(BX1494/BQ1494,0)</f>
        <v>0</v>
      </c>
      <c r="CB1494" s="60" t="n">
        <f aca="false">IF(BR1494=1,0,IFERROR(VLOOKUP(BP1494,'Gebinde-Kategorie'!$A$5:$M$45,5,0)+0,0))</f>
        <v>0</v>
      </c>
      <c r="CC1494" s="60" t="n">
        <f aca="false">IFERROR(IF(OR(BT1494=1,BT1494=2,BT1494=3),N(INDEX(Parameter!$I$5:$I$7,BT1494)),0),0)</f>
        <v>0</v>
      </c>
      <c r="CD1494" s="59" t="n">
        <f aca="false">IF(AND(Parameter!$B$21="Ja",ISNUMBER(U1494),N(V1494)&gt;0),IFERROR(N(INDEX(Parameter!$L$5:$L$7,U1494))*INDEX(Parameter!$E$5:$E$7,U1494)*V1494/SUMIFS($V$7:$V$1576,$U$7:$U$1576,U1494),0),0)</f>
        <v>0</v>
      </c>
    </row>
    <row r="1495" customFormat="false" ht="15" hidden="false" customHeight="false" outlineLevel="0" collapsed="false">
      <c r="A1495" s="55" t="str">
        <f aca="false">IF('Neue Artikel'!$A$23="","",'Neue Artikel'!$A$23&amp;"")</f>
        <v/>
      </c>
      <c r="B1495" s="55" t="str">
        <f aca="false">'Neue Artikel'!$B$23&amp;""</f>
        <v/>
      </c>
      <c r="C1495" s="55"/>
      <c r="D1495" s="55" t="s">
        <v>2561</v>
      </c>
      <c r="E1495" s="55"/>
      <c r="F1495" s="56" t="n">
        <f aca="false">N('Neue Artikel'!$G$23)</f>
        <v>0</v>
      </c>
      <c r="G1495" s="57" t="n">
        <f aca="false">MAX(0,IF(AND(Parameter!$B$21="Ja",ISNUMBER(W1495)),W1495,IF(Parameter!$B$20="Jahresanfang 2025 + Export",BJ1495+BI1495,BI1495)))</f>
        <v>0</v>
      </c>
      <c r="H1495" s="57" t="n">
        <f aca="false">G1495*F1495</f>
        <v>0</v>
      </c>
      <c r="I1495" s="57" t="n">
        <f aca="false">BL1495*Parameter!$B$18</f>
        <v>0</v>
      </c>
      <c r="J1495" s="58"/>
      <c r="K1495" s="59"/>
      <c r="L1495" s="57" t="n">
        <f aca="false">N('Neue Artikel'!$E$23)</f>
        <v>0</v>
      </c>
      <c r="M1495" s="57" t="n">
        <f aca="false">N('Neue Artikel'!$F$23)</f>
        <v>0</v>
      </c>
      <c r="N1495" s="60"/>
      <c r="O1495" s="55" t="str">
        <f aca="false">IF('Neue Artikel'!$H$23="","LOSE",UPPER(TRIM('Neue Artikel'!$H$23)))</f>
        <v>LOSE</v>
      </c>
      <c r="P1495" s="57" t="n">
        <f aca="false">N('Neue Artikel'!$I$23)</f>
        <v>0</v>
      </c>
      <c r="Q1495" s="60" t="n">
        <f aca="false">IF(BR1495=1,0,IFERROR(VLOOKUP(BP1495,'Gebinde-Kategorie'!$A$5:$M$45,13,0)+0,0))</f>
        <v>0</v>
      </c>
      <c r="R1495" s="61"/>
      <c r="S1495" s="62"/>
      <c r="T1495" s="62"/>
      <c r="U1495" s="55"/>
      <c r="V1495" s="57"/>
      <c r="W1495" s="57"/>
      <c r="X1495" s="55" t="str">
        <f aca="false">IF(A1495="","",IF(AND(Parameter!$B$21="Ja",ISNUMBER(U1495)),U1495,IF(IFERROR(VLOOKUP(D1495,Parameter!$A$35:$C$64,2,0),"Nein")="2+3",IF(ISNUMBER(SEARCH("grosser Artikel",BM1495)),2,IFERROR(VLOOKUP(BP1495,Parameter!$F$35:$G$64,2,0),2)),IF(OR(IFERROR(VLOOKUP(D1495,Parameter!$A$35:$C$64,2,0),"Nein")="Nein",IFERROR(VLOOKUP(D1495,Parameter!$A$35:$C$64,2,0),"Nein")=""),"-",VLOOKUP(D1495,Parameter!$A$35:$C$64,2,0)))))</f>
        <v/>
      </c>
      <c r="Y1495" s="55" t="str">
        <f aca="false">IF('Neue Artikel'!$J$23="","",'Neue Artikel'!$J$23)</f>
        <v/>
      </c>
      <c r="Z1495" s="63"/>
      <c r="AA1495" s="57" t="n">
        <f aca="false">AP1495</f>
        <v>0</v>
      </c>
      <c r="AB1495" s="57" t="n">
        <f aca="false">MAX(AP1495,G1495)</f>
        <v>0</v>
      </c>
      <c r="AC1495" s="64"/>
      <c r="AD1495" s="57" t="n">
        <f aca="false">IF(LEFT(Cockpit!$C$5,1)="A",G1495,IF(BW1495=1,BX1495,IF(LEFT(Cockpit!$C$5,1)="B",AH1495,MAX(AH1495,G1495))))</f>
        <v>0</v>
      </c>
      <c r="AE1495" s="57" t="n">
        <f aca="false">IF(BR1495=1,0,ROUNDUP(AD1495/BQ1495,0))</f>
        <v>0</v>
      </c>
      <c r="AF1495" s="59" t="n">
        <f aca="false">IF(CD1495&gt;0,CD1495*MAX(1,AD1495/V1495),IF(BR1495=1,IF(AD1495&lt;=0,0,BS1495*MAX(1,IF(G1495&gt;0,AD1495/G1495,1))),IF(Q1495&gt;0,AE1495/Q1495,0))/MAX(0.1,N(Parameter!$M$21)))</f>
        <v>0</v>
      </c>
      <c r="AG1495" s="57" t="n">
        <f aca="false">AD1495*F1495</f>
        <v>0</v>
      </c>
      <c r="AH1495" s="57" t="n">
        <f aca="false">ROUNDUP(MAX(I1495/IF(BV1495&gt;0,BV1495,MAX(0.1,N(Cockpit!$C$6))),BY1495)/BQ1495,0)*BQ1495</f>
        <v>0</v>
      </c>
      <c r="AI1495" s="58" t="n">
        <f aca="false">IF(AF1495&gt;0,I1495/AF1495,-1)</f>
        <v>-1</v>
      </c>
      <c r="AJ1495" s="58" t="str">
        <f aca="false">IF(AND(OR(BU1495="L1",BU1495="L23"),AF1495&gt;0),SUMIFS($AF$7:$AF$1576,$BU$7:$BU$1576,BU1495,$AI$7:$AI$1576,"&gt;"&amp;AI1495)+SUMIFS($AF$7:$AF$1576,$BU$7:$BU$1576,BU1495,$AI$7:$AI$1576,AI1495,$BO$7:$BO$1576,"&lt;="&amp;BO1495),"")</f>
        <v/>
      </c>
      <c r="AK1495" s="65" t="n">
        <f aca="false">IF(AJ1495="",0,MAX(0,MIN(1,(IF(BU1495="L1",Parameter!$E$5,Parameter!$E$6+Parameter!$E$7)-(AJ1495-AF1495))/AF1495)))</f>
        <v>0</v>
      </c>
      <c r="AL1495" s="57" t="n">
        <f aca="false">IF(LEFT(Cockpit!$I$5,1)="A",G1495,IF(BW1495=1,BX1495,IF(LEFT(Cockpit!$I$5,1)="B",AP1495,MAX(AP1495,G1495))))</f>
        <v>0</v>
      </c>
      <c r="AM1495" s="57" t="n">
        <f aca="false">IF(BR1495=1,0,ROUNDUP(AL1495/BQ1495,0))</f>
        <v>0</v>
      </c>
      <c r="AN1495" s="59" t="n">
        <f aca="false">IF(CD1495&gt;0,CD1495*MAX(1,AL1495/V1495),IF(BR1495=1,IF(AL1495&lt;=0,0,BS1495*MAX(1,IF(G1495&gt;0,AL1495/G1495,1))),IF(Q1495&gt;0,AM1495/Q1495,0))/MAX(0.1,N(Parameter!$M$21)))</f>
        <v>0</v>
      </c>
      <c r="AO1495" s="57" t="n">
        <f aca="false">AL1495*F1495</f>
        <v>0</v>
      </c>
      <c r="AP1495" s="57" t="n">
        <f aca="false">ROUNDUP(MAX(I1495/IF(BV1495&gt;0,BV1495,MAX(0.1,N(Cockpit!$I$6))),BY1495)/BQ1495,0)*BQ1495</f>
        <v>0</v>
      </c>
      <c r="AQ1495" s="58" t="n">
        <f aca="false">IF(AN1495&gt;0,I1495/AN1495,-1)</f>
        <v>-1</v>
      </c>
      <c r="AR1495" s="58" t="str">
        <f aca="false">IF(AND(OR(BU1495="L1",BU1495="L23"),AN1495&gt;0),SUMIFS($AN$7:$AN$1576,$BU$7:$BU$1576,BU1495,$AQ$7:$AQ$1576,"&gt;"&amp;AQ1495)+SUMIFS($AN$7:$AN$1576,$BU$7:$BU$1576,BU1495,$AQ$7:$AQ$1576,AQ1495,$BO$7:$BO$1576,"&lt;="&amp;BO1495),"")</f>
        <v/>
      </c>
      <c r="AS1495" s="65" t="n">
        <f aca="false">IF(AR1495="",0,MAX(0,MIN(1,(IF(BU1495="L1",Parameter!$E$5,Parameter!$E$6+Parameter!$E$7)-(AR1495-AN1495))/AN1495)))</f>
        <v>0</v>
      </c>
      <c r="AT1495" s="57" t="n">
        <f aca="false">IF(LEFT(Cockpit!$O$5,1)="A",G1495,IF(BW1495=1,BX1495,IF(LEFT(Cockpit!$O$5,1)="B",AX1495,MAX(AX1495,G1495))))</f>
        <v>0</v>
      </c>
      <c r="AU1495" s="57" t="n">
        <f aca="false">IF(BR1495=1,0,ROUNDUP(AT1495/BQ1495,0))</f>
        <v>0</v>
      </c>
      <c r="AV1495" s="59" t="n">
        <f aca="false">IF(CD1495&gt;0,CD1495*MAX(1,AT1495/V1495),IF(BR1495=1,IF(AT1495&lt;=0,0,BS1495*MAX(1,IF(G1495&gt;0,AT1495/G1495,1))),IF(Q1495&gt;0,AU1495/Q1495,0))/MAX(0.1,N(Parameter!$M$21)))</f>
        <v>0</v>
      </c>
      <c r="AW1495" s="57" t="n">
        <f aca="false">AT1495*F1495</f>
        <v>0</v>
      </c>
      <c r="AX1495" s="57" t="n">
        <f aca="false">ROUNDUP(MAX(I1495/IF(BV1495&gt;0,BV1495,MAX(0.1,N(Cockpit!$O$6))),BY1495)/BQ1495,0)*BQ1495</f>
        <v>0</v>
      </c>
      <c r="AY1495" s="58" t="n">
        <f aca="false">IF(AV1495&gt;0,I1495/AV1495,-1)</f>
        <v>-1</v>
      </c>
      <c r="AZ1495" s="58" t="str">
        <f aca="false">IF(AND(OR(BU1495="L1",BU1495="L23"),AV1495&gt;0),SUMIFS($AV$7:$AV$1576,$BU$7:$BU$1576,BU1495,$AY$7:$AY$1576,"&gt;"&amp;AY1495)+SUMIFS($AV$7:$AV$1576,$BU$7:$BU$1576,BU1495,$AY$7:$AY$1576,AY1495,$BO$7:$BO$1576,"&lt;="&amp;BO1495),"")</f>
        <v/>
      </c>
      <c r="BA1495" s="65" t="n">
        <f aca="false">IF(AZ1495="",0,MAX(0,MIN(1,(IF(BU1495="L1",Parameter!$E$5,Parameter!$E$6+Parameter!$E$7)-(AZ1495-AV1495))/AV1495)))</f>
        <v>0</v>
      </c>
      <c r="BB1495" s="55" t="str">
        <f aca="false">IF(AF1495&lt;=0,"",IF(BU1495="Aussen","Aussenlager",IF(BU1495="-","Nicht im Lift",IF(AK1495&gt;=1,"Lift",IF(AK1495&lt;=0,"Aussenlager","teilweise")))))</f>
        <v/>
      </c>
      <c r="BC1495" s="55" t="str">
        <f aca="false">IF(AN1495&lt;=0,"",IF(BU1495="Aussen","Aussenlager",IF(BU1495="-","Nicht im Lift",IF(AS1495&gt;=1,"Lift",IF(AS1495&lt;=0,"Aussenlager","teilweise")))))</f>
        <v/>
      </c>
      <c r="BD1495" s="55" t="str">
        <f aca="false">IF(AV1495&lt;=0,"",IF(BU1495="Aussen","Aussenlager",IF(BU1495="-","Nicht im Lift",IF(BA1495&gt;=1,"Lift",IF(BA1495&lt;=0,"Aussenlager","teilweise")))))</f>
        <v/>
      </c>
      <c r="BE1495" s="55" t="str">
        <f aca="false">IF(A1495="","",IF(BN1495=1,"Neu; ","")&amp;IF(AND(BN1495=0,BI1495&lt;0),"negativer Bestand (Export "&amp;BI1495&amp;"); ","")&amp;IF(I1495&lt;=0,"Kein Verbrauch; ","")&amp;IF(CD1495&gt;0,"Lift "&amp;U1495&amp;" lt. Liftbericht (Fach "&amp;V1495&amp;" Stk); ",IF(BR1495=1,"Lose – Fläche geschätzt; ",""))&amp;IF(G1495&gt;AP1495,"Überbestand "&amp;ROUND(G1495-AP1495,0)&amp;" Stk / CHF "&amp;ROUND((G1495-AP1495)*F1495,0)&amp;"; ","")&amp;IF(AND(BW1495=1,BX1495&lt;BY1495),"MAX &lt; MB+LG; ","")&amp;IF(AND(CC1495&gt;0,CB1495*10&gt;CC1495),"zu hoch für Tablar; ","")&amp;IF(AND(BN1495=0,OR(BW1495=1,Y1495&lt;&gt;"",S1495&lt;&gt;"",T1495&lt;&gt;"",Z1495&lt;&gt;"")),"manuell übersteuert; ","")&amp;IF(AND(BR1495=0,Q1495=0),"Gebinde unbekannt / Stellmass fehlt; ","")&amp;IF(AND(BR1495=0,N(T1495)&lt;=0,N(P1495)&lt;=0),"Menge pro Gebinde fehlt (Ist = 1 Gebinde); ","")&amp;BM1495)</f>
        <v/>
      </c>
      <c r="BF1495" s="55"/>
      <c r="BG1495" s="55"/>
      <c r="BH1495" s="62"/>
      <c r="BI1495" s="57" t="n">
        <f aca="false">N('Neue Artikel'!$D$23)</f>
        <v>0</v>
      </c>
      <c r="BJ1495" s="57" t="n">
        <v>0</v>
      </c>
      <c r="BK1495" s="56" t="n">
        <v>0</v>
      </c>
      <c r="BL1495" s="57" t="n">
        <f aca="false">N('Neue Artikel'!$C$23)/Parameter!$B$18</f>
        <v>0</v>
      </c>
      <c r="BM1495" s="55"/>
      <c r="BN1495" s="60" t="n">
        <v>1</v>
      </c>
      <c r="BO1495" s="60" t="n">
        <v>1495</v>
      </c>
      <c r="BP1495" s="55" t="str">
        <f aca="false">IF(S1495&lt;&gt;"",UPPER(TRIM(S1495)),IF(O1495="","LOSE",O1495))</f>
        <v>LOSE</v>
      </c>
      <c r="BQ1495" s="57" t="n">
        <f aca="false">IF(BP1495="LOSE",1,IF(N(T1495)&gt;0,T1495,IF(N(P1495)&gt;0,P1495,MAX(1,G1495))))</f>
        <v>1</v>
      </c>
      <c r="BR1495" s="60" t="n">
        <f aca="false">IF(BP1495="LOSE",1,0)</f>
        <v>1</v>
      </c>
      <c r="BS1495" s="59" t="n">
        <f aca="false">IF(BR1495=0,0,IF(N(R1495)&gt;0,R1495,IFERROR(VLOOKUP(D1495,Parameter!$A$35:$C$64,3,0)+0,0)))</f>
        <v>0.15</v>
      </c>
      <c r="BT1495" s="55" t="str">
        <f aca="false">IF(Y1495&lt;&gt;"",Y1495,X1495)</f>
        <v/>
      </c>
      <c r="BU1495" s="55" t="str">
        <f aca="false">IF(BT1495=1,"L1",IF(OR(BT1495=2,BT1495=3),"L23",IF(BT1495="Aussen","Aussen","-")))</f>
        <v>-</v>
      </c>
      <c r="BV1495" s="66" t="n">
        <f aca="false">IF(N(Z1495)&gt;0,Z1495,0)</f>
        <v>0</v>
      </c>
      <c r="BW1495" s="60" t="n">
        <f aca="false">IF(ISNUMBER(AC1495),1,0)</f>
        <v>0</v>
      </c>
      <c r="BX1495" s="57" t="n">
        <f aca="false">N(AC1495)</f>
        <v>0</v>
      </c>
      <c r="BY1495" s="57" t="n">
        <f aca="false">N(L1495)+N(M1495)</f>
        <v>0</v>
      </c>
      <c r="BZ1495" s="57" t="n">
        <f aca="false">ROUNDUP(G1495/BQ1495,0)</f>
        <v>0</v>
      </c>
      <c r="CA1495" s="57" t="n">
        <f aca="false">ROUNDUP(BX1495/BQ1495,0)</f>
        <v>0</v>
      </c>
      <c r="CB1495" s="60" t="n">
        <f aca="false">IF(BR1495=1,0,IFERROR(VLOOKUP(BP1495,'Gebinde-Kategorie'!$A$5:$M$45,5,0)+0,0))</f>
        <v>0</v>
      </c>
      <c r="CC1495" s="60" t="n">
        <f aca="false">IFERROR(IF(OR(BT1495=1,BT1495=2,BT1495=3),N(INDEX(Parameter!$I$5:$I$7,BT1495)),0),0)</f>
        <v>0</v>
      </c>
      <c r="CD1495" s="59" t="n">
        <f aca="false">IF(AND(Parameter!$B$21="Ja",ISNUMBER(U1495),N(V1495)&gt;0),IFERROR(N(INDEX(Parameter!$L$5:$L$7,U1495))*INDEX(Parameter!$E$5:$E$7,U1495)*V1495/SUMIFS($V$7:$V$1576,$U$7:$U$1576,U1495),0),0)</f>
        <v>0</v>
      </c>
    </row>
    <row r="1496" customFormat="false" ht="15" hidden="false" customHeight="false" outlineLevel="0" collapsed="false">
      <c r="A1496" s="55" t="str">
        <f aca="false">IF('Neue Artikel'!$A$24="","",'Neue Artikel'!$A$24&amp;"")</f>
        <v/>
      </c>
      <c r="B1496" s="55" t="str">
        <f aca="false">'Neue Artikel'!$B$24&amp;""</f>
        <v/>
      </c>
      <c r="C1496" s="55"/>
      <c r="D1496" s="55" t="s">
        <v>2561</v>
      </c>
      <c r="E1496" s="55"/>
      <c r="F1496" s="56" t="n">
        <f aca="false">N('Neue Artikel'!$G$24)</f>
        <v>0</v>
      </c>
      <c r="G1496" s="57" t="n">
        <f aca="false">MAX(0,IF(AND(Parameter!$B$21="Ja",ISNUMBER(W1496)),W1496,IF(Parameter!$B$20="Jahresanfang 2025 + Export",BJ1496+BI1496,BI1496)))</f>
        <v>0</v>
      </c>
      <c r="H1496" s="57" t="n">
        <f aca="false">G1496*F1496</f>
        <v>0</v>
      </c>
      <c r="I1496" s="57" t="n">
        <f aca="false">BL1496*Parameter!$B$18</f>
        <v>0</v>
      </c>
      <c r="J1496" s="58"/>
      <c r="K1496" s="59"/>
      <c r="L1496" s="57" t="n">
        <f aca="false">N('Neue Artikel'!$E$24)</f>
        <v>0</v>
      </c>
      <c r="M1496" s="57" t="n">
        <f aca="false">N('Neue Artikel'!$F$24)</f>
        <v>0</v>
      </c>
      <c r="N1496" s="60"/>
      <c r="O1496" s="55" t="str">
        <f aca="false">IF('Neue Artikel'!$H$24="","LOSE",UPPER(TRIM('Neue Artikel'!$H$24)))</f>
        <v>LOSE</v>
      </c>
      <c r="P1496" s="57" t="n">
        <f aca="false">N('Neue Artikel'!$I$24)</f>
        <v>0</v>
      </c>
      <c r="Q1496" s="60" t="n">
        <f aca="false">IF(BR1496=1,0,IFERROR(VLOOKUP(BP1496,'Gebinde-Kategorie'!$A$5:$M$45,13,0)+0,0))</f>
        <v>0</v>
      </c>
      <c r="R1496" s="61"/>
      <c r="S1496" s="62"/>
      <c r="T1496" s="62"/>
      <c r="U1496" s="55"/>
      <c r="V1496" s="57"/>
      <c r="W1496" s="57"/>
      <c r="X1496" s="55" t="str">
        <f aca="false">IF(A1496="","",IF(AND(Parameter!$B$21="Ja",ISNUMBER(U1496)),U1496,IF(IFERROR(VLOOKUP(D1496,Parameter!$A$35:$C$64,2,0),"Nein")="2+3",IF(ISNUMBER(SEARCH("grosser Artikel",BM1496)),2,IFERROR(VLOOKUP(BP1496,Parameter!$F$35:$G$64,2,0),2)),IF(OR(IFERROR(VLOOKUP(D1496,Parameter!$A$35:$C$64,2,0),"Nein")="Nein",IFERROR(VLOOKUP(D1496,Parameter!$A$35:$C$64,2,0),"Nein")=""),"-",VLOOKUP(D1496,Parameter!$A$35:$C$64,2,0)))))</f>
        <v/>
      </c>
      <c r="Y1496" s="55" t="str">
        <f aca="false">IF('Neue Artikel'!$J$24="","",'Neue Artikel'!$J$24)</f>
        <v/>
      </c>
      <c r="Z1496" s="63"/>
      <c r="AA1496" s="57" t="n">
        <f aca="false">AP1496</f>
        <v>0</v>
      </c>
      <c r="AB1496" s="57" t="n">
        <f aca="false">MAX(AP1496,G1496)</f>
        <v>0</v>
      </c>
      <c r="AC1496" s="64"/>
      <c r="AD1496" s="57" t="n">
        <f aca="false">IF(LEFT(Cockpit!$C$5,1)="A",G1496,IF(BW1496=1,BX1496,IF(LEFT(Cockpit!$C$5,1)="B",AH1496,MAX(AH1496,G1496))))</f>
        <v>0</v>
      </c>
      <c r="AE1496" s="57" t="n">
        <f aca="false">IF(BR1496=1,0,ROUNDUP(AD1496/BQ1496,0))</f>
        <v>0</v>
      </c>
      <c r="AF1496" s="59" t="n">
        <f aca="false">IF(CD1496&gt;0,CD1496*MAX(1,AD1496/V1496),IF(BR1496=1,IF(AD1496&lt;=0,0,BS1496*MAX(1,IF(G1496&gt;0,AD1496/G1496,1))),IF(Q1496&gt;0,AE1496/Q1496,0))/MAX(0.1,N(Parameter!$M$21)))</f>
        <v>0</v>
      </c>
      <c r="AG1496" s="57" t="n">
        <f aca="false">AD1496*F1496</f>
        <v>0</v>
      </c>
      <c r="AH1496" s="57" t="n">
        <f aca="false">ROUNDUP(MAX(I1496/IF(BV1496&gt;0,BV1496,MAX(0.1,N(Cockpit!$C$6))),BY1496)/BQ1496,0)*BQ1496</f>
        <v>0</v>
      </c>
      <c r="AI1496" s="58" t="n">
        <f aca="false">IF(AF1496&gt;0,I1496/AF1496,-1)</f>
        <v>-1</v>
      </c>
      <c r="AJ1496" s="58" t="str">
        <f aca="false">IF(AND(OR(BU1496="L1",BU1496="L23"),AF1496&gt;0),SUMIFS($AF$7:$AF$1576,$BU$7:$BU$1576,BU1496,$AI$7:$AI$1576,"&gt;"&amp;AI1496)+SUMIFS($AF$7:$AF$1576,$BU$7:$BU$1576,BU1496,$AI$7:$AI$1576,AI1496,$BO$7:$BO$1576,"&lt;="&amp;BO1496),"")</f>
        <v/>
      </c>
      <c r="AK1496" s="65" t="n">
        <f aca="false">IF(AJ1496="",0,MAX(0,MIN(1,(IF(BU1496="L1",Parameter!$E$5,Parameter!$E$6+Parameter!$E$7)-(AJ1496-AF1496))/AF1496)))</f>
        <v>0</v>
      </c>
      <c r="AL1496" s="57" t="n">
        <f aca="false">IF(LEFT(Cockpit!$I$5,1)="A",G1496,IF(BW1496=1,BX1496,IF(LEFT(Cockpit!$I$5,1)="B",AP1496,MAX(AP1496,G1496))))</f>
        <v>0</v>
      </c>
      <c r="AM1496" s="57" t="n">
        <f aca="false">IF(BR1496=1,0,ROUNDUP(AL1496/BQ1496,0))</f>
        <v>0</v>
      </c>
      <c r="AN1496" s="59" t="n">
        <f aca="false">IF(CD1496&gt;0,CD1496*MAX(1,AL1496/V1496),IF(BR1496=1,IF(AL1496&lt;=0,0,BS1496*MAX(1,IF(G1496&gt;0,AL1496/G1496,1))),IF(Q1496&gt;0,AM1496/Q1496,0))/MAX(0.1,N(Parameter!$M$21)))</f>
        <v>0</v>
      </c>
      <c r="AO1496" s="57" t="n">
        <f aca="false">AL1496*F1496</f>
        <v>0</v>
      </c>
      <c r="AP1496" s="57" t="n">
        <f aca="false">ROUNDUP(MAX(I1496/IF(BV1496&gt;0,BV1496,MAX(0.1,N(Cockpit!$I$6))),BY1496)/BQ1496,0)*BQ1496</f>
        <v>0</v>
      </c>
      <c r="AQ1496" s="58" t="n">
        <f aca="false">IF(AN1496&gt;0,I1496/AN1496,-1)</f>
        <v>-1</v>
      </c>
      <c r="AR1496" s="58" t="str">
        <f aca="false">IF(AND(OR(BU1496="L1",BU1496="L23"),AN1496&gt;0),SUMIFS($AN$7:$AN$1576,$BU$7:$BU$1576,BU1496,$AQ$7:$AQ$1576,"&gt;"&amp;AQ1496)+SUMIFS($AN$7:$AN$1576,$BU$7:$BU$1576,BU1496,$AQ$7:$AQ$1576,AQ1496,$BO$7:$BO$1576,"&lt;="&amp;BO1496),"")</f>
        <v/>
      </c>
      <c r="AS1496" s="65" t="n">
        <f aca="false">IF(AR1496="",0,MAX(0,MIN(1,(IF(BU1496="L1",Parameter!$E$5,Parameter!$E$6+Parameter!$E$7)-(AR1496-AN1496))/AN1496)))</f>
        <v>0</v>
      </c>
      <c r="AT1496" s="57" t="n">
        <f aca="false">IF(LEFT(Cockpit!$O$5,1)="A",G1496,IF(BW1496=1,BX1496,IF(LEFT(Cockpit!$O$5,1)="B",AX1496,MAX(AX1496,G1496))))</f>
        <v>0</v>
      </c>
      <c r="AU1496" s="57" t="n">
        <f aca="false">IF(BR1496=1,0,ROUNDUP(AT1496/BQ1496,0))</f>
        <v>0</v>
      </c>
      <c r="AV1496" s="59" t="n">
        <f aca="false">IF(CD1496&gt;0,CD1496*MAX(1,AT1496/V1496),IF(BR1496=1,IF(AT1496&lt;=0,0,BS1496*MAX(1,IF(G1496&gt;0,AT1496/G1496,1))),IF(Q1496&gt;0,AU1496/Q1496,0))/MAX(0.1,N(Parameter!$M$21)))</f>
        <v>0</v>
      </c>
      <c r="AW1496" s="57" t="n">
        <f aca="false">AT1496*F1496</f>
        <v>0</v>
      </c>
      <c r="AX1496" s="57" t="n">
        <f aca="false">ROUNDUP(MAX(I1496/IF(BV1496&gt;0,BV1496,MAX(0.1,N(Cockpit!$O$6))),BY1496)/BQ1496,0)*BQ1496</f>
        <v>0</v>
      </c>
      <c r="AY1496" s="58" t="n">
        <f aca="false">IF(AV1496&gt;0,I1496/AV1496,-1)</f>
        <v>-1</v>
      </c>
      <c r="AZ1496" s="58" t="str">
        <f aca="false">IF(AND(OR(BU1496="L1",BU1496="L23"),AV1496&gt;0),SUMIFS($AV$7:$AV$1576,$BU$7:$BU$1576,BU1496,$AY$7:$AY$1576,"&gt;"&amp;AY1496)+SUMIFS($AV$7:$AV$1576,$BU$7:$BU$1576,BU1496,$AY$7:$AY$1576,AY1496,$BO$7:$BO$1576,"&lt;="&amp;BO1496),"")</f>
        <v/>
      </c>
      <c r="BA1496" s="65" t="n">
        <f aca="false">IF(AZ1496="",0,MAX(0,MIN(1,(IF(BU1496="L1",Parameter!$E$5,Parameter!$E$6+Parameter!$E$7)-(AZ1496-AV1496))/AV1496)))</f>
        <v>0</v>
      </c>
      <c r="BB1496" s="55" t="str">
        <f aca="false">IF(AF1496&lt;=0,"",IF(BU1496="Aussen","Aussenlager",IF(BU1496="-","Nicht im Lift",IF(AK1496&gt;=1,"Lift",IF(AK1496&lt;=0,"Aussenlager","teilweise")))))</f>
        <v/>
      </c>
      <c r="BC1496" s="55" t="str">
        <f aca="false">IF(AN1496&lt;=0,"",IF(BU1496="Aussen","Aussenlager",IF(BU1496="-","Nicht im Lift",IF(AS1496&gt;=1,"Lift",IF(AS1496&lt;=0,"Aussenlager","teilweise")))))</f>
        <v/>
      </c>
      <c r="BD1496" s="55" t="str">
        <f aca="false">IF(AV1496&lt;=0,"",IF(BU1496="Aussen","Aussenlager",IF(BU1496="-","Nicht im Lift",IF(BA1496&gt;=1,"Lift",IF(BA1496&lt;=0,"Aussenlager","teilweise")))))</f>
        <v/>
      </c>
      <c r="BE1496" s="55" t="str">
        <f aca="false">IF(A1496="","",IF(BN1496=1,"Neu; ","")&amp;IF(AND(BN1496=0,BI1496&lt;0),"negativer Bestand (Export "&amp;BI1496&amp;"); ","")&amp;IF(I1496&lt;=0,"Kein Verbrauch; ","")&amp;IF(CD1496&gt;0,"Lift "&amp;U1496&amp;" lt. Liftbericht (Fach "&amp;V1496&amp;" Stk); ",IF(BR1496=1,"Lose – Fläche geschätzt; ",""))&amp;IF(G1496&gt;AP1496,"Überbestand "&amp;ROUND(G1496-AP1496,0)&amp;" Stk / CHF "&amp;ROUND((G1496-AP1496)*F1496,0)&amp;"; ","")&amp;IF(AND(BW1496=1,BX1496&lt;BY1496),"MAX &lt; MB+LG; ","")&amp;IF(AND(CC1496&gt;0,CB1496*10&gt;CC1496),"zu hoch für Tablar; ","")&amp;IF(AND(BN1496=0,OR(BW1496=1,Y1496&lt;&gt;"",S1496&lt;&gt;"",T1496&lt;&gt;"",Z1496&lt;&gt;"")),"manuell übersteuert; ","")&amp;IF(AND(BR1496=0,Q1496=0),"Gebinde unbekannt / Stellmass fehlt; ","")&amp;IF(AND(BR1496=0,N(T1496)&lt;=0,N(P1496)&lt;=0),"Menge pro Gebinde fehlt (Ist = 1 Gebinde); ","")&amp;BM1496)</f>
        <v/>
      </c>
      <c r="BF1496" s="55"/>
      <c r="BG1496" s="55"/>
      <c r="BH1496" s="62"/>
      <c r="BI1496" s="57" t="n">
        <f aca="false">N('Neue Artikel'!$D$24)</f>
        <v>0</v>
      </c>
      <c r="BJ1496" s="57" t="n">
        <v>0</v>
      </c>
      <c r="BK1496" s="56" t="n">
        <v>0</v>
      </c>
      <c r="BL1496" s="57" t="n">
        <f aca="false">N('Neue Artikel'!$C$24)/Parameter!$B$18</f>
        <v>0</v>
      </c>
      <c r="BM1496" s="55"/>
      <c r="BN1496" s="60" t="n">
        <v>1</v>
      </c>
      <c r="BO1496" s="60" t="n">
        <v>1496</v>
      </c>
      <c r="BP1496" s="55" t="str">
        <f aca="false">IF(S1496&lt;&gt;"",UPPER(TRIM(S1496)),IF(O1496="","LOSE",O1496))</f>
        <v>LOSE</v>
      </c>
      <c r="BQ1496" s="57" t="n">
        <f aca="false">IF(BP1496="LOSE",1,IF(N(T1496)&gt;0,T1496,IF(N(P1496)&gt;0,P1496,MAX(1,G1496))))</f>
        <v>1</v>
      </c>
      <c r="BR1496" s="60" t="n">
        <f aca="false">IF(BP1496="LOSE",1,0)</f>
        <v>1</v>
      </c>
      <c r="BS1496" s="59" t="n">
        <f aca="false">IF(BR1496=0,0,IF(N(R1496)&gt;0,R1496,IFERROR(VLOOKUP(D1496,Parameter!$A$35:$C$64,3,0)+0,0)))</f>
        <v>0.15</v>
      </c>
      <c r="BT1496" s="55" t="str">
        <f aca="false">IF(Y1496&lt;&gt;"",Y1496,X1496)</f>
        <v/>
      </c>
      <c r="BU1496" s="55" t="str">
        <f aca="false">IF(BT1496=1,"L1",IF(OR(BT1496=2,BT1496=3),"L23",IF(BT1496="Aussen","Aussen","-")))</f>
        <v>-</v>
      </c>
      <c r="BV1496" s="66" t="n">
        <f aca="false">IF(N(Z1496)&gt;0,Z1496,0)</f>
        <v>0</v>
      </c>
      <c r="BW1496" s="60" t="n">
        <f aca="false">IF(ISNUMBER(AC1496),1,0)</f>
        <v>0</v>
      </c>
      <c r="BX1496" s="57" t="n">
        <f aca="false">N(AC1496)</f>
        <v>0</v>
      </c>
      <c r="BY1496" s="57" t="n">
        <f aca="false">N(L1496)+N(M1496)</f>
        <v>0</v>
      </c>
      <c r="BZ1496" s="57" t="n">
        <f aca="false">ROUNDUP(G1496/BQ1496,0)</f>
        <v>0</v>
      </c>
      <c r="CA1496" s="57" t="n">
        <f aca="false">ROUNDUP(BX1496/BQ1496,0)</f>
        <v>0</v>
      </c>
      <c r="CB1496" s="60" t="n">
        <f aca="false">IF(BR1496=1,0,IFERROR(VLOOKUP(BP1496,'Gebinde-Kategorie'!$A$5:$M$45,5,0)+0,0))</f>
        <v>0</v>
      </c>
      <c r="CC1496" s="60" t="n">
        <f aca="false">IFERROR(IF(OR(BT1496=1,BT1496=2,BT1496=3),N(INDEX(Parameter!$I$5:$I$7,BT1496)),0),0)</f>
        <v>0</v>
      </c>
      <c r="CD1496" s="59" t="n">
        <f aca="false">IF(AND(Parameter!$B$21="Ja",ISNUMBER(U1496),N(V1496)&gt;0),IFERROR(N(INDEX(Parameter!$L$5:$L$7,U1496))*INDEX(Parameter!$E$5:$E$7,U1496)*V1496/SUMIFS($V$7:$V$1576,$U$7:$U$1576,U1496),0),0)</f>
        <v>0</v>
      </c>
    </row>
    <row r="1497" customFormat="false" ht="15" hidden="false" customHeight="false" outlineLevel="0" collapsed="false">
      <c r="A1497" s="55" t="str">
        <f aca="false">IF('Neue Artikel'!$A$25="","",'Neue Artikel'!$A$25&amp;"")</f>
        <v/>
      </c>
      <c r="B1497" s="55" t="str">
        <f aca="false">'Neue Artikel'!$B$25&amp;""</f>
        <v/>
      </c>
      <c r="C1497" s="55"/>
      <c r="D1497" s="55" t="s">
        <v>2561</v>
      </c>
      <c r="E1497" s="55"/>
      <c r="F1497" s="56" t="n">
        <f aca="false">N('Neue Artikel'!$G$25)</f>
        <v>0</v>
      </c>
      <c r="G1497" s="57" t="n">
        <f aca="false">MAX(0,IF(AND(Parameter!$B$21="Ja",ISNUMBER(W1497)),W1497,IF(Parameter!$B$20="Jahresanfang 2025 + Export",BJ1497+BI1497,BI1497)))</f>
        <v>0</v>
      </c>
      <c r="H1497" s="57" t="n">
        <f aca="false">G1497*F1497</f>
        <v>0</v>
      </c>
      <c r="I1497" s="57" t="n">
        <f aca="false">BL1497*Parameter!$B$18</f>
        <v>0</v>
      </c>
      <c r="J1497" s="58"/>
      <c r="K1497" s="59"/>
      <c r="L1497" s="57" t="n">
        <f aca="false">N('Neue Artikel'!$E$25)</f>
        <v>0</v>
      </c>
      <c r="M1497" s="57" t="n">
        <f aca="false">N('Neue Artikel'!$F$25)</f>
        <v>0</v>
      </c>
      <c r="N1497" s="60"/>
      <c r="O1497" s="55" t="str">
        <f aca="false">IF('Neue Artikel'!$H$25="","LOSE",UPPER(TRIM('Neue Artikel'!$H$25)))</f>
        <v>LOSE</v>
      </c>
      <c r="P1497" s="57" t="n">
        <f aca="false">N('Neue Artikel'!$I$25)</f>
        <v>0</v>
      </c>
      <c r="Q1497" s="60" t="n">
        <f aca="false">IF(BR1497=1,0,IFERROR(VLOOKUP(BP1497,'Gebinde-Kategorie'!$A$5:$M$45,13,0)+0,0))</f>
        <v>0</v>
      </c>
      <c r="R1497" s="61"/>
      <c r="S1497" s="62"/>
      <c r="T1497" s="62"/>
      <c r="U1497" s="55"/>
      <c r="V1497" s="57"/>
      <c r="W1497" s="57"/>
      <c r="X1497" s="55" t="str">
        <f aca="false">IF(A1497="","",IF(AND(Parameter!$B$21="Ja",ISNUMBER(U1497)),U1497,IF(IFERROR(VLOOKUP(D1497,Parameter!$A$35:$C$64,2,0),"Nein")="2+3",IF(ISNUMBER(SEARCH("grosser Artikel",BM1497)),2,IFERROR(VLOOKUP(BP1497,Parameter!$F$35:$G$64,2,0),2)),IF(OR(IFERROR(VLOOKUP(D1497,Parameter!$A$35:$C$64,2,0),"Nein")="Nein",IFERROR(VLOOKUP(D1497,Parameter!$A$35:$C$64,2,0),"Nein")=""),"-",VLOOKUP(D1497,Parameter!$A$35:$C$64,2,0)))))</f>
        <v/>
      </c>
      <c r="Y1497" s="55" t="str">
        <f aca="false">IF('Neue Artikel'!$J$25="","",'Neue Artikel'!$J$25)</f>
        <v/>
      </c>
      <c r="Z1497" s="63"/>
      <c r="AA1497" s="57" t="n">
        <f aca="false">AP1497</f>
        <v>0</v>
      </c>
      <c r="AB1497" s="57" t="n">
        <f aca="false">MAX(AP1497,G1497)</f>
        <v>0</v>
      </c>
      <c r="AC1497" s="64"/>
      <c r="AD1497" s="57" t="n">
        <f aca="false">IF(LEFT(Cockpit!$C$5,1)="A",G1497,IF(BW1497=1,BX1497,IF(LEFT(Cockpit!$C$5,1)="B",AH1497,MAX(AH1497,G1497))))</f>
        <v>0</v>
      </c>
      <c r="AE1497" s="57" t="n">
        <f aca="false">IF(BR1497=1,0,ROUNDUP(AD1497/BQ1497,0))</f>
        <v>0</v>
      </c>
      <c r="AF1497" s="59" t="n">
        <f aca="false">IF(CD1497&gt;0,CD1497*MAX(1,AD1497/V1497),IF(BR1497=1,IF(AD1497&lt;=0,0,BS1497*MAX(1,IF(G1497&gt;0,AD1497/G1497,1))),IF(Q1497&gt;0,AE1497/Q1497,0))/MAX(0.1,N(Parameter!$M$21)))</f>
        <v>0</v>
      </c>
      <c r="AG1497" s="57" t="n">
        <f aca="false">AD1497*F1497</f>
        <v>0</v>
      </c>
      <c r="AH1497" s="57" t="n">
        <f aca="false">ROUNDUP(MAX(I1497/IF(BV1497&gt;0,BV1497,MAX(0.1,N(Cockpit!$C$6))),BY1497)/BQ1497,0)*BQ1497</f>
        <v>0</v>
      </c>
      <c r="AI1497" s="58" t="n">
        <f aca="false">IF(AF1497&gt;0,I1497/AF1497,-1)</f>
        <v>-1</v>
      </c>
      <c r="AJ1497" s="58" t="str">
        <f aca="false">IF(AND(OR(BU1497="L1",BU1497="L23"),AF1497&gt;0),SUMIFS($AF$7:$AF$1576,$BU$7:$BU$1576,BU1497,$AI$7:$AI$1576,"&gt;"&amp;AI1497)+SUMIFS($AF$7:$AF$1576,$BU$7:$BU$1576,BU1497,$AI$7:$AI$1576,AI1497,$BO$7:$BO$1576,"&lt;="&amp;BO1497),"")</f>
        <v/>
      </c>
      <c r="AK1497" s="65" t="n">
        <f aca="false">IF(AJ1497="",0,MAX(0,MIN(1,(IF(BU1497="L1",Parameter!$E$5,Parameter!$E$6+Parameter!$E$7)-(AJ1497-AF1497))/AF1497)))</f>
        <v>0</v>
      </c>
      <c r="AL1497" s="57" t="n">
        <f aca="false">IF(LEFT(Cockpit!$I$5,1)="A",G1497,IF(BW1497=1,BX1497,IF(LEFT(Cockpit!$I$5,1)="B",AP1497,MAX(AP1497,G1497))))</f>
        <v>0</v>
      </c>
      <c r="AM1497" s="57" t="n">
        <f aca="false">IF(BR1497=1,0,ROUNDUP(AL1497/BQ1497,0))</f>
        <v>0</v>
      </c>
      <c r="AN1497" s="59" t="n">
        <f aca="false">IF(CD1497&gt;0,CD1497*MAX(1,AL1497/V1497),IF(BR1497=1,IF(AL1497&lt;=0,0,BS1497*MAX(1,IF(G1497&gt;0,AL1497/G1497,1))),IF(Q1497&gt;0,AM1497/Q1497,0))/MAX(0.1,N(Parameter!$M$21)))</f>
        <v>0</v>
      </c>
      <c r="AO1497" s="57" t="n">
        <f aca="false">AL1497*F1497</f>
        <v>0</v>
      </c>
      <c r="AP1497" s="57" t="n">
        <f aca="false">ROUNDUP(MAX(I1497/IF(BV1497&gt;0,BV1497,MAX(0.1,N(Cockpit!$I$6))),BY1497)/BQ1497,0)*BQ1497</f>
        <v>0</v>
      </c>
      <c r="AQ1497" s="58" t="n">
        <f aca="false">IF(AN1497&gt;0,I1497/AN1497,-1)</f>
        <v>-1</v>
      </c>
      <c r="AR1497" s="58" t="str">
        <f aca="false">IF(AND(OR(BU1497="L1",BU1497="L23"),AN1497&gt;0),SUMIFS($AN$7:$AN$1576,$BU$7:$BU$1576,BU1497,$AQ$7:$AQ$1576,"&gt;"&amp;AQ1497)+SUMIFS($AN$7:$AN$1576,$BU$7:$BU$1576,BU1497,$AQ$7:$AQ$1576,AQ1497,$BO$7:$BO$1576,"&lt;="&amp;BO1497),"")</f>
        <v/>
      </c>
      <c r="AS1497" s="65" t="n">
        <f aca="false">IF(AR1497="",0,MAX(0,MIN(1,(IF(BU1497="L1",Parameter!$E$5,Parameter!$E$6+Parameter!$E$7)-(AR1497-AN1497))/AN1497)))</f>
        <v>0</v>
      </c>
      <c r="AT1497" s="57" t="n">
        <f aca="false">IF(LEFT(Cockpit!$O$5,1)="A",G1497,IF(BW1497=1,BX1497,IF(LEFT(Cockpit!$O$5,1)="B",AX1497,MAX(AX1497,G1497))))</f>
        <v>0</v>
      </c>
      <c r="AU1497" s="57" t="n">
        <f aca="false">IF(BR1497=1,0,ROUNDUP(AT1497/BQ1497,0))</f>
        <v>0</v>
      </c>
      <c r="AV1497" s="59" t="n">
        <f aca="false">IF(CD1497&gt;0,CD1497*MAX(1,AT1497/V1497),IF(BR1497=1,IF(AT1497&lt;=0,0,BS1497*MAX(1,IF(G1497&gt;0,AT1497/G1497,1))),IF(Q1497&gt;0,AU1497/Q1497,0))/MAX(0.1,N(Parameter!$M$21)))</f>
        <v>0</v>
      </c>
      <c r="AW1497" s="57" t="n">
        <f aca="false">AT1497*F1497</f>
        <v>0</v>
      </c>
      <c r="AX1497" s="57" t="n">
        <f aca="false">ROUNDUP(MAX(I1497/IF(BV1497&gt;0,BV1497,MAX(0.1,N(Cockpit!$O$6))),BY1497)/BQ1497,0)*BQ1497</f>
        <v>0</v>
      </c>
      <c r="AY1497" s="58" t="n">
        <f aca="false">IF(AV1497&gt;0,I1497/AV1497,-1)</f>
        <v>-1</v>
      </c>
      <c r="AZ1497" s="58" t="str">
        <f aca="false">IF(AND(OR(BU1497="L1",BU1497="L23"),AV1497&gt;0),SUMIFS($AV$7:$AV$1576,$BU$7:$BU$1576,BU1497,$AY$7:$AY$1576,"&gt;"&amp;AY1497)+SUMIFS($AV$7:$AV$1576,$BU$7:$BU$1576,BU1497,$AY$7:$AY$1576,AY1497,$BO$7:$BO$1576,"&lt;="&amp;BO1497),"")</f>
        <v/>
      </c>
      <c r="BA1497" s="65" t="n">
        <f aca="false">IF(AZ1497="",0,MAX(0,MIN(1,(IF(BU1497="L1",Parameter!$E$5,Parameter!$E$6+Parameter!$E$7)-(AZ1497-AV1497))/AV1497)))</f>
        <v>0</v>
      </c>
      <c r="BB1497" s="55" t="str">
        <f aca="false">IF(AF1497&lt;=0,"",IF(BU1497="Aussen","Aussenlager",IF(BU1497="-","Nicht im Lift",IF(AK1497&gt;=1,"Lift",IF(AK1497&lt;=0,"Aussenlager","teilweise")))))</f>
        <v/>
      </c>
      <c r="BC1497" s="55" t="str">
        <f aca="false">IF(AN1497&lt;=0,"",IF(BU1497="Aussen","Aussenlager",IF(BU1497="-","Nicht im Lift",IF(AS1497&gt;=1,"Lift",IF(AS1497&lt;=0,"Aussenlager","teilweise")))))</f>
        <v/>
      </c>
      <c r="BD1497" s="55" t="str">
        <f aca="false">IF(AV1497&lt;=0,"",IF(BU1497="Aussen","Aussenlager",IF(BU1497="-","Nicht im Lift",IF(BA1497&gt;=1,"Lift",IF(BA1497&lt;=0,"Aussenlager","teilweise")))))</f>
        <v/>
      </c>
      <c r="BE1497" s="55" t="str">
        <f aca="false">IF(A1497="","",IF(BN1497=1,"Neu; ","")&amp;IF(AND(BN1497=0,BI1497&lt;0),"negativer Bestand (Export "&amp;BI1497&amp;"); ","")&amp;IF(I1497&lt;=0,"Kein Verbrauch; ","")&amp;IF(CD1497&gt;0,"Lift "&amp;U1497&amp;" lt. Liftbericht (Fach "&amp;V1497&amp;" Stk); ",IF(BR1497=1,"Lose – Fläche geschätzt; ",""))&amp;IF(G1497&gt;AP1497,"Überbestand "&amp;ROUND(G1497-AP1497,0)&amp;" Stk / CHF "&amp;ROUND((G1497-AP1497)*F1497,0)&amp;"; ","")&amp;IF(AND(BW1497=1,BX1497&lt;BY1497),"MAX &lt; MB+LG; ","")&amp;IF(AND(CC1497&gt;0,CB1497*10&gt;CC1497),"zu hoch für Tablar; ","")&amp;IF(AND(BN1497=0,OR(BW1497=1,Y1497&lt;&gt;"",S1497&lt;&gt;"",T1497&lt;&gt;"",Z1497&lt;&gt;"")),"manuell übersteuert; ","")&amp;IF(AND(BR1497=0,Q1497=0),"Gebinde unbekannt / Stellmass fehlt; ","")&amp;IF(AND(BR1497=0,N(T1497)&lt;=0,N(P1497)&lt;=0),"Menge pro Gebinde fehlt (Ist = 1 Gebinde); ","")&amp;BM1497)</f>
        <v/>
      </c>
      <c r="BF1497" s="55"/>
      <c r="BG1497" s="55"/>
      <c r="BH1497" s="62"/>
      <c r="BI1497" s="57" t="n">
        <f aca="false">N('Neue Artikel'!$D$25)</f>
        <v>0</v>
      </c>
      <c r="BJ1497" s="57" t="n">
        <v>0</v>
      </c>
      <c r="BK1497" s="56" t="n">
        <v>0</v>
      </c>
      <c r="BL1497" s="57" t="n">
        <f aca="false">N('Neue Artikel'!$C$25)/Parameter!$B$18</f>
        <v>0</v>
      </c>
      <c r="BM1497" s="55"/>
      <c r="BN1497" s="60" t="n">
        <v>1</v>
      </c>
      <c r="BO1497" s="60" t="n">
        <v>1497</v>
      </c>
      <c r="BP1497" s="55" t="str">
        <f aca="false">IF(S1497&lt;&gt;"",UPPER(TRIM(S1497)),IF(O1497="","LOSE",O1497))</f>
        <v>LOSE</v>
      </c>
      <c r="BQ1497" s="57" t="n">
        <f aca="false">IF(BP1497="LOSE",1,IF(N(T1497)&gt;0,T1497,IF(N(P1497)&gt;0,P1497,MAX(1,G1497))))</f>
        <v>1</v>
      </c>
      <c r="BR1497" s="60" t="n">
        <f aca="false">IF(BP1497="LOSE",1,0)</f>
        <v>1</v>
      </c>
      <c r="BS1497" s="59" t="n">
        <f aca="false">IF(BR1497=0,0,IF(N(R1497)&gt;0,R1497,IFERROR(VLOOKUP(D1497,Parameter!$A$35:$C$64,3,0)+0,0)))</f>
        <v>0.15</v>
      </c>
      <c r="BT1497" s="55" t="str">
        <f aca="false">IF(Y1497&lt;&gt;"",Y1497,X1497)</f>
        <v/>
      </c>
      <c r="BU1497" s="55" t="str">
        <f aca="false">IF(BT1497=1,"L1",IF(OR(BT1497=2,BT1497=3),"L23",IF(BT1497="Aussen","Aussen","-")))</f>
        <v>-</v>
      </c>
      <c r="BV1497" s="66" t="n">
        <f aca="false">IF(N(Z1497)&gt;0,Z1497,0)</f>
        <v>0</v>
      </c>
      <c r="BW1497" s="60" t="n">
        <f aca="false">IF(ISNUMBER(AC1497),1,0)</f>
        <v>0</v>
      </c>
      <c r="BX1497" s="57" t="n">
        <f aca="false">N(AC1497)</f>
        <v>0</v>
      </c>
      <c r="BY1497" s="57" t="n">
        <f aca="false">N(L1497)+N(M1497)</f>
        <v>0</v>
      </c>
      <c r="BZ1497" s="57" t="n">
        <f aca="false">ROUNDUP(G1497/BQ1497,0)</f>
        <v>0</v>
      </c>
      <c r="CA1497" s="57" t="n">
        <f aca="false">ROUNDUP(BX1497/BQ1497,0)</f>
        <v>0</v>
      </c>
      <c r="CB1497" s="60" t="n">
        <f aca="false">IF(BR1497=1,0,IFERROR(VLOOKUP(BP1497,'Gebinde-Kategorie'!$A$5:$M$45,5,0)+0,0))</f>
        <v>0</v>
      </c>
      <c r="CC1497" s="60" t="n">
        <f aca="false">IFERROR(IF(OR(BT1497=1,BT1497=2,BT1497=3),N(INDEX(Parameter!$I$5:$I$7,BT1497)),0),0)</f>
        <v>0</v>
      </c>
      <c r="CD1497" s="59" t="n">
        <f aca="false">IF(AND(Parameter!$B$21="Ja",ISNUMBER(U1497),N(V1497)&gt;0),IFERROR(N(INDEX(Parameter!$L$5:$L$7,U1497))*INDEX(Parameter!$E$5:$E$7,U1497)*V1497/SUMIFS($V$7:$V$1576,$U$7:$U$1576,U1497),0),0)</f>
        <v>0</v>
      </c>
    </row>
    <row r="1498" customFormat="false" ht="15" hidden="false" customHeight="false" outlineLevel="0" collapsed="false">
      <c r="A1498" s="55" t="str">
        <f aca="false">IF('Neue Artikel'!$A$26="","",'Neue Artikel'!$A$26&amp;"")</f>
        <v/>
      </c>
      <c r="B1498" s="55" t="str">
        <f aca="false">'Neue Artikel'!$B$26&amp;""</f>
        <v/>
      </c>
      <c r="C1498" s="55"/>
      <c r="D1498" s="55" t="s">
        <v>2561</v>
      </c>
      <c r="E1498" s="55"/>
      <c r="F1498" s="56" t="n">
        <f aca="false">N('Neue Artikel'!$G$26)</f>
        <v>0</v>
      </c>
      <c r="G1498" s="57" t="n">
        <f aca="false">MAX(0,IF(AND(Parameter!$B$21="Ja",ISNUMBER(W1498)),W1498,IF(Parameter!$B$20="Jahresanfang 2025 + Export",BJ1498+BI1498,BI1498)))</f>
        <v>0</v>
      </c>
      <c r="H1498" s="57" t="n">
        <f aca="false">G1498*F1498</f>
        <v>0</v>
      </c>
      <c r="I1498" s="57" t="n">
        <f aca="false">BL1498*Parameter!$B$18</f>
        <v>0</v>
      </c>
      <c r="J1498" s="58"/>
      <c r="K1498" s="59"/>
      <c r="L1498" s="57" t="n">
        <f aca="false">N('Neue Artikel'!$E$26)</f>
        <v>0</v>
      </c>
      <c r="M1498" s="57" t="n">
        <f aca="false">N('Neue Artikel'!$F$26)</f>
        <v>0</v>
      </c>
      <c r="N1498" s="60"/>
      <c r="O1498" s="55" t="str">
        <f aca="false">IF('Neue Artikel'!$H$26="","LOSE",UPPER(TRIM('Neue Artikel'!$H$26)))</f>
        <v>LOSE</v>
      </c>
      <c r="P1498" s="57" t="n">
        <f aca="false">N('Neue Artikel'!$I$26)</f>
        <v>0</v>
      </c>
      <c r="Q1498" s="60" t="n">
        <f aca="false">IF(BR1498=1,0,IFERROR(VLOOKUP(BP1498,'Gebinde-Kategorie'!$A$5:$M$45,13,0)+0,0))</f>
        <v>0</v>
      </c>
      <c r="R1498" s="61"/>
      <c r="S1498" s="62"/>
      <c r="T1498" s="62"/>
      <c r="U1498" s="55"/>
      <c r="V1498" s="57"/>
      <c r="W1498" s="57"/>
      <c r="X1498" s="55" t="str">
        <f aca="false">IF(A1498="","",IF(AND(Parameter!$B$21="Ja",ISNUMBER(U1498)),U1498,IF(IFERROR(VLOOKUP(D1498,Parameter!$A$35:$C$64,2,0),"Nein")="2+3",IF(ISNUMBER(SEARCH("grosser Artikel",BM1498)),2,IFERROR(VLOOKUP(BP1498,Parameter!$F$35:$G$64,2,0),2)),IF(OR(IFERROR(VLOOKUP(D1498,Parameter!$A$35:$C$64,2,0),"Nein")="Nein",IFERROR(VLOOKUP(D1498,Parameter!$A$35:$C$64,2,0),"Nein")=""),"-",VLOOKUP(D1498,Parameter!$A$35:$C$64,2,0)))))</f>
        <v/>
      </c>
      <c r="Y1498" s="55" t="str">
        <f aca="false">IF('Neue Artikel'!$J$26="","",'Neue Artikel'!$J$26)</f>
        <v/>
      </c>
      <c r="Z1498" s="63"/>
      <c r="AA1498" s="57" t="n">
        <f aca="false">AP1498</f>
        <v>0</v>
      </c>
      <c r="AB1498" s="57" t="n">
        <f aca="false">MAX(AP1498,G1498)</f>
        <v>0</v>
      </c>
      <c r="AC1498" s="64"/>
      <c r="AD1498" s="57" t="n">
        <f aca="false">IF(LEFT(Cockpit!$C$5,1)="A",G1498,IF(BW1498=1,BX1498,IF(LEFT(Cockpit!$C$5,1)="B",AH1498,MAX(AH1498,G1498))))</f>
        <v>0</v>
      </c>
      <c r="AE1498" s="57" t="n">
        <f aca="false">IF(BR1498=1,0,ROUNDUP(AD1498/BQ1498,0))</f>
        <v>0</v>
      </c>
      <c r="AF1498" s="59" t="n">
        <f aca="false">IF(CD1498&gt;0,CD1498*MAX(1,AD1498/V1498),IF(BR1498=1,IF(AD1498&lt;=0,0,BS1498*MAX(1,IF(G1498&gt;0,AD1498/G1498,1))),IF(Q1498&gt;0,AE1498/Q1498,0))/MAX(0.1,N(Parameter!$M$21)))</f>
        <v>0</v>
      </c>
      <c r="AG1498" s="57" t="n">
        <f aca="false">AD1498*F1498</f>
        <v>0</v>
      </c>
      <c r="AH1498" s="57" t="n">
        <f aca="false">ROUNDUP(MAX(I1498/IF(BV1498&gt;0,BV1498,MAX(0.1,N(Cockpit!$C$6))),BY1498)/BQ1498,0)*BQ1498</f>
        <v>0</v>
      </c>
      <c r="AI1498" s="58" t="n">
        <f aca="false">IF(AF1498&gt;0,I1498/AF1498,-1)</f>
        <v>-1</v>
      </c>
      <c r="AJ1498" s="58" t="str">
        <f aca="false">IF(AND(OR(BU1498="L1",BU1498="L23"),AF1498&gt;0),SUMIFS($AF$7:$AF$1576,$BU$7:$BU$1576,BU1498,$AI$7:$AI$1576,"&gt;"&amp;AI1498)+SUMIFS($AF$7:$AF$1576,$BU$7:$BU$1576,BU1498,$AI$7:$AI$1576,AI1498,$BO$7:$BO$1576,"&lt;="&amp;BO1498),"")</f>
        <v/>
      </c>
      <c r="AK1498" s="65" t="n">
        <f aca="false">IF(AJ1498="",0,MAX(0,MIN(1,(IF(BU1498="L1",Parameter!$E$5,Parameter!$E$6+Parameter!$E$7)-(AJ1498-AF1498))/AF1498)))</f>
        <v>0</v>
      </c>
      <c r="AL1498" s="57" t="n">
        <f aca="false">IF(LEFT(Cockpit!$I$5,1)="A",G1498,IF(BW1498=1,BX1498,IF(LEFT(Cockpit!$I$5,1)="B",AP1498,MAX(AP1498,G1498))))</f>
        <v>0</v>
      </c>
      <c r="AM1498" s="57" t="n">
        <f aca="false">IF(BR1498=1,0,ROUNDUP(AL1498/BQ1498,0))</f>
        <v>0</v>
      </c>
      <c r="AN1498" s="59" t="n">
        <f aca="false">IF(CD1498&gt;0,CD1498*MAX(1,AL1498/V1498),IF(BR1498=1,IF(AL1498&lt;=0,0,BS1498*MAX(1,IF(G1498&gt;0,AL1498/G1498,1))),IF(Q1498&gt;0,AM1498/Q1498,0))/MAX(0.1,N(Parameter!$M$21)))</f>
        <v>0</v>
      </c>
      <c r="AO1498" s="57" t="n">
        <f aca="false">AL1498*F1498</f>
        <v>0</v>
      </c>
      <c r="AP1498" s="57" t="n">
        <f aca="false">ROUNDUP(MAX(I1498/IF(BV1498&gt;0,BV1498,MAX(0.1,N(Cockpit!$I$6))),BY1498)/BQ1498,0)*BQ1498</f>
        <v>0</v>
      </c>
      <c r="AQ1498" s="58" t="n">
        <f aca="false">IF(AN1498&gt;0,I1498/AN1498,-1)</f>
        <v>-1</v>
      </c>
      <c r="AR1498" s="58" t="str">
        <f aca="false">IF(AND(OR(BU1498="L1",BU1498="L23"),AN1498&gt;0),SUMIFS($AN$7:$AN$1576,$BU$7:$BU$1576,BU1498,$AQ$7:$AQ$1576,"&gt;"&amp;AQ1498)+SUMIFS($AN$7:$AN$1576,$BU$7:$BU$1576,BU1498,$AQ$7:$AQ$1576,AQ1498,$BO$7:$BO$1576,"&lt;="&amp;BO1498),"")</f>
        <v/>
      </c>
      <c r="AS1498" s="65" t="n">
        <f aca="false">IF(AR1498="",0,MAX(0,MIN(1,(IF(BU1498="L1",Parameter!$E$5,Parameter!$E$6+Parameter!$E$7)-(AR1498-AN1498))/AN1498)))</f>
        <v>0</v>
      </c>
      <c r="AT1498" s="57" t="n">
        <f aca="false">IF(LEFT(Cockpit!$O$5,1)="A",G1498,IF(BW1498=1,BX1498,IF(LEFT(Cockpit!$O$5,1)="B",AX1498,MAX(AX1498,G1498))))</f>
        <v>0</v>
      </c>
      <c r="AU1498" s="57" t="n">
        <f aca="false">IF(BR1498=1,0,ROUNDUP(AT1498/BQ1498,0))</f>
        <v>0</v>
      </c>
      <c r="AV1498" s="59" t="n">
        <f aca="false">IF(CD1498&gt;0,CD1498*MAX(1,AT1498/V1498),IF(BR1498=1,IF(AT1498&lt;=0,0,BS1498*MAX(1,IF(G1498&gt;0,AT1498/G1498,1))),IF(Q1498&gt;0,AU1498/Q1498,0))/MAX(0.1,N(Parameter!$M$21)))</f>
        <v>0</v>
      </c>
      <c r="AW1498" s="57" t="n">
        <f aca="false">AT1498*F1498</f>
        <v>0</v>
      </c>
      <c r="AX1498" s="57" t="n">
        <f aca="false">ROUNDUP(MAX(I1498/IF(BV1498&gt;0,BV1498,MAX(0.1,N(Cockpit!$O$6))),BY1498)/BQ1498,0)*BQ1498</f>
        <v>0</v>
      </c>
      <c r="AY1498" s="58" t="n">
        <f aca="false">IF(AV1498&gt;0,I1498/AV1498,-1)</f>
        <v>-1</v>
      </c>
      <c r="AZ1498" s="58" t="str">
        <f aca="false">IF(AND(OR(BU1498="L1",BU1498="L23"),AV1498&gt;0),SUMIFS($AV$7:$AV$1576,$BU$7:$BU$1576,BU1498,$AY$7:$AY$1576,"&gt;"&amp;AY1498)+SUMIFS($AV$7:$AV$1576,$BU$7:$BU$1576,BU1498,$AY$7:$AY$1576,AY1498,$BO$7:$BO$1576,"&lt;="&amp;BO1498),"")</f>
        <v/>
      </c>
      <c r="BA1498" s="65" t="n">
        <f aca="false">IF(AZ1498="",0,MAX(0,MIN(1,(IF(BU1498="L1",Parameter!$E$5,Parameter!$E$6+Parameter!$E$7)-(AZ1498-AV1498))/AV1498)))</f>
        <v>0</v>
      </c>
      <c r="BB1498" s="55" t="str">
        <f aca="false">IF(AF1498&lt;=0,"",IF(BU1498="Aussen","Aussenlager",IF(BU1498="-","Nicht im Lift",IF(AK1498&gt;=1,"Lift",IF(AK1498&lt;=0,"Aussenlager","teilweise")))))</f>
        <v/>
      </c>
      <c r="BC1498" s="55" t="str">
        <f aca="false">IF(AN1498&lt;=0,"",IF(BU1498="Aussen","Aussenlager",IF(BU1498="-","Nicht im Lift",IF(AS1498&gt;=1,"Lift",IF(AS1498&lt;=0,"Aussenlager","teilweise")))))</f>
        <v/>
      </c>
      <c r="BD1498" s="55" t="str">
        <f aca="false">IF(AV1498&lt;=0,"",IF(BU1498="Aussen","Aussenlager",IF(BU1498="-","Nicht im Lift",IF(BA1498&gt;=1,"Lift",IF(BA1498&lt;=0,"Aussenlager","teilweise")))))</f>
        <v/>
      </c>
      <c r="BE1498" s="55" t="str">
        <f aca="false">IF(A1498="","",IF(BN1498=1,"Neu; ","")&amp;IF(AND(BN1498=0,BI1498&lt;0),"negativer Bestand (Export "&amp;BI1498&amp;"); ","")&amp;IF(I1498&lt;=0,"Kein Verbrauch; ","")&amp;IF(CD1498&gt;0,"Lift "&amp;U1498&amp;" lt. Liftbericht (Fach "&amp;V1498&amp;" Stk); ",IF(BR1498=1,"Lose – Fläche geschätzt; ",""))&amp;IF(G1498&gt;AP1498,"Überbestand "&amp;ROUND(G1498-AP1498,0)&amp;" Stk / CHF "&amp;ROUND((G1498-AP1498)*F1498,0)&amp;"; ","")&amp;IF(AND(BW1498=1,BX1498&lt;BY1498),"MAX &lt; MB+LG; ","")&amp;IF(AND(CC1498&gt;0,CB1498*10&gt;CC1498),"zu hoch für Tablar; ","")&amp;IF(AND(BN1498=0,OR(BW1498=1,Y1498&lt;&gt;"",S1498&lt;&gt;"",T1498&lt;&gt;"",Z1498&lt;&gt;"")),"manuell übersteuert; ","")&amp;IF(AND(BR1498=0,Q1498=0),"Gebinde unbekannt / Stellmass fehlt; ","")&amp;IF(AND(BR1498=0,N(T1498)&lt;=0,N(P1498)&lt;=0),"Menge pro Gebinde fehlt (Ist = 1 Gebinde); ","")&amp;BM1498)</f>
        <v/>
      </c>
      <c r="BF1498" s="55"/>
      <c r="BG1498" s="55"/>
      <c r="BH1498" s="62"/>
      <c r="BI1498" s="57" t="n">
        <f aca="false">N('Neue Artikel'!$D$26)</f>
        <v>0</v>
      </c>
      <c r="BJ1498" s="57" t="n">
        <v>0</v>
      </c>
      <c r="BK1498" s="56" t="n">
        <v>0</v>
      </c>
      <c r="BL1498" s="57" t="n">
        <f aca="false">N('Neue Artikel'!$C$26)/Parameter!$B$18</f>
        <v>0</v>
      </c>
      <c r="BM1498" s="55"/>
      <c r="BN1498" s="60" t="n">
        <v>1</v>
      </c>
      <c r="BO1498" s="60" t="n">
        <v>1498</v>
      </c>
      <c r="BP1498" s="55" t="str">
        <f aca="false">IF(S1498&lt;&gt;"",UPPER(TRIM(S1498)),IF(O1498="","LOSE",O1498))</f>
        <v>LOSE</v>
      </c>
      <c r="BQ1498" s="57" t="n">
        <f aca="false">IF(BP1498="LOSE",1,IF(N(T1498)&gt;0,T1498,IF(N(P1498)&gt;0,P1498,MAX(1,G1498))))</f>
        <v>1</v>
      </c>
      <c r="BR1498" s="60" t="n">
        <f aca="false">IF(BP1498="LOSE",1,0)</f>
        <v>1</v>
      </c>
      <c r="BS1498" s="59" t="n">
        <f aca="false">IF(BR1498=0,0,IF(N(R1498)&gt;0,R1498,IFERROR(VLOOKUP(D1498,Parameter!$A$35:$C$64,3,0)+0,0)))</f>
        <v>0.15</v>
      </c>
      <c r="BT1498" s="55" t="str">
        <f aca="false">IF(Y1498&lt;&gt;"",Y1498,X1498)</f>
        <v/>
      </c>
      <c r="BU1498" s="55" t="str">
        <f aca="false">IF(BT1498=1,"L1",IF(OR(BT1498=2,BT1498=3),"L23",IF(BT1498="Aussen","Aussen","-")))</f>
        <v>-</v>
      </c>
      <c r="BV1498" s="66" t="n">
        <f aca="false">IF(N(Z1498)&gt;0,Z1498,0)</f>
        <v>0</v>
      </c>
      <c r="BW1498" s="60" t="n">
        <f aca="false">IF(ISNUMBER(AC1498),1,0)</f>
        <v>0</v>
      </c>
      <c r="BX1498" s="57" t="n">
        <f aca="false">N(AC1498)</f>
        <v>0</v>
      </c>
      <c r="BY1498" s="57" t="n">
        <f aca="false">N(L1498)+N(M1498)</f>
        <v>0</v>
      </c>
      <c r="BZ1498" s="57" t="n">
        <f aca="false">ROUNDUP(G1498/BQ1498,0)</f>
        <v>0</v>
      </c>
      <c r="CA1498" s="57" t="n">
        <f aca="false">ROUNDUP(BX1498/BQ1498,0)</f>
        <v>0</v>
      </c>
      <c r="CB1498" s="60" t="n">
        <f aca="false">IF(BR1498=1,0,IFERROR(VLOOKUP(BP1498,'Gebinde-Kategorie'!$A$5:$M$45,5,0)+0,0))</f>
        <v>0</v>
      </c>
      <c r="CC1498" s="60" t="n">
        <f aca="false">IFERROR(IF(OR(BT1498=1,BT1498=2,BT1498=3),N(INDEX(Parameter!$I$5:$I$7,BT1498)),0),0)</f>
        <v>0</v>
      </c>
      <c r="CD1498" s="59" t="n">
        <f aca="false">IF(AND(Parameter!$B$21="Ja",ISNUMBER(U1498),N(V1498)&gt;0),IFERROR(N(INDEX(Parameter!$L$5:$L$7,U1498))*INDEX(Parameter!$E$5:$E$7,U1498)*V1498/SUMIFS($V$7:$V$1576,$U$7:$U$1576,U1498),0),0)</f>
        <v>0</v>
      </c>
    </row>
    <row r="1499" customFormat="false" ht="15" hidden="false" customHeight="false" outlineLevel="0" collapsed="false">
      <c r="A1499" s="55" t="str">
        <f aca="false">IF('Neue Artikel'!$A$27="","",'Neue Artikel'!$A$27&amp;"")</f>
        <v/>
      </c>
      <c r="B1499" s="55" t="str">
        <f aca="false">'Neue Artikel'!$B$27&amp;""</f>
        <v/>
      </c>
      <c r="C1499" s="55"/>
      <c r="D1499" s="55" t="s">
        <v>2561</v>
      </c>
      <c r="E1499" s="55"/>
      <c r="F1499" s="56" t="n">
        <f aca="false">N('Neue Artikel'!$G$27)</f>
        <v>0</v>
      </c>
      <c r="G1499" s="57" t="n">
        <f aca="false">MAX(0,IF(AND(Parameter!$B$21="Ja",ISNUMBER(W1499)),W1499,IF(Parameter!$B$20="Jahresanfang 2025 + Export",BJ1499+BI1499,BI1499)))</f>
        <v>0</v>
      </c>
      <c r="H1499" s="57" t="n">
        <f aca="false">G1499*F1499</f>
        <v>0</v>
      </c>
      <c r="I1499" s="57" t="n">
        <f aca="false">BL1499*Parameter!$B$18</f>
        <v>0</v>
      </c>
      <c r="J1499" s="58"/>
      <c r="K1499" s="59"/>
      <c r="L1499" s="57" t="n">
        <f aca="false">N('Neue Artikel'!$E$27)</f>
        <v>0</v>
      </c>
      <c r="M1499" s="57" t="n">
        <f aca="false">N('Neue Artikel'!$F$27)</f>
        <v>0</v>
      </c>
      <c r="N1499" s="60"/>
      <c r="O1499" s="55" t="str">
        <f aca="false">IF('Neue Artikel'!$H$27="","LOSE",UPPER(TRIM('Neue Artikel'!$H$27)))</f>
        <v>LOSE</v>
      </c>
      <c r="P1499" s="57" t="n">
        <f aca="false">N('Neue Artikel'!$I$27)</f>
        <v>0</v>
      </c>
      <c r="Q1499" s="60" t="n">
        <f aca="false">IF(BR1499=1,0,IFERROR(VLOOKUP(BP1499,'Gebinde-Kategorie'!$A$5:$M$45,13,0)+0,0))</f>
        <v>0</v>
      </c>
      <c r="R1499" s="61"/>
      <c r="S1499" s="62"/>
      <c r="T1499" s="62"/>
      <c r="U1499" s="55"/>
      <c r="V1499" s="57"/>
      <c r="W1499" s="57"/>
      <c r="X1499" s="55" t="str">
        <f aca="false">IF(A1499="","",IF(AND(Parameter!$B$21="Ja",ISNUMBER(U1499)),U1499,IF(IFERROR(VLOOKUP(D1499,Parameter!$A$35:$C$64,2,0),"Nein")="2+3",IF(ISNUMBER(SEARCH("grosser Artikel",BM1499)),2,IFERROR(VLOOKUP(BP1499,Parameter!$F$35:$G$64,2,0),2)),IF(OR(IFERROR(VLOOKUP(D1499,Parameter!$A$35:$C$64,2,0),"Nein")="Nein",IFERROR(VLOOKUP(D1499,Parameter!$A$35:$C$64,2,0),"Nein")=""),"-",VLOOKUP(D1499,Parameter!$A$35:$C$64,2,0)))))</f>
        <v/>
      </c>
      <c r="Y1499" s="55" t="str">
        <f aca="false">IF('Neue Artikel'!$J$27="","",'Neue Artikel'!$J$27)</f>
        <v/>
      </c>
      <c r="Z1499" s="63"/>
      <c r="AA1499" s="57" t="n">
        <f aca="false">AP1499</f>
        <v>0</v>
      </c>
      <c r="AB1499" s="57" t="n">
        <f aca="false">MAX(AP1499,G1499)</f>
        <v>0</v>
      </c>
      <c r="AC1499" s="64"/>
      <c r="AD1499" s="57" t="n">
        <f aca="false">IF(LEFT(Cockpit!$C$5,1)="A",G1499,IF(BW1499=1,BX1499,IF(LEFT(Cockpit!$C$5,1)="B",AH1499,MAX(AH1499,G1499))))</f>
        <v>0</v>
      </c>
      <c r="AE1499" s="57" t="n">
        <f aca="false">IF(BR1499=1,0,ROUNDUP(AD1499/BQ1499,0))</f>
        <v>0</v>
      </c>
      <c r="AF1499" s="59" t="n">
        <f aca="false">IF(CD1499&gt;0,CD1499*MAX(1,AD1499/V1499),IF(BR1499=1,IF(AD1499&lt;=0,0,BS1499*MAX(1,IF(G1499&gt;0,AD1499/G1499,1))),IF(Q1499&gt;0,AE1499/Q1499,0))/MAX(0.1,N(Parameter!$M$21)))</f>
        <v>0</v>
      </c>
      <c r="AG1499" s="57" t="n">
        <f aca="false">AD1499*F1499</f>
        <v>0</v>
      </c>
      <c r="AH1499" s="57" t="n">
        <f aca="false">ROUNDUP(MAX(I1499/IF(BV1499&gt;0,BV1499,MAX(0.1,N(Cockpit!$C$6))),BY1499)/BQ1499,0)*BQ1499</f>
        <v>0</v>
      </c>
      <c r="AI1499" s="58" t="n">
        <f aca="false">IF(AF1499&gt;0,I1499/AF1499,-1)</f>
        <v>-1</v>
      </c>
      <c r="AJ1499" s="58" t="str">
        <f aca="false">IF(AND(OR(BU1499="L1",BU1499="L23"),AF1499&gt;0),SUMIFS($AF$7:$AF$1576,$BU$7:$BU$1576,BU1499,$AI$7:$AI$1576,"&gt;"&amp;AI1499)+SUMIFS($AF$7:$AF$1576,$BU$7:$BU$1576,BU1499,$AI$7:$AI$1576,AI1499,$BO$7:$BO$1576,"&lt;="&amp;BO1499),"")</f>
        <v/>
      </c>
      <c r="AK1499" s="65" t="n">
        <f aca="false">IF(AJ1499="",0,MAX(0,MIN(1,(IF(BU1499="L1",Parameter!$E$5,Parameter!$E$6+Parameter!$E$7)-(AJ1499-AF1499))/AF1499)))</f>
        <v>0</v>
      </c>
      <c r="AL1499" s="57" t="n">
        <f aca="false">IF(LEFT(Cockpit!$I$5,1)="A",G1499,IF(BW1499=1,BX1499,IF(LEFT(Cockpit!$I$5,1)="B",AP1499,MAX(AP1499,G1499))))</f>
        <v>0</v>
      </c>
      <c r="AM1499" s="57" t="n">
        <f aca="false">IF(BR1499=1,0,ROUNDUP(AL1499/BQ1499,0))</f>
        <v>0</v>
      </c>
      <c r="AN1499" s="59" t="n">
        <f aca="false">IF(CD1499&gt;0,CD1499*MAX(1,AL1499/V1499),IF(BR1499=1,IF(AL1499&lt;=0,0,BS1499*MAX(1,IF(G1499&gt;0,AL1499/G1499,1))),IF(Q1499&gt;0,AM1499/Q1499,0))/MAX(0.1,N(Parameter!$M$21)))</f>
        <v>0</v>
      </c>
      <c r="AO1499" s="57" t="n">
        <f aca="false">AL1499*F1499</f>
        <v>0</v>
      </c>
      <c r="AP1499" s="57" t="n">
        <f aca="false">ROUNDUP(MAX(I1499/IF(BV1499&gt;0,BV1499,MAX(0.1,N(Cockpit!$I$6))),BY1499)/BQ1499,0)*BQ1499</f>
        <v>0</v>
      </c>
      <c r="AQ1499" s="58" t="n">
        <f aca="false">IF(AN1499&gt;0,I1499/AN1499,-1)</f>
        <v>-1</v>
      </c>
      <c r="AR1499" s="58" t="str">
        <f aca="false">IF(AND(OR(BU1499="L1",BU1499="L23"),AN1499&gt;0),SUMIFS($AN$7:$AN$1576,$BU$7:$BU$1576,BU1499,$AQ$7:$AQ$1576,"&gt;"&amp;AQ1499)+SUMIFS($AN$7:$AN$1576,$BU$7:$BU$1576,BU1499,$AQ$7:$AQ$1576,AQ1499,$BO$7:$BO$1576,"&lt;="&amp;BO1499),"")</f>
        <v/>
      </c>
      <c r="AS1499" s="65" t="n">
        <f aca="false">IF(AR1499="",0,MAX(0,MIN(1,(IF(BU1499="L1",Parameter!$E$5,Parameter!$E$6+Parameter!$E$7)-(AR1499-AN1499))/AN1499)))</f>
        <v>0</v>
      </c>
      <c r="AT1499" s="57" t="n">
        <f aca="false">IF(LEFT(Cockpit!$O$5,1)="A",G1499,IF(BW1499=1,BX1499,IF(LEFT(Cockpit!$O$5,1)="B",AX1499,MAX(AX1499,G1499))))</f>
        <v>0</v>
      </c>
      <c r="AU1499" s="57" t="n">
        <f aca="false">IF(BR1499=1,0,ROUNDUP(AT1499/BQ1499,0))</f>
        <v>0</v>
      </c>
      <c r="AV1499" s="59" t="n">
        <f aca="false">IF(CD1499&gt;0,CD1499*MAX(1,AT1499/V1499),IF(BR1499=1,IF(AT1499&lt;=0,0,BS1499*MAX(1,IF(G1499&gt;0,AT1499/G1499,1))),IF(Q1499&gt;0,AU1499/Q1499,0))/MAX(0.1,N(Parameter!$M$21)))</f>
        <v>0</v>
      </c>
      <c r="AW1499" s="57" t="n">
        <f aca="false">AT1499*F1499</f>
        <v>0</v>
      </c>
      <c r="AX1499" s="57" t="n">
        <f aca="false">ROUNDUP(MAX(I1499/IF(BV1499&gt;0,BV1499,MAX(0.1,N(Cockpit!$O$6))),BY1499)/BQ1499,0)*BQ1499</f>
        <v>0</v>
      </c>
      <c r="AY1499" s="58" t="n">
        <f aca="false">IF(AV1499&gt;0,I1499/AV1499,-1)</f>
        <v>-1</v>
      </c>
      <c r="AZ1499" s="58" t="str">
        <f aca="false">IF(AND(OR(BU1499="L1",BU1499="L23"),AV1499&gt;0),SUMIFS($AV$7:$AV$1576,$BU$7:$BU$1576,BU1499,$AY$7:$AY$1576,"&gt;"&amp;AY1499)+SUMIFS($AV$7:$AV$1576,$BU$7:$BU$1576,BU1499,$AY$7:$AY$1576,AY1499,$BO$7:$BO$1576,"&lt;="&amp;BO1499),"")</f>
        <v/>
      </c>
      <c r="BA1499" s="65" t="n">
        <f aca="false">IF(AZ1499="",0,MAX(0,MIN(1,(IF(BU1499="L1",Parameter!$E$5,Parameter!$E$6+Parameter!$E$7)-(AZ1499-AV1499))/AV1499)))</f>
        <v>0</v>
      </c>
      <c r="BB1499" s="55" t="str">
        <f aca="false">IF(AF1499&lt;=0,"",IF(BU1499="Aussen","Aussenlager",IF(BU1499="-","Nicht im Lift",IF(AK1499&gt;=1,"Lift",IF(AK1499&lt;=0,"Aussenlager","teilweise")))))</f>
        <v/>
      </c>
      <c r="BC1499" s="55" t="str">
        <f aca="false">IF(AN1499&lt;=0,"",IF(BU1499="Aussen","Aussenlager",IF(BU1499="-","Nicht im Lift",IF(AS1499&gt;=1,"Lift",IF(AS1499&lt;=0,"Aussenlager","teilweise")))))</f>
        <v/>
      </c>
      <c r="BD1499" s="55" t="str">
        <f aca="false">IF(AV1499&lt;=0,"",IF(BU1499="Aussen","Aussenlager",IF(BU1499="-","Nicht im Lift",IF(BA1499&gt;=1,"Lift",IF(BA1499&lt;=0,"Aussenlager","teilweise")))))</f>
        <v/>
      </c>
      <c r="BE1499" s="55" t="str">
        <f aca="false">IF(A1499="","",IF(BN1499=1,"Neu; ","")&amp;IF(AND(BN1499=0,BI1499&lt;0),"negativer Bestand (Export "&amp;BI1499&amp;"); ","")&amp;IF(I1499&lt;=0,"Kein Verbrauch; ","")&amp;IF(CD1499&gt;0,"Lift "&amp;U1499&amp;" lt. Liftbericht (Fach "&amp;V1499&amp;" Stk); ",IF(BR1499=1,"Lose – Fläche geschätzt; ",""))&amp;IF(G1499&gt;AP1499,"Überbestand "&amp;ROUND(G1499-AP1499,0)&amp;" Stk / CHF "&amp;ROUND((G1499-AP1499)*F1499,0)&amp;"; ","")&amp;IF(AND(BW1499=1,BX1499&lt;BY1499),"MAX &lt; MB+LG; ","")&amp;IF(AND(CC1499&gt;0,CB1499*10&gt;CC1499),"zu hoch für Tablar; ","")&amp;IF(AND(BN1499=0,OR(BW1499=1,Y1499&lt;&gt;"",S1499&lt;&gt;"",T1499&lt;&gt;"",Z1499&lt;&gt;"")),"manuell übersteuert; ","")&amp;IF(AND(BR1499=0,Q1499=0),"Gebinde unbekannt / Stellmass fehlt; ","")&amp;IF(AND(BR1499=0,N(T1499)&lt;=0,N(P1499)&lt;=0),"Menge pro Gebinde fehlt (Ist = 1 Gebinde); ","")&amp;BM1499)</f>
        <v/>
      </c>
      <c r="BF1499" s="55"/>
      <c r="BG1499" s="55"/>
      <c r="BH1499" s="62"/>
      <c r="BI1499" s="57" t="n">
        <f aca="false">N('Neue Artikel'!$D$27)</f>
        <v>0</v>
      </c>
      <c r="BJ1499" s="57" t="n">
        <v>0</v>
      </c>
      <c r="BK1499" s="56" t="n">
        <v>0</v>
      </c>
      <c r="BL1499" s="57" t="n">
        <f aca="false">N('Neue Artikel'!$C$27)/Parameter!$B$18</f>
        <v>0</v>
      </c>
      <c r="BM1499" s="55"/>
      <c r="BN1499" s="60" t="n">
        <v>1</v>
      </c>
      <c r="BO1499" s="60" t="n">
        <v>1499</v>
      </c>
      <c r="BP1499" s="55" t="str">
        <f aca="false">IF(S1499&lt;&gt;"",UPPER(TRIM(S1499)),IF(O1499="","LOSE",O1499))</f>
        <v>LOSE</v>
      </c>
      <c r="BQ1499" s="57" t="n">
        <f aca="false">IF(BP1499="LOSE",1,IF(N(T1499)&gt;0,T1499,IF(N(P1499)&gt;0,P1499,MAX(1,G1499))))</f>
        <v>1</v>
      </c>
      <c r="BR1499" s="60" t="n">
        <f aca="false">IF(BP1499="LOSE",1,0)</f>
        <v>1</v>
      </c>
      <c r="BS1499" s="59" t="n">
        <f aca="false">IF(BR1499=0,0,IF(N(R1499)&gt;0,R1499,IFERROR(VLOOKUP(D1499,Parameter!$A$35:$C$64,3,0)+0,0)))</f>
        <v>0.15</v>
      </c>
      <c r="BT1499" s="55" t="str">
        <f aca="false">IF(Y1499&lt;&gt;"",Y1499,X1499)</f>
        <v/>
      </c>
      <c r="BU1499" s="55" t="str">
        <f aca="false">IF(BT1499=1,"L1",IF(OR(BT1499=2,BT1499=3),"L23",IF(BT1499="Aussen","Aussen","-")))</f>
        <v>-</v>
      </c>
      <c r="BV1499" s="66" t="n">
        <f aca="false">IF(N(Z1499)&gt;0,Z1499,0)</f>
        <v>0</v>
      </c>
      <c r="BW1499" s="60" t="n">
        <f aca="false">IF(ISNUMBER(AC1499),1,0)</f>
        <v>0</v>
      </c>
      <c r="BX1499" s="57" t="n">
        <f aca="false">N(AC1499)</f>
        <v>0</v>
      </c>
      <c r="BY1499" s="57" t="n">
        <f aca="false">N(L1499)+N(M1499)</f>
        <v>0</v>
      </c>
      <c r="BZ1499" s="57" t="n">
        <f aca="false">ROUNDUP(G1499/BQ1499,0)</f>
        <v>0</v>
      </c>
      <c r="CA1499" s="57" t="n">
        <f aca="false">ROUNDUP(BX1499/BQ1499,0)</f>
        <v>0</v>
      </c>
      <c r="CB1499" s="60" t="n">
        <f aca="false">IF(BR1499=1,0,IFERROR(VLOOKUP(BP1499,'Gebinde-Kategorie'!$A$5:$M$45,5,0)+0,0))</f>
        <v>0</v>
      </c>
      <c r="CC1499" s="60" t="n">
        <f aca="false">IFERROR(IF(OR(BT1499=1,BT1499=2,BT1499=3),N(INDEX(Parameter!$I$5:$I$7,BT1499)),0),0)</f>
        <v>0</v>
      </c>
      <c r="CD1499" s="59" t="n">
        <f aca="false">IF(AND(Parameter!$B$21="Ja",ISNUMBER(U1499),N(V1499)&gt;0),IFERROR(N(INDEX(Parameter!$L$5:$L$7,U1499))*INDEX(Parameter!$E$5:$E$7,U1499)*V1499/SUMIFS($V$7:$V$1576,$U$7:$U$1576,U1499),0),0)</f>
        <v>0</v>
      </c>
    </row>
    <row r="1500" customFormat="false" ht="15" hidden="false" customHeight="false" outlineLevel="0" collapsed="false">
      <c r="A1500" s="55" t="str">
        <f aca="false">IF('Neue Artikel'!$A$28="","",'Neue Artikel'!$A$28&amp;"")</f>
        <v/>
      </c>
      <c r="B1500" s="55" t="str">
        <f aca="false">'Neue Artikel'!$B$28&amp;""</f>
        <v/>
      </c>
      <c r="C1500" s="55"/>
      <c r="D1500" s="55" t="s">
        <v>2561</v>
      </c>
      <c r="E1500" s="55"/>
      <c r="F1500" s="56" t="n">
        <f aca="false">N('Neue Artikel'!$G$28)</f>
        <v>0</v>
      </c>
      <c r="G1500" s="57" t="n">
        <f aca="false">MAX(0,IF(AND(Parameter!$B$21="Ja",ISNUMBER(W1500)),W1500,IF(Parameter!$B$20="Jahresanfang 2025 + Export",BJ1500+BI1500,BI1500)))</f>
        <v>0</v>
      </c>
      <c r="H1500" s="57" t="n">
        <f aca="false">G1500*F1500</f>
        <v>0</v>
      </c>
      <c r="I1500" s="57" t="n">
        <f aca="false">BL1500*Parameter!$B$18</f>
        <v>0</v>
      </c>
      <c r="J1500" s="58"/>
      <c r="K1500" s="59"/>
      <c r="L1500" s="57" t="n">
        <f aca="false">N('Neue Artikel'!$E$28)</f>
        <v>0</v>
      </c>
      <c r="M1500" s="57" t="n">
        <f aca="false">N('Neue Artikel'!$F$28)</f>
        <v>0</v>
      </c>
      <c r="N1500" s="60"/>
      <c r="O1500" s="55" t="str">
        <f aca="false">IF('Neue Artikel'!$H$28="","LOSE",UPPER(TRIM('Neue Artikel'!$H$28)))</f>
        <v>LOSE</v>
      </c>
      <c r="P1500" s="57" t="n">
        <f aca="false">N('Neue Artikel'!$I$28)</f>
        <v>0</v>
      </c>
      <c r="Q1500" s="60" t="n">
        <f aca="false">IF(BR1500=1,0,IFERROR(VLOOKUP(BP1500,'Gebinde-Kategorie'!$A$5:$M$45,13,0)+0,0))</f>
        <v>0</v>
      </c>
      <c r="R1500" s="61"/>
      <c r="S1500" s="62"/>
      <c r="T1500" s="62"/>
      <c r="U1500" s="55"/>
      <c r="V1500" s="57"/>
      <c r="W1500" s="57"/>
      <c r="X1500" s="55" t="str">
        <f aca="false">IF(A1500="","",IF(AND(Parameter!$B$21="Ja",ISNUMBER(U1500)),U1500,IF(IFERROR(VLOOKUP(D1500,Parameter!$A$35:$C$64,2,0),"Nein")="2+3",IF(ISNUMBER(SEARCH("grosser Artikel",BM1500)),2,IFERROR(VLOOKUP(BP1500,Parameter!$F$35:$G$64,2,0),2)),IF(OR(IFERROR(VLOOKUP(D1500,Parameter!$A$35:$C$64,2,0),"Nein")="Nein",IFERROR(VLOOKUP(D1500,Parameter!$A$35:$C$64,2,0),"Nein")=""),"-",VLOOKUP(D1500,Parameter!$A$35:$C$64,2,0)))))</f>
        <v/>
      </c>
      <c r="Y1500" s="55" t="str">
        <f aca="false">IF('Neue Artikel'!$J$28="","",'Neue Artikel'!$J$28)</f>
        <v/>
      </c>
      <c r="Z1500" s="63"/>
      <c r="AA1500" s="57" t="n">
        <f aca="false">AP1500</f>
        <v>0</v>
      </c>
      <c r="AB1500" s="57" t="n">
        <f aca="false">MAX(AP1500,G1500)</f>
        <v>0</v>
      </c>
      <c r="AC1500" s="64"/>
      <c r="AD1500" s="57" t="n">
        <f aca="false">IF(LEFT(Cockpit!$C$5,1)="A",G1500,IF(BW1500=1,BX1500,IF(LEFT(Cockpit!$C$5,1)="B",AH1500,MAX(AH1500,G1500))))</f>
        <v>0</v>
      </c>
      <c r="AE1500" s="57" t="n">
        <f aca="false">IF(BR1500=1,0,ROUNDUP(AD1500/BQ1500,0))</f>
        <v>0</v>
      </c>
      <c r="AF1500" s="59" t="n">
        <f aca="false">IF(CD1500&gt;0,CD1500*MAX(1,AD1500/V1500),IF(BR1500=1,IF(AD1500&lt;=0,0,BS1500*MAX(1,IF(G1500&gt;0,AD1500/G1500,1))),IF(Q1500&gt;0,AE1500/Q1500,0))/MAX(0.1,N(Parameter!$M$21)))</f>
        <v>0</v>
      </c>
      <c r="AG1500" s="57" t="n">
        <f aca="false">AD1500*F1500</f>
        <v>0</v>
      </c>
      <c r="AH1500" s="57" t="n">
        <f aca="false">ROUNDUP(MAX(I1500/IF(BV1500&gt;0,BV1500,MAX(0.1,N(Cockpit!$C$6))),BY1500)/BQ1500,0)*BQ1500</f>
        <v>0</v>
      </c>
      <c r="AI1500" s="58" t="n">
        <f aca="false">IF(AF1500&gt;0,I1500/AF1500,-1)</f>
        <v>-1</v>
      </c>
      <c r="AJ1500" s="58" t="str">
        <f aca="false">IF(AND(OR(BU1500="L1",BU1500="L23"),AF1500&gt;0),SUMIFS($AF$7:$AF$1576,$BU$7:$BU$1576,BU1500,$AI$7:$AI$1576,"&gt;"&amp;AI1500)+SUMIFS($AF$7:$AF$1576,$BU$7:$BU$1576,BU1500,$AI$7:$AI$1576,AI1500,$BO$7:$BO$1576,"&lt;="&amp;BO1500),"")</f>
        <v/>
      </c>
      <c r="AK1500" s="65" t="n">
        <f aca="false">IF(AJ1500="",0,MAX(0,MIN(1,(IF(BU1500="L1",Parameter!$E$5,Parameter!$E$6+Parameter!$E$7)-(AJ1500-AF1500))/AF1500)))</f>
        <v>0</v>
      </c>
      <c r="AL1500" s="57" t="n">
        <f aca="false">IF(LEFT(Cockpit!$I$5,1)="A",G1500,IF(BW1500=1,BX1500,IF(LEFT(Cockpit!$I$5,1)="B",AP1500,MAX(AP1500,G1500))))</f>
        <v>0</v>
      </c>
      <c r="AM1500" s="57" t="n">
        <f aca="false">IF(BR1500=1,0,ROUNDUP(AL1500/BQ1500,0))</f>
        <v>0</v>
      </c>
      <c r="AN1500" s="59" t="n">
        <f aca="false">IF(CD1500&gt;0,CD1500*MAX(1,AL1500/V1500),IF(BR1500=1,IF(AL1500&lt;=0,0,BS1500*MAX(1,IF(G1500&gt;0,AL1500/G1500,1))),IF(Q1500&gt;0,AM1500/Q1500,0))/MAX(0.1,N(Parameter!$M$21)))</f>
        <v>0</v>
      </c>
      <c r="AO1500" s="57" t="n">
        <f aca="false">AL1500*F1500</f>
        <v>0</v>
      </c>
      <c r="AP1500" s="57" t="n">
        <f aca="false">ROUNDUP(MAX(I1500/IF(BV1500&gt;0,BV1500,MAX(0.1,N(Cockpit!$I$6))),BY1500)/BQ1500,0)*BQ1500</f>
        <v>0</v>
      </c>
      <c r="AQ1500" s="58" t="n">
        <f aca="false">IF(AN1500&gt;0,I1500/AN1500,-1)</f>
        <v>-1</v>
      </c>
      <c r="AR1500" s="58" t="str">
        <f aca="false">IF(AND(OR(BU1500="L1",BU1500="L23"),AN1500&gt;0),SUMIFS($AN$7:$AN$1576,$BU$7:$BU$1576,BU1500,$AQ$7:$AQ$1576,"&gt;"&amp;AQ1500)+SUMIFS($AN$7:$AN$1576,$BU$7:$BU$1576,BU1500,$AQ$7:$AQ$1576,AQ1500,$BO$7:$BO$1576,"&lt;="&amp;BO1500),"")</f>
        <v/>
      </c>
      <c r="AS1500" s="65" t="n">
        <f aca="false">IF(AR1500="",0,MAX(0,MIN(1,(IF(BU1500="L1",Parameter!$E$5,Parameter!$E$6+Parameter!$E$7)-(AR1500-AN1500))/AN1500)))</f>
        <v>0</v>
      </c>
      <c r="AT1500" s="57" t="n">
        <f aca="false">IF(LEFT(Cockpit!$O$5,1)="A",G1500,IF(BW1500=1,BX1500,IF(LEFT(Cockpit!$O$5,1)="B",AX1500,MAX(AX1500,G1500))))</f>
        <v>0</v>
      </c>
      <c r="AU1500" s="57" t="n">
        <f aca="false">IF(BR1500=1,0,ROUNDUP(AT1500/BQ1500,0))</f>
        <v>0</v>
      </c>
      <c r="AV1500" s="59" t="n">
        <f aca="false">IF(CD1500&gt;0,CD1500*MAX(1,AT1500/V1500),IF(BR1500=1,IF(AT1500&lt;=0,0,BS1500*MAX(1,IF(G1500&gt;0,AT1500/G1500,1))),IF(Q1500&gt;0,AU1500/Q1500,0))/MAX(0.1,N(Parameter!$M$21)))</f>
        <v>0</v>
      </c>
      <c r="AW1500" s="57" t="n">
        <f aca="false">AT1500*F1500</f>
        <v>0</v>
      </c>
      <c r="AX1500" s="57" t="n">
        <f aca="false">ROUNDUP(MAX(I1500/IF(BV1500&gt;0,BV1500,MAX(0.1,N(Cockpit!$O$6))),BY1500)/BQ1500,0)*BQ1500</f>
        <v>0</v>
      </c>
      <c r="AY1500" s="58" t="n">
        <f aca="false">IF(AV1500&gt;0,I1500/AV1500,-1)</f>
        <v>-1</v>
      </c>
      <c r="AZ1500" s="58" t="str">
        <f aca="false">IF(AND(OR(BU1500="L1",BU1500="L23"),AV1500&gt;0),SUMIFS($AV$7:$AV$1576,$BU$7:$BU$1576,BU1500,$AY$7:$AY$1576,"&gt;"&amp;AY1500)+SUMIFS($AV$7:$AV$1576,$BU$7:$BU$1576,BU1500,$AY$7:$AY$1576,AY1500,$BO$7:$BO$1576,"&lt;="&amp;BO1500),"")</f>
        <v/>
      </c>
      <c r="BA1500" s="65" t="n">
        <f aca="false">IF(AZ1500="",0,MAX(0,MIN(1,(IF(BU1500="L1",Parameter!$E$5,Parameter!$E$6+Parameter!$E$7)-(AZ1500-AV1500))/AV1500)))</f>
        <v>0</v>
      </c>
      <c r="BB1500" s="55" t="str">
        <f aca="false">IF(AF1500&lt;=0,"",IF(BU1500="Aussen","Aussenlager",IF(BU1500="-","Nicht im Lift",IF(AK1500&gt;=1,"Lift",IF(AK1500&lt;=0,"Aussenlager","teilweise")))))</f>
        <v/>
      </c>
      <c r="BC1500" s="55" t="str">
        <f aca="false">IF(AN1500&lt;=0,"",IF(BU1500="Aussen","Aussenlager",IF(BU1500="-","Nicht im Lift",IF(AS1500&gt;=1,"Lift",IF(AS1500&lt;=0,"Aussenlager","teilweise")))))</f>
        <v/>
      </c>
      <c r="BD1500" s="55" t="str">
        <f aca="false">IF(AV1500&lt;=0,"",IF(BU1500="Aussen","Aussenlager",IF(BU1500="-","Nicht im Lift",IF(BA1500&gt;=1,"Lift",IF(BA1500&lt;=0,"Aussenlager","teilweise")))))</f>
        <v/>
      </c>
      <c r="BE1500" s="55" t="str">
        <f aca="false">IF(A1500="","",IF(BN1500=1,"Neu; ","")&amp;IF(AND(BN1500=0,BI1500&lt;0),"negativer Bestand (Export "&amp;BI1500&amp;"); ","")&amp;IF(I1500&lt;=0,"Kein Verbrauch; ","")&amp;IF(CD1500&gt;0,"Lift "&amp;U1500&amp;" lt. Liftbericht (Fach "&amp;V1500&amp;" Stk); ",IF(BR1500=1,"Lose – Fläche geschätzt; ",""))&amp;IF(G1500&gt;AP1500,"Überbestand "&amp;ROUND(G1500-AP1500,0)&amp;" Stk / CHF "&amp;ROUND((G1500-AP1500)*F1500,0)&amp;"; ","")&amp;IF(AND(BW1500=1,BX1500&lt;BY1500),"MAX &lt; MB+LG; ","")&amp;IF(AND(CC1500&gt;0,CB1500*10&gt;CC1500),"zu hoch für Tablar; ","")&amp;IF(AND(BN1500=0,OR(BW1500=1,Y1500&lt;&gt;"",S1500&lt;&gt;"",T1500&lt;&gt;"",Z1500&lt;&gt;"")),"manuell übersteuert; ","")&amp;IF(AND(BR1500=0,Q1500=0),"Gebinde unbekannt / Stellmass fehlt; ","")&amp;IF(AND(BR1500=0,N(T1500)&lt;=0,N(P1500)&lt;=0),"Menge pro Gebinde fehlt (Ist = 1 Gebinde); ","")&amp;BM1500)</f>
        <v/>
      </c>
      <c r="BF1500" s="55"/>
      <c r="BG1500" s="55"/>
      <c r="BH1500" s="62"/>
      <c r="BI1500" s="57" t="n">
        <f aca="false">N('Neue Artikel'!$D$28)</f>
        <v>0</v>
      </c>
      <c r="BJ1500" s="57" t="n">
        <v>0</v>
      </c>
      <c r="BK1500" s="56" t="n">
        <v>0</v>
      </c>
      <c r="BL1500" s="57" t="n">
        <f aca="false">N('Neue Artikel'!$C$28)/Parameter!$B$18</f>
        <v>0</v>
      </c>
      <c r="BM1500" s="55"/>
      <c r="BN1500" s="60" t="n">
        <v>1</v>
      </c>
      <c r="BO1500" s="60" t="n">
        <v>1500</v>
      </c>
      <c r="BP1500" s="55" t="str">
        <f aca="false">IF(S1500&lt;&gt;"",UPPER(TRIM(S1500)),IF(O1500="","LOSE",O1500))</f>
        <v>LOSE</v>
      </c>
      <c r="BQ1500" s="57" t="n">
        <f aca="false">IF(BP1500="LOSE",1,IF(N(T1500)&gt;0,T1500,IF(N(P1500)&gt;0,P1500,MAX(1,G1500))))</f>
        <v>1</v>
      </c>
      <c r="BR1500" s="60" t="n">
        <f aca="false">IF(BP1500="LOSE",1,0)</f>
        <v>1</v>
      </c>
      <c r="BS1500" s="59" t="n">
        <f aca="false">IF(BR1500=0,0,IF(N(R1500)&gt;0,R1500,IFERROR(VLOOKUP(D1500,Parameter!$A$35:$C$64,3,0)+0,0)))</f>
        <v>0.15</v>
      </c>
      <c r="BT1500" s="55" t="str">
        <f aca="false">IF(Y1500&lt;&gt;"",Y1500,X1500)</f>
        <v/>
      </c>
      <c r="BU1500" s="55" t="str">
        <f aca="false">IF(BT1500=1,"L1",IF(OR(BT1500=2,BT1500=3),"L23",IF(BT1500="Aussen","Aussen","-")))</f>
        <v>-</v>
      </c>
      <c r="BV1500" s="66" t="n">
        <f aca="false">IF(N(Z1500)&gt;0,Z1500,0)</f>
        <v>0</v>
      </c>
      <c r="BW1500" s="60" t="n">
        <f aca="false">IF(ISNUMBER(AC1500),1,0)</f>
        <v>0</v>
      </c>
      <c r="BX1500" s="57" t="n">
        <f aca="false">N(AC1500)</f>
        <v>0</v>
      </c>
      <c r="BY1500" s="57" t="n">
        <f aca="false">N(L1500)+N(M1500)</f>
        <v>0</v>
      </c>
      <c r="BZ1500" s="57" t="n">
        <f aca="false">ROUNDUP(G1500/BQ1500,0)</f>
        <v>0</v>
      </c>
      <c r="CA1500" s="57" t="n">
        <f aca="false">ROUNDUP(BX1500/BQ1500,0)</f>
        <v>0</v>
      </c>
      <c r="CB1500" s="60" t="n">
        <f aca="false">IF(BR1500=1,0,IFERROR(VLOOKUP(BP1500,'Gebinde-Kategorie'!$A$5:$M$45,5,0)+0,0))</f>
        <v>0</v>
      </c>
      <c r="CC1500" s="60" t="n">
        <f aca="false">IFERROR(IF(OR(BT1500=1,BT1500=2,BT1500=3),N(INDEX(Parameter!$I$5:$I$7,BT1500)),0),0)</f>
        <v>0</v>
      </c>
      <c r="CD1500" s="59" t="n">
        <f aca="false">IF(AND(Parameter!$B$21="Ja",ISNUMBER(U1500),N(V1500)&gt;0),IFERROR(N(INDEX(Parameter!$L$5:$L$7,U1500))*INDEX(Parameter!$E$5:$E$7,U1500)*V1500/SUMIFS($V$7:$V$1576,$U$7:$U$1576,U1500),0),0)</f>
        <v>0</v>
      </c>
    </row>
    <row r="1501" customFormat="false" ht="15" hidden="false" customHeight="false" outlineLevel="0" collapsed="false">
      <c r="A1501" s="55" t="str">
        <f aca="false">IF('Neue Artikel'!$A$29="","",'Neue Artikel'!$A$29&amp;"")</f>
        <v/>
      </c>
      <c r="B1501" s="55" t="str">
        <f aca="false">'Neue Artikel'!$B$29&amp;""</f>
        <v/>
      </c>
      <c r="C1501" s="55"/>
      <c r="D1501" s="55" t="s">
        <v>2561</v>
      </c>
      <c r="E1501" s="55"/>
      <c r="F1501" s="56" t="n">
        <f aca="false">N('Neue Artikel'!$G$29)</f>
        <v>0</v>
      </c>
      <c r="G1501" s="57" t="n">
        <f aca="false">MAX(0,IF(AND(Parameter!$B$21="Ja",ISNUMBER(W1501)),W1501,IF(Parameter!$B$20="Jahresanfang 2025 + Export",BJ1501+BI1501,BI1501)))</f>
        <v>0</v>
      </c>
      <c r="H1501" s="57" t="n">
        <f aca="false">G1501*F1501</f>
        <v>0</v>
      </c>
      <c r="I1501" s="57" t="n">
        <f aca="false">BL1501*Parameter!$B$18</f>
        <v>0</v>
      </c>
      <c r="J1501" s="58"/>
      <c r="K1501" s="59"/>
      <c r="L1501" s="57" t="n">
        <f aca="false">N('Neue Artikel'!$E$29)</f>
        <v>0</v>
      </c>
      <c r="M1501" s="57" t="n">
        <f aca="false">N('Neue Artikel'!$F$29)</f>
        <v>0</v>
      </c>
      <c r="N1501" s="60"/>
      <c r="O1501" s="55" t="str">
        <f aca="false">IF('Neue Artikel'!$H$29="","LOSE",UPPER(TRIM('Neue Artikel'!$H$29)))</f>
        <v>LOSE</v>
      </c>
      <c r="P1501" s="57" t="n">
        <f aca="false">N('Neue Artikel'!$I$29)</f>
        <v>0</v>
      </c>
      <c r="Q1501" s="60" t="n">
        <f aca="false">IF(BR1501=1,0,IFERROR(VLOOKUP(BP1501,'Gebinde-Kategorie'!$A$5:$M$45,13,0)+0,0))</f>
        <v>0</v>
      </c>
      <c r="R1501" s="61"/>
      <c r="S1501" s="62"/>
      <c r="T1501" s="62"/>
      <c r="U1501" s="55"/>
      <c r="V1501" s="57"/>
      <c r="W1501" s="57"/>
      <c r="X1501" s="55" t="str">
        <f aca="false">IF(A1501="","",IF(AND(Parameter!$B$21="Ja",ISNUMBER(U1501)),U1501,IF(IFERROR(VLOOKUP(D1501,Parameter!$A$35:$C$64,2,0),"Nein")="2+3",IF(ISNUMBER(SEARCH("grosser Artikel",BM1501)),2,IFERROR(VLOOKUP(BP1501,Parameter!$F$35:$G$64,2,0),2)),IF(OR(IFERROR(VLOOKUP(D1501,Parameter!$A$35:$C$64,2,0),"Nein")="Nein",IFERROR(VLOOKUP(D1501,Parameter!$A$35:$C$64,2,0),"Nein")=""),"-",VLOOKUP(D1501,Parameter!$A$35:$C$64,2,0)))))</f>
        <v/>
      </c>
      <c r="Y1501" s="55" t="str">
        <f aca="false">IF('Neue Artikel'!$J$29="","",'Neue Artikel'!$J$29)</f>
        <v/>
      </c>
      <c r="Z1501" s="63"/>
      <c r="AA1501" s="57" t="n">
        <f aca="false">AP1501</f>
        <v>0</v>
      </c>
      <c r="AB1501" s="57" t="n">
        <f aca="false">MAX(AP1501,G1501)</f>
        <v>0</v>
      </c>
      <c r="AC1501" s="64"/>
      <c r="AD1501" s="57" t="n">
        <f aca="false">IF(LEFT(Cockpit!$C$5,1)="A",G1501,IF(BW1501=1,BX1501,IF(LEFT(Cockpit!$C$5,1)="B",AH1501,MAX(AH1501,G1501))))</f>
        <v>0</v>
      </c>
      <c r="AE1501" s="57" t="n">
        <f aca="false">IF(BR1501=1,0,ROUNDUP(AD1501/BQ1501,0))</f>
        <v>0</v>
      </c>
      <c r="AF1501" s="59" t="n">
        <f aca="false">IF(CD1501&gt;0,CD1501*MAX(1,AD1501/V1501),IF(BR1501=1,IF(AD1501&lt;=0,0,BS1501*MAX(1,IF(G1501&gt;0,AD1501/G1501,1))),IF(Q1501&gt;0,AE1501/Q1501,0))/MAX(0.1,N(Parameter!$M$21)))</f>
        <v>0</v>
      </c>
      <c r="AG1501" s="57" t="n">
        <f aca="false">AD1501*F1501</f>
        <v>0</v>
      </c>
      <c r="AH1501" s="57" t="n">
        <f aca="false">ROUNDUP(MAX(I1501/IF(BV1501&gt;0,BV1501,MAX(0.1,N(Cockpit!$C$6))),BY1501)/BQ1501,0)*BQ1501</f>
        <v>0</v>
      </c>
      <c r="AI1501" s="58" t="n">
        <f aca="false">IF(AF1501&gt;0,I1501/AF1501,-1)</f>
        <v>-1</v>
      </c>
      <c r="AJ1501" s="58" t="str">
        <f aca="false">IF(AND(OR(BU1501="L1",BU1501="L23"),AF1501&gt;0),SUMIFS($AF$7:$AF$1576,$BU$7:$BU$1576,BU1501,$AI$7:$AI$1576,"&gt;"&amp;AI1501)+SUMIFS($AF$7:$AF$1576,$BU$7:$BU$1576,BU1501,$AI$7:$AI$1576,AI1501,$BO$7:$BO$1576,"&lt;="&amp;BO1501),"")</f>
        <v/>
      </c>
      <c r="AK1501" s="65" t="n">
        <f aca="false">IF(AJ1501="",0,MAX(0,MIN(1,(IF(BU1501="L1",Parameter!$E$5,Parameter!$E$6+Parameter!$E$7)-(AJ1501-AF1501))/AF1501)))</f>
        <v>0</v>
      </c>
      <c r="AL1501" s="57" t="n">
        <f aca="false">IF(LEFT(Cockpit!$I$5,1)="A",G1501,IF(BW1501=1,BX1501,IF(LEFT(Cockpit!$I$5,1)="B",AP1501,MAX(AP1501,G1501))))</f>
        <v>0</v>
      </c>
      <c r="AM1501" s="57" t="n">
        <f aca="false">IF(BR1501=1,0,ROUNDUP(AL1501/BQ1501,0))</f>
        <v>0</v>
      </c>
      <c r="AN1501" s="59" t="n">
        <f aca="false">IF(CD1501&gt;0,CD1501*MAX(1,AL1501/V1501),IF(BR1501=1,IF(AL1501&lt;=0,0,BS1501*MAX(1,IF(G1501&gt;0,AL1501/G1501,1))),IF(Q1501&gt;0,AM1501/Q1501,0))/MAX(0.1,N(Parameter!$M$21)))</f>
        <v>0</v>
      </c>
      <c r="AO1501" s="57" t="n">
        <f aca="false">AL1501*F1501</f>
        <v>0</v>
      </c>
      <c r="AP1501" s="57" t="n">
        <f aca="false">ROUNDUP(MAX(I1501/IF(BV1501&gt;0,BV1501,MAX(0.1,N(Cockpit!$I$6))),BY1501)/BQ1501,0)*BQ1501</f>
        <v>0</v>
      </c>
      <c r="AQ1501" s="58" t="n">
        <f aca="false">IF(AN1501&gt;0,I1501/AN1501,-1)</f>
        <v>-1</v>
      </c>
      <c r="AR1501" s="58" t="str">
        <f aca="false">IF(AND(OR(BU1501="L1",BU1501="L23"),AN1501&gt;0),SUMIFS($AN$7:$AN$1576,$BU$7:$BU$1576,BU1501,$AQ$7:$AQ$1576,"&gt;"&amp;AQ1501)+SUMIFS($AN$7:$AN$1576,$BU$7:$BU$1576,BU1501,$AQ$7:$AQ$1576,AQ1501,$BO$7:$BO$1576,"&lt;="&amp;BO1501),"")</f>
        <v/>
      </c>
      <c r="AS1501" s="65" t="n">
        <f aca="false">IF(AR1501="",0,MAX(0,MIN(1,(IF(BU1501="L1",Parameter!$E$5,Parameter!$E$6+Parameter!$E$7)-(AR1501-AN1501))/AN1501)))</f>
        <v>0</v>
      </c>
      <c r="AT1501" s="57" t="n">
        <f aca="false">IF(LEFT(Cockpit!$O$5,1)="A",G1501,IF(BW1501=1,BX1501,IF(LEFT(Cockpit!$O$5,1)="B",AX1501,MAX(AX1501,G1501))))</f>
        <v>0</v>
      </c>
      <c r="AU1501" s="57" t="n">
        <f aca="false">IF(BR1501=1,0,ROUNDUP(AT1501/BQ1501,0))</f>
        <v>0</v>
      </c>
      <c r="AV1501" s="59" t="n">
        <f aca="false">IF(CD1501&gt;0,CD1501*MAX(1,AT1501/V1501),IF(BR1501=1,IF(AT1501&lt;=0,0,BS1501*MAX(1,IF(G1501&gt;0,AT1501/G1501,1))),IF(Q1501&gt;0,AU1501/Q1501,0))/MAX(0.1,N(Parameter!$M$21)))</f>
        <v>0</v>
      </c>
      <c r="AW1501" s="57" t="n">
        <f aca="false">AT1501*F1501</f>
        <v>0</v>
      </c>
      <c r="AX1501" s="57" t="n">
        <f aca="false">ROUNDUP(MAX(I1501/IF(BV1501&gt;0,BV1501,MAX(0.1,N(Cockpit!$O$6))),BY1501)/BQ1501,0)*BQ1501</f>
        <v>0</v>
      </c>
      <c r="AY1501" s="58" t="n">
        <f aca="false">IF(AV1501&gt;0,I1501/AV1501,-1)</f>
        <v>-1</v>
      </c>
      <c r="AZ1501" s="58" t="str">
        <f aca="false">IF(AND(OR(BU1501="L1",BU1501="L23"),AV1501&gt;0),SUMIFS($AV$7:$AV$1576,$BU$7:$BU$1576,BU1501,$AY$7:$AY$1576,"&gt;"&amp;AY1501)+SUMIFS($AV$7:$AV$1576,$BU$7:$BU$1576,BU1501,$AY$7:$AY$1576,AY1501,$BO$7:$BO$1576,"&lt;="&amp;BO1501),"")</f>
        <v/>
      </c>
      <c r="BA1501" s="65" t="n">
        <f aca="false">IF(AZ1501="",0,MAX(0,MIN(1,(IF(BU1501="L1",Parameter!$E$5,Parameter!$E$6+Parameter!$E$7)-(AZ1501-AV1501))/AV1501)))</f>
        <v>0</v>
      </c>
      <c r="BB1501" s="55" t="str">
        <f aca="false">IF(AF1501&lt;=0,"",IF(BU1501="Aussen","Aussenlager",IF(BU1501="-","Nicht im Lift",IF(AK1501&gt;=1,"Lift",IF(AK1501&lt;=0,"Aussenlager","teilweise")))))</f>
        <v/>
      </c>
      <c r="BC1501" s="55" t="str">
        <f aca="false">IF(AN1501&lt;=0,"",IF(BU1501="Aussen","Aussenlager",IF(BU1501="-","Nicht im Lift",IF(AS1501&gt;=1,"Lift",IF(AS1501&lt;=0,"Aussenlager","teilweise")))))</f>
        <v/>
      </c>
      <c r="BD1501" s="55" t="str">
        <f aca="false">IF(AV1501&lt;=0,"",IF(BU1501="Aussen","Aussenlager",IF(BU1501="-","Nicht im Lift",IF(BA1501&gt;=1,"Lift",IF(BA1501&lt;=0,"Aussenlager","teilweise")))))</f>
        <v/>
      </c>
      <c r="BE1501" s="55" t="str">
        <f aca="false">IF(A1501="","",IF(BN1501=1,"Neu; ","")&amp;IF(AND(BN1501=0,BI1501&lt;0),"negativer Bestand (Export "&amp;BI1501&amp;"); ","")&amp;IF(I1501&lt;=0,"Kein Verbrauch; ","")&amp;IF(CD1501&gt;0,"Lift "&amp;U1501&amp;" lt. Liftbericht (Fach "&amp;V1501&amp;" Stk); ",IF(BR1501=1,"Lose – Fläche geschätzt; ",""))&amp;IF(G1501&gt;AP1501,"Überbestand "&amp;ROUND(G1501-AP1501,0)&amp;" Stk / CHF "&amp;ROUND((G1501-AP1501)*F1501,0)&amp;"; ","")&amp;IF(AND(BW1501=1,BX1501&lt;BY1501),"MAX &lt; MB+LG; ","")&amp;IF(AND(CC1501&gt;0,CB1501*10&gt;CC1501),"zu hoch für Tablar; ","")&amp;IF(AND(BN1501=0,OR(BW1501=1,Y1501&lt;&gt;"",S1501&lt;&gt;"",T1501&lt;&gt;"",Z1501&lt;&gt;"")),"manuell übersteuert; ","")&amp;IF(AND(BR1501=0,Q1501=0),"Gebinde unbekannt / Stellmass fehlt; ","")&amp;IF(AND(BR1501=0,N(T1501)&lt;=0,N(P1501)&lt;=0),"Menge pro Gebinde fehlt (Ist = 1 Gebinde); ","")&amp;BM1501)</f>
        <v/>
      </c>
      <c r="BF1501" s="55"/>
      <c r="BG1501" s="55"/>
      <c r="BH1501" s="62"/>
      <c r="BI1501" s="57" t="n">
        <f aca="false">N('Neue Artikel'!$D$29)</f>
        <v>0</v>
      </c>
      <c r="BJ1501" s="57" t="n">
        <v>0</v>
      </c>
      <c r="BK1501" s="56" t="n">
        <v>0</v>
      </c>
      <c r="BL1501" s="57" t="n">
        <f aca="false">N('Neue Artikel'!$C$29)/Parameter!$B$18</f>
        <v>0</v>
      </c>
      <c r="BM1501" s="55"/>
      <c r="BN1501" s="60" t="n">
        <v>1</v>
      </c>
      <c r="BO1501" s="60" t="n">
        <v>1501</v>
      </c>
      <c r="BP1501" s="55" t="str">
        <f aca="false">IF(S1501&lt;&gt;"",UPPER(TRIM(S1501)),IF(O1501="","LOSE",O1501))</f>
        <v>LOSE</v>
      </c>
      <c r="BQ1501" s="57" t="n">
        <f aca="false">IF(BP1501="LOSE",1,IF(N(T1501)&gt;0,T1501,IF(N(P1501)&gt;0,P1501,MAX(1,G1501))))</f>
        <v>1</v>
      </c>
      <c r="BR1501" s="60" t="n">
        <f aca="false">IF(BP1501="LOSE",1,0)</f>
        <v>1</v>
      </c>
      <c r="BS1501" s="59" t="n">
        <f aca="false">IF(BR1501=0,0,IF(N(R1501)&gt;0,R1501,IFERROR(VLOOKUP(D1501,Parameter!$A$35:$C$64,3,0)+0,0)))</f>
        <v>0.15</v>
      </c>
      <c r="BT1501" s="55" t="str">
        <f aca="false">IF(Y1501&lt;&gt;"",Y1501,X1501)</f>
        <v/>
      </c>
      <c r="BU1501" s="55" t="str">
        <f aca="false">IF(BT1501=1,"L1",IF(OR(BT1501=2,BT1501=3),"L23",IF(BT1501="Aussen","Aussen","-")))</f>
        <v>-</v>
      </c>
      <c r="BV1501" s="66" t="n">
        <f aca="false">IF(N(Z1501)&gt;0,Z1501,0)</f>
        <v>0</v>
      </c>
      <c r="BW1501" s="60" t="n">
        <f aca="false">IF(ISNUMBER(AC1501),1,0)</f>
        <v>0</v>
      </c>
      <c r="BX1501" s="57" t="n">
        <f aca="false">N(AC1501)</f>
        <v>0</v>
      </c>
      <c r="BY1501" s="57" t="n">
        <f aca="false">N(L1501)+N(M1501)</f>
        <v>0</v>
      </c>
      <c r="BZ1501" s="57" t="n">
        <f aca="false">ROUNDUP(G1501/BQ1501,0)</f>
        <v>0</v>
      </c>
      <c r="CA1501" s="57" t="n">
        <f aca="false">ROUNDUP(BX1501/BQ1501,0)</f>
        <v>0</v>
      </c>
      <c r="CB1501" s="60" t="n">
        <f aca="false">IF(BR1501=1,0,IFERROR(VLOOKUP(BP1501,'Gebinde-Kategorie'!$A$5:$M$45,5,0)+0,0))</f>
        <v>0</v>
      </c>
      <c r="CC1501" s="60" t="n">
        <f aca="false">IFERROR(IF(OR(BT1501=1,BT1501=2,BT1501=3),N(INDEX(Parameter!$I$5:$I$7,BT1501)),0),0)</f>
        <v>0</v>
      </c>
      <c r="CD1501" s="59" t="n">
        <f aca="false">IF(AND(Parameter!$B$21="Ja",ISNUMBER(U1501),N(V1501)&gt;0),IFERROR(N(INDEX(Parameter!$L$5:$L$7,U1501))*INDEX(Parameter!$E$5:$E$7,U1501)*V1501/SUMIFS($V$7:$V$1576,$U$7:$U$1576,U1501),0),0)</f>
        <v>0</v>
      </c>
    </row>
    <row r="1502" customFormat="false" ht="15" hidden="false" customHeight="false" outlineLevel="0" collapsed="false">
      <c r="A1502" s="55" t="str">
        <f aca="false">IF('Neue Artikel'!$A$30="","",'Neue Artikel'!$A$30&amp;"")</f>
        <v/>
      </c>
      <c r="B1502" s="55" t="str">
        <f aca="false">'Neue Artikel'!$B$30&amp;""</f>
        <v/>
      </c>
      <c r="C1502" s="55"/>
      <c r="D1502" s="55" t="s">
        <v>2561</v>
      </c>
      <c r="E1502" s="55"/>
      <c r="F1502" s="56" t="n">
        <f aca="false">N('Neue Artikel'!$G$30)</f>
        <v>0</v>
      </c>
      <c r="G1502" s="57" t="n">
        <f aca="false">MAX(0,IF(AND(Parameter!$B$21="Ja",ISNUMBER(W1502)),W1502,IF(Parameter!$B$20="Jahresanfang 2025 + Export",BJ1502+BI1502,BI1502)))</f>
        <v>0</v>
      </c>
      <c r="H1502" s="57" t="n">
        <f aca="false">G1502*F1502</f>
        <v>0</v>
      </c>
      <c r="I1502" s="57" t="n">
        <f aca="false">BL1502*Parameter!$B$18</f>
        <v>0</v>
      </c>
      <c r="J1502" s="58"/>
      <c r="K1502" s="59"/>
      <c r="L1502" s="57" t="n">
        <f aca="false">N('Neue Artikel'!$E$30)</f>
        <v>0</v>
      </c>
      <c r="M1502" s="57" t="n">
        <f aca="false">N('Neue Artikel'!$F$30)</f>
        <v>0</v>
      </c>
      <c r="N1502" s="60"/>
      <c r="O1502" s="55" t="str">
        <f aca="false">IF('Neue Artikel'!$H$30="","LOSE",UPPER(TRIM('Neue Artikel'!$H$30)))</f>
        <v>LOSE</v>
      </c>
      <c r="P1502" s="57" t="n">
        <f aca="false">N('Neue Artikel'!$I$30)</f>
        <v>0</v>
      </c>
      <c r="Q1502" s="60" t="n">
        <f aca="false">IF(BR1502=1,0,IFERROR(VLOOKUP(BP1502,'Gebinde-Kategorie'!$A$5:$M$45,13,0)+0,0))</f>
        <v>0</v>
      </c>
      <c r="R1502" s="61"/>
      <c r="S1502" s="62"/>
      <c r="T1502" s="62"/>
      <c r="U1502" s="55"/>
      <c r="V1502" s="57"/>
      <c r="W1502" s="57"/>
      <c r="X1502" s="55" t="str">
        <f aca="false">IF(A1502="","",IF(AND(Parameter!$B$21="Ja",ISNUMBER(U1502)),U1502,IF(IFERROR(VLOOKUP(D1502,Parameter!$A$35:$C$64,2,0),"Nein")="2+3",IF(ISNUMBER(SEARCH("grosser Artikel",BM1502)),2,IFERROR(VLOOKUP(BP1502,Parameter!$F$35:$G$64,2,0),2)),IF(OR(IFERROR(VLOOKUP(D1502,Parameter!$A$35:$C$64,2,0),"Nein")="Nein",IFERROR(VLOOKUP(D1502,Parameter!$A$35:$C$64,2,0),"Nein")=""),"-",VLOOKUP(D1502,Parameter!$A$35:$C$64,2,0)))))</f>
        <v/>
      </c>
      <c r="Y1502" s="55" t="str">
        <f aca="false">IF('Neue Artikel'!$J$30="","",'Neue Artikel'!$J$30)</f>
        <v/>
      </c>
      <c r="Z1502" s="63"/>
      <c r="AA1502" s="57" t="n">
        <f aca="false">AP1502</f>
        <v>0</v>
      </c>
      <c r="AB1502" s="57" t="n">
        <f aca="false">MAX(AP1502,G1502)</f>
        <v>0</v>
      </c>
      <c r="AC1502" s="64"/>
      <c r="AD1502" s="57" t="n">
        <f aca="false">IF(LEFT(Cockpit!$C$5,1)="A",G1502,IF(BW1502=1,BX1502,IF(LEFT(Cockpit!$C$5,1)="B",AH1502,MAX(AH1502,G1502))))</f>
        <v>0</v>
      </c>
      <c r="AE1502" s="57" t="n">
        <f aca="false">IF(BR1502=1,0,ROUNDUP(AD1502/BQ1502,0))</f>
        <v>0</v>
      </c>
      <c r="AF1502" s="59" t="n">
        <f aca="false">IF(CD1502&gt;0,CD1502*MAX(1,AD1502/V1502),IF(BR1502=1,IF(AD1502&lt;=0,0,BS1502*MAX(1,IF(G1502&gt;0,AD1502/G1502,1))),IF(Q1502&gt;0,AE1502/Q1502,0))/MAX(0.1,N(Parameter!$M$21)))</f>
        <v>0</v>
      </c>
      <c r="AG1502" s="57" t="n">
        <f aca="false">AD1502*F1502</f>
        <v>0</v>
      </c>
      <c r="AH1502" s="57" t="n">
        <f aca="false">ROUNDUP(MAX(I1502/IF(BV1502&gt;0,BV1502,MAX(0.1,N(Cockpit!$C$6))),BY1502)/BQ1502,0)*BQ1502</f>
        <v>0</v>
      </c>
      <c r="AI1502" s="58" t="n">
        <f aca="false">IF(AF1502&gt;0,I1502/AF1502,-1)</f>
        <v>-1</v>
      </c>
      <c r="AJ1502" s="58" t="str">
        <f aca="false">IF(AND(OR(BU1502="L1",BU1502="L23"),AF1502&gt;0),SUMIFS($AF$7:$AF$1576,$BU$7:$BU$1576,BU1502,$AI$7:$AI$1576,"&gt;"&amp;AI1502)+SUMIFS($AF$7:$AF$1576,$BU$7:$BU$1576,BU1502,$AI$7:$AI$1576,AI1502,$BO$7:$BO$1576,"&lt;="&amp;BO1502),"")</f>
        <v/>
      </c>
      <c r="AK1502" s="65" t="n">
        <f aca="false">IF(AJ1502="",0,MAX(0,MIN(1,(IF(BU1502="L1",Parameter!$E$5,Parameter!$E$6+Parameter!$E$7)-(AJ1502-AF1502))/AF1502)))</f>
        <v>0</v>
      </c>
      <c r="AL1502" s="57" t="n">
        <f aca="false">IF(LEFT(Cockpit!$I$5,1)="A",G1502,IF(BW1502=1,BX1502,IF(LEFT(Cockpit!$I$5,1)="B",AP1502,MAX(AP1502,G1502))))</f>
        <v>0</v>
      </c>
      <c r="AM1502" s="57" t="n">
        <f aca="false">IF(BR1502=1,0,ROUNDUP(AL1502/BQ1502,0))</f>
        <v>0</v>
      </c>
      <c r="AN1502" s="59" t="n">
        <f aca="false">IF(CD1502&gt;0,CD1502*MAX(1,AL1502/V1502),IF(BR1502=1,IF(AL1502&lt;=0,0,BS1502*MAX(1,IF(G1502&gt;0,AL1502/G1502,1))),IF(Q1502&gt;0,AM1502/Q1502,0))/MAX(0.1,N(Parameter!$M$21)))</f>
        <v>0</v>
      </c>
      <c r="AO1502" s="57" t="n">
        <f aca="false">AL1502*F1502</f>
        <v>0</v>
      </c>
      <c r="AP1502" s="57" t="n">
        <f aca="false">ROUNDUP(MAX(I1502/IF(BV1502&gt;0,BV1502,MAX(0.1,N(Cockpit!$I$6))),BY1502)/BQ1502,0)*BQ1502</f>
        <v>0</v>
      </c>
      <c r="AQ1502" s="58" t="n">
        <f aca="false">IF(AN1502&gt;0,I1502/AN1502,-1)</f>
        <v>-1</v>
      </c>
      <c r="AR1502" s="58" t="str">
        <f aca="false">IF(AND(OR(BU1502="L1",BU1502="L23"),AN1502&gt;0),SUMIFS($AN$7:$AN$1576,$BU$7:$BU$1576,BU1502,$AQ$7:$AQ$1576,"&gt;"&amp;AQ1502)+SUMIFS($AN$7:$AN$1576,$BU$7:$BU$1576,BU1502,$AQ$7:$AQ$1576,AQ1502,$BO$7:$BO$1576,"&lt;="&amp;BO1502),"")</f>
        <v/>
      </c>
      <c r="AS1502" s="65" t="n">
        <f aca="false">IF(AR1502="",0,MAX(0,MIN(1,(IF(BU1502="L1",Parameter!$E$5,Parameter!$E$6+Parameter!$E$7)-(AR1502-AN1502))/AN1502)))</f>
        <v>0</v>
      </c>
      <c r="AT1502" s="57" t="n">
        <f aca="false">IF(LEFT(Cockpit!$O$5,1)="A",G1502,IF(BW1502=1,BX1502,IF(LEFT(Cockpit!$O$5,1)="B",AX1502,MAX(AX1502,G1502))))</f>
        <v>0</v>
      </c>
      <c r="AU1502" s="57" t="n">
        <f aca="false">IF(BR1502=1,0,ROUNDUP(AT1502/BQ1502,0))</f>
        <v>0</v>
      </c>
      <c r="AV1502" s="59" t="n">
        <f aca="false">IF(CD1502&gt;0,CD1502*MAX(1,AT1502/V1502),IF(BR1502=1,IF(AT1502&lt;=0,0,BS1502*MAX(1,IF(G1502&gt;0,AT1502/G1502,1))),IF(Q1502&gt;0,AU1502/Q1502,0))/MAX(0.1,N(Parameter!$M$21)))</f>
        <v>0</v>
      </c>
      <c r="AW1502" s="57" t="n">
        <f aca="false">AT1502*F1502</f>
        <v>0</v>
      </c>
      <c r="AX1502" s="57" t="n">
        <f aca="false">ROUNDUP(MAX(I1502/IF(BV1502&gt;0,BV1502,MAX(0.1,N(Cockpit!$O$6))),BY1502)/BQ1502,0)*BQ1502</f>
        <v>0</v>
      </c>
      <c r="AY1502" s="58" t="n">
        <f aca="false">IF(AV1502&gt;0,I1502/AV1502,-1)</f>
        <v>-1</v>
      </c>
      <c r="AZ1502" s="58" t="str">
        <f aca="false">IF(AND(OR(BU1502="L1",BU1502="L23"),AV1502&gt;0),SUMIFS($AV$7:$AV$1576,$BU$7:$BU$1576,BU1502,$AY$7:$AY$1576,"&gt;"&amp;AY1502)+SUMIFS($AV$7:$AV$1576,$BU$7:$BU$1576,BU1502,$AY$7:$AY$1576,AY1502,$BO$7:$BO$1576,"&lt;="&amp;BO1502),"")</f>
        <v/>
      </c>
      <c r="BA1502" s="65" t="n">
        <f aca="false">IF(AZ1502="",0,MAX(0,MIN(1,(IF(BU1502="L1",Parameter!$E$5,Parameter!$E$6+Parameter!$E$7)-(AZ1502-AV1502))/AV1502)))</f>
        <v>0</v>
      </c>
      <c r="BB1502" s="55" t="str">
        <f aca="false">IF(AF1502&lt;=0,"",IF(BU1502="Aussen","Aussenlager",IF(BU1502="-","Nicht im Lift",IF(AK1502&gt;=1,"Lift",IF(AK1502&lt;=0,"Aussenlager","teilweise")))))</f>
        <v/>
      </c>
      <c r="BC1502" s="55" t="str">
        <f aca="false">IF(AN1502&lt;=0,"",IF(BU1502="Aussen","Aussenlager",IF(BU1502="-","Nicht im Lift",IF(AS1502&gt;=1,"Lift",IF(AS1502&lt;=0,"Aussenlager","teilweise")))))</f>
        <v/>
      </c>
      <c r="BD1502" s="55" t="str">
        <f aca="false">IF(AV1502&lt;=0,"",IF(BU1502="Aussen","Aussenlager",IF(BU1502="-","Nicht im Lift",IF(BA1502&gt;=1,"Lift",IF(BA1502&lt;=0,"Aussenlager","teilweise")))))</f>
        <v/>
      </c>
      <c r="BE1502" s="55" t="str">
        <f aca="false">IF(A1502="","",IF(BN1502=1,"Neu; ","")&amp;IF(AND(BN1502=0,BI1502&lt;0),"negativer Bestand (Export "&amp;BI1502&amp;"); ","")&amp;IF(I1502&lt;=0,"Kein Verbrauch; ","")&amp;IF(CD1502&gt;0,"Lift "&amp;U1502&amp;" lt. Liftbericht (Fach "&amp;V1502&amp;" Stk); ",IF(BR1502=1,"Lose – Fläche geschätzt; ",""))&amp;IF(G1502&gt;AP1502,"Überbestand "&amp;ROUND(G1502-AP1502,0)&amp;" Stk / CHF "&amp;ROUND((G1502-AP1502)*F1502,0)&amp;"; ","")&amp;IF(AND(BW1502=1,BX1502&lt;BY1502),"MAX &lt; MB+LG; ","")&amp;IF(AND(CC1502&gt;0,CB1502*10&gt;CC1502),"zu hoch für Tablar; ","")&amp;IF(AND(BN1502=0,OR(BW1502=1,Y1502&lt;&gt;"",S1502&lt;&gt;"",T1502&lt;&gt;"",Z1502&lt;&gt;"")),"manuell übersteuert; ","")&amp;IF(AND(BR1502=0,Q1502=0),"Gebinde unbekannt / Stellmass fehlt; ","")&amp;IF(AND(BR1502=0,N(T1502)&lt;=0,N(P1502)&lt;=0),"Menge pro Gebinde fehlt (Ist = 1 Gebinde); ","")&amp;BM1502)</f>
        <v/>
      </c>
      <c r="BF1502" s="55"/>
      <c r="BG1502" s="55"/>
      <c r="BH1502" s="62"/>
      <c r="BI1502" s="57" t="n">
        <f aca="false">N('Neue Artikel'!$D$30)</f>
        <v>0</v>
      </c>
      <c r="BJ1502" s="57" t="n">
        <v>0</v>
      </c>
      <c r="BK1502" s="56" t="n">
        <v>0</v>
      </c>
      <c r="BL1502" s="57" t="n">
        <f aca="false">N('Neue Artikel'!$C$30)/Parameter!$B$18</f>
        <v>0</v>
      </c>
      <c r="BM1502" s="55"/>
      <c r="BN1502" s="60" t="n">
        <v>1</v>
      </c>
      <c r="BO1502" s="60" t="n">
        <v>1502</v>
      </c>
      <c r="BP1502" s="55" t="str">
        <f aca="false">IF(S1502&lt;&gt;"",UPPER(TRIM(S1502)),IF(O1502="","LOSE",O1502))</f>
        <v>LOSE</v>
      </c>
      <c r="BQ1502" s="57" t="n">
        <f aca="false">IF(BP1502="LOSE",1,IF(N(T1502)&gt;0,T1502,IF(N(P1502)&gt;0,P1502,MAX(1,G1502))))</f>
        <v>1</v>
      </c>
      <c r="BR1502" s="60" t="n">
        <f aca="false">IF(BP1502="LOSE",1,0)</f>
        <v>1</v>
      </c>
      <c r="BS1502" s="59" t="n">
        <f aca="false">IF(BR1502=0,0,IF(N(R1502)&gt;0,R1502,IFERROR(VLOOKUP(D1502,Parameter!$A$35:$C$64,3,0)+0,0)))</f>
        <v>0.15</v>
      </c>
      <c r="BT1502" s="55" t="str">
        <f aca="false">IF(Y1502&lt;&gt;"",Y1502,X1502)</f>
        <v/>
      </c>
      <c r="BU1502" s="55" t="str">
        <f aca="false">IF(BT1502=1,"L1",IF(OR(BT1502=2,BT1502=3),"L23",IF(BT1502="Aussen","Aussen","-")))</f>
        <v>-</v>
      </c>
      <c r="BV1502" s="66" t="n">
        <f aca="false">IF(N(Z1502)&gt;0,Z1502,0)</f>
        <v>0</v>
      </c>
      <c r="BW1502" s="60" t="n">
        <f aca="false">IF(ISNUMBER(AC1502),1,0)</f>
        <v>0</v>
      </c>
      <c r="BX1502" s="57" t="n">
        <f aca="false">N(AC1502)</f>
        <v>0</v>
      </c>
      <c r="BY1502" s="57" t="n">
        <f aca="false">N(L1502)+N(M1502)</f>
        <v>0</v>
      </c>
      <c r="BZ1502" s="57" t="n">
        <f aca="false">ROUNDUP(G1502/BQ1502,0)</f>
        <v>0</v>
      </c>
      <c r="CA1502" s="57" t="n">
        <f aca="false">ROUNDUP(BX1502/BQ1502,0)</f>
        <v>0</v>
      </c>
      <c r="CB1502" s="60" t="n">
        <f aca="false">IF(BR1502=1,0,IFERROR(VLOOKUP(BP1502,'Gebinde-Kategorie'!$A$5:$M$45,5,0)+0,0))</f>
        <v>0</v>
      </c>
      <c r="CC1502" s="60" t="n">
        <f aca="false">IFERROR(IF(OR(BT1502=1,BT1502=2,BT1502=3),N(INDEX(Parameter!$I$5:$I$7,BT1502)),0),0)</f>
        <v>0</v>
      </c>
      <c r="CD1502" s="59" t="n">
        <f aca="false">IF(AND(Parameter!$B$21="Ja",ISNUMBER(U1502),N(V1502)&gt;0),IFERROR(N(INDEX(Parameter!$L$5:$L$7,U1502))*INDEX(Parameter!$E$5:$E$7,U1502)*V1502/SUMIFS($V$7:$V$1576,$U$7:$U$1576,U1502),0),0)</f>
        <v>0</v>
      </c>
    </row>
    <row r="1503" customFormat="false" ht="15" hidden="false" customHeight="false" outlineLevel="0" collapsed="false">
      <c r="A1503" s="55" t="str">
        <f aca="false">IF('Neue Artikel'!$A$31="","",'Neue Artikel'!$A$31&amp;"")</f>
        <v/>
      </c>
      <c r="B1503" s="55" t="str">
        <f aca="false">'Neue Artikel'!$B$31&amp;""</f>
        <v/>
      </c>
      <c r="C1503" s="55"/>
      <c r="D1503" s="55" t="s">
        <v>2561</v>
      </c>
      <c r="E1503" s="55"/>
      <c r="F1503" s="56" t="n">
        <f aca="false">N('Neue Artikel'!$G$31)</f>
        <v>0</v>
      </c>
      <c r="G1503" s="57" t="n">
        <f aca="false">MAX(0,IF(AND(Parameter!$B$21="Ja",ISNUMBER(W1503)),W1503,IF(Parameter!$B$20="Jahresanfang 2025 + Export",BJ1503+BI1503,BI1503)))</f>
        <v>0</v>
      </c>
      <c r="H1503" s="57" t="n">
        <f aca="false">G1503*F1503</f>
        <v>0</v>
      </c>
      <c r="I1503" s="57" t="n">
        <f aca="false">BL1503*Parameter!$B$18</f>
        <v>0</v>
      </c>
      <c r="J1503" s="58"/>
      <c r="K1503" s="59"/>
      <c r="L1503" s="57" t="n">
        <f aca="false">N('Neue Artikel'!$E$31)</f>
        <v>0</v>
      </c>
      <c r="M1503" s="57" t="n">
        <f aca="false">N('Neue Artikel'!$F$31)</f>
        <v>0</v>
      </c>
      <c r="N1503" s="60"/>
      <c r="O1503" s="55" t="str">
        <f aca="false">IF('Neue Artikel'!$H$31="","LOSE",UPPER(TRIM('Neue Artikel'!$H$31)))</f>
        <v>LOSE</v>
      </c>
      <c r="P1503" s="57" t="n">
        <f aca="false">N('Neue Artikel'!$I$31)</f>
        <v>0</v>
      </c>
      <c r="Q1503" s="60" t="n">
        <f aca="false">IF(BR1503=1,0,IFERROR(VLOOKUP(BP1503,'Gebinde-Kategorie'!$A$5:$M$45,13,0)+0,0))</f>
        <v>0</v>
      </c>
      <c r="R1503" s="61"/>
      <c r="S1503" s="62"/>
      <c r="T1503" s="62"/>
      <c r="U1503" s="55"/>
      <c r="V1503" s="57"/>
      <c r="W1503" s="57"/>
      <c r="X1503" s="55" t="str">
        <f aca="false">IF(A1503="","",IF(AND(Parameter!$B$21="Ja",ISNUMBER(U1503)),U1503,IF(IFERROR(VLOOKUP(D1503,Parameter!$A$35:$C$64,2,0),"Nein")="2+3",IF(ISNUMBER(SEARCH("grosser Artikel",BM1503)),2,IFERROR(VLOOKUP(BP1503,Parameter!$F$35:$G$64,2,0),2)),IF(OR(IFERROR(VLOOKUP(D1503,Parameter!$A$35:$C$64,2,0),"Nein")="Nein",IFERROR(VLOOKUP(D1503,Parameter!$A$35:$C$64,2,0),"Nein")=""),"-",VLOOKUP(D1503,Parameter!$A$35:$C$64,2,0)))))</f>
        <v/>
      </c>
      <c r="Y1503" s="55" t="str">
        <f aca="false">IF('Neue Artikel'!$J$31="","",'Neue Artikel'!$J$31)</f>
        <v/>
      </c>
      <c r="Z1503" s="63"/>
      <c r="AA1503" s="57" t="n">
        <f aca="false">AP1503</f>
        <v>0</v>
      </c>
      <c r="AB1503" s="57" t="n">
        <f aca="false">MAX(AP1503,G1503)</f>
        <v>0</v>
      </c>
      <c r="AC1503" s="64"/>
      <c r="AD1503" s="57" t="n">
        <f aca="false">IF(LEFT(Cockpit!$C$5,1)="A",G1503,IF(BW1503=1,BX1503,IF(LEFT(Cockpit!$C$5,1)="B",AH1503,MAX(AH1503,G1503))))</f>
        <v>0</v>
      </c>
      <c r="AE1503" s="57" t="n">
        <f aca="false">IF(BR1503=1,0,ROUNDUP(AD1503/BQ1503,0))</f>
        <v>0</v>
      </c>
      <c r="AF1503" s="59" t="n">
        <f aca="false">IF(CD1503&gt;0,CD1503*MAX(1,AD1503/V1503),IF(BR1503=1,IF(AD1503&lt;=0,0,BS1503*MAX(1,IF(G1503&gt;0,AD1503/G1503,1))),IF(Q1503&gt;0,AE1503/Q1503,0))/MAX(0.1,N(Parameter!$M$21)))</f>
        <v>0</v>
      </c>
      <c r="AG1503" s="57" t="n">
        <f aca="false">AD1503*F1503</f>
        <v>0</v>
      </c>
      <c r="AH1503" s="57" t="n">
        <f aca="false">ROUNDUP(MAX(I1503/IF(BV1503&gt;0,BV1503,MAX(0.1,N(Cockpit!$C$6))),BY1503)/BQ1503,0)*BQ1503</f>
        <v>0</v>
      </c>
      <c r="AI1503" s="58" t="n">
        <f aca="false">IF(AF1503&gt;0,I1503/AF1503,-1)</f>
        <v>-1</v>
      </c>
      <c r="AJ1503" s="58" t="str">
        <f aca="false">IF(AND(OR(BU1503="L1",BU1503="L23"),AF1503&gt;0),SUMIFS($AF$7:$AF$1576,$BU$7:$BU$1576,BU1503,$AI$7:$AI$1576,"&gt;"&amp;AI1503)+SUMIFS($AF$7:$AF$1576,$BU$7:$BU$1576,BU1503,$AI$7:$AI$1576,AI1503,$BO$7:$BO$1576,"&lt;="&amp;BO1503),"")</f>
        <v/>
      </c>
      <c r="AK1503" s="65" t="n">
        <f aca="false">IF(AJ1503="",0,MAX(0,MIN(1,(IF(BU1503="L1",Parameter!$E$5,Parameter!$E$6+Parameter!$E$7)-(AJ1503-AF1503))/AF1503)))</f>
        <v>0</v>
      </c>
      <c r="AL1503" s="57" t="n">
        <f aca="false">IF(LEFT(Cockpit!$I$5,1)="A",G1503,IF(BW1503=1,BX1503,IF(LEFT(Cockpit!$I$5,1)="B",AP1503,MAX(AP1503,G1503))))</f>
        <v>0</v>
      </c>
      <c r="AM1503" s="57" t="n">
        <f aca="false">IF(BR1503=1,0,ROUNDUP(AL1503/BQ1503,0))</f>
        <v>0</v>
      </c>
      <c r="AN1503" s="59" t="n">
        <f aca="false">IF(CD1503&gt;0,CD1503*MAX(1,AL1503/V1503),IF(BR1503=1,IF(AL1503&lt;=0,0,BS1503*MAX(1,IF(G1503&gt;0,AL1503/G1503,1))),IF(Q1503&gt;0,AM1503/Q1503,0))/MAX(0.1,N(Parameter!$M$21)))</f>
        <v>0</v>
      </c>
      <c r="AO1503" s="57" t="n">
        <f aca="false">AL1503*F1503</f>
        <v>0</v>
      </c>
      <c r="AP1503" s="57" t="n">
        <f aca="false">ROUNDUP(MAX(I1503/IF(BV1503&gt;0,BV1503,MAX(0.1,N(Cockpit!$I$6))),BY1503)/BQ1503,0)*BQ1503</f>
        <v>0</v>
      </c>
      <c r="AQ1503" s="58" t="n">
        <f aca="false">IF(AN1503&gt;0,I1503/AN1503,-1)</f>
        <v>-1</v>
      </c>
      <c r="AR1503" s="58" t="str">
        <f aca="false">IF(AND(OR(BU1503="L1",BU1503="L23"),AN1503&gt;0),SUMIFS($AN$7:$AN$1576,$BU$7:$BU$1576,BU1503,$AQ$7:$AQ$1576,"&gt;"&amp;AQ1503)+SUMIFS($AN$7:$AN$1576,$BU$7:$BU$1576,BU1503,$AQ$7:$AQ$1576,AQ1503,$BO$7:$BO$1576,"&lt;="&amp;BO1503),"")</f>
        <v/>
      </c>
      <c r="AS1503" s="65" t="n">
        <f aca="false">IF(AR1503="",0,MAX(0,MIN(1,(IF(BU1503="L1",Parameter!$E$5,Parameter!$E$6+Parameter!$E$7)-(AR1503-AN1503))/AN1503)))</f>
        <v>0</v>
      </c>
      <c r="AT1503" s="57" t="n">
        <f aca="false">IF(LEFT(Cockpit!$O$5,1)="A",G1503,IF(BW1503=1,BX1503,IF(LEFT(Cockpit!$O$5,1)="B",AX1503,MAX(AX1503,G1503))))</f>
        <v>0</v>
      </c>
      <c r="AU1503" s="57" t="n">
        <f aca="false">IF(BR1503=1,0,ROUNDUP(AT1503/BQ1503,0))</f>
        <v>0</v>
      </c>
      <c r="AV1503" s="59" t="n">
        <f aca="false">IF(CD1503&gt;0,CD1503*MAX(1,AT1503/V1503),IF(BR1503=1,IF(AT1503&lt;=0,0,BS1503*MAX(1,IF(G1503&gt;0,AT1503/G1503,1))),IF(Q1503&gt;0,AU1503/Q1503,0))/MAX(0.1,N(Parameter!$M$21)))</f>
        <v>0</v>
      </c>
      <c r="AW1503" s="57" t="n">
        <f aca="false">AT1503*F1503</f>
        <v>0</v>
      </c>
      <c r="AX1503" s="57" t="n">
        <f aca="false">ROUNDUP(MAX(I1503/IF(BV1503&gt;0,BV1503,MAX(0.1,N(Cockpit!$O$6))),BY1503)/BQ1503,0)*BQ1503</f>
        <v>0</v>
      </c>
      <c r="AY1503" s="58" t="n">
        <f aca="false">IF(AV1503&gt;0,I1503/AV1503,-1)</f>
        <v>-1</v>
      </c>
      <c r="AZ1503" s="58" t="str">
        <f aca="false">IF(AND(OR(BU1503="L1",BU1503="L23"),AV1503&gt;0),SUMIFS($AV$7:$AV$1576,$BU$7:$BU$1576,BU1503,$AY$7:$AY$1576,"&gt;"&amp;AY1503)+SUMIFS($AV$7:$AV$1576,$BU$7:$BU$1576,BU1503,$AY$7:$AY$1576,AY1503,$BO$7:$BO$1576,"&lt;="&amp;BO1503),"")</f>
        <v/>
      </c>
      <c r="BA1503" s="65" t="n">
        <f aca="false">IF(AZ1503="",0,MAX(0,MIN(1,(IF(BU1503="L1",Parameter!$E$5,Parameter!$E$6+Parameter!$E$7)-(AZ1503-AV1503))/AV1503)))</f>
        <v>0</v>
      </c>
      <c r="BB1503" s="55" t="str">
        <f aca="false">IF(AF1503&lt;=0,"",IF(BU1503="Aussen","Aussenlager",IF(BU1503="-","Nicht im Lift",IF(AK1503&gt;=1,"Lift",IF(AK1503&lt;=0,"Aussenlager","teilweise")))))</f>
        <v/>
      </c>
      <c r="BC1503" s="55" t="str">
        <f aca="false">IF(AN1503&lt;=0,"",IF(BU1503="Aussen","Aussenlager",IF(BU1503="-","Nicht im Lift",IF(AS1503&gt;=1,"Lift",IF(AS1503&lt;=0,"Aussenlager","teilweise")))))</f>
        <v/>
      </c>
      <c r="BD1503" s="55" t="str">
        <f aca="false">IF(AV1503&lt;=0,"",IF(BU1503="Aussen","Aussenlager",IF(BU1503="-","Nicht im Lift",IF(BA1503&gt;=1,"Lift",IF(BA1503&lt;=0,"Aussenlager","teilweise")))))</f>
        <v/>
      </c>
      <c r="BE1503" s="55" t="str">
        <f aca="false">IF(A1503="","",IF(BN1503=1,"Neu; ","")&amp;IF(AND(BN1503=0,BI1503&lt;0),"negativer Bestand (Export "&amp;BI1503&amp;"); ","")&amp;IF(I1503&lt;=0,"Kein Verbrauch; ","")&amp;IF(CD1503&gt;0,"Lift "&amp;U1503&amp;" lt. Liftbericht (Fach "&amp;V1503&amp;" Stk); ",IF(BR1503=1,"Lose – Fläche geschätzt; ",""))&amp;IF(G1503&gt;AP1503,"Überbestand "&amp;ROUND(G1503-AP1503,0)&amp;" Stk / CHF "&amp;ROUND((G1503-AP1503)*F1503,0)&amp;"; ","")&amp;IF(AND(BW1503=1,BX1503&lt;BY1503),"MAX &lt; MB+LG; ","")&amp;IF(AND(CC1503&gt;0,CB1503*10&gt;CC1503),"zu hoch für Tablar; ","")&amp;IF(AND(BN1503=0,OR(BW1503=1,Y1503&lt;&gt;"",S1503&lt;&gt;"",T1503&lt;&gt;"",Z1503&lt;&gt;"")),"manuell übersteuert; ","")&amp;IF(AND(BR1503=0,Q1503=0),"Gebinde unbekannt / Stellmass fehlt; ","")&amp;IF(AND(BR1503=0,N(T1503)&lt;=0,N(P1503)&lt;=0),"Menge pro Gebinde fehlt (Ist = 1 Gebinde); ","")&amp;BM1503)</f>
        <v/>
      </c>
      <c r="BF1503" s="55"/>
      <c r="BG1503" s="55"/>
      <c r="BH1503" s="62"/>
      <c r="BI1503" s="57" t="n">
        <f aca="false">N('Neue Artikel'!$D$31)</f>
        <v>0</v>
      </c>
      <c r="BJ1503" s="57" t="n">
        <v>0</v>
      </c>
      <c r="BK1503" s="56" t="n">
        <v>0</v>
      </c>
      <c r="BL1503" s="57" t="n">
        <f aca="false">N('Neue Artikel'!$C$31)/Parameter!$B$18</f>
        <v>0</v>
      </c>
      <c r="BM1503" s="55"/>
      <c r="BN1503" s="60" t="n">
        <v>1</v>
      </c>
      <c r="BO1503" s="60" t="n">
        <v>1503</v>
      </c>
      <c r="BP1503" s="55" t="str">
        <f aca="false">IF(S1503&lt;&gt;"",UPPER(TRIM(S1503)),IF(O1503="","LOSE",O1503))</f>
        <v>LOSE</v>
      </c>
      <c r="BQ1503" s="57" t="n">
        <f aca="false">IF(BP1503="LOSE",1,IF(N(T1503)&gt;0,T1503,IF(N(P1503)&gt;0,P1503,MAX(1,G1503))))</f>
        <v>1</v>
      </c>
      <c r="BR1503" s="60" t="n">
        <f aca="false">IF(BP1503="LOSE",1,0)</f>
        <v>1</v>
      </c>
      <c r="BS1503" s="59" t="n">
        <f aca="false">IF(BR1503=0,0,IF(N(R1503)&gt;0,R1503,IFERROR(VLOOKUP(D1503,Parameter!$A$35:$C$64,3,0)+0,0)))</f>
        <v>0.15</v>
      </c>
      <c r="BT1503" s="55" t="str">
        <f aca="false">IF(Y1503&lt;&gt;"",Y1503,X1503)</f>
        <v/>
      </c>
      <c r="BU1503" s="55" t="str">
        <f aca="false">IF(BT1503=1,"L1",IF(OR(BT1503=2,BT1503=3),"L23",IF(BT1503="Aussen","Aussen","-")))</f>
        <v>-</v>
      </c>
      <c r="BV1503" s="66" t="n">
        <f aca="false">IF(N(Z1503)&gt;0,Z1503,0)</f>
        <v>0</v>
      </c>
      <c r="BW1503" s="60" t="n">
        <f aca="false">IF(ISNUMBER(AC1503),1,0)</f>
        <v>0</v>
      </c>
      <c r="BX1503" s="57" t="n">
        <f aca="false">N(AC1503)</f>
        <v>0</v>
      </c>
      <c r="BY1503" s="57" t="n">
        <f aca="false">N(L1503)+N(M1503)</f>
        <v>0</v>
      </c>
      <c r="BZ1503" s="57" t="n">
        <f aca="false">ROUNDUP(G1503/BQ1503,0)</f>
        <v>0</v>
      </c>
      <c r="CA1503" s="57" t="n">
        <f aca="false">ROUNDUP(BX1503/BQ1503,0)</f>
        <v>0</v>
      </c>
      <c r="CB1503" s="60" t="n">
        <f aca="false">IF(BR1503=1,0,IFERROR(VLOOKUP(BP1503,'Gebinde-Kategorie'!$A$5:$M$45,5,0)+0,0))</f>
        <v>0</v>
      </c>
      <c r="CC1503" s="60" t="n">
        <f aca="false">IFERROR(IF(OR(BT1503=1,BT1503=2,BT1503=3),N(INDEX(Parameter!$I$5:$I$7,BT1503)),0),0)</f>
        <v>0</v>
      </c>
      <c r="CD1503" s="59" t="n">
        <f aca="false">IF(AND(Parameter!$B$21="Ja",ISNUMBER(U1503),N(V1503)&gt;0),IFERROR(N(INDEX(Parameter!$L$5:$L$7,U1503))*INDEX(Parameter!$E$5:$E$7,U1503)*V1503/SUMIFS($V$7:$V$1576,$U$7:$U$1576,U1503),0),0)</f>
        <v>0</v>
      </c>
    </row>
    <row r="1504" customFormat="false" ht="15" hidden="false" customHeight="false" outlineLevel="0" collapsed="false">
      <c r="A1504" s="55" t="str">
        <f aca="false">IF('Neue Artikel'!$A$32="","",'Neue Artikel'!$A$32&amp;"")</f>
        <v/>
      </c>
      <c r="B1504" s="55" t="str">
        <f aca="false">'Neue Artikel'!$B$32&amp;""</f>
        <v/>
      </c>
      <c r="C1504" s="55"/>
      <c r="D1504" s="55" t="s">
        <v>2561</v>
      </c>
      <c r="E1504" s="55"/>
      <c r="F1504" s="56" t="n">
        <f aca="false">N('Neue Artikel'!$G$32)</f>
        <v>0</v>
      </c>
      <c r="G1504" s="57" t="n">
        <f aca="false">MAX(0,IF(AND(Parameter!$B$21="Ja",ISNUMBER(W1504)),W1504,IF(Parameter!$B$20="Jahresanfang 2025 + Export",BJ1504+BI1504,BI1504)))</f>
        <v>0</v>
      </c>
      <c r="H1504" s="57" t="n">
        <f aca="false">G1504*F1504</f>
        <v>0</v>
      </c>
      <c r="I1504" s="57" t="n">
        <f aca="false">BL1504*Parameter!$B$18</f>
        <v>0</v>
      </c>
      <c r="J1504" s="58"/>
      <c r="K1504" s="59"/>
      <c r="L1504" s="57" t="n">
        <f aca="false">N('Neue Artikel'!$E$32)</f>
        <v>0</v>
      </c>
      <c r="M1504" s="57" t="n">
        <f aca="false">N('Neue Artikel'!$F$32)</f>
        <v>0</v>
      </c>
      <c r="N1504" s="60"/>
      <c r="O1504" s="55" t="str">
        <f aca="false">IF('Neue Artikel'!$H$32="","LOSE",UPPER(TRIM('Neue Artikel'!$H$32)))</f>
        <v>LOSE</v>
      </c>
      <c r="P1504" s="57" t="n">
        <f aca="false">N('Neue Artikel'!$I$32)</f>
        <v>0</v>
      </c>
      <c r="Q1504" s="60" t="n">
        <f aca="false">IF(BR1504=1,0,IFERROR(VLOOKUP(BP1504,'Gebinde-Kategorie'!$A$5:$M$45,13,0)+0,0))</f>
        <v>0</v>
      </c>
      <c r="R1504" s="61"/>
      <c r="S1504" s="62"/>
      <c r="T1504" s="62"/>
      <c r="U1504" s="55"/>
      <c r="V1504" s="57"/>
      <c r="W1504" s="57"/>
      <c r="X1504" s="55" t="str">
        <f aca="false">IF(A1504="","",IF(AND(Parameter!$B$21="Ja",ISNUMBER(U1504)),U1504,IF(IFERROR(VLOOKUP(D1504,Parameter!$A$35:$C$64,2,0),"Nein")="2+3",IF(ISNUMBER(SEARCH("grosser Artikel",BM1504)),2,IFERROR(VLOOKUP(BP1504,Parameter!$F$35:$G$64,2,0),2)),IF(OR(IFERROR(VLOOKUP(D1504,Parameter!$A$35:$C$64,2,0),"Nein")="Nein",IFERROR(VLOOKUP(D1504,Parameter!$A$35:$C$64,2,0),"Nein")=""),"-",VLOOKUP(D1504,Parameter!$A$35:$C$64,2,0)))))</f>
        <v/>
      </c>
      <c r="Y1504" s="55" t="str">
        <f aca="false">IF('Neue Artikel'!$J$32="","",'Neue Artikel'!$J$32)</f>
        <v/>
      </c>
      <c r="Z1504" s="63"/>
      <c r="AA1504" s="57" t="n">
        <f aca="false">AP1504</f>
        <v>0</v>
      </c>
      <c r="AB1504" s="57" t="n">
        <f aca="false">MAX(AP1504,G1504)</f>
        <v>0</v>
      </c>
      <c r="AC1504" s="64"/>
      <c r="AD1504" s="57" t="n">
        <f aca="false">IF(LEFT(Cockpit!$C$5,1)="A",G1504,IF(BW1504=1,BX1504,IF(LEFT(Cockpit!$C$5,1)="B",AH1504,MAX(AH1504,G1504))))</f>
        <v>0</v>
      </c>
      <c r="AE1504" s="57" t="n">
        <f aca="false">IF(BR1504=1,0,ROUNDUP(AD1504/BQ1504,0))</f>
        <v>0</v>
      </c>
      <c r="AF1504" s="59" t="n">
        <f aca="false">IF(CD1504&gt;0,CD1504*MAX(1,AD1504/V1504),IF(BR1504=1,IF(AD1504&lt;=0,0,BS1504*MAX(1,IF(G1504&gt;0,AD1504/G1504,1))),IF(Q1504&gt;0,AE1504/Q1504,0))/MAX(0.1,N(Parameter!$M$21)))</f>
        <v>0</v>
      </c>
      <c r="AG1504" s="57" t="n">
        <f aca="false">AD1504*F1504</f>
        <v>0</v>
      </c>
      <c r="AH1504" s="57" t="n">
        <f aca="false">ROUNDUP(MAX(I1504/IF(BV1504&gt;0,BV1504,MAX(0.1,N(Cockpit!$C$6))),BY1504)/BQ1504,0)*BQ1504</f>
        <v>0</v>
      </c>
      <c r="AI1504" s="58" t="n">
        <f aca="false">IF(AF1504&gt;0,I1504/AF1504,-1)</f>
        <v>-1</v>
      </c>
      <c r="AJ1504" s="58" t="str">
        <f aca="false">IF(AND(OR(BU1504="L1",BU1504="L23"),AF1504&gt;0),SUMIFS($AF$7:$AF$1576,$BU$7:$BU$1576,BU1504,$AI$7:$AI$1576,"&gt;"&amp;AI1504)+SUMIFS($AF$7:$AF$1576,$BU$7:$BU$1576,BU1504,$AI$7:$AI$1576,AI1504,$BO$7:$BO$1576,"&lt;="&amp;BO1504),"")</f>
        <v/>
      </c>
      <c r="AK1504" s="65" t="n">
        <f aca="false">IF(AJ1504="",0,MAX(0,MIN(1,(IF(BU1504="L1",Parameter!$E$5,Parameter!$E$6+Parameter!$E$7)-(AJ1504-AF1504))/AF1504)))</f>
        <v>0</v>
      </c>
      <c r="AL1504" s="57" t="n">
        <f aca="false">IF(LEFT(Cockpit!$I$5,1)="A",G1504,IF(BW1504=1,BX1504,IF(LEFT(Cockpit!$I$5,1)="B",AP1504,MAX(AP1504,G1504))))</f>
        <v>0</v>
      </c>
      <c r="AM1504" s="57" t="n">
        <f aca="false">IF(BR1504=1,0,ROUNDUP(AL1504/BQ1504,0))</f>
        <v>0</v>
      </c>
      <c r="AN1504" s="59" t="n">
        <f aca="false">IF(CD1504&gt;0,CD1504*MAX(1,AL1504/V1504),IF(BR1504=1,IF(AL1504&lt;=0,0,BS1504*MAX(1,IF(G1504&gt;0,AL1504/G1504,1))),IF(Q1504&gt;0,AM1504/Q1504,0))/MAX(0.1,N(Parameter!$M$21)))</f>
        <v>0</v>
      </c>
      <c r="AO1504" s="57" t="n">
        <f aca="false">AL1504*F1504</f>
        <v>0</v>
      </c>
      <c r="AP1504" s="57" t="n">
        <f aca="false">ROUNDUP(MAX(I1504/IF(BV1504&gt;0,BV1504,MAX(0.1,N(Cockpit!$I$6))),BY1504)/BQ1504,0)*BQ1504</f>
        <v>0</v>
      </c>
      <c r="AQ1504" s="58" t="n">
        <f aca="false">IF(AN1504&gt;0,I1504/AN1504,-1)</f>
        <v>-1</v>
      </c>
      <c r="AR1504" s="58" t="str">
        <f aca="false">IF(AND(OR(BU1504="L1",BU1504="L23"),AN1504&gt;0),SUMIFS($AN$7:$AN$1576,$BU$7:$BU$1576,BU1504,$AQ$7:$AQ$1576,"&gt;"&amp;AQ1504)+SUMIFS($AN$7:$AN$1576,$BU$7:$BU$1576,BU1504,$AQ$7:$AQ$1576,AQ1504,$BO$7:$BO$1576,"&lt;="&amp;BO1504),"")</f>
        <v/>
      </c>
      <c r="AS1504" s="65" t="n">
        <f aca="false">IF(AR1504="",0,MAX(0,MIN(1,(IF(BU1504="L1",Parameter!$E$5,Parameter!$E$6+Parameter!$E$7)-(AR1504-AN1504))/AN1504)))</f>
        <v>0</v>
      </c>
      <c r="AT1504" s="57" t="n">
        <f aca="false">IF(LEFT(Cockpit!$O$5,1)="A",G1504,IF(BW1504=1,BX1504,IF(LEFT(Cockpit!$O$5,1)="B",AX1504,MAX(AX1504,G1504))))</f>
        <v>0</v>
      </c>
      <c r="AU1504" s="57" t="n">
        <f aca="false">IF(BR1504=1,0,ROUNDUP(AT1504/BQ1504,0))</f>
        <v>0</v>
      </c>
      <c r="AV1504" s="59" t="n">
        <f aca="false">IF(CD1504&gt;0,CD1504*MAX(1,AT1504/V1504),IF(BR1504=1,IF(AT1504&lt;=0,0,BS1504*MAX(1,IF(G1504&gt;0,AT1504/G1504,1))),IF(Q1504&gt;0,AU1504/Q1504,0))/MAX(0.1,N(Parameter!$M$21)))</f>
        <v>0</v>
      </c>
      <c r="AW1504" s="57" t="n">
        <f aca="false">AT1504*F1504</f>
        <v>0</v>
      </c>
      <c r="AX1504" s="57" t="n">
        <f aca="false">ROUNDUP(MAX(I1504/IF(BV1504&gt;0,BV1504,MAX(0.1,N(Cockpit!$O$6))),BY1504)/BQ1504,0)*BQ1504</f>
        <v>0</v>
      </c>
      <c r="AY1504" s="58" t="n">
        <f aca="false">IF(AV1504&gt;0,I1504/AV1504,-1)</f>
        <v>-1</v>
      </c>
      <c r="AZ1504" s="58" t="str">
        <f aca="false">IF(AND(OR(BU1504="L1",BU1504="L23"),AV1504&gt;0),SUMIFS($AV$7:$AV$1576,$BU$7:$BU$1576,BU1504,$AY$7:$AY$1576,"&gt;"&amp;AY1504)+SUMIFS($AV$7:$AV$1576,$BU$7:$BU$1576,BU1504,$AY$7:$AY$1576,AY1504,$BO$7:$BO$1576,"&lt;="&amp;BO1504),"")</f>
        <v/>
      </c>
      <c r="BA1504" s="65" t="n">
        <f aca="false">IF(AZ1504="",0,MAX(0,MIN(1,(IF(BU1504="L1",Parameter!$E$5,Parameter!$E$6+Parameter!$E$7)-(AZ1504-AV1504))/AV1504)))</f>
        <v>0</v>
      </c>
      <c r="BB1504" s="55" t="str">
        <f aca="false">IF(AF1504&lt;=0,"",IF(BU1504="Aussen","Aussenlager",IF(BU1504="-","Nicht im Lift",IF(AK1504&gt;=1,"Lift",IF(AK1504&lt;=0,"Aussenlager","teilweise")))))</f>
        <v/>
      </c>
      <c r="BC1504" s="55" t="str">
        <f aca="false">IF(AN1504&lt;=0,"",IF(BU1504="Aussen","Aussenlager",IF(BU1504="-","Nicht im Lift",IF(AS1504&gt;=1,"Lift",IF(AS1504&lt;=0,"Aussenlager","teilweise")))))</f>
        <v/>
      </c>
      <c r="BD1504" s="55" t="str">
        <f aca="false">IF(AV1504&lt;=0,"",IF(BU1504="Aussen","Aussenlager",IF(BU1504="-","Nicht im Lift",IF(BA1504&gt;=1,"Lift",IF(BA1504&lt;=0,"Aussenlager","teilweise")))))</f>
        <v/>
      </c>
      <c r="BE1504" s="55" t="str">
        <f aca="false">IF(A1504="","",IF(BN1504=1,"Neu; ","")&amp;IF(AND(BN1504=0,BI1504&lt;0),"negativer Bestand (Export "&amp;BI1504&amp;"); ","")&amp;IF(I1504&lt;=0,"Kein Verbrauch; ","")&amp;IF(CD1504&gt;0,"Lift "&amp;U1504&amp;" lt. Liftbericht (Fach "&amp;V1504&amp;" Stk); ",IF(BR1504=1,"Lose – Fläche geschätzt; ",""))&amp;IF(G1504&gt;AP1504,"Überbestand "&amp;ROUND(G1504-AP1504,0)&amp;" Stk / CHF "&amp;ROUND((G1504-AP1504)*F1504,0)&amp;"; ","")&amp;IF(AND(BW1504=1,BX1504&lt;BY1504),"MAX &lt; MB+LG; ","")&amp;IF(AND(CC1504&gt;0,CB1504*10&gt;CC1504),"zu hoch für Tablar; ","")&amp;IF(AND(BN1504=0,OR(BW1504=1,Y1504&lt;&gt;"",S1504&lt;&gt;"",T1504&lt;&gt;"",Z1504&lt;&gt;"")),"manuell übersteuert; ","")&amp;IF(AND(BR1504=0,Q1504=0),"Gebinde unbekannt / Stellmass fehlt; ","")&amp;IF(AND(BR1504=0,N(T1504)&lt;=0,N(P1504)&lt;=0),"Menge pro Gebinde fehlt (Ist = 1 Gebinde); ","")&amp;BM1504)</f>
        <v/>
      </c>
      <c r="BF1504" s="55"/>
      <c r="BG1504" s="55"/>
      <c r="BH1504" s="62"/>
      <c r="BI1504" s="57" t="n">
        <f aca="false">N('Neue Artikel'!$D$32)</f>
        <v>0</v>
      </c>
      <c r="BJ1504" s="57" t="n">
        <v>0</v>
      </c>
      <c r="BK1504" s="56" t="n">
        <v>0</v>
      </c>
      <c r="BL1504" s="57" t="n">
        <f aca="false">N('Neue Artikel'!$C$32)/Parameter!$B$18</f>
        <v>0</v>
      </c>
      <c r="BM1504" s="55"/>
      <c r="BN1504" s="60" t="n">
        <v>1</v>
      </c>
      <c r="BO1504" s="60" t="n">
        <v>1504</v>
      </c>
      <c r="BP1504" s="55" t="str">
        <f aca="false">IF(S1504&lt;&gt;"",UPPER(TRIM(S1504)),IF(O1504="","LOSE",O1504))</f>
        <v>LOSE</v>
      </c>
      <c r="BQ1504" s="57" t="n">
        <f aca="false">IF(BP1504="LOSE",1,IF(N(T1504)&gt;0,T1504,IF(N(P1504)&gt;0,P1504,MAX(1,G1504))))</f>
        <v>1</v>
      </c>
      <c r="BR1504" s="60" t="n">
        <f aca="false">IF(BP1504="LOSE",1,0)</f>
        <v>1</v>
      </c>
      <c r="BS1504" s="59" t="n">
        <f aca="false">IF(BR1504=0,0,IF(N(R1504)&gt;0,R1504,IFERROR(VLOOKUP(D1504,Parameter!$A$35:$C$64,3,0)+0,0)))</f>
        <v>0.15</v>
      </c>
      <c r="BT1504" s="55" t="str">
        <f aca="false">IF(Y1504&lt;&gt;"",Y1504,X1504)</f>
        <v/>
      </c>
      <c r="BU1504" s="55" t="str">
        <f aca="false">IF(BT1504=1,"L1",IF(OR(BT1504=2,BT1504=3),"L23",IF(BT1504="Aussen","Aussen","-")))</f>
        <v>-</v>
      </c>
      <c r="BV1504" s="66" t="n">
        <f aca="false">IF(N(Z1504)&gt;0,Z1504,0)</f>
        <v>0</v>
      </c>
      <c r="BW1504" s="60" t="n">
        <f aca="false">IF(ISNUMBER(AC1504),1,0)</f>
        <v>0</v>
      </c>
      <c r="BX1504" s="57" t="n">
        <f aca="false">N(AC1504)</f>
        <v>0</v>
      </c>
      <c r="BY1504" s="57" t="n">
        <f aca="false">N(L1504)+N(M1504)</f>
        <v>0</v>
      </c>
      <c r="BZ1504" s="57" t="n">
        <f aca="false">ROUNDUP(G1504/BQ1504,0)</f>
        <v>0</v>
      </c>
      <c r="CA1504" s="57" t="n">
        <f aca="false">ROUNDUP(BX1504/BQ1504,0)</f>
        <v>0</v>
      </c>
      <c r="CB1504" s="60" t="n">
        <f aca="false">IF(BR1504=1,0,IFERROR(VLOOKUP(BP1504,'Gebinde-Kategorie'!$A$5:$M$45,5,0)+0,0))</f>
        <v>0</v>
      </c>
      <c r="CC1504" s="60" t="n">
        <f aca="false">IFERROR(IF(OR(BT1504=1,BT1504=2,BT1504=3),N(INDEX(Parameter!$I$5:$I$7,BT1504)),0),0)</f>
        <v>0</v>
      </c>
      <c r="CD1504" s="59" t="n">
        <f aca="false">IF(AND(Parameter!$B$21="Ja",ISNUMBER(U1504),N(V1504)&gt;0),IFERROR(N(INDEX(Parameter!$L$5:$L$7,U1504))*INDEX(Parameter!$E$5:$E$7,U1504)*V1504/SUMIFS($V$7:$V$1576,$U$7:$U$1576,U1504),0),0)</f>
        <v>0</v>
      </c>
    </row>
    <row r="1505" customFormat="false" ht="15" hidden="false" customHeight="false" outlineLevel="0" collapsed="false">
      <c r="A1505" s="55" t="str">
        <f aca="false">IF('Neue Artikel'!$A$33="","",'Neue Artikel'!$A$33&amp;"")</f>
        <v/>
      </c>
      <c r="B1505" s="55" t="str">
        <f aca="false">'Neue Artikel'!$B$33&amp;""</f>
        <v/>
      </c>
      <c r="C1505" s="55"/>
      <c r="D1505" s="55" t="s">
        <v>2561</v>
      </c>
      <c r="E1505" s="55"/>
      <c r="F1505" s="56" t="n">
        <f aca="false">N('Neue Artikel'!$G$33)</f>
        <v>0</v>
      </c>
      <c r="G1505" s="57" t="n">
        <f aca="false">MAX(0,IF(AND(Parameter!$B$21="Ja",ISNUMBER(W1505)),W1505,IF(Parameter!$B$20="Jahresanfang 2025 + Export",BJ1505+BI1505,BI1505)))</f>
        <v>0</v>
      </c>
      <c r="H1505" s="57" t="n">
        <f aca="false">G1505*F1505</f>
        <v>0</v>
      </c>
      <c r="I1505" s="57" t="n">
        <f aca="false">BL1505*Parameter!$B$18</f>
        <v>0</v>
      </c>
      <c r="J1505" s="58"/>
      <c r="K1505" s="59"/>
      <c r="L1505" s="57" t="n">
        <f aca="false">N('Neue Artikel'!$E$33)</f>
        <v>0</v>
      </c>
      <c r="M1505" s="57" t="n">
        <f aca="false">N('Neue Artikel'!$F$33)</f>
        <v>0</v>
      </c>
      <c r="N1505" s="60"/>
      <c r="O1505" s="55" t="str">
        <f aca="false">IF('Neue Artikel'!$H$33="","LOSE",UPPER(TRIM('Neue Artikel'!$H$33)))</f>
        <v>LOSE</v>
      </c>
      <c r="P1505" s="57" t="n">
        <f aca="false">N('Neue Artikel'!$I$33)</f>
        <v>0</v>
      </c>
      <c r="Q1505" s="60" t="n">
        <f aca="false">IF(BR1505=1,0,IFERROR(VLOOKUP(BP1505,'Gebinde-Kategorie'!$A$5:$M$45,13,0)+0,0))</f>
        <v>0</v>
      </c>
      <c r="R1505" s="61"/>
      <c r="S1505" s="62"/>
      <c r="T1505" s="62"/>
      <c r="U1505" s="55"/>
      <c r="V1505" s="57"/>
      <c r="W1505" s="57"/>
      <c r="X1505" s="55" t="str">
        <f aca="false">IF(A1505="","",IF(AND(Parameter!$B$21="Ja",ISNUMBER(U1505)),U1505,IF(IFERROR(VLOOKUP(D1505,Parameter!$A$35:$C$64,2,0),"Nein")="2+3",IF(ISNUMBER(SEARCH("grosser Artikel",BM1505)),2,IFERROR(VLOOKUP(BP1505,Parameter!$F$35:$G$64,2,0),2)),IF(OR(IFERROR(VLOOKUP(D1505,Parameter!$A$35:$C$64,2,0),"Nein")="Nein",IFERROR(VLOOKUP(D1505,Parameter!$A$35:$C$64,2,0),"Nein")=""),"-",VLOOKUP(D1505,Parameter!$A$35:$C$64,2,0)))))</f>
        <v/>
      </c>
      <c r="Y1505" s="55" t="str">
        <f aca="false">IF('Neue Artikel'!$J$33="","",'Neue Artikel'!$J$33)</f>
        <v/>
      </c>
      <c r="Z1505" s="63"/>
      <c r="AA1505" s="57" t="n">
        <f aca="false">AP1505</f>
        <v>0</v>
      </c>
      <c r="AB1505" s="57" t="n">
        <f aca="false">MAX(AP1505,G1505)</f>
        <v>0</v>
      </c>
      <c r="AC1505" s="64"/>
      <c r="AD1505" s="57" t="n">
        <f aca="false">IF(LEFT(Cockpit!$C$5,1)="A",G1505,IF(BW1505=1,BX1505,IF(LEFT(Cockpit!$C$5,1)="B",AH1505,MAX(AH1505,G1505))))</f>
        <v>0</v>
      </c>
      <c r="AE1505" s="57" t="n">
        <f aca="false">IF(BR1505=1,0,ROUNDUP(AD1505/BQ1505,0))</f>
        <v>0</v>
      </c>
      <c r="AF1505" s="59" t="n">
        <f aca="false">IF(CD1505&gt;0,CD1505*MAX(1,AD1505/V1505),IF(BR1505=1,IF(AD1505&lt;=0,0,BS1505*MAX(1,IF(G1505&gt;0,AD1505/G1505,1))),IF(Q1505&gt;0,AE1505/Q1505,0))/MAX(0.1,N(Parameter!$M$21)))</f>
        <v>0</v>
      </c>
      <c r="AG1505" s="57" t="n">
        <f aca="false">AD1505*F1505</f>
        <v>0</v>
      </c>
      <c r="AH1505" s="57" t="n">
        <f aca="false">ROUNDUP(MAX(I1505/IF(BV1505&gt;0,BV1505,MAX(0.1,N(Cockpit!$C$6))),BY1505)/BQ1505,0)*BQ1505</f>
        <v>0</v>
      </c>
      <c r="AI1505" s="58" t="n">
        <f aca="false">IF(AF1505&gt;0,I1505/AF1505,-1)</f>
        <v>-1</v>
      </c>
      <c r="AJ1505" s="58" t="str">
        <f aca="false">IF(AND(OR(BU1505="L1",BU1505="L23"),AF1505&gt;0),SUMIFS($AF$7:$AF$1576,$BU$7:$BU$1576,BU1505,$AI$7:$AI$1576,"&gt;"&amp;AI1505)+SUMIFS($AF$7:$AF$1576,$BU$7:$BU$1576,BU1505,$AI$7:$AI$1576,AI1505,$BO$7:$BO$1576,"&lt;="&amp;BO1505),"")</f>
        <v/>
      </c>
      <c r="AK1505" s="65" t="n">
        <f aca="false">IF(AJ1505="",0,MAX(0,MIN(1,(IF(BU1505="L1",Parameter!$E$5,Parameter!$E$6+Parameter!$E$7)-(AJ1505-AF1505))/AF1505)))</f>
        <v>0</v>
      </c>
      <c r="AL1505" s="57" t="n">
        <f aca="false">IF(LEFT(Cockpit!$I$5,1)="A",G1505,IF(BW1505=1,BX1505,IF(LEFT(Cockpit!$I$5,1)="B",AP1505,MAX(AP1505,G1505))))</f>
        <v>0</v>
      </c>
      <c r="AM1505" s="57" t="n">
        <f aca="false">IF(BR1505=1,0,ROUNDUP(AL1505/BQ1505,0))</f>
        <v>0</v>
      </c>
      <c r="AN1505" s="59" t="n">
        <f aca="false">IF(CD1505&gt;0,CD1505*MAX(1,AL1505/V1505),IF(BR1505=1,IF(AL1505&lt;=0,0,BS1505*MAX(1,IF(G1505&gt;0,AL1505/G1505,1))),IF(Q1505&gt;0,AM1505/Q1505,0))/MAX(0.1,N(Parameter!$M$21)))</f>
        <v>0</v>
      </c>
      <c r="AO1505" s="57" t="n">
        <f aca="false">AL1505*F1505</f>
        <v>0</v>
      </c>
      <c r="AP1505" s="57" t="n">
        <f aca="false">ROUNDUP(MAX(I1505/IF(BV1505&gt;0,BV1505,MAX(0.1,N(Cockpit!$I$6))),BY1505)/BQ1505,0)*BQ1505</f>
        <v>0</v>
      </c>
      <c r="AQ1505" s="58" t="n">
        <f aca="false">IF(AN1505&gt;0,I1505/AN1505,-1)</f>
        <v>-1</v>
      </c>
      <c r="AR1505" s="58" t="str">
        <f aca="false">IF(AND(OR(BU1505="L1",BU1505="L23"),AN1505&gt;0),SUMIFS($AN$7:$AN$1576,$BU$7:$BU$1576,BU1505,$AQ$7:$AQ$1576,"&gt;"&amp;AQ1505)+SUMIFS($AN$7:$AN$1576,$BU$7:$BU$1576,BU1505,$AQ$7:$AQ$1576,AQ1505,$BO$7:$BO$1576,"&lt;="&amp;BO1505),"")</f>
        <v/>
      </c>
      <c r="AS1505" s="65" t="n">
        <f aca="false">IF(AR1505="",0,MAX(0,MIN(1,(IF(BU1505="L1",Parameter!$E$5,Parameter!$E$6+Parameter!$E$7)-(AR1505-AN1505))/AN1505)))</f>
        <v>0</v>
      </c>
      <c r="AT1505" s="57" t="n">
        <f aca="false">IF(LEFT(Cockpit!$O$5,1)="A",G1505,IF(BW1505=1,BX1505,IF(LEFT(Cockpit!$O$5,1)="B",AX1505,MAX(AX1505,G1505))))</f>
        <v>0</v>
      </c>
      <c r="AU1505" s="57" t="n">
        <f aca="false">IF(BR1505=1,0,ROUNDUP(AT1505/BQ1505,0))</f>
        <v>0</v>
      </c>
      <c r="AV1505" s="59" t="n">
        <f aca="false">IF(CD1505&gt;0,CD1505*MAX(1,AT1505/V1505),IF(BR1505=1,IF(AT1505&lt;=0,0,BS1505*MAX(1,IF(G1505&gt;0,AT1505/G1505,1))),IF(Q1505&gt;0,AU1505/Q1505,0))/MAX(0.1,N(Parameter!$M$21)))</f>
        <v>0</v>
      </c>
      <c r="AW1505" s="57" t="n">
        <f aca="false">AT1505*F1505</f>
        <v>0</v>
      </c>
      <c r="AX1505" s="57" t="n">
        <f aca="false">ROUNDUP(MAX(I1505/IF(BV1505&gt;0,BV1505,MAX(0.1,N(Cockpit!$O$6))),BY1505)/BQ1505,0)*BQ1505</f>
        <v>0</v>
      </c>
      <c r="AY1505" s="58" t="n">
        <f aca="false">IF(AV1505&gt;0,I1505/AV1505,-1)</f>
        <v>-1</v>
      </c>
      <c r="AZ1505" s="58" t="str">
        <f aca="false">IF(AND(OR(BU1505="L1",BU1505="L23"),AV1505&gt;0),SUMIFS($AV$7:$AV$1576,$BU$7:$BU$1576,BU1505,$AY$7:$AY$1576,"&gt;"&amp;AY1505)+SUMIFS($AV$7:$AV$1576,$BU$7:$BU$1576,BU1505,$AY$7:$AY$1576,AY1505,$BO$7:$BO$1576,"&lt;="&amp;BO1505),"")</f>
        <v/>
      </c>
      <c r="BA1505" s="65" t="n">
        <f aca="false">IF(AZ1505="",0,MAX(0,MIN(1,(IF(BU1505="L1",Parameter!$E$5,Parameter!$E$6+Parameter!$E$7)-(AZ1505-AV1505))/AV1505)))</f>
        <v>0</v>
      </c>
      <c r="BB1505" s="55" t="str">
        <f aca="false">IF(AF1505&lt;=0,"",IF(BU1505="Aussen","Aussenlager",IF(BU1505="-","Nicht im Lift",IF(AK1505&gt;=1,"Lift",IF(AK1505&lt;=0,"Aussenlager","teilweise")))))</f>
        <v/>
      </c>
      <c r="BC1505" s="55" t="str">
        <f aca="false">IF(AN1505&lt;=0,"",IF(BU1505="Aussen","Aussenlager",IF(BU1505="-","Nicht im Lift",IF(AS1505&gt;=1,"Lift",IF(AS1505&lt;=0,"Aussenlager","teilweise")))))</f>
        <v/>
      </c>
      <c r="BD1505" s="55" t="str">
        <f aca="false">IF(AV1505&lt;=0,"",IF(BU1505="Aussen","Aussenlager",IF(BU1505="-","Nicht im Lift",IF(BA1505&gt;=1,"Lift",IF(BA1505&lt;=0,"Aussenlager","teilweise")))))</f>
        <v/>
      </c>
      <c r="BE1505" s="55" t="str">
        <f aca="false">IF(A1505="","",IF(BN1505=1,"Neu; ","")&amp;IF(AND(BN1505=0,BI1505&lt;0),"negativer Bestand (Export "&amp;BI1505&amp;"); ","")&amp;IF(I1505&lt;=0,"Kein Verbrauch; ","")&amp;IF(CD1505&gt;0,"Lift "&amp;U1505&amp;" lt. Liftbericht (Fach "&amp;V1505&amp;" Stk); ",IF(BR1505=1,"Lose – Fläche geschätzt; ",""))&amp;IF(G1505&gt;AP1505,"Überbestand "&amp;ROUND(G1505-AP1505,0)&amp;" Stk / CHF "&amp;ROUND((G1505-AP1505)*F1505,0)&amp;"; ","")&amp;IF(AND(BW1505=1,BX1505&lt;BY1505),"MAX &lt; MB+LG; ","")&amp;IF(AND(CC1505&gt;0,CB1505*10&gt;CC1505),"zu hoch für Tablar; ","")&amp;IF(AND(BN1505=0,OR(BW1505=1,Y1505&lt;&gt;"",S1505&lt;&gt;"",T1505&lt;&gt;"",Z1505&lt;&gt;"")),"manuell übersteuert; ","")&amp;IF(AND(BR1505=0,Q1505=0),"Gebinde unbekannt / Stellmass fehlt; ","")&amp;IF(AND(BR1505=0,N(T1505)&lt;=0,N(P1505)&lt;=0),"Menge pro Gebinde fehlt (Ist = 1 Gebinde); ","")&amp;BM1505)</f>
        <v/>
      </c>
      <c r="BF1505" s="55"/>
      <c r="BG1505" s="55"/>
      <c r="BH1505" s="62"/>
      <c r="BI1505" s="57" t="n">
        <f aca="false">N('Neue Artikel'!$D$33)</f>
        <v>0</v>
      </c>
      <c r="BJ1505" s="57" t="n">
        <v>0</v>
      </c>
      <c r="BK1505" s="56" t="n">
        <v>0</v>
      </c>
      <c r="BL1505" s="57" t="n">
        <f aca="false">N('Neue Artikel'!$C$33)/Parameter!$B$18</f>
        <v>0</v>
      </c>
      <c r="BM1505" s="55"/>
      <c r="BN1505" s="60" t="n">
        <v>1</v>
      </c>
      <c r="BO1505" s="60" t="n">
        <v>1505</v>
      </c>
      <c r="BP1505" s="55" t="str">
        <f aca="false">IF(S1505&lt;&gt;"",UPPER(TRIM(S1505)),IF(O1505="","LOSE",O1505))</f>
        <v>LOSE</v>
      </c>
      <c r="BQ1505" s="57" t="n">
        <f aca="false">IF(BP1505="LOSE",1,IF(N(T1505)&gt;0,T1505,IF(N(P1505)&gt;0,P1505,MAX(1,G1505))))</f>
        <v>1</v>
      </c>
      <c r="BR1505" s="60" t="n">
        <f aca="false">IF(BP1505="LOSE",1,0)</f>
        <v>1</v>
      </c>
      <c r="BS1505" s="59" t="n">
        <f aca="false">IF(BR1505=0,0,IF(N(R1505)&gt;0,R1505,IFERROR(VLOOKUP(D1505,Parameter!$A$35:$C$64,3,0)+0,0)))</f>
        <v>0.15</v>
      </c>
      <c r="BT1505" s="55" t="str">
        <f aca="false">IF(Y1505&lt;&gt;"",Y1505,X1505)</f>
        <v/>
      </c>
      <c r="BU1505" s="55" t="str">
        <f aca="false">IF(BT1505=1,"L1",IF(OR(BT1505=2,BT1505=3),"L23",IF(BT1505="Aussen","Aussen","-")))</f>
        <v>-</v>
      </c>
      <c r="BV1505" s="66" t="n">
        <f aca="false">IF(N(Z1505)&gt;0,Z1505,0)</f>
        <v>0</v>
      </c>
      <c r="BW1505" s="60" t="n">
        <f aca="false">IF(ISNUMBER(AC1505),1,0)</f>
        <v>0</v>
      </c>
      <c r="BX1505" s="57" t="n">
        <f aca="false">N(AC1505)</f>
        <v>0</v>
      </c>
      <c r="BY1505" s="57" t="n">
        <f aca="false">N(L1505)+N(M1505)</f>
        <v>0</v>
      </c>
      <c r="BZ1505" s="57" t="n">
        <f aca="false">ROUNDUP(G1505/BQ1505,0)</f>
        <v>0</v>
      </c>
      <c r="CA1505" s="57" t="n">
        <f aca="false">ROUNDUP(BX1505/BQ1505,0)</f>
        <v>0</v>
      </c>
      <c r="CB1505" s="60" t="n">
        <f aca="false">IF(BR1505=1,0,IFERROR(VLOOKUP(BP1505,'Gebinde-Kategorie'!$A$5:$M$45,5,0)+0,0))</f>
        <v>0</v>
      </c>
      <c r="CC1505" s="60" t="n">
        <f aca="false">IFERROR(IF(OR(BT1505=1,BT1505=2,BT1505=3),N(INDEX(Parameter!$I$5:$I$7,BT1505)),0),0)</f>
        <v>0</v>
      </c>
      <c r="CD1505" s="59" t="n">
        <f aca="false">IF(AND(Parameter!$B$21="Ja",ISNUMBER(U1505),N(V1505)&gt;0),IFERROR(N(INDEX(Parameter!$L$5:$L$7,U1505))*INDEX(Parameter!$E$5:$E$7,U1505)*V1505/SUMIFS($V$7:$V$1576,$U$7:$U$1576,U1505),0),0)</f>
        <v>0</v>
      </c>
    </row>
    <row r="1506" customFormat="false" ht="15" hidden="false" customHeight="false" outlineLevel="0" collapsed="false">
      <c r="A1506" s="55" t="str">
        <f aca="false">IF('Neue Artikel'!$A$34="","",'Neue Artikel'!$A$34&amp;"")</f>
        <v/>
      </c>
      <c r="B1506" s="55" t="str">
        <f aca="false">'Neue Artikel'!$B$34&amp;""</f>
        <v/>
      </c>
      <c r="C1506" s="55"/>
      <c r="D1506" s="55" t="s">
        <v>2561</v>
      </c>
      <c r="E1506" s="55"/>
      <c r="F1506" s="56" t="n">
        <f aca="false">N('Neue Artikel'!$G$34)</f>
        <v>0</v>
      </c>
      <c r="G1506" s="57" t="n">
        <f aca="false">MAX(0,IF(AND(Parameter!$B$21="Ja",ISNUMBER(W1506)),W1506,IF(Parameter!$B$20="Jahresanfang 2025 + Export",BJ1506+BI1506,BI1506)))</f>
        <v>0</v>
      </c>
      <c r="H1506" s="57" t="n">
        <f aca="false">G1506*F1506</f>
        <v>0</v>
      </c>
      <c r="I1506" s="57" t="n">
        <f aca="false">BL1506*Parameter!$B$18</f>
        <v>0</v>
      </c>
      <c r="J1506" s="58"/>
      <c r="K1506" s="59"/>
      <c r="L1506" s="57" t="n">
        <f aca="false">N('Neue Artikel'!$E$34)</f>
        <v>0</v>
      </c>
      <c r="M1506" s="57" t="n">
        <f aca="false">N('Neue Artikel'!$F$34)</f>
        <v>0</v>
      </c>
      <c r="N1506" s="60"/>
      <c r="O1506" s="55" t="str">
        <f aca="false">IF('Neue Artikel'!$H$34="","LOSE",UPPER(TRIM('Neue Artikel'!$H$34)))</f>
        <v>LOSE</v>
      </c>
      <c r="P1506" s="57" t="n">
        <f aca="false">N('Neue Artikel'!$I$34)</f>
        <v>0</v>
      </c>
      <c r="Q1506" s="60" t="n">
        <f aca="false">IF(BR1506=1,0,IFERROR(VLOOKUP(BP1506,'Gebinde-Kategorie'!$A$5:$M$45,13,0)+0,0))</f>
        <v>0</v>
      </c>
      <c r="R1506" s="61"/>
      <c r="S1506" s="62"/>
      <c r="T1506" s="62"/>
      <c r="U1506" s="55"/>
      <c r="V1506" s="57"/>
      <c r="W1506" s="57"/>
      <c r="X1506" s="55" t="str">
        <f aca="false">IF(A1506="","",IF(AND(Parameter!$B$21="Ja",ISNUMBER(U1506)),U1506,IF(IFERROR(VLOOKUP(D1506,Parameter!$A$35:$C$64,2,0),"Nein")="2+3",IF(ISNUMBER(SEARCH("grosser Artikel",BM1506)),2,IFERROR(VLOOKUP(BP1506,Parameter!$F$35:$G$64,2,0),2)),IF(OR(IFERROR(VLOOKUP(D1506,Parameter!$A$35:$C$64,2,0),"Nein")="Nein",IFERROR(VLOOKUP(D1506,Parameter!$A$35:$C$64,2,0),"Nein")=""),"-",VLOOKUP(D1506,Parameter!$A$35:$C$64,2,0)))))</f>
        <v/>
      </c>
      <c r="Y1506" s="55" t="str">
        <f aca="false">IF('Neue Artikel'!$J$34="","",'Neue Artikel'!$J$34)</f>
        <v/>
      </c>
      <c r="Z1506" s="63"/>
      <c r="AA1506" s="57" t="n">
        <f aca="false">AP1506</f>
        <v>0</v>
      </c>
      <c r="AB1506" s="57" t="n">
        <f aca="false">MAX(AP1506,G1506)</f>
        <v>0</v>
      </c>
      <c r="AC1506" s="64"/>
      <c r="AD1506" s="57" t="n">
        <f aca="false">IF(LEFT(Cockpit!$C$5,1)="A",G1506,IF(BW1506=1,BX1506,IF(LEFT(Cockpit!$C$5,1)="B",AH1506,MAX(AH1506,G1506))))</f>
        <v>0</v>
      </c>
      <c r="AE1506" s="57" t="n">
        <f aca="false">IF(BR1506=1,0,ROUNDUP(AD1506/BQ1506,0))</f>
        <v>0</v>
      </c>
      <c r="AF1506" s="59" t="n">
        <f aca="false">IF(CD1506&gt;0,CD1506*MAX(1,AD1506/V1506),IF(BR1506=1,IF(AD1506&lt;=0,0,BS1506*MAX(1,IF(G1506&gt;0,AD1506/G1506,1))),IF(Q1506&gt;0,AE1506/Q1506,0))/MAX(0.1,N(Parameter!$M$21)))</f>
        <v>0</v>
      </c>
      <c r="AG1506" s="57" t="n">
        <f aca="false">AD1506*F1506</f>
        <v>0</v>
      </c>
      <c r="AH1506" s="57" t="n">
        <f aca="false">ROUNDUP(MAX(I1506/IF(BV1506&gt;0,BV1506,MAX(0.1,N(Cockpit!$C$6))),BY1506)/BQ1506,0)*BQ1506</f>
        <v>0</v>
      </c>
      <c r="AI1506" s="58" t="n">
        <f aca="false">IF(AF1506&gt;0,I1506/AF1506,-1)</f>
        <v>-1</v>
      </c>
      <c r="AJ1506" s="58" t="str">
        <f aca="false">IF(AND(OR(BU1506="L1",BU1506="L23"),AF1506&gt;0),SUMIFS($AF$7:$AF$1576,$BU$7:$BU$1576,BU1506,$AI$7:$AI$1576,"&gt;"&amp;AI1506)+SUMIFS($AF$7:$AF$1576,$BU$7:$BU$1576,BU1506,$AI$7:$AI$1576,AI1506,$BO$7:$BO$1576,"&lt;="&amp;BO1506),"")</f>
        <v/>
      </c>
      <c r="AK1506" s="65" t="n">
        <f aca="false">IF(AJ1506="",0,MAX(0,MIN(1,(IF(BU1506="L1",Parameter!$E$5,Parameter!$E$6+Parameter!$E$7)-(AJ1506-AF1506))/AF1506)))</f>
        <v>0</v>
      </c>
      <c r="AL1506" s="57" t="n">
        <f aca="false">IF(LEFT(Cockpit!$I$5,1)="A",G1506,IF(BW1506=1,BX1506,IF(LEFT(Cockpit!$I$5,1)="B",AP1506,MAX(AP1506,G1506))))</f>
        <v>0</v>
      </c>
      <c r="AM1506" s="57" t="n">
        <f aca="false">IF(BR1506=1,0,ROUNDUP(AL1506/BQ1506,0))</f>
        <v>0</v>
      </c>
      <c r="AN1506" s="59" t="n">
        <f aca="false">IF(CD1506&gt;0,CD1506*MAX(1,AL1506/V1506),IF(BR1506=1,IF(AL1506&lt;=0,0,BS1506*MAX(1,IF(G1506&gt;0,AL1506/G1506,1))),IF(Q1506&gt;0,AM1506/Q1506,0))/MAX(0.1,N(Parameter!$M$21)))</f>
        <v>0</v>
      </c>
      <c r="AO1506" s="57" t="n">
        <f aca="false">AL1506*F1506</f>
        <v>0</v>
      </c>
      <c r="AP1506" s="57" t="n">
        <f aca="false">ROUNDUP(MAX(I1506/IF(BV1506&gt;0,BV1506,MAX(0.1,N(Cockpit!$I$6))),BY1506)/BQ1506,0)*BQ1506</f>
        <v>0</v>
      </c>
      <c r="AQ1506" s="58" t="n">
        <f aca="false">IF(AN1506&gt;0,I1506/AN1506,-1)</f>
        <v>-1</v>
      </c>
      <c r="AR1506" s="58" t="str">
        <f aca="false">IF(AND(OR(BU1506="L1",BU1506="L23"),AN1506&gt;0),SUMIFS($AN$7:$AN$1576,$BU$7:$BU$1576,BU1506,$AQ$7:$AQ$1576,"&gt;"&amp;AQ1506)+SUMIFS($AN$7:$AN$1576,$BU$7:$BU$1576,BU1506,$AQ$7:$AQ$1576,AQ1506,$BO$7:$BO$1576,"&lt;="&amp;BO1506),"")</f>
        <v/>
      </c>
      <c r="AS1506" s="65" t="n">
        <f aca="false">IF(AR1506="",0,MAX(0,MIN(1,(IF(BU1506="L1",Parameter!$E$5,Parameter!$E$6+Parameter!$E$7)-(AR1506-AN1506))/AN1506)))</f>
        <v>0</v>
      </c>
      <c r="AT1506" s="57" t="n">
        <f aca="false">IF(LEFT(Cockpit!$O$5,1)="A",G1506,IF(BW1506=1,BX1506,IF(LEFT(Cockpit!$O$5,1)="B",AX1506,MAX(AX1506,G1506))))</f>
        <v>0</v>
      </c>
      <c r="AU1506" s="57" t="n">
        <f aca="false">IF(BR1506=1,0,ROUNDUP(AT1506/BQ1506,0))</f>
        <v>0</v>
      </c>
      <c r="AV1506" s="59" t="n">
        <f aca="false">IF(CD1506&gt;0,CD1506*MAX(1,AT1506/V1506),IF(BR1506=1,IF(AT1506&lt;=0,0,BS1506*MAX(1,IF(G1506&gt;0,AT1506/G1506,1))),IF(Q1506&gt;0,AU1506/Q1506,0))/MAX(0.1,N(Parameter!$M$21)))</f>
        <v>0</v>
      </c>
      <c r="AW1506" s="57" t="n">
        <f aca="false">AT1506*F1506</f>
        <v>0</v>
      </c>
      <c r="AX1506" s="57" t="n">
        <f aca="false">ROUNDUP(MAX(I1506/IF(BV1506&gt;0,BV1506,MAX(0.1,N(Cockpit!$O$6))),BY1506)/BQ1506,0)*BQ1506</f>
        <v>0</v>
      </c>
      <c r="AY1506" s="58" t="n">
        <f aca="false">IF(AV1506&gt;0,I1506/AV1506,-1)</f>
        <v>-1</v>
      </c>
      <c r="AZ1506" s="58" t="str">
        <f aca="false">IF(AND(OR(BU1506="L1",BU1506="L23"),AV1506&gt;0),SUMIFS($AV$7:$AV$1576,$BU$7:$BU$1576,BU1506,$AY$7:$AY$1576,"&gt;"&amp;AY1506)+SUMIFS($AV$7:$AV$1576,$BU$7:$BU$1576,BU1506,$AY$7:$AY$1576,AY1506,$BO$7:$BO$1576,"&lt;="&amp;BO1506),"")</f>
        <v/>
      </c>
      <c r="BA1506" s="65" t="n">
        <f aca="false">IF(AZ1506="",0,MAX(0,MIN(1,(IF(BU1506="L1",Parameter!$E$5,Parameter!$E$6+Parameter!$E$7)-(AZ1506-AV1506))/AV1506)))</f>
        <v>0</v>
      </c>
      <c r="BB1506" s="55" t="str">
        <f aca="false">IF(AF1506&lt;=0,"",IF(BU1506="Aussen","Aussenlager",IF(BU1506="-","Nicht im Lift",IF(AK1506&gt;=1,"Lift",IF(AK1506&lt;=0,"Aussenlager","teilweise")))))</f>
        <v/>
      </c>
      <c r="BC1506" s="55" t="str">
        <f aca="false">IF(AN1506&lt;=0,"",IF(BU1506="Aussen","Aussenlager",IF(BU1506="-","Nicht im Lift",IF(AS1506&gt;=1,"Lift",IF(AS1506&lt;=0,"Aussenlager","teilweise")))))</f>
        <v/>
      </c>
      <c r="BD1506" s="55" t="str">
        <f aca="false">IF(AV1506&lt;=0,"",IF(BU1506="Aussen","Aussenlager",IF(BU1506="-","Nicht im Lift",IF(BA1506&gt;=1,"Lift",IF(BA1506&lt;=0,"Aussenlager","teilweise")))))</f>
        <v/>
      </c>
      <c r="BE1506" s="55" t="str">
        <f aca="false">IF(A1506="","",IF(BN1506=1,"Neu; ","")&amp;IF(AND(BN1506=0,BI1506&lt;0),"negativer Bestand (Export "&amp;BI1506&amp;"); ","")&amp;IF(I1506&lt;=0,"Kein Verbrauch; ","")&amp;IF(CD1506&gt;0,"Lift "&amp;U1506&amp;" lt. Liftbericht (Fach "&amp;V1506&amp;" Stk); ",IF(BR1506=1,"Lose – Fläche geschätzt; ",""))&amp;IF(G1506&gt;AP1506,"Überbestand "&amp;ROUND(G1506-AP1506,0)&amp;" Stk / CHF "&amp;ROUND((G1506-AP1506)*F1506,0)&amp;"; ","")&amp;IF(AND(BW1506=1,BX1506&lt;BY1506),"MAX &lt; MB+LG; ","")&amp;IF(AND(CC1506&gt;0,CB1506*10&gt;CC1506),"zu hoch für Tablar; ","")&amp;IF(AND(BN1506=0,OR(BW1506=1,Y1506&lt;&gt;"",S1506&lt;&gt;"",T1506&lt;&gt;"",Z1506&lt;&gt;"")),"manuell übersteuert; ","")&amp;IF(AND(BR1506=0,Q1506=0),"Gebinde unbekannt / Stellmass fehlt; ","")&amp;IF(AND(BR1506=0,N(T1506)&lt;=0,N(P1506)&lt;=0),"Menge pro Gebinde fehlt (Ist = 1 Gebinde); ","")&amp;BM1506)</f>
        <v/>
      </c>
      <c r="BF1506" s="55"/>
      <c r="BG1506" s="55"/>
      <c r="BH1506" s="62"/>
      <c r="BI1506" s="57" t="n">
        <f aca="false">N('Neue Artikel'!$D$34)</f>
        <v>0</v>
      </c>
      <c r="BJ1506" s="57" t="n">
        <v>0</v>
      </c>
      <c r="BK1506" s="56" t="n">
        <v>0</v>
      </c>
      <c r="BL1506" s="57" t="n">
        <f aca="false">N('Neue Artikel'!$C$34)/Parameter!$B$18</f>
        <v>0</v>
      </c>
      <c r="BM1506" s="55"/>
      <c r="BN1506" s="60" t="n">
        <v>1</v>
      </c>
      <c r="BO1506" s="60" t="n">
        <v>1506</v>
      </c>
      <c r="BP1506" s="55" t="str">
        <f aca="false">IF(S1506&lt;&gt;"",UPPER(TRIM(S1506)),IF(O1506="","LOSE",O1506))</f>
        <v>LOSE</v>
      </c>
      <c r="BQ1506" s="57" t="n">
        <f aca="false">IF(BP1506="LOSE",1,IF(N(T1506)&gt;0,T1506,IF(N(P1506)&gt;0,P1506,MAX(1,G1506))))</f>
        <v>1</v>
      </c>
      <c r="BR1506" s="60" t="n">
        <f aca="false">IF(BP1506="LOSE",1,0)</f>
        <v>1</v>
      </c>
      <c r="BS1506" s="59" t="n">
        <f aca="false">IF(BR1506=0,0,IF(N(R1506)&gt;0,R1506,IFERROR(VLOOKUP(D1506,Parameter!$A$35:$C$64,3,0)+0,0)))</f>
        <v>0.15</v>
      </c>
      <c r="BT1506" s="55" t="str">
        <f aca="false">IF(Y1506&lt;&gt;"",Y1506,X1506)</f>
        <v/>
      </c>
      <c r="BU1506" s="55" t="str">
        <f aca="false">IF(BT1506=1,"L1",IF(OR(BT1506=2,BT1506=3),"L23",IF(BT1506="Aussen","Aussen","-")))</f>
        <v>-</v>
      </c>
      <c r="BV1506" s="66" t="n">
        <f aca="false">IF(N(Z1506)&gt;0,Z1506,0)</f>
        <v>0</v>
      </c>
      <c r="BW1506" s="60" t="n">
        <f aca="false">IF(ISNUMBER(AC1506),1,0)</f>
        <v>0</v>
      </c>
      <c r="BX1506" s="57" t="n">
        <f aca="false">N(AC1506)</f>
        <v>0</v>
      </c>
      <c r="BY1506" s="57" t="n">
        <f aca="false">N(L1506)+N(M1506)</f>
        <v>0</v>
      </c>
      <c r="BZ1506" s="57" t="n">
        <f aca="false">ROUNDUP(G1506/BQ1506,0)</f>
        <v>0</v>
      </c>
      <c r="CA1506" s="57" t="n">
        <f aca="false">ROUNDUP(BX1506/BQ1506,0)</f>
        <v>0</v>
      </c>
      <c r="CB1506" s="60" t="n">
        <f aca="false">IF(BR1506=1,0,IFERROR(VLOOKUP(BP1506,'Gebinde-Kategorie'!$A$5:$M$45,5,0)+0,0))</f>
        <v>0</v>
      </c>
      <c r="CC1506" s="60" t="n">
        <f aca="false">IFERROR(IF(OR(BT1506=1,BT1506=2,BT1506=3),N(INDEX(Parameter!$I$5:$I$7,BT1506)),0),0)</f>
        <v>0</v>
      </c>
      <c r="CD1506" s="59" t="n">
        <f aca="false">IF(AND(Parameter!$B$21="Ja",ISNUMBER(U1506),N(V1506)&gt;0),IFERROR(N(INDEX(Parameter!$L$5:$L$7,U1506))*INDEX(Parameter!$E$5:$E$7,U1506)*V1506/SUMIFS($V$7:$V$1576,$U$7:$U$1576,U1506),0),0)</f>
        <v>0</v>
      </c>
    </row>
    <row r="1507" customFormat="false" ht="15" hidden="false" customHeight="false" outlineLevel="0" collapsed="false">
      <c r="A1507" s="55" t="str">
        <f aca="false">IF('Neue Artikel'!$A$35="","",'Neue Artikel'!$A$35&amp;"")</f>
        <v/>
      </c>
      <c r="B1507" s="55" t="str">
        <f aca="false">'Neue Artikel'!$B$35&amp;""</f>
        <v/>
      </c>
      <c r="C1507" s="55"/>
      <c r="D1507" s="55" t="s">
        <v>2561</v>
      </c>
      <c r="E1507" s="55"/>
      <c r="F1507" s="56" t="n">
        <f aca="false">N('Neue Artikel'!$G$35)</f>
        <v>0</v>
      </c>
      <c r="G1507" s="57" t="n">
        <f aca="false">MAX(0,IF(AND(Parameter!$B$21="Ja",ISNUMBER(W1507)),W1507,IF(Parameter!$B$20="Jahresanfang 2025 + Export",BJ1507+BI1507,BI1507)))</f>
        <v>0</v>
      </c>
      <c r="H1507" s="57" t="n">
        <f aca="false">G1507*F1507</f>
        <v>0</v>
      </c>
      <c r="I1507" s="57" t="n">
        <f aca="false">BL1507*Parameter!$B$18</f>
        <v>0</v>
      </c>
      <c r="J1507" s="58"/>
      <c r="K1507" s="59"/>
      <c r="L1507" s="57" t="n">
        <f aca="false">N('Neue Artikel'!$E$35)</f>
        <v>0</v>
      </c>
      <c r="M1507" s="57" t="n">
        <f aca="false">N('Neue Artikel'!$F$35)</f>
        <v>0</v>
      </c>
      <c r="N1507" s="60"/>
      <c r="O1507" s="55" t="str">
        <f aca="false">IF('Neue Artikel'!$H$35="","LOSE",UPPER(TRIM('Neue Artikel'!$H$35)))</f>
        <v>LOSE</v>
      </c>
      <c r="P1507" s="57" t="n">
        <f aca="false">N('Neue Artikel'!$I$35)</f>
        <v>0</v>
      </c>
      <c r="Q1507" s="60" t="n">
        <f aca="false">IF(BR1507=1,0,IFERROR(VLOOKUP(BP1507,'Gebinde-Kategorie'!$A$5:$M$45,13,0)+0,0))</f>
        <v>0</v>
      </c>
      <c r="R1507" s="61"/>
      <c r="S1507" s="62"/>
      <c r="T1507" s="62"/>
      <c r="U1507" s="55"/>
      <c r="V1507" s="57"/>
      <c r="W1507" s="57"/>
      <c r="X1507" s="55" t="str">
        <f aca="false">IF(A1507="","",IF(AND(Parameter!$B$21="Ja",ISNUMBER(U1507)),U1507,IF(IFERROR(VLOOKUP(D1507,Parameter!$A$35:$C$64,2,0),"Nein")="2+3",IF(ISNUMBER(SEARCH("grosser Artikel",BM1507)),2,IFERROR(VLOOKUP(BP1507,Parameter!$F$35:$G$64,2,0),2)),IF(OR(IFERROR(VLOOKUP(D1507,Parameter!$A$35:$C$64,2,0),"Nein")="Nein",IFERROR(VLOOKUP(D1507,Parameter!$A$35:$C$64,2,0),"Nein")=""),"-",VLOOKUP(D1507,Parameter!$A$35:$C$64,2,0)))))</f>
        <v/>
      </c>
      <c r="Y1507" s="55" t="str">
        <f aca="false">IF('Neue Artikel'!$J$35="","",'Neue Artikel'!$J$35)</f>
        <v/>
      </c>
      <c r="Z1507" s="63"/>
      <c r="AA1507" s="57" t="n">
        <f aca="false">AP1507</f>
        <v>0</v>
      </c>
      <c r="AB1507" s="57" t="n">
        <f aca="false">MAX(AP1507,G1507)</f>
        <v>0</v>
      </c>
      <c r="AC1507" s="64"/>
      <c r="AD1507" s="57" t="n">
        <f aca="false">IF(LEFT(Cockpit!$C$5,1)="A",G1507,IF(BW1507=1,BX1507,IF(LEFT(Cockpit!$C$5,1)="B",AH1507,MAX(AH1507,G1507))))</f>
        <v>0</v>
      </c>
      <c r="AE1507" s="57" t="n">
        <f aca="false">IF(BR1507=1,0,ROUNDUP(AD1507/BQ1507,0))</f>
        <v>0</v>
      </c>
      <c r="AF1507" s="59" t="n">
        <f aca="false">IF(CD1507&gt;0,CD1507*MAX(1,AD1507/V1507),IF(BR1507=1,IF(AD1507&lt;=0,0,BS1507*MAX(1,IF(G1507&gt;0,AD1507/G1507,1))),IF(Q1507&gt;0,AE1507/Q1507,0))/MAX(0.1,N(Parameter!$M$21)))</f>
        <v>0</v>
      </c>
      <c r="AG1507" s="57" t="n">
        <f aca="false">AD1507*F1507</f>
        <v>0</v>
      </c>
      <c r="AH1507" s="57" t="n">
        <f aca="false">ROUNDUP(MAX(I1507/IF(BV1507&gt;0,BV1507,MAX(0.1,N(Cockpit!$C$6))),BY1507)/BQ1507,0)*BQ1507</f>
        <v>0</v>
      </c>
      <c r="AI1507" s="58" t="n">
        <f aca="false">IF(AF1507&gt;0,I1507/AF1507,-1)</f>
        <v>-1</v>
      </c>
      <c r="AJ1507" s="58" t="str">
        <f aca="false">IF(AND(OR(BU1507="L1",BU1507="L23"),AF1507&gt;0),SUMIFS($AF$7:$AF$1576,$BU$7:$BU$1576,BU1507,$AI$7:$AI$1576,"&gt;"&amp;AI1507)+SUMIFS($AF$7:$AF$1576,$BU$7:$BU$1576,BU1507,$AI$7:$AI$1576,AI1507,$BO$7:$BO$1576,"&lt;="&amp;BO1507),"")</f>
        <v/>
      </c>
      <c r="AK1507" s="65" t="n">
        <f aca="false">IF(AJ1507="",0,MAX(0,MIN(1,(IF(BU1507="L1",Parameter!$E$5,Parameter!$E$6+Parameter!$E$7)-(AJ1507-AF1507))/AF1507)))</f>
        <v>0</v>
      </c>
      <c r="AL1507" s="57" t="n">
        <f aca="false">IF(LEFT(Cockpit!$I$5,1)="A",G1507,IF(BW1507=1,BX1507,IF(LEFT(Cockpit!$I$5,1)="B",AP1507,MAX(AP1507,G1507))))</f>
        <v>0</v>
      </c>
      <c r="AM1507" s="57" t="n">
        <f aca="false">IF(BR1507=1,0,ROUNDUP(AL1507/BQ1507,0))</f>
        <v>0</v>
      </c>
      <c r="AN1507" s="59" t="n">
        <f aca="false">IF(CD1507&gt;0,CD1507*MAX(1,AL1507/V1507),IF(BR1507=1,IF(AL1507&lt;=0,0,BS1507*MAX(1,IF(G1507&gt;0,AL1507/G1507,1))),IF(Q1507&gt;0,AM1507/Q1507,0))/MAX(0.1,N(Parameter!$M$21)))</f>
        <v>0</v>
      </c>
      <c r="AO1507" s="57" t="n">
        <f aca="false">AL1507*F1507</f>
        <v>0</v>
      </c>
      <c r="AP1507" s="57" t="n">
        <f aca="false">ROUNDUP(MAX(I1507/IF(BV1507&gt;0,BV1507,MAX(0.1,N(Cockpit!$I$6))),BY1507)/BQ1507,0)*BQ1507</f>
        <v>0</v>
      </c>
      <c r="AQ1507" s="58" t="n">
        <f aca="false">IF(AN1507&gt;0,I1507/AN1507,-1)</f>
        <v>-1</v>
      </c>
      <c r="AR1507" s="58" t="str">
        <f aca="false">IF(AND(OR(BU1507="L1",BU1507="L23"),AN1507&gt;0),SUMIFS($AN$7:$AN$1576,$BU$7:$BU$1576,BU1507,$AQ$7:$AQ$1576,"&gt;"&amp;AQ1507)+SUMIFS($AN$7:$AN$1576,$BU$7:$BU$1576,BU1507,$AQ$7:$AQ$1576,AQ1507,$BO$7:$BO$1576,"&lt;="&amp;BO1507),"")</f>
        <v/>
      </c>
      <c r="AS1507" s="65" t="n">
        <f aca="false">IF(AR1507="",0,MAX(0,MIN(1,(IF(BU1507="L1",Parameter!$E$5,Parameter!$E$6+Parameter!$E$7)-(AR1507-AN1507))/AN1507)))</f>
        <v>0</v>
      </c>
      <c r="AT1507" s="57" t="n">
        <f aca="false">IF(LEFT(Cockpit!$O$5,1)="A",G1507,IF(BW1507=1,BX1507,IF(LEFT(Cockpit!$O$5,1)="B",AX1507,MAX(AX1507,G1507))))</f>
        <v>0</v>
      </c>
      <c r="AU1507" s="57" t="n">
        <f aca="false">IF(BR1507=1,0,ROUNDUP(AT1507/BQ1507,0))</f>
        <v>0</v>
      </c>
      <c r="AV1507" s="59" t="n">
        <f aca="false">IF(CD1507&gt;0,CD1507*MAX(1,AT1507/V1507),IF(BR1507=1,IF(AT1507&lt;=0,0,BS1507*MAX(1,IF(G1507&gt;0,AT1507/G1507,1))),IF(Q1507&gt;0,AU1507/Q1507,0))/MAX(0.1,N(Parameter!$M$21)))</f>
        <v>0</v>
      </c>
      <c r="AW1507" s="57" t="n">
        <f aca="false">AT1507*F1507</f>
        <v>0</v>
      </c>
      <c r="AX1507" s="57" t="n">
        <f aca="false">ROUNDUP(MAX(I1507/IF(BV1507&gt;0,BV1507,MAX(0.1,N(Cockpit!$O$6))),BY1507)/BQ1507,0)*BQ1507</f>
        <v>0</v>
      </c>
      <c r="AY1507" s="58" t="n">
        <f aca="false">IF(AV1507&gt;0,I1507/AV1507,-1)</f>
        <v>-1</v>
      </c>
      <c r="AZ1507" s="58" t="str">
        <f aca="false">IF(AND(OR(BU1507="L1",BU1507="L23"),AV1507&gt;0),SUMIFS($AV$7:$AV$1576,$BU$7:$BU$1576,BU1507,$AY$7:$AY$1576,"&gt;"&amp;AY1507)+SUMIFS($AV$7:$AV$1576,$BU$7:$BU$1576,BU1507,$AY$7:$AY$1576,AY1507,$BO$7:$BO$1576,"&lt;="&amp;BO1507),"")</f>
        <v/>
      </c>
      <c r="BA1507" s="65" t="n">
        <f aca="false">IF(AZ1507="",0,MAX(0,MIN(1,(IF(BU1507="L1",Parameter!$E$5,Parameter!$E$6+Parameter!$E$7)-(AZ1507-AV1507))/AV1507)))</f>
        <v>0</v>
      </c>
      <c r="BB1507" s="55" t="str">
        <f aca="false">IF(AF1507&lt;=0,"",IF(BU1507="Aussen","Aussenlager",IF(BU1507="-","Nicht im Lift",IF(AK1507&gt;=1,"Lift",IF(AK1507&lt;=0,"Aussenlager","teilweise")))))</f>
        <v/>
      </c>
      <c r="BC1507" s="55" t="str">
        <f aca="false">IF(AN1507&lt;=0,"",IF(BU1507="Aussen","Aussenlager",IF(BU1507="-","Nicht im Lift",IF(AS1507&gt;=1,"Lift",IF(AS1507&lt;=0,"Aussenlager","teilweise")))))</f>
        <v/>
      </c>
      <c r="BD1507" s="55" t="str">
        <f aca="false">IF(AV1507&lt;=0,"",IF(BU1507="Aussen","Aussenlager",IF(BU1507="-","Nicht im Lift",IF(BA1507&gt;=1,"Lift",IF(BA1507&lt;=0,"Aussenlager","teilweise")))))</f>
        <v/>
      </c>
      <c r="BE1507" s="55" t="str">
        <f aca="false">IF(A1507="","",IF(BN1507=1,"Neu; ","")&amp;IF(AND(BN1507=0,BI1507&lt;0),"negativer Bestand (Export "&amp;BI1507&amp;"); ","")&amp;IF(I1507&lt;=0,"Kein Verbrauch; ","")&amp;IF(CD1507&gt;0,"Lift "&amp;U1507&amp;" lt. Liftbericht (Fach "&amp;V1507&amp;" Stk); ",IF(BR1507=1,"Lose – Fläche geschätzt; ",""))&amp;IF(G1507&gt;AP1507,"Überbestand "&amp;ROUND(G1507-AP1507,0)&amp;" Stk / CHF "&amp;ROUND((G1507-AP1507)*F1507,0)&amp;"; ","")&amp;IF(AND(BW1507=1,BX1507&lt;BY1507),"MAX &lt; MB+LG; ","")&amp;IF(AND(CC1507&gt;0,CB1507*10&gt;CC1507),"zu hoch für Tablar; ","")&amp;IF(AND(BN1507=0,OR(BW1507=1,Y1507&lt;&gt;"",S1507&lt;&gt;"",T1507&lt;&gt;"",Z1507&lt;&gt;"")),"manuell übersteuert; ","")&amp;IF(AND(BR1507=0,Q1507=0),"Gebinde unbekannt / Stellmass fehlt; ","")&amp;IF(AND(BR1507=0,N(T1507)&lt;=0,N(P1507)&lt;=0),"Menge pro Gebinde fehlt (Ist = 1 Gebinde); ","")&amp;BM1507)</f>
        <v/>
      </c>
      <c r="BF1507" s="55"/>
      <c r="BG1507" s="55"/>
      <c r="BH1507" s="62"/>
      <c r="BI1507" s="57" t="n">
        <f aca="false">N('Neue Artikel'!$D$35)</f>
        <v>0</v>
      </c>
      <c r="BJ1507" s="57" t="n">
        <v>0</v>
      </c>
      <c r="BK1507" s="56" t="n">
        <v>0</v>
      </c>
      <c r="BL1507" s="57" t="n">
        <f aca="false">N('Neue Artikel'!$C$35)/Parameter!$B$18</f>
        <v>0</v>
      </c>
      <c r="BM1507" s="55"/>
      <c r="BN1507" s="60" t="n">
        <v>1</v>
      </c>
      <c r="BO1507" s="60" t="n">
        <v>1507</v>
      </c>
      <c r="BP1507" s="55" t="str">
        <f aca="false">IF(S1507&lt;&gt;"",UPPER(TRIM(S1507)),IF(O1507="","LOSE",O1507))</f>
        <v>LOSE</v>
      </c>
      <c r="BQ1507" s="57" t="n">
        <f aca="false">IF(BP1507="LOSE",1,IF(N(T1507)&gt;0,T1507,IF(N(P1507)&gt;0,P1507,MAX(1,G1507))))</f>
        <v>1</v>
      </c>
      <c r="BR1507" s="60" t="n">
        <f aca="false">IF(BP1507="LOSE",1,0)</f>
        <v>1</v>
      </c>
      <c r="BS1507" s="59" t="n">
        <f aca="false">IF(BR1507=0,0,IF(N(R1507)&gt;0,R1507,IFERROR(VLOOKUP(D1507,Parameter!$A$35:$C$64,3,0)+0,0)))</f>
        <v>0.15</v>
      </c>
      <c r="BT1507" s="55" t="str">
        <f aca="false">IF(Y1507&lt;&gt;"",Y1507,X1507)</f>
        <v/>
      </c>
      <c r="BU1507" s="55" t="str">
        <f aca="false">IF(BT1507=1,"L1",IF(OR(BT1507=2,BT1507=3),"L23",IF(BT1507="Aussen","Aussen","-")))</f>
        <v>-</v>
      </c>
      <c r="BV1507" s="66" t="n">
        <f aca="false">IF(N(Z1507)&gt;0,Z1507,0)</f>
        <v>0</v>
      </c>
      <c r="BW1507" s="60" t="n">
        <f aca="false">IF(ISNUMBER(AC1507),1,0)</f>
        <v>0</v>
      </c>
      <c r="BX1507" s="57" t="n">
        <f aca="false">N(AC1507)</f>
        <v>0</v>
      </c>
      <c r="BY1507" s="57" t="n">
        <f aca="false">N(L1507)+N(M1507)</f>
        <v>0</v>
      </c>
      <c r="BZ1507" s="57" t="n">
        <f aca="false">ROUNDUP(G1507/BQ1507,0)</f>
        <v>0</v>
      </c>
      <c r="CA1507" s="57" t="n">
        <f aca="false">ROUNDUP(BX1507/BQ1507,0)</f>
        <v>0</v>
      </c>
      <c r="CB1507" s="60" t="n">
        <f aca="false">IF(BR1507=1,0,IFERROR(VLOOKUP(BP1507,'Gebinde-Kategorie'!$A$5:$M$45,5,0)+0,0))</f>
        <v>0</v>
      </c>
      <c r="CC1507" s="60" t="n">
        <f aca="false">IFERROR(IF(OR(BT1507=1,BT1507=2,BT1507=3),N(INDEX(Parameter!$I$5:$I$7,BT1507)),0),0)</f>
        <v>0</v>
      </c>
      <c r="CD1507" s="59" t="n">
        <f aca="false">IF(AND(Parameter!$B$21="Ja",ISNUMBER(U1507),N(V1507)&gt;0),IFERROR(N(INDEX(Parameter!$L$5:$L$7,U1507))*INDEX(Parameter!$E$5:$E$7,U1507)*V1507/SUMIFS($V$7:$V$1576,$U$7:$U$1576,U1507),0),0)</f>
        <v>0</v>
      </c>
    </row>
    <row r="1508" customFormat="false" ht="15" hidden="false" customHeight="false" outlineLevel="0" collapsed="false">
      <c r="A1508" s="55" t="str">
        <f aca="false">IF('Neue Artikel'!$A$36="","",'Neue Artikel'!$A$36&amp;"")</f>
        <v/>
      </c>
      <c r="B1508" s="55" t="str">
        <f aca="false">'Neue Artikel'!$B$36&amp;""</f>
        <v/>
      </c>
      <c r="C1508" s="55"/>
      <c r="D1508" s="55" t="s">
        <v>2561</v>
      </c>
      <c r="E1508" s="55"/>
      <c r="F1508" s="56" t="n">
        <f aca="false">N('Neue Artikel'!$G$36)</f>
        <v>0</v>
      </c>
      <c r="G1508" s="57" t="n">
        <f aca="false">MAX(0,IF(AND(Parameter!$B$21="Ja",ISNUMBER(W1508)),W1508,IF(Parameter!$B$20="Jahresanfang 2025 + Export",BJ1508+BI1508,BI1508)))</f>
        <v>0</v>
      </c>
      <c r="H1508" s="57" t="n">
        <f aca="false">G1508*F1508</f>
        <v>0</v>
      </c>
      <c r="I1508" s="57" t="n">
        <f aca="false">BL1508*Parameter!$B$18</f>
        <v>0</v>
      </c>
      <c r="J1508" s="58"/>
      <c r="K1508" s="59"/>
      <c r="L1508" s="57" t="n">
        <f aca="false">N('Neue Artikel'!$E$36)</f>
        <v>0</v>
      </c>
      <c r="M1508" s="57" t="n">
        <f aca="false">N('Neue Artikel'!$F$36)</f>
        <v>0</v>
      </c>
      <c r="N1508" s="60"/>
      <c r="O1508" s="55" t="str">
        <f aca="false">IF('Neue Artikel'!$H$36="","LOSE",UPPER(TRIM('Neue Artikel'!$H$36)))</f>
        <v>LOSE</v>
      </c>
      <c r="P1508" s="57" t="n">
        <f aca="false">N('Neue Artikel'!$I$36)</f>
        <v>0</v>
      </c>
      <c r="Q1508" s="60" t="n">
        <f aca="false">IF(BR1508=1,0,IFERROR(VLOOKUP(BP1508,'Gebinde-Kategorie'!$A$5:$M$45,13,0)+0,0))</f>
        <v>0</v>
      </c>
      <c r="R1508" s="61"/>
      <c r="S1508" s="62"/>
      <c r="T1508" s="62"/>
      <c r="U1508" s="55"/>
      <c r="V1508" s="57"/>
      <c r="W1508" s="57"/>
      <c r="X1508" s="55" t="str">
        <f aca="false">IF(A1508="","",IF(AND(Parameter!$B$21="Ja",ISNUMBER(U1508)),U1508,IF(IFERROR(VLOOKUP(D1508,Parameter!$A$35:$C$64,2,0),"Nein")="2+3",IF(ISNUMBER(SEARCH("grosser Artikel",BM1508)),2,IFERROR(VLOOKUP(BP1508,Parameter!$F$35:$G$64,2,0),2)),IF(OR(IFERROR(VLOOKUP(D1508,Parameter!$A$35:$C$64,2,0),"Nein")="Nein",IFERROR(VLOOKUP(D1508,Parameter!$A$35:$C$64,2,0),"Nein")=""),"-",VLOOKUP(D1508,Parameter!$A$35:$C$64,2,0)))))</f>
        <v/>
      </c>
      <c r="Y1508" s="55" t="str">
        <f aca="false">IF('Neue Artikel'!$J$36="","",'Neue Artikel'!$J$36)</f>
        <v/>
      </c>
      <c r="Z1508" s="63"/>
      <c r="AA1508" s="57" t="n">
        <f aca="false">AP1508</f>
        <v>0</v>
      </c>
      <c r="AB1508" s="57" t="n">
        <f aca="false">MAX(AP1508,G1508)</f>
        <v>0</v>
      </c>
      <c r="AC1508" s="64"/>
      <c r="AD1508" s="57" t="n">
        <f aca="false">IF(LEFT(Cockpit!$C$5,1)="A",G1508,IF(BW1508=1,BX1508,IF(LEFT(Cockpit!$C$5,1)="B",AH1508,MAX(AH1508,G1508))))</f>
        <v>0</v>
      </c>
      <c r="AE1508" s="57" t="n">
        <f aca="false">IF(BR1508=1,0,ROUNDUP(AD1508/BQ1508,0))</f>
        <v>0</v>
      </c>
      <c r="AF1508" s="59" t="n">
        <f aca="false">IF(CD1508&gt;0,CD1508*MAX(1,AD1508/V1508),IF(BR1508=1,IF(AD1508&lt;=0,0,BS1508*MAX(1,IF(G1508&gt;0,AD1508/G1508,1))),IF(Q1508&gt;0,AE1508/Q1508,0))/MAX(0.1,N(Parameter!$M$21)))</f>
        <v>0</v>
      </c>
      <c r="AG1508" s="57" t="n">
        <f aca="false">AD1508*F1508</f>
        <v>0</v>
      </c>
      <c r="AH1508" s="57" t="n">
        <f aca="false">ROUNDUP(MAX(I1508/IF(BV1508&gt;0,BV1508,MAX(0.1,N(Cockpit!$C$6))),BY1508)/BQ1508,0)*BQ1508</f>
        <v>0</v>
      </c>
      <c r="AI1508" s="58" t="n">
        <f aca="false">IF(AF1508&gt;0,I1508/AF1508,-1)</f>
        <v>-1</v>
      </c>
      <c r="AJ1508" s="58" t="str">
        <f aca="false">IF(AND(OR(BU1508="L1",BU1508="L23"),AF1508&gt;0),SUMIFS($AF$7:$AF$1576,$BU$7:$BU$1576,BU1508,$AI$7:$AI$1576,"&gt;"&amp;AI1508)+SUMIFS($AF$7:$AF$1576,$BU$7:$BU$1576,BU1508,$AI$7:$AI$1576,AI1508,$BO$7:$BO$1576,"&lt;="&amp;BO1508),"")</f>
        <v/>
      </c>
      <c r="AK1508" s="65" t="n">
        <f aca="false">IF(AJ1508="",0,MAX(0,MIN(1,(IF(BU1508="L1",Parameter!$E$5,Parameter!$E$6+Parameter!$E$7)-(AJ1508-AF1508))/AF1508)))</f>
        <v>0</v>
      </c>
      <c r="AL1508" s="57" t="n">
        <f aca="false">IF(LEFT(Cockpit!$I$5,1)="A",G1508,IF(BW1508=1,BX1508,IF(LEFT(Cockpit!$I$5,1)="B",AP1508,MAX(AP1508,G1508))))</f>
        <v>0</v>
      </c>
      <c r="AM1508" s="57" t="n">
        <f aca="false">IF(BR1508=1,0,ROUNDUP(AL1508/BQ1508,0))</f>
        <v>0</v>
      </c>
      <c r="AN1508" s="59" t="n">
        <f aca="false">IF(CD1508&gt;0,CD1508*MAX(1,AL1508/V1508),IF(BR1508=1,IF(AL1508&lt;=0,0,BS1508*MAX(1,IF(G1508&gt;0,AL1508/G1508,1))),IF(Q1508&gt;0,AM1508/Q1508,0))/MAX(0.1,N(Parameter!$M$21)))</f>
        <v>0</v>
      </c>
      <c r="AO1508" s="57" t="n">
        <f aca="false">AL1508*F1508</f>
        <v>0</v>
      </c>
      <c r="AP1508" s="57" t="n">
        <f aca="false">ROUNDUP(MAX(I1508/IF(BV1508&gt;0,BV1508,MAX(0.1,N(Cockpit!$I$6))),BY1508)/BQ1508,0)*BQ1508</f>
        <v>0</v>
      </c>
      <c r="AQ1508" s="58" t="n">
        <f aca="false">IF(AN1508&gt;0,I1508/AN1508,-1)</f>
        <v>-1</v>
      </c>
      <c r="AR1508" s="58" t="str">
        <f aca="false">IF(AND(OR(BU1508="L1",BU1508="L23"),AN1508&gt;0),SUMIFS($AN$7:$AN$1576,$BU$7:$BU$1576,BU1508,$AQ$7:$AQ$1576,"&gt;"&amp;AQ1508)+SUMIFS($AN$7:$AN$1576,$BU$7:$BU$1576,BU1508,$AQ$7:$AQ$1576,AQ1508,$BO$7:$BO$1576,"&lt;="&amp;BO1508),"")</f>
        <v/>
      </c>
      <c r="AS1508" s="65" t="n">
        <f aca="false">IF(AR1508="",0,MAX(0,MIN(1,(IF(BU1508="L1",Parameter!$E$5,Parameter!$E$6+Parameter!$E$7)-(AR1508-AN1508))/AN1508)))</f>
        <v>0</v>
      </c>
      <c r="AT1508" s="57" t="n">
        <f aca="false">IF(LEFT(Cockpit!$O$5,1)="A",G1508,IF(BW1508=1,BX1508,IF(LEFT(Cockpit!$O$5,1)="B",AX1508,MAX(AX1508,G1508))))</f>
        <v>0</v>
      </c>
      <c r="AU1508" s="57" t="n">
        <f aca="false">IF(BR1508=1,0,ROUNDUP(AT1508/BQ1508,0))</f>
        <v>0</v>
      </c>
      <c r="AV1508" s="59" t="n">
        <f aca="false">IF(CD1508&gt;0,CD1508*MAX(1,AT1508/V1508),IF(BR1508=1,IF(AT1508&lt;=0,0,BS1508*MAX(1,IF(G1508&gt;0,AT1508/G1508,1))),IF(Q1508&gt;0,AU1508/Q1508,0))/MAX(0.1,N(Parameter!$M$21)))</f>
        <v>0</v>
      </c>
      <c r="AW1508" s="57" t="n">
        <f aca="false">AT1508*F1508</f>
        <v>0</v>
      </c>
      <c r="AX1508" s="57" t="n">
        <f aca="false">ROUNDUP(MAX(I1508/IF(BV1508&gt;0,BV1508,MAX(0.1,N(Cockpit!$O$6))),BY1508)/BQ1508,0)*BQ1508</f>
        <v>0</v>
      </c>
      <c r="AY1508" s="58" t="n">
        <f aca="false">IF(AV1508&gt;0,I1508/AV1508,-1)</f>
        <v>-1</v>
      </c>
      <c r="AZ1508" s="58" t="str">
        <f aca="false">IF(AND(OR(BU1508="L1",BU1508="L23"),AV1508&gt;0),SUMIFS($AV$7:$AV$1576,$BU$7:$BU$1576,BU1508,$AY$7:$AY$1576,"&gt;"&amp;AY1508)+SUMIFS($AV$7:$AV$1576,$BU$7:$BU$1576,BU1508,$AY$7:$AY$1576,AY1508,$BO$7:$BO$1576,"&lt;="&amp;BO1508),"")</f>
        <v/>
      </c>
      <c r="BA1508" s="65" t="n">
        <f aca="false">IF(AZ1508="",0,MAX(0,MIN(1,(IF(BU1508="L1",Parameter!$E$5,Parameter!$E$6+Parameter!$E$7)-(AZ1508-AV1508))/AV1508)))</f>
        <v>0</v>
      </c>
      <c r="BB1508" s="55" t="str">
        <f aca="false">IF(AF1508&lt;=0,"",IF(BU1508="Aussen","Aussenlager",IF(BU1508="-","Nicht im Lift",IF(AK1508&gt;=1,"Lift",IF(AK1508&lt;=0,"Aussenlager","teilweise")))))</f>
        <v/>
      </c>
      <c r="BC1508" s="55" t="str">
        <f aca="false">IF(AN1508&lt;=0,"",IF(BU1508="Aussen","Aussenlager",IF(BU1508="-","Nicht im Lift",IF(AS1508&gt;=1,"Lift",IF(AS1508&lt;=0,"Aussenlager","teilweise")))))</f>
        <v/>
      </c>
      <c r="BD1508" s="55" t="str">
        <f aca="false">IF(AV1508&lt;=0,"",IF(BU1508="Aussen","Aussenlager",IF(BU1508="-","Nicht im Lift",IF(BA1508&gt;=1,"Lift",IF(BA1508&lt;=0,"Aussenlager","teilweise")))))</f>
        <v/>
      </c>
      <c r="BE1508" s="55" t="str">
        <f aca="false">IF(A1508="","",IF(BN1508=1,"Neu; ","")&amp;IF(AND(BN1508=0,BI1508&lt;0),"negativer Bestand (Export "&amp;BI1508&amp;"); ","")&amp;IF(I1508&lt;=0,"Kein Verbrauch; ","")&amp;IF(CD1508&gt;0,"Lift "&amp;U1508&amp;" lt. Liftbericht (Fach "&amp;V1508&amp;" Stk); ",IF(BR1508=1,"Lose – Fläche geschätzt; ",""))&amp;IF(G1508&gt;AP1508,"Überbestand "&amp;ROUND(G1508-AP1508,0)&amp;" Stk / CHF "&amp;ROUND((G1508-AP1508)*F1508,0)&amp;"; ","")&amp;IF(AND(BW1508=1,BX1508&lt;BY1508),"MAX &lt; MB+LG; ","")&amp;IF(AND(CC1508&gt;0,CB1508*10&gt;CC1508),"zu hoch für Tablar; ","")&amp;IF(AND(BN1508=0,OR(BW1508=1,Y1508&lt;&gt;"",S1508&lt;&gt;"",T1508&lt;&gt;"",Z1508&lt;&gt;"")),"manuell übersteuert; ","")&amp;IF(AND(BR1508=0,Q1508=0),"Gebinde unbekannt / Stellmass fehlt; ","")&amp;IF(AND(BR1508=0,N(T1508)&lt;=0,N(P1508)&lt;=0),"Menge pro Gebinde fehlt (Ist = 1 Gebinde); ","")&amp;BM1508)</f>
        <v/>
      </c>
      <c r="BF1508" s="55"/>
      <c r="BG1508" s="55"/>
      <c r="BH1508" s="62"/>
      <c r="BI1508" s="57" t="n">
        <f aca="false">N('Neue Artikel'!$D$36)</f>
        <v>0</v>
      </c>
      <c r="BJ1508" s="57" t="n">
        <v>0</v>
      </c>
      <c r="BK1508" s="56" t="n">
        <v>0</v>
      </c>
      <c r="BL1508" s="57" t="n">
        <f aca="false">N('Neue Artikel'!$C$36)/Parameter!$B$18</f>
        <v>0</v>
      </c>
      <c r="BM1508" s="55"/>
      <c r="BN1508" s="60" t="n">
        <v>1</v>
      </c>
      <c r="BO1508" s="60" t="n">
        <v>1508</v>
      </c>
      <c r="BP1508" s="55" t="str">
        <f aca="false">IF(S1508&lt;&gt;"",UPPER(TRIM(S1508)),IF(O1508="","LOSE",O1508))</f>
        <v>LOSE</v>
      </c>
      <c r="BQ1508" s="57" t="n">
        <f aca="false">IF(BP1508="LOSE",1,IF(N(T1508)&gt;0,T1508,IF(N(P1508)&gt;0,P1508,MAX(1,G1508))))</f>
        <v>1</v>
      </c>
      <c r="BR1508" s="60" t="n">
        <f aca="false">IF(BP1508="LOSE",1,0)</f>
        <v>1</v>
      </c>
      <c r="BS1508" s="59" t="n">
        <f aca="false">IF(BR1508=0,0,IF(N(R1508)&gt;0,R1508,IFERROR(VLOOKUP(D1508,Parameter!$A$35:$C$64,3,0)+0,0)))</f>
        <v>0.15</v>
      </c>
      <c r="BT1508" s="55" t="str">
        <f aca="false">IF(Y1508&lt;&gt;"",Y1508,X1508)</f>
        <v/>
      </c>
      <c r="BU1508" s="55" t="str">
        <f aca="false">IF(BT1508=1,"L1",IF(OR(BT1508=2,BT1508=3),"L23",IF(BT1508="Aussen","Aussen","-")))</f>
        <v>-</v>
      </c>
      <c r="BV1508" s="66" t="n">
        <f aca="false">IF(N(Z1508)&gt;0,Z1508,0)</f>
        <v>0</v>
      </c>
      <c r="BW1508" s="60" t="n">
        <f aca="false">IF(ISNUMBER(AC1508),1,0)</f>
        <v>0</v>
      </c>
      <c r="BX1508" s="57" t="n">
        <f aca="false">N(AC1508)</f>
        <v>0</v>
      </c>
      <c r="BY1508" s="57" t="n">
        <f aca="false">N(L1508)+N(M1508)</f>
        <v>0</v>
      </c>
      <c r="BZ1508" s="57" t="n">
        <f aca="false">ROUNDUP(G1508/BQ1508,0)</f>
        <v>0</v>
      </c>
      <c r="CA1508" s="57" t="n">
        <f aca="false">ROUNDUP(BX1508/BQ1508,0)</f>
        <v>0</v>
      </c>
      <c r="CB1508" s="60" t="n">
        <f aca="false">IF(BR1508=1,0,IFERROR(VLOOKUP(BP1508,'Gebinde-Kategorie'!$A$5:$M$45,5,0)+0,0))</f>
        <v>0</v>
      </c>
      <c r="CC1508" s="60" t="n">
        <f aca="false">IFERROR(IF(OR(BT1508=1,BT1508=2,BT1508=3),N(INDEX(Parameter!$I$5:$I$7,BT1508)),0),0)</f>
        <v>0</v>
      </c>
      <c r="CD1508" s="59" t="n">
        <f aca="false">IF(AND(Parameter!$B$21="Ja",ISNUMBER(U1508),N(V1508)&gt;0),IFERROR(N(INDEX(Parameter!$L$5:$L$7,U1508))*INDEX(Parameter!$E$5:$E$7,U1508)*V1508/SUMIFS($V$7:$V$1576,$U$7:$U$1576,U1508),0),0)</f>
        <v>0</v>
      </c>
    </row>
    <row r="1509" customFormat="false" ht="15" hidden="false" customHeight="false" outlineLevel="0" collapsed="false">
      <c r="A1509" s="55" t="str">
        <f aca="false">IF('Neue Artikel'!$A$37="","",'Neue Artikel'!$A$37&amp;"")</f>
        <v/>
      </c>
      <c r="B1509" s="55" t="str">
        <f aca="false">'Neue Artikel'!$B$37&amp;""</f>
        <v/>
      </c>
      <c r="C1509" s="55"/>
      <c r="D1509" s="55" t="s">
        <v>2561</v>
      </c>
      <c r="E1509" s="55"/>
      <c r="F1509" s="56" t="n">
        <f aca="false">N('Neue Artikel'!$G$37)</f>
        <v>0</v>
      </c>
      <c r="G1509" s="57" t="n">
        <f aca="false">MAX(0,IF(AND(Parameter!$B$21="Ja",ISNUMBER(W1509)),W1509,IF(Parameter!$B$20="Jahresanfang 2025 + Export",BJ1509+BI1509,BI1509)))</f>
        <v>0</v>
      </c>
      <c r="H1509" s="57" t="n">
        <f aca="false">G1509*F1509</f>
        <v>0</v>
      </c>
      <c r="I1509" s="57" t="n">
        <f aca="false">BL1509*Parameter!$B$18</f>
        <v>0</v>
      </c>
      <c r="J1509" s="58"/>
      <c r="K1509" s="59"/>
      <c r="L1509" s="57" t="n">
        <f aca="false">N('Neue Artikel'!$E$37)</f>
        <v>0</v>
      </c>
      <c r="M1509" s="57" t="n">
        <f aca="false">N('Neue Artikel'!$F$37)</f>
        <v>0</v>
      </c>
      <c r="N1509" s="60"/>
      <c r="O1509" s="55" t="str">
        <f aca="false">IF('Neue Artikel'!$H$37="","LOSE",UPPER(TRIM('Neue Artikel'!$H$37)))</f>
        <v>LOSE</v>
      </c>
      <c r="P1509" s="57" t="n">
        <f aca="false">N('Neue Artikel'!$I$37)</f>
        <v>0</v>
      </c>
      <c r="Q1509" s="60" t="n">
        <f aca="false">IF(BR1509=1,0,IFERROR(VLOOKUP(BP1509,'Gebinde-Kategorie'!$A$5:$M$45,13,0)+0,0))</f>
        <v>0</v>
      </c>
      <c r="R1509" s="61"/>
      <c r="S1509" s="62"/>
      <c r="T1509" s="62"/>
      <c r="U1509" s="55"/>
      <c r="V1509" s="57"/>
      <c r="W1509" s="57"/>
      <c r="X1509" s="55" t="str">
        <f aca="false">IF(A1509="","",IF(AND(Parameter!$B$21="Ja",ISNUMBER(U1509)),U1509,IF(IFERROR(VLOOKUP(D1509,Parameter!$A$35:$C$64,2,0),"Nein")="2+3",IF(ISNUMBER(SEARCH("grosser Artikel",BM1509)),2,IFERROR(VLOOKUP(BP1509,Parameter!$F$35:$G$64,2,0),2)),IF(OR(IFERROR(VLOOKUP(D1509,Parameter!$A$35:$C$64,2,0),"Nein")="Nein",IFERROR(VLOOKUP(D1509,Parameter!$A$35:$C$64,2,0),"Nein")=""),"-",VLOOKUP(D1509,Parameter!$A$35:$C$64,2,0)))))</f>
        <v/>
      </c>
      <c r="Y1509" s="55" t="str">
        <f aca="false">IF('Neue Artikel'!$J$37="","",'Neue Artikel'!$J$37)</f>
        <v/>
      </c>
      <c r="Z1509" s="63"/>
      <c r="AA1509" s="57" t="n">
        <f aca="false">AP1509</f>
        <v>0</v>
      </c>
      <c r="AB1509" s="57" t="n">
        <f aca="false">MAX(AP1509,G1509)</f>
        <v>0</v>
      </c>
      <c r="AC1509" s="64"/>
      <c r="AD1509" s="57" t="n">
        <f aca="false">IF(LEFT(Cockpit!$C$5,1)="A",G1509,IF(BW1509=1,BX1509,IF(LEFT(Cockpit!$C$5,1)="B",AH1509,MAX(AH1509,G1509))))</f>
        <v>0</v>
      </c>
      <c r="AE1509" s="57" t="n">
        <f aca="false">IF(BR1509=1,0,ROUNDUP(AD1509/BQ1509,0))</f>
        <v>0</v>
      </c>
      <c r="AF1509" s="59" t="n">
        <f aca="false">IF(CD1509&gt;0,CD1509*MAX(1,AD1509/V1509),IF(BR1509=1,IF(AD1509&lt;=0,0,BS1509*MAX(1,IF(G1509&gt;0,AD1509/G1509,1))),IF(Q1509&gt;0,AE1509/Q1509,0))/MAX(0.1,N(Parameter!$M$21)))</f>
        <v>0</v>
      </c>
      <c r="AG1509" s="57" t="n">
        <f aca="false">AD1509*F1509</f>
        <v>0</v>
      </c>
      <c r="AH1509" s="57" t="n">
        <f aca="false">ROUNDUP(MAX(I1509/IF(BV1509&gt;0,BV1509,MAX(0.1,N(Cockpit!$C$6))),BY1509)/BQ1509,0)*BQ1509</f>
        <v>0</v>
      </c>
      <c r="AI1509" s="58" t="n">
        <f aca="false">IF(AF1509&gt;0,I1509/AF1509,-1)</f>
        <v>-1</v>
      </c>
      <c r="AJ1509" s="58" t="str">
        <f aca="false">IF(AND(OR(BU1509="L1",BU1509="L23"),AF1509&gt;0),SUMIFS($AF$7:$AF$1576,$BU$7:$BU$1576,BU1509,$AI$7:$AI$1576,"&gt;"&amp;AI1509)+SUMIFS($AF$7:$AF$1576,$BU$7:$BU$1576,BU1509,$AI$7:$AI$1576,AI1509,$BO$7:$BO$1576,"&lt;="&amp;BO1509),"")</f>
        <v/>
      </c>
      <c r="AK1509" s="65" t="n">
        <f aca="false">IF(AJ1509="",0,MAX(0,MIN(1,(IF(BU1509="L1",Parameter!$E$5,Parameter!$E$6+Parameter!$E$7)-(AJ1509-AF1509))/AF1509)))</f>
        <v>0</v>
      </c>
      <c r="AL1509" s="57" t="n">
        <f aca="false">IF(LEFT(Cockpit!$I$5,1)="A",G1509,IF(BW1509=1,BX1509,IF(LEFT(Cockpit!$I$5,1)="B",AP1509,MAX(AP1509,G1509))))</f>
        <v>0</v>
      </c>
      <c r="AM1509" s="57" t="n">
        <f aca="false">IF(BR1509=1,0,ROUNDUP(AL1509/BQ1509,0))</f>
        <v>0</v>
      </c>
      <c r="AN1509" s="59" t="n">
        <f aca="false">IF(CD1509&gt;0,CD1509*MAX(1,AL1509/V1509),IF(BR1509=1,IF(AL1509&lt;=0,0,BS1509*MAX(1,IF(G1509&gt;0,AL1509/G1509,1))),IF(Q1509&gt;0,AM1509/Q1509,0))/MAX(0.1,N(Parameter!$M$21)))</f>
        <v>0</v>
      </c>
      <c r="AO1509" s="57" t="n">
        <f aca="false">AL1509*F1509</f>
        <v>0</v>
      </c>
      <c r="AP1509" s="57" t="n">
        <f aca="false">ROUNDUP(MAX(I1509/IF(BV1509&gt;0,BV1509,MAX(0.1,N(Cockpit!$I$6))),BY1509)/BQ1509,0)*BQ1509</f>
        <v>0</v>
      </c>
      <c r="AQ1509" s="58" t="n">
        <f aca="false">IF(AN1509&gt;0,I1509/AN1509,-1)</f>
        <v>-1</v>
      </c>
      <c r="AR1509" s="58" t="str">
        <f aca="false">IF(AND(OR(BU1509="L1",BU1509="L23"),AN1509&gt;0),SUMIFS($AN$7:$AN$1576,$BU$7:$BU$1576,BU1509,$AQ$7:$AQ$1576,"&gt;"&amp;AQ1509)+SUMIFS($AN$7:$AN$1576,$BU$7:$BU$1576,BU1509,$AQ$7:$AQ$1576,AQ1509,$BO$7:$BO$1576,"&lt;="&amp;BO1509),"")</f>
        <v/>
      </c>
      <c r="AS1509" s="65" t="n">
        <f aca="false">IF(AR1509="",0,MAX(0,MIN(1,(IF(BU1509="L1",Parameter!$E$5,Parameter!$E$6+Parameter!$E$7)-(AR1509-AN1509))/AN1509)))</f>
        <v>0</v>
      </c>
      <c r="AT1509" s="57" t="n">
        <f aca="false">IF(LEFT(Cockpit!$O$5,1)="A",G1509,IF(BW1509=1,BX1509,IF(LEFT(Cockpit!$O$5,1)="B",AX1509,MAX(AX1509,G1509))))</f>
        <v>0</v>
      </c>
      <c r="AU1509" s="57" t="n">
        <f aca="false">IF(BR1509=1,0,ROUNDUP(AT1509/BQ1509,0))</f>
        <v>0</v>
      </c>
      <c r="AV1509" s="59" t="n">
        <f aca="false">IF(CD1509&gt;0,CD1509*MAX(1,AT1509/V1509),IF(BR1509=1,IF(AT1509&lt;=0,0,BS1509*MAX(1,IF(G1509&gt;0,AT1509/G1509,1))),IF(Q1509&gt;0,AU1509/Q1509,0))/MAX(0.1,N(Parameter!$M$21)))</f>
        <v>0</v>
      </c>
      <c r="AW1509" s="57" t="n">
        <f aca="false">AT1509*F1509</f>
        <v>0</v>
      </c>
      <c r="AX1509" s="57" t="n">
        <f aca="false">ROUNDUP(MAX(I1509/IF(BV1509&gt;0,BV1509,MAX(0.1,N(Cockpit!$O$6))),BY1509)/BQ1509,0)*BQ1509</f>
        <v>0</v>
      </c>
      <c r="AY1509" s="58" t="n">
        <f aca="false">IF(AV1509&gt;0,I1509/AV1509,-1)</f>
        <v>-1</v>
      </c>
      <c r="AZ1509" s="58" t="str">
        <f aca="false">IF(AND(OR(BU1509="L1",BU1509="L23"),AV1509&gt;0),SUMIFS($AV$7:$AV$1576,$BU$7:$BU$1576,BU1509,$AY$7:$AY$1576,"&gt;"&amp;AY1509)+SUMIFS($AV$7:$AV$1576,$BU$7:$BU$1576,BU1509,$AY$7:$AY$1576,AY1509,$BO$7:$BO$1576,"&lt;="&amp;BO1509),"")</f>
        <v/>
      </c>
      <c r="BA1509" s="65" t="n">
        <f aca="false">IF(AZ1509="",0,MAX(0,MIN(1,(IF(BU1509="L1",Parameter!$E$5,Parameter!$E$6+Parameter!$E$7)-(AZ1509-AV1509))/AV1509)))</f>
        <v>0</v>
      </c>
      <c r="BB1509" s="55" t="str">
        <f aca="false">IF(AF1509&lt;=0,"",IF(BU1509="Aussen","Aussenlager",IF(BU1509="-","Nicht im Lift",IF(AK1509&gt;=1,"Lift",IF(AK1509&lt;=0,"Aussenlager","teilweise")))))</f>
        <v/>
      </c>
      <c r="BC1509" s="55" t="str">
        <f aca="false">IF(AN1509&lt;=0,"",IF(BU1509="Aussen","Aussenlager",IF(BU1509="-","Nicht im Lift",IF(AS1509&gt;=1,"Lift",IF(AS1509&lt;=0,"Aussenlager","teilweise")))))</f>
        <v/>
      </c>
      <c r="BD1509" s="55" t="str">
        <f aca="false">IF(AV1509&lt;=0,"",IF(BU1509="Aussen","Aussenlager",IF(BU1509="-","Nicht im Lift",IF(BA1509&gt;=1,"Lift",IF(BA1509&lt;=0,"Aussenlager","teilweise")))))</f>
        <v/>
      </c>
      <c r="BE1509" s="55" t="str">
        <f aca="false">IF(A1509="","",IF(BN1509=1,"Neu; ","")&amp;IF(AND(BN1509=0,BI1509&lt;0),"negativer Bestand (Export "&amp;BI1509&amp;"); ","")&amp;IF(I1509&lt;=0,"Kein Verbrauch; ","")&amp;IF(CD1509&gt;0,"Lift "&amp;U1509&amp;" lt. Liftbericht (Fach "&amp;V1509&amp;" Stk); ",IF(BR1509=1,"Lose – Fläche geschätzt; ",""))&amp;IF(G1509&gt;AP1509,"Überbestand "&amp;ROUND(G1509-AP1509,0)&amp;" Stk / CHF "&amp;ROUND((G1509-AP1509)*F1509,0)&amp;"; ","")&amp;IF(AND(BW1509=1,BX1509&lt;BY1509),"MAX &lt; MB+LG; ","")&amp;IF(AND(CC1509&gt;0,CB1509*10&gt;CC1509),"zu hoch für Tablar; ","")&amp;IF(AND(BN1509=0,OR(BW1509=1,Y1509&lt;&gt;"",S1509&lt;&gt;"",T1509&lt;&gt;"",Z1509&lt;&gt;"")),"manuell übersteuert; ","")&amp;IF(AND(BR1509=0,Q1509=0),"Gebinde unbekannt / Stellmass fehlt; ","")&amp;IF(AND(BR1509=0,N(T1509)&lt;=0,N(P1509)&lt;=0),"Menge pro Gebinde fehlt (Ist = 1 Gebinde); ","")&amp;BM1509)</f>
        <v/>
      </c>
      <c r="BF1509" s="55"/>
      <c r="BG1509" s="55"/>
      <c r="BH1509" s="62"/>
      <c r="BI1509" s="57" t="n">
        <f aca="false">N('Neue Artikel'!$D$37)</f>
        <v>0</v>
      </c>
      <c r="BJ1509" s="57" t="n">
        <v>0</v>
      </c>
      <c r="BK1509" s="56" t="n">
        <v>0</v>
      </c>
      <c r="BL1509" s="57" t="n">
        <f aca="false">N('Neue Artikel'!$C$37)/Parameter!$B$18</f>
        <v>0</v>
      </c>
      <c r="BM1509" s="55"/>
      <c r="BN1509" s="60" t="n">
        <v>1</v>
      </c>
      <c r="BO1509" s="60" t="n">
        <v>1509</v>
      </c>
      <c r="BP1509" s="55" t="str">
        <f aca="false">IF(S1509&lt;&gt;"",UPPER(TRIM(S1509)),IF(O1509="","LOSE",O1509))</f>
        <v>LOSE</v>
      </c>
      <c r="BQ1509" s="57" t="n">
        <f aca="false">IF(BP1509="LOSE",1,IF(N(T1509)&gt;0,T1509,IF(N(P1509)&gt;0,P1509,MAX(1,G1509))))</f>
        <v>1</v>
      </c>
      <c r="BR1509" s="60" t="n">
        <f aca="false">IF(BP1509="LOSE",1,0)</f>
        <v>1</v>
      </c>
      <c r="BS1509" s="59" t="n">
        <f aca="false">IF(BR1509=0,0,IF(N(R1509)&gt;0,R1509,IFERROR(VLOOKUP(D1509,Parameter!$A$35:$C$64,3,0)+0,0)))</f>
        <v>0.15</v>
      </c>
      <c r="BT1509" s="55" t="str">
        <f aca="false">IF(Y1509&lt;&gt;"",Y1509,X1509)</f>
        <v/>
      </c>
      <c r="BU1509" s="55" t="str">
        <f aca="false">IF(BT1509=1,"L1",IF(OR(BT1509=2,BT1509=3),"L23",IF(BT1509="Aussen","Aussen","-")))</f>
        <v>-</v>
      </c>
      <c r="BV1509" s="66" t="n">
        <f aca="false">IF(N(Z1509)&gt;0,Z1509,0)</f>
        <v>0</v>
      </c>
      <c r="BW1509" s="60" t="n">
        <f aca="false">IF(ISNUMBER(AC1509),1,0)</f>
        <v>0</v>
      </c>
      <c r="BX1509" s="57" t="n">
        <f aca="false">N(AC1509)</f>
        <v>0</v>
      </c>
      <c r="BY1509" s="57" t="n">
        <f aca="false">N(L1509)+N(M1509)</f>
        <v>0</v>
      </c>
      <c r="BZ1509" s="57" t="n">
        <f aca="false">ROUNDUP(G1509/BQ1509,0)</f>
        <v>0</v>
      </c>
      <c r="CA1509" s="57" t="n">
        <f aca="false">ROUNDUP(BX1509/BQ1509,0)</f>
        <v>0</v>
      </c>
      <c r="CB1509" s="60" t="n">
        <f aca="false">IF(BR1509=1,0,IFERROR(VLOOKUP(BP1509,'Gebinde-Kategorie'!$A$5:$M$45,5,0)+0,0))</f>
        <v>0</v>
      </c>
      <c r="CC1509" s="60" t="n">
        <f aca="false">IFERROR(IF(OR(BT1509=1,BT1509=2,BT1509=3),N(INDEX(Parameter!$I$5:$I$7,BT1509)),0),0)</f>
        <v>0</v>
      </c>
      <c r="CD1509" s="59" t="n">
        <f aca="false">IF(AND(Parameter!$B$21="Ja",ISNUMBER(U1509),N(V1509)&gt;0),IFERROR(N(INDEX(Parameter!$L$5:$L$7,U1509))*INDEX(Parameter!$E$5:$E$7,U1509)*V1509/SUMIFS($V$7:$V$1576,$U$7:$U$1576,U1509),0),0)</f>
        <v>0</v>
      </c>
    </row>
    <row r="1510" customFormat="false" ht="15" hidden="false" customHeight="false" outlineLevel="0" collapsed="false">
      <c r="A1510" s="55" t="str">
        <f aca="false">IF('Neue Artikel'!$A$38="","",'Neue Artikel'!$A$38&amp;"")</f>
        <v/>
      </c>
      <c r="B1510" s="55" t="str">
        <f aca="false">'Neue Artikel'!$B$38&amp;""</f>
        <v/>
      </c>
      <c r="C1510" s="55"/>
      <c r="D1510" s="55" t="s">
        <v>2561</v>
      </c>
      <c r="E1510" s="55"/>
      <c r="F1510" s="56" t="n">
        <f aca="false">N('Neue Artikel'!$G$38)</f>
        <v>0</v>
      </c>
      <c r="G1510" s="57" t="n">
        <f aca="false">MAX(0,IF(AND(Parameter!$B$21="Ja",ISNUMBER(W1510)),W1510,IF(Parameter!$B$20="Jahresanfang 2025 + Export",BJ1510+BI1510,BI1510)))</f>
        <v>0</v>
      </c>
      <c r="H1510" s="57" t="n">
        <f aca="false">G1510*F1510</f>
        <v>0</v>
      </c>
      <c r="I1510" s="57" t="n">
        <f aca="false">BL1510*Parameter!$B$18</f>
        <v>0</v>
      </c>
      <c r="J1510" s="58"/>
      <c r="K1510" s="59"/>
      <c r="L1510" s="57" t="n">
        <f aca="false">N('Neue Artikel'!$E$38)</f>
        <v>0</v>
      </c>
      <c r="M1510" s="57" t="n">
        <f aca="false">N('Neue Artikel'!$F$38)</f>
        <v>0</v>
      </c>
      <c r="N1510" s="60"/>
      <c r="O1510" s="55" t="str">
        <f aca="false">IF('Neue Artikel'!$H$38="","LOSE",UPPER(TRIM('Neue Artikel'!$H$38)))</f>
        <v>LOSE</v>
      </c>
      <c r="P1510" s="57" t="n">
        <f aca="false">N('Neue Artikel'!$I$38)</f>
        <v>0</v>
      </c>
      <c r="Q1510" s="60" t="n">
        <f aca="false">IF(BR1510=1,0,IFERROR(VLOOKUP(BP1510,'Gebinde-Kategorie'!$A$5:$M$45,13,0)+0,0))</f>
        <v>0</v>
      </c>
      <c r="R1510" s="61"/>
      <c r="S1510" s="62"/>
      <c r="T1510" s="62"/>
      <c r="U1510" s="55"/>
      <c r="V1510" s="57"/>
      <c r="W1510" s="57"/>
      <c r="X1510" s="55" t="str">
        <f aca="false">IF(A1510="","",IF(AND(Parameter!$B$21="Ja",ISNUMBER(U1510)),U1510,IF(IFERROR(VLOOKUP(D1510,Parameter!$A$35:$C$64,2,0),"Nein")="2+3",IF(ISNUMBER(SEARCH("grosser Artikel",BM1510)),2,IFERROR(VLOOKUP(BP1510,Parameter!$F$35:$G$64,2,0),2)),IF(OR(IFERROR(VLOOKUP(D1510,Parameter!$A$35:$C$64,2,0),"Nein")="Nein",IFERROR(VLOOKUP(D1510,Parameter!$A$35:$C$64,2,0),"Nein")=""),"-",VLOOKUP(D1510,Parameter!$A$35:$C$64,2,0)))))</f>
        <v/>
      </c>
      <c r="Y1510" s="55" t="str">
        <f aca="false">IF('Neue Artikel'!$J$38="","",'Neue Artikel'!$J$38)</f>
        <v/>
      </c>
      <c r="Z1510" s="63"/>
      <c r="AA1510" s="57" t="n">
        <f aca="false">AP1510</f>
        <v>0</v>
      </c>
      <c r="AB1510" s="57" t="n">
        <f aca="false">MAX(AP1510,G1510)</f>
        <v>0</v>
      </c>
      <c r="AC1510" s="64"/>
      <c r="AD1510" s="57" t="n">
        <f aca="false">IF(LEFT(Cockpit!$C$5,1)="A",G1510,IF(BW1510=1,BX1510,IF(LEFT(Cockpit!$C$5,1)="B",AH1510,MAX(AH1510,G1510))))</f>
        <v>0</v>
      </c>
      <c r="AE1510" s="57" t="n">
        <f aca="false">IF(BR1510=1,0,ROUNDUP(AD1510/BQ1510,0))</f>
        <v>0</v>
      </c>
      <c r="AF1510" s="59" t="n">
        <f aca="false">IF(CD1510&gt;0,CD1510*MAX(1,AD1510/V1510),IF(BR1510=1,IF(AD1510&lt;=0,0,BS1510*MAX(1,IF(G1510&gt;0,AD1510/G1510,1))),IF(Q1510&gt;0,AE1510/Q1510,0))/MAX(0.1,N(Parameter!$M$21)))</f>
        <v>0</v>
      </c>
      <c r="AG1510" s="57" t="n">
        <f aca="false">AD1510*F1510</f>
        <v>0</v>
      </c>
      <c r="AH1510" s="57" t="n">
        <f aca="false">ROUNDUP(MAX(I1510/IF(BV1510&gt;0,BV1510,MAX(0.1,N(Cockpit!$C$6))),BY1510)/BQ1510,0)*BQ1510</f>
        <v>0</v>
      </c>
      <c r="AI1510" s="58" t="n">
        <f aca="false">IF(AF1510&gt;0,I1510/AF1510,-1)</f>
        <v>-1</v>
      </c>
      <c r="AJ1510" s="58" t="str">
        <f aca="false">IF(AND(OR(BU1510="L1",BU1510="L23"),AF1510&gt;0),SUMIFS($AF$7:$AF$1576,$BU$7:$BU$1576,BU1510,$AI$7:$AI$1576,"&gt;"&amp;AI1510)+SUMIFS($AF$7:$AF$1576,$BU$7:$BU$1576,BU1510,$AI$7:$AI$1576,AI1510,$BO$7:$BO$1576,"&lt;="&amp;BO1510),"")</f>
        <v/>
      </c>
      <c r="AK1510" s="65" t="n">
        <f aca="false">IF(AJ1510="",0,MAX(0,MIN(1,(IF(BU1510="L1",Parameter!$E$5,Parameter!$E$6+Parameter!$E$7)-(AJ1510-AF1510))/AF1510)))</f>
        <v>0</v>
      </c>
      <c r="AL1510" s="57" t="n">
        <f aca="false">IF(LEFT(Cockpit!$I$5,1)="A",G1510,IF(BW1510=1,BX1510,IF(LEFT(Cockpit!$I$5,1)="B",AP1510,MAX(AP1510,G1510))))</f>
        <v>0</v>
      </c>
      <c r="AM1510" s="57" t="n">
        <f aca="false">IF(BR1510=1,0,ROUNDUP(AL1510/BQ1510,0))</f>
        <v>0</v>
      </c>
      <c r="AN1510" s="59" t="n">
        <f aca="false">IF(CD1510&gt;0,CD1510*MAX(1,AL1510/V1510),IF(BR1510=1,IF(AL1510&lt;=0,0,BS1510*MAX(1,IF(G1510&gt;0,AL1510/G1510,1))),IF(Q1510&gt;0,AM1510/Q1510,0))/MAX(0.1,N(Parameter!$M$21)))</f>
        <v>0</v>
      </c>
      <c r="AO1510" s="57" t="n">
        <f aca="false">AL1510*F1510</f>
        <v>0</v>
      </c>
      <c r="AP1510" s="57" t="n">
        <f aca="false">ROUNDUP(MAX(I1510/IF(BV1510&gt;0,BV1510,MAX(0.1,N(Cockpit!$I$6))),BY1510)/BQ1510,0)*BQ1510</f>
        <v>0</v>
      </c>
      <c r="AQ1510" s="58" t="n">
        <f aca="false">IF(AN1510&gt;0,I1510/AN1510,-1)</f>
        <v>-1</v>
      </c>
      <c r="AR1510" s="58" t="str">
        <f aca="false">IF(AND(OR(BU1510="L1",BU1510="L23"),AN1510&gt;0),SUMIFS($AN$7:$AN$1576,$BU$7:$BU$1576,BU1510,$AQ$7:$AQ$1576,"&gt;"&amp;AQ1510)+SUMIFS($AN$7:$AN$1576,$BU$7:$BU$1576,BU1510,$AQ$7:$AQ$1576,AQ1510,$BO$7:$BO$1576,"&lt;="&amp;BO1510),"")</f>
        <v/>
      </c>
      <c r="AS1510" s="65" t="n">
        <f aca="false">IF(AR1510="",0,MAX(0,MIN(1,(IF(BU1510="L1",Parameter!$E$5,Parameter!$E$6+Parameter!$E$7)-(AR1510-AN1510))/AN1510)))</f>
        <v>0</v>
      </c>
      <c r="AT1510" s="57" t="n">
        <f aca="false">IF(LEFT(Cockpit!$O$5,1)="A",G1510,IF(BW1510=1,BX1510,IF(LEFT(Cockpit!$O$5,1)="B",AX1510,MAX(AX1510,G1510))))</f>
        <v>0</v>
      </c>
      <c r="AU1510" s="57" t="n">
        <f aca="false">IF(BR1510=1,0,ROUNDUP(AT1510/BQ1510,0))</f>
        <v>0</v>
      </c>
      <c r="AV1510" s="59" t="n">
        <f aca="false">IF(CD1510&gt;0,CD1510*MAX(1,AT1510/V1510),IF(BR1510=1,IF(AT1510&lt;=0,0,BS1510*MAX(1,IF(G1510&gt;0,AT1510/G1510,1))),IF(Q1510&gt;0,AU1510/Q1510,0))/MAX(0.1,N(Parameter!$M$21)))</f>
        <v>0</v>
      </c>
      <c r="AW1510" s="57" t="n">
        <f aca="false">AT1510*F1510</f>
        <v>0</v>
      </c>
      <c r="AX1510" s="57" t="n">
        <f aca="false">ROUNDUP(MAX(I1510/IF(BV1510&gt;0,BV1510,MAX(0.1,N(Cockpit!$O$6))),BY1510)/BQ1510,0)*BQ1510</f>
        <v>0</v>
      </c>
      <c r="AY1510" s="58" t="n">
        <f aca="false">IF(AV1510&gt;0,I1510/AV1510,-1)</f>
        <v>-1</v>
      </c>
      <c r="AZ1510" s="58" t="str">
        <f aca="false">IF(AND(OR(BU1510="L1",BU1510="L23"),AV1510&gt;0),SUMIFS($AV$7:$AV$1576,$BU$7:$BU$1576,BU1510,$AY$7:$AY$1576,"&gt;"&amp;AY1510)+SUMIFS($AV$7:$AV$1576,$BU$7:$BU$1576,BU1510,$AY$7:$AY$1576,AY1510,$BO$7:$BO$1576,"&lt;="&amp;BO1510),"")</f>
        <v/>
      </c>
      <c r="BA1510" s="65" t="n">
        <f aca="false">IF(AZ1510="",0,MAX(0,MIN(1,(IF(BU1510="L1",Parameter!$E$5,Parameter!$E$6+Parameter!$E$7)-(AZ1510-AV1510))/AV1510)))</f>
        <v>0</v>
      </c>
      <c r="BB1510" s="55" t="str">
        <f aca="false">IF(AF1510&lt;=0,"",IF(BU1510="Aussen","Aussenlager",IF(BU1510="-","Nicht im Lift",IF(AK1510&gt;=1,"Lift",IF(AK1510&lt;=0,"Aussenlager","teilweise")))))</f>
        <v/>
      </c>
      <c r="BC1510" s="55" t="str">
        <f aca="false">IF(AN1510&lt;=0,"",IF(BU1510="Aussen","Aussenlager",IF(BU1510="-","Nicht im Lift",IF(AS1510&gt;=1,"Lift",IF(AS1510&lt;=0,"Aussenlager","teilweise")))))</f>
        <v/>
      </c>
      <c r="BD1510" s="55" t="str">
        <f aca="false">IF(AV1510&lt;=0,"",IF(BU1510="Aussen","Aussenlager",IF(BU1510="-","Nicht im Lift",IF(BA1510&gt;=1,"Lift",IF(BA1510&lt;=0,"Aussenlager","teilweise")))))</f>
        <v/>
      </c>
      <c r="BE1510" s="55" t="str">
        <f aca="false">IF(A1510="","",IF(BN1510=1,"Neu; ","")&amp;IF(AND(BN1510=0,BI1510&lt;0),"negativer Bestand (Export "&amp;BI1510&amp;"); ","")&amp;IF(I1510&lt;=0,"Kein Verbrauch; ","")&amp;IF(CD1510&gt;0,"Lift "&amp;U1510&amp;" lt. Liftbericht (Fach "&amp;V1510&amp;" Stk); ",IF(BR1510=1,"Lose – Fläche geschätzt; ",""))&amp;IF(G1510&gt;AP1510,"Überbestand "&amp;ROUND(G1510-AP1510,0)&amp;" Stk / CHF "&amp;ROUND((G1510-AP1510)*F1510,0)&amp;"; ","")&amp;IF(AND(BW1510=1,BX1510&lt;BY1510),"MAX &lt; MB+LG; ","")&amp;IF(AND(CC1510&gt;0,CB1510*10&gt;CC1510),"zu hoch für Tablar; ","")&amp;IF(AND(BN1510=0,OR(BW1510=1,Y1510&lt;&gt;"",S1510&lt;&gt;"",T1510&lt;&gt;"",Z1510&lt;&gt;"")),"manuell übersteuert; ","")&amp;IF(AND(BR1510=0,Q1510=0),"Gebinde unbekannt / Stellmass fehlt; ","")&amp;IF(AND(BR1510=0,N(T1510)&lt;=0,N(P1510)&lt;=0),"Menge pro Gebinde fehlt (Ist = 1 Gebinde); ","")&amp;BM1510)</f>
        <v/>
      </c>
      <c r="BF1510" s="55"/>
      <c r="BG1510" s="55"/>
      <c r="BH1510" s="62"/>
      <c r="BI1510" s="57" t="n">
        <f aca="false">N('Neue Artikel'!$D$38)</f>
        <v>0</v>
      </c>
      <c r="BJ1510" s="57" t="n">
        <v>0</v>
      </c>
      <c r="BK1510" s="56" t="n">
        <v>0</v>
      </c>
      <c r="BL1510" s="57" t="n">
        <f aca="false">N('Neue Artikel'!$C$38)/Parameter!$B$18</f>
        <v>0</v>
      </c>
      <c r="BM1510" s="55"/>
      <c r="BN1510" s="60" t="n">
        <v>1</v>
      </c>
      <c r="BO1510" s="60" t="n">
        <v>1510</v>
      </c>
      <c r="BP1510" s="55" t="str">
        <f aca="false">IF(S1510&lt;&gt;"",UPPER(TRIM(S1510)),IF(O1510="","LOSE",O1510))</f>
        <v>LOSE</v>
      </c>
      <c r="BQ1510" s="57" t="n">
        <f aca="false">IF(BP1510="LOSE",1,IF(N(T1510)&gt;0,T1510,IF(N(P1510)&gt;0,P1510,MAX(1,G1510))))</f>
        <v>1</v>
      </c>
      <c r="BR1510" s="60" t="n">
        <f aca="false">IF(BP1510="LOSE",1,0)</f>
        <v>1</v>
      </c>
      <c r="BS1510" s="59" t="n">
        <f aca="false">IF(BR1510=0,0,IF(N(R1510)&gt;0,R1510,IFERROR(VLOOKUP(D1510,Parameter!$A$35:$C$64,3,0)+0,0)))</f>
        <v>0.15</v>
      </c>
      <c r="BT1510" s="55" t="str">
        <f aca="false">IF(Y1510&lt;&gt;"",Y1510,X1510)</f>
        <v/>
      </c>
      <c r="BU1510" s="55" t="str">
        <f aca="false">IF(BT1510=1,"L1",IF(OR(BT1510=2,BT1510=3),"L23",IF(BT1510="Aussen","Aussen","-")))</f>
        <v>-</v>
      </c>
      <c r="BV1510" s="66" t="n">
        <f aca="false">IF(N(Z1510)&gt;0,Z1510,0)</f>
        <v>0</v>
      </c>
      <c r="BW1510" s="60" t="n">
        <f aca="false">IF(ISNUMBER(AC1510),1,0)</f>
        <v>0</v>
      </c>
      <c r="BX1510" s="57" t="n">
        <f aca="false">N(AC1510)</f>
        <v>0</v>
      </c>
      <c r="BY1510" s="57" t="n">
        <f aca="false">N(L1510)+N(M1510)</f>
        <v>0</v>
      </c>
      <c r="BZ1510" s="57" t="n">
        <f aca="false">ROUNDUP(G1510/BQ1510,0)</f>
        <v>0</v>
      </c>
      <c r="CA1510" s="57" t="n">
        <f aca="false">ROUNDUP(BX1510/BQ1510,0)</f>
        <v>0</v>
      </c>
      <c r="CB1510" s="60" t="n">
        <f aca="false">IF(BR1510=1,0,IFERROR(VLOOKUP(BP1510,'Gebinde-Kategorie'!$A$5:$M$45,5,0)+0,0))</f>
        <v>0</v>
      </c>
      <c r="CC1510" s="60" t="n">
        <f aca="false">IFERROR(IF(OR(BT1510=1,BT1510=2,BT1510=3),N(INDEX(Parameter!$I$5:$I$7,BT1510)),0),0)</f>
        <v>0</v>
      </c>
      <c r="CD1510" s="59" t="n">
        <f aca="false">IF(AND(Parameter!$B$21="Ja",ISNUMBER(U1510),N(V1510)&gt;0),IFERROR(N(INDEX(Parameter!$L$5:$L$7,U1510))*INDEX(Parameter!$E$5:$E$7,U1510)*V1510/SUMIFS($V$7:$V$1576,$U$7:$U$1576,U1510),0),0)</f>
        <v>0</v>
      </c>
    </row>
    <row r="1511" customFormat="false" ht="15" hidden="false" customHeight="false" outlineLevel="0" collapsed="false">
      <c r="A1511" s="55" t="str">
        <f aca="false">IF('Neue Artikel'!$A$39="","",'Neue Artikel'!$A$39&amp;"")</f>
        <v/>
      </c>
      <c r="B1511" s="55" t="str">
        <f aca="false">'Neue Artikel'!$B$39&amp;""</f>
        <v/>
      </c>
      <c r="C1511" s="55"/>
      <c r="D1511" s="55" t="s">
        <v>2561</v>
      </c>
      <c r="E1511" s="55"/>
      <c r="F1511" s="56" t="n">
        <f aca="false">N('Neue Artikel'!$G$39)</f>
        <v>0</v>
      </c>
      <c r="G1511" s="57" t="n">
        <f aca="false">MAX(0,IF(AND(Parameter!$B$21="Ja",ISNUMBER(W1511)),W1511,IF(Parameter!$B$20="Jahresanfang 2025 + Export",BJ1511+BI1511,BI1511)))</f>
        <v>0</v>
      </c>
      <c r="H1511" s="57" t="n">
        <f aca="false">G1511*F1511</f>
        <v>0</v>
      </c>
      <c r="I1511" s="57" t="n">
        <f aca="false">BL1511*Parameter!$B$18</f>
        <v>0</v>
      </c>
      <c r="J1511" s="58"/>
      <c r="K1511" s="59"/>
      <c r="L1511" s="57" t="n">
        <f aca="false">N('Neue Artikel'!$E$39)</f>
        <v>0</v>
      </c>
      <c r="M1511" s="57" t="n">
        <f aca="false">N('Neue Artikel'!$F$39)</f>
        <v>0</v>
      </c>
      <c r="N1511" s="60"/>
      <c r="O1511" s="55" t="str">
        <f aca="false">IF('Neue Artikel'!$H$39="","LOSE",UPPER(TRIM('Neue Artikel'!$H$39)))</f>
        <v>LOSE</v>
      </c>
      <c r="P1511" s="57" t="n">
        <f aca="false">N('Neue Artikel'!$I$39)</f>
        <v>0</v>
      </c>
      <c r="Q1511" s="60" t="n">
        <f aca="false">IF(BR1511=1,0,IFERROR(VLOOKUP(BP1511,'Gebinde-Kategorie'!$A$5:$M$45,13,0)+0,0))</f>
        <v>0</v>
      </c>
      <c r="R1511" s="61"/>
      <c r="S1511" s="62"/>
      <c r="T1511" s="62"/>
      <c r="U1511" s="55"/>
      <c r="V1511" s="57"/>
      <c r="W1511" s="57"/>
      <c r="X1511" s="55" t="str">
        <f aca="false">IF(A1511="","",IF(AND(Parameter!$B$21="Ja",ISNUMBER(U1511)),U1511,IF(IFERROR(VLOOKUP(D1511,Parameter!$A$35:$C$64,2,0),"Nein")="2+3",IF(ISNUMBER(SEARCH("grosser Artikel",BM1511)),2,IFERROR(VLOOKUP(BP1511,Parameter!$F$35:$G$64,2,0),2)),IF(OR(IFERROR(VLOOKUP(D1511,Parameter!$A$35:$C$64,2,0),"Nein")="Nein",IFERROR(VLOOKUP(D1511,Parameter!$A$35:$C$64,2,0),"Nein")=""),"-",VLOOKUP(D1511,Parameter!$A$35:$C$64,2,0)))))</f>
        <v/>
      </c>
      <c r="Y1511" s="55" t="str">
        <f aca="false">IF('Neue Artikel'!$J$39="","",'Neue Artikel'!$J$39)</f>
        <v/>
      </c>
      <c r="Z1511" s="63"/>
      <c r="AA1511" s="57" t="n">
        <f aca="false">AP1511</f>
        <v>0</v>
      </c>
      <c r="AB1511" s="57" t="n">
        <f aca="false">MAX(AP1511,G1511)</f>
        <v>0</v>
      </c>
      <c r="AC1511" s="64"/>
      <c r="AD1511" s="57" t="n">
        <f aca="false">IF(LEFT(Cockpit!$C$5,1)="A",G1511,IF(BW1511=1,BX1511,IF(LEFT(Cockpit!$C$5,1)="B",AH1511,MAX(AH1511,G1511))))</f>
        <v>0</v>
      </c>
      <c r="AE1511" s="57" t="n">
        <f aca="false">IF(BR1511=1,0,ROUNDUP(AD1511/BQ1511,0))</f>
        <v>0</v>
      </c>
      <c r="AF1511" s="59" t="n">
        <f aca="false">IF(CD1511&gt;0,CD1511*MAX(1,AD1511/V1511),IF(BR1511=1,IF(AD1511&lt;=0,0,BS1511*MAX(1,IF(G1511&gt;0,AD1511/G1511,1))),IF(Q1511&gt;0,AE1511/Q1511,0))/MAX(0.1,N(Parameter!$M$21)))</f>
        <v>0</v>
      </c>
      <c r="AG1511" s="57" t="n">
        <f aca="false">AD1511*F1511</f>
        <v>0</v>
      </c>
      <c r="AH1511" s="57" t="n">
        <f aca="false">ROUNDUP(MAX(I1511/IF(BV1511&gt;0,BV1511,MAX(0.1,N(Cockpit!$C$6))),BY1511)/BQ1511,0)*BQ1511</f>
        <v>0</v>
      </c>
      <c r="AI1511" s="58" t="n">
        <f aca="false">IF(AF1511&gt;0,I1511/AF1511,-1)</f>
        <v>-1</v>
      </c>
      <c r="AJ1511" s="58" t="str">
        <f aca="false">IF(AND(OR(BU1511="L1",BU1511="L23"),AF1511&gt;0),SUMIFS($AF$7:$AF$1576,$BU$7:$BU$1576,BU1511,$AI$7:$AI$1576,"&gt;"&amp;AI1511)+SUMIFS($AF$7:$AF$1576,$BU$7:$BU$1576,BU1511,$AI$7:$AI$1576,AI1511,$BO$7:$BO$1576,"&lt;="&amp;BO1511),"")</f>
        <v/>
      </c>
      <c r="AK1511" s="65" t="n">
        <f aca="false">IF(AJ1511="",0,MAX(0,MIN(1,(IF(BU1511="L1",Parameter!$E$5,Parameter!$E$6+Parameter!$E$7)-(AJ1511-AF1511))/AF1511)))</f>
        <v>0</v>
      </c>
      <c r="AL1511" s="57" t="n">
        <f aca="false">IF(LEFT(Cockpit!$I$5,1)="A",G1511,IF(BW1511=1,BX1511,IF(LEFT(Cockpit!$I$5,1)="B",AP1511,MAX(AP1511,G1511))))</f>
        <v>0</v>
      </c>
      <c r="AM1511" s="57" t="n">
        <f aca="false">IF(BR1511=1,0,ROUNDUP(AL1511/BQ1511,0))</f>
        <v>0</v>
      </c>
      <c r="AN1511" s="59" t="n">
        <f aca="false">IF(CD1511&gt;0,CD1511*MAX(1,AL1511/V1511),IF(BR1511=1,IF(AL1511&lt;=0,0,BS1511*MAX(1,IF(G1511&gt;0,AL1511/G1511,1))),IF(Q1511&gt;0,AM1511/Q1511,0))/MAX(0.1,N(Parameter!$M$21)))</f>
        <v>0</v>
      </c>
      <c r="AO1511" s="57" t="n">
        <f aca="false">AL1511*F1511</f>
        <v>0</v>
      </c>
      <c r="AP1511" s="57" t="n">
        <f aca="false">ROUNDUP(MAX(I1511/IF(BV1511&gt;0,BV1511,MAX(0.1,N(Cockpit!$I$6))),BY1511)/BQ1511,0)*BQ1511</f>
        <v>0</v>
      </c>
      <c r="AQ1511" s="58" t="n">
        <f aca="false">IF(AN1511&gt;0,I1511/AN1511,-1)</f>
        <v>-1</v>
      </c>
      <c r="AR1511" s="58" t="str">
        <f aca="false">IF(AND(OR(BU1511="L1",BU1511="L23"),AN1511&gt;0),SUMIFS($AN$7:$AN$1576,$BU$7:$BU$1576,BU1511,$AQ$7:$AQ$1576,"&gt;"&amp;AQ1511)+SUMIFS($AN$7:$AN$1576,$BU$7:$BU$1576,BU1511,$AQ$7:$AQ$1576,AQ1511,$BO$7:$BO$1576,"&lt;="&amp;BO1511),"")</f>
        <v/>
      </c>
      <c r="AS1511" s="65" t="n">
        <f aca="false">IF(AR1511="",0,MAX(0,MIN(1,(IF(BU1511="L1",Parameter!$E$5,Parameter!$E$6+Parameter!$E$7)-(AR1511-AN1511))/AN1511)))</f>
        <v>0</v>
      </c>
      <c r="AT1511" s="57" t="n">
        <f aca="false">IF(LEFT(Cockpit!$O$5,1)="A",G1511,IF(BW1511=1,BX1511,IF(LEFT(Cockpit!$O$5,1)="B",AX1511,MAX(AX1511,G1511))))</f>
        <v>0</v>
      </c>
      <c r="AU1511" s="57" t="n">
        <f aca="false">IF(BR1511=1,0,ROUNDUP(AT1511/BQ1511,0))</f>
        <v>0</v>
      </c>
      <c r="AV1511" s="59" t="n">
        <f aca="false">IF(CD1511&gt;0,CD1511*MAX(1,AT1511/V1511),IF(BR1511=1,IF(AT1511&lt;=0,0,BS1511*MAX(1,IF(G1511&gt;0,AT1511/G1511,1))),IF(Q1511&gt;0,AU1511/Q1511,0))/MAX(0.1,N(Parameter!$M$21)))</f>
        <v>0</v>
      </c>
      <c r="AW1511" s="57" t="n">
        <f aca="false">AT1511*F1511</f>
        <v>0</v>
      </c>
      <c r="AX1511" s="57" t="n">
        <f aca="false">ROUNDUP(MAX(I1511/IF(BV1511&gt;0,BV1511,MAX(0.1,N(Cockpit!$O$6))),BY1511)/BQ1511,0)*BQ1511</f>
        <v>0</v>
      </c>
      <c r="AY1511" s="58" t="n">
        <f aca="false">IF(AV1511&gt;0,I1511/AV1511,-1)</f>
        <v>-1</v>
      </c>
      <c r="AZ1511" s="58" t="str">
        <f aca="false">IF(AND(OR(BU1511="L1",BU1511="L23"),AV1511&gt;0),SUMIFS($AV$7:$AV$1576,$BU$7:$BU$1576,BU1511,$AY$7:$AY$1576,"&gt;"&amp;AY1511)+SUMIFS($AV$7:$AV$1576,$BU$7:$BU$1576,BU1511,$AY$7:$AY$1576,AY1511,$BO$7:$BO$1576,"&lt;="&amp;BO1511),"")</f>
        <v/>
      </c>
      <c r="BA1511" s="65" t="n">
        <f aca="false">IF(AZ1511="",0,MAX(0,MIN(1,(IF(BU1511="L1",Parameter!$E$5,Parameter!$E$6+Parameter!$E$7)-(AZ1511-AV1511))/AV1511)))</f>
        <v>0</v>
      </c>
      <c r="BB1511" s="55" t="str">
        <f aca="false">IF(AF1511&lt;=0,"",IF(BU1511="Aussen","Aussenlager",IF(BU1511="-","Nicht im Lift",IF(AK1511&gt;=1,"Lift",IF(AK1511&lt;=0,"Aussenlager","teilweise")))))</f>
        <v/>
      </c>
      <c r="BC1511" s="55" t="str">
        <f aca="false">IF(AN1511&lt;=0,"",IF(BU1511="Aussen","Aussenlager",IF(BU1511="-","Nicht im Lift",IF(AS1511&gt;=1,"Lift",IF(AS1511&lt;=0,"Aussenlager","teilweise")))))</f>
        <v/>
      </c>
      <c r="BD1511" s="55" t="str">
        <f aca="false">IF(AV1511&lt;=0,"",IF(BU1511="Aussen","Aussenlager",IF(BU1511="-","Nicht im Lift",IF(BA1511&gt;=1,"Lift",IF(BA1511&lt;=0,"Aussenlager","teilweise")))))</f>
        <v/>
      </c>
      <c r="BE1511" s="55" t="str">
        <f aca="false">IF(A1511="","",IF(BN1511=1,"Neu; ","")&amp;IF(AND(BN1511=0,BI1511&lt;0),"negativer Bestand (Export "&amp;BI1511&amp;"); ","")&amp;IF(I1511&lt;=0,"Kein Verbrauch; ","")&amp;IF(CD1511&gt;0,"Lift "&amp;U1511&amp;" lt. Liftbericht (Fach "&amp;V1511&amp;" Stk); ",IF(BR1511=1,"Lose – Fläche geschätzt; ",""))&amp;IF(G1511&gt;AP1511,"Überbestand "&amp;ROUND(G1511-AP1511,0)&amp;" Stk / CHF "&amp;ROUND((G1511-AP1511)*F1511,0)&amp;"; ","")&amp;IF(AND(BW1511=1,BX1511&lt;BY1511),"MAX &lt; MB+LG; ","")&amp;IF(AND(CC1511&gt;0,CB1511*10&gt;CC1511),"zu hoch für Tablar; ","")&amp;IF(AND(BN1511=0,OR(BW1511=1,Y1511&lt;&gt;"",S1511&lt;&gt;"",T1511&lt;&gt;"",Z1511&lt;&gt;"")),"manuell übersteuert; ","")&amp;IF(AND(BR1511=0,Q1511=0),"Gebinde unbekannt / Stellmass fehlt; ","")&amp;IF(AND(BR1511=0,N(T1511)&lt;=0,N(P1511)&lt;=0),"Menge pro Gebinde fehlt (Ist = 1 Gebinde); ","")&amp;BM1511)</f>
        <v/>
      </c>
      <c r="BF1511" s="55"/>
      <c r="BG1511" s="55"/>
      <c r="BH1511" s="62"/>
      <c r="BI1511" s="57" t="n">
        <f aca="false">N('Neue Artikel'!$D$39)</f>
        <v>0</v>
      </c>
      <c r="BJ1511" s="57" t="n">
        <v>0</v>
      </c>
      <c r="BK1511" s="56" t="n">
        <v>0</v>
      </c>
      <c r="BL1511" s="57" t="n">
        <f aca="false">N('Neue Artikel'!$C$39)/Parameter!$B$18</f>
        <v>0</v>
      </c>
      <c r="BM1511" s="55"/>
      <c r="BN1511" s="60" t="n">
        <v>1</v>
      </c>
      <c r="BO1511" s="60" t="n">
        <v>1511</v>
      </c>
      <c r="BP1511" s="55" t="str">
        <f aca="false">IF(S1511&lt;&gt;"",UPPER(TRIM(S1511)),IF(O1511="","LOSE",O1511))</f>
        <v>LOSE</v>
      </c>
      <c r="BQ1511" s="57" t="n">
        <f aca="false">IF(BP1511="LOSE",1,IF(N(T1511)&gt;0,T1511,IF(N(P1511)&gt;0,P1511,MAX(1,G1511))))</f>
        <v>1</v>
      </c>
      <c r="BR1511" s="60" t="n">
        <f aca="false">IF(BP1511="LOSE",1,0)</f>
        <v>1</v>
      </c>
      <c r="BS1511" s="59" t="n">
        <f aca="false">IF(BR1511=0,0,IF(N(R1511)&gt;0,R1511,IFERROR(VLOOKUP(D1511,Parameter!$A$35:$C$64,3,0)+0,0)))</f>
        <v>0.15</v>
      </c>
      <c r="BT1511" s="55" t="str">
        <f aca="false">IF(Y1511&lt;&gt;"",Y1511,X1511)</f>
        <v/>
      </c>
      <c r="BU1511" s="55" t="str">
        <f aca="false">IF(BT1511=1,"L1",IF(OR(BT1511=2,BT1511=3),"L23",IF(BT1511="Aussen","Aussen","-")))</f>
        <v>-</v>
      </c>
      <c r="BV1511" s="66" t="n">
        <f aca="false">IF(N(Z1511)&gt;0,Z1511,0)</f>
        <v>0</v>
      </c>
      <c r="BW1511" s="60" t="n">
        <f aca="false">IF(ISNUMBER(AC1511),1,0)</f>
        <v>0</v>
      </c>
      <c r="BX1511" s="57" t="n">
        <f aca="false">N(AC1511)</f>
        <v>0</v>
      </c>
      <c r="BY1511" s="57" t="n">
        <f aca="false">N(L1511)+N(M1511)</f>
        <v>0</v>
      </c>
      <c r="BZ1511" s="57" t="n">
        <f aca="false">ROUNDUP(G1511/BQ1511,0)</f>
        <v>0</v>
      </c>
      <c r="CA1511" s="57" t="n">
        <f aca="false">ROUNDUP(BX1511/BQ1511,0)</f>
        <v>0</v>
      </c>
      <c r="CB1511" s="60" t="n">
        <f aca="false">IF(BR1511=1,0,IFERROR(VLOOKUP(BP1511,'Gebinde-Kategorie'!$A$5:$M$45,5,0)+0,0))</f>
        <v>0</v>
      </c>
      <c r="CC1511" s="60" t="n">
        <f aca="false">IFERROR(IF(OR(BT1511=1,BT1511=2,BT1511=3),N(INDEX(Parameter!$I$5:$I$7,BT1511)),0),0)</f>
        <v>0</v>
      </c>
      <c r="CD1511" s="59" t="n">
        <f aca="false">IF(AND(Parameter!$B$21="Ja",ISNUMBER(U1511),N(V1511)&gt;0),IFERROR(N(INDEX(Parameter!$L$5:$L$7,U1511))*INDEX(Parameter!$E$5:$E$7,U1511)*V1511/SUMIFS($V$7:$V$1576,$U$7:$U$1576,U1511),0),0)</f>
        <v>0</v>
      </c>
    </row>
    <row r="1512" customFormat="false" ht="15" hidden="false" customHeight="false" outlineLevel="0" collapsed="false">
      <c r="A1512" s="55" t="str">
        <f aca="false">IF('Neue Artikel'!$A$40="","",'Neue Artikel'!$A$40&amp;"")</f>
        <v/>
      </c>
      <c r="B1512" s="55" t="str">
        <f aca="false">'Neue Artikel'!$B$40&amp;""</f>
        <v/>
      </c>
      <c r="C1512" s="55"/>
      <c r="D1512" s="55" t="s">
        <v>2561</v>
      </c>
      <c r="E1512" s="55"/>
      <c r="F1512" s="56" t="n">
        <f aca="false">N('Neue Artikel'!$G$40)</f>
        <v>0</v>
      </c>
      <c r="G1512" s="57" t="n">
        <f aca="false">MAX(0,IF(AND(Parameter!$B$21="Ja",ISNUMBER(W1512)),W1512,IF(Parameter!$B$20="Jahresanfang 2025 + Export",BJ1512+BI1512,BI1512)))</f>
        <v>0</v>
      </c>
      <c r="H1512" s="57" t="n">
        <f aca="false">G1512*F1512</f>
        <v>0</v>
      </c>
      <c r="I1512" s="57" t="n">
        <f aca="false">BL1512*Parameter!$B$18</f>
        <v>0</v>
      </c>
      <c r="J1512" s="58"/>
      <c r="K1512" s="59"/>
      <c r="L1512" s="57" t="n">
        <f aca="false">N('Neue Artikel'!$E$40)</f>
        <v>0</v>
      </c>
      <c r="M1512" s="57" t="n">
        <f aca="false">N('Neue Artikel'!$F$40)</f>
        <v>0</v>
      </c>
      <c r="N1512" s="60"/>
      <c r="O1512" s="55" t="str">
        <f aca="false">IF('Neue Artikel'!$H$40="","LOSE",UPPER(TRIM('Neue Artikel'!$H$40)))</f>
        <v>LOSE</v>
      </c>
      <c r="P1512" s="57" t="n">
        <f aca="false">N('Neue Artikel'!$I$40)</f>
        <v>0</v>
      </c>
      <c r="Q1512" s="60" t="n">
        <f aca="false">IF(BR1512=1,0,IFERROR(VLOOKUP(BP1512,'Gebinde-Kategorie'!$A$5:$M$45,13,0)+0,0))</f>
        <v>0</v>
      </c>
      <c r="R1512" s="61"/>
      <c r="S1512" s="62"/>
      <c r="T1512" s="62"/>
      <c r="U1512" s="55"/>
      <c r="V1512" s="57"/>
      <c r="W1512" s="57"/>
      <c r="X1512" s="55" t="str">
        <f aca="false">IF(A1512="","",IF(AND(Parameter!$B$21="Ja",ISNUMBER(U1512)),U1512,IF(IFERROR(VLOOKUP(D1512,Parameter!$A$35:$C$64,2,0),"Nein")="2+3",IF(ISNUMBER(SEARCH("grosser Artikel",BM1512)),2,IFERROR(VLOOKUP(BP1512,Parameter!$F$35:$G$64,2,0),2)),IF(OR(IFERROR(VLOOKUP(D1512,Parameter!$A$35:$C$64,2,0),"Nein")="Nein",IFERROR(VLOOKUP(D1512,Parameter!$A$35:$C$64,2,0),"Nein")=""),"-",VLOOKUP(D1512,Parameter!$A$35:$C$64,2,0)))))</f>
        <v/>
      </c>
      <c r="Y1512" s="55" t="str">
        <f aca="false">IF('Neue Artikel'!$J$40="","",'Neue Artikel'!$J$40)</f>
        <v/>
      </c>
      <c r="Z1512" s="63"/>
      <c r="AA1512" s="57" t="n">
        <f aca="false">AP1512</f>
        <v>0</v>
      </c>
      <c r="AB1512" s="57" t="n">
        <f aca="false">MAX(AP1512,G1512)</f>
        <v>0</v>
      </c>
      <c r="AC1512" s="64"/>
      <c r="AD1512" s="57" t="n">
        <f aca="false">IF(LEFT(Cockpit!$C$5,1)="A",G1512,IF(BW1512=1,BX1512,IF(LEFT(Cockpit!$C$5,1)="B",AH1512,MAX(AH1512,G1512))))</f>
        <v>0</v>
      </c>
      <c r="AE1512" s="57" t="n">
        <f aca="false">IF(BR1512=1,0,ROUNDUP(AD1512/BQ1512,0))</f>
        <v>0</v>
      </c>
      <c r="AF1512" s="59" t="n">
        <f aca="false">IF(CD1512&gt;0,CD1512*MAX(1,AD1512/V1512),IF(BR1512=1,IF(AD1512&lt;=0,0,BS1512*MAX(1,IF(G1512&gt;0,AD1512/G1512,1))),IF(Q1512&gt;0,AE1512/Q1512,0))/MAX(0.1,N(Parameter!$M$21)))</f>
        <v>0</v>
      </c>
      <c r="AG1512" s="57" t="n">
        <f aca="false">AD1512*F1512</f>
        <v>0</v>
      </c>
      <c r="AH1512" s="57" t="n">
        <f aca="false">ROUNDUP(MAX(I1512/IF(BV1512&gt;0,BV1512,MAX(0.1,N(Cockpit!$C$6))),BY1512)/BQ1512,0)*BQ1512</f>
        <v>0</v>
      </c>
      <c r="AI1512" s="58" t="n">
        <f aca="false">IF(AF1512&gt;0,I1512/AF1512,-1)</f>
        <v>-1</v>
      </c>
      <c r="AJ1512" s="58" t="str">
        <f aca="false">IF(AND(OR(BU1512="L1",BU1512="L23"),AF1512&gt;0),SUMIFS($AF$7:$AF$1576,$BU$7:$BU$1576,BU1512,$AI$7:$AI$1576,"&gt;"&amp;AI1512)+SUMIFS($AF$7:$AF$1576,$BU$7:$BU$1576,BU1512,$AI$7:$AI$1576,AI1512,$BO$7:$BO$1576,"&lt;="&amp;BO1512),"")</f>
        <v/>
      </c>
      <c r="AK1512" s="65" t="n">
        <f aca="false">IF(AJ1512="",0,MAX(0,MIN(1,(IF(BU1512="L1",Parameter!$E$5,Parameter!$E$6+Parameter!$E$7)-(AJ1512-AF1512))/AF1512)))</f>
        <v>0</v>
      </c>
      <c r="AL1512" s="57" t="n">
        <f aca="false">IF(LEFT(Cockpit!$I$5,1)="A",G1512,IF(BW1512=1,BX1512,IF(LEFT(Cockpit!$I$5,1)="B",AP1512,MAX(AP1512,G1512))))</f>
        <v>0</v>
      </c>
      <c r="AM1512" s="57" t="n">
        <f aca="false">IF(BR1512=1,0,ROUNDUP(AL1512/BQ1512,0))</f>
        <v>0</v>
      </c>
      <c r="AN1512" s="59" t="n">
        <f aca="false">IF(CD1512&gt;0,CD1512*MAX(1,AL1512/V1512),IF(BR1512=1,IF(AL1512&lt;=0,0,BS1512*MAX(1,IF(G1512&gt;0,AL1512/G1512,1))),IF(Q1512&gt;0,AM1512/Q1512,0))/MAX(0.1,N(Parameter!$M$21)))</f>
        <v>0</v>
      </c>
      <c r="AO1512" s="57" t="n">
        <f aca="false">AL1512*F1512</f>
        <v>0</v>
      </c>
      <c r="AP1512" s="57" t="n">
        <f aca="false">ROUNDUP(MAX(I1512/IF(BV1512&gt;0,BV1512,MAX(0.1,N(Cockpit!$I$6))),BY1512)/BQ1512,0)*BQ1512</f>
        <v>0</v>
      </c>
      <c r="AQ1512" s="58" t="n">
        <f aca="false">IF(AN1512&gt;0,I1512/AN1512,-1)</f>
        <v>-1</v>
      </c>
      <c r="AR1512" s="58" t="str">
        <f aca="false">IF(AND(OR(BU1512="L1",BU1512="L23"),AN1512&gt;0),SUMIFS($AN$7:$AN$1576,$BU$7:$BU$1576,BU1512,$AQ$7:$AQ$1576,"&gt;"&amp;AQ1512)+SUMIFS($AN$7:$AN$1576,$BU$7:$BU$1576,BU1512,$AQ$7:$AQ$1576,AQ1512,$BO$7:$BO$1576,"&lt;="&amp;BO1512),"")</f>
        <v/>
      </c>
      <c r="AS1512" s="65" t="n">
        <f aca="false">IF(AR1512="",0,MAX(0,MIN(1,(IF(BU1512="L1",Parameter!$E$5,Parameter!$E$6+Parameter!$E$7)-(AR1512-AN1512))/AN1512)))</f>
        <v>0</v>
      </c>
      <c r="AT1512" s="57" t="n">
        <f aca="false">IF(LEFT(Cockpit!$O$5,1)="A",G1512,IF(BW1512=1,BX1512,IF(LEFT(Cockpit!$O$5,1)="B",AX1512,MAX(AX1512,G1512))))</f>
        <v>0</v>
      </c>
      <c r="AU1512" s="57" t="n">
        <f aca="false">IF(BR1512=1,0,ROUNDUP(AT1512/BQ1512,0))</f>
        <v>0</v>
      </c>
      <c r="AV1512" s="59" t="n">
        <f aca="false">IF(CD1512&gt;0,CD1512*MAX(1,AT1512/V1512),IF(BR1512=1,IF(AT1512&lt;=0,0,BS1512*MAX(1,IF(G1512&gt;0,AT1512/G1512,1))),IF(Q1512&gt;0,AU1512/Q1512,0))/MAX(0.1,N(Parameter!$M$21)))</f>
        <v>0</v>
      </c>
      <c r="AW1512" s="57" t="n">
        <f aca="false">AT1512*F1512</f>
        <v>0</v>
      </c>
      <c r="AX1512" s="57" t="n">
        <f aca="false">ROUNDUP(MAX(I1512/IF(BV1512&gt;0,BV1512,MAX(0.1,N(Cockpit!$O$6))),BY1512)/BQ1512,0)*BQ1512</f>
        <v>0</v>
      </c>
      <c r="AY1512" s="58" t="n">
        <f aca="false">IF(AV1512&gt;0,I1512/AV1512,-1)</f>
        <v>-1</v>
      </c>
      <c r="AZ1512" s="58" t="str">
        <f aca="false">IF(AND(OR(BU1512="L1",BU1512="L23"),AV1512&gt;0),SUMIFS($AV$7:$AV$1576,$BU$7:$BU$1576,BU1512,$AY$7:$AY$1576,"&gt;"&amp;AY1512)+SUMIFS($AV$7:$AV$1576,$BU$7:$BU$1576,BU1512,$AY$7:$AY$1576,AY1512,$BO$7:$BO$1576,"&lt;="&amp;BO1512),"")</f>
        <v/>
      </c>
      <c r="BA1512" s="65" t="n">
        <f aca="false">IF(AZ1512="",0,MAX(0,MIN(1,(IF(BU1512="L1",Parameter!$E$5,Parameter!$E$6+Parameter!$E$7)-(AZ1512-AV1512))/AV1512)))</f>
        <v>0</v>
      </c>
      <c r="BB1512" s="55" t="str">
        <f aca="false">IF(AF1512&lt;=0,"",IF(BU1512="Aussen","Aussenlager",IF(BU1512="-","Nicht im Lift",IF(AK1512&gt;=1,"Lift",IF(AK1512&lt;=0,"Aussenlager","teilweise")))))</f>
        <v/>
      </c>
      <c r="BC1512" s="55" t="str">
        <f aca="false">IF(AN1512&lt;=0,"",IF(BU1512="Aussen","Aussenlager",IF(BU1512="-","Nicht im Lift",IF(AS1512&gt;=1,"Lift",IF(AS1512&lt;=0,"Aussenlager","teilweise")))))</f>
        <v/>
      </c>
      <c r="BD1512" s="55" t="str">
        <f aca="false">IF(AV1512&lt;=0,"",IF(BU1512="Aussen","Aussenlager",IF(BU1512="-","Nicht im Lift",IF(BA1512&gt;=1,"Lift",IF(BA1512&lt;=0,"Aussenlager","teilweise")))))</f>
        <v/>
      </c>
      <c r="BE1512" s="55" t="str">
        <f aca="false">IF(A1512="","",IF(BN1512=1,"Neu; ","")&amp;IF(AND(BN1512=0,BI1512&lt;0),"negativer Bestand (Export "&amp;BI1512&amp;"); ","")&amp;IF(I1512&lt;=0,"Kein Verbrauch; ","")&amp;IF(CD1512&gt;0,"Lift "&amp;U1512&amp;" lt. Liftbericht (Fach "&amp;V1512&amp;" Stk); ",IF(BR1512=1,"Lose – Fläche geschätzt; ",""))&amp;IF(G1512&gt;AP1512,"Überbestand "&amp;ROUND(G1512-AP1512,0)&amp;" Stk / CHF "&amp;ROUND((G1512-AP1512)*F1512,0)&amp;"; ","")&amp;IF(AND(BW1512=1,BX1512&lt;BY1512),"MAX &lt; MB+LG; ","")&amp;IF(AND(CC1512&gt;0,CB1512*10&gt;CC1512),"zu hoch für Tablar; ","")&amp;IF(AND(BN1512=0,OR(BW1512=1,Y1512&lt;&gt;"",S1512&lt;&gt;"",T1512&lt;&gt;"",Z1512&lt;&gt;"")),"manuell übersteuert; ","")&amp;IF(AND(BR1512=0,Q1512=0),"Gebinde unbekannt / Stellmass fehlt; ","")&amp;IF(AND(BR1512=0,N(T1512)&lt;=0,N(P1512)&lt;=0),"Menge pro Gebinde fehlt (Ist = 1 Gebinde); ","")&amp;BM1512)</f>
        <v/>
      </c>
      <c r="BF1512" s="55"/>
      <c r="BG1512" s="55"/>
      <c r="BH1512" s="62"/>
      <c r="BI1512" s="57" t="n">
        <f aca="false">N('Neue Artikel'!$D$40)</f>
        <v>0</v>
      </c>
      <c r="BJ1512" s="57" t="n">
        <v>0</v>
      </c>
      <c r="BK1512" s="56" t="n">
        <v>0</v>
      </c>
      <c r="BL1512" s="57" t="n">
        <f aca="false">N('Neue Artikel'!$C$40)/Parameter!$B$18</f>
        <v>0</v>
      </c>
      <c r="BM1512" s="55"/>
      <c r="BN1512" s="60" t="n">
        <v>1</v>
      </c>
      <c r="BO1512" s="60" t="n">
        <v>1512</v>
      </c>
      <c r="BP1512" s="55" t="str">
        <f aca="false">IF(S1512&lt;&gt;"",UPPER(TRIM(S1512)),IF(O1512="","LOSE",O1512))</f>
        <v>LOSE</v>
      </c>
      <c r="BQ1512" s="57" t="n">
        <f aca="false">IF(BP1512="LOSE",1,IF(N(T1512)&gt;0,T1512,IF(N(P1512)&gt;0,P1512,MAX(1,G1512))))</f>
        <v>1</v>
      </c>
      <c r="BR1512" s="60" t="n">
        <f aca="false">IF(BP1512="LOSE",1,0)</f>
        <v>1</v>
      </c>
      <c r="BS1512" s="59" t="n">
        <f aca="false">IF(BR1512=0,0,IF(N(R1512)&gt;0,R1512,IFERROR(VLOOKUP(D1512,Parameter!$A$35:$C$64,3,0)+0,0)))</f>
        <v>0.15</v>
      </c>
      <c r="BT1512" s="55" t="str">
        <f aca="false">IF(Y1512&lt;&gt;"",Y1512,X1512)</f>
        <v/>
      </c>
      <c r="BU1512" s="55" t="str">
        <f aca="false">IF(BT1512=1,"L1",IF(OR(BT1512=2,BT1512=3),"L23",IF(BT1512="Aussen","Aussen","-")))</f>
        <v>-</v>
      </c>
      <c r="BV1512" s="66" t="n">
        <f aca="false">IF(N(Z1512)&gt;0,Z1512,0)</f>
        <v>0</v>
      </c>
      <c r="BW1512" s="60" t="n">
        <f aca="false">IF(ISNUMBER(AC1512),1,0)</f>
        <v>0</v>
      </c>
      <c r="BX1512" s="57" t="n">
        <f aca="false">N(AC1512)</f>
        <v>0</v>
      </c>
      <c r="BY1512" s="57" t="n">
        <f aca="false">N(L1512)+N(M1512)</f>
        <v>0</v>
      </c>
      <c r="BZ1512" s="57" t="n">
        <f aca="false">ROUNDUP(G1512/BQ1512,0)</f>
        <v>0</v>
      </c>
      <c r="CA1512" s="57" t="n">
        <f aca="false">ROUNDUP(BX1512/BQ1512,0)</f>
        <v>0</v>
      </c>
      <c r="CB1512" s="60" t="n">
        <f aca="false">IF(BR1512=1,0,IFERROR(VLOOKUP(BP1512,'Gebinde-Kategorie'!$A$5:$M$45,5,0)+0,0))</f>
        <v>0</v>
      </c>
      <c r="CC1512" s="60" t="n">
        <f aca="false">IFERROR(IF(OR(BT1512=1,BT1512=2,BT1512=3),N(INDEX(Parameter!$I$5:$I$7,BT1512)),0),0)</f>
        <v>0</v>
      </c>
      <c r="CD1512" s="59" t="n">
        <f aca="false">IF(AND(Parameter!$B$21="Ja",ISNUMBER(U1512),N(V1512)&gt;0),IFERROR(N(INDEX(Parameter!$L$5:$L$7,U1512))*INDEX(Parameter!$E$5:$E$7,U1512)*V1512/SUMIFS($V$7:$V$1576,$U$7:$U$1576,U1512),0),0)</f>
        <v>0</v>
      </c>
    </row>
    <row r="1513" customFormat="false" ht="15" hidden="false" customHeight="false" outlineLevel="0" collapsed="false">
      <c r="A1513" s="55" t="str">
        <f aca="false">IF('Neue Artikel'!$A$41="","",'Neue Artikel'!$A$41&amp;"")</f>
        <v/>
      </c>
      <c r="B1513" s="55" t="str">
        <f aca="false">'Neue Artikel'!$B$41&amp;""</f>
        <v/>
      </c>
      <c r="C1513" s="55"/>
      <c r="D1513" s="55" t="s">
        <v>2561</v>
      </c>
      <c r="E1513" s="55"/>
      <c r="F1513" s="56" t="n">
        <f aca="false">N('Neue Artikel'!$G$41)</f>
        <v>0</v>
      </c>
      <c r="G1513" s="57" t="n">
        <f aca="false">MAX(0,IF(AND(Parameter!$B$21="Ja",ISNUMBER(W1513)),W1513,IF(Parameter!$B$20="Jahresanfang 2025 + Export",BJ1513+BI1513,BI1513)))</f>
        <v>0</v>
      </c>
      <c r="H1513" s="57" t="n">
        <f aca="false">G1513*F1513</f>
        <v>0</v>
      </c>
      <c r="I1513" s="57" t="n">
        <f aca="false">BL1513*Parameter!$B$18</f>
        <v>0</v>
      </c>
      <c r="J1513" s="58"/>
      <c r="K1513" s="59"/>
      <c r="L1513" s="57" t="n">
        <f aca="false">N('Neue Artikel'!$E$41)</f>
        <v>0</v>
      </c>
      <c r="M1513" s="57" t="n">
        <f aca="false">N('Neue Artikel'!$F$41)</f>
        <v>0</v>
      </c>
      <c r="N1513" s="60"/>
      <c r="O1513" s="55" t="str">
        <f aca="false">IF('Neue Artikel'!$H$41="","LOSE",UPPER(TRIM('Neue Artikel'!$H$41)))</f>
        <v>LOSE</v>
      </c>
      <c r="P1513" s="57" t="n">
        <f aca="false">N('Neue Artikel'!$I$41)</f>
        <v>0</v>
      </c>
      <c r="Q1513" s="60" t="n">
        <f aca="false">IF(BR1513=1,0,IFERROR(VLOOKUP(BP1513,'Gebinde-Kategorie'!$A$5:$M$45,13,0)+0,0))</f>
        <v>0</v>
      </c>
      <c r="R1513" s="61"/>
      <c r="S1513" s="62"/>
      <c r="T1513" s="62"/>
      <c r="U1513" s="55"/>
      <c r="V1513" s="57"/>
      <c r="W1513" s="57"/>
      <c r="X1513" s="55" t="str">
        <f aca="false">IF(A1513="","",IF(AND(Parameter!$B$21="Ja",ISNUMBER(U1513)),U1513,IF(IFERROR(VLOOKUP(D1513,Parameter!$A$35:$C$64,2,0),"Nein")="2+3",IF(ISNUMBER(SEARCH("grosser Artikel",BM1513)),2,IFERROR(VLOOKUP(BP1513,Parameter!$F$35:$G$64,2,0),2)),IF(OR(IFERROR(VLOOKUP(D1513,Parameter!$A$35:$C$64,2,0),"Nein")="Nein",IFERROR(VLOOKUP(D1513,Parameter!$A$35:$C$64,2,0),"Nein")=""),"-",VLOOKUP(D1513,Parameter!$A$35:$C$64,2,0)))))</f>
        <v/>
      </c>
      <c r="Y1513" s="55" t="str">
        <f aca="false">IF('Neue Artikel'!$J$41="","",'Neue Artikel'!$J$41)</f>
        <v/>
      </c>
      <c r="Z1513" s="63"/>
      <c r="AA1513" s="57" t="n">
        <f aca="false">AP1513</f>
        <v>0</v>
      </c>
      <c r="AB1513" s="57" t="n">
        <f aca="false">MAX(AP1513,G1513)</f>
        <v>0</v>
      </c>
      <c r="AC1513" s="64"/>
      <c r="AD1513" s="57" t="n">
        <f aca="false">IF(LEFT(Cockpit!$C$5,1)="A",G1513,IF(BW1513=1,BX1513,IF(LEFT(Cockpit!$C$5,1)="B",AH1513,MAX(AH1513,G1513))))</f>
        <v>0</v>
      </c>
      <c r="AE1513" s="57" t="n">
        <f aca="false">IF(BR1513=1,0,ROUNDUP(AD1513/BQ1513,0))</f>
        <v>0</v>
      </c>
      <c r="AF1513" s="59" t="n">
        <f aca="false">IF(CD1513&gt;0,CD1513*MAX(1,AD1513/V1513),IF(BR1513=1,IF(AD1513&lt;=0,0,BS1513*MAX(1,IF(G1513&gt;0,AD1513/G1513,1))),IF(Q1513&gt;0,AE1513/Q1513,0))/MAX(0.1,N(Parameter!$M$21)))</f>
        <v>0</v>
      </c>
      <c r="AG1513" s="57" t="n">
        <f aca="false">AD1513*F1513</f>
        <v>0</v>
      </c>
      <c r="AH1513" s="57" t="n">
        <f aca="false">ROUNDUP(MAX(I1513/IF(BV1513&gt;0,BV1513,MAX(0.1,N(Cockpit!$C$6))),BY1513)/BQ1513,0)*BQ1513</f>
        <v>0</v>
      </c>
      <c r="AI1513" s="58" t="n">
        <f aca="false">IF(AF1513&gt;0,I1513/AF1513,-1)</f>
        <v>-1</v>
      </c>
      <c r="AJ1513" s="58" t="str">
        <f aca="false">IF(AND(OR(BU1513="L1",BU1513="L23"),AF1513&gt;0),SUMIFS($AF$7:$AF$1576,$BU$7:$BU$1576,BU1513,$AI$7:$AI$1576,"&gt;"&amp;AI1513)+SUMIFS($AF$7:$AF$1576,$BU$7:$BU$1576,BU1513,$AI$7:$AI$1576,AI1513,$BO$7:$BO$1576,"&lt;="&amp;BO1513),"")</f>
        <v/>
      </c>
      <c r="AK1513" s="65" t="n">
        <f aca="false">IF(AJ1513="",0,MAX(0,MIN(1,(IF(BU1513="L1",Parameter!$E$5,Parameter!$E$6+Parameter!$E$7)-(AJ1513-AF1513))/AF1513)))</f>
        <v>0</v>
      </c>
      <c r="AL1513" s="57" t="n">
        <f aca="false">IF(LEFT(Cockpit!$I$5,1)="A",G1513,IF(BW1513=1,BX1513,IF(LEFT(Cockpit!$I$5,1)="B",AP1513,MAX(AP1513,G1513))))</f>
        <v>0</v>
      </c>
      <c r="AM1513" s="57" t="n">
        <f aca="false">IF(BR1513=1,0,ROUNDUP(AL1513/BQ1513,0))</f>
        <v>0</v>
      </c>
      <c r="AN1513" s="59" t="n">
        <f aca="false">IF(CD1513&gt;0,CD1513*MAX(1,AL1513/V1513),IF(BR1513=1,IF(AL1513&lt;=0,0,BS1513*MAX(1,IF(G1513&gt;0,AL1513/G1513,1))),IF(Q1513&gt;0,AM1513/Q1513,0))/MAX(0.1,N(Parameter!$M$21)))</f>
        <v>0</v>
      </c>
      <c r="AO1513" s="57" t="n">
        <f aca="false">AL1513*F1513</f>
        <v>0</v>
      </c>
      <c r="AP1513" s="57" t="n">
        <f aca="false">ROUNDUP(MAX(I1513/IF(BV1513&gt;0,BV1513,MAX(0.1,N(Cockpit!$I$6))),BY1513)/BQ1513,0)*BQ1513</f>
        <v>0</v>
      </c>
      <c r="AQ1513" s="58" t="n">
        <f aca="false">IF(AN1513&gt;0,I1513/AN1513,-1)</f>
        <v>-1</v>
      </c>
      <c r="AR1513" s="58" t="str">
        <f aca="false">IF(AND(OR(BU1513="L1",BU1513="L23"),AN1513&gt;0),SUMIFS($AN$7:$AN$1576,$BU$7:$BU$1576,BU1513,$AQ$7:$AQ$1576,"&gt;"&amp;AQ1513)+SUMIFS($AN$7:$AN$1576,$BU$7:$BU$1576,BU1513,$AQ$7:$AQ$1576,AQ1513,$BO$7:$BO$1576,"&lt;="&amp;BO1513),"")</f>
        <v/>
      </c>
      <c r="AS1513" s="65" t="n">
        <f aca="false">IF(AR1513="",0,MAX(0,MIN(1,(IF(BU1513="L1",Parameter!$E$5,Parameter!$E$6+Parameter!$E$7)-(AR1513-AN1513))/AN1513)))</f>
        <v>0</v>
      </c>
      <c r="AT1513" s="57" t="n">
        <f aca="false">IF(LEFT(Cockpit!$O$5,1)="A",G1513,IF(BW1513=1,BX1513,IF(LEFT(Cockpit!$O$5,1)="B",AX1513,MAX(AX1513,G1513))))</f>
        <v>0</v>
      </c>
      <c r="AU1513" s="57" t="n">
        <f aca="false">IF(BR1513=1,0,ROUNDUP(AT1513/BQ1513,0))</f>
        <v>0</v>
      </c>
      <c r="AV1513" s="59" t="n">
        <f aca="false">IF(CD1513&gt;0,CD1513*MAX(1,AT1513/V1513),IF(BR1513=1,IF(AT1513&lt;=0,0,BS1513*MAX(1,IF(G1513&gt;0,AT1513/G1513,1))),IF(Q1513&gt;0,AU1513/Q1513,0))/MAX(0.1,N(Parameter!$M$21)))</f>
        <v>0</v>
      </c>
      <c r="AW1513" s="57" t="n">
        <f aca="false">AT1513*F1513</f>
        <v>0</v>
      </c>
      <c r="AX1513" s="57" t="n">
        <f aca="false">ROUNDUP(MAX(I1513/IF(BV1513&gt;0,BV1513,MAX(0.1,N(Cockpit!$O$6))),BY1513)/BQ1513,0)*BQ1513</f>
        <v>0</v>
      </c>
      <c r="AY1513" s="58" t="n">
        <f aca="false">IF(AV1513&gt;0,I1513/AV1513,-1)</f>
        <v>-1</v>
      </c>
      <c r="AZ1513" s="58" t="str">
        <f aca="false">IF(AND(OR(BU1513="L1",BU1513="L23"),AV1513&gt;0),SUMIFS($AV$7:$AV$1576,$BU$7:$BU$1576,BU1513,$AY$7:$AY$1576,"&gt;"&amp;AY1513)+SUMIFS($AV$7:$AV$1576,$BU$7:$BU$1576,BU1513,$AY$7:$AY$1576,AY1513,$BO$7:$BO$1576,"&lt;="&amp;BO1513),"")</f>
        <v/>
      </c>
      <c r="BA1513" s="65" t="n">
        <f aca="false">IF(AZ1513="",0,MAX(0,MIN(1,(IF(BU1513="L1",Parameter!$E$5,Parameter!$E$6+Parameter!$E$7)-(AZ1513-AV1513))/AV1513)))</f>
        <v>0</v>
      </c>
      <c r="BB1513" s="55" t="str">
        <f aca="false">IF(AF1513&lt;=0,"",IF(BU1513="Aussen","Aussenlager",IF(BU1513="-","Nicht im Lift",IF(AK1513&gt;=1,"Lift",IF(AK1513&lt;=0,"Aussenlager","teilweise")))))</f>
        <v/>
      </c>
      <c r="BC1513" s="55" t="str">
        <f aca="false">IF(AN1513&lt;=0,"",IF(BU1513="Aussen","Aussenlager",IF(BU1513="-","Nicht im Lift",IF(AS1513&gt;=1,"Lift",IF(AS1513&lt;=0,"Aussenlager","teilweise")))))</f>
        <v/>
      </c>
      <c r="BD1513" s="55" t="str">
        <f aca="false">IF(AV1513&lt;=0,"",IF(BU1513="Aussen","Aussenlager",IF(BU1513="-","Nicht im Lift",IF(BA1513&gt;=1,"Lift",IF(BA1513&lt;=0,"Aussenlager","teilweise")))))</f>
        <v/>
      </c>
      <c r="BE1513" s="55" t="str">
        <f aca="false">IF(A1513="","",IF(BN1513=1,"Neu; ","")&amp;IF(AND(BN1513=0,BI1513&lt;0),"negativer Bestand (Export "&amp;BI1513&amp;"); ","")&amp;IF(I1513&lt;=0,"Kein Verbrauch; ","")&amp;IF(CD1513&gt;0,"Lift "&amp;U1513&amp;" lt. Liftbericht (Fach "&amp;V1513&amp;" Stk); ",IF(BR1513=1,"Lose – Fläche geschätzt; ",""))&amp;IF(G1513&gt;AP1513,"Überbestand "&amp;ROUND(G1513-AP1513,0)&amp;" Stk / CHF "&amp;ROUND((G1513-AP1513)*F1513,0)&amp;"; ","")&amp;IF(AND(BW1513=1,BX1513&lt;BY1513),"MAX &lt; MB+LG; ","")&amp;IF(AND(CC1513&gt;0,CB1513*10&gt;CC1513),"zu hoch für Tablar; ","")&amp;IF(AND(BN1513=0,OR(BW1513=1,Y1513&lt;&gt;"",S1513&lt;&gt;"",T1513&lt;&gt;"",Z1513&lt;&gt;"")),"manuell übersteuert; ","")&amp;IF(AND(BR1513=0,Q1513=0),"Gebinde unbekannt / Stellmass fehlt; ","")&amp;IF(AND(BR1513=0,N(T1513)&lt;=0,N(P1513)&lt;=0),"Menge pro Gebinde fehlt (Ist = 1 Gebinde); ","")&amp;BM1513)</f>
        <v/>
      </c>
      <c r="BF1513" s="55"/>
      <c r="BG1513" s="55"/>
      <c r="BH1513" s="62"/>
      <c r="BI1513" s="57" t="n">
        <f aca="false">N('Neue Artikel'!$D$41)</f>
        <v>0</v>
      </c>
      <c r="BJ1513" s="57" t="n">
        <v>0</v>
      </c>
      <c r="BK1513" s="56" t="n">
        <v>0</v>
      </c>
      <c r="BL1513" s="57" t="n">
        <f aca="false">N('Neue Artikel'!$C$41)/Parameter!$B$18</f>
        <v>0</v>
      </c>
      <c r="BM1513" s="55"/>
      <c r="BN1513" s="60" t="n">
        <v>1</v>
      </c>
      <c r="BO1513" s="60" t="n">
        <v>1513</v>
      </c>
      <c r="BP1513" s="55" t="str">
        <f aca="false">IF(S1513&lt;&gt;"",UPPER(TRIM(S1513)),IF(O1513="","LOSE",O1513))</f>
        <v>LOSE</v>
      </c>
      <c r="BQ1513" s="57" t="n">
        <f aca="false">IF(BP1513="LOSE",1,IF(N(T1513)&gt;0,T1513,IF(N(P1513)&gt;0,P1513,MAX(1,G1513))))</f>
        <v>1</v>
      </c>
      <c r="BR1513" s="60" t="n">
        <f aca="false">IF(BP1513="LOSE",1,0)</f>
        <v>1</v>
      </c>
      <c r="BS1513" s="59" t="n">
        <f aca="false">IF(BR1513=0,0,IF(N(R1513)&gt;0,R1513,IFERROR(VLOOKUP(D1513,Parameter!$A$35:$C$64,3,0)+0,0)))</f>
        <v>0.15</v>
      </c>
      <c r="BT1513" s="55" t="str">
        <f aca="false">IF(Y1513&lt;&gt;"",Y1513,X1513)</f>
        <v/>
      </c>
      <c r="BU1513" s="55" t="str">
        <f aca="false">IF(BT1513=1,"L1",IF(OR(BT1513=2,BT1513=3),"L23",IF(BT1513="Aussen","Aussen","-")))</f>
        <v>-</v>
      </c>
      <c r="BV1513" s="66" t="n">
        <f aca="false">IF(N(Z1513)&gt;0,Z1513,0)</f>
        <v>0</v>
      </c>
      <c r="BW1513" s="60" t="n">
        <f aca="false">IF(ISNUMBER(AC1513),1,0)</f>
        <v>0</v>
      </c>
      <c r="BX1513" s="57" t="n">
        <f aca="false">N(AC1513)</f>
        <v>0</v>
      </c>
      <c r="BY1513" s="57" t="n">
        <f aca="false">N(L1513)+N(M1513)</f>
        <v>0</v>
      </c>
      <c r="BZ1513" s="57" t="n">
        <f aca="false">ROUNDUP(G1513/BQ1513,0)</f>
        <v>0</v>
      </c>
      <c r="CA1513" s="57" t="n">
        <f aca="false">ROUNDUP(BX1513/BQ1513,0)</f>
        <v>0</v>
      </c>
      <c r="CB1513" s="60" t="n">
        <f aca="false">IF(BR1513=1,0,IFERROR(VLOOKUP(BP1513,'Gebinde-Kategorie'!$A$5:$M$45,5,0)+0,0))</f>
        <v>0</v>
      </c>
      <c r="CC1513" s="60" t="n">
        <f aca="false">IFERROR(IF(OR(BT1513=1,BT1513=2,BT1513=3),N(INDEX(Parameter!$I$5:$I$7,BT1513)),0),0)</f>
        <v>0</v>
      </c>
      <c r="CD1513" s="59" t="n">
        <f aca="false">IF(AND(Parameter!$B$21="Ja",ISNUMBER(U1513),N(V1513)&gt;0),IFERROR(N(INDEX(Parameter!$L$5:$L$7,U1513))*INDEX(Parameter!$E$5:$E$7,U1513)*V1513/SUMIFS($V$7:$V$1576,$U$7:$U$1576,U1513),0),0)</f>
        <v>0</v>
      </c>
    </row>
    <row r="1514" customFormat="false" ht="15" hidden="false" customHeight="false" outlineLevel="0" collapsed="false">
      <c r="A1514" s="55" t="str">
        <f aca="false">IF('Neue Artikel'!$A$42="","",'Neue Artikel'!$A$42&amp;"")</f>
        <v/>
      </c>
      <c r="B1514" s="55" t="str">
        <f aca="false">'Neue Artikel'!$B$42&amp;""</f>
        <v/>
      </c>
      <c r="C1514" s="55"/>
      <c r="D1514" s="55" t="s">
        <v>2561</v>
      </c>
      <c r="E1514" s="55"/>
      <c r="F1514" s="56" t="n">
        <f aca="false">N('Neue Artikel'!$G$42)</f>
        <v>0</v>
      </c>
      <c r="G1514" s="57" t="n">
        <f aca="false">MAX(0,IF(AND(Parameter!$B$21="Ja",ISNUMBER(W1514)),W1514,IF(Parameter!$B$20="Jahresanfang 2025 + Export",BJ1514+BI1514,BI1514)))</f>
        <v>0</v>
      </c>
      <c r="H1514" s="57" t="n">
        <f aca="false">G1514*F1514</f>
        <v>0</v>
      </c>
      <c r="I1514" s="57" t="n">
        <f aca="false">BL1514*Parameter!$B$18</f>
        <v>0</v>
      </c>
      <c r="J1514" s="58"/>
      <c r="K1514" s="59"/>
      <c r="L1514" s="57" t="n">
        <f aca="false">N('Neue Artikel'!$E$42)</f>
        <v>0</v>
      </c>
      <c r="M1514" s="57" t="n">
        <f aca="false">N('Neue Artikel'!$F$42)</f>
        <v>0</v>
      </c>
      <c r="N1514" s="60"/>
      <c r="O1514" s="55" t="str">
        <f aca="false">IF('Neue Artikel'!$H$42="","LOSE",UPPER(TRIM('Neue Artikel'!$H$42)))</f>
        <v>LOSE</v>
      </c>
      <c r="P1514" s="57" t="n">
        <f aca="false">N('Neue Artikel'!$I$42)</f>
        <v>0</v>
      </c>
      <c r="Q1514" s="60" t="n">
        <f aca="false">IF(BR1514=1,0,IFERROR(VLOOKUP(BP1514,'Gebinde-Kategorie'!$A$5:$M$45,13,0)+0,0))</f>
        <v>0</v>
      </c>
      <c r="R1514" s="61"/>
      <c r="S1514" s="62"/>
      <c r="T1514" s="62"/>
      <c r="U1514" s="55"/>
      <c r="V1514" s="57"/>
      <c r="W1514" s="57"/>
      <c r="X1514" s="55" t="str">
        <f aca="false">IF(A1514="","",IF(AND(Parameter!$B$21="Ja",ISNUMBER(U1514)),U1514,IF(IFERROR(VLOOKUP(D1514,Parameter!$A$35:$C$64,2,0),"Nein")="2+3",IF(ISNUMBER(SEARCH("grosser Artikel",BM1514)),2,IFERROR(VLOOKUP(BP1514,Parameter!$F$35:$G$64,2,0),2)),IF(OR(IFERROR(VLOOKUP(D1514,Parameter!$A$35:$C$64,2,0),"Nein")="Nein",IFERROR(VLOOKUP(D1514,Parameter!$A$35:$C$64,2,0),"Nein")=""),"-",VLOOKUP(D1514,Parameter!$A$35:$C$64,2,0)))))</f>
        <v/>
      </c>
      <c r="Y1514" s="55" t="str">
        <f aca="false">IF('Neue Artikel'!$J$42="","",'Neue Artikel'!$J$42)</f>
        <v/>
      </c>
      <c r="Z1514" s="63"/>
      <c r="AA1514" s="57" t="n">
        <f aca="false">AP1514</f>
        <v>0</v>
      </c>
      <c r="AB1514" s="57" t="n">
        <f aca="false">MAX(AP1514,G1514)</f>
        <v>0</v>
      </c>
      <c r="AC1514" s="64"/>
      <c r="AD1514" s="57" t="n">
        <f aca="false">IF(LEFT(Cockpit!$C$5,1)="A",G1514,IF(BW1514=1,BX1514,IF(LEFT(Cockpit!$C$5,1)="B",AH1514,MAX(AH1514,G1514))))</f>
        <v>0</v>
      </c>
      <c r="AE1514" s="57" t="n">
        <f aca="false">IF(BR1514=1,0,ROUNDUP(AD1514/BQ1514,0))</f>
        <v>0</v>
      </c>
      <c r="AF1514" s="59" t="n">
        <f aca="false">IF(CD1514&gt;0,CD1514*MAX(1,AD1514/V1514),IF(BR1514=1,IF(AD1514&lt;=0,0,BS1514*MAX(1,IF(G1514&gt;0,AD1514/G1514,1))),IF(Q1514&gt;0,AE1514/Q1514,0))/MAX(0.1,N(Parameter!$M$21)))</f>
        <v>0</v>
      </c>
      <c r="AG1514" s="57" t="n">
        <f aca="false">AD1514*F1514</f>
        <v>0</v>
      </c>
      <c r="AH1514" s="57" t="n">
        <f aca="false">ROUNDUP(MAX(I1514/IF(BV1514&gt;0,BV1514,MAX(0.1,N(Cockpit!$C$6))),BY1514)/BQ1514,0)*BQ1514</f>
        <v>0</v>
      </c>
      <c r="AI1514" s="58" t="n">
        <f aca="false">IF(AF1514&gt;0,I1514/AF1514,-1)</f>
        <v>-1</v>
      </c>
      <c r="AJ1514" s="58" t="str">
        <f aca="false">IF(AND(OR(BU1514="L1",BU1514="L23"),AF1514&gt;0),SUMIFS($AF$7:$AF$1576,$BU$7:$BU$1576,BU1514,$AI$7:$AI$1576,"&gt;"&amp;AI1514)+SUMIFS($AF$7:$AF$1576,$BU$7:$BU$1576,BU1514,$AI$7:$AI$1576,AI1514,$BO$7:$BO$1576,"&lt;="&amp;BO1514),"")</f>
        <v/>
      </c>
      <c r="AK1514" s="65" t="n">
        <f aca="false">IF(AJ1514="",0,MAX(0,MIN(1,(IF(BU1514="L1",Parameter!$E$5,Parameter!$E$6+Parameter!$E$7)-(AJ1514-AF1514))/AF1514)))</f>
        <v>0</v>
      </c>
      <c r="AL1514" s="57" t="n">
        <f aca="false">IF(LEFT(Cockpit!$I$5,1)="A",G1514,IF(BW1514=1,BX1514,IF(LEFT(Cockpit!$I$5,1)="B",AP1514,MAX(AP1514,G1514))))</f>
        <v>0</v>
      </c>
      <c r="AM1514" s="57" t="n">
        <f aca="false">IF(BR1514=1,0,ROUNDUP(AL1514/BQ1514,0))</f>
        <v>0</v>
      </c>
      <c r="AN1514" s="59" t="n">
        <f aca="false">IF(CD1514&gt;0,CD1514*MAX(1,AL1514/V1514),IF(BR1514=1,IF(AL1514&lt;=0,0,BS1514*MAX(1,IF(G1514&gt;0,AL1514/G1514,1))),IF(Q1514&gt;0,AM1514/Q1514,0))/MAX(0.1,N(Parameter!$M$21)))</f>
        <v>0</v>
      </c>
      <c r="AO1514" s="57" t="n">
        <f aca="false">AL1514*F1514</f>
        <v>0</v>
      </c>
      <c r="AP1514" s="57" t="n">
        <f aca="false">ROUNDUP(MAX(I1514/IF(BV1514&gt;0,BV1514,MAX(0.1,N(Cockpit!$I$6))),BY1514)/BQ1514,0)*BQ1514</f>
        <v>0</v>
      </c>
      <c r="AQ1514" s="58" t="n">
        <f aca="false">IF(AN1514&gt;0,I1514/AN1514,-1)</f>
        <v>-1</v>
      </c>
      <c r="AR1514" s="58" t="str">
        <f aca="false">IF(AND(OR(BU1514="L1",BU1514="L23"),AN1514&gt;0),SUMIFS($AN$7:$AN$1576,$BU$7:$BU$1576,BU1514,$AQ$7:$AQ$1576,"&gt;"&amp;AQ1514)+SUMIFS($AN$7:$AN$1576,$BU$7:$BU$1576,BU1514,$AQ$7:$AQ$1576,AQ1514,$BO$7:$BO$1576,"&lt;="&amp;BO1514),"")</f>
        <v/>
      </c>
      <c r="AS1514" s="65" t="n">
        <f aca="false">IF(AR1514="",0,MAX(0,MIN(1,(IF(BU1514="L1",Parameter!$E$5,Parameter!$E$6+Parameter!$E$7)-(AR1514-AN1514))/AN1514)))</f>
        <v>0</v>
      </c>
      <c r="AT1514" s="57" t="n">
        <f aca="false">IF(LEFT(Cockpit!$O$5,1)="A",G1514,IF(BW1514=1,BX1514,IF(LEFT(Cockpit!$O$5,1)="B",AX1514,MAX(AX1514,G1514))))</f>
        <v>0</v>
      </c>
      <c r="AU1514" s="57" t="n">
        <f aca="false">IF(BR1514=1,0,ROUNDUP(AT1514/BQ1514,0))</f>
        <v>0</v>
      </c>
      <c r="AV1514" s="59" t="n">
        <f aca="false">IF(CD1514&gt;0,CD1514*MAX(1,AT1514/V1514),IF(BR1514=1,IF(AT1514&lt;=0,0,BS1514*MAX(1,IF(G1514&gt;0,AT1514/G1514,1))),IF(Q1514&gt;0,AU1514/Q1514,0))/MAX(0.1,N(Parameter!$M$21)))</f>
        <v>0</v>
      </c>
      <c r="AW1514" s="57" t="n">
        <f aca="false">AT1514*F1514</f>
        <v>0</v>
      </c>
      <c r="AX1514" s="57" t="n">
        <f aca="false">ROUNDUP(MAX(I1514/IF(BV1514&gt;0,BV1514,MAX(0.1,N(Cockpit!$O$6))),BY1514)/BQ1514,0)*BQ1514</f>
        <v>0</v>
      </c>
      <c r="AY1514" s="58" t="n">
        <f aca="false">IF(AV1514&gt;0,I1514/AV1514,-1)</f>
        <v>-1</v>
      </c>
      <c r="AZ1514" s="58" t="str">
        <f aca="false">IF(AND(OR(BU1514="L1",BU1514="L23"),AV1514&gt;0),SUMIFS($AV$7:$AV$1576,$BU$7:$BU$1576,BU1514,$AY$7:$AY$1576,"&gt;"&amp;AY1514)+SUMIFS($AV$7:$AV$1576,$BU$7:$BU$1576,BU1514,$AY$7:$AY$1576,AY1514,$BO$7:$BO$1576,"&lt;="&amp;BO1514),"")</f>
        <v/>
      </c>
      <c r="BA1514" s="65" t="n">
        <f aca="false">IF(AZ1514="",0,MAX(0,MIN(1,(IF(BU1514="L1",Parameter!$E$5,Parameter!$E$6+Parameter!$E$7)-(AZ1514-AV1514))/AV1514)))</f>
        <v>0</v>
      </c>
      <c r="BB1514" s="55" t="str">
        <f aca="false">IF(AF1514&lt;=0,"",IF(BU1514="Aussen","Aussenlager",IF(BU1514="-","Nicht im Lift",IF(AK1514&gt;=1,"Lift",IF(AK1514&lt;=0,"Aussenlager","teilweise")))))</f>
        <v/>
      </c>
      <c r="BC1514" s="55" t="str">
        <f aca="false">IF(AN1514&lt;=0,"",IF(BU1514="Aussen","Aussenlager",IF(BU1514="-","Nicht im Lift",IF(AS1514&gt;=1,"Lift",IF(AS1514&lt;=0,"Aussenlager","teilweise")))))</f>
        <v/>
      </c>
      <c r="BD1514" s="55" t="str">
        <f aca="false">IF(AV1514&lt;=0,"",IF(BU1514="Aussen","Aussenlager",IF(BU1514="-","Nicht im Lift",IF(BA1514&gt;=1,"Lift",IF(BA1514&lt;=0,"Aussenlager","teilweise")))))</f>
        <v/>
      </c>
      <c r="BE1514" s="55" t="str">
        <f aca="false">IF(A1514="","",IF(BN1514=1,"Neu; ","")&amp;IF(AND(BN1514=0,BI1514&lt;0),"negativer Bestand (Export "&amp;BI1514&amp;"); ","")&amp;IF(I1514&lt;=0,"Kein Verbrauch; ","")&amp;IF(CD1514&gt;0,"Lift "&amp;U1514&amp;" lt. Liftbericht (Fach "&amp;V1514&amp;" Stk); ",IF(BR1514=1,"Lose – Fläche geschätzt; ",""))&amp;IF(G1514&gt;AP1514,"Überbestand "&amp;ROUND(G1514-AP1514,0)&amp;" Stk / CHF "&amp;ROUND((G1514-AP1514)*F1514,0)&amp;"; ","")&amp;IF(AND(BW1514=1,BX1514&lt;BY1514),"MAX &lt; MB+LG; ","")&amp;IF(AND(CC1514&gt;0,CB1514*10&gt;CC1514),"zu hoch für Tablar; ","")&amp;IF(AND(BN1514=0,OR(BW1514=1,Y1514&lt;&gt;"",S1514&lt;&gt;"",T1514&lt;&gt;"",Z1514&lt;&gt;"")),"manuell übersteuert; ","")&amp;IF(AND(BR1514=0,Q1514=0),"Gebinde unbekannt / Stellmass fehlt; ","")&amp;IF(AND(BR1514=0,N(T1514)&lt;=0,N(P1514)&lt;=0),"Menge pro Gebinde fehlt (Ist = 1 Gebinde); ","")&amp;BM1514)</f>
        <v/>
      </c>
      <c r="BF1514" s="55"/>
      <c r="BG1514" s="55"/>
      <c r="BH1514" s="62"/>
      <c r="BI1514" s="57" t="n">
        <f aca="false">N('Neue Artikel'!$D$42)</f>
        <v>0</v>
      </c>
      <c r="BJ1514" s="57" t="n">
        <v>0</v>
      </c>
      <c r="BK1514" s="56" t="n">
        <v>0</v>
      </c>
      <c r="BL1514" s="57" t="n">
        <f aca="false">N('Neue Artikel'!$C$42)/Parameter!$B$18</f>
        <v>0</v>
      </c>
      <c r="BM1514" s="55"/>
      <c r="BN1514" s="60" t="n">
        <v>1</v>
      </c>
      <c r="BO1514" s="60" t="n">
        <v>1514</v>
      </c>
      <c r="BP1514" s="55" t="str">
        <f aca="false">IF(S1514&lt;&gt;"",UPPER(TRIM(S1514)),IF(O1514="","LOSE",O1514))</f>
        <v>LOSE</v>
      </c>
      <c r="BQ1514" s="57" t="n">
        <f aca="false">IF(BP1514="LOSE",1,IF(N(T1514)&gt;0,T1514,IF(N(P1514)&gt;0,P1514,MAX(1,G1514))))</f>
        <v>1</v>
      </c>
      <c r="BR1514" s="60" t="n">
        <f aca="false">IF(BP1514="LOSE",1,0)</f>
        <v>1</v>
      </c>
      <c r="BS1514" s="59" t="n">
        <f aca="false">IF(BR1514=0,0,IF(N(R1514)&gt;0,R1514,IFERROR(VLOOKUP(D1514,Parameter!$A$35:$C$64,3,0)+0,0)))</f>
        <v>0.15</v>
      </c>
      <c r="BT1514" s="55" t="str">
        <f aca="false">IF(Y1514&lt;&gt;"",Y1514,X1514)</f>
        <v/>
      </c>
      <c r="BU1514" s="55" t="str">
        <f aca="false">IF(BT1514=1,"L1",IF(OR(BT1514=2,BT1514=3),"L23",IF(BT1514="Aussen","Aussen","-")))</f>
        <v>-</v>
      </c>
      <c r="BV1514" s="66" t="n">
        <f aca="false">IF(N(Z1514)&gt;0,Z1514,0)</f>
        <v>0</v>
      </c>
      <c r="BW1514" s="60" t="n">
        <f aca="false">IF(ISNUMBER(AC1514),1,0)</f>
        <v>0</v>
      </c>
      <c r="BX1514" s="57" t="n">
        <f aca="false">N(AC1514)</f>
        <v>0</v>
      </c>
      <c r="BY1514" s="57" t="n">
        <f aca="false">N(L1514)+N(M1514)</f>
        <v>0</v>
      </c>
      <c r="BZ1514" s="57" t="n">
        <f aca="false">ROUNDUP(G1514/BQ1514,0)</f>
        <v>0</v>
      </c>
      <c r="CA1514" s="57" t="n">
        <f aca="false">ROUNDUP(BX1514/BQ1514,0)</f>
        <v>0</v>
      </c>
      <c r="CB1514" s="60" t="n">
        <f aca="false">IF(BR1514=1,0,IFERROR(VLOOKUP(BP1514,'Gebinde-Kategorie'!$A$5:$M$45,5,0)+0,0))</f>
        <v>0</v>
      </c>
      <c r="CC1514" s="60" t="n">
        <f aca="false">IFERROR(IF(OR(BT1514=1,BT1514=2,BT1514=3),N(INDEX(Parameter!$I$5:$I$7,BT1514)),0),0)</f>
        <v>0</v>
      </c>
      <c r="CD1514" s="59" t="n">
        <f aca="false">IF(AND(Parameter!$B$21="Ja",ISNUMBER(U1514),N(V1514)&gt;0),IFERROR(N(INDEX(Parameter!$L$5:$L$7,U1514))*INDEX(Parameter!$E$5:$E$7,U1514)*V1514/SUMIFS($V$7:$V$1576,$U$7:$U$1576,U1514),0),0)</f>
        <v>0</v>
      </c>
    </row>
    <row r="1515" customFormat="false" ht="15" hidden="false" customHeight="false" outlineLevel="0" collapsed="false">
      <c r="A1515" s="55" t="str">
        <f aca="false">IF('Neue Artikel'!$A$43="","",'Neue Artikel'!$A$43&amp;"")</f>
        <v/>
      </c>
      <c r="B1515" s="55" t="str">
        <f aca="false">'Neue Artikel'!$B$43&amp;""</f>
        <v/>
      </c>
      <c r="C1515" s="55"/>
      <c r="D1515" s="55" t="s">
        <v>2561</v>
      </c>
      <c r="E1515" s="55"/>
      <c r="F1515" s="56" t="n">
        <f aca="false">N('Neue Artikel'!$G$43)</f>
        <v>0</v>
      </c>
      <c r="G1515" s="57" t="n">
        <f aca="false">MAX(0,IF(AND(Parameter!$B$21="Ja",ISNUMBER(W1515)),W1515,IF(Parameter!$B$20="Jahresanfang 2025 + Export",BJ1515+BI1515,BI1515)))</f>
        <v>0</v>
      </c>
      <c r="H1515" s="57" t="n">
        <f aca="false">G1515*F1515</f>
        <v>0</v>
      </c>
      <c r="I1515" s="57" t="n">
        <f aca="false">BL1515*Parameter!$B$18</f>
        <v>0</v>
      </c>
      <c r="J1515" s="58"/>
      <c r="K1515" s="59"/>
      <c r="L1515" s="57" t="n">
        <f aca="false">N('Neue Artikel'!$E$43)</f>
        <v>0</v>
      </c>
      <c r="M1515" s="57" t="n">
        <f aca="false">N('Neue Artikel'!$F$43)</f>
        <v>0</v>
      </c>
      <c r="N1515" s="60"/>
      <c r="O1515" s="55" t="str">
        <f aca="false">IF('Neue Artikel'!$H$43="","LOSE",UPPER(TRIM('Neue Artikel'!$H$43)))</f>
        <v>LOSE</v>
      </c>
      <c r="P1515" s="57" t="n">
        <f aca="false">N('Neue Artikel'!$I$43)</f>
        <v>0</v>
      </c>
      <c r="Q1515" s="60" t="n">
        <f aca="false">IF(BR1515=1,0,IFERROR(VLOOKUP(BP1515,'Gebinde-Kategorie'!$A$5:$M$45,13,0)+0,0))</f>
        <v>0</v>
      </c>
      <c r="R1515" s="61"/>
      <c r="S1515" s="62"/>
      <c r="T1515" s="62"/>
      <c r="U1515" s="55"/>
      <c r="V1515" s="57"/>
      <c r="W1515" s="57"/>
      <c r="X1515" s="55" t="str">
        <f aca="false">IF(A1515="","",IF(AND(Parameter!$B$21="Ja",ISNUMBER(U1515)),U1515,IF(IFERROR(VLOOKUP(D1515,Parameter!$A$35:$C$64,2,0),"Nein")="2+3",IF(ISNUMBER(SEARCH("grosser Artikel",BM1515)),2,IFERROR(VLOOKUP(BP1515,Parameter!$F$35:$G$64,2,0),2)),IF(OR(IFERROR(VLOOKUP(D1515,Parameter!$A$35:$C$64,2,0),"Nein")="Nein",IFERROR(VLOOKUP(D1515,Parameter!$A$35:$C$64,2,0),"Nein")=""),"-",VLOOKUP(D1515,Parameter!$A$35:$C$64,2,0)))))</f>
        <v/>
      </c>
      <c r="Y1515" s="55" t="str">
        <f aca="false">IF('Neue Artikel'!$J$43="","",'Neue Artikel'!$J$43)</f>
        <v/>
      </c>
      <c r="Z1515" s="63"/>
      <c r="AA1515" s="57" t="n">
        <f aca="false">AP1515</f>
        <v>0</v>
      </c>
      <c r="AB1515" s="57" t="n">
        <f aca="false">MAX(AP1515,G1515)</f>
        <v>0</v>
      </c>
      <c r="AC1515" s="64"/>
      <c r="AD1515" s="57" t="n">
        <f aca="false">IF(LEFT(Cockpit!$C$5,1)="A",G1515,IF(BW1515=1,BX1515,IF(LEFT(Cockpit!$C$5,1)="B",AH1515,MAX(AH1515,G1515))))</f>
        <v>0</v>
      </c>
      <c r="AE1515" s="57" t="n">
        <f aca="false">IF(BR1515=1,0,ROUNDUP(AD1515/BQ1515,0))</f>
        <v>0</v>
      </c>
      <c r="AF1515" s="59" t="n">
        <f aca="false">IF(CD1515&gt;0,CD1515*MAX(1,AD1515/V1515),IF(BR1515=1,IF(AD1515&lt;=0,0,BS1515*MAX(1,IF(G1515&gt;0,AD1515/G1515,1))),IF(Q1515&gt;0,AE1515/Q1515,0))/MAX(0.1,N(Parameter!$M$21)))</f>
        <v>0</v>
      </c>
      <c r="AG1515" s="57" t="n">
        <f aca="false">AD1515*F1515</f>
        <v>0</v>
      </c>
      <c r="AH1515" s="57" t="n">
        <f aca="false">ROUNDUP(MAX(I1515/IF(BV1515&gt;0,BV1515,MAX(0.1,N(Cockpit!$C$6))),BY1515)/BQ1515,0)*BQ1515</f>
        <v>0</v>
      </c>
      <c r="AI1515" s="58" t="n">
        <f aca="false">IF(AF1515&gt;0,I1515/AF1515,-1)</f>
        <v>-1</v>
      </c>
      <c r="AJ1515" s="58" t="str">
        <f aca="false">IF(AND(OR(BU1515="L1",BU1515="L23"),AF1515&gt;0),SUMIFS($AF$7:$AF$1576,$BU$7:$BU$1576,BU1515,$AI$7:$AI$1576,"&gt;"&amp;AI1515)+SUMIFS($AF$7:$AF$1576,$BU$7:$BU$1576,BU1515,$AI$7:$AI$1576,AI1515,$BO$7:$BO$1576,"&lt;="&amp;BO1515),"")</f>
        <v/>
      </c>
      <c r="AK1515" s="65" t="n">
        <f aca="false">IF(AJ1515="",0,MAX(0,MIN(1,(IF(BU1515="L1",Parameter!$E$5,Parameter!$E$6+Parameter!$E$7)-(AJ1515-AF1515))/AF1515)))</f>
        <v>0</v>
      </c>
      <c r="AL1515" s="57" t="n">
        <f aca="false">IF(LEFT(Cockpit!$I$5,1)="A",G1515,IF(BW1515=1,BX1515,IF(LEFT(Cockpit!$I$5,1)="B",AP1515,MAX(AP1515,G1515))))</f>
        <v>0</v>
      </c>
      <c r="AM1515" s="57" t="n">
        <f aca="false">IF(BR1515=1,0,ROUNDUP(AL1515/BQ1515,0))</f>
        <v>0</v>
      </c>
      <c r="AN1515" s="59" t="n">
        <f aca="false">IF(CD1515&gt;0,CD1515*MAX(1,AL1515/V1515),IF(BR1515=1,IF(AL1515&lt;=0,0,BS1515*MAX(1,IF(G1515&gt;0,AL1515/G1515,1))),IF(Q1515&gt;0,AM1515/Q1515,0))/MAX(0.1,N(Parameter!$M$21)))</f>
        <v>0</v>
      </c>
      <c r="AO1515" s="57" t="n">
        <f aca="false">AL1515*F1515</f>
        <v>0</v>
      </c>
      <c r="AP1515" s="57" t="n">
        <f aca="false">ROUNDUP(MAX(I1515/IF(BV1515&gt;0,BV1515,MAX(0.1,N(Cockpit!$I$6))),BY1515)/BQ1515,0)*BQ1515</f>
        <v>0</v>
      </c>
      <c r="AQ1515" s="58" t="n">
        <f aca="false">IF(AN1515&gt;0,I1515/AN1515,-1)</f>
        <v>-1</v>
      </c>
      <c r="AR1515" s="58" t="str">
        <f aca="false">IF(AND(OR(BU1515="L1",BU1515="L23"),AN1515&gt;0),SUMIFS($AN$7:$AN$1576,$BU$7:$BU$1576,BU1515,$AQ$7:$AQ$1576,"&gt;"&amp;AQ1515)+SUMIFS($AN$7:$AN$1576,$BU$7:$BU$1576,BU1515,$AQ$7:$AQ$1576,AQ1515,$BO$7:$BO$1576,"&lt;="&amp;BO1515),"")</f>
        <v/>
      </c>
      <c r="AS1515" s="65" t="n">
        <f aca="false">IF(AR1515="",0,MAX(0,MIN(1,(IF(BU1515="L1",Parameter!$E$5,Parameter!$E$6+Parameter!$E$7)-(AR1515-AN1515))/AN1515)))</f>
        <v>0</v>
      </c>
      <c r="AT1515" s="57" t="n">
        <f aca="false">IF(LEFT(Cockpit!$O$5,1)="A",G1515,IF(BW1515=1,BX1515,IF(LEFT(Cockpit!$O$5,1)="B",AX1515,MAX(AX1515,G1515))))</f>
        <v>0</v>
      </c>
      <c r="AU1515" s="57" t="n">
        <f aca="false">IF(BR1515=1,0,ROUNDUP(AT1515/BQ1515,0))</f>
        <v>0</v>
      </c>
      <c r="AV1515" s="59" t="n">
        <f aca="false">IF(CD1515&gt;0,CD1515*MAX(1,AT1515/V1515),IF(BR1515=1,IF(AT1515&lt;=0,0,BS1515*MAX(1,IF(G1515&gt;0,AT1515/G1515,1))),IF(Q1515&gt;0,AU1515/Q1515,0))/MAX(0.1,N(Parameter!$M$21)))</f>
        <v>0</v>
      </c>
      <c r="AW1515" s="57" t="n">
        <f aca="false">AT1515*F1515</f>
        <v>0</v>
      </c>
      <c r="AX1515" s="57" t="n">
        <f aca="false">ROUNDUP(MAX(I1515/IF(BV1515&gt;0,BV1515,MAX(0.1,N(Cockpit!$O$6))),BY1515)/BQ1515,0)*BQ1515</f>
        <v>0</v>
      </c>
      <c r="AY1515" s="58" t="n">
        <f aca="false">IF(AV1515&gt;0,I1515/AV1515,-1)</f>
        <v>-1</v>
      </c>
      <c r="AZ1515" s="58" t="str">
        <f aca="false">IF(AND(OR(BU1515="L1",BU1515="L23"),AV1515&gt;0),SUMIFS($AV$7:$AV$1576,$BU$7:$BU$1576,BU1515,$AY$7:$AY$1576,"&gt;"&amp;AY1515)+SUMIFS($AV$7:$AV$1576,$BU$7:$BU$1576,BU1515,$AY$7:$AY$1576,AY1515,$BO$7:$BO$1576,"&lt;="&amp;BO1515),"")</f>
        <v/>
      </c>
      <c r="BA1515" s="65" t="n">
        <f aca="false">IF(AZ1515="",0,MAX(0,MIN(1,(IF(BU1515="L1",Parameter!$E$5,Parameter!$E$6+Parameter!$E$7)-(AZ1515-AV1515))/AV1515)))</f>
        <v>0</v>
      </c>
      <c r="BB1515" s="55" t="str">
        <f aca="false">IF(AF1515&lt;=0,"",IF(BU1515="Aussen","Aussenlager",IF(BU1515="-","Nicht im Lift",IF(AK1515&gt;=1,"Lift",IF(AK1515&lt;=0,"Aussenlager","teilweise")))))</f>
        <v/>
      </c>
      <c r="BC1515" s="55" t="str">
        <f aca="false">IF(AN1515&lt;=0,"",IF(BU1515="Aussen","Aussenlager",IF(BU1515="-","Nicht im Lift",IF(AS1515&gt;=1,"Lift",IF(AS1515&lt;=0,"Aussenlager","teilweise")))))</f>
        <v/>
      </c>
      <c r="BD1515" s="55" t="str">
        <f aca="false">IF(AV1515&lt;=0,"",IF(BU1515="Aussen","Aussenlager",IF(BU1515="-","Nicht im Lift",IF(BA1515&gt;=1,"Lift",IF(BA1515&lt;=0,"Aussenlager","teilweise")))))</f>
        <v/>
      </c>
      <c r="BE1515" s="55" t="str">
        <f aca="false">IF(A1515="","",IF(BN1515=1,"Neu; ","")&amp;IF(AND(BN1515=0,BI1515&lt;0),"negativer Bestand (Export "&amp;BI1515&amp;"); ","")&amp;IF(I1515&lt;=0,"Kein Verbrauch; ","")&amp;IF(CD1515&gt;0,"Lift "&amp;U1515&amp;" lt. Liftbericht (Fach "&amp;V1515&amp;" Stk); ",IF(BR1515=1,"Lose – Fläche geschätzt; ",""))&amp;IF(G1515&gt;AP1515,"Überbestand "&amp;ROUND(G1515-AP1515,0)&amp;" Stk / CHF "&amp;ROUND((G1515-AP1515)*F1515,0)&amp;"; ","")&amp;IF(AND(BW1515=1,BX1515&lt;BY1515),"MAX &lt; MB+LG; ","")&amp;IF(AND(CC1515&gt;0,CB1515*10&gt;CC1515),"zu hoch für Tablar; ","")&amp;IF(AND(BN1515=0,OR(BW1515=1,Y1515&lt;&gt;"",S1515&lt;&gt;"",T1515&lt;&gt;"",Z1515&lt;&gt;"")),"manuell übersteuert; ","")&amp;IF(AND(BR1515=0,Q1515=0),"Gebinde unbekannt / Stellmass fehlt; ","")&amp;IF(AND(BR1515=0,N(T1515)&lt;=0,N(P1515)&lt;=0),"Menge pro Gebinde fehlt (Ist = 1 Gebinde); ","")&amp;BM1515)</f>
        <v/>
      </c>
      <c r="BF1515" s="55"/>
      <c r="BG1515" s="55"/>
      <c r="BH1515" s="62"/>
      <c r="BI1515" s="57" t="n">
        <f aca="false">N('Neue Artikel'!$D$43)</f>
        <v>0</v>
      </c>
      <c r="BJ1515" s="57" t="n">
        <v>0</v>
      </c>
      <c r="BK1515" s="56" t="n">
        <v>0</v>
      </c>
      <c r="BL1515" s="57" t="n">
        <f aca="false">N('Neue Artikel'!$C$43)/Parameter!$B$18</f>
        <v>0</v>
      </c>
      <c r="BM1515" s="55"/>
      <c r="BN1515" s="60" t="n">
        <v>1</v>
      </c>
      <c r="BO1515" s="60" t="n">
        <v>1515</v>
      </c>
      <c r="BP1515" s="55" t="str">
        <f aca="false">IF(S1515&lt;&gt;"",UPPER(TRIM(S1515)),IF(O1515="","LOSE",O1515))</f>
        <v>LOSE</v>
      </c>
      <c r="BQ1515" s="57" t="n">
        <f aca="false">IF(BP1515="LOSE",1,IF(N(T1515)&gt;0,T1515,IF(N(P1515)&gt;0,P1515,MAX(1,G1515))))</f>
        <v>1</v>
      </c>
      <c r="BR1515" s="60" t="n">
        <f aca="false">IF(BP1515="LOSE",1,0)</f>
        <v>1</v>
      </c>
      <c r="BS1515" s="59" t="n">
        <f aca="false">IF(BR1515=0,0,IF(N(R1515)&gt;0,R1515,IFERROR(VLOOKUP(D1515,Parameter!$A$35:$C$64,3,0)+0,0)))</f>
        <v>0.15</v>
      </c>
      <c r="BT1515" s="55" t="str">
        <f aca="false">IF(Y1515&lt;&gt;"",Y1515,X1515)</f>
        <v/>
      </c>
      <c r="BU1515" s="55" t="str">
        <f aca="false">IF(BT1515=1,"L1",IF(OR(BT1515=2,BT1515=3),"L23",IF(BT1515="Aussen","Aussen","-")))</f>
        <v>-</v>
      </c>
      <c r="BV1515" s="66" t="n">
        <f aca="false">IF(N(Z1515)&gt;0,Z1515,0)</f>
        <v>0</v>
      </c>
      <c r="BW1515" s="60" t="n">
        <f aca="false">IF(ISNUMBER(AC1515),1,0)</f>
        <v>0</v>
      </c>
      <c r="BX1515" s="57" t="n">
        <f aca="false">N(AC1515)</f>
        <v>0</v>
      </c>
      <c r="BY1515" s="57" t="n">
        <f aca="false">N(L1515)+N(M1515)</f>
        <v>0</v>
      </c>
      <c r="BZ1515" s="57" t="n">
        <f aca="false">ROUNDUP(G1515/BQ1515,0)</f>
        <v>0</v>
      </c>
      <c r="CA1515" s="57" t="n">
        <f aca="false">ROUNDUP(BX1515/BQ1515,0)</f>
        <v>0</v>
      </c>
      <c r="CB1515" s="60" t="n">
        <f aca="false">IF(BR1515=1,0,IFERROR(VLOOKUP(BP1515,'Gebinde-Kategorie'!$A$5:$M$45,5,0)+0,0))</f>
        <v>0</v>
      </c>
      <c r="CC1515" s="60" t="n">
        <f aca="false">IFERROR(IF(OR(BT1515=1,BT1515=2,BT1515=3),N(INDEX(Parameter!$I$5:$I$7,BT1515)),0),0)</f>
        <v>0</v>
      </c>
      <c r="CD1515" s="59" t="n">
        <f aca="false">IF(AND(Parameter!$B$21="Ja",ISNUMBER(U1515),N(V1515)&gt;0),IFERROR(N(INDEX(Parameter!$L$5:$L$7,U1515))*INDEX(Parameter!$E$5:$E$7,U1515)*V1515/SUMIFS($V$7:$V$1576,$U$7:$U$1576,U1515),0),0)</f>
        <v>0</v>
      </c>
    </row>
    <row r="1516" customFormat="false" ht="15" hidden="false" customHeight="false" outlineLevel="0" collapsed="false">
      <c r="A1516" s="55" t="str">
        <f aca="false">IF('Neue Artikel'!$A$44="","",'Neue Artikel'!$A$44&amp;"")</f>
        <v/>
      </c>
      <c r="B1516" s="55" t="str">
        <f aca="false">'Neue Artikel'!$B$44&amp;""</f>
        <v/>
      </c>
      <c r="C1516" s="55"/>
      <c r="D1516" s="55" t="s">
        <v>2561</v>
      </c>
      <c r="E1516" s="55"/>
      <c r="F1516" s="56" t="n">
        <f aca="false">N('Neue Artikel'!$G$44)</f>
        <v>0</v>
      </c>
      <c r="G1516" s="57" t="n">
        <f aca="false">MAX(0,IF(AND(Parameter!$B$21="Ja",ISNUMBER(W1516)),W1516,IF(Parameter!$B$20="Jahresanfang 2025 + Export",BJ1516+BI1516,BI1516)))</f>
        <v>0</v>
      </c>
      <c r="H1516" s="57" t="n">
        <f aca="false">G1516*F1516</f>
        <v>0</v>
      </c>
      <c r="I1516" s="57" t="n">
        <f aca="false">BL1516*Parameter!$B$18</f>
        <v>0</v>
      </c>
      <c r="J1516" s="58"/>
      <c r="K1516" s="59"/>
      <c r="L1516" s="57" t="n">
        <f aca="false">N('Neue Artikel'!$E$44)</f>
        <v>0</v>
      </c>
      <c r="M1516" s="57" t="n">
        <f aca="false">N('Neue Artikel'!$F$44)</f>
        <v>0</v>
      </c>
      <c r="N1516" s="60"/>
      <c r="O1516" s="55" t="str">
        <f aca="false">IF('Neue Artikel'!$H$44="","LOSE",UPPER(TRIM('Neue Artikel'!$H$44)))</f>
        <v>LOSE</v>
      </c>
      <c r="P1516" s="57" t="n">
        <f aca="false">N('Neue Artikel'!$I$44)</f>
        <v>0</v>
      </c>
      <c r="Q1516" s="60" t="n">
        <f aca="false">IF(BR1516=1,0,IFERROR(VLOOKUP(BP1516,'Gebinde-Kategorie'!$A$5:$M$45,13,0)+0,0))</f>
        <v>0</v>
      </c>
      <c r="R1516" s="61"/>
      <c r="S1516" s="62"/>
      <c r="T1516" s="62"/>
      <c r="U1516" s="55"/>
      <c r="V1516" s="57"/>
      <c r="W1516" s="57"/>
      <c r="X1516" s="55" t="str">
        <f aca="false">IF(A1516="","",IF(AND(Parameter!$B$21="Ja",ISNUMBER(U1516)),U1516,IF(IFERROR(VLOOKUP(D1516,Parameter!$A$35:$C$64,2,0),"Nein")="2+3",IF(ISNUMBER(SEARCH("grosser Artikel",BM1516)),2,IFERROR(VLOOKUP(BP1516,Parameter!$F$35:$G$64,2,0),2)),IF(OR(IFERROR(VLOOKUP(D1516,Parameter!$A$35:$C$64,2,0),"Nein")="Nein",IFERROR(VLOOKUP(D1516,Parameter!$A$35:$C$64,2,0),"Nein")=""),"-",VLOOKUP(D1516,Parameter!$A$35:$C$64,2,0)))))</f>
        <v/>
      </c>
      <c r="Y1516" s="55" t="str">
        <f aca="false">IF('Neue Artikel'!$J$44="","",'Neue Artikel'!$J$44)</f>
        <v/>
      </c>
      <c r="Z1516" s="63"/>
      <c r="AA1516" s="57" t="n">
        <f aca="false">AP1516</f>
        <v>0</v>
      </c>
      <c r="AB1516" s="57" t="n">
        <f aca="false">MAX(AP1516,G1516)</f>
        <v>0</v>
      </c>
      <c r="AC1516" s="64"/>
      <c r="AD1516" s="57" t="n">
        <f aca="false">IF(LEFT(Cockpit!$C$5,1)="A",G1516,IF(BW1516=1,BX1516,IF(LEFT(Cockpit!$C$5,1)="B",AH1516,MAX(AH1516,G1516))))</f>
        <v>0</v>
      </c>
      <c r="AE1516" s="57" t="n">
        <f aca="false">IF(BR1516=1,0,ROUNDUP(AD1516/BQ1516,0))</f>
        <v>0</v>
      </c>
      <c r="AF1516" s="59" t="n">
        <f aca="false">IF(CD1516&gt;0,CD1516*MAX(1,AD1516/V1516),IF(BR1516=1,IF(AD1516&lt;=0,0,BS1516*MAX(1,IF(G1516&gt;0,AD1516/G1516,1))),IF(Q1516&gt;0,AE1516/Q1516,0))/MAX(0.1,N(Parameter!$M$21)))</f>
        <v>0</v>
      </c>
      <c r="AG1516" s="57" t="n">
        <f aca="false">AD1516*F1516</f>
        <v>0</v>
      </c>
      <c r="AH1516" s="57" t="n">
        <f aca="false">ROUNDUP(MAX(I1516/IF(BV1516&gt;0,BV1516,MAX(0.1,N(Cockpit!$C$6))),BY1516)/BQ1516,0)*BQ1516</f>
        <v>0</v>
      </c>
      <c r="AI1516" s="58" t="n">
        <f aca="false">IF(AF1516&gt;0,I1516/AF1516,-1)</f>
        <v>-1</v>
      </c>
      <c r="AJ1516" s="58" t="str">
        <f aca="false">IF(AND(OR(BU1516="L1",BU1516="L23"),AF1516&gt;0),SUMIFS($AF$7:$AF$1576,$BU$7:$BU$1576,BU1516,$AI$7:$AI$1576,"&gt;"&amp;AI1516)+SUMIFS($AF$7:$AF$1576,$BU$7:$BU$1576,BU1516,$AI$7:$AI$1576,AI1516,$BO$7:$BO$1576,"&lt;="&amp;BO1516),"")</f>
        <v/>
      </c>
      <c r="AK1516" s="65" t="n">
        <f aca="false">IF(AJ1516="",0,MAX(0,MIN(1,(IF(BU1516="L1",Parameter!$E$5,Parameter!$E$6+Parameter!$E$7)-(AJ1516-AF1516))/AF1516)))</f>
        <v>0</v>
      </c>
      <c r="AL1516" s="57" t="n">
        <f aca="false">IF(LEFT(Cockpit!$I$5,1)="A",G1516,IF(BW1516=1,BX1516,IF(LEFT(Cockpit!$I$5,1)="B",AP1516,MAX(AP1516,G1516))))</f>
        <v>0</v>
      </c>
      <c r="AM1516" s="57" t="n">
        <f aca="false">IF(BR1516=1,0,ROUNDUP(AL1516/BQ1516,0))</f>
        <v>0</v>
      </c>
      <c r="AN1516" s="59" t="n">
        <f aca="false">IF(CD1516&gt;0,CD1516*MAX(1,AL1516/V1516),IF(BR1516=1,IF(AL1516&lt;=0,0,BS1516*MAX(1,IF(G1516&gt;0,AL1516/G1516,1))),IF(Q1516&gt;0,AM1516/Q1516,0))/MAX(0.1,N(Parameter!$M$21)))</f>
        <v>0</v>
      </c>
      <c r="AO1516" s="57" t="n">
        <f aca="false">AL1516*F1516</f>
        <v>0</v>
      </c>
      <c r="AP1516" s="57" t="n">
        <f aca="false">ROUNDUP(MAX(I1516/IF(BV1516&gt;0,BV1516,MAX(0.1,N(Cockpit!$I$6))),BY1516)/BQ1516,0)*BQ1516</f>
        <v>0</v>
      </c>
      <c r="AQ1516" s="58" t="n">
        <f aca="false">IF(AN1516&gt;0,I1516/AN1516,-1)</f>
        <v>-1</v>
      </c>
      <c r="AR1516" s="58" t="str">
        <f aca="false">IF(AND(OR(BU1516="L1",BU1516="L23"),AN1516&gt;0),SUMIFS($AN$7:$AN$1576,$BU$7:$BU$1576,BU1516,$AQ$7:$AQ$1576,"&gt;"&amp;AQ1516)+SUMIFS($AN$7:$AN$1576,$BU$7:$BU$1576,BU1516,$AQ$7:$AQ$1576,AQ1516,$BO$7:$BO$1576,"&lt;="&amp;BO1516),"")</f>
        <v/>
      </c>
      <c r="AS1516" s="65" t="n">
        <f aca="false">IF(AR1516="",0,MAX(0,MIN(1,(IF(BU1516="L1",Parameter!$E$5,Parameter!$E$6+Parameter!$E$7)-(AR1516-AN1516))/AN1516)))</f>
        <v>0</v>
      </c>
      <c r="AT1516" s="57" t="n">
        <f aca="false">IF(LEFT(Cockpit!$O$5,1)="A",G1516,IF(BW1516=1,BX1516,IF(LEFT(Cockpit!$O$5,1)="B",AX1516,MAX(AX1516,G1516))))</f>
        <v>0</v>
      </c>
      <c r="AU1516" s="57" t="n">
        <f aca="false">IF(BR1516=1,0,ROUNDUP(AT1516/BQ1516,0))</f>
        <v>0</v>
      </c>
      <c r="AV1516" s="59" t="n">
        <f aca="false">IF(CD1516&gt;0,CD1516*MAX(1,AT1516/V1516),IF(BR1516=1,IF(AT1516&lt;=0,0,BS1516*MAX(1,IF(G1516&gt;0,AT1516/G1516,1))),IF(Q1516&gt;0,AU1516/Q1516,0))/MAX(0.1,N(Parameter!$M$21)))</f>
        <v>0</v>
      </c>
      <c r="AW1516" s="57" t="n">
        <f aca="false">AT1516*F1516</f>
        <v>0</v>
      </c>
      <c r="AX1516" s="57" t="n">
        <f aca="false">ROUNDUP(MAX(I1516/IF(BV1516&gt;0,BV1516,MAX(0.1,N(Cockpit!$O$6))),BY1516)/BQ1516,0)*BQ1516</f>
        <v>0</v>
      </c>
      <c r="AY1516" s="58" t="n">
        <f aca="false">IF(AV1516&gt;0,I1516/AV1516,-1)</f>
        <v>-1</v>
      </c>
      <c r="AZ1516" s="58" t="str">
        <f aca="false">IF(AND(OR(BU1516="L1",BU1516="L23"),AV1516&gt;0),SUMIFS($AV$7:$AV$1576,$BU$7:$BU$1576,BU1516,$AY$7:$AY$1576,"&gt;"&amp;AY1516)+SUMIFS($AV$7:$AV$1576,$BU$7:$BU$1576,BU1516,$AY$7:$AY$1576,AY1516,$BO$7:$BO$1576,"&lt;="&amp;BO1516),"")</f>
        <v/>
      </c>
      <c r="BA1516" s="65" t="n">
        <f aca="false">IF(AZ1516="",0,MAX(0,MIN(1,(IF(BU1516="L1",Parameter!$E$5,Parameter!$E$6+Parameter!$E$7)-(AZ1516-AV1516))/AV1516)))</f>
        <v>0</v>
      </c>
      <c r="BB1516" s="55" t="str">
        <f aca="false">IF(AF1516&lt;=0,"",IF(BU1516="Aussen","Aussenlager",IF(BU1516="-","Nicht im Lift",IF(AK1516&gt;=1,"Lift",IF(AK1516&lt;=0,"Aussenlager","teilweise")))))</f>
        <v/>
      </c>
      <c r="BC1516" s="55" t="str">
        <f aca="false">IF(AN1516&lt;=0,"",IF(BU1516="Aussen","Aussenlager",IF(BU1516="-","Nicht im Lift",IF(AS1516&gt;=1,"Lift",IF(AS1516&lt;=0,"Aussenlager","teilweise")))))</f>
        <v/>
      </c>
      <c r="BD1516" s="55" t="str">
        <f aca="false">IF(AV1516&lt;=0,"",IF(BU1516="Aussen","Aussenlager",IF(BU1516="-","Nicht im Lift",IF(BA1516&gt;=1,"Lift",IF(BA1516&lt;=0,"Aussenlager","teilweise")))))</f>
        <v/>
      </c>
      <c r="BE1516" s="55" t="str">
        <f aca="false">IF(A1516="","",IF(BN1516=1,"Neu; ","")&amp;IF(AND(BN1516=0,BI1516&lt;0),"negativer Bestand (Export "&amp;BI1516&amp;"); ","")&amp;IF(I1516&lt;=0,"Kein Verbrauch; ","")&amp;IF(CD1516&gt;0,"Lift "&amp;U1516&amp;" lt. Liftbericht (Fach "&amp;V1516&amp;" Stk); ",IF(BR1516=1,"Lose – Fläche geschätzt; ",""))&amp;IF(G1516&gt;AP1516,"Überbestand "&amp;ROUND(G1516-AP1516,0)&amp;" Stk / CHF "&amp;ROUND((G1516-AP1516)*F1516,0)&amp;"; ","")&amp;IF(AND(BW1516=1,BX1516&lt;BY1516),"MAX &lt; MB+LG; ","")&amp;IF(AND(CC1516&gt;0,CB1516*10&gt;CC1516),"zu hoch für Tablar; ","")&amp;IF(AND(BN1516=0,OR(BW1516=1,Y1516&lt;&gt;"",S1516&lt;&gt;"",T1516&lt;&gt;"",Z1516&lt;&gt;"")),"manuell übersteuert; ","")&amp;IF(AND(BR1516=0,Q1516=0),"Gebinde unbekannt / Stellmass fehlt; ","")&amp;IF(AND(BR1516=0,N(T1516)&lt;=0,N(P1516)&lt;=0),"Menge pro Gebinde fehlt (Ist = 1 Gebinde); ","")&amp;BM1516)</f>
        <v/>
      </c>
      <c r="BF1516" s="55"/>
      <c r="BG1516" s="55"/>
      <c r="BH1516" s="62"/>
      <c r="BI1516" s="57" t="n">
        <f aca="false">N('Neue Artikel'!$D$44)</f>
        <v>0</v>
      </c>
      <c r="BJ1516" s="57" t="n">
        <v>0</v>
      </c>
      <c r="BK1516" s="56" t="n">
        <v>0</v>
      </c>
      <c r="BL1516" s="57" t="n">
        <f aca="false">N('Neue Artikel'!$C$44)/Parameter!$B$18</f>
        <v>0</v>
      </c>
      <c r="BM1516" s="55"/>
      <c r="BN1516" s="60" t="n">
        <v>1</v>
      </c>
      <c r="BO1516" s="60" t="n">
        <v>1516</v>
      </c>
      <c r="BP1516" s="55" t="str">
        <f aca="false">IF(S1516&lt;&gt;"",UPPER(TRIM(S1516)),IF(O1516="","LOSE",O1516))</f>
        <v>LOSE</v>
      </c>
      <c r="BQ1516" s="57" t="n">
        <f aca="false">IF(BP1516="LOSE",1,IF(N(T1516)&gt;0,T1516,IF(N(P1516)&gt;0,P1516,MAX(1,G1516))))</f>
        <v>1</v>
      </c>
      <c r="BR1516" s="60" t="n">
        <f aca="false">IF(BP1516="LOSE",1,0)</f>
        <v>1</v>
      </c>
      <c r="BS1516" s="59" t="n">
        <f aca="false">IF(BR1516=0,0,IF(N(R1516)&gt;0,R1516,IFERROR(VLOOKUP(D1516,Parameter!$A$35:$C$64,3,0)+0,0)))</f>
        <v>0.15</v>
      </c>
      <c r="BT1516" s="55" t="str">
        <f aca="false">IF(Y1516&lt;&gt;"",Y1516,X1516)</f>
        <v/>
      </c>
      <c r="BU1516" s="55" t="str">
        <f aca="false">IF(BT1516=1,"L1",IF(OR(BT1516=2,BT1516=3),"L23",IF(BT1516="Aussen","Aussen","-")))</f>
        <v>-</v>
      </c>
      <c r="BV1516" s="66" t="n">
        <f aca="false">IF(N(Z1516)&gt;0,Z1516,0)</f>
        <v>0</v>
      </c>
      <c r="BW1516" s="60" t="n">
        <f aca="false">IF(ISNUMBER(AC1516),1,0)</f>
        <v>0</v>
      </c>
      <c r="BX1516" s="57" t="n">
        <f aca="false">N(AC1516)</f>
        <v>0</v>
      </c>
      <c r="BY1516" s="57" t="n">
        <f aca="false">N(L1516)+N(M1516)</f>
        <v>0</v>
      </c>
      <c r="BZ1516" s="57" t="n">
        <f aca="false">ROUNDUP(G1516/BQ1516,0)</f>
        <v>0</v>
      </c>
      <c r="CA1516" s="57" t="n">
        <f aca="false">ROUNDUP(BX1516/BQ1516,0)</f>
        <v>0</v>
      </c>
      <c r="CB1516" s="60" t="n">
        <f aca="false">IF(BR1516=1,0,IFERROR(VLOOKUP(BP1516,'Gebinde-Kategorie'!$A$5:$M$45,5,0)+0,0))</f>
        <v>0</v>
      </c>
      <c r="CC1516" s="60" t="n">
        <f aca="false">IFERROR(IF(OR(BT1516=1,BT1516=2,BT1516=3),N(INDEX(Parameter!$I$5:$I$7,BT1516)),0),0)</f>
        <v>0</v>
      </c>
      <c r="CD1516" s="59" t="n">
        <f aca="false">IF(AND(Parameter!$B$21="Ja",ISNUMBER(U1516),N(V1516)&gt;0),IFERROR(N(INDEX(Parameter!$L$5:$L$7,U1516))*INDEX(Parameter!$E$5:$E$7,U1516)*V1516/SUMIFS($V$7:$V$1576,$U$7:$U$1576,U1516),0),0)</f>
        <v>0</v>
      </c>
    </row>
    <row r="1517" customFormat="false" ht="15" hidden="false" customHeight="false" outlineLevel="0" collapsed="false">
      <c r="A1517" s="55" t="str">
        <f aca="false">IF('Neue Artikel'!$A$45="","",'Neue Artikel'!$A$45&amp;"")</f>
        <v/>
      </c>
      <c r="B1517" s="55" t="str">
        <f aca="false">'Neue Artikel'!$B$45&amp;""</f>
        <v/>
      </c>
      <c r="C1517" s="55"/>
      <c r="D1517" s="55" t="s">
        <v>2561</v>
      </c>
      <c r="E1517" s="55"/>
      <c r="F1517" s="56" t="n">
        <f aca="false">N('Neue Artikel'!$G$45)</f>
        <v>0</v>
      </c>
      <c r="G1517" s="57" t="n">
        <f aca="false">MAX(0,IF(AND(Parameter!$B$21="Ja",ISNUMBER(W1517)),W1517,IF(Parameter!$B$20="Jahresanfang 2025 + Export",BJ1517+BI1517,BI1517)))</f>
        <v>0</v>
      </c>
      <c r="H1517" s="57" t="n">
        <f aca="false">G1517*F1517</f>
        <v>0</v>
      </c>
      <c r="I1517" s="57" t="n">
        <f aca="false">BL1517*Parameter!$B$18</f>
        <v>0</v>
      </c>
      <c r="J1517" s="58"/>
      <c r="K1517" s="59"/>
      <c r="L1517" s="57" t="n">
        <f aca="false">N('Neue Artikel'!$E$45)</f>
        <v>0</v>
      </c>
      <c r="M1517" s="57" t="n">
        <f aca="false">N('Neue Artikel'!$F$45)</f>
        <v>0</v>
      </c>
      <c r="N1517" s="60"/>
      <c r="O1517" s="55" t="str">
        <f aca="false">IF('Neue Artikel'!$H$45="","LOSE",UPPER(TRIM('Neue Artikel'!$H$45)))</f>
        <v>LOSE</v>
      </c>
      <c r="P1517" s="57" t="n">
        <f aca="false">N('Neue Artikel'!$I$45)</f>
        <v>0</v>
      </c>
      <c r="Q1517" s="60" t="n">
        <f aca="false">IF(BR1517=1,0,IFERROR(VLOOKUP(BP1517,'Gebinde-Kategorie'!$A$5:$M$45,13,0)+0,0))</f>
        <v>0</v>
      </c>
      <c r="R1517" s="61"/>
      <c r="S1517" s="62"/>
      <c r="T1517" s="62"/>
      <c r="U1517" s="55"/>
      <c r="V1517" s="57"/>
      <c r="W1517" s="57"/>
      <c r="X1517" s="55" t="str">
        <f aca="false">IF(A1517="","",IF(AND(Parameter!$B$21="Ja",ISNUMBER(U1517)),U1517,IF(IFERROR(VLOOKUP(D1517,Parameter!$A$35:$C$64,2,0),"Nein")="2+3",IF(ISNUMBER(SEARCH("grosser Artikel",BM1517)),2,IFERROR(VLOOKUP(BP1517,Parameter!$F$35:$G$64,2,0),2)),IF(OR(IFERROR(VLOOKUP(D1517,Parameter!$A$35:$C$64,2,0),"Nein")="Nein",IFERROR(VLOOKUP(D1517,Parameter!$A$35:$C$64,2,0),"Nein")=""),"-",VLOOKUP(D1517,Parameter!$A$35:$C$64,2,0)))))</f>
        <v/>
      </c>
      <c r="Y1517" s="55" t="str">
        <f aca="false">IF('Neue Artikel'!$J$45="","",'Neue Artikel'!$J$45)</f>
        <v/>
      </c>
      <c r="Z1517" s="63"/>
      <c r="AA1517" s="57" t="n">
        <f aca="false">AP1517</f>
        <v>0</v>
      </c>
      <c r="AB1517" s="57" t="n">
        <f aca="false">MAX(AP1517,G1517)</f>
        <v>0</v>
      </c>
      <c r="AC1517" s="64"/>
      <c r="AD1517" s="57" t="n">
        <f aca="false">IF(LEFT(Cockpit!$C$5,1)="A",G1517,IF(BW1517=1,BX1517,IF(LEFT(Cockpit!$C$5,1)="B",AH1517,MAX(AH1517,G1517))))</f>
        <v>0</v>
      </c>
      <c r="AE1517" s="57" t="n">
        <f aca="false">IF(BR1517=1,0,ROUNDUP(AD1517/BQ1517,0))</f>
        <v>0</v>
      </c>
      <c r="AF1517" s="59" t="n">
        <f aca="false">IF(CD1517&gt;0,CD1517*MAX(1,AD1517/V1517),IF(BR1517=1,IF(AD1517&lt;=0,0,BS1517*MAX(1,IF(G1517&gt;0,AD1517/G1517,1))),IF(Q1517&gt;0,AE1517/Q1517,0))/MAX(0.1,N(Parameter!$M$21)))</f>
        <v>0</v>
      </c>
      <c r="AG1517" s="57" t="n">
        <f aca="false">AD1517*F1517</f>
        <v>0</v>
      </c>
      <c r="AH1517" s="57" t="n">
        <f aca="false">ROUNDUP(MAX(I1517/IF(BV1517&gt;0,BV1517,MAX(0.1,N(Cockpit!$C$6))),BY1517)/BQ1517,0)*BQ1517</f>
        <v>0</v>
      </c>
      <c r="AI1517" s="58" t="n">
        <f aca="false">IF(AF1517&gt;0,I1517/AF1517,-1)</f>
        <v>-1</v>
      </c>
      <c r="AJ1517" s="58" t="str">
        <f aca="false">IF(AND(OR(BU1517="L1",BU1517="L23"),AF1517&gt;0),SUMIFS($AF$7:$AF$1576,$BU$7:$BU$1576,BU1517,$AI$7:$AI$1576,"&gt;"&amp;AI1517)+SUMIFS($AF$7:$AF$1576,$BU$7:$BU$1576,BU1517,$AI$7:$AI$1576,AI1517,$BO$7:$BO$1576,"&lt;="&amp;BO1517),"")</f>
        <v/>
      </c>
      <c r="AK1517" s="65" t="n">
        <f aca="false">IF(AJ1517="",0,MAX(0,MIN(1,(IF(BU1517="L1",Parameter!$E$5,Parameter!$E$6+Parameter!$E$7)-(AJ1517-AF1517))/AF1517)))</f>
        <v>0</v>
      </c>
      <c r="AL1517" s="57" t="n">
        <f aca="false">IF(LEFT(Cockpit!$I$5,1)="A",G1517,IF(BW1517=1,BX1517,IF(LEFT(Cockpit!$I$5,1)="B",AP1517,MAX(AP1517,G1517))))</f>
        <v>0</v>
      </c>
      <c r="AM1517" s="57" t="n">
        <f aca="false">IF(BR1517=1,0,ROUNDUP(AL1517/BQ1517,0))</f>
        <v>0</v>
      </c>
      <c r="AN1517" s="59" t="n">
        <f aca="false">IF(CD1517&gt;0,CD1517*MAX(1,AL1517/V1517),IF(BR1517=1,IF(AL1517&lt;=0,0,BS1517*MAX(1,IF(G1517&gt;0,AL1517/G1517,1))),IF(Q1517&gt;0,AM1517/Q1517,0))/MAX(0.1,N(Parameter!$M$21)))</f>
        <v>0</v>
      </c>
      <c r="AO1517" s="57" t="n">
        <f aca="false">AL1517*F1517</f>
        <v>0</v>
      </c>
      <c r="AP1517" s="57" t="n">
        <f aca="false">ROUNDUP(MAX(I1517/IF(BV1517&gt;0,BV1517,MAX(0.1,N(Cockpit!$I$6))),BY1517)/BQ1517,0)*BQ1517</f>
        <v>0</v>
      </c>
      <c r="AQ1517" s="58" t="n">
        <f aca="false">IF(AN1517&gt;0,I1517/AN1517,-1)</f>
        <v>-1</v>
      </c>
      <c r="AR1517" s="58" t="str">
        <f aca="false">IF(AND(OR(BU1517="L1",BU1517="L23"),AN1517&gt;0),SUMIFS($AN$7:$AN$1576,$BU$7:$BU$1576,BU1517,$AQ$7:$AQ$1576,"&gt;"&amp;AQ1517)+SUMIFS($AN$7:$AN$1576,$BU$7:$BU$1576,BU1517,$AQ$7:$AQ$1576,AQ1517,$BO$7:$BO$1576,"&lt;="&amp;BO1517),"")</f>
        <v/>
      </c>
      <c r="AS1517" s="65" t="n">
        <f aca="false">IF(AR1517="",0,MAX(0,MIN(1,(IF(BU1517="L1",Parameter!$E$5,Parameter!$E$6+Parameter!$E$7)-(AR1517-AN1517))/AN1517)))</f>
        <v>0</v>
      </c>
      <c r="AT1517" s="57" t="n">
        <f aca="false">IF(LEFT(Cockpit!$O$5,1)="A",G1517,IF(BW1517=1,BX1517,IF(LEFT(Cockpit!$O$5,1)="B",AX1517,MAX(AX1517,G1517))))</f>
        <v>0</v>
      </c>
      <c r="AU1517" s="57" t="n">
        <f aca="false">IF(BR1517=1,0,ROUNDUP(AT1517/BQ1517,0))</f>
        <v>0</v>
      </c>
      <c r="AV1517" s="59" t="n">
        <f aca="false">IF(CD1517&gt;0,CD1517*MAX(1,AT1517/V1517),IF(BR1517=1,IF(AT1517&lt;=0,0,BS1517*MAX(1,IF(G1517&gt;0,AT1517/G1517,1))),IF(Q1517&gt;0,AU1517/Q1517,0))/MAX(0.1,N(Parameter!$M$21)))</f>
        <v>0</v>
      </c>
      <c r="AW1517" s="57" t="n">
        <f aca="false">AT1517*F1517</f>
        <v>0</v>
      </c>
      <c r="AX1517" s="57" t="n">
        <f aca="false">ROUNDUP(MAX(I1517/IF(BV1517&gt;0,BV1517,MAX(0.1,N(Cockpit!$O$6))),BY1517)/BQ1517,0)*BQ1517</f>
        <v>0</v>
      </c>
      <c r="AY1517" s="58" t="n">
        <f aca="false">IF(AV1517&gt;0,I1517/AV1517,-1)</f>
        <v>-1</v>
      </c>
      <c r="AZ1517" s="58" t="str">
        <f aca="false">IF(AND(OR(BU1517="L1",BU1517="L23"),AV1517&gt;0),SUMIFS($AV$7:$AV$1576,$BU$7:$BU$1576,BU1517,$AY$7:$AY$1576,"&gt;"&amp;AY1517)+SUMIFS($AV$7:$AV$1576,$BU$7:$BU$1576,BU1517,$AY$7:$AY$1576,AY1517,$BO$7:$BO$1576,"&lt;="&amp;BO1517),"")</f>
        <v/>
      </c>
      <c r="BA1517" s="65" t="n">
        <f aca="false">IF(AZ1517="",0,MAX(0,MIN(1,(IF(BU1517="L1",Parameter!$E$5,Parameter!$E$6+Parameter!$E$7)-(AZ1517-AV1517))/AV1517)))</f>
        <v>0</v>
      </c>
      <c r="BB1517" s="55" t="str">
        <f aca="false">IF(AF1517&lt;=0,"",IF(BU1517="Aussen","Aussenlager",IF(BU1517="-","Nicht im Lift",IF(AK1517&gt;=1,"Lift",IF(AK1517&lt;=0,"Aussenlager","teilweise")))))</f>
        <v/>
      </c>
      <c r="BC1517" s="55" t="str">
        <f aca="false">IF(AN1517&lt;=0,"",IF(BU1517="Aussen","Aussenlager",IF(BU1517="-","Nicht im Lift",IF(AS1517&gt;=1,"Lift",IF(AS1517&lt;=0,"Aussenlager","teilweise")))))</f>
        <v/>
      </c>
      <c r="BD1517" s="55" t="str">
        <f aca="false">IF(AV1517&lt;=0,"",IF(BU1517="Aussen","Aussenlager",IF(BU1517="-","Nicht im Lift",IF(BA1517&gt;=1,"Lift",IF(BA1517&lt;=0,"Aussenlager","teilweise")))))</f>
        <v/>
      </c>
      <c r="BE1517" s="55" t="str">
        <f aca="false">IF(A1517="","",IF(BN1517=1,"Neu; ","")&amp;IF(AND(BN1517=0,BI1517&lt;0),"negativer Bestand (Export "&amp;BI1517&amp;"); ","")&amp;IF(I1517&lt;=0,"Kein Verbrauch; ","")&amp;IF(CD1517&gt;0,"Lift "&amp;U1517&amp;" lt. Liftbericht (Fach "&amp;V1517&amp;" Stk); ",IF(BR1517=1,"Lose – Fläche geschätzt; ",""))&amp;IF(G1517&gt;AP1517,"Überbestand "&amp;ROUND(G1517-AP1517,0)&amp;" Stk / CHF "&amp;ROUND((G1517-AP1517)*F1517,0)&amp;"; ","")&amp;IF(AND(BW1517=1,BX1517&lt;BY1517),"MAX &lt; MB+LG; ","")&amp;IF(AND(CC1517&gt;0,CB1517*10&gt;CC1517),"zu hoch für Tablar; ","")&amp;IF(AND(BN1517=0,OR(BW1517=1,Y1517&lt;&gt;"",S1517&lt;&gt;"",T1517&lt;&gt;"",Z1517&lt;&gt;"")),"manuell übersteuert; ","")&amp;IF(AND(BR1517=0,Q1517=0),"Gebinde unbekannt / Stellmass fehlt; ","")&amp;IF(AND(BR1517=0,N(T1517)&lt;=0,N(P1517)&lt;=0),"Menge pro Gebinde fehlt (Ist = 1 Gebinde); ","")&amp;BM1517)</f>
        <v/>
      </c>
      <c r="BF1517" s="55"/>
      <c r="BG1517" s="55"/>
      <c r="BH1517" s="62"/>
      <c r="BI1517" s="57" t="n">
        <f aca="false">N('Neue Artikel'!$D$45)</f>
        <v>0</v>
      </c>
      <c r="BJ1517" s="57" t="n">
        <v>0</v>
      </c>
      <c r="BK1517" s="56" t="n">
        <v>0</v>
      </c>
      <c r="BL1517" s="57" t="n">
        <f aca="false">N('Neue Artikel'!$C$45)/Parameter!$B$18</f>
        <v>0</v>
      </c>
      <c r="BM1517" s="55"/>
      <c r="BN1517" s="60" t="n">
        <v>1</v>
      </c>
      <c r="BO1517" s="60" t="n">
        <v>1517</v>
      </c>
      <c r="BP1517" s="55" t="str">
        <f aca="false">IF(S1517&lt;&gt;"",UPPER(TRIM(S1517)),IF(O1517="","LOSE",O1517))</f>
        <v>LOSE</v>
      </c>
      <c r="BQ1517" s="57" t="n">
        <f aca="false">IF(BP1517="LOSE",1,IF(N(T1517)&gt;0,T1517,IF(N(P1517)&gt;0,P1517,MAX(1,G1517))))</f>
        <v>1</v>
      </c>
      <c r="BR1517" s="60" t="n">
        <f aca="false">IF(BP1517="LOSE",1,0)</f>
        <v>1</v>
      </c>
      <c r="BS1517" s="59" t="n">
        <f aca="false">IF(BR1517=0,0,IF(N(R1517)&gt;0,R1517,IFERROR(VLOOKUP(D1517,Parameter!$A$35:$C$64,3,0)+0,0)))</f>
        <v>0.15</v>
      </c>
      <c r="BT1517" s="55" t="str">
        <f aca="false">IF(Y1517&lt;&gt;"",Y1517,X1517)</f>
        <v/>
      </c>
      <c r="BU1517" s="55" t="str">
        <f aca="false">IF(BT1517=1,"L1",IF(OR(BT1517=2,BT1517=3),"L23",IF(BT1517="Aussen","Aussen","-")))</f>
        <v>-</v>
      </c>
      <c r="BV1517" s="66" t="n">
        <f aca="false">IF(N(Z1517)&gt;0,Z1517,0)</f>
        <v>0</v>
      </c>
      <c r="BW1517" s="60" t="n">
        <f aca="false">IF(ISNUMBER(AC1517),1,0)</f>
        <v>0</v>
      </c>
      <c r="BX1517" s="57" t="n">
        <f aca="false">N(AC1517)</f>
        <v>0</v>
      </c>
      <c r="BY1517" s="57" t="n">
        <f aca="false">N(L1517)+N(M1517)</f>
        <v>0</v>
      </c>
      <c r="BZ1517" s="57" t="n">
        <f aca="false">ROUNDUP(G1517/BQ1517,0)</f>
        <v>0</v>
      </c>
      <c r="CA1517" s="57" t="n">
        <f aca="false">ROUNDUP(BX1517/BQ1517,0)</f>
        <v>0</v>
      </c>
      <c r="CB1517" s="60" t="n">
        <f aca="false">IF(BR1517=1,0,IFERROR(VLOOKUP(BP1517,'Gebinde-Kategorie'!$A$5:$M$45,5,0)+0,0))</f>
        <v>0</v>
      </c>
      <c r="CC1517" s="60" t="n">
        <f aca="false">IFERROR(IF(OR(BT1517=1,BT1517=2,BT1517=3),N(INDEX(Parameter!$I$5:$I$7,BT1517)),0),0)</f>
        <v>0</v>
      </c>
      <c r="CD1517" s="59" t="n">
        <f aca="false">IF(AND(Parameter!$B$21="Ja",ISNUMBER(U1517),N(V1517)&gt;0),IFERROR(N(INDEX(Parameter!$L$5:$L$7,U1517))*INDEX(Parameter!$E$5:$E$7,U1517)*V1517/SUMIFS($V$7:$V$1576,$U$7:$U$1576,U1517),0),0)</f>
        <v>0</v>
      </c>
    </row>
    <row r="1518" customFormat="false" ht="15" hidden="false" customHeight="false" outlineLevel="0" collapsed="false">
      <c r="A1518" s="55" t="str">
        <f aca="false">IF('Neue Artikel'!$A$46="","",'Neue Artikel'!$A$46&amp;"")</f>
        <v/>
      </c>
      <c r="B1518" s="55" t="str">
        <f aca="false">'Neue Artikel'!$B$46&amp;""</f>
        <v/>
      </c>
      <c r="C1518" s="55"/>
      <c r="D1518" s="55" t="s">
        <v>2561</v>
      </c>
      <c r="E1518" s="55"/>
      <c r="F1518" s="56" t="n">
        <f aca="false">N('Neue Artikel'!$G$46)</f>
        <v>0</v>
      </c>
      <c r="G1518" s="57" t="n">
        <f aca="false">MAX(0,IF(AND(Parameter!$B$21="Ja",ISNUMBER(W1518)),W1518,IF(Parameter!$B$20="Jahresanfang 2025 + Export",BJ1518+BI1518,BI1518)))</f>
        <v>0</v>
      </c>
      <c r="H1518" s="57" t="n">
        <f aca="false">G1518*F1518</f>
        <v>0</v>
      </c>
      <c r="I1518" s="57" t="n">
        <f aca="false">BL1518*Parameter!$B$18</f>
        <v>0</v>
      </c>
      <c r="J1518" s="58"/>
      <c r="K1518" s="59"/>
      <c r="L1518" s="57" t="n">
        <f aca="false">N('Neue Artikel'!$E$46)</f>
        <v>0</v>
      </c>
      <c r="M1518" s="57" t="n">
        <f aca="false">N('Neue Artikel'!$F$46)</f>
        <v>0</v>
      </c>
      <c r="N1518" s="60"/>
      <c r="O1518" s="55" t="str">
        <f aca="false">IF('Neue Artikel'!$H$46="","LOSE",UPPER(TRIM('Neue Artikel'!$H$46)))</f>
        <v>LOSE</v>
      </c>
      <c r="P1518" s="57" t="n">
        <f aca="false">N('Neue Artikel'!$I$46)</f>
        <v>0</v>
      </c>
      <c r="Q1518" s="60" t="n">
        <f aca="false">IF(BR1518=1,0,IFERROR(VLOOKUP(BP1518,'Gebinde-Kategorie'!$A$5:$M$45,13,0)+0,0))</f>
        <v>0</v>
      </c>
      <c r="R1518" s="61"/>
      <c r="S1518" s="62"/>
      <c r="T1518" s="62"/>
      <c r="U1518" s="55"/>
      <c r="V1518" s="57"/>
      <c r="W1518" s="57"/>
      <c r="X1518" s="55" t="str">
        <f aca="false">IF(A1518="","",IF(AND(Parameter!$B$21="Ja",ISNUMBER(U1518)),U1518,IF(IFERROR(VLOOKUP(D1518,Parameter!$A$35:$C$64,2,0),"Nein")="2+3",IF(ISNUMBER(SEARCH("grosser Artikel",BM1518)),2,IFERROR(VLOOKUP(BP1518,Parameter!$F$35:$G$64,2,0),2)),IF(OR(IFERROR(VLOOKUP(D1518,Parameter!$A$35:$C$64,2,0),"Nein")="Nein",IFERROR(VLOOKUP(D1518,Parameter!$A$35:$C$64,2,0),"Nein")=""),"-",VLOOKUP(D1518,Parameter!$A$35:$C$64,2,0)))))</f>
        <v/>
      </c>
      <c r="Y1518" s="55" t="str">
        <f aca="false">IF('Neue Artikel'!$J$46="","",'Neue Artikel'!$J$46)</f>
        <v/>
      </c>
      <c r="Z1518" s="63"/>
      <c r="AA1518" s="57" t="n">
        <f aca="false">AP1518</f>
        <v>0</v>
      </c>
      <c r="AB1518" s="57" t="n">
        <f aca="false">MAX(AP1518,G1518)</f>
        <v>0</v>
      </c>
      <c r="AC1518" s="64"/>
      <c r="AD1518" s="57" t="n">
        <f aca="false">IF(LEFT(Cockpit!$C$5,1)="A",G1518,IF(BW1518=1,BX1518,IF(LEFT(Cockpit!$C$5,1)="B",AH1518,MAX(AH1518,G1518))))</f>
        <v>0</v>
      </c>
      <c r="AE1518" s="57" t="n">
        <f aca="false">IF(BR1518=1,0,ROUNDUP(AD1518/BQ1518,0))</f>
        <v>0</v>
      </c>
      <c r="AF1518" s="59" t="n">
        <f aca="false">IF(CD1518&gt;0,CD1518*MAX(1,AD1518/V1518),IF(BR1518=1,IF(AD1518&lt;=0,0,BS1518*MAX(1,IF(G1518&gt;0,AD1518/G1518,1))),IF(Q1518&gt;0,AE1518/Q1518,0))/MAX(0.1,N(Parameter!$M$21)))</f>
        <v>0</v>
      </c>
      <c r="AG1518" s="57" t="n">
        <f aca="false">AD1518*F1518</f>
        <v>0</v>
      </c>
      <c r="AH1518" s="57" t="n">
        <f aca="false">ROUNDUP(MAX(I1518/IF(BV1518&gt;0,BV1518,MAX(0.1,N(Cockpit!$C$6))),BY1518)/BQ1518,0)*BQ1518</f>
        <v>0</v>
      </c>
      <c r="AI1518" s="58" t="n">
        <f aca="false">IF(AF1518&gt;0,I1518/AF1518,-1)</f>
        <v>-1</v>
      </c>
      <c r="AJ1518" s="58" t="str">
        <f aca="false">IF(AND(OR(BU1518="L1",BU1518="L23"),AF1518&gt;0),SUMIFS($AF$7:$AF$1576,$BU$7:$BU$1576,BU1518,$AI$7:$AI$1576,"&gt;"&amp;AI1518)+SUMIFS($AF$7:$AF$1576,$BU$7:$BU$1576,BU1518,$AI$7:$AI$1576,AI1518,$BO$7:$BO$1576,"&lt;="&amp;BO1518),"")</f>
        <v/>
      </c>
      <c r="AK1518" s="65" t="n">
        <f aca="false">IF(AJ1518="",0,MAX(0,MIN(1,(IF(BU1518="L1",Parameter!$E$5,Parameter!$E$6+Parameter!$E$7)-(AJ1518-AF1518))/AF1518)))</f>
        <v>0</v>
      </c>
      <c r="AL1518" s="57" t="n">
        <f aca="false">IF(LEFT(Cockpit!$I$5,1)="A",G1518,IF(BW1518=1,BX1518,IF(LEFT(Cockpit!$I$5,1)="B",AP1518,MAX(AP1518,G1518))))</f>
        <v>0</v>
      </c>
      <c r="AM1518" s="57" t="n">
        <f aca="false">IF(BR1518=1,0,ROUNDUP(AL1518/BQ1518,0))</f>
        <v>0</v>
      </c>
      <c r="AN1518" s="59" t="n">
        <f aca="false">IF(CD1518&gt;0,CD1518*MAX(1,AL1518/V1518),IF(BR1518=1,IF(AL1518&lt;=0,0,BS1518*MAX(1,IF(G1518&gt;0,AL1518/G1518,1))),IF(Q1518&gt;0,AM1518/Q1518,0))/MAX(0.1,N(Parameter!$M$21)))</f>
        <v>0</v>
      </c>
      <c r="AO1518" s="57" t="n">
        <f aca="false">AL1518*F1518</f>
        <v>0</v>
      </c>
      <c r="AP1518" s="57" t="n">
        <f aca="false">ROUNDUP(MAX(I1518/IF(BV1518&gt;0,BV1518,MAX(0.1,N(Cockpit!$I$6))),BY1518)/BQ1518,0)*BQ1518</f>
        <v>0</v>
      </c>
      <c r="AQ1518" s="58" t="n">
        <f aca="false">IF(AN1518&gt;0,I1518/AN1518,-1)</f>
        <v>-1</v>
      </c>
      <c r="AR1518" s="58" t="str">
        <f aca="false">IF(AND(OR(BU1518="L1",BU1518="L23"),AN1518&gt;0),SUMIFS($AN$7:$AN$1576,$BU$7:$BU$1576,BU1518,$AQ$7:$AQ$1576,"&gt;"&amp;AQ1518)+SUMIFS($AN$7:$AN$1576,$BU$7:$BU$1576,BU1518,$AQ$7:$AQ$1576,AQ1518,$BO$7:$BO$1576,"&lt;="&amp;BO1518),"")</f>
        <v/>
      </c>
      <c r="AS1518" s="65" t="n">
        <f aca="false">IF(AR1518="",0,MAX(0,MIN(1,(IF(BU1518="L1",Parameter!$E$5,Parameter!$E$6+Parameter!$E$7)-(AR1518-AN1518))/AN1518)))</f>
        <v>0</v>
      </c>
      <c r="AT1518" s="57" t="n">
        <f aca="false">IF(LEFT(Cockpit!$O$5,1)="A",G1518,IF(BW1518=1,BX1518,IF(LEFT(Cockpit!$O$5,1)="B",AX1518,MAX(AX1518,G1518))))</f>
        <v>0</v>
      </c>
      <c r="AU1518" s="57" t="n">
        <f aca="false">IF(BR1518=1,0,ROUNDUP(AT1518/BQ1518,0))</f>
        <v>0</v>
      </c>
      <c r="AV1518" s="59" t="n">
        <f aca="false">IF(CD1518&gt;0,CD1518*MAX(1,AT1518/V1518),IF(BR1518=1,IF(AT1518&lt;=0,0,BS1518*MAX(1,IF(G1518&gt;0,AT1518/G1518,1))),IF(Q1518&gt;0,AU1518/Q1518,0))/MAX(0.1,N(Parameter!$M$21)))</f>
        <v>0</v>
      </c>
      <c r="AW1518" s="57" t="n">
        <f aca="false">AT1518*F1518</f>
        <v>0</v>
      </c>
      <c r="AX1518" s="57" t="n">
        <f aca="false">ROUNDUP(MAX(I1518/IF(BV1518&gt;0,BV1518,MAX(0.1,N(Cockpit!$O$6))),BY1518)/BQ1518,0)*BQ1518</f>
        <v>0</v>
      </c>
      <c r="AY1518" s="58" t="n">
        <f aca="false">IF(AV1518&gt;0,I1518/AV1518,-1)</f>
        <v>-1</v>
      </c>
      <c r="AZ1518" s="58" t="str">
        <f aca="false">IF(AND(OR(BU1518="L1",BU1518="L23"),AV1518&gt;0),SUMIFS($AV$7:$AV$1576,$BU$7:$BU$1576,BU1518,$AY$7:$AY$1576,"&gt;"&amp;AY1518)+SUMIFS($AV$7:$AV$1576,$BU$7:$BU$1576,BU1518,$AY$7:$AY$1576,AY1518,$BO$7:$BO$1576,"&lt;="&amp;BO1518),"")</f>
        <v/>
      </c>
      <c r="BA1518" s="65" t="n">
        <f aca="false">IF(AZ1518="",0,MAX(0,MIN(1,(IF(BU1518="L1",Parameter!$E$5,Parameter!$E$6+Parameter!$E$7)-(AZ1518-AV1518))/AV1518)))</f>
        <v>0</v>
      </c>
      <c r="BB1518" s="55" t="str">
        <f aca="false">IF(AF1518&lt;=0,"",IF(BU1518="Aussen","Aussenlager",IF(BU1518="-","Nicht im Lift",IF(AK1518&gt;=1,"Lift",IF(AK1518&lt;=0,"Aussenlager","teilweise")))))</f>
        <v/>
      </c>
      <c r="BC1518" s="55" t="str">
        <f aca="false">IF(AN1518&lt;=0,"",IF(BU1518="Aussen","Aussenlager",IF(BU1518="-","Nicht im Lift",IF(AS1518&gt;=1,"Lift",IF(AS1518&lt;=0,"Aussenlager","teilweise")))))</f>
        <v/>
      </c>
      <c r="BD1518" s="55" t="str">
        <f aca="false">IF(AV1518&lt;=0,"",IF(BU1518="Aussen","Aussenlager",IF(BU1518="-","Nicht im Lift",IF(BA1518&gt;=1,"Lift",IF(BA1518&lt;=0,"Aussenlager","teilweise")))))</f>
        <v/>
      </c>
      <c r="BE1518" s="55" t="str">
        <f aca="false">IF(A1518="","",IF(BN1518=1,"Neu; ","")&amp;IF(AND(BN1518=0,BI1518&lt;0),"negativer Bestand (Export "&amp;BI1518&amp;"); ","")&amp;IF(I1518&lt;=0,"Kein Verbrauch; ","")&amp;IF(CD1518&gt;0,"Lift "&amp;U1518&amp;" lt. Liftbericht (Fach "&amp;V1518&amp;" Stk); ",IF(BR1518=1,"Lose – Fläche geschätzt; ",""))&amp;IF(G1518&gt;AP1518,"Überbestand "&amp;ROUND(G1518-AP1518,0)&amp;" Stk / CHF "&amp;ROUND((G1518-AP1518)*F1518,0)&amp;"; ","")&amp;IF(AND(BW1518=1,BX1518&lt;BY1518),"MAX &lt; MB+LG; ","")&amp;IF(AND(CC1518&gt;0,CB1518*10&gt;CC1518),"zu hoch für Tablar; ","")&amp;IF(AND(BN1518=0,OR(BW1518=1,Y1518&lt;&gt;"",S1518&lt;&gt;"",T1518&lt;&gt;"",Z1518&lt;&gt;"")),"manuell übersteuert; ","")&amp;IF(AND(BR1518=0,Q1518=0),"Gebinde unbekannt / Stellmass fehlt; ","")&amp;IF(AND(BR1518=0,N(T1518)&lt;=0,N(P1518)&lt;=0),"Menge pro Gebinde fehlt (Ist = 1 Gebinde); ","")&amp;BM1518)</f>
        <v/>
      </c>
      <c r="BF1518" s="55"/>
      <c r="BG1518" s="55"/>
      <c r="BH1518" s="62"/>
      <c r="BI1518" s="57" t="n">
        <f aca="false">N('Neue Artikel'!$D$46)</f>
        <v>0</v>
      </c>
      <c r="BJ1518" s="57" t="n">
        <v>0</v>
      </c>
      <c r="BK1518" s="56" t="n">
        <v>0</v>
      </c>
      <c r="BL1518" s="57" t="n">
        <f aca="false">N('Neue Artikel'!$C$46)/Parameter!$B$18</f>
        <v>0</v>
      </c>
      <c r="BM1518" s="55"/>
      <c r="BN1518" s="60" t="n">
        <v>1</v>
      </c>
      <c r="BO1518" s="60" t="n">
        <v>1518</v>
      </c>
      <c r="BP1518" s="55" t="str">
        <f aca="false">IF(S1518&lt;&gt;"",UPPER(TRIM(S1518)),IF(O1518="","LOSE",O1518))</f>
        <v>LOSE</v>
      </c>
      <c r="BQ1518" s="57" t="n">
        <f aca="false">IF(BP1518="LOSE",1,IF(N(T1518)&gt;0,T1518,IF(N(P1518)&gt;0,P1518,MAX(1,G1518))))</f>
        <v>1</v>
      </c>
      <c r="BR1518" s="60" t="n">
        <f aca="false">IF(BP1518="LOSE",1,0)</f>
        <v>1</v>
      </c>
      <c r="BS1518" s="59" t="n">
        <f aca="false">IF(BR1518=0,0,IF(N(R1518)&gt;0,R1518,IFERROR(VLOOKUP(D1518,Parameter!$A$35:$C$64,3,0)+0,0)))</f>
        <v>0.15</v>
      </c>
      <c r="BT1518" s="55" t="str">
        <f aca="false">IF(Y1518&lt;&gt;"",Y1518,X1518)</f>
        <v/>
      </c>
      <c r="BU1518" s="55" t="str">
        <f aca="false">IF(BT1518=1,"L1",IF(OR(BT1518=2,BT1518=3),"L23",IF(BT1518="Aussen","Aussen","-")))</f>
        <v>-</v>
      </c>
      <c r="BV1518" s="66" t="n">
        <f aca="false">IF(N(Z1518)&gt;0,Z1518,0)</f>
        <v>0</v>
      </c>
      <c r="BW1518" s="60" t="n">
        <f aca="false">IF(ISNUMBER(AC1518),1,0)</f>
        <v>0</v>
      </c>
      <c r="BX1518" s="57" t="n">
        <f aca="false">N(AC1518)</f>
        <v>0</v>
      </c>
      <c r="BY1518" s="57" t="n">
        <f aca="false">N(L1518)+N(M1518)</f>
        <v>0</v>
      </c>
      <c r="BZ1518" s="57" t="n">
        <f aca="false">ROUNDUP(G1518/BQ1518,0)</f>
        <v>0</v>
      </c>
      <c r="CA1518" s="57" t="n">
        <f aca="false">ROUNDUP(BX1518/BQ1518,0)</f>
        <v>0</v>
      </c>
      <c r="CB1518" s="60" t="n">
        <f aca="false">IF(BR1518=1,0,IFERROR(VLOOKUP(BP1518,'Gebinde-Kategorie'!$A$5:$M$45,5,0)+0,0))</f>
        <v>0</v>
      </c>
      <c r="CC1518" s="60" t="n">
        <f aca="false">IFERROR(IF(OR(BT1518=1,BT1518=2,BT1518=3),N(INDEX(Parameter!$I$5:$I$7,BT1518)),0),0)</f>
        <v>0</v>
      </c>
      <c r="CD1518" s="59" t="n">
        <f aca="false">IF(AND(Parameter!$B$21="Ja",ISNUMBER(U1518),N(V1518)&gt;0),IFERROR(N(INDEX(Parameter!$L$5:$L$7,U1518))*INDEX(Parameter!$E$5:$E$7,U1518)*V1518/SUMIFS($V$7:$V$1576,$U$7:$U$1576,U1518),0),0)</f>
        <v>0</v>
      </c>
    </row>
    <row r="1519" customFormat="false" ht="15" hidden="false" customHeight="false" outlineLevel="0" collapsed="false">
      <c r="A1519" s="55" t="str">
        <f aca="false">IF('Neue Artikel'!$A$47="","",'Neue Artikel'!$A$47&amp;"")</f>
        <v/>
      </c>
      <c r="B1519" s="55" t="str">
        <f aca="false">'Neue Artikel'!$B$47&amp;""</f>
        <v/>
      </c>
      <c r="C1519" s="55"/>
      <c r="D1519" s="55" t="s">
        <v>2561</v>
      </c>
      <c r="E1519" s="55"/>
      <c r="F1519" s="56" t="n">
        <f aca="false">N('Neue Artikel'!$G$47)</f>
        <v>0</v>
      </c>
      <c r="G1519" s="57" t="n">
        <f aca="false">MAX(0,IF(AND(Parameter!$B$21="Ja",ISNUMBER(W1519)),W1519,IF(Parameter!$B$20="Jahresanfang 2025 + Export",BJ1519+BI1519,BI1519)))</f>
        <v>0</v>
      </c>
      <c r="H1519" s="57" t="n">
        <f aca="false">G1519*F1519</f>
        <v>0</v>
      </c>
      <c r="I1519" s="57" t="n">
        <f aca="false">BL1519*Parameter!$B$18</f>
        <v>0</v>
      </c>
      <c r="J1519" s="58"/>
      <c r="K1519" s="59"/>
      <c r="L1519" s="57" t="n">
        <f aca="false">N('Neue Artikel'!$E$47)</f>
        <v>0</v>
      </c>
      <c r="M1519" s="57" t="n">
        <f aca="false">N('Neue Artikel'!$F$47)</f>
        <v>0</v>
      </c>
      <c r="N1519" s="60"/>
      <c r="O1519" s="55" t="str">
        <f aca="false">IF('Neue Artikel'!$H$47="","LOSE",UPPER(TRIM('Neue Artikel'!$H$47)))</f>
        <v>LOSE</v>
      </c>
      <c r="P1519" s="57" t="n">
        <f aca="false">N('Neue Artikel'!$I$47)</f>
        <v>0</v>
      </c>
      <c r="Q1519" s="60" t="n">
        <f aca="false">IF(BR1519=1,0,IFERROR(VLOOKUP(BP1519,'Gebinde-Kategorie'!$A$5:$M$45,13,0)+0,0))</f>
        <v>0</v>
      </c>
      <c r="R1519" s="61"/>
      <c r="S1519" s="62"/>
      <c r="T1519" s="62"/>
      <c r="U1519" s="55"/>
      <c r="V1519" s="57"/>
      <c r="W1519" s="57"/>
      <c r="X1519" s="55" t="str">
        <f aca="false">IF(A1519="","",IF(AND(Parameter!$B$21="Ja",ISNUMBER(U1519)),U1519,IF(IFERROR(VLOOKUP(D1519,Parameter!$A$35:$C$64,2,0),"Nein")="2+3",IF(ISNUMBER(SEARCH("grosser Artikel",BM1519)),2,IFERROR(VLOOKUP(BP1519,Parameter!$F$35:$G$64,2,0),2)),IF(OR(IFERROR(VLOOKUP(D1519,Parameter!$A$35:$C$64,2,0),"Nein")="Nein",IFERROR(VLOOKUP(D1519,Parameter!$A$35:$C$64,2,0),"Nein")=""),"-",VLOOKUP(D1519,Parameter!$A$35:$C$64,2,0)))))</f>
        <v/>
      </c>
      <c r="Y1519" s="55" t="str">
        <f aca="false">IF('Neue Artikel'!$J$47="","",'Neue Artikel'!$J$47)</f>
        <v/>
      </c>
      <c r="Z1519" s="63"/>
      <c r="AA1519" s="57" t="n">
        <f aca="false">AP1519</f>
        <v>0</v>
      </c>
      <c r="AB1519" s="57" t="n">
        <f aca="false">MAX(AP1519,G1519)</f>
        <v>0</v>
      </c>
      <c r="AC1519" s="64"/>
      <c r="AD1519" s="57" t="n">
        <f aca="false">IF(LEFT(Cockpit!$C$5,1)="A",G1519,IF(BW1519=1,BX1519,IF(LEFT(Cockpit!$C$5,1)="B",AH1519,MAX(AH1519,G1519))))</f>
        <v>0</v>
      </c>
      <c r="AE1519" s="57" t="n">
        <f aca="false">IF(BR1519=1,0,ROUNDUP(AD1519/BQ1519,0))</f>
        <v>0</v>
      </c>
      <c r="AF1519" s="59" t="n">
        <f aca="false">IF(CD1519&gt;0,CD1519*MAX(1,AD1519/V1519),IF(BR1519=1,IF(AD1519&lt;=0,0,BS1519*MAX(1,IF(G1519&gt;0,AD1519/G1519,1))),IF(Q1519&gt;0,AE1519/Q1519,0))/MAX(0.1,N(Parameter!$M$21)))</f>
        <v>0</v>
      </c>
      <c r="AG1519" s="57" t="n">
        <f aca="false">AD1519*F1519</f>
        <v>0</v>
      </c>
      <c r="AH1519" s="57" t="n">
        <f aca="false">ROUNDUP(MAX(I1519/IF(BV1519&gt;0,BV1519,MAX(0.1,N(Cockpit!$C$6))),BY1519)/BQ1519,0)*BQ1519</f>
        <v>0</v>
      </c>
      <c r="AI1519" s="58" t="n">
        <f aca="false">IF(AF1519&gt;0,I1519/AF1519,-1)</f>
        <v>-1</v>
      </c>
      <c r="AJ1519" s="58" t="str">
        <f aca="false">IF(AND(OR(BU1519="L1",BU1519="L23"),AF1519&gt;0),SUMIFS($AF$7:$AF$1576,$BU$7:$BU$1576,BU1519,$AI$7:$AI$1576,"&gt;"&amp;AI1519)+SUMIFS($AF$7:$AF$1576,$BU$7:$BU$1576,BU1519,$AI$7:$AI$1576,AI1519,$BO$7:$BO$1576,"&lt;="&amp;BO1519),"")</f>
        <v/>
      </c>
      <c r="AK1519" s="65" t="n">
        <f aca="false">IF(AJ1519="",0,MAX(0,MIN(1,(IF(BU1519="L1",Parameter!$E$5,Parameter!$E$6+Parameter!$E$7)-(AJ1519-AF1519))/AF1519)))</f>
        <v>0</v>
      </c>
      <c r="AL1519" s="57" t="n">
        <f aca="false">IF(LEFT(Cockpit!$I$5,1)="A",G1519,IF(BW1519=1,BX1519,IF(LEFT(Cockpit!$I$5,1)="B",AP1519,MAX(AP1519,G1519))))</f>
        <v>0</v>
      </c>
      <c r="AM1519" s="57" t="n">
        <f aca="false">IF(BR1519=1,0,ROUNDUP(AL1519/BQ1519,0))</f>
        <v>0</v>
      </c>
      <c r="AN1519" s="59" t="n">
        <f aca="false">IF(CD1519&gt;0,CD1519*MAX(1,AL1519/V1519),IF(BR1519=1,IF(AL1519&lt;=0,0,BS1519*MAX(1,IF(G1519&gt;0,AL1519/G1519,1))),IF(Q1519&gt;0,AM1519/Q1519,0))/MAX(0.1,N(Parameter!$M$21)))</f>
        <v>0</v>
      </c>
      <c r="AO1519" s="57" t="n">
        <f aca="false">AL1519*F1519</f>
        <v>0</v>
      </c>
      <c r="AP1519" s="57" t="n">
        <f aca="false">ROUNDUP(MAX(I1519/IF(BV1519&gt;0,BV1519,MAX(0.1,N(Cockpit!$I$6))),BY1519)/BQ1519,0)*BQ1519</f>
        <v>0</v>
      </c>
      <c r="AQ1519" s="58" t="n">
        <f aca="false">IF(AN1519&gt;0,I1519/AN1519,-1)</f>
        <v>-1</v>
      </c>
      <c r="AR1519" s="58" t="str">
        <f aca="false">IF(AND(OR(BU1519="L1",BU1519="L23"),AN1519&gt;0),SUMIFS($AN$7:$AN$1576,$BU$7:$BU$1576,BU1519,$AQ$7:$AQ$1576,"&gt;"&amp;AQ1519)+SUMIFS($AN$7:$AN$1576,$BU$7:$BU$1576,BU1519,$AQ$7:$AQ$1576,AQ1519,$BO$7:$BO$1576,"&lt;="&amp;BO1519),"")</f>
        <v/>
      </c>
      <c r="AS1519" s="65" t="n">
        <f aca="false">IF(AR1519="",0,MAX(0,MIN(1,(IF(BU1519="L1",Parameter!$E$5,Parameter!$E$6+Parameter!$E$7)-(AR1519-AN1519))/AN1519)))</f>
        <v>0</v>
      </c>
      <c r="AT1519" s="57" t="n">
        <f aca="false">IF(LEFT(Cockpit!$O$5,1)="A",G1519,IF(BW1519=1,BX1519,IF(LEFT(Cockpit!$O$5,1)="B",AX1519,MAX(AX1519,G1519))))</f>
        <v>0</v>
      </c>
      <c r="AU1519" s="57" t="n">
        <f aca="false">IF(BR1519=1,0,ROUNDUP(AT1519/BQ1519,0))</f>
        <v>0</v>
      </c>
      <c r="AV1519" s="59" t="n">
        <f aca="false">IF(CD1519&gt;0,CD1519*MAX(1,AT1519/V1519),IF(BR1519=1,IF(AT1519&lt;=0,0,BS1519*MAX(1,IF(G1519&gt;0,AT1519/G1519,1))),IF(Q1519&gt;0,AU1519/Q1519,0))/MAX(0.1,N(Parameter!$M$21)))</f>
        <v>0</v>
      </c>
      <c r="AW1519" s="57" t="n">
        <f aca="false">AT1519*F1519</f>
        <v>0</v>
      </c>
      <c r="AX1519" s="57" t="n">
        <f aca="false">ROUNDUP(MAX(I1519/IF(BV1519&gt;0,BV1519,MAX(0.1,N(Cockpit!$O$6))),BY1519)/BQ1519,0)*BQ1519</f>
        <v>0</v>
      </c>
      <c r="AY1519" s="58" t="n">
        <f aca="false">IF(AV1519&gt;0,I1519/AV1519,-1)</f>
        <v>-1</v>
      </c>
      <c r="AZ1519" s="58" t="str">
        <f aca="false">IF(AND(OR(BU1519="L1",BU1519="L23"),AV1519&gt;0),SUMIFS($AV$7:$AV$1576,$BU$7:$BU$1576,BU1519,$AY$7:$AY$1576,"&gt;"&amp;AY1519)+SUMIFS($AV$7:$AV$1576,$BU$7:$BU$1576,BU1519,$AY$7:$AY$1576,AY1519,$BO$7:$BO$1576,"&lt;="&amp;BO1519),"")</f>
        <v/>
      </c>
      <c r="BA1519" s="65" t="n">
        <f aca="false">IF(AZ1519="",0,MAX(0,MIN(1,(IF(BU1519="L1",Parameter!$E$5,Parameter!$E$6+Parameter!$E$7)-(AZ1519-AV1519))/AV1519)))</f>
        <v>0</v>
      </c>
      <c r="BB1519" s="55" t="str">
        <f aca="false">IF(AF1519&lt;=0,"",IF(BU1519="Aussen","Aussenlager",IF(BU1519="-","Nicht im Lift",IF(AK1519&gt;=1,"Lift",IF(AK1519&lt;=0,"Aussenlager","teilweise")))))</f>
        <v/>
      </c>
      <c r="BC1519" s="55" t="str">
        <f aca="false">IF(AN1519&lt;=0,"",IF(BU1519="Aussen","Aussenlager",IF(BU1519="-","Nicht im Lift",IF(AS1519&gt;=1,"Lift",IF(AS1519&lt;=0,"Aussenlager","teilweise")))))</f>
        <v/>
      </c>
      <c r="BD1519" s="55" t="str">
        <f aca="false">IF(AV1519&lt;=0,"",IF(BU1519="Aussen","Aussenlager",IF(BU1519="-","Nicht im Lift",IF(BA1519&gt;=1,"Lift",IF(BA1519&lt;=0,"Aussenlager","teilweise")))))</f>
        <v/>
      </c>
      <c r="BE1519" s="55" t="str">
        <f aca="false">IF(A1519="","",IF(BN1519=1,"Neu; ","")&amp;IF(AND(BN1519=0,BI1519&lt;0),"negativer Bestand (Export "&amp;BI1519&amp;"); ","")&amp;IF(I1519&lt;=0,"Kein Verbrauch; ","")&amp;IF(CD1519&gt;0,"Lift "&amp;U1519&amp;" lt. Liftbericht (Fach "&amp;V1519&amp;" Stk); ",IF(BR1519=1,"Lose – Fläche geschätzt; ",""))&amp;IF(G1519&gt;AP1519,"Überbestand "&amp;ROUND(G1519-AP1519,0)&amp;" Stk / CHF "&amp;ROUND((G1519-AP1519)*F1519,0)&amp;"; ","")&amp;IF(AND(BW1519=1,BX1519&lt;BY1519),"MAX &lt; MB+LG; ","")&amp;IF(AND(CC1519&gt;0,CB1519*10&gt;CC1519),"zu hoch für Tablar; ","")&amp;IF(AND(BN1519=0,OR(BW1519=1,Y1519&lt;&gt;"",S1519&lt;&gt;"",T1519&lt;&gt;"",Z1519&lt;&gt;"")),"manuell übersteuert; ","")&amp;IF(AND(BR1519=0,Q1519=0),"Gebinde unbekannt / Stellmass fehlt; ","")&amp;IF(AND(BR1519=0,N(T1519)&lt;=0,N(P1519)&lt;=0),"Menge pro Gebinde fehlt (Ist = 1 Gebinde); ","")&amp;BM1519)</f>
        <v/>
      </c>
      <c r="BF1519" s="55"/>
      <c r="BG1519" s="55"/>
      <c r="BH1519" s="62"/>
      <c r="BI1519" s="57" t="n">
        <f aca="false">N('Neue Artikel'!$D$47)</f>
        <v>0</v>
      </c>
      <c r="BJ1519" s="57" t="n">
        <v>0</v>
      </c>
      <c r="BK1519" s="56" t="n">
        <v>0</v>
      </c>
      <c r="BL1519" s="57" t="n">
        <f aca="false">N('Neue Artikel'!$C$47)/Parameter!$B$18</f>
        <v>0</v>
      </c>
      <c r="BM1519" s="55"/>
      <c r="BN1519" s="60" t="n">
        <v>1</v>
      </c>
      <c r="BO1519" s="60" t="n">
        <v>1519</v>
      </c>
      <c r="BP1519" s="55" t="str">
        <f aca="false">IF(S1519&lt;&gt;"",UPPER(TRIM(S1519)),IF(O1519="","LOSE",O1519))</f>
        <v>LOSE</v>
      </c>
      <c r="BQ1519" s="57" t="n">
        <f aca="false">IF(BP1519="LOSE",1,IF(N(T1519)&gt;0,T1519,IF(N(P1519)&gt;0,P1519,MAX(1,G1519))))</f>
        <v>1</v>
      </c>
      <c r="BR1519" s="60" t="n">
        <f aca="false">IF(BP1519="LOSE",1,0)</f>
        <v>1</v>
      </c>
      <c r="BS1519" s="59" t="n">
        <f aca="false">IF(BR1519=0,0,IF(N(R1519)&gt;0,R1519,IFERROR(VLOOKUP(D1519,Parameter!$A$35:$C$64,3,0)+0,0)))</f>
        <v>0.15</v>
      </c>
      <c r="BT1519" s="55" t="str">
        <f aca="false">IF(Y1519&lt;&gt;"",Y1519,X1519)</f>
        <v/>
      </c>
      <c r="BU1519" s="55" t="str">
        <f aca="false">IF(BT1519=1,"L1",IF(OR(BT1519=2,BT1519=3),"L23",IF(BT1519="Aussen","Aussen","-")))</f>
        <v>-</v>
      </c>
      <c r="BV1519" s="66" t="n">
        <f aca="false">IF(N(Z1519)&gt;0,Z1519,0)</f>
        <v>0</v>
      </c>
      <c r="BW1519" s="60" t="n">
        <f aca="false">IF(ISNUMBER(AC1519),1,0)</f>
        <v>0</v>
      </c>
      <c r="BX1519" s="57" t="n">
        <f aca="false">N(AC1519)</f>
        <v>0</v>
      </c>
      <c r="BY1519" s="57" t="n">
        <f aca="false">N(L1519)+N(M1519)</f>
        <v>0</v>
      </c>
      <c r="BZ1519" s="57" t="n">
        <f aca="false">ROUNDUP(G1519/BQ1519,0)</f>
        <v>0</v>
      </c>
      <c r="CA1519" s="57" t="n">
        <f aca="false">ROUNDUP(BX1519/BQ1519,0)</f>
        <v>0</v>
      </c>
      <c r="CB1519" s="60" t="n">
        <f aca="false">IF(BR1519=1,0,IFERROR(VLOOKUP(BP1519,'Gebinde-Kategorie'!$A$5:$M$45,5,0)+0,0))</f>
        <v>0</v>
      </c>
      <c r="CC1519" s="60" t="n">
        <f aca="false">IFERROR(IF(OR(BT1519=1,BT1519=2,BT1519=3),N(INDEX(Parameter!$I$5:$I$7,BT1519)),0),0)</f>
        <v>0</v>
      </c>
      <c r="CD1519" s="59" t="n">
        <f aca="false">IF(AND(Parameter!$B$21="Ja",ISNUMBER(U1519),N(V1519)&gt;0),IFERROR(N(INDEX(Parameter!$L$5:$L$7,U1519))*INDEX(Parameter!$E$5:$E$7,U1519)*V1519/SUMIFS($V$7:$V$1576,$U$7:$U$1576,U1519),0),0)</f>
        <v>0</v>
      </c>
    </row>
    <row r="1520" customFormat="false" ht="15" hidden="false" customHeight="false" outlineLevel="0" collapsed="false">
      <c r="A1520" s="55" t="str">
        <f aca="false">IF('Neue Artikel'!$A$48="","",'Neue Artikel'!$A$48&amp;"")</f>
        <v/>
      </c>
      <c r="B1520" s="55" t="str">
        <f aca="false">'Neue Artikel'!$B$48&amp;""</f>
        <v/>
      </c>
      <c r="C1520" s="55"/>
      <c r="D1520" s="55" t="s">
        <v>2561</v>
      </c>
      <c r="E1520" s="55"/>
      <c r="F1520" s="56" t="n">
        <f aca="false">N('Neue Artikel'!$G$48)</f>
        <v>0</v>
      </c>
      <c r="G1520" s="57" t="n">
        <f aca="false">MAX(0,IF(AND(Parameter!$B$21="Ja",ISNUMBER(W1520)),W1520,IF(Parameter!$B$20="Jahresanfang 2025 + Export",BJ1520+BI1520,BI1520)))</f>
        <v>0</v>
      </c>
      <c r="H1520" s="57" t="n">
        <f aca="false">G1520*F1520</f>
        <v>0</v>
      </c>
      <c r="I1520" s="57" t="n">
        <f aca="false">BL1520*Parameter!$B$18</f>
        <v>0</v>
      </c>
      <c r="J1520" s="58"/>
      <c r="K1520" s="59"/>
      <c r="L1520" s="57" t="n">
        <f aca="false">N('Neue Artikel'!$E$48)</f>
        <v>0</v>
      </c>
      <c r="M1520" s="57" t="n">
        <f aca="false">N('Neue Artikel'!$F$48)</f>
        <v>0</v>
      </c>
      <c r="N1520" s="60"/>
      <c r="O1520" s="55" t="str">
        <f aca="false">IF('Neue Artikel'!$H$48="","LOSE",UPPER(TRIM('Neue Artikel'!$H$48)))</f>
        <v>LOSE</v>
      </c>
      <c r="P1520" s="57" t="n">
        <f aca="false">N('Neue Artikel'!$I$48)</f>
        <v>0</v>
      </c>
      <c r="Q1520" s="60" t="n">
        <f aca="false">IF(BR1520=1,0,IFERROR(VLOOKUP(BP1520,'Gebinde-Kategorie'!$A$5:$M$45,13,0)+0,0))</f>
        <v>0</v>
      </c>
      <c r="R1520" s="61"/>
      <c r="S1520" s="62"/>
      <c r="T1520" s="62"/>
      <c r="U1520" s="55"/>
      <c r="V1520" s="57"/>
      <c r="W1520" s="57"/>
      <c r="X1520" s="55" t="str">
        <f aca="false">IF(A1520="","",IF(AND(Parameter!$B$21="Ja",ISNUMBER(U1520)),U1520,IF(IFERROR(VLOOKUP(D1520,Parameter!$A$35:$C$64,2,0),"Nein")="2+3",IF(ISNUMBER(SEARCH("grosser Artikel",BM1520)),2,IFERROR(VLOOKUP(BP1520,Parameter!$F$35:$G$64,2,0),2)),IF(OR(IFERROR(VLOOKUP(D1520,Parameter!$A$35:$C$64,2,0),"Nein")="Nein",IFERROR(VLOOKUP(D1520,Parameter!$A$35:$C$64,2,0),"Nein")=""),"-",VLOOKUP(D1520,Parameter!$A$35:$C$64,2,0)))))</f>
        <v/>
      </c>
      <c r="Y1520" s="55" t="str">
        <f aca="false">IF('Neue Artikel'!$J$48="","",'Neue Artikel'!$J$48)</f>
        <v/>
      </c>
      <c r="Z1520" s="63"/>
      <c r="AA1520" s="57" t="n">
        <f aca="false">AP1520</f>
        <v>0</v>
      </c>
      <c r="AB1520" s="57" t="n">
        <f aca="false">MAX(AP1520,G1520)</f>
        <v>0</v>
      </c>
      <c r="AC1520" s="64"/>
      <c r="AD1520" s="57" t="n">
        <f aca="false">IF(LEFT(Cockpit!$C$5,1)="A",G1520,IF(BW1520=1,BX1520,IF(LEFT(Cockpit!$C$5,1)="B",AH1520,MAX(AH1520,G1520))))</f>
        <v>0</v>
      </c>
      <c r="AE1520" s="57" t="n">
        <f aca="false">IF(BR1520=1,0,ROUNDUP(AD1520/BQ1520,0))</f>
        <v>0</v>
      </c>
      <c r="AF1520" s="59" t="n">
        <f aca="false">IF(CD1520&gt;0,CD1520*MAX(1,AD1520/V1520),IF(BR1520=1,IF(AD1520&lt;=0,0,BS1520*MAX(1,IF(G1520&gt;0,AD1520/G1520,1))),IF(Q1520&gt;0,AE1520/Q1520,0))/MAX(0.1,N(Parameter!$M$21)))</f>
        <v>0</v>
      </c>
      <c r="AG1520" s="57" t="n">
        <f aca="false">AD1520*F1520</f>
        <v>0</v>
      </c>
      <c r="AH1520" s="57" t="n">
        <f aca="false">ROUNDUP(MAX(I1520/IF(BV1520&gt;0,BV1520,MAX(0.1,N(Cockpit!$C$6))),BY1520)/BQ1520,0)*BQ1520</f>
        <v>0</v>
      </c>
      <c r="AI1520" s="58" t="n">
        <f aca="false">IF(AF1520&gt;0,I1520/AF1520,-1)</f>
        <v>-1</v>
      </c>
      <c r="AJ1520" s="58" t="str">
        <f aca="false">IF(AND(OR(BU1520="L1",BU1520="L23"),AF1520&gt;0),SUMIFS($AF$7:$AF$1576,$BU$7:$BU$1576,BU1520,$AI$7:$AI$1576,"&gt;"&amp;AI1520)+SUMIFS($AF$7:$AF$1576,$BU$7:$BU$1576,BU1520,$AI$7:$AI$1576,AI1520,$BO$7:$BO$1576,"&lt;="&amp;BO1520),"")</f>
        <v/>
      </c>
      <c r="AK1520" s="65" t="n">
        <f aca="false">IF(AJ1520="",0,MAX(0,MIN(1,(IF(BU1520="L1",Parameter!$E$5,Parameter!$E$6+Parameter!$E$7)-(AJ1520-AF1520))/AF1520)))</f>
        <v>0</v>
      </c>
      <c r="AL1520" s="57" t="n">
        <f aca="false">IF(LEFT(Cockpit!$I$5,1)="A",G1520,IF(BW1520=1,BX1520,IF(LEFT(Cockpit!$I$5,1)="B",AP1520,MAX(AP1520,G1520))))</f>
        <v>0</v>
      </c>
      <c r="AM1520" s="57" t="n">
        <f aca="false">IF(BR1520=1,0,ROUNDUP(AL1520/BQ1520,0))</f>
        <v>0</v>
      </c>
      <c r="AN1520" s="59" t="n">
        <f aca="false">IF(CD1520&gt;0,CD1520*MAX(1,AL1520/V1520),IF(BR1520=1,IF(AL1520&lt;=0,0,BS1520*MAX(1,IF(G1520&gt;0,AL1520/G1520,1))),IF(Q1520&gt;0,AM1520/Q1520,0))/MAX(0.1,N(Parameter!$M$21)))</f>
        <v>0</v>
      </c>
      <c r="AO1520" s="57" t="n">
        <f aca="false">AL1520*F1520</f>
        <v>0</v>
      </c>
      <c r="AP1520" s="57" t="n">
        <f aca="false">ROUNDUP(MAX(I1520/IF(BV1520&gt;0,BV1520,MAX(0.1,N(Cockpit!$I$6))),BY1520)/BQ1520,0)*BQ1520</f>
        <v>0</v>
      </c>
      <c r="AQ1520" s="58" t="n">
        <f aca="false">IF(AN1520&gt;0,I1520/AN1520,-1)</f>
        <v>-1</v>
      </c>
      <c r="AR1520" s="58" t="str">
        <f aca="false">IF(AND(OR(BU1520="L1",BU1520="L23"),AN1520&gt;0),SUMIFS($AN$7:$AN$1576,$BU$7:$BU$1576,BU1520,$AQ$7:$AQ$1576,"&gt;"&amp;AQ1520)+SUMIFS($AN$7:$AN$1576,$BU$7:$BU$1576,BU1520,$AQ$7:$AQ$1576,AQ1520,$BO$7:$BO$1576,"&lt;="&amp;BO1520),"")</f>
        <v/>
      </c>
      <c r="AS1520" s="65" t="n">
        <f aca="false">IF(AR1520="",0,MAX(0,MIN(1,(IF(BU1520="L1",Parameter!$E$5,Parameter!$E$6+Parameter!$E$7)-(AR1520-AN1520))/AN1520)))</f>
        <v>0</v>
      </c>
      <c r="AT1520" s="57" t="n">
        <f aca="false">IF(LEFT(Cockpit!$O$5,1)="A",G1520,IF(BW1520=1,BX1520,IF(LEFT(Cockpit!$O$5,1)="B",AX1520,MAX(AX1520,G1520))))</f>
        <v>0</v>
      </c>
      <c r="AU1520" s="57" t="n">
        <f aca="false">IF(BR1520=1,0,ROUNDUP(AT1520/BQ1520,0))</f>
        <v>0</v>
      </c>
      <c r="AV1520" s="59" t="n">
        <f aca="false">IF(CD1520&gt;0,CD1520*MAX(1,AT1520/V1520),IF(BR1520=1,IF(AT1520&lt;=0,0,BS1520*MAX(1,IF(G1520&gt;0,AT1520/G1520,1))),IF(Q1520&gt;0,AU1520/Q1520,0))/MAX(0.1,N(Parameter!$M$21)))</f>
        <v>0</v>
      </c>
      <c r="AW1520" s="57" t="n">
        <f aca="false">AT1520*F1520</f>
        <v>0</v>
      </c>
      <c r="AX1520" s="57" t="n">
        <f aca="false">ROUNDUP(MAX(I1520/IF(BV1520&gt;0,BV1520,MAX(0.1,N(Cockpit!$O$6))),BY1520)/BQ1520,0)*BQ1520</f>
        <v>0</v>
      </c>
      <c r="AY1520" s="58" t="n">
        <f aca="false">IF(AV1520&gt;0,I1520/AV1520,-1)</f>
        <v>-1</v>
      </c>
      <c r="AZ1520" s="58" t="str">
        <f aca="false">IF(AND(OR(BU1520="L1",BU1520="L23"),AV1520&gt;0),SUMIFS($AV$7:$AV$1576,$BU$7:$BU$1576,BU1520,$AY$7:$AY$1576,"&gt;"&amp;AY1520)+SUMIFS($AV$7:$AV$1576,$BU$7:$BU$1576,BU1520,$AY$7:$AY$1576,AY1520,$BO$7:$BO$1576,"&lt;="&amp;BO1520),"")</f>
        <v/>
      </c>
      <c r="BA1520" s="65" t="n">
        <f aca="false">IF(AZ1520="",0,MAX(0,MIN(1,(IF(BU1520="L1",Parameter!$E$5,Parameter!$E$6+Parameter!$E$7)-(AZ1520-AV1520))/AV1520)))</f>
        <v>0</v>
      </c>
      <c r="BB1520" s="55" t="str">
        <f aca="false">IF(AF1520&lt;=0,"",IF(BU1520="Aussen","Aussenlager",IF(BU1520="-","Nicht im Lift",IF(AK1520&gt;=1,"Lift",IF(AK1520&lt;=0,"Aussenlager","teilweise")))))</f>
        <v/>
      </c>
      <c r="BC1520" s="55" t="str">
        <f aca="false">IF(AN1520&lt;=0,"",IF(BU1520="Aussen","Aussenlager",IF(BU1520="-","Nicht im Lift",IF(AS1520&gt;=1,"Lift",IF(AS1520&lt;=0,"Aussenlager","teilweise")))))</f>
        <v/>
      </c>
      <c r="BD1520" s="55" t="str">
        <f aca="false">IF(AV1520&lt;=0,"",IF(BU1520="Aussen","Aussenlager",IF(BU1520="-","Nicht im Lift",IF(BA1520&gt;=1,"Lift",IF(BA1520&lt;=0,"Aussenlager","teilweise")))))</f>
        <v/>
      </c>
      <c r="BE1520" s="55" t="str">
        <f aca="false">IF(A1520="","",IF(BN1520=1,"Neu; ","")&amp;IF(AND(BN1520=0,BI1520&lt;0),"negativer Bestand (Export "&amp;BI1520&amp;"); ","")&amp;IF(I1520&lt;=0,"Kein Verbrauch; ","")&amp;IF(CD1520&gt;0,"Lift "&amp;U1520&amp;" lt. Liftbericht (Fach "&amp;V1520&amp;" Stk); ",IF(BR1520=1,"Lose – Fläche geschätzt; ",""))&amp;IF(G1520&gt;AP1520,"Überbestand "&amp;ROUND(G1520-AP1520,0)&amp;" Stk / CHF "&amp;ROUND((G1520-AP1520)*F1520,0)&amp;"; ","")&amp;IF(AND(BW1520=1,BX1520&lt;BY1520),"MAX &lt; MB+LG; ","")&amp;IF(AND(CC1520&gt;0,CB1520*10&gt;CC1520),"zu hoch für Tablar; ","")&amp;IF(AND(BN1520=0,OR(BW1520=1,Y1520&lt;&gt;"",S1520&lt;&gt;"",T1520&lt;&gt;"",Z1520&lt;&gt;"")),"manuell übersteuert; ","")&amp;IF(AND(BR1520=0,Q1520=0),"Gebinde unbekannt / Stellmass fehlt; ","")&amp;IF(AND(BR1520=0,N(T1520)&lt;=0,N(P1520)&lt;=0),"Menge pro Gebinde fehlt (Ist = 1 Gebinde); ","")&amp;BM1520)</f>
        <v/>
      </c>
      <c r="BF1520" s="55"/>
      <c r="BG1520" s="55"/>
      <c r="BH1520" s="62"/>
      <c r="BI1520" s="57" t="n">
        <f aca="false">N('Neue Artikel'!$D$48)</f>
        <v>0</v>
      </c>
      <c r="BJ1520" s="57" t="n">
        <v>0</v>
      </c>
      <c r="BK1520" s="56" t="n">
        <v>0</v>
      </c>
      <c r="BL1520" s="57" t="n">
        <f aca="false">N('Neue Artikel'!$C$48)/Parameter!$B$18</f>
        <v>0</v>
      </c>
      <c r="BM1520" s="55"/>
      <c r="BN1520" s="60" t="n">
        <v>1</v>
      </c>
      <c r="BO1520" s="60" t="n">
        <v>1520</v>
      </c>
      <c r="BP1520" s="55" t="str">
        <f aca="false">IF(S1520&lt;&gt;"",UPPER(TRIM(S1520)),IF(O1520="","LOSE",O1520))</f>
        <v>LOSE</v>
      </c>
      <c r="BQ1520" s="57" t="n">
        <f aca="false">IF(BP1520="LOSE",1,IF(N(T1520)&gt;0,T1520,IF(N(P1520)&gt;0,P1520,MAX(1,G1520))))</f>
        <v>1</v>
      </c>
      <c r="BR1520" s="60" t="n">
        <f aca="false">IF(BP1520="LOSE",1,0)</f>
        <v>1</v>
      </c>
      <c r="BS1520" s="59" t="n">
        <f aca="false">IF(BR1520=0,0,IF(N(R1520)&gt;0,R1520,IFERROR(VLOOKUP(D1520,Parameter!$A$35:$C$64,3,0)+0,0)))</f>
        <v>0.15</v>
      </c>
      <c r="BT1520" s="55" t="str">
        <f aca="false">IF(Y1520&lt;&gt;"",Y1520,X1520)</f>
        <v/>
      </c>
      <c r="BU1520" s="55" t="str">
        <f aca="false">IF(BT1520=1,"L1",IF(OR(BT1520=2,BT1520=3),"L23",IF(BT1520="Aussen","Aussen","-")))</f>
        <v>-</v>
      </c>
      <c r="BV1520" s="66" t="n">
        <f aca="false">IF(N(Z1520)&gt;0,Z1520,0)</f>
        <v>0</v>
      </c>
      <c r="BW1520" s="60" t="n">
        <f aca="false">IF(ISNUMBER(AC1520),1,0)</f>
        <v>0</v>
      </c>
      <c r="BX1520" s="57" t="n">
        <f aca="false">N(AC1520)</f>
        <v>0</v>
      </c>
      <c r="BY1520" s="57" t="n">
        <f aca="false">N(L1520)+N(M1520)</f>
        <v>0</v>
      </c>
      <c r="BZ1520" s="57" t="n">
        <f aca="false">ROUNDUP(G1520/BQ1520,0)</f>
        <v>0</v>
      </c>
      <c r="CA1520" s="57" t="n">
        <f aca="false">ROUNDUP(BX1520/BQ1520,0)</f>
        <v>0</v>
      </c>
      <c r="CB1520" s="60" t="n">
        <f aca="false">IF(BR1520=1,0,IFERROR(VLOOKUP(BP1520,'Gebinde-Kategorie'!$A$5:$M$45,5,0)+0,0))</f>
        <v>0</v>
      </c>
      <c r="CC1520" s="60" t="n">
        <f aca="false">IFERROR(IF(OR(BT1520=1,BT1520=2,BT1520=3),N(INDEX(Parameter!$I$5:$I$7,BT1520)),0),0)</f>
        <v>0</v>
      </c>
      <c r="CD1520" s="59" t="n">
        <f aca="false">IF(AND(Parameter!$B$21="Ja",ISNUMBER(U1520),N(V1520)&gt;0),IFERROR(N(INDEX(Parameter!$L$5:$L$7,U1520))*INDEX(Parameter!$E$5:$E$7,U1520)*V1520/SUMIFS($V$7:$V$1576,$U$7:$U$1576,U1520),0),0)</f>
        <v>0</v>
      </c>
    </row>
    <row r="1521" customFormat="false" ht="15" hidden="false" customHeight="false" outlineLevel="0" collapsed="false">
      <c r="A1521" s="55" t="str">
        <f aca="false">IF('Neue Artikel'!$A$49="","",'Neue Artikel'!$A$49&amp;"")</f>
        <v/>
      </c>
      <c r="B1521" s="55" t="str">
        <f aca="false">'Neue Artikel'!$B$49&amp;""</f>
        <v/>
      </c>
      <c r="C1521" s="55"/>
      <c r="D1521" s="55" t="s">
        <v>2561</v>
      </c>
      <c r="E1521" s="55"/>
      <c r="F1521" s="56" t="n">
        <f aca="false">N('Neue Artikel'!$G$49)</f>
        <v>0</v>
      </c>
      <c r="G1521" s="57" t="n">
        <f aca="false">MAX(0,IF(AND(Parameter!$B$21="Ja",ISNUMBER(W1521)),W1521,IF(Parameter!$B$20="Jahresanfang 2025 + Export",BJ1521+BI1521,BI1521)))</f>
        <v>0</v>
      </c>
      <c r="H1521" s="57" t="n">
        <f aca="false">G1521*F1521</f>
        <v>0</v>
      </c>
      <c r="I1521" s="57" t="n">
        <f aca="false">BL1521*Parameter!$B$18</f>
        <v>0</v>
      </c>
      <c r="J1521" s="58"/>
      <c r="K1521" s="59"/>
      <c r="L1521" s="57" t="n">
        <f aca="false">N('Neue Artikel'!$E$49)</f>
        <v>0</v>
      </c>
      <c r="M1521" s="57" t="n">
        <f aca="false">N('Neue Artikel'!$F$49)</f>
        <v>0</v>
      </c>
      <c r="N1521" s="60"/>
      <c r="O1521" s="55" t="str">
        <f aca="false">IF('Neue Artikel'!$H$49="","LOSE",UPPER(TRIM('Neue Artikel'!$H$49)))</f>
        <v>LOSE</v>
      </c>
      <c r="P1521" s="57" t="n">
        <f aca="false">N('Neue Artikel'!$I$49)</f>
        <v>0</v>
      </c>
      <c r="Q1521" s="60" t="n">
        <f aca="false">IF(BR1521=1,0,IFERROR(VLOOKUP(BP1521,'Gebinde-Kategorie'!$A$5:$M$45,13,0)+0,0))</f>
        <v>0</v>
      </c>
      <c r="R1521" s="61"/>
      <c r="S1521" s="62"/>
      <c r="T1521" s="62"/>
      <c r="U1521" s="55"/>
      <c r="V1521" s="57"/>
      <c r="W1521" s="57"/>
      <c r="X1521" s="55" t="str">
        <f aca="false">IF(A1521="","",IF(AND(Parameter!$B$21="Ja",ISNUMBER(U1521)),U1521,IF(IFERROR(VLOOKUP(D1521,Parameter!$A$35:$C$64,2,0),"Nein")="2+3",IF(ISNUMBER(SEARCH("grosser Artikel",BM1521)),2,IFERROR(VLOOKUP(BP1521,Parameter!$F$35:$G$64,2,0),2)),IF(OR(IFERROR(VLOOKUP(D1521,Parameter!$A$35:$C$64,2,0),"Nein")="Nein",IFERROR(VLOOKUP(D1521,Parameter!$A$35:$C$64,2,0),"Nein")=""),"-",VLOOKUP(D1521,Parameter!$A$35:$C$64,2,0)))))</f>
        <v/>
      </c>
      <c r="Y1521" s="55" t="str">
        <f aca="false">IF('Neue Artikel'!$J$49="","",'Neue Artikel'!$J$49)</f>
        <v/>
      </c>
      <c r="Z1521" s="63"/>
      <c r="AA1521" s="57" t="n">
        <f aca="false">AP1521</f>
        <v>0</v>
      </c>
      <c r="AB1521" s="57" t="n">
        <f aca="false">MAX(AP1521,G1521)</f>
        <v>0</v>
      </c>
      <c r="AC1521" s="64"/>
      <c r="AD1521" s="57" t="n">
        <f aca="false">IF(LEFT(Cockpit!$C$5,1)="A",G1521,IF(BW1521=1,BX1521,IF(LEFT(Cockpit!$C$5,1)="B",AH1521,MAX(AH1521,G1521))))</f>
        <v>0</v>
      </c>
      <c r="AE1521" s="57" t="n">
        <f aca="false">IF(BR1521=1,0,ROUNDUP(AD1521/BQ1521,0))</f>
        <v>0</v>
      </c>
      <c r="AF1521" s="59" t="n">
        <f aca="false">IF(CD1521&gt;0,CD1521*MAX(1,AD1521/V1521),IF(BR1521=1,IF(AD1521&lt;=0,0,BS1521*MAX(1,IF(G1521&gt;0,AD1521/G1521,1))),IF(Q1521&gt;0,AE1521/Q1521,0))/MAX(0.1,N(Parameter!$M$21)))</f>
        <v>0</v>
      </c>
      <c r="AG1521" s="57" t="n">
        <f aca="false">AD1521*F1521</f>
        <v>0</v>
      </c>
      <c r="AH1521" s="57" t="n">
        <f aca="false">ROUNDUP(MAX(I1521/IF(BV1521&gt;0,BV1521,MAX(0.1,N(Cockpit!$C$6))),BY1521)/BQ1521,0)*BQ1521</f>
        <v>0</v>
      </c>
      <c r="AI1521" s="58" t="n">
        <f aca="false">IF(AF1521&gt;0,I1521/AF1521,-1)</f>
        <v>-1</v>
      </c>
      <c r="AJ1521" s="58" t="str">
        <f aca="false">IF(AND(OR(BU1521="L1",BU1521="L23"),AF1521&gt;0),SUMIFS($AF$7:$AF$1576,$BU$7:$BU$1576,BU1521,$AI$7:$AI$1576,"&gt;"&amp;AI1521)+SUMIFS($AF$7:$AF$1576,$BU$7:$BU$1576,BU1521,$AI$7:$AI$1576,AI1521,$BO$7:$BO$1576,"&lt;="&amp;BO1521),"")</f>
        <v/>
      </c>
      <c r="AK1521" s="65" t="n">
        <f aca="false">IF(AJ1521="",0,MAX(0,MIN(1,(IF(BU1521="L1",Parameter!$E$5,Parameter!$E$6+Parameter!$E$7)-(AJ1521-AF1521))/AF1521)))</f>
        <v>0</v>
      </c>
      <c r="AL1521" s="57" t="n">
        <f aca="false">IF(LEFT(Cockpit!$I$5,1)="A",G1521,IF(BW1521=1,BX1521,IF(LEFT(Cockpit!$I$5,1)="B",AP1521,MAX(AP1521,G1521))))</f>
        <v>0</v>
      </c>
      <c r="AM1521" s="57" t="n">
        <f aca="false">IF(BR1521=1,0,ROUNDUP(AL1521/BQ1521,0))</f>
        <v>0</v>
      </c>
      <c r="AN1521" s="59" t="n">
        <f aca="false">IF(CD1521&gt;0,CD1521*MAX(1,AL1521/V1521),IF(BR1521=1,IF(AL1521&lt;=0,0,BS1521*MAX(1,IF(G1521&gt;0,AL1521/G1521,1))),IF(Q1521&gt;0,AM1521/Q1521,0))/MAX(0.1,N(Parameter!$M$21)))</f>
        <v>0</v>
      </c>
      <c r="AO1521" s="57" t="n">
        <f aca="false">AL1521*F1521</f>
        <v>0</v>
      </c>
      <c r="AP1521" s="57" t="n">
        <f aca="false">ROUNDUP(MAX(I1521/IF(BV1521&gt;0,BV1521,MAX(0.1,N(Cockpit!$I$6))),BY1521)/BQ1521,0)*BQ1521</f>
        <v>0</v>
      </c>
      <c r="AQ1521" s="58" t="n">
        <f aca="false">IF(AN1521&gt;0,I1521/AN1521,-1)</f>
        <v>-1</v>
      </c>
      <c r="AR1521" s="58" t="str">
        <f aca="false">IF(AND(OR(BU1521="L1",BU1521="L23"),AN1521&gt;0),SUMIFS($AN$7:$AN$1576,$BU$7:$BU$1576,BU1521,$AQ$7:$AQ$1576,"&gt;"&amp;AQ1521)+SUMIFS($AN$7:$AN$1576,$BU$7:$BU$1576,BU1521,$AQ$7:$AQ$1576,AQ1521,$BO$7:$BO$1576,"&lt;="&amp;BO1521),"")</f>
        <v/>
      </c>
      <c r="AS1521" s="65" t="n">
        <f aca="false">IF(AR1521="",0,MAX(0,MIN(1,(IF(BU1521="L1",Parameter!$E$5,Parameter!$E$6+Parameter!$E$7)-(AR1521-AN1521))/AN1521)))</f>
        <v>0</v>
      </c>
      <c r="AT1521" s="57" t="n">
        <f aca="false">IF(LEFT(Cockpit!$O$5,1)="A",G1521,IF(BW1521=1,BX1521,IF(LEFT(Cockpit!$O$5,1)="B",AX1521,MAX(AX1521,G1521))))</f>
        <v>0</v>
      </c>
      <c r="AU1521" s="57" t="n">
        <f aca="false">IF(BR1521=1,0,ROUNDUP(AT1521/BQ1521,0))</f>
        <v>0</v>
      </c>
      <c r="AV1521" s="59" t="n">
        <f aca="false">IF(CD1521&gt;0,CD1521*MAX(1,AT1521/V1521),IF(BR1521=1,IF(AT1521&lt;=0,0,BS1521*MAX(1,IF(G1521&gt;0,AT1521/G1521,1))),IF(Q1521&gt;0,AU1521/Q1521,0))/MAX(0.1,N(Parameter!$M$21)))</f>
        <v>0</v>
      </c>
      <c r="AW1521" s="57" t="n">
        <f aca="false">AT1521*F1521</f>
        <v>0</v>
      </c>
      <c r="AX1521" s="57" t="n">
        <f aca="false">ROUNDUP(MAX(I1521/IF(BV1521&gt;0,BV1521,MAX(0.1,N(Cockpit!$O$6))),BY1521)/BQ1521,0)*BQ1521</f>
        <v>0</v>
      </c>
      <c r="AY1521" s="58" t="n">
        <f aca="false">IF(AV1521&gt;0,I1521/AV1521,-1)</f>
        <v>-1</v>
      </c>
      <c r="AZ1521" s="58" t="str">
        <f aca="false">IF(AND(OR(BU1521="L1",BU1521="L23"),AV1521&gt;0),SUMIFS($AV$7:$AV$1576,$BU$7:$BU$1576,BU1521,$AY$7:$AY$1576,"&gt;"&amp;AY1521)+SUMIFS($AV$7:$AV$1576,$BU$7:$BU$1576,BU1521,$AY$7:$AY$1576,AY1521,$BO$7:$BO$1576,"&lt;="&amp;BO1521),"")</f>
        <v/>
      </c>
      <c r="BA1521" s="65" t="n">
        <f aca="false">IF(AZ1521="",0,MAX(0,MIN(1,(IF(BU1521="L1",Parameter!$E$5,Parameter!$E$6+Parameter!$E$7)-(AZ1521-AV1521))/AV1521)))</f>
        <v>0</v>
      </c>
      <c r="BB1521" s="55" t="str">
        <f aca="false">IF(AF1521&lt;=0,"",IF(BU1521="Aussen","Aussenlager",IF(BU1521="-","Nicht im Lift",IF(AK1521&gt;=1,"Lift",IF(AK1521&lt;=0,"Aussenlager","teilweise")))))</f>
        <v/>
      </c>
      <c r="BC1521" s="55" t="str">
        <f aca="false">IF(AN1521&lt;=0,"",IF(BU1521="Aussen","Aussenlager",IF(BU1521="-","Nicht im Lift",IF(AS1521&gt;=1,"Lift",IF(AS1521&lt;=0,"Aussenlager","teilweise")))))</f>
        <v/>
      </c>
      <c r="BD1521" s="55" t="str">
        <f aca="false">IF(AV1521&lt;=0,"",IF(BU1521="Aussen","Aussenlager",IF(BU1521="-","Nicht im Lift",IF(BA1521&gt;=1,"Lift",IF(BA1521&lt;=0,"Aussenlager","teilweise")))))</f>
        <v/>
      </c>
      <c r="BE1521" s="55" t="str">
        <f aca="false">IF(A1521="","",IF(BN1521=1,"Neu; ","")&amp;IF(AND(BN1521=0,BI1521&lt;0),"negativer Bestand (Export "&amp;BI1521&amp;"); ","")&amp;IF(I1521&lt;=0,"Kein Verbrauch; ","")&amp;IF(CD1521&gt;0,"Lift "&amp;U1521&amp;" lt. Liftbericht (Fach "&amp;V1521&amp;" Stk); ",IF(BR1521=1,"Lose – Fläche geschätzt; ",""))&amp;IF(G1521&gt;AP1521,"Überbestand "&amp;ROUND(G1521-AP1521,0)&amp;" Stk / CHF "&amp;ROUND((G1521-AP1521)*F1521,0)&amp;"; ","")&amp;IF(AND(BW1521=1,BX1521&lt;BY1521),"MAX &lt; MB+LG; ","")&amp;IF(AND(CC1521&gt;0,CB1521*10&gt;CC1521),"zu hoch für Tablar; ","")&amp;IF(AND(BN1521=0,OR(BW1521=1,Y1521&lt;&gt;"",S1521&lt;&gt;"",T1521&lt;&gt;"",Z1521&lt;&gt;"")),"manuell übersteuert; ","")&amp;IF(AND(BR1521=0,Q1521=0),"Gebinde unbekannt / Stellmass fehlt; ","")&amp;IF(AND(BR1521=0,N(T1521)&lt;=0,N(P1521)&lt;=0),"Menge pro Gebinde fehlt (Ist = 1 Gebinde); ","")&amp;BM1521)</f>
        <v/>
      </c>
      <c r="BF1521" s="55"/>
      <c r="BG1521" s="55"/>
      <c r="BH1521" s="62"/>
      <c r="BI1521" s="57" t="n">
        <f aca="false">N('Neue Artikel'!$D$49)</f>
        <v>0</v>
      </c>
      <c r="BJ1521" s="57" t="n">
        <v>0</v>
      </c>
      <c r="BK1521" s="56" t="n">
        <v>0</v>
      </c>
      <c r="BL1521" s="57" t="n">
        <f aca="false">N('Neue Artikel'!$C$49)/Parameter!$B$18</f>
        <v>0</v>
      </c>
      <c r="BM1521" s="55"/>
      <c r="BN1521" s="60" t="n">
        <v>1</v>
      </c>
      <c r="BO1521" s="60" t="n">
        <v>1521</v>
      </c>
      <c r="BP1521" s="55" t="str">
        <f aca="false">IF(S1521&lt;&gt;"",UPPER(TRIM(S1521)),IF(O1521="","LOSE",O1521))</f>
        <v>LOSE</v>
      </c>
      <c r="BQ1521" s="57" t="n">
        <f aca="false">IF(BP1521="LOSE",1,IF(N(T1521)&gt;0,T1521,IF(N(P1521)&gt;0,P1521,MAX(1,G1521))))</f>
        <v>1</v>
      </c>
      <c r="BR1521" s="60" t="n">
        <f aca="false">IF(BP1521="LOSE",1,0)</f>
        <v>1</v>
      </c>
      <c r="BS1521" s="59" t="n">
        <f aca="false">IF(BR1521=0,0,IF(N(R1521)&gt;0,R1521,IFERROR(VLOOKUP(D1521,Parameter!$A$35:$C$64,3,0)+0,0)))</f>
        <v>0.15</v>
      </c>
      <c r="BT1521" s="55" t="str">
        <f aca="false">IF(Y1521&lt;&gt;"",Y1521,X1521)</f>
        <v/>
      </c>
      <c r="BU1521" s="55" t="str">
        <f aca="false">IF(BT1521=1,"L1",IF(OR(BT1521=2,BT1521=3),"L23",IF(BT1521="Aussen","Aussen","-")))</f>
        <v>-</v>
      </c>
      <c r="BV1521" s="66" t="n">
        <f aca="false">IF(N(Z1521)&gt;0,Z1521,0)</f>
        <v>0</v>
      </c>
      <c r="BW1521" s="60" t="n">
        <f aca="false">IF(ISNUMBER(AC1521),1,0)</f>
        <v>0</v>
      </c>
      <c r="BX1521" s="57" t="n">
        <f aca="false">N(AC1521)</f>
        <v>0</v>
      </c>
      <c r="BY1521" s="57" t="n">
        <f aca="false">N(L1521)+N(M1521)</f>
        <v>0</v>
      </c>
      <c r="BZ1521" s="57" t="n">
        <f aca="false">ROUNDUP(G1521/BQ1521,0)</f>
        <v>0</v>
      </c>
      <c r="CA1521" s="57" t="n">
        <f aca="false">ROUNDUP(BX1521/BQ1521,0)</f>
        <v>0</v>
      </c>
      <c r="CB1521" s="60" t="n">
        <f aca="false">IF(BR1521=1,0,IFERROR(VLOOKUP(BP1521,'Gebinde-Kategorie'!$A$5:$M$45,5,0)+0,0))</f>
        <v>0</v>
      </c>
      <c r="CC1521" s="60" t="n">
        <f aca="false">IFERROR(IF(OR(BT1521=1,BT1521=2,BT1521=3),N(INDEX(Parameter!$I$5:$I$7,BT1521)),0),0)</f>
        <v>0</v>
      </c>
      <c r="CD1521" s="59" t="n">
        <f aca="false">IF(AND(Parameter!$B$21="Ja",ISNUMBER(U1521),N(V1521)&gt;0),IFERROR(N(INDEX(Parameter!$L$5:$L$7,U1521))*INDEX(Parameter!$E$5:$E$7,U1521)*V1521/SUMIFS($V$7:$V$1576,$U$7:$U$1576,U1521),0),0)</f>
        <v>0</v>
      </c>
    </row>
    <row r="1522" customFormat="false" ht="15" hidden="false" customHeight="false" outlineLevel="0" collapsed="false">
      <c r="A1522" s="55" t="str">
        <f aca="false">IF('Neue Artikel'!$A$50="","",'Neue Artikel'!$A$50&amp;"")</f>
        <v/>
      </c>
      <c r="B1522" s="55" t="str">
        <f aca="false">'Neue Artikel'!$B$50&amp;""</f>
        <v/>
      </c>
      <c r="C1522" s="55"/>
      <c r="D1522" s="55" t="s">
        <v>2561</v>
      </c>
      <c r="E1522" s="55"/>
      <c r="F1522" s="56" t="n">
        <f aca="false">N('Neue Artikel'!$G$50)</f>
        <v>0</v>
      </c>
      <c r="G1522" s="57" t="n">
        <f aca="false">MAX(0,IF(AND(Parameter!$B$21="Ja",ISNUMBER(W1522)),W1522,IF(Parameter!$B$20="Jahresanfang 2025 + Export",BJ1522+BI1522,BI1522)))</f>
        <v>0</v>
      </c>
      <c r="H1522" s="57" t="n">
        <f aca="false">G1522*F1522</f>
        <v>0</v>
      </c>
      <c r="I1522" s="57" t="n">
        <f aca="false">BL1522*Parameter!$B$18</f>
        <v>0</v>
      </c>
      <c r="J1522" s="58"/>
      <c r="K1522" s="59"/>
      <c r="L1522" s="57" t="n">
        <f aca="false">N('Neue Artikel'!$E$50)</f>
        <v>0</v>
      </c>
      <c r="M1522" s="57" t="n">
        <f aca="false">N('Neue Artikel'!$F$50)</f>
        <v>0</v>
      </c>
      <c r="N1522" s="60"/>
      <c r="O1522" s="55" t="str">
        <f aca="false">IF('Neue Artikel'!$H$50="","LOSE",UPPER(TRIM('Neue Artikel'!$H$50)))</f>
        <v>LOSE</v>
      </c>
      <c r="P1522" s="57" t="n">
        <f aca="false">N('Neue Artikel'!$I$50)</f>
        <v>0</v>
      </c>
      <c r="Q1522" s="60" t="n">
        <f aca="false">IF(BR1522=1,0,IFERROR(VLOOKUP(BP1522,'Gebinde-Kategorie'!$A$5:$M$45,13,0)+0,0))</f>
        <v>0</v>
      </c>
      <c r="R1522" s="61"/>
      <c r="S1522" s="62"/>
      <c r="T1522" s="62"/>
      <c r="U1522" s="55"/>
      <c r="V1522" s="57"/>
      <c r="W1522" s="57"/>
      <c r="X1522" s="55" t="str">
        <f aca="false">IF(A1522="","",IF(AND(Parameter!$B$21="Ja",ISNUMBER(U1522)),U1522,IF(IFERROR(VLOOKUP(D1522,Parameter!$A$35:$C$64,2,0),"Nein")="2+3",IF(ISNUMBER(SEARCH("grosser Artikel",BM1522)),2,IFERROR(VLOOKUP(BP1522,Parameter!$F$35:$G$64,2,0),2)),IF(OR(IFERROR(VLOOKUP(D1522,Parameter!$A$35:$C$64,2,0),"Nein")="Nein",IFERROR(VLOOKUP(D1522,Parameter!$A$35:$C$64,2,0),"Nein")=""),"-",VLOOKUP(D1522,Parameter!$A$35:$C$64,2,0)))))</f>
        <v/>
      </c>
      <c r="Y1522" s="55" t="str">
        <f aca="false">IF('Neue Artikel'!$J$50="","",'Neue Artikel'!$J$50)</f>
        <v/>
      </c>
      <c r="Z1522" s="63"/>
      <c r="AA1522" s="57" t="n">
        <f aca="false">AP1522</f>
        <v>0</v>
      </c>
      <c r="AB1522" s="57" t="n">
        <f aca="false">MAX(AP1522,G1522)</f>
        <v>0</v>
      </c>
      <c r="AC1522" s="64"/>
      <c r="AD1522" s="57" t="n">
        <f aca="false">IF(LEFT(Cockpit!$C$5,1)="A",G1522,IF(BW1522=1,BX1522,IF(LEFT(Cockpit!$C$5,1)="B",AH1522,MAX(AH1522,G1522))))</f>
        <v>0</v>
      </c>
      <c r="AE1522" s="57" t="n">
        <f aca="false">IF(BR1522=1,0,ROUNDUP(AD1522/BQ1522,0))</f>
        <v>0</v>
      </c>
      <c r="AF1522" s="59" t="n">
        <f aca="false">IF(CD1522&gt;0,CD1522*MAX(1,AD1522/V1522),IF(BR1522=1,IF(AD1522&lt;=0,0,BS1522*MAX(1,IF(G1522&gt;0,AD1522/G1522,1))),IF(Q1522&gt;0,AE1522/Q1522,0))/MAX(0.1,N(Parameter!$M$21)))</f>
        <v>0</v>
      </c>
      <c r="AG1522" s="57" t="n">
        <f aca="false">AD1522*F1522</f>
        <v>0</v>
      </c>
      <c r="AH1522" s="57" t="n">
        <f aca="false">ROUNDUP(MAX(I1522/IF(BV1522&gt;0,BV1522,MAX(0.1,N(Cockpit!$C$6))),BY1522)/BQ1522,0)*BQ1522</f>
        <v>0</v>
      </c>
      <c r="AI1522" s="58" t="n">
        <f aca="false">IF(AF1522&gt;0,I1522/AF1522,-1)</f>
        <v>-1</v>
      </c>
      <c r="AJ1522" s="58" t="str">
        <f aca="false">IF(AND(OR(BU1522="L1",BU1522="L23"),AF1522&gt;0),SUMIFS($AF$7:$AF$1576,$BU$7:$BU$1576,BU1522,$AI$7:$AI$1576,"&gt;"&amp;AI1522)+SUMIFS($AF$7:$AF$1576,$BU$7:$BU$1576,BU1522,$AI$7:$AI$1576,AI1522,$BO$7:$BO$1576,"&lt;="&amp;BO1522),"")</f>
        <v/>
      </c>
      <c r="AK1522" s="65" t="n">
        <f aca="false">IF(AJ1522="",0,MAX(0,MIN(1,(IF(BU1522="L1",Parameter!$E$5,Parameter!$E$6+Parameter!$E$7)-(AJ1522-AF1522))/AF1522)))</f>
        <v>0</v>
      </c>
      <c r="AL1522" s="57" t="n">
        <f aca="false">IF(LEFT(Cockpit!$I$5,1)="A",G1522,IF(BW1522=1,BX1522,IF(LEFT(Cockpit!$I$5,1)="B",AP1522,MAX(AP1522,G1522))))</f>
        <v>0</v>
      </c>
      <c r="AM1522" s="57" t="n">
        <f aca="false">IF(BR1522=1,0,ROUNDUP(AL1522/BQ1522,0))</f>
        <v>0</v>
      </c>
      <c r="AN1522" s="59" t="n">
        <f aca="false">IF(CD1522&gt;0,CD1522*MAX(1,AL1522/V1522),IF(BR1522=1,IF(AL1522&lt;=0,0,BS1522*MAX(1,IF(G1522&gt;0,AL1522/G1522,1))),IF(Q1522&gt;0,AM1522/Q1522,0))/MAX(0.1,N(Parameter!$M$21)))</f>
        <v>0</v>
      </c>
      <c r="AO1522" s="57" t="n">
        <f aca="false">AL1522*F1522</f>
        <v>0</v>
      </c>
      <c r="AP1522" s="57" t="n">
        <f aca="false">ROUNDUP(MAX(I1522/IF(BV1522&gt;0,BV1522,MAX(0.1,N(Cockpit!$I$6))),BY1522)/BQ1522,0)*BQ1522</f>
        <v>0</v>
      </c>
      <c r="AQ1522" s="58" t="n">
        <f aca="false">IF(AN1522&gt;0,I1522/AN1522,-1)</f>
        <v>-1</v>
      </c>
      <c r="AR1522" s="58" t="str">
        <f aca="false">IF(AND(OR(BU1522="L1",BU1522="L23"),AN1522&gt;0),SUMIFS($AN$7:$AN$1576,$BU$7:$BU$1576,BU1522,$AQ$7:$AQ$1576,"&gt;"&amp;AQ1522)+SUMIFS($AN$7:$AN$1576,$BU$7:$BU$1576,BU1522,$AQ$7:$AQ$1576,AQ1522,$BO$7:$BO$1576,"&lt;="&amp;BO1522),"")</f>
        <v/>
      </c>
      <c r="AS1522" s="65" t="n">
        <f aca="false">IF(AR1522="",0,MAX(0,MIN(1,(IF(BU1522="L1",Parameter!$E$5,Parameter!$E$6+Parameter!$E$7)-(AR1522-AN1522))/AN1522)))</f>
        <v>0</v>
      </c>
      <c r="AT1522" s="57" t="n">
        <f aca="false">IF(LEFT(Cockpit!$O$5,1)="A",G1522,IF(BW1522=1,BX1522,IF(LEFT(Cockpit!$O$5,1)="B",AX1522,MAX(AX1522,G1522))))</f>
        <v>0</v>
      </c>
      <c r="AU1522" s="57" t="n">
        <f aca="false">IF(BR1522=1,0,ROUNDUP(AT1522/BQ1522,0))</f>
        <v>0</v>
      </c>
      <c r="AV1522" s="59" t="n">
        <f aca="false">IF(CD1522&gt;0,CD1522*MAX(1,AT1522/V1522),IF(BR1522=1,IF(AT1522&lt;=0,0,BS1522*MAX(1,IF(G1522&gt;0,AT1522/G1522,1))),IF(Q1522&gt;0,AU1522/Q1522,0))/MAX(0.1,N(Parameter!$M$21)))</f>
        <v>0</v>
      </c>
      <c r="AW1522" s="57" t="n">
        <f aca="false">AT1522*F1522</f>
        <v>0</v>
      </c>
      <c r="AX1522" s="57" t="n">
        <f aca="false">ROUNDUP(MAX(I1522/IF(BV1522&gt;0,BV1522,MAX(0.1,N(Cockpit!$O$6))),BY1522)/BQ1522,0)*BQ1522</f>
        <v>0</v>
      </c>
      <c r="AY1522" s="58" t="n">
        <f aca="false">IF(AV1522&gt;0,I1522/AV1522,-1)</f>
        <v>-1</v>
      </c>
      <c r="AZ1522" s="58" t="str">
        <f aca="false">IF(AND(OR(BU1522="L1",BU1522="L23"),AV1522&gt;0),SUMIFS($AV$7:$AV$1576,$BU$7:$BU$1576,BU1522,$AY$7:$AY$1576,"&gt;"&amp;AY1522)+SUMIFS($AV$7:$AV$1576,$BU$7:$BU$1576,BU1522,$AY$7:$AY$1576,AY1522,$BO$7:$BO$1576,"&lt;="&amp;BO1522),"")</f>
        <v/>
      </c>
      <c r="BA1522" s="65" t="n">
        <f aca="false">IF(AZ1522="",0,MAX(0,MIN(1,(IF(BU1522="L1",Parameter!$E$5,Parameter!$E$6+Parameter!$E$7)-(AZ1522-AV1522))/AV1522)))</f>
        <v>0</v>
      </c>
      <c r="BB1522" s="55" t="str">
        <f aca="false">IF(AF1522&lt;=0,"",IF(BU1522="Aussen","Aussenlager",IF(BU1522="-","Nicht im Lift",IF(AK1522&gt;=1,"Lift",IF(AK1522&lt;=0,"Aussenlager","teilweise")))))</f>
        <v/>
      </c>
      <c r="BC1522" s="55" t="str">
        <f aca="false">IF(AN1522&lt;=0,"",IF(BU1522="Aussen","Aussenlager",IF(BU1522="-","Nicht im Lift",IF(AS1522&gt;=1,"Lift",IF(AS1522&lt;=0,"Aussenlager","teilweise")))))</f>
        <v/>
      </c>
      <c r="BD1522" s="55" t="str">
        <f aca="false">IF(AV1522&lt;=0,"",IF(BU1522="Aussen","Aussenlager",IF(BU1522="-","Nicht im Lift",IF(BA1522&gt;=1,"Lift",IF(BA1522&lt;=0,"Aussenlager","teilweise")))))</f>
        <v/>
      </c>
      <c r="BE1522" s="55" t="str">
        <f aca="false">IF(A1522="","",IF(BN1522=1,"Neu; ","")&amp;IF(AND(BN1522=0,BI1522&lt;0),"negativer Bestand (Export "&amp;BI1522&amp;"); ","")&amp;IF(I1522&lt;=0,"Kein Verbrauch; ","")&amp;IF(CD1522&gt;0,"Lift "&amp;U1522&amp;" lt. Liftbericht (Fach "&amp;V1522&amp;" Stk); ",IF(BR1522=1,"Lose – Fläche geschätzt; ",""))&amp;IF(G1522&gt;AP1522,"Überbestand "&amp;ROUND(G1522-AP1522,0)&amp;" Stk / CHF "&amp;ROUND((G1522-AP1522)*F1522,0)&amp;"; ","")&amp;IF(AND(BW1522=1,BX1522&lt;BY1522),"MAX &lt; MB+LG; ","")&amp;IF(AND(CC1522&gt;0,CB1522*10&gt;CC1522),"zu hoch für Tablar; ","")&amp;IF(AND(BN1522=0,OR(BW1522=1,Y1522&lt;&gt;"",S1522&lt;&gt;"",T1522&lt;&gt;"",Z1522&lt;&gt;"")),"manuell übersteuert; ","")&amp;IF(AND(BR1522=0,Q1522=0),"Gebinde unbekannt / Stellmass fehlt; ","")&amp;IF(AND(BR1522=0,N(T1522)&lt;=0,N(P1522)&lt;=0),"Menge pro Gebinde fehlt (Ist = 1 Gebinde); ","")&amp;BM1522)</f>
        <v/>
      </c>
      <c r="BF1522" s="55"/>
      <c r="BG1522" s="55"/>
      <c r="BH1522" s="62"/>
      <c r="BI1522" s="57" t="n">
        <f aca="false">N('Neue Artikel'!$D$50)</f>
        <v>0</v>
      </c>
      <c r="BJ1522" s="57" t="n">
        <v>0</v>
      </c>
      <c r="BK1522" s="56" t="n">
        <v>0</v>
      </c>
      <c r="BL1522" s="57" t="n">
        <f aca="false">N('Neue Artikel'!$C$50)/Parameter!$B$18</f>
        <v>0</v>
      </c>
      <c r="BM1522" s="55"/>
      <c r="BN1522" s="60" t="n">
        <v>1</v>
      </c>
      <c r="BO1522" s="60" t="n">
        <v>1522</v>
      </c>
      <c r="BP1522" s="55" t="str">
        <f aca="false">IF(S1522&lt;&gt;"",UPPER(TRIM(S1522)),IF(O1522="","LOSE",O1522))</f>
        <v>LOSE</v>
      </c>
      <c r="BQ1522" s="57" t="n">
        <f aca="false">IF(BP1522="LOSE",1,IF(N(T1522)&gt;0,T1522,IF(N(P1522)&gt;0,P1522,MAX(1,G1522))))</f>
        <v>1</v>
      </c>
      <c r="BR1522" s="60" t="n">
        <f aca="false">IF(BP1522="LOSE",1,0)</f>
        <v>1</v>
      </c>
      <c r="BS1522" s="59" t="n">
        <f aca="false">IF(BR1522=0,0,IF(N(R1522)&gt;0,R1522,IFERROR(VLOOKUP(D1522,Parameter!$A$35:$C$64,3,0)+0,0)))</f>
        <v>0.15</v>
      </c>
      <c r="BT1522" s="55" t="str">
        <f aca="false">IF(Y1522&lt;&gt;"",Y1522,X1522)</f>
        <v/>
      </c>
      <c r="BU1522" s="55" t="str">
        <f aca="false">IF(BT1522=1,"L1",IF(OR(BT1522=2,BT1522=3),"L23",IF(BT1522="Aussen","Aussen","-")))</f>
        <v>-</v>
      </c>
      <c r="BV1522" s="66" t="n">
        <f aca="false">IF(N(Z1522)&gt;0,Z1522,0)</f>
        <v>0</v>
      </c>
      <c r="BW1522" s="60" t="n">
        <f aca="false">IF(ISNUMBER(AC1522),1,0)</f>
        <v>0</v>
      </c>
      <c r="BX1522" s="57" t="n">
        <f aca="false">N(AC1522)</f>
        <v>0</v>
      </c>
      <c r="BY1522" s="57" t="n">
        <f aca="false">N(L1522)+N(M1522)</f>
        <v>0</v>
      </c>
      <c r="BZ1522" s="57" t="n">
        <f aca="false">ROUNDUP(G1522/BQ1522,0)</f>
        <v>0</v>
      </c>
      <c r="CA1522" s="57" t="n">
        <f aca="false">ROUNDUP(BX1522/BQ1522,0)</f>
        <v>0</v>
      </c>
      <c r="CB1522" s="60" t="n">
        <f aca="false">IF(BR1522=1,0,IFERROR(VLOOKUP(BP1522,'Gebinde-Kategorie'!$A$5:$M$45,5,0)+0,0))</f>
        <v>0</v>
      </c>
      <c r="CC1522" s="60" t="n">
        <f aca="false">IFERROR(IF(OR(BT1522=1,BT1522=2,BT1522=3),N(INDEX(Parameter!$I$5:$I$7,BT1522)),0),0)</f>
        <v>0</v>
      </c>
      <c r="CD1522" s="59" t="n">
        <f aca="false">IF(AND(Parameter!$B$21="Ja",ISNUMBER(U1522),N(V1522)&gt;0),IFERROR(N(INDEX(Parameter!$L$5:$L$7,U1522))*INDEX(Parameter!$E$5:$E$7,U1522)*V1522/SUMIFS($V$7:$V$1576,$U$7:$U$1576,U1522),0),0)</f>
        <v>0</v>
      </c>
    </row>
    <row r="1523" customFormat="false" ht="15" hidden="false" customHeight="false" outlineLevel="0" collapsed="false">
      <c r="A1523" s="55" t="str">
        <f aca="false">IF('Neue Artikel'!$A$51="","",'Neue Artikel'!$A$51&amp;"")</f>
        <v/>
      </c>
      <c r="B1523" s="55" t="str">
        <f aca="false">'Neue Artikel'!$B$51&amp;""</f>
        <v/>
      </c>
      <c r="C1523" s="55"/>
      <c r="D1523" s="55" t="s">
        <v>2561</v>
      </c>
      <c r="E1523" s="55"/>
      <c r="F1523" s="56" t="n">
        <f aca="false">N('Neue Artikel'!$G$51)</f>
        <v>0</v>
      </c>
      <c r="G1523" s="57" t="n">
        <f aca="false">MAX(0,IF(AND(Parameter!$B$21="Ja",ISNUMBER(W1523)),W1523,IF(Parameter!$B$20="Jahresanfang 2025 + Export",BJ1523+BI1523,BI1523)))</f>
        <v>0</v>
      </c>
      <c r="H1523" s="57" t="n">
        <f aca="false">G1523*F1523</f>
        <v>0</v>
      </c>
      <c r="I1523" s="57" t="n">
        <f aca="false">BL1523*Parameter!$B$18</f>
        <v>0</v>
      </c>
      <c r="J1523" s="58"/>
      <c r="K1523" s="59"/>
      <c r="L1523" s="57" t="n">
        <f aca="false">N('Neue Artikel'!$E$51)</f>
        <v>0</v>
      </c>
      <c r="M1523" s="57" t="n">
        <f aca="false">N('Neue Artikel'!$F$51)</f>
        <v>0</v>
      </c>
      <c r="N1523" s="60"/>
      <c r="O1523" s="55" t="str">
        <f aca="false">IF('Neue Artikel'!$H$51="","LOSE",UPPER(TRIM('Neue Artikel'!$H$51)))</f>
        <v>LOSE</v>
      </c>
      <c r="P1523" s="57" t="n">
        <f aca="false">N('Neue Artikel'!$I$51)</f>
        <v>0</v>
      </c>
      <c r="Q1523" s="60" t="n">
        <f aca="false">IF(BR1523=1,0,IFERROR(VLOOKUP(BP1523,'Gebinde-Kategorie'!$A$5:$M$45,13,0)+0,0))</f>
        <v>0</v>
      </c>
      <c r="R1523" s="61"/>
      <c r="S1523" s="62"/>
      <c r="T1523" s="62"/>
      <c r="U1523" s="55"/>
      <c r="V1523" s="57"/>
      <c r="W1523" s="57"/>
      <c r="X1523" s="55" t="str">
        <f aca="false">IF(A1523="","",IF(AND(Parameter!$B$21="Ja",ISNUMBER(U1523)),U1523,IF(IFERROR(VLOOKUP(D1523,Parameter!$A$35:$C$64,2,0),"Nein")="2+3",IF(ISNUMBER(SEARCH("grosser Artikel",BM1523)),2,IFERROR(VLOOKUP(BP1523,Parameter!$F$35:$G$64,2,0),2)),IF(OR(IFERROR(VLOOKUP(D1523,Parameter!$A$35:$C$64,2,0),"Nein")="Nein",IFERROR(VLOOKUP(D1523,Parameter!$A$35:$C$64,2,0),"Nein")=""),"-",VLOOKUP(D1523,Parameter!$A$35:$C$64,2,0)))))</f>
        <v/>
      </c>
      <c r="Y1523" s="55" t="str">
        <f aca="false">IF('Neue Artikel'!$J$51="","",'Neue Artikel'!$J$51)</f>
        <v/>
      </c>
      <c r="Z1523" s="63"/>
      <c r="AA1523" s="57" t="n">
        <f aca="false">AP1523</f>
        <v>0</v>
      </c>
      <c r="AB1523" s="57" t="n">
        <f aca="false">MAX(AP1523,G1523)</f>
        <v>0</v>
      </c>
      <c r="AC1523" s="64"/>
      <c r="AD1523" s="57" t="n">
        <f aca="false">IF(LEFT(Cockpit!$C$5,1)="A",G1523,IF(BW1523=1,BX1523,IF(LEFT(Cockpit!$C$5,1)="B",AH1523,MAX(AH1523,G1523))))</f>
        <v>0</v>
      </c>
      <c r="AE1523" s="57" t="n">
        <f aca="false">IF(BR1523=1,0,ROUNDUP(AD1523/BQ1523,0))</f>
        <v>0</v>
      </c>
      <c r="AF1523" s="59" t="n">
        <f aca="false">IF(CD1523&gt;0,CD1523*MAX(1,AD1523/V1523),IF(BR1523=1,IF(AD1523&lt;=0,0,BS1523*MAX(1,IF(G1523&gt;0,AD1523/G1523,1))),IF(Q1523&gt;0,AE1523/Q1523,0))/MAX(0.1,N(Parameter!$M$21)))</f>
        <v>0</v>
      </c>
      <c r="AG1523" s="57" t="n">
        <f aca="false">AD1523*F1523</f>
        <v>0</v>
      </c>
      <c r="AH1523" s="57" t="n">
        <f aca="false">ROUNDUP(MAX(I1523/IF(BV1523&gt;0,BV1523,MAX(0.1,N(Cockpit!$C$6))),BY1523)/BQ1523,0)*BQ1523</f>
        <v>0</v>
      </c>
      <c r="AI1523" s="58" t="n">
        <f aca="false">IF(AF1523&gt;0,I1523/AF1523,-1)</f>
        <v>-1</v>
      </c>
      <c r="AJ1523" s="58" t="str">
        <f aca="false">IF(AND(OR(BU1523="L1",BU1523="L23"),AF1523&gt;0),SUMIFS($AF$7:$AF$1576,$BU$7:$BU$1576,BU1523,$AI$7:$AI$1576,"&gt;"&amp;AI1523)+SUMIFS($AF$7:$AF$1576,$BU$7:$BU$1576,BU1523,$AI$7:$AI$1576,AI1523,$BO$7:$BO$1576,"&lt;="&amp;BO1523),"")</f>
        <v/>
      </c>
      <c r="AK1523" s="65" t="n">
        <f aca="false">IF(AJ1523="",0,MAX(0,MIN(1,(IF(BU1523="L1",Parameter!$E$5,Parameter!$E$6+Parameter!$E$7)-(AJ1523-AF1523))/AF1523)))</f>
        <v>0</v>
      </c>
      <c r="AL1523" s="57" t="n">
        <f aca="false">IF(LEFT(Cockpit!$I$5,1)="A",G1523,IF(BW1523=1,BX1523,IF(LEFT(Cockpit!$I$5,1)="B",AP1523,MAX(AP1523,G1523))))</f>
        <v>0</v>
      </c>
      <c r="AM1523" s="57" t="n">
        <f aca="false">IF(BR1523=1,0,ROUNDUP(AL1523/BQ1523,0))</f>
        <v>0</v>
      </c>
      <c r="AN1523" s="59" t="n">
        <f aca="false">IF(CD1523&gt;0,CD1523*MAX(1,AL1523/V1523),IF(BR1523=1,IF(AL1523&lt;=0,0,BS1523*MAX(1,IF(G1523&gt;0,AL1523/G1523,1))),IF(Q1523&gt;0,AM1523/Q1523,0))/MAX(0.1,N(Parameter!$M$21)))</f>
        <v>0</v>
      </c>
      <c r="AO1523" s="57" t="n">
        <f aca="false">AL1523*F1523</f>
        <v>0</v>
      </c>
      <c r="AP1523" s="57" t="n">
        <f aca="false">ROUNDUP(MAX(I1523/IF(BV1523&gt;0,BV1523,MAX(0.1,N(Cockpit!$I$6))),BY1523)/BQ1523,0)*BQ1523</f>
        <v>0</v>
      </c>
      <c r="AQ1523" s="58" t="n">
        <f aca="false">IF(AN1523&gt;0,I1523/AN1523,-1)</f>
        <v>-1</v>
      </c>
      <c r="AR1523" s="58" t="str">
        <f aca="false">IF(AND(OR(BU1523="L1",BU1523="L23"),AN1523&gt;0),SUMIFS($AN$7:$AN$1576,$BU$7:$BU$1576,BU1523,$AQ$7:$AQ$1576,"&gt;"&amp;AQ1523)+SUMIFS($AN$7:$AN$1576,$BU$7:$BU$1576,BU1523,$AQ$7:$AQ$1576,AQ1523,$BO$7:$BO$1576,"&lt;="&amp;BO1523),"")</f>
        <v/>
      </c>
      <c r="AS1523" s="65" t="n">
        <f aca="false">IF(AR1523="",0,MAX(0,MIN(1,(IF(BU1523="L1",Parameter!$E$5,Parameter!$E$6+Parameter!$E$7)-(AR1523-AN1523))/AN1523)))</f>
        <v>0</v>
      </c>
      <c r="AT1523" s="57" t="n">
        <f aca="false">IF(LEFT(Cockpit!$O$5,1)="A",G1523,IF(BW1523=1,BX1523,IF(LEFT(Cockpit!$O$5,1)="B",AX1523,MAX(AX1523,G1523))))</f>
        <v>0</v>
      </c>
      <c r="AU1523" s="57" t="n">
        <f aca="false">IF(BR1523=1,0,ROUNDUP(AT1523/BQ1523,0))</f>
        <v>0</v>
      </c>
      <c r="AV1523" s="59" t="n">
        <f aca="false">IF(CD1523&gt;0,CD1523*MAX(1,AT1523/V1523),IF(BR1523=1,IF(AT1523&lt;=0,0,BS1523*MAX(1,IF(G1523&gt;0,AT1523/G1523,1))),IF(Q1523&gt;0,AU1523/Q1523,0))/MAX(0.1,N(Parameter!$M$21)))</f>
        <v>0</v>
      </c>
      <c r="AW1523" s="57" t="n">
        <f aca="false">AT1523*F1523</f>
        <v>0</v>
      </c>
      <c r="AX1523" s="57" t="n">
        <f aca="false">ROUNDUP(MAX(I1523/IF(BV1523&gt;0,BV1523,MAX(0.1,N(Cockpit!$O$6))),BY1523)/BQ1523,0)*BQ1523</f>
        <v>0</v>
      </c>
      <c r="AY1523" s="58" t="n">
        <f aca="false">IF(AV1523&gt;0,I1523/AV1523,-1)</f>
        <v>-1</v>
      </c>
      <c r="AZ1523" s="58" t="str">
        <f aca="false">IF(AND(OR(BU1523="L1",BU1523="L23"),AV1523&gt;0),SUMIFS($AV$7:$AV$1576,$BU$7:$BU$1576,BU1523,$AY$7:$AY$1576,"&gt;"&amp;AY1523)+SUMIFS($AV$7:$AV$1576,$BU$7:$BU$1576,BU1523,$AY$7:$AY$1576,AY1523,$BO$7:$BO$1576,"&lt;="&amp;BO1523),"")</f>
        <v/>
      </c>
      <c r="BA1523" s="65" t="n">
        <f aca="false">IF(AZ1523="",0,MAX(0,MIN(1,(IF(BU1523="L1",Parameter!$E$5,Parameter!$E$6+Parameter!$E$7)-(AZ1523-AV1523))/AV1523)))</f>
        <v>0</v>
      </c>
      <c r="BB1523" s="55" t="str">
        <f aca="false">IF(AF1523&lt;=0,"",IF(BU1523="Aussen","Aussenlager",IF(BU1523="-","Nicht im Lift",IF(AK1523&gt;=1,"Lift",IF(AK1523&lt;=0,"Aussenlager","teilweise")))))</f>
        <v/>
      </c>
      <c r="BC1523" s="55" t="str">
        <f aca="false">IF(AN1523&lt;=0,"",IF(BU1523="Aussen","Aussenlager",IF(BU1523="-","Nicht im Lift",IF(AS1523&gt;=1,"Lift",IF(AS1523&lt;=0,"Aussenlager","teilweise")))))</f>
        <v/>
      </c>
      <c r="BD1523" s="55" t="str">
        <f aca="false">IF(AV1523&lt;=0,"",IF(BU1523="Aussen","Aussenlager",IF(BU1523="-","Nicht im Lift",IF(BA1523&gt;=1,"Lift",IF(BA1523&lt;=0,"Aussenlager","teilweise")))))</f>
        <v/>
      </c>
      <c r="BE1523" s="55" t="str">
        <f aca="false">IF(A1523="","",IF(BN1523=1,"Neu; ","")&amp;IF(AND(BN1523=0,BI1523&lt;0),"negativer Bestand (Export "&amp;BI1523&amp;"); ","")&amp;IF(I1523&lt;=0,"Kein Verbrauch; ","")&amp;IF(CD1523&gt;0,"Lift "&amp;U1523&amp;" lt. Liftbericht (Fach "&amp;V1523&amp;" Stk); ",IF(BR1523=1,"Lose – Fläche geschätzt; ",""))&amp;IF(G1523&gt;AP1523,"Überbestand "&amp;ROUND(G1523-AP1523,0)&amp;" Stk / CHF "&amp;ROUND((G1523-AP1523)*F1523,0)&amp;"; ","")&amp;IF(AND(BW1523=1,BX1523&lt;BY1523),"MAX &lt; MB+LG; ","")&amp;IF(AND(CC1523&gt;0,CB1523*10&gt;CC1523),"zu hoch für Tablar; ","")&amp;IF(AND(BN1523=0,OR(BW1523=1,Y1523&lt;&gt;"",S1523&lt;&gt;"",T1523&lt;&gt;"",Z1523&lt;&gt;"")),"manuell übersteuert; ","")&amp;IF(AND(BR1523=0,Q1523=0),"Gebinde unbekannt / Stellmass fehlt; ","")&amp;IF(AND(BR1523=0,N(T1523)&lt;=0,N(P1523)&lt;=0),"Menge pro Gebinde fehlt (Ist = 1 Gebinde); ","")&amp;BM1523)</f>
        <v/>
      </c>
      <c r="BF1523" s="55"/>
      <c r="BG1523" s="55"/>
      <c r="BH1523" s="62"/>
      <c r="BI1523" s="57" t="n">
        <f aca="false">N('Neue Artikel'!$D$51)</f>
        <v>0</v>
      </c>
      <c r="BJ1523" s="57" t="n">
        <v>0</v>
      </c>
      <c r="BK1523" s="56" t="n">
        <v>0</v>
      </c>
      <c r="BL1523" s="57" t="n">
        <f aca="false">N('Neue Artikel'!$C$51)/Parameter!$B$18</f>
        <v>0</v>
      </c>
      <c r="BM1523" s="55"/>
      <c r="BN1523" s="60" t="n">
        <v>1</v>
      </c>
      <c r="BO1523" s="60" t="n">
        <v>1523</v>
      </c>
      <c r="BP1523" s="55" t="str">
        <f aca="false">IF(S1523&lt;&gt;"",UPPER(TRIM(S1523)),IF(O1523="","LOSE",O1523))</f>
        <v>LOSE</v>
      </c>
      <c r="BQ1523" s="57" t="n">
        <f aca="false">IF(BP1523="LOSE",1,IF(N(T1523)&gt;0,T1523,IF(N(P1523)&gt;0,P1523,MAX(1,G1523))))</f>
        <v>1</v>
      </c>
      <c r="BR1523" s="60" t="n">
        <f aca="false">IF(BP1523="LOSE",1,0)</f>
        <v>1</v>
      </c>
      <c r="BS1523" s="59" t="n">
        <f aca="false">IF(BR1523=0,0,IF(N(R1523)&gt;0,R1523,IFERROR(VLOOKUP(D1523,Parameter!$A$35:$C$64,3,0)+0,0)))</f>
        <v>0.15</v>
      </c>
      <c r="BT1523" s="55" t="str">
        <f aca="false">IF(Y1523&lt;&gt;"",Y1523,X1523)</f>
        <v/>
      </c>
      <c r="BU1523" s="55" t="str">
        <f aca="false">IF(BT1523=1,"L1",IF(OR(BT1523=2,BT1523=3),"L23",IF(BT1523="Aussen","Aussen","-")))</f>
        <v>-</v>
      </c>
      <c r="BV1523" s="66" t="n">
        <f aca="false">IF(N(Z1523)&gt;0,Z1523,0)</f>
        <v>0</v>
      </c>
      <c r="BW1523" s="60" t="n">
        <f aca="false">IF(ISNUMBER(AC1523),1,0)</f>
        <v>0</v>
      </c>
      <c r="BX1523" s="57" t="n">
        <f aca="false">N(AC1523)</f>
        <v>0</v>
      </c>
      <c r="BY1523" s="57" t="n">
        <f aca="false">N(L1523)+N(M1523)</f>
        <v>0</v>
      </c>
      <c r="BZ1523" s="57" t="n">
        <f aca="false">ROUNDUP(G1523/BQ1523,0)</f>
        <v>0</v>
      </c>
      <c r="CA1523" s="57" t="n">
        <f aca="false">ROUNDUP(BX1523/BQ1523,0)</f>
        <v>0</v>
      </c>
      <c r="CB1523" s="60" t="n">
        <f aca="false">IF(BR1523=1,0,IFERROR(VLOOKUP(BP1523,'Gebinde-Kategorie'!$A$5:$M$45,5,0)+0,0))</f>
        <v>0</v>
      </c>
      <c r="CC1523" s="60" t="n">
        <f aca="false">IFERROR(IF(OR(BT1523=1,BT1523=2,BT1523=3),N(INDEX(Parameter!$I$5:$I$7,BT1523)),0),0)</f>
        <v>0</v>
      </c>
      <c r="CD1523" s="59" t="n">
        <f aca="false">IF(AND(Parameter!$B$21="Ja",ISNUMBER(U1523),N(V1523)&gt;0),IFERROR(N(INDEX(Parameter!$L$5:$L$7,U1523))*INDEX(Parameter!$E$5:$E$7,U1523)*V1523/SUMIFS($V$7:$V$1576,$U$7:$U$1576,U1523),0),0)</f>
        <v>0</v>
      </c>
    </row>
    <row r="1524" customFormat="false" ht="15" hidden="false" customHeight="false" outlineLevel="0" collapsed="false">
      <c r="A1524" s="55" t="str">
        <f aca="false">IF('Neue Artikel'!$A$52="","",'Neue Artikel'!$A$52&amp;"")</f>
        <v/>
      </c>
      <c r="B1524" s="55" t="str">
        <f aca="false">'Neue Artikel'!$B$52&amp;""</f>
        <v/>
      </c>
      <c r="C1524" s="55"/>
      <c r="D1524" s="55" t="s">
        <v>2561</v>
      </c>
      <c r="E1524" s="55"/>
      <c r="F1524" s="56" t="n">
        <f aca="false">N('Neue Artikel'!$G$52)</f>
        <v>0</v>
      </c>
      <c r="G1524" s="57" t="n">
        <f aca="false">MAX(0,IF(AND(Parameter!$B$21="Ja",ISNUMBER(W1524)),W1524,IF(Parameter!$B$20="Jahresanfang 2025 + Export",BJ1524+BI1524,BI1524)))</f>
        <v>0</v>
      </c>
      <c r="H1524" s="57" t="n">
        <f aca="false">G1524*F1524</f>
        <v>0</v>
      </c>
      <c r="I1524" s="57" t="n">
        <f aca="false">BL1524*Parameter!$B$18</f>
        <v>0</v>
      </c>
      <c r="J1524" s="58"/>
      <c r="K1524" s="59"/>
      <c r="L1524" s="57" t="n">
        <f aca="false">N('Neue Artikel'!$E$52)</f>
        <v>0</v>
      </c>
      <c r="M1524" s="57" t="n">
        <f aca="false">N('Neue Artikel'!$F$52)</f>
        <v>0</v>
      </c>
      <c r="N1524" s="60"/>
      <c r="O1524" s="55" t="str">
        <f aca="false">IF('Neue Artikel'!$H$52="","LOSE",UPPER(TRIM('Neue Artikel'!$H$52)))</f>
        <v>LOSE</v>
      </c>
      <c r="P1524" s="57" t="n">
        <f aca="false">N('Neue Artikel'!$I$52)</f>
        <v>0</v>
      </c>
      <c r="Q1524" s="60" t="n">
        <f aca="false">IF(BR1524=1,0,IFERROR(VLOOKUP(BP1524,'Gebinde-Kategorie'!$A$5:$M$45,13,0)+0,0))</f>
        <v>0</v>
      </c>
      <c r="R1524" s="61"/>
      <c r="S1524" s="62"/>
      <c r="T1524" s="62"/>
      <c r="U1524" s="55"/>
      <c r="V1524" s="57"/>
      <c r="W1524" s="57"/>
      <c r="X1524" s="55" t="str">
        <f aca="false">IF(A1524="","",IF(AND(Parameter!$B$21="Ja",ISNUMBER(U1524)),U1524,IF(IFERROR(VLOOKUP(D1524,Parameter!$A$35:$C$64,2,0),"Nein")="2+3",IF(ISNUMBER(SEARCH("grosser Artikel",BM1524)),2,IFERROR(VLOOKUP(BP1524,Parameter!$F$35:$G$64,2,0),2)),IF(OR(IFERROR(VLOOKUP(D1524,Parameter!$A$35:$C$64,2,0),"Nein")="Nein",IFERROR(VLOOKUP(D1524,Parameter!$A$35:$C$64,2,0),"Nein")=""),"-",VLOOKUP(D1524,Parameter!$A$35:$C$64,2,0)))))</f>
        <v/>
      </c>
      <c r="Y1524" s="55" t="str">
        <f aca="false">IF('Neue Artikel'!$J$52="","",'Neue Artikel'!$J$52)</f>
        <v/>
      </c>
      <c r="Z1524" s="63"/>
      <c r="AA1524" s="57" t="n">
        <f aca="false">AP1524</f>
        <v>0</v>
      </c>
      <c r="AB1524" s="57" t="n">
        <f aca="false">MAX(AP1524,G1524)</f>
        <v>0</v>
      </c>
      <c r="AC1524" s="64"/>
      <c r="AD1524" s="57" t="n">
        <f aca="false">IF(LEFT(Cockpit!$C$5,1)="A",G1524,IF(BW1524=1,BX1524,IF(LEFT(Cockpit!$C$5,1)="B",AH1524,MAX(AH1524,G1524))))</f>
        <v>0</v>
      </c>
      <c r="AE1524" s="57" t="n">
        <f aca="false">IF(BR1524=1,0,ROUNDUP(AD1524/BQ1524,0))</f>
        <v>0</v>
      </c>
      <c r="AF1524" s="59" t="n">
        <f aca="false">IF(CD1524&gt;0,CD1524*MAX(1,AD1524/V1524),IF(BR1524=1,IF(AD1524&lt;=0,0,BS1524*MAX(1,IF(G1524&gt;0,AD1524/G1524,1))),IF(Q1524&gt;0,AE1524/Q1524,0))/MAX(0.1,N(Parameter!$M$21)))</f>
        <v>0</v>
      </c>
      <c r="AG1524" s="57" t="n">
        <f aca="false">AD1524*F1524</f>
        <v>0</v>
      </c>
      <c r="AH1524" s="57" t="n">
        <f aca="false">ROUNDUP(MAX(I1524/IF(BV1524&gt;0,BV1524,MAX(0.1,N(Cockpit!$C$6))),BY1524)/BQ1524,0)*BQ1524</f>
        <v>0</v>
      </c>
      <c r="AI1524" s="58" t="n">
        <f aca="false">IF(AF1524&gt;0,I1524/AF1524,-1)</f>
        <v>-1</v>
      </c>
      <c r="AJ1524" s="58" t="str">
        <f aca="false">IF(AND(OR(BU1524="L1",BU1524="L23"),AF1524&gt;0),SUMIFS($AF$7:$AF$1576,$BU$7:$BU$1576,BU1524,$AI$7:$AI$1576,"&gt;"&amp;AI1524)+SUMIFS($AF$7:$AF$1576,$BU$7:$BU$1576,BU1524,$AI$7:$AI$1576,AI1524,$BO$7:$BO$1576,"&lt;="&amp;BO1524),"")</f>
        <v/>
      </c>
      <c r="AK1524" s="65" t="n">
        <f aca="false">IF(AJ1524="",0,MAX(0,MIN(1,(IF(BU1524="L1",Parameter!$E$5,Parameter!$E$6+Parameter!$E$7)-(AJ1524-AF1524))/AF1524)))</f>
        <v>0</v>
      </c>
      <c r="AL1524" s="57" t="n">
        <f aca="false">IF(LEFT(Cockpit!$I$5,1)="A",G1524,IF(BW1524=1,BX1524,IF(LEFT(Cockpit!$I$5,1)="B",AP1524,MAX(AP1524,G1524))))</f>
        <v>0</v>
      </c>
      <c r="AM1524" s="57" t="n">
        <f aca="false">IF(BR1524=1,0,ROUNDUP(AL1524/BQ1524,0))</f>
        <v>0</v>
      </c>
      <c r="AN1524" s="59" t="n">
        <f aca="false">IF(CD1524&gt;0,CD1524*MAX(1,AL1524/V1524),IF(BR1524=1,IF(AL1524&lt;=0,0,BS1524*MAX(1,IF(G1524&gt;0,AL1524/G1524,1))),IF(Q1524&gt;0,AM1524/Q1524,0))/MAX(0.1,N(Parameter!$M$21)))</f>
        <v>0</v>
      </c>
      <c r="AO1524" s="57" t="n">
        <f aca="false">AL1524*F1524</f>
        <v>0</v>
      </c>
      <c r="AP1524" s="57" t="n">
        <f aca="false">ROUNDUP(MAX(I1524/IF(BV1524&gt;0,BV1524,MAX(0.1,N(Cockpit!$I$6))),BY1524)/BQ1524,0)*BQ1524</f>
        <v>0</v>
      </c>
      <c r="AQ1524" s="58" t="n">
        <f aca="false">IF(AN1524&gt;0,I1524/AN1524,-1)</f>
        <v>-1</v>
      </c>
      <c r="AR1524" s="58" t="str">
        <f aca="false">IF(AND(OR(BU1524="L1",BU1524="L23"),AN1524&gt;0),SUMIFS($AN$7:$AN$1576,$BU$7:$BU$1576,BU1524,$AQ$7:$AQ$1576,"&gt;"&amp;AQ1524)+SUMIFS($AN$7:$AN$1576,$BU$7:$BU$1576,BU1524,$AQ$7:$AQ$1576,AQ1524,$BO$7:$BO$1576,"&lt;="&amp;BO1524),"")</f>
        <v/>
      </c>
      <c r="AS1524" s="65" t="n">
        <f aca="false">IF(AR1524="",0,MAX(0,MIN(1,(IF(BU1524="L1",Parameter!$E$5,Parameter!$E$6+Parameter!$E$7)-(AR1524-AN1524))/AN1524)))</f>
        <v>0</v>
      </c>
      <c r="AT1524" s="57" t="n">
        <f aca="false">IF(LEFT(Cockpit!$O$5,1)="A",G1524,IF(BW1524=1,BX1524,IF(LEFT(Cockpit!$O$5,1)="B",AX1524,MAX(AX1524,G1524))))</f>
        <v>0</v>
      </c>
      <c r="AU1524" s="57" t="n">
        <f aca="false">IF(BR1524=1,0,ROUNDUP(AT1524/BQ1524,0))</f>
        <v>0</v>
      </c>
      <c r="AV1524" s="59" t="n">
        <f aca="false">IF(CD1524&gt;0,CD1524*MAX(1,AT1524/V1524),IF(BR1524=1,IF(AT1524&lt;=0,0,BS1524*MAX(1,IF(G1524&gt;0,AT1524/G1524,1))),IF(Q1524&gt;0,AU1524/Q1524,0))/MAX(0.1,N(Parameter!$M$21)))</f>
        <v>0</v>
      </c>
      <c r="AW1524" s="57" t="n">
        <f aca="false">AT1524*F1524</f>
        <v>0</v>
      </c>
      <c r="AX1524" s="57" t="n">
        <f aca="false">ROUNDUP(MAX(I1524/IF(BV1524&gt;0,BV1524,MAX(0.1,N(Cockpit!$O$6))),BY1524)/BQ1524,0)*BQ1524</f>
        <v>0</v>
      </c>
      <c r="AY1524" s="58" t="n">
        <f aca="false">IF(AV1524&gt;0,I1524/AV1524,-1)</f>
        <v>-1</v>
      </c>
      <c r="AZ1524" s="58" t="str">
        <f aca="false">IF(AND(OR(BU1524="L1",BU1524="L23"),AV1524&gt;0),SUMIFS($AV$7:$AV$1576,$BU$7:$BU$1576,BU1524,$AY$7:$AY$1576,"&gt;"&amp;AY1524)+SUMIFS($AV$7:$AV$1576,$BU$7:$BU$1576,BU1524,$AY$7:$AY$1576,AY1524,$BO$7:$BO$1576,"&lt;="&amp;BO1524),"")</f>
        <v/>
      </c>
      <c r="BA1524" s="65" t="n">
        <f aca="false">IF(AZ1524="",0,MAX(0,MIN(1,(IF(BU1524="L1",Parameter!$E$5,Parameter!$E$6+Parameter!$E$7)-(AZ1524-AV1524))/AV1524)))</f>
        <v>0</v>
      </c>
      <c r="BB1524" s="55" t="str">
        <f aca="false">IF(AF1524&lt;=0,"",IF(BU1524="Aussen","Aussenlager",IF(BU1524="-","Nicht im Lift",IF(AK1524&gt;=1,"Lift",IF(AK1524&lt;=0,"Aussenlager","teilweise")))))</f>
        <v/>
      </c>
      <c r="BC1524" s="55" t="str">
        <f aca="false">IF(AN1524&lt;=0,"",IF(BU1524="Aussen","Aussenlager",IF(BU1524="-","Nicht im Lift",IF(AS1524&gt;=1,"Lift",IF(AS1524&lt;=0,"Aussenlager","teilweise")))))</f>
        <v/>
      </c>
      <c r="BD1524" s="55" t="str">
        <f aca="false">IF(AV1524&lt;=0,"",IF(BU1524="Aussen","Aussenlager",IF(BU1524="-","Nicht im Lift",IF(BA1524&gt;=1,"Lift",IF(BA1524&lt;=0,"Aussenlager","teilweise")))))</f>
        <v/>
      </c>
      <c r="BE1524" s="55" t="str">
        <f aca="false">IF(A1524="","",IF(BN1524=1,"Neu; ","")&amp;IF(AND(BN1524=0,BI1524&lt;0),"negativer Bestand (Export "&amp;BI1524&amp;"); ","")&amp;IF(I1524&lt;=0,"Kein Verbrauch; ","")&amp;IF(CD1524&gt;0,"Lift "&amp;U1524&amp;" lt. Liftbericht (Fach "&amp;V1524&amp;" Stk); ",IF(BR1524=1,"Lose – Fläche geschätzt; ",""))&amp;IF(G1524&gt;AP1524,"Überbestand "&amp;ROUND(G1524-AP1524,0)&amp;" Stk / CHF "&amp;ROUND((G1524-AP1524)*F1524,0)&amp;"; ","")&amp;IF(AND(BW1524=1,BX1524&lt;BY1524),"MAX &lt; MB+LG; ","")&amp;IF(AND(CC1524&gt;0,CB1524*10&gt;CC1524),"zu hoch für Tablar; ","")&amp;IF(AND(BN1524=0,OR(BW1524=1,Y1524&lt;&gt;"",S1524&lt;&gt;"",T1524&lt;&gt;"",Z1524&lt;&gt;"")),"manuell übersteuert; ","")&amp;IF(AND(BR1524=0,Q1524=0),"Gebinde unbekannt / Stellmass fehlt; ","")&amp;IF(AND(BR1524=0,N(T1524)&lt;=0,N(P1524)&lt;=0),"Menge pro Gebinde fehlt (Ist = 1 Gebinde); ","")&amp;BM1524)</f>
        <v/>
      </c>
      <c r="BF1524" s="55"/>
      <c r="BG1524" s="55"/>
      <c r="BH1524" s="62"/>
      <c r="BI1524" s="57" t="n">
        <f aca="false">N('Neue Artikel'!$D$52)</f>
        <v>0</v>
      </c>
      <c r="BJ1524" s="57" t="n">
        <v>0</v>
      </c>
      <c r="BK1524" s="56" t="n">
        <v>0</v>
      </c>
      <c r="BL1524" s="57" t="n">
        <f aca="false">N('Neue Artikel'!$C$52)/Parameter!$B$18</f>
        <v>0</v>
      </c>
      <c r="BM1524" s="55"/>
      <c r="BN1524" s="60" t="n">
        <v>1</v>
      </c>
      <c r="BO1524" s="60" t="n">
        <v>1524</v>
      </c>
      <c r="BP1524" s="55" t="str">
        <f aca="false">IF(S1524&lt;&gt;"",UPPER(TRIM(S1524)),IF(O1524="","LOSE",O1524))</f>
        <v>LOSE</v>
      </c>
      <c r="BQ1524" s="57" t="n">
        <f aca="false">IF(BP1524="LOSE",1,IF(N(T1524)&gt;0,T1524,IF(N(P1524)&gt;0,P1524,MAX(1,G1524))))</f>
        <v>1</v>
      </c>
      <c r="BR1524" s="60" t="n">
        <f aca="false">IF(BP1524="LOSE",1,0)</f>
        <v>1</v>
      </c>
      <c r="BS1524" s="59" t="n">
        <f aca="false">IF(BR1524=0,0,IF(N(R1524)&gt;0,R1524,IFERROR(VLOOKUP(D1524,Parameter!$A$35:$C$64,3,0)+0,0)))</f>
        <v>0.15</v>
      </c>
      <c r="BT1524" s="55" t="str">
        <f aca="false">IF(Y1524&lt;&gt;"",Y1524,X1524)</f>
        <v/>
      </c>
      <c r="BU1524" s="55" t="str">
        <f aca="false">IF(BT1524=1,"L1",IF(OR(BT1524=2,BT1524=3),"L23",IF(BT1524="Aussen","Aussen","-")))</f>
        <v>-</v>
      </c>
      <c r="BV1524" s="66" t="n">
        <f aca="false">IF(N(Z1524)&gt;0,Z1524,0)</f>
        <v>0</v>
      </c>
      <c r="BW1524" s="60" t="n">
        <f aca="false">IF(ISNUMBER(AC1524),1,0)</f>
        <v>0</v>
      </c>
      <c r="BX1524" s="57" t="n">
        <f aca="false">N(AC1524)</f>
        <v>0</v>
      </c>
      <c r="BY1524" s="57" t="n">
        <f aca="false">N(L1524)+N(M1524)</f>
        <v>0</v>
      </c>
      <c r="BZ1524" s="57" t="n">
        <f aca="false">ROUNDUP(G1524/BQ1524,0)</f>
        <v>0</v>
      </c>
      <c r="CA1524" s="57" t="n">
        <f aca="false">ROUNDUP(BX1524/BQ1524,0)</f>
        <v>0</v>
      </c>
      <c r="CB1524" s="60" t="n">
        <f aca="false">IF(BR1524=1,0,IFERROR(VLOOKUP(BP1524,'Gebinde-Kategorie'!$A$5:$M$45,5,0)+0,0))</f>
        <v>0</v>
      </c>
      <c r="CC1524" s="60" t="n">
        <f aca="false">IFERROR(IF(OR(BT1524=1,BT1524=2,BT1524=3),N(INDEX(Parameter!$I$5:$I$7,BT1524)),0),0)</f>
        <v>0</v>
      </c>
      <c r="CD1524" s="59" t="n">
        <f aca="false">IF(AND(Parameter!$B$21="Ja",ISNUMBER(U1524),N(V1524)&gt;0),IFERROR(N(INDEX(Parameter!$L$5:$L$7,U1524))*INDEX(Parameter!$E$5:$E$7,U1524)*V1524/SUMIFS($V$7:$V$1576,$U$7:$U$1576,U1524),0),0)</f>
        <v>0</v>
      </c>
    </row>
    <row r="1525" customFormat="false" ht="15" hidden="false" customHeight="false" outlineLevel="0" collapsed="false">
      <c r="A1525" s="55" t="str">
        <f aca="false">IF('Neue Artikel'!$A$53="","",'Neue Artikel'!$A$53&amp;"")</f>
        <v/>
      </c>
      <c r="B1525" s="55" t="str">
        <f aca="false">'Neue Artikel'!$B$53&amp;""</f>
        <v/>
      </c>
      <c r="C1525" s="55"/>
      <c r="D1525" s="55" t="s">
        <v>2561</v>
      </c>
      <c r="E1525" s="55"/>
      <c r="F1525" s="56" t="n">
        <f aca="false">N('Neue Artikel'!$G$53)</f>
        <v>0</v>
      </c>
      <c r="G1525" s="57" t="n">
        <f aca="false">MAX(0,IF(AND(Parameter!$B$21="Ja",ISNUMBER(W1525)),W1525,IF(Parameter!$B$20="Jahresanfang 2025 + Export",BJ1525+BI1525,BI1525)))</f>
        <v>0</v>
      </c>
      <c r="H1525" s="57" t="n">
        <f aca="false">G1525*F1525</f>
        <v>0</v>
      </c>
      <c r="I1525" s="57" t="n">
        <f aca="false">BL1525*Parameter!$B$18</f>
        <v>0</v>
      </c>
      <c r="J1525" s="58"/>
      <c r="K1525" s="59"/>
      <c r="L1525" s="57" t="n">
        <f aca="false">N('Neue Artikel'!$E$53)</f>
        <v>0</v>
      </c>
      <c r="M1525" s="57" t="n">
        <f aca="false">N('Neue Artikel'!$F$53)</f>
        <v>0</v>
      </c>
      <c r="N1525" s="60"/>
      <c r="O1525" s="55" t="str">
        <f aca="false">IF('Neue Artikel'!$H$53="","LOSE",UPPER(TRIM('Neue Artikel'!$H$53)))</f>
        <v>LOSE</v>
      </c>
      <c r="P1525" s="57" t="n">
        <f aca="false">N('Neue Artikel'!$I$53)</f>
        <v>0</v>
      </c>
      <c r="Q1525" s="60" t="n">
        <f aca="false">IF(BR1525=1,0,IFERROR(VLOOKUP(BP1525,'Gebinde-Kategorie'!$A$5:$M$45,13,0)+0,0))</f>
        <v>0</v>
      </c>
      <c r="R1525" s="61"/>
      <c r="S1525" s="62"/>
      <c r="T1525" s="62"/>
      <c r="U1525" s="55"/>
      <c r="V1525" s="57"/>
      <c r="W1525" s="57"/>
      <c r="X1525" s="55" t="str">
        <f aca="false">IF(A1525="","",IF(AND(Parameter!$B$21="Ja",ISNUMBER(U1525)),U1525,IF(IFERROR(VLOOKUP(D1525,Parameter!$A$35:$C$64,2,0),"Nein")="2+3",IF(ISNUMBER(SEARCH("grosser Artikel",BM1525)),2,IFERROR(VLOOKUP(BP1525,Parameter!$F$35:$G$64,2,0),2)),IF(OR(IFERROR(VLOOKUP(D1525,Parameter!$A$35:$C$64,2,0),"Nein")="Nein",IFERROR(VLOOKUP(D1525,Parameter!$A$35:$C$64,2,0),"Nein")=""),"-",VLOOKUP(D1525,Parameter!$A$35:$C$64,2,0)))))</f>
        <v/>
      </c>
      <c r="Y1525" s="55" t="str">
        <f aca="false">IF('Neue Artikel'!$J$53="","",'Neue Artikel'!$J$53)</f>
        <v/>
      </c>
      <c r="Z1525" s="63"/>
      <c r="AA1525" s="57" t="n">
        <f aca="false">AP1525</f>
        <v>0</v>
      </c>
      <c r="AB1525" s="57" t="n">
        <f aca="false">MAX(AP1525,G1525)</f>
        <v>0</v>
      </c>
      <c r="AC1525" s="64"/>
      <c r="AD1525" s="57" t="n">
        <f aca="false">IF(LEFT(Cockpit!$C$5,1)="A",G1525,IF(BW1525=1,BX1525,IF(LEFT(Cockpit!$C$5,1)="B",AH1525,MAX(AH1525,G1525))))</f>
        <v>0</v>
      </c>
      <c r="AE1525" s="57" t="n">
        <f aca="false">IF(BR1525=1,0,ROUNDUP(AD1525/BQ1525,0))</f>
        <v>0</v>
      </c>
      <c r="AF1525" s="59" t="n">
        <f aca="false">IF(CD1525&gt;0,CD1525*MAX(1,AD1525/V1525),IF(BR1525=1,IF(AD1525&lt;=0,0,BS1525*MAX(1,IF(G1525&gt;0,AD1525/G1525,1))),IF(Q1525&gt;0,AE1525/Q1525,0))/MAX(0.1,N(Parameter!$M$21)))</f>
        <v>0</v>
      </c>
      <c r="AG1525" s="57" t="n">
        <f aca="false">AD1525*F1525</f>
        <v>0</v>
      </c>
      <c r="AH1525" s="57" t="n">
        <f aca="false">ROUNDUP(MAX(I1525/IF(BV1525&gt;0,BV1525,MAX(0.1,N(Cockpit!$C$6))),BY1525)/BQ1525,0)*BQ1525</f>
        <v>0</v>
      </c>
      <c r="AI1525" s="58" t="n">
        <f aca="false">IF(AF1525&gt;0,I1525/AF1525,-1)</f>
        <v>-1</v>
      </c>
      <c r="AJ1525" s="58" t="str">
        <f aca="false">IF(AND(OR(BU1525="L1",BU1525="L23"),AF1525&gt;0),SUMIFS($AF$7:$AF$1576,$BU$7:$BU$1576,BU1525,$AI$7:$AI$1576,"&gt;"&amp;AI1525)+SUMIFS($AF$7:$AF$1576,$BU$7:$BU$1576,BU1525,$AI$7:$AI$1576,AI1525,$BO$7:$BO$1576,"&lt;="&amp;BO1525),"")</f>
        <v/>
      </c>
      <c r="AK1525" s="65" t="n">
        <f aca="false">IF(AJ1525="",0,MAX(0,MIN(1,(IF(BU1525="L1",Parameter!$E$5,Parameter!$E$6+Parameter!$E$7)-(AJ1525-AF1525))/AF1525)))</f>
        <v>0</v>
      </c>
      <c r="AL1525" s="57" t="n">
        <f aca="false">IF(LEFT(Cockpit!$I$5,1)="A",G1525,IF(BW1525=1,BX1525,IF(LEFT(Cockpit!$I$5,1)="B",AP1525,MAX(AP1525,G1525))))</f>
        <v>0</v>
      </c>
      <c r="AM1525" s="57" t="n">
        <f aca="false">IF(BR1525=1,0,ROUNDUP(AL1525/BQ1525,0))</f>
        <v>0</v>
      </c>
      <c r="AN1525" s="59" t="n">
        <f aca="false">IF(CD1525&gt;0,CD1525*MAX(1,AL1525/V1525),IF(BR1525=1,IF(AL1525&lt;=0,0,BS1525*MAX(1,IF(G1525&gt;0,AL1525/G1525,1))),IF(Q1525&gt;0,AM1525/Q1525,0))/MAX(0.1,N(Parameter!$M$21)))</f>
        <v>0</v>
      </c>
      <c r="AO1525" s="57" t="n">
        <f aca="false">AL1525*F1525</f>
        <v>0</v>
      </c>
      <c r="AP1525" s="57" t="n">
        <f aca="false">ROUNDUP(MAX(I1525/IF(BV1525&gt;0,BV1525,MAX(0.1,N(Cockpit!$I$6))),BY1525)/BQ1525,0)*BQ1525</f>
        <v>0</v>
      </c>
      <c r="AQ1525" s="58" t="n">
        <f aca="false">IF(AN1525&gt;0,I1525/AN1525,-1)</f>
        <v>-1</v>
      </c>
      <c r="AR1525" s="58" t="str">
        <f aca="false">IF(AND(OR(BU1525="L1",BU1525="L23"),AN1525&gt;0),SUMIFS($AN$7:$AN$1576,$BU$7:$BU$1576,BU1525,$AQ$7:$AQ$1576,"&gt;"&amp;AQ1525)+SUMIFS($AN$7:$AN$1576,$BU$7:$BU$1576,BU1525,$AQ$7:$AQ$1576,AQ1525,$BO$7:$BO$1576,"&lt;="&amp;BO1525),"")</f>
        <v/>
      </c>
      <c r="AS1525" s="65" t="n">
        <f aca="false">IF(AR1525="",0,MAX(0,MIN(1,(IF(BU1525="L1",Parameter!$E$5,Parameter!$E$6+Parameter!$E$7)-(AR1525-AN1525))/AN1525)))</f>
        <v>0</v>
      </c>
      <c r="AT1525" s="57" t="n">
        <f aca="false">IF(LEFT(Cockpit!$O$5,1)="A",G1525,IF(BW1525=1,BX1525,IF(LEFT(Cockpit!$O$5,1)="B",AX1525,MAX(AX1525,G1525))))</f>
        <v>0</v>
      </c>
      <c r="AU1525" s="57" t="n">
        <f aca="false">IF(BR1525=1,0,ROUNDUP(AT1525/BQ1525,0))</f>
        <v>0</v>
      </c>
      <c r="AV1525" s="59" t="n">
        <f aca="false">IF(CD1525&gt;0,CD1525*MAX(1,AT1525/V1525),IF(BR1525=1,IF(AT1525&lt;=0,0,BS1525*MAX(1,IF(G1525&gt;0,AT1525/G1525,1))),IF(Q1525&gt;0,AU1525/Q1525,0))/MAX(0.1,N(Parameter!$M$21)))</f>
        <v>0</v>
      </c>
      <c r="AW1525" s="57" t="n">
        <f aca="false">AT1525*F1525</f>
        <v>0</v>
      </c>
      <c r="AX1525" s="57" t="n">
        <f aca="false">ROUNDUP(MAX(I1525/IF(BV1525&gt;0,BV1525,MAX(0.1,N(Cockpit!$O$6))),BY1525)/BQ1525,0)*BQ1525</f>
        <v>0</v>
      </c>
      <c r="AY1525" s="58" t="n">
        <f aca="false">IF(AV1525&gt;0,I1525/AV1525,-1)</f>
        <v>-1</v>
      </c>
      <c r="AZ1525" s="58" t="str">
        <f aca="false">IF(AND(OR(BU1525="L1",BU1525="L23"),AV1525&gt;0),SUMIFS($AV$7:$AV$1576,$BU$7:$BU$1576,BU1525,$AY$7:$AY$1576,"&gt;"&amp;AY1525)+SUMIFS($AV$7:$AV$1576,$BU$7:$BU$1576,BU1525,$AY$7:$AY$1576,AY1525,$BO$7:$BO$1576,"&lt;="&amp;BO1525),"")</f>
        <v/>
      </c>
      <c r="BA1525" s="65" t="n">
        <f aca="false">IF(AZ1525="",0,MAX(0,MIN(1,(IF(BU1525="L1",Parameter!$E$5,Parameter!$E$6+Parameter!$E$7)-(AZ1525-AV1525))/AV1525)))</f>
        <v>0</v>
      </c>
      <c r="BB1525" s="55" t="str">
        <f aca="false">IF(AF1525&lt;=0,"",IF(BU1525="Aussen","Aussenlager",IF(BU1525="-","Nicht im Lift",IF(AK1525&gt;=1,"Lift",IF(AK1525&lt;=0,"Aussenlager","teilweise")))))</f>
        <v/>
      </c>
      <c r="BC1525" s="55" t="str">
        <f aca="false">IF(AN1525&lt;=0,"",IF(BU1525="Aussen","Aussenlager",IF(BU1525="-","Nicht im Lift",IF(AS1525&gt;=1,"Lift",IF(AS1525&lt;=0,"Aussenlager","teilweise")))))</f>
        <v/>
      </c>
      <c r="BD1525" s="55" t="str">
        <f aca="false">IF(AV1525&lt;=0,"",IF(BU1525="Aussen","Aussenlager",IF(BU1525="-","Nicht im Lift",IF(BA1525&gt;=1,"Lift",IF(BA1525&lt;=0,"Aussenlager","teilweise")))))</f>
        <v/>
      </c>
      <c r="BE1525" s="55" t="str">
        <f aca="false">IF(A1525="","",IF(BN1525=1,"Neu; ","")&amp;IF(AND(BN1525=0,BI1525&lt;0),"negativer Bestand (Export "&amp;BI1525&amp;"); ","")&amp;IF(I1525&lt;=0,"Kein Verbrauch; ","")&amp;IF(CD1525&gt;0,"Lift "&amp;U1525&amp;" lt. Liftbericht (Fach "&amp;V1525&amp;" Stk); ",IF(BR1525=1,"Lose – Fläche geschätzt; ",""))&amp;IF(G1525&gt;AP1525,"Überbestand "&amp;ROUND(G1525-AP1525,0)&amp;" Stk / CHF "&amp;ROUND((G1525-AP1525)*F1525,0)&amp;"; ","")&amp;IF(AND(BW1525=1,BX1525&lt;BY1525),"MAX &lt; MB+LG; ","")&amp;IF(AND(CC1525&gt;0,CB1525*10&gt;CC1525),"zu hoch für Tablar; ","")&amp;IF(AND(BN1525=0,OR(BW1525=1,Y1525&lt;&gt;"",S1525&lt;&gt;"",T1525&lt;&gt;"",Z1525&lt;&gt;"")),"manuell übersteuert; ","")&amp;IF(AND(BR1525=0,Q1525=0),"Gebinde unbekannt / Stellmass fehlt; ","")&amp;IF(AND(BR1525=0,N(T1525)&lt;=0,N(P1525)&lt;=0),"Menge pro Gebinde fehlt (Ist = 1 Gebinde); ","")&amp;BM1525)</f>
        <v/>
      </c>
      <c r="BF1525" s="55"/>
      <c r="BG1525" s="55"/>
      <c r="BH1525" s="62"/>
      <c r="BI1525" s="57" t="n">
        <f aca="false">N('Neue Artikel'!$D$53)</f>
        <v>0</v>
      </c>
      <c r="BJ1525" s="57" t="n">
        <v>0</v>
      </c>
      <c r="BK1525" s="56" t="n">
        <v>0</v>
      </c>
      <c r="BL1525" s="57" t="n">
        <f aca="false">N('Neue Artikel'!$C$53)/Parameter!$B$18</f>
        <v>0</v>
      </c>
      <c r="BM1525" s="55"/>
      <c r="BN1525" s="60" t="n">
        <v>1</v>
      </c>
      <c r="BO1525" s="60" t="n">
        <v>1525</v>
      </c>
      <c r="BP1525" s="55" t="str">
        <f aca="false">IF(S1525&lt;&gt;"",UPPER(TRIM(S1525)),IF(O1525="","LOSE",O1525))</f>
        <v>LOSE</v>
      </c>
      <c r="BQ1525" s="57" t="n">
        <f aca="false">IF(BP1525="LOSE",1,IF(N(T1525)&gt;0,T1525,IF(N(P1525)&gt;0,P1525,MAX(1,G1525))))</f>
        <v>1</v>
      </c>
      <c r="BR1525" s="60" t="n">
        <f aca="false">IF(BP1525="LOSE",1,0)</f>
        <v>1</v>
      </c>
      <c r="BS1525" s="59" t="n">
        <f aca="false">IF(BR1525=0,0,IF(N(R1525)&gt;0,R1525,IFERROR(VLOOKUP(D1525,Parameter!$A$35:$C$64,3,0)+0,0)))</f>
        <v>0.15</v>
      </c>
      <c r="BT1525" s="55" t="str">
        <f aca="false">IF(Y1525&lt;&gt;"",Y1525,X1525)</f>
        <v/>
      </c>
      <c r="BU1525" s="55" t="str">
        <f aca="false">IF(BT1525=1,"L1",IF(OR(BT1525=2,BT1525=3),"L23",IF(BT1525="Aussen","Aussen","-")))</f>
        <v>-</v>
      </c>
      <c r="BV1525" s="66" t="n">
        <f aca="false">IF(N(Z1525)&gt;0,Z1525,0)</f>
        <v>0</v>
      </c>
      <c r="BW1525" s="60" t="n">
        <f aca="false">IF(ISNUMBER(AC1525),1,0)</f>
        <v>0</v>
      </c>
      <c r="BX1525" s="57" t="n">
        <f aca="false">N(AC1525)</f>
        <v>0</v>
      </c>
      <c r="BY1525" s="57" t="n">
        <f aca="false">N(L1525)+N(M1525)</f>
        <v>0</v>
      </c>
      <c r="BZ1525" s="57" t="n">
        <f aca="false">ROUNDUP(G1525/BQ1525,0)</f>
        <v>0</v>
      </c>
      <c r="CA1525" s="57" t="n">
        <f aca="false">ROUNDUP(BX1525/BQ1525,0)</f>
        <v>0</v>
      </c>
      <c r="CB1525" s="60" t="n">
        <f aca="false">IF(BR1525=1,0,IFERROR(VLOOKUP(BP1525,'Gebinde-Kategorie'!$A$5:$M$45,5,0)+0,0))</f>
        <v>0</v>
      </c>
      <c r="CC1525" s="60" t="n">
        <f aca="false">IFERROR(IF(OR(BT1525=1,BT1525=2,BT1525=3),N(INDEX(Parameter!$I$5:$I$7,BT1525)),0),0)</f>
        <v>0</v>
      </c>
      <c r="CD1525" s="59" t="n">
        <f aca="false">IF(AND(Parameter!$B$21="Ja",ISNUMBER(U1525),N(V1525)&gt;0),IFERROR(N(INDEX(Parameter!$L$5:$L$7,U1525))*INDEX(Parameter!$E$5:$E$7,U1525)*V1525/SUMIFS($V$7:$V$1576,$U$7:$U$1576,U1525),0),0)</f>
        <v>0</v>
      </c>
    </row>
    <row r="1526" customFormat="false" ht="15" hidden="false" customHeight="false" outlineLevel="0" collapsed="false">
      <c r="A1526" s="55" t="str">
        <f aca="false">IF('Neue Artikel'!$A$54="","",'Neue Artikel'!$A$54&amp;"")</f>
        <v/>
      </c>
      <c r="B1526" s="55" t="str">
        <f aca="false">'Neue Artikel'!$B$54&amp;""</f>
        <v/>
      </c>
      <c r="C1526" s="55"/>
      <c r="D1526" s="55" t="s">
        <v>2561</v>
      </c>
      <c r="E1526" s="55"/>
      <c r="F1526" s="56" t="n">
        <f aca="false">N('Neue Artikel'!$G$54)</f>
        <v>0</v>
      </c>
      <c r="G1526" s="57" t="n">
        <f aca="false">MAX(0,IF(AND(Parameter!$B$21="Ja",ISNUMBER(W1526)),W1526,IF(Parameter!$B$20="Jahresanfang 2025 + Export",BJ1526+BI1526,BI1526)))</f>
        <v>0</v>
      </c>
      <c r="H1526" s="57" t="n">
        <f aca="false">G1526*F1526</f>
        <v>0</v>
      </c>
      <c r="I1526" s="57" t="n">
        <f aca="false">BL1526*Parameter!$B$18</f>
        <v>0</v>
      </c>
      <c r="J1526" s="58"/>
      <c r="K1526" s="59"/>
      <c r="L1526" s="57" t="n">
        <f aca="false">N('Neue Artikel'!$E$54)</f>
        <v>0</v>
      </c>
      <c r="M1526" s="57" t="n">
        <f aca="false">N('Neue Artikel'!$F$54)</f>
        <v>0</v>
      </c>
      <c r="N1526" s="60"/>
      <c r="O1526" s="55" t="str">
        <f aca="false">IF('Neue Artikel'!$H$54="","LOSE",UPPER(TRIM('Neue Artikel'!$H$54)))</f>
        <v>LOSE</v>
      </c>
      <c r="P1526" s="57" t="n">
        <f aca="false">N('Neue Artikel'!$I$54)</f>
        <v>0</v>
      </c>
      <c r="Q1526" s="60" t="n">
        <f aca="false">IF(BR1526=1,0,IFERROR(VLOOKUP(BP1526,'Gebinde-Kategorie'!$A$5:$M$45,13,0)+0,0))</f>
        <v>0</v>
      </c>
      <c r="R1526" s="61"/>
      <c r="S1526" s="62"/>
      <c r="T1526" s="62"/>
      <c r="U1526" s="55"/>
      <c r="V1526" s="57"/>
      <c r="W1526" s="57"/>
      <c r="X1526" s="55" t="str">
        <f aca="false">IF(A1526="","",IF(AND(Parameter!$B$21="Ja",ISNUMBER(U1526)),U1526,IF(IFERROR(VLOOKUP(D1526,Parameter!$A$35:$C$64,2,0),"Nein")="2+3",IF(ISNUMBER(SEARCH("grosser Artikel",BM1526)),2,IFERROR(VLOOKUP(BP1526,Parameter!$F$35:$G$64,2,0),2)),IF(OR(IFERROR(VLOOKUP(D1526,Parameter!$A$35:$C$64,2,0),"Nein")="Nein",IFERROR(VLOOKUP(D1526,Parameter!$A$35:$C$64,2,0),"Nein")=""),"-",VLOOKUP(D1526,Parameter!$A$35:$C$64,2,0)))))</f>
        <v/>
      </c>
      <c r="Y1526" s="55" t="str">
        <f aca="false">IF('Neue Artikel'!$J$54="","",'Neue Artikel'!$J$54)</f>
        <v/>
      </c>
      <c r="Z1526" s="63"/>
      <c r="AA1526" s="57" t="n">
        <f aca="false">AP1526</f>
        <v>0</v>
      </c>
      <c r="AB1526" s="57" t="n">
        <f aca="false">MAX(AP1526,G1526)</f>
        <v>0</v>
      </c>
      <c r="AC1526" s="64"/>
      <c r="AD1526" s="57" t="n">
        <f aca="false">IF(LEFT(Cockpit!$C$5,1)="A",G1526,IF(BW1526=1,BX1526,IF(LEFT(Cockpit!$C$5,1)="B",AH1526,MAX(AH1526,G1526))))</f>
        <v>0</v>
      </c>
      <c r="AE1526" s="57" t="n">
        <f aca="false">IF(BR1526=1,0,ROUNDUP(AD1526/BQ1526,0))</f>
        <v>0</v>
      </c>
      <c r="AF1526" s="59" t="n">
        <f aca="false">IF(CD1526&gt;0,CD1526*MAX(1,AD1526/V1526),IF(BR1526=1,IF(AD1526&lt;=0,0,BS1526*MAX(1,IF(G1526&gt;0,AD1526/G1526,1))),IF(Q1526&gt;0,AE1526/Q1526,0))/MAX(0.1,N(Parameter!$M$21)))</f>
        <v>0</v>
      </c>
      <c r="AG1526" s="57" t="n">
        <f aca="false">AD1526*F1526</f>
        <v>0</v>
      </c>
      <c r="AH1526" s="57" t="n">
        <f aca="false">ROUNDUP(MAX(I1526/IF(BV1526&gt;0,BV1526,MAX(0.1,N(Cockpit!$C$6))),BY1526)/BQ1526,0)*BQ1526</f>
        <v>0</v>
      </c>
      <c r="AI1526" s="58" t="n">
        <f aca="false">IF(AF1526&gt;0,I1526/AF1526,-1)</f>
        <v>-1</v>
      </c>
      <c r="AJ1526" s="58" t="str">
        <f aca="false">IF(AND(OR(BU1526="L1",BU1526="L23"),AF1526&gt;0),SUMIFS($AF$7:$AF$1576,$BU$7:$BU$1576,BU1526,$AI$7:$AI$1576,"&gt;"&amp;AI1526)+SUMIFS($AF$7:$AF$1576,$BU$7:$BU$1576,BU1526,$AI$7:$AI$1576,AI1526,$BO$7:$BO$1576,"&lt;="&amp;BO1526),"")</f>
        <v/>
      </c>
      <c r="AK1526" s="65" t="n">
        <f aca="false">IF(AJ1526="",0,MAX(0,MIN(1,(IF(BU1526="L1",Parameter!$E$5,Parameter!$E$6+Parameter!$E$7)-(AJ1526-AF1526))/AF1526)))</f>
        <v>0</v>
      </c>
      <c r="AL1526" s="57" t="n">
        <f aca="false">IF(LEFT(Cockpit!$I$5,1)="A",G1526,IF(BW1526=1,BX1526,IF(LEFT(Cockpit!$I$5,1)="B",AP1526,MAX(AP1526,G1526))))</f>
        <v>0</v>
      </c>
      <c r="AM1526" s="57" t="n">
        <f aca="false">IF(BR1526=1,0,ROUNDUP(AL1526/BQ1526,0))</f>
        <v>0</v>
      </c>
      <c r="AN1526" s="59" t="n">
        <f aca="false">IF(CD1526&gt;0,CD1526*MAX(1,AL1526/V1526),IF(BR1526=1,IF(AL1526&lt;=0,0,BS1526*MAX(1,IF(G1526&gt;0,AL1526/G1526,1))),IF(Q1526&gt;0,AM1526/Q1526,0))/MAX(0.1,N(Parameter!$M$21)))</f>
        <v>0</v>
      </c>
      <c r="AO1526" s="57" t="n">
        <f aca="false">AL1526*F1526</f>
        <v>0</v>
      </c>
      <c r="AP1526" s="57" t="n">
        <f aca="false">ROUNDUP(MAX(I1526/IF(BV1526&gt;0,BV1526,MAX(0.1,N(Cockpit!$I$6))),BY1526)/BQ1526,0)*BQ1526</f>
        <v>0</v>
      </c>
      <c r="AQ1526" s="58" t="n">
        <f aca="false">IF(AN1526&gt;0,I1526/AN1526,-1)</f>
        <v>-1</v>
      </c>
      <c r="AR1526" s="58" t="str">
        <f aca="false">IF(AND(OR(BU1526="L1",BU1526="L23"),AN1526&gt;0),SUMIFS($AN$7:$AN$1576,$BU$7:$BU$1576,BU1526,$AQ$7:$AQ$1576,"&gt;"&amp;AQ1526)+SUMIFS($AN$7:$AN$1576,$BU$7:$BU$1576,BU1526,$AQ$7:$AQ$1576,AQ1526,$BO$7:$BO$1576,"&lt;="&amp;BO1526),"")</f>
        <v/>
      </c>
      <c r="AS1526" s="65" t="n">
        <f aca="false">IF(AR1526="",0,MAX(0,MIN(1,(IF(BU1526="L1",Parameter!$E$5,Parameter!$E$6+Parameter!$E$7)-(AR1526-AN1526))/AN1526)))</f>
        <v>0</v>
      </c>
      <c r="AT1526" s="57" t="n">
        <f aca="false">IF(LEFT(Cockpit!$O$5,1)="A",G1526,IF(BW1526=1,BX1526,IF(LEFT(Cockpit!$O$5,1)="B",AX1526,MAX(AX1526,G1526))))</f>
        <v>0</v>
      </c>
      <c r="AU1526" s="57" t="n">
        <f aca="false">IF(BR1526=1,0,ROUNDUP(AT1526/BQ1526,0))</f>
        <v>0</v>
      </c>
      <c r="AV1526" s="59" t="n">
        <f aca="false">IF(CD1526&gt;0,CD1526*MAX(1,AT1526/V1526),IF(BR1526=1,IF(AT1526&lt;=0,0,BS1526*MAX(1,IF(G1526&gt;0,AT1526/G1526,1))),IF(Q1526&gt;0,AU1526/Q1526,0))/MAX(0.1,N(Parameter!$M$21)))</f>
        <v>0</v>
      </c>
      <c r="AW1526" s="57" t="n">
        <f aca="false">AT1526*F1526</f>
        <v>0</v>
      </c>
      <c r="AX1526" s="57" t="n">
        <f aca="false">ROUNDUP(MAX(I1526/IF(BV1526&gt;0,BV1526,MAX(0.1,N(Cockpit!$O$6))),BY1526)/BQ1526,0)*BQ1526</f>
        <v>0</v>
      </c>
      <c r="AY1526" s="58" t="n">
        <f aca="false">IF(AV1526&gt;0,I1526/AV1526,-1)</f>
        <v>-1</v>
      </c>
      <c r="AZ1526" s="58" t="str">
        <f aca="false">IF(AND(OR(BU1526="L1",BU1526="L23"),AV1526&gt;0),SUMIFS($AV$7:$AV$1576,$BU$7:$BU$1576,BU1526,$AY$7:$AY$1576,"&gt;"&amp;AY1526)+SUMIFS($AV$7:$AV$1576,$BU$7:$BU$1576,BU1526,$AY$7:$AY$1576,AY1526,$BO$7:$BO$1576,"&lt;="&amp;BO1526),"")</f>
        <v/>
      </c>
      <c r="BA1526" s="65" t="n">
        <f aca="false">IF(AZ1526="",0,MAX(0,MIN(1,(IF(BU1526="L1",Parameter!$E$5,Parameter!$E$6+Parameter!$E$7)-(AZ1526-AV1526))/AV1526)))</f>
        <v>0</v>
      </c>
      <c r="BB1526" s="55" t="str">
        <f aca="false">IF(AF1526&lt;=0,"",IF(BU1526="Aussen","Aussenlager",IF(BU1526="-","Nicht im Lift",IF(AK1526&gt;=1,"Lift",IF(AK1526&lt;=0,"Aussenlager","teilweise")))))</f>
        <v/>
      </c>
      <c r="BC1526" s="55" t="str">
        <f aca="false">IF(AN1526&lt;=0,"",IF(BU1526="Aussen","Aussenlager",IF(BU1526="-","Nicht im Lift",IF(AS1526&gt;=1,"Lift",IF(AS1526&lt;=0,"Aussenlager","teilweise")))))</f>
        <v/>
      </c>
      <c r="BD1526" s="55" t="str">
        <f aca="false">IF(AV1526&lt;=0,"",IF(BU1526="Aussen","Aussenlager",IF(BU1526="-","Nicht im Lift",IF(BA1526&gt;=1,"Lift",IF(BA1526&lt;=0,"Aussenlager","teilweise")))))</f>
        <v/>
      </c>
      <c r="BE1526" s="55" t="str">
        <f aca="false">IF(A1526="","",IF(BN1526=1,"Neu; ","")&amp;IF(AND(BN1526=0,BI1526&lt;0),"negativer Bestand (Export "&amp;BI1526&amp;"); ","")&amp;IF(I1526&lt;=0,"Kein Verbrauch; ","")&amp;IF(CD1526&gt;0,"Lift "&amp;U1526&amp;" lt. Liftbericht (Fach "&amp;V1526&amp;" Stk); ",IF(BR1526=1,"Lose – Fläche geschätzt; ",""))&amp;IF(G1526&gt;AP1526,"Überbestand "&amp;ROUND(G1526-AP1526,0)&amp;" Stk / CHF "&amp;ROUND((G1526-AP1526)*F1526,0)&amp;"; ","")&amp;IF(AND(BW1526=1,BX1526&lt;BY1526),"MAX &lt; MB+LG; ","")&amp;IF(AND(CC1526&gt;0,CB1526*10&gt;CC1526),"zu hoch für Tablar; ","")&amp;IF(AND(BN1526=0,OR(BW1526=1,Y1526&lt;&gt;"",S1526&lt;&gt;"",T1526&lt;&gt;"",Z1526&lt;&gt;"")),"manuell übersteuert; ","")&amp;IF(AND(BR1526=0,Q1526=0),"Gebinde unbekannt / Stellmass fehlt; ","")&amp;IF(AND(BR1526=0,N(T1526)&lt;=0,N(P1526)&lt;=0),"Menge pro Gebinde fehlt (Ist = 1 Gebinde); ","")&amp;BM1526)</f>
        <v/>
      </c>
      <c r="BF1526" s="55"/>
      <c r="BG1526" s="55"/>
      <c r="BH1526" s="62"/>
      <c r="BI1526" s="57" t="n">
        <f aca="false">N('Neue Artikel'!$D$54)</f>
        <v>0</v>
      </c>
      <c r="BJ1526" s="57" t="n">
        <v>0</v>
      </c>
      <c r="BK1526" s="56" t="n">
        <v>0</v>
      </c>
      <c r="BL1526" s="57" t="n">
        <f aca="false">N('Neue Artikel'!$C$54)/Parameter!$B$18</f>
        <v>0</v>
      </c>
      <c r="BM1526" s="55"/>
      <c r="BN1526" s="60" t="n">
        <v>1</v>
      </c>
      <c r="BO1526" s="60" t="n">
        <v>1526</v>
      </c>
      <c r="BP1526" s="55" t="str">
        <f aca="false">IF(S1526&lt;&gt;"",UPPER(TRIM(S1526)),IF(O1526="","LOSE",O1526))</f>
        <v>LOSE</v>
      </c>
      <c r="BQ1526" s="57" t="n">
        <f aca="false">IF(BP1526="LOSE",1,IF(N(T1526)&gt;0,T1526,IF(N(P1526)&gt;0,P1526,MAX(1,G1526))))</f>
        <v>1</v>
      </c>
      <c r="BR1526" s="60" t="n">
        <f aca="false">IF(BP1526="LOSE",1,0)</f>
        <v>1</v>
      </c>
      <c r="BS1526" s="59" t="n">
        <f aca="false">IF(BR1526=0,0,IF(N(R1526)&gt;0,R1526,IFERROR(VLOOKUP(D1526,Parameter!$A$35:$C$64,3,0)+0,0)))</f>
        <v>0.15</v>
      </c>
      <c r="BT1526" s="55" t="str">
        <f aca="false">IF(Y1526&lt;&gt;"",Y1526,X1526)</f>
        <v/>
      </c>
      <c r="BU1526" s="55" t="str">
        <f aca="false">IF(BT1526=1,"L1",IF(OR(BT1526=2,BT1526=3),"L23",IF(BT1526="Aussen","Aussen","-")))</f>
        <v>-</v>
      </c>
      <c r="BV1526" s="66" t="n">
        <f aca="false">IF(N(Z1526)&gt;0,Z1526,0)</f>
        <v>0</v>
      </c>
      <c r="BW1526" s="60" t="n">
        <f aca="false">IF(ISNUMBER(AC1526),1,0)</f>
        <v>0</v>
      </c>
      <c r="BX1526" s="57" t="n">
        <f aca="false">N(AC1526)</f>
        <v>0</v>
      </c>
      <c r="BY1526" s="57" t="n">
        <f aca="false">N(L1526)+N(M1526)</f>
        <v>0</v>
      </c>
      <c r="BZ1526" s="57" t="n">
        <f aca="false">ROUNDUP(G1526/BQ1526,0)</f>
        <v>0</v>
      </c>
      <c r="CA1526" s="57" t="n">
        <f aca="false">ROUNDUP(BX1526/BQ1526,0)</f>
        <v>0</v>
      </c>
      <c r="CB1526" s="60" t="n">
        <f aca="false">IF(BR1526=1,0,IFERROR(VLOOKUP(BP1526,'Gebinde-Kategorie'!$A$5:$M$45,5,0)+0,0))</f>
        <v>0</v>
      </c>
      <c r="CC1526" s="60" t="n">
        <f aca="false">IFERROR(IF(OR(BT1526=1,BT1526=2,BT1526=3),N(INDEX(Parameter!$I$5:$I$7,BT1526)),0),0)</f>
        <v>0</v>
      </c>
      <c r="CD1526" s="59" t="n">
        <f aca="false">IF(AND(Parameter!$B$21="Ja",ISNUMBER(U1526),N(V1526)&gt;0),IFERROR(N(INDEX(Parameter!$L$5:$L$7,U1526))*INDEX(Parameter!$E$5:$E$7,U1526)*V1526/SUMIFS($V$7:$V$1576,$U$7:$U$1576,U1526),0),0)</f>
        <v>0</v>
      </c>
    </row>
    <row r="1527" customFormat="false" ht="15" hidden="false" customHeight="false" outlineLevel="0" collapsed="false">
      <c r="A1527" s="55" t="str">
        <f aca="false">IF('Neue Artikel'!$A$55="","",'Neue Artikel'!$A$55&amp;"")</f>
        <v/>
      </c>
      <c r="B1527" s="55" t="str">
        <f aca="false">'Neue Artikel'!$B$55&amp;""</f>
        <v/>
      </c>
      <c r="C1527" s="55"/>
      <c r="D1527" s="55" t="s">
        <v>2561</v>
      </c>
      <c r="E1527" s="55"/>
      <c r="F1527" s="56" t="n">
        <f aca="false">N('Neue Artikel'!$G$55)</f>
        <v>0</v>
      </c>
      <c r="G1527" s="57" t="n">
        <f aca="false">MAX(0,IF(AND(Parameter!$B$21="Ja",ISNUMBER(W1527)),W1527,IF(Parameter!$B$20="Jahresanfang 2025 + Export",BJ1527+BI1527,BI1527)))</f>
        <v>0</v>
      </c>
      <c r="H1527" s="57" t="n">
        <f aca="false">G1527*F1527</f>
        <v>0</v>
      </c>
      <c r="I1527" s="57" t="n">
        <f aca="false">BL1527*Parameter!$B$18</f>
        <v>0</v>
      </c>
      <c r="J1527" s="58"/>
      <c r="K1527" s="59"/>
      <c r="L1527" s="57" t="n">
        <f aca="false">N('Neue Artikel'!$E$55)</f>
        <v>0</v>
      </c>
      <c r="M1527" s="57" t="n">
        <f aca="false">N('Neue Artikel'!$F$55)</f>
        <v>0</v>
      </c>
      <c r="N1527" s="60"/>
      <c r="O1527" s="55" t="str">
        <f aca="false">IF('Neue Artikel'!$H$55="","LOSE",UPPER(TRIM('Neue Artikel'!$H$55)))</f>
        <v>LOSE</v>
      </c>
      <c r="P1527" s="57" t="n">
        <f aca="false">N('Neue Artikel'!$I$55)</f>
        <v>0</v>
      </c>
      <c r="Q1527" s="60" t="n">
        <f aca="false">IF(BR1527=1,0,IFERROR(VLOOKUP(BP1527,'Gebinde-Kategorie'!$A$5:$M$45,13,0)+0,0))</f>
        <v>0</v>
      </c>
      <c r="R1527" s="61"/>
      <c r="S1527" s="62"/>
      <c r="T1527" s="62"/>
      <c r="U1527" s="55"/>
      <c r="V1527" s="57"/>
      <c r="W1527" s="57"/>
      <c r="X1527" s="55" t="str">
        <f aca="false">IF(A1527="","",IF(AND(Parameter!$B$21="Ja",ISNUMBER(U1527)),U1527,IF(IFERROR(VLOOKUP(D1527,Parameter!$A$35:$C$64,2,0),"Nein")="2+3",IF(ISNUMBER(SEARCH("grosser Artikel",BM1527)),2,IFERROR(VLOOKUP(BP1527,Parameter!$F$35:$G$64,2,0),2)),IF(OR(IFERROR(VLOOKUP(D1527,Parameter!$A$35:$C$64,2,0),"Nein")="Nein",IFERROR(VLOOKUP(D1527,Parameter!$A$35:$C$64,2,0),"Nein")=""),"-",VLOOKUP(D1527,Parameter!$A$35:$C$64,2,0)))))</f>
        <v/>
      </c>
      <c r="Y1527" s="55" t="str">
        <f aca="false">IF('Neue Artikel'!$J$55="","",'Neue Artikel'!$J$55)</f>
        <v/>
      </c>
      <c r="Z1527" s="63"/>
      <c r="AA1527" s="57" t="n">
        <f aca="false">AP1527</f>
        <v>0</v>
      </c>
      <c r="AB1527" s="57" t="n">
        <f aca="false">MAX(AP1527,G1527)</f>
        <v>0</v>
      </c>
      <c r="AC1527" s="64"/>
      <c r="AD1527" s="57" t="n">
        <f aca="false">IF(LEFT(Cockpit!$C$5,1)="A",G1527,IF(BW1527=1,BX1527,IF(LEFT(Cockpit!$C$5,1)="B",AH1527,MAX(AH1527,G1527))))</f>
        <v>0</v>
      </c>
      <c r="AE1527" s="57" t="n">
        <f aca="false">IF(BR1527=1,0,ROUNDUP(AD1527/BQ1527,0))</f>
        <v>0</v>
      </c>
      <c r="AF1527" s="59" t="n">
        <f aca="false">IF(CD1527&gt;0,CD1527*MAX(1,AD1527/V1527),IF(BR1527=1,IF(AD1527&lt;=0,0,BS1527*MAX(1,IF(G1527&gt;0,AD1527/G1527,1))),IF(Q1527&gt;0,AE1527/Q1527,0))/MAX(0.1,N(Parameter!$M$21)))</f>
        <v>0</v>
      </c>
      <c r="AG1527" s="57" t="n">
        <f aca="false">AD1527*F1527</f>
        <v>0</v>
      </c>
      <c r="AH1527" s="57" t="n">
        <f aca="false">ROUNDUP(MAX(I1527/IF(BV1527&gt;0,BV1527,MAX(0.1,N(Cockpit!$C$6))),BY1527)/BQ1527,0)*BQ1527</f>
        <v>0</v>
      </c>
      <c r="AI1527" s="58" t="n">
        <f aca="false">IF(AF1527&gt;0,I1527/AF1527,-1)</f>
        <v>-1</v>
      </c>
      <c r="AJ1527" s="58" t="str">
        <f aca="false">IF(AND(OR(BU1527="L1",BU1527="L23"),AF1527&gt;0),SUMIFS($AF$7:$AF$1576,$BU$7:$BU$1576,BU1527,$AI$7:$AI$1576,"&gt;"&amp;AI1527)+SUMIFS($AF$7:$AF$1576,$BU$7:$BU$1576,BU1527,$AI$7:$AI$1576,AI1527,$BO$7:$BO$1576,"&lt;="&amp;BO1527),"")</f>
        <v/>
      </c>
      <c r="AK1527" s="65" t="n">
        <f aca="false">IF(AJ1527="",0,MAX(0,MIN(1,(IF(BU1527="L1",Parameter!$E$5,Parameter!$E$6+Parameter!$E$7)-(AJ1527-AF1527))/AF1527)))</f>
        <v>0</v>
      </c>
      <c r="AL1527" s="57" t="n">
        <f aca="false">IF(LEFT(Cockpit!$I$5,1)="A",G1527,IF(BW1527=1,BX1527,IF(LEFT(Cockpit!$I$5,1)="B",AP1527,MAX(AP1527,G1527))))</f>
        <v>0</v>
      </c>
      <c r="AM1527" s="57" t="n">
        <f aca="false">IF(BR1527=1,0,ROUNDUP(AL1527/BQ1527,0))</f>
        <v>0</v>
      </c>
      <c r="AN1527" s="59" t="n">
        <f aca="false">IF(CD1527&gt;0,CD1527*MAX(1,AL1527/V1527),IF(BR1527=1,IF(AL1527&lt;=0,0,BS1527*MAX(1,IF(G1527&gt;0,AL1527/G1527,1))),IF(Q1527&gt;0,AM1527/Q1527,0))/MAX(0.1,N(Parameter!$M$21)))</f>
        <v>0</v>
      </c>
      <c r="AO1527" s="57" t="n">
        <f aca="false">AL1527*F1527</f>
        <v>0</v>
      </c>
      <c r="AP1527" s="57" t="n">
        <f aca="false">ROUNDUP(MAX(I1527/IF(BV1527&gt;0,BV1527,MAX(0.1,N(Cockpit!$I$6))),BY1527)/BQ1527,0)*BQ1527</f>
        <v>0</v>
      </c>
      <c r="AQ1527" s="58" t="n">
        <f aca="false">IF(AN1527&gt;0,I1527/AN1527,-1)</f>
        <v>-1</v>
      </c>
      <c r="AR1527" s="58" t="str">
        <f aca="false">IF(AND(OR(BU1527="L1",BU1527="L23"),AN1527&gt;0),SUMIFS($AN$7:$AN$1576,$BU$7:$BU$1576,BU1527,$AQ$7:$AQ$1576,"&gt;"&amp;AQ1527)+SUMIFS($AN$7:$AN$1576,$BU$7:$BU$1576,BU1527,$AQ$7:$AQ$1576,AQ1527,$BO$7:$BO$1576,"&lt;="&amp;BO1527),"")</f>
        <v/>
      </c>
      <c r="AS1527" s="65" t="n">
        <f aca="false">IF(AR1527="",0,MAX(0,MIN(1,(IF(BU1527="L1",Parameter!$E$5,Parameter!$E$6+Parameter!$E$7)-(AR1527-AN1527))/AN1527)))</f>
        <v>0</v>
      </c>
      <c r="AT1527" s="57" t="n">
        <f aca="false">IF(LEFT(Cockpit!$O$5,1)="A",G1527,IF(BW1527=1,BX1527,IF(LEFT(Cockpit!$O$5,1)="B",AX1527,MAX(AX1527,G1527))))</f>
        <v>0</v>
      </c>
      <c r="AU1527" s="57" t="n">
        <f aca="false">IF(BR1527=1,0,ROUNDUP(AT1527/BQ1527,0))</f>
        <v>0</v>
      </c>
      <c r="AV1527" s="59" t="n">
        <f aca="false">IF(CD1527&gt;0,CD1527*MAX(1,AT1527/V1527),IF(BR1527=1,IF(AT1527&lt;=0,0,BS1527*MAX(1,IF(G1527&gt;0,AT1527/G1527,1))),IF(Q1527&gt;0,AU1527/Q1527,0))/MAX(0.1,N(Parameter!$M$21)))</f>
        <v>0</v>
      </c>
      <c r="AW1527" s="57" t="n">
        <f aca="false">AT1527*F1527</f>
        <v>0</v>
      </c>
      <c r="AX1527" s="57" t="n">
        <f aca="false">ROUNDUP(MAX(I1527/IF(BV1527&gt;0,BV1527,MAX(0.1,N(Cockpit!$O$6))),BY1527)/BQ1527,0)*BQ1527</f>
        <v>0</v>
      </c>
      <c r="AY1527" s="58" t="n">
        <f aca="false">IF(AV1527&gt;0,I1527/AV1527,-1)</f>
        <v>-1</v>
      </c>
      <c r="AZ1527" s="58" t="str">
        <f aca="false">IF(AND(OR(BU1527="L1",BU1527="L23"),AV1527&gt;0),SUMIFS($AV$7:$AV$1576,$BU$7:$BU$1576,BU1527,$AY$7:$AY$1576,"&gt;"&amp;AY1527)+SUMIFS($AV$7:$AV$1576,$BU$7:$BU$1576,BU1527,$AY$7:$AY$1576,AY1527,$BO$7:$BO$1576,"&lt;="&amp;BO1527),"")</f>
        <v/>
      </c>
      <c r="BA1527" s="65" t="n">
        <f aca="false">IF(AZ1527="",0,MAX(0,MIN(1,(IF(BU1527="L1",Parameter!$E$5,Parameter!$E$6+Parameter!$E$7)-(AZ1527-AV1527))/AV1527)))</f>
        <v>0</v>
      </c>
      <c r="BB1527" s="55" t="str">
        <f aca="false">IF(AF1527&lt;=0,"",IF(BU1527="Aussen","Aussenlager",IF(BU1527="-","Nicht im Lift",IF(AK1527&gt;=1,"Lift",IF(AK1527&lt;=0,"Aussenlager","teilweise")))))</f>
        <v/>
      </c>
      <c r="BC1527" s="55" t="str">
        <f aca="false">IF(AN1527&lt;=0,"",IF(BU1527="Aussen","Aussenlager",IF(BU1527="-","Nicht im Lift",IF(AS1527&gt;=1,"Lift",IF(AS1527&lt;=0,"Aussenlager","teilweise")))))</f>
        <v/>
      </c>
      <c r="BD1527" s="55" t="str">
        <f aca="false">IF(AV1527&lt;=0,"",IF(BU1527="Aussen","Aussenlager",IF(BU1527="-","Nicht im Lift",IF(BA1527&gt;=1,"Lift",IF(BA1527&lt;=0,"Aussenlager","teilweise")))))</f>
        <v/>
      </c>
      <c r="BE1527" s="55" t="str">
        <f aca="false">IF(A1527="","",IF(BN1527=1,"Neu; ","")&amp;IF(AND(BN1527=0,BI1527&lt;0),"negativer Bestand (Export "&amp;BI1527&amp;"); ","")&amp;IF(I1527&lt;=0,"Kein Verbrauch; ","")&amp;IF(CD1527&gt;0,"Lift "&amp;U1527&amp;" lt. Liftbericht (Fach "&amp;V1527&amp;" Stk); ",IF(BR1527=1,"Lose – Fläche geschätzt; ",""))&amp;IF(G1527&gt;AP1527,"Überbestand "&amp;ROUND(G1527-AP1527,0)&amp;" Stk / CHF "&amp;ROUND((G1527-AP1527)*F1527,0)&amp;"; ","")&amp;IF(AND(BW1527=1,BX1527&lt;BY1527),"MAX &lt; MB+LG; ","")&amp;IF(AND(CC1527&gt;0,CB1527*10&gt;CC1527),"zu hoch für Tablar; ","")&amp;IF(AND(BN1527=0,OR(BW1527=1,Y1527&lt;&gt;"",S1527&lt;&gt;"",T1527&lt;&gt;"",Z1527&lt;&gt;"")),"manuell übersteuert; ","")&amp;IF(AND(BR1527=0,Q1527=0),"Gebinde unbekannt / Stellmass fehlt; ","")&amp;IF(AND(BR1527=0,N(T1527)&lt;=0,N(P1527)&lt;=0),"Menge pro Gebinde fehlt (Ist = 1 Gebinde); ","")&amp;BM1527)</f>
        <v/>
      </c>
      <c r="BF1527" s="55"/>
      <c r="BG1527" s="55"/>
      <c r="BH1527" s="62"/>
      <c r="BI1527" s="57" t="n">
        <f aca="false">N('Neue Artikel'!$D$55)</f>
        <v>0</v>
      </c>
      <c r="BJ1527" s="57" t="n">
        <v>0</v>
      </c>
      <c r="BK1527" s="56" t="n">
        <v>0</v>
      </c>
      <c r="BL1527" s="57" t="n">
        <f aca="false">N('Neue Artikel'!$C$55)/Parameter!$B$18</f>
        <v>0</v>
      </c>
      <c r="BM1527" s="55"/>
      <c r="BN1527" s="60" t="n">
        <v>1</v>
      </c>
      <c r="BO1527" s="60" t="n">
        <v>1527</v>
      </c>
      <c r="BP1527" s="55" t="str">
        <f aca="false">IF(S1527&lt;&gt;"",UPPER(TRIM(S1527)),IF(O1527="","LOSE",O1527))</f>
        <v>LOSE</v>
      </c>
      <c r="BQ1527" s="57" t="n">
        <f aca="false">IF(BP1527="LOSE",1,IF(N(T1527)&gt;0,T1527,IF(N(P1527)&gt;0,P1527,MAX(1,G1527))))</f>
        <v>1</v>
      </c>
      <c r="BR1527" s="60" t="n">
        <f aca="false">IF(BP1527="LOSE",1,0)</f>
        <v>1</v>
      </c>
      <c r="BS1527" s="59" t="n">
        <f aca="false">IF(BR1527=0,0,IF(N(R1527)&gt;0,R1527,IFERROR(VLOOKUP(D1527,Parameter!$A$35:$C$64,3,0)+0,0)))</f>
        <v>0.15</v>
      </c>
      <c r="BT1527" s="55" t="str">
        <f aca="false">IF(Y1527&lt;&gt;"",Y1527,X1527)</f>
        <v/>
      </c>
      <c r="BU1527" s="55" t="str">
        <f aca="false">IF(BT1527=1,"L1",IF(OR(BT1527=2,BT1527=3),"L23",IF(BT1527="Aussen","Aussen","-")))</f>
        <v>-</v>
      </c>
      <c r="BV1527" s="66" t="n">
        <f aca="false">IF(N(Z1527)&gt;0,Z1527,0)</f>
        <v>0</v>
      </c>
      <c r="BW1527" s="60" t="n">
        <f aca="false">IF(ISNUMBER(AC1527),1,0)</f>
        <v>0</v>
      </c>
      <c r="BX1527" s="57" t="n">
        <f aca="false">N(AC1527)</f>
        <v>0</v>
      </c>
      <c r="BY1527" s="57" t="n">
        <f aca="false">N(L1527)+N(M1527)</f>
        <v>0</v>
      </c>
      <c r="BZ1527" s="57" t="n">
        <f aca="false">ROUNDUP(G1527/BQ1527,0)</f>
        <v>0</v>
      </c>
      <c r="CA1527" s="57" t="n">
        <f aca="false">ROUNDUP(BX1527/BQ1527,0)</f>
        <v>0</v>
      </c>
      <c r="CB1527" s="60" t="n">
        <f aca="false">IF(BR1527=1,0,IFERROR(VLOOKUP(BP1527,'Gebinde-Kategorie'!$A$5:$M$45,5,0)+0,0))</f>
        <v>0</v>
      </c>
      <c r="CC1527" s="60" t="n">
        <f aca="false">IFERROR(IF(OR(BT1527=1,BT1527=2,BT1527=3),N(INDEX(Parameter!$I$5:$I$7,BT1527)),0),0)</f>
        <v>0</v>
      </c>
      <c r="CD1527" s="59" t="n">
        <f aca="false">IF(AND(Parameter!$B$21="Ja",ISNUMBER(U1527),N(V1527)&gt;0),IFERROR(N(INDEX(Parameter!$L$5:$L$7,U1527))*INDEX(Parameter!$E$5:$E$7,U1527)*V1527/SUMIFS($V$7:$V$1576,$U$7:$U$1576,U1527),0),0)</f>
        <v>0</v>
      </c>
    </row>
    <row r="1528" customFormat="false" ht="15" hidden="false" customHeight="false" outlineLevel="0" collapsed="false">
      <c r="A1528" s="55" t="str">
        <f aca="false">IF('Neue Artikel'!$A$56="","",'Neue Artikel'!$A$56&amp;"")</f>
        <v/>
      </c>
      <c r="B1528" s="55" t="str">
        <f aca="false">'Neue Artikel'!$B$56&amp;""</f>
        <v/>
      </c>
      <c r="C1528" s="55"/>
      <c r="D1528" s="55" t="s">
        <v>2561</v>
      </c>
      <c r="E1528" s="55"/>
      <c r="F1528" s="56" t="n">
        <f aca="false">N('Neue Artikel'!$G$56)</f>
        <v>0</v>
      </c>
      <c r="G1528" s="57" t="n">
        <f aca="false">MAX(0,IF(AND(Parameter!$B$21="Ja",ISNUMBER(W1528)),W1528,IF(Parameter!$B$20="Jahresanfang 2025 + Export",BJ1528+BI1528,BI1528)))</f>
        <v>0</v>
      </c>
      <c r="H1528" s="57" t="n">
        <f aca="false">G1528*F1528</f>
        <v>0</v>
      </c>
      <c r="I1528" s="57" t="n">
        <f aca="false">BL1528*Parameter!$B$18</f>
        <v>0</v>
      </c>
      <c r="J1528" s="58"/>
      <c r="K1528" s="59"/>
      <c r="L1528" s="57" t="n">
        <f aca="false">N('Neue Artikel'!$E$56)</f>
        <v>0</v>
      </c>
      <c r="M1528" s="57" t="n">
        <f aca="false">N('Neue Artikel'!$F$56)</f>
        <v>0</v>
      </c>
      <c r="N1528" s="60"/>
      <c r="O1528" s="55" t="str">
        <f aca="false">IF('Neue Artikel'!$H$56="","LOSE",UPPER(TRIM('Neue Artikel'!$H$56)))</f>
        <v>LOSE</v>
      </c>
      <c r="P1528" s="57" t="n">
        <f aca="false">N('Neue Artikel'!$I$56)</f>
        <v>0</v>
      </c>
      <c r="Q1528" s="60" t="n">
        <f aca="false">IF(BR1528=1,0,IFERROR(VLOOKUP(BP1528,'Gebinde-Kategorie'!$A$5:$M$45,13,0)+0,0))</f>
        <v>0</v>
      </c>
      <c r="R1528" s="61"/>
      <c r="S1528" s="62"/>
      <c r="T1528" s="62"/>
      <c r="U1528" s="55"/>
      <c r="V1528" s="57"/>
      <c r="W1528" s="57"/>
      <c r="X1528" s="55" t="str">
        <f aca="false">IF(A1528="","",IF(AND(Parameter!$B$21="Ja",ISNUMBER(U1528)),U1528,IF(IFERROR(VLOOKUP(D1528,Parameter!$A$35:$C$64,2,0),"Nein")="2+3",IF(ISNUMBER(SEARCH("grosser Artikel",BM1528)),2,IFERROR(VLOOKUP(BP1528,Parameter!$F$35:$G$64,2,0),2)),IF(OR(IFERROR(VLOOKUP(D1528,Parameter!$A$35:$C$64,2,0),"Nein")="Nein",IFERROR(VLOOKUP(D1528,Parameter!$A$35:$C$64,2,0),"Nein")=""),"-",VLOOKUP(D1528,Parameter!$A$35:$C$64,2,0)))))</f>
        <v/>
      </c>
      <c r="Y1528" s="55" t="str">
        <f aca="false">IF('Neue Artikel'!$J$56="","",'Neue Artikel'!$J$56)</f>
        <v/>
      </c>
      <c r="Z1528" s="63"/>
      <c r="AA1528" s="57" t="n">
        <f aca="false">AP1528</f>
        <v>0</v>
      </c>
      <c r="AB1528" s="57" t="n">
        <f aca="false">MAX(AP1528,G1528)</f>
        <v>0</v>
      </c>
      <c r="AC1528" s="64"/>
      <c r="AD1528" s="57" t="n">
        <f aca="false">IF(LEFT(Cockpit!$C$5,1)="A",G1528,IF(BW1528=1,BX1528,IF(LEFT(Cockpit!$C$5,1)="B",AH1528,MAX(AH1528,G1528))))</f>
        <v>0</v>
      </c>
      <c r="AE1528" s="57" t="n">
        <f aca="false">IF(BR1528=1,0,ROUNDUP(AD1528/BQ1528,0))</f>
        <v>0</v>
      </c>
      <c r="AF1528" s="59" t="n">
        <f aca="false">IF(CD1528&gt;0,CD1528*MAX(1,AD1528/V1528),IF(BR1528=1,IF(AD1528&lt;=0,0,BS1528*MAX(1,IF(G1528&gt;0,AD1528/G1528,1))),IF(Q1528&gt;0,AE1528/Q1528,0))/MAX(0.1,N(Parameter!$M$21)))</f>
        <v>0</v>
      </c>
      <c r="AG1528" s="57" t="n">
        <f aca="false">AD1528*F1528</f>
        <v>0</v>
      </c>
      <c r="AH1528" s="57" t="n">
        <f aca="false">ROUNDUP(MAX(I1528/IF(BV1528&gt;0,BV1528,MAX(0.1,N(Cockpit!$C$6))),BY1528)/BQ1528,0)*BQ1528</f>
        <v>0</v>
      </c>
      <c r="AI1528" s="58" t="n">
        <f aca="false">IF(AF1528&gt;0,I1528/AF1528,-1)</f>
        <v>-1</v>
      </c>
      <c r="AJ1528" s="58" t="str">
        <f aca="false">IF(AND(OR(BU1528="L1",BU1528="L23"),AF1528&gt;0),SUMIFS($AF$7:$AF$1576,$BU$7:$BU$1576,BU1528,$AI$7:$AI$1576,"&gt;"&amp;AI1528)+SUMIFS($AF$7:$AF$1576,$BU$7:$BU$1576,BU1528,$AI$7:$AI$1576,AI1528,$BO$7:$BO$1576,"&lt;="&amp;BO1528),"")</f>
        <v/>
      </c>
      <c r="AK1528" s="65" t="n">
        <f aca="false">IF(AJ1528="",0,MAX(0,MIN(1,(IF(BU1528="L1",Parameter!$E$5,Parameter!$E$6+Parameter!$E$7)-(AJ1528-AF1528))/AF1528)))</f>
        <v>0</v>
      </c>
      <c r="AL1528" s="57" t="n">
        <f aca="false">IF(LEFT(Cockpit!$I$5,1)="A",G1528,IF(BW1528=1,BX1528,IF(LEFT(Cockpit!$I$5,1)="B",AP1528,MAX(AP1528,G1528))))</f>
        <v>0</v>
      </c>
      <c r="AM1528" s="57" t="n">
        <f aca="false">IF(BR1528=1,0,ROUNDUP(AL1528/BQ1528,0))</f>
        <v>0</v>
      </c>
      <c r="AN1528" s="59" t="n">
        <f aca="false">IF(CD1528&gt;0,CD1528*MAX(1,AL1528/V1528),IF(BR1528=1,IF(AL1528&lt;=0,0,BS1528*MAX(1,IF(G1528&gt;0,AL1528/G1528,1))),IF(Q1528&gt;0,AM1528/Q1528,0))/MAX(0.1,N(Parameter!$M$21)))</f>
        <v>0</v>
      </c>
      <c r="AO1528" s="57" t="n">
        <f aca="false">AL1528*F1528</f>
        <v>0</v>
      </c>
      <c r="AP1528" s="57" t="n">
        <f aca="false">ROUNDUP(MAX(I1528/IF(BV1528&gt;0,BV1528,MAX(0.1,N(Cockpit!$I$6))),BY1528)/BQ1528,0)*BQ1528</f>
        <v>0</v>
      </c>
      <c r="AQ1528" s="58" t="n">
        <f aca="false">IF(AN1528&gt;0,I1528/AN1528,-1)</f>
        <v>-1</v>
      </c>
      <c r="AR1528" s="58" t="str">
        <f aca="false">IF(AND(OR(BU1528="L1",BU1528="L23"),AN1528&gt;0),SUMIFS($AN$7:$AN$1576,$BU$7:$BU$1576,BU1528,$AQ$7:$AQ$1576,"&gt;"&amp;AQ1528)+SUMIFS($AN$7:$AN$1576,$BU$7:$BU$1576,BU1528,$AQ$7:$AQ$1576,AQ1528,$BO$7:$BO$1576,"&lt;="&amp;BO1528),"")</f>
        <v/>
      </c>
      <c r="AS1528" s="65" t="n">
        <f aca="false">IF(AR1528="",0,MAX(0,MIN(1,(IF(BU1528="L1",Parameter!$E$5,Parameter!$E$6+Parameter!$E$7)-(AR1528-AN1528))/AN1528)))</f>
        <v>0</v>
      </c>
      <c r="AT1528" s="57" t="n">
        <f aca="false">IF(LEFT(Cockpit!$O$5,1)="A",G1528,IF(BW1528=1,BX1528,IF(LEFT(Cockpit!$O$5,1)="B",AX1528,MAX(AX1528,G1528))))</f>
        <v>0</v>
      </c>
      <c r="AU1528" s="57" t="n">
        <f aca="false">IF(BR1528=1,0,ROUNDUP(AT1528/BQ1528,0))</f>
        <v>0</v>
      </c>
      <c r="AV1528" s="59" t="n">
        <f aca="false">IF(CD1528&gt;0,CD1528*MAX(1,AT1528/V1528),IF(BR1528=1,IF(AT1528&lt;=0,0,BS1528*MAX(1,IF(G1528&gt;0,AT1528/G1528,1))),IF(Q1528&gt;0,AU1528/Q1528,0))/MAX(0.1,N(Parameter!$M$21)))</f>
        <v>0</v>
      </c>
      <c r="AW1528" s="57" t="n">
        <f aca="false">AT1528*F1528</f>
        <v>0</v>
      </c>
      <c r="AX1528" s="57" t="n">
        <f aca="false">ROUNDUP(MAX(I1528/IF(BV1528&gt;0,BV1528,MAX(0.1,N(Cockpit!$O$6))),BY1528)/BQ1528,0)*BQ1528</f>
        <v>0</v>
      </c>
      <c r="AY1528" s="58" t="n">
        <f aca="false">IF(AV1528&gt;0,I1528/AV1528,-1)</f>
        <v>-1</v>
      </c>
      <c r="AZ1528" s="58" t="str">
        <f aca="false">IF(AND(OR(BU1528="L1",BU1528="L23"),AV1528&gt;0),SUMIFS($AV$7:$AV$1576,$BU$7:$BU$1576,BU1528,$AY$7:$AY$1576,"&gt;"&amp;AY1528)+SUMIFS($AV$7:$AV$1576,$BU$7:$BU$1576,BU1528,$AY$7:$AY$1576,AY1528,$BO$7:$BO$1576,"&lt;="&amp;BO1528),"")</f>
        <v/>
      </c>
      <c r="BA1528" s="65" t="n">
        <f aca="false">IF(AZ1528="",0,MAX(0,MIN(1,(IF(BU1528="L1",Parameter!$E$5,Parameter!$E$6+Parameter!$E$7)-(AZ1528-AV1528))/AV1528)))</f>
        <v>0</v>
      </c>
      <c r="BB1528" s="55" t="str">
        <f aca="false">IF(AF1528&lt;=0,"",IF(BU1528="Aussen","Aussenlager",IF(BU1528="-","Nicht im Lift",IF(AK1528&gt;=1,"Lift",IF(AK1528&lt;=0,"Aussenlager","teilweise")))))</f>
        <v/>
      </c>
      <c r="BC1528" s="55" t="str">
        <f aca="false">IF(AN1528&lt;=0,"",IF(BU1528="Aussen","Aussenlager",IF(BU1528="-","Nicht im Lift",IF(AS1528&gt;=1,"Lift",IF(AS1528&lt;=0,"Aussenlager","teilweise")))))</f>
        <v/>
      </c>
      <c r="BD1528" s="55" t="str">
        <f aca="false">IF(AV1528&lt;=0,"",IF(BU1528="Aussen","Aussenlager",IF(BU1528="-","Nicht im Lift",IF(BA1528&gt;=1,"Lift",IF(BA1528&lt;=0,"Aussenlager","teilweise")))))</f>
        <v/>
      </c>
      <c r="BE1528" s="55" t="str">
        <f aca="false">IF(A1528="","",IF(BN1528=1,"Neu; ","")&amp;IF(AND(BN1528=0,BI1528&lt;0),"negativer Bestand (Export "&amp;BI1528&amp;"); ","")&amp;IF(I1528&lt;=0,"Kein Verbrauch; ","")&amp;IF(CD1528&gt;0,"Lift "&amp;U1528&amp;" lt. Liftbericht (Fach "&amp;V1528&amp;" Stk); ",IF(BR1528=1,"Lose – Fläche geschätzt; ",""))&amp;IF(G1528&gt;AP1528,"Überbestand "&amp;ROUND(G1528-AP1528,0)&amp;" Stk / CHF "&amp;ROUND((G1528-AP1528)*F1528,0)&amp;"; ","")&amp;IF(AND(BW1528=1,BX1528&lt;BY1528),"MAX &lt; MB+LG; ","")&amp;IF(AND(CC1528&gt;0,CB1528*10&gt;CC1528),"zu hoch für Tablar; ","")&amp;IF(AND(BN1528=0,OR(BW1528=1,Y1528&lt;&gt;"",S1528&lt;&gt;"",T1528&lt;&gt;"",Z1528&lt;&gt;"")),"manuell übersteuert; ","")&amp;IF(AND(BR1528=0,Q1528=0),"Gebinde unbekannt / Stellmass fehlt; ","")&amp;IF(AND(BR1528=0,N(T1528)&lt;=0,N(P1528)&lt;=0),"Menge pro Gebinde fehlt (Ist = 1 Gebinde); ","")&amp;BM1528)</f>
        <v/>
      </c>
      <c r="BF1528" s="55"/>
      <c r="BG1528" s="55"/>
      <c r="BH1528" s="62"/>
      <c r="BI1528" s="57" t="n">
        <f aca="false">N('Neue Artikel'!$D$56)</f>
        <v>0</v>
      </c>
      <c r="BJ1528" s="57" t="n">
        <v>0</v>
      </c>
      <c r="BK1528" s="56" t="n">
        <v>0</v>
      </c>
      <c r="BL1528" s="57" t="n">
        <f aca="false">N('Neue Artikel'!$C$56)/Parameter!$B$18</f>
        <v>0</v>
      </c>
      <c r="BM1528" s="55"/>
      <c r="BN1528" s="60" t="n">
        <v>1</v>
      </c>
      <c r="BO1528" s="60" t="n">
        <v>1528</v>
      </c>
      <c r="BP1528" s="55" t="str">
        <f aca="false">IF(S1528&lt;&gt;"",UPPER(TRIM(S1528)),IF(O1528="","LOSE",O1528))</f>
        <v>LOSE</v>
      </c>
      <c r="BQ1528" s="57" t="n">
        <f aca="false">IF(BP1528="LOSE",1,IF(N(T1528)&gt;0,T1528,IF(N(P1528)&gt;0,P1528,MAX(1,G1528))))</f>
        <v>1</v>
      </c>
      <c r="BR1528" s="60" t="n">
        <f aca="false">IF(BP1528="LOSE",1,0)</f>
        <v>1</v>
      </c>
      <c r="BS1528" s="59" t="n">
        <f aca="false">IF(BR1528=0,0,IF(N(R1528)&gt;0,R1528,IFERROR(VLOOKUP(D1528,Parameter!$A$35:$C$64,3,0)+0,0)))</f>
        <v>0.15</v>
      </c>
      <c r="BT1528" s="55" t="str">
        <f aca="false">IF(Y1528&lt;&gt;"",Y1528,X1528)</f>
        <v/>
      </c>
      <c r="BU1528" s="55" t="str">
        <f aca="false">IF(BT1528=1,"L1",IF(OR(BT1528=2,BT1528=3),"L23",IF(BT1528="Aussen","Aussen","-")))</f>
        <v>-</v>
      </c>
      <c r="BV1528" s="66" t="n">
        <f aca="false">IF(N(Z1528)&gt;0,Z1528,0)</f>
        <v>0</v>
      </c>
      <c r="BW1528" s="60" t="n">
        <f aca="false">IF(ISNUMBER(AC1528),1,0)</f>
        <v>0</v>
      </c>
      <c r="BX1528" s="57" t="n">
        <f aca="false">N(AC1528)</f>
        <v>0</v>
      </c>
      <c r="BY1528" s="57" t="n">
        <f aca="false">N(L1528)+N(M1528)</f>
        <v>0</v>
      </c>
      <c r="BZ1528" s="57" t="n">
        <f aca="false">ROUNDUP(G1528/BQ1528,0)</f>
        <v>0</v>
      </c>
      <c r="CA1528" s="57" t="n">
        <f aca="false">ROUNDUP(BX1528/BQ1528,0)</f>
        <v>0</v>
      </c>
      <c r="CB1528" s="60" t="n">
        <f aca="false">IF(BR1528=1,0,IFERROR(VLOOKUP(BP1528,'Gebinde-Kategorie'!$A$5:$M$45,5,0)+0,0))</f>
        <v>0</v>
      </c>
      <c r="CC1528" s="60" t="n">
        <f aca="false">IFERROR(IF(OR(BT1528=1,BT1528=2,BT1528=3),N(INDEX(Parameter!$I$5:$I$7,BT1528)),0),0)</f>
        <v>0</v>
      </c>
      <c r="CD1528" s="59" t="n">
        <f aca="false">IF(AND(Parameter!$B$21="Ja",ISNUMBER(U1528),N(V1528)&gt;0),IFERROR(N(INDEX(Parameter!$L$5:$L$7,U1528))*INDEX(Parameter!$E$5:$E$7,U1528)*V1528/SUMIFS($V$7:$V$1576,$U$7:$U$1576,U1528),0),0)</f>
        <v>0</v>
      </c>
    </row>
    <row r="1529" customFormat="false" ht="15" hidden="false" customHeight="false" outlineLevel="0" collapsed="false">
      <c r="A1529" s="55" t="str">
        <f aca="false">IF('Neue Artikel'!$A$57="","",'Neue Artikel'!$A$57&amp;"")</f>
        <v/>
      </c>
      <c r="B1529" s="55" t="str">
        <f aca="false">'Neue Artikel'!$B$57&amp;""</f>
        <v/>
      </c>
      <c r="C1529" s="55"/>
      <c r="D1529" s="55" t="s">
        <v>2561</v>
      </c>
      <c r="E1529" s="55"/>
      <c r="F1529" s="56" t="n">
        <f aca="false">N('Neue Artikel'!$G$57)</f>
        <v>0</v>
      </c>
      <c r="G1529" s="57" t="n">
        <f aca="false">MAX(0,IF(AND(Parameter!$B$21="Ja",ISNUMBER(W1529)),W1529,IF(Parameter!$B$20="Jahresanfang 2025 + Export",BJ1529+BI1529,BI1529)))</f>
        <v>0</v>
      </c>
      <c r="H1529" s="57" t="n">
        <f aca="false">G1529*F1529</f>
        <v>0</v>
      </c>
      <c r="I1529" s="57" t="n">
        <f aca="false">BL1529*Parameter!$B$18</f>
        <v>0</v>
      </c>
      <c r="J1529" s="58"/>
      <c r="K1529" s="59"/>
      <c r="L1529" s="57" t="n">
        <f aca="false">N('Neue Artikel'!$E$57)</f>
        <v>0</v>
      </c>
      <c r="M1529" s="57" t="n">
        <f aca="false">N('Neue Artikel'!$F$57)</f>
        <v>0</v>
      </c>
      <c r="N1529" s="60"/>
      <c r="O1529" s="55" t="str">
        <f aca="false">IF('Neue Artikel'!$H$57="","LOSE",UPPER(TRIM('Neue Artikel'!$H$57)))</f>
        <v>LOSE</v>
      </c>
      <c r="P1529" s="57" t="n">
        <f aca="false">N('Neue Artikel'!$I$57)</f>
        <v>0</v>
      </c>
      <c r="Q1529" s="60" t="n">
        <f aca="false">IF(BR1529=1,0,IFERROR(VLOOKUP(BP1529,'Gebinde-Kategorie'!$A$5:$M$45,13,0)+0,0))</f>
        <v>0</v>
      </c>
      <c r="R1529" s="61"/>
      <c r="S1529" s="62"/>
      <c r="T1529" s="62"/>
      <c r="U1529" s="55"/>
      <c r="V1529" s="57"/>
      <c r="W1529" s="57"/>
      <c r="X1529" s="55" t="str">
        <f aca="false">IF(A1529="","",IF(AND(Parameter!$B$21="Ja",ISNUMBER(U1529)),U1529,IF(IFERROR(VLOOKUP(D1529,Parameter!$A$35:$C$64,2,0),"Nein")="2+3",IF(ISNUMBER(SEARCH("grosser Artikel",BM1529)),2,IFERROR(VLOOKUP(BP1529,Parameter!$F$35:$G$64,2,0),2)),IF(OR(IFERROR(VLOOKUP(D1529,Parameter!$A$35:$C$64,2,0),"Nein")="Nein",IFERROR(VLOOKUP(D1529,Parameter!$A$35:$C$64,2,0),"Nein")=""),"-",VLOOKUP(D1529,Parameter!$A$35:$C$64,2,0)))))</f>
        <v/>
      </c>
      <c r="Y1529" s="55" t="str">
        <f aca="false">IF('Neue Artikel'!$J$57="","",'Neue Artikel'!$J$57)</f>
        <v/>
      </c>
      <c r="Z1529" s="63"/>
      <c r="AA1529" s="57" t="n">
        <f aca="false">AP1529</f>
        <v>0</v>
      </c>
      <c r="AB1529" s="57" t="n">
        <f aca="false">MAX(AP1529,G1529)</f>
        <v>0</v>
      </c>
      <c r="AC1529" s="64"/>
      <c r="AD1529" s="57" t="n">
        <f aca="false">IF(LEFT(Cockpit!$C$5,1)="A",G1529,IF(BW1529=1,BX1529,IF(LEFT(Cockpit!$C$5,1)="B",AH1529,MAX(AH1529,G1529))))</f>
        <v>0</v>
      </c>
      <c r="AE1529" s="57" t="n">
        <f aca="false">IF(BR1529=1,0,ROUNDUP(AD1529/BQ1529,0))</f>
        <v>0</v>
      </c>
      <c r="AF1529" s="59" t="n">
        <f aca="false">IF(CD1529&gt;0,CD1529*MAX(1,AD1529/V1529),IF(BR1529=1,IF(AD1529&lt;=0,0,BS1529*MAX(1,IF(G1529&gt;0,AD1529/G1529,1))),IF(Q1529&gt;0,AE1529/Q1529,0))/MAX(0.1,N(Parameter!$M$21)))</f>
        <v>0</v>
      </c>
      <c r="AG1529" s="57" t="n">
        <f aca="false">AD1529*F1529</f>
        <v>0</v>
      </c>
      <c r="AH1529" s="57" t="n">
        <f aca="false">ROUNDUP(MAX(I1529/IF(BV1529&gt;0,BV1529,MAX(0.1,N(Cockpit!$C$6))),BY1529)/BQ1529,0)*BQ1529</f>
        <v>0</v>
      </c>
      <c r="AI1529" s="58" t="n">
        <f aca="false">IF(AF1529&gt;0,I1529/AF1529,-1)</f>
        <v>-1</v>
      </c>
      <c r="AJ1529" s="58" t="str">
        <f aca="false">IF(AND(OR(BU1529="L1",BU1529="L23"),AF1529&gt;0),SUMIFS($AF$7:$AF$1576,$BU$7:$BU$1576,BU1529,$AI$7:$AI$1576,"&gt;"&amp;AI1529)+SUMIFS($AF$7:$AF$1576,$BU$7:$BU$1576,BU1529,$AI$7:$AI$1576,AI1529,$BO$7:$BO$1576,"&lt;="&amp;BO1529),"")</f>
        <v/>
      </c>
      <c r="AK1529" s="65" t="n">
        <f aca="false">IF(AJ1529="",0,MAX(0,MIN(1,(IF(BU1529="L1",Parameter!$E$5,Parameter!$E$6+Parameter!$E$7)-(AJ1529-AF1529))/AF1529)))</f>
        <v>0</v>
      </c>
      <c r="AL1529" s="57" t="n">
        <f aca="false">IF(LEFT(Cockpit!$I$5,1)="A",G1529,IF(BW1529=1,BX1529,IF(LEFT(Cockpit!$I$5,1)="B",AP1529,MAX(AP1529,G1529))))</f>
        <v>0</v>
      </c>
      <c r="AM1529" s="57" t="n">
        <f aca="false">IF(BR1529=1,0,ROUNDUP(AL1529/BQ1529,0))</f>
        <v>0</v>
      </c>
      <c r="AN1529" s="59" t="n">
        <f aca="false">IF(CD1529&gt;0,CD1529*MAX(1,AL1529/V1529),IF(BR1529=1,IF(AL1529&lt;=0,0,BS1529*MAX(1,IF(G1529&gt;0,AL1529/G1529,1))),IF(Q1529&gt;0,AM1529/Q1529,0))/MAX(0.1,N(Parameter!$M$21)))</f>
        <v>0</v>
      </c>
      <c r="AO1529" s="57" t="n">
        <f aca="false">AL1529*F1529</f>
        <v>0</v>
      </c>
      <c r="AP1529" s="57" t="n">
        <f aca="false">ROUNDUP(MAX(I1529/IF(BV1529&gt;0,BV1529,MAX(0.1,N(Cockpit!$I$6))),BY1529)/BQ1529,0)*BQ1529</f>
        <v>0</v>
      </c>
      <c r="AQ1529" s="58" t="n">
        <f aca="false">IF(AN1529&gt;0,I1529/AN1529,-1)</f>
        <v>-1</v>
      </c>
      <c r="AR1529" s="58" t="str">
        <f aca="false">IF(AND(OR(BU1529="L1",BU1529="L23"),AN1529&gt;0),SUMIFS($AN$7:$AN$1576,$BU$7:$BU$1576,BU1529,$AQ$7:$AQ$1576,"&gt;"&amp;AQ1529)+SUMIFS($AN$7:$AN$1576,$BU$7:$BU$1576,BU1529,$AQ$7:$AQ$1576,AQ1529,$BO$7:$BO$1576,"&lt;="&amp;BO1529),"")</f>
        <v/>
      </c>
      <c r="AS1529" s="65" t="n">
        <f aca="false">IF(AR1529="",0,MAX(0,MIN(1,(IF(BU1529="L1",Parameter!$E$5,Parameter!$E$6+Parameter!$E$7)-(AR1529-AN1529))/AN1529)))</f>
        <v>0</v>
      </c>
      <c r="AT1529" s="57" t="n">
        <f aca="false">IF(LEFT(Cockpit!$O$5,1)="A",G1529,IF(BW1529=1,BX1529,IF(LEFT(Cockpit!$O$5,1)="B",AX1529,MAX(AX1529,G1529))))</f>
        <v>0</v>
      </c>
      <c r="AU1529" s="57" t="n">
        <f aca="false">IF(BR1529=1,0,ROUNDUP(AT1529/BQ1529,0))</f>
        <v>0</v>
      </c>
      <c r="AV1529" s="59" t="n">
        <f aca="false">IF(CD1529&gt;0,CD1529*MAX(1,AT1529/V1529),IF(BR1529=1,IF(AT1529&lt;=0,0,BS1529*MAX(1,IF(G1529&gt;0,AT1529/G1529,1))),IF(Q1529&gt;0,AU1529/Q1529,0))/MAX(0.1,N(Parameter!$M$21)))</f>
        <v>0</v>
      </c>
      <c r="AW1529" s="57" t="n">
        <f aca="false">AT1529*F1529</f>
        <v>0</v>
      </c>
      <c r="AX1529" s="57" t="n">
        <f aca="false">ROUNDUP(MAX(I1529/IF(BV1529&gt;0,BV1529,MAX(0.1,N(Cockpit!$O$6))),BY1529)/BQ1529,0)*BQ1529</f>
        <v>0</v>
      </c>
      <c r="AY1529" s="58" t="n">
        <f aca="false">IF(AV1529&gt;0,I1529/AV1529,-1)</f>
        <v>-1</v>
      </c>
      <c r="AZ1529" s="58" t="str">
        <f aca="false">IF(AND(OR(BU1529="L1",BU1529="L23"),AV1529&gt;0),SUMIFS($AV$7:$AV$1576,$BU$7:$BU$1576,BU1529,$AY$7:$AY$1576,"&gt;"&amp;AY1529)+SUMIFS($AV$7:$AV$1576,$BU$7:$BU$1576,BU1529,$AY$7:$AY$1576,AY1529,$BO$7:$BO$1576,"&lt;="&amp;BO1529),"")</f>
        <v/>
      </c>
      <c r="BA1529" s="65" t="n">
        <f aca="false">IF(AZ1529="",0,MAX(0,MIN(1,(IF(BU1529="L1",Parameter!$E$5,Parameter!$E$6+Parameter!$E$7)-(AZ1529-AV1529))/AV1529)))</f>
        <v>0</v>
      </c>
      <c r="BB1529" s="55" t="str">
        <f aca="false">IF(AF1529&lt;=0,"",IF(BU1529="Aussen","Aussenlager",IF(BU1529="-","Nicht im Lift",IF(AK1529&gt;=1,"Lift",IF(AK1529&lt;=0,"Aussenlager","teilweise")))))</f>
        <v/>
      </c>
      <c r="BC1529" s="55" t="str">
        <f aca="false">IF(AN1529&lt;=0,"",IF(BU1529="Aussen","Aussenlager",IF(BU1529="-","Nicht im Lift",IF(AS1529&gt;=1,"Lift",IF(AS1529&lt;=0,"Aussenlager","teilweise")))))</f>
        <v/>
      </c>
      <c r="BD1529" s="55" t="str">
        <f aca="false">IF(AV1529&lt;=0,"",IF(BU1529="Aussen","Aussenlager",IF(BU1529="-","Nicht im Lift",IF(BA1529&gt;=1,"Lift",IF(BA1529&lt;=0,"Aussenlager","teilweise")))))</f>
        <v/>
      </c>
      <c r="BE1529" s="55" t="str">
        <f aca="false">IF(A1529="","",IF(BN1529=1,"Neu; ","")&amp;IF(AND(BN1529=0,BI1529&lt;0),"negativer Bestand (Export "&amp;BI1529&amp;"); ","")&amp;IF(I1529&lt;=0,"Kein Verbrauch; ","")&amp;IF(CD1529&gt;0,"Lift "&amp;U1529&amp;" lt. Liftbericht (Fach "&amp;V1529&amp;" Stk); ",IF(BR1529=1,"Lose – Fläche geschätzt; ",""))&amp;IF(G1529&gt;AP1529,"Überbestand "&amp;ROUND(G1529-AP1529,0)&amp;" Stk / CHF "&amp;ROUND((G1529-AP1529)*F1529,0)&amp;"; ","")&amp;IF(AND(BW1529=1,BX1529&lt;BY1529),"MAX &lt; MB+LG; ","")&amp;IF(AND(CC1529&gt;0,CB1529*10&gt;CC1529),"zu hoch für Tablar; ","")&amp;IF(AND(BN1529=0,OR(BW1529=1,Y1529&lt;&gt;"",S1529&lt;&gt;"",T1529&lt;&gt;"",Z1529&lt;&gt;"")),"manuell übersteuert; ","")&amp;IF(AND(BR1529=0,Q1529=0),"Gebinde unbekannt / Stellmass fehlt; ","")&amp;IF(AND(BR1529=0,N(T1529)&lt;=0,N(P1529)&lt;=0),"Menge pro Gebinde fehlt (Ist = 1 Gebinde); ","")&amp;BM1529)</f>
        <v/>
      </c>
      <c r="BF1529" s="55"/>
      <c r="BG1529" s="55"/>
      <c r="BH1529" s="62"/>
      <c r="BI1529" s="57" t="n">
        <f aca="false">N('Neue Artikel'!$D$57)</f>
        <v>0</v>
      </c>
      <c r="BJ1529" s="57" t="n">
        <v>0</v>
      </c>
      <c r="BK1529" s="56" t="n">
        <v>0</v>
      </c>
      <c r="BL1529" s="57" t="n">
        <f aca="false">N('Neue Artikel'!$C$57)/Parameter!$B$18</f>
        <v>0</v>
      </c>
      <c r="BM1529" s="55"/>
      <c r="BN1529" s="60" t="n">
        <v>1</v>
      </c>
      <c r="BO1529" s="60" t="n">
        <v>1529</v>
      </c>
      <c r="BP1529" s="55" t="str">
        <f aca="false">IF(S1529&lt;&gt;"",UPPER(TRIM(S1529)),IF(O1529="","LOSE",O1529))</f>
        <v>LOSE</v>
      </c>
      <c r="BQ1529" s="57" t="n">
        <f aca="false">IF(BP1529="LOSE",1,IF(N(T1529)&gt;0,T1529,IF(N(P1529)&gt;0,P1529,MAX(1,G1529))))</f>
        <v>1</v>
      </c>
      <c r="BR1529" s="60" t="n">
        <f aca="false">IF(BP1529="LOSE",1,0)</f>
        <v>1</v>
      </c>
      <c r="BS1529" s="59" t="n">
        <f aca="false">IF(BR1529=0,0,IF(N(R1529)&gt;0,R1529,IFERROR(VLOOKUP(D1529,Parameter!$A$35:$C$64,3,0)+0,0)))</f>
        <v>0.15</v>
      </c>
      <c r="BT1529" s="55" t="str">
        <f aca="false">IF(Y1529&lt;&gt;"",Y1529,X1529)</f>
        <v/>
      </c>
      <c r="BU1529" s="55" t="str">
        <f aca="false">IF(BT1529=1,"L1",IF(OR(BT1529=2,BT1529=3),"L23",IF(BT1529="Aussen","Aussen","-")))</f>
        <v>-</v>
      </c>
      <c r="BV1529" s="66" t="n">
        <f aca="false">IF(N(Z1529)&gt;0,Z1529,0)</f>
        <v>0</v>
      </c>
      <c r="BW1529" s="60" t="n">
        <f aca="false">IF(ISNUMBER(AC1529),1,0)</f>
        <v>0</v>
      </c>
      <c r="BX1529" s="57" t="n">
        <f aca="false">N(AC1529)</f>
        <v>0</v>
      </c>
      <c r="BY1529" s="57" t="n">
        <f aca="false">N(L1529)+N(M1529)</f>
        <v>0</v>
      </c>
      <c r="BZ1529" s="57" t="n">
        <f aca="false">ROUNDUP(G1529/BQ1529,0)</f>
        <v>0</v>
      </c>
      <c r="CA1529" s="57" t="n">
        <f aca="false">ROUNDUP(BX1529/BQ1529,0)</f>
        <v>0</v>
      </c>
      <c r="CB1529" s="60" t="n">
        <f aca="false">IF(BR1529=1,0,IFERROR(VLOOKUP(BP1529,'Gebinde-Kategorie'!$A$5:$M$45,5,0)+0,0))</f>
        <v>0</v>
      </c>
      <c r="CC1529" s="60" t="n">
        <f aca="false">IFERROR(IF(OR(BT1529=1,BT1529=2,BT1529=3),N(INDEX(Parameter!$I$5:$I$7,BT1529)),0),0)</f>
        <v>0</v>
      </c>
      <c r="CD1529" s="59" t="n">
        <f aca="false">IF(AND(Parameter!$B$21="Ja",ISNUMBER(U1529),N(V1529)&gt;0),IFERROR(N(INDEX(Parameter!$L$5:$L$7,U1529))*INDEX(Parameter!$E$5:$E$7,U1529)*V1529/SUMIFS($V$7:$V$1576,$U$7:$U$1576,U1529),0),0)</f>
        <v>0</v>
      </c>
    </row>
    <row r="1530" customFormat="false" ht="15" hidden="false" customHeight="false" outlineLevel="0" collapsed="false">
      <c r="A1530" s="55" t="str">
        <f aca="false">IF('Neue Artikel'!$A$58="","",'Neue Artikel'!$A$58&amp;"")</f>
        <v/>
      </c>
      <c r="B1530" s="55" t="str">
        <f aca="false">'Neue Artikel'!$B$58&amp;""</f>
        <v/>
      </c>
      <c r="C1530" s="55"/>
      <c r="D1530" s="55" t="s">
        <v>2561</v>
      </c>
      <c r="E1530" s="55"/>
      <c r="F1530" s="56" t="n">
        <f aca="false">N('Neue Artikel'!$G$58)</f>
        <v>0</v>
      </c>
      <c r="G1530" s="57" t="n">
        <f aca="false">MAX(0,IF(AND(Parameter!$B$21="Ja",ISNUMBER(W1530)),W1530,IF(Parameter!$B$20="Jahresanfang 2025 + Export",BJ1530+BI1530,BI1530)))</f>
        <v>0</v>
      </c>
      <c r="H1530" s="57" t="n">
        <f aca="false">G1530*F1530</f>
        <v>0</v>
      </c>
      <c r="I1530" s="57" t="n">
        <f aca="false">BL1530*Parameter!$B$18</f>
        <v>0</v>
      </c>
      <c r="J1530" s="58"/>
      <c r="K1530" s="59"/>
      <c r="L1530" s="57" t="n">
        <f aca="false">N('Neue Artikel'!$E$58)</f>
        <v>0</v>
      </c>
      <c r="M1530" s="57" t="n">
        <f aca="false">N('Neue Artikel'!$F$58)</f>
        <v>0</v>
      </c>
      <c r="N1530" s="60"/>
      <c r="O1530" s="55" t="str">
        <f aca="false">IF('Neue Artikel'!$H$58="","LOSE",UPPER(TRIM('Neue Artikel'!$H$58)))</f>
        <v>LOSE</v>
      </c>
      <c r="P1530" s="57" t="n">
        <f aca="false">N('Neue Artikel'!$I$58)</f>
        <v>0</v>
      </c>
      <c r="Q1530" s="60" t="n">
        <f aca="false">IF(BR1530=1,0,IFERROR(VLOOKUP(BP1530,'Gebinde-Kategorie'!$A$5:$M$45,13,0)+0,0))</f>
        <v>0</v>
      </c>
      <c r="R1530" s="61"/>
      <c r="S1530" s="62"/>
      <c r="T1530" s="62"/>
      <c r="U1530" s="55"/>
      <c r="V1530" s="57"/>
      <c r="W1530" s="57"/>
      <c r="X1530" s="55" t="str">
        <f aca="false">IF(A1530="","",IF(AND(Parameter!$B$21="Ja",ISNUMBER(U1530)),U1530,IF(IFERROR(VLOOKUP(D1530,Parameter!$A$35:$C$64,2,0),"Nein")="2+3",IF(ISNUMBER(SEARCH("grosser Artikel",BM1530)),2,IFERROR(VLOOKUP(BP1530,Parameter!$F$35:$G$64,2,0),2)),IF(OR(IFERROR(VLOOKUP(D1530,Parameter!$A$35:$C$64,2,0),"Nein")="Nein",IFERROR(VLOOKUP(D1530,Parameter!$A$35:$C$64,2,0),"Nein")=""),"-",VLOOKUP(D1530,Parameter!$A$35:$C$64,2,0)))))</f>
        <v/>
      </c>
      <c r="Y1530" s="55" t="str">
        <f aca="false">IF('Neue Artikel'!$J$58="","",'Neue Artikel'!$J$58)</f>
        <v/>
      </c>
      <c r="Z1530" s="63"/>
      <c r="AA1530" s="57" t="n">
        <f aca="false">AP1530</f>
        <v>0</v>
      </c>
      <c r="AB1530" s="57" t="n">
        <f aca="false">MAX(AP1530,G1530)</f>
        <v>0</v>
      </c>
      <c r="AC1530" s="64"/>
      <c r="AD1530" s="57" t="n">
        <f aca="false">IF(LEFT(Cockpit!$C$5,1)="A",G1530,IF(BW1530=1,BX1530,IF(LEFT(Cockpit!$C$5,1)="B",AH1530,MAX(AH1530,G1530))))</f>
        <v>0</v>
      </c>
      <c r="AE1530" s="57" t="n">
        <f aca="false">IF(BR1530=1,0,ROUNDUP(AD1530/BQ1530,0))</f>
        <v>0</v>
      </c>
      <c r="AF1530" s="59" t="n">
        <f aca="false">IF(CD1530&gt;0,CD1530*MAX(1,AD1530/V1530),IF(BR1530=1,IF(AD1530&lt;=0,0,BS1530*MAX(1,IF(G1530&gt;0,AD1530/G1530,1))),IF(Q1530&gt;0,AE1530/Q1530,0))/MAX(0.1,N(Parameter!$M$21)))</f>
        <v>0</v>
      </c>
      <c r="AG1530" s="57" t="n">
        <f aca="false">AD1530*F1530</f>
        <v>0</v>
      </c>
      <c r="AH1530" s="57" t="n">
        <f aca="false">ROUNDUP(MAX(I1530/IF(BV1530&gt;0,BV1530,MAX(0.1,N(Cockpit!$C$6))),BY1530)/BQ1530,0)*BQ1530</f>
        <v>0</v>
      </c>
      <c r="AI1530" s="58" t="n">
        <f aca="false">IF(AF1530&gt;0,I1530/AF1530,-1)</f>
        <v>-1</v>
      </c>
      <c r="AJ1530" s="58" t="str">
        <f aca="false">IF(AND(OR(BU1530="L1",BU1530="L23"),AF1530&gt;0),SUMIFS($AF$7:$AF$1576,$BU$7:$BU$1576,BU1530,$AI$7:$AI$1576,"&gt;"&amp;AI1530)+SUMIFS($AF$7:$AF$1576,$BU$7:$BU$1576,BU1530,$AI$7:$AI$1576,AI1530,$BO$7:$BO$1576,"&lt;="&amp;BO1530),"")</f>
        <v/>
      </c>
      <c r="AK1530" s="65" t="n">
        <f aca="false">IF(AJ1530="",0,MAX(0,MIN(1,(IF(BU1530="L1",Parameter!$E$5,Parameter!$E$6+Parameter!$E$7)-(AJ1530-AF1530))/AF1530)))</f>
        <v>0</v>
      </c>
      <c r="AL1530" s="57" t="n">
        <f aca="false">IF(LEFT(Cockpit!$I$5,1)="A",G1530,IF(BW1530=1,BX1530,IF(LEFT(Cockpit!$I$5,1)="B",AP1530,MAX(AP1530,G1530))))</f>
        <v>0</v>
      </c>
      <c r="AM1530" s="57" t="n">
        <f aca="false">IF(BR1530=1,0,ROUNDUP(AL1530/BQ1530,0))</f>
        <v>0</v>
      </c>
      <c r="AN1530" s="59" t="n">
        <f aca="false">IF(CD1530&gt;0,CD1530*MAX(1,AL1530/V1530),IF(BR1530=1,IF(AL1530&lt;=0,0,BS1530*MAX(1,IF(G1530&gt;0,AL1530/G1530,1))),IF(Q1530&gt;0,AM1530/Q1530,0))/MAX(0.1,N(Parameter!$M$21)))</f>
        <v>0</v>
      </c>
      <c r="AO1530" s="57" t="n">
        <f aca="false">AL1530*F1530</f>
        <v>0</v>
      </c>
      <c r="AP1530" s="57" t="n">
        <f aca="false">ROUNDUP(MAX(I1530/IF(BV1530&gt;0,BV1530,MAX(0.1,N(Cockpit!$I$6))),BY1530)/BQ1530,0)*BQ1530</f>
        <v>0</v>
      </c>
      <c r="AQ1530" s="58" t="n">
        <f aca="false">IF(AN1530&gt;0,I1530/AN1530,-1)</f>
        <v>-1</v>
      </c>
      <c r="AR1530" s="58" t="str">
        <f aca="false">IF(AND(OR(BU1530="L1",BU1530="L23"),AN1530&gt;0),SUMIFS($AN$7:$AN$1576,$BU$7:$BU$1576,BU1530,$AQ$7:$AQ$1576,"&gt;"&amp;AQ1530)+SUMIFS($AN$7:$AN$1576,$BU$7:$BU$1576,BU1530,$AQ$7:$AQ$1576,AQ1530,$BO$7:$BO$1576,"&lt;="&amp;BO1530),"")</f>
        <v/>
      </c>
      <c r="AS1530" s="65" t="n">
        <f aca="false">IF(AR1530="",0,MAX(0,MIN(1,(IF(BU1530="L1",Parameter!$E$5,Parameter!$E$6+Parameter!$E$7)-(AR1530-AN1530))/AN1530)))</f>
        <v>0</v>
      </c>
      <c r="AT1530" s="57" t="n">
        <f aca="false">IF(LEFT(Cockpit!$O$5,1)="A",G1530,IF(BW1530=1,BX1530,IF(LEFT(Cockpit!$O$5,1)="B",AX1530,MAX(AX1530,G1530))))</f>
        <v>0</v>
      </c>
      <c r="AU1530" s="57" t="n">
        <f aca="false">IF(BR1530=1,0,ROUNDUP(AT1530/BQ1530,0))</f>
        <v>0</v>
      </c>
      <c r="AV1530" s="59" t="n">
        <f aca="false">IF(CD1530&gt;0,CD1530*MAX(1,AT1530/V1530),IF(BR1530=1,IF(AT1530&lt;=0,0,BS1530*MAX(1,IF(G1530&gt;0,AT1530/G1530,1))),IF(Q1530&gt;0,AU1530/Q1530,0))/MAX(0.1,N(Parameter!$M$21)))</f>
        <v>0</v>
      </c>
      <c r="AW1530" s="57" t="n">
        <f aca="false">AT1530*F1530</f>
        <v>0</v>
      </c>
      <c r="AX1530" s="57" t="n">
        <f aca="false">ROUNDUP(MAX(I1530/IF(BV1530&gt;0,BV1530,MAX(0.1,N(Cockpit!$O$6))),BY1530)/BQ1530,0)*BQ1530</f>
        <v>0</v>
      </c>
      <c r="AY1530" s="58" t="n">
        <f aca="false">IF(AV1530&gt;0,I1530/AV1530,-1)</f>
        <v>-1</v>
      </c>
      <c r="AZ1530" s="58" t="str">
        <f aca="false">IF(AND(OR(BU1530="L1",BU1530="L23"),AV1530&gt;0),SUMIFS($AV$7:$AV$1576,$BU$7:$BU$1576,BU1530,$AY$7:$AY$1576,"&gt;"&amp;AY1530)+SUMIFS($AV$7:$AV$1576,$BU$7:$BU$1576,BU1530,$AY$7:$AY$1576,AY1530,$BO$7:$BO$1576,"&lt;="&amp;BO1530),"")</f>
        <v/>
      </c>
      <c r="BA1530" s="65" t="n">
        <f aca="false">IF(AZ1530="",0,MAX(0,MIN(1,(IF(BU1530="L1",Parameter!$E$5,Parameter!$E$6+Parameter!$E$7)-(AZ1530-AV1530))/AV1530)))</f>
        <v>0</v>
      </c>
      <c r="BB1530" s="55" t="str">
        <f aca="false">IF(AF1530&lt;=0,"",IF(BU1530="Aussen","Aussenlager",IF(BU1530="-","Nicht im Lift",IF(AK1530&gt;=1,"Lift",IF(AK1530&lt;=0,"Aussenlager","teilweise")))))</f>
        <v/>
      </c>
      <c r="BC1530" s="55" t="str">
        <f aca="false">IF(AN1530&lt;=0,"",IF(BU1530="Aussen","Aussenlager",IF(BU1530="-","Nicht im Lift",IF(AS1530&gt;=1,"Lift",IF(AS1530&lt;=0,"Aussenlager","teilweise")))))</f>
        <v/>
      </c>
      <c r="BD1530" s="55" t="str">
        <f aca="false">IF(AV1530&lt;=0,"",IF(BU1530="Aussen","Aussenlager",IF(BU1530="-","Nicht im Lift",IF(BA1530&gt;=1,"Lift",IF(BA1530&lt;=0,"Aussenlager","teilweise")))))</f>
        <v/>
      </c>
      <c r="BE1530" s="55" t="str">
        <f aca="false">IF(A1530="","",IF(BN1530=1,"Neu; ","")&amp;IF(AND(BN1530=0,BI1530&lt;0),"negativer Bestand (Export "&amp;BI1530&amp;"); ","")&amp;IF(I1530&lt;=0,"Kein Verbrauch; ","")&amp;IF(CD1530&gt;0,"Lift "&amp;U1530&amp;" lt. Liftbericht (Fach "&amp;V1530&amp;" Stk); ",IF(BR1530=1,"Lose – Fläche geschätzt; ",""))&amp;IF(G1530&gt;AP1530,"Überbestand "&amp;ROUND(G1530-AP1530,0)&amp;" Stk / CHF "&amp;ROUND((G1530-AP1530)*F1530,0)&amp;"; ","")&amp;IF(AND(BW1530=1,BX1530&lt;BY1530),"MAX &lt; MB+LG; ","")&amp;IF(AND(CC1530&gt;0,CB1530*10&gt;CC1530),"zu hoch für Tablar; ","")&amp;IF(AND(BN1530=0,OR(BW1530=1,Y1530&lt;&gt;"",S1530&lt;&gt;"",T1530&lt;&gt;"",Z1530&lt;&gt;"")),"manuell übersteuert; ","")&amp;IF(AND(BR1530=0,Q1530=0),"Gebinde unbekannt / Stellmass fehlt; ","")&amp;IF(AND(BR1530=0,N(T1530)&lt;=0,N(P1530)&lt;=0),"Menge pro Gebinde fehlt (Ist = 1 Gebinde); ","")&amp;BM1530)</f>
        <v/>
      </c>
      <c r="BF1530" s="55"/>
      <c r="BG1530" s="55"/>
      <c r="BH1530" s="62"/>
      <c r="BI1530" s="57" t="n">
        <f aca="false">N('Neue Artikel'!$D$58)</f>
        <v>0</v>
      </c>
      <c r="BJ1530" s="57" t="n">
        <v>0</v>
      </c>
      <c r="BK1530" s="56" t="n">
        <v>0</v>
      </c>
      <c r="BL1530" s="57" t="n">
        <f aca="false">N('Neue Artikel'!$C$58)/Parameter!$B$18</f>
        <v>0</v>
      </c>
      <c r="BM1530" s="55"/>
      <c r="BN1530" s="60" t="n">
        <v>1</v>
      </c>
      <c r="BO1530" s="60" t="n">
        <v>1530</v>
      </c>
      <c r="BP1530" s="55" t="str">
        <f aca="false">IF(S1530&lt;&gt;"",UPPER(TRIM(S1530)),IF(O1530="","LOSE",O1530))</f>
        <v>LOSE</v>
      </c>
      <c r="BQ1530" s="57" t="n">
        <f aca="false">IF(BP1530="LOSE",1,IF(N(T1530)&gt;0,T1530,IF(N(P1530)&gt;0,P1530,MAX(1,G1530))))</f>
        <v>1</v>
      </c>
      <c r="BR1530" s="60" t="n">
        <f aca="false">IF(BP1530="LOSE",1,0)</f>
        <v>1</v>
      </c>
      <c r="BS1530" s="59" t="n">
        <f aca="false">IF(BR1530=0,0,IF(N(R1530)&gt;0,R1530,IFERROR(VLOOKUP(D1530,Parameter!$A$35:$C$64,3,0)+0,0)))</f>
        <v>0.15</v>
      </c>
      <c r="BT1530" s="55" t="str">
        <f aca="false">IF(Y1530&lt;&gt;"",Y1530,X1530)</f>
        <v/>
      </c>
      <c r="BU1530" s="55" t="str">
        <f aca="false">IF(BT1530=1,"L1",IF(OR(BT1530=2,BT1530=3),"L23",IF(BT1530="Aussen","Aussen","-")))</f>
        <v>-</v>
      </c>
      <c r="BV1530" s="66" t="n">
        <f aca="false">IF(N(Z1530)&gt;0,Z1530,0)</f>
        <v>0</v>
      </c>
      <c r="BW1530" s="60" t="n">
        <f aca="false">IF(ISNUMBER(AC1530),1,0)</f>
        <v>0</v>
      </c>
      <c r="BX1530" s="57" t="n">
        <f aca="false">N(AC1530)</f>
        <v>0</v>
      </c>
      <c r="BY1530" s="57" t="n">
        <f aca="false">N(L1530)+N(M1530)</f>
        <v>0</v>
      </c>
      <c r="BZ1530" s="57" t="n">
        <f aca="false">ROUNDUP(G1530/BQ1530,0)</f>
        <v>0</v>
      </c>
      <c r="CA1530" s="57" t="n">
        <f aca="false">ROUNDUP(BX1530/BQ1530,0)</f>
        <v>0</v>
      </c>
      <c r="CB1530" s="60" t="n">
        <f aca="false">IF(BR1530=1,0,IFERROR(VLOOKUP(BP1530,'Gebinde-Kategorie'!$A$5:$M$45,5,0)+0,0))</f>
        <v>0</v>
      </c>
      <c r="CC1530" s="60" t="n">
        <f aca="false">IFERROR(IF(OR(BT1530=1,BT1530=2,BT1530=3),N(INDEX(Parameter!$I$5:$I$7,BT1530)),0),0)</f>
        <v>0</v>
      </c>
      <c r="CD1530" s="59" t="n">
        <f aca="false">IF(AND(Parameter!$B$21="Ja",ISNUMBER(U1530),N(V1530)&gt;0),IFERROR(N(INDEX(Parameter!$L$5:$L$7,U1530))*INDEX(Parameter!$E$5:$E$7,U1530)*V1530/SUMIFS($V$7:$V$1576,$U$7:$U$1576,U1530),0),0)</f>
        <v>0</v>
      </c>
    </row>
    <row r="1531" customFormat="false" ht="15" hidden="false" customHeight="false" outlineLevel="0" collapsed="false">
      <c r="A1531" s="55" t="str">
        <f aca="false">IF('Neue Artikel'!$A$59="","",'Neue Artikel'!$A$59&amp;"")</f>
        <v/>
      </c>
      <c r="B1531" s="55" t="str">
        <f aca="false">'Neue Artikel'!$B$59&amp;""</f>
        <v/>
      </c>
      <c r="C1531" s="55"/>
      <c r="D1531" s="55" t="s">
        <v>2561</v>
      </c>
      <c r="E1531" s="55"/>
      <c r="F1531" s="56" t="n">
        <f aca="false">N('Neue Artikel'!$G$59)</f>
        <v>0</v>
      </c>
      <c r="G1531" s="57" t="n">
        <f aca="false">MAX(0,IF(AND(Parameter!$B$21="Ja",ISNUMBER(W1531)),W1531,IF(Parameter!$B$20="Jahresanfang 2025 + Export",BJ1531+BI1531,BI1531)))</f>
        <v>0</v>
      </c>
      <c r="H1531" s="57" t="n">
        <f aca="false">G1531*F1531</f>
        <v>0</v>
      </c>
      <c r="I1531" s="57" t="n">
        <f aca="false">BL1531*Parameter!$B$18</f>
        <v>0</v>
      </c>
      <c r="J1531" s="58"/>
      <c r="K1531" s="59"/>
      <c r="L1531" s="57" t="n">
        <f aca="false">N('Neue Artikel'!$E$59)</f>
        <v>0</v>
      </c>
      <c r="M1531" s="57" t="n">
        <f aca="false">N('Neue Artikel'!$F$59)</f>
        <v>0</v>
      </c>
      <c r="N1531" s="60"/>
      <c r="O1531" s="55" t="str">
        <f aca="false">IF('Neue Artikel'!$H$59="","LOSE",UPPER(TRIM('Neue Artikel'!$H$59)))</f>
        <v>LOSE</v>
      </c>
      <c r="P1531" s="57" t="n">
        <f aca="false">N('Neue Artikel'!$I$59)</f>
        <v>0</v>
      </c>
      <c r="Q1531" s="60" t="n">
        <f aca="false">IF(BR1531=1,0,IFERROR(VLOOKUP(BP1531,'Gebinde-Kategorie'!$A$5:$M$45,13,0)+0,0))</f>
        <v>0</v>
      </c>
      <c r="R1531" s="61"/>
      <c r="S1531" s="62"/>
      <c r="T1531" s="62"/>
      <c r="U1531" s="55"/>
      <c r="V1531" s="57"/>
      <c r="W1531" s="57"/>
      <c r="X1531" s="55" t="str">
        <f aca="false">IF(A1531="","",IF(AND(Parameter!$B$21="Ja",ISNUMBER(U1531)),U1531,IF(IFERROR(VLOOKUP(D1531,Parameter!$A$35:$C$64,2,0),"Nein")="2+3",IF(ISNUMBER(SEARCH("grosser Artikel",BM1531)),2,IFERROR(VLOOKUP(BP1531,Parameter!$F$35:$G$64,2,0),2)),IF(OR(IFERROR(VLOOKUP(D1531,Parameter!$A$35:$C$64,2,0),"Nein")="Nein",IFERROR(VLOOKUP(D1531,Parameter!$A$35:$C$64,2,0),"Nein")=""),"-",VLOOKUP(D1531,Parameter!$A$35:$C$64,2,0)))))</f>
        <v/>
      </c>
      <c r="Y1531" s="55" t="str">
        <f aca="false">IF('Neue Artikel'!$J$59="","",'Neue Artikel'!$J$59)</f>
        <v/>
      </c>
      <c r="Z1531" s="63"/>
      <c r="AA1531" s="57" t="n">
        <f aca="false">AP1531</f>
        <v>0</v>
      </c>
      <c r="AB1531" s="57" t="n">
        <f aca="false">MAX(AP1531,G1531)</f>
        <v>0</v>
      </c>
      <c r="AC1531" s="64"/>
      <c r="AD1531" s="57" t="n">
        <f aca="false">IF(LEFT(Cockpit!$C$5,1)="A",G1531,IF(BW1531=1,BX1531,IF(LEFT(Cockpit!$C$5,1)="B",AH1531,MAX(AH1531,G1531))))</f>
        <v>0</v>
      </c>
      <c r="AE1531" s="57" t="n">
        <f aca="false">IF(BR1531=1,0,ROUNDUP(AD1531/BQ1531,0))</f>
        <v>0</v>
      </c>
      <c r="AF1531" s="59" t="n">
        <f aca="false">IF(CD1531&gt;0,CD1531*MAX(1,AD1531/V1531),IF(BR1531=1,IF(AD1531&lt;=0,0,BS1531*MAX(1,IF(G1531&gt;0,AD1531/G1531,1))),IF(Q1531&gt;0,AE1531/Q1531,0))/MAX(0.1,N(Parameter!$M$21)))</f>
        <v>0</v>
      </c>
      <c r="AG1531" s="57" t="n">
        <f aca="false">AD1531*F1531</f>
        <v>0</v>
      </c>
      <c r="AH1531" s="57" t="n">
        <f aca="false">ROUNDUP(MAX(I1531/IF(BV1531&gt;0,BV1531,MAX(0.1,N(Cockpit!$C$6))),BY1531)/BQ1531,0)*BQ1531</f>
        <v>0</v>
      </c>
      <c r="AI1531" s="58" t="n">
        <f aca="false">IF(AF1531&gt;0,I1531/AF1531,-1)</f>
        <v>-1</v>
      </c>
      <c r="AJ1531" s="58" t="str">
        <f aca="false">IF(AND(OR(BU1531="L1",BU1531="L23"),AF1531&gt;0),SUMIFS($AF$7:$AF$1576,$BU$7:$BU$1576,BU1531,$AI$7:$AI$1576,"&gt;"&amp;AI1531)+SUMIFS($AF$7:$AF$1576,$BU$7:$BU$1576,BU1531,$AI$7:$AI$1576,AI1531,$BO$7:$BO$1576,"&lt;="&amp;BO1531),"")</f>
        <v/>
      </c>
      <c r="AK1531" s="65" t="n">
        <f aca="false">IF(AJ1531="",0,MAX(0,MIN(1,(IF(BU1531="L1",Parameter!$E$5,Parameter!$E$6+Parameter!$E$7)-(AJ1531-AF1531))/AF1531)))</f>
        <v>0</v>
      </c>
      <c r="AL1531" s="57" t="n">
        <f aca="false">IF(LEFT(Cockpit!$I$5,1)="A",G1531,IF(BW1531=1,BX1531,IF(LEFT(Cockpit!$I$5,1)="B",AP1531,MAX(AP1531,G1531))))</f>
        <v>0</v>
      </c>
      <c r="AM1531" s="57" t="n">
        <f aca="false">IF(BR1531=1,0,ROUNDUP(AL1531/BQ1531,0))</f>
        <v>0</v>
      </c>
      <c r="AN1531" s="59" t="n">
        <f aca="false">IF(CD1531&gt;0,CD1531*MAX(1,AL1531/V1531),IF(BR1531=1,IF(AL1531&lt;=0,0,BS1531*MAX(1,IF(G1531&gt;0,AL1531/G1531,1))),IF(Q1531&gt;0,AM1531/Q1531,0))/MAX(0.1,N(Parameter!$M$21)))</f>
        <v>0</v>
      </c>
      <c r="AO1531" s="57" t="n">
        <f aca="false">AL1531*F1531</f>
        <v>0</v>
      </c>
      <c r="AP1531" s="57" t="n">
        <f aca="false">ROUNDUP(MAX(I1531/IF(BV1531&gt;0,BV1531,MAX(0.1,N(Cockpit!$I$6))),BY1531)/BQ1531,0)*BQ1531</f>
        <v>0</v>
      </c>
      <c r="AQ1531" s="58" t="n">
        <f aca="false">IF(AN1531&gt;0,I1531/AN1531,-1)</f>
        <v>-1</v>
      </c>
      <c r="AR1531" s="58" t="str">
        <f aca="false">IF(AND(OR(BU1531="L1",BU1531="L23"),AN1531&gt;0),SUMIFS($AN$7:$AN$1576,$BU$7:$BU$1576,BU1531,$AQ$7:$AQ$1576,"&gt;"&amp;AQ1531)+SUMIFS($AN$7:$AN$1576,$BU$7:$BU$1576,BU1531,$AQ$7:$AQ$1576,AQ1531,$BO$7:$BO$1576,"&lt;="&amp;BO1531),"")</f>
        <v/>
      </c>
      <c r="AS1531" s="65" t="n">
        <f aca="false">IF(AR1531="",0,MAX(0,MIN(1,(IF(BU1531="L1",Parameter!$E$5,Parameter!$E$6+Parameter!$E$7)-(AR1531-AN1531))/AN1531)))</f>
        <v>0</v>
      </c>
      <c r="AT1531" s="57" t="n">
        <f aca="false">IF(LEFT(Cockpit!$O$5,1)="A",G1531,IF(BW1531=1,BX1531,IF(LEFT(Cockpit!$O$5,1)="B",AX1531,MAX(AX1531,G1531))))</f>
        <v>0</v>
      </c>
      <c r="AU1531" s="57" t="n">
        <f aca="false">IF(BR1531=1,0,ROUNDUP(AT1531/BQ1531,0))</f>
        <v>0</v>
      </c>
      <c r="AV1531" s="59" t="n">
        <f aca="false">IF(CD1531&gt;0,CD1531*MAX(1,AT1531/V1531),IF(BR1531=1,IF(AT1531&lt;=0,0,BS1531*MAX(1,IF(G1531&gt;0,AT1531/G1531,1))),IF(Q1531&gt;0,AU1531/Q1531,0))/MAX(0.1,N(Parameter!$M$21)))</f>
        <v>0</v>
      </c>
      <c r="AW1531" s="57" t="n">
        <f aca="false">AT1531*F1531</f>
        <v>0</v>
      </c>
      <c r="AX1531" s="57" t="n">
        <f aca="false">ROUNDUP(MAX(I1531/IF(BV1531&gt;0,BV1531,MAX(0.1,N(Cockpit!$O$6))),BY1531)/BQ1531,0)*BQ1531</f>
        <v>0</v>
      </c>
      <c r="AY1531" s="58" t="n">
        <f aca="false">IF(AV1531&gt;0,I1531/AV1531,-1)</f>
        <v>-1</v>
      </c>
      <c r="AZ1531" s="58" t="str">
        <f aca="false">IF(AND(OR(BU1531="L1",BU1531="L23"),AV1531&gt;0),SUMIFS($AV$7:$AV$1576,$BU$7:$BU$1576,BU1531,$AY$7:$AY$1576,"&gt;"&amp;AY1531)+SUMIFS($AV$7:$AV$1576,$BU$7:$BU$1576,BU1531,$AY$7:$AY$1576,AY1531,$BO$7:$BO$1576,"&lt;="&amp;BO1531),"")</f>
        <v/>
      </c>
      <c r="BA1531" s="65" t="n">
        <f aca="false">IF(AZ1531="",0,MAX(0,MIN(1,(IF(BU1531="L1",Parameter!$E$5,Parameter!$E$6+Parameter!$E$7)-(AZ1531-AV1531))/AV1531)))</f>
        <v>0</v>
      </c>
      <c r="BB1531" s="55" t="str">
        <f aca="false">IF(AF1531&lt;=0,"",IF(BU1531="Aussen","Aussenlager",IF(BU1531="-","Nicht im Lift",IF(AK1531&gt;=1,"Lift",IF(AK1531&lt;=0,"Aussenlager","teilweise")))))</f>
        <v/>
      </c>
      <c r="BC1531" s="55" t="str">
        <f aca="false">IF(AN1531&lt;=0,"",IF(BU1531="Aussen","Aussenlager",IF(BU1531="-","Nicht im Lift",IF(AS1531&gt;=1,"Lift",IF(AS1531&lt;=0,"Aussenlager","teilweise")))))</f>
        <v/>
      </c>
      <c r="BD1531" s="55" t="str">
        <f aca="false">IF(AV1531&lt;=0,"",IF(BU1531="Aussen","Aussenlager",IF(BU1531="-","Nicht im Lift",IF(BA1531&gt;=1,"Lift",IF(BA1531&lt;=0,"Aussenlager","teilweise")))))</f>
        <v/>
      </c>
      <c r="BE1531" s="55" t="str">
        <f aca="false">IF(A1531="","",IF(BN1531=1,"Neu; ","")&amp;IF(AND(BN1531=0,BI1531&lt;0),"negativer Bestand (Export "&amp;BI1531&amp;"); ","")&amp;IF(I1531&lt;=0,"Kein Verbrauch; ","")&amp;IF(CD1531&gt;0,"Lift "&amp;U1531&amp;" lt. Liftbericht (Fach "&amp;V1531&amp;" Stk); ",IF(BR1531=1,"Lose – Fläche geschätzt; ",""))&amp;IF(G1531&gt;AP1531,"Überbestand "&amp;ROUND(G1531-AP1531,0)&amp;" Stk / CHF "&amp;ROUND((G1531-AP1531)*F1531,0)&amp;"; ","")&amp;IF(AND(BW1531=1,BX1531&lt;BY1531),"MAX &lt; MB+LG; ","")&amp;IF(AND(CC1531&gt;0,CB1531*10&gt;CC1531),"zu hoch für Tablar; ","")&amp;IF(AND(BN1531=0,OR(BW1531=1,Y1531&lt;&gt;"",S1531&lt;&gt;"",T1531&lt;&gt;"",Z1531&lt;&gt;"")),"manuell übersteuert; ","")&amp;IF(AND(BR1531=0,Q1531=0),"Gebinde unbekannt / Stellmass fehlt; ","")&amp;IF(AND(BR1531=0,N(T1531)&lt;=0,N(P1531)&lt;=0),"Menge pro Gebinde fehlt (Ist = 1 Gebinde); ","")&amp;BM1531)</f>
        <v/>
      </c>
      <c r="BF1531" s="55"/>
      <c r="BG1531" s="55"/>
      <c r="BH1531" s="62"/>
      <c r="BI1531" s="57" t="n">
        <f aca="false">N('Neue Artikel'!$D$59)</f>
        <v>0</v>
      </c>
      <c r="BJ1531" s="57" t="n">
        <v>0</v>
      </c>
      <c r="BK1531" s="56" t="n">
        <v>0</v>
      </c>
      <c r="BL1531" s="57" t="n">
        <f aca="false">N('Neue Artikel'!$C$59)/Parameter!$B$18</f>
        <v>0</v>
      </c>
      <c r="BM1531" s="55"/>
      <c r="BN1531" s="60" t="n">
        <v>1</v>
      </c>
      <c r="BO1531" s="60" t="n">
        <v>1531</v>
      </c>
      <c r="BP1531" s="55" t="str">
        <f aca="false">IF(S1531&lt;&gt;"",UPPER(TRIM(S1531)),IF(O1531="","LOSE",O1531))</f>
        <v>LOSE</v>
      </c>
      <c r="BQ1531" s="57" t="n">
        <f aca="false">IF(BP1531="LOSE",1,IF(N(T1531)&gt;0,T1531,IF(N(P1531)&gt;0,P1531,MAX(1,G1531))))</f>
        <v>1</v>
      </c>
      <c r="BR1531" s="60" t="n">
        <f aca="false">IF(BP1531="LOSE",1,0)</f>
        <v>1</v>
      </c>
      <c r="BS1531" s="59" t="n">
        <f aca="false">IF(BR1531=0,0,IF(N(R1531)&gt;0,R1531,IFERROR(VLOOKUP(D1531,Parameter!$A$35:$C$64,3,0)+0,0)))</f>
        <v>0.15</v>
      </c>
      <c r="BT1531" s="55" t="str">
        <f aca="false">IF(Y1531&lt;&gt;"",Y1531,X1531)</f>
        <v/>
      </c>
      <c r="BU1531" s="55" t="str">
        <f aca="false">IF(BT1531=1,"L1",IF(OR(BT1531=2,BT1531=3),"L23",IF(BT1531="Aussen","Aussen","-")))</f>
        <v>-</v>
      </c>
      <c r="BV1531" s="66" t="n">
        <f aca="false">IF(N(Z1531)&gt;0,Z1531,0)</f>
        <v>0</v>
      </c>
      <c r="BW1531" s="60" t="n">
        <f aca="false">IF(ISNUMBER(AC1531),1,0)</f>
        <v>0</v>
      </c>
      <c r="BX1531" s="57" t="n">
        <f aca="false">N(AC1531)</f>
        <v>0</v>
      </c>
      <c r="BY1531" s="57" t="n">
        <f aca="false">N(L1531)+N(M1531)</f>
        <v>0</v>
      </c>
      <c r="BZ1531" s="57" t="n">
        <f aca="false">ROUNDUP(G1531/BQ1531,0)</f>
        <v>0</v>
      </c>
      <c r="CA1531" s="57" t="n">
        <f aca="false">ROUNDUP(BX1531/BQ1531,0)</f>
        <v>0</v>
      </c>
      <c r="CB1531" s="60" t="n">
        <f aca="false">IF(BR1531=1,0,IFERROR(VLOOKUP(BP1531,'Gebinde-Kategorie'!$A$5:$M$45,5,0)+0,0))</f>
        <v>0</v>
      </c>
      <c r="CC1531" s="60" t="n">
        <f aca="false">IFERROR(IF(OR(BT1531=1,BT1531=2,BT1531=3),N(INDEX(Parameter!$I$5:$I$7,BT1531)),0),0)</f>
        <v>0</v>
      </c>
      <c r="CD1531" s="59" t="n">
        <f aca="false">IF(AND(Parameter!$B$21="Ja",ISNUMBER(U1531),N(V1531)&gt;0),IFERROR(N(INDEX(Parameter!$L$5:$L$7,U1531))*INDEX(Parameter!$E$5:$E$7,U1531)*V1531/SUMIFS($V$7:$V$1576,$U$7:$U$1576,U1531),0),0)</f>
        <v>0</v>
      </c>
    </row>
    <row r="1532" customFormat="false" ht="15" hidden="false" customHeight="false" outlineLevel="0" collapsed="false">
      <c r="A1532" s="55" t="str">
        <f aca="false">IF('Neue Artikel'!$A$60="","",'Neue Artikel'!$A$60&amp;"")</f>
        <v/>
      </c>
      <c r="B1532" s="55" t="str">
        <f aca="false">'Neue Artikel'!$B$60&amp;""</f>
        <v/>
      </c>
      <c r="C1532" s="55"/>
      <c r="D1532" s="55" t="s">
        <v>2561</v>
      </c>
      <c r="E1532" s="55"/>
      <c r="F1532" s="56" t="n">
        <f aca="false">N('Neue Artikel'!$G$60)</f>
        <v>0</v>
      </c>
      <c r="G1532" s="57" t="n">
        <f aca="false">MAX(0,IF(AND(Parameter!$B$21="Ja",ISNUMBER(W1532)),W1532,IF(Parameter!$B$20="Jahresanfang 2025 + Export",BJ1532+BI1532,BI1532)))</f>
        <v>0</v>
      </c>
      <c r="H1532" s="57" t="n">
        <f aca="false">G1532*F1532</f>
        <v>0</v>
      </c>
      <c r="I1532" s="57" t="n">
        <f aca="false">BL1532*Parameter!$B$18</f>
        <v>0</v>
      </c>
      <c r="J1532" s="58"/>
      <c r="K1532" s="59"/>
      <c r="L1532" s="57" t="n">
        <f aca="false">N('Neue Artikel'!$E$60)</f>
        <v>0</v>
      </c>
      <c r="M1532" s="57" t="n">
        <f aca="false">N('Neue Artikel'!$F$60)</f>
        <v>0</v>
      </c>
      <c r="N1532" s="60"/>
      <c r="O1532" s="55" t="str">
        <f aca="false">IF('Neue Artikel'!$H$60="","LOSE",UPPER(TRIM('Neue Artikel'!$H$60)))</f>
        <v>LOSE</v>
      </c>
      <c r="P1532" s="57" t="n">
        <f aca="false">N('Neue Artikel'!$I$60)</f>
        <v>0</v>
      </c>
      <c r="Q1532" s="60" t="n">
        <f aca="false">IF(BR1532=1,0,IFERROR(VLOOKUP(BP1532,'Gebinde-Kategorie'!$A$5:$M$45,13,0)+0,0))</f>
        <v>0</v>
      </c>
      <c r="R1532" s="61"/>
      <c r="S1532" s="62"/>
      <c r="T1532" s="62"/>
      <c r="U1532" s="55"/>
      <c r="V1532" s="57"/>
      <c r="W1532" s="57"/>
      <c r="X1532" s="55" t="str">
        <f aca="false">IF(A1532="","",IF(AND(Parameter!$B$21="Ja",ISNUMBER(U1532)),U1532,IF(IFERROR(VLOOKUP(D1532,Parameter!$A$35:$C$64,2,0),"Nein")="2+3",IF(ISNUMBER(SEARCH("grosser Artikel",BM1532)),2,IFERROR(VLOOKUP(BP1532,Parameter!$F$35:$G$64,2,0),2)),IF(OR(IFERROR(VLOOKUP(D1532,Parameter!$A$35:$C$64,2,0),"Nein")="Nein",IFERROR(VLOOKUP(D1532,Parameter!$A$35:$C$64,2,0),"Nein")=""),"-",VLOOKUP(D1532,Parameter!$A$35:$C$64,2,0)))))</f>
        <v/>
      </c>
      <c r="Y1532" s="55" t="str">
        <f aca="false">IF('Neue Artikel'!$J$60="","",'Neue Artikel'!$J$60)</f>
        <v/>
      </c>
      <c r="Z1532" s="63"/>
      <c r="AA1532" s="57" t="n">
        <f aca="false">AP1532</f>
        <v>0</v>
      </c>
      <c r="AB1532" s="57" t="n">
        <f aca="false">MAX(AP1532,G1532)</f>
        <v>0</v>
      </c>
      <c r="AC1532" s="64"/>
      <c r="AD1532" s="57" t="n">
        <f aca="false">IF(LEFT(Cockpit!$C$5,1)="A",G1532,IF(BW1532=1,BX1532,IF(LEFT(Cockpit!$C$5,1)="B",AH1532,MAX(AH1532,G1532))))</f>
        <v>0</v>
      </c>
      <c r="AE1532" s="57" t="n">
        <f aca="false">IF(BR1532=1,0,ROUNDUP(AD1532/BQ1532,0))</f>
        <v>0</v>
      </c>
      <c r="AF1532" s="59" t="n">
        <f aca="false">IF(CD1532&gt;0,CD1532*MAX(1,AD1532/V1532),IF(BR1532=1,IF(AD1532&lt;=0,0,BS1532*MAX(1,IF(G1532&gt;0,AD1532/G1532,1))),IF(Q1532&gt;0,AE1532/Q1532,0))/MAX(0.1,N(Parameter!$M$21)))</f>
        <v>0</v>
      </c>
      <c r="AG1532" s="57" t="n">
        <f aca="false">AD1532*F1532</f>
        <v>0</v>
      </c>
      <c r="AH1532" s="57" t="n">
        <f aca="false">ROUNDUP(MAX(I1532/IF(BV1532&gt;0,BV1532,MAX(0.1,N(Cockpit!$C$6))),BY1532)/BQ1532,0)*BQ1532</f>
        <v>0</v>
      </c>
      <c r="AI1532" s="58" t="n">
        <f aca="false">IF(AF1532&gt;0,I1532/AF1532,-1)</f>
        <v>-1</v>
      </c>
      <c r="AJ1532" s="58" t="str">
        <f aca="false">IF(AND(OR(BU1532="L1",BU1532="L23"),AF1532&gt;0),SUMIFS($AF$7:$AF$1576,$BU$7:$BU$1576,BU1532,$AI$7:$AI$1576,"&gt;"&amp;AI1532)+SUMIFS($AF$7:$AF$1576,$BU$7:$BU$1576,BU1532,$AI$7:$AI$1576,AI1532,$BO$7:$BO$1576,"&lt;="&amp;BO1532),"")</f>
        <v/>
      </c>
      <c r="AK1532" s="65" t="n">
        <f aca="false">IF(AJ1532="",0,MAX(0,MIN(1,(IF(BU1532="L1",Parameter!$E$5,Parameter!$E$6+Parameter!$E$7)-(AJ1532-AF1532))/AF1532)))</f>
        <v>0</v>
      </c>
      <c r="AL1532" s="57" t="n">
        <f aca="false">IF(LEFT(Cockpit!$I$5,1)="A",G1532,IF(BW1532=1,BX1532,IF(LEFT(Cockpit!$I$5,1)="B",AP1532,MAX(AP1532,G1532))))</f>
        <v>0</v>
      </c>
      <c r="AM1532" s="57" t="n">
        <f aca="false">IF(BR1532=1,0,ROUNDUP(AL1532/BQ1532,0))</f>
        <v>0</v>
      </c>
      <c r="AN1532" s="59" t="n">
        <f aca="false">IF(CD1532&gt;0,CD1532*MAX(1,AL1532/V1532),IF(BR1532=1,IF(AL1532&lt;=0,0,BS1532*MAX(1,IF(G1532&gt;0,AL1532/G1532,1))),IF(Q1532&gt;0,AM1532/Q1532,0))/MAX(0.1,N(Parameter!$M$21)))</f>
        <v>0</v>
      </c>
      <c r="AO1532" s="57" t="n">
        <f aca="false">AL1532*F1532</f>
        <v>0</v>
      </c>
      <c r="AP1532" s="57" t="n">
        <f aca="false">ROUNDUP(MAX(I1532/IF(BV1532&gt;0,BV1532,MAX(0.1,N(Cockpit!$I$6))),BY1532)/BQ1532,0)*BQ1532</f>
        <v>0</v>
      </c>
      <c r="AQ1532" s="58" t="n">
        <f aca="false">IF(AN1532&gt;0,I1532/AN1532,-1)</f>
        <v>-1</v>
      </c>
      <c r="AR1532" s="58" t="str">
        <f aca="false">IF(AND(OR(BU1532="L1",BU1532="L23"),AN1532&gt;0),SUMIFS($AN$7:$AN$1576,$BU$7:$BU$1576,BU1532,$AQ$7:$AQ$1576,"&gt;"&amp;AQ1532)+SUMIFS($AN$7:$AN$1576,$BU$7:$BU$1576,BU1532,$AQ$7:$AQ$1576,AQ1532,$BO$7:$BO$1576,"&lt;="&amp;BO1532),"")</f>
        <v/>
      </c>
      <c r="AS1532" s="65" t="n">
        <f aca="false">IF(AR1532="",0,MAX(0,MIN(1,(IF(BU1532="L1",Parameter!$E$5,Parameter!$E$6+Parameter!$E$7)-(AR1532-AN1532))/AN1532)))</f>
        <v>0</v>
      </c>
      <c r="AT1532" s="57" t="n">
        <f aca="false">IF(LEFT(Cockpit!$O$5,1)="A",G1532,IF(BW1532=1,BX1532,IF(LEFT(Cockpit!$O$5,1)="B",AX1532,MAX(AX1532,G1532))))</f>
        <v>0</v>
      </c>
      <c r="AU1532" s="57" t="n">
        <f aca="false">IF(BR1532=1,0,ROUNDUP(AT1532/BQ1532,0))</f>
        <v>0</v>
      </c>
      <c r="AV1532" s="59" t="n">
        <f aca="false">IF(CD1532&gt;0,CD1532*MAX(1,AT1532/V1532),IF(BR1532=1,IF(AT1532&lt;=0,0,BS1532*MAX(1,IF(G1532&gt;0,AT1532/G1532,1))),IF(Q1532&gt;0,AU1532/Q1532,0))/MAX(0.1,N(Parameter!$M$21)))</f>
        <v>0</v>
      </c>
      <c r="AW1532" s="57" t="n">
        <f aca="false">AT1532*F1532</f>
        <v>0</v>
      </c>
      <c r="AX1532" s="57" t="n">
        <f aca="false">ROUNDUP(MAX(I1532/IF(BV1532&gt;0,BV1532,MAX(0.1,N(Cockpit!$O$6))),BY1532)/BQ1532,0)*BQ1532</f>
        <v>0</v>
      </c>
      <c r="AY1532" s="58" t="n">
        <f aca="false">IF(AV1532&gt;0,I1532/AV1532,-1)</f>
        <v>-1</v>
      </c>
      <c r="AZ1532" s="58" t="str">
        <f aca="false">IF(AND(OR(BU1532="L1",BU1532="L23"),AV1532&gt;0),SUMIFS($AV$7:$AV$1576,$BU$7:$BU$1576,BU1532,$AY$7:$AY$1576,"&gt;"&amp;AY1532)+SUMIFS($AV$7:$AV$1576,$BU$7:$BU$1576,BU1532,$AY$7:$AY$1576,AY1532,$BO$7:$BO$1576,"&lt;="&amp;BO1532),"")</f>
        <v/>
      </c>
      <c r="BA1532" s="65" t="n">
        <f aca="false">IF(AZ1532="",0,MAX(0,MIN(1,(IF(BU1532="L1",Parameter!$E$5,Parameter!$E$6+Parameter!$E$7)-(AZ1532-AV1532))/AV1532)))</f>
        <v>0</v>
      </c>
      <c r="BB1532" s="55" t="str">
        <f aca="false">IF(AF1532&lt;=0,"",IF(BU1532="Aussen","Aussenlager",IF(BU1532="-","Nicht im Lift",IF(AK1532&gt;=1,"Lift",IF(AK1532&lt;=0,"Aussenlager","teilweise")))))</f>
        <v/>
      </c>
      <c r="BC1532" s="55" t="str">
        <f aca="false">IF(AN1532&lt;=0,"",IF(BU1532="Aussen","Aussenlager",IF(BU1532="-","Nicht im Lift",IF(AS1532&gt;=1,"Lift",IF(AS1532&lt;=0,"Aussenlager","teilweise")))))</f>
        <v/>
      </c>
      <c r="BD1532" s="55" t="str">
        <f aca="false">IF(AV1532&lt;=0,"",IF(BU1532="Aussen","Aussenlager",IF(BU1532="-","Nicht im Lift",IF(BA1532&gt;=1,"Lift",IF(BA1532&lt;=0,"Aussenlager","teilweise")))))</f>
        <v/>
      </c>
      <c r="BE1532" s="55" t="str">
        <f aca="false">IF(A1532="","",IF(BN1532=1,"Neu; ","")&amp;IF(AND(BN1532=0,BI1532&lt;0),"negativer Bestand (Export "&amp;BI1532&amp;"); ","")&amp;IF(I1532&lt;=0,"Kein Verbrauch; ","")&amp;IF(CD1532&gt;0,"Lift "&amp;U1532&amp;" lt. Liftbericht (Fach "&amp;V1532&amp;" Stk); ",IF(BR1532=1,"Lose – Fläche geschätzt; ",""))&amp;IF(G1532&gt;AP1532,"Überbestand "&amp;ROUND(G1532-AP1532,0)&amp;" Stk / CHF "&amp;ROUND((G1532-AP1532)*F1532,0)&amp;"; ","")&amp;IF(AND(BW1532=1,BX1532&lt;BY1532),"MAX &lt; MB+LG; ","")&amp;IF(AND(CC1532&gt;0,CB1532*10&gt;CC1532),"zu hoch für Tablar; ","")&amp;IF(AND(BN1532=0,OR(BW1532=1,Y1532&lt;&gt;"",S1532&lt;&gt;"",T1532&lt;&gt;"",Z1532&lt;&gt;"")),"manuell übersteuert; ","")&amp;IF(AND(BR1532=0,Q1532=0),"Gebinde unbekannt / Stellmass fehlt; ","")&amp;IF(AND(BR1532=0,N(T1532)&lt;=0,N(P1532)&lt;=0),"Menge pro Gebinde fehlt (Ist = 1 Gebinde); ","")&amp;BM1532)</f>
        <v/>
      </c>
      <c r="BF1532" s="55"/>
      <c r="BG1532" s="55"/>
      <c r="BH1532" s="62"/>
      <c r="BI1532" s="57" t="n">
        <f aca="false">N('Neue Artikel'!$D$60)</f>
        <v>0</v>
      </c>
      <c r="BJ1532" s="57" t="n">
        <v>0</v>
      </c>
      <c r="BK1532" s="56" t="n">
        <v>0</v>
      </c>
      <c r="BL1532" s="57" t="n">
        <f aca="false">N('Neue Artikel'!$C$60)/Parameter!$B$18</f>
        <v>0</v>
      </c>
      <c r="BM1532" s="55"/>
      <c r="BN1532" s="60" t="n">
        <v>1</v>
      </c>
      <c r="BO1532" s="60" t="n">
        <v>1532</v>
      </c>
      <c r="BP1532" s="55" t="str">
        <f aca="false">IF(S1532&lt;&gt;"",UPPER(TRIM(S1532)),IF(O1532="","LOSE",O1532))</f>
        <v>LOSE</v>
      </c>
      <c r="BQ1532" s="57" t="n">
        <f aca="false">IF(BP1532="LOSE",1,IF(N(T1532)&gt;0,T1532,IF(N(P1532)&gt;0,P1532,MAX(1,G1532))))</f>
        <v>1</v>
      </c>
      <c r="BR1532" s="60" t="n">
        <f aca="false">IF(BP1532="LOSE",1,0)</f>
        <v>1</v>
      </c>
      <c r="BS1532" s="59" t="n">
        <f aca="false">IF(BR1532=0,0,IF(N(R1532)&gt;0,R1532,IFERROR(VLOOKUP(D1532,Parameter!$A$35:$C$64,3,0)+0,0)))</f>
        <v>0.15</v>
      </c>
      <c r="BT1532" s="55" t="str">
        <f aca="false">IF(Y1532&lt;&gt;"",Y1532,X1532)</f>
        <v/>
      </c>
      <c r="BU1532" s="55" t="str">
        <f aca="false">IF(BT1532=1,"L1",IF(OR(BT1532=2,BT1532=3),"L23",IF(BT1532="Aussen","Aussen","-")))</f>
        <v>-</v>
      </c>
      <c r="BV1532" s="66" t="n">
        <f aca="false">IF(N(Z1532)&gt;0,Z1532,0)</f>
        <v>0</v>
      </c>
      <c r="BW1532" s="60" t="n">
        <f aca="false">IF(ISNUMBER(AC1532),1,0)</f>
        <v>0</v>
      </c>
      <c r="BX1532" s="57" t="n">
        <f aca="false">N(AC1532)</f>
        <v>0</v>
      </c>
      <c r="BY1532" s="57" t="n">
        <f aca="false">N(L1532)+N(M1532)</f>
        <v>0</v>
      </c>
      <c r="BZ1532" s="57" t="n">
        <f aca="false">ROUNDUP(G1532/BQ1532,0)</f>
        <v>0</v>
      </c>
      <c r="CA1532" s="57" t="n">
        <f aca="false">ROUNDUP(BX1532/BQ1532,0)</f>
        <v>0</v>
      </c>
      <c r="CB1532" s="60" t="n">
        <f aca="false">IF(BR1532=1,0,IFERROR(VLOOKUP(BP1532,'Gebinde-Kategorie'!$A$5:$M$45,5,0)+0,0))</f>
        <v>0</v>
      </c>
      <c r="CC1532" s="60" t="n">
        <f aca="false">IFERROR(IF(OR(BT1532=1,BT1532=2,BT1532=3),N(INDEX(Parameter!$I$5:$I$7,BT1532)),0),0)</f>
        <v>0</v>
      </c>
      <c r="CD1532" s="59" t="n">
        <f aca="false">IF(AND(Parameter!$B$21="Ja",ISNUMBER(U1532),N(V1532)&gt;0),IFERROR(N(INDEX(Parameter!$L$5:$L$7,U1532))*INDEX(Parameter!$E$5:$E$7,U1532)*V1532/SUMIFS($V$7:$V$1576,$U$7:$U$1576,U1532),0),0)</f>
        <v>0</v>
      </c>
    </row>
    <row r="1533" customFormat="false" ht="15" hidden="false" customHeight="false" outlineLevel="0" collapsed="false">
      <c r="A1533" s="55" t="str">
        <f aca="false">IF('Neue Artikel'!$A$61="","",'Neue Artikel'!$A$61&amp;"")</f>
        <v/>
      </c>
      <c r="B1533" s="55" t="str">
        <f aca="false">'Neue Artikel'!$B$61&amp;""</f>
        <v/>
      </c>
      <c r="C1533" s="55"/>
      <c r="D1533" s="55" t="s">
        <v>2561</v>
      </c>
      <c r="E1533" s="55"/>
      <c r="F1533" s="56" t="n">
        <f aca="false">N('Neue Artikel'!$G$61)</f>
        <v>0</v>
      </c>
      <c r="G1533" s="57" t="n">
        <f aca="false">MAX(0,IF(AND(Parameter!$B$21="Ja",ISNUMBER(W1533)),W1533,IF(Parameter!$B$20="Jahresanfang 2025 + Export",BJ1533+BI1533,BI1533)))</f>
        <v>0</v>
      </c>
      <c r="H1533" s="57" t="n">
        <f aca="false">G1533*F1533</f>
        <v>0</v>
      </c>
      <c r="I1533" s="57" t="n">
        <f aca="false">BL1533*Parameter!$B$18</f>
        <v>0</v>
      </c>
      <c r="J1533" s="58"/>
      <c r="K1533" s="59"/>
      <c r="L1533" s="57" t="n">
        <f aca="false">N('Neue Artikel'!$E$61)</f>
        <v>0</v>
      </c>
      <c r="M1533" s="57" t="n">
        <f aca="false">N('Neue Artikel'!$F$61)</f>
        <v>0</v>
      </c>
      <c r="N1533" s="60"/>
      <c r="O1533" s="55" t="str">
        <f aca="false">IF('Neue Artikel'!$H$61="","LOSE",UPPER(TRIM('Neue Artikel'!$H$61)))</f>
        <v>LOSE</v>
      </c>
      <c r="P1533" s="57" t="n">
        <f aca="false">N('Neue Artikel'!$I$61)</f>
        <v>0</v>
      </c>
      <c r="Q1533" s="60" t="n">
        <f aca="false">IF(BR1533=1,0,IFERROR(VLOOKUP(BP1533,'Gebinde-Kategorie'!$A$5:$M$45,13,0)+0,0))</f>
        <v>0</v>
      </c>
      <c r="R1533" s="61"/>
      <c r="S1533" s="62"/>
      <c r="T1533" s="62"/>
      <c r="U1533" s="55"/>
      <c r="V1533" s="57"/>
      <c r="W1533" s="57"/>
      <c r="X1533" s="55" t="str">
        <f aca="false">IF(A1533="","",IF(AND(Parameter!$B$21="Ja",ISNUMBER(U1533)),U1533,IF(IFERROR(VLOOKUP(D1533,Parameter!$A$35:$C$64,2,0),"Nein")="2+3",IF(ISNUMBER(SEARCH("grosser Artikel",BM1533)),2,IFERROR(VLOOKUP(BP1533,Parameter!$F$35:$G$64,2,0),2)),IF(OR(IFERROR(VLOOKUP(D1533,Parameter!$A$35:$C$64,2,0),"Nein")="Nein",IFERROR(VLOOKUP(D1533,Parameter!$A$35:$C$64,2,0),"Nein")=""),"-",VLOOKUP(D1533,Parameter!$A$35:$C$64,2,0)))))</f>
        <v/>
      </c>
      <c r="Y1533" s="55" t="str">
        <f aca="false">IF('Neue Artikel'!$J$61="","",'Neue Artikel'!$J$61)</f>
        <v/>
      </c>
      <c r="Z1533" s="63"/>
      <c r="AA1533" s="57" t="n">
        <f aca="false">AP1533</f>
        <v>0</v>
      </c>
      <c r="AB1533" s="57" t="n">
        <f aca="false">MAX(AP1533,G1533)</f>
        <v>0</v>
      </c>
      <c r="AC1533" s="64"/>
      <c r="AD1533" s="57" t="n">
        <f aca="false">IF(LEFT(Cockpit!$C$5,1)="A",G1533,IF(BW1533=1,BX1533,IF(LEFT(Cockpit!$C$5,1)="B",AH1533,MAX(AH1533,G1533))))</f>
        <v>0</v>
      </c>
      <c r="AE1533" s="57" t="n">
        <f aca="false">IF(BR1533=1,0,ROUNDUP(AD1533/BQ1533,0))</f>
        <v>0</v>
      </c>
      <c r="AF1533" s="59" t="n">
        <f aca="false">IF(CD1533&gt;0,CD1533*MAX(1,AD1533/V1533),IF(BR1533=1,IF(AD1533&lt;=0,0,BS1533*MAX(1,IF(G1533&gt;0,AD1533/G1533,1))),IF(Q1533&gt;0,AE1533/Q1533,0))/MAX(0.1,N(Parameter!$M$21)))</f>
        <v>0</v>
      </c>
      <c r="AG1533" s="57" t="n">
        <f aca="false">AD1533*F1533</f>
        <v>0</v>
      </c>
      <c r="AH1533" s="57" t="n">
        <f aca="false">ROUNDUP(MAX(I1533/IF(BV1533&gt;0,BV1533,MAX(0.1,N(Cockpit!$C$6))),BY1533)/BQ1533,0)*BQ1533</f>
        <v>0</v>
      </c>
      <c r="AI1533" s="58" t="n">
        <f aca="false">IF(AF1533&gt;0,I1533/AF1533,-1)</f>
        <v>-1</v>
      </c>
      <c r="AJ1533" s="58" t="str">
        <f aca="false">IF(AND(OR(BU1533="L1",BU1533="L23"),AF1533&gt;0),SUMIFS($AF$7:$AF$1576,$BU$7:$BU$1576,BU1533,$AI$7:$AI$1576,"&gt;"&amp;AI1533)+SUMIFS($AF$7:$AF$1576,$BU$7:$BU$1576,BU1533,$AI$7:$AI$1576,AI1533,$BO$7:$BO$1576,"&lt;="&amp;BO1533),"")</f>
        <v/>
      </c>
      <c r="AK1533" s="65" t="n">
        <f aca="false">IF(AJ1533="",0,MAX(0,MIN(1,(IF(BU1533="L1",Parameter!$E$5,Parameter!$E$6+Parameter!$E$7)-(AJ1533-AF1533))/AF1533)))</f>
        <v>0</v>
      </c>
      <c r="AL1533" s="57" t="n">
        <f aca="false">IF(LEFT(Cockpit!$I$5,1)="A",G1533,IF(BW1533=1,BX1533,IF(LEFT(Cockpit!$I$5,1)="B",AP1533,MAX(AP1533,G1533))))</f>
        <v>0</v>
      </c>
      <c r="AM1533" s="57" t="n">
        <f aca="false">IF(BR1533=1,0,ROUNDUP(AL1533/BQ1533,0))</f>
        <v>0</v>
      </c>
      <c r="AN1533" s="59" t="n">
        <f aca="false">IF(CD1533&gt;0,CD1533*MAX(1,AL1533/V1533),IF(BR1533=1,IF(AL1533&lt;=0,0,BS1533*MAX(1,IF(G1533&gt;0,AL1533/G1533,1))),IF(Q1533&gt;0,AM1533/Q1533,0))/MAX(0.1,N(Parameter!$M$21)))</f>
        <v>0</v>
      </c>
      <c r="AO1533" s="57" t="n">
        <f aca="false">AL1533*F1533</f>
        <v>0</v>
      </c>
      <c r="AP1533" s="57" t="n">
        <f aca="false">ROUNDUP(MAX(I1533/IF(BV1533&gt;0,BV1533,MAX(0.1,N(Cockpit!$I$6))),BY1533)/BQ1533,0)*BQ1533</f>
        <v>0</v>
      </c>
      <c r="AQ1533" s="58" t="n">
        <f aca="false">IF(AN1533&gt;0,I1533/AN1533,-1)</f>
        <v>-1</v>
      </c>
      <c r="AR1533" s="58" t="str">
        <f aca="false">IF(AND(OR(BU1533="L1",BU1533="L23"),AN1533&gt;0),SUMIFS($AN$7:$AN$1576,$BU$7:$BU$1576,BU1533,$AQ$7:$AQ$1576,"&gt;"&amp;AQ1533)+SUMIFS($AN$7:$AN$1576,$BU$7:$BU$1576,BU1533,$AQ$7:$AQ$1576,AQ1533,$BO$7:$BO$1576,"&lt;="&amp;BO1533),"")</f>
        <v/>
      </c>
      <c r="AS1533" s="65" t="n">
        <f aca="false">IF(AR1533="",0,MAX(0,MIN(1,(IF(BU1533="L1",Parameter!$E$5,Parameter!$E$6+Parameter!$E$7)-(AR1533-AN1533))/AN1533)))</f>
        <v>0</v>
      </c>
      <c r="AT1533" s="57" t="n">
        <f aca="false">IF(LEFT(Cockpit!$O$5,1)="A",G1533,IF(BW1533=1,BX1533,IF(LEFT(Cockpit!$O$5,1)="B",AX1533,MAX(AX1533,G1533))))</f>
        <v>0</v>
      </c>
      <c r="AU1533" s="57" t="n">
        <f aca="false">IF(BR1533=1,0,ROUNDUP(AT1533/BQ1533,0))</f>
        <v>0</v>
      </c>
      <c r="AV1533" s="59" t="n">
        <f aca="false">IF(CD1533&gt;0,CD1533*MAX(1,AT1533/V1533),IF(BR1533=1,IF(AT1533&lt;=0,0,BS1533*MAX(1,IF(G1533&gt;0,AT1533/G1533,1))),IF(Q1533&gt;0,AU1533/Q1533,0))/MAX(0.1,N(Parameter!$M$21)))</f>
        <v>0</v>
      </c>
      <c r="AW1533" s="57" t="n">
        <f aca="false">AT1533*F1533</f>
        <v>0</v>
      </c>
      <c r="AX1533" s="57" t="n">
        <f aca="false">ROUNDUP(MAX(I1533/IF(BV1533&gt;0,BV1533,MAX(0.1,N(Cockpit!$O$6))),BY1533)/BQ1533,0)*BQ1533</f>
        <v>0</v>
      </c>
      <c r="AY1533" s="58" t="n">
        <f aca="false">IF(AV1533&gt;0,I1533/AV1533,-1)</f>
        <v>-1</v>
      </c>
      <c r="AZ1533" s="58" t="str">
        <f aca="false">IF(AND(OR(BU1533="L1",BU1533="L23"),AV1533&gt;0),SUMIFS($AV$7:$AV$1576,$BU$7:$BU$1576,BU1533,$AY$7:$AY$1576,"&gt;"&amp;AY1533)+SUMIFS($AV$7:$AV$1576,$BU$7:$BU$1576,BU1533,$AY$7:$AY$1576,AY1533,$BO$7:$BO$1576,"&lt;="&amp;BO1533),"")</f>
        <v/>
      </c>
      <c r="BA1533" s="65" t="n">
        <f aca="false">IF(AZ1533="",0,MAX(0,MIN(1,(IF(BU1533="L1",Parameter!$E$5,Parameter!$E$6+Parameter!$E$7)-(AZ1533-AV1533))/AV1533)))</f>
        <v>0</v>
      </c>
      <c r="BB1533" s="55" t="str">
        <f aca="false">IF(AF1533&lt;=0,"",IF(BU1533="Aussen","Aussenlager",IF(BU1533="-","Nicht im Lift",IF(AK1533&gt;=1,"Lift",IF(AK1533&lt;=0,"Aussenlager","teilweise")))))</f>
        <v/>
      </c>
      <c r="BC1533" s="55" t="str">
        <f aca="false">IF(AN1533&lt;=0,"",IF(BU1533="Aussen","Aussenlager",IF(BU1533="-","Nicht im Lift",IF(AS1533&gt;=1,"Lift",IF(AS1533&lt;=0,"Aussenlager","teilweise")))))</f>
        <v/>
      </c>
      <c r="BD1533" s="55" t="str">
        <f aca="false">IF(AV1533&lt;=0,"",IF(BU1533="Aussen","Aussenlager",IF(BU1533="-","Nicht im Lift",IF(BA1533&gt;=1,"Lift",IF(BA1533&lt;=0,"Aussenlager","teilweise")))))</f>
        <v/>
      </c>
      <c r="BE1533" s="55" t="str">
        <f aca="false">IF(A1533="","",IF(BN1533=1,"Neu; ","")&amp;IF(AND(BN1533=0,BI1533&lt;0),"negativer Bestand (Export "&amp;BI1533&amp;"); ","")&amp;IF(I1533&lt;=0,"Kein Verbrauch; ","")&amp;IF(CD1533&gt;0,"Lift "&amp;U1533&amp;" lt. Liftbericht (Fach "&amp;V1533&amp;" Stk); ",IF(BR1533=1,"Lose – Fläche geschätzt; ",""))&amp;IF(G1533&gt;AP1533,"Überbestand "&amp;ROUND(G1533-AP1533,0)&amp;" Stk / CHF "&amp;ROUND((G1533-AP1533)*F1533,0)&amp;"; ","")&amp;IF(AND(BW1533=1,BX1533&lt;BY1533),"MAX &lt; MB+LG; ","")&amp;IF(AND(CC1533&gt;0,CB1533*10&gt;CC1533),"zu hoch für Tablar; ","")&amp;IF(AND(BN1533=0,OR(BW1533=1,Y1533&lt;&gt;"",S1533&lt;&gt;"",T1533&lt;&gt;"",Z1533&lt;&gt;"")),"manuell übersteuert; ","")&amp;IF(AND(BR1533=0,Q1533=0),"Gebinde unbekannt / Stellmass fehlt; ","")&amp;IF(AND(BR1533=0,N(T1533)&lt;=0,N(P1533)&lt;=0),"Menge pro Gebinde fehlt (Ist = 1 Gebinde); ","")&amp;BM1533)</f>
        <v/>
      </c>
      <c r="BF1533" s="55"/>
      <c r="BG1533" s="55"/>
      <c r="BH1533" s="62"/>
      <c r="BI1533" s="57" t="n">
        <f aca="false">N('Neue Artikel'!$D$61)</f>
        <v>0</v>
      </c>
      <c r="BJ1533" s="57" t="n">
        <v>0</v>
      </c>
      <c r="BK1533" s="56" t="n">
        <v>0</v>
      </c>
      <c r="BL1533" s="57" t="n">
        <f aca="false">N('Neue Artikel'!$C$61)/Parameter!$B$18</f>
        <v>0</v>
      </c>
      <c r="BM1533" s="55"/>
      <c r="BN1533" s="60" t="n">
        <v>1</v>
      </c>
      <c r="BO1533" s="60" t="n">
        <v>1533</v>
      </c>
      <c r="BP1533" s="55" t="str">
        <f aca="false">IF(S1533&lt;&gt;"",UPPER(TRIM(S1533)),IF(O1533="","LOSE",O1533))</f>
        <v>LOSE</v>
      </c>
      <c r="BQ1533" s="57" t="n">
        <f aca="false">IF(BP1533="LOSE",1,IF(N(T1533)&gt;0,T1533,IF(N(P1533)&gt;0,P1533,MAX(1,G1533))))</f>
        <v>1</v>
      </c>
      <c r="BR1533" s="60" t="n">
        <f aca="false">IF(BP1533="LOSE",1,0)</f>
        <v>1</v>
      </c>
      <c r="BS1533" s="59" t="n">
        <f aca="false">IF(BR1533=0,0,IF(N(R1533)&gt;0,R1533,IFERROR(VLOOKUP(D1533,Parameter!$A$35:$C$64,3,0)+0,0)))</f>
        <v>0.15</v>
      </c>
      <c r="BT1533" s="55" t="str">
        <f aca="false">IF(Y1533&lt;&gt;"",Y1533,X1533)</f>
        <v/>
      </c>
      <c r="BU1533" s="55" t="str">
        <f aca="false">IF(BT1533=1,"L1",IF(OR(BT1533=2,BT1533=3),"L23",IF(BT1533="Aussen","Aussen","-")))</f>
        <v>-</v>
      </c>
      <c r="BV1533" s="66" t="n">
        <f aca="false">IF(N(Z1533)&gt;0,Z1533,0)</f>
        <v>0</v>
      </c>
      <c r="BW1533" s="60" t="n">
        <f aca="false">IF(ISNUMBER(AC1533),1,0)</f>
        <v>0</v>
      </c>
      <c r="BX1533" s="57" t="n">
        <f aca="false">N(AC1533)</f>
        <v>0</v>
      </c>
      <c r="BY1533" s="57" t="n">
        <f aca="false">N(L1533)+N(M1533)</f>
        <v>0</v>
      </c>
      <c r="BZ1533" s="57" t="n">
        <f aca="false">ROUNDUP(G1533/BQ1533,0)</f>
        <v>0</v>
      </c>
      <c r="CA1533" s="57" t="n">
        <f aca="false">ROUNDUP(BX1533/BQ1533,0)</f>
        <v>0</v>
      </c>
      <c r="CB1533" s="60" t="n">
        <f aca="false">IF(BR1533=1,0,IFERROR(VLOOKUP(BP1533,'Gebinde-Kategorie'!$A$5:$M$45,5,0)+0,0))</f>
        <v>0</v>
      </c>
      <c r="CC1533" s="60" t="n">
        <f aca="false">IFERROR(IF(OR(BT1533=1,BT1533=2,BT1533=3),N(INDEX(Parameter!$I$5:$I$7,BT1533)),0),0)</f>
        <v>0</v>
      </c>
      <c r="CD1533" s="59" t="n">
        <f aca="false">IF(AND(Parameter!$B$21="Ja",ISNUMBER(U1533),N(V1533)&gt;0),IFERROR(N(INDEX(Parameter!$L$5:$L$7,U1533))*INDEX(Parameter!$E$5:$E$7,U1533)*V1533/SUMIFS($V$7:$V$1576,$U$7:$U$1576,U1533),0),0)</f>
        <v>0</v>
      </c>
    </row>
    <row r="1534" customFormat="false" ht="15" hidden="false" customHeight="false" outlineLevel="0" collapsed="false">
      <c r="A1534" s="55" t="str">
        <f aca="false">IF('Neue Artikel'!$A$62="","",'Neue Artikel'!$A$62&amp;"")</f>
        <v/>
      </c>
      <c r="B1534" s="55" t="str">
        <f aca="false">'Neue Artikel'!$B$62&amp;""</f>
        <v/>
      </c>
      <c r="C1534" s="55"/>
      <c r="D1534" s="55" t="s">
        <v>2561</v>
      </c>
      <c r="E1534" s="55"/>
      <c r="F1534" s="56" t="n">
        <f aca="false">N('Neue Artikel'!$G$62)</f>
        <v>0</v>
      </c>
      <c r="G1534" s="57" t="n">
        <f aca="false">MAX(0,IF(AND(Parameter!$B$21="Ja",ISNUMBER(W1534)),W1534,IF(Parameter!$B$20="Jahresanfang 2025 + Export",BJ1534+BI1534,BI1534)))</f>
        <v>0</v>
      </c>
      <c r="H1534" s="57" t="n">
        <f aca="false">G1534*F1534</f>
        <v>0</v>
      </c>
      <c r="I1534" s="57" t="n">
        <f aca="false">BL1534*Parameter!$B$18</f>
        <v>0</v>
      </c>
      <c r="J1534" s="58"/>
      <c r="K1534" s="59"/>
      <c r="L1534" s="57" t="n">
        <f aca="false">N('Neue Artikel'!$E$62)</f>
        <v>0</v>
      </c>
      <c r="M1534" s="57" t="n">
        <f aca="false">N('Neue Artikel'!$F$62)</f>
        <v>0</v>
      </c>
      <c r="N1534" s="60"/>
      <c r="O1534" s="55" t="str">
        <f aca="false">IF('Neue Artikel'!$H$62="","LOSE",UPPER(TRIM('Neue Artikel'!$H$62)))</f>
        <v>LOSE</v>
      </c>
      <c r="P1534" s="57" t="n">
        <f aca="false">N('Neue Artikel'!$I$62)</f>
        <v>0</v>
      </c>
      <c r="Q1534" s="60" t="n">
        <f aca="false">IF(BR1534=1,0,IFERROR(VLOOKUP(BP1534,'Gebinde-Kategorie'!$A$5:$M$45,13,0)+0,0))</f>
        <v>0</v>
      </c>
      <c r="R1534" s="61"/>
      <c r="S1534" s="62"/>
      <c r="T1534" s="62"/>
      <c r="U1534" s="55"/>
      <c r="V1534" s="57"/>
      <c r="W1534" s="57"/>
      <c r="X1534" s="55" t="str">
        <f aca="false">IF(A1534="","",IF(AND(Parameter!$B$21="Ja",ISNUMBER(U1534)),U1534,IF(IFERROR(VLOOKUP(D1534,Parameter!$A$35:$C$64,2,0),"Nein")="2+3",IF(ISNUMBER(SEARCH("grosser Artikel",BM1534)),2,IFERROR(VLOOKUP(BP1534,Parameter!$F$35:$G$64,2,0),2)),IF(OR(IFERROR(VLOOKUP(D1534,Parameter!$A$35:$C$64,2,0),"Nein")="Nein",IFERROR(VLOOKUP(D1534,Parameter!$A$35:$C$64,2,0),"Nein")=""),"-",VLOOKUP(D1534,Parameter!$A$35:$C$64,2,0)))))</f>
        <v/>
      </c>
      <c r="Y1534" s="55" t="str">
        <f aca="false">IF('Neue Artikel'!$J$62="","",'Neue Artikel'!$J$62)</f>
        <v/>
      </c>
      <c r="Z1534" s="63"/>
      <c r="AA1534" s="57" t="n">
        <f aca="false">AP1534</f>
        <v>0</v>
      </c>
      <c r="AB1534" s="57" t="n">
        <f aca="false">MAX(AP1534,G1534)</f>
        <v>0</v>
      </c>
      <c r="AC1534" s="64"/>
      <c r="AD1534" s="57" t="n">
        <f aca="false">IF(LEFT(Cockpit!$C$5,1)="A",G1534,IF(BW1534=1,BX1534,IF(LEFT(Cockpit!$C$5,1)="B",AH1534,MAX(AH1534,G1534))))</f>
        <v>0</v>
      </c>
      <c r="AE1534" s="57" t="n">
        <f aca="false">IF(BR1534=1,0,ROUNDUP(AD1534/BQ1534,0))</f>
        <v>0</v>
      </c>
      <c r="AF1534" s="59" t="n">
        <f aca="false">IF(CD1534&gt;0,CD1534*MAX(1,AD1534/V1534),IF(BR1534=1,IF(AD1534&lt;=0,0,BS1534*MAX(1,IF(G1534&gt;0,AD1534/G1534,1))),IF(Q1534&gt;0,AE1534/Q1534,0))/MAX(0.1,N(Parameter!$M$21)))</f>
        <v>0</v>
      </c>
      <c r="AG1534" s="57" t="n">
        <f aca="false">AD1534*F1534</f>
        <v>0</v>
      </c>
      <c r="AH1534" s="57" t="n">
        <f aca="false">ROUNDUP(MAX(I1534/IF(BV1534&gt;0,BV1534,MAX(0.1,N(Cockpit!$C$6))),BY1534)/BQ1534,0)*BQ1534</f>
        <v>0</v>
      </c>
      <c r="AI1534" s="58" t="n">
        <f aca="false">IF(AF1534&gt;0,I1534/AF1534,-1)</f>
        <v>-1</v>
      </c>
      <c r="AJ1534" s="58" t="str">
        <f aca="false">IF(AND(OR(BU1534="L1",BU1534="L23"),AF1534&gt;0),SUMIFS($AF$7:$AF$1576,$BU$7:$BU$1576,BU1534,$AI$7:$AI$1576,"&gt;"&amp;AI1534)+SUMIFS($AF$7:$AF$1576,$BU$7:$BU$1576,BU1534,$AI$7:$AI$1576,AI1534,$BO$7:$BO$1576,"&lt;="&amp;BO1534),"")</f>
        <v/>
      </c>
      <c r="AK1534" s="65" t="n">
        <f aca="false">IF(AJ1534="",0,MAX(0,MIN(1,(IF(BU1534="L1",Parameter!$E$5,Parameter!$E$6+Parameter!$E$7)-(AJ1534-AF1534))/AF1534)))</f>
        <v>0</v>
      </c>
      <c r="AL1534" s="57" t="n">
        <f aca="false">IF(LEFT(Cockpit!$I$5,1)="A",G1534,IF(BW1534=1,BX1534,IF(LEFT(Cockpit!$I$5,1)="B",AP1534,MAX(AP1534,G1534))))</f>
        <v>0</v>
      </c>
      <c r="AM1534" s="57" t="n">
        <f aca="false">IF(BR1534=1,0,ROUNDUP(AL1534/BQ1534,0))</f>
        <v>0</v>
      </c>
      <c r="AN1534" s="59" t="n">
        <f aca="false">IF(CD1534&gt;0,CD1534*MAX(1,AL1534/V1534),IF(BR1534=1,IF(AL1534&lt;=0,0,BS1534*MAX(1,IF(G1534&gt;0,AL1534/G1534,1))),IF(Q1534&gt;0,AM1534/Q1534,0))/MAX(0.1,N(Parameter!$M$21)))</f>
        <v>0</v>
      </c>
      <c r="AO1534" s="57" t="n">
        <f aca="false">AL1534*F1534</f>
        <v>0</v>
      </c>
      <c r="AP1534" s="57" t="n">
        <f aca="false">ROUNDUP(MAX(I1534/IF(BV1534&gt;0,BV1534,MAX(0.1,N(Cockpit!$I$6))),BY1534)/BQ1534,0)*BQ1534</f>
        <v>0</v>
      </c>
      <c r="AQ1534" s="58" t="n">
        <f aca="false">IF(AN1534&gt;0,I1534/AN1534,-1)</f>
        <v>-1</v>
      </c>
      <c r="AR1534" s="58" t="str">
        <f aca="false">IF(AND(OR(BU1534="L1",BU1534="L23"),AN1534&gt;0),SUMIFS($AN$7:$AN$1576,$BU$7:$BU$1576,BU1534,$AQ$7:$AQ$1576,"&gt;"&amp;AQ1534)+SUMIFS($AN$7:$AN$1576,$BU$7:$BU$1576,BU1534,$AQ$7:$AQ$1576,AQ1534,$BO$7:$BO$1576,"&lt;="&amp;BO1534),"")</f>
        <v/>
      </c>
      <c r="AS1534" s="65" t="n">
        <f aca="false">IF(AR1534="",0,MAX(0,MIN(1,(IF(BU1534="L1",Parameter!$E$5,Parameter!$E$6+Parameter!$E$7)-(AR1534-AN1534))/AN1534)))</f>
        <v>0</v>
      </c>
      <c r="AT1534" s="57" t="n">
        <f aca="false">IF(LEFT(Cockpit!$O$5,1)="A",G1534,IF(BW1534=1,BX1534,IF(LEFT(Cockpit!$O$5,1)="B",AX1534,MAX(AX1534,G1534))))</f>
        <v>0</v>
      </c>
      <c r="AU1534" s="57" t="n">
        <f aca="false">IF(BR1534=1,0,ROUNDUP(AT1534/BQ1534,0))</f>
        <v>0</v>
      </c>
      <c r="AV1534" s="59" t="n">
        <f aca="false">IF(CD1534&gt;0,CD1534*MAX(1,AT1534/V1534),IF(BR1534=1,IF(AT1534&lt;=0,0,BS1534*MAX(1,IF(G1534&gt;0,AT1534/G1534,1))),IF(Q1534&gt;0,AU1534/Q1534,0))/MAX(0.1,N(Parameter!$M$21)))</f>
        <v>0</v>
      </c>
      <c r="AW1534" s="57" t="n">
        <f aca="false">AT1534*F1534</f>
        <v>0</v>
      </c>
      <c r="AX1534" s="57" t="n">
        <f aca="false">ROUNDUP(MAX(I1534/IF(BV1534&gt;0,BV1534,MAX(0.1,N(Cockpit!$O$6))),BY1534)/BQ1534,0)*BQ1534</f>
        <v>0</v>
      </c>
      <c r="AY1534" s="58" t="n">
        <f aca="false">IF(AV1534&gt;0,I1534/AV1534,-1)</f>
        <v>-1</v>
      </c>
      <c r="AZ1534" s="58" t="str">
        <f aca="false">IF(AND(OR(BU1534="L1",BU1534="L23"),AV1534&gt;0),SUMIFS($AV$7:$AV$1576,$BU$7:$BU$1576,BU1534,$AY$7:$AY$1576,"&gt;"&amp;AY1534)+SUMIFS($AV$7:$AV$1576,$BU$7:$BU$1576,BU1534,$AY$7:$AY$1576,AY1534,$BO$7:$BO$1576,"&lt;="&amp;BO1534),"")</f>
        <v/>
      </c>
      <c r="BA1534" s="65" t="n">
        <f aca="false">IF(AZ1534="",0,MAX(0,MIN(1,(IF(BU1534="L1",Parameter!$E$5,Parameter!$E$6+Parameter!$E$7)-(AZ1534-AV1534))/AV1534)))</f>
        <v>0</v>
      </c>
      <c r="BB1534" s="55" t="str">
        <f aca="false">IF(AF1534&lt;=0,"",IF(BU1534="Aussen","Aussenlager",IF(BU1534="-","Nicht im Lift",IF(AK1534&gt;=1,"Lift",IF(AK1534&lt;=0,"Aussenlager","teilweise")))))</f>
        <v/>
      </c>
      <c r="BC1534" s="55" t="str">
        <f aca="false">IF(AN1534&lt;=0,"",IF(BU1534="Aussen","Aussenlager",IF(BU1534="-","Nicht im Lift",IF(AS1534&gt;=1,"Lift",IF(AS1534&lt;=0,"Aussenlager","teilweise")))))</f>
        <v/>
      </c>
      <c r="BD1534" s="55" t="str">
        <f aca="false">IF(AV1534&lt;=0,"",IF(BU1534="Aussen","Aussenlager",IF(BU1534="-","Nicht im Lift",IF(BA1534&gt;=1,"Lift",IF(BA1534&lt;=0,"Aussenlager","teilweise")))))</f>
        <v/>
      </c>
      <c r="BE1534" s="55" t="str">
        <f aca="false">IF(A1534="","",IF(BN1534=1,"Neu; ","")&amp;IF(AND(BN1534=0,BI1534&lt;0),"negativer Bestand (Export "&amp;BI1534&amp;"); ","")&amp;IF(I1534&lt;=0,"Kein Verbrauch; ","")&amp;IF(CD1534&gt;0,"Lift "&amp;U1534&amp;" lt. Liftbericht (Fach "&amp;V1534&amp;" Stk); ",IF(BR1534=1,"Lose – Fläche geschätzt; ",""))&amp;IF(G1534&gt;AP1534,"Überbestand "&amp;ROUND(G1534-AP1534,0)&amp;" Stk / CHF "&amp;ROUND((G1534-AP1534)*F1534,0)&amp;"; ","")&amp;IF(AND(BW1534=1,BX1534&lt;BY1534),"MAX &lt; MB+LG; ","")&amp;IF(AND(CC1534&gt;0,CB1534*10&gt;CC1534),"zu hoch für Tablar; ","")&amp;IF(AND(BN1534=0,OR(BW1534=1,Y1534&lt;&gt;"",S1534&lt;&gt;"",T1534&lt;&gt;"",Z1534&lt;&gt;"")),"manuell übersteuert; ","")&amp;IF(AND(BR1534=0,Q1534=0),"Gebinde unbekannt / Stellmass fehlt; ","")&amp;IF(AND(BR1534=0,N(T1534)&lt;=0,N(P1534)&lt;=0),"Menge pro Gebinde fehlt (Ist = 1 Gebinde); ","")&amp;BM1534)</f>
        <v/>
      </c>
      <c r="BF1534" s="55"/>
      <c r="BG1534" s="55"/>
      <c r="BH1534" s="62"/>
      <c r="BI1534" s="57" t="n">
        <f aca="false">N('Neue Artikel'!$D$62)</f>
        <v>0</v>
      </c>
      <c r="BJ1534" s="57" t="n">
        <v>0</v>
      </c>
      <c r="BK1534" s="56" t="n">
        <v>0</v>
      </c>
      <c r="BL1534" s="57" t="n">
        <f aca="false">N('Neue Artikel'!$C$62)/Parameter!$B$18</f>
        <v>0</v>
      </c>
      <c r="BM1534" s="55"/>
      <c r="BN1534" s="60" t="n">
        <v>1</v>
      </c>
      <c r="BO1534" s="60" t="n">
        <v>1534</v>
      </c>
      <c r="BP1534" s="55" t="str">
        <f aca="false">IF(S1534&lt;&gt;"",UPPER(TRIM(S1534)),IF(O1534="","LOSE",O1534))</f>
        <v>LOSE</v>
      </c>
      <c r="BQ1534" s="57" t="n">
        <f aca="false">IF(BP1534="LOSE",1,IF(N(T1534)&gt;0,T1534,IF(N(P1534)&gt;0,P1534,MAX(1,G1534))))</f>
        <v>1</v>
      </c>
      <c r="BR1534" s="60" t="n">
        <f aca="false">IF(BP1534="LOSE",1,0)</f>
        <v>1</v>
      </c>
      <c r="BS1534" s="59" t="n">
        <f aca="false">IF(BR1534=0,0,IF(N(R1534)&gt;0,R1534,IFERROR(VLOOKUP(D1534,Parameter!$A$35:$C$64,3,0)+0,0)))</f>
        <v>0.15</v>
      </c>
      <c r="BT1534" s="55" t="str">
        <f aca="false">IF(Y1534&lt;&gt;"",Y1534,X1534)</f>
        <v/>
      </c>
      <c r="BU1534" s="55" t="str">
        <f aca="false">IF(BT1534=1,"L1",IF(OR(BT1534=2,BT1534=3),"L23",IF(BT1534="Aussen","Aussen","-")))</f>
        <v>-</v>
      </c>
      <c r="BV1534" s="66" t="n">
        <f aca="false">IF(N(Z1534)&gt;0,Z1534,0)</f>
        <v>0</v>
      </c>
      <c r="BW1534" s="60" t="n">
        <f aca="false">IF(ISNUMBER(AC1534),1,0)</f>
        <v>0</v>
      </c>
      <c r="BX1534" s="57" t="n">
        <f aca="false">N(AC1534)</f>
        <v>0</v>
      </c>
      <c r="BY1534" s="57" t="n">
        <f aca="false">N(L1534)+N(M1534)</f>
        <v>0</v>
      </c>
      <c r="BZ1534" s="57" t="n">
        <f aca="false">ROUNDUP(G1534/BQ1534,0)</f>
        <v>0</v>
      </c>
      <c r="CA1534" s="57" t="n">
        <f aca="false">ROUNDUP(BX1534/BQ1534,0)</f>
        <v>0</v>
      </c>
      <c r="CB1534" s="60" t="n">
        <f aca="false">IF(BR1534=1,0,IFERROR(VLOOKUP(BP1534,'Gebinde-Kategorie'!$A$5:$M$45,5,0)+0,0))</f>
        <v>0</v>
      </c>
      <c r="CC1534" s="60" t="n">
        <f aca="false">IFERROR(IF(OR(BT1534=1,BT1534=2,BT1534=3),N(INDEX(Parameter!$I$5:$I$7,BT1534)),0),0)</f>
        <v>0</v>
      </c>
      <c r="CD1534" s="59" t="n">
        <f aca="false">IF(AND(Parameter!$B$21="Ja",ISNUMBER(U1534),N(V1534)&gt;0),IFERROR(N(INDEX(Parameter!$L$5:$L$7,U1534))*INDEX(Parameter!$E$5:$E$7,U1534)*V1534/SUMIFS($V$7:$V$1576,$U$7:$U$1576,U1534),0),0)</f>
        <v>0</v>
      </c>
    </row>
    <row r="1535" customFormat="false" ht="15" hidden="false" customHeight="false" outlineLevel="0" collapsed="false">
      <c r="A1535" s="55" t="str">
        <f aca="false">IF('Neue Artikel'!$A$63="","",'Neue Artikel'!$A$63&amp;"")</f>
        <v/>
      </c>
      <c r="B1535" s="55" t="str">
        <f aca="false">'Neue Artikel'!$B$63&amp;""</f>
        <v/>
      </c>
      <c r="C1535" s="55"/>
      <c r="D1535" s="55" t="s">
        <v>2561</v>
      </c>
      <c r="E1535" s="55"/>
      <c r="F1535" s="56" t="n">
        <f aca="false">N('Neue Artikel'!$G$63)</f>
        <v>0</v>
      </c>
      <c r="G1535" s="57" t="n">
        <f aca="false">MAX(0,IF(AND(Parameter!$B$21="Ja",ISNUMBER(W1535)),W1535,IF(Parameter!$B$20="Jahresanfang 2025 + Export",BJ1535+BI1535,BI1535)))</f>
        <v>0</v>
      </c>
      <c r="H1535" s="57" t="n">
        <f aca="false">G1535*F1535</f>
        <v>0</v>
      </c>
      <c r="I1535" s="57" t="n">
        <f aca="false">BL1535*Parameter!$B$18</f>
        <v>0</v>
      </c>
      <c r="J1535" s="58"/>
      <c r="K1535" s="59"/>
      <c r="L1535" s="57" t="n">
        <f aca="false">N('Neue Artikel'!$E$63)</f>
        <v>0</v>
      </c>
      <c r="M1535" s="57" t="n">
        <f aca="false">N('Neue Artikel'!$F$63)</f>
        <v>0</v>
      </c>
      <c r="N1535" s="60"/>
      <c r="O1535" s="55" t="str">
        <f aca="false">IF('Neue Artikel'!$H$63="","LOSE",UPPER(TRIM('Neue Artikel'!$H$63)))</f>
        <v>LOSE</v>
      </c>
      <c r="P1535" s="57" t="n">
        <f aca="false">N('Neue Artikel'!$I$63)</f>
        <v>0</v>
      </c>
      <c r="Q1535" s="60" t="n">
        <f aca="false">IF(BR1535=1,0,IFERROR(VLOOKUP(BP1535,'Gebinde-Kategorie'!$A$5:$M$45,13,0)+0,0))</f>
        <v>0</v>
      </c>
      <c r="R1535" s="61"/>
      <c r="S1535" s="62"/>
      <c r="T1535" s="62"/>
      <c r="U1535" s="55"/>
      <c r="V1535" s="57"/>
      <c r="W1535" s="57"/>
      <c r="X1535" s="55" t="str">
        <f aca="false">IF(A1535="","",IF(AND(Parameter!$B$21="Ja",ISNUMBER(U1535)),U1535,IF(IFERROR(VLOOKUP(D1535,Parameter!$A$35:$C$64,2,0),"Nein")="2+3",IF(ISNUMBER(SEARCH("grosser Artikel",BM1535)),2,IFERROR(VLOOKUP(BP1535,Parameter!$F$35:$G$64,2,0),2)),IF(OR(IFERROR(VLOOKUP(D1535,Parameter!$A$35:$C$64,2,0),"Nein")="Nein",IFERROR(VLOOKUP(D1535,Parameter!$A$35:$C$64,2,0),"Nein")=""),"-",VLOOKUP(D1535,Parameter!$A$35:$C$64,2,0)))))</f>
        <v/>
      </c>
      <c r="Y1535" s="55" t="str">
        <f aca="false">IF('Neue Artikel'!$J$63="","",'Neue Artikel'!$J$63)</f>
        <v/>
      </c>
      <c r="Z1535" s="63"/>
      <c r="AA1535" s="57" t="n">
        <f aca="false">AP1535</f>
        <v>0</v>
      </c>
      <c r="AB1535" s="57" t="n">
        <f aca="false">MAX(AP1535,G1535)</f>
        <v>0</v>
      </c>
      <c r="AC1535" s="64"/>
      <c r="AD1535" s="57" t="n">
        <f aca="false">IF(LEFT(Cockpit!$C$5,1)="A",G1535,IF(BW1535=1,BX1535,IF(LEFT(Cockpit!$C$5,1)="B",AH1535,MAX(AH1535,G1535))))</f>
        <v>0</v>
      </c>
      <c r="AE1535" s="57" t="n">
        <f aca="false">IF(BR1535=1,0,ROUNDUP(AD1535/BQ1535,0))</f>
        <v>0</v>
      </c>
      <c r="AF1535" s="59" t="n">
        <f aca="false">IF(CD1535&gt;0,CD1535*MAX(1,AD1535/V1535),IF(BR1535=1,IF(AD1535&lt;=0,0,BS1535*MAX(1,IF(G1535&gt;0,AD1535/G1535,1))),IF(Q1535&gt;0,AE1535/Q1535,0))/MAX(0.1,N(Parameter!$M$21)))</f>
        <v>0</v>
      </c>
      <c r="AG1535" s="57" t="n">
        <f aca="false">AD1535*F1535</f>
        <v>0</v>
      </c>
      <c r="AH1535" s="57" t="n">
        <f aca="false">ROUNDUP(MAX(I1535/IF(BV1535&gt;0,BV1535,MAX(0.1,N(Cockpit!$C$6))),BY1535)/BQ1535,0)*BQ1535</f>
        <v>0</v>
      </c>
      <c r="AI1535" s="58" t="n">
        <f aca="false">IF(AF1535&gt;0,I1535/AF1535,-1)</f>
        <v>-1</v>
      </c>
      <c r="AJ1535" s="58" t="str">
        <f aca="false">IF(AND(OR(BU1535="L1",BU1535="L23"),AF1535&gt;0),SUMIFS($AF$7:$AF$1576,$BU$7:$BU$1576,BU1535,$AI$7:$AI$1576,"&gt;"&amp;AI1535)+SUMIFS($AF$7:$AF$1576,$BU$7:$BU$1576,BU1535,$AI$7:$AI$1576,AI1535,$BO$7:$BO$1576,"&lt;="&amp;BO1535),"")</f>
        <v/>
      </c>
      <c r="AK1535" s="65" t="n">
        <f aca="false">IF(AJ1535="",0,MAX(0,MIN(1,(IF(BU1535="L1",Parameter!$E$5,Parameter!$E$6+Parameter!$E$7)-(AJ1535-AF1535))/AF1535)))</f>
        <v>0</v>
      </c>
      <c r="AL1535" s="57" t="n">
        <f aca="false">IF(LEFT(Cockpit!$I$5,1)="A",G1535,IF(BW1535=1,BX1535,IF(LEFT(Cockpit!$I$5,1)="B",AP1535,MAX(AP1535,G1535))))</f>
        <v>0</v>
      </c>
      <c r="AM1535" s="57" t="n">
        <f aca="false">IF(BR1535=1,0,ROUNDUP(AL1535/BQ1535,0))</f>
        <v>0</v>
      </c>
      <c r="AN1535" s="59" t="n">
        <f aca="false">IF(CD1535&gt;0,CD1535*MAX(1,AL1535/V1535),IF(BR1535=1,IF(AL1535&lt;=0,0,BS1535*MAX(1,IF(G1535&gt;0,AL1535/G1535,1))),IF(Q1535&gt;0,AM1535/Q1535,0))/MAX(0.1,N(Parameter!$M$21)))</f>
        <v>0</v>
      </c>
      <c r="AO1535" s="57" t="n">
        <f aca="false">AL1535*F1535</f>
        <v>0</v>
      </c>
      <c r="AP1535" s="57" t="n">
        <f aca="false">ROUNDUP(MAX(I1535/IF(BV1535&gt;0,BV1535,MAX(0.1,N(Cockpit!$I$6))),BY1535)/BQ1535,0)*BQ1535</f>
        <v>0</v>
      </c>
      <c r="AQ1535" s="58" t="n">
        <f aca="false">IF(AN1535&gt;0,I1535/AN1535,-1)</f>
        <v>-1</v>
      </c>
      <c r="AR1535" s="58" t="str">
        <f aca="false">IF(AND(OR(BU1535="L1",BU1535="L23"),AN1535&gt;0),SUMIFS($AN$7:$AN$1576,$BU$7:$BU$1576,BU1535,$AQ$7:$AQ$1576,"&gt;"&amp;AQ1535)+SUMIFS($AN$7:$AN$1576,$BU$7:$BU$1576,BU1535,$AQ$7:$AQ$1576,AQ1535,$BO$7:$BO$1576,"&lt;="&amp;BO1535),"")</f>
        <v/>
      </c>
      <c r="AS1535" s="65" t="n">
        <f aca="false">IF(AR1535="",0,MAX(0,MIN(1,(IF(BU1535="L1",Parameter!$E$5,Parameter!$E$6+Parameter!$E$7)-(AR1535-AN1535))/AN1535)))</f>
        <v>0</v>
      </c>
      <c r="AT1535" s="57" t="n">
        <f aca="false">IF(LEFT(Cockpit!$O$5,1)="A",G1535,IF(BW1535=1,BX1535,IF(LEFT(Cockpit!$O$5,1)="B",AX1535,MAX(AX1535,G1535))))</f>
        <v>0</v>
      </c>
      <c r="AU1535" s="57" t="n">
        <f aca="false">IF(BR1535=1,0,ROUNDUP(AT1535/BQ1535,0))</f>
        <v>0</v>
      </c>
      <c r="AV1535" s="59" t="n">
        <f aca="false">IF(CD1535&gt;0,CD1535*MAX(1,AT1535/V1535),IF(BR1535=1,IF(AT1535&lt;=0,0,BS1535*MAX(1,IF(G1535&gt;0,AT1535/G1535,1))),IF(Q1535&gt;0,AU1535/Q1535,0))/MAX(0.1,N(Parameter!$M$21)))</f>
        <v>0</v>
      </c>
      <c r="AW1535" s="57" t="n">
        <f aca="false">AT1535*F1535</f>
        <v>0</v>
      </c>
      <c r="AX1535" s="57" t="n">
        <f aca="false">ROUNDUP(MAX(I1535/IF(BV1535&gt;0,BV1535,MAX(0.1,N(Cockpit!$O$6))),BY1535)/BQ1535,0)*BQ1535</f>
        <v>0</v>
      </c>
      <c r="AY1535" s="58" t="n">
        <f aca="false">IF(AV1535&gt;0,I1535/AV1535,-1)</f>
        <v>-1</v>
      </c>
      <c r="AZ1535" s="58" t="str">
        <f aca="false">IF(AND(OR(BU1535="L1",BU1535="L23"),AV1535&gt;0),SUMIFS($AV$7:$AV$1576,$BU$7:$BU$1576,BU1535,$AY$7:$AY$1576,"&gt;"&amp;AY1535)+SUMIFS($AV$7:$AV$1576,$BU$7:$BU$1576,BU1535,$AY$7:$AY$1576,AY1535,$BO$7:$BO$1576,"&lt;="&amp;BO1535),"")</f>
        <v/>
      </c>
      <c r="BA1535" s="65" t="n">
        <f aca="false">IF(AZ1535="",0,MAX(0,MIN(1,(IF(BU1535="L1",Parameter!$E$5,Parameter!$E$6+Parameter!$E$7)-(AZ1535-AV1535))/AV1535)))</f>
        <v>0</v>
      </c>
      <c r="BB1535" s="55" t="str">
        <f aca="false">IF(AF1535&lt;=0,"",IF(BU1535="Aussen","Aussenlager",IF(BU1535="-","Nicht im Lift",IF(AK1535&gt;=1,"Lift",IF(AK1535&lt;=0,"Aussenlager","teilweise")))))</f>
        <v/>
      </c>
      <c r="BC1535" s="55" t="str">
        <f aca="false">IF(AN1535&lt;=0,"",IF(BU1535="Aussen","Aussenlager",IF(BU1535="-","Nicht im Lift",IF(AS1535&gt;=1,"Lift",IF(AS1535&lt;=0,"Aussenlager","teilweise")))))</f>
        <v/>
      </c>
      <c r="BD1535" s="55" t="str">
        <f aca="false">IF(AV1535&lt;=0,"",IF(BU1535="Aussen","Aussenlager",IF(BU1535="-","Nicht im Lift",IF(BA1535&gt;=1,"Lift",IF(BA1535&lt;=0,"Aussenlager","teilweise")))))</f>
        <v/>
      </c>
      <c r="BE1535" s="55" t="str">
        <f aca="false">IF(A1535="","",IF(BN1535=1,"Neu; ","")&amp;IF(AND(BN1535=0,BI1535&lt;0),"negativer Bestand (Export "&amp;BI1535&amp;"); ","")&amp;IF(I1535&lt;=0,"Kein Verbrauch; ","")&amp;IF(CD1535&gt;0,"Lift "&amp;U1535&amp;" lt. Liftbericht (Fach "&amp;V1535&amp;" Stk); ",IF(BR1535=1,"Lose – Fläche geschätzt; ",""))&amp;IF(G1535&gt;AP1535,"Überbestand "&amp;ROUND(G1535-AP1535,0)&amp;" Stk / CHF "&amp;ROUND((G1535-AP1535)*F1535,0)&amp;"; ","")&amp;IF(AND(BW1535=1,BX1535&lt;BY1535),"MAX &lt; MB+LG; ","")&amp;IF(AND(CC1535&gt;0,CB1535*10&gt;CC1535),"zu hoch für Tablar; ","")&amp;IF(AND(BN1535=0,OR(BW1535=1,Y1535&lt;&gt;"",S1535&lt;&gt;"",T1535&lt;&gt;"",Z1535&lt;&gt;"")),"manuell übersteuert; ","")&amp;IF(AND(BR1535=0,Q1535=0),"Gebinde unbekannt / Stellmass fehlt; ","")&amp;IF(AND(BR1535=0,N(T1535)&lt;=0,N(P1535)&lt;=0),"Menge pro Gebinde fehlt (Ist = 1 Gebinde); ","")&amp;BM1535)</f>
        <v/>
      </c>
      <c r="BF1535" s="55"/>
      <c r="BG1535" s="55"/>
      <c r="BH1535" s="62"/>
      <c r="BI1535" s="57" t="n">
        <f aca="false">N('Neue Artikel'!$D$63)</f>
        <v>0</v>
      </c>
      <c r="BJ1535" s="57" t="n">
        <v>0</v>
      </c>
      <c r="BK1535" s="56" t="n">
        <v>0</v>
      </c>
      <c r="BL1535" s="57" t="n">
        <f aca="false">N('Neue Artikel'!$C$63)/Parameter!$B$18</f>
        <v>0</v>
      </c>
      <c r="BM1535" s="55"/>
      <c r="BN1535" s="60" t="n">
        <v>1</v>
      </c>
      <c r="BO1535" s="60" t="n">
        <v>1535</v>
      </c>
      <c r="BP1535" s="55" t="str">
        <f aca="false">IF(S1535&lt;&gt;"",UPPER(TRIM(S1535)),IF(O1535="","LOSE",O1535))</f>
        <v>LOSE</v>
      </c>
      <c r="BQ1535" s="57" t="n">
        <f aca="false">IF(BP1535="LOSE",1,IF(N(T1535)&gt;0,T1535,IF(N(P1535)&gt;0,P1535,MAX(1,G1535))))</f>
        <v>1</v>
      </c>
      <c r="BR1535" s="60" t="n">
        <f aca="false">IF(BP1535="LOSE",1,0)</f>
        <v>1</v>
      </c>
      <c r="BS1535" s="59" t="n">
        <f aca="false">IF(BR1535=0,0,IF(N(R1535)&gt;0,R1535,IFERROR(VLOOKUP(D1535,Parameter!$A$35:$C$64,3,0)+0,0)))</f>
        <v>0.15</v>
      </c>
      <c r="BT1535" s="55" t="str">
        <f aca="false">IF(Y1535&lt;&gt;"",Y1535,X1535)</f>
        <v/>
      </c>
      <c r="BU1535" s="55" t="str">
        <f aca="false">IF(BT1535=1,"L1",IF(OR(BT1535=2,BT1535=3),"L23",IF(BT1535="Aussen","Aussen","-")))</f>
        <v>-</v>
      </c>
      <c r="BV1535" s="66" t="n">
        <f aca="false">IF(N(Z1535)&gt;0,Z1535,0)</f>
        <v>0</v>
      </c>
      <c r="BW1535" s="60" t="n">
        <f aca="false">IF(ISNUMBER(AC1535),1,0)</f>
        <v>0</v>
      </c>
      <c r="BX1535" s="57" t="n">
        <f aca="false">N(AC1535)</f>
        <v>0</v>
      </c>
      <c r="BY1535" s="57" t="n">
        <f aca="false">N(L1535)+N(M1535)</f>
        <v>0</v>
      </c>
      <c r="BZ1535" s="57" t="n">
        <f aca="false">ROUNDUP(G1535/BQ1535,0)</f>
        <v>0</v>
      </c>
      <c r="CA1535" s="57" t="n">
        <f aca="false">ROUNDUP(BX1535/BQ1535,0)</f>
        <v>0</v>
      </c>
      <c r="CB1535" s="60" t="n">
        <f aca="false">IF(BR1535=1,0,IFERROR(VLOOKUP(BP1535,'Gebinde-Kategorie'!$A$5:$M$45,5,0)+0,0))</f>
        <v>0</v>
      </c>
      <c r="CC1535" s="60" t="n">
        <f aca="false">IFERROR(IF(OR(BT1535=1,BT1535=2,BT1535=3),N(INDEX(Parameter!$I$5:$I$7,BT1535)),0),0)</f>
        <v>0</v>
      </c>
      <c r="CD1535" s="59" t="n">
        <f aca="false">IF(AND(Parameter!$B$21="Ja",ISNUMBER(U1535),N(V1535)&gt;0),IFERROR(N(INDEX(Parameter!$L$5:$L$7,U1535))*INDEX(Parameter!$E$5:$E$7,U1535)*V1535/SUMIFS($V$7:$V$1576,$U$7:$U$1576,U1535),0),0)</f>
        <v>0</v>
      </c>
    </row>
    <row r="1536" customFormat="false" ht="15" hidden="false" customHeight="false" outlineLevel="0" collapsed="false">
      <c r="A1536" s="55" t="str">
        <f aca="false">IF('Neue Artikel'!$A$64="","",'Neue Artikel'!$A$64&amp;"")</f>
        <v/>
      </c>
      <c r="B1536" s="55" t="str">
        <f aca="false">'Neue Artikel'!$B$64&amp;""</f>
        <v/>
      </c>
      <c r="C1536" s="55"/>
      <c r="D1536" s="55" t="s">
        <v>2561</v>
      </c>
      <c r="E1536" s="55"/>
      <c r="F1536" s="56" t="n">
        <f aca="false">N('Neue Artikel'!$G$64)</f>
        <v>0</v>
      </c>
      <c r="G1536" s="57" t="n">
        <f aca="false">MAX(0,IF(AND(Parameter!$B$21="Ja",ISNUMBER(W1536)),W1536,IF(Parameter!$B$20="Jahresanfang 2025 + Export",BJ1536+BI1536,BI1536)))</f>
        <v>0</v>
      </c>
      <c r="H1536" s="57" t="n">
        <f aca="false">G1536*F1536</f>
        <v>0</v>
      </c>
      <c r="I1536" s="57" t="n">
        <f aca="false">BL1536*Parameter!$B$18</f>
        <v>0</v>
      </c>
      <c r="J1536" s="58"/>
      <c r="K1536" s="59"/>
      <c r="L1536" s="57" t="n">
        <f aca="false">N('Neue Artikel'!$E$64)</f>
        <v>0</v>
      </c>
      <c r="M1536" s="57" t="n">
        <f aca="false">N('Neue Artikel'!$F$64)</f>
        <v>0</v>
      </c>
      <c r="N1536" s="60"/>
      <c r="O1536" s="55" t="str">
        <f aca="false">IF('Neue Artikel'!$H$64="","LOSE",UPPER(TRIM('Neue Artikel'!$H$64)))</f>
        <v>LOSE</v>
      </c>
      <c r="P1536" s="57" t="n">
        <f aca="false">N('Neue Artikel'!$I$64)</f>
        <v>0</v>
      </c>
      <c r="Q1536" s="60" t="n">
        <f aca="false">IF(BR1536=1,0,IFERROR(VLOOKUP(BP1536,'Gebinde-Kategorie'!$A$5:$M$45,13,0)+0,0))</f>
        <v>0</v>
      </c>
      <c r="R1536" s="61"/>
      <c r="S1536" s="62"/>
      <c r="T1536" s="62"/>
      <c r="U1536" s="55"/>
      <c r="V1536" s="57"/>
      <c r="W1536" s="57"/>
      <c r="X1536" s="55" t="str">
        <f aca="false">IF(A1536="","",IF(AND(Parameter!$B$21="Ja",ISNUMBER(U1536)),U1536,IF(IFERROR(VLOOKUP(D1536,Parameter!$A$35:$C$64,2,0),"Nein")="2+3",IF(ISNUMBER(SEARCH("grosser Artikel",BM1536)),2,IFERROR(VLOOKUP(BP1536,Parameter!$F$35:$G$64,2,0),2)),IF(OR(IFERROR(VLOOKUP(D1536,Parameter!$A$35:$C$64,2,0),"Nein")="Nein",IFERROR(VLOOKUP(D1536,Parameter!$A$35:$C$64,2,0),"Nein")=""),"-",VLOOKUP(D1536,Parameter!$A$35:$C$64,2,0)))))</f>
        <v/>
      </c>
      <c r="Y1536" s="55" t="str">
        <f aca="false">IF('Neue Artikel'!$J$64="","",'Neue Artikel'!$J$64)</f>
        <v/>
      </c>
      <c r="Z1536" s="63"/>
      <c r="AA1536" s="57" t="n">
        <f aca="false">AP1536</f>
        <v>0</v>
      </c>
      <c r="AB1536" s="57" t="n">
        <f aca="false">MAX(AP1536,G1536)</f>
        <v>0</v>
      </c>
      <c r="AC1536" s="64"/>
      <c r="AD1536" s="57" t="n">
        <f aca="false">IF(LEFT(Cockpit!$C$5,1)="A",G1536,IF(BW1536=1,BX1536,IF(LEFT(Cockpit!$C$5,1)="B",AH1536,MAX(AH1536,G1536))))</f>
        <v>0</v>
      </c>
      <c r="AE1536" s="57" t="n">
        <f aca="false">IF(BR1536=1,0,ROUNDUP(AD1536/BQ1536,0))</f>
        <v>0</v>
      </c>
      <c r="AF1536" s="59" t="n">
        <f aca="false">IF(CD1536&gt;0,CD1536*MAX(1,AD1536/V1536),IF(BR1536=1,IF(AD1536&lt;=0,0,BS1536*MAX(1,IF(G1536&gt;0,AD1536/G1536,1))),IF(Q1536&gt;0,AE1536/Q1536,0))/MAX(0.1,N(Parameter!$M$21)))</f>
        <v>0</v>
      </c>
      <c r="AG1536" s="57" t="n">
        <f aca="false">AD1536*F1536</f>
        <v>0</v>
      </c>
      <c r="AH1536" s="57" t="n">
        <f aca="false">ROUNDUP(MAX(I1536/IF(BV1536&gt;0,BV1536,MAX(0.1,N(Cockpit!$C$6))),BY1536)/BQ1536,0)*BQ1536</f>
        <v>0</v>
      </c>
      <c r="AI1536" s="58" t="n">
        <f aca="false">IF(AF1536&gt;0,I1536/AF1536,-1)</f>
        <v>-1</v>
      </c>
      <c r="AJ1536" s="58" t="str">
        <f aca="false">IF(AND(OR(BU1536="L1",BU1536="L23"),AF1536&gt;0),SUMIFS($AF$7:$AF$1576,$BU$7:$BU$1576,BU1536,$AI$7:$AI$1576,"&gt;"&amp;AI1536)+SUMIFS($AF$7:$AF$1576,$BU$7:$BU$1576,BU1536,$AI$7:$AI$1576,AI1536,$BO$7:$BO$1576,"&lt;="&amp;BO1536),"")</f>
        <v/>
      </c>
      <c r="AK1536" s="65" t="n">
        <f aca="false">IF(AJ1536="",0,MAX(0,MIN(1,(IF(BU1536="L1",Parameter!$E$5,Parameter!$E$6+Parameter!$E$7)-(AJ1536-AF1536))/AF1536)))</f>
        <v>0</v>
      </c>
      <c r="AL1536" s="57" t="n">
        <f aca="false">IF(LEFT(Cockpit!$I$5,1)="A",G1536,IF(BW1536=1,BX1536,IF(LEFT(Cockpit!$I$5,1)="B",AP1536,MAX(AP1536,G1536))))</f>
        <v>0</v>
      </c>
      <c r="AM1536" s="57" t="n">
        <f aca="false">IF(BR1536=1,0,ROUNDUP(AL1536/BQ1536,0))</f>
        <v>0</v>
      </c>
      <c r="AN1536" s="59" t="n">
        <f aca="false">IF(CD1536&gt;0,CD1536*MAX(1,AL1536/V1536),IF(BR1536=1,IF(AL1536&lt;=0,0,BS1536*MAX(1,IF(G1536&gt;0,AL1536/G1536,1))),IF(Q1536&gt;0,AM1536/Q1536,0))/MAX(0.1,N(Parameter!$M$21)))</f>
        <v>0</v>
      </c>
      <c r="AO1536" s="57" t="n">
        <f aca="false">AL1536*F1536</f>
        <v>0</v>
      </c>
      <c r="AP1536" s="57" t="n">
        <f aca="false">ROUNDUP(MAX(I1536/IF(BV1536&gt;0,BV1536,MAX(0.1,N(Cockpit!$I$6))),BY1536)/BQ1536,0)*BQ1536</f>
        <v>0</v>
      </c>
      <c r="AQ1536" s="58" t="n">
        <f aca="false">IF(AN1536&gt;0,I1536/AN1536,-1)</f>
        <v>-1</v>
      </c>
      <c r="AR1536" s="58" t="str">
        <f aca="false">IF(AND(OR(BU1536="L1",BU1536="L23"),AN1536&gt;0),SUMIFS($AN$7:$AN$1576,$BU$7:$BU$1576,BU1536,$AQ$7:$AQ$1576,"&gt;"&amp;AQ1536)+SUMIFS($AN$7:$AN$1576,$BU$7:$BU$1576,BU1536,$AQ$7:$AQ$1576,AQ1536,$BO$7:$BO$1576,"&lt;="&amp;BO1536),"")</f>
        <v/>
      </c>
      <c r="AS1536" s="65" t="n">
        <f aca="false">IF(AR1536="",0,MAX(0,MIN(1,(IF(BU1536="L1",Parameter!$E$5,Parameter!$E$6+Parameter!$E$7)-(AR1536-AN1536))/AN1536)))</f>
        <v>0</v>
      </c>
      <c r="AT1536" s="57" t="n">
        <f aca="false">IF(LEFT(Cockpit!$O$5,1)="A",G1536,IF(BW1536=1,BX1536,IF(LEFT(Cockpit!$O$5,1)="B",AX1536,MAX(AX1536,G1536))))</f>
        <v>0</v>
      </c>
      <c r="AU1536" s="57" t="n">
        <f aca="false">IF(BR1536=1,0,ROUNDUP(AT1536/BQ1536,0))</f>
        <v>0</v>
      </c>
      <c r="AV1536" s="59" t="n">
        <f aca="false">IF(CD1536&gt;0,CD1536*MAX(1,AT1536/V1536),IF(BR1536=1,IF(AT1536&lt;=0,0,BS1536*MAX(1,IF(G1536&gt;0,AT1536/G1536,1))),IF(Q1536&gt;0,AU1536/Q1536,0))/MAX(0.1,N(Parameter!$M$21)))</f>
        <v>0</v>
      </c>
      <c r="AW1536" s="57" t="n">
        <f aca="false">AT1536*F1536</f>
        <v>0</v>
      </c>
      <c r="AX1536" s="57" t="n">
        <f aca="false">ROUNDUP(MAX(I1536/IF(BV1536&gt;0,BV1536,MAX(0.1,N(Cockpit!$O$6))),BY1536)/BQ1536,0)*BQ1536</f>
        <v>0</v>
      </c>
      <c r="AY1536" s="58" t="n">
        <f aca="false">IF(AV1536&gt;0,I1536/AV1536,-1)</f>
        <v>-1</v>
      </c>
      <c r="AZ1536" s="58" t="str">
        <f aca="false">IF(AND(OR(BU1536="L1",BU1536="L23"),AV1536&gt;0),SUMIFS($AV$7:$AV$1576,$BU$7:$BU$1576,BU1536,$AY$7:$AY$1576,"&gt;"&amp;AY1536)+SUMIFS($AV$7:$AV$1576,$BU$7:$BU$1576,BU1536,$AY$7:$AY$1576,AY1536,$BO$7:$BO$1576,"&lt;="&amp;BO1536),"")</f>
        <v/>
      </c>
      <c r="BA1536" s="65" t="n">
        <f aca="false">IF(AZ1536="",0,MAX(0,MIN(1,(IF(BU1536="L1",Parameter!$E$5,Parameter!$E$6+Parameter!$E$7)-(AZ1536-AV1536))/AV1536)))</f>
        <v>0</v>
      </c>
      <c r="BB1536" s="55" t="str">
        <f aca="false">IF(AF1536&lt;=0,"",IF(BU1536="Aussen","Aussenlager",IF(BU1536="-","Nicht im Lift",IF(AK1536&gt;=1,"Lift",IF(AK1536&lt;=0,"Aussenlager","teilweise")))))</f>
        <v/>
      </c>
      <c r="BC1536" s="55" t="str">
        <f aca="false">IF(AN1536&lt;=0,"",IF(BU1536="Aussen","Aussenlager",IF(BU1536="-","Nicht im Lift",IF(AS1536&gt;=1,"Lift",IF(AS1536&lt;=0,"Aussenlager","teilweise")))))</f>
        <v/>
      </c>
      <c r="BD1536" s="55" t="str">
        <f aca="false">IF(AV1536&lt;=0,"",IF(BU1536="Aussen","Aussenlager",IF(BU1536="-","Nicht im Lift",IF(BA1536&gt;=1,"Lift",IF(BA1536&lt;=0,"Aussenlager","teilweise")))))</f>
        <v/>
      </c>
      <c r="BE1536" s="55" t="str">
        <f aca="false">IF(A1536="","",IF(BN1536=1,"Neu; ","")&amp;IF(AND(BN1536=0,BI1536&lt;0),"negativer Bestand (Export "&amp;BI1536&amp;"); ","")&amp;IF(I1536&lt;=0,"Kein Verbrauch; ","")&amp;IF(CD1536&gt;0,"Lift "&amp;U1536&amp;" lt. Liftbericht (Fach "&amp;V1536&amp;" Stk); ",IF(BR1536=1,"Lose – Fläche geschätzt; ",""))&amp;IF(G1536&gt;AP1536,"Überbestand "&amp;ROUND(G1536-AP1536,0)&amp;" Stk / CHF "&amp;ROUND((G1536-AP1536)*F1536,0)&amp;"; ","")&amp;IF(AND(BW1536=1,BX1536&lt;BY1536),"MAX &lt; MB+LG; ","")&amp;IF(AND(CC1536&gt;0,CB1536*10&gt;CC1536),"zu hoch für Tablar; ","")&amp;IF(AND(BN1536=0,OR(BW1536=1,Y1536&lt;&gt;"",S1536&lt;&gt;"",T1536&lt;&gt;"",Z1536&lt;&gt;"")),"manuell übersteuert; ","")&amp;IF(AND(BR1536=0,Q1536=0),"Gebinde unbekannt / Stellmass fehlt; ","")&amp;IF(AND(BR1536=0,N(T1536)&lt;=0,N(P1536)&lt;=0),"Menge pro Gebinde fehlt (Ist = 1 Gebinde); ","")&amp;BM1536)</f>
        <v/>
      </c>
      <c r="BF1536" s="55"/>
      <c r="BG1536" s="55"/>
      <c r="BH1536" s="62"/>
      <c r="BI1536" s="57" t="n">
        <f aca="false">N('Neue Artikel'!$D$64)</f>
        <v>0</v>
      </c>
      <c r="BJ1536" s="57" t="n">
        <v>0</v>
      </c>
      <c r="BK1536" s="56" t="n">
        <v>0</v>
      </c>
      <c r="BL1536" s="57" t="n">
        <f aca="false">N('Neue Artikel'!$C$64)/Parameter!$B$18</f>
        <v>0</v>
      </c>
      <c r="BM1536" s="55"/>
      <c r="BN1536" s="60" t="n">
        <v>1</v>
      </c>
      <c r="BO1536" s="60" t="n">
        <v>1536</v>
      </c>
      <c r="BP1536" s="55" t="str">
        <f aca="false">IF(S1536&lt;&gt;"",UPPER(TRIM(S1536)),IF(O1536="","LOSE",O1536))</f>
        <v>LOSE</v>
      </c>
      <c r="BQ1536" s="57" t="n">
        <f aca="false">IF(BP1536="LOSE",1,IF(N(T1536)&gt;0,T1536,IF(N(P1536)&gt;0,P1536,MAX(1,G1536))))</f>
        <v>1</v>
      </c>
      <c r="BR1536" s="60" t="n">
        <f aca="false">IF(BP1536="LOSE",1,0)</f>
        <v>1</v>
      </c>
      <c r="BS1536" s="59" t="n">
        <f aca="false">IF(BR1536=0,0,IF(N(R1536)&gt;0,R1536,IFERROR(VLOOKUP(D1536,Parameter!$A$35:$C$64,3,0)+0,0)))</f>
        <v>0.15</v>
      </c>
      <c r="BT1536" s="55" t="str">
        <f aca="false">IF(Y1536&lt;&gt;"",Y1536,X1536)</f>
        <v/>
      </c>
      <c r="BU1536" s="55" t="str">
        <f aca="false">IF(BT1536=1,"L1",IF(OR(BT1536=2,BT1536=3),"L23",IF(BT1536="Aussen","Aussen","-")))</f>
        <v>-</v>
      </c>
      <c r="BV1536" s="66" t="n">
        <f aca="false">IF(N(Z1536)&gt;0,Z1536,0)</f>
        <v>0</v>
      </c>
      <c r="BW1536" s="60" t="n">
        <f aca="false">IF(ISNUMBER(AC1536),1,0)</f>
        <v>0</v>
      </c>
      <c r="BX1536" s="57" t="n">
        <f aca="false">N(AC1536)</f>
        <v>0</v>
      </c>
      <c r="BY1536" s="57" t="n">
        <f aca="false">N(L1536)+N(M1536)</f>
        <v>0</v>
      </c>
      <c r="BZ1536" s="57" t="n">
        <f aca="false">ROUNDUP(G1536/BQ1536,0)</f>
        <v>0</v>
      </c>
      <c r="CA1536" s="57" t="n">
        <f aca="false">ROUNDUP(BX1536/BQ1536,0)</f>
        <v>0</v>
      </c>
      <c r="CB1536" s="60" t="n">
        <f aca="false">IF(BR1536=1,0,IFERROR(VLOOKUP(BP1536,'Gebinde-Kategorie'!$A$5:$M$45,5,0)+0,0))</f>
        <v>0</v>
      </c>
      <c r="CC1536" s="60" t="n">
        <f aca="false">IFERROR(IF(OR(BT1536=1,BT1536=2,BT1536=3),N(INDEX(Parameter!$I$5:$I$7,BT1536)),0),0)</f>
        <v>0</v>
      </c>
      <c r="CD1536" s="59" t="n">
        <f aca="false">IF(AND(Parameter!$B$21="Ja",ISNUMBER(U1536),N(V1536)&gt;0),IFERROR(N(INDEX(Parameter!$L$5:$L$7,U1536))*INDEX(Parameter!$E$5:$E$7,U1536)*V1536/SUMIFS($V$7:$V$1576,$U$7:$U$1576,U1536),0),0)</f>
        <v>0</v>
      </c>
    </row>
    <row r="1537" customFormat="false" ht="15" hidden="false" customHeight="false" outlineLevel="0" collapsed="false">
      <c r="A1537" s="55" t="str">
        <f aca="false">IF('Neue Artikel'!$A$65="","",'Neue Artikel'!$A$65&amp;"")</f>
        <v/>
      </c>
      <c r="B1537" s="55" t="str">
        <f aca="false">'Neue Artikel'!$B$65&amp;""</f>
        <v/>
      </c>
      <c r="C1537" s="55"/>
      <c r="D1537" s="55" t="s">
        <v>2561</v>
      </c>
      <c r="E1537" s="55"/>
      <c r="F1537" s="56" t="n">
        <f aca="false">N('Neue Artikel'!$G$65)</f>
        <v>0</v>
      </c>
      <c r="G1537" s="57" t="n">
        <f aca="false">MAX(0,IF(AND(Parameter!$B$21="Ja",ISNUMBER(W1537)),W1537,IF(Parameter!$B$20="Jahresanfang 2025 + Export",BJ1537+BI1537,BI1537)))</f>
        <v>0</v>
      </c>
      <c r="H1537" s="57" t="n">
        <f aca="false">G1537*F1537</f>
        <v>0</v>
      </c>
      <c r="I1537" s="57" t="n">
        <f aca="false">BL1537*Parameter!$B$18</f>
        <v>0</v>
      </c>
      <c r="J1537" s="58"/>
      <c r="K1537" s="59"/>
      <c r="L1537" s="57" t="n">
        <f aca="false">N('Neue Artikel'!$E$65)</f>
        <v>0</v>
      </c>
      <c r="M1537" s="57" t="n">
        <f aca="false">N('Neue Artikel'!$F$65)</f>
        <v>0</v>
      </c>
      <c r="N1537" s="60"/>
      <c r="O1537" s="55" t="str">
        <f aca="false">IF('Neue Artikel'!$H$65="","LOSE",UPPER(TRIM('Neue Artikel'!$H$65)))</f>
        <v>LOSE</v>
      </c>
      <c r="P1537" s="57" t="n">
        <f aca="false">N('Neue Artikel'!$I$65)</f>
        <v>0</v>
      </c>
      <c r="Q1537" s="60" t="n">
        <f aca="false">IF(BR1537=1,0,IFERROR(VLOOKUP(BP1537,'Gebinde-Kategorie'!$A$5:$M$45,13,0)+0,0))</f>
        <v>0</v>
      </c>
      <c r="R1537" s="61"/>
      <c r="S1537" s="62"/>
      <c r="T1537" s="62"/>
      <c r="U1537" s="55"/>
      <c r="V1537" s="57"/>
      <c r="W1537" s="57"/>
      <c r="X1537" s="55" t="str">
        <f aca="false">IF(A1537="","",IF(AND(Parameter!$B$21="Ja",ISNUMBER(U1537)),U1537,IF(IFERROR(VLOOKUP(D1537,Parameter!$A$35:$C$64,2,0),"Nein")="2+3",IF(ISNUMBER(SEARCH("grosser Artikel",BM1537)),2,IFERROR(VLOOKUP(BP1537,Parameter!$F$35:$G$64,2,0),2)),IF(OR(IFERROR(VLOOKUP(D1537,Parameter!$A$35:$C$64,2,0),"Nein")="Nein",IFERROR(VLOOKUP(D1537,Parameter!$A$35:$C$64,2,0),"Nein")=""),"-",VLOOKUP(D1537,Parameter!$A$35:$C$64,2,0)))))</f>
        <v/>
      </c>
      <c r="Y1537" s="55" t="str">
        <f aca="false">IF('Neue Artikel'!$J$65="","",'Neue Artikel'!$J$65)</f>
        <v/>
      </c>
      <c r="Z1537" s="63"/>
      <c r="AA1537" s="57" t="n">
        <f aca="false">AP1537</f>
        <v>0</v>
      </c>
      <c r="AB1537" s="57" t="n">
        <f aca="false">MAX(AP1537,G1537)</f>
        <v>0</v>
      </c>
      <c r="AC1537" s="64"/>
      <c r="AD1537" s="57" t="n">
        <f aca="false">IF(LEFT(Cockpit!$C$5,1)="A",G1537,IF(BW1537=1,BX1537,IF(LEFT(Cockpit!$C$5,1)="B",AH1537,MAX(AH1537,G1537))))</f>
        <v>0</v>
      </c>
      <c r="AE1537" s="57" t="n">
        <f aca="false">IF(BR1537=1,0,ROUNDUP(AD1537/BQ1537,0))</f>
        <v>0</v>
      </c>
      <c r="AF1537" s="59" t="n">
        <f aca="false">IF(CD1537&gt;0,CD1537*MAX(1,AD1537/V1537),IF(BR1537=1,IF(AD1537&lt;=0,0,BS1537*MAX(1,IF(G1537&gt;0,AD1537/G1537,1))),IF(Q1537&gt;0,AE1537/Q1537,0))/MAX(0.1,N(Parameter!$M$21)))</f>
        <v>0</v>
      </c>
      <c r="AG1537" s="57" t="n">
        <f aca="false">AD1537*F1537</f>
        <v>0</v>
      </c>
      <c r="AH1537" s="57" t="n">
        <f aca="false">ROUNDUP(MAX(I1537/IF(BV1537&gt;0,BV1537,MAX(0.1,N(Cockpit!$C$6))),BY1537)/BQ1537,0)*BQ1537</f>
        <v>0</v>
      </c>
      <c r="AI1537" s="58" t="n">
        <f aca="false">IF(AF1537&gt;0,I1537/AF1537,-1)</f>
        <v>-1</v>
      </c>
      <c r="AJ1537" s="58" t="str">
        <f aca="false">IF(AND(OR(BU1537="L1",BU1537="L23"),AF1537&gt;0),SUMIFS($AF$7:$AF$1576,$BU$7:$BU$1576,BU1537,$AI$7:$AI$1576,"&gt;"&amp;AI1537)+SUMIFS($AF$7:$AF$1576,$BU$7:$BU$1576,BU1537,$AI$7:$AI$1576,AI1537,$BO$7:$BO$1576,"&lt;="&amp;BO1537),"")</f>
        <v/>
      </c>
      <c r="AK1537" s="65" t="n">
        <f aca="false">IF(AJ1537="",0,MAX(0,MIN(1,(IF(BU1537="L1",Parameter!$E$5,Parameter!$E$6+Parameter!$E$7)-(AJ1537-AF1537))/AF1537)))</f>
        <v>0</v>
      </c>
      <c r="AL1537" s="57" t="n">
        <f aca="false">IF(LEFT(Cockpit!$I$5,1)="A",G1537,IF(BW1537=1,BX1537,IF(LEFT(Cockpit!$I$5,1)="B",AP1537,MAX(AP1537,G1537))))</f>
        <v>0</v>
      </c>
      <c r="AM1537" s="57" t="n">
        <f aca="false">IF(BR1537=1,0,ROUNDUP(AL1537/BQ1537,0))</f>
        <v>0</v>
      </c>
      <c r="AN1537" s="59" t="n">
        <f aca="false">IF(CD1537&gt;0,CD1537*MAX(1,AL1537/V1537),IF(BR1537=1,IF(AL1537&lt;=0,0,BS1537*MAX(1,IF(G1537&gt;0,AL1537/G1537,1))),IF(Q1537&gt;0,AM1537/Q1537,0))/MAX(0.1,N(Parameter!$M$21)))</f>
        <v>0</v>
      </c>
      <c r="AO1537" s="57" t="n">
        <f aca="false">AL1537*F1537</f>
        <v>0</v>
      </c>
      <c r="AP1537" s="57" t="n">
        <f aca="false">ROUNDUP(MAX(I1537/IF(BV1537&gt;0,BV1537,MAX(0.1,N(Cockpit!$I$6))),BY1537)/BQ1537,0)*BQ1537</f>
        <v>0</v>
      </c>
      <c r="AQ1537" s="58" t="n">
        <f aca="false">IF(AN1537&gt;0,I1537/AN1537,-1)</f>
        <v>-1</v>
      </c>
      <c r="AR1537" s="58" t="str">
        <f aca="false">IF(AND(OR(BU1537="L1",BU1537="L23"),AN1537&gt;0),SUMIFS($AN$7:$AN$1576,$BU$7:$BU$1576,BU1537,$AQ$7:$AQ$1576,"&gt;"&amp;AQ1537)+SUMIFS($AN$7:$AN$1576,$BU$7:$BU$1576,BU1537,$AQ$7:$AQ$1576,AQ1537,$BO$7:$BO$1576,"&lt;="&amp;BO1537),"")</f>
        <v/>
      </c>
      <c r="AS1537" s="65" t="n">
        <f aca="false">IF(AR1537="",0,MAX(0,MIN(1,(IF(BU1537="L1",Parameter!$E$5,Parameter!$E$6+Parameter!$E$7)-(AR1537-AN1537))/AN1537)))</f>
        <v>0</v>
      </c>
      <c r="AT1537" s="57" t="n">
        <f aca="false">IF(LEFT(Cockpit!$O$5,1)="A",G1537,IF(BW1537=1,BX1537,IF(LEFT(Cockpit!$O$5,1)="B",AX1537,MAX(AX1537,G1537))))</f>
        <v>0</v>
      </c>
      <c r="AU1537" s="57" t="n">
        <f aca="false">IF(BR1537=1,0,ROUNDUP(AT1537/BQ1537,0))</f>
        <v>0</v>
      </c>
      <c r="AV1537" s="59" t="n">
        <f aca="false">IF(CD1537&gt;0,CD1537*MAX(1,AT1537/V1537),IF(BR1537=1,IF(AT1537&lt;=0,0,BS1537*MAX(1,IF(G1537&gt;0,AT1537/G1537,1))),IF(Q1537&gt;0,AU1537/Q1537,0))/MAX(0.1,N(Parameter!$M$21)))</f>
        <v>0</v>
      </c>
      <c r="AW1537" s="57" t="n">
        <f aca="false">AT1537*F1537</f>
        <v>0</v>
      </c>
      <c r="AX1537" s="57" t="n">
        <f aca="false">ROUNDUP(MAX(I1537/IF(BV1537&gt;0,BV1537,MAX(0.1,N(Cockpit!$O$6))),BY1537)/BQ1537,0)*BQ1537</f>
        <v>0</v>
      </c>
      <c r="AY1537" s="58" t="n">
        <f aca="false">IF(AV1537&gt;0,I1537/AV1537,-1)</f>
        <v>-1</v>
      </c>
      <c r="AZ1537" s="58" t="str">
        <f aca="false">IF(AND(OR(BU1537="L1",BU1537="L23"),AV1537&gt;0),SUMIFS($AV$7:$AV$1576,$BU$7:$BU$1576,BU1537,$AY$7:$AY$1576,"&gt;"&amp;AY1537)+SUMIFS($AV$7:$AV$1576,$BU$7:$BU$1576,BU1537,$AY$7:$AY$1576,AY1537,$BO$7:$BO$1576,"&lt;="&amp;BO1537),"")</f>
        <v/>
      </c>
      <c r="BA1537" s="65" t="n">
        <f aca="false">IF(AZ1537="",0,MAX(0,MIN(1,(IF(BU1537="L1",Parameter!$E$5,Parameter!$E$6+Parameter!$E$7)-(AZ1537-AV1537))/AV1537)))</f>
        <v>0</v>
      </c>
      <c r="BB1537" s="55" t="str">
        <f aca="false">IF(AF1537&lt;=0,"",IF(BU1537="Aussen","Aussenlager",IF(BU1537="-","Nicht im Lift",IF(AK1537&gt;=1,"Lift",IF(AK1537&lt;=0,"Aussenlager","teilweise")))))</f>
        <v/>
      </c>
      <c r="BC1537" s="55" t="str">
        <f aca="false">IF(AN1537&lt;=0,"",IF(BU1537="Aussen","Aussenlager",IF(BU1537="-","Nicht im Lift",IF(AS1537&gt;=1,"Lift",IF(AS1537&lt;=0,"Aussenlager","teilweise")))))</f>
        <v/>
      </c>
      <c r="BD1537" s="55" t="str">
        <f aca="false">IF(AV1537&lt;=0,"",IF(BU1537="Aussen","Aussenlager",IF(BU1537="-","Nicht im Lift",IF(BA1537&gt;=1,"Lift",IF(BA1537&lt;=0,"Aussenlager","teilweise")))))</f>
        <v/>
      </c>
      <c r="BE1537" s="55" t="str">
        <f aca="false">IF(A1537="","",IF(BN1537=1,"Neu; ","")&amp;IF(AND(BN1537=0,BI1537&lt;0),"negativer Bestand (Export "&amp;BI1537&amp;"); ","")&amp;IF(I1537&lt;=0,"Kein Verbrauch; ","")&amp;IF(CD1537&gt;0,"Lift "&amp;U1537&amp;" lt. Liftbericht (Fach "&amp;V1537&amp;" Stk); ",IF(BR1537=1,"Lose – Fläche geschätzt; ",""))&amp;IF(G1537&gt;AP1537,"Überbestand "&amp;ROUND(G1537-AP1537,0)&amp;" Stk / CHF "&amp;ROUND((G1537-AP1537)*F1537,0)&amp;"; ","")&amp;IF(AND(BW1537=1,BX1537&lt;BY1537),"MAX &lt; MB+LG; ","")&amp;IF(AND(CC1537&gt;0,CB1537*10&gt;CC1537),"zu hoch für Tablar; ","")&amp;IF(AND(BN1537=0,OR(BW1537=1,Y1537&lt;&gt;"",S1537&lt;&gt;"",T1537&lt;&gt;"",Z1537&lt;&gt;"")),"manuell übersteuert; ","")&amp;IF(AND(BR1537=0,Q1537=0),"Gebinde unbekannt / Stellmass fehlt; ","")&amp;IF(AND(BR1537=0,N(T1537)&lt;=0,N(P1537)&lt;=0),"Menge pro Gebinde fehlt (Ist = 1 Gebinde); ","")&amp;BM1537)</f>
        <v/>
      </c>
      <c r="BF1537" s="55"/>
      <c r="BG1537" s="55"/>
      <c r="BH1537" s="62"/>
      <c r="BI1537" s="57" t="n">
        <f aca="false">N('Neue Artikel'!$D$65)</f>
        <v>0</v>
      </c>
      <c r="BJ1537" s="57" t="n">
        <v>0</v>
      </c>
      <c r="BK1537" s="56" t="n">
        <v>0</v>
      </c>
      <c r="BL1537" s="57" t="n">
        <f aca="false">N('Neue Artikel'!$C$65)/Parameter!$B$18</f>
        <v>0</v>
      </c>
      <c r="BM1537" s="55"/>
      <c r="BN1537" s="60" t="n">
        <v>1</v>
      </c>
      <c r="BO1537" s="60" t="n">
        <v>1537</v>
      </c>
      <c r="BP1537" s="55" t="str">
        <f aca="false">IF(S1537&lt;&gt;"",UPPER(TRIM(S1537)),IF(O1537="","LOSE",O1537))</f>
        <v>LOSE</v>
      </c>
      <c r="BQ1537" s="57" t="n">
        <f aca="false">IF(BP1537="LOSE",1,IF(N(T1537)&gt;0,T1537,IF(N(P1537)&gt;0,P1537,MAX(1,G1537))))</f>
        <v>1</v>
      </c>
      <c r="BR1537" s="60" t="n">
        <f aca="false">IF(BP1537="LOSE",1,0)</f>
        <v>1</v>
      </c>
      <c r="BS1537" s="59" t="n">
        <f aca="false">IF(BR1537=0,0,IF(N(R1537)&gt;0,R1537,IFERROR(VLOOKUP(D1537,Parameter!$A$35:$C$64,3,0)+0,0)))</f>
        <v>0.15</v>
      </c>
      <c r="BT1537" s="55" t="str">
        <f aca="false">IF(Y1537&lt;&gt;"",Y1537,X1537)</f>
        <v/>
      </c>
      <c r="BU1537" s="55" t="str">
        <f aca="false">IF(BT1537=1,"L1",IF(OR(BT1537=2,BT1537=3),"L23",IF(BT1537="Aussen","Aussen","-")))</f>
        <v>-</v>
      </c>
      <c r="BV1537" s="66" t="n">
        <f aca="false">IF(N(Z1537)&gt;0,Z1537,0)</f>
        <v>0</v>
      </c>
      <c r="BW1537" s="60" t="n">
        <f aca="false">IF(ISNUMBER(AC1537),1,0)</f>
        <v>0</v>
      </c>
      <c r="BX1537" s="57" t="n">
        <f aca="false">N(AC1537)</f>
        <v>0</v>
      </c>
      <c r="BY1537" s="57" t="n">
        <f aca="false">N(L1537)+N(M1537)</f>
        <v>0</v>
      </c>
      <c r="BZ1537" s="57" t="n">
        <f aca="false">ROUNDUP(G1537/BQ1537,0)</f>
        <v>0</v>
      </c>
      <c r="CA1537" s="57" t="n">
        <f aca="false">ROUNDUP(BX1537/BQ1537,0)</f>
        <v>0</v>
      </c>
      <c r="CB1537" s="60" t="n">
        <f aca="false">IF(BR1537=1,0,IFERROR(VLOOKUP(BP1537,'Gebinde-Kategorie'!$A$5:$M$45,5,0)+0,0))</f>
        <v>0</v>
      </c>
      <c r="CC1537" s="60" t="n">
        <f aca="false">IFERROR(IF(OR(BT1537=1,BT1537=2,BT1537=3),N(INDEX(Parameter!$I$5:$I$7,BT1537)),0),0)</f>
        <v>0</v>
      </c>
      <c r="CD1537" s="59" t="n">
        <f aca="false">IF(AND(Parameter!$B$21="Ja",ISNUMBER(U1537),N(V1537)&gt;0),IFERROR(N(INDEX(Parameter!$L$5:$L$7,U1537))*INDEX(Parameter!$E$5:$E$7,U1537)*V1537/SUMIFS($V$7:$V$1576,$U$7:$U$1576,U1537),0),0)</f>
        <v>0</v>
      </c>
    </row>
    <row r="1538" customFormat="false" ht="15" hidden="false" customHeight="false" outlineLevel="0" collapsed="false">
      <c r="A1538" s="55" t="str">
        <f aca="false">IF('Neue Artikel'!$A$66="","",'Neue Artikel'!$A$66&amp;"")</f>
        <v/>
      </c>
      <c r="B1538" s="55" t="str">
        <f aca="false">'Neue Artikel'!$B$66&amp;""</f>
        <v/>
      </c>
      <c r="C1538" s="55"/>
      <c r="D1538" s="55" t="s">
        <v>2561</v>
      </c>
      <c r="E1538" s="55"/>
      <c r="F1538" s="56" t="n">
        <f aca="false">N('Neue Artikel'!$G$66)</f>
        <v>0</v>
      </c>
      <c r="G1538" s="57" t="n">
        <f aca="false">MAX(0,IF(AND(Parameter!$B$21="Ja",ISNUMBER(W1538)),W1538,IF(Parameter!$B$20="Jahresanfang 2025 + Export",BJ1538+BI1538,BI1538)))</f>
        <v>0</v>
      </c>
      <c r="H1538" s="57" t="n">
        <f aca="false">G1538*F1538</f>
        <v>0</v>
      </c>
      <c r="I1538" s="57" t="n">
        <f aca="false">BL1538*Parameter!$B$18</f>
        <v>0</v>
      </c>
      <c r="J1538" s="58"/>
      <c r="K1538" s="59"/>
      <c r="L1538" s="57" t="n">
        <f aca="false">N('Neue Artikel'!$E$66)</f>
        <v>0</v>
      </c>
      <c r="M1538" s="57" t="n">
        <f aca="false">N('Neue Artikel'!$F$66)</f>
        <v>0</v>
      </c>
      <c r="N1538" s="60"/>
      <c r="O1538" s="55" t="str">
        <f aca="false">IF('Neue Artikel'!$H$66="","LOSE",UPPER(TRIM('Neue Artikel'!$H$66)))</f>
        <v>LOSE</v>
      </c>
      <c r="P1538" s="57" t="n">
        <f aca="false">N('Neue Artikel'!$I$66)</f>
        <v>0</v>
      </c>
      <c r="Q1538" s="60" t="n">
        <f aca="false">IF(BR1538=1,0,IFERROR(VLOOKUP(BP1538,'Gebinde-Kategorie'!$A$5:$M$45,13,0)+0,0))</f>
        <v>0</v>
      </c>
      <c r="R1538" s="61"/>
      <c r="S1538" s="62"/>
      <c r="T1538" s="62"/>
      <c r="U1538" s="55"/>
      <c r="V1538" s="57"/>
      <c r="W1538" s="57"/>
      <c r="X1538" s="55" t="str">
        <f aca="false">IF(A1538="","",IF(AND(Parameter!$B$21="Ja",ISNUMBER(U1538)),U1538,IF(IFERROR(VLOOKUP(D1538,Parameter!$A$35:$C$64,2,0),"Nein")="2+3",IF(ISNUMBER(SEARCH("grosser Artikel",BM1538)),2,IFERROR(VLOOKUP(BP1538,Parameter!$F$35:$G$64,2,0),2)),IF(OR(IFERROR(VLOOKUP(D1538,Parameter!$A$35:$C$64,2,0),"Nein")="Nein",IFERROR(VLOOKUP(D1538,Parameter!$A$35:$C$64,2,0),"Nein")=""),"-",VLOOKUP(D1538,Parameter!$A$35:$C$64,2,0)))))</f>
        <v/>
      </c>
      <c r="Y1538" s="55" t="str">
        <f aca="false">IF('Neue Artikel'!$J$66="","",'Neue Artikel'!$J$66)</f>
        <v/>
      </c>
      <c r="Z1538" s="63"/>
      <c r="AA1538" s="57" t="n">
        <f aca="false">AP1538</f>
        <v>0</v>
      </c>
      <c r="AB1538" s="57" t="n">
        <f aca="false">MAX(AP1538,G1538)</f>
        <v>0</v>
      </c>
      <c r="AC1538" s="64"/>
      <c r="AD1538" s="57" t="n">
        <f aca="false">IF(LEFT(Cockpit!$C$5,1)="A",G1538,IF(BW1538=1,BX1538,IF(LEFT(Cockpit!$C$5,1)="B",AH1538,MAX(AH1538,G1538))))</f>
        <v>0</v>
      </c>
      <c r="AE1538" s="57" t="n">
        <f aca="false">IF(BR1538=1,0,ROUNDUP(AD1538/BQ1538,0))</f>
        <v>0</v>
      </c>
      <c r="AF1538" s="59" t="n">
        <f aca="false">IF(CD1538&gt;0,CD1538*MAX(1,AD1538/V1538),IF(BR1538=1,IF(AD1538&lt;=0,0,BS1538*MAX(1,IF(G1538&gt;0,AD1538/G1538,1))),IF(Q1538&gt;0,AE1538/Q1538,0))/MAX(0.1,N(Parameter!$M$21)))</f>
        <v>0</v>
      </c>
      <c r="AG1538" s="57" t="n">
        <f aca="false">AD1538*F1538</f>
        <v>0</v>
      </c>
      <c r="AH1538" s="57" t="n">
        <f aca="false">ROUNDUP(MAX(I1538/IF(BV1538&gt;0,BV1538,MAX(0.1,N(Cockpit!$C$6))),BY1538)/BQ1538,0)*BQ1538</f>
        <v>0</v>
      </c>
      <c r="AI1538" s="58" t="n">
        <f aca="false">IF(AF1538&gt;0,I1538/AF1538,-1)</f>
        <v>-1</v>
      </c>
      <c r="AJ1538" s="58" t="str">
        <f aca="false">IF(AND(OR(BU1538="L1",BU1538="L23"),AF1538&gt;0),SUMIFS($AF$7:$AF$1576,$BU$7:$BU$1576,BU1538,$AI$7:$AI$1576,"&gt;"&amp;AI1538)+SUMIFS($AF$7:$AF$1576,$BU$7:$BU$1576,BU1538,$AI$7:$AI$1576,AI1538,$BO$7:$BO$1576,"&lt;="&amp;BO1538),"")</f>
        <v/>
      </c>
      <c r="AK1538" s="65" t="n">
        <f aca="false">IF(AJ1538="",0,MAX(0,MIN(1,(IF(BU1538="L1",Parameter!$E$5,Parameter!$E$6+Parameter!$E$7)-(AJ1538-AF1538))/AF1538)))</f>
        <v>0</v>
      </c>
      <c r="AL1538" s="57" t="n">
        <f aca="false">IF(LEFT(Cockpit!$I$5,1)="A",G1538,IF(BW1538=1,BX1538,IF(LEFT(Cockpit!$I$5,1)="B",AP1538,MAX(AP1538,G1538))))</f>
        <v>0</v>
      </c>
      <c r="AM1538" s="57" t="n">
        <f aca="false">IF(BR1538=1,0,ROUNDUP(AL1538/BQ1538,0))</f>
        <v>0</v>
      </c>
      <c r="AN1538" s="59" t="n">
        <f aca="false">IF(CD1538&gt;0,CD1538*MAX(1,AL1538/V1538),IF(BR1538=1,IF(AL1538&lt;=0,0,BS1538*MAX(1,IF(G1538&gt;0,AL1538/G1538,1))),IF(Q1538&gt;0,AM1538/Q1538,0))/MAX(0.1,N(Parameter!$M$21)))</f>
        <v>0</v>
      </c>
      <c r="AO1538" s="57" t="n">
        <f aca="false">AL1538*F1538</f>
        <v>0</v>
      </c>
      <c r="AP1538" s="57" t="n">
        <f aca="false">ROUNDUP(MAX(I1538/IF(BV1538&gt;0,BV1538,MAX(0.1,N(Cockpit!$I$6))),BY1538)/BQ1538,0)*BQ1538</f>
        <v>0</v>
      </c>
      <c r="AQ1538" s="58" t="n">
        <f aca="false">IF(AN1538&gt;0,I1538/AN1538,-1)</f>
        <v>-1</v>
      </c>
      <c r="AR1538" s="58" t="str">
        <f aca="false">IF(AND(OR(BU1538="L1",BU1538="L23"),AN1538&gt;0),SUMIFS($AN$7:$AN$1576,$BU$7:$BU$1576,BU1538,$AQ$7:$AQ$1576,"&gt;"&amp;AQ1538)+SUMIFS($AN$7:$AN$1576,$BU$7:$BU$1576,BU1538,$AQ$7:$AQ$1576,AQ1538,$BO$7:$BO$1576,"&lt;="&amp;BO1538),"")</f>
        <v/>
      </c>
      <c r="AS1538" s="65" t="n">
        <f aca="false">IF(AR1538="",0,MAX(0,MIN(1,(IF(BU1538="L1",Parameter!$E$5,Parameter!$E$6+Parameter!$E$7)-(AR1538-AN1538))/AN1538)))</f>
        <v>0</v>
      </c>
      <c r="AT1538" s="57" t="n">
        <f aca="false">IF(LEFT(Cockpit!$O$5,1)="A",G1538,IF(BW1538=1,BX1538,IF(LEFT(Cockpit!$O$5,1)="B",AX1538,MAX(AX1538,G1538))))</f>
        <v>0</v>
      </c>
      <c r="AU1538" s="57" t="n">
        <f aca="false">IF(BR1538=1,0,ROUNDUP(AT1538/BQ1538,0))</f>
        <v>0</v>
      </c>
      <c r="AV1538" s="59" t="n">
        <f aca="false">IF(CD1538&gt;0,CD1538*MAX(1,AT1538/V1538),IF(BR1538=1,IF(AT1538&lt;=0,0,BS1538*MAX(1,IF(G1538&gt;0,AT1538/G1538,1))),IF(Q1538&gt;0,AU1538/Q1538,0))/MAX(0.1,N(Parameter!$M$21)))</f>
        <v>0</v>
      </c>
      <c r="AW1538" s="57" t="n">
        <f aca="false">AT1538*F1538</f>
        <v>0</v>
      </c>
      <c r="AX1538" s="57" t="n">
        <f aca="false">ROUNDUP(MAX(I1538/IF(BV1538&gt;0,BV1538,MAX(0.1,N(Cockpit!$O$6))),BY1538)/BQ1538,0)*BQ1538</f>
        <v>0</v>
      </c>
      <c r="AY1538" s="58" t="n">
        <f aca="false">IF(AV1538&gt;0,I1538/AV1538,-1)</f>
        <v>-1</v>
      </c>
      <c r="AZ1538" s="58" t="str">
        <f aca="false">IF(AND(OR(BU1538="L1",BU1538="L23"),AV1538&gt;0),SUMIFS($AV$7:$AV$1576,$BU$7:$BU$1576,BU1538,$AY$7:$AY$1576,"&gt;"&amp;AY1538)+SUMIFS($AV$7:$AV$1576,$BU$7:$BU$1576,BU1538,$AY$7:$AY$1576,AY1538,$BO$7:$BO$1576,"&lt;="&amp;BO1538),"")</f>
        <v/>
      </c>
      <c r="BA1538" s="65" t="n">
        <f aca="false">IF(AZ1538="",0,MAX(0,MIN(1,(IF(BU1538="L1",Parameter!$E$5,Parameter!$E$6+Parameter!$E$7)-(AZ1538-AV1538))/AV1538)))</f>
        <v>0</v>
      </c>
      <c r="BB1538" s="55" t="str">
        <f aca="false">IF(AF1538&lt;=0,"",IF(BU1538="Aussen","Aussenlager",IF(BU1538="-","Nicht im Lift",IF(AK1538&gt;=1,"Lift",IF(AK1538&lt;=0,"Aussenlager","teilweise")))))</f>
        <v/>
      </c>
      <c r="BC1538" s="55" t="str">
        <f aca="false">IF(AN1538&lt;=0,"",IF(BU1538="Aussen","Aussenlager",IF(BU1538="-","Nicht im Lift",IF(AS1538&gt;=1,"Lift",IF(AS1538&lt;=0,"Aussenlager","teilweise")))))</f>
        <v/>
      </c>
      <c r="BD1538" s="55" t="str">
        <f aca="false">IF(AV1538&lt;=0,"",IF(BU1538="Aussen","Aussenlager",IF(BU1538="-","Nicht im Lift",IF(BA1538&gt;=1,"Lift",IF(BA1538&lt;=0,"Aussenlager","teilweise")))))</f>
        <v/>
      </c>
      <c r="BE1538" s="55" t="str">
        <f aca="false">IF(A1538="","",IF(BN1538=1,"Neu; ","")&amp;IF(AND(BN1538=0,BI1538&lt;0),"negativer Bestand (Export "&amp;BI1538&amp;"); ","")&amp;IF(I1538&lt;=0,"Kein Verbrauch; ","")&amp;IF(CD1538&gt;0,"Lift "&amp;U1538&amp;" lt. Liftbericht (Fach "&amp;V1538&amp;" Stk); ",IF(BR1538=1,"Lose – Fläche geschätzt; ",""))&amp;IF(G1538&gt;AP1538,"Überbestand "&amp;ROUND(G1538-AP1538,0)&amp;" Stk / CHF "&amp;ROUND((G1538-AP1538)*F1538,0)&amp;"; ","")&amp;IF(AND(BW1538=1,BX1538&lt;BY1538),"MAX &lt; MB+LG; ","")&amp;IF(AND(CC1538&gt;0,CB1538*10&gt;CC1538),"zu hoch für Tablar; ","")&amp;IF(AND(BN1538=0,OR(BW1538=1,Y1538&lt;&gt;"",S1538&lt;&gt;"",T1538&lt;&gt;"",Z1538&lt;&gt;"")),"manuell übersteuert; ","")&amp;IF(AND(BR1538=0,Q1538=0),"Gebinde unbekannt / Stellmass fehlt; ","")&amp;IF(AND(BR1538=0,N(T1538)&lt;=0,N(P1538)&lt;=0),"Menge pro Gebinde fehlt (Ist = 1 Gebinde); ","")&amp;BM1538)</f>
        <v/>
      </c>
      <c r="BF1538" s="55"/>
      <c r="BG1538" s="55"/>
      <c r="BH1538" s="62"/>
      <c r="BI1538" s="57" t="n">
        <f aca="false">N('Neue Artikel'!$D$66)</f>
        <v>0</v>
      </c>
      <c r="BJ1538" s="57" t="n">
        <v>0</v>
      </c>
      <c r="BK1538" s="56" t="n">
        <v>0</v>
      </c>
      <c r="BL1538" s="57" t="n">
        <f aca="false">N('Neue Artikel'!$C$66)/Parameter!$B$18</f>
        <v>0</v>
      </c>
      <c r="BM1538" s="55"/>
      <c r="BN1538" s="60" t="n">
        <v>1</v>
      </c>
      <c r="BO1538" s="60" t="n">
        <v>1538</v>
      </c>
      <c r="BP1538" s="55" t="str">
        <f aca="false">IF(S1538&lt;&gt;"",UPPER(TRIM(S1538)),IF(O1538="","LOSE",O1538))</f>
        <v>LOSE</v>
      </c>
      <c r="BQ1538" s="57" t="n">
        <f aca="false">IF(BP1538="LOSE",1,IF(N(T1538)&gt;0,T1538,IF(N(P1538)&gt;0,P1538,MAX(1,G1538))))</f>
        <v>1</v>
      </c>
      <c r="BR1538" s="60" t="n">
        <f aca="false">IF(BP1538="LOSE",1,0)</f>
        <v>1</v>
      </c>
      <c r="BS1538" s="59" t="n">
        <f aca="false">IF(BR1538=0,0,IF(N(R1538)&gt;0,R1538,IFERROR(VLOOKUP(D1538,Parameter!$A$35:$C$64,3,0)+0,0)))</f>
        <v>0.15</v>
      </c>
      <c r="BT1538" s="55" t="str">
        <f aca="false">IF(Y1538&lt;&gt;"",Y1538,X1538)</f>
        <v/>
      </c>
      <c r="BU1538" s="55" t="str">
        <f aca="false">IF(BT1538=1,"L1",IF(OR(BT1538=2,BT1538=3),"L23",IF(BT1538="Aussen","Aussen","-")))</f>
        <v>-</v>
      </c>
      <c r="BV1538" s="66" t="n">
        <f aca="false">IF(N(Z1538)&gt;0,Z1538,0)</f>
        <v>0</v>
      </c>
      <c r="BW1538" s="60" t="n">
        <f aca="false">IF(ISNUMBER(AC1538),1,0)</f>
        <v>0</v>
      </c>
      <c r="BX1538" s="57" t="n">
        <f aca="false">N(AC1538)</f>
        <v>0</v>
      </c>
      <c r="BY1538" s="57" t="n">
        <f aca="false">N(L1538)+N(M1538)</f>
        <v>0</v>
      </c>
      <c r="BZ1538" s="57" t="n">
        <f aca="false">ROUNDUP(G1538/BQ1538,0)</f>
        <v>0</v>
      </c>
      <c r="CA1538" s="57" t="n">
        <f aca="false">ROUNDUP(BX1538/BQ1538,0)</f>
        <v>0</v>
      </c>
      <c r="CB1538" s="60" t="n">
        <f aca="false">IF(BR1538=1,0,IFERROR(VLOOKUP(BP1538,'Gebinde-Kategorie'!$A$5:$M$45,5,0)+0,0))</f>
        <v>0</v>
      </c>
      <c r="CC1538" s="60" t="n">
        <f aca="false">IFERROR(IF(OR(BT1538=1,BT1538=2,BT1538=3),N(INDEX(Parameter!$I$5:$I$7,BT1538)),0),0)</f>
        <v>0</v>
      </c>
      <c r="CD1538" s="59" t="n">
        <f aca="false">IF(AND(Parameter!$B$21="Ja",ISNUMBER(U1538),N(V1538)&gt;0),IFERROR(N(INDEX(Parameter!$L$5:$L$7,U1538))*INDEX(Parameter!$E$5:$E$7,U1538)*V1538/SUMIFS($V$7:$V$1576,$U$7:$U$1576,U1538),0),0)</f>
        <v>0</v>
      </c>
    </row>
    <row r="1539" customFormat="false" ht="15" hidden="false" customHeight="false" outlineLevel="0" collapsed="false">
      <c r="A1539" s="55" t="str">
        <f aca="false">IF('Neue Artikel'!$A$67="","",'Neue Artikel'!$A$67&amp;"")</f>
        <v/>
      </c>
      <c r="B1539" s="55" t="str">
        <f aca="false">'Neue Artikel'!$B$67&amp;""</f>
        <v/>
      </c>
      <c r="C1539" s="55"/>
      <c r="D1539" s="55" t="s">
        <v>2561</v>
      </c>
      <c r="E1539" s="55"/>
      <c r="F1539" s="56" t="n">
        <f aca="false">N('Neue Artikel'!$G$67)</f>
        <v>0</v>
      </c>
      <c r="G1539" s="57" t="n">
        <f aca="false">MAX(0,IF(AND(Parameter!$B$21="Ja",ISNUMBER(W1539)),W1539,IF(Parameter!$B$20="Jahresanfang 2025 + Export",BJ1539+BI1539,BI1539)))</f>
        <v>0</v>
      </c>
      <c r="H1539" s="57" t="n">
        <f aca="false">G1539*F1539</f>
        <v>0</v>
      </c>
      <c r="I1539" s="57" t="n">
        <f aca="false">BL1539*Parameter!$B$18</f>
        <v>0</v>
      </c>
      <c r="J1539" s="58"/>
      <c r="K1539" s="59"/>
      <c r="L1539" s="57" t="n">
        <f aca="false">N('Neue Artikel'!$E$67)</f>
        <v>0</v>
      </c>
      <c r="M1539" s="57" t="n">
        <f aca="false">N('Neue Artikel'!$F$67)</f>
        <v>0</v>
      </c>
      <c r="N1539" s="60"/>
      <c r="O1539" s="55" t="str">
        <f aca="false">IF('Neue Artikel'!$H$67="","LOSE",UPPER(TRIM('Neue Artikel'!$H$67)))</f>
        <v>LOSE</v>
      </c>
      <c r="P1539" s="57" t="n">
        <f aca="false">N('Neue Artikel'!$I$67)</f>
        <v>0</v>
      </c>
      <c r="Q1539" s="60" t="n">
        <f aca="false">IF(BR1539=1,0,IFERROR(VLOOKUP(BP1539,'Gebinde-Kategorie'!$A$5:$M$45,13,0)+0,0))</f>
        <v>0</v>
      </c>
      <c r="R1539" s="61"/>
      <c r="S1539" s="62"/>
      <c r="T1539" s="62"/>
      <c r="U1539" s="55"/>
      <c r="V1539" s="57"/>
      <c r="W1539" s="57"/>
      <c r="X1539" s="55" t="str">
        <f aca="false">IF(A1539="","",IF(AND(Parameter!$B$21="Ja",ISNUMBER(U1539)),U1539,IF(IFERROR(VLOOKUP(D1539,Parameter!$A$35:$C$64,2,0),"Nein")="2+3",IF(ISNUMBER(SEARCH("grosser Artikel",BM1539)),2,IFERROR(VLOOKUP(BP1539,Parameter!$F$35:$G$64,2,0),2)),IF(OR(IFERROR(VLOOKUP(D1539,Parameter!$A$35:$C$64,2,0),"Nein")="Nein",IFERROR(VLOOKUP(D1539,Parameter!$A$35:$C$64,2,0),"Nein")=""),"-",VLOOKUP(D1539,Parameter!$A$35:$C$64,2,0)))))</f>
        <v/>
      </c>
      <c r="Y1539" s="55" t="str">
        <f aca="false">IF('Neue Artikel'!$J$67="","",'Neue Artikel'!$J$67)</f>
        <v/>
      </c>
      <c r="Z1539" s="63"/>
      <c r="AA1539" s="57" t="n">
        <f aca="false">AP1539</f>
        <v>0</v>
      </c>
      <c r="AB1539" s="57" t="n">
        <f aca="false">MAX(AP1539,G1539)</f>
        <v>0</v>
      </c>
      <c r="AC1539" s="64"/>
      <c r="AD1539" s="57" t="n">
        <f aca="false">IF(LEFT(Cockpit!$C$5,1)="A",G1539,IF(BW1539=1,BX1539,IF(LEFT(Cockpit!$C$5,1)="B",AH1539,MAX(AH1539,G1539))))</f>
        <v>0</v>
      </c>
      <c r="AE1539" s="57" t="n">
        <f aca="false">IF(BR1539=1,0,ROUNDUP(AD1539/BQ1539,0))</f>
        <v>0</v>
      </c>
      <c r="AF1539" s="59" t="n">
        <f aca="false">IF(CD1539&gt;0,CD1539*MAX(1,AD1539/V1539),IF(BR1539=1,IF(AD1539&lt;=0,0,BS1539*MAX(1,IF(G1539&gt;0,AD1539/G1539,1))),IF(Q1539&gt;0,AE1539/Q1539,0))/MAX(0.1,N(Parameter!$M$21)))</f>
        <v>0</v>
      </c>
      <c r="AG1539" s="57" t="n">
        <f aca="false">AD1539*F1539</f>
        <v>0</v>
      </c>
      <c r="AH1539" s="57" t="n">
        <f aca="false">ROUNDUP(MAX(I1539/IF(BV1539&gt;0,BV1539,MAX(0.1,N(Cockpit!$C$6))),BY1539)/BQ1539,0)*BQ1539</f>
        <v>0</v>
      </c>
      <c r="AI1539" s="58" t="n">
        <f aca="false">IF(AF1539&gt;0,I1539/AF1539,-1)</f>
        <v>-1</v>
      </c>
      <c r="AJ1539" s="58" t="str">
        <f aca="false">IF(AND(OR(BU1539="L1",BU1539="L23"),AF1539&gt;0),SUMIFS($AF$7:$AF$1576,$BU$7:$BU$1576,BU1539,$AI$7:$AI$1576,"&gt;"&amp;AI1539)+SUMIFS($AF$7:$AF$1576,$BU$7:$BU$1576,BU1539,$AI$7:$AI$1576,AI1539,$BO$7:$BO$1576,"&lt;="&amp;BO1539),"")</f>
        <v/>
      </c>
      <c r="AK1539" s="65" t="n">
        <f aca="false">IF(AJ1539="",0,MAX(0,MIN(1,(IF(BU1539="L1",Parameter!$E$5,Parameter!$E$6+Parameter!$E$7)-(AJ1539-AF1539))/AF1539)))</f>
        <v>0</v>
      </c>
      <c r="AL1539" s="57" t="n">
        <f aca="false">IF(LEFT(Cockpit!$I$5,1)="A",G1539,IF(BW1539=1,BX1539,IF(LEFT(Cockpit!$I$5,1)="B",AP1539,MAX(AP1539,G1539))))</f>
        <v>0</v>
      </c>
      <c r="AM1539" s="57" t="n">
        <f aca="false">IF(BR1539=1,0,ROUNDUP(AL1539/BQ1539,0))</f>
        <v>0</v>
      </c>
      <c r="AN1539" s="59" t="n">
        <f aca="false">IF(CD1539&gt;0,CD1539*MAX(1,AL1539/V1539),IF(BR1539=1,IF(AL1539&lt;=0,0,BS1539*MAX(1,IF(G1539&gt;0,AL1539/G1539,1))),IF(Q1539&gt;0,AM1539/Q1539,0))/MAX(0.1,N(Parameter!$M$21)))</f>
        <v>0</v>
      </c>
      <c r="AO1539" s="57" t="n">
        <f aca="false">AL1539*F1539</f>
        <v>0</v>
      </c>
      <c r="AP1539" s="57" t="n">
        <f aca="false">ROUNDUP(MAX(I1539/IF(BV1539&gt;0,BV1539,MAX(0.1,N(Cockpit!$I$6))),BY1539)/BQ1539,0)*BQ1539</f>
        <v>0</v>
      </c>
      <c r="AQ1539" s="58" t="n">
        <f aca="false">IF(AN1539&gt;0,I1539/AN1539,-1)</f>
        <v>-1</v>
      </c>
      <c r="AR1539" s="58" t="str">
        <f aca="false">IF(AND(OR(BU1539="L1",BU1539="L23"),AN1539&gt;0),SUMIFS($AN$7:$AN$1576,$BU$7:$BU$1576,BU1539,$AQ$7:$AQ$1576,"&gt;"&amp;AQ1539)+SUMIFS($AN$7:$AN$1576,$BU$7:$BU$1576,BU1539,$AQ$7:$AQ$1576,AQ1539,$BO$7:$BO$1576,"&lt;="&amp;BO1539),"")</f>
        <v/>
      </c>
      <c r="AS1539" s="65" t="n">
        <f aca="false">IF(AR1539="",0,MAX(0,MIN(1,(IF(BU1539="L1",Parameter!$E$5,Parameter!$E$6+Parameter!$E$7)-(AR1539-AN1539))/AN1539)))</f>
        <v>0</v>
      </c>
      <c r="AT1539" s="57" t="n">
        <f aca="false">IF(LEFT(Cockpit!$O$5,1)="A",G1539,IF(BW1539=1,BX1539,IF(LEFT(Cockpit!$O$5,1)="B",AX1539,MAX(AX1539,G1539))))</f>
        <v>0</v>
      </c>
      <c r="AU1539" s="57" t="n">
        <f aca="false">IF(BR1539=1,0,ROUNDUP(AT1539/BQ1539,0))</f>
        <v>0</v>
      </c>
      <c r="AV1539" s="59" t="n">
        <f aca="false">IF(CD1539&gt;0,CD1539*MAX(1,AT1539/V1539),IF(BR1539=1,IF(AT1539&lt;=0,0,BS1539*MAX(1,IF(G1539&gt;0,AT1539/G1539,1))),IF(Q1539&gt;0,AU1539/Q1539,0))/MAX(0.1,N(Parameter!$M$21)))</f>
        <v>0</v>
      </c>
      <c r="AW1539" s="57" t="n">
        <f aca="false">AT1539*F1539</f>
        <v>0</v>
      </c>
      <c r="AX1539" s="57" t="n">
        <f aca="false">ROUNDUP(MAX(I1539/IF(BV1539&gt;0,BV1539,MAX(0.1,N(Cockpit!$O$6))),BY1539)/BQ1539,0)*BQ1539</f>
        <v>0</v>
      </c>
      <c r="AY1539" s="58" t="n">
        <f aca="false">IF(AV1539&gt;0,I1539/AV1539,-1)</f>
        <v>-1</v>
      </c>
      <c r="AZ1539" s="58" t="str">
        <f aca="false">IF(AND(OR(BU1539="L1",BU1539="L23"),AV1539&gt;0),SUMIFS($AV$7:$AV$1576,$BU$7:$BU$1576,BU1539,$AY$7:$AY$1576,"&gt;"&amp;AY1539)+SUMIFS($AV$7:$AV$1576,$BU$7:$BU$1576,BU1539,$AY$7:$AY$1576,AY1539,$BO$7:$BO$1576,"&lt;="&amp;BO1539),"")</f>
        <v/>
      </c>
      <c r="BA1539" s="65" t="n">
        <f aca="false">IF(AZ1539="",0,MAX(0,MIN(1,(IF(BU1539="L1",Parameter!$E$5,Parameter!$E$6+Parameter!$E$7)-(AZ1539-AV1539))/AV1539)))</f>
        <v>0</v>
      </c>
      <c r="BB1539" s="55" t="str">
        <f aca="false">IF(AF1539&lt;=0,"",IF(BU1539="Aussen","Aussenlager",IF(BU1539="-","Nicht im Lift",IF(AK1539&gt;=1,"Lift",IF(AK1539&lt;=0,"Aussenlager","teilweise")))))</f>
        <v/>
      </c>
      <c r="BC1539" s="55" t="str">
        <f aca="false">IF(AN1539&lt;=0,"",IF(BU1539="Aussen","Aussenlager",IF(BU1539="-","Nicht im Lift",IF(AS1539&gt;=1,"Lift",IF(AS1539&lt;=0,"Aussenlager","teilweise")))))</f>
        <v/>
      </c>
      <c r="BD1539" s="55" t="str">
        <f aca="false">IF(AV1539&lt;=0,"",IF(BU1539="Aussen","Aussenlager",IF(BU1539="-","Nicht im Lift",IF(BA1539&gt;=1,"Lift",IF(BA1539&lt;=0,"Aussenlager","teilweise")))))</f>
        <v/>
      </c>
      <c r="BE1539" s="55" t="str">
        <f aca="false">IF(A1539="","",IF(BN1539=1,"Neu; ","")&amp;IF(AND(BN1539=0,BI1539&lt;0),"negativer Bestand (Export "&amp;BI1539&amp;"); ","")&amp;IF(I1539&lt;=0,"Kein Verbrauch; ","")&amp;IF(CD1539&gt;0,"Lift "&amp;U1539&amp;" lt. Liftbericht (Fach "&amp;V1539&amp;" Stk); ",IF(BR1539=1,"Lose – Fläche geschätzt; ",""))&amp;IF(G1539&gt;AP1539,"Überbestand "&amp;ROUND(G1539-AP1539,0)&amp;" Stk / CHF "&amp;ROUND((G1539-AP1539)*F1539,0)&amp;"; ","")&amp;IF(AND(BW1539=1,BX1539&lt;BY1539),"MAX &lt; MB+LG; ","")&amp;IF(AND(CC1539&gt;0,CB1539*10&gt;CC1539),"zu hoch für Tablar; ","")&amp;IF(AND(BN1539=0,OR(BW1539=1,Y1539&lt;&gt;"",S1539&lt;&gt;"",T1539&lt;&gt;"",Z1539&lt;&gt;"")),"manuell übersteuert; ","")&amp;IF(AND(BR1539=0,Q1539=0),"Gebinde unbekannt / Stellmass fehlt; ","")&amp;IF(AND(BR1539=0,N(T1539)&lt;=0,N(P1539)&lt;=0),"Menge pro Gebinde fehlt (Ist = 1 Gebinde); ","")&amp;BM1539)</f>
        <v/>
      </c>
      <c r="BF1539" s="55"/>
      <c r="BG1539" s="55"/>
      <c r="BH1539" s="62"/>
      <c r="BI1539" s="57" t="n">
        <f aca="false">N('Neue Artikel'!$D$67)</f>
        <v>0</v>
      </c>
      <c r="BJ1539" s="57" t="n">
        <v>0</v>
      </c>
      <c r="BK1539" s="56" t="n">
        <v>0</v>
      </c>
      <c r="BL1539" s="57" t="n">
        <f aca="false">N('Neue Artikel'!$C$67)/Parameter!$B$18</f>
        <v>0</v>
      </c>
      <c r="BM1539" s="55"/>
      <c r="BN1539" s="60" t="n">
        <v>1</v>
      </c>
      <c r="BO1539" s="60" t="n">
        <v>1539</v>
      </c>
      <c r="BP1539" s="55" t="str">
        <f aca="false">IF(S1539&lt;&gt;"",UPPER(TRIM(S1539)),IF(O1539="","LOSE",O1539))</f>
        <v>LOSE</v>
      </c>
      <c r="BQ1539" s="57" t="n">
        <f aca="false">IF(BP1539="LOSE",1,IF(N(T1539)&gt;0,T1539,IF(N(P1539)&gt;0,P1539,MAX(1,G1539))))</f>
        <v>1</v>
      </c>
      <c r="BR1539" s="60" t="n">
        <f aca="false">IF(BP1539="LOSE",1,0)</f>
        <v>1</v>
      </c>
      <c r="BS1539" s="59" t="n">
        <f aca="false">IF(BR1539=0,0,IF(N(R1539)&gt;0,R1539,IFERROR(VLOOKUP(D1539,Parameter!$A$35:$C$64,3,0)+0,0)))</f>
        <v>0.15</v>
      </c>
      <c r="BT1539" s="55" t="str">
        <f aca="false">IF(Y1539&lt;&gt;"",Y1539,X1539)</f>
        <v/>
      </c>
      <c r="BU1539" s="55" t="str">
        <f aca="false">IF(BT1539=1,"L1",IF(OR(BT1539=2,BT1539=3),"L23",IF(BT1539="Aussen","Aussen","-")))</f>
        <v>-</v>
      </c>
      <c r="BV1539" s="66" t="n">
        <f aca="false">IF(N(Z1539)&gt;0,Z1539,0)</f>
        <v>0</v>
      </c>
      <c r="BW1539" s="60" t="n">
        <f aca="false">IF(ISNUMBER(AC1539),1,0)</f>
        <v>0</v>
      </c>
      <c r="BX1539" s="57" t="n">
        <f aca="false">N(AC1539)</f>
        <v>0</v>
      </c>
      <c r="BY1539" s="57" t="n">
        <f aca="false">N(L1539)+N(M1539)</f>
        <v>0</v>
      </c>
      <c r="BZ1539" s="57" t="n">
        <f aca="false">ROUNDUP(G1539/BQ1539,0)</f>
        <v>0</v>
      </c>
      <c r="CA1539" s="57" t="n">
        <f aca="false">ROUNDUP(BX1539/BQ1539,0)</f>
        <v>0</v>
      </c>
      <c r="CB1539" s="60" t="n">
        <f aca="false">IF(BR1539=1,0,IFERROR(VLOOKUP(BP1539,'Gebinde-Kategorie'!$A$5:$M$45,5,0)+0,0))</f>
        <v>0</v>
      </c>
      <c r="CC1539" s="60" t="n">
        <f aca="false">IFERROR(IF(OR(BT1539=1,BT1539=2,BT1539=3),N(INDEX(Parameter!$I$5:$I$7,BT1539)),0),0)</f>
        <v>0</v>
      </c>
      <c r="CD1539" s="59" t="n">
        <f aca="false">IF(AND(Parameter!$B$21="Ja",ISNUMBER(U1539),N(V1539)&gt;0),IFERROR(N(INDEX(Parameter!$L$5:$L$7,U1539))*INDEX(Parameter!$E$5:$E$7,U1539)*V1539/SUMIFS($V$7:$V$1576,$U$7:$U$1576,U1539),0),0)</f>
        <v>0</v>
      </c>
    </row>
    <row r="1540" customFormat="false" ht="15" hidden="false" customHeight="false" outlineLevel="0" collapsed="false">
      <c r="A1540" s="55" t="str">
        <f aca="false">IF('Neue Artikel'!$A$68="","",'Neue Artikel'!$A$68&amp;"")</f>
        <v/>
      </c>
      <c r="B1540" s="55" t="str">
        <f aca="false">'Neue Artikel'!$B$68&amp;""</f>
        <v/>
      </c>
      <c r="C1540" s="55"/>
      <c r="D1540" s="55" t="s">
        <v>2561</v>
      </c>
      <c r="E1540" s="55"/>
      <c r="F1540" s="56" t="n">
        <f aca="false">N('Neue Artikel'!$G$68)</f>
        <v>0</v>
      </c>
      <c r="G1540" s="57" t="n">
        <f aca="false">MAX(0,IF(AND(Parameter!$B$21="Ja",ISNUMBER(W1540)),W1540,IF(Parameter!$B$20="Jahresanfang 2025 + Export",BJ1540+BI1540,BI1540)))</f>
        <v>0</v>
      </c>
      <c r="H1540" s="57" t="n">
        <f aca="false">G1540*F1540</f>
        <v>0</v>
      </c>
      <c r="I1540" s="57" t="n">
        <f aca="false">BL1540*Parameter!$B$18</f>
        <v>0</v>
      </c>
      <c r="J1540" s="58"/>
      <c r="K1540" s="59"/>
      <c r="L1540" s="57" t="n">
        <f aca="false">N('Neue Artikel'!$E$68)</f>
        <v>0</v>
      </c>
      <c r="M1540" s="57" t="n">
        <f aca="false">N('Neue Artikel'!$F$68)</f>
        <v>0</v>
      </c>
      <c r="N1540" s="60"/>
      <c r="O1540" s="55" t="str">
        <f aca="false">IF('Neue Artikel'!$H$68="","LOSE",UPPER(TRIM('Neue Artikel'!$H$68)))</f>
        <v>LOSE</v>
      </c>
      <c r="P1540" s="57" t="n">
        <f aca="false">N('Neue Artikel'!$I$68)</f>
        <v>0</v>
      </c>
      <c r="Q1540" s="60" t="n">
        <f aca="false">IF(BR1540=1,0,IFERROR(VLOOKUP(BP1540,'Gebinde-Kategorie'!$A$5:$M$45,13,0)+0,0))</f>
        <v>0</v>
      </c>
      <c r="R1540" s="61"/>
      <c r="S1540" s="62"/>
      <c r="T1540" s="62"/>
      <c r="U1540" s="55"/>
      <c r="V1540" s="57"/>
      <c r="W1540" s="57"/>
      <c r="X1540" s="55" t="str">
        <f aca="false">IF(A1540="","",IF(AND(Parameter!$B$21="Ja",ISNUMBER(U1540)),U1540,IF(IFERROR(VLOOKUP(D1540,Parameter!$A$35:$C$64,2,0),"Nein")="2+3",IF(ISNUMBER(SEARCH("grosser Artikel",BM1540)),2,IFERROR(VLOOKUP(BP1540,Parameter!$F$35:$G$64,2,0),2)),IF(OR(IFERROR(VLOOKUP(D1540,Parameter!$A$35:$C$64,2,0),"Nein")="Nein",IFERROR(VLOOKUP(D1540,Parameter!$A$35:$C$64,2,0),"Nein")=""),"-",VLOOKUP(D1540,Parameter!$A$35:$C$64,2,0)))))</f>
        <v/>
      </c>
      <c r="Y1540" s="55" t="str">
        <f aca="false">IF('Neue Artikel'!$J$68="","",'Neue Artikel'!$J$68)</f>
        <v/>
      </c>
      <c r="Z1540" s="63"/>
      <c r="AA1540" s="57" t="n">
        <f aca="false">AP1540</f>
        <v>0</v>
      </c>
      <c r="AB1540" s="57" t="n">
        <f aca="false">MAX(AP1540,G1540)</f>
        <v>0</v>
      </c>
      <c r="AC1540" s="64"/>
      <c r="AD1540" s="57" t="n">
        <f aca="false">IF(LEFT(Cockpit!$C$5,1)="A",G1540,IF(BW1540=1,BX1540,IF(LEFT(Cockpit!$C$5,1)="B",AH1540,MAX(AH1540,G1540))))</f>
        <v>0</v>
      </c>
      <c r="AE1540" s="57" t="n">
        <f aca="false">IF(BR1540=1,0,ROUNDUP(AD1540/BQ1540,0))</f>
        <v>0</v>
      </c>
      <c r="AF1540" s="59" t="n">
        <f aca="false">IF(CD1540&gt;0,CD1540*MAX(1,AD1540/V1540),IF(BR1540=1,IF(AD1540&lt;=0,0,BS1540*MAX(1,IF(G1540&gt;0,AD1540/G1540,1))),IF(Q1540&gt;0,AE1540/Q1540,0))/MAX(0.1,N(Parameter!$M$21)))</f>
        <v>0</v>
      </c>
      <c r="AG1540" s="57" t="n">
        <f aca="false">AD1540*F1540</f>
        <v>0</v>
      </c>
      <c r="AH1540" s="57" t="n">
        <f aca="false">ROUNDUP(MAX(I1540/IF(BV1540&gt;0,BV1540,MAX(0.1,N(Cockpit!$C$6))),BY1540)/BQ1540,0)*BQ1540</f>
        <v>0</v>
      </c>
      <c r="AI1540" s="58" t="n">
        <f aca="false">IF(AF1540&gt;0,I1540/AF1540,-1)</f>
        <v>-1</v>
      </c>
      <c r="AJ1540" s="58" t="str">
        <f aca="false">IF(AND(OR(BU1540="L1",BU1540="L23"),AF1540&gt;0),SUMIFS($AF$7:$AF$1576,$BU$7:$BU$1576,BU1540,$AI$7:$AI$1576,"&gt;"&amp;AI1540)+SUMIFS($AF$7:$AF$1576,$BU$7:$BU$1576,BU1540,$AI$7:$AI$1576,AI1540,$BO$7:$BO$1576,"&lt;="&amp;BO1540),"")</f>
        <v/>
      </c>
      <c r="AK1540" s="65" t="n">
        <f aca="false">IF(AJ1540="",0,MAX(0,MIN(1,(IF(BU1540="L1",Parameter!$E$5,Parameter!$E$6+Parameter!$E$7)-(AJ1540-AF1540))/AF1540)))</f>
        <v>0</v>
      </c>
      <c r="AL1540" s="57" t="n">
        <f aca="false">IF(LEFT(Cockpit!$I$5,1)="A",G1540,IF(BW1540=1,BX1540,IF(LEFT(Cockpit!$I$5,1)="B",AP1540,MAX(AP1540,G1540))))</f>
        <v>0</v>
      </c>
      <c r="AM1540" s="57" t="n">
        <f aca="false">IF(BR1540=1,0,ROUNDUP(AL1540/BQ1540,0))</f>
        <v>0</v>
      </c>
      <c r="AN1540" s="59" t="n">
        <f aca="false">IF(CD1540&gt;0,CD1540*MAX(1,AL1540/V1540),IF(BR1540=1,IF(AL1540&lt;=0,0,BS1540*MAX(1,IF(G1540&gt;0,AL1540/G1540,1))),IF(Q1540&gt;0,AM1540/Q1540,0))/MAX(0.1,N(Parameter!$M$21)))</f>
        <v>0</v>
      </c>
      <c r="AO1540" s="57" t="n">
        <f aca="false">AL1540*F1540</f>
        <v>0</v>
      </c>
      <c r="AP1540" s="57" t="n">
        <f aca="false">ROUNDUP(MAX(I1540/IF(BV1540&gt;0,BV1540,MAX(0.1,N(Cockpit!$I$6))),BY1540)/BQ1540,0)*BQ1540</f>
        <v>0</v>
      </c>
      <c r="AQ1540" s="58" t="n">
        <f aca="false">IF(AN1540&gt;0,I1540/AN1540,-1)</f>
        <v>-1</v>
      </c>
      <c r="AR1540" s="58" t="str">
        <f aca="false">IF(AND(OR(BU1540="L1",BU1540="L23"),AN1540&gt;0),SUMIFS($AN$7:$AN$1576,$BU$7:$BU$1576,BU1540,$AQ$7:$AQ$1576,"&gt;"&amp;AQ1540)+SUMIFS($AN$7:$AN$1576,$BU$7:$BU$1576,BU1540,$AQ$7:$AQ$1576,AQ1540,$BO$7:$BO$1576,"&lt;="&amp;BO1540),"")</f>
        <v/>
      </c>
      <c r="AS1540" s="65" t="n">
        <f aca="false">IF(AR1540="",0,MAX(0,MIN(1,(IF(BU1540="L1",Parameter!$E$5,Parameter!$E$6+Parameter!$E$7)-(AR1540-AN1540))/AN1540)))</f>
        <v>0</v>
      </c>
      <c r="AT1540" s="57" t="n">
        <f aca="false">IF(LEFT(Cockpit!$O$5,1)="A",G1540,IF(BW1540=1,BX1540,IF(LEFT(Cockpit!$O$5,1)="B",AX1540,MAX(AX1540,G1540))))</f>
        <v>0</v>
      </c>
      <c r="AU1540" s="57" t="n">
        <f aca="false">IF(BR1540=1,0,ROUNDUP(AT1540/BQ1540,0))</f>
        <v>0</v>
      </c>
      <c r="AV1540" s="59" t="n">
        <f aca="false">IF(CD1540&gt;0,CD1540*MAX(1,AT1540/V1540),IF(BR1540=1,IF(AT1540&lt;=0,0,BS1540*MAX(1,IF(G1540&gt;0,AT1540/G1540,1))),IF(Q1540&gt;0,AU1540/Q1540,0))/MAX(0.1,N(Parameter!$M$21)))</f>
        <v>0</v>
      </c>
      <c r="AW1540" s="57" t="n">
        <f aca="false">AT1540*F1540</f>
        <v>0</v>
      </c>
      <c r="AX1540" s="57" t="n">
        <f aca="false">ROUNDUP(MAX(I1540/IF(BV1540&gt;0,BV1540,MAX(0.1,N(Cockpit!$O$6))),BY1540)/BQ1540,0)*BQ1540</f>
        <v>0</v>
      </c>
      <c r="AY1540" s="58" t="n">
        <f aca="false">IF(AV1540&gt;0,I1540/AV1540,-1)</f>
        <v>-1</v>
      </c>
      <c r="AZ1540" s="58" t="str">
        <f aca="false">IF(AND(OR(BU1540="L1",BU1540="L23"),AV1540&gt;0),SUMIFS($AV$7:$AV$1576,$BU$7:$BU$1576,BU1540,$AY$7:$AY$1576,"&gt;"&amp;AY1540)+SUMIFS($AV$7:$AV$1576,$BU$7:$BU$1576,BU1540,$AY$7:$AY$1576,AY1540,$BO$7:$BO$1576,"&lt;="&amp;BO1540),"")</f>
        <v/>
      </c>
      <c r="BA1540" s="65" t="n">
        <f aca="false">IF(AZ1540="",0,MAX(0,MIN(1,(IF(BU1540="L1",Parameter!$E$5,Parameter!$E$6+Parameter!$E$7)-(AZ1540-AV1540))/AV1540)))</f>
        <v>0</v>
      </c>
      <c r="BB1540" s="55" t="str">
        <f aca="false">IF(AF1540&lt;=0,"",IF(BU1540="Aussen","Aussenlager",IF(BU1540="-","Nicht im Lift",IF(AK1540&gt;=1,"Lift",IF(AK1540&lt;=0,"Aussenlager","teilweise")))))</f>
        <v/>
      </c>
      <c r="BC1540" s="55" t="str">
        <f aca="false">IF(AN1540&lt;=0,"",IF(BU1540="Aussen","Aussenlager",IF(BU1540="-","Nicht im Lift",IF(AS1540&gt;=1,"Lift",IF(AS1540&lt;=0,"Aussenlager","teilweise")))))</f>
        <v/>
      </c>
      <c r="BD1540" s="55" t="str">
        <f aca="false">IF(AV1540&lt;=0,"",IF(BU1540="Aussen","Aussenlager",IF(BU1540="-","Nicht im Lift",IF(BA1540&gt;=1,"Lift",IF(BA1540&lt;=0,"Aussenlager","teilweise")))))</f>
        <v/>
      </c>
      <c r="BE1540" s="55" t="str">
        <f aca="false">IF(A1540="","",IF(BN1540=1,"Neu; ","")&amp;IF(AND(BN1540=0,BI1540&lt;0),"negativer Bestand (Export "&amp;BI1540&amp;"); ","")&amp;IF(I1540&lt;=0,"Kein Verbrauch; ","")&amp;IF(CD1540&gt;0,"Lift "&amp;U1540&amp;" lt. Liftbericht (Fach "&amp;V1540&amp;" Stk); ",IF(BR1540=1,"Lose – Fläche geschätzt; ",""))&amp;IF(G1540&gt;AP1540,"Überbestand "&amp;ROUND(G1540-AP1540,0)&amp;" Stk / CHF "&amp;ROUND((G1540-AP1540)*F1540,0)&amp;"; ","")&amp;IF(AND(BW1540=1,BX1540&lt;BY1540),"MAX &lt; MB+LG; ","")&amp;IF(AND(CC1540&gt;0,CB1540*10&gt;CC1540),"zu hoch für Tablar; ","")&amp;IF(AND(BN1540=0,OR(BW1540=1,Y1540&lt;&gt;"",S1540&lt;&gt;"",T1540&lt;&gt;"",Z1540&lt;&gt;"")),"manuell übersteuert; ","")&amp;IF(AND(BR1540=0,Q1540=0),"Gebinde unbekannt / Stellmass fehlt; ","")&amp;IF(AND(BR1540=0,N(T1540)&lt;=0,N(P1540)&lt;=0),"Menge pro Gebinde fehlt (Ist = 1 Gebinde); ","")&amp;BM1540)</f>
        <v/>
      </c>
      <c r="BF1540" s="55"/>
      <c r="BG1540" s="55"/>
      <c r="BH1540" s="62"/>
      <c r="BI1540" s="57" t="n">
        <f aca="false">N('Neue Artikel'!$D$68)</f>
        <v>0</v>
      </c>
      <c r="BJ1540" s="57" t="n">
        <v>0</v>
      </c>
      <c r="BK1540" s="56" t="n">
        <v>0</v>
      </c>
      <c r="BL1540" s="57" t="n">
        <f aca="false">N('Neue Artikel'!$C$68)/Parameter!$B$18</f>
        <v>0</v>
      </c>
      <c r="BM1540" s="55"/>
      <c r="BN1540" s="60" t="n">
        <v>1</v>
      </c>
      <c r="BO1540" s="60" t="n">
        <v>1540</v>
      </c>
      <c r="BP1540" s="55" t="str">
        <f aca="false">IF(S1540&lt;&gt;"",UPPER(TRIM(S1540)),IF(O1540="","LOSE",O1540))</f>
        <v>LOSE</v>
      </c>
      <c r="BQ1540" s="57" t="n">
        <f aca="false">IF(BP1540="LOSE",1,IF(N(T1540)&gt;0,T1540,IF(N(P1540)&gt;0,P1540,MAX(1,G1540))))</f>
        <v>1</v>
      </c>
      <c r="BR1540" s="60" t="n">
        <f aca="false">IF(BP1540="LOSE",1,0)</f>
        <v>1</v>
      </c>
      <c r="BS1540" s="59" t="n">
        <f aca="false">IF(BR1540=0,0,IF(N(R1540)&gt;0,R1540,IFERROR(VLOOKUP(D1540,Parameter!$A$35:$C$64,3,0)+0,0)))</f>
        <v>0.15</v>
      </c>
      <c r="BT1540" s="55" t="str">
        <f aca="false">IF(Y1540&lt;&gt;"",Y1540,X1540)</f>
        <v/>
      </c>
      <c r="BU1540" s="55" t="str">
        <f aca="false">IF(BT1540=1,"L1",IF(OR(BT1540=2,BT1540=3),"L23",IF(BT1540="Aussen","Aussen","-")))</f>
        <v>-</v>
      </c>
      <c r="BV1540" s="66" t="n">
        <f aca="false">IF(N(Z1540)&gt;0,Z1540,0)</f>
        <v>0</v>
      </c>
      <c r="BW1540" s="60" t="n">
        <f aca="false">IF(ISNUMBER(AC1540),1,0)</f>
        <v>0</v>
      </c>
      <c r="BX1540" s="57" t="n">
        <f aca="false">N(AC1540)</f>
        <v>0</v>
      </c>
      <c r="BY1540" s="57" t="n">
        <f aca="false">N(L1540)+N(M1540)</f>
        <v>0</v>
      </c>
      <c r="BZ1540" s="57" t="n">
        <f aca="false">ROUNDUP(G1540/BQ1540,0)</f>
        <v>0</v>
      </c>
      <c r="CA1540" s="57" t="n">
        <f aca="false">ROUNDUP(BX1540/BQ1540,0)</f>
        <v>0</v>
      </c>
      <c r="CB1540" s="60" t="n">
        <f aca="false">IF(BR1540=1,0,IFERROR(VLOOKUP(BP1540,'Gebinde-Kategorie'!$A$5:$M$45,5,0)+0,0))</f>
        <v>0</v>
      </c>
      <c r="CC1540" s="60" t="n">
        <f aca="false">IFERROR(IF(OR(BT1540=1,BT1540=2,BT1540=3),N(INDEX(Parameter!$I$5:$I$7,BT1540)),0),0)</f>
        <v>0</v>
      </c>
      <c r="CD1540" s="59" t="n">
        <f aca="false">IF(AND(Parameter!$B$21="Ja",ISNUMBER(U1540),N(V1540)&gt;0),IFERROR(N(INDEX(Parameter!$L$5:$L$7,U1540))*INDEX(Parameter!$E$5:$E$7,U1540)*V1540/SUMIFS($V$7:$V$1576,$U$7:$U$1576,U1540),0),0)</f>
        <v>0</v>
      </c>
    </row>
    <row r="1541" customFormat="false" ht="15" hidden="false" customHeight="false" outlineLevel="0" collapsed="false">
      <c r="A1541" s="55" t="str">
        <f aca="false">IF('Neue Artikel'!$A$69="","",'Neue Artikel'!$A$69&amp;"")</f>
        <v/>
      </c>
      <c r="B1541" s="55" t="str">
        <f aca="false">'Neue Artikel'!$B$69&amp;""</f>
        <v/>
      </c>
      <c r="C1541" s="55"/>
      <c r="D1541" s="55" t="s">
        <v>2561</v>
      </c>
      <c r="E1541" s="55"/>
      <c r="F1541" s="56" t="n">
        <f aca="false">N('Neue Artikel'!$G$69)</f>
        <v>0</v>
      </c>
      <c r="G1541" s="57" t="n">
        <f aca="false">MAX(0,IF(AND(Parameter!$B$21="Ja",ISNUMBER(W1541)),W1541,IF(Parameter!$B$20="Jahresanfang 2025 + Export",BJ1541+BI1541,BI1541)))</f>
        <v>0</v>
      </c>
      <c r="H1541" s="57" t="n">
        <f aca="false">G1541*F1541</f>
        <v>0</v>
      </c>
      <c r="I1541" s="57" t="n">
        <f aca="false">BL1541*Parameter!$B$18</f>
        <v>0</v>
      </c>
      <c r="J1541" s="58"/>
      <c r="K1541" s="59"/>
      <c r="L1541" s="57" t="n">
        <f aca="false">N('Neue Artikel'!$E$69)</f>
        <v>0</v>
      </c>
      <c r="M1541" s="57" t="n">
        <f aca="false">N('Neue Artikel'!$F$69)</f>
        <v>0</v>
      </c>
      <c r="N1541" s="60"/>
      <c r="O1541" s="55" t="str">
        <f aca="false">IF('Neue Artikel'!$H$69="","LOSE",UPPER(TRIM('Neue Artikel'!$H$69)))</f>
        <v>LOSE</v>
      </c>
      <c r="P1541" s="57" t="n">
        <f aca="false">N('Neue Artikel'!$I$69)</f>
        <v>0</v>
      </c>
      <c r="Q1541" s="60" t="n">
        <f aca="false">IF(BR1541=1,0,IFERROR(VLOOKUP(BP1541,'Gebinde-Kategorie'!$A$5:$M$45,13,0)+0,0))</f>
        <v>0</v>
      </c>
      <c r="R1541" s="61"/>
      <c r="S1541" s="62"/>
      <c r="T1541" s="62"/>
      <c r="U1541" s="55"/>
      <c r="V1541" s="57"/>
      <c r="W1541" s="57"/>
      <c r="X1541" s="55" t="str">
        <f aca="false">IF(A1541="","",IF(AND(Parameter!$B$21="Ja",ISNUMBER(U1541)),U1541,IF(IFERROR(VLOOKUP(D1541,Parameter!$A$35:$C$64,2,0),"Nein")="2+3",IF(ISNUMBER(SEARCH("grosser Artikel",BM1541)),2,IFERROR(VLOOKUP(BP1541,Parameter!$F$35:$G$64,2,0),2)),IF(OR(IFERROR(VLOOKUP(D1541,Parameter!$A$35:$C$64,2,0),"Nein")="Nein",IFERROR(VLOOKUP(D1541,Parameter!$A$35:$C$64,2,0),"Nein")=""),"-",VLOOKUP(D1541,Parameter!$A$35:$C$64,2,0)))))</f>
        <v/>
      </c>
      <c r="Y1541" s="55" t="str">
        <f aca="false">IF('Neue Artikel'!$J$69="","",'Neue Artikel'!$J$69)</f>
        <v/>
      </c>
      <c r="Z1541" s="63"/>
      <c r="AA1541" s="57" t="n">
        <f aca="false">AP1541</f>
        <v>0</v>
      </c>
      <c r="AB1541" s="57" t="n">
        <f aca="false">MAX(AP1541,G1541)</f>
        <v>0</v>
      </c>
      <c r="AC1541" s="64"/>
      <c r="AD1541" s="57" t="n">
        <f aca="false">IF(LEFT(Cockpit!$C$5,1)="A",G1541,IF(BW1541=1,BX1541,IF(LEFT(Cockpit!$C$5,1)="B",AH1541,MAX(AH1541,G1541))))</f>
        <v>0</v>
      </c>
      <c r="AE1541" s="57" t="n">
        <f aca="false">IF(BR1541=1,0,ROUNDUP(AD1541/BQ1541,0))</f>
        <v>0</v>
      </c>
      <c r="AF1541" s="59" t="n">
        <f aca="false">IF(CD1541&gt;0,CD1541*MAX(1,AD1541/V1541),IF(BR1541=1,IF(AD1541&lt;=0,0,BS1541*MAX(1,IF(G1541&gt;0,AD1541/G1541,1))),IF(Q1541&gt;0,AE1541/Q1541,0))/MAX(0.1,N(Parameter!$M$21)))</f>
        <v>0</v>
      </c>
      <c r="AG1541" s="57" t="n">
        <f aca="false">AD1541*F1541</f>
        <v>0</v>
      </c>
      <c r="AH1541" s="57" t="n">
        <f aca="false">ROUNDUP(MAX(I1541/IF(BV1541&gt;0,BV1541,MAX(0.1,N(Cockpit!$C$6))),BY1541)/BQ1541,0)*BQ1541</f>
        <v>0</v>
      </c>
      <c r="AI1541" s="58" t="n">
        <f aca="false">IF(AF1541&gt;0,I1541/AF1541,-1)</f>
        <v>-1</v>
      </c>
      <c r="AJ1541" s="58" t="str">
        <f aca="false">IF(AND(OR(BU1541="L1",BU1541="L23"),AF1541&gt;0),SUMIFS($AF$7:$AF$1576,$BU$7:$BU$1576,BU1541,$AI$7:$AI$1576,"&gt;"&amp;AI1541)+SUMIFS($AF$7:$AF$1576,$BU$7:$BU$1576,BU1541,$AI$7:$AI$1576,AI1541,$BO$7:$BO$1576,"&lt;="&amp;BO1541),"")</f>
        <v/>
      </c>
      <c r="AK1541" s="65" t="n">
        <f aca="false">IF(AJ1541="",0,MAX(0,MIN(1,(IF(BU1541="L1",Parameter!$E$5,Parameter!$E$6+Parameter!$E$7)-(AJ1541-AF1541))/AF1541)))</f>
        <v>0</v>
      </c>
      <c r="AL1541" s="57" t="n">
        <f aca="false">IF(LEFT(Cockpit!$I$5,1)="A",G1541,IF(BW1541=1,BX1541,IF(LEFT(Cockpit!$I$5,1)="B",AP1541,MAX(AP1541,G1541))))</f>
        <v>0</v>
      </c>
      <c r="AM1541" s="57" t="n">
        <f aca="false">IF(BR1541=1,0,ROUNDUP(AL1541/BQ1541,0))</f>
        <v>0</v>
      </c>
      <c r="AN1541" s="59" t="n">
        <f aca="false">IF(CD1541&gt;0,CD1541*MAX(1,AL1541/V1541),IF(BR1541=1,IF(AL1541&lt;=0,0,BS1541*MAX(1,IF(G1541&gt;0,AL1541/G1541,1))),IF(Q1541&gt;0,AM1541/Q1541,0))/MAX(0.1,N(Parameter!$M$21)))</f>
        <v>0</v>
      </c>
      <c r="AO1541" s="57" t="n">
        <f aca="false">AL1541*F1541</f>
        <v>0</v>
      </c>
      <c r="AP1541" s="57" t="n">
        <f aca="false">ROUNDUP(MAX(I1541/IF(BV1541&gt;0,BV1541,MAX(0.1,N(Cockpit!$I$6))),BY1541)/BQ1541,0)*BQ1541</f>
        <v>0</v>
      </c>
      <c r="AQ1541" s="58" t="n">
        <f aca="false">IF(AN1541&gt;0,I1541/AN1541,-1)</f>
        <v>-1</v>
      </c>
      <c r="AR1541" s="58" t="str">
        <f aca="false">IF(AND(OR(BU1541="L1",BU1541="L23"),AN1541&gt;0),SUMIFS($AN$7:$AN$1576,$BU$7:$BU$1576,BU1541,$AQ$7:$AQ$1576,"&gt;"&amp;AQ1541)+SUMIFS($AN$7:$AN$1576,$BU$7:$BU$1576,BU1541,$AQ$7:$AQ$1576,AQ1541,$BO$7:$BO$1576,"&lt;="&amp;BO1541),"")</f>
        <v/>
      </c>
      <c r="AS1541" s="65" t="n">
        <f aca="false">IF(AR1541="",0,MAX(0,MIN(1,(IF(BU1541="L1",Parameter!$E$5,Parameter!$E$6+Parameter!$E$7)-(AR1541-AN1541))/AN1541)))</f>
        <v>0</v>
      </c>
      <c r="AT1541" s="57" t="n">
        <f aca="false">IF(LEFT(Cockpit!$O$5,1)="A",G1541,IF(BW1541=1,BX1541,IF(LEFT(Cockpit!$O$5,1)="B",AX1541,MAX(AX1541,G1541))))</f>
        <v>0</v>
      </c>
      <c r="AU1541" s="57" t="n">
        <f aca="false">IF(BR1541=1,0,ROUNDUP(AT1541/BQ1541,0))</f>
        <v>0</v>
      </c>
      <c r="AV1541" s="59" t="n">
        <f aca="false">IF(CD1541&gt;0,CD1541*MAX(1,AT1541/V1541),IF(BR1541=1,IF(AT1541&lt;=0,0,BS1541*MAX(1,IF(G1541&gt;0,AT1541/G1541,1))),IF(Q1541&gt;0,AU1541/Q1541,0))/MAX(0.1,N(Parameter!$M$21)))</f>
        <v>0</v>
      </c>
      <c r="AW1541" s="57" t="n">
        <f aca="false">AT1541*F1541</f>
        <v>0</v>
      </c>
      <c r="AX1541" s="57" t="n">
        <f aca="false">ROUNDUP(MAX(I1541/IF(BV1541&gt;0,BV1541,MAX(0.1,N(Cockpit!$O$6))),BY1541)/BQ1541,0)*BQ1541</f>
        <v>0</v>
      </c>
      <c r="AY1541" s="58" t="n">
        <f aca="false">IF(AV1541&gt;0,I1541/AV1541,-1)</f>
        <v>-1</v>
      </c>
      <c r="AZ1541" s="58" t="str">
        <f aca="false">IF(AND(OR(BU1541="L1",BU1541="L23"),AV1541&gt;0),SUMIFS($AV$7:$AV$1576,$BU$7:$BU$1576,BU1541,$AY$7:$AY$1576,"&gt;"&amp;AY1541)+SUMIFS($AV$7:$AV$1576,$BU$7:$BU$1576,BU1541,$AY$7:$AY$1576,AY1541,$BO$7:$BO$1576,"&lt;="&amp;BO1541),"")</f>
        <v/>
      </c>
      <c r="BA1541" s="65" t="n">
        <f aca="false">IF(AZ1541="",0,MAX(0,MIN(1,(IF(BU1541="L1",Parameter!$E$5,Parameter!$E$6+Parameter!$E$7)-(AZ1541-AV1541))/AV1541)))</f>
        <v>0</v>
      </c>
      <c r="BB1541" s="55" t="str">
        <f aca="false">IF(AF1541&lt;=0,"",IF(BU1541="Aussen","Aussenlager",IF(BU1541="-","Nicht im Lift",IF(AK1541&gt;=1,"Lift",IF(AK1541&lt;=0,"Aussenlager","teilweise")))))</f>
        <v/>
      </c>
      <c r="BC1541" s="55" t="str">
        <f aca="false">IF(AN1541&lt;=0,"",IF(BU1541="Aussen","Aussenlager",IF(BU1541="-","Nicht im Lift",IF(AS1541&gt;=1,"Lift",IF(AS1541&lt;=0,"Aussenlager","teilweise")))))</f>
        <v/>
      </c>
      <c r="BD1541" s="55" t="str">
        <f aca="false">IF(AV1541&lt;=0,"",IF(BU1541="Aussen","Aussenlager",IF(BU1541="-","Nicht im Lift",IF(BA1541&gt;=1,"Lift",IF(BA1541&lt;=0,"Aussenlager","teilweise")))))</f>
        <v/>
      </c>
      <c r="BE1541" s="55" t="str">
        <f aca="false">IF(A1541="","",IF(BN1541=1,"Neu; ","")&amp;IF(AND(BN1541=0,BI1541&lt;0),"negativer Bestand (Export "&amp;BI1541&amp;"); ","")&amp;IF(I1541&lt;=0,"Kein Verbrauch; ","")&amp;IF(CD1541&gt;0,"Lift "&amp;U1541&amp;" lt. Liftbericht (Fach "&amp;V1541&amp;" Stk); ",IF(BR1541=1,"Lose – Fläche geschätzt; ",""))&amp;IF(G1541&gt;AP1541,"Überbestand "&amp;ROUND(G1541-AP1541,0)&amp;" Stk / CHF "&amp;ROUND((G1541-AP1541)*F1541,0)&amp;"; ","")&amp;IF(AND(BW1541=1,BX1541&lt;BY1541),"MAX &lt; MB+LG; ","")&amp;IF(AND(CC1541&gt;0,CB1541*10&gt;CC1541),"zu hoch für Tablar; ","")&amp;IF(AND(BN1541=0,OR(BW1541=1,Y1541&lt;&gt;"",S1541&lt;&gt;"",T1541&lt;&gt;"",Z1541&lt;&gt;"")),"manuell übersteuert; ","")&amp;IF(AND(BR1541=0,Q1541=0),"Gebinde unbekannt / Stellmass fehlt; ","")&amp;IF(AND(BR1541=0,N(T1541)&lt;=0,N(P1541)&lt;=0),"Menge pro Gebinde fehlt (Ist = 1 Gebinde); ","")&amp;BM1541)</f>
        <v/>
      </c>
      <c r="BF1541" s="55"/>
      <c r="BG1541" s="55"/>
      <c r="BH1541" s="62"/>
      <c r="BI1541" s="57" t="n">
        <f aca="false">N('Neue Artikel'!$D$69)</f>
        <v>0</v>
      </c>
      <c r="BJ1541" s="57" t="n">
        <v>0</v>
      </c>
      <c r="BK1541" s="56" t="n">
        <v>0</v>
      </c>
      <c r="BL1541" s="57" t="n">
        <f aca="false">N('Neue Artikel'!$C$69)/Parameter!$B$18</f>
        <v>0</v>
      </c>
      <c r="BM1541" s="55"/>
      <c r="BN1541" s="60" t="n">
        <v>1</v>
      </c>
      <c r="BO1541" s="60" t="n">
        <v>1541</v>
      </c>
      <c r="BP1541" s="55" t="str">
        <f aca="false">IF(S1541&lt;&gt;"",UPPER(TRIM(S1541)),IF(O1541="","LOSE",O1541))</f>
        <v>LOSE</v>
      </c>
      <c r="BQ1541" s="57" t="n">
        <f aca="false">IF(BP1541="LOSE",1,IF(N(T1541)&gt;0,T1541,IF(N(P1541)&gt;0,P1541,MAX(1,G1541))))</f>
        <v>1</v>
      </c>
      <c r="BR1541" s="60" t="n">
        <f aca="false">IF(BP1541="LOSE",1,0)</f>
        <v>1</v>
      </c>
      <c r="BS1541" s="59" t="n">
        <f aca="false">IF(BR1541=0,0,IF(N(R1541)&gt;0,R1541,IFERROR(VLOOKUP(D1541,Parameter!$A$35:$C$64,3,0)+0,0)))</f>
        <v>0.15</v>
      </c>
      <c r="BT1541" s="55" t="str">
        <f aca="false">IF(Y1541&lt;&gt;"",Y1541,X1541)</f>
        <v/>
      </c>
      <c r="BU1541" s="55" t="str">
        <f aca="false">IF(BT1541=1,"L1",IF(OR(BT1541=2,BT1541=3),"L23",IF(BT1541="Aussen","Aussen","-")))</f>
        <v>-</v>
      </c>
      <c r="BV1541" s="66" t="n">
        <f aca="false">IF(N(Z1541)&gt;0,Z1541,0)</f>
        <v>0</v>
      </c>
      <c r="BW1541" s="60" t="n">
        <f aca="false">IF(ISNUMBER(AC1541),1,0)</f>
        <v>0</v>
      </c>
      <c r="BX1541" s="57" t="n">
        <f aca="false">N(AC1541)</f>
        <v>0</v>
      </c>
      <c r="BY1541" s="57" t="n">
        <f aca="false">N(L1541)+N(M1541)</f>
        <v>0</v>
      </c>
      <c r="BZ1541" s="57" t="n">
        <f aca="false">ROUNDUP(G1541/BQ1541,0)</f>
        <v>0</v>
      </c>
      <c r="CA1541" s="57" t="n">
        <f aca="false">ROUNDUP(BX1541/BQ1541,0)</f>
        <v>0</v>
      </c>
      <c r="CB1541" s="60" t="n">
        <f aca="false">IF(BR1541=1,0,IFERROR(VLOOKUP(BP1541,'Gebinde-Kategorie'!$A$5:$M$45,5,0)+0,0))</f>
        <v>0</v>
      </c>
      <c r="CC1541" s="60" t="n">
        <f aca="false">IFERROR(IF(OR(BT1541=1,BT1541=2,BT1541=3),N(INDEX(Parameter!$I$5:$I$7,BT1541)),0),0)</f>
        <v>0</v>
      </c>
      <c r="CD1541" s="59" t="n">
        <f aca="false">IF(AND(Parameter!$B$21="Ja",ISNUMBER(U1541),N(V1541)&gt;0),IFERROR(N(INDEX(Parameter!$L$5:$L$7,U1541))*INDEX(Parameter!$E$5:$E$7,U1541)*V1541/SUMIFS($V$7:$V$1576,$U$7:$U$1576,U1541),0),0)</f>
        <v>0</v>
      </c>
    </row>
    <row r="1542" customFormat="false" ht="15" hidden="false" customHeight="false" outlineLevel="0" collapsed="false">
      <c r="A1542" s="55" t="str">
        <f aca="false">IF('Neue Artikel'!$A$70="","",'Neue Artikel'!$A$70&amp;"")</f>
        <v/>
      </c>
      <c r="B1542" s="55" t="str">
        <f aca="false">'Neue Artikel'!$B$70&amp;""</f>
        <v/>
      </c>
      <c r="C1542" s="55"/>
      <c r="D1542" s="55" t="s">
        <v>2561</v>
      </c>
      <c r="E1542" s="55"/>
      <c r="F1542" s="56" t="n">
        <f aca="false">N('Neue Artikel'!$G$70)</f>
        <v>0</v>
      </c>
      <c r="G1542" s="57" t="n">
        <f aca="false">MAX(0,IF(AND(Parameter!$B$21="Ja",ISNUMBER(W1542)),W1542,IF(Parameter!$B$20="Jahresanfang 2025 + Export",BJ1542+BI1542,BI1542)))</f>
        <v>0</v>
      </c>
      <c r="H1542" s="57" t="n">
        <f aca="false">G1542*F1542</f>
        <v>0</v>
      </c>
      <c r="I1542" s="57" t="n">
        <f aca="false">BL1542*Parameter!$B$18</f>
        <v>0</v>
      </c>
      <c r="J1542" s="58"/>
      <c r="K1542" s="59"/>
      <c r="L1542" s="57" t="n">
        <f aca="false">N('Neue Artikel'!$E$70)</f>
        <v>0</v>
      </c>
      <c r="M1542" s="57" t="n">
        <f aca="false">N('Neue Artikel'!$F$70)</f>
        <v>0</v>
      </c>
      <c r="N1542" s="60"/>
      <c r="O1542" s="55" t="str">
        <f aca="false">IF('Neue Artikel'!$H$70="","LOSE",UPPER(TRIM('Neue Artikel'!$H$70)))</f>
        <v>LOSE</v>
      </c>
      <c r="P1542" s="57" t="n">
        <f aca="false">N('Neue Artikel'!$I$70)</f>
        <v>0</v>
      </c>
      <c r="Q1542" s="60" t="n">
        <f aca="false">IF(BR1542=1,0,IFERROR(VLOOKUP(BP1542,'Gebinde-Kategorie'!$A$5:$M$45,13,0)+0,0))</f>
        <v>0</v>
      </c>
      <c r="R1542" s="61"/>
      <c r="S1542" s="62"/>
      <c r="T1542" s="62"/>
      <c r="U1542" s="55"/>
      <c r="V1542" s="57"/>
      <c r="W1542" s="57"/>
      <c r="X1542" s="55" t="str">
        <f aca="false">IF(A1542="","",IF(AND(Parameter!$B$21="Ja",ISNUMBER(U1542)),U1542,IF(IFERROR(VLOOKUP(D1542,Parameter!$A$35:$C$64,2,0),"Nein")="2+3",IF(ISNUMBER(SEARCH("grosser Artikel",BM1542)),2,IFERROR(VLOOKUP(BP1542,Parameter!$F$35:$G$64,2,0),2)),IF(OR(IFERROR(VLOOKUP(D1542,Parameter!$A$35:$C$64,2,0),"Nein")="Nein",IFERROR(VLOOKUP(D1542,Parameter!$A$35:$C$64,2,0),"Nein")=""),"-",VLOOKUP(D1542,Parameter!$A$35:$C$64,2,0)))))</f>
        <v/>
      </c>
      <c r="Y1542" s="55" t="str">
        <f aca="false">IF('Neue Artikel'!$J$70="","",'Neue Artikel'!$J$70)</f>
        <v/>
      </c>
      <c r="Z1542" s="63"/>
      <c r="AA1542" s="57" t="n">
        <f aca="false">AP1542</f>
        <v>0</v>
      </c>
      <c r="AB1542" s="57" t="n">
        <f aca="false">MAX(AP1542,G1542)</f>
        <v>0</v>
      </c>
      <c r="AC1542" s="64"/>
      <c r="AD1542" s="57" t="n">
        <f aca="false">IF(LEFT(Cockpit!$C$5,1)="A",G1542,IF(BW1542=1,BX1542,IF(LEFT(Cockpit!$C$5,1)="B",AH1542,MAX(AH1542,G1542))))</f>
        <v>0</v>
      </c>
      <c r="AE1542" s="57" t="n">
        <f aca="false">IF(BR1542=1,0,ROUNDUP(AD1542/BQ1542,0))</f>
        <v>0</v>
      </c>
      <c r="AF1542" s="59" t="n">
        <f aca="false">IF(CD1542&gt;0,CD1542*MAX(1,AD1542/V1542),IF(BR1542=1,IF(AD1542&lt;=0,0,BS1542*MAX(1,IF(G1542&gt;0,AD1542/G1542,1))),IF(Q1542&gt;0,AE1542/Q1542,0))/MAX(0.1,N(Parameter!$M$21)))</f>
        <v>0</v>
      </c>
      <c r="AG1542" s="57" t="n">
        <f aca="false">AD1542*F1542</f>
        <v>0</v>
      </c>
      <c r="AH1542" s="57" t="n">
        <f aca="false">ROUNDUP(MAX(I1542/IF(BV1542&gt;0,BV1542,MAX(0.1,N(Cockpit!$C$6))),BY1542)/BQ1542,0)*BQ1542</f>
        <v>0</v>
      </c>
      <c r="AI1542" s="58" t="n">
        <f aca="false">IF(AF1542&gt;0,I1542/AF1542,-1)</f>
        <v>-1</v>
      </c>
      <c r="AJ1542" s="58" t="str">
        <f aca="false">IF(AND(OR(BU1542="L1",BU1542="L23"),AF1542&gt;0),SUMIFS($AF$7:$AF$1576,$BU$7:$BU$1576,BU1542,$AI$7:$AI$1576,"&gt;"&amp;AI1542)+SUMIFS($AF$7:$AF$1576,$BU$7:$BU$1576,BU1542,$AI$7:$AI$1576,AI1542,$BO$7:$BO$1576,"&lt;="&amp;BO1542),"")</f>
        <v/>
      </c>
      <c r="AK1542" s="65" t="n">
        <f aca="false">IF(AJ1542="",0,MAX(0,MIN(1,(IF(BU1542="L1",Parameter!$E$5,Parameter!$E$6+Parameter!$E$7)-(AJ1542-AF1542))/AF1542)))</f>
        <v>0</v>
      </c>
      <c r="AL1542" s="57" t="n">
        <f aca="false">IF(LEFT(Cockpit!$I$5,1)="A",G1542,IF(BW1542=1,BX1542,IF(LEFT(Cockpit!$I$5,1)="B",AP1542,MAX(AP1542,G1542))))</f>
        <v>0</v>
      </c>
      <c r="AM1542" s="57" t="n">
        <f aca="false">IF(BR1542=1,0,ROUNDUP(AL1542/BQ1542,0))</f>
        <v>0</v>
      </c>
      <c r="AN1542" s="59" t="n">
        <f aca="false">IF(CD1542&gt;0,CD1542*MAX(1,AL1542/V1542),IF(BR1542=1,IF(AL1542&lt;=0,0,BS1542*MAX(1,IF(G1542&gt;0,AL1542/G1542,1))),IF(Q1542&gt;0,AM1542/Q1542,0))/MAX(0.1,N(Parameter!$M$21)))</f>
        <v>0</v>
      </c>
      <c r="AO1542" s="57" t="n">
        <f aca="false">AL1542*F1542</f>
        <v>0</v>
      </c>
      <c r="AP1542" s="57" t="n">
        <f aca="false">ROUNDUP(MAX(I1542/IF(BV1542&gt;0,BV1542,MAX(0.1,N(Cockpit!$I$6))),BY1542)/BQ1542,0)*BQ1542</f>
        <v>0</v>
      </c>
      <c r="AQ1542" s="58" t="n">
        <f aca="false">IF(AN1542&gt;0,I1542/AN1542,-1)</f>
        <v>-1</v>
      </c>
      <c r="AR1542" s="58" t="str">
        <f aca="false">IF(AND(OR(BU1542="L1",BU1542="L23"),AN1542&gt;0),SUMIFS($AN$7:$AN$1576,$BU$7:$BU$1576,BU1542,$AQ$7:$AQ$1576,"&gt;"&amp;AQ1542)+SUMIFS($AN$7:$AN$1576,$BU$7:$BU$1576,BU1542,$AQ$7:$AQ$1576,AQ1542,$BO$7:$BO$1576,"&lt;="&amp;BO1542),"")</f>
        <v/>
      </c>
      <c r="AS1542" s="65" t="n">
        <f aca="false">IF(AR1542="",0,MAX(0,MIN(1,(IF(BU1542="L1",Parameter!$E$5,Parameter!$E$6+Parameter!$E$7)-(AR1542-AN1542))/AN1542)))</f>
        <v>0</v>
      </c>
      <c r="AT1542" s="57" t="n">
        <f aca="false">IF(LEFT(Cockpit!$O$5,1)="A",G1542,IF(BW1542=1,BX1542,IF(LEFT(Cockpit!$O$5,1)="B",AX1542,MAX(AX1542,G1542))))</f>
        <v>0</v>
      </c>
      <c r="AU1542" s="57" t="n">
        <f aca="false">IF(BR1542=1,0,ROUNDUP(AT1542/BQ1542,0))</f>
        <v>0</v>
      </c>
      <c r="AV1542" s="59" t="n">
        <f aca="false">IF(CD1542&gt;0,CD1542*MAX(1,AT1542/V1542),IF(BR1542=1,IF(AT1542&lt;=0,0,BS1542*MAX(1,IF(G1542&gt;0,AT1542/G1542,1))),IF(Q1542&gt;0,AU1542/Q1542,0))/MAX(0.1,N(Parameter!$M$21)))</f>
        <v>0</v>
      </c>
      <c r="AW1542" s="57" t="n">
        <f aca="false">AT1542*F1542</f>
        <v>0</v>
      </c>
      <c r="AX1542" s="57" t="n">
        <f aca="false">ROUNDUP(MAX(I1542/IF(BV1542&gt;0,BV1542,MAX(0.1,N(Cockpit!$O$6))),BY1542)/BQ1542,0)*BQ1542</f>
        <v>0</v>
      </c>
      <c r="AY1542" s="58" t="n">
        <f aca="false">IF(AV1542&gt;0,I1542/AV1542,-1)</f>
        <v>-1</v>
      </c>
      <c r="AZ1542" s="58" t="str">
        <f aca="false">IF(AND(OR(BU1542="L1",BU1542="L23"),AV1542&gt;0),SUMIFS($AV$7:$AV$1576,$BU$7:$BU$1576,BU1542,$AY$7:$AY$1576,"&gt;"&amp;AY1542)+SUMIFS($AV$7:$AV$1576,$BU$7:$BU$1576,BU1542,$AY$7:$AY$1576,AY1542,$BO$7:$BO$1576,"&lt;="&amp;BO1542),"")</f>
        <v/>
      </c>
      <c r="BA1542" s="65" t="n">
        <f aca="false">IF(AZ1542="",0,MAX(0,MIN(1,(IF(BU1542="L1",Parameter!$E$5,Parameter!$E$6+Parameter!$E$7)-(AZ1542-AV1542))/AV1542)))</f>
        <v>0</v>
      </c>
      <c r="BB1542" s="55" t="str">
        <f aca="false">IF(AF1542&lt;=0,"",IF(BU1542="Aussen","Aussenlager",IF(BU1542="-","Nicht im Lift",IF(AK1542&gt;=1,"Lift",IF(AK1542&lt;=0,"Aussenlager","teilweise")))))</f>
        <v/>
      </c>
      <c r="BC1542" s="55" t="str">
        <f aca="false">IF(AN1542&lt;=0,"",IF(BU1542="Aussen","Aussenlager",IF(BU1542="-","Nicht im Lift",IF(AS1542&gt;=1,"Lift",IF(AS1542&lt;=0,"Aussenlager","teilweise")))))</f>
        <v/>
      </c>
      <c r="BD1542" s="55" t="str">
        <f aca="false">IF(AV1542&lt;=0,"",IF(BU1542="Aussen","Aussenlager",IF(BU1542="-","Nicht im Lift",IF(BA1542&gt;=1,"Lift",IF(BA1542&lt;=0,"Aussenlager","teilweise")))))</f>
        <v/>
      </c>
      <c r="BE1542" s="55" t="str">
        <f aca="false">IF(A1542="","",IF(BN1542=1,"Neu; ","")&amp;IF(AND(BN1542=0,BI1542&lt;0),"negativer Bestand (Export "&amp;BI1542&amp;"); ","")&amp;IF(I1542&lt;=0,"Kein Verbrauch; ","")&amp;IF(CD1542&gt;0,"Lift "&amp;U1542&amp;" lt. Liftbericht (Fach "&amp;V1542&amp;" Stk); ",IF(BR1542=1,"Lose – Fläche geschätzt; ",""))&amp;IF(G1542&gt;AP1542,"Überbestand "&amp;ROUND(G1542-AP1542,0)&amp;" Stk / CHF "&amp;ROUND((G1542-AP1542)*F1542,0)&amp;"; ","")&amp;IF(AND(BW1542=1,BX1542&lt;BY1542),"MAX &lt; MB+LG; ","")&amp;IF(AND(CC1542&gt;0,CB1542*10&gt;CC1542),"zu hoch für Tablar; ","")&amp;IF(AND(BN1542=0,OR(BW1542=1,Y1542&lt;&gt;"",S1542&lt;&gt;"",T1542&lt;&gt;"",Z1542&lt;&gt;"")),"manuell übersteuert; ","")&amp;IF(AND(BR1542=0,Q1542=0),"Gebinde unbekannt / Stellmass fehlt; ","")&amp;IF(AND(BR1542=0,N(T1542)&lt;=0,N(P1542)&lt;=0),"Menge pro Gebinde fehlt (Ist = 1 Gebinde); ","")&amp;BM1542)</f>
        <v/>
      </c>
      <c r="BF1542" s="55"/>
      <c r="BG1542" s="55"/>
      <c r="BH1542" s="62"/>
      <c r="BI1542" s="57" t="n">
        <f aca="false">N('Neue Artikel'!$D$70)</f>
        <v>0</v>
      </c>
      <c r="BJ1542" s="57" t="n">
        <v>0</v>
      </c>
      <c r="BK1542" s="56" t="n">
        <v>0</v>
      </c>
      <c r="BL1542" s="57" t="n">
        <f aca="false">N('Neue Artikel'!$C$70)/Parameter!$B$18</f>
        <v>0</v>
      </c>
      <c r="BM1542" s="55"/>
      <c r="BN1542" s="60" t="n">
        <v>1</v>
      </c>
      <c r="BO1542" s="60" t="n">
        <v>1542</v>
      </c>
      <c r="BP1542" s="55" t="str">
        <f aca="false">IF(S1542&lt;&gt;"",UPPER(TRIM(S1542)),IF(O1542="","LOSE",O1542))</f>
        <v>LOSE</v>
      </c>
      <c r="BQ1542" s="57" t="n">
        <f aca="false">IF(BP1542="LOSE",1,IF(N(T1542)&gt;0,T1542,IF(N(P1542)&gt;0,P1542,MAX(1,G1542))))</f>
        <v>1</v>
      </c>
      <c r="BR1542" s="60" t="n">
        <f aca="false">IF(BP1542="LOSE",1,0)</f>
        <v>1</v>
      </c>
      <c r="BS1542" s="59" t="n">
        <f aca="false">IF(BR1542=0,0,IF(N(R1542)&gt;0,R1542,IFERROR(VLOOKUP(D1542,Parameter!$A$35:$C$64,3,0)+0,0)))</f>
        <v>0.15</v>
      </c>
      <c r="BT1542" s="55" t="str">
        <f aca="false">IF(Y1542&lt;&gt;"",Y1542,X1542)</f>
        <v/>
      </c>
      <c r="BU1542" s="55" t="str">
        <f aca="false">IF(BT1542=1,"L1",IF(OR(BT1542=2,BT1542=3),"L23",IF(BT1542="Aussen","Aussen","-")))</f>
        <v>-</v>
      </c>
      <c r="BV1542" s="66" t="n">
        <f aca="false">IF(N(Z1542)&gt;0,Z1542,0)</f>
        <v>0</v>
      </c>
      <c r="BW1542" s="60" t="n">
        <f aca="false">IF(ISNUMBER(AC1542),1,0)</f>
        <v>0</v>
      </c>
      <c r="BX1542" s="57" t="n">
        <f aca="false">N(AC1542)</f>
        <v>0</v>
      </c>
      <c r="BY1542" s="57" t="n">
        <f aca="false">N(L1542)+N(M1542)</f>
        <v>0</v>
      </c>
      <c r="BZ1542" s="57" t="n">
        <f aca="false">ROUNDUP(G1542/BQ1542,0)</f>
        <v>0</v>
      </c>
      <c r="CA1542" s="57" t="n">
        <f aca="false">ROUNDUP(BX1542/BQ1542,0)</f>
        <v>0</v>
      </c>
      <c r="CB1542" s="60" t="n">
        <f aca="false">IF(BR1542=1,0,IFERROR(VLOOKUP(BP1542,'Gebinde-Kategorie'!$A$5:$M$45,5,0)+0,0))</f>
        <v>0</v>
      </c>
      <c r="CC1542" s="60" t="n">
        <f aca="false">IFERROR(IF(OR(BT1542=1,BT1542=2,BT1542=3),N(INDEX(Parameter!$I$5:$I$7,BT1542)),0),0)</f>
        <v>0</v>
      </c>
      <c r="CD1542" s="59" t="n">
        <f aca="false">IF(AND(Parameter!$B$21="Ja",ISNUMBER(U1542),N(V1542)&gt;0),IFERROR(N(INDEX(Parameter!$L$5:$L$7,U1542))*INDEX(Parameter!$E$5:$E$7,U1542)*V1542/SUMIFS($V$7:$V$1576,$U$7:$U$1576,U1542),0),0)</f>
        <v>0</v>
      </c>
    </row>
    <row r="1543" customFormat="false" ht="15" hidden="false" customHeight="false" outlineLevel="0" collapsed="false">
      <c r="A1543" s="55" t="str">
        <f aca="false">IF('Neue Artikel'!$A$71="","",'Neue Artikel'!$A$71&amp;"")</f>
        <v/>
      </c>
      <c r="B1543" s="55" t="str">
        <f aca="false">'Neue Artikel'!$B$71&amp;""</f>
        <v/>
      </c>
      <c r="C1543" s="55"/>
      <c r="D1543" s="55" t="s">
        <v>2561</v>
      </c>
      <c r="E1543" s="55"/>
      <c r="F1543" s="56" t="n">
        <f aca="false">N('Neue Artikel'!$G$71)</f>
        <v>0</v>
      </c>
      <c r="G1543" s="57" t="n">
        <f aca="false">MAX(0,IF(AND(Parameter!$B$21="Ja",ISNUMBER(W1543)),W1543,IF(Parameter!$B$20="Jahresanfang 2025 + Export",BJ1543+BI1543,BI1543)))</f>
        <v>0</v>
      </c>
      <c r="H1543" s="57" t="n">
        <f aca="false">G1543*F1543</f>
        <v>0</v>
      </c>
      <c r="I1543" s="57" t="n">
        <f aca="false">BL1543*Parameter!$B$18</f>
        <v>0</v>
      </c>
      <c r="J1543" s="58"/>
      <c r="K1543" s="59"/>
      <c r="L1543" s="57" t="n">
        <f aca="false">N('Neue Artikel'!$E$71)</f>
        <v>0</v>
      </c>
      <c r="M1543" s="57" t="n">
        <f aca="false">N('Neue Artikel'!$F$71)</f>
        <v>0</v>
      </c>
      <c r="N1543" s="60"/>
      <c r="O1543" s="55" t="str">
        <f aca="false">IF('Neue Artikel'!$H$71="","LOSE",UPPER(TRIM('Neue Artikel'!$H$71)))</f>
        <v>LOSE</v>
      </c>
      <c r="P1543" s="57" t="n">
        <f aca="false">N('Neue Artikel'!$I$71)</f>
        <v>0</v>
      </c>
      <c r="Q1543" s="60" t="n">
        <f aca="false">IF(BR1543=1,0,IFERROR(VLOOKUP(BP1543,'Gebinde-Kategorie'!$A$5:$M$45,13,0)+0,0))</f>
        <v>0</v>
      </c>
      <c r="R1543" s="61"/>
      <c r="S1543" s="62"/>
      <c r="T1543" s="62"/>
      <c r="U1543" s="55"/>
      <c r="V1543" s="57"/>
      <c r="W1543" s="57"/>
      <c r="X1543" s="55" t="str">
        <f aca="false">IF(A1543="","",IF(AND(Parameter!$B$21="Ja",ISNUMBER(U1543)),U1543,IF(IFERROR(VLOOKUP(D1543,Parameter!$A$35:$C$64,2,0),"Nein")="2+3",IF(ISNUMBER(SEARCH("grosser Artikel",BM1543)),2,IFERROR(VLOOKUP(BP1543,Parameter!$F$35:$G$64,2,0),2)),IF(OR(IFERROR(VLOOKUP(D1543,Parameter!$A$35:$C$64,2,0),"Nein")="Nein",IFERROR(VLOOKUP(D1543,Parameter!$A$35:$C$64,2,0),"Nein")=""),"-",VLOOKUP(D1543,Parameter!$A$35:$C$64,2,0)))))</f>
        <v/>
      </c>
      <c r="Y1543" s="55" t="str">
        <f aca="false">IF('Neue Artikel'!$J$71="","",'Neue Artikel'!$J$71)</f>
        <v/>
      </c>
      <c r="Z1543" s="63"/>
      <c r="AA1543" s="57" t="n">
        <f aca="false">AP1543</f>
        <v>0</v>
      </c>
      <c r="AB1543" s="57" t="n">
        <f aca="false">MAX(AP1543,G1543)</f>
        <v>0</v>
      </c>
      <c r="AC1543" s="64"/>
      <c r="AD1543" s="57" t="n">
        <f aca="false">IF(LEFT(Cockpit!$C$5,1)="A",G1543,IF(BW1543=1,BX1543,IF(LEFT(Cockpit!$C$5,1)="B",AH1543,MAX(AH1543,G1543))))</f>
        <v>0</v>
      </c>
      <c r="AE1543" s="57" t="n">
        <f aca="false">IF(BR1543=1,0,ROUNDUP(AD1543/BQ1543,0))</f>
        <v>0</v>
      </c>
      <c r="AF1543" s="59" t="n">
        <f aca="false">IF(CD1543&gt;0,CD1543*MAX(1,AD1543/V1543),IF(BR1543=1,IF(AD1543&lt;=0,0,BS1543*MAX(1,IF(G1543&gt;0,AD1543/G1543,1))),IF(Q1543&gt;0,AE1543/Q1543,0))/MAX(0.1,N(Parameter!$M$21)))</f>
        <v>0</v>
      </c>
      <c r="AG1543" s="57" t="n">
        <f aca="false">AD1543*F1543</f>
        <v>0</v>
      </c>
      <c r="AH1543" s="57" t="n">
        <f aca="false">ROUNDUP(MAX(I1543/IF(BV1543&gt;0,BV1543,MAX(0.1,N(Cockpit!$C$6))),BY1543)/BQ1543,0)*BQ1543</f>
        <v>0</v>
      </c>
      <c r="AI1543" s="58" t="n">
        <f aca="false">IF(AF1543&gt;0,I1543/AF1543,-1)</f>
        <v>-1</v>
      </c>
      <c r="AJ1543" s="58" t="str">
        <f aca="false">IF(AND(OR(BU1543="L1",BU1543="L23"),AF1543&gt;0),SUMIFS($AF$7:$AF$1576,$BU$7:$BU$1576,BU1543,$AI$7:$AI$1576,"&gt;"&amp;AI1543)+SUMIFS($AF$7:$AF$1576,$BU$7:$BU$1576,BU1543,$AI$7:$AI$1576,AI1543,$BO$7:$BO$1576,"&lt;="&amp;BO1543),"")</f>
        <v/>
      </c>
      <c r="AK1543" s="65" t="n">
        <f aca="false">IF(AJ1543="",0,MAX(0,MIN(1,(IF(BU1543="L1",Parameter!$E$5,Parameter!$E$6+Parameter!$E$7)-(AJ1543-AF1543))/AF1543)))</f>
        <v>0</v>
      </c>
      <c r="AL1543" s="57" t="n">
        <f aca="false">IF(LEFT(Cockpit!$I$5,1)="A",G1543,IF(BW1543=1,BX1543,IF(LEFT(Cockpit!$I$5,1)="B",AP1543,MAX(AP1543,G1543))))</f>
        <v>0</v>
      </c>
      <c r="AM1543" s="57" t="n">
        <f aca="false">IF(BR1543=1,0,ROUNDUP(AL1543/BQ1543,0))</f>
        <v>0</v>
      </c>
      <c r="AN1543" s="59" t="n">
        <f aca="false">IF(CD1543&gt;0,CD1543*MAX(1,AL1543/V1543),IF(BR1543=1,IF(AL1543&lt;=0,0,BS1543*MAX(1,IF(G1543&gt;0,AL1543/G1543,1))),IF(Q1543&gt;0,AM1543/Q1543,0))/MAX(0.1,N(Parameter!$M$21)))</f>
        <v>0</v>
      </c>
      <c r="AO1543" s="57" t="n">
        <f aca="false">AL1543*F1543</f>
        <v>0</v>
      </c>
      <c r="AP1543" s="57" t="n">
        <f aca="false">ROUNDUP(MAX(I1543/IF(BV1543&gt;0,BV1543,MAX(0.1,N(Cockpit!$I$6))),BY1543)/BQ1543,0)*BQ1543</f>
        <v>0</v>
      </c>
      <c r="AQ1543" s="58" t="n">
        <f aca="false">IF(AN1543&gt;0,I1543/AN1543,-1)</f>
        <v>-1</v>
      </c>
      <c r="AR1543" s="58" t="str">
        <f aca="false">IF(AND(OR(BU1543="L1",BU1543="L23"),AN1543&gt;0),SUMIFS($AN$7:$AN$1576,$BU$7:$BU$1576,BU1543,$AQ$7:$AQ$1576,"&gt;"&amp;AQ1543)+SUMIFS($AN$7:$AN$1576,$BU$7:$BU$1576,BU1543,$AQ$7:$AQ$1576,AQ1543,$BO$7:$BO$1576,"&lt;="&amp;BO1543),"")</f>
        <v/>
      </c>
      <c r="AS1543" s="65" t="n">
        <f aca="false">IF(AR1543="",0,MAX(0,MIN(1,(IF(BU1543="L1",Parameter!$E$5,Parameter!$E$6+Parameter!$E$7)-(AR1543-AN1543))/AN1543)))</f>
        <v>0</v>
      </c>
      <c r="AT1543" s="57" t="n">
        <f aca="false">IF(LEFT(Cockpit!$O$5,1)="A",G1543,IF(BW1543=1,BX1543,IF(LEFT(Cockpit!$O$5,1)="B",AX1543,MAX(AX1543,G1543))))</f>
        <v>0</v>
      </c>
      <c r="AU1543" s="57" t="n">
        <f aca="false">IF(BR1543=1,0,ROUNDUP(AT1543/BQ1543,0))</f>
        <v>0</v>
      </c>
      <c r="AV1543" s="59" t="n">
        <f aca="false">IF(CD1543&gt;0,CD1543*MAX(1,AT1543/V1543),IF(BR1543=1,IF(AT1543&lt;=0,0,BS1543*MAX(1,IF(G1543&gt;0,AT1543/G1543,1))),IF(Q1543&gt;0,AU1543/Q1543,0))/MAX(0.1,N(Parameter!$M$21)))</f>
        <v>0</v>
      </c>
      <c r="AW1543" s="57" t="n">
        <f aca="false">AT1543*F1543</f>
        <v>0</v>
      </c>
      <c r="AX1543" s="57" t="n">
        <f aca="false">ROUNDUP(MAX(I1543/IF(BV1543&gt;0,BV1543,MAX(0.1,N(Cockpit!$O$6))),BY1543)/BQ1543,0)*BQ1543</f>
        <v>0</v>
      </c>
      <c r="AY1543" s="58" t="n">
        <f aca="false">IF(AV1543&gt;0,I1543/AV1543,-1)</f>
        <v>-1</v>
      </c>
      <c r="AZ1543" s="58" t="str">
        <f aca="false">IF(AND(OR(BU1543="L1",BU1543="L23"),AV1543&gt;0),SUMIFS($AV$7:$AV$1576,$BU$7:$BU$1576,BU1543,$AY$7:$AY$1576,"&gt;"&amp;AY1543)+SUMIFS($AV$7:$AV$1576,$BU$7:$BU$1576,BU1543,$AY$7:$AY$1576,AY1543,$BO$7:$BO$1576,"&lt;="&amp;BO1543),"")</f>
        <v/>
      </c>
      <c r="BA1543" s="65" t="n">
        <f aca="false">IF(AZ1543="",0,MAX(0,MIN(1,(IF(BU1543="L1",Parameter!$E$5,Parameter!$E$6+Parameter!$E$7)-(AZ1543-AV1543))/AV1543)))</f>
        <v>0</v>
      </c>
      <c r="BB1543" s="55" t="str">
        <f aca="false">IF(AF1543&lt;=0,"",IF(BU1543="Aussen","Aussenlager",IF(BU1543="-","Nicht im Lift",IF(AK1543&gt;=1,"Lift",IF(AK1543&lt;=0,"Aussenlager","teilweise")))))</f>
        <v/>
      </c>
      <c r="BC1543" s="55" t="str">
        <f aca="false">IF(AN1543&lt;=0,"",IF(BU1543="Aussen","Aussenlager",IF(BU1543="-","Nicht im Lift",IF(AS1543&gt;=1,"Lift",IF(AS1543&lt;=0,"Aussenlager","teilweise")))))</f>
        <v/>
      </c>
      <c r="BD1543" s="55" t="str">
        <f aca="false">IF(AV1543&lt;=0,"",IF(BU1543="Aussen","Aussenlager",IF(BU1543="-","Nicht im Lift",IF(BA1543&gt;=1,"Lift",IF(BA1543&lt;=0,"Aussenlager","teilweise")))))</f>
        <v/>
      </c>
      <c r="BE1543" s="55" t="str">
        <f aca="false">IF(A1543="","",IF(BN1543=1,"Neu; ","")&amp;IF(AND(BN1543=0,BI1543&lt;0),"negativer Bestand (Export "&amp;BI1543&amp;"); ","")&amp;IF(I1543&lt;=0,"Kein Verbrauch; ","")&amp;IF(CD1543&gt;0,"Lift "&amp;U1543&amp;" lt. Liftbericht (Fach "&amp;V1543&amp;" Stk); ",IF(BR1543=1,"Lose – Fläche geschätzt; ",""))&amp;IF(G1543&gt;AP1543,"Überbestand "&amp;ROUND(G1543-AP1543,0)&amp;" Stk / CHF "&amp;ROUND((G1543-AP1543)*F1543,0)&amp;"; ","")&amp;IF(AND(BW1543=1,BX1543&lt;BY1543),"MAX &lt; MB+LG; ","")&amp;IF(AND(CC1543&gt;0,CB1543*10&gt;CC1543),"zu hoch für Tablar; ","")&amp;IF(AND(BN1543=0,OR(BW1543=1,Y1543&lt;&gt;"",S1543&lt;&gt;"",T1543&lt;&gt;"",Z1543&lt;&gt;"")),"manuell übersteuert; ","")&amp;IF(AND(BR1543=0,Q1543=0),"Gebinde unbekannt / Stellmass fehlt; ","")&amp;IF(AND(BR1543=0,N(T1543)&lt;=0,N(P1543)&lt;=0),"Menge pro Gebinde fehlt (Ist = 1 Gebinde); ","")&amp;BM1543)</f>
        <v/>
      </c>
      <c r="BF1543" s="55"/>
      <c r="BG1543" s="55"/>
      <c r="BH1543" s="62"/>
      <c r="BI1543" s="57" t="n">
        <f aca="false">N('Neue Artikel'!$D$71)</f>
        <v>0</v>
      </c>
      <c r="BJ1543" s="57" t="n">
        <v>0</v>
      </c>
      <c r="BK1543" s="56" t="n">
        <v>0</v>
      </c>
      <c r="BL1543" s="57" t="n">
        <f aca="false">N('Neue Artikel'!$C$71)/Parameter!$B$18</f>
        <v>0</v>
      </c>
      <c r="BM1543" s="55"/>
      <c r="BN1543" s="60" t="n">
        <v>1</v>
      </c>
      <c r="BO1543" s="60" t="n">
        <v>1543</v>
      </c>
      <c r="BP1543" s="55" t="str">
        <f aca="false">IF(S1543&lt;&gt;"",UPPER(TRIM(S1543)),IF(O1543="","LOSE",O1543))</f>
        <v>LOSE</v>
      </c>
      <c r="BQ1543" s="57" t="n">
        <f aca="false">IF(BP1543="LOSE",1,IF(N(T1543)&gt;0,T1543,IF(N(P1543)&gt;0,P1543,MAX(1,G1543))))</f>
        <v>1</v>
      </c>
      <c r="BR1543" s="60" t="n">
        <f aca="false">IF(BP1543="LOSE",1,0)</f>
        <v>1</v>
      </c>
      <c r="BS1543" s="59" t="n">
        <f aca="false">IF(BR1543=0,0,IF(N(R1543)&gt;0,R1543,IFERROR(VLOOKUP(D1543,Parameter!$A$35:$C$64,3,0)+0,0)))</f>
        <v>0.15</v>
      </c>
      <c r="BT1543" s="55" t="str">
        <f aca="false">IF(Y1543&lt;&gt;"",Y1543,X1543)</f>
        <v/>
      </c>
      <c r="BU1543" s="55" t="str">
        <f aca="false">IF(BT1543=1,"L1",IF(OR(BT1543=2,BT1543=3),"L23",IF(BT1543="Aussen","Aussen","-")))</f>
        <v>-</v>
      </c>
      <c r="BV1543" s="66" t="n">
        <f aca="false">IF(N(Z1543)&gt;0,Z1543,0)</f>
        <v>0</v>
      </c>
      <c r="BW1543" s="60" t="n">
        <f aca="false">IF(ISNUMBER(AC1543),1,0)</f>
        <v>0</v>
      </c>
      <c r="BX1543" s="57" t="n">
        <f aca="false">N(AC1543)</f>
        <v>0</v>
      </c>
      <c r="BY1543" s="57" t="n">
        <f aca="false">N(L1543)+N(M1543)</f>
        <v>0</v>
      </c>
      <c r="BZ1543" s="57" t="n">
        <f aca="false">ROUNDUP(G1543/BQ1543,0)</f>
        <v>0</v>
      </c>
      <c r="CA1543" s="57" t="n">
        <f aca="false">ROUNDUP(BX1543/BQ1543,0)</f>
        <v>0</v>
      </c>
      <c r="CB1543" s="60" t="n">
        <f aca="false">IF(BR1543=1,0,IFERROR(VLOOKUP(BP1543,'Gebinde-Kategorie'!$A$5:$M$45,5,0)+0,0))</f>
        <v>0</v>
      </c>
      <c r="CC1543" s="60" t="n">
        <f aca="false">IFERROR(IF(OR(BT1543=1,BT1543=2,BT1543=3),N(INDEX(Parameter!$I$5:$I$7,BT1543)),0),0)</f>
        <v>0</v>
      </c>
      <c r="CD1543" s="59" t="n">
        <f aca="false">IF(AND(Parameter!$B$21="Ja",ISNUMBER(U1543),N(V1543)&gt;0),IFERROR(N(INDEX(Parameter!$L$5:$L$7,U1543))*INDEX(Parameter!$E$5:$E$7,U1543)*V1543/SUMIFS($V$7:$V$1576,$U$7:$U$1576,U1543),0),0)</f>
        <v>0</v>
      </c>
    </row>
    <row r="1544" customFormat="false" ht="15" hidden="false" customHeight="false" outlineLevel="0" collapsed="false">
      <c r="A1544" s="55" t="str">
        <f aca="false">IF('Neue Artikel'!$A$72="","",'Neue Artikel'!$A$72&amp;"")</f>
        <v/>
      </c>
      <c r="B1544" s="55" t="str">
        <f aca="false">'Neue Artikel'!$B$72&amp;""</f>
        <v/>
      </c>
      <c r="C1544" s="55"/>
      <c r="D1544" s="55" t="s">
        <v>2561</v>
      </c>
      <c r="E1544" s="55"/>
      <c r="F1544" s="56" t="n">
        <f aca="false">N('Neue Artikel'!$G$72)</f>
        <v>0</v>
      </c>
      <c r="G1544" s="57" t="n">
        <f aca="false">MAX(0,IF(AND(Parameter!$B$21="Ja",ISNUMBER(W1544)),W1544,IF(Parameter!$B$20="Jahresanfang 2025 + Export",BJ1544+BI1544,BI1544)))</f>
        <v>0</v>
      </c>
      <c r="H1544" s="57" t="n">
        <f aca="false">G1544*F1544</f>
        <v>0</v>
      </c>
      <c r="I1544" s="57" t="n">
        <f aca="false">BL1544*Parameter!$B$18</f>
        <v>0</v>
      </c>
      <c r="J1544" s="58"/>
      <c r="K1544" s="59"/>
      <c r="L1544" s="57" t="n">
        <f aca="false">N('Neue Artikel'!$E$72)</f>
        <v>0</v>
      </c>
      <c r="M1544" s="57" t="n">
        <f aca="false">N('Neue Artikel'!$F$72)</f>
        <v>0</v>
      </c>
      <c r="N1544" s="60"/>
      <c r="O1544" s="55" t="str">
        <f aca="false">IF('Neue Artikel'!$H$72="","LOSE",UPPER(TRIM('Neue Artikel'!$H$72)))</f>
        <v>LOSE</v>
      </c>
      <c r="P1544" s="57" t="n">
        <f aca="false">N('Neue Artikel'!$I$72)</f>
        <v>0</v>
      </c>
      <c r="Q1544" s="60" t="n">
        <f aca="false">IF(BR1544=1,0,IFERROR(VLOOKUP(BP1544,'Gebinde-Kategorie'!$A$5:$M$45,13,0)+0,0))</f>
        <v>0</v>
      </c>
      <c r="R1544" s="61"/>
      <c r="S1544" s="62"/>
      <c r="T1544" s="62"/>
      <c r="U1544" s="55"/>
      <c r="V1544" s="57"/>
      <c r="W1544" s="57"/>
      <c r="X1544" s="55" t="str">
        <f aca="false">IF(A1544="","",IF(AND(Parameter!$B$21="Ja",ISNUMBER(U1544)),U1544,IF(IFERROR(VLOOKUP(D1544,Parameter!$A$35:$C$64,2,0),"Nein")="2+3",IF(ISNUMBER(SEARCH("grosser Artikel",BM1544)),2,IFERROR(VLOOKUP(BP1544,Parameter!$F$35:$G$64,2,0),2)),IF(OR(IFERROR(VLOOKUP(D1544,Parameter!$A$35:$C$64,2,0),"Nein")="Nein",IFERROR(VLOOKUP(D1544,Parameter!$A$35:$C$64,2,0),"Nein")=""),"-",VLOOKUP(D1544,Parameter!$A$35:$C$64,2,0)))))</f>
        <v/>
      </c>
      <c r="Y1544" s="55" t="str">
        <f aca="false">IF('Neue Artikel'!$J$72="","",'Neue Artikel'!$J$72)</f>
        <v/>
      </c>
      <c r="Z1544" s="63"/>
      <c r="AA1544" s="57" t="n">
        <f aca="false">AP1544</f>
        <v>0</v>
      </c>
      <c r="AB1544" s="57" t="n">
        <f aca="false">MAX(AP1544,G1544)</f>
        <v>0</v>
      </c>
      <c r="AC1544" s="64"/>
      <c r="AD1544" s="57" t="n">
        <f aca="false">IF(LEFT(Cockpit!$C$5,1)="A",G1544,IF(BW1544=1,BX1544,IF(LEFT(Cockpit!$C$5,1)="B",AH1544,MAX(AH1544,G1544))))</f>
        <v>0</v>
      </c>
      <c r="AE1544" s="57" t="n">
        <f aca="false">IF(BR1544=1,0,ROUNDUP(AD1544/BQ1544,0))</f>
        <v>0</v>
      </c>
      <c r="AF1544" s="59" t="n">
        <f aca="false">IF(CD1544&gt;0,CD1544*MAX(1,AD1544/V1544),IF(BR1544=1,IF(AD1544&lt;=0,0,BS1544*MAX(1,IF(G1544&gt;0,AD1544/G1544,1))),IF(Q1544&gt;0,AE1544/Q1544,0))/MAX(0.1,N(Parameter!$M$21)))</f>
        <v>0</v>
      </c>
      <c r="AG1544" s="57" t="n">
        <f aca="false">AD1544*F1544</f>
        <v>0</v>
      </c>
      <c r="AH1544" s="57" t="n">
        <f aca="false">ROUNDUP(MAX(I1544/IF(BV1544&gt;0,BV1544,MAX(0.1,N(Cockpit!$C$6))),BY1544)/BQ1544,0)*BQ1544</f>
        <v>0</v>
      </c>
      <c r="AI1544" s="58" t="n">
        <f aca="false">IF(AF1544&gt;0,I1544/AF1544,-1)</f>
        <v>-1</v>
      </c>
      <c r="AJ1544" s="58" t="str">
        <f aca="false">IF(AND(OR(BU1544="L1",BU1544="L23"),AF1544&gt;0),SUMIFS($AF$7:$AF$1576,$BU$7:$BU$1576,BU1544,$AI$7:$AI$1576,"&gt;"&amp;AI1544)+SUMIFS($AF$7:$AF$1576,$BU$7:$BU$1576,BU1544,$AI$7:$AI$1576,AI1544,$BO$7:$BO$1576,"&lt;="&amp;BO1544),"")</f>
        <v/>
      </c>
      <c r="AK1544" s="65" t="n">
        <f aca="false">IF(AJ1544="",0,MAX(0,MIN(1,(IF(BU1544="L1",Parameter!$E$5,Parameter!$E$6+Parameter!$E$7)-(AJ1544-AF1544))/AF1544)))</f>
        <v>0</v>
      </c>
      <c r="AL1544" s="57" t="n">
        <f aca="false">IF(LEFT(Cockpit!$I$5,1)="A",G1544,IF(BW1544=1,BX1544,IF(LEFT(Cockpit!$I$5,1)="B",AP1544,MAX(AP1544,G1544))))</f>
        <v>0</v>
      </c>
      <c r="AM1544" s="57" t="n">
        <f aca="false">IF(BR1544=1,0,ROUNDUP(AL1544/BQ1544,0))</f>
        <v>0</v>
      </c>
      <c r="AN1544" s="59" t="n">
        <f aca="false">IF(CD1544&gt;0,CD1544*MAX(1,AL1544/V1544),IF(BR1544=1,IF(AL1544&lt;=0,0,BS1544*MAX(1,IF(G1544&gt;0,AL1544/G1544,1))),IF(Q1544&gt;0,AM1544/Q1544,0))/MAX(0.1,N(Parameter!$M$21)))</f>
        <v>0</v>
      </c>
      <c r="AO1544" s="57" t="n">
        <f aca="false">AL1544*F1544</f>
        <v>0</v>
      </c>
      <c r="AP1544" s="57" t="n">
        <f aca="false">ROUNDUP(MAX(I1544/IF(BV1544&gt;0,BV1544,MAX(0.1,N(Cockpit!$I$6))),BY1544)/BQ1544,0)*BQ1544</f>
        <v>0</v>
      </c>
      <c r="AQ1544" s="58" t="n">
        <f aca="false">IF(AN1544&gt;0,I1544/AN1544,-1)</f>
        <v>-1</v>
      </c>
      <c r="AR1544" s="58" t="str">
        <f aca="false">IF(AND(OR(BU1544="L1",BU1544="L23"),AN1544&gt;0),SUMIFS($AN$7:$AN$1576,$BU$7:$BU$1576,BU1544,$AQ$7:$AQ$1576,"&gt;"&amp;AQ1544)+SUMIFS($AN$7:$AN$1576,$BU$7:$BU$1576,BU1544,$AQ$7:$AQ$1576,AQ1544,$BO$7:$BO$1576,"&lt;="&amp;BO1544),"")</f>
        <v/>
      </c>
      <c r="AS1544" s="65" t="n">
        <f aca="false">IF(AR1544="",0,MAX(0,MIN(1,(IF(BU1544="L1",Parameter!$E$5,Parameter!$E$6+Parameter!$E$7)-(AR1544-AN1544))/AN1544)))</f>
        <v>0</v>
      </c>
      <c r="AT1544" s="57" t="n">
        <f aca="false">IF(LEFT(Cockpit!$O$5,1)="A",G1544,IF(BW1544=1,BX1544,IF(LEFT(Cockpit!$O$5,1)="B",AX1544,MAX(AX1544,G1544))))</f>
        <v>0</v>
      </c>
      <c r="AU1544" s="57" t="n">
        <f aca="false">IF(BR1544=1,0,ROUNDUP(AT1544/BQ1544,0))</f>
        <v>0</v>
      </c>
      <c r="AV1544" s="59" t="n">
        <f aca="false">IF(CD1544&gt;0,CD1544*MAX(1,AT1544/V1544),IF(BR1544=1,IF(AT1544&lt;=0,0,BS1544*MAX(1,IF(G1544&gt;0,AT1544/G1544,1))),IF(Q1544&gt;0,AU1544/Q1544,0))/MAX(0.1,N(Parameter!$M$21)))</f>
        <v>0</v>
      </c>
      <c r="AW1544" s="57" t="n">
        <f aca="false">AT1544*F1544</f>
        <v>0</v>
      </c>
      <c r="AX1544" s="57" t="n">
        <f aca="false">ROUNDUP(MAX(I1544/IF(BV1544&gt;0,BV1544,MAX(0.1,N(Cockpit!$O$6))),BY1544)/BQ1544,0)*BQ1544</f>
        <v>0</v>
      </c>
      <c r="AY1544" s="58" t="n">
        <f aca="false">IF(AV1544&gt;0,I1544/AV1544,-1)</f>
        <v>-1</v>
      </c>
      <c r="AZ1544" s="58" t="str">
        <f aca="false">IF(AND(OR(BU1544="L1",BU1544="L23"),AV1544&gt;0),SUMIFS($AV$7:$AV$1576,$BU$7:$BU$1576,BU1544,$AY$7:$AY$1576,"&gt;"&amp;AY1544)+SUMIFS($AV$7:$AV$1576,$BU$7:$BU$1576,BU1544,$AY$7:$AY$1576,AY1544,$BO$7:$BO$1576,"&lt;="&amp;BO1544),"")</f>
        <v/>
      </c>
      <c r="BA1544" s="65" t="n">
        <f aca="false">IF(AZ1544="",0,MAX(0,MIN(1,(IF(BU1544="L1",Parameter!$E$5,Parameter!$E$6+Parameter!$E$7)-(AZ1544-AV1544))/AV1544)))</f>
        <v>0</v>
      </c>
      <c r="BB1544" s="55" t="str">
        <f aca="false">IF(AF1544&lt;=0,"",IF(BU1544="Aussen","Aussenlager",IF(BU1544="-","Nicht im Lift",IF(AK1544&gt;=1,"Lift",IF(AK1544&lt;=0,"Aussenlager","teilweise")))))</f>
        <v/>
      </c>
      <c r="BC1544" s="55" t="str">
        <f aca="false">IF(AN1544&lt;=0,"",IF(BU1544="Aussen","Aussenlager",IF(BU1544="-","Nicht im Lift",IF(AS1544&gt;=1,"Lift",IF(AS1544&lt;=0,"Aussenlager","teilweise")))))</f>
        <v/>
      </c>
      <c r="BD1544" s="55" t="str">
        <f aca="false">IF(AV1544&lt;=0,"",IF(BU1544="Aussen","Aussenlager",IF(BU1544="-","Nicht im Lift",IF(BA1544&gt;=1,"Lift",IF(BA1544&lt;=0,"Aussenlager","teilweise")))))</f>
        <v/>
      </c>
      <c r="BE1544" s="55" t="str">
        <f aca="false">IF(A1544="","",IF(BN1544=1,"Neu; ","")&amp;IF(AND(BN1544=0,BI1544&lt;0),"negativer Bestand (Export "&amp;BI1544&amp;"); ","")&amp;IF(I1544&lt;=0,"Kein Verbrauch; ","")&amp;IF(CD1544&gt;0,"Lift "&amp;U1544&amp;" lt. Liftbericht (Fach "&amp;V1544&amp;" Stk); ",IF(BR1544=1,"Lose – Fläche geschätzt; ",""))&amp;IF(G1544&gt;AP1544,"Überbestand "&amp;ROUND(G1544-AP1544,0)&amp;" Stk / CHF "&amp;ROUND((G1544-AP1544)*F1544,0)&amp;"; ","")&amp;IF(AND(BW1544=1,BX1544&lt;BY1544),"MAX &lt; MB+LG; ","")&amp;IF(AND(CC1544&gt;0,CB1544*10&gt;CC1544),"zu hoch für Tablar; ","")&amp;IF(AND(BN1544=0,OR(BW1544=1,Y1544&lt;&gt;"",S1544&lt;&gt;"",T1544&lt;&gt;"",Z1544&lt;&gt;"")),"manuell übersteuert; ","")&amp;IF(AND(BR1544=0,Q1544=0),"Gebinde unbekannt / Stellmass fehlt; ","")&amp;IF(AND(BR1544=0,N(T1544)&lt;=0,N(P1544)&lt;=0),"Menge pro Gebinde fehlt (Ist = 1 Gebinde); ","")&amp;BM1544)</f>
        <v/>
      </c>
      <c r="BF1544" s="55"/>
      <c r="BG1544" s="55"/>
      <c r="BH1544" s="62"/>
      <c r="BI1544" s="57" t="n">
        <f aca="false">N('Neue Artikel'!$D$72)</f>
        <v>0</v>
      </c>
      <c r="BJ1544" s="57" t="n">
        <v>0</v>
      </c>
      <c r="BK1544" s="56" t="n">
        <v>0</v>
      </c>
      <c r="BL1544" s="57" t="n">
        <f aca="false">N('Neue Artikel'!$C$72)/Parameter!$B$18</f>
        <v>0</v>
      </c>
      <c r="BM1544" s="55"/>
      <c r="BN1544" s="60" t="n">
        <v>1</v>
      </c>
      <c r="BO1544" s="60" t="n">
        <v>1544</v>
      </c>
      <c r="BP1544" s="55" t="str">
        <f aca="false">IF(S1544&lt;&gt;"",UPPER(TRIM(S1544)),IF(O1544="","LOSE",O1544))</f>
        <v>LOSE</v>
      </c>
      <c r="BQ1544" s="57" t="n">
        <f aca="false">IF(BP1544="LOSE",1,IF(N(T1544)&gt;0,T1544,IF(N(P1544)&gt;0,P1544,MAX(1,G1544))))</f>
        <v>1</v>
      </c>
      <c r="BR1544" s="60" t="n">
        <f aca="false">IF(BP1544="LOSE",1,0)</f>
        <v>1</v>
      </c>
      <c r="BS1544" s="59" t="n">
        <f aca="false">IF(BR1544=0,0,IF(N(R1544)&gt;0,R1544,IFERROR(VLOOKUP(D1544,Parameter!$A$35:$C$64,3,0)+0,0)))</f>
        <v>0.15</v>
      </c>
      <c r="BT1544" s="55" t="str">
        <f aca="false">IF(Y1544&lt;&gt;"",Y1544,X1544)</f>
        <v/>
      </c>
      <c r="BU1544" s="55" t="str">
        <f aca="false">IF(BT1544=1,"L1",IF(OR(BT1544=2,BT1544=3),"L23",IF(BT1544="Aussen","Aussen","-")))</f>
        <v>-</v>
      </c>
      <c r="BV1544" s="66" t="n">
        <f aca="false">IF(N(Z1544)&gt;0,Z1544,0)</f>
        <v>0</v>
      </c>
      <c r="BW1544" s="60" t="n">
        <f aca="false">IF(ISNUMBER(AC1544),1,0)</f>
        <v>0</v>
      </c>
      <c r="BX1544" s="57" t="n">
        <f aca="false">N(AC1544)</f>
        <v>0</v>
      </c>
      <c r="BY1544" s="57" t="n">
        <f aca="false">N(L1544)+N(M1544)</f>
        <v>0</v>
      </c>
      <c r="BZ1544" s="57" t="n">
        <f aca="false">ROUNDUP(G1544/BQ1544,0)</f>
        <v>0</v>
      </c>
      <c r="CA1544" s="57" t="n">
        <f aca="false">ROUNDUP(BX1544/BQ1544,0)</f>
        <v>0</v>
      </c>
      <c r="CB1544" s="60" t="n">
        <f aca="false">IF(BR1544=1,0,IFERROR(VLOOKUP(BP1544,'Gebinde-Kategorie'!$A$5:$M$45,5,0)+0,0))</f>
        <v>0</v>
      </c>
      <c r="CC1544" s="60" t="n">
        <f aca="false">IFERROR(IF(OR(BT1544=1,BT1544=2,BT1544=3),N(INDEX(Parameter!$I$5:$I$7,BT1544)),0),0)</f>
        <v>0</v>
      </c>
      <c r="CD1544" s="59" t="n">
        <f aca="false">IF(AND(Parameter!$B$21="Ja",ISNUMBER(U1544),N(V1544)&gt;0),IFERROR(N(INDEX(Parameter!$L$5:$L$7,U1544))*INDEX(Parameter!$E$5:$E$7,U1544)*V1544/SUMIFS($V$7:$V$1576,$U$7:$U$1576,U1544),0),0)</f>
        <v>0</v>
      </c>
    </row>
    <row r="1545" customFormat="false" ht="15" hidden="false" customHeight="false" outlineLevel="0" collapsed="false">
      <c r="A1545" s="55" t="str">
        <f aca="false">IF('Neue Artikel'!$A$73="","",'Neue Artikel'!$A$73&amp;"")</f>
        <v/>
      </c>
      <c r="B1545" s="55" t="str">
        <f aca="false">'Neue Artikel'!$B$73&amp;""</f>
        <v/>
      </c>
      <c r="C1545" s="55"/>
      <c r="D1545" s="55" t="s">
        <v>2561</v>
      </c>
      <c r="E1545" s="55"/>
      <c r="F1545" s="56" t="n">
        <f aca="false">N('Neue Artikel'!$G$73)</f>
        <v>0</v>
      </c>
      <c r="G1545" s="57" t="n">
        <f aca="false">MAX(0,IF(AND(Parameter!$B$21="Ja",ISNUMBER(W1545)),W1545,IF(Parameter!$B$20="Jahresanfang 2025 + Export",BJ1545+BI1545,BI1545)))</f>
        <v>0</v>
      </c>
      <c r="H1545" s="57" t="n">
        <f aca="false">G1545*F1545</f>
        <v>0</v>
      </c>
      <c r="I1545" s="57" t="n">
        <f aca="false">BL1545*Parameter!$B$18</f>
        <v>0</v>
      </c>
      <c r="J1545" s="58"/>
      <c r="K1545" s="59"/>
      <c r="L1545" s="57" t="n">
        <f aca="false">N('Neue Artikel'!$E$73)</f>
        <v>0</v>
      </c>
      <c r="M1545" s="57" t="n">
        <f aca="false">N('Neue Artikel'!$F$73)</f>
        <v>0</v>
      </c>
      <c r="N1545" s="60"/>
      <c r="O1545" s="55" t="str">
        <f aca="false">IF('Neue Artikel'!$H$73="","LOSE",UPPER(TRIM('Neue Artikel'!$H$73)))</f>
        <v>LOSE</v>
      </c>
      <c r="P1545" s="57" t="n">
        <f aca="false">N('Neue Artikel'!$I$73)</f>
        <v>0</v>
      </c>
      <c r="Q1545" s="60" t="n">
        <f aca="false">IF(BR1545=1,0,IFERROR(VLOOKUP(BP1545,'Gebinde-Kategorie'!$A$5:$M$45,13,0)+0,0))</f>
        <v>0</v>
      </c>
      <c r="R1545" s="61"/>
      <c r="S1545" s="62"/>
      <c r="T1545" s="62"/>
      <c r="U1545" s="55"/>
      <c r="V1545" s="57"/>
      <c r="W1545" s="57"/>
      <c r="X1545" s="55" t="str">
        <f aca="false">IF(A1545="","",IF(AND(Parameter!$B$21="Ja",ISNUMBER(U1545)),U1545,IF(IFERROR(VLOOKUP(D1545,Parameter!$A$35:$C$64,2,0),"Nein")="2+3",IF(ISNUMBER(SEARCH("grosser Artikel",BM1545)),2,IFERROR(VLOOKUP(BP1545,Parameter!$F$35:$G$64,2,0),2)),IF(OR(IFERROR(VLOOKUP(D1545,Parameter!$A$35:$C$64,2,0),"Nein")="Nein",IFERROR(VLOOKUP(D1545,Parameter!$A$35:$C$64,2,0),"Nein")=""),"-",VLOOKUP(D1545,Parameter!$A$35:$C$64,2,0)))))</f>
        <v/>
      </c>
      <c r="Y1545" s="55" t="str">
        <f aca="false">IF('Neue Artikel'!$J$73="","",'Neue Artikel'!$J$73)</f>
        <v/>
      </c>
      <c r="Z1545" s="63"/>
      <c r="AA1545" s="57" t="n">
        <f aca="false">AP1545</f>
        <v>0</v>
      </c>
      <c r="AB1545" s="57" t="n">
        <f aca="false">MAX(AP1545,G1545)</f>
        <v>0</v>
      </c>
      <c r="AC1545" s="64"/>
      <c r="AD1545" s="57" t="n">
        <f aca="false">IF(LEFT(Cockpit!$C$5,1)="A",G1545,IF(BW1545=1,BX1545,IF(LEFT(Cockpit!$C$5,1)="B",AH1545,MAX(AH1545,G1545))))</f>
        <v>0</v>
      </c>
      <c r="AE1545" s="57" t="n">
        <f aca="false">IF(BR1545=1,0,ROUNDUP(AD1545/BQ1545,0))</f>
        <v>0</v>
      </c>
      <c r="AF1545" s="59" t="n">
        <f aca="false">IF(CD1545&gt;0,CD1545*MAX(1,AD1545/V1545),IF(BR1545=1,IF(AD1545&lt;=0,0,BS1545*MAX(1,IF(G1545&gt;0,AD1545/G1545,1))),IF(Q1545&gt;0,AE1545/Q1545,0))/MAX(0.1,N(Parameter!$M$21)))</f>
        <v>0</v>
      </c>
      <c r="AG1545" s="57" t="n">
        <f aca="false">AD1545*F1545</f>
        <v>0</v>
      </c>
      <c r="AH1545" s="57" t="n">
        <f aca="false">ROUNDUP(MAX(I1545/IF(BV1545&gt;0,BV1545,MAX(0.1,N(Cockpit!$C$6))),BY1545)/BQ1545,0)*BQ1545</f>
        <v>0</v>
      </c>
      <c r="AI1545" s="58" t="n">
        <f aca="false">IF(AF1545&gt;0,I1545/AF1545,-1)</f>
        <v>-1</v>
      </c>
      <c r="AJ1545" s="58" t="str">
        <f aca="false">IF(AND(OR(BU1545="L1",BU1545="L23"),AF1545&gt;0),SUMIFS($AF$7:$AF$1576,$BU$7:$BU$1576,BU1545,$AI$7:$AI$1576,"&gt;"&amp;AI1545)+SUMIFS($AF$7:$AF$1576,$BU$7:$BU$1576,BU1545,$AI$7:$AI$1576,AI1545,$BO$7:$BO$1576,"&lt;="&amp;BO1545),"")</f>
        <v/>
      </c>
      <c r="AK1545" s="65" t="n">
        <f aca="false">IF(AJ1545="",0,MAX(0,MIN(1,(IF(BU1545="L1",Parameter!$E$5,Parameter!$E$6+Parameter!$E$7)-(AJ1545-AF1545))/AF1545)))</f>
        <v>0</v>
      </c>
      <c r="AL1545" s="57" t="n">
        <f aca="false">IF(LEFT(Cockpit!$I$5,1)="A",G1545,IF(BW1545=1,BX1545,IF(LEFT(Cockpit!$I$5,1)="B",AP1545,MAX(AP1545,G1545))))</f>
        <v>0</v>
      </c>
      <c r="AM1545" s="57" t="n">
        <f aca="false">IF(BR1545=1,0,ROUNDUP(AL1545/BQ1545,0))</f>
        <v>0</v>
      </c>
      <c r="AN1545" s="59" t="n">
        <f aca="false">IF(CD1545&gt;0,CD1545*MAX(1,AL1545/V1545),IF(BR1545=1,IF(AL1545&lt;=0,0,BS1545*MAX(1,IF(G1545&gt;0,AL1545/G1545,1))),IF(Q1545&gt;0,AM1545/Q1545,0))/MAX(0.1,N(Parameter!$M$21)))</f>
        <v>0</v>
      </c>
      <c r="AO1545" s="57" t="n">
        <f aca="false">AL1545*F1545</f>
        <v>0</v>
      </c>
      <c r="AP1545" s="57" t="n">
        <f aca="false">ROUNDUP(MAX(I1545/IF(BV1545&gt;0,BV1545,MAX(0.1,N(Cockpit!$I$6))),BY1545)/BQ1545,0)*BQ1545</f>
        <v>0</v>
      </c>
      <c r="AQ1545" s="58" t="n">
        <f aca="false">IF(AN1545&gt;0,I1545/AN1545,-1)</f>
        <v>-1</v>
      </c>
      <c r="AR1545" s="58" t="str">
        <f aca="false">IF(AND(OR(BU1545="L1",BU1545="L23"),AN1545&gt;0),SUMIFS($AN$7:$AN$1576,$BU$7:$BU$1576,BU1545,$AQ$7:$AQ$1576,"&gt;"&amp;AQ1545)+SUMIFS($AN$7:$AN$1576,$BU$7:$BU$1576,BU1545,$AQ$7:$AQ$1576,AQ1545,$BO$7:$BO$1576,"&lt;="&amp;BO1545),"")</f>
        <v/>
      </c>
      <c r="AS1545" s="65" t="n">
        <f aca="false">IF(AR1545="",0,MAX(0,MIN(1,(IF(BU1545="L1",Parameter!$E$5,Parameter!$E$6+Parameter!$E$7)-(AR1545-AN1545))/AN1545)))</f>
        <v>0</v>
      </c>
      <c r="AT1545" s="57" t="n">
        <f aca="false">IF(LEFT(Cockpit!$O$5,1)="A",G1545,IF(BW1545=1,BX1545,IF(LEFT(Cockpit!$O$5,1)="B",AX1545,MAX(AX1545,G1545))))</f>
        <v>0</v>
      </c>
      <c r="AU1545" s="57" t="n">
        <f aca="false">IF(BR1545=1,0,ROUNDUP(AT1545/BQ1545,0))</f>
        <v>0</v>
      </c>
      <c r="AV1545" s="59" t="n">
        <f aca="false">IF(CD1545&gt;0,CD1545*MAX(1,AT1545/V1545),IF(BR1545=1,IF(AT1545&lt;=0,0,BS1545*MAX(1,IF(G1545&gt;0,AT1545/G1545,1))),IF(Q1545&gt;0,AU1545/Q1545,0))/MAX(0.1,N(Parameter!$M$21)))</f>
        <v>0</v>
      </c>
      <c r="AW1545" s="57" t="n">
        <f aca="false">AT1545*F1545</f>
        <v>0</v>
      </c>
      <c r="AX1545" s="57" t="n">
        <f aca="false">ROUNDUP(MAX(I1545/IF(BV1545&gt;0,BV1545,MAX(0.1,N(Cockpit!$O$6))),BY1545)/BQ1545,0)*BQ1545</f>
        <v>0</v>
      </c>
      <c r="AY1545" s="58" t="n">
        <f aca="false">IF(AV1545&gt;0,I1545/AV1545,-1)</f>
        <v>-1</v>
      </c>
      <c r="AZ1545" s="58" t="str">
        <f aca="false">IF(AND(OR(BU1545="L1",BU1545="L23"),AV1545&gt;0),SUMIFS($AV$7:$AV$1576,$BU$7:$BU$1576,BU1545,$AY$7:$AY$1576,"&gt;"&amp;AY1545)+SUMIFS($AV$7:$AV$1576,$BU$7:$BU$1576,BU1545,$AY$7:$AY$1576,AY1545,$BO$7:$BO$1576,"&lt;="&amp;BO1545),"")</f>
        <v/>
      </c>
      <c r="BA1545" s="65" t="n">
        <f aca="false">IF(AZ1545="",0,MAX(0,MIN(1,(IF(BU1545="L1",Parameter!$E$5,Parameter!$E$6+Parameter!$E$7)-(AZ1545-AV1545))/AV1545)))</f>
        <v>0</v>
      </c>
      <c r="BB1545" s="55" t="str">
        <f aca="false">IF(AF1545&lt;=0,"",IF(BU1545="Aussen","Aussenlager",IF(BU1545="-","Nicht im Lift",IF(AK1545&gt;=1,"Lift",IF(AK1545&lt;=0,"Aussenlager","teilweise")))))</f>
        <v/>
      </c>
      <c r="BC1545" s="55" t="str">
        <f aca="false">IF(AN1545&lt;=0,"",IF(BU1545="Aussen","Aussenlager",IF(BU1545="-","Nicht im Lift",IF(AS1545&gt;=1,"Lift",IF(AS1545&lt;=0,"Aussenlager","teilweise")))))</f>
        <v/>
      </c>
      <c r="BD1545" s="55" t="str">
        <f aca="false">IF(AV1545&lt;=0,"",IF(BU1545="Aussen","Aussenlager",IF(BU1545="-","Nicht im Lift",IF(BA1545&gt;=1,"Lift",IF(BA1545&lt;=0,"Aussenlager","teilweise")))))</f>
        <v/>
      </c>
      <c r="BE1545" s="55" t="str">
        <f aca="false">IF(A1545="","",IF(BN1545=1,"Neu; ","")&amp;IF(AND(BN1545=0,BI1545&lt;0),"negativer Bestand (Export "&amp;BI1545&amp;"); ","")&amp;IF(I1545&lt;=0,"Kein Verbrauch; ","")&amp;IF(CD1545&gt;0,"Lift "&amp;U1545&amp;" lt. Liftbericht (Fach "&amp;V1545&amp;" Stk); ",IF(BR1545=1,"Lose – Fläche geschätzt; ",""))&amp;IF(G1545&gt;AP1545,"Überbestand "&amp;ROUND(G1545-AP1545,0)&amp;" Stk / CHF "&amp;ROUND((G1545-AP1545)*F1545,0)&amp;"; ","")&amp;IF(AND(BW1545=1,BX1545&lt;BY1545),"MAX &lt; MB+LG; ","")&amp;IF(AND(CC1545&gt;0,CB1545*10&gt;CC1545),"zu hoch für Tablar; ","")&amp;IF(AND(BN1545=0,OR(BW1545=1,Y1545&lt;&gt;"",S1545&lt;&gt;"",T1545&lt;&gt;"",Z1545&lt;&gt;"")),"manuell übersteuert; ","")&amp;IF(AND(BR1545=0,Q1545=0),"Gebinde unbekannt / Stellmass fehlt; ","")&amp;IF(AND(BR1545=0,N(T1545)&lt;=0,N(P1545)&lt;=0),"Menge pro Gebinde fehlt (Ist = 1 Gebinde); ","")&amp;BM1545)</f>
        <v/>
      </c>
      <c r="BF1545" s="55"/>
      <c r="BG1545" s="55"/>
      <c r="BH1545" s="62"/>
      <c r="BI1545" s="57" t="n">
        <f aca="false">N('Neue Artikel'!$D$73)</f>
        <v>0</v>
      </c>
      <c r="BJ1545" s="57" t="n">
        <v>0</v>
      </c>
      <c r="BK1545" s="56" t="n">
        <v>0</v>
      </c>
      <c r="BL1545" s="57" t="n">
        <f aca="false">N('Neue Artikel'!$C$73)/Parameter!$B$18</f>
        <v>0</v>
      </c>
      <c r="BM1545" s="55"/>
      <c r="BN1545" s="60" t="n">
        <v>1</v>
      </c>
      <c r="BO1545" s="60" t="n">
        <v>1545</v>
      </c>
      <c r="BP1545" s="55" t="str">
        <f aca="false">IF(S1545&lt;&gt;"",UPPER(TRIM(S1545)),IF(O1545="","LOSE",O1545))</f>
        <v>LOSE</v>
      </c>
      <c r="BQ1545" s="57" t="n">
        <f aca="false">IF(BP1545="LOSE",1,IF(N(T1545)&gt;0,T1545,IF(N(P1545)&gt;0,P1545,MAX(1,G1545))))</f>
        <v>1</v>
      </c>
      <c r="BR1545" s="60" t="n">
        <f aca="false">IF(BP1545="LOSE",1,0)</f>
        <v>1</v>
      </c>
      <c r="BS1545" s="59" t="n">
        <f aca="false">IF(BR1545=0,0,IF(N(R1545)&gt;0,R1545,IFERROR(VLOOKUP(D1545,Parameter!$A$35:$C$64,3,0)+0,0)))</f>
        <v>0.15</v>
      </c>
      <c r="BT1545" s="55" t="str">
        <f aca="false">IF(Y1545&lt;&gt;"",Y1545,X1545)</f>
        <v/>
      </c>
      <c r="BU1545" s="55" t="str">
        <f aca="false">IF(BT1545=1,"L1",IF(OR(BT1545=2,BT1545=3),"L23",IF(BT1545="Aussen","Aussen","-")))</f>
        <v>-</v>
      </c>
      <c r="BV1545" s="66" t="n">
        <f aca="false">IF(N(Z1545)&gt;0,Z1545,0)</f>
        <v>0</v>
      </c>
      <c r="BW1545" s="60" t="n">
        <f aca="false">IF(ISNUMBER(AC1545),1,0)</f>
        <v>0</v>
      </c>
      <c r="BX1545" s="57" t="n">
        <f aca="false">N(AC1545)</f>
        <v>0</v>
      </c>
      <c r="BY1545" s="57" t="n">
        <f aca="false">N(L1545)+N(M1545)</f>
        <v>0</v>
      </c>
      <c r="BZ1545" s="57" t="n">
        <f aca="false">ROUNDUP(G1545/BQ1545,0)</f>
        <v>0</v>
      </c>
      <c r="CA1545" s="57" t="n">
        <f aca="false">ROUNDUP(BX1545/BQ1545,0)</f>
        <v>0</v>
      </c>
      <c r="CB1545" s="60" t="n">
        <f aca="false">IF(BR1545=1,0,IFERROR(VLOOKUP(BP1545,'Gebinde-Kategorie'!$A$5:$M$45,5,0)+0,0))</f>
        <v>0</v>
      </c>
      <c r="CC1545" s="60" t="n">
        <f aca="false">IFERROR(IF(OR(BT1545=1,BT1545=2,BT1545=3),N(INDEX(Parameter!$I$5:$I$7,BT1545)),0),0)</f>
        <v>0</v>
      </c>
      <c r="CD1545" s="59" t="n">
        <f aca="false">IF(AND(Parameter!$B$21="Ja",ISNUMBER(U1545),N(V1545)&gt;0),IFERROR(N(INDEX(Parameter!$L$5:$L$7,U1545))*INDEX(Parameter!$E$5:$E$7,U1545)*V1545/SUMIFS($V$7:$V$1576,$U$7:$U$1576,U1545),0),0)</f>
        <v>0</v>
      </c>
    </row>
    <row r="1546" customFormat="false" ht="15" hidden="false" customHeight="false" outlineLevel="0" collapsed="false">
      <c r="A1546" s="55" t="str">
        <f aca="false">IF('Neue Artikel'!$A$74="","",'Neue Artikel'!$A$74&amp;"")</f>
        <v/>
      </c>
      <c r="B1546" s="55" t="str">
        <f aca="false">'Neue Artikel'!$B$74&amp;""</f>
        <v/>
      </c>
      <c r="C1546" s="55"/>
      <c r="D1546" s="55" t="s">
        <v>2561</v>
      </c>
      <c r="E1546" s="55"/>
      <c r="F1546" s="56" t="n">
        <f aca="false">N('Neue Artikel'!$G$74)</f>
        <v>0</v>
      </c>
      <c r="G1546" s="57" t="n">
        <f aca="false">MAX(0,IF(AND(Parameter!$B$21="Ja",ISNUMBER(W1546)),W1546,IF(Parameter!$B$20="Jahresanfang 2025 + Export",BJ1546+BI1546,BI1546)))</f>
        <v>0</v>
      </c>
      <c r="H1546" s="57" t="n">
        <f aca="false">G1546*F1546</f>
        <v>0</v>
      </c>
      <c r="I1546" s="57" t="n">
        <f aca="false">BL1546*Parameter!$B$18</f>
        <v>0</v>
      </c>
      <c r="J1546" s="58"/>
      <c r="K1546" s="59"/>
      <c r="L1546" s="57" t="n">
        <f aca="false">N('Neue Artikel'!$E$74)</f>
        <v>0</v>
      </c>
      <c r="M1546" s="57" t="n">
        <f aca="false">N('Neue Artikel'!$F$74)</f>
        <v>0</v>
      </c>
      <c r="N1546" s="60"/>
      <c r="O1546" s="55" t="str">
        <f aca="false">IF('Neue Artikel'!$H$74="","LOSE",UPPER(TRIM('Neue Artikel'!$H$74)))</f>
        <v>LOSE</v>
      </c>
      <c r="P1546" s="57" t="n">
        <f aca="false">N('Neue Artikel'!$I$74)</f>
        <v>0</v>
      </c>
      <c r="Q1546" s="60" t="n">
        <f aca="false">IF(BR1546=1,0,IFERROR(VLOOKUP(BP1546,'Gebinde-Kategorie'!$A$5:$M$45,13,0)+0,0))</f>
        <v>0</v>
      </c>
      <c r="R1546" s="61"/>
      <c r="S1546" s="62"/>
      <c r="T1546" s="62"/>
      <c r="U1546" s="55"/>
      <c r="V1546" s="57"/>
      <c r="W1546" s="57"/>
      <c r="X1546" s="55" t="str">
        <f aca="false">IF(A1546="","",IF(AND(Parameter!$B$21="Ja",ISNUMBER(U1546)),U1546,IF(IFERROR(VLOOKUP(D1546,Parameter!$A$35:$C$64,2,0),"Nein")="2+3",IF(ISNUMBER(SEARCH("grosser Artikel",BM1546)),2,IFERROR(VLOOKUP(BP1546,Parameter!$F$35:$G$64,2,0),2)),IF(OR(IFERROR(VLOOKUP(D1546,Parameter!$A$35:$C$64,2,0),"Nein")="Nein",IFERROR(VLOOKUP(D1546,Parameter!$A$35:$C$64,2,0),"Nein")=""),"-",VLOOKUP(D1546,Parameter!$A$35:$C$64,2,0)))))</f>
        <v/>
      </c>
      <c r="Y1546" s="55" t="str">
        <f aca="false">IF('Neue Artikel'!$J$74="","",'Neue Artikel'!$J$74)</f>
        <v/>
      </c>
      <c r="Z1546" s="63"/>
      <c r="AA1546" s="57" t="n">
        <f aca="false">AP1546</f>
        <v>0</v>
      </c>
      <c r="AB1546" s="57" t="n">
        <f aca="false">MAX(AP1546,G1546)</f>
        <v>0</v>
      </c>
      <c r="AC1546" s="64"/>
      <c r="AD1546" s="57" t="n">
        <f aca="false">IF(LEFT(Cockpit!$C$5,1)="A",G1546,IF(BW1546=1,BX1546,IF(LEFT(Cockpit!$C$5,1)="B",AH1546,MAX(AH1546,G1546))))</f>
        <v>0</v>
      </c>
      <c r="AE1546" s="57" t="n">
        <f aca="false">IF(BR1546=1,0,ROUNDUP(AD1546/BQ1546,0))</f>
        <v>0</v>
      </c>
      <c r="AF1546" s="59" t="n">
        <f aca="false">IF(CD1546&gt;0,CD1546*MAX(1,AD1546/V1546),IF(BR1546=1,IF(AD1546&lt;=0,0,BS1546*MAX(1,IF(G1546&gt;0,AD1546/G1546,1))),IF(Q1546&gt;0,AE1546/Q1546,0))/MAX(0.1,N(Parameter!$M$21)))</f>
        <v>0</v>
      </c>
      <c r="AG1546" s="57" t="n">
        <f aca="false">AD1546*F1546</f>
        <v>0</v>
      </c>
      <c r="AH1546" s="57" t="n">
        <f aca="false">ROUNDUP(MAX(I1546/IF(BV1546&gt;0,BV1546,MAX(0.1,N(Cockpit!$C$6))),BY1546)/BQ1546,0)*BQ1546</f>
        <v>0</v>
      </c>
      <c r="AI1546" s="58" t="n">
        <f aca="false">IF(AF1546&gt;0,I1546/AF1546,-1)</f>
        <v>-1</v>
      </c>
      <c r="AJ1546" s="58" t="str">
        <f aca="false">IF(AND(OR(BU1546="L1",BU1546="L23"),AF1546&gt;0),SUMIFS($AF$7:$AF$1576,$BU$7:$BU$1576,BU1546,$AI$7:$AI$1576,"&gt;"&amp;AI1546)+SUMIFS($AF$7:$AF$1576,$BU$7:$BU$1576,BU1546,$AI$7:$AI$1576,AI1546,$BO$7:$BO$1576,"&lt;="&amp;BO1546),"")</f>
        <v/>
      </c>
      <c r="AK1546" s="65" t="n">
        <f aca="false">IF(AJ1546="",0,MAX(0,MIN(1,(IF(BU1546="L1",Parameter!$E$5,Parameter!$E$6+Parameter!$E$7)-(AJ1546-AF1546))/AF1546)))</f>
        <v>0</v>
      </c>
      <c r="AL1546" s="57" t="n">
        <f aca="false">IF(LEFT(Cockpit!$I$5,1)="A",G1546,IF(BW1546=1,BX1546,IF(LEFT(Cockpit!$I$5,1)="B",AP1546,MAX(AP1546,G1546))))</f>
        <v>0</v>
      </c>
      <c r="AM1546" s="57" t="n">
        <f aca="false">IF(BR1546=1,0,ROUNDUP(AL1546/BQ1546,0))</f>
        <v>0</v>
      </c>
      <c r="AN1546" s="59" t="n">
        <f aca="false">IF(CD1546&gt;0,CD1546*MAX(1,AL1546/V1546),IF(BR1546=1,IF(AL1546&lt;=0,0,BS1546*MAX(1,IF(G1546&gt;0,AL1546/G1546,1))),IF(Q1546&gt;0,AM1546/Q1546,0))/MAX(0.1,N(Parameter!$M$21)))</f>
        <v>0</v>
      </c>
      <c r="AO1546" s="57" t="n">
        <f aca="false">AL1546*F1546</f>
        <v>0</v>
      </c>
      <c r="AP1546" s="57" t="n">
        <f aca="false">ROUNDUP(MAX(I1546/IF(BV1546&gt;0,BV1546,MAX(0.1,N(Cockpit!$I$6))),BY1546)/BQ1546,0)*BQ1546</f>
        <v>0</v>
      </c>
      <c r="AQ1546" s="58" t="n">
        <f aca="false">IF(AN1546&gt;0,I1546/AN1546,-1)</f>
        <v>-1</v>
      </c>
      <c r="AR1546" s="58" t="str">
        <f aca="false">IF(AND(OR(BU1546="L1",BU1546="L23"),AN1546&gt;0),SUMIFS($AN$7:$AN$1576,$BU$7:$BU$1576,BU1546,$AQ$7:$AQ$1576,"&gt;"&amp;AQ1546)+SUMIFS($AN$7:$AN$1576,$BU$7:$BU$1576,BU1546,$AQ$7:$AQ$1576,AQ1546,$BO$7:$BO$1576,"&lt;="&amp;BO1546),"")</f>
        <v/>
      </c>
      <c r="AS1546" s="65" t="n">
        <f aca="false">IF(AR1546="",0,MAX(0,MIN(1,(IF(BU1546="L1",Parameter!$E$5,Parameter!$E$6+Parameter!$E$7)-(AR1546-AN1546))/AN1546)))</f>
        <v>0</v>
      </c>
      <c r="AT1546" s="57" t="n">
        <f aca="false">IF(LEFT(Cockpit!$O$5,1)="A",G1546,IF(BW1546=1,BX1546,IF(LEFT(Cockpit!$O$5,1)="B",AX1546,MAX(AX1546,G1546))))</f>
        <v>0</v>
      </c>
      <c r="AU1546" s="57" t="n">
        <f aca="false">IF(BR1546=1,0,ROUNDUP(AT1546/BQ1546,0))</f>
        <v>0</v>
      </c>
      <c r="AV1546" s="59" t="n">
        <f aca="false">IF(CD1546&gt;0,CD1546*MAX(1,AT1546/V1546),IF(BR1546=1,IF(AT1546&lt;=0,0,BS1546*MAX(1,IF(G1546&gt;0,AT1546/G1546,1))),IF(Q1546&gt;0,AU1546/Q1546,0))/MAX(0.1,N(Parameter!$M$21)))</f>
        <v>0</v>
      </c>
      <c r="AW1546" s="57" t="n">
        <f aca="false">AT1546*F1546</f>
        <v>0</v>
      </c>
      <c r="AX1546" s="57" t="n">
        <f aca="false">ROUNDUP(MAX(I1546/IF(BV1546&gt;0,BV1546,MAX(0.1,N(Cockpit!$O$6))),BY1546)/BQ1546,0)*BQ1546</f>
        <v>0</v>
      </c>
      <c r="AY1546" s="58" t="n">
        <f aca="false">IF(AV1546&gt;0,I1546/AV1546,-1)</f>
        <v>-1</v>
      </c>
      <c r="AZ1546" s="58" t="str">
        <f aca="false">IF(AND(OR(BU1546="L1",BU1546="L23"),AV1546&gt;0),SUMIFS($AV$7:$AV$1576,$BU$7:$BU$1576,BU1546,$AY$7:$AY$1576,"&gt;"&amp;AY1546)+SUMIFS($AV$7:$AV$1576,$BU$7:$BU$1576,BU1546,$AY$7:$AY$1576,AY1546,$BO$7:$BO$1576,"&lt;="&amp;BO1546),"")</f>
        <v/>
      </c>
      <c r="BA1546" s="65" t="n">
        <f aca="false">IF(AZ1546="",0,MAX(0,MIN(1,(IF(BU1546="L1",Parameter!$E$5,Parameter!$E$6+Parameter!$E$7)-(AZ1546-AV1546))/AV1546)))</f>
        <v>0</v>
      </c>
      <c r="BB1546" s="55" t="str">
        <f aca="false">IF(AF1546&lt;=0,"",IF(BU1546="Aussen","Aussenlager",IF(BU1546="-","Nicht im Lift",IF(AK1546&gt;=1,"Lift",IF(AK1546&lt;=0,"Aussenlager","teilweise")))))</f>
        <v/>
      </c>
      <c r="BC1546" s="55" t="str">
        <f aca="false">IF(AN1546&lt;=0,"",IF(BU1546="Aussen","Aussenlager",IF(BU1546="-","Nicht im Lift",IF(AS1546&gt;=1,"Lift",IF(AS1546&lt;=0,"Aussenlager","teilweise")))))</f>
        <v/>
      </c>
      <c r="BD1546" s="55" t="str">
        <f aca="false">IF(AV1546&lt;=0,"",IF(BU1546="Aussen","Aussenlager",IF(BU1546="-","Nicht im Lift",IF(BA1546&gt;=1,"Lift",IF(BA1546&lt;=0,"Aussenlager","teilweise")))))</f>
        <v/>
      </c>
      <c r="BE1546" s="55" t="str">
        <f aca="false">IF(A1546="","",IF(BN1546=1,"Neu; ","")&amp;IF(AND(BN1546=0,BI1546&lt;0),"negativer Bestand (Export "&amp;BI1546&amp;"); ","")&amp;IF(I1546&lt;=0,"Kein Verbrauch; ","")&amp;IF(CD1546&gt;0,"Lift "&amp;U1546&amp;" lt. Liftbericht (Fach "&amp;V1546&amp;" Stk); ",IF(BR1546=1,"Lose – Fläche geschätzt; ",""))&amp;IF(G1546&gt;AP1546,"Überbestand "&amp;ROUND(G1546-AP1546,0)&amp;" Stk / CHF "&amp;ROUND((G1546-AP1546)*F1546,0)&amp;"; ","")&amp;IF(AND(BW1546=1,BX1546&lt;BY1546),"MAX &lt; MB+LG; ","")&amp;IF(AND(CC1546&gt;0,CB1546*10&gt;CC1546),"zu hoch für Tablar; ","")&amp;IF(AND(BN1546=0,OR(BW1546=1,Y1546&lt;&gt;"",S1546&lt;&gt;"",T1546&lt;&gt;"",Z1546&lt;&gt;"")),"manuell übersteuert; ","")&amp;IF(AND(BR1546=0,Q1546=0),"Gebinde unbekannt / Stellmass fehlt; ","")&amp;IF(AND(BR1546=0,N(T1546)&lt;=0,N(P1546)&lt;=0),"Menge pro Gebinde fehlt (Ist = 1 Gebinde); ","")&amp;BM1546)</f>
        <v/>
      </c>
      <c r="BF1546" s="55"/>
      <c r="BG1546" s="55"/>
      <c r="BH1546" s="62"/>
      <c r="BI1546" s="57" t="n">
        <f aca="false">N('Neue Artikel'!$D$74)</f>
        <v>0</v>
      </c>
      <c r="BJ1546" s="57" t="n">
        <v>0</v>
      </c>
      <c r="BK1546" s="56" t="n">
        <v>0</v>
      </c>
      <c r="BL1546" s="57" t="n">
        <f aca="false">N('Neue Artikel'!$C$74)/Parameter!$B$18</f>
        <v>0</v>
      </c>
      <c r="BM1546" s="55"/>
      <c r="BN1546" s="60" t="n">
        <v>1</v>
      </c>
      <c r="BO1546" s="60" t="n">
        <v>1546</v>
      </c>
      <c r="BP1546" s="55" t="str">
        <f aca="false">IF(S1546&lt;&gt;"",UPPER(TRIM(S1546)),IF(O1546="","LOSE",O1546))</f>
        <v>LOSE</v>
      </c>
      <c r="BQ1546" s="57" t="n">
        <f aca="false">IF(BP1546="LOSE",1,IF(N(T1546)&gt;0,T1546,IF(N(P1546)&gt;0,P1546,MAX(1,G1546))))</f>
        <v>1</v>
      </c>
      <c r="BR1546" s="60" t="n">
        <f aca="false">IF(BP1546="LOSE",1,0)</f>
        <v>1</v>
      </c>
      <c r="BS1546" s="59" t="n">
        <f aca="false">IF(BR1546=0,0,IF(N(R1546)&gt;0,R1546,IFERROR(VLOOKUP(D1546,Parameter!$A$35:$C$64,3,0)+0,0)))</f>
        <v>0.15</v>
      </c>
      <c r="BT1546" s="55" t="str">
        <f aca="false">IF(Y1546&lt;&gt;"",Y1546,X1546)</f>
        <v/>
      </c>
      <c r="BU1546" s="55" t="str">
        <f aca="false">IF(BT1546=1,"L1",IF(OR(BT1546=2,BT1546=3),"L23",IF(BT1546="Aussen","Aussen","-")))</f>
        <v>-</v>
      </c>
      <c r="BV1546" s="66" t="n">
        <f aca="false">IF(N(Z1546)&gt;0,Z1546,0)</f>
        <v>0</v>
      </c>
      <c r="BW1546" s="60" t="n">
        <f aca="false">IF(ISNUMBER(AC1546),1,0)</f>
        <v>0</v>
      </c>
      <c r="BX1546" s="57" t="n">
        <f aca="false">N(AC1546)</f>
        <v>0</v>
      </c>
      <c r="BY1546" s="57" t="n">
        <f aca="false">N(L1546)+N(M1546)</f>
        <v>0</v>
      </c>
      <c r="BZ1546" s="57" t="n">
        <f aca="false">ROUNDUP(G1546/BQ1546,0)</f>
        <v>0</v>
      </c>
      <c r="CA1546" s="57" t="n">
        <f aca="false">ROUNDUP(BX1546/BQ1546,0)</f>
        <v>0</v>
      </c>
      <c r="CB1546" s="60" t="n">
        <f aca="false">IF(BR1546=1,0,IFERROR(VLOOKUP(BP1546,'Gebinde-Kategorie'!$A$5:$M$45,5,0)+0,0))</f>
        <v>0</v>
      </c>
      <c r="CC1546" s="60" t="n">
        <f aca="false">IFERROR(IF(OR(BT1546=1,BT1546=2,BT1546=3),N(INDEX(Parameter!$I$5:$I$7,BT1546)),0),0)</f>
        <v>0</v>
      </c>
      <c r="CD1546" s="59" t="n">
        <f aca="false">IF(AND(Parameter!$B$21="Ja",ISNUMBER(U1546),N(V1546)&gt;0),IFERROR(N(INDEX(Parameter!$L$5:$L$7,U1546))*INDEX(Parameter!$E$5:$E$7,U1546)*V1546/SUMIFS($V$7:$V$1576,$U$7:$U$1576,U1546),0),0)</f>
        <v>0</v>
      </c>
    </row>
    <row r="1547" customFormat="false" ht="15" hidden="false" customHeight="false" outlineLevel="0" collapsed="false">
      <c r="A1547" s="55" t="str">
        <f aca="false">IF('Neue Artikel'!$A$75="","",'Neue Artikel'!$A$75&amp;"")</f>
        <v/>
      </c>
      <c r="B1547" s="55" t="str">
        <f aca="false">'Neue Artikel'!$B$75&amp;""</f>
        <v/>
      </c>
      <c r="C1547" s="55"/>
      <c r="D1547" s="55" t="s">
        <v>2561</v>
      </c>
      <c r="E1547" s="55"/>
      <c r="F1547" s="56" t="n">
        <f aca="false">N('Neue Artikel'!$G$75)</f>
        <v>0</v>
      </c>
      <c r="G1547" s="57" t="n">
        <f aca="false">MAX(0,IF(AND(Parameter!$B$21="Ja",ISNUMBER(W1547)),W1547,IF(Parameter!$B$20="Jahresanfang 2025 + Export",BJ1547+BI1547,BI1547)))</f>
        <v>0</v>
      </c>
      <c r="H1547" s="57" t="n">
        <f aca="false">G1547*F1547</f>
        <v>0</v>
      </c>
      <c r="I1547" s="57" t="n">
        <f aca="false">BL1547*Parameter!$B$18</f>
        <v>0</v>
      </c>
      <c r="J1547" s="58"/>
      <c r="K1547" s="59"/>
      <c r="L1547" s="57" t="n">
        <f aca="false">N('Neue Artikel'!$E$75)</f>
        <v>0</v>
      </c>
      <c r="M1547" s="57" t="n">
        <f aca="false">N('Neue Artikel'!$F$75)</f>
        <v>0</v>
      </c>
      <c r="N1547" s="60"/>
      <c r="O1547" s="55" t="str">
        <f aca="false">IF('Neue Artikel'!$H$75="","LOSE",UPPER(TRIM('Neue Artikel'!$H$75)))</f>
        <v>LOSE</v>
      </c>
      <c r="P1547" s="57" t="n">
        <f aca="false">N('Neue Artikel'!$I$75)</f>
        <v>0</v>
      </c>
      <c r="Q1547" s="60" t="n">
        <f aca="false">IF(BR1547=1,0,IFERROR(VLOOKUP(BP1547,'Gebinde-Kategorie'!$A$5:$M$45,13,0)+0,0))</f>
        <v>0</v>
      </c>
      <c r="R1547" s="61"/>
      <c r="S1547" s="62"/>
      <c r="T1547" s="62"/>
      <c r="U1547" s="55"/>
      <c r="V1547" s="57"/>
      <c r="W1547" s="57"/>
      <c r="X1547" s="55" t="str">
        <f aca="false">IF(A1547="","",IF(AND(Parameter!$B$21="Ja",ISNUMBER(U1547)),U1547,IF(IFERROR(VLOOKUP(D1547,Parameter!$A$35:$C$64,2,0),"Nein")="2+3",IF(ISNUMBER(SEARCH("grosser Artikel",BM1547)),2,IFERROR(VLOOKUP(BP1547,Parameter!$F$35:$G$64,2,0),2)),IF(OR(IFERROR(VLOOKUP(D1547,Parameter!$A$35:$C$64,2,0),"Nein")="Nein",IFERROR(VLOOKUP(D1547,Parameter!$A$35:$C$64,2,0),"Nein")=""),"-",VLOOKUP(D1547,Parameter!$A$35:$C$64,2,0)))))</f>
        <v/>
      </c>
      <c r="Y1547" s="55" t="str">
        <f aca="false">IF('Neue Artikel'!$J$75="","",'Neue Artikel'!$J$75)</f>
        <v/>
      </c>
      <c r="Z1547" s="63"/>
      <c r="AA1547" s="57" t="n">
        <f aca="false">AP1547</f>
        <v>0</v>
      </c>
      <c r="AB1547" s="57" t="n">
        <f aca="false">MAX(AP1547,G1547)</f>
        <v>0</v>
      </c>
      <c r="AC1547" s="64"/>
      <c r="AD1547" s="57" t="n">
        <f aca="false">IF(LEFT(Cockpit!$C$5,1)="A",G1547,IF(BW1547=1,BX1547,IF(LEFT(Cockpit!$C$5,1)="B",AH1547,MAX(AH1547,G1547))))</f>
        <v>0</v>
      </c>
      <c r="AE1547" s="57" t="n">
        <f aca="false">IF(BR1547=1,0,ROUNDUP(AD1547/BQ1547,0))</f>
        <v>0</v>
      </c>
      <c r="AF1547" s="59" t="n">
        <f aca="false">IF(CD1547&gt;0,CD1547*MAX(1,AD1547/V1547),IF(BR1547=1,IF(AD1547&lt;=0,0,BS1547*MAX(1,IF(G1547&gt;0,AD1547/G1547,1))),IF(Q1547&gt;0,AE1547/Q1547,0))/MAX(0.1,N(Parameter!$M$21)))</f>
        <v>0</v>
      </c>
      <c r="AG1547" s="57" t="n">
        <f aca="false">AD1547*F1547</f>
        <v>0</v>
      </c>
      <c r="AH1547" s="57" t="n">
        <f aca="false">ROUNDUP(MAX(I1547/IF(BV1547&gt;0,BV1547,MAX(0.1,N(Cockpit!$C$6))),BY1547)/BQ1547,0)*BQ1547</f>
        <v>0</v>
      </c>
      <c r="AI1547" s="58" t="n">
        <f aca="false">IF(AF1547&gt;0,I1547/AF1547,-1)</f>
        <v>-1</v>
      </c>
      <c r="AJ1547" s="58" t="str">
        <f aca="false">IF(AND(OR(BU1547="L1",BU1547="L23"),AF1547&gt;0),SUMIFS($AF$7:$AF$1576,$BU$7:$BU$1576,BU1547,$AI$7:$AI$1576,"&gt;"&amp;AI1547)+SUMIFS($AF$7:$AF$1576,$BU$7:$BU$1576,BU1547,$AI$7:$AI$1576,AI1547,$BO$7:$BO$1576,"&lt;="&amp;BO1547),"")</f>
        <v/>
      </c>
      <c r="AK1547" s="65" t="n">
        <f aca="false">IF(AJ1547="",0,MAX(0,MIN(1,(IF(BU1547="L1",Parameter!$E$5,Parameter!$E$6+Parameter!$E$7)-(AJ1547-AF1547))/AF1547)))</f>
        <v>0</v>
      </c>
      <c r="AL1547" s="57" t="n">
        <f aca="false">IF(LEFT(Cockpit!$I$5,1)="A",G1547,IF(BW1547=1,BX1547,IF(LEFT(Cockpit!$I$5,1)="B",AP1547,MAX(AP1547,G1547))))</f>
        <v>0</v>
      </c>
      <c r="AM1547" s="57" t="n">
        <f aca="false">IF(BR1547=1,0,ROUNDUP(AL1547/BQ1547,0))</f>
        <v>0</v>
      </c>
      <c r="AN1547" s="59" t="n">
        <f aca="false">IF(CD1547&gt;0,CD1547*MAX(1,AL1547/V1547),IF(BR1547=1,IF(AL1547&lt;=0,0,BS1547*MAX(1,IF(G1547&gt;0,AL1547/G1547,1))),IF(Q1547&gt;0,AM1547/Q1547,0))/MAX(0.1,N(Parameter!$M$21)))</f>
        <v>0</v>
      </c>
      <c r="AO1547" s="57" t="n">
        <f aca="false">AL1547*F1547</f>
        <v>0</v>
      </c>
      <c r="AP1547" s="57" t="n">
        <f aca="false">ROUNDUP(MAX(I1547/IF(BV1547&gt;0,BV1547,MAX(0.1,N(Cockpit!$I$6))),BY1547)/BQ1547,0)*BQ1547</f>
        <v>0</v>
      </c>
      <c r="AQ1547" s="58" t="n">
        <f aca="false">IF(AN1547&gt;0,I1547/AN1547,-1)</f>
        <v>-1</v>
      </c>
      <c r="AR1547" s="58" t="str">
        <f aca="false">IF(AND(OR(BU1547="L1",BU1547="L23"),AN1547&gt;0),SUMIFS($AN$7:$AN$1576,$BU$7:$BU$1576,BU1547,$AQ$7:$AQ$1576,"&gt;"&amp;AQ1547)+SUMIFS($AN$7:$AN$1576,$BU$7:$BU$1576,BU1547,$AQ$7:$AQ$1576,AQ1547,$BO$7:$BO$1576,"&lt;="&amp;BO1547),"")</f>
        <v/>
      </c>
      <c r="AS1547" s="65" t="n">
        <f aca="false">IF(AR1547="",0,MAX(0,MIN(1,(IF(BU1547="L1",Parameter!$E$5,Parameter!$E$6+Parameter!$E$7)-(AR1547-AN1547))/AN1547)))</f>
        <v>0</v>
      </c>
      <c r="AT1547" s="57" t="n">
        <f aca="false">IF(LEFT(Cockpit!$O$5,1)="A",G1547,IF(BW1547=1,BX1547,IF(LEFT(Cockpit!$O$5,1)="B",AX1547,MAX(AX1547,G1547))))</f>
        <v>0</v>
      </c>
      <c r="AU1547" s="57" t="n">
        <f aca="false">IF(BR1547=1,0,ROUNDUP(AT1547/BQ1547,0))</f>
        <v>0</v>
      </c>
      <c r="AV1547" s="59" t="n">
        <f aca="false">IF(CD1547&gt;0,CD1547*MAX(1,AT1547/V1547),IF(BR1547=1,IF(AT1547&lt;=0,0,BS1547*MAX(1,IF(G1547&gt;0,AT1547/G1547,1))),IF(Q1547&gt;0,AU1547/Q1547,0))/MAX(0.1,N(Parameter!$M$21)))</f>
        <v>0</v>
      </c>
      <c r="AW1547" s="57" t="n">
        <f aca="false">AT1547*F1547</f>
        <v>0</v>
      </c>
      <c r="AX1547" s="57" t="n">
        <f aca="false">ROUNDUP(MAX(I1547/IF(BV1547&gt;0,BV1547,MAX(0.1,N(Cockpit!$O$6))),BY1547)/BQ1547,0)*BQ1547</f>
        <v>0</v>
      </c>
      <c r="AY1547" s="58" t="n">
        <f aca="false">IF(AV1547&gt;0,I1547/AV1547,-1)</f>
        <v>-1</v>
      </c>
      <c r="AZ1547" s="58" t="str">
        <f aca="false">IF(AND(OR(BU1547="L1",BU1547="L23"),AV1547&gt;0),SUMIFS($AV$7:$AV$1576,$BU$7:$BU$1576,BU1547,$AY$7:$AY$1576,"&gt;"&amp;AY1547)+SUMIFS($AV$7:$AV$1576,$BU$7:$BU$1576,BU1547,$AY$7:$AY$1576,AY1547,$BO$7:$BO$1576,"&lt;="&amp;BO1547),"")</f>
        <v/>
      </c>
      <c r="BA1547" s="65" t="n">
        <f aca="false">IF(AZ1547="",0,MAX(0,MIN(1,(IF(BU1547="L1",Parameter!$E$5,Parameter!$E$6+Parameter!$E$7)-(AZ1547-AV1547))/AV1547)))</f>
        <v>0</v>
      </c>
      <c r="BB1547" s="55" t="str">
        <f aca="false">IF(AF1547&lt;=0,"",IF(BU1547="Aussen","Aussenlager",IF(BU1547="-","Nicht im Lift",IF(AK1547&gt;=1,"Lift",IF(AK1547&lt;=0,"Aussenlager","teilweise")))))</f>
        <v/>
      </c>
      <c r="BC1547" s="55" t="str">
        <f aca="false">IF(AN1547&lt;=0,"",IF(BU1547="Aussen","Aussenlager",IF(BU1547="-","Nicht im Lift",IF(AS1547&gt;=1,"Lift",IF(AS1547&lt;=0,"Aussenlager","teilweise")))))</f>
        <v/>
      </c>
      <c r="BD1547" s="55" t="str">
        <f aca="false">IF(AV1547&lt;=0,"",IF(BU1547="Aussen","Aussenlager",IF(BU1547="-","Nicht im Lift",IF(BA1547&gt;=1,"Lift",IF(BA1547&lt;=0,"Aussenlager","teilweise")))))</f>
        <v/>
      </c>
      <c r="BE1547" s="55" t="str">
        <f aca="false">IF(A1547="","",IF(BN1547=1,"Neu; ","")&amp;IF(AND(BN1547=0,BI1547&lt;0),"negativer Bestand (Export "&amp;BI1547&amp;"); ","")&amp;IF(I1547&lt;=0,"Kein Verbrauch; ","")&amp;IF(CD1547&gt;0,"Lift "&amp;U1547&amp;" lt. Liftbericht (Fach "&amp;V1547&amp;" Stk); ",IF(BR1547=1,"Lose – Fläche geschätzt; ",""))&amp;IF(G1547&gt;AP1547,"Überbestand "&amp;ROUND(G1547-AP1547,0)&amp;" Stk / CHF "&amp;ROUND((G1547-AP1547)*F1547,0)&amp;"; ","")&amp;IF(AND(BW1547=1,BX1547&lt;BY1547),"MAX &lt; MB+LG; ","")&amp;IF(AND(CC1547&gt;0,CB1547*10&gt;CC1547),"zu hoch für Tablar; ","")&amp;IF(AND(BN1547=0,OR(BW1547=1,Y1547&lt;&gt;"",S1547&lt;&gt;"",T1547&lt;&gt;"",Z1547&lt;&gt;"")),"manuell übersteuert; ","")&amp;IF(AND(BR1547=0,Q1547=0),"Gebinde unbekannt / Stellmass fehlt; ","")&amp;IF(AND(BR1547=0,N(T1547)&lt;=0,N(P1547)&lt;=0),"Menge pro Gebinde fehlt (Ist = 1 Gebinde); ","")&amp;BM1547)</f>
        <v/>
      </c>
      <c r="BF1547" s="55"/>
      <c r="BG1547" s="55"/>
      <c r="BH1547" s="62"/>
      <c r="BI1547" s="57" t="n">
        <f aca="false">N('Neue Artikel'!$D$75)</f>
        <v>0</v>
      </c>
      <c r="BJ1547" s="57" t="n">
        <v>0</v>
      </c>
      <c r="BK1547" s="56" t="n">
        <v>0</v>
      </c>
      <c r="BL1547" s="57" t="n">
        <f aca="false">N('Neue Artikel'!$C$75)/Parameter!$B$18</f>
        <v>0</v>
      </c>
      <c r="BM1547" s="55"/>
      <c r="BN1547" s="60" t="n">
        <v>1</v>
      </c>
      <c r="BO1547" s="60" t="n">
        <v>1547</v>
      </c>
      <c r="BP1547" s="55" t="str">
        <f aca="false">IF(S1547&lt;&gt;"",UPPER(TRIM(S1547)),IF(O1547="","LOSE",O1547))</f>
        <v>LOSE</v>
      </c>
      <c r="BQ1547" s="57" t="n">
        <f aca="false">IF(BP1547="LOSE",1,IF(N(T1547)&gt;0,T1547,IF(N(P1547)&gt;0,P1547,MAX(1,G1547))))</f>
        <v>1</v>
      </c>
      <c r="BR1547" s="60" t="n">
        <f aca="false">IF(BP1547="LOSE",1,0)</f>
        <v>1</v>
      </c>
      <c r="BS1547" s="59" t="n">
        <f aca="false">IF(BR1547=0,0,IF(N(R1547)&gt;0,R1547,IFERROR(VLOOKUP(D1547,Parameter!$A$35:$C$64,3,0)+0,0)))</f>
        <v>0.15</v>
      </c>
      <c r="BT1547" s="55" t="str">
        <f aca="false">IF(Y1547&lt;&gt;"",Y1547,X1547)</f>
        <v/>
      </c>
      <c r="BU1547" s="55" t="str">
        <f aca="false">IF(BT1547=1,"L1",IF(OR(BT1547=2,BT1547=3),"L23",IF(BT1547="Aussen","Aussen","-")))</f>
        <v>-</v>
      </c>
      <c r="BV1547" s="66" t="n">
        <f aca="false">IF(N(Z1547)&gt;0,Z1547,0)</f>
        <v>0</v>
      </c>
      <c r="BW1547" s="60" t="n">
        <f aca="false">IF(ISNUMBER(AC1547),1,0)</f>
        <v>0</v>
      </c>
      <c r="BX1547" s="57" t="n">
        <f aca="false">N(AC1547)</f>
        <v>0</v>
      </c>
      <c r="BY1547" s="57" t="n">
        <f aca="false">N(L1547)+N(M1547)</f>
        <v>0</v>
      </c>
      <c r="BZ1547" s="57" t="n">
        <f aca="false">ROUNDUP(G1547/BQ1547,0)</f>
        <v>0</v>
      </c>
      <c r="CA1547" s="57" t="n">
        <f aca="false">ROUNDUP(BX1547/BQ1547,0)</f>
        <v>0</v>
      </c>
      <c r="CB1547" s="60" t="n">
        <f aca="false">IF(BR1547=1,0,IFERROR(VLOOKUP(BP1547,'Gebinde-Kategorie'!$A$5:$M$45,5,0)+0,0))</f>
        <v>0</v>
      </c>
      <c r="CC1547" s="60" t="n">
        <f aca="false">IFERROR(IF(OR(BT1547=1,BT1547=2,BT1547=3),N(INDEX(Parameter!$I$5:$I$7,BT1547)),0),0)</f>
        <v>0</v>
      </c>
      <c r="CD1547" s="59" t="n">
        <f aca="false">IF(AND(Parameter!$B$21="Ja",ISNUMBER(U1547),N(V1547)&gt;0),IFERROR(N(INDEX(Parameter!$L$5:$L$7,U1547))*INDEX(Parameter!$E$5:$E$7,U1547)*V1547/SUMIFS($V$7:$V$1576,$U$7:$U$1576,U1547),0),0)</f>
        <v>0</v>
      </c>
    </row>
    <row r="1548" customFormat="false" ht="15" hidden="false" customHeight="false" outlineLevel="0" collapsed="false">
      <c r="A1548" s="55" t="str">
        <f aca="false">IF('Neue Artikel'!$A$76="","",'Neue Artikel'!$A$76&amp;"")</f>
        <v/>
      </c>
      <c r="B1548" s="55" t="str">
        <f aca="false">'Neue Artikel'!$B$76&amp;""</f>
        <v/>
      </c>
      <c r="C1548" s="55"/>
      <c r="D1548" s="55" t="s">
        <v>2561</v>
      </c>
      <c r="E1548" s="55"/>
      <c r="F1548" s="56" t="n">
        <f aca="false">N('Neue Artikel'!$G$76)</f>
        <v>0</v>
      </c>
      <c r="G1548" s="57" t="n">
        <f aca="false">MAX(0,IF(AND(Parameter!$B$21="Ja",ISNUMBER(W1548)),W1548,IF(Parameter!$B$20="Jahresanfang 2025 + Export",BJ1548+BI1548,BI1548)))</f>
        <v>0</v>
      </c>
      <c r="H1548" s="57" t="n">
        <f aca="false">G1548*F1548</f>
        <v>0</v>
      </c>
      <c r="I1548" s="57" t="n">
        <f aca="false">BL1548*Parameter!$B$18</f>
        <v>0</v>
      </c>
      <c r="J1548" s="58"/>
      <c r="K1548" s="59"/>
      <c r="L1548" s="57" t="n">
        <f aca="false">N('Neue Artikel'!$E$76)</f>
        <v>0</v>
      </c>
      <c r="M1548" s="57" t="n">
        <f aca="false">N('Neue Artikel'!$F$76)</f>
        <v>0</v>
      </c>
      <c r="N1548" s="60"/>
      <c r="O1548" s="55" t="str">
        <f aca="false">IF('Neue Artikel'!$H$76="","LOSE",UPPER(TRIM('Neue Artikel'!$H$76)))</f>
        <v>LOSE</v>
      </c>
      <c r="P1548" s="57" t="n">
        <f aca="false">N('Neue Artikel'!$I$76)</f>
        <v>0</v>
      </c>
      <c r="Q1548" s="60" t="n">
        <f aca="false">IF(BR1548=1,0,IFERROR(VLOOKUP(BP1548,'Gebinde-Kategorie'!$A$5:$M$45,13,0)+0,0))</f>
        <v>0</v>
      </c>
      <c r="R1548" s="61"/>
      <c r="S1548" s="62"/>
      <c r="T1548" s="62"/>
      <c r="U1548" s="55"/>
      <c r="V1548" s="57"/>
      <c r="W1548" s="57"/>
      <c r="X1548" s="55" t="str">
        <f aca="false">IF(A1548="","",IF(AND(Parameter!$B$21="Ja",ISNUMBER(U1548)),U1548,IF(IFERROR(VLOOKUP(D1548,Parameter!$A$35:$C$64,2,0),"Nein")="2+3",IF(ISNUMBER(SEARCH("grosser Artikel",BM1548)),2,IFERROR(VLOOKUP(BP1548,Parameter!$F$35:$G$64,2,0),2)),IF(OR(IFERROR(VLOOKUP(D1548,Parameter!$A$35:$C$64,2,0),"Nein")="Nein",IFERROR(VLOOKUP(D1548,Parameter!$A$35:$C$64,2,0),"Nein")=""),"-",VLOOKUP(D1548,Parameter!$A$35:$C$64,2,0)))))</f>
        <v/>
      </c>
      <c r="Y1548" s="55" t="str">
        <f aca="false">IF('Neue Artikel'!$J$76="","",'Neue Artikel'!$J$76)</f>
        <v/>
      </c>
      <c r="Z1548" s="63"/>
      <c r="AA1548" s="57" t="n">
        <f aca="false">AP1548</f>
        <v>0</v>
      </c>
      <c r="AB1548" s="57" t="n">
        <f aca="false">MAX(AP1548,G1548)</f>
        <v>0</v>
      </c>
      <c r="AC1548" s="64"/>
      <c r="AD1548" s="57" t="n">
        <f aca="false">IF(LEFT(Cockpit!$C$5,1)="A",G1548,IF(BW1548=1,BX1548,IF(LEFT(Cockpit!$C$5,1)="B",AH1548,MAX(AH1548,G1548))))</f>
        <v>0</v>
      </c>
      <c r="AE1548" s="57" t="n">
        <f aca="false">IF(BR1548=1,0,ROUNDUP(AD1548/BQ1548,0))</f>
        <v>0</v>
      </c>
      <c r="AF1548" s="59" t="n">
        <f aca="false">IF(CD1548&gt;0,CD1548*MAX(1,AD1548/V1548),IF(BR1548=1,IF(AD1548&lt;=0,0,BS1548*MAX(1,IF(G1548&gt;0,AD1548/G1548,1))),IF(Q1548&gt;0,AE1548/Q1548,0))/MAX(0.1,N(Parameter!$M$21)))</f>
        <v>0</v>
      </c>
      <c r="AG1548" s="57" t="n">
        <f aca="false">AD1548*F1548</f>
        <v>0</v>
      </c>
      <c r="AH1548" s="57" t="n">
        <f aca="false">ROUNDUP(MAX(I1548/IF(BV1548&gt;0,BV1548,MAX(0.1,N(Cockpit!$C$6))),BY1548)/BQ1548,0)*BQ1548</f>
        <v>0</v>
      </c>
      <c r="AI1548" s="58" t="n">
        <f aca="false">IF(AF1548&gt;0,I1548/AF1548,-1)</f>
        <v>-1</v>
      </c>
      <c r="AJ1548" s="58" t="str">
        <f aca="false">IF(AND(OR(BU1548="L1",BU1548="L23"),AF1548&gt;0),SUMIFS($AF$7:$AF$1576,$BU$7:$BU$1576,BU1548,$AI$7:$AI$1576,"&gt;"&amp;AI1548)+SUMIFS($AF$7:$AF$1576,$BU$7:$BU$1576,BU1548,$AI$7:$AI$1576,AI1548,$BO$7:$BO$1576,"&lt;="&amp;BO1548),"")</f>
        <v/>
      </c>
      <c r="AK1548" s="65" t="n">
        <f aca="false">IF(AJ1548="",0,MAX(0,MIN(1,(IF(BU1548="L1",Parameter!$E$5,Parameter!$E$6+Parameter!$E$7)-(AJ1548-AF1548))/AF1548)))</f>
        <v>0</v>
      </c>
      <c r="AL1548" s="57" t="n">
        <f aca="false">IF(LEFT(Cockpit!$I$5,1)="A",G1548,IF(BW1548=1,BX1548,IF(LEFT(Cockpit!$I$5,1)="B",AP1548,MAX(AP1548,G1548))))</f>
        <v>0</v>
      </c>
      <c r="AM1548" s="57" t="n">
        <f aca="false">IF(BR1548=1,0,ROUNDUP(AL1548/BQ1548,0))</f>
        <v>0</v>
      </c>
      <c r="AN1548" s="59" t="n">
        <f aca="false">IF(CD1548&gt;0,CD1548*MAX(1,AL1548/V1548),IF(BR1548=1,IF(AL1548&lt;=0,0,BS1548*MAX(1,IF(G1548&gt;0,AL1548/G1548,1))),IF(Q1548&gt;0,AM1548/Q1548,0))/MAX(0.1,N(Parameter!$M$21)))</f>
        <v>0</v>
      </c>
      <c r="AO1548" s="57" t="n">
        <f aca="false">AL1548*F1548</f>
        <v>0</v>
      </c>
      <c r="AP1548" s="57" t="n">
        <f aca="false">ROUNDUP(MAX(I1548/IF(BV1548&gt;0,BV1548,MAX(0.1,N(Cockpit!$I$6))),BY1548)/BQ1548,0)*BQ1548</f>
        <v>0</v>
      </c>
      <c r="AQ1548" s="58" t="n">
        <f aca="false">IF(AN1548&gt;0,I1548/AN1548,-1)</f>
        <v>-1</v>
      </c>
      <c r="AR1548" s="58" t="str">
        <f aca="false">IF(AND(OR(BU1548="L1",BU1548="L23"),AN1548&gt;0),SUMIFS($AN$7:$AN$1576,$BU$7:$BU$1576,BU1548,$AQ$7:$AQ$1576,"&gt;"&amp;AQ1548)+SUMIFS($AN$7:$AN$1576,$BU$7:$BU$1576,BU1548,$AQ$7:$AQ$1576,AQ1548,$BO$7:$BO$1576,"&lt;="&amp;BO1548),"")</f>
        <v/>
      </c>
      <c r="AS1548" s="65" t="n">
        <f aca="false">IF(AR1548="",0,MAX(0,MIN(1,(IF(BU1548="L1",Parameter!$E$5,Parameter!$E$6+Parameter!$E$7)-(AR1548-AN1548))/AN1548)))</f>
        <v>0</v>
      </c>
      <c r="AT1548" s="57" t="n">
        <f aca="false">IF(LEFT(Cockpit!$O$5,1)="A",G1548,IF(BW1548=1,BX1548,IF(LEFT(Cockpit!$O$5,1)="B",AX1548,MAX(AX1548,G1548))))</f>
        <v>0</v>
      </c>
      <c r="AU1548" s="57" t="n">
        <f aca="false">IF(BR1548=1,0,ROUNDUP(AT1548/BQ1548,0))</f>
        <v>0</v>
      </c>
      <c r="AV1548" s="59" t="n">
        <f aca="false">IF(CD1548&gt;0,CD1548*MAX(1,AT1548/V1548),IF(BR1548=1,IF(AT1548&lt;=0,0,BS1548*MAX(1,IF(G1548&gt;0,AT1548/G1548,1))),IF(Q1548&gt;0,AU1548/Q1548,0))/MAX(0.1,N(Parameter!$M$21)))</f>
        <v>0</v>
      </c>
      <c r="AW1548" s="57" t="n">
        <f aca="false">AT1548*F1548</f>
        <v>0</v>
      </c>
      <c r="AX1548" s="57" t="n">
        <f aca="false">ROUNDUP(MAX(I1548/IF(BV1548&gt;0,BV1548,MAX(0.1,N(Cockpit!$O$6))),BY1548)/BQ1548,0)*BQ1548</f>
        <v>0</v>
      </c>
      <c r="AY1548" s="58" t="n">
        <f aca="false">IF(AV1548&gt;0,I1548/AV1548,-1)</f>
        <v>-1</v>
      </c>
      <c r="AZ1548" s="58" t="str">
        <f aca="false">IF(AND(OR(BU1548="L1",BU1548="L23"),AV1548&gt;0),SUMIFS($AV$7:$AV$1576,$BU$7:$BU$1576,BU1548,$AY$7:$AY$1576,"&gt;"&amp;AY1548)+SUMIFS($AV$7:$AV$1576,$BU$7:$BU$1576,BU1548,$AY$7:$AY$1576,AY1548,$BO$7:$BO$1576,"&lt;="&amp;BO1548),"")</f>
        <v/>
      </c>
      <c r="BA1548" s="65" t="n">
        <f aca="false">IF(AZ1548="",0,MAX(0,MIN(1,(IF(BU1548="L1",Parameter!$E$5,Parameter!$E$6+Parameter!$E$7)-(AZ1548-AV1548))/AV1548)))</f>
        <v>0</v>
      </c>
      <c r="BB1548" s="55" t="str">
        <f aca="false">IF(AF1548&lt;=0,"",IF(BU1548="Aussen","Aussenlager",IF(BU1548="-","Nicht im Lift",IF(AK1548&gt;=1,"Lift",IF(AK1548&lt;=0,"Aussenlager","teilweise")))))</f>
        <v/>
      </c>
      <c r="BC1548" s="55" t="str">
        <f aca="false">IF(AN1548&lt;=0,"",IF(BU1548="Aussen","Aussenlager",IF(BU1548="-","Nicht im Lift",IF(AS1548&gt;=1,"Lift",IF(AS1548&lt;=0,"Aussenlager","teilweise")))))</f>
        <v/>
      </c>
      <c r="BD1548" s="55" t="str">
        <f aca="false">IF(AV1548&lt;=0,"",IF(BU1548="Aussen","Aussenlager",IF(BU1548="-","Nicht im Lift",IF(BA1548&gt;=1,"Lift",IF(BA1548&lt;=0,"Aussenlager","teilweise")))))</f>
        <v/>
      </c>
      <c r="BE1548" s="55" t="str">
        <f aca="false">IF(A1548="","",IF(BN1548=1,"Neu; ","")&amp;IF(AND(BN1548=0,BI1548&lt;0),"negativer Bestand (Export "&amp;BI1548&amp;"); ","")&amp;IF(I1548&lt;=0,"Kein Verbrauch; ","")&amp;IF(CD1548&gt;0,"Lift "&amp;U1548&amp;" lt. Liftbericht (Fach "&amp;V1548&amp;" Stk); ",IF(BR1548=1,"Lose – Fläche geschätzt; ",""))&amp;IF(G1548&gt;AP1548,"Überbestand "&amp;ROUND(G1548-AP1548,0)&amp;" Stk / CHF "&amp;ROUND((G1548-AP1548)*F1548,0)&amp;"; ","")&amp;IF(AND(BW1548=1,BX1548&lt;BY1548),"MAX &lt; MB+LG; ","")&amp;IF(AND(CC1548&gt;0,CB1548*10&gt;CC1548),"zu hoch für Tablar; ","")&amp;IF(AND(BN1548=0,OR(BW1548=1,Y1548&lt;&gt;"",S1548&lt;&gt;"",T1548&lt;&gt;"",Z1548&lt;&gt;"")),"manuell übersteuert; ","")&amp;IF(AND(BR1548=0,Q1548=0),"Gebinde unbekannt / Stellmass fehlt; ","")&amp;IF(AND(BR1548=0,N(T1548)&lt;=0,N(P1548)&lt;=0),"Menge pro Gebinde fehlt (Ist = 1 Gebinde); ","")&amp;BM1548)</f>
        <v/>
      </c>
      <c r="BF1548" s="55"/>
      <c r="BG1548" s="55"/>
      <c r="BH1548" s="62"/>
      <c r="BI1548" s="57" t="n">
        <f aca="false">N('Neue Artikel'!$D$76)</f>
        <v>0</v>
      </c>
      <c r="BJ1548" s="57" t="n">
        <v>0</v>
      </c>
      <c r="BK1548" s="56" t="n">
        <v>0</v>
      </c>
      <c r="BL1548" s="57" t="n">
        <f aca="false">N('Neue Artikel'!$C$76)/Parameter!$B$18</f>
        <v>0</v>
      </c>
      <c r="BM1548" s="55"/>
      <c r="BN1548" s="60" t="n">
        <v>1</v>
      </c>
      <c r="BO1548" s="60" t="n">
        <v>1548</v>
      </c>
      <c r="BP1548" s="55" t="str">
        <f aca="false">IF(S1548&lt;&gt;"",UPPER(TRIM(S1548)),IF(O1548="","LOSE",O1548))</f>
        <v>LOSE</v>
      </c>
      <c r="BQ1548" s="57" t="n">
        <f aca="false">IF(BP1548="LOSE",1,IF(N(T1548)&gt;0,T1548,IF(N(P1548)&gt;0,P1548,MAX(1,G1548))))</f>
        <v>1</v>
      </c>
      <c r="BR1548" s="60" t="n">
        <f aca="false">IF(BP1548="LOSE",1,0)</f>
        <v>1</v>
      </c>
      <c r="BS1548" s="59" t="n">
        <f aca="false">IF(BR1548=0,0,IF(N(R1548)&gt;0,R1548,IFERROR(VLOOKUP(D1548,Parameter!$A$35:$C$64,3,0)+0,0)))</f>
        <v>0.15</v>
      </c>
      <c r="BT1548" s="55" t="str">
        <f aca="false">IF(Y1548&lt;&gt;"",Y1548,X1548)</f>
        <v/>
      </c>
      <c r="BU1548" s="55" t="str">
        <f aca="false">IF(BT1548=1,"L1",IF(OR(BT1548=2,BT1548=3),"L23",IF(BT1548="Aussen","Aussen","-")))</f>
        <v>-</v>
      </c>
      <c r="BV1548" s="66" t="n">
        <f aca="false">IF(N(Z1548)&gt;0,Z1548,0)</f>
        <v>0</v>
      </c>
      <c r="BW1548" s="60" t="n">
        <f aca="false">IF(ISNUMBER(AC1548),1,0)</f>
        <v>0</v>
      </c>
      <c r="BX1548" s="57" t="n">
        <f aca="false">N(AC1548)</f>
        <v>0</v>
      </c>
      <c r="BY1548" s="57" t="n">
        <f aca="false">N(L1548)+N(M1548)</f>
        <v>0</v>
      </c>
      <c r="BZ1548" s="57" t="n">
        <f aca="false">ROUNDUP(G1548/BQ1548,0)</f>
        <v>0</v>
      </c>
      <c r="CA1548" s="57" t="n">
        <f aca="false">ROUNDUP(BX1548/BQ1548,0)</f>
        <v>0</v>
      </c>
      <c r="CB1548" s="60" t="n">
        <f aca="false">IF(BR1548=1,0,IFERROR(VLOOKUP(BP1548,'Gebinde-Kategorie'!$A$5:$M$45,5,0)+0,0))</f>
        <v>0</v>
      </c>
      <c r="CC1548" s="60" t="n">
        <f aca="false">IFERROR(IF(OR(BT1548=1,BT1548=2,BT1548=3),N(INDEX(Parameter!$I$5:$I$7,BT1548)),0),0)</f>
        <v>0</v>
      </c>
      <c r="CD1548" s="59" t="n">
        <f aca="false">IF(AND(Parameter!$B$21="Ja",ISNUMBER(U1548),N(V1548)&gt;0),IFERROR(N(INDEX(Parameter!$L$5:$L$7,U1548))*INDEX(Parameter!$E$5:$E$7,U1548)*V1548/SUMIFS($V$7:$V$1576,$U$7:$U$1576,U1548),0),0)</f>
        <v>0</v>
      </c>
    </row>
    <row r="1549" customFormat="false" ht="15" hidden="false" customHeight="false" outlineLevel="0" collapsed="false">
      <c r="A1549" s="55" t="str">
        <f aca="false">IF('Neue Artikel'!$A$77="","",'Neue Artikel'!$A$77&amp;"")</f>
        <v/>
      </c>
      <c r="B1549" s="55" t="str">
        <f aca="false">'Neue Artikel'!$B$77&amp;""</f>
        <v/>
      </c>
      <c r="C1549" s="55"/>
      <c r="D1549" s="55" t="s">
        <v>2561</v>
      </c>
      <c r="E1549" s="55"/>
      <c r="F1549" s="56" t="n">
        <f aca="false">N('Neue Artikel'!$G$77)</f>
        <v>0</v>
      </c>
      <c r="G1549" s="57" t="n">
        <f aca="false">MAX(0,IF(AND(Parameter!$B$21="Ja",ISNUMBER(W1549)),W1549,IF(Parameter!$B$20="Jahresanfang 2025 + Export",BJ1549+BI1549,BI1549)))</f>
        <v>0</v>
      </c>
      <c r="H1549" s="57" t="n">
        <f aca="false">G1549*F1549</f>
        <v>0</v>
      </c>
      <c r="I1549" s="57" t="n">
        <f aca="false">BL1549*Parameter!$B$18</f>
        <v>0</v>
      </c>
      <c r="J1549" s="58"/>
      <c r="K1549" s="59"/>
      <c r="L1549" s="57" t="n">
        <f aca="false">N('Neue Artikel'!$E$77)</f>
        <v>0</v>
      </c>
      <c r="M1549" s="57" t="n">
        <f aca="false">N('Neue Artikel'!$F$77)</f>
        <v>0</v>
      </c>
      <c r="N1549" s="60"/>
      <c r="O1549" s="55" t="str">
        <f aca="false">IF('Neue Artikel'!$H$77="","LOSE",UPPER(TRIM('Neue Artikel'!$H$77)))</f>
        <v>LOSE</v>
      </c>
      <c r="P1549" s="57" t="n">
        <f aca="false">N('Neue Artikel'!$I$77)</f>
        <v>0</v>
      </c>
      <c r="Q1549" s="60" t="n">
        <f aca="false">IF(BR1549=1,0,IFERROR(VLOOKUP(BP1549,'Gebinde-Kategorie'!$A$5:$M$45,13,0)+0,0))</f>
        <v>0</v>
      </c>
      <c r="R1549" s="61"/>
      <c r="S1549" s="62"/>
      <c r="T1549" s="62"/>
      <c r="U1549" s="55"/>
      <c r="V1549" s="57"/>
      <c r="W1549" s="57"/>
      <c r="X1549" s="55" t="str">
        <f aca="false">IF(A1549="","",IF(AND(Parameter!$B$21="Ja",ISNUMBER(U1549)),U1549,IF(IFERROR(VLOOKUP(D1549,Parameter!$A$35:$C$64,2,0),"Nein")="2+3",IF(ISNUMBER(SEARCH("grosser Artikel",BM1549)),2,IFERROR(VLOOKUP(BP1549,Parameter!$F$35:$G$64,2,0),2)),IF(OR(IFERROR(VLOOKUP(D1549,Parameter!$A$35:$C$64,2,0),"Nein")="Nein",IFERROR(VLOOKUP(D1549,Parameter!$A$35:$C$64,2,0),"Nein")=""),"-",VLOOKUP(D1549,Parameter!$A$35:$C$64,2,0)))))</f>
        <v/>
      </c>
      <c r="Y1549" s="55" t="str">
        <f aca="false">IF('Neue Artikel'!$J$77="","",'Neue Artikel'!$J$77)</f>
        <v/>
      </c>
      <c r="Z1549" s="63"/>
      <c r="AA1549" s="57" t="n">
        <f aca="false">AP1549</f>
        <v>0</v>
      </c>
      <c r="AB1549" s="57" t="n">
        <f aca="false">MAX(AP1549,G1549)</f>
        <v>0</v>
      </c>
      <c r="AC1549" s="64"/>
      <c r="AD1549" s="57" t="n">
        <f aca="false">IF(LEFT(Cockpit!$C$5,1)="A",G1549,IF(BW1549=1,BX1549,IF(LEFT(Cockpit!$C$5,1)="B",AH1549,MAX(AH1549,G1549))))</f>
        <v>0</v>
      </c>
      <c r="AE1549" s="57" t="n">
        <f aca="false">IF(BR1549=1,0,ROUNDUP(AD1549/BQ1549,0))</f>
        <v>0</v>
      </c>
      <c r="AF1549" s="59" t="n">
        <f aca="false">IF(CD1549&gt;0,CD1549*MAX(1,AD1549/V1549),IF(BR1549=1,IF(AD1549&lt;=0,0,BS1549*MAX(1,IF(G1549&gt;0,AD1549/G1549,1))),IF(Q1549&gt;0,AE1549/Q1549,0))/MAX(0.1,N(Parameter!$M$21)))</f>
        <v>0</v>
      </c>
      <c r="AG1549" s="57" t="n">
        <f aca="false">AD1549*F1549</f>
        <v>0</v>
      </c>
      <c r="AH1549" s="57" t="n">
        <f aca="false">ROUNDUP(MAX(I1549/IF(BV1549&gt;0,BV1549,MAX(0.1,N(Cockpit!$C$6))),BY1549)/BQ1549,0)*BQ1549</f>
        <v>0</v>
      </c>
      <c r="AI1549" s="58" t="n">
        <f aca="false">IF(AF1549&gt;0,I1549/AF1549,-1)</f>
        <v>-1</v>
      </c>
      <c r="AJ1549" s="58" t="str">
        <f aca="false">IF(AND(OR(BU1549="L1",BU1549="L23"),AF1549&gt;0),SUMIFS($AF$7:$AF$1576,$BU$7:$BU$1576,BU1549,$AI$7:$AI$1576,"&gt;"&amp;AI1549)+SUMIFS($AF$7:$AF$1576,$BU$7:$BU$1576,BU1549,$AI$7:$AI$1576,AI1549,$BO$7:$BO$1576,"&lt;="&amp;BO1549),"")</f>
        <v/>
      </c>
      <c r="AK1549" s="65" t="n">
        <f aca="false">IF(AJ1549="",0,MAX(0,MIN(1,(IF(BU1549="L1",Parameter!$E$5,Parameter!$E$6+Parameter!$E$7)-(AJ1549-AF1549))/AF1549)))</f>
        <v>0</v>
      </c>
      <c r="AL1549" s="57" t="n">
        <f aca="false">IF(LEFT(Cockpit!$I$5,1)="A",G1549,IF(BW1549=1,BX1549,IF(LEFT(Cockpit!$I$5,1)="B",AP1549,MAX(AP1549,G1549))))</f>
        <v>0</v>
      </c>
      <c r="AM1549" s="57" t="n">
        <f aca="false">IF(BR1549=1,0,ROUNDUP(AL1549/BQ1549,0))</f>
        <v>0</v>
      </c>
      <c r="AN1549" s="59" t="n">
        <f aca="false">IF(CD1549&gt;0,CD1549*MAX(1,AL1549/V1549),IF(BR1549=1,IF(AL1549&lt;=0,0,BS1549*MAX(1,IF(G1549&gt;0,AL1549/G1549,1))),IF(Q1549&gt;0,AM1549/Q1549,0))/MAX(0.1,N(Parameter!$M$21)))</f>
        <v>0</v>
      </c>
      <c r="AO1549" s="57" t="n">
        <f aca="false">AL1549*F1549</f>
        <v>0</v>
      </c>
      <c r="AP1549" s="57" t="n">
        <f aca="false">ROUNDUP(MAX(I1549/IF(BV1549&gt;0,BV1549,MAX(0.1,N(Cockpit!$I$6))),BY1549)/BQ1549,0)*BQ1549</f>
        <v>0</v>
      </c>
      <c r="AQ1549" s="58" t="n">
        <f aca="false">IF(AN1549&gt;0,I1549/AN1549,-1)</f>
        <v>-1</v>
      </c>
      <c r="AR1549" s="58" t="str">
        <f aca="false">IF(AND(OR(BU1549="L1",BU1549="L23"),AN1549&gt;0),SUMIFS($AN$7:$AN$1576,$BU$7:$BU$1576,BU1549,$AQ$7:$AQ$1576,"&gt;"&amp;AQ1549)+SUMIFS($AN$7:$AN$1576,$BU$7:$BU$1576,BU1549,$AQ$7:$AQ$1576,AQ1549,$BO$7:$BO$1576,"&lt;="&amp;BO1549),"")</f>
        <v/>
      </c>
      <c r="AS1549" s="65" t="n">
        <f aca="false">IF(AR1549="",0,MAX(0,MIN(1,(IF(BU1549="L1",Parameter!$E$5,Parameter!$E$6+Parameter!$E$7)-(AR1549-AN1549))/AN1549)))</f>
        <v>0</v>
      </c>
      <c r="AT1549" s="57" t="n">
        <f aca="false">IF(LEFT(Cockpit!$O$5,1)="A",G1549,IF(BW1549=1,BX1549,IF(LEFT(Cockpit!$O$5,1)="B",AX1549,MAX(AX1549,G1549))))</f>
        <v>0</v>
      </c>
      <c r="AU1549" s="57" t="n">
        <f aca="false">IF(BR1549=1,0,ROUNDUP(AT1549/BQ1549,0))</f>
        <v>0</v>
      </c>
      <c r="AV1549" s="59" t="n">
        <f aca="false">IF(CD1549&gt;0,CD1549*MAX(1,AT1549/V1549),IF(BR1549=1,IF(AT1549&lt;=0,0,BS1549*MAX(1,IF(G1549&gt;0,AT1549/G1549,1))),IF(Q1549&gt;0,AU1549/Q1549,0))/MAX(0.1,N(Parameter!$M$21)))</f>
        <v>0</v>
      </c>
      <c r="AW1549" s="57" t="n">
        <f aca="false">AT1549*F1549</f>
        <v>0</v>
      </c>
      <c r="AX1549" s="57" t="n">
        <f aca="false">ROUNDUP(MAX(I1549/IF(BV1549&gt;0,BV1549,MAX(0.1,N(Cockpit!$O$6))),BY1549)/BQ1549,0)*BQ1549</f>
        <v>0</v>
      </c>
      <c r="AY1549" s="58" t="n">
        <f aca="false">IF(AV1549&gt;0,I1549/AV1549,-1)</f>
        <v>-1</v>
      </c>
      <c r="AZ1549" s="58" t="str">
        <f aca="false">IF(AND(OR(BU1549="L1",BU1549="L23"),AV1549&gt;0),SUMIFS($AV$7:$AV$1576,$BU$7:$BU$1576,BU1549,$AY$7:$AY$1576,"&gt;"&amp;AY1549)+SUMIFS($AV$7:$AV$1576,$BU$7:$BU$1576,BU1549,$AY$7:$AY$1576,AY1549,$BO$7:$BO$1576,"&lt;="&amp;BO1549),"")</f>
        <v/>
      </c>
      <c r="BA1549" s="65" t="n">
        <f aca="false">IF(AZ1549="",0,MAX(0,MIN(1,(IF(BU1549="L1",Parameter!$E$5,Parameter!$E$6+Parameter!$E$7)-(AZ1549-AV1549))/AV1549)))</f>
        <v>0</v>
      </c>
      <c r="BB1549" s="55" t="str">
        <f aca="false">IF(AF1549&lt;=0,"",IF(BU1549="Aussen","Aussenlager",IF(BU1549="-","Nicht im Lift",IF(AK1549&gt;=1,"Lift",IF(AK1549&lt;=0,"Aussenlager","teilweise")))))</f>
        <v/>
      </c>
      <c r="BC1549" s="55" t="str">
        <f aca="false">IF(AN1549&lt;=0,"",IF(BU1549="Aussen","Aussenlager",IF(BU1549="-","Nicht im Lift",IF(AS1549&gt;=1,"Lift",IF(AS1549&lt;=0,"Aussenlager","teilweise")))))</f>
        <v/>
      </c>
      <c r="BD1549" s="55" t="str">
        <f aca="false">IF(AV1549&lt;=0,"",IF(BU1549="Aussen","Aussenlager",IF(BU1549="-","Nicht im Lift",IF(BA1549&gt;=1,"Lift",IF(BA1549&lt;=0,"Aussenlager","teilweise")))))</f>
        <v/>
      </c>
      <c r="BE1549" s="55" t="str">
        <f aca="false">IF(A1549="","",IF(BN1549=1,"Neu; ","")&amp;IF(AND(BN1549=0,BI1549&lt;0),"negativer Bestand (Export "&amp;BI1549&amp;"); ","")&amp;IF(I1549&lt;=0,"Kein Verbrauch; ","")&amp;IF(CD1549&gt;0,"Lift "&amp;U1549&amp;" lt. Liftbericht (Fach "&amp;V1549&amp;" Stk); ",IF(BR1549=1,"Lose – Fläche geschätzt; ",""))&amp;IF(G1549&gt;AP1549,"Überbestand "&amp;ROUND(G1549-AP1549,0)&amp;" Stk / CHF "&amp;ROUND((G1549-AP1549)*F1549,0)&amp;"; ","")&amp;IF(AND(BW1549=1,BX1549&lt;BY1549),"MAX &lt; MB+LG; ","")&amp;IF(AND(CC1549&gt;0,CB1549*10&gt;CC1549),"zu hoch für Tablar; ","")&amp;IF(AND(BN1549=0,OR(BW1549=1,Y1549&lt;&gt;"",S1549&lt;&gt;"",T1549&lt;&gt;"",Z1549&lt;&gt;"")),"manuell übersteuert; ","")&amp;IF(AND(BR1549=0,Q1549=0),"Gebinde unbekannt / Stellmass fehlt; ","")&amp;IF(AND(BR1549=0,N(T1549)&lt;=0,N(P1549)&lt;=0),"Menge pro Gebinde fehlt (Ist = 1 Gebinde); ","")&amp;BM1549)</f>
        <v/>
      </c>
      <c r="BF1549" s="55"/>
      <c r="BG1549" s="55"/>
      <c r="BH1549" s="62"/>
      <c r="BI1549" s="57" t="n">
        <f aca="false">N('Neue Artikel'!$D$77)</f>
        <v>0</v>
      </c>
      <c r="BJ1549" s="57" t="n">
        <v>0</v>
      </c>
      <c r="BK1549" s="56" t="n">
        <v>0</v>
      </c>
      <c r="BL1549" s="57" t="n">
        <f aca="false">N('Neue Artikel'!$C$77)/Parameter!$B$18</f>
        <v>0</v>
      </c>
      <c r="BM1549" s="55"/>
      <c r="BN1549" s="60" t="n">
        <v>1</v>
      </c>
      <c r="BO1549" s="60" t="n">
        <v>1549</v>
      </c>
      <c r="BP1549" s="55" t="str">
        <f aca="false">IF(S1549&lt;&gt;"",UPPER(TRIM(S1549)),IF(O1549="","LOSE",O1549))</f>
        <v>LOSE</v>
      </c>
      <c r="BQ1549" s="57" t="n">
        <f aca="false">IF(BP1549="LOSE",1,IF(N(T1549)&gt;0,T1549,IF(N(P1549)&gt;0,P1549,MAX(1,G1549))))</f>
        <v>1</v>
      </c>
      <c r="BR1549" s="60" t="n">
        <f aca="false">IF(BP1549="LOSE",1,0)</f>
        <v>1</v>
      </c>
      <c r="BS1549" s="59" t="n">
        <f aca="false">IF(BR1549=0,0,IF(N(R1549)&gt;0,R1549,IFERROR(VLOOKUP(D1549,Parameter!$A$35:$C$64,3,0)+0,0)))</f>
        <v>0.15</v>
      </c>
      <c r="BT1549" s="55" t="str">
        <f aca="false">IF(Y1549&lt;&gt;"",Y1549,X1549)</f>
        <v/>
      </c>
      <c r="BU1549" s="55" t="str">
        <f aca="false">IF(BT1549=1,"L1",IF(OR(BT1549=2,BT1549=3),"L23",IF(BT1549="Aussen","Aussen","-")))</f>
        <v>-</v>
      </c>
      <c r="BV1549" s="66" t="n">
        <f aca="false">IF(N(Z1549)&gt;0,Z1549,0)</f>
        <v>0</v>
      </c>
      <c r="BW1549" s="60" t="n">
        <f aca="false">IF(ISNUMBER(AC1549),1,0)</f>
        <v>0</v>
      </c>
      <c r="BX1549" s="57" t="n">
        <f aca="false">N(AC1549)</f>
        <v>0</v>
      </c>
      <c r="BY1549" s="57" t="n">
        <f aca="false">N(L1549)+N(M1549)</f>
        <v>0</v>
      </c>
      <c r="BZ1549" s="57" t="n">
        <f aca="false">ROUNDUP(G1549/BQ1549,0)</f>
        <v>0</v>
      </c>
      <c r="CA1549" s="57" t="n">
        <f aca="false">ROUNDUP(BX1549/BQ1549,0)</f>
        <v>0</v>
      </c>
      <c r="CB1549" s="60" t="n">
        <f aca="false">IF(BR1549=1,0,IFERROR(VLOOKUP(BP1549,'Gebinde-Kategorie'!$A$5:$M$45,5,0)+0,0))</f>
        <v>0</v>
      </c>
      <c r="CC1549" s="60" t="n">
        <f aca="false">IFERROR(IF(OR(BT1549=1,BT1549=2,BT1549=3),N(INDEX(Parameter!$I$5:$I$7,BT1549)),0),0)</f>
        <v>0</v>
      </c>
      <c r="CD1549" s="59" t="n">
        <f aca="false">IF(AND(Parameter!$B$21="Ja",ISNUMBER(U1549),N(V1549)&gt;0),IFERROR(N(INDEX(Parameter!$L$5:$L$7,U1549))*INDEX(Parameter!$E$5:$E$7,U1549)*V1549/SUMIFS($V$7:$V$1576,$U$7:$U$1576,U1549),0),0)</f>
        <v>0</v>
      </c>
    </row>
    <row r="1550" customFormat="false" ht="15" hidden="false" customHeight="false" outlineLevel="0" collapsed="false">
      <c r="A1550" s="55" t="str">
        <f aca="false">IF('Neue Artikel'!$A$78="","",'Neue Artikel'!$A$78&amp;"")</f>
        <v/>
      </c>
      <c r="B1550" s="55" t="str">
        <f aca="false">'Neue Artikel'!$B$78&amp;""</f>
        <v/>
      </c>
      <c r="C1550" s="55"/>
      <c r="D1550" s="55" t="s">
        <v>2561</v>
      </c>
      <c r="E1550" s="55"/>
      <c r="F1550" s="56" t="n">
        <f aca="false">N('Neue Artikel'!$G$78)</f>
        <v>0</v>
      </c>
      <c r="G1550" s="57" t="n">
        <f aca="false">MAX(0,IF(AND(Parameter!$B$21="Ja",ISNUMBER(W1550)),W1550,IF(Parameter!$B$20="Jahresanfang 2025 + Export",BJ1550+BI1550,BI1550)))</f>
        <v>0</v>
      </c>
      <c r="H1550" s="57" t="n">
        <f aca="false">G1550*F1550</f>
        <v>0</v>
      </c>
      <c r="I1550" s="57" t="n">
        <f aca="false">BL1550*Parameter!$B$18</f>
        <v>0</v>
      </c>
      <c r="J1550" s="58"/>
      <c r="K1550" s="59"/>
      <c r="L1550" s="57" t="n">
        <f aca="false">N('Neue Artikel'!$E$78)</f>
        <v>0</v>
      </c>
      <c r="M1550" s="57" t="n">
        <f aca="false">N('Neue Artikel'!$F$78)</f>
        <v>0</v>
      </c>
      <c r="N1550" s="60"/>
      <c r="O1550" s="55" t="str">
        <f aca="false">IF('Neue Artikel'!$H$78="","LOSE",UPPER(TRIM('Neue Artikel'!$H$78)))</f>
        <v>LOSE</v>
      </c>
      <c r="P1550" s="57" t="n">
        <f aca="false">N('Neue Artikel'!$I$78)</f>
        <v>0</v>
      </c>
      <c r="Q1550" s="60" t="n">
        <f aca="false">IF(BR1550=1,0,IFERROR(VLOOKUP(BP1550,'Gebinde-Kategorie'!$A$5:$M$45,13,0)+0,0))</f>
        <v>0</v>
      </c>
      <c r="R1550" s="61"/>
      <c r="S1550" s="62"/>
      <c r="T1550" s="62"/>
      <c r="U1550" s="55"/>
      <c r="V1550" s="57"/>
      <c r="W1550" s="57"/>
      <c r="X1550" s="55" t="str">
        <f aca="false">IF(A1550="","",IF(AND(Parameter!$B$21="Ja",ISNUMBER(U1550)),U1550,IF(IFERROR(VLOOKUP(D1550,Parameter!$A$35:$C$64,2,0),"Nein")="2+3",IF(ISNUMBER(SEARCH("grosser Artikel",BM1550)),2,IFERROR(VLOOKUP(BP1550,Parameter!$F$35:$G$64,2,0),2)),IF(OR(IFERROR(VLOOKUP(D1550,Parameter!$A$35:$C$64,2,0),"Nein")="Nein",IFERROR(VLOOKUP(D1550,Parameter!$A$35:$C$64,2,0),"Nein")=""),"-",VLOOKUP(D1550,Parameter!$A$35:$C$64,2,0)))))</f>
        <v/>
      </c>
      <c r="Y1550" s="55" t="str">
        <f aca="false">IF('Neue Artikel'!$J$78="","",'Neue Artikel'!$J$78)</f>
        <v/>
      </c>
      <c r="Z1550" s="63"/>
      <c r="AA1550" s="57" t="n">
        <f aca="false">AP1550</f>
        <v>0</v>
      </c>
      <c r="AB1550" s="57" t="n">
        <f aca="false">MAX(AP1550,G1550)</f>
        <v>0</v>
      </c>
      <c r="AC1550" s="64"/>
      <c r="AD1550" s="57" t="n">
        <f aca="false">IF(LEFT(Cockpit!$C$5,1)="A",G1550,IF(BW1550=1,BX1550,IF(LEFT(Cockpit!$C$5,1)="B",AH1550,MAX(AH1550,G1550))))</f>
        <v>0</v>
      </c>
      <c r="AE1550" s="57" t="n">
        <f aca="false">IF(BR1550=1,0,ROUNDUP(AD1550/BQ1550,0))</f>
        <v>0</v>
      </c>
      <c r="AF1550" s="59" t="n">
        <f aca="false">IF(CD1550&gt;0,CD1550*MAX(1,AD1550/V1550),IF(BR1550=1,IF(AD1550&lt;=0,0,BS1550*MAX(1,IF(G1550&gt;0,AD1550/G1550,1))),IF(Q1550&gt;0,AE1550/Q1550,0))/MAX(0.1,N(Parameter!$M$21)))</f>
        <v>0</v>
      </c>
      <c r="AG1550" s="57" t="n">
        <f aca="false">AD1550*F1550</f>
        <v>0</v>
      </c>
      <c r="AH1550" s="57" t="n">
        <f aca="false">ROUNDUP(MAX(I1550/IF(BV1550&gt;0,BV1550,MAX(0.1,N(Cockpit!$C$6))),BY1550)/BQ1550,0)*BQ1550</f>
        <v>0</v>
      </c>
      <c r="AI1550" s="58" t="n">
        <f aca="false">IF(AF1550&gt;0,I1550/AF1550,-1)</f>
        <v>-1</v>
      </c>
      <c r="AJ1550" s="58" t="str">
        <f aca="false">IF(AND(OR(BU1550="L1",BU1550="L23"),AF1550&gt;0),SUMIFS($AF$7:$AF$1576,$BU$7:$BU$1576,BU1550,$AI$7:$AI$1576,"&gt;"&amp;AI1550)+SUMIFS($AF$7:$AF$1576,$BU$7:$BU$1576,BU1550,$AI$7:$AI$1576,AI1550,$BO$7:$BO$1576,"&lt;="&amp;BO1550),"")</f>
        <v/>
      </c>
      <c r="AK1550" s="65" t="n">
        <f aca="false">IF(AJ1550="",0,MAX(0,MIN(1,(IF(BU1550="L1",Parameter!$E$5,Parameter!$E$6+Parameter!$E$7)-(AJ1550-AF1550))/AF1550)))</f>
        <v>0</v>
      </c>
      <c r="AL1550" s="57" t="n">
        <f aca="false">IF(LEFT(Cockpit!$I$5,1)="A",G1550,IF(BW1550=1,BX1550,IF(LEFT(Cockpit!$I$5,1)="B",AP1550,MAX(AP1550,G1550))))</f>
        <v>0</v>
      </c>
      <c r="AM1550" s="57" t="n">
        <f aca="false">IF(BR1550=1,0,ROUNDUP(AL1550/BQ1550,0))</f>
        <v>0</v>
      </c>
      <c r="AN1550" s="59" t="n">
        <f aca="false">IF(CD1550&gt;0,CD1550*MAX(1,AL1550/V1550),IF(BR1550=1,IF(AL1550&lt;=0,0,BS1550*MAX(1,IF(G1550&gt;0,AL1550/G1550,1))),IF(Q1550&gt;0,AM1550/Q1550,0))/MAX(0.1,N(Parameter!$M$21)))</f>
        <v>0</v>
      </c>
      <c r="AO1550" s="57" t="n">
        <f aca="false">AL1550*F1550</f>
        <v>0</v>
      </c>
      <c r="AP1550" s="57" t="n">
        <f aca="false">ROUNDUP(MAX(I1550/IF(BV1550&gt;0,BV1550,MAX(0.1,N(Cockpit!$I$6))),BY1550)/BQ1550,0)*BQ1550</f>
        <v>0</v>
      </c>
      <c r="AQ1550" s="58" t="n">
        <f aca="false">IF(AN1550&gt;0,I1550/AN1550,-1)</f>
        <v>-1</v>
      </c>
      <c r="AR1550" s="58" t="str">
        <f aca="false">IF(AND(OR(BU1550="L1",BU1550="L23"),AN1550&gt;0),SUMIFS($AN$7:$AN$1576,$BU$7:$BU$1576,BU1550,$AQ$7:$AQ$1576,"&gt;"&amp;AQ1550)+SUMIFS($AN$7:$AN$1576,$BU$7:$BU$1576,BU1550,$AQ$7:$AQ$1576,AQ1550,$BO$7:$BO$1576,"&lt;="&amp;BO1550),"")</f>
        <v/>
      </c>
      <c r="AS1550" s="65" t="n">
        <f aca="false">IF(AR1550="",0,MAX(0,MIN(1,(IF(BU1550="L1",Parameter!$E$5,Parameter!$E$6+Parameter!$E$7)-(AR1550-AN1550))/AN1550)))</f>
        <v>0</v>
      </c>
      <c r="AT1550" s="57" t="n">
        <f aca="false">IF(LEFT(Cockpit!$O$5,1)="A",G1550,IF(BW1550=1,BX1550,IF(LEFT(Cockpit!$O$5,1)="B",AX1550,MAX(AX1550,G1550))))</f>
        <v>0</v>
      </c>
      <c r="AU1550" s="57" t="n">
        <f aca="false">IF(BR1550=1,0,ROUNDUP(AT1550/BQ1550,0))</f>
        <v>0</v>
      </c>
      <c r="AV1550" s="59" t="n">
        <f aca="false">IF(CD1550&gt;0,CD1550*MAX(1,AT1550/V1550),IF(BR1550=1,IF(AT1550&lt;=0,0,BS1550*MAX(1,IF(G1550&gt;0,AT1550/G1550,1))),IF(Q1550&gt;0,AU1550/Q1550,0))/MAX(0.1,N(Parameter!$M$21)))</f>
        <v>0</v>
      </c>
      <c r="AW1550" s="57" t="n">
        <f aca="false">AT1550*F1550</f>
        <v>0</v>
      </c>
      <c r="AX1550" s="57" t="n">
        <f aca="false">ROUNDUP(MAX(I1550/IF(BV1550&gt;0,BV1550,MAX(0.1,N(Cockpit!$O$6))),BY1550)/BQ1550,0)*BQ1550</f>
        <v>0</v>
      </c>
      <c r="AY1550" s="58" t="n">
        <f aca="false">IF(AV1550&gt;0,I1550/AV1550,-1)</f>
        <v>-1</v>
      </c>
      <c r="AZ1550" s="58" t="str">
        <f aca="false">IF(AND(OR(BU1550="L1",BU1550="L23"),AV1550&gt;0),SUMIFS($AV$7:$AV$1576,$BU$7:$BU$1576,BU1550,$AY$7:$AY$1576,"&gt;"&amp;AY1550)+SUMIFS($AV$7:$AV$1576,$BU$7:$BU$1576,BU1550,$AY$7:$AY$1576,AY1550,$BO$7:$BO$1576,"&lt;="&amp;BO1550),"")</f>
        <v/>
      </c>
      <c r="BA1550" s="65" t="n">
        <f aca="false">IF(AZ1550="",0,MAX(0,MIN(1,(IF(BU1550="L1",Parameter!$E$5,Parameter!$E$6+Parameter!$E$7)-(AZ1550-AV1550))/AV1550)))</f>
        <v>0</v>
      </c>
      <c r="BB1550" s="55" t="str">
        <f aca="false">IF(AF1550&lt;=0,"",IF(BU1550="Aussen","Aussenlager",IF(BU1550="-","Nicht im Lift",IF(AK1550&gt;=1,"Lift",IF(AK1550&lt;=0,"Aussenlager","teilweise")))))</f>
        <v/>
      </c>
      <c r="BC1550" s="55" t="str">
        <f aca="false">IF(AN1550&lt;=0,"",IF(BU1550="Aussen","Aussenlager",IF(BU1550="-","Nicht im Lift",IF(AS1550&gt;=1,"Lift",IF(AS1550&lt;=0,"Aussenlager","teilweise")))))</f>
        <v/>
      </c>
      <c r="BD1550" s="55" t="str">
        <f aca="false">IF(AV1550&lt;=0,"",IF(BU1550="Aussen","Aussenlager",IF(BU1550="-","Nicht im Lift",IF(BA1550&gt;=1,"Lift",IF(BA1550&lt;=0,"Aussenlager","teilweise")))))</f>
        <v/>
      </c>
      <c r="BE1550" s="55" t="str">
        <f aca="false">IF(A1550="","",IF(BN1550=1,"Neu; ","")&amp;IF(AND(BN1550=0,BI1550&lt;0),"negativer Bestand (Export "&amp;BI1550&amp;"); ","")&amp;IF(I1550&lt;=0,"Kein Verbrauch; ","")&amp;IF(CD1550&gt;0,"Lift "&amp;U1550&amp;" lt. Liftbericht (Fach "&amp;V1550&amp;" Stk); ",IF(BR1550=1,"Lose – Fläche geschätzt; ",""))&amp;IF(G1550&gt;AP1550,"Überbestand "&amp;ROUND(G1550-AP1550,0)&amp;" Stk / CHF "&amp;ROUND((G1550-AP1550)*F1550,0)&amp;"; ","")&amp;IF(AND(BW1550=1,BX1550&lt;BY1550),"MAX &lt; MB+LG; ","")&amp;IF(AND(CC1550&gt;0,CB1550*10&gt;CC1550),"zu hoch für Tablar; ","")&amp;IF(AND(BN1550=0,OR(BW1550=1,Y1550&lt;&gt;"",S1550&lt;&gt;"",T1550&lt;&gt;"",Z1550&lt;&gt;"")),"manuell übersteuert; ","")&amp;IF(AND(BR1550=0,Q1550=0),"Gebinde unbekannt / Stellmass fehlt; ","")&amp;IF(AND(BR1550=0,N(T1550)&lt;=0,N(P1550)&lt;=0),"Menge pro Gebinde fehlt (Ist = 1 Gebinde); ","")&amp;BM1550)</f>
        <v/>
      </c>
      <c r="BF1550" s="55"/>
      <c r="BG1550" s="55"/>
      <c r="BH1550" s="62"/>
      <c r="BI1550" s="57" t="n">
        <f aca="false">N('Neue Artikel'!$D$78)</f>
        <v>0</v>
      </c>
      <c r="BJ1550" s="57" t="n">
        <v>0</v>
      </c>
      <c r="BK1550" s="56" t="n">
        <v>0</v>
      </c>
      <c r="BL1550" s="57" t="n">
        <f aca="false">N('Neue Artikel'!$C$78)/Parameter!$B$18</f>
        <v>0</v>
      </c>
      <c r="BM1550" s="55"/>
      <c r="BN1550" s="60" t="n">
        <v>1</v>
      </c>
      <c r="BO1550" s="60" t="n">
        <v>1550</v>
      </c>
      <c r="BP1550" s="55" t="str">
        <f aca="false">IF(S1550&lt;&gt;"",UPPER(TRIM(S1550)),IF(O1550="","LOSE",O1550))</f>
        <v>LOSE</v>
      </c>
      <c r="BQ1550" s="57" t="n">
        <f aca="false">IF(BP1550="LOSE",1,IF(N(T1550)&gt;0,T1550,IF(N(P1550)&gt;0,P1550,MAX(1,G1550))))</f>
        <v>1</v>
      </c>
      <c r="BR1550" s="60" t="n">
        <f aca="false">IF(BP1550="LOSE",1,0)</f>
        <v>1</v>
      </c>
      <c r="BS1550" s="59" t="n">
        <f aca="false">IF(BR1550=0,0,IF(N(R1550)&gt;0,R1550,IFERROR(VLOOKUP(D1550,Parameter!$A$35:$C$64,3,0)+0,0)))</f>
        <v>0.15</v>
      </c>
      <c r="BT1550" s="55" t="str">
        <f aca="false">IF(Y1550&lt;&gt;"",Y1550,X1550)</f>
        <v/>
      </c>
      <c r="BU1550" s="55" t="str">
        <f aca="false">IF(BT1550=1,"L1",IF(OR(BT1550=2,BT1550=3),"L23",IF(BT1550="Aussen","Aussen","-")))</f>
        <v>-</v>
      </c>
      <c r="BV1550" s="66" t="n">
        <f aca="false">IF(N(Z1550)&gt;0,Z1550,0)</f>
        <v>0</v>
      </c>
      <c r="BW1550" s="60" t="n">
        <f aca="false">IF(ISNUMBER(AC1550),1,0)</f>
        <v>0</v>
      </c>
      <c r="BX1550" s="57" t="n">
        <f aca="false">N(AC1550)</f>
        <v>0</v>
      </c>
      <c r="BY1550" s="57" t="n">
        <f aca="false">N(L1550)+N(M1550)</f>
        <v>0</v>
      </c>
      <c r="BZ1550" s="57" t="n">
        <f aca="false">ROUNDUP(G1550/BQ1550,0)</f>
        <v>0</v>
      </c>
      <c r="CA1550" s="57" t="n">
        <f aca="false">ROUNDUP(BX1550/BQ1550,0)</f>
        <v>0</v>
      </c>
      <c r="CB1550" s="60" t="n">
        <f aca="false">IF(BR1550=1,0,IFERROR(VLOOKUP(BP1550,'Gebinde-Kategorie'!$A$5:$M$45,5,0)+0,0))</f>
        <v>0</v>
      </c>
      <c r="CC1550" s="60" t="n">
        <f aca="false">IFERROR(IF(OR(BT1550=1,BT1550=2,BT1550=3),N(INDEX(Parameter!$I$5:$I$7,BT1550)),0),0)</f>
        <v>0</v>
      </c>
      <c r="CD1550" s="59" t="n">
        <f aca="false">IF(AND(Parameter!$B$21="Ja",ISNUMBER(U1550),N(V1550)&gt;0),IFERROR(N(INDEX(Parameter!$L$5:$L$7,U1550))*INDEX(Parameter!$E$5:$E$7,U1550)*V1550/SUMIFS($V$7:$V$1576,$U$7:$U$1576,U1550),0),0)</f>
        <v>0</v>
      </c>
    </row>
    <row r="1551" customFormat="false" ht="15" hidden="false" customHeight="false" outlineLevel="0" collapsed="false">
      <c r="A1551" s="55" t="str">
        <f aca="false">IF('Neue Artikel'!$A$79="","",'Neue Artikel'!$A$79&amp;"")</f>
        <v/>
      </c>
      <c r="B1551" s="55" t="str">
        <f aca="false">'Neue Artikel'!$B$79&amp;""</f>
        <v/>
      </c>
      <c r="C1551" s="55"/>
      <c r="D1551" s="55" t="s">
        <v>2561</v>
      </c>
      <c r="E1551" s="55"/>
      <c r="F1551" s="56" t="n">
        <f aca="false">N('Neue Artikel'!$G$79)</f>
        <v>0</v>
      </c>
      <c r="G1551" s="57" t="n">
        <f aca="false">MAX(0,IF(AND(Parameter!$B$21="Ja",ISNUMBER(W1551)),W1551,IF(Parameter!$B$20="Jahresanfang 2025 + Export",BJ1551+BI1551,BI1551)))</f>
        <v>0</v>
      </c>
      <c r="H1551" s="57" t="n">
        <f aca="false">G1551*F1551</f>
        <v>0</v>
      </c>
      <c r="I1551" s="57" t="n">
        <f aca="false">BL1551*Parameter!$B$18</f>
        <v>0</v>
      </c>
      <c r="J1551" s="58"/>
      <c r="K1551" s="59"/>
      <c r="L1551" s="57" t="n">
        <f aca="false">N('Neue Artikel'!$E$79)</f>
        <v>0</v>
      </c>
      <c r="M1551" s="57" t="n">
        <f aca="false">N('Neue Artikel'!$F$79)</f>
        <v>0</v>
      </c>
      <c r="N1551" s="60"/>
      <c r="O1551" s="55" t="str">
        <f aca="false">IF('Neue Artikel'!$H$79="","LOSE",UPPER(TRIM('Neue Artikel'!$H$79)))</f>
        <v>LOSE</v>
      </c>
      <c r="P1551" s="57" t="n">
        <f aca="false">N('Neue Artikel'!$I$79)</f>
        <v>0</v>
      </c>
      <c r="Q1551" s="60" t="n">
        <f aca="false">IF(BR1551=1,0,IFERROR(VLOOKUP(BP1551,'Gebinde-Kategorie'!$A$5:$M$45,13,0)+0,0))</f>
        <v>0</v>
      </c>
      <c r="R1551" s="61"/>
      <c r="S1551" s="62"/>
      <c r="T1551" s="62"/>
      <c r="U1551" s="55"/>
      <c r="V1551" s="57"/>
      <c r="W1551" s="57"/>
      <c r="X1551" s="55" t="str">
        <f aca="false">IF(A1551="","",IF(AND(Parameter!$B$21="Ja",ISNUMBER(U1551)),U1551,IF(IFERROR(VLOOKUP(D1551,Parameter!$A$35:$C$64,2,0),"Nein")="2+3",IF(ISNUMBER(SEARCH("grosser Artikel",BM1551)),2,IFERROR(VLOOKUP(BP1551,Parameter!$F$35:$G$64,2,0),2)),IF(OR(IFERROR(VLOOKUP(D1551,Parameter!$A$35:$C$64,2,0),"Nein")="Nein",IFERROR(VLOOKUP(D1551,Parameter!$A$35:$C$64,2,0),"Nein")=""),"-",VLOOKUP(D1551,Parameter!$A$35:$C$64,2,0)))))</f>
        <v/>
      </c>
      <c r="Y1551" s="55" t="str">
        <f aca="false">IF('Neue Artikel'!$J$79="","",'Neue Artikel'!$J$79)</f>
        <v/>
      </c>
      <c r="Z1551" s="63"/>
      <c r="AA1551" s="57" t="n">
        <f aca="false">AP1551</f>
        <v>0</v>
      </c>
      <c r="AB1551" s="57" t="n">
        <f aca="false">MAX(AP1551,G1551)</f>
        <v>0</v>
      </c>
      <c r="AC1551" s="64"/>
      <c r="AD1551" s="57" t="n">
        <f aca="false">IF(LEFT(Cockpit!$C$5,1)="A",G1551,IF(BW1551=1,BX1551,IF(LEFT(Cockpit!$C$5,1)="B",AH1551,MAX(AH1551,G1551))))</f>
        <v>0</v>
      </c>
      <c r="AE1551" s="57" t="n">
        <f aca="false">IF(BR1551=1,0,ROUNDUP(AD1551/BQ1551,0))</f>
        <v>0</v>
      </c>
      <c r="AF1551" s="59" t="n">
        <f aca="false">IF(CD1551&gt;0,CD1551*MAX(1,AD1551/V1551),IF(BR1551=1,IF(AD1551&lt;=0,0,BS1551*MAX(1,IF(G1551&gt;0,AD1551/G1551,1))),IF(Q1551&gt;0,AE1551/Q1551,0))/MAX(0.1,N(Parameter!$M$21)))</f>
        <v>0</v>
      </c>
      <c r="AG1551" s="57" t="n">
        <f aca="false">AD1551*F1551</f>
        <v>0</v>
      </c>
      <c r="AH1551" s="57" t="n">
        <f aca="false">ROUNDUP(MAX(I1551/IF(BV1551&gt;0,BV1551,MAX(0.1,N(Cockpit!$C$6))),BY1551)/BQ1551,0)*BQ1551</f>
        <v>0</v>
      </c>
      <c r="AI1551" s="58" t="n">
        <f aca="false">IF(AF1551&gt;0,I1551/AF1551,-1)</f>
        <v>-1</v>
      </c>
      <c r="AJ1551" s="58" t="str">
        <f aca="false">IF(AND(OR(BU1551="L1",BU1551="L23"),AF1551&gt;0),SUMIFS($AF$7:$AF$1576,$BU$7:$BU$1576,BU1551,$AI$7:$AI$1576,"&gt;"&amp;AI1551)+SUMIFS($AF$7:$AF$1576,$BU$7:$BU$1576,BU1551,$AI$7:$AI$1576,AI1551,$BO$7:$BO$1576,"&lt;="&amp;BO1551),"")</f>
        <v/>
      </c>
      <c r="AK1551" s="65" t="n">
        <f aca="false">IF(AJ1551="",0,MAX(0,MIN(1,(IF(BU1551="L1",Parameter!$E$5,Parameter!$E$6+Parameter!$E$7)-(AJ1551-AF1551))/AF1551)))</f>
        <v>0</v>
      </c>
      <c r="AL1551" s="57" t="n">
        <f aca="false">IF(LEFT(Cockpit!$I$5,1)="A",G1551,IF(BW1551=1,BX1551,IF(LEFT(Cockpit!$I$5,1)="B",AP1551,MAX(AP1551,G1551))))</f>
        <v>0</v>
      </c>
      <c r="AM1551" s="57" t="n">
        <f aca="false">IF(BR1551=1,0,ROUNDUP(AL1551/BQ1551,0))</f>
        <v>0</v>
      </c>
      <c r="AN1551" s="59" t="n">
        <f aca="false">IF(CD1551&gt;0,CD1551*MAX(1,AL1551/V1551),IF(BR1551=1,IF(AL1551&lt;=0,0,BS1551*MAX(1,IF(G1551&gt;0,AL1551/G1551,1))),IF(Q1551&gt;0,AM1551/Q1551,0))/MAX(0.1,N(Parameter!$M$21)))</f>
        <v>0</v>
      </c>
      <c r="AO1551" s="57" t="n">
        <f aca="false">AL1551*F1551</f>
        <v>0</v>
      </c>
      <c r="AP1551" s="57" t="n">
        <f aca="false">ROUNDUP(MAX(I1551/IF(BV1551&gt;0,BV1551,MAX(0.1,N(Cockpit!$I$6))),BY1551)/BQ1551,0)*BQ1551</f>
        <v>0</v>
      </c>
      <c r="AQ1551" s="58" t="n">
        <f aca="false">IF(AN1551&gt;0,I1551/AN1551,-1)</f>
        <v>-1</v>
      </c>
      <c r="AR1551" s="58" t="str">
        <f aca="false">IF(AND(OR(BU1551="L1",BU1551="L23"),AN1551&gt;0),SUMIFS($AN$7:$AN$1576,$BU$7:$BU$1576,BU1551,$AQ$7:$AQ$1576,"&gt;"&amp;AQ1551)+SUMIFS($AN$7:$AN$1576,$BU$7:$BU$1576,BU1551,$AQ$7:$AQ$1576,AQ1551,$BO$7:$BO$1576,"&lt;="&amp;BO1551),"")</f>
        <v/>
      </c>
      <c r="AS1551" s="65" t="n">
        <f aca="false">IF(AR1551="",0,MAX(0,MIN(1,(IF(BU1551="L1",Parameter!$E$5,Parameter!$E$6+Parameter!$E$7)-(AR1551-AN1551))/AN1551)))</f>
        <v>0</v>
      </c>
      <c r="AT1551" s="57" t="n">
        <f aca="false">IF(LEFT(Cockpit!$O$5,1)="A",G1551,IF(BW1551=1,BX1551,IF(LEFT(Cockpit!$O$5,1)="B",AX1551,MAX(AX1551,G1551))))</f>
        <v>0</v>
      </c>
      <c r="AU1551" s="57" t="n">
        <f aca="false">IF(BR1551=1,0,ROUNDUP(AT1551/BQ1551,0))</f>
        <v>0</v>
      </c>
      <c r="AV1551" s="59" t="n">
        <f aca="false">IF(CD1551&gt;0,CD1551*MAX(1,AT1551/V1551),IF(BR1551=1,IF(AT1551&lt;=0,0,BS1551*MAX(1,IF(G1551&gt;0,AT1551/G1551,1))),IF(Q1551&gt;0,AU1551/Q1551,0))/MAX(0.1,N(Parameter!$M$21)))</f>
        <v>0</v>
      </c>
      <c r="AW1551" s="57" t="n">
        <f aca="false">AT1551*F1551</f>
        <v>0</v>
      </c>
      <c r="AX1551" s="57" t="n">
        <f aca="false">ROUNDUP(MAX(I1551/IF(BV1551&gt;0,BV1551,MAX(0.1,N(Cockpit!$O$6))),BY1551)/BQ1551,0)*BQ1551</f>
        <v>0</v>
      </c>
      <c r="AY1551" s="58" t="n">
        <f aca="false">IF(AV1551&gt;0,I1551/AV1551,-1)</f>
        <v>-1</v>
      </c>
      <c r="AZ1551" s="58" t="str">
        <f aca="false">IF(AND(OR(BU1551="L1",BU1551="L23"),AV1551&gt;0),SUMIFS($AV$7:$AV$1576,$BU$7:$BU$1576,BU1551,$AY$7:$AY$1576,"&gt;"&amp;AY1551)+SUMIFS($AV$7:$AV$1576,$BU$7:$BU$1576,BU1551,$AY$7:$AY$1576,AY1551,$BO$7:$BO$1576,"&lt;="&amp;BO1551),"")</f>
        <v/>
      </c>
      <c r="BA1551" s="65" t="n">
        <f aca="false">IF(AZ1551="",0,MAX(0,MIN(1,(IF(BU1551="L1",Parameter!$E$5,Parameter!$E$6+Parameter!$E$7)-(AZ1551-AV1551))/AV1551)))</f>
        <v>0</v>
      </c>
      <c r="BB1551" s="55" t="str">
        <f aca="false">IF(AF1551&lt;=0,"",IF(BU1551="Aussen","Aussenlager",IF(BU1551="-","Nicht im Lift",IF(AK1551&gt;=1,"Lift",IF(AK1551&lt;=0,"Aussenlager","teilweise")))))</f>
        <v/>
      </c>
      <c r="BC1551" s="55" t="str">
        <f aca="false">IF(AN1551&lt;=0,"",IF(BU1551="Aussen","Aussenlager",IF(BU1551="-","Nicht im Lift",IF(AS1551&gt;=1,"Lift",IF(AS1551&lt;=0,"Aussenlager","teilweise")))))</f>
        <v/>
      </c>
      <c r="BD1551" s="55" t="str">
        <f aca="false">IF(AV1551&lt;=0,"",IF(BU1551="Aussen","Aussenlager",IF(BU1551="-","Nicht im Lift",IF(BA1551&gt;=1,"Lift",IF(BA1551&lt;=0,"Aussenlager","teilweise")))))</f>
        <v/>
      </c>
      <c r="BE1551" s="55" t="str">
        <f aca="false">IF(A1551="","",IF(BN1551=1,"Neu; ","")&amp;IF(AND(BN1551=0,BI1551&lt;0),"negativer Bestand (Export "&amp;BI1551&amp;"); ","")&amp;IF(I1551&lt;=0,"Kein Verbrauch; ","")&amp;IF(CD1551&gt;0,"Lift "&amp;U1551&amp;" lt. Liftbericht (Fach "&amp;V1551&amp;" Stk); ",IF(BR1551=1,"Lose – Fläche geschätzt; ",""))&amp;IF(G1551&gt;AP1551,"Überbestand "&amp;ROUND(G1551-AP1551,0)&amp;" Stk / CHF "&amp;ROUND((G1551-AP1551)*F1551,0)&amp;"; ","")&amp;IF(AND(BW1551=1,BX1551&lt;BY1551),"MAX &lt; MB+LG; ","")&amp;IF(AND(CC1551&gt;0,CB1551*10&gt;CC1551),"zu hoch für Tablar; ","")&amp;IF(AND(BN1551=0,OR(BW1551=1,Y1551&lt;&gt;"",S1551&lt;&gt;"",T1551&lt;&gt;"",Z1551&lt;&gt;"")),"manuell übersteuert; ","")&amp;IF(AND(BR1551=0,Q1551=0),"Gebinde unbekannt / Stellmass fehlt; ","")&amp;IF(AND(BR1551=0,N(T1551)&lt;=0,N(P1551)&lt;=0),"Menge pro Gebinde fehlt (Ist = 1 Gebinde); ","")&amp;BM1551)</f>
        <v/>
      </c>
      <c r="BF1551" s="55"/>
      <c r="BG1551" s="55"/>
      <c r="BH1551" s="62"/>
      <c r="BI1551" s="57" t="n">
        <f aca="false">N('Neue Artikel'!$D$79)</f>
        <v>0</v>
      </c>
      <c r="BJ1551" s="57" t="n">
        <v>0</v>
      </c>
      <c r="BK1551" s="56" t="n">
        <v>0</v>
      </c>
      <c r="BL1551" s="57" t="n">
        <f aca="false">N('Neue Artikel'!$C$79)/Parameter!$B$18</f>
        <v>0</v>
      </c>
      <c r="BM1551" s="55"/>
      <c r="BN1551" s="60" t="n">
        <v>1</v>
      </c>
      <c r="BO1551" s="60" t="n">
        <v>1551</v>
      </c>
      <c r="BP1551" s="55" t="str">
        <f aca="false">IF(S1551&lt;&gt;"",UPPER(TRIM(S1551)),IF(O1551="","LOSE",O1551))</f>
        <v>LOSE</v>
      </c>
      <c r="BQ1551" s="57" t="n">
        <f aca="false">IF(BP1551="LOSE",1,IF(N(T1551)&gt;0,T1551,IF(N(P1551)&gt;0,P1551,MAX(1,G1551))))</f>
        <v>1</v>
      </c>
      <c r="BR1551" s="60" t="n">
        <f aca="false">IF(BP1551="LOSE",1,0)</f>
        <v>1</v>
      </c>
      <c r="BS1551" s="59" t="n">
        <f aca="false">IF(BR1551=0,0,IF(N(R1551)&gt;0,R1551,IFERROR(VLOOKUP(D1551,Parameter!$A$35:$C$64,3,0)+0,0)))</f>
        <v>0.15</v>
      </c>
      <c r="BT1551" s="55" t="str">
        <f aca="false">IF(Y1551&lt;&gt;"",Y1551,X1551)</f>
        <v/>
      </c>
      <c r="BU1551" s="55" t="str">
        <f aca="false">IF(BT1551=1,"L1",IF(OR(BT1551=2,BT1551=3),"L23",IF(BT1551="Aussen","Aussen","-")))</f>
        <v>-</v>
      </c>
      <c r="BV1551" s="66" t="n">
        <f aca="false">IF(N(Z1551)&gt;0,Z1551,0)</f>
        <v>0</v>
      </c>
      <c r="BW1551" s="60" t="n">
        <f aca="false">IF(ISNUMBER(AC1551),1,0)</f>
        <v>0</v>
      </c>
      <c r="BX1551" s="57" t="n">
        <f aca="false">N(AC1551)</f>
        <v>0</v>
      </c>
      <c r="BY1551" s="57" t="n">
        <f aca="false">N(L1551)+N(M1551)</f>
        <v>0</v>
      </c>
      <c r="BZ1551" s="57" t="n">
        <f aca="false">ROUNDUP(G1551/BQ1551,0)</f>
        <v>0</v>
      </c>
      <c r="CA1551" s="57" t="n">
        <f aca="false">ROUNDUP(BX1551/BQ1551,0)</f>
        <v>0</v>
      </c>
      <c r="CB1551" s="60" t="n">
        <f aca="false">IF(BR1551=1,0,IFERROR(VLOOKUP(BP1551,'Gebinde-Kategorie'!$A$5:$M$45,5,0)+0,0))</f>
        <v>0</v>
      </c>
      <c r="CC1551" s="60" t="n">
        <f aca="false">IFERROR(IF(OR(BT1551=1,BT1551=2,BT1551=3),N(INDEX(Parameter!$I$5:$I$7,BT1551)),0),0)</f>
        <v>0</v>
      </c>
      <c r="CD1551" s="59" t="n">
        <f aca="false">IF(AND(Parameter!$B$21="Ja",ISNUMBER(U1551),N(V1551)&gt;0),IFERROR(N(INDEX(Parameter!$L$5:$L$7,U1551))*INDEX(Parameter!$E$5:$E$7,U1551)*V1551/SUMIFS($V$7:$V$1576,$U$7:$U$1576,U1551),0),0)</f>
        <v>0</v>
      </c>
    </row>
    <row r="1552" customFormat="false" ht="15" hidden="false" customHeight="false" outlineLevel="0" collapsed="false">
      <c r="A1552" s="55" t="str">
        <f aca="false">IF('Neue Artikel'!$A$80="","",'Neue Artikel'!$A$80&amp;"")</f>
        <v/>
      </c>
      <c r="B1552" s="55" t="str">
        <f aca="false">'Neue Artikel'!$B$80&amp;""</f>
        <v/>
      </c>
      <c r="C1552" s="55"/>
      <c r="D1552" s="55" t="s">
        <v>2561</v>
      </c>
      <c r="E1552" s="55"/>
      <c r="F1552" s="56" t="n">
        <f aca="false">N('Neue Artikel'!$G$80)</f>
        <v>0</v>
      </c>
      <c r="G1552" s="57" t="n">
        <f aca="false">MAX(0,IF(AND(Parameter!$B$21="Ja",ISNUMBER(W1552)),W1552,IF(Parameter!$B$20="Jahresanfang 2025 + Export",BJ1552+BI1552,BI1552)))</f>
        <v>0</v>
      </c>
      <c r="H1552" s="57" t="n">
        <f aca="false">G1552*F1552</f>
        <v>0</v>
      </c>
      <c r="I1552" s="57" t="n">
        <f aca="false">BL1552*Parameter!$B$18</f>
        <v>0</v>
      </c>
      <c r="J1552" s="58"/>
      <c r="K1552" s="59"/>
      <c r="L1552" s="57" t="n">
        <f aca="false">N('Neue Artikel'!$E$80)</f>
        <v>0</v>
      </c>
      <c r="M1552" s="57" t="n">
        <f aca="false">N('Neue Artikel'!$F$80)</f>
        <v>0</v>
      </c>
      <c r="N1552" s="60"/>
      <c r="O1552" s="55" t="str">
        <f aca="false">IF('Neue Artikel'!$H$80="","LOSE",UPPER(TRIM('Neue Artikel'!$H$80)))</f>
        <v>LOSE</v>
      </c>
      <c r="P1552" s="57" t="n">
        <f aca="false">N('Neue Artikel'!$I$80)</f>
        <v>0</v>
      </c>
      <c r="Q1552" s="60" t="n">
        <f aca="false">IF(BR1552=1,0,IFERROR(VLOOKUP(BP1552,'Gebinde-Kategorie'!$A$5:$M$45,13,0)+0,0))</f>
        <v>0</v>
      </c>
      <c r="R1552" s="61"/>
      <c r="S1552" s="62"/>
      <c r="T1552" s="62"/>
      <c r="U1552" s="55"/>
      <c r="V1552" s="57"/>
      <c r="W1552" s="57"/>
      <c r="X1552" s="55" t="str">
        <f aca="false">IF(A1552="","",IF(AND(Parameter!$B$21="Ja",ISNUMBER(U1552)),U1552,IF(IFERROR(VLOOKUP(D1552,Parameter!$A$35:$C$64,2,0),"Nein")="2+3",IF(ISNUMBER(SEARCH("grosser Artikel",BM1552)),2,IFERROR(VLOOKUP(BP1552,Parameter!$F$35:$G$64,2,0),2)),IF(OR(IFERROR(VLOOKUP(D1552,Parameter!$A$35:$C$64,2,0),"Nein")="Nein",IFERROR(VLOOKUP(D1552,Parameter!$A$35:$C$64,2,0),"Nein")=""),"-",VLOOKUP(D1552,Parameter!$A$35:$C$64,2,0)))))</f>
        <v/>
      </c>
      <c r="Y1552" s="55" t="str">
        <f aca="false">IF('Neue Artikel'!$J$80="","",'Neue Artikel'!$J$80)</f>
        <v/>
      </c>
      <c r="Z1552" s="63"/>
      <c r="AA1552" s="57" t="n">
        <f aca="false">AP1552</f>
        <v>0</v>
      </c>
      <c r="AB1552" s="57" t="n">
        <f aca="false">MAX(AP1552,G1552)</f>
        <v>0</v>
      </c>
      <c r="AC1552" s="64"/>
      <c r="AD1552" s="57" t="n">
        <f aca="false">IF(LEFT(Cockpit!$C$5,1)="A",G1552,IF(BW1552=1,BX1552,IF(LEFT(Cockpit!$C$5,1)="B",AH1552,MAX(AH1552,G1552))))</f>
        <v>0</v>
      </c>
      <c r="AE1552" s="57" t="n">
        <f aca="false">IF(BR1552=1,0,ROUNDUP(AD1552/BQ1552,0))</f>
        <v>0</v>
      </c>
      <c r="AF1552" s="59" t="n">
        <f aca="false">IF(CD1552&gt;0,CD1552*MAX(1,AD1552/V1552),IF(BR1552=1,IF(AD1552&lt;=0,0,BS1552*MAX(1,IF(G1552&gt;0,AD1552/G1552,1))),IF(Q1552&gt;0,AE1552/Q1552,0))/MAX(0.1,N(Parameter!$M$21)))</f>
        <v>0</v>
      </c>
      <c r="AG1552" s="57" t="n">
        <f aca="false">AD1552*F1552</f>
        <v>0</v>
      </c>
      <c r="AH1552" s="57" t="n">
        <f aca="false">ROUNDUP(MAX(I1552/IF(BV1552&gt;0,BV1552,MAX(0.1,N(Cockpit!$C$6))),BY1552)/BQ1552,0)*BQ1552</f>
        <v>0</v>
      </c>
      <c r="AI1552" s="58" t="n">
        <f aca="false">IF(AF1552&gt;0,I1552/AF1552,-1)</f>
        <v>-1</v>
      </c>
      <c r="AJ1552" s="58" t="str">
        <f aca="false">IF(AND(OR(BU1552="L1",BU1552="L23"),AF1552&gt;0),SUMIFS($AF$7:$AF$1576,$BU$7:$BU$1576,BU1552,$AI$7:$AI$1576,"&gt;"&amp;AI1552)+SUMIFS($AF$7:$AF$1576,$BU$7:$BU$1576,BU1552,$AI$7:$AI$1576,AI1552,$BO$7:$BO$1576,"&lt;="&amp;BO1552),"")</f>
        <v/>
      </c>
      <c r="AK1552" s="65" t="n">
        <f aca="false">IF(AJ1552="",0,MAX(0,MIN(1,(IF(BU1552="L1",Parameter!$E$5,Parameter!$E$6+Parameter!$E$7)-(AJ1552-AF1552))/AF1552)))</f>
        <v>0</v>
      </c>
      <c r="AL1552" s="57" t="n">
        <f aca="false">IF(LEFT(Cockpit!$I$5,1)="A",G1552,IF(BW1552=1,BX1552,IF(LEFT(Cockpit!$I$5,1)="B",AP1552,MAX(AP1552,G1552))))</f>
        <v>0</v>
      </c>
      <c r="AM1552" s="57" t="n">
        <f aca="false">IF(BR1552=1,0,ROUNDUP(AL1552/BQ1552,0))</f>
        <v>0</v>
      </c>
      <c r="AN1552" s="59" t="n">
        <f aca="false">IF(CD1552&gt;0,CD1552*MAX(1,AL1552/V1552),IF(BR1552=1,IF(AL1552&lt;=0,0,BS1552*MAX(1,IF(G1552&gt;0,AL1552/G1552,1))),IF(Q1552&gt;0,AM1552/Q1552,0))/MAX(0.1,N(Parameter!$M$21)))</f>
        <v>0</v>
      </c>
      <c r="AO1552" s="57" t="n">
        <f aca="false">AL1552*F1552</f>
        <v>0</v>
      </c>
      <c r="AP1552" s="57" t="n">
        <f aca="false">ROUNDUP(MAX(I1552/IF(BV1552&gt;0,BV1552,MAX(0.1,N(Cockpit!$I$6))),BY1552)/BQ1552,0)*BQ1552</f>
        <v>0</v>
      </c>
      <c r="AQ1552" s="58" t="n">
        <f aca="false">IF(AN1552&gt;0,I1552/AN1552,-1)</f>
        <v>-1</v>
      </c>
      <c r="AR1552" s="58" t="str">
        <f aca="false">IF(AND(OR(BU1552="L1",BU1552="L23"),AN1552&gt;0),SUMIFS($AN$7:$AN$1576,$BU$7:$BU$1576,BU1552,$AQ$7:$AQ$1576,"&gt;"&amp;AQ1552)+SUMIFS($AN$7:$AN$1576,$BU$7:$BU$1576,BU1552,$AQ$7:$AQ$1576,AQ1552,$BO$7:$BO$1576,"&lt;="&amp;BO1552),"")</f>
        <v/>
      </c>
      <c r="AS1552" s="65" t="n">
        <f aca="false">IF(AR1552="",0,MAX(0,MIN(1,(IF(BU1552="L1",Parameter!$E$5,Parameter!$E$6+Parameter!$E$7)-(AR1552-AN1552))/AN1552)))</f>
        <v>0</v>
      </c>
      <c r="AT1552" s="57" t="n">
        <f aca="false">IF(LEFT(Cockpit!$O$5,1)="A",G1552,IF(BW1552=1,BX1552,IF(LEFT(Cockpit!$O$5,1)="B",AX1552,MAX(AX1552,G1552))))</f>
        <v>0</v>
      </c>
      <c r="AU1552" s="57" t="n">
        <f aca="false">IF(BR1552=1,0,ROUNDUP(AT1552/BQ1552,0))</f>
        <v>0</v>
      </c>
      <c r="AV1552" s="59" t="n">
        <f aca="false">IF(CD1552&gt;0,CD1552*MAX(1,AT1552/V1552),IF(BR1552=1,IF(AT1552&lt;=0,0,BS1552*MAX(1,IF(G1552&gt;0,AT1552/G1552,1))),IF(Q1552&gt;0,AU1552/Q1552,0))/MAX(0.1,N(Parameter!$M$21)))</f>
        <v>0</v>
      </c>
      <c r="AW1552" s="57" t="n">
        <f aca="false">AT1552*F1552</f>
        <v>0</v>
      </c>
      <c r="AX1552" s="57" t="n">
        <f aca="false">ROUNDUP(MAX(I1552/IF(BV1552&gt;0,BV1552,MAX(0.1,N(Cockpit!$O$6))),BY1552)/BQ1552,0)*BQ1552</f>
        <v>0</v>
      </c>
      <c r="AY1552" s="58" t="n">
        <f aca="false">IF(AV1552&gt;0,I1552/AV1552,-1)</f>
        <v>-1</v>
      </c>
      <c r="AZ1552" s="58" t="str">
        <f aca="false">IF(AND(OR(BU1552="L1",BU1552="L23"),AV1552&gt;0),SUMIFS($AV$7:$AV$1576,$BU$7:$BU$1576,BU1552,$AY$7:$AY$1576,"&gt;"&amp;AY1552)+SUMIFS($AV$7:$AV$1576,$BU$7:$BU$1576,BU1552,$AY$7:$AY$1576,AY1552,$BO$7:$BO$1576,"&lt;="&amp;BO1552),"")</f>
        <v/>
      </c>
      <c r="BA1552" s="65" t="n">
        <f aca="false">IF(AZ1552="",0,MAX(0,MIN(1,(IF(BU1552="L1",Parameter!$E$5,Parameter!$E$6+Parameter!$E$7)-(AZ1552-AV1552))/AV1552)))</f>
        <v>0</v>
      </c>
      <c r="BB1552" s="55" t="str">
        <f aca="false">IF(AF1552&lt;=0,"",IF(BU1552="Aussen","Aussenlager",IF(BU1552="-","Nicht im Lift",IF(AK1552&gt;=1,"Lift",IF(AK1552&lt;=0,"Aussenlager","teilweise")))))</f>
        <v/>
      </c>
      <c r="BC1552" s="55" t="str">
        <f aca="false">IF(AN1552&lt;=0,"",IF(BU1552="Aussen","Aussenlager",IF(BU1552="-","Nicht im Lift",IF(AS1552&gt;=1,"Lift",IF(AS1552&lt;=0,"Aussenlager","teilweise")))))</f>
        <v/>
      </c>
      <c r="BD1552" s="55" t="str">
        <f aca="false">IF(AV1552&lt;=0,"",IF(BU1552="Aussen","Aussenlager",IF(BU1552="-","Nicht im Lift",IF(BA1552&gt;=1,"Lift",IF(BA1552&lt;=0,"Aussenlager","teilweise")))))</f>
        <v/>
      </c>
      <c r="BE1552" s="55" t="str">
        <f aca="false">IF(A1552="","",IF(BN1552=1,"Neu; ","")&amp;IF(AND(BN1552=0,BI1552&lt;0),"negativer Bestand (Export "&amp;BI1552&amp;"); ","")&amp;IF(I1552&lt;=0,"Kein Verbrauch; ","")&amp;IF(CD1552&gt;0,"Lift "&amp;U1552&amp;" lt. Liftbericht (Fach "&amp;V1552&amp;" Stk); ",IF(BR1552=1,"Lose – Fläche geschätzt; ",""))&amp;IF(G1552&gt;AP1552,"Überbestand "&amp;ROUND(G1552-AP1552,0)&amp;" Stk / CHF "&amp;ROUND((G1552-AP1552)*F1552,0)&amp;"; ","")&amp;IF(AND(BW1552=1,BX1552&lt;BY1552),"MAX &lt; MB+LG; ","")&amp;IF(AND(CC1552&gt;0,CB1552*10&gt;CC1552),"zu hoch für Tablar; ","")&amp;IF(AND(BN1552=0,OR(BW1552=1,Y1552&lt;&gt;"",S1552&lt;&gt;"",T1552&lt;&gt;"",Z1552&lt;&gt;"")),"manuell übersteuert; ","")&amp;IF(AND(BR1552=0,Q1552=0),"Gebinde unbekannt / Stellmass fehlt; ","")&amp;IF(AND(BR1552=0,N(T1552)&lt;=0,N(P1552)&lt;=0),"Menge pro Gebinde fehlt (Ist = 1 Gebinde); ","")&amp;BM1552)</f>
        <v/>
      </c>
      <c r="BF1552" s="55"/>
      <c r="BG1552" s="55"/>
      <c r="BH1552" s="62"/>
      <c r="BI1552" s="57" t="n">
        <f aca="false">N('Neue Artikel'!$D$80)</f>
        <v>0</v>
      </c>
      <c r="BJ1552" s="57" t="n">
        <v>0</v>
      </c>
      <c r="BK1552" s="56" t="n">
        <v>0</v>
      </c>
      <c r="BL1552" s="57" t="n">
        <f aca="false">N('Neue Artikel'!$C$80)/Parameter!$B$18</f>
        <v>0</v>
      </c>
      <c r="BM1552" s="55"/>
      <c r="BN1552" s="60" t="n">
        <v>1</v>
      </c>
      <c r="BO1552" s="60" t="n">
        <v>1552</v>
      </c>
      <c r="BP1552" s="55" t="str">
        <f aca="false">IF(S1552&lt;&gt;"",UPPER(TRIM(S1552)),IF(O1552="","LOSE",O1552))</f>
        <v>LOSE</v>
      </c>
      <c r="BQ1552" s="57" t="n">
        <f aca="false">IF(BP1552="LOSE",1,IF(N(T1552)&gt;0,T1552,IF(N(P1552)&gt;0,P1552,MAX(1,G1552))))</f>
        <v>1</v>
      </c>
      <c r="BR1552" s="60" t="n">
        <f aca="false">IF(BP1552="LOSE",1,0)</f>
        <v>1</v>
      </c>
      <c r="BS1552" s="59" t="n">
        <f aca="false">IF(BR1552=0,0,IF(N(R1552)&gt;0,R1552,IFERROR(VLOOKUP(D1552,Parameter!$A$35:$C$64,3,0)+0,0)))</f>
        <v>0.15</v>
      </c>
      <c r="BT1552" s="55" t="str">
        <f aca="false">IF(Y1552&lt;&gt;"",Y1552,X1552)</f>
        <v/>
      </c>
      <c r="BU1552" s="55" t="str">
        <f aca="false">IF(BT1552=1,"L1",IF(OR(BT1552=2,BT1552=3),"L23",IF(BT1552="Aussen","Aussen","-")))</f>
        <v>-</v>
      </c>
      <c r="BV1552" s="66" t="n">
        <f aca="false">IF(N(Z1552)&gt;0,Z1552,0)</f>
        <v>0</v>
      </c>
      <c r="BW1552" s="60" t="n">
        <f aca="false">IF(ISNUMBER(AC1552),1,0)</f>
        <v>0</v>
      </c>
      <c r="BX1552" s="57" t="n">
        <f aca="false">N(AC1552)</f>
        <v>0</v>
      </c>
      <c r="BY1552" s="57" t="n">
        <f aca="false">N(L1552)+N(M1552)</f>
        <v>0</v>
      </c>
      <c r="BZ1552" s="57" t="n">
        <f aca="false">ROUNDUP(G1552/BQ1552,0)</f>
        <v>0</v>
      </c>
      <c r="CA1552" s="57" t="n">
        <f aca="false">ROUNDUP(BX1552/BQ1552,0)</f>
        <v>0</v>
      </c>
      <c r="CB1552" s="60" t="n">
        <f aca="false">IF(BR1552=1,0,IFERROR(VLOOKUP(BP1552,'Gebinde-Kategorie'!$A$5:$M$45,5,0)+0,0))</f>
        <v>0</v>
      </c>
      <c r="CC1552" s="60" t="n">
        <f aca="false">IFERROR(IF(OR(BT1552=1,BT1552=2,BT1552=3),N(INDEX(Parameter!$I$5:$I$7,BT1552)),0),0)</f>
        <v>0</v>
      </c>
      <c r="CD1552" s="59" t="n">
        <f aca="false">IF(AND(Parameter!$B$21="Ja",ISNUMBER(U1552),N(V1552)&gt;0),IFERROR(N(INDEX(Parameter!$L$5:$L$7,U1552))*INDEX(Parameter!$E$5:$E$7,U1552)*V1552/SUMIFS($V$7:$V$1576,$U$7:$U$1576,U1552),0),0)</f>
        <v>0</v>
      </c>
    </row>
    <row r="1553" customFormat="false" ht="15" hidden="false" customHeight="false" outlineLevel="0" collapsed="false">
      <c r="A1553" s="55" t="str">
        <f aca="false">IF('Neue Artikel'!$A$81="","",'Neue Artikel'!$A$81&amp;"")</f>
        <v/>
      </c>
      <c r="B1553" s="55" t="str">
        <f aca="false">'Neue Artikel'!$B$81&amp;""</f>
        <v/>
      </c>
      <c r="C1553" s="55"/>
      <c r="D1553" s="55" t="s">
        <v>2561</v>
      </c>
      <c r="E1553" s="55"/>
      <c r="F1553" s="56" t="n">
        <f aca="false">N('Neue Artikel'!$G$81)</f>
        <v>0</v>
      </c>
      <c r="G1553" s="57" t="n">
        <f aca="false">MAX(0,IF(AND(Parameter!$B$21="Ja",ISNUMBER(W1553)),W1553,IF(Parameter!$B$20="Jahresanfang 2025 + Export",BJ1553+BI1553,BI1553)))</f>
        <v>0</v>
      </c>
      <c r="H1553" s="57" t="n">
        <f aca="false">G1553*F1553</f>
        <v>0</v>
      </c>
      <c r="I1553" s="57" t="n">
        <f aca="false">BL1553*Parameter!$B$18</f>
        <v>0</v>
      </c>
      <c r="J1553" s="58"/>
      <c r="K1553" s="59"/>
      <c r="L1553" s="57" t="n">
        <f aca="false">N('Neue Artikel'!$E$81)</f>
        <v>0</v>
      </c>
      <c r="M1553" s="57" t="n">
        <f aca="false">N('Neue Artikel'!$F$81)</f>
        <v>0</v>
      </c>
      <c r="N1553" s="60"/>
      <c r="O1553" s="55" t="str">
        <f aca="false">IF('Neue Artikel'!$H$81="","LOSE",UPPER(TRIM('Neue Artikel'!$H$81)))</f>
        <v>LOSE</v>
      </c>
      <c r="P1553" s="57" t="n">
        <f aca="false">N('Neue Artikel'!$I$81)</f>
        <v>0</v>
      </c>
      <c r="Q1553" s="60" t="n">
        <f aca="false">IF(BR1553=1,0,IFERROR(VLOOKUP(BP1553,'Gebinde-Kategorie'!$A$5:$M$45,13,0)+0,0))</f>
        <v>0</v>
      </c>
      <c r="R1553" s="61"/>
      <c r="S1553" s="62"/>
      <c r="T1553" s="62"/>
      <c r="U1553" s="55"/>
      <c r="V1553" s="57"/>
      <c r="W1553" s="57"/>
      <c r="X1553" s="55" t="str">
        <f aca="false">IF(A1553="","",IF(AND(Parameter!$B$21="Ja",ISNUMBER(U1553)),U1553,IF(IFERROR(VLOOKUP(D1553,Parameter!$A$35:$C$64,2,0),"Nein")="2+3",IF(ISNUMBER(SEARCH("grosser Artikel",BM1553)),2,IFERROR(VLOOKUP(BP1553,Parameter!$F$35:$G$64,2,0),2)),IF(OR(IFERROR(VLOOKUP(D1553,Parameter!$A$35:$C$64,2,0),"Nein")="Nein",IFERROR(VLOOKUP(D1553,Parameter!$A$35:$C$64,2,0),"Nein")=""),"-",VLOOKUP(D1553,Parameter!$A$35:$C$64,2,0)))))</f>
        <v/>
      </c>
      <c r="Y1553" s="55" t="str">
        <f aca="false">IF('Neue Artikel'!$J$81="","",'Neue Artikel'!$J$81)</f>
        <v/>
      </c>
      <c r="Z1553" s="63"/>
      <c r="AA1553" s="57" t="n">
        <f aca="false">AP1553</f>
        <v>0</v>
      </c>
      <c r="AB1553" s="57" t="n">
        <f aca="false">MAX(AP1553,G1553)</f>
        <v>0</v>
      </c>
      <c r="AC1553" s="64"/>
      <c r="AD1553" s="57" t="n">
        <f aca="false">IF(LEFT(Cockpit!$C$5,1)="A",G1553,IF(BW1553=1,BX1553,IF(LEFT(Cockpit!$C$5,1)="B",AH1553,MAX(AH1553,G1553))))</f>
        <v>0</v>
      </c>
      <c r="AE1553" s="57" t="n">
        <f aca="false">IF(BR1553=1,0,ROUNDUP(AD1553/BQ1553,0))</f>
        <v>0</v>
      </c>
      <c r="AF1553" s="59" t="n">
        <f aca="false">IF(CD1553&gt;0,CD1553*MAX(1,AD1553/V1553),IF(BR1553=1,IF(AD1553&lt;=0,0,BS1553*MAX(1,IF(G1553&gt;0,AD1553/G1553,1))),IF(Q1553&gt;0,AE1553/Q1553,0))/MAX(0.1,N(Parameter!$M$21)))</f>
        <v>0</v>
      </c>
      <c r="AG1553" s="57" t="n">
        <f aca="false">AD1553*F1553</f>
        <v>0</v>
      </c>
      <c r="AH1553" s="57" t="n">
        <f aca="false">ROUNDUP(MAX(I1553/IF(BV1553&gt;0,BV1553,MAX(0.1,N(Cockpit!$C$6))),BY1553)/BQ1553,0)*BQ1553</f>
        <v>0</v>
      </c>
      <c r="AI1553" s="58" t="n">
        <f aca="false">IF(AF1553&gt;0,I1553/AF1553,-1)</f>
        <v>-1</v>
      </c>
      <c r="AJ1553" s="58" t="str">
        <f aca="false">IF(AND(OR(BU1553="L1",BU1553="L23"),AF1553&gt;0),SUMIFS($AF$7:$AF$1576,$BU$7:$BU$1576,BU1553,$AI$7:$AI$1576,"&gt;"&amp;AI1553)+SUMIFS($AF$7:$AF$1576,$BU$7:$BU$1576,BU1553,$AI$7:$AI$1576,AI1553,$BO$7:$BO$1576,"&lt;="&amp;BO1553),"")</f>
        <v/>
      </c>
      <c r="AK1553" s="65" t="n">
        <f aca="false">IF(AJ1553="",0,MAX(0,MIN(1,(IF(BU1553="L1",Parameter!$E$5,Parameter!$E$6+Parameter!$E$7)-(AJ1553-AF1553))/AF1553)))</f>
        <v>0</v>
      </c>
      <c r="AL1553" s="57" t="n">
        <f aca="false">IF(LEFT(Cockpit!$I$5,1)="A",G1553,IF(BW1553=1,BX1553,IF(LEFT(Cockpit!$I$5,1)="B",AP1553,MAX(AP1553,G1553))))</f>
        <v>0</v>
      </c>
      <c r="AM1553" s="57" t="n">
        <f aca="false">IF(BR1553=1,0,ROUNDUP(AL1553/BQ1553,0))</f>
        <v>0</v>
      </c>
      <c r="AN1553" s="59" t="n">
        <f aca="false">IF(CD1553&gt;0,CD1553*MAX(1,AL1553/V1553),IF(BR1553=1,IF(AL1553&lt;=0,0,BS1553*MAX(1,IF(G1553&gt;0,AL1553/G1553,1))),IF(Q1553&gt;0,AM1553/Q1553,0))/MAX(0.1,N(Parameter!$M$21)))</f>
        <v>0</v>
      </c>
      <c r="AO1553" s="57" t="n">
        <f aca="false">AL1553*F1553</f>
        <v>0</v>
      </c>
      <c r="AP1553" s="57" t="n">
        <f aca="false">ROUNDUP(MAX(I1553/IF(BV1553&gt;0,BV1553,MAX(0.1,N(Cockpit!$I$6))),BY1553)/BQ1553,0)*BQ1553</f>
        <v>0</v>
      </c>
      <c r="AQ1553" s="58" t="n">
        <f aca="false">IF(AN1553&gt;0,I1553/AN1553,-1)</f>
        <v>-1</v>
      </c>
      <c r="AR1553" s="58" t="str">
        <f aca="false">IF(AND(OR(BU1553="L1",BU1553="L23"),AN1553&gt;0),SUMIFS($AN$7:$AN$1576,$BU$7:$BU$1576,BU1553,$AQ$7:$AQ$1576,"&gt;"&amp;AQ1553)+SUMIFS($AN$7:$AN$1576,$BU$7:$BU$1576,BU1553,$AQ$7:$AQ$1576,AQ1553,$BO$7:$BO$1576,"&lt;="&amp;BO1553),"")</f>
        <v/>
      </c>
      <c r="AS1553" s="65" t="n">
        <f aca="false">IF(AR1553="",0,MAX(0,MIN(1,(IF(BU1553="L1",Parameter!$E$5,Parameter!$E$6+Parameter!$E$7)-(AR1553-AN1553))/AN1553)))</f>
        <v>0</v>
      </c>
      <c r="AT1553" s="57" t="n">
        <f aca="false">IF(LEFT(Cockpit!$O$5,1)="A",G1553,IF(BW1553=1,BX1553,IF(LEFT(Cockpit!$O$5,1)="B",AX1553,MAX(AX1553,G1553))))</f>
        <v>0</v>
      </c>
      <c r="AU1553" s="57" t="n">
        <f aca="false">IF(BR1553=1,0,ROUNDUP(AT1553/BQ1553,0))</f>
        <v>0</v>
      </c>
      <c r="AV1553" s="59" t="n">
        <f aca="false">IF(CD1553&gt;0,CD1553*MAX(1,AT1553/V1553),IF(BR1553=1,IF(AT1553&lt;=0,0,BS1553*MAX(1,IF(G1553&gt;0,AT1553/G1553,1))),IF(Q1553&gt;0,AU1553/Q1553,0))/MAX(0.1,N(Parameter!$M$21)))</f>
        <v>0</v>
      </c>
      <c r="AW1553" s="57" t="n">
        <f aca="false">AT1553*F1553</f>
        <v>0</v>
      </c>
      <c r="AX1553" s="57" t="n">
        <f aca="false">ROUNDUP(MAX(I1553/IF(BV1553&gt;0,BV1553,MAX(0.1,N(Cockpit!$O$6))),BY1553)/BQ1553,0)*BQ1553</f>
        <v>0</v>
      </c>
      <c r="AY1553" s="58" t="n">
        <f aca="false">IF(AV1553&gt;0,I1553/AV1553,-1)</f>
        <v>-1</v>
      </c>
      <c r="AZ1553" s="58" t="str">
        <f aca="false">IF(AND(OR(BU1553="L1",BU1553="L23"),AV1553&gt;0),SUMIFS($AV$7:$AV$1576,$BU$7:$BU$1576,BU1553,$AY$7:$AY$1576,"&gt;"&amp;AY1553)+SUMIFS($AV$7:$AV$1576,$BU$7:$BU$1576,BU1553,$AY$7:$AY$1576,AY1553,$BO$7:$BO$1576,"&lt;="&amp;BO1553),"")</f>
        <v/>
      </c>
      <c r="BA1553" s="65" t="n">
        <f aca="false">IF(AZ1553="",0,MAX(0,MIN(1,(IF(BU1553="L1",Parameter!$E$5,Parameter!$E$6+Parameter!$E$7)-(AZ1553-AV1553))/AV1553)))</f>
        <v>0</v>
      </c>
      <c r="BB1553" s="55" t="str">
        <f aca="false">IF(AF1553&lt;=0,"",IF(BU1553="Aussen","Aussenlager",IF(BU1553="-","Nicht im Lift",IF(AK1553&gt;=1,"Lift",IF(AK1553&lt;=0,"Aussenlager","teilweise")))))</f>
        <v/>
      </c>
      <c r="BC1553" s="55" t="str">
        <f aca="false">IF(AN1553&lt;=0,"",IF(BU1553="Aussen","Aussenlager",IF(BU1553="-","Nicht im Lift",IF(AS1553&gt;=1,"Lift",IF(AS1553&lt;=0,"Aussenlager","teilweise")))))</f>
        <v/>
      </c>
      <c r="BD1553" s="55" t="str">
        <f aca="false">IF(AV1553&lt;=0,"",IF(BU1553="Aussen","Aussenlager",IF(BU1553="-","Nicht im Lift",IF(BA1553&gt;=1,"Lift",IF(BA1553&lt;=0,"Aussenlager","teilweise")))))</f>
        <v/>
      </c>
      <c r="BE1553" s="55" t="str">
        <f aca="false">IF(A1553="","",IF(BN1553=1,"Neu; ","")&amp;IF(AND(BN1553=0,BI1553&lt;0),"negativer Bestand (Export "&amp;BI1553&amp;"); ","")&amp;IF(I1553&lt;=0,"Kein Verbrauch; ","")&amp;IF(CD1553&gt;0,"Lift "&amp;U1553&amp;" lt. Liftbericht (Fach "&amp;V1553&amp;" Stk); ",IF(BR1553=1,"Lose – Fläche geschätzt; ",""))&amp;IF(G1553&gt;AP1553,"Überbestand "&amp;ROUND(G1553-AP1553,0)&amp;" Stk / CHF "&amp;ROUND((G1553-AP1553)*F1553,0)&amp;"; ","")&amp;IF(AND(BW1553=1,BX1553&lt;BY1553),"MAX &lt; MB+LG; ","")&amp;IF(AND(CC1553&gt;0,CB1553*10&gt;CC1553),"zu hoch für Tablar; ","")&amp;IF(AND(BN1553=0,OR(BW1553=1,Y1553&lt;&gt;"",S1553&lt;&gt;"",T1553&lt;&gt;"",Z1553&lt;&gt;"")),"manuell übersteuert; ","")&amp;IF(AND(BR1553=0,Q1553=0),"Gebinde unbekannt / Stellmass fehlt; ","")&amp;IF(AND(BR1553=0,N(T1553)&lt;=0,N(P1553)&lt;=0),"Menge pro Gebinde fehlt (Ist = 1 Gebinde); ","")&amp;BM1553)</f>
        <v/>
      </c>
      <c r="BF1553" s="55"/>
      <c r="BG1553" s="55"/>
      <c r="BH1553" s="62"/>
      <c r="BI1553" s="57" t="n">
        <f aca="false">N('Neue Artikel'!$D$81)</f>
        <v>0</v>
      </c>
      <c r="BJ1553" s="57" t="n">
        <v>0</v>
      </c>
      <c r="BK1553" s="56" t="n">
        <v>0</v>
      </c>
      <c r="BL1553" s="57" t="n">
        <f aca="false">N('Neue Artikel'!$C$81)/Parameter!$B$18</f>
        <v>0</v>
      </c>
      <c r="BM1553" s="55"/>
      <c r="BN1553" s="60" t="n">
        <v>1</v>
      </c>
      <c r="BO1553" s="60" t="n">
        <v>1553</v>
      </c>
      <c r="BP1553" s="55" t="str">
        <f aca="false">IF(S1553&lt;&gt;"",UPPER(TRIM(S1553)),IF(O1553="","LOSE",O1553))</f>
        <v>LOSE</v>
      </c>
      <c r="BQ1553" s="57" t="n">
        <f aca="false">IF(BP1553="LOSE",1,IF(N(T1553)&gt;0,T1553,IF(N(P1553)&gt;0,P1553,MAX(1,G1553))))</f>
        <v>1</v>
      </c>
      <c r="BR1553" s="60" t="n">
        <f aca="false">IF(BP1553="LOSE",1,0)</f>
        <v>1</v>
      </c>
      <c r="BS1553" s="59" t="n">
        <f aca="false">IF(BR1553=0,0,IF(N(R1553)&gt;0,R1553,IFERROR(VLOOKUP(D1553,Parameter!$A$35:$C$64,3,0)+0,0)))</f>
        <v>0.15</v>
      </c>
      <c r="BT1553" s="55" t="str">
        <f aca="false">IF(Y1553&lt;&gt;"",Y1553,X1553)</f>
        <v/>
      </c>
      <c r="BU1553" s="55" t="str">
        <f aca="false">IF(BT1553=1,"L1",IF(OR(BT1553=2,BT1553=3),"L23",IF(BT1553="Aussen","Aussen","-")))</f>
        <v>-</v>
      </c>
      <c r="BV1553" s="66" t="n">
        <f aca="false">IF(N(Z1553)&gt;0,Z1553,0)</f>
        <v>0</v>
      </c>
      <c r="BW1553" s="60" t="n">
        <f aca="false">IF(ISNUMBER(AC1553),1,0)</f>
        <v>0</v>
      </c>
      <c r="BX1553" s="57" t="n">
        <f aca="false">N(AC1553)</f>
        <v>0</v>
      </c>
      <c r="BY1553" s="57" t="n">
        <f aca="false">N(L1553)+N(M1553)</f>
        <v>0</v>
      </c>
      <c r="BZ1553" s="57" t="n">
        <f aca="false">ROUNDUP(G1553/BQ1553,0)</f>
        <v>0</v>
      </c>
      <c r="CA1553" s="57" t="n">
        <f aca="false">ROUNDUP(BX1553/BQ1553,0)</f>
        <v>0</v>
      </c>
      <c r="CB1553" s="60" t="n">
        <f aca="false">IF(BR1553=1,0,IFERROR(VLOOKUP(BP1553,'Gebinde-Kategorie'!$A$5:$M$45,5,0)+0,0))</f>
        <v>0</v>
      </c>
      <c r="CC1553" s="60" t="n">
        <f aca="false">IFERROR(IF(OR(BT1553=1,BT1553=2,BT1553=3),N(INDEX(Parameter!$I$5:$I$7,BT1553)),0),0)</f>
        <v>0</v>
      </c>
      <c r="CD1553" s="59" t="n">
        <f aca="false">IF(AND(Parameter!$B$21="Ja",ISNUMBER(U1553),N(V1553)&gt;0),IFERROR(N(INDEX(Parameter!$L$5:$L$7,U1553))*INDEX(Parameter!$E$5:$E$7,U1553)*V1553/SUMIFS($V$7:$V$1576,$U$7:$U$1576,U1553),0),0)</f>
        <v>0</v>
      </c>
    </row>
    <row r="1554" customFormat="false" ht="15" hidden="false" customHeight="false" outlineLevel="0" collapsed="false">
      <c r="A1554" s="55" t="str">
        <f aca="false">IF('Neue Artikel'!$A$82="","",'Neue Artikel'!$A$82&amp;"")</f>
        <v/>
      </c>
      <c r="B1554" s="55" t="str">
        <f aca="false">'Neue Artikel'!$B$82&amp;""</f>
        <v/>
      </c>
      <c r="C1554" s="55"/>
      <c r="D1554" s="55" t="s">
        <v>2561</v>
      </c>
      <c r="E1554" s="55"/>
      <c r="F1554" s="56" t="n">
        <f aca="false">N('Neue Artikel'!$G$82)</f>
        <v>0</v>
      </c>
      <c r="G1554" s="57" t="n">
        <f aca="false">MAX(0,IF(AND(Parameter!$B$21="Ja",ISNUMBER(W1554)),W1554,IF(Parameter!$B$20="Jahresanfang 2025 + Export",BJ1554+BI1554,BI1554)))</f>
        <v>0</v>
      </c>
      <c r="H1554" s="57" t="n">
        <f aca="false">G1554*F1554</f>
        <v>0</v>
      </c>
      <c r="I1554" s="57" t="n">
        <f aca="false">BL1554*Parameter!$B$18</f>
        <v>0</v>
      </c>
      <c r="J1554" s="58"/>
      <c r="K1554" s="59"/>
      <c r="L1554" s="57" t="n">
        <f aca="false">N('Neue Artikel'!$E$82)</f>
        <v>0</v>
      </c>
      <c r="M1554" s="57" t="n">
        <f aca="false">N('Neue Artikel'!$F$82)</f>
        <v>0</v>
      </c>
      <c r="N1554" s="60"/>
      <c r="O1554" s="55" t="str">
        <f aca="false">IF('Neue Artikel'!$H$82="","LOSE",UPPER(TRIM('Neue Artikel'!$H$82)))</f>
        <v>LOSE</v>
      </c>
      <c r="P1554" s="57" t="n">
        <f aca="false">N('Neue Artikel'!$I$82)</f>
        <v>0</v>
      </c>
      <c r="Q1554" s="60" t="n">
        <f aca="false">IF(BR1554=1,0,IFERROR(VLOOKUP(BP1554,'Gebinde-Kategorie'!$A$5:$M$45,13,0)+0,0))</f>
        <v>0</v>
      </c>
      <c r="R1554" s="61"/>
      <c r="S1554" s="62"/>
      <c r="T1554" s="62"/>
      <c r="U1554" s="55"/>
      <c r="V1554" s="57"/>
      <c r="W1554" s="57"/>
      <c r="X1554" s="55" t="str">
        <f aca="false">IF(A1554="","",IF(AND(Parameter!$B$21="Ja",ISNUMBER(U1554)),U1554,IF(IFERROR(VLOOKUP(D1554,Parameter!$A$35:$C$64,2,0),"Nein")="2+3",IF(ISNUMBER(SEARCH("grosser Artikel",BM1554)),2,IFERROR(VLOOKUP(BP1554,Parameter!$F$35:$G$64,2,0),2)),IF(OR(IFERROR(VLOOKUP(D1554,Parameter!$A$35:$C$64,2,0),"Nein")="Nein",IFERROR(VLOOKUP(D1554,Parameter!$A$35:$C$64,2,0),"Nein")=""),"-",VLOOKUP(D1554,Parameter!$A$35:$C$64,2,0)))))</f>
        <v/>
      </c>
      <c r="Y1554" s="55" t="str">
        <f aca="false">IF('Neue Artikel'!$J$82="","",'Neue Artikel'!$J$82)</f>
        <v/>
      </c>
      <c r="Z1554" s="63"/>
      <c r="AA1554" s="57" t="n">
        <f aca="false">AP1554</f>
        <v>0</v>
      </c>
      <c r="AB1554" s="57" t="n">
        <f aca="false">MAX(AP1554,G1554)</f>
        <v>0</v>
      </c>
      <c r="AC1554" s="64"/>
      <c r="AD1554" s="57" t="n">
        <f aca="false">IF(LEFT(Cockpit!$C$5,1)="A",G1554,IF(BW1554=1,BX1554,IF(LEFT(Cockpit!$C$5,1)="B",AH1554,MAX(AH1554,G1554))))</f>
        <v>0</v>
      </c>
      <c r="AE1554" s="57" t="n">
        <f aca="false">IF(BR1554=1,0,ROUNDUP(AD1554/BQ1554,0))</f>
        <v>0</v>
      </c>
      <c r="AF1554" s="59" t="n">
        <f aca="false">IF(CD1554&gt;0,CD1554*MAX(1,AD1554/V1554),IF(BR1554=1,IF(AD1554&lt;=0,0,BS1554*MAX(1,IF(G1554&gt;0,AD1554/G1554,1))),IF(Q1554&gt;0,AE1554/Q1554,0))/MAX(0.1,N(Parameter!$M$21)))</f>
        <v>0</v>
      </c>
      <c r="AG1554" s="57" t="n">
        <f aca="false">AD1554*F1554</f>
        <v>0</v>
      </c>
      <c r="AH1554" s="57" t="n">
        <f aca="false">ROUNDUP(MAX(I1554/IF(BV1554&gt;0,BV1554,MAX(0.1,N(Cockpit!$C$6))),BY1554)/BQ1554,0)*BQ1554</f>
        <v>0</v>
      </c>
      <c r="AI1554" s="58" t="n">
        <f aca="false">IF(AF1554&gt;0,I1554/AF1554,-1)</f>
        <v>-1</v>
      </c>
      <c r="AJ1554" s="58" t="str">
        <f aca="false">IF(AND(OR(BU1554="L1",BU1554="L23"),AF1554&gt;0),SUMIFS($AF$7:$AF$1576,$BU$7:$BU$1576,BU1554,$AI$7:$AI$1576,"&gt;"&amp;AI1554)+SUMIFS($AF$7:$AF$1576,$BU$7:$BU$1576,BU1554,$AI$7:$AI$1576,AI1554,$BO$7:$BO$1576,"&lt;="&amp;BO1554),"")</f>
        <v/>
      </c>
      <c r="AK1554" s="65" t="n">
        <f aca="false">IF(AJ1554="",0,MAX(0,MIN(1,(IF(BU1554="L1",Parameter!$E$5,Parameter!$E$6+Parameter!$E$7)-(AJ1554-AF1554))/AF1554)))</f>
        <v>0</v>
      </c>
      <c r="AL1554" s="57" t="n">
        <f aca="false">IF(LEFT(Cockpit!$I$5,1)="A",G1554,IF(BW1554=1,BX1554,IF(LEFT(Cockpit!$I$5,1)="B",AP1554,MAX(AP1554,G1554))))</f>
        <v>0</v>
      </c>
      <c r="AM1554" s="57" t="n">
        <f aca="false">IF(BR1554=1,0,ROUNDUP(AL1554/BQ1554,0))</f>
        <v>0</v>
      </c>
      <c r="AN1554" s="59" t="n">
        <f aca="false">IF(CD1554&gt;0,CD1554*MAX(1,AL1554/V1554),IF(BR1554=1,IF(AL1554&lt;=0,0,BS1554*MAX(1,IF(G1554&gt;0,AL1554/G1554,1))),IF(Q1554&gt;0,AM1554/Q1554,0))/MAX(0.1,N(Parameter!$M$21)))</f>
        <v>0</v>
      </c>
      <c r="AO1554" s="57" t="n">
        <f aca="false">AL1554*F1554</f>
        <v>0</v>
      </c>
      <c r="AP1554" s="57" t="n">
        <f aca="false">ROUNDUP(MAX(I1554/IF(BV1554&gt;0,BV1554,MAX(0.1,N(Cockpit!$I$6))),BY1554)/BQ1554,0)*BQ1554</f>
        <v>0</v>
      </c>
      <c r="AQ1554" s="58" t="n">
        <f aca="false">IF(AN1554&gt;0,I1554/AN1554,-1)</f>
        <v>-1</v>
      </c>
      <c r="AR1554" s="58" t="str">
        <f aca="false">IF(AND(OR(BU1554="L1",BU1554="L23"),AN1554&gt;0),SUMIFS($AN$7:$AN$1576,$BU$7:$BU$1576,BU1554,$AQ$7:$AQ$1576,"&gt;"&amp;AQ1554)+SUMIFS($AN$7:$AN$1576,$BU$7:$BU$1576,BU1554,$AQ$7:$AQ$1576,AQ1554,$BO$7:$BO$1576,"&lt;="&amp;BO1554),"")</f>
        <v/>
      </c>
      <c r="AS1554" s="65" t="n">
        <f aca="false">IF(AR1554="",0,MAX(0,MIN(1,(IF(BU1554="L1",Parameter!$E$5,Parameter!$E$6+Parameter!$E$7)-(AR1554-AN1554))/AN1554)))</f>
        <v>0</v>
      </c>
      <c r="AT1554" s="57" t="n">
        <f aca="false">IF(LEFT(Cockpit!$O$5,1)="A",G1554,IF(BW1554=1,BX1554,IF(LEFT(Cockpit!$O$5,1)="B",AX1554,MAX(AX1554,G1554))))</f>
        <v>0</v>
      </c>
      <c r="AU1554" s="57" t="n">
        <f aca="false">IF(BR1554=1,0,ROUNDUP(AT1554/BQ1554,0))</f>
        <v>0</v>
      </c>
      <c r="AV1554" s="59" t="n">
        <f aca="false">IF(CD1554&gt;0,CD1554*MAX(1,AT1554/V1554),IF(BR1554=1,IF(AT1554&lt;=0,0,BS1554*MAX(1,IF(G1554&gt;0,AT1554/G1554,1))),IF(Q1554&gt;0,AU1554/Q1554,0))/MAX(0.1,N(Parameter!$M$21)))</f>
        <v>0</v>
      </c>
      <c r="AW1554" s="57" t="n">
        <f aca="false">AT1554*F1554</f>
        <v>0</v>
      </c>
      <c r="AX1554" s="57" t="n">
        <f aca="false">ROUNDUP(MAX(I1554/IF(BV1554&gt;0,BV1554,MAX(0.1,N(Cockpit!$O$6))),BY1554)/BQ1554,0)*BQ1554</f>
        <v>0</v>
      </c>
      <c r="AY1554" s="58" t="n">
        <f aca="false">IF(AV1554&gt;0,I1554/AV1554,-1)</f>
        <v>-1</v>
      </c>
      <c r="AZ1554" s="58" t="str">
        <f aca="false">IF(AND(OR(BU1554="L1",BU1554="L23"),AV1554&gt;0),SUMIFS($AV$7:$AV$1576,$BU$7:$BU$1576,BU1554,$AY$7:$AY$1576,"&gt;"&amp;AY1554)+SUMIFS($AV$7:$AV$1576,$BU$7:$BU$1576,BU1554,$AY$7:$AY$1576,AY1554,$BO$7:$BO$1576,"&lt;="&amp;BO1554),"")</f>
        <v/>
      </c>
      <c r="BA1554" s="65" t="n">
        <f aca="false">IF(AZ1554="",0,MAX(0,MIN(1,(IF(BU1554="L1",Parameter!$E$5,Parameter!$E$6+Parameter!$E$7)-(AZ1554-AV1554))/AV1554)))</f>
        <v>0</v>
      </c>
      <c r="BB1554" s="55" t="str">
        <f aca="false">IF(AF1554&lt;=0,"",IF(BU1554="Aussen","Aussenlager",IF(BU1554="-","Nicht im Lift",IF(AK1554&gt;=1,"Lift",IF(AK1554&lt;=0,"Aussenlager","teilweise")))))</f>
        <v/>
      </c>
      <c r="BC1554" s="55" t="str">
        <f aca="false">IF(AN1554&lt;=0,"",IF(BU1554="Aussen","Aussenlager",IF(BU1554="-","Nicht im Lift",IF(AS1554&gt;=1,"Lift",IF(AS1554&lt;=0,"Aussenlager","teilweise")))))</f>
        <v/>
      </c>
      <c r="BD1554" s="55" t="str">
        <f aca="false">IF(AV1554&lt;=0,"",IF(BU1554="Aussen","Aussenlager",IF(BU1554="-","Nicht im Lift",IF(BA1554&gt;=1,"Lift",IF(BA1554&lt;=0,"Aussenlager","teilweise")))))</f>
        <v/>
      </c>
      <c r="BE1554" s="55" t="str">
        <f aca="false">IF(A1554="","",IF(BN1554=1,"Neu; ","")&amp;IF(AND(BN1554=0,BI1554&lt;0),"negativer Bestand (Export "&amp;BI1554&amp;"); ","")&amp;IF(I1554&lt;=0,"Kein Verbrauch; ","")&amp;IF(CD1554&gt;0,"Lift "&amp;U1554&amp;" lt. Liftbericht (Fach "&amp;V1554&amp;" Stk); ",IF(BR1554=1,"Lose – Fläche geschätzt; ",""))&amp;IF(G1554&gt;AP1554,"Überbestand "&amp;ROUND(G1554-AP1554,0)&amp;" Stk / CHF "&amp;ROUND((G1554-AP1554)*F1554,0)&amp;"; ","")&amp;IF(AND(BW1554=1,BX1554&lt;BY1554),"MAX &lt; MB+LG; ","")&amp;IF(AND(CC1554&gt;0,CB1554*10&gt;CC1554),"zu hoch für Tablar; ","")&amp;IF(AND(BN1554=0,OR(BW1554=1,Y1554&lt;&gt;"",S1554&lt;&gt;"",T1554&lt;&gt;"",Z1554&lt;&gt;"")),"manuell übersteuert; ","")&amp;IF(AND(BR1554=0,Q1554=0),"Gebinde unbekannt / Stellmass fehlt; ","")&amp;IF(AND(BR1554=0,N(T1554)&lt;=0,N(P1554)&lt;=0),"Menge pro Gebinde fehlt (Ist = 1 Gebinde); ","")&amp;BM1554)</f>
        <v/>
      </c>
      <c r="BF1554" s="55"/>
      <c r="BG1554" s="55"/>
      <c r="BH1554" s="62"/>
      <c r="BI1554" s="57" t="n">
        <f aca="false">N('Neue Artikel'!$D$82)</f>
        <v>0</v>
      </c>
      <c r="BJ1554" s="57" t="n">
        <v>0</v>
      </c>
      <c r="BK1554" s="56" t="n">
        <v>0</v>
      </c>
      <c r="BL1554" s="57" t="n">
        <f aca="false">N('Neue Artikel'!$C$82)/Parameter!$B$18</f>
        <v>0</v>
      </c>
      <c r="BM1554" s="55"/>
      <c r="BN1554" s="60" t="n">
        <v>1</v>
      </c>
      <c r="BO1554" s="60" t="n">
        <v>1554</v>
      </c>
      <c r="BP1554" s="55" t="str">
        <f aca="false">IF(S1554&lt;&gt;"",UPPER(TRIM(S1554)),IF(O1554="","LOSE",O1554))</f>
        <v>LOSE</v>
      </c>
      <c r="BQ1554" s="57" t="n">
        <f aca="false">IF(BP1554="LOSE",1,IF(N(T1554)&gt;0,T1554,IF(N(P1554)&gt;0,P1554,MAX(1,G1554))))</f>
        <v>1</v>
      </c>
      <c r="BR1554" s="60" t="n">
        <f aca="false">IF(BP1554="LOSE",1,0)</f>
        <v>1</v>
      </c>
      <c r="BS1554" s="59" t="n">
        <f aca="false">IF(BR1554=0,0,IF(N(R1554)&gt;0,R1554,IFERROR(VLOOKUP(D1554,Parameter!$A$35:$C$64,3,0)+0,0)))</f>
        <v>0.15</v>
      </c>
      <c r="BT1554" s="55" t="str">
        <f aca="false">IF(Y1554&lt;&gt;"",Y1554,X1554)</f>
        <v/>
      </c>
      <c r="BU1554" s="55" t="str">
        <f aca="false">IF(BT1554=1,"L1",IF(OR(BT1554=2,BT1554=3),"L23",IF(BT1554="Aussen","Aussen","-")))</f>
        <v>-</v>
      </c>
      <c r="BV1554" s="66" t="n">
        <f aca="false">IF(N(Z1554)&gt;0,Z1554,0)</f>
        <v>0</v>
      </c>
      <c r="BW1554" s="60" t="n">
        <f aca="false">IF(ISNUMBER(AC1554),1,0)</f>
        <v>0</v>
      </c>
      <c r="BX1554" s="57" t="n">
        <f aca="false">N(AC1554)</f>
        <v>0</v>
      </c>
      <c r="BY1554" s="57" t="n">
        <f aca="false">N(L1554)+N(M1554)</f>
        <v>0</v>
      </c>
      <c r="BZ1554" s="57" t="n">
        <f aca="false">ROUNDUP(G1554/BQ1554,0)</f>
        <v>0</v>
      </c>
      <c r="CA1554" s="57" t="n">
        <f aca="false">ROUNDUP(BX1554/BQ1554,0)</f>
        <v>0</v>
      </c>
      <c r="CB1554" s="60" t="n">
        <f aca="false">IF(BR1554=1,0,IFERROR(VLOOKUP(BP1554,'Gebinde-Kategorie'!$A$5:$M$45,5,0)+0,0))</f>
        <v>0</v>
      </c>
      <c r="CC1554" s="60" t="n">
        <f aca="false">IFERROR(IF(OR(BT1554=1,BT1554=2,BT1554=3),N(INDEX(Parameter!$I$5:$I$7,BT1554)),0),0)</f>
        <v>0</v>
      </c>
      <c r="CD1554" s="59" t="n">
        <f aca="false">IF(AND(Parameter!$B$21="Ja",ISNUMBER(U1554),N(V1554)&gt;0),IFERROR(N(INDEX(Parameter!$L$5:$L$7,U1554))*INDEX(Parameter!$E$5:$E$7,U1554)*V1554/SUMIFS($V$7:$V$1576,$U$7:$U$1576,U1554),0),0)</f>
        <v>0</v>
      </c>
    </row>
    <row r="1555" customFormat="false" ht="15" hidden="false" customHeight="false" outlineLevel="0" collapsed="false">
      <c r="A1555" s="55" t="str">
        <f aca="false">IF('Neue Artikel'!$A$83="","",'Neue Artikel'!$A$83&amp;"")</f>
        <v/>
      </c>
      <c r="B1555" s="55" t="str">
        <f aca="false">'Neue Artikel'!$B$83&amp;""</f>
        <v/>
      </c>
      <c r="C1555" s="55"/>
      <c r="D1555" s="55" t="s">
        <v>2561</v>
      </c>
      <c r="E1555" s="55"/>
      <c r="F1555" s="56" t="n">
        <f aca="false">N('Neue Artikel'!$G$83)</f>
        <v>0</v>
      </c>
      <c r="G1555" s="57" t="n">
        <f aca="false">MAX(0,IF(AND(Parameter!$B$21="Ja",ISNUMBER(W1555)),W1555,IF(Parameter!$B$20="Jahresanfang 2025 + Export",BJ1555+BI1555,BI1555)))</f>
        <v>0</v>
      </c>
      <c r="H1555" s="57" t="n">
        <f aca="false">G1555*F1555</f>
        <v>0</v>
      </c>
      <c r="I1555" s="57" t="n">
        <f aca="false">BL1555*Parameter!$B$18</f>
        <v>0</v>
      </c>
      <c r="J1555" s="58"/>
      <c r="K1555" s="59"/>
      <c r="L1555" s="57" t="n">
        <f aca="false">N('Neue Artikel'!$E$83)</f>
        <v>0</v>
      </c>
      <c r="M1555" s="57" t="n">
        <f aca="false">N('Neue Artikel'!$F$83)</f>
        <v>0</v>
      </c>
      <c r="N1555" s="60"/>
      <c r="O1555" s="55" t="str">
        <f aca="false">IF('Neue Artikel'!$H$83="","LOSE",UPPER(TRIM('Neue Artikel'!$H$83)))</f>
        <v>LOSE</v>
      </c>
      <c r="P1555" s="57" t="n">
        <f aca="false">N('Neue Artikel'!$I$83)</f>
        <v>0</v>
      </c>
      <c r="Q1555" s="60" t="n">
        <f aca="false">IF(BR1555=1,0,IFERROR(VLOOKUP(BP1555,'Gebinde-Kategorie'!$A$5:$M$45,13,0)+0,0))</f>
        <v>0</v>
      </c>
      <c r="R1555" s="61"/>
      <c r="S1555" s="62"/>
      <c r="T1555" s="62"/>
      <c r="U1555" s="55"/>
      <c r="V1555" s="57"/>
      <c r="W1555" s="57"/>
      <c r="X1555" s="55" t="str">
        <f aca="false">IF(A1555="","",IF(AND(Parameter!$B$21="Ja",ISNUMBER(U1555)),U1555,IF(IFERROR(VLOOKUP(D1555,Parameter!$A$35:$C$64,2,0),"Nein")="2+3",IF(ISNUMBER(SEARCH("grosser Artikel",BM1555)),2,IFERROR(VLOOKUP(BP1555,Parameter!$F$35:$G$64,2,0),2)),IF(OR(IFERROR(VLOOKUP(D1555,Parameter!$A$35:$C$64,2,0),"Nein")="Nein",IFERROR(VLOOKUP(D1555,Parameter!$A$35:$C$64,2,0),"Nein")=""),"-",VLOOKUP(D1555,Parameter!$A$35:$C$64,2,0)))))</f>
        <v/>
      </c>
      <c r="Y1555" s="55" t="str">
        <f aca="false">IF('Neue Artikel'!$J$83="","",'Neue Artikel'!$J$83)</f>
        <v/>
      </c>
      <c r="Z1555" s="63"/>
      <c r="AA1555" s="57" t="n">
        <f aca="false">AP1555</f>
        <v>0</v>
      </c>
      <c r="AB1555" s="57" t="n">
        <f aca="false">MAX(AP1555,G1555)</f>
        <v>0</v>
      </c>
      <c r="AC1555" s="64"/>
      <c r="AD1555" s="57" t="n">
        <f aca="false">IF(LEFT(Cockpit!$C$5,1)="A",G1555,IF(BW1555=1,BX1555,IF(LEFT(Cockpit!$C$5,1)="B",AH1555,MAX(AH1555,G1555))))</f>
        <v>0</v>
      </c>
      <c r="AE1555" s="57" t="n">
        <f aca="false">IF(BR1555=1,0,ROUNDUP(AD1555/BQ1555,0))</f>
        <v>0</v>
      </c>
      <c r="AF1555" s="59" t="n">
        <f aca="false">IF(CD1555&gt;0,CD1555*MAX(1,AD1555/V1555),IF(BR1555=1,IF(AD1555&lt;=0,0,BS1555*MAX(1,IF(G1555&gt;0,AD1555/G1555,1))),IF(Q1555&gt;0,AE1555/Q1555,0))/MAX(0.1,N(Parameter!$M$21)))</f>
        <v>0</v>
      </c>
      <c r="AG1555" s="57" t="n">
        <f aca="false">AD1555*F1555</f>
        <v>0</v>
      </c>
      <c r="AH1555" s="57" t="n">
        <f aca="false">ROUNDUP(MAX(I1555/IF(BV1555&gt;0,BV1555,MAX(0.1,N(Cockpit!$C$6))),BY1555)/BQ1555,0)*BQ1555</f>
        <v>0</v>
      </c>
      <c r="AI1555" s="58" t="n">
        <f aca="false">IF(AF1555&gt;0,I1555/AF1555,-1)</f>
        <v>-1</v>
      </c>
      <c r="AJ1555" s="58" t="str">
        <f aca="false">IF(AND(OR(BU1555="L1",BU1555="L23"),AF1555&gt;0),SUMIFS($AF$7:$AF$1576,$BU$7:$BU$1576,BU1555,$AI$7:$AI$1576,"&gt;"&amp;AI1555)+SUMIFS($AF$7:$AF$1576,$BU$7:$BU$1576,BU1555,$AI$7:$AI$1576,AI1555,$BO$7:$BO$1576,"&lt;="&amp;BO1555),"")</f>
        <v/>
      </c>
      <c r="AK1555" s="65" t="n">
        <f aca="false">IF(AJ1555="",0,MAX(0,MIN(1,(IF(BU1555="L1",Parameter!$E$5,Parameter!$E$6+Parameter!$E$7)-(AJ1555-AF1555))/AF1555)))</f>
        <v>0</v>
      </c>
      <c r="AL1555" s="57" t="n">
        <f aca="false">IF(LEFT(Cockpit!$I$5,1)="A",G1555,IF(BW1555=1,BX1555,IF(LEFT(Cockpit!$I$5,1)="B",AP1555,MAX(AP1555,G1555))))</f>
        <v>0</v>
      </c>
      <c r="AM1555" s="57" t="n">
        <f aca="false">IF(BR1555=1,0,ROUNDUP(AL1555/BQ1555,0))</f>
        <v>0</v>
      </c>
      <c r="AN1555" s="59" t="n">
        <f aca="false">IF(CD1555&gt;0,CD1555*MAX(1,AL1555/V1555),IF(BR1555=1,IF(AL1555&lt;=0,0,BS1555*MAX(1,IF(G1555&gt;0,AL1555/G1555,1))),IF(Q1555&gt;0,AM1555/Q1555,0))/MAX(0.1,N(Parameter!$M$21)))</f>
        <v>0</v>
      </c>
      <c r="AO1555" s="57" t="n">
        <f aca="false">AL1555*F1555</f>
        <v>0</v>
      </c>
      <c r="AP1555" s="57" t="n">
        <f aca="false">ROUNDUP(MAX(I1555/IF(BV1555&gt;0,BV1555,MAX(0.1,N(Cockpit!$I$6))),BY1555)/BQ1555,0)*BQ1555</f>
        <v>0</v>
      </c>
      <c r="AQ1555" s="58" t="n">
        <f aca="false">IF(AN1555&gt;0,I1555/AN1555,-1)</f>
        <v>-1</v>
      </c>
      <c r="AR1555" s="58" t="str">
        <f aca="false">IF(AND(OR(BU1555="L1",BU1555="L23"),AN1555&gt;0),SUMIFS($AN$7:$AN$1576,$BU$7:$BU$1576,BU1555,$AQ$7:$AQ$1576,"&gt;"&amp;AQ1555)+SUMIFS($AN$7:$AN$1576,$BU$7:$BU$1576,BU1555,$AQ$7:$AQ$1576,AQ1555,$BO$7:$BO$1576,"&lt;="&amp;BO1555),"")</f>
        <v/>
      </c>
      <c r="AS1555" s="65" t="n">
        <f aca="false">IF(AR1555="",0,MAX(0,MIN(1,(IF(BU1555="L1",Parameter!$E$5,Parameter!$E$6+Parameter!$E$7)-(AR1555-AN1555))/AN1555)))</f>
        <v>0</v>
      </c>
      <c r="AT1555" s="57" t="n">
        <f aca="false">IF(LEFT(Cockpit!$O$5,1)="A",G1555,IF(BW1555=1,BX1555,IF(LEFT(Cockpit!$O$5,1)="B",AX1555,MAX(AX1555,G1555))))</f>
        <v>0</v>
      </c>
      <c r="AU1555" s="57" t="n">
        <f aca="false">IF(BR1555=1,0,ROUNDUP(AT1555/BQ1555,0))</f>
        <v>0</v>
      </c>
      <c r="AV1555" s="59" t="n">
        <f aca="false">IF(CD1555&gt;0,CD1555*MAX(1,AT1555/V1555),IF(BR1555=1,IF(AT1555&lt;=0,0,BS1555*MAX(1,IF(G1555&gt;0,AT1555/G1555,1))),IF(Q1555&gt;0,AU1555/Q1555,0))/MAX(0.1,N(Parameter!$M$21)))</f>
        <v>0</v>
      </c>
      <c r="AW1555" s="57" t="n">
        <f aca="false">AT1555*F1555</f>
        <v>0</v>
      </c>
      <c r="AX1555" s="57" t="n">
        <f aca="false">ROUNDUP(MAX(I1555/IF(BV1555&gt;0,BV1555,MAX(0.1,N(Cockpit!$O$6))),BY1555)/BQ1555,0)*BQ1555</f>
        <v>0</v>
      </c>
      <c r="AY1555" s="58" t="n">
        <f aca="false">IF(AV1555&gt;0,I1555/AV1555,-1)</f>
        <v>-1</v>
      </c>
      <c r="AZ1555" s="58" t="str">
        <f aca="false">IF(AND(OR(BU1555="L1",BU1555="L23"),AV1555&gt;0),SUMIFS($AV$7:$AV$1576,$BU$7:$BU$1576,BU1555,$AY$7:$AY$1576,"&gt;"&amp;AY1555)+SUMIFS($AV$7:$AV$1576,$BU$7:$BU$1576,BU1555,$AY$7:$AY$1576,AY1555,$BO$7:$BO$1576,"&lt;="&amp;BO1555),"")</f>
        <v/>
      </c>
      <c r="BA1555" s="65" t="n">
        <f aca="false">IF(AZ1555="",0,MAX(0,MIN(1,(IF(BU1555="L1",Parameter!$E$5,Parameter!$E$6+Parameter!$E$7)-(AZ1555-AV1555))/AV1555)))</f>
        <v>0</v>
      </c>
      <c r="BB1555" s="55" t="str">
        <f aca="false">IF(AF1555&lt;=0,"",IF(BU1555="Aussen","Aussenlager",IF(BU1555="-","Nicht im Lift",IF(AK1555&gt;=1,"Lift",IF(AK1555&lt;=0,"Aussenlager","teilweise")))))</f>
        <v/>
      </c>
      <c r="BC1555" s="55" t="str">
        <f aca="false">IF(AN1555&lt;=0,"",IF(BU1555="Aussen","Aussenlager",IF(BU1555="-","Nicht im Lift",IF(AS1555&gt;=1,"Lift",IF(AS1555&lt;=0,"Aussenlager","teilweise")))))</f>
        <v/>
      </c>
      <c r="BD1555" s="55" t="str">
        <f aca="false">IF(AV1555&lt;=0,"",IF(BU1555="Aussen","Aussenlager",IF(BU1555="-","Nicht im Lift",IF(BA1555&gt;=1,"Lift",IF(BA1555&lt;=0,"Aussenlager","teilweise")))))</f>
        <v/>
      </c>
      <c r="BE1555" s="55" t="str">
        <f aca="false">IF(A1555="","",IF(BN1555=1,"Neu; ","")&amp;IF(AND(BN1555=0,BI1555&lt;0),"negativer Bestand (Export "&amp;BI1555&amp;"); ","")&amp;IF(I1555&lt;=0,"Kein Verbrauch; ","")&amp;IF(CD1555&gt;0,"Lift "&amp;U1555&amp;" lt. Liftbericht (Fach "&amp;V1555&amp;" Stk); ",IF(BR1555=1,"Lose – Fläche geschätzt; ",""))&amp;IF(G1555&gt;AP1555,"Überbestand "&amp;ROUND(G1555-AP1555,0)&amp;" Stk / CHF "&amp;ROUND((G1555-AP1555)*F1555,0)&amp;"; ","")&amp;IF(AND(BW1555=1,BX1555&lt;BY1555),"MAX &lt; MB+LG; ","")&amp;IF(AND(CC1555&gt;0,CB1555*10&gt;CC1555),"zu hoch für Tablar; ","")&amp;IF(AND(BN1555=0,OR(BW1555=1,Y1555&lt;&gt;"",S1555&lt;&gt;"",T1555&lt;&gt;"",Z1555&lt;&gt;"")),"manuell übersteuert; ","")&amp;IF(AND(BR1555=0,Q1555=0),"Gebinde unbekannt / Stellmass fehlt; ","")&amp;IF(AND(BR1555=0,N(T1555)&lt;=0,N(P1555)&lt;=0),"Menge pro Gebinde fehlt (Ist = 1 Gebinde); ","")&amp;BM1555)</f>
        <v/>
      </c>
      <c r="BF1555" s="55"/>
      <c r="BG1555" s="55"/>
      <c r="BH1555" s="62"/>
      <c r="BI1555" s="57" t="n">
        <f aca="false">N('Neue Artikel'!$D$83)</f>
        <v>0</v>
      </c>
      <c r="BJ1555" s="57" t="n">
        <v>0</v>
      </c>
      <c r="BK1555" s="56" t="n">
        <v>0</v>
      </c>
      <c r="BL1555" s="57" t="n">
        <f aca="false">N('Neue Artikel'!$C$83)/Parameter!$B$18</f>
        <v>0</v>
      </c>
      <c r="BM1555" s="55"/>
      <c r="BN1555" s="60" t="n">
        <v>1</v>
      </c>
      <c r="BO1555" s="60" t="n">
        <v>1555</v>
      </c>
      <c r="BP1555" s="55" t="str">
        <f aca="false">IF(S1555&lt;&gt;"",UPPER(TRIM(S1555)),IF(O1555="","LOSE",O1555))</f>
        <v>LOSE</v>
      </c>
      <c r="BQ1555" s="57" t="n">
        <f aca="false">IF(BP1555="LOSE",1,IF(N(T1555)&gt;0,T1555,IF(N(P1555)&gt;0,P1555,MAX(1,G1555))))</f>
        <v>1</v>
      </c>
      <c r="BR1555" s="60" t="n">
        <f aca="false">IF(BP1555="LOSE",1,0)</f>
        <v>1</v>
      </c>
      <c r="BS1555" s="59" t="n">
        <f aca="false">IF(BR1555=0,0,IF(N(R1555)&gt;0,R1555,IFERROR(VLOOKUP(D1555,Parameter!$A$35:$C$64,3,0)+0,0)))</f>
        <v>0.15</v>
      </c>
      <c r="BT1555" s="55" t="str">
        <f aca="false">IF(Y1555&lt;&gt;"",Y1555,X1555)</f>
        <v/>
      </c>
      <c r="BU1555" s="55" t="str">
        <f aca="false">IF(BT1555=1,"L1",IF(OR(BT1555=2,BT1555=3),"L23",IF(BT1555="Aussen","Aussen","-")))</f>
        <v>-</v>
      </c>
      <c r="BV1555" s="66" t="n">
        <f aca="false">IF(N(Z1555)&gt;0,Z1555,0)</f>
        <v>0</v>
      </c>
      <c r="BW1555" s="60" t="n">
        <f aca="false">IF(ISNUMBER(AC1555),1,0)</f>
        <v>0</v>
      </c>
      <c r="BX1555" s="57" t="n">
        <f aca="false">N(AC1555)</f>
        <v>0</v>
      </c>
      <c r="BY1555" s="57" t="n">
        <f aca="false">N(L1555)+N(M1555)</f>
        <v>0</v>
      </c>
      <c r="BZ1555" s="57" t="n">
        <f aca="false">ROUNDUP(G1555/BQ1555,0)</f>
        <v>0</v>
      </c>
      <c r="CA1555" s="57" t="n">
        <f aca="false">ROUNDUP(BX1555/BQ1555,0)</f>
        <v>0</v>
      </c>
      <c r="CB1555" s="60" t="n">
        <f aca="false">IF(BR1555=1,0,IFERROR(VLOOKUP(BP1555,'Gebinde-Kategorie'!$A$5:$M$45,5,0)+0,0))</f>
        <v>0</v>
      </c>
      <c r="CC1555" s="60" t="n">
        <f aca="false">IFERROR(IF(OR(BT1555=1,BT1555=2,BT1555=3),N(INDEX(Parameter!$I$5:$I$7,BT1555)),0),0)</f>
        <v>0</v>
      </c>
      <c r="CD1555" s="59" t="n">
        <f aca="false">IF(AND(Parameter!$B$21="Ja",ISNUMBER(U1555),N(V1555)&gt;0),IFERROR(N(INDEX(Parameter!$L$5:$L$7,U1555))*INDEX(Parameter!$E$5:$E$7,U1555)*V1555/SUMIFS($V$7:$V$1576,$U$7:$U$1576,U1555),0),0)</f>
        <v>0</v>
      </c>
    </row>
    <row r="1556" customFormat="false" ht="15" hidden="false" customHeight="false" outlineLevel="0" collapsed="false">
      <c r="A1556" s="55" t="str">
        <f aca="false">IF('Neue Artikel'!$A$84="","",'Neue Artikel'!$A$84&amp;"")</f>
        <v/>
      </c>
      <c r="B1556" s="55" t="str">
        <f aca="false">'Neue Artikel'!$B$84&amp;""</f>
        <v/>
      </c>
      <c r="C1556" s="55"/>
      <c r="D1556" s="55" t="s">
        <v>2561</v>
      </c>
      <c r="E1556" s="55"/>
      <c r="F1556" s="56" t="n">
        <f aca="false">N('Neue Artikel'!$G$84)</f>
        <v>0</v>
      </c>
      <c r="G1556" s="57" t="n">
        <f aca="false">MAX(0,IF(AND(Parameter!$B$21="Ja",ISNUMBER(W1556)),W1556,IF(Parameter!$B$20="Jahresanfang 2025 + Export",BJ1556+BI1556,BI1556)))</f>
        <v>0</v>
      </c>
      <c r="H1556" s="57" t="n">
        <f aca="false">G1556*F1556</f>
        <v>0</v>
      </c>
      <c r="I1556" s="57" t="n">
        <f aca="false">BL1556*Parameter!$B$18</f>
        <v>0</v>
      </c>
      <c r="J1556" s="58"/>
      <c r="K1556" s="59"/>
      <c r="L1556" s="57" t="n">
        <f aca="false">N('Neue Artikel'!$E$84)</f>
        <v>0</v>
      </c>
      <c r="M1556" s="57" t="n">
        <f aca="false">N('Neue Artikel'!$F$84)</f>
        <v>0</v>
      </c>
      <c r="N1556" s="60"/>
      <c r="O1556" s="55" t="str">
        <f aca="false">IF('Neue Artikel'!$H$84="","LOSE",UPPER(TRIM('Neue Artikel'!$H$84)))</f>
        <v>LOSE</v>
      </c>
      <c r="P1556" s="57" t="n">
        <f aca="false">N('Neue Artikel'!$I$84)</f>
        <v>0</v>
      </c>
      <c r="Q1556" s="60" t="n">
        <f aca="false">IF(BR1556=1,0,IFERROR(VLOOKUP(BP1556,'Gebinde-Kategorie'!$A$5:$M$45,13,0)+0,0))</f>
        <v>0</v>
      </c>
      <c r="R1556" s="61"/>
      <c r="S1556" s="62"/>
      <c r="T1556" s="62"/>
      <c r="U1556" s="55"/>
      <c r="V1556" s="57"/>
      <c r="W1556" s="57"/>
      <c r="X1556" s="55" t="str">
        <f aca="false">IF(A1556="","",IF(AND(Parameter!$B$21="Ja",ISNUMBER(U1556)),U1556,IF(IFERROR(VLOOKUP(D1556,Parameter!$A$35:$C$64,2,0),"Nein")="2+3",IF(ISNUMBER(SEARCH("grosser Artikel",BM1556)),2,IFERROR(VLOOKUP(BP1556,Parameter!$F$35:$G$64,2,0),2)),IF(OR(IFERROR(VLOOKUP(D1556,Parameter!$A$35:$C$64,2,0),"Nein")="Nein",IFERROR(VLOOKUP(D1556,Parameter!$A$35:$C$64,2,0),"Nein")=""),"-",VLOOKUP(D1556,Parameter!$A$35:$C$64,2,0)))))</f>
        <v/>
      </c>
      <c r="Y1556" s="55" t="str">
        <f aca="false">IF('Neue Artikel'!$J$84="","",'Neue Artikel'!$J$84)</f>
        <v/>
      </c>
      <c r="Z1556" s="63"/>
      <c r="AA1556" s="57" t="n">
        <f aca="false">AP1556</f>
        <v>0</v>
      </c>
      <c r="AB1556" s="57" t="n">
        <f aca="false">MAX(AP1556,G1556)</f>
        <v>0</v>
      </c>
      <c r="AC1556" s="64"/>
      <c r="AD1556" s="57" t="n">
        <f aca="false">IF(LEFT(Cockpit!$C$5,1)="A",G1556,IF(BW1556=1,BX1556,IF(LEFT(Cockpit!$C$5,1)="B",AH1556,MAX(AH1556,G1556))))</f>
        <v>0</v>
      </c>
      <c r="AE1556" s="57" t="n">
        <f aca="false">IF(BR1556=1,0,ROUNDUP(AD1556/BQ1556,0))</f>
        <v>0</v>
      </c>
      <c r="AF1556" s="59" t="n">
        <f aca="false">IF(CD1556&gt;0,CD1556*MAX(1,AD1556/V1556),IF(BR1556=1,IF(AD1556&lt;=0,0,BS1556*MAX(1,IF(G1556&gt;0,AD1556/G1556,1))),IF(Q1556&gt;0,AE1556/Q1556,0))/MAX(0.1,N(Parameter!$M$21)))</f>
        <v>0</v>
      </c>
      <c r="AG1556" s="57" t="n">
        <f aca="false">AD1556*F1556</f>
        <v>0</v>
      </c>
      <c r="AH1556" s="57" t="n">
        <f aca="false">ROUNDUP(MAX(I1556/IF(BV1556&gt;0,BV1556,MAX(0.1,N(Cockpit!$C$6))),BY1556)/BQ1556,0)*BQ1556</f>
        <v>0</v>
      </c>
      <c r="AI1556" s="58" t="n">
        <f aca="false">IF(AF1556&gt;0,I1556/AF1556,-1)</f>
        <v>-1</v>
      </c>
      <c r="AJ1556" s="58" t="str">
        <f aca="false">IF(AND(OR(BU1556="L1",BU1556="L23"),AF1556&gt;0),SUMIFS($AF$7:$AF$1576,$BU$7:$BU$1576,BU1556,$AI$7:$AI$1576,"&gt;"&amp;AI1556)+SUMIFS($AF$7:$AF$1576,$BU$7:$BU$1576,BU1556,$AI$7:$AI$1576,AI1556,$BO$7:$BO$1576,"&lt;="&amp;BO1556),"")</f>
        <v/>
      </c>
      <c r="AK1556" s="65" t="n">
        <f aca="false">IF(AJ1556="",0,MAX(0,MIN(1,(IF(BU1556="L1",Parameter!$E$5,Parameter!$E$6+Parameter!$E$7)-(AJ1556-AF1556))/AF1556)))</f>
        <v>0</v>
      </c>
      <c r="AL1556" s="57" t="n">
        <f aca="false">IF(LEFT(Cockpit!$I$5,1)="A",G1556,IF(BW1556=1,BX1556,IF(LEFT(Cockpit!$I$5,1)="B",AP1556,MAX(AP1556,G1556))))</f>
        <v>0</v>
      </c>
      <c r="AM1556" s="57" t="n">
        <f aca="false">IF(BR1556=1,0,ROUNDUP(AL1556/BQ1556,0))</f>
        <v>0</v>
      </c>
      <c r="AN1556" s="59" t="n">
        <f aca="false">IF(CD1556&gt;0,CD1556*MAX(1,AL1556/V1556),IF(BR1556=1,IF(AL1556&lt;=0,0,BS1556*MAX(1,IF(G1556&gt;0,AL1556/G1556,1))),IF(Q1556&gt;0,AM1556/Q1556,0))/MAX(0.1,N(Parameter!$M$21)))</f>
        <v>0</v>
      </c>
      <c r="AO1556" s="57" t="n">
        <f aca="false">AL1556*F1556</f>
        <v>0</v>
      </c>
      <c r="AP1556" s="57" t="n">
        <f aca="false">ROUNDUP(MAX(I1556/IF(BV1556&gt;0,BV1556,MAX(0.1,N(Cockpit!$I$6))),BY1556)/BQ1556,0)*BQ1556</f>
        <v>0</v>
      </c>
      <c r="AQ1556" s="58" t="n">
        <f aca="false">IF(AN1556&gt;0,I1556/AN1556,-1)</f>
        <v>-1</v>
      </c>
      <c r="AR1556" s="58" t="str">
        <f aca="false">IF(AND(OR(BU1556="L1",BU1556="L23"),AN1556&gt;0),SUMIFS($AN$7:$AN$1576,$BU$7:$BU$1576,BU1556,$AQ$7:$AQ$1576,"&gt;"&amp;AQ1556)+SUMIFS($AN$7:$AN$1576,$BU$7:$BU$1576,BU1556,$AQ$7:$AQ$1576,AQ1556,$BO$7:$BO$1576,"&lt;="&amp;BO1556),"")</f>
        <v/>
      </c>
      <c r="AS1556" s="65" t="n">
        <f aca="false">IF(AR1556="",0,MAX(0,MIN(1,(IF(BU1556="L1",Parameter!$E$5,Parameter!$E$6+Parameter!$E$7)-(AR1556-AN1556))/AN1556)))</f>
        <v>0</v>
      </c>
      <c r="AT1556" s="57" t="n">
        <f aca="false">IF(LEFT(Cockpit!$O$5,1)="A",G1556,IF(BW1556=1,BX1556,IF(LEFT(Cockpit!$O$5,1)="B",AX1556,MAX(AX1556,G1556))))</f>
        <v>0</v>
      </c>
      <c r="AU1556" s="57" t="n">
        <f aca="false">IF(BR1556=1,0,ROUNDUP(AT1556/BQ1556,0))</f>
        <v>0</v>
      </c>
      <c r="AV1556" s="59" t="n">
        <f aca="false">IF(CD1556&gt;0,CD1556*MAX(1,AT1556/V1556),IF(BR1556=1,IF(AT1556&lt;=0,0,BS1556*MAX(1,IF(G1556&gt;0,AT1556/G1556,1))),IF(Q1556&gt;0,AU1556/Q1556,0))/MAX(0.1,N(Parameter!$M$21)))</f>
        <v>0</v>
      </c>
      <c r="AW1556" s="57" t="n">
        <f aca="false">AT1556*F1556</f>
        <v>0</v>
      </c>
      <c r="AX1556" s="57" t="n">
        <f aca="false">ROUNDUP(MAX(I1556/IF(BV1556&gt;0,BV1556,MAX(0.1,N(Cockpit!$O$6))),BY1556)/BQ1556,0)*BQ1556</f>
        <v>0</v>
      </c>
      <c r="AY1556" s="58" t="n">
        <f aca="false">IF(AV1556&gt;0,I1556/AV1556,-1)</f>
        <v>-1</v>
      </c>
      <c r="AZ1556" s="58" t="str">
        <f aca="false">IF(AND(OR(BU1556="L1",BU1556="L23"),AV1556&gt;0),SUMIFS($AV$7:$AV$1576,$BU$7:$BU$1576,BU1556,$AY$7:$AY$1576,"&gt;"&amp;AY1556)+SUMIFS($AV$7:$AV$1576,$BU$7:$BU$1576,BU1556,$AY$7:$AY$1576,AY1556,$BO$7:$BO$1576,"&lt;="&amp;BO1556),"")</f>
        <v/>
      </c>
      <c r="BA1556" s="65" t="n">
        <f aca="false">IF(AZ1556="",0,MAX(0,MIN(1,(IF(BU1556="L1",Parameter!$E$5,Parameter!$E$6+Parameter!$E$7)-(AZ1556-AV1556))/AV1556)))</f>
        <v>0</v>
      </c>
      <c r="BB1556" s="55" t="str">
        <f aca="false">IF(AF1556&lt;=0,"",IF(BU1556="Aussen","Aussenlager",IF(BU1556="-","Nicht im Lift",IF(AK1556&gt;=1,"Lift",IF(AK1556&lt;=0,"Aussenlager","teilweise")))))</f>
        <v/>
      </c>
      <c r="BC1556" s="55" t="str">
        <f aca="false">IF(AN1556&lt;=0,"",IF(BU1556="Aussen","Aussenlager",IF(BU1556="-","Nicht im Lift",IF(AS1556&gt;=1,"Lift",IF(AS1556&lt;=0,"Aussenlager","teilweise")))))</f>
        <v/>
      </c>
      <c r="BD1556" s="55" t="str">
        <f aca="false">IF(AV1556&lt;=0,"",IF(BU1556="Aussen","Aussenlager",IF(BU1556="-","Nicht im Lift",IF(BA1556&gt;=1,"Lift",IF(BA1556&lt;=0,"Aussenlager","teilweise")))))</f>
        <v/>
      </c>
      <c r="BE1556" s="55" t="str">
        <f aca="false">IF(A1556="","",IF(BN1556=1,"Neu; ","")&amp;IF(AND(BN1556=0,BI1556&lt;0),"negativer Bestand (Export "&amp;BI1556&amp;"); ","")&amp;IF(I1556&lt;=0,"Kein Verbrauch; ","")&amp;IF(CD1556&gt;0,"Lift "&amp;U1556&amp;" lt. Liftbericht (Fach "&amp;V1556&amp;" Stk); ",IF(BR1556=1,"Lose – Fläche geschätzt; ",""))&amp;IF(G1556&gt;AP1556,"Überbestand "&amp;ROUND(G1556-AP1556,0)&amp;" Stk / CHF "&amp;ROUND((G1556-AP1556)*F1556,0)&amp;"; ","")&amp;IF(AND(BW1556=1,BX1556&lt;BY1556),"MAX &lt; MB+LG; ","")&amp;IF(AND(CC1556&gt;0,CB1556*10&gt;CC1556),"zu hoch für Tablar; ","")&amp;IF(AND(BN1556=0,OR(BW1556=1,Y1556&lt;&gt;"",S1556&lt;&gt;"",T1556&lt;&gt;"",Z1556&lt;&gt;"")),"manuell übersteuert; ","")&amp;IF(AND(BR1556=0,Q1556=0),"Gebinde unbekannt / Stellmass fehlt; ","")&amp;IF(AND(BR1556=0,N(T1556)&lt;=0,N(P1556)&lt;=0),"Menge pro Gebinde fehlt (Ist = 1 Gebinde); ","")&amp;BM1556)</f>
        <v/>
      </c>
      <c r="BF1556" s="55"/>
      <c r="BG1556" s="55"/>
      <c r="BH1556" s="62"/>
      <c r="BI1556" s="57" t="n">
        <f aca="false">N('Neue Artikel'!$D$84)</f>
        <v>0</v>
      </c>
      <c r="BJ1556" s="57" t="n">
        <v>0</v>
      </c>
      <c r="BK1556" s="56" t="n">
        <v>0</v>
      </c>
      <c r="BL1556" s="57" t="n">
        <f aca="false">N('Neue Artikel'!$C$84)/Parameter!$B$18</f>
        <v>0</v>
      </c>
      <c r="BM1556" s="55"/>
      <c r="BN1556" s="60" t="n">
        <v>1</v>
      </c>
      <c r="BO1556" s="60" t="n">
        <v>1556</v>
      </c>
      <c r="BP1556" s="55" t="str">
        <f aca="false">IF(S1556&lt;&gt;"",UPPER(TRIM(S1556)),IF(O1556="","LOSE",O1556))</f>
        <v>LOSE</v>
      </c>
      <c r="BQ1556" s="57" t="n">
        <f aca="false">IF(BP1556="LOSE",1,IF(N(T1556)&gt;0,T1556,IF(N(P1556)&gt;0,P1556,MAX(1,G1556))))</f>
        <v>1</v>
      </c>
      <c r="BR1556" s="60" t="n">
        <f aca="false">IF(BP1556="LOSE",1,0)</f>
        <v>1</v>
      </c>
      <c r="BS1556" s="59" t="n">
        <f aca="false">IF(BR1556=0,0,IF(N(R1556)&gt;0,R1556,IFERROR(VLOOKUP(D1556,Parameter!$A$35:$C$64,3,0)+0,0)))</f>
        <v>0.15</v>
      </c>
      <c r="BT1556" s="55" t="str">
        <f aca="false">IF(Y1556&lt;&gt;"",Y1556,X1556)</f>
        <v/>
      </c>
      <c r="BU1556" s="55" t="str">
        <f aca="false">IF(BT1556=1,"L1",IF(OR(BT1556=2,BT1556=3),"L23",IF(BT1556="Aussen","Aussen","-")))</f>
        <v>-</v>
      </c>
      <c r="BV1556" s="66" t="n">
        <f aca="false">IF(N(Z1556)&gt;0,Z1556,0)</f>
        <v>0</v>
      </c>
      <c r="BW1556" s="60" t="n">
        <f aca="false">IF(ISNUMBER(AC1556),1,0)</f>
        <v>0</v>
      </c>
      <c r="BX1556" s="57" t="n">
        <f aca="false">N(AC1556)</f>
        <v>0</v>
      </c>
      <c r="BY1556" s="57" t="n">
        <f aca="false">N(L1556)+N(M1556)</f>
        <v>0</v>
      </c>
      <c r="BZ1556" s="57" t="n">
        <f aca="false">ROUNDUP(G1556/BQ1556,0)</f>
        <v>0</v>
      </c>
      <c r="CA1556" s="57" t="n">
        <f aca="false">ROUNDUP(BX1556/BQ1556,0)</f>
        <v>0</v>
      </c>
      <c r="CB1556" s="60" t="n">
        <f aca="false">IF(BR1556=1,0,IFERROR(VLOOKUP(BP1556,'Gebinde-Kategorie'!$A$5:$M$45,5,0)+0,0))</f>
        <v>0</v>
      </c>
      <c r="CC1556" s="60" t="n">
        <f aca="false">IFERROR(IF(OR(BT1556=1,BT1556=2,BT1556=3),N(INDEX(Parameter!$I$5:$I$7,BT1556)),0),0)</f>
        <v>0</v>
      </c>
      <c r="CD1556" s="59" t="n">
        <f aca="false">IF(AND(Parameter!$B$21="Ja",ISNUMBER(U1556),N(V1556)&gt;0),IFERROR(N(INDEX(Parameter!$L$5:$L$7,U1556))*INDEX(Parameter!$E$5:$E$7,U1556)*V1556/SUMIFS($V$7:$V$1576,$U$7:$U$1576,U1556),0),0)</f>
        <v>0</v>
      </c>
    </row>
    <row r="1557" customFormat="false" ht="15" hidden="false" customHeight="false" outlineLevel="0" collapsed="false">
      <c r="A1557" s="55" t="str">
        <f aca="false">IF('Neue Artikel'!$A$85="","",'Neue Artikel'!$A$85&amp;"")</f>
        <v/>
      </c>
      <c r="B1557" s="55" t="str">
        <f aca="false">'Neue Artikel'!$B$85&amp;""</f>
        <v/>
      </c>
      <c r="C1557" s="55"/>
      <c r="D1557" s="55" t="s">
        <v>2561</v>
      </c>
      <c r="E1557" s="55"/>
      <c r="F1557" s="56" t="n">
        <f aca="false">N('Neue Artikel'!$G$85)</f>
        <v>0</v>
      </c>
      <c r="G1557" s="57" t="n">
        <f aca="false">MAX(0,IF(AND(Parameter!$B$21="Ja",ISNUMBER(W1557)),W1557,IF(Parameter!$B$20="Jahresanfang 2025 + Export",BJ1557+BI1557,BI1557)))</f>
        <v>0</v>
      </c>
      <c r="H1557" s="57" t="n">
        <f aca="false">G1557*F1557</f>
        <v>0</v>
      </c>
      <c r="I1557" s="57" t="n">
        <f aca="false">BL1557*Parameter!$B$18</f>
        <v>0</v>
      </c>
      <c r="J1557" s="58"/>
      <c r="K1557" s="59"/>
      <c r="L1557" s="57" t="n">
        <f aca="false">N('Neue Artikel'!$E$85)</f>
        <v>0</v>
      </c>
      <c r="M1557" s="57" t="n">
        <f aca="false">N('Neue Artikel'!$F$85)</f>
        <v>0</v>
      </c>
      <c r="N1557" s="60"/>
      <c r="O1557" s="55" t="str">
        <f aca="false">IF('Neue Artikel'!$H$85="","LOSE",UPPER(TRIM('Neue Artikel'!$H$85)))</f>
        <v>LOSE</v>
      </c>
      <c r="P1557" s="57" t="n">
        <f aca="false">N('Neue Artikel'!$I$85)</f>
        <v>0</v>
      </c>
      <c r="Q1557" s="60" t="n">
        <f aca="false">IF(BR1557=1,0,IFERROR(VLOOKUP(BP1557,'Gebinde-Kategorie'!$A$5:$M$45,13,0)+0,0))</f>
        <v>0</v>
      </c>
      <c r="R1557" s="61"/>
      <c r="S1557" s="62"/>
      <c r="T1557" s="62"/>
      <c r="U1557" s="55"/>
      <c r="V1557" s="57"/>
      <c r="W1557" s="57"/>
      <c r="X1557" s="55" t="str">
        <f aca="false">IF(A1557="","",IF(AND(Parameter!$B$21="Ja",ISNUMBER(U1557)),U1557,IF(IFERROR(VLOOKUP(D1557,Parameter!$A$35:$C$64,2,0),"Nein")="2+3",IF(ISNUMBER(SEARCH("grosser Artikel",BM1557)),2,IFERROR(VLOOKUP(BP1557,Parameter!$F$35:$G$64,2,0),2)),IF(OR(IFERROR(VLOOKUP(D1557,Parameter!$A$35:$C$64,2,0),"Nein")="Nein",IFERROR(VLOOKUP(D1557,Parameter!$A$35:$C$64,2,0),"Nein")=""),"-",VLOOKUP(D1557,Parameter!$A$35:$C$64,2,0)))))</f>
        <v/>
      </c>
      <c r="Y1557" s="55" t="str">
        <f aca="false">IF('Neue Artikel'!$J$85="","",'Neue Artikel'!$J$85)</f>
        <v/>
      </c>
      <c r="Z1557" s="63"/>
      <c r="AA1557" s="57" t="n">
        <f aca="false">AP1557</f>
        <v>0</v>
      </c>
      <c r="AB1557" s="57" t="n">
        <f aca="false">MAX(AP1557,G1557)</f>
        <v>0</v>
      </c>
      <c r="AC1557" s="64"/>
      <c r="AD1557" s="57" t="n">
        <f aca="false">IF(LEFT(Cockpit!$C$5,1)="A",G1557,IF(BW1557=1,BX1557,IF(LEFT(Cockpit!$C$5,1)="B",AH1557,MAX(AH1557,G1557))))</f>
        <v>0</v>
      </c>
      <c r="AE1557" s="57" t="n">
        <f aca="false">IF(BR1557=1,0,ROUNDUP(AD1557/BQ1557,0))</f>
        <v>0</v>
      </c>
      <c r="AF1557" s="59" t="n">
        <f aca="false">IF(CD1557&gt;0,CD1557*MAX(1,AD1557/V1557),IF(BR1557=1,IF(AD1557&lt;=0,0,BS1557*MAX(1,IF(G1557&gt;0,AD1557/G1557,1))),IF(Q1557&gt;0,AE1557/Q1557,0))/MAX(0.1,N(Parameter!$M$21)))</f>
        <v>0</v>
      </c>
      <c r="AG1557" s="57" t="n">
        <f aca="false">AD1557*F1557</f>
        <v>0</v>
      </c>
      <c r="AH1557" s="57" t="n">
        <f aca="false">ROUNDUP(MAX(I1557/IF(BV1557&gt;0,BV1557,MAX(0.1,N(Cockpit!$C$6))),BY1557)/BQ1557,0)*BQ1557</f>
        <v>0</v>
      </c>
      <c r="AI1557" s="58" t="n">
        <f aca="false">IF(AF1557&gt;0,I1557/AF1557,-1)</f>
        <v>-1</v>
      </c>
      <c r="AJ1557" s="58" t="str">
        <f aca="false">IF(AND(OR(BU1557="L1",BU1557="L23"),AF1557&gt;0),SUMIFS($AF$7:$AF$1576,$BU$7:$BU$1576,BU1557,$AI$7:$AI$1576,"&gt;"&amp;AI1557)+SUMIFS($AF$7:$AF$1576,$BU$7:$BU$1576,BU1557,$AI$7:$AI$1576,AI1557,$BO$7:$BO$1576,"&lt;="&amp;BO1557),"")</f>
        <v/>
      </c>
      <c r="AK1557" s="65" t="n">
        <f aca="false">IF(AJ1557="",0,MAX(0,MIN(1,(IF(BU1557="L1",Parameter!$E$5,Parameter!$E$6+Parameter!$E$7)-(AJ1557-AF1557))/AF1557)))</f>
        <v>0</v>
      </c>
      <c r="AL1557" s="57" t="n">
        <f aca="false">IF(LEFT(Cockpit!$I$5,1)="A",G1557,IF(BW1557=1,BX1557,IF(LEFT(Cockpit!$I$5,1)="B",AP1557,MAX(AP1557,G1557))))</f>
        <v>0</v>
      </c>
      <c r="AM1557" s="57" t="n">
        <f aca="false">IF(BR1557=1,0,ROUNDUP(AL1557/BQ1557,0))</f>
        <v>0</v>
      </c>
      <c r="AN1557" s="59" t="n">
        <f aca="false">IF(CD1557&gt;0,CD1557*MAX(1,AL1557/V1557),IF(BR1557=1,IF(AL1557&lt;=0,0,BS1557*MAX(1,IF(G1557&gt;0,AL1557/G1557,1))),IF(Q1557&gt;0,AM1557/Q1557,0))/MAX(0.1,N(Parameter!$M$21)))</f>
        <v>0</v>
      </c>
      <c r="AO1557" s="57" t="n">
        <f aca="false">AL1557*F1557</f>
        <v>0</v>
      </c>
      <c r="AP1557" s="57" t="n">
        <f aca="false">ROUNDUP(MAX(I1557/IF(BV1557&gt;0,BV1557,MAX(0.1,N(Cockpit!$I$6))),BY1557)/BQ1557,0)*BQ1557</f>
        <v>0</v>
      </c>
      <c r="AQ1557" s="58" t="n">
        <f aca="false">IF(AN1557&gt;0,I1557/AN1557,-1)</f>
        <v>-1</v>
      </c>
      <c r="AR1557" s="58" t="str">
        <f aca="false">IF(AND(OR(BU1557="L1",BU1557="L23"),AN1557&gt;0),SUMIFS($AN$7:$AN$1576,$BU$7:$BU$1576,BU1557,$AQ$7:$AQ$1576,"&gt;"&amp;AQ1557)+SUMIFS($AN$7:$AN$1576,$BU$7:$BU$1576,BU1557,$AQ$7:$AQ$1576,AQ1557,$BO$7:$BO$1576,"&lt;="&amp;BO1557),"")</f>
        <v/>
      </c>
      <c r="AS1557" s="65" t="n">
        <f aca="false">IF(AR1557="",0,MAX(0,MIN(1,(IF(BU1557="L1",Parameter!$E$5,Parameter!$E$6+Parameter!$E$7)-(AR1557-AN1557))/AN1557)))</f>
        <v>0</v>
      </c>
      <c r="AT1557" s="57" t="n">
        <f aca="false">IF(LEFT(Cockpit!$O$5,1)="A",G1557,IF(BW1557=1,BX1557,IF(LEFT(Cockpit!$O$5,1)="B",AX1557,MAX(AX1557,G1557))))</f>
        <v>0</v>
      </c>
      <c r="AU1557" s="57" t="n">
        <f aca="false">IF(BR1557=1,0,ROUNDUP(AT1557/BQ1557,0))</f>
        <v>0</v>
      </c>
      <c r="AV1557" s="59" t="n">
        <f aca="false">IF(CD1557&gt;0,CD1557*MAX(1,AT1557/V1557),IF(BR1557=1,IF(AT1557&lt;=0,0,BS1557*MAX(1,IF(G1557&gt;0,AT1557/G1557,1))),IF(Q1557&gt;0,AU1557/Q1557,0))/MAX(0.1,N(Parameter!$M$21)))</f>
        <v>0</v>
      </c>
      <c r="AW1557" s="57" t="n">
        <f aca="false">AT1557*F1557</f>
        <v>0</v>
      </c>
      <c r="AX1557" s="57" t="n">
        <f aca="false">ROUNDUP(MAX(I1557/IF(BV1557&gt;0,BV1557,MAX(0.1,N(Cockpit!$O$6))),BY1557)/BQ1557,0)*BQ1557</f>
        <v>0</v>
      </c>
      <c r="AY1557" s="58" t="n">
        <f aca="false">IF(AV1557&gt;0,I1557/AV1557,-1)</f>
        <v>-1</v>
      </c>
      <c r="AZ1557" s="58" t="str">
        <f aca="false">IF(AND(OR(BU1557="L1",BU1557="L23"),AV1557&gt;0),SUMIFS($AV$7:$AV$1576,$BU$7:$BU$1576,BU1557,$AY$7:$AY$1576,"&gt;"&amp;AY1557)+SUMIFS($AV$7:$AV$1576,$BU$7:$BU$1576,BU1557,$AY$7:$AY$1576,AY1557,$BO$7:$BO$1576,"&lt;="&amp;BO1557),"")</f>
        <v/>
      </c>
      <c r="BA1557" s="65" t="n">
        <f aca="false">IF(AZ1557="",0,MAX(0,MIN(1,(IF(BU1557="L1",Parameter!$E$5,Parameter!$E$6+Parameter!$E$7)-(AZ1557-AV1557))/AV1557)))</f>
        <v>0</v>
      </c>
      <c r="BB1557" s="55" t="str">
        <f aca="false">IF(AF1557&lt;=0,"",IF(BU1557="Aussen","Aussenlager",IF(BU1557="-","Nicht im Lift",IF(AK1557&gt;=1,"Lift",IF(AK1557&lt;=0,"Aussenlager","teilweise")))))</f>
        <v/>
      </c>
      <c r="BC1557" s="55" t="str">
        <f aca="false">IF(AN1557&lt;=0,"",IF(BU1557="Aussen","Aussenlager",IF(BU1557="-","Nicht im Lift",IF(AS1557&gt;=1,"Lift",IF(AS1557&lt;=0,"Aussenlager","teilweise")))))</f>
        <v/>
      </c>
      <c r="BD1557" s="55" t="str">
        <f aca="false">IF(AV1557&lt;=0,"",IF(BU1557="Aussen","Aussenlager",IF(BU1557="-","Nicht im Lift",IF(BA1557&gt;=1,"Lift",IF(BA1557&lt;=0,"Aussenlager","teilweise")))))</f>
        <v/>
      </c>
      <c r="BE1557" s="55" t="str">
        <f aca="false">IF(A1557="","",IF(BN1557=1,"Neu; ","")&amp;IF(AND(BN1557=0,BI1557&lt;0),"negativer Bestand (Export "&amp;BI1557&amp;"); ","")&amp;IF(I1557&lt;=0,"Kein Verbrauch; ","")&amp;IF(CD1557&gt;0,"Lift "&amp;U1557&amp;" lt. Liftbericht (Fach "&amp;V1557&amp;" Stk); ",IF(BR1557=1,"Lose – Fläche geschätzt; ",""))&amp;IF(G1557&gt;AP1557,"Überbestand "&amp;ROUND(G1557-AP1557,0)&amp;" Stk / CHF "&amp;ROUND((G1557-AP1557)*F1557,0)&amp;"; ","")&amp;IF(AND(BW1557=1,BX1557&lt;BY1557),"MAX &lt; MB+LG; ","")&amp;IF(AND(CC1557&gt;0,CB1557*10&gt;CC1557),"zu hoch für Tablar; ","")&amp;IF(AND(BN1557=0,OR(BW1557=1,Y1557&lt;&gt;"",S1557&lt;&gt;"",T1557&lt;&gt;"",Z1557&lt;&gt;"")),"manuell übersteuert; ","")&amp;IF(AND(BR1557=0,Q1557=0),"Gebinde unbekannt / Stellmass fehlt; ","")&amp;IF(AND(BR1557=0,N(T1557)&lt;=0,N(P1557)&lt;=0),"Menge pro Gebinde fehlt (Ist = 1 Gebinde); ","")&amp;BM1557)</f>
        <v/>
      </c>
      <c r="BF1557" s="55"/>
      <c r="BG1557" s="55"/>
      <c r="BH1557" s="62"/>
      <c r="BI1557" s="57" t="n">
        <f aca="false">N('Neue Artikel'!$D$85)</f>
        <v>0</v>
      </c>
      <c r="BJ1557" s="57" t="n">
        <v>0</v>
      </c>
      <c r="BK1557" s="56" t="n">
        <v>0</v>
      </c>
      <c r="BL1557" s="57" t="n">
        <f aca="false">N('Neue Artikel'!$C$85)/Parameter!$B$18</f>
        <v>0</v>
      </c>
      <c r="BM1557" s="55"/>
      <c r="BN1557" s="60" t="n">
        <v>1</v>
      </c>
      <c r="BO1557" s="60" t="n">
        <v>1557</v>
      </c>
      <c r="BP1557" s="55" t="str">
        <f aca="false">IF(S1557&lt;&gt;"",UPPER(TRIM(S1557)),IF(O1557="","LOSE",O1557))</f>
        <v>LOSE</v>
      </c>
      <c r="BQ1557" s="57" t="n">
        <f aca="false">IF(BP1557="LOSE",1,IF(N(T1557)&gt;0,T1557,IF(N(P1557)&gt;0,P1557,MAX(1,G1557))))</f>
        <v>1</v>
      </c>
      <c r="BR1557" s="60" t="n">
        <f aca="false">IF(BP1557="LOSE",1,0)</f>
        <v>1</v>
      </c>
      <c r="BS1557" s="59" t="n">
        <f aca="false">IF(BR1557=0,0,IF(N(R1557)&gt;0,R1557,IFERROR(VLOOKUP(D1557,Parameter!$A$35:$C$64,3,0)+0,0)))</f>
        <v>0.15</v>
      </c>
      <c r="BT1557" s="55" t="str">
        <f aca="false">IF(Y1557&lt;&gt;"",Y1557,X1557)</f>
        <v/>
      </c>
      <c r="BU1557" s="55" t="str">
        <f aca="false">IF(BT1557=1,"L1",IF(OR(BT1557=2,BT1557=3),"L23",IF(BT1557="Aussen","Aussen","-")))</f>
        <v>-</v>
      </c>
      <c r="BV1557" s="66" t="n">
        <f aca="false">IF(N(Z1557)&gt;0,Z1557,0)</f>
        <v>0</v>
      </c>
      <c r="BW1557" s="60" t="n">
        <f aca="false">IF(ISNUMBER(AC1557),1,0)</f>
        <v>0</v>
      </c>
      <c r="BX1557" s="57" t="n">
        <f aca="false">N(AC1557)</f>
        <v>0</v>
      </c>
      <c r="BY1557" s="57" t="n">
        <f aca="false">N(L1557)+N(M1557)</f>
        <v>0</v>
      </c>
      <c r="BZ1557" s="57" t="n">
        <f aca="false">ROUNDUP(G1557/BQ1557,0)</f>
        <v>0</v>
      </c>
      <c r="CA1557" s="57" t="n">
        <f aca="false">ROUNDUP(BX1557/BQ1557,0)</f>
        <v>0</v>
      </c>
      <c r="CB1557" s="60" t="n">
        <f aca="false">IF(BR1557=1,0,IFERROR(VLOOKUP(BP1557,'Gebinde-Kategorie'!$A$5:$M$45,5,0)+0,0))</f>
        <v>0</v>
      </c>
      <c r="CC1557" s="60" t="n">
        <f aca="false">IFERROR(IF(OR(BT1557=1,BT1557=2,BT1557=3),N(INDEX(Parameter!$I$5:$I$7,BT1557)),0),0)</f>
        <v>0</v>
      </c>
      <c r="CD1557" s="59" t="n">
        <f aca="false">IF(AND(Parameter!$B$21="Ja",ISNUMBER(U1557),N(V1557)&gt;0),IFERROR(N(INDEX(Parameter!$L$5:$L$7,U1557))*INDEX(Parameter!$E$5:$E$7,U1557)*V1557/SUMIFS($V$7:$V$1576,$U$7:$U$1576,U1557),0),0)</f>
        <v>0</v>
      </c>
    </row>
    <row r="1558" customFormat="false" ht="15" hidden="false" customHeight="false" outlineLevel="0" collapsed="false">
      <c r="A1558" s="55" t="str">
        <f aca="false">IF('Neue Artikel'!$A$86="","",'Neue Artikel'!$A$86&amp;"")</f>
        <v/>
      </c>
      <c r="B1558" s="55" t="str">
        <f aca="false">'Neue Artikel'!$B$86&amp;""</f>
        <v/>
      </c>
      <c r="C1558" s="55"/>
      <c r="D1558" s="55" t="s">
        <v>2561</v>
      </c>
      <c r="E1558" s="55"/>
      <c r="F1558" s="56" t="n">
        <f aca="false">N('Neue Artikel'!$G$86)</f>
        <v>0</v>
      </c>
      <c r="G1558" s="57" t="n">
        <f aca="false">MAX(0,IF(AND(Parameter!$B$21="Ja",ISNUMBER(W1558)),W1558,IF(Parameter!$B$20="Jahresanfang 2025 + Export",BJ1558+BI1558,BI1558)))</f>
        <v>0</v>
      </c>
      <c r="H1558" s="57" t="n">
        <f aca="false">G1558*F1558</f>
        <v>0</v>
      </c>
      <c r="I1558" s="57" t="n">
        <f aca="false">BL1558*Parameter!$B$18</f>
        <v>0</v>
      </c>
      <c r="J1558" s="58"/>
      <c r="K1558" s="59"/>
      <c r="L1558" s="57" t="n">
        <f aca="false">N('Neue Artikel'!$E$86)</f>
        <v>0</v>
      </c>
      <c r="M1558" s="57" t="n">
        <f aca="false">N('Neue Artikel'!$F$86)</f>
        <v>0</v>
      </c>
      <c r="N1558" s="60"/>
      <c r="O1558" s="55" t="str">
        <f aca="false">IF('Neue Artikel'!$H$86="","LOSE",UPPER(TRIM('Neue Artikel'!$H$86)))</f>
        <v>LOSE</v>
      </c>
      <c r="P1558" s="57" t="n">
        <f aca="false">N('Neue Artikel'!$I$86)</f>
        <v>0</v>
      </c>
      <c r="Q1558" s="60" t="n">
        <f aca="false">IF(BR1558=1,0,IFERROR(VLOOKUP(BP1558,'Gebinde-Kategorie'!$A$5:$M$45,13,0)+0,0))</f>
        <v>0</v>
      </c>
      <c r="R1558" s="61"/>
      <c r="S1558" s="62"/>
      <c r="T1558" s="62"/>
      <c r="U1558" s="55"/>
      <c r="V1558" s="57"/>
      <c r="W1558" s="57"/>
      <c r="X1558" s="55" t="str">
        <f aca="false">IF(A1558="","",IF(AND(Parameter!$B$21="Ja",ISNUMBER(U1558)),U1558,IF(IFERROR(VLOOKUP(D1558,Parameter!$A$35:$C$64,2,0),"Nein")="2+3",IF(ISNUMBER(SEARCH("grosser Artikel",BM1558)),2,IFERROR(VLOOKUP(BP1558,Parameter!$F$35:$G$64,2,0),2)),IF(OR(IFERROR(VLOOKUP(D1558,Parameter!$A$35:$C$64,2,0),"Nein")="Nein",IFERROR(VLOOKUP(D1558,Parameter!$A$35:$C$64,2,0),"Nein")=""),"-",VLOOKUP(D1558,Parameter!$A$35:$C$64,2,0)))))</f>
        <v/>
      </c>
      <c r="Y1558" s="55" t="str">
        <f aca="false">IF('Neue Artikel'!$J$86="","",'Neue Artikel'!$J$86)</f>
        <v/>
      </c>
      <c r="Z1558" s="63"/>
      <c r="AA1558" s="57" t="n">
        <f aca="false">AP1558</f>
        <v>0</v>
      </c>
      <c r="AB1558" s="57" t="n">
        <f aca="false">MAX(AP1558,G1558)</f>
        <v>0</v>
      </c>
      <c r="AC1558" s="64"/>
      <c r="AD1558" s="57" t="n">
        <f aca="false">IF(LEFT(Cockpit!$C$5,1)="A",G1558,IF(BW1558=1,BX1558,IF(LEFT(Cockpit!$C$5,1)="B",AH1558,MAX(AH1558,G1558))))</f>
        <v>0</v>
      </c>
      <c r="AE1558" s="57" t="n">
        <f aca="false">IF(BR1558=1,0,ROUNDUP(AD1558/BQ1558,0))</f>
        <v>0</v>
      </c>
      <c r="AF1558" s="59" t="n">
        <f aca="false">IF(CD1558&gt;0,CD1558*MAX(1,AD1558/V1558),IF(BR1558=1,IF(AD1558&lt;=0,0,BS1558*MAX(1,IF(G1558&gt;0,AD1558/G1558,1))),IF(Q1558&gt;0,AE1558/Q1558,0))/MAX(0.1,N(Parameter!$M$21)))</f>
        <v>0</v>
      </c>
      <c r="AG1558" s="57" t="n">
        <f aca="false">AD1558*F1558</f>
        <v>0</v>
      </c>
      <c r="AH1558" s="57" t="n">
        <f aca="false">ROUNDUP(MAX(I1558/IF(BV1558&gt;0,BV1558,MAX(0.1,N(Cockpit!$C$6))),BY1558)/BQ1558,0)*BQ1558</f>
        <v>0</v>
      </c>
      <c r="AI1558" s="58" t="n">
        <f aca="false">IF(AF1558&gt;0,I1558/AF1558,-1)</f>
        <v>-1</v>
      </c>
      <c r="AJ1558" s="58" t="str">
        <f aca="false">IF(AND(OR(BU1558="L1",BU1558="L23"),AF1558&gt;0),SUMIFS($AF$7:$AF$1576,$BU$7:$BU$1576,BU1558,$AI$7:$AI$1576,"&gt;"&amp;AI1558)+SUMIFS($AF$7:$AF$1576,$BU$7:$BU$1576,BU1558,$AI$7:$AI$1576,AI1558,$BO$7:$BO$1576,"&lt;="&amp;BO1558),"")</f>
        <v/>
      </c>
      <c r="AK1558" s="65" t="n">
        <f aca="false">IF(AJ1558="",0,MAX(0,MIN(1,(IF(BU1558="L1",Parameter!$E$5,Parameter!$E$6+Parameter!$E$7)-(AJ1558-AF1558))/AF1558)))</f>
        <v>0</v>
      </c>
      <c r="AL1558" s="57" t="n">
        <f aca="false">IF(LEFT(Cockpit!$I$5,1)="A",G1558,IF(BW1558=1,BX1558,IF(LEFT(Cockpit!$I$5,1)="B",AP1558,MAX(AP1558,G1558))))</f>
        <v>0</v>
      </c>
      <c r="AM1558" s="57" t="n">
        <f aca="false">IF(BR1558=1,0,ROUNDUP(AL1558/BQ1558,0))</f>
        <v>0</v>
      </c>
      <c r="AN1558" s="59" t="n">
        <f aca="false">IF(CD1558&gt;0,CD1558*MAX(1,AL1558/V1558),IF(BR1558=1,IF(AL1558&lt;=0,0,BS1558*MAX(1,IF(G1558&gt;0,AL1558/G1558,1))),IF(Q1558&gt;0,AM1558/Q1558,0))/MAX(0.1,N(Parameter!$M$21)))</f>
        <v>0</v>
      </c>
      <c r="AO1558" s="57" t="n">
        <f aca="false">AL1558*F1558</f>
        <v>0</v>
      </c>
      <c r="AP1558" s="57" t="n">
        <f aca="false">ROUNDUP(MAX(I1558/IF(BV1558&gt;0,BV1558,MAX(0.1,N(Cockpit!$I$6))),BY1558)/BQ1558,0)*BQ1558</f>
        <v>0</v>
      </c>
      <c r="AQ1558" s="58" t="n">
        <f aca="false">IF(AN1558&gt;0,I1558/AN1558,-1)</f>
        <v>-1</v>
      </c>
      <c r="AR1558" s="58" t="str">
        <f aca="false">IF(AND(OR(BU1558="L1",BU1558="L23"),AN1558&gt;0),SUMIFS($AN$7:$AN$1576,$BU$7:$BU$1576,BU1558,$AQ$7:$AQ$1576,"&gt;"&amp;AQ1558)+SUMIFS($AN$7:$AN$1576,$BU$7:$BU$1576,BU1558,$AQ$7:$AQ$1576,AQ1558,$BO$7:$BO$1576,"&lt;="&amp;BO1558),"")</f>
        <v/>
      </c>
      <c r="AS1558" s="65" t="n">
        <f aca="false">IF(AR1558="",0,MAX(0,MIN(1,(IF(BU1558="L1",Parameter!$E$5,Parameter!$E$6+Parameter!$E$7)-(AR1558-AN1558))/AN1558)))</f>
        <v>0</v>
      </c>
      <c r="AT1558" s="57" t="n">
        <f aca="false">IF(LEFT(Cockpit!$O$5,1)="A",G1558,IF(BW1558=1,BX1558,IF(LEFT(Cockpit!$O$5,1)="B",AX1558,MAX(AX1558,G1558))))</f>
        <v>0</v>
      </c>
      <c r="AU1558" s="57" t="n">
        <f aca="false">IF(BR1558=1,0,ROUNDUP(AT1558/BQ1558,0))</f>
        <v>0</v>
      </c>
      <c r="AV1558" s="59" t="n">
        <f aca="false">IF(CD1558&gt;0,CD1558*MAX(1,AT1558/V1558),IF(BR1558=1,IF(AT1558&lt;=0,0,BS1558*MAX(1,IF(G1558&gt;0,AT1558/G1558,1))),IF(Q1558&gt;0,AU1558/Q1558,0))/MAX(0.1,N(Parameter!$M$21)))</f>
        <v>0</v>
      </c>
      <c r="AW1558" s="57" t="n">
        <f aca="false">AT1558*F1558</f>
        <v>0</v>
      </c>
      <c r="AX1558" s="57" t="n">
        <f aca="false">ROUNDUP(MAX(I1558/IF(BV1558&gt;0,BV1558,MAX(0.1,N(Cockpit!$O$6))),BY1558)/BQ1558,0)*BQ1558</f>
        <v>0</v>
      </c>
      <c r="AY1558" s="58" t="n">
        <f aca="false">IF(AV1558&gt;0,I1558/AV1558,-1)</f>
        <v>-1</v>
      </c>
      <c r="AZ1558" s="58" t="str">
        <f aca="false">IF(AND(OR(BU1558="L1",BU1558="L23"),AV1558&gt;0),SUMIFS($AV$7:$AV$1576,$BU$7:$BU$1576,BU1558,$AY$7:$AY$1576,"&gt;"&amp;AY1558)+SUMIFS($AV$7:$AV$1576,$BU$7:$BU$1576,BU1558,$AY$7:$AY$1576,AY1558,$BO$7:$BO$1576,"&lt;="&amp;BO1558),"")</f>
        <v/>
      </c>
      <c r="BA1558" s="65" t="n">
        <f aca="false">IF(AZ1558="",0,MAX(0,MIN(1,(IF(BU1558="L1",Parameter!$E$5,Parameter!$E$6+Parameter!$E$7)-(AZ1558-AV1558))/AV1558)))</f>
        <v>0</v>
      </c>
      <c r="BB1558" s="55" t="str">
        <f aca="false">IF(AF1558&lt;=0,"",IF(BU1558="Aussen","Aussenlager",IF(BU1558="-","Nicht im Lift",IF(AK1558&gt;=1,"Lift",IF(AK1558&lt;=0,"Aussenlager","teilweise")))))</f>
        <v/>
      </c>
      <c r="BC1558" s="55" t="str">
        <f aca="false">IF(AN1558&lt;=0,"",IF(BU1558="Aussen","Aussenlager",IF(BU1558="-","Nicht im Lift",IF(AS1558&gt;=1,"Lift",IF(AS1558&lt;=0,"Aussenlager","teilweise")))))</f>
        <v/>
      </c>
      <c r="BD1558" s="55" t="str">
        <f aca="false">IF(AV1558&lt;=0,"",IF(BU1558="Aussen","Aussenlager",IF(BU1558="-","Nicht im Lift",IF(BA1558&gt;=1,"Lift",IF(BA1558&lt;=0,"Aussenlager","teilweise")))))</f>
        <v/>
      </c>
      <c r="BE1558" s="55" t="str">
        <f aca="false">IF(A1558="","",IF(BN1558=1,"Neu; ","")&amp;IF(AND(BN1558=0,BI1558&lt;0),"negativer Bestand (Export "&amp;BI1558&amp;"); ","")&amp;IF(I1558&lt;=0,"Kein Verbrauch; ","")&amp;IF(CD1558&gt;0,"Lift "&amp;U1558&amp;" lt. Liftbericht (Fach "&amp;V1558&amp;" Stk); ",IF(BR1558=1,"Lose – Fläche geschätzt; ",""))&amp;IF(G1558&gt;AP1558,"Überbestand "&amp;ROUND(G1558-AP1558,0)&amp;" Stk / CHF "&amp;ROUND((G1558-AP1558)*F1558,0)&amp;"; ","")&amp;IF(AND(BW1558=1,BX1558&lt;BY1558),"MAX &lt; MB+LG; ","")&amp;IF(AND(CC1558&gt;0,CB1558*10&gt;CC1558),"zu hoch für Tablar; ","")&amp;IF(AND(BN1558=0,OR(BW1558=1,Y1558&lt;&gt;"",S1558&lt;&gt;"",T1558&lt;&gt;"",Z1558&lt;&gt;"")),"manuell übersteuert; ","")&amp;IF(AND(BR1558=0,Q1558=0),"Gebinde unbekannt / Stellmass fehlt; ","")&amp;IF(AND(BR1558=0,N(T1558)&lt;=0,N(P1558)&lt;=0),"Menge pro Gebinde fehlt (Ist = 1 Gebinde); ","")&amp;BM1558)</f>
        <v/>
      </c>
      <c r="BF1558" s="55"/>
      <c r="BG1558" s="55"/>
      <c r="BH1558" s="62"/>
      <c r="BI1558" s="57" t="n">
        <f aca="false">N('Neue Artikel'!$D$86)</f>
        <v>0</v>
      </c>
      <c r="BJ1558" s="57" t="n">
        <v>0</v>
      </c>
      <c r="BK1558" s="56" t="n">
        <v>0</v>
      </c>
      <c r="BL1558" s="57" t="n">
        <f aca="false">N('Neue Artikel'!$C$86)/Parameter!$B$18</f>
        <v>0</v>
      </c>
      <c r="BM1558" s="55"/>
      <c r="BN1558" s="60" t="n">
        <v>1</v>
      </c>
      <c r="BO1558" s="60" t="n">
        <v>1558</v>
      </c>
      <c r="BP1558" s="55" t="str">
        <f aca="false">IF(S1558&lt;&gt;"",UPPER(TRIM(S1558)),IF(O1558="","LOSE",O1558))</f>
        <v>LOSE</v>
      </c>
      <c r="BQ1558" s="57" t="n">
        <f aca="false">IF(BP1558="LOSE",1,IF(N(T1558)&gt;0,T1558,IF(N(P1558)&gt;0,P1558,MAX(1,G1558))))</f>
        <v>1</v>
      </c>
      <c r="BR1558" s="60" t="n">
        <f aca="false">IF(BP1558="LOSE",1,0)</f>
        <v>1</v>
      </c>
      <c r="BS1558" s="59" t="n">
        <f aca="false">IF(BR1558=0,0,IF(N(R1558)&gt;0,R1558,IFERROR(VLOOKUP(D1558,Parameter!$A$35:$C$64,3,0)+0,0)))</f>
        <v>0.15</v>
      </c>
      <c r="BT1558" s="55" t="str">
        <f aca="false">IF(Y1558&lt;&gt;"",Y1558,X1558)</f>
        <v/>
      </c>
      <c r="BU1558" s="55" t="str">
        <f aca="false">IF(BT1558=1,"L1",IF(OR(BT1558=2,BT1558=3),"L23",IF(BT1558="Aussen","Aussen","-")))</f>
        <v>-</v>
      </c>
      <c r="BV1558" s="66" t="n">
        <f aca="false">IF(N(Z1558)&gt;0,Z1558,0)</f>
        <v>0</v>
      </c>
      <c r="BW1558" s="60" t="n">
        <f aca="false">IF(ISNUMBER(AC1558),1,0)</f>
        <v>0</v>
      </c>
      <c r="BX1558" s="57" t="n">
        <f aca="false">N(AC1558)</f>
        <v>0</v>
      </c>
      <c r="BY1558" s="57" t="n">
        <f aca="false">N(L1558)+N(M1558)</f>
        <v>0</v>
      </c>
      <c r="BZ1558" s="57" t="n">
        <f aca="false">ROUNDUP(G1558/BQ1558,0)</f>
        <v>0</v>
      </c>
      <c r="CA1558" s="57" t="n">
        <f aca="false">ROUNDUP(BX1558/BQ1558,0)</f>
        <v>0</v>
      </c>
      <c r="CB1558" s="60" t="n">
        <f aca="false">IF(BR1558=1,0,IFERROR(VLOOKUP(BP1558,'Gebinde-Kategorie'!$A$5:$M$45,5,0)+0,0))</f>
        <v>0</v>
      </c>
      <c r="CC1558" s="60" t="n">
        <f aca="false">IFERROR(IF(OR(BT1558=1,BT1558=2,BT1558=3),N(INDEX(Parameter!$I$5:$I$7,BT1558)),0),0)</f>
        <v>0</v>
      </c>
      <c r="CD1558" s="59" t="n">
        <f aca="false">IF(AND(Parameter!$B$21="Ja",ISNUMBER(U1558),N(V1558)&gt;0),IFERROR(N(INDEX(Parameter!$L$5:$L$7,U1558))*INDEX(Parameter!$E$5:$E$7,U1558)*V1558/SUMIFS($V$7:$V$1576,$U$7:$U$1576,U1558),0),0)</f>
        <v>0</v>
      </c>
    </row>
    <row r="1559" customFormat="false" ht="15" hidden="false" customHeight="false" outlineLevel="0" collapsed="false">
      <c r="A1559" s="55" t="str">
        <f aca="false">IF('Neue Artikel'!$A$87="","",'Neue Artikel'!$A$87&amp;"")</f>
        <v/>
      </c>
      <c r="B1559" s="55" t="str">
        <f aca="false">'Neue Artikel'!$B$87&amp;""</f>
        <v/>
      </c>
      <c r="C1559" s="55"/>
      <c r="D1559" s="55" t="s">
        <v>2561</v>
      </c>
      <c r="E1559" s="55"/>
      <c r="F1559" s="56" t="n">
        <f aca="false">N('Neue Artikel'!$G$87)</f>
        <v>0</v>
      </c>
      <c r="G1559" s="57" t="n">
        <f aca="false">MAX(0,IF(AND(Parameter!$B$21="Ja",ISNUMBER(W1559)),W1559,IF(Parameter!$B$20="Jahresanfang 2025 + Export",BJ1559+BI1559,BI1559)))</f>
        <v>0</v>
      </c>
      <c r="H1559" s="57" t="n">
        <f aca="false">G1559*F1559</f>
        <v>0</v>
      </c>
      <c r="I1559" s="57" t="n">
        <f aca="false">BL1559*Parameter!$B$18</f>
        <v>0</v>
      </c>
      <c r="J1559" s="58"/>
      <c r="K1559" s="59"/>
      <c r="L1559" s="57" t="n">
        <f aca="false">N('Neue Artikel'!$E$87)</f>
        <v>0</v>
      </c>
      <c r="M1559" s="57" t="n">
        <f aca="false">N('Neue Artikel'!$F$87)</f>
        <v>0</v>
      </c>
      <c r="N1559" s="60"/>
      <c r="O1559" s="55" t="str">
        <f aca="false">IF('Neue Artikel'!$H$87="","LOSE",UPPER(TRIM('Neue Artikel'!$H$87)))</f>
        <v>LOSE</v>
      </c>
      <c r="P1559" s="57" t="n">
        <f aca="false">N('Neue Artikel'!$I$87)</f>
        <v>0</v>
      </c>
      <c r="Q1559" s="60" t="n">
        <f aca="false">IF(BR1559=1,0,IFERROR(VLOOKUP(BP1559,'Gebinde-Kategorie'!$A$5:$M$45,13,0)+0,0))</f>
        <v>0</v>
      </c>
      <c r="R1559" s="61"/>
      <c r="S1559" s="62"/>
      <c r="T1559" s="62"/>
      <c r="U1559" s="55"/>
      <c r="V1559" s="57"/>
      <c r="W1559" s="57"/>
      <c r="X1559" s="55" t="str">
        <f aca="false">IF(A1559="","",IF(AND(Parameter!$B$21="Ja",ISNUMBER(U1559)),U1559,IF(IFERROR(VLOOKUP(D1559,Parameter!$A$35:$C$64,2,0),"Nein")="2+3",IF(ISNUMBER(SEARCH("grosser Artikel",BM1559)),2,IFERROR(VLOOKUP(BP1559,Parameter!$F$35:$G$64,2,0),2)),IF(OR(IFERROR(VLOOKUP(D1559,Parameter!$A$35:$C$64,2,0),"Nein")="Nein",IFERROR(VLOOKUP(D1559,Parameter!$A$35:$C$64,2,0),"Nein")=""),"-",VLOOKUP(D1559,Parameter!$A$35:$C$64,2,0)))))</f>
        <v/>
      </c>
      <c r="Y1559" s="55" t="str">
        <f aca="false">IF('Neue Artikel'!$J$87="","",'Neue Artikel'!$J$87)</f>
        <v/>
      </c>
      <c r="Z1559" s="63"/>
      <c r="AA1559" s="57" t="n">
        <f aca="false">AP1559</f>
        <v>0</v>
      </c>
      <c r="AB1559" s="57" t="n">
        <f aca="false">MAX(AP1559,G1559)</f>
        <v>0</v>
      </c>
      <c r="AC1559" s="64"/>
      <c r="AD1559" s="57" t="n">
        <f aca="false">IF(LEFT(Cockpit!$C$5,1)="A",G1559,IF(BW1559=1,BX1559,IF(LEFT(Cockpit!$C$5,1)="B",AH1559,MAX(AH1559,G1559))))</f>
        <v>0</v>
      </c>
      <c r="AE1559" s="57" t="n">
        <f aca="false">IF(BR1559=1,0,ROUNDUP(AD1559/BQ1559,0))</f>
        <v>0</v>
      </c>
      <c r="AF1559" s="59" t="n">
        <f aca="false">IF(CD1559&gt;0,CD1559*MAX(1,AD1559/V1559),IF(BR1559=1,IF(AD1559&lt;=0,0,BS1559*MAX(1,IF(G1559&gt;0,AD1559/G1559,1))),IF(Q1559&gt;0,AE1559/Q1559,0))/MAX(0.1,N(Parameter!$M$21)))</f>
        <v>0</v>
      </c>
      <c r="AG1559" s="57" t="n">
        <f aca="false">AD1559*F1559</f>
        <v>0</v>
      </c>
      <c r="AH1559" s="57" t="n">
        <f aca="false">ROUNDUP(MAX(I1559/IF(BV1559&gt;0,BV1559,MAX(0.1,N(Cockpit!$C$6))),BY1559)/BQ1559,0)*BQ1559</f>
        <v>0</v>
      </c>
      <c r="AI1559" s="58" t="n">
        <f aca="false">IF(AF1559&gt;0,I1559/AF1559,-1)</f>
        <v>-1</v>
      </c>
      <c r="AJ1559" s="58" t="str">
        <f aca="false">IF(AND(OR(BU1559="L1",BU1559="L23"),AF1559&gt;0),SUMIFS($AF$7:$AF$1576,$BU$7:$BU$1576,BU1559,$AI$7:$AI$1576,"&gt;"&amp;AI1559)+SUMIFS($AF$7:$AF$1576,$BU$7:$BU$1576,BU1559,$AI$7:$AI$1576,AI1559,$BO$7:$BO$1576,"&lt;="&amp;BO1559),"")</f>
        <v/>
      </c>
      <c r="AK1559" s="65" t="n">
        <f aca="false">IF(AJ1559="",0,MAX(0,MIN(1,(IF(BU1559="L1",Parameter!$E$5,Parameter!$E$6+Parameter!$E$7)-(AJ1559-AF1559))/AF1559)))</f>
        <v>0</v>
      </c>
      <c r="AL1559" s="57" t="n">
        <f aca="false">IF(LEFT(Cockpit!$I$5,1)="A",G1559,IF(BW1559=1,BX1559,IF(LEFT(Cockpit!$I$5,1)="B",AP1559,MAX(AP1559,G1559))))</f>
        <v>0</v>
      </c>
      <c r="AM1559" s="57" t="n">
        <f aca="false">IF(BR1559=1,0,ROUNDUP(AL1559/BQ1559,0))</f>
        <v>0</v>
      </c>
      <c r="AN1559" s="59" t="n">
        <f aca="false">IF(CD1559&gt;0,CD1559*MAX(1,AL1559/V1559),IF(BR1559=1,IF(AL1559&lt;=0,0,BS1559*MAX(1,IF(G1559&gt;0,AL1559/G1559,1))),IF(Q1559&gt;0,AM1559/Q1559,0))/MAX(0.1,N(Parameter!$M$21)))</f>
        <v>0</v>
      </c>
      <c r="AO1559" s="57" t="n">
        <f aca="false">AL1559*F1559</f>
        <v>0</v>
      </c>
      <c r="AP1559" s="57" t="n">
        <f aca="false">ROUNDUP(MAX(I1559/IF(BV1559&gt;0,BV1559,MAX(0.1,N(Cockpit!$I$6))),BY1559)/BQ1559,0)*BQ1559</f>
        <v>0</v>
      </c>
      <c r="AQ1559" s="58" t="n">
        <f aca="false">IF(AN1559&gt;0,I1559/AN1559,-1)</f>
        <v>-1</v>
      </c>
      <c r="AR1559" s="58" t="str">
        <f aca="false">IF(AND(OR(BU1559="L1",BU1559="L23"),AN1559&gt;0),SUMIFS($AN$7:$AN$1576,$BU$7:$BU$1576,BU1559,$AQ$7:$AQ$1576,"&gt;"&amp;AQ1559)+SUMIFS($AN$7:$AN$1576,$BU$7:$BU$1576,BU1559,$AQ$7:$AQ$1576,AQ1559,$BO$7:$BO$1576,"&lt;="&amp;BO1559),"")</f>
        <v/>
      </c>
      <c r="AS1559" s="65" t="n">
        <f aca="false">IF(AR1559="",0,MAX(0,MIN(1,(IF(BU1559="L1",Parameter!$E$5,Parameter!$E$6+Parameter!$E$7)-(AR1559-AN1559))/AN1559)))</f>
        <v>0</v>
      </c>
      <c r="AT1559" s="57" t="n">
        <f aca="false">IF(LEFT(Cockpit!$O$5,1)="A",G1559,IF(BW1559=1,BX1559,IF(LEFT(Cockpit!$O$5,1)="B",AX1559,MAX(AX1559,G1559))))</f>
        <v>0</v>
      </c>
      <c r="AU1559" s="57" t="n">
        <f aca="false">IF(BR1559=1,0,ROUNDUP(AT1559/BQ1559,0))</f>
        <v>0</v>
      </c>
      <c r="AV1559" s="59" t="n">
        <f aca="false">IF(CD1559&gt;0,CD1559*MAX(1,AT1559/V1559),IF(BR1559=1,IF(AT1559&lt;=0,0,BS1559*MAX(1,IF(G1559&gt;0,AT1559/G1559,1))),IF(Q1559&gt;0,AU1559/Q1559,0))/MAX(0.1,N(Parameter!$M$21)))</f>
        <v>0</v>
      </c>
      <c r="AW1559" s="57" t="n">
        <f aca="false">AT1559*F1559</f>
        <v>0</v>
      </c>
      <c r="AX1559" s="57" t="n">
        <f aca="false">ROUNDUP(MAX(I1559/IF(BV1559&gt;0,BV1559,MAX(0.1,N(Cockpit!$O$6))),BY1559)/BQ1559,0)*BQ1559</f>
        <v>0</v>
      </c>
      <c r="AY1559" s="58" t="n">
        <f aca="false">IF(AV1559&gt;0,I1559/AV1559,-1)</f>
        <v>-1</v>
      </c>
      <c r="AZ1559" s="58" t="str">
        <f aca="false">IF(AND(OR(BU1559="L1",BU1559="L23"),AV1559&gt;0),SUMIFS($AV$7:$AV$1576,$BU$7:$BU$1576,BU1559,$AY$7:$AY$1576,"&gt;"&amp;AY1559)+SUMIFS($AV$7:$AV$1576,$BU$7:$BU$1576,BU1559,$AY$7:$AY$1576,AY1559,$BO$7:$BO$1576,"&lt;="&amp;BO1559),"")</f>
        <v/>
      </c>
      <c r="BA1559" s="65" t="n">
        <f aca="false">IF(AZ1559="",0,MAX(0,MIN(1,(IF(BU1559="L1",Parameter!$E$5,Parameter!$E$6+Parameter!$E$7)-(AZ1559-AV1559))/AV1559)))</f>
        <v>0</v>
      </c>
      <c r="BB1559" s="55" t="str">
        <f aca="false">IF(AF1559&lt;=0,"",IF(BU1559="Aussen","Aussenlager",IF(BU1559="-","Nicht im Lift",IF(AK1559&gt;=1,"Lift",IF(AK1559&lt;=0,"Aussenlager","teilweise")))))</f>
        <v/>
      </c>
      <c r="BC1559" s="55" t="str">
        <f aca="false">IF(AN1559&lt;=0,"",IF(BU1559="Aussen","Aussenlager",IF(BU1559="-","Nicht im Lift",IF(AS1559&gt;=1,"Lift",IF(AS1559&lt;=0,"Aussenlager","teilweise")))))</f>
        <v/>
      </c>
      <c r="BD1559" s="55" t="str">
        <f aca="false">IF(AV1559&lt;=0,"",IF(BU1559="Aussen","Aussenlager",IF(BU1559="-","Nicht im Lift",IF(BA1559&gt;=1,"Lift",IF(BA1559&lt;=0,"Aussenlager","teilweise")))))</f>
        <v/>
      </c>
      <c r="BE1559" s="55" t="str">
        <f aca="false">IF(A1559="","",IF(BN1559=1,"Neu; ","")&amp;IF(AND(BN1559=0,BI1559&lt;0),"negativer Bestand (Export "&amp;BI1559&amp;"); ","")&amp;IF(I1559&lt;=0,"Kein Verbrauch; ","")&amp;IF(CD1559&gt;0,"Lift "&amp;U1559&amp;" lt. Liftbericht (Fach "&amp;V1559&amp;" Stk); ",IF(BR1559=1,"Lose – Fläche geschätzt; ",""))&amp;IF(G1559&gt;AP1559,"Überbestand "&amp;ROUND(G1559-AP1559,0)&amp;" Stk / CHF "&amp;ROUND((G1559-AP1559)*F1559,0)&amp;"; ","")&amp;IF(AND(BW1559=1,BX1559&lt;BY1559),"MAX &lt; MB+LG; ","")&amp;IF(AND(CC1559&gt;0,CB1559*10&gt;CC1559),"zu hoch für Tablar; ","")&amp;IF(AND(BN1559=0,OR(BW1559=1,Y1559&lt;&gt;"",S1559&lt;&gt;"",T1559&lt;&gt;"",Z1559&lt;&gt;"")),"manuell übersteuert; ","")&amp;IF(AND(BR1559=0,Q1559=0),"Gebinde unbekannt / Stellmass fehlt; ","")&amp;IF(AND(BR1559=0,N(T1559)&lt;=0,N(P1559)&lt;=0),"Menge pro Gebinde fehlt (Ist = 1 Gebinde); ","")&amp;BM1559)</f>
        <v/>
      </c>
      <c r="BF1559" s="55"/>
      <c r="BG1559" s="55"/>
      <c r="BH1559" s="62"/>
      <c r="BI1559" s="57" t="n">
        <f aca="false">N('Neue Artikel'!$D$87)</f>
        <v>0</v>
      </c>
      <c r="BJ1559" s="57" t="n">
        <v>0</v>
      </c>
      <c r="BK1559" s="56" t="n">
        <v>0</v>
      </c>
      <c r="BL1559" s="57" t="n">
        <f aca="false">N('Neue Artikel'!$C$87)/Parameter!$B$18</f>
        <v>0</v>
      </c>
      <c r="BM1559" s="55"/>
      <c r="BN1559" s="60" t="n">
        <v>1</v>
      </c>
      <c r="BO1559" s="60" t="n">
        <v>1559</v>
      </c>
      <c r="BP1559" s="55" t="str">
        <f aca="false">IF(S1559&lt;&gt;"",UPPER(TRIM(S1559)),IF(O1559="","LOSE",O1559))</f>
        <v>LOSE</v>
      </c>
      <c r="BQ1559" s="57" t="n">
        <f aca="false">IF(BP1559="LOSE",1,IF(N(T1559)&gt;0,T1559,IF(N(P1559)&gt;0,P1559,MAX(1,G1559))))</f>
        <v>1</v>
      </c>
      <c r="BR1559" s="60" t="n">
        <f aca="false">IF(BP1559="LOSE",1,0)</f>
        <v>1</v>
      </c>
      <c r="BS1559" s="59" t="n">
        <f aca="false">IF(BR1559=0,0,IF(N(R1559)&gt;0,R1559,IFERROR(VLOOKUP(D1559,Parameter!$A$35:$C$64,3,0)+0,0)))</f>
        <v>0.15</v>
      </c>
      <c r="BT1559" s="55" t="str">
        <f aca="false">IF(Y1559&lt;&gt;"",Y1559,X1559)</f>
        <v/>
      </c>
      <c r="BU1559" s="55" t="str">
        <f aca="false">IF(BT1559=1,"L1",IF(OR(BT1559=2,BT1559=3),"L23",IF(BT1559="Aussen","Aussen","-")))</f>
        <v>-</v>
      </c>
      <c r="BV1559" s="66" t="n">
        <f aca="false">IF(N(Z1559)&gt;0,Z1559,0)</f>
        <v>0</v>
      </c>
      <c r="BW1559" s="60" t="n">
        <f aca="false">IF(ISNUMBER(AC1559),1,0)</f>
        <v>0</v>
      </c>
      <c r="BX1559" s="57" t="n">
        <f aca="false">N(AC1559)</f>
        <v>0</v>
      </c>
      <c r="BY1559" s="57" t="n">
        <f aca="false">N(L1559)+N(M1559)</f>
        <v>0</v>
      </c>
      <c r="BZ1559" s="57" t="n">
        <f aca="false">ROUNDUP(G1559/BQ1559,0)</f>
        <v>0</v>
      </c>
      <c r="CA1559" s="57" t="n">
        <f aca="false">ROUNDUP(BX1559/BQ1559,0)</f>
        <v>0</v>
      </c>
      <c r="CB1559" s="60" t="n">
        <f aca="false">IF(BR1559=1,0,IFERROR(VLOOKUP(BP1559,'Gebinde-Kategorie'!$A$5:$M$45,5,0)+0,0))</f>
        <v>0</v>
      </c>
      <c r="CC1559" s="60" t="n">
        <f aca="false">IFERROR(IF(OR(BT1559=1,BT1559=2,BT1559=3),N(INDEX(Parameter!$I$5:$I$7,BT1559)),0),0)</f>
        <v>0</v>
      </c>
      <c r="CD1559" s="59" t="n">
        <f aca="false">IF(AND(Parameter!$B$21="Ja",ISNUMBER(U1559),N(V1559)&gt;0),IFERROR(N(INDEX(Parameter!$L$5:$L$7,U1559))*INDEX(Parameter!$E$5:$E$7,U1559)*V1559/SUMIFS($V$7:$V$1576,$U$7:$U$1576,U1559),0),0)</f>
        <v>0</v>
      </c>
    </row>
    <row r="1560" customFormat="false" ht="15" hidden="false" customHeight="false" outlineLevel="0" collapsed="false">
      <c r="A1560" s="55" t="str">
        <f aca="false">IF('Neue Artikel'!$A$88="","",'Neue Artikel'!$A$88&amp;"")</f>
        <v/>
      </c>
      <c r="B1560" s="55" t="str">
        <f aca="false">'Neue Artikel'!$B$88&amp;""</f>
        <v/>
      </c>
      <c r="C1560" s="55"/>
      <c r="D1560" s="55" t="s">
        <v>2561</v>
      </c>
      <c r="E1560" s="55"/>
      <c r="F1560" s="56" t="n">
        <f aca="false">N('Neue Artikel'!$G$88)</f>
        <v>0</v>
      </c>
      <c r="G1560" s="57" t="n">
        <f aca="false">MAX(0,IF(AND(Parameter!$B$21="Ja",ISNUMBER(W1560)),W1560,IF(Parameter!$B$20="Jahresanfang 2025 + Export",BJ1560+BI1560,BI1560)))</f>
        <v>0</v>
      </c>
      <c r="H1560" s="57" t="n">
        <f aca="false">G1560*F1560</f>
        <v>0</v>
      </c>
      <c r="I1560" s="57" t="n">
        <f aca="false">BL1560*Parameter!$B$18</f>
        <v>0</v>
      </c>
      <c r="J1560" s="58"/>
      <c r="K1560" s="59"/>
      <c r="L1560" s="57" t="n">
        <f aca="false">N('Neue Artikel'!$E$88)</f>
        <v>0</v>
      </c>
      <c r="M1560" s="57" t="n">
        <f aca="false">N('Neue Artikel'!$F$88)</f>
        <v>0</v>
      </c>
      <c r="N1560" s="60"/>
      <c r="O1560" s="55" t="str">
        <f aca="false">IF('Neue Artikel'!$H$88="","LOSE",UPPER(TRIM('Neue Artikel'!$H$88)))</f>
        <v>LOSE</v>
      </c>
      <c r="P1560" s="57" t="n">
        <f aca="false">N('Neue Artikel'!$I$88)</f>
        <v>0</v>
      </c>
      <c r="Q1560" s="60" t="n">
        <f aca="false">IF(BR1560=1,0,IFERROR(VLOOKUP(BP1560,'Gebinde-Kategorie'!$A$5:$M$45,13,0)+0,0))</f>
        <v>0</v>
      </c>
      <c r="R1560" s="61"/>
      <c r="S1560" s="62"/>
      <c r="T1560" s="62"/>
      <c r="U1560" s="55"/>
      <c r="V1560" s="57"/>
      <c r="W1560" s="57"/>
      <c r="X1560" s="55" t="str">
        <f aca="false">IF(A1560="","",IF(AND(Parameter!$B$21="Ja",ISNUMBER(U1560)),U1560,IF(IFERROR(VLOOKUP(D1560,Parameter!$A$35:$C$64,2,0),"Nein")="2+3",IF(ISNUMBER(SEARCH("grosser Artikel",BM1560)),2,IFERROR(VLOOKUP(BP1560,Parameter!$F$35:$G$64,2,0),2)),IF(OR(IFERROR(VLOOKUP(D1560,Parameter!$A$35:$C$64,2,0),"Nein")="Nein",IFERROR(VLOOKUP(D1560,Parameter!$A$35:$C$64,2,0),"Nein")=""),"-",VLOOKUP(D1560,Parameter!$A$35:$C$64,2,0)))))</f>
        <v/>
      </c>
      <c r="Y1560" s="55" t="str">
        <f aca="false">IF('Neue Artikel'!$J$88="","",'Neue Artikel'!$J$88)</f>
        <v/>
      </c>
      <c r="Z1560" s="63"/>
      <c r="AA1560" s="57" t="n">
        <f aca="false">AP1560</f>
        <v>0</v>
      </c>
      <c r="AB1560" s="57" t="n">
        <f aca="false">MAX(AP1560,G1560)</f>
        <v>0</v>
      </c>
      <c r="AC1560" s="64"/>
      <c r="AD1560" s="57" t="n">
        <f aca="false">IF(LEFT(Cockpit!$C$5,1)="A",G1560,IF(BW1560=1,BX1560,IF(LEFT(Cockpit!$C$5,1)="B",AH1560,MAX(AH1560,G1560))))</f>
        <v>0</v>
      </c>
      <c r="AE1560" s="57" t="n">
        <f aca="false">IF(BR1560=1,0,ROUNDUP(AD1560/BQ1560,0))</f>
        <v>0</v>
      </c>
      <c r="AF1560" s="59" t="n">
        <f aca="false">IF(CD1560&gt;0,CD1560*MAX(1,AD1560/V1560),IF(BR1560=1,IF(AD1560&lt;=0,0,BS1560*MAX(1,IF(G1560&gt;0,AD1560/G1560,1))),IF(Q1560&gt;0,AE1560/Q1560,0))/MAX(0.1,N(Parameter!$M$21)))</f>
        <v>0</v>
      </c>
      <c r="AG1560" s="57" t="n">
        <f aca="false">AD1560*F1560</f>
        <v>0</v>
      </c>
      <c r="AH1560" s="57" t="n">
        <f aca="false">ROUNDUP(MAX(I1560/IF(BV1560&gt;0,BV1560,MAX(0.1,N(Cockpit!$C$6))),BY1560)/BQ1560,0)*BQ1560</f>
        <v>0</v>
      </c>
      <c r="AI1560" s="58" t="n">
        <f aca="false">IF(AF1560&gt;0,I1560/AF1560,-1)</f>
        <v>-1</v>
      </c>
      <c r="AJ1560" s="58" t="str">
        <f aca="false">IF(AND(OR(BU1560="L1",BU1560="L23"),AF1560&gt;0),SUMIFS($AF$7:$AF$1576,$BU$7:$BU$1576,BU1560,$AI$7:$AI$1576,"&gt;"&amp;AI1560)+SUMIFS($AF$7:$AF$1576,$BU$7:$BU$1576,BU1560,$AI$7:$AI$1576,AI1560,$BO$7:$BO$1576,"&lt;="&amp;BO1560),"")</f>
        <v/>
      </c>
      <c r="AK1560" s="65" t="n">
        <f aca="false">IF(AJ1560="",0,MAX(0,MIN(1,(IF(BU1560="L1",Parameter!$E$5,Parameter!$E$6+Parameter!$E$7)-(AJ1560-AF1560))/AF1560)))</f>
        <v>0</v>
      </c>
      <c r="AL1560" s="57" t="n">
        <f aca="false">IF(LEFT(Cockpit!$I$5,1)="A",G1560,IF(BW1560=1,BX1560,IF(LEFT(Cockpit!$I$5,1)="B",AP1560,MAX(AP1560,G1560))))</f>
        <v>0</v>
      </c>
      <c r="AM1560" s="57" t="n">
        <f aca="false">IF(BR1560=1,0,ROUNDUP(AL1560/BQ1560,0))</f>
        <v>0</v>
      </c>
      <c r="AN1560" s="59" t="n">
        <f aca="false">IF(CD1560&gt;0,CD1560*MAX(1,AL1560/V1560),IF(BR1560=1,IF(AL1560&lt;=0,0,BS1560*MAX(1,IF(G1560&gt;0,AL1560/G1560,1))),IF(Q1560&gt;0,AM1560/Q1560,0))/MAX(0.1,N(Parameter!$M$21)))</f>
        <v>0</v>
      </c>
      <c r="AO1560" s="57" t="n">
        <f aca="false">AL1560*F1560</f>
        <v>0</v>
      </c>
      <c r="AP1560" s="57" t="n">
        <f aca="false">ROUNDUP(MAX(I1560/IF(BV1560&gt;0,BV1560,MAX(0.1,N(Cockpit!$I$6))),BY1560)/BQ1560,0)*BQ1560</f>
        <v>0</v>
      </c>
      <c r="AQ1560" s="58" t="n">
        <f aca="false">IF(AN1560&gt;0,I1560/AN1560,-1)</f>
        <v>-1</v>
      </c>
      <c r="AR1560" s="58" t="str">
        <f aca="false">IF(AND(OR(BU1560="L1",BU1560="L23"),AN1560&gt;0),SUMIFS($AN$7:$AN$1576,$BU$7:$BU$1576,BU1560,$AQ$7:$AQ$1576,"&gt;"&amp;AQ1560)+SUMIFS($AN$7:$AN$1576,$BU$7:$BU$1576,BU1560,$AQ$7:$AQ$1576,AQ1560,$BO$7:$BO$1576,"&lt;="&amp;BO1560),"")</f>
        <v/>
      </c>
      <c r="AS1560" s="65" t="n">
        <f aca="false">IF(AR1560="",0,MAX(0,MIN(1,(IF(BU1560="L1",Parameter!$E$5,Parameter!$E$6+Parameter!$E$7)-(AR1560-AN1560))/AN1560)))</f>
        <v>0</v>
      </c>
      <c r="AT1560" s="57" t="n">
        <f aca="false">IF(LEFT(Cockpit!$O$5,1)="A",G1560,IF(BW1560=1,BX1560,IF(LEFT(Cockpit!$O$5,1)="B",AX1560,MAX(AX1560,G1560))))</f>
        <v>0</v>
      </c>
      <c r="AU1560" s="57" t="n">
        <f aca="false">IF(BR1560=1,0,ROUNDUP(AT1560/BQ1560,0))</f>
        <v>0</v>
      </c>
      <c r="AV1560" s="59" t="n">
        <f aca="false">IF(CD1560&gt;0,CD1560*MAX(1,AT1560/V1560),IF(BR1560=1,IF(AT1560&lt;=0,0,BS1560*MAX(1,IF(G1560&gt;0,AT1560/G1560,1))),IF(Q1560&gt;0,AU1560/Q1560,0))/MAX(0.1,N(Parameter!$M$21)))</f>
        <v>0</v>
      </c>
      <c r="AW1560" s="57" t="n">
        <f aca="false">AT1560*F1560</f>
        <v>0</v>
      </c>
      <c r="AX1560" s="57" t="n">
        <f aca="false">ROUNDUP(MAX(I1560/IF(BV1560&gt;0,BV1560,MAX(0.1,N(Cockpit!$O$6))),BY1560)/BQ1560,0)*BQ1560</f>
        <v>0</v>
      </c>
      <c r="AY1560" s="58" t="n">
        <f aca="false">IF(AV1560&gt;0,I1560/AV1560,-1)</f>
        <v>-1</v>
      </c>
      <c r="AZ1560" s="58" t="str">
        <f aca="false">IF(AND(OR(BU1560="L1",BU1560="L23"),AV1560&gt;0),SUMIFS($AV$7:$AV$1576,$BU$7:$BU$1576,BU1560,$AY$7:$AY$1576,"&gt;"&amp;AY1560)+SUMIFS($AV$7:$AV$1576,$BU$7:$BU$1576,BU1560,$AY$7:$AY$1576,AY1560,$BO$7:$BO$1576,"&lt;="&amp;BO1560),"")</f>
        <v/>
      </c>
      <c r="BA1560" s="65" t="n">
        <f aca="false">IF(AZ1560="",0,MAX(0,MIN(1,(IF(BU1560="L1",Parameter!$E$5,Parameter!$E$6+Parameter!$E$7)-(AZ1560-AV1560))/AV1560)))</f>
        <v>0</v>
      </c>
      <c r="BB1560" s="55" t="str">
        <f aca="false">IF(AF1560&lt;=0,"",IF(BU1560="Aussen","Aussenlager",IF(BU1560="-","Nicht im Lift",IF(AK1560&gt;=1,"Lift",IF(AK1560&lt;=0,"Aussenlager","teilweise")))))</f>
        <v/>
      </c>
      <c r="BC1560" s="55" t="str">
        <f aca="false">IF(AN1560&lt;=0,"",IF(BU1560="Aussen","Aussenlager",IF(BU1560="-","Nicht im Lift",IF(AS1560&gt;=1,"Lift",IF(AS1560&lt;=0,"Aussenlager","teilweise")))))</f>
        <v/>
      </c>
      <c r="BD1560" s="55" t="str">
        <f aca="false">IF(AV1560&lt;=0,"",IF(BU1560="Aussen","Aussenlager",IF(BU1560="-","Nicht im Lift",IF(BA1560&gt;=1,"Lift",IF(BA1560&lt;=0,"Aussenlager","teilweise")))))</f>
        <v/>
      </c>
      <c r="BE1560" s="55" t="str">
        <f aca="false">IF(A1560="","",IF(BN1560=1,"Neu; ","")&amp;IF(AND(BN1560=0,BI1560&lt;0),"negativer Bestand (Export "&amp;BI1560&amp;"); ","")&amp;IF(I1560&lt;=0,"Kein Verbrauch; ","")&amp;IF(CD1560&gt;0,"Lift "&amp;U1560&amp;" lt. Liftbericht (Fach "&amp;V1560&amp;" Stk); ",IF(BR1560=1,"Lose – Fläche geschätzt; ",""))&amp;IF(G1560&gt;AP1560,"Überbestand "&amp;ROUND(G1560-AP1560,0)&amp;" Stk / CHF "&amp;ROUND((G1560-AP1560)*F1560,0)&amp;"; ","")&amp;IF(AND(BW1560=1,BX1560&lt;BY1560),"MAX &lt; MB+LG; ","")&amp;IF(AND(CC1560&gt;0,CB1560*10&gt;CC1560),"zu hoch für Tablar; ","")&amp;IF(AND(BN1560=0,OR(BW1560=1,Y1560&lt;&gt;"",S1560&lt;&gt;"",T1560&lt;&gt;"",Z1560&lt;&gt;"")),"manuell übersteuert; ","")&amp;IF(AND(BR1560=0,Q1560=0),"Gebinde unbekannt / Stellmass fehlt; ","")&amp;IF(AND(BR1560=0,N(T1560)&lt;=0,N(P1560)&lt;=0),"Menge pro Gebinde fehlt (Ist = 1 Gebinde); ","")&amp;BM1560)</f>
        <v/>
      </c>
      <c r="BF1560" s="55"/>
      <c r="BG1560" s="55"/>
      <c r="BH1560" s="62"/>
      <c r="BI1560" s="57" t="n">
        <f aca="false">N('Neue Artikel'!$D$88)</f>
        <v>0</v>
      </c>
      <c r="BJ1560" s="57" t="n">
        <v>0</v>
      </c>
      <c r="BK1560" s="56" t="n">
        <v>0</v>
      </c>
      <c r="BL1560" s="57" t="n">
        <f aca="false">N('Neue Artikel'!$C$88)/Parameter!$B$18</f>
        <v>0</v>
      </c>
      <c r="BM1560" s="55"/>
      <c r="BN1560" s="60" t="n">
        <v>1</v>
      </c>
      <c r="BO1560" s="60" t="n">
        <v>1560</v>
      </c>
      <c r="BP1560" s="55" t="str">
        <f aca="false">IF(S1560&lt;&gt;"",UPPER(TRIM(S1560)),IF(O1560="","LOSE",O1560))</f>
        <v>LOSE</v>
      </c>
      <c r="BQ1560" s="57" t="n">
        <f aca="false">IF(BP1560="LOSE",1,IF(N(T1560)&gt;0,T1560,IF(N(P1560)&gt;0,P1560,MAX(1,G1560))))</f>
        <v>1</v>
      </c>
      <c r="BR1560" s="60" t="n">
        <f aca="false">IF(BP1560="LOSE",1,0)</f>
        <v>1</v>
      </c>
      <c r="BS1560" s="59" t="n">
        <f aca="false">IF(BR1560=0,0,IF(N(R1560)&gt;0,R1560,IFERROR(VLOOKUP(D1560,Parameter!$A$35:$C$64,3,0)+0,0)))</f>
        <v>0.15</v>
      </c>
      <c r="BT1560" s="55" t="str">
        <f aca="false">IF(Y1560&lt;&gt;"",Y1560,X1560)</f>
        <v/>
      </c>
      <c r="BU1560" s="55" t="str">
        <f aca="false">IF(BT1560=1,"L1",IF(OR(BT1560=2,BT1560=3),"L23",IF(BT1560="Aussen","Aussen","-")))</f>
        <v>-</v>
      </c>
      <c r="BV1560" s="66" t="n">
        <f aca="false">IF(N(Z1560)&gt;0,Z1560,0)</f>
        <v>0</v>
      </c>
      <c r="BW1560" s="60" t="n">
        <f aca="false">IF(ISNUMBER(AC1560),1,0)</f>
        <v>0</v>
      </c>
      <c r="BX1560" s="57" t="n">
        <f aca="false">N(AC1560)</f>
        <v>0</v>
      </c>
      <c r="BY1560" s="57" t="n">
        <f aca="false">N(L1560)+N(M1560)</f>
        <v>0</v>
      </c>
      <c r="BZ1560" s="57" t="n">
        <f aca="false">ROUNDUP(G1560/BQ1560,0)</f>
        <v>0</v>
      </c>
      <c r="CA1560" s="57" t="n">
        <f aca="false">ROUNDUP(BX1560/BQ1560,0)</f>
        <v>0</v>
      </c>
      <c r="CB1560" s="60" t="n">
        <f aca="false">IF(BR1560=1,0,IFERROR(VLOOKUP(BP1560,'Gebinde-Kategorie'!$A$5:$M$45,5,0)+0,0))</f>
        <v>0</v>
      </c>
      <c r="CC1560" s="60" t="n">
        <f aca="false">IFERROR(IF(OR(BT1560=1,BT1560=2,BT1560=3),N(INDEX(Parameter!$I$5:$I$7,BT1560)),0),0)</f>
        <v>0</v>
      </c>
      <c r="CD1560" s="59" t="n">
        <f aca="false">IF(AND(Parameter!$B$21="Ja",ISNUMBER(U1560),N(V1560)&gt;0),IFERROR(N(INDEX(Parameter!$L$5:$L$7,U1560))*INDEX(Parameter!$E$5:$E$7,U1560)*V1560/SUMIFS($V$7:$V$1576,$U$7:$U$1576,U1560),0),0)</f>
        <v>0</v>
      </c>
    </row>
    <row r="1561" customFormat="false" ht="15" hidden="false" customHeight="false" outlineLevel="0" collapsed="false">
      <c r="A1561" s="55" t="str">
        <f aca="false">IF('Neue Artikel'!$A$89="","",'Neue Artikel'!$A$89&amp;"")</f>
        <v/>
      </c>
      <c r="B1561" s="55" t="str">
        <f aca="false">'Neue Artikel'!$B$89&amp;""</f>
        <v/>
      </c>
      <c r="C1561" s="55"/>
      <c r="D1561" s="55" t="s">
        <v>2561</v>
      </c>
      <c r="E1561" s="55"/>
      <c r="F1561" s="56" t="n">
        <f aca="false">N('Neue Artikel'!$G$89)</f>
        <v>0</v>
      </c>
      <c r="G1561" s="57" t="n">
        <f aca="false">MAX(0,IF(AND(Parameter!$B$21="Ja",ISNUMBER(W1561)),W1561,IF(Parameter!$B$20="Jahresanfang 2025 + Export",BJ1561+BI1561,BI1561)))</f>
        <v>0</v>
      </c>
      <c r="H1561" s="57" t="n">
        <f aca="false">G1561*F1561</f>
        <v>0</v>
      </c>
      <c r="I1561" s="57" t="n">
        <f aca="false">BL1561*Parameter!$B$18</f>
        <v>0</v>
      </c>
      <c r="J1561" s="58"/>
      <c r="K1561" s="59"/>
      <c r="L1561" s="57" t="n">
        <f aca="false">N('Neue Artikel'!$E$89)</f>
        <v>0</v>
      </c>
      <c r="M1561" s="57" t="n">
        <f aca="false">N('Neue Artikel'!$F$89)</f>
        <v>0</v>
      </c>
      <c r="N1561" s="60"/>
      <c r="O1561" s="55" t="str">
        <f aca="false">IF('Neue Artikel'!$H$89="","LOSE",UPPER(TRIM('Neue Artikel'!$H$89)))</f>
        <v>LOSE</v>
      </c>
      <c r="P1561" s="57" t="n">
        <f aca="false">N('Neue Artikel'!$I$89)</f>
        <v>0</v>
      </c>
      <c r="Q1561" s="60" t="n">
        <f aca="false">IF(BR1561=1,0,IFERROR(VLOOKUP(BP1561,'Gebinde-Kategorie'!$A$5:$M$45,13,0)+0,0))</f>
        <v>0</v>
      </c>
      <c r="R1561" s="61"/>
      <c r="S1561" s="62"/>
      <c r="T1561" s="62"/>
      <c r="U1561" s="55"/>
      <c r="V1561" s="57"/>
      <c r="W1561" s="57"/>
      <c r="X1561" s="55" t="str">
        <f aca="false">IF(A1561="","",IF(AND(Parameter!$B$21="Ja",ISNUMBER(U1561)),U1561,IF(IFERROR(VLOOKUP(D1561,Parameter!$A$35:$C$64,2,0),"Nein")="2+3",IF(ISNUMBER(SEARCH("grosser Artikel",BM1561)),2,IFERROR(VLOOKUP(BP1561,Parameter!$F$35:$G$64,2,0),2)),IF(OR(IFERROR(VLOOKUP(D1561,Parameter!$A$35:$C$64,2,0),"Nein")="Nein",IFERROR(VLOOKUP(D1561,Parameter!$A$35:$C$64,2,0),"Nein")=""),"-",VLOOKUP(D1561,Parameter!$A$35:$C$64,2,0)))))</f>
        <v/>
      </c>
      <c r="Y1561" s="55" t="str">
        <f aca="false">IF('Neue Artikel'!$J$89="","",'Neue Artikel'!$J$89)</f>
        <v/>
      </c>
      <c r="Z1561" s="63"/>
      <c r="AA1561" s="57" t="n">
        <f aca="false">AP1561</f>
        <v>0</v>
      </c>
      <c r="AB1561" s="57" t="n">
        <f aca="false">MAX(AP1561,G1561)</f>
        <v>0</v>
      </c>
      <c r="AC1561" s="64"/>
      <c r="AD1561" s="57" t="n">
        <f aca="false">IF(LEFT(Cockpit!$C$5,1)="A",G1561,IF(BW1561=1,BX1561,IF(LEFT(Cockpit!$C$5,1)="B",AH1561,MAX(AH1561,G1561))))</f>
        <v>0</v>
      </c>
      <c r="AE1561" s="57" t="n">
        <f aca="false">IF(BR1561=1,0,ROUNDUP(AD1561/BQ1561,0))</f>
        <v>0</v>
      </c>
      <c r="AF1561" s="59" t="n">
        <f aca="false">IF(CD1561&gt;0,CD1561*MAX(1,AD1561/V1561),IF(BR1561=1,IF(AD1561&lt;=0,0,BS1561*MAX(1,IF(G1561&gt;0,AD1561/G1561,1))),IF(Q1561&gt;0,AE1561/Q1561,0))/MAX(0.1,N(Parameter!$M$21)))</f>
        <v>0</v>
      </c>
      <c r="AG1561" s="57" t="n">
        <f aca="false">AD1561*F1561</f>
        <v>0</v>
      </c>
      <c r="AH1561" s="57" t="n">
        <f aca="false">ROUNDUP(MAX(I1561/IF(BV1561&gt;0,BV1561,MAX(0.1,N(Cockpit!$C$6))),BY1561)/BQ1561,0)*BQ1561</f>
        <v>0</v>
      </c>
      <c r="AI1561" s="58" t="n">
        <f aca="false">IF(AF1561&gt;0,I1561/AF1561,-1)</f>
        <v>-1</v>
      </c>
      <c r="AJ1561" s="58" t="str">
        <f aca="false">IF(AND(OR(BU1561="L1",BU1561="L23"),AF1561&gt;0),SUMIFS($AF$7:$AF$1576,$BU$7:$BU$1576,BU1561,$AI$7:$AI$1576,"&gt;"&amp;AI1561)+SUMIFS($AF$7:$AF$1576,$BU$7:$BU$1576,BU1561,$AI$7:$AI$1576,AI1561,$BO$7:$BO$1576,"&lt;="&amp;BO1561),"")</f>
        <v/>
      </c>
      <c r="AK1561" s="65" t="n">
        <f aca="false">IF(AJ1561="",0,MAX(0,MIN(1,(IF(BU1561="L1",Parameter!$E$5,Parameter!$E$6+Parameter!$E$7)-(AJ1561-AF1561))/AF1561)))</f>
        <v>0</v>
      </c>
      <c r="AL1561" s="57" t="n">
        <f aca="false">IF(LEFT(Cockpit!$I$5,1)="A",G1561,IF(BW1561=1,BX1561,IF(LEFT(Cockpit!$I$5,1)="B",AP1561,MAX(AP1561,G1561))))</f>
        <v>0</v>
      </c>
      <c r="AM1561" s="57" t="n">
        <f aca="false">IF(BR1561=1,0,ROUNDUP(AL1561/BQ1561,0))</f>
        <v>0</v>
      </c>
      <c r="AN1561" s="59" t="n">
        <f aca="false">IF(CD1561&gt;0,CD1561*MAX(1,AL1561/V1561),IF(BR1561=1,IF(AL1561&lt;=0,0,BS1561*MAX(1,IF(G1561&gt;0,AL1561/G1561,1))),IF(Q1561&gt;0,AM1561/Q1561,0))/MAX(0.1,N(Parameter!$M$21)))</f>
        <v>0</v>
      </c>
      <c r="AO1561" s="57" t="n">
        <f aca="false">AL1561*F1561</f>
        <v>0</v>
      </c>
      <c r="AP1561" s="57" t="n">
        <f aca="false">ROUNDUP(MAX(I1561/IF(BV1561&gt;0,BV1561,MAX(0.1,N(Cockpit!$I$6))),BY1561)/BQ1561,0)*BQ1561</f>
        <v>0</v>
      </c>
      <c r="AQ1561" s="58" t="n">
        <f aca="false">IF(AN1561&gt;0,I1561/AN1561,-1)</f>
        <v>-1</v>
      </c>
      <c r="AR1561" s="58" t="str">
        <f aca="false">IF(AND(OR(BU1561="L1",BU1561="L23"),AN1561&gt;0),SUMIFS($AN$7:$AN$1576,$BU$7:$BU$1576,BU1561,$AQ$7:$AQ$1576,"&gt;"&amp;AQ1561)+SUMIFS($AN$7:$AN$1576,$BU$7:$BU$1576,BU1561,$AQ$7:$AQ$1576,AQ1561,$BO$7:$BO$1576,"&lt;="&amp;BO1561),"")</f>
        <v/>
      </c>
      <c r="AS1561" s="65" t="n">
        <f aca="false">IF(AR1561="",0,MAX(0,MIN(1,(IF(BU1561="L1",Parameter!$E$5,Parameter!$E$6+Parameter!$E$7)-(AR1561-AN1561))/AN1561)))</f>
        <v>0</v>
      </c>
      <c r="AT1561" s="57" t="n">
        <f aca="false">IF(LEFT(Cockpit!$O$5,1)="A",G1561,IF(BW1561=1,BX1561,IF(LEFT(Cockpit!$O$5,1)="B",AX1561,MAX(AX1561,G1561))))</f>
        <v>0</v>
      </c>
      <c r="AU1561" s="57" t="n">
        <f aca="false">IF(BR1561=1,0,ROUNDUP(AT1561/BQ1561,0))</f>
        <v>0</v>
      </c>
      <c r="AV1561" s="59" t="n">
        <f aca="false">IF(CD1561&gt;0,CD1561*MAX(1,AT1561/V1561),IF(BR1561=1,IF(AT1561&lt;=0,0,BS1561*MAX(1,IF(G1561&gt;0,AT1561/G1561,1))),IF(Q1561&gt;0,AU1561/Q1561,0))/MAX(0.1,N(Parameter!$M$21)))</f>
        <v>0</v>
      </c>
      <c r="AW1561" s="57" t="n">
        <f aca="false">AT1561*F1561</f>
        <v>0</v>
      </c>
      <c r="AX1561" s="57" t="n">
        <f aca="false">ROUNDUP(MAX(I1561/IF(BV1561&gt;0,BV1561,MAX(0.1,N(Cockpit!$O$6))),BY1561)/BQ1561,0)*BQ1561</f>
        <v>0</v>
      </c>
      <c r="AY1561" s="58" t="n">
        <f aca="false">IF(AV1561&gt;0,I1561/AV1561,-1)</f>
        <v>-1</v>
      </c>
      <c r="AZ1561" s="58" t="str">
        <f aca="false">IF(AND(OR(BU1561="L1",BU1561="L23"),AV1561&gt;0),SUMIFS($AV$7:$AV$1576,$BU$7:$BU$1576,BU1561,$AY$7:$AY$1576,"&gt;"&amp;AY1561)+SUMIFS($AV$7:$AV$1576,$BU$7:$BU$1576,BU1561,$AY$7:$AY$1576,AY1561,$BO$7:$BO$1576,"&lt;="&amp;BO1561),"")</f>
        <v/>
      </c>
      <c r="BA1561" s="65" t="n">
        <f aca="false">IF(AZ1561="",0,MAX(0,MIN(1,(IF(BU1561="L1",Parameter!$E$5,Parameter!$E$6+Parameter!$E$7)-(AZ1561-AV1561))/AV1561)))</f>
        <v>0</v>
      </c>
      <c r="BB1561" s="55" t="str">
        <f aca="false">IF(AF1561&lt;=0,"",IF(BU1561="Aussen","Aussenlager",IF(BU1561="-","Nicht im Lift",IF(AK1561&gt;=1,"Lift",IF(AK1561&lt;=0,"Aussenlager","teilweise")))))</f>
        <v/>
      </c>
      <c r="BC1561" s="55" t="str">
        <f aca="false">IF(AN1561&lt;=0,"",IF(BU1561="Aussen","Aussenlager",IF(BU1561="-","Nicht im Lift",IF(AS1561&gt;=1,"Lift",IF(AS1561&lt;=0,"Aussenlager","teilweise")))))</f>
        <v/>
      </c>
      <c r="BD1561" s="55" t="str">
        <f aca="false">IF(AV1561&lt;=0,"",IF(BU1561="Aussen","Aussenlager",IF(BU1561="-","Nicht im Lift",IF(BA1561&gt;=1,"Lift",IF(BA1561&lt;=0,"Aussenlager","teilweise")))))</f>
        <v/>
      </c>
      <c r="BE1561" s="55" t="str">
        <f aca="false">IF(A1561="","",IF(BN1561=1,"Neu; ","")&amp;IF(AND(BN1561=0,BI1561&lt;0),"negativer Bestand (Export "&amp;BI1561&amp;"); ","")&amp;IF(I1561&lt;=0,"Kein Verbrauch; ","")&amp;IF(CD1561&gt;0,"Lift "&amp;U1561&amp;" lt. Liftbericht (Fach "&amp;V1561&amp;" Stk); ",IF(BR1561=1,"Lose – Fläche geschätzt; ",""))&amp;IF(G1561&gt;AP1561,"Überbestand "&amp;ROUND(G1561-AP1561,0)&amp;" Stk / CHF "&amp;ROUND((G1561-AP1561)*F1561,0)&amp;"; ","")&amp;IF(AND(BW1561=1,BX1561&lt;BY1561),"MAX &lt; MB+LG; ","")&amp;IF(AND(CC1561&gt;0,CB1561*10&gt;CC1561),"zu hoch für Tablar; ","")&amp;IF(AND(BN1561=0,OR(BW1561=1,Y1561&lt;&gt;"",S1561&lt;&gt;"",T1561&lt;&gt;"",Z1561&lt;&gt;"")),"manuell übersteuert; ","")&amp;IF(AND(BR1561=0,Q1561=0),"Gebinde unbekannt / Stellmass fehlt; ","")&amp;IF(AND(BR1561=0,N(T1561)&lt;=0,N(P1561)&lt;=0),"Menge pro Gebinde fehlt (Ist = 1 Gebinde); ","")&amp;BM1561)</f>
        <v/>
      </c>
      <c r="BF1561" s="55"/>
      <c r="BG1561" s="55"/>
      <c r="BH1561" s="62"/>
      <c r="BI1561" s="57" t="n">
        <f aca="false">N('Neue Artikel'!$D$89)</f>
        <v>0</v>
      </c>
      <c r="BJ1561" s="57" t="n">
        <v>0</v>
      </c>
      <c r="BK1561" s="56" t="n">
        <v>0</v>
      </c>
      <c r="BL1561" s="57" t="n">
        <f aca="false">N('Neue Artikel'!$C$89)/Parameter!$B$18</f>
        <v>0</v>
      </c>
      <c r="BM1561" s="55"/>
      <c r="BN1561" s="60" t="n">
        <v>1</v>
      </c>
      <c r="BO1561" s="60" t="n">
        <v>1561</v>
      </c>
      <c r="BP1561" s="55" t="str">
        <f aca="false">IF(S1561&lt;&gt;"",UPPER(TRIM(S1561)),IF(O1561="","LOSE",O1561))</f>
        <v>LOSE</v>
      </c>
      <c r="BQ1561" s="57" t="n">
        <f aca="false">IF(BP1561="LOSE",1,IF(N(T1561)&gt;0,T1561,IF(N(P1561)&gt;0,P1561,MAX(1,G1561))))</f>
        <v>1</v>
      </c>
      <c r="BR1561" s="60" t="n">
        <f aca="false">IF(BP1561="LOSE",1,0)</f>
        <v>1</v>
      </c>
      <c r="BS1561" s="59" t="n">
        <f aca="false">IF(BR1561=0,0,IF(N(R1561)&gt;0,R1561,IFERROR(VLOOKUP(D1561,Parameter!$A$35:$C$64,3,0)+0,0)))</f>
        <v>0.15</v>
      </c>
      <c r="BT1561" s="55" t="str">
        <f aca="false">IF(Y1561&lt;&gt;"",Y1561,X1561)</f>
        <v/>
      </c>
      <c r="BU1561" s="55" t="str">
        <f aca="false">IF(BT1561=1,"L1",IF(OR(BT1561=2,BT1561=3),"L23",IF(BT1561="Aussen","Aussen","-")))</f>
        <v>-</v>
      </c>
      <c r="BV1561" s="66" t="n">
        <f aca="false">IF(N(Z1561)&gt;0,Z1561,0)</f>
        <v>0</v>
      </c>
      <c r="BW1561" s="60" t="n">
        <f aca="false">IF(ISNUMBER(AC1561),1,0)</f>
        <v>0</v>
      </c>
      <c r="BX1561" s="57" t="n">
        <f aca="false">N(AC1561)</f>
        <v>0</v>
      </c>
      <c r="BY1561" s="57" t="n">
        <f aca="false">N(L1561)+N(M1561)</f>
        <v>0</v>
      </c>
      <c r="BZ1561" s="57" t="n">
        <f aca="false">ROUNDUP(G1561/BQ1561,0)</f>
        <v>0</v>
      </c>
      <c r="CA1561" s="57" t="n">
        <f aca="false">ROUNDUP(BX1561/BQ1561,0)</f>
        <v>0</v>
      </c>
      <c r="CB1561" s="60" t="n">
        <f aca="false">IF(BR1561=1,0,IFERROR(VLOOKUP(BP1561,'Gebinde-Kategorie'!$A$5:$M$45,5,0)+0,0))</f>
        <v>0</v>
      </c>
      <c r="CC1561" s="60" t="n">
        <f aca="false">IFERROR(IF(OR(BT1561=1,BT1561=2,BT1561=3),N(INDEX(Parameter!$I$5:$I$7,BT1561)),0),0)</f>
        <v>0</v>
      </c>
      <c r="CD1561" s="59" t="n">
        <f aca="false">IF(AND(Parameter!$B$21="Ja",ISNUMBER(U1561),N(V1561)&gt;0),IFERROR(N(INDEX(Parameter!$L$5:$L$7,U1561))*INDEX(Parameter!$E$5:$E$7,U1561)*V1561/SUMIFS($V$7:$V$1576,$U$7:$U$1576,U1561),0),0)</f>
        <v>0</v>
      </c>
    </row>
    <row r="1562" customFormat="false" ht="15" hidden="false" customHeight="false" outlineLevel="0" collapsed="false">
      <c r="A1562" s="55" t="str">
        <f aca="false">IF('Neue Artikel'!$A$90="","",'Neue Artikel'!$A$90&amp;"")</f>
        <v/>
      </c>
      <c r="B1562" s="55" t="str">
        <f aca="false">'Neue Artikel'!$B$90&amp;""</f>
        <v/>
      </c>
      <c r="C1562" s="55"/>
      <c r="D1562" s="55" t="s">
        <v>2561</v>
      </c>
      <c r="E1562" s="55"/>
      <c r="F1562" s="56" t="n">
        <f aca="false">N('Neue Artikel'!$G$90)</f>
        <v>0</v>
      </c>
      <c r="G1562" s="57" t="n">
        <f aca="false">MAX(0,IF(AND(Parameter!$B$21="Ja",ISNUMBER(W1562)),W1562,IF(Parameter!$B$20="Jahresanfang 2025 + Export",BJ1562+BI1562,BI1562)))</f>
        <v>0</v>
      </c>
      <c r="H1562" s="57" t="n">
        <f aca="false">G1562*F1562</f>
        <v>0</v>
      </c>
      <c r="I1562" s="57" t="n">
        <f aca="false">BL1562*Parameter!$B$18</f>
        <v>0</v>
      </c>
      <c r="J1562" s="58"/>
      <c r="K1562" s="59"/>
      <c r="L1562" s="57" t="n">
        <f aca="false">N('Neue Artikel'!$E$90)</f>
        <v>0</v>
      </c>
      <c r="M1562" s="57" t="n">
        <f aca="false">N('Neue Artikel'!$F$90)</f>
        <v>0</v>
      </c>
      <c r="N1562" s="60"/>
      <c r="O1562" s="55" t="str">
        <f aca="false">IF('Neue Artikel'!$H$90="","LOSE",UPPER(TRIM('Neue Artikel'!$H$90)))</f>
        <v>LOSE</v>
      </c>
      <c r="P1562" s="57" t="n">
        <f aca="false">N('Neue Artikel'!$I$90)</f>
        <v>0</v>
      </c>
      <c r="Q1562" s="60" t="n">
        <f aca="false">IF(BR1562=1,0,IFERROR(VLOOKUP(BP1562,'Gebinde-Kategorie'!$A$5:$M$45,13,0)+0,0))</f>
        <v>0</v>
      </c>
      <c r="R1562" s="61"/>
      <c r="S1562" s="62"/>
      <c r="T1562" s="62"/>
      <c r="U1562" s="55"/>
      <c r="V1562" s="57"/>
      <c r="W1562" s="57"/>
      <c r="X1562" s="55" t="str">
        <f aca="false">IF(A1562="","",IF(AND(Parameter!$B$21="Ja",ISNUMBER(U1562)),U1562,IF(IFERROR(VLOOKUP(D1562,Parameter!$A$35:$C$64,2,0),"Nein")="2+3",IF(ISNUMBER(SEARCH("grosser Artikel",BM1562)),2,IFERROR(VLOOKUP(BP1562,Parameter!$F$35:$G$64,2,0),2)),IF(OR(IFERROR(VLOOKUP(D1562,Parameter!$A$35:$C$64,2,0),"Nein")="Nein",IFERROR(VLOOKUP(D1562,Parameter!$A$35:$C$64,2,0),"Nein")=""),"-",VLOOKUP(D1562,Parameter!$A$35:$C$64,2,0)))))</f>
        <v/>
      </c>
      <c r="Y1562" s="55" t="str">
        <f aca="false">IF('Neue Artikel'!$J$90="","",'Neue Artikel'!$J$90)</f>
        <v/>
      </c>
      <c r="Z1562" s="63"/>
      <c r="AA1562" s="57" t="n">
        <f aca="false">AP1562</f>
        <v>0</v>
      </c>
      <c r="AB1562" s="57" t="n">
        <f aca="false">MAX(AP1562,G1562)</f>
        <v>0</v>
      </c>
      <c r="AC1562" s="64"/>
      <c r="AD1562" s="57" t="n">
        <f aca="false">IF(LEFT(Cockpit!$C$5,1)="A",G1562,IF(BW1562=1,BX1562,IF(LEFT(Cockpit!$C$5,1)="B",AH1562,MAX(AH1562,G1562))))</f>
        <v>0</v>
      </c>
      <c r="AE1562" s="57" t="n">
        <f aca="false">IF(BR1562=1,0,ROUNDUP(AD1562/BQ1562,0))</f>
        <v>0</v>
      </c>
      <c r="AF1562" s="59" t="n">
        <f aca="false">IF(CD1562&gt;0,CD1562*MAX(1,AD1562/V1562),IF(BR1562=1,IF(AD1562&lt;=0,0,BS1562*MAX(1,IF(G1562&gt;0,AD1562/G1562,1))),IF(Q1562&gt;0,AE1562/Q1562,0))/MAX(0.1,N(Parameter!$M$21)))</f>
        <v>0</v>
      </c>
      <c r="AG1562" s="57" t="n">
        <f aca="false">AD1562*F1562</f>
        <v>0</v>
      </c>
      <c r="AH1562" s="57" t="n">
        <f aca="false">ROUNDUP(MAX(I1562/IF(BV1562&gt;0,BV1562,MAX(0.1,N(Cockpit!$C$6))),BY1562)/BQ1562,0)*BQ1562</f>
        <v>0</v>
      </c>
      <c r="AI1562" s="58" t="n">
        <f aca="false">IF(AF1562&gt;0,I1562/AF1562,-1)</f>
        <v>-1</v>
      </c>
      <c r="AJ1562" s="58" t="str">
        <f aca="false">IF(AND(OR(BU1562="L1",BU1562="L23"),AF1562&gt;0),SUMIFS($AF$7:$AF$1576,$BU$7:$BU$1576,BU1562,$AI$7:$AI$1576,"&gt;"&amp;AI1562)+SUMIFS($AF$7:$AF$1576,$BU$7:$BU$1576,BU1562,$AI$7:$AI$1576,AI1562,$BO$7:$BO$1576,"&lt;="&amp;BO1562),"")</f>
        <v/>
      </c>
      <c r="AK1562" s="65" t="n">
        <f aca="false">IF(AJ1562="",0,MAX(0,MIN(1,(IF(BU1562="L1",Parameter!$E$5,Parameter!$E$6+Parameter!$E$7)-(AJ1562-AF1562))/AF1562)))</f>
        <v>0</v>
      </c>
      <c r="AL1562" s="57" t="n">
        <f aca="false">IF(LEFT(Cockpit!$I$5,1)="A",G1562,IF(BW1562=1,BX1562,IF(LEFT(Cockpit!$I$5,1)="B",AP1562,MAX(AP1562,G1562))))</f>
        <v>0</v>
      </c>
      <c r="AM1562" s="57" t="n">
        <f aca="false">IF(BR1562=1,0,ROUNDUP(AL1562/BQ1562,0))</f>
        <v>0</v>
      </c>
      <c r="AN1562" s="59" t="n">
        <f aca="false">IF(CD1562&gt;0,CD1562*MAX(1,AL1562/V1562),IF(BR1562=1,IF(AL1562&lt;=0,0,BS1562*MAX(1,IF(G1562&gt;0,AL1562/G1562,1))),IF(Q1562&gt;0,AM1562/Q1562,0))/MAX(0.1,N(Parameter!$M$21)))</f>
        <v>0</v>
      </c>
      <c r="AO1562" s="57" t="n">
        <f aca="false">AL1562*F1562</f>
        <v>0</v>
      </c>
      <c r="AP1562" s="57" t="n">
        <f aca="false">ROUNDUP(MAX(I1562/IF(BV1562&gt;0,BV1562,MAX(0.1,N(Cockpit!$I$6))),BY1562)/BQ1562,0)*BQ1562</f>
        <v>0</v>
      </c>
      <c r="AQ1562" s="58" t="n">
        <f aca="false">IF(AN1562&gt;0,I1562/AN1562,-1)</f>
        <v>-1</v>
      </c>
      <c r="AR1562" s="58" t="str">
        <f aca="false">IF(AND(OR(BU1562="L1",BU1562="L23"),AN1562&gt;0),SUMIFS($AN$7:$AN$1576,$BU$7:$BU$1576,BU1562,$AQ$7:$AQ$1576,"&gt;"&amp;AQ1562)+SUMIFS($AN$7:$AN$1576,$BU$7:$BU$1576,BU1562,$AQ$7:$AQ$1576,AQ1562,$BO$7:$BO$1576,"&lt;="&amp;BO1562),"")</f>
        <v/>
      </c>
      <c r="AS1562" s="65" t="n">
        <f aca="false">IF(AR1562="",0,MAX(0,MIN(1,(IF(BU1562="L1",Parameter!$E$5,Parameter!$E$6+Parameter!$E$7)-(AR1562-AN1562))/AN1562)))</f>
        <v>0</v>
      </c>
      <c r="AT1562" s="57" t="n">
        <f aca="false">IF(LEFT(Cockpit!$O$5,1)="A",G1562,IF(BW1562=1,BX1562,IF(LEFT(Cockpit!$O$5,1)="B",AX1562,MAX(AX1562,G1562))))</f>
        <v>0</v>
      </c>
      <c r="AU1562" s="57" t="n">
        <f aca="false">IF(BR1562=1,0,ROUNDUP(AT1562/BQ1562,0))</f>
        <v>0</v>
      </c>
      <c r="AV1562" s="59" t="n">
        <f aca="false">IF(CD1562&gt;0,CD1562*MAX(1,AT1562/V1562),IF(BR1562=1,IF(AT1562&lt;=0,0,BS1562*MAX(1,IF(G1562&gt;0,AT1562/G1562,1))),IF(Q1562&gt;0,AU1562/Q1562,0))/MAX(0.1,N(Parameter!$M$21)))</f>
        <v>0</v>
      </c>
      <c r="AW1562" s="57" t="n">
        <f aca="false">AT1562*F1562</f>
        <v>0</v>
      </c>
      <c r="AX1562" s="57" t="n">
        <f aca="false">ROUNDUP(MAX(I1562/IF(BV1562&gt;0,BV1562,MAX(0.1,N(Cockpit!$O$6))),BY1562)/BQ1562,0)*BQ1562</f>
        <v>0</v>
      </c>
      <c r="AY1562" s="58" t="n">
        <f aca="false">IF(AV1562&gt;0,I1562/AV1562,-1)</f>
        <v>-1</v>
      </c>
      <c r="AZ1562" s="58" t="str">
        <f aca="false">IF(AND(OR(BU1562="L1",BU1562="L23"),AV1562&gt;0),SUMIFS($AV$7:$AV$1576,$BU$7:$BU$1576,BU1562,$AY$7:$AY$1576,"&gt;"&amp;AY1562)+SUMIFS($AV$7:$AV$1576,$BU$7:$BU$1576,BU1562,$AY$7:$AY$1576,AY1562,$BO$7:$BO$1576,"&lt;="&amp;BO1562),"")</f>
        <v/>
      </c>
      <c r="BA1562" s="65" t="n">
        <f aca="false">IF(AZ1562="",0,MAX(0,MIN(1,(IF(BU1562="L1",Parameter!$E$5,Parameter!$E$6+Parameter!$E$7)-(AZ1562-AV1562))/AV1562)))</f>
        <v>0</v>
      </c>
      <c r="BB1562" s="55" t="str">
        <f aca="false">IF(AF1562&lt;=0,"",IF(BU1562="Aussen","Aussenlager",IF(BU1562="-","Nicht im Lift",IF(AK1562&gt;=1,"Lift",IF(AK1562&lt;=0,"Aussenlager","teilweise")))))</f>
        <v/>
      </c>
      <c r="BC1562" s="55" t="str">
        <f aca="false">IF(AN1562&lt;=0,"",IF(BU1562="Aussen","Aussenlager",IF(BU1562="-","Nicht im Lift",IF(AS1562&gt;=1,"Lift",IF(AS1562&lt;=0,"Aussenlager","teilweise")))))</f>
        <v/>
      </c>
      <c r="BD1562" s="55" t="str">
        <f aca="false">IF(AV1562&lt;=0,"",IF(BU1562="Aussen","Aussenlager",IF(BU1562="-","Nicht im Lift",IF(BA1562&gt;=1,"Lift",IF(BA1562&lt;=0,"Aussenlager","teilweise")))))</f>
        <v/>
      </c>
      <c r="BE1562" s="55" t="str">
        <f aca="false">IF(A1562="","",IF(BN1562=1,"Neu; ","")&amp;IF(AND(BN1562=0,BI1562&lt;0),"negativer Bestand (Export "&amp;BI1562&amp;"); ","")&amp;IF(I1562&lt;=0,"Kein Verbrauch; ","")&amp;IF(CD1562&gt;0,"Lift "&amp;U1562&amp;" lt. Liftbericht (Fach "&amp;V1562&amp;" Stk); ",IF(BR1562=1,"Lose – Fläche geschätzt; ",""))&amp;IF(G1562&gt;AP1562,"Überbestand "&amp;ROUND(G1562-AP1562,0)&amp;" Stk / CHF "&amp;ROUND((G1562-AP1562)*F1562,0)&amp;"; ","")&amp;IF(AND(BW1562=1,BX1562&lt;BY1562),"MAX &lt; MB+LG; ","")&amp;IF(AND(CC1562&gt;0,CB1562*10&gt;CC1562),"zu hoch für Tablar; ","")&amp;IF(AND(BN1562=0,OR(BW1562=1,Y1562&lt;&gt;"",S1562&lt;&gt;"",T1562&lt;&gt;"",Z1562&lt;&gt;"")),"manuell übersteuert; ","")&amp;IF(AND(BR1562=0,Q1562=0),"Gebinde unbekannt / Stellmass fehlt; ","")&amp;IF(AND(BR1562=0,N(T1562)&lt;=0,N(P1562)&lt;=0),"Menge pro Gebinde fehlt (Ist = 1 Gebinde); ","")&amp;BM1562)</f>
        <v/>
      </c>
      <c r="BF1562" s="55"/>
      <c r="BG1562" s="55"/>
      <c r="BH1562" s="62"/>
      <c r="BI1562" s="57" t="n">
        <f aca="false">N('Neue Artikel'!$D$90)</f>
        <v>0</v>
      </c>
      <c r="BJ1562" s="57" t="n">
        <v>0</v>
      </c>
      <c r="BK1562" s="56" t="n">
        <v>0</v>
      </c>
      <c r="BL1562" s="57" t="n">
        <f aca="false">N('Neue Artikel'!$C$90)/Parameter!$B$18</f>
        <v>0</v>
      </c>
      <c r="BM1562" s="55"/>
      <c r="BN1562" s="60" t="n">
        <v>1</v>
      </c>
      <c r="BO1562" s="60" t="n">
        <v>1562</v>
      </c>
      <c r="BP1562" s="55" t="str">
        <f aca="false">IF(S1562&lt;&gt;"",UPPER(TRIM(S1562)),IF(O1562="","LOSE",O1562))</f>
        <v>LOSE</v>
      </c>
      <c r="BQ1562" s="57" t="n">
        <f aca="false">IF(BP1562="LOSE",1,IF(N(T1562)&gt;0,T1562,IF(N(P1562)&gt;0,P1562,MAX(1,G1562))))</f>
        <v>1</v>
      </c>
      <c r="BR1562" s="60" t="n">
        <f aca="false">IF(BP1562="LOSE",1,0)</f>
        <v>1</v>
      </c>
      <c r="BS1562" s="59" t="n">
        <f aca="false">IF(BR1562=0,0,IF(N(R1562)&gt;0,R1562,IFERROR(VLOOKUP(D1562,Parameter!$A$35:$C$64,3,0)+0,0)))</f>
        <v>0.15</v>
      </c>
      <c r="BT1562" s="55" t="str">
        <f aca="false">IF(Y1562&lt;&gt;"",Y1562,X1562)</f>
        <v/>
      </c>
      <c r="BU1562" s="55" t="str">
        <f aca="false">IF(BT1562=1,"L1",IF(OR(BT1562=2,BT1562=3),"L23",IF(BT1562="Aussen","Aussen","-")))</f>
        <v>-</v>
      </c>
      <c r="BV1562" s="66" t="n">
        <f aca="false">IF(N(Z1562)&gt;0,Z1562,0)</f>
        <v>0</v>
      </c>
      <c r="BW1562" s="60" t="n">
        <f aca="false">IF(ISNUMBER(AC1562),1,0)</f>
        <v>0</v>
      </c>
      <c r="BX1562" s="57" t="n">
        <f aca="false">N(AC1562)</f>
        <v>0</v>
      </c>
      <c r="BY1562" s="57" t="n">
        <f aca="false">N(L1562)+N(M1562)</f>
        <v>0</v>
      </c>
      <c r="BZ1562" s="57" t="n">
        <f aca="false">ROUNDUP(G1562/BQ1562,0)</f>
        <v>0</v>
      </c>
      <c r="CA1562" s="57" t="n">
        <f aca="false">ROUNDUP(BX1562/BQ1562,0)</f>
        <v>0</v>
      </c>
      <c r="CB1562" s="60" t="n">
        <f aca="false">IF(BR1562=1,0,IFERROR(VLOOKUP(BP1562,'Gebinde-Kategorie'!$A$5:$M$45,5,0)+0,0))</f>
        <v>0</v>
      </c>
      <c r="CC1562" s="60" t="n">
        <f aca="false">IFERROR(IF(OR(BT1562=1,BT1562=2,BT1562=3),N(INDEX(Parameter!$I$5:$I$7,BT1562)),0),0)</f>
        <v>0</v>
      </c>
      <c r="CD1562" s="59" t="n">
        <f aca="false">IF(AND(Parameter!$B$21="Ja",ISNUMBER(U1562),N(V1562)&gt;0),IFERROR(N(INDEX(Parameter!$L$5:$L$7,U1562))*INDEX(Parameter!$E$5:$E$7,U1562)*V1562/SUMIFS($V$7:$V$1576,$U$7:$U$1576,U1562),0),0)</f>
        <v>0</v>
      </c>
    </row>
    <row r="1563" customFormat="false" ht="15" hidden="false" customHeight="false" outlineLevel="0" collapsed="false">
      <c r="A1563" s="55" t="str">
        <f aca="false">IF('Neue Artikel'!$A$91="","",'Neue Artikel'!$A$91&amp;"")</f>
        <v/>
      </c>
      <c r="B1563" s="55" t="str">
        <f aca="false">'Neue Artikel'!$B$91&amp;""</f>
        <v/>
      </c>
      <c r="C1563" s="55"/>
      <c r="D1563" s="55" t="s">
        <v>2561</v>
      </c>
      <c r="E1563" s="55"/>
      <c r="F1563" s="56" t="n">
        <f aca="false">N('Neue Artikel'!$G$91)</f>
        <v>0</v>
      </c>
      <c r="G1563" s="57" t="n">
        <f aca="false">MAX(0,IF(AND(Parameter!$B$21="Ja",ISNUMBER(W1563)),W1563,IF(Parameter!$B$20="Jahresanfang 2025 + Export",BJ1563+BI1563,BI1563)))</f>
        <v>0</v>
      </c>
      <c r="H1563" s="57" t="n">
        <f aca="false">G1563*F1563</f>
        <v>0</v>
      </c>
      <c r="I1563" s="57" t="n">
        <f aca="false">BL1563*Parameter!$B$18</f>
        <v>0</v>
      </c>
      <c r="J1563" s="58"/>
      <c r="K1563" s="59"/>
      <c r="L1563" s="57" t="n">
        <f aca="false">N('Neue Artikel'!$E$91)</f>
        <v>0</v>
      </c>
      <c r="M1563" s="57" t="n">
        <f aca="false">N('Neue Artikel'!$F$91)</f>
        <v>0</v>
      </c>
      <c r="N1563" s="60"/>
      <c r="O1563" s="55" t="str">
        <f aca="false">IF('Neue Artikel'!$H$91="","LOSE",UPPER(TRIM('Neue Artikel'!$H$91)))</f>
        <v>LOSE</v>
      </c>
      <c r="P1563" s="57" t="n">
        <f aca="false">N('Neue Artikel'!$I$91)</f>
        <v>0</v>
      </c>
      <c r="Q1563" s="60" t="n">
        <f aca="false">IF(BR1563=1,0,IFERROR(VLOOKUP(BP1563,'Gebinde-Kategorie'!$A$5:$M$45,13,0)+0,0))</f>
        <v>0</v>
      </c>
      <c r="R1563" s="61"/>
      <c r="S1563" s="62"/>
      <c r="T1563" s="62"/>
      <c r="U1563" s="55"/>
      <c r="V1563" s="57"/>
      <c r="W1563" s="57"/>
      <c r="X1563" s="55" t="str">
        <f aca="false">IF(A1563="","",IF(AND(Parameter!$B$21="Ja",ISNUMBER(U1563)),U1563,IF(IFERROR(VLOOKUP(D1563,Parameter!$A$35:$C$64,2,0),"Nein")="2+3",IF(ISNUMBER(SEARCH("grosser Artikel",BM1563)),2,IFERROR(VLOOKUP(BP1563,Parameter!$F$35:$G$64,2,0),2)),IF(OR(IFERROR(VLOOKUP(D1563,Parameter!$A$35:$C$64,2,0),"Nein")="Nein",IFERROR(VLOOKUP(D1563,Parameter!$A$35:$C$64,2,0),"Nein")=""),"-",VLOOKUP(D1563,Parameter!$A$35:$C$64,2,0)))))</f>
        <v/>
      </c>
      <c r="Y1563" s="55" t="str">
        <f aca="false">IF('Neue Artikel'!$J$91="","",'Neue Artikel'!$J$91)</f>
        <v/>
      </c>
      <c r="Z1563" s="63"/>
      <c r="AA1563" s="57" t="n">
        <f aca="false">AP1563</f>
        <v>0</v>
      </c>
      <c r="AB1563" s="57" t="n">
        <f aca="false">MAX(AP1563,G1563)</f>
        <v>0</v>
      </c>
      <c r="AC1563" s="64"/>
      <c r="AD1563" s="57" t="n">
        <f aca="false">IF(LEFT(Cockpit!$C$5,1)="A",G1563,IF(BW1563=1,BX1563,IF(LEFT(Cockpit!$C$5,1)="B",AH1563,MAX(AH1563,G1563))))</f>
        <v>0</v>
      </c>
      <c r="AE1563" s="57" t="n">
        <f aca="false">IF(BR1563=1,0,ROUNDUP(AD1563/BQ1563,0))</f>
        <v>0</v>
      </c>
      <c r="AF1563" s="59" t="n">
        <f aca="false">IF(CD1563&gt;0,CD1563*MAX(1,AD1563/V1563),IF(BR1563=1,IF(AD1563&lt;=0,0,BS1563*MAX(1,IF(G1563&gt;0,AD1563/G1563,1))),IF(Q1563&gt;0,AE1563/Q1563,0))/MAX(0.1,N(Parameter!$M$21)))</f>
        <v>0</v>
      </c>
      <c r="AG1563" s="57" t="n">
        <f aca="false">AD1563*F1563</f>
        <v>0</v>
      </c>
      <c r="AH1563" s="57" t="n">
        <f aca="false">ROUNDUP(MAX(I1563/IF(BV1563&gt;0,BV1563,MAX(0.1,N(Cockpit!$C$6))),BY1563)/BQ1563,0)*BQ1563</f>
        <v>0</v>
      </c>
      <c r="AI1563" s="58" t="n">
        <f aca="false">IF(AF1563&gt;0,I1563/AF1563,-1)</f>
        <v>-1</v>
      </c>
      <c r="AJ1563" s="58" t="str">
        <f aca="false">IF(AND(OR(BU1563="L1",BU1563="L23"),AF1563&gt;0),SUMIFS($AF$7:$AF$1576,$BU$7:$BU$1576,BU1563,$AI$7:$AI$1576,"&gt;"&amp;AI1563)+SUMIFS($AF$7:$AF$1576,$BU$7:$BU$1576,BU1563,$AI$7:$AI$1576,AI1563,$BO$7:$BO$1576,"&lt;="&amp;BO1563),"")</f>
        <v/>
      </c>
      <c r="AK1563" s="65" t="n">
        <f aca="false">IF(AJ1563="",0,MAX(0,MIN(1,(IF(BU1563="L1",Parameter!$E$5,Parameter!$E$6+Parameter!$E$7)-(AJ1563-AF1563))/AF1563)))</f>
        <v>0</v>
      </c>
      <c r="AL1563" s="57" t="n">
        <f aca="false">IF(LEFT(Cockpit!$I$5,1)="A",G1563,IF(BW1563=1,BX1563,IF(LEFT(Cockpit!$I$5,1)="B",AP1563,MAX(AP1563,G1563))))</f>
        <v>0</v>
      </c>
      <c r="AM1563" s="57" t="n">
        <f aca="false">IF(BR1563=1,0,ROUNDUP(AL1563/BQ1563,0))</f>
        <v>0</v>
      </c>
      <c r="AN1563" s="59" t="n">
        <f aca="false">IF(CD1563&gt;0,CD1563*MAX(1,AL1563/V1563),IF(BR1563=1,IF(AL1563&lt;=0,0,BS1563*MAX(1,IF(G1563&gt;0,AL1563/G1563,1))),IF(Q1563&gt;0,AM1563/Q1563,0))/MAX(0.1,N(Parameter!$M$21)))</f>
        <v>0</v>
      </c>
      <c r="AO1563" s="57" t="n">
        <f aca="false">AL1563*F1563</f>
        <v>0</v>
      </c>
      <c r="AP1563" s="57" t="n">
        <f aca="false">ROUNDUP(MAX(I1563/IF(BV1563&gt;0,BV1563,MAX(0.1,N(Cockpit!$I$6))),BY1563)/BQ1563,0)*BQ1563</f>
        <v>0</v>
      </c>
      <c r="AQ1563" s="58" t="n">
        <f aca="false">IF(AN1563&gt;0,I1563/AN1563,-1)</f>
        <v>-1</v>
      </c>
      <c r="AR1563" s="58" t="str">
        <f aca="false">IF(AND(OR(BU1563="L1",BU1563="L23"),AN1563&gt;0),SUMIFS($AN$7:$AN$1576,$BU$7:$BU$1576,BU1563,$AQ$7:$AQ$1576,"&gt;"&amp;AQ1563)+SUMIFS($AN$7:$AN$1576,$BU$7:$BU$1576,BU1563,$AQ$7:$AQ$1576,AQ1563,$BO$7:$BO$1576,"&lt;="&amp;BO1563),"")</f>
        <v/>
      </c>
      <c r="AS1563" s="65" t="n">
        <f aca="false">IF(AR1563="",0,MAX(0,MIN(1,(IF(BU1563="L1",Parameter!$E$5,Parameter!$E$6+Parameter!$E$7)-(AR1563-AN1563))/AN1563)))</f>
        <v>0</v>
      </c>
      <c r="AT1563" s="57" t="n">
        <f aca="false">IF(LEFT(Cockpit!$O$5,1)="A",G1563,IF(BW1563=1,BX1563,IF(LEFT(Cockpit!$O$5,1)="B",AX1563,MAX(AX1563,G1563))))</f>
        <v>0</v>
      </c>
      <c r="AU1563" s="57" t="n">
        <f aca="false">IF(BR1563=1,0,ROUNDUP(AT1563/BQ1563,0))</f>
        <v>0</v>
      </c>
      <c r="AV1563" s="59" t="n">
        <f aca="false">IF(CD1563&gt;0,CD1563*MAX(1,AT1563/V1563),IF(BR1563=1,IF(AT1563&lt;=0,0,BS1563*MAX(1,IF(G1563&gt;0,AT1563/G1563,1))),IF(Q1563&gt;0,AU1563/Q1563,0))/MAX(0.1,N(Parameter!$M$21)))</f>
        <v>0</v>
      </c>
      <c r="AW1563" s="57" t="n">
        <f aca="false">AT1563*F1563</f>
        <v>0</v>
      </c>
      <c r="AX1563" s="57" t="n">
        <f aca="false">ROUNDUP(MAX(I1563/IF(BV1563&gt;0,BV1563,MAX(0.1,N(Cockpit!$O$6))),BY1563)/BQ1563,0)*BQ1563</f>
        <v>0</v>
      </c>
      <c r="AY1563" s="58" t="n">
        <f aca="false">IF(AV1563&gt;0,I1563/AV1563,-1)</f>
        <v>-1</v>
      </c>
      <c r="AZ1563" s="58" t="str">
        <f aca="false">IF(AND(OR(BU1563="L1",BU1563="L23"),AV1563&gt;0),SUMIFS($AV$7:$AV$1576,$BU$7:$BU$1576,BU1563,$AY$7:$AY$1576,"&gt;"&amp;AY1563)+SUMIFS($AV$7:$AV$1576,$BU$7:$BU$1576,BU1563,$AY$7:$AY$1576,AY1563,$BO$7:$BO$1576,"&lt;="&amp;BO1563),"")</f>
        <v/>
      </c>
      <c r="BA1563" s="65" t="n">
        <f aca="false">IF(AZ1563="",0,MAX(0,MIN(1,(IF(BU1563="L1",Parameter!$E$5,Parameter!$E$6+Parameter!$E$7)-(AZ1563-AV1563))/AV1563)))</f>
        <v>0</v>
      </c>
      <c r="BB1563" s="55" t="str">
        <f aca="false">IF(AF1563&lt;=0,"",IF(BU1563="Aussen","Aussenlager",IF(BU1563="-","Nicht im Lift",IF(AK1563&gt;=1,"Lift",IF(AK1563&lt;=0,"Aussenlager","teilweise")))))</f>
        <v/>
      </c>
      <c r="BC1563" s="55" t="str">
        <f aca="false">IF(AN1563&lt;=0,"",IF(BU1563="Aussen","Aussenlager",IF(BU1563="-","Nicht im Lift",IF(AS1563&gt;=1,"Lift",IF(AS1563&lt;=0,"Aussenlager","teilweise")))))</f>
        <v/>
      </c>
      <c r="BD1563" s="55" t="str">
        <f aca="false">IF(AV1563&lt;=0,"",IF(BU1563="Aussen","Aussenlager",IF(BU1563="-","Nicht im Lift",IF(BA1563&gt;=1,"Lift",IF(BA1563&lt;=0,"Aussenlager","teilweise")))))</f>
        <v/>
      </c>
      <c r="BE1563" s="55" t="str">
        <f aca="false">IF(A1563="","",IF(BN1563=1,"Neu; ","")&amp;IF(AND(BN1563=0,BI1563&lt;0),"negativer Bestand (Export "&amp;BI1563&amp;"); ","")&amp;IF(I1563&lt;=0,"Kein Verbrauch; ","")&amp;IF(CD1563&gt;0,"Lift "&amp;U1563&amp;" lt. Liftbericht (Fach "&amp;V1563&amp;" Stk); ",IF(BR1563=1,"Lose – Fläche geschätzt; ",""))&amp;IF(G1563&gt;AP1563,"Überbestand "&amp;ROUND(G1563-AP1563,0)&amp;" Stk / CHF "&amp;ROUND((G1563-AP1563)*F1563,0)&amp;"; ","")&amp;IF(AND(BW1563=1,BX1563&lt;BY1563),"MAX &lt; MB+LG; ","")&amp;IF(AND(CC1563&gt;0,CB1563*10&gt;CC1563),"zu hoch für Tablar; ","")&amp;IF(AND(BN1563=0,OR(BW1563=1,Y1563&lt;&gt;"",S1563&lt;&gt;"",T1563&lt;&gt;"",Z1563&lt;&gt;"")),"manuell übersteuert; ","")&amp;IF(AND(BR1563=0,Q1563=0),"Gebinde unbekannt / Stellmass fehlt; ","")&amp;IF(AND(BR1563=0,N(T1563)&lt;=0,N(P1563)&lt;=0),"Menge pro Gebinde fehlt (Ist = 1 Gebinde); ","")&amp;BM1563)</f>
        <v/>
      </c>
      <c r="BF1563" s="55"/>
      <c r="BG1563" s="55"/>
      <c r="BH1563" s="62"/>
      <c r="BI1563" s="57" t="n">
        <f aca="false">N('Neue Artikel'!$D$91)</f>
        <v>0</v>
      </c>
      <c r="BJ1563" s="57" t="n">
        <v>0</v>
      </c>
      <c r="BK1563" s="56" t="n">
        <v>0</v>
      </c>
      <c r="BL1563" s="57" t="n">
        <f aca="false">N('Neue Artikel'!$C$91)/Parameter!$B$18</f>
        <v>0</v>
      </c>
      <c r="BM1563" s="55"/>
      <c r="BN1563" s="60" t="n">
        <v>1</v>
      </c>
      <c r="BO1563" s="60" t="n">
        <v>1563</v>
      </c>
      <c r="BP1563" s="55" t="str">
        <f aca="false">IF(S1563&lt;&gt;"",UPPER(TRIM(S1563)),IF(O1563="","LOSE",O1563))</f>
        <v>LOSE</v>
      </c>
      <c r="BQ1563" s="57" t="n">
        <f aca="false">IF(BP1563="LOSE",1,IF(N(T1563)&gt;0,T1563,IF(N(P1563)&gt;0,P1563,MAX(1,G1563))))</f>
        <v>1</v>
      </c>
      <c r="BR1563" s="60" t="n">
        <f aca="false">IF(BP1563="LOSE",1,0)</f>
        <v>1</v>
      </c>
      <c r="BS1563" s="59" t="n">
        <f aca="false">IF(BR1563=0,0,IF(N(R1563)&gt;0,R1563,IFERROR(VLOOKUP(D1563,Parameter!$A$35:$C$64,3,0)+0,0)))</f>
        <v>0.15</v>
      </c>
      <c r="BT1563" s="55" t="str">
        <f aca="false">IF(Y1563&lt;&gt;"",Y1563,X1563)</f>
        <v/>
      </c>
      <c r="BU1563" s="55" t="str">
        <f aca="false">IF(BT1563=1,"L1",IF(OR(BT1563=2,BT1563=3),"L23",IF(BT1563="Aussen","Aussen","-")))</f>
        <v>-</v>
      </c>
      <c r="BV1563" s="66" t="n">
        <f aca="false">IF(N(Z1563)&gt;0,Z1563,0)</f>
        <v>0</v>
      </c>
      <c r="BW1563" s="60" t="n">
        <f aca="false">IF(ISNUMBER(AC1563),1,0)</f>
        <v>0</v>
      </c>
      <c r="BX1563" s="57" t="n">
        <f aca="false">N(AC1563)</f>
        <v>0</v>
      </c>
      <c r="BY1563" s="57" t="n">
        <f aca="false">N(L1563)+N(M1563)</f>
        <v>0</v>
      </c>
      <c r="BZ1563" s="57" t="n">
        <f aca="false">ROUNDUP(G1563/BQ1563,0)</f>
        <v>0</v>
      </c>
      <c r="CA1563" s="57" t="n">
        <f aca="false">ROUNDUP(BX1563/BQ1563,0)</f>
        <v>0</v>
      </c>
      <c r="CB1563" s="60" t="n">
        <f aca="false">IF(BR1563=1,0,IFERROR(VLOOKUP(BP1563,'Gebinde-Kategorie'!$A$5:$M$45,5,0)+0,0))</f>
        <v>0</v>
      </c>
      <c r="CC1563" s="60" t="n">
        <f aca="false">IFERROR(IF(OR(BT1563=1,BT1563=2,BT1563=3),N(INDEX(Parameter!$I$5:$I$7,BT1563)),0),0)</f>
        <v>0</v>
      </c>
      <c r="CD1563" s="59" t="n">
        <f aca="false">IF(AND(Parameter!$B$21="Ja",ISNUMBER(U1563),N(V1563)&gt;0),IFERROR(N(INDEX(Parameter!$L$5:$L$7,U1563))*INDEX(Parameter!$E$5:$E$7,U1563)*V1563/SUMIFS($V$7:$V$1576,$U$7:$U$1576,U1563),0),0)</f>
        <v>0</v>
      </c>
    </row>
    <row r="1564" customFormat="false" ht="15" hidden="false" customHeight="false" outlineLevel="0" collapsed="false">
      <c r="A1564" s="55" t="str">
        <f aca="false">IF('Neue Artikel'!$A$92="","",'Neue Artikel'!$A$92&amp;"")</f>
        <v/>
      </c>
      <c r="B1564" s="55" t="str">
        <f aca="false">'Neue Artikel'!$B$92&amp;""</f>
        <v/>
      </c>
      <c r="C1564" s="55"/>
      <c r="D1564" s="55" t="s">
        <v>2561</v>
      </c>
      <c r="E1564" s="55"/>
      <c r="F1564" s="56" t="n">
        <f aca="false">N('Neue Artikel'!$G$92)</f>
        <v>0</v>
      </c>
      <c r="G1564" s="57" t="n">
        <f aca="false">MAX(0,IF(AND(Parameter!$B$21="Ja",ISNUMBER(W1564)),W1564,IF(Parameter!$B$20="Jahresanfang 2025 + Export",BJ1564+BI1564,BI1564)))</f>
        <v>0</v>
      </c>
      <c r="H1564" s="57" t="n">
        <f aca="false">G1564*F1564</f>
        <v>0</v>
      </c>
      <c r="I1564" s="57" t="n">
        <f aca="false">BL1564*Parameter!$B$18</f>
        <v>0</v>
      </c>
      <c r="J1564" s="58"/>
      <c r="K1564" s="59"/>
      <c r="L1564" s="57" t="n">
        <f aca="false">N('Neue Artikel'!$E$92)</f>
        <v>0</v>
      </c>
      <c r="M1564" s="57" t="n">
        <f aca="false">N('Neue Artikel'!$F$92)</f>
        <v>0</v>
      </c>
      <c r="N1564" s="60"/>
      <c r="O1564" s="55" t="str">
        <f aca="false">IF('Neue Artikel'!$H$92="","LOSE",UPPER(TRIM('Neue Artikel'!$H$92)))</f>
        <v>LOSE</v>
      </c>
      <c r="P1564" s="57" t="n">
        <f aca="false">N('Neue Artikel'!$I$92)</f>
        <v>0</v>
      </c>
      <c r="Q1564" s="60" t="n">
        <f aca="false">IF(BR1564=1,0,IFERROR(VLOOKUP(BP1564,'Gebinde-Kategorie'!$A$5:$M$45,13,0)+0,0))</f>
        <v>0</v>
      </c>
      <c r="R1564" s="61"/>
      <c r="S1564" s="62"/>
      <c r="T1564" s="62"/>
      <c r="U1564" s="55"/>
      <c r="V1564" s="57"/>
      <c r="W1564" s="57"/>
      <c r="X1564" s="55" t="str">
        <f aca="false">IF(A1564="","",IF(AND(Parameter!$B$21="Ja",ISNUMBER(U1564)),U1564,IF(IFERROR(VLOOKUP(D1564,Parameter!$A$35:$C$64,2,0),"Nein")="2+3",IF(ISNUMBER(SEARCH("grosser Artikel",BM1564)),2,IFERROR(VLOOKUP(BP1564,Parameter!$F$35:$G$64,2,0),2)),IF(OR(IFERROR(VLOOKUP(D1564,Parameter!$A$35:$C$64,2,0),"Nein")="Nein",IFERROR(VLOOKUP(D1564,Parameter!$A$35:$C$64,2,0),"Nein")=""),"-",VLOOKUP(D1564,Parameter!$A$35:$C$64,2,0)))))</f>
        <v/>
      </c>
      <c r="Y1564" s="55" t="str">
        <f aca="false">IF('Neue Artikel'!$J$92="","",'Neue Artikel'!$J$92)</f>
        <v/>
      </c>
      <c r="Z1564" s="63"/>
      <c r="AA1564" s="57" t="n">
        <f aca="false">AP1564</f>
        <v>0</v>
      </c>
      <c r="AB1564" s="57" t="n">
        <f aca="false">MAX(AP1564,G1564)</f>
        <v>0</v>
      </c>
      <c r="AC1564" s="64"/>
      <c r="AD1564" s="57" t="n">
        <f aca="false">IF(LEFT(Cockpit!$C$5,1)="A",G1564,IF(BW1564=1,BX1564,IF(LEFT(Cockpit!$C$5,1)="B",AH1564,MAX(AH1564,G1564))))</f>
        <v>0</v>
      </c>
      <c r="AE1564" s="57" t="n">
        <f aca="false">IF(BR1564=1,0,ROUNDUP(AD1564/BQ1564,0))</f>
        <v>0</v>
      </c>
      <c r="AF1564" s="59" t="n">
        <f aca="false">IF(CD1564&gt;0,CD1564*MAX(1,AD1564/V1564),IF(BR1564=1,IF(AD1564&lt;=0,0,BS1564*MAX(1,IF(G1564&gt;0,AD1564/G1564,1))),IF(Q1564&gt;0,AE1564/Q1564,0))/MAX(0.1,N(Parameter!$M$21)))</f>
        <v>0</v>
      </c>
      <c r="AG1564" s="57" t="n">
        <f aca="false">AD1564*F1564</f>
        <v>0</v>
      </c>
      <c r="AH1564" s="57" t="n">
        <f aca="false">ROUNDUP(MAX(I1564/IF(BV1564&gt;0,BV1564,MAX(0.1,N(Cockpit!$C$6))),BY1564)/BQ1564,0)*BQ1564</f>
        <v>0</v>
      </c>
      <c r="AI1564" s="58" t="n">
        <f aca="false">IF(AF1564&gt;0,I1564/AF1564,-1)</f>
        <v>-1</v>
      </c>
      <c r="AJ1564" s="58" t="str">
        <f aca="false">IF(AND(OR(BU1564="L1",BU1564="L23"),AF1564&gt;0),SUMIFS($AF$7:$AF$1576,$BU$7:$BU$1576,BU1564,$AI$7:$AI$1576,"&gt;"&amp;AI1564)+SUMIFS($AF$7:$AF$1576,$BU$7:$BU$1576,BU1564,$AI$7:$AI$1576,AI1564,$BO$7:$BO$1576,"&lt;="&amp;BO1564),"")</f>
        <v/>
      </c>
      <c r="AK1564" s="65" t="n">
        <f aca="false">IF(AJ1564="",0,MAX(0,MIN(1,(IF(BU1564="L1",Parameter!$E$5,Parameter!$E$6+Parameter!$E$7)-(AJ1564-AF1564))/AF1564)))</f>
        <v>0</v>
      </c>
      <c r="AL1564" s="57" t="n">
        <f aca="false">IF(LEFT(Cockpit!$I$5,1)="A",G1564,IF(BW1564=1,BX1564,IF(LEFT(Cockpit!$I$5,1)="B",AP1564,MAX(AP1564,G1564))))</f>
        <v>0</v>
      </c>
      <c r="AM1564" s="57" t="n">
        <f aca="false">IF(BR1564=1,0,ROUNDUP(AL1564/BQ1564,0))</f>
        <v>0</v>
      </c>
      <c r="AN1564" s="59" t="n">
        <f aca="false">IF(CD1564&gt;0,CD1564*MAX(1,AL1564/V1564),IF(BR1564=1,IF(AL1564&lt;=0,0,BS1564*MAX(1,IF(G1564&gt;0,AL1564/G1564,1))),IF(Q1564&gt;0,AM1564/Q1564,0))/MAX(0.1,N(Parameter!$M$21)))</f>
        <v>0</v>
      </c>
      <c r="AO1564" s="57" t="n">
        <f aca="false">AL1564*F1564</f>
        <v>0</v>
      </c>
      <c r="AP1564" s="57" t="n">
        <f aca="false">ROUNDUP(MAX(I1564/IF(BV1564&gt;0,BV1564,MAX(0.1,N(Cockpit!$I$6))),BY1564)/BQ1564,0)*BQ1564</f>
        <v>0</v>
      </c>
      <c r="AQ1564" s="58" t="n">
        <f aca="false">IF(AN1564&gt;0,I1564/AN1564,-1)</f>
        <v>-1</v>
      </c>
      <c r="AR1564" s="58" t="str">
        <f aca="false">IF(AND(OR(BU1564="L1",BU1564="L23"),AN1564&gt;0),SUMIFS($AN$7:$AN$1576,$BU$7:$BU$1576,BU1564,$AQ$7:$AQ$1576,"&gt;"&amp;AQ1564)+SUMIFS($AN$7:$AN$1576,$BU$7:$BU$1576,BU1564,$AQ$7:$AQ$1576,AQ1564,$BO$7:$BO$1576,"&lt;="&amp;BO1564),"")</f>
        <v/>
      </c>
      <c r="AS1564" s="65" t="n">
        <f aca="false">IF(AR1564="",0,MAX(0,MIN(1,(IF(BU1564="L1",Parameter!$E$5,Parameter!$E$6+Parameter!$E$7)-(AR1564-AN1564))/AN1564)))</f>
        <v>0</v>
      </c>
      <c r="AT1564" s="57" t="n">
        <f aca="false">IF(LEFT(Cockpit!$O$5,1)="A",G1564,IF(BW1564=1,BX1564,IF(LEFT(Cockpit!$O$5,1)="B",AX1564,MAX(AX1564,G1564))))</f>
        <v>0</v>
      </c>
      <c r="AU1564" s="57" t="n">
        <f aca="false">IF(BR1564=1,0,ROUNDUP(AT1564/BQ1564,0))</f>
        <v>0</v>
      </c>
      <c r="AV1564" s="59" t="n">
        <f aca="false">IF(CD1564&gt;0,CD1564*MAX(1,AT1564/V1564),IF(BR1564=1,IF(AT1564&lt;=0,0,BS1564*MAX(1,IF(G1564&gt;0,AT1564/G1564,1))),IF(Q1564&gt;0,AU1564/Q1564,0))/MAX(0.1,N(Parameter!$M$21)))</f>
        <v>0</v>
      </c>
      <c r="AW1564" s="57" t="n">
        <f aca="false">AT1564*F1564</f>
        <v>0</v>
      </c>
      <c r="AX1564" s="57" t="n">
        <f aca="false">ROUNDUP(MAX(I1564/IF(BV1564&gt;0,BV1564,MAX(0.1,N(Cockpit!$O$6))),BY1564)/BQ1564,0)*BQ1564</f>
        <v>0</v>
      </c>
      <c r="AY1564" s="58" t="n">
        <f aca="false">IF(AV1564&gt;0,I1564/AV1564,-1)</f>
        <v>-1</v>
      </c>
      <c r="AZ1564" s="58" t="str">
        <f aca="false">IF(AND(OR(BU1564="L1",BU1564="L23"),AV1564&gt;0),SUMIFS($AV$7:$AV$1576,$BU$7:$BU$1576,BU1564,$AY$7:$AY$1576,"&gt;"&amp;AY1564)+SUMIFS($AV$7:$AV$1576,$BU$7:$BU$1576,BU1564,$AY$7:$AY$1576,AY1564,$BO$7:$BO$1576,"&lt;="&amp;BO1564),"")</f>
        <v/>
      </c>
      <c r="BA1564" s="65" t="n">
        <f aca="false">IF(AZ1564="",0,MAX(0,MIN(1,(IF(BU1564="L1",Parameter!$E$5,Parameter!$E$6+Parameter!$E$7)-(AZ1564-AV1564))/AV1564)))</f>
        <v>0</v>
      </c>
      <c r="BB1564" s="55" t="str">
        <f aca="false">IF(AF1564&lt;=0,"",IF(BU1564="Aussen","Aussenlager",IF(BU1564="-","Nicht im Lift",IF(AK1564&gt;=1,"Lift",IF(AK1564&lt;=0,"Aussenlager","teilweise")))))</f>
        <v/>
      </c>
      <c r="BC1564" s="55" t="str">
        <f aca="false">IF(AN1564&lt;=0,"",IF(BU1564="Aussen","Aussenlager",IF(BU1564="-","Nicht im Lift",IF(AS1564&gt;=1,"Lift",IF(AS1564&lt;=0,"Aussenlager","teilweise")))))</f>
        <v/>
      </c>
      <c r="BD1564" s="55" t="str">
        <f aca="false">IF(AV1564&lt;=0,"",IF(BU1564="Aussen","Aussenlager",IF(BU1564="-","Nicht im Lift",IF(BA1564&gt;=1,"Lift",IF(BA1564&lt;=0,"Aussenlager","teilweise")))))</f>
        <v/>
      </c>
      <c r="BE1564" s="55" t="str">
        <f aca="false">IF(A1564="","",IF(BN1564=1,"Neu; ","")&amp;IF(AND(BN1564=0,BI1564&lt;0),"negativer Bestand (Export "&amp;BI1564&amp;"); ","")&amp;IF(I1564&lt;=0,"Kein Verbrauch; ","")&amp;IF(CD1564&gt;0,"Lift "&amp;U1564&amp;" lt. Liftbericht (Fach "&amp;V1564&amp;" Stk); ",IF(BR1564=1,"Lose – Fläche geschätzt; ",""))&amp;IF(G1564&gt;AP1564,"Überbestand "&amp;ROUND(G1564-AP1564,0)&amp;" Stk / CHF "&amp;ROUND((G1564-AP1564)*F1564,0)&amp;"; ","")&amp;IF(AND(BW1564=1,BX1564&lt;BY1564),"MAX &lt; MB+LG; ","")&amp;IF(AND(CC1564&gt;0,CB1564*10&gt;CC1564),"zu hoch für Tablar; ","")&amp;IF(AND(BN1564=0,OR(BW1564=1,Y1564&lt;&gt;"",S1564&lt;&gt;"",T1564&lt;&gt;"",Z1564&lt;&gt;"")),"manuell übersteuert; ","")&amp;IF(AND(BR1564=0,Q1564=0),"Gebinde unbekannt / Stellmass fehlt; ","")&amp;IF(AND(BR1564=0,N(T1564)&lt;=0,N(P1564)&lt;=0),"Menge pro Gebinde fehlt (Ist = 1 Gebinde); ","")&amp;BM1564)</f>
        <v/>
      </c>
      <c r="BF1564" s="55"/>
      <c r="BG1564" s="55"/>
      <c r="BH1564" s="62"/>
      <c r="BI1564" s="57" t="n">
        <f aca="false">N('Neue Artikel'!$D$92)</f>
        <v>0</v>
      </c>
      <c r="BJ1564" s="57" t="n">
        <v>0</v>
      </c>
      <c r="BK1564" s="56" t="n">
        <v>0</v>
      </c>
      <c r="BL1564" s="57" t="n">
        <f aca="false">N('Neue Artikel'!$C$92)/Parameter!$B$18</f>
        <v>0</v>
      </c>
      <c r="BM1564" s="55"/>
      <c r="BN1564" s="60" t="n">
        <v>1</v>
      </c>
      <c r="BO1564" s="60" t="n">
        <v>1564</v>
      </c>
      <c r="BP1564" s="55" t="str">
        <f aca="false">IF(S1564&lt;&gt;"",UPPER(TRIM(S1564)),IF(O1564="","LOSE",O1564))</f>
        <v>LOSE</v>
      </c>
      <c r="BQ1564" s="57" t="n">
        <f aca="false">IF(BP1564="LOSE",1,IF(N(T1564)&gt;0,T1564,IF(N(P1564)&gt;0,P1564,MAX(1,G1564))))</f>
        <v>1</v>
      </c>
      <c r="BR1564" s="60" t="n">
        <f aca="false">IF(BP1564="LOSE",1,0)</f>
        <v>1</v>
      </c>
      <c r="BS1564" s="59" t="n">
        <f aca="false">IF(BR1564=0,0,IF(N(R1564)&gt;0,R1564,IFERROR(VLOOKUP(D1564,Parameter!$A$35:$C$64,3,0)+0,0)))</f>
        <v>0.15</v>
      </c>
      <c r="BT1564" s="55" t="str">
        <f aca="false">IF(Y1564&lt;&gt;"",Y1564,X1564)</f>
        <v/>
      </c>
      <c r="BU1564" s="55" t="str">
        <f aca="false">IF(BT1564=1,"L1",IF(OR(BT1564=2,BT1564=3),"L23",IF(BT1564="Aussen","Aussen","-")))</f>
        <v>-</v>
      </c>
      <c r="BV1564" s="66" t="n">
        <f aca="false">IF(N(Z1564)&gt;0,Z1564,0)</f>
        <v>0</v>
      </c>
      <c r="BW1564" s="60" t="n">
        <f aca="false">IF(ISNUMBER(AC1564),1,0)</f>
        <v>0</v>
      </c>
      <c r="BX1564" s="57" t="n">
        <f aca="false">N(AC1564)</f>
        <v>0</v>
      </c>
      <c r="BY1564" s="57" t="n">
        <f aca="false">N(L1564)+N(M1564)</f>
        <v>0</v>
      </c>
      <c r="BZ1564" s="57" t="n">
        <f aca="false">ROUNDUP(G1564/BQ1564,0)</f>
        <v>0</v>
      </c>
      <c r="CA1564" s="57" t="n">
        <f aca="false">ROUNDUP(BX1564/BQ1564,0)</f>
        <v>0</v>
      </c>
      <c r="CB1564" s="60" t="n">
        <f aca="false">IF(BR1564=1,0,IFERROR(VLOOKUP(BP1564,'Gebinde-Kategorie'!$A$5:$M$45,5,0)+0,0))</f>
        <v>0</v>
      </c>
      <c r="CC1564" s="60" t="n">
        <f aca="false">IFERROR(IF(OR(BT1564=1,BT1564=2,BT1564=3),N(INDEX(Parameter!$I$5:$I$7,BT1564)),0),0)</f>
        <v>0</v>
      </c>
      <c r="CD1564" s="59" t="n">
        <f aca="false">IF(AND(Parameter!$B$21="Ja",ISNUMBER(U1564),N(V1564)&gt;0),IFERROR(N(INDEX(Parameter!$L$5:$L$7,U1564))*INDEX(Parameter!$E$5:$E$7,U1564)*V1564/SUMIFS($V$7:$V$1576,$U$7:$U$1576,U1564),0),0)</f>
        <v>0</v>
      </c>
    </row>
    <row r="1565" customFormat="false" ht="15" hidden="false" customHeight="false" outlineLevel="0" collapsed="false">
      <c r="A1565" s="55" t="str">
        <f aca="false">IF('Neue Artikel'!$A$93="","",'Neue Artikel'!$A$93&amp;"")</f>
        <v/>
      </c>
      <c r="B1565" s="55" t="str">
        <f aca="false">'Neue Artikel'!$B$93&amp;""</f>
        <v/>
      </c>
      <c r="C1565" s="55"/>
      <c r="D1565" s="55" t="s">
        <v>2561</v>
      </c>
      <c r="E1565" s="55"/>
      <c r="F1565" s="56" t="n">
        <f aca="false">N('Neue Artikel'!$G$93)</f>
        <v>0</v>
      </c>
      <c r="G1565" s="57" t="n">
        <f aca="false">MAX(0,IF(AND(Parameter!$B$21="Ja",ISNUMBER(W1565)),W1565,IF(Parameter!$B$20="Jahresanfang 2025 + Export",BJ1565+BI1565,BI1565)))</f>
        <v>0</v>
      </c>
      <c r="H1565" s="57" t="n">
        <f aca="false">G1565*F1565</f>
        <v>0</v>
      </c>
      <c r="I1565" s="57" t="n">
        <f aca="false">BL1565*Parameter!$B$18</f>
        <v>0</v>
      </c>
      <c r="J1565" s="58"/>
      <c r="K1565" s="59"/>
      <c r="L1565" s="57" t="n">
        <f aca="false">N('Neue Artikel'!$E$93)</f>
        <v>0</v>
      </c>
      <c r="M1565" s="57" t="n">
        <f aca="false">N('Neue Artikel'!$F$93)</f>
        <v>0</v>
      </c>
      <c r="N1565" s="60"/>
      <c r="O1565" s="55" t="str">
        <f aca="false">IF('Neue Artikel'!$H$93="","LOSE",UPPER(TRIM('Neue Artikel'!$H$93)))</f>
        <v>LOSE</v>
      </c>
      <c r="P1565" s="57" t="n">
        <f aca="false">N('Neue Artikel'!$I$93)</f>
        <v>0</v>
      </c>
      <c r="Q1565" s="60" t="n">
        <f aca="false">IF(BR1565=1,0,IFERROR(VLOOKUP(BP1565,'Gebinde-Kategorie'!$A$5:$M$45,13,0)+0,0))</f>
        <v>0</v>
      </c>
      <c r="R1565" s="61"/>
      <c r="S1565" s="62"/>
      <c r="T1565" s="62"/>
      <c r="U1565" s="55"/>
      <c r="V1565" s="57"/>
      <c r="W1565" s="57"/>
      <c r="X1565" s="55" t="str">
        <f aca="false">IF(A1565="","",IF(AND(Parameter!$B$21="Ja",ISNUMBER(U1565)),U1565,IF(IFERROR(VLOOKUP(D1565,Parameter!$A$35:$C$64,2,0),"Nein")="2+3",IF(ISNUMBER(SEARCH("grosser Artikel",BM1565)),2,IFERROR(VLOOKUP(BP1565,Parameter!$F$35:$G$64,2,0),2)),IF(OR(IFERROR(VLOOKUP(D1565,Parameter!$A$35:$C$64,2,0),"Nein")="Nein",IFERROR(VLOOKUP(D1565,Parameter!$A$35:$C$64,2,0),"Nein")=""),"-",VLOOKUP(D1565,Parameter!$A$35:$C$64,2,0)))))</f>
        <v/>
      </c>
      <c r="Y1565" s="55" t="str">
        <f aca="false">IF('Neue Artikel'!$J$93="","",'Neue Artikel'!$J$93)</f>
        <v/>
      </c>
      <c r="Z1565" s="63"/>
      <c r="AA1565" s="57" t="n">
        <f aca="false">AP1565</f>
        <v>0</v>
      </c>
      <c r="AB1565" s="57" t="n">
        <f aca="false">MAX(AP1565,G1565)</f>
        <v>0</v>
      </c>
      <c r="AC1565" s="64"/>
      <c r="AD1565" s="57" t="n">
        <f aca="false">IF(LEFT(Cockpit!$C$5,1)="A",G1565,IF(BW1565=1,BX1565,IF(LEFT(Cockpit!$C$5,1)="B",AH1565,MAX(AH1565,G1565))))</f>
        <v>0</v>
      </c>
      <c r="AE1565" s="57" t="n">
        <f aca="false">IF(BR1565=1,0,ROUNDUP(AD1565/BQ1565,0))</f>
        <v>0</v>
      </c>
      <c r="AF1565" s="59" t="n">
        <f aca="false">IF(CD1565&gt;0,CD1565*MAX(1,AD1565/V1565),IF(BR1565=1,IF(AD1565&lt;=0,0,BS1565*MAX(1,IF(G1565&gt;0,AD1565/G1565,1))),IF(Q1565&gt;0,AE1565/Q1565,0))/MAX(0.1,N(Parameter!$M$21)))</f>
        <v>0</v>
      </c>
      <c r="AG1565" s="57" t="n">
        <f aca="false">AD1565*F1565</f>
        <v>0</v>
      </c>
      <c r="AH1565" s="57" t="n">
        <f aca="false">ROUNDUP(MAX(I1565/IF(BV1565&gt;0,BV1565,MAX(0.1,N(Cockpit!$C$6))),BY1565)/BQ1565,0)*BQ1565</f>
        <v>0</v>
      </c>
      <c r="AI1565" s="58" t="n">
        <f aca="false">IF(AF1565&gt;0,I1565/AF1565,-1)</f>
        <v>-1</v>
      </c>
      <c r="AJ1565" s="58" t="str">
        <f aca="false">IF(AND(OR(BU1565="L1",BU1565="L23"),AF1565&gt;0),SUMIFS($AF$7:$AF$1576,$BU$7:$BU$1576,BU1565,$AI$7:$AI$1576,"&gt;"&amp;AI1565)+SUMIFS($AF$7:$AF$1576,$BU$7:$BU$1576,BU1565,$AI$7:$AI$1576,AI1565,$BO$7:$BO$1576,"&lt;="&amp;BO1565),"")</f>
        <v/>
      </c>
      <c r="AK1565" s="65" t="n">
        <f aca="false">IF(AJ1565="",0,MAX(0,MIN(1,(IF(BU1565="L1",Parameter!$E$5,Parameter!$E$6+Parameter!$E$7)-(AJ1565-AF1565))/AF1565)))</f>
        <v>0</v>
      </c>
      <c r="AL1565" s="57" t="n">
        <f aca="false">IF(LEFT(Cockpit!$I$5,1)="A",G1565,IF(BW1565=1,BX1565,IF(LEFT(Cockpit!$I$5,1)="B",AP1565,MAX(AP1565,G1565))))</f>
        <v>0</v>
      </c>
      <c r="AM1565" s="57" t="n">
        <f aca="false">IF(BR1565=1,0,ROUNDUP(AL1565/BQ1565,0))</f>
        <v>0</v>
      </c>
      <c r="AN1565" s="59" t="n">
        <f aca="false">IF(CD1565&gt;0,CD1565*MAX(1,AL1565/V1565),IF(BR1565=1,IF(AL1565&lt;=0,0,BS1565*MAX(1,IF(G1565&gt;0,AL1565/G1565,1))),IF(Q1565&gt;0,AM1565/Q1565,0))/MAX(0.1,N(Parameter!$M$21)))</f>
        <v>0</v>
      </c>
      <c r="AO1565" s="57" t="n">
        <f aca="false">AL1565*F1565</f>
        <v>0</v>
      </c>
      <c r="AP1565" s="57" t="n">
        <f aca="false">ROUNDUP(MAX(I1565/IF(BV1565&gt;0,BV1565,MAX(0.1,N(Cockpit!$I$6))),BY1565)/BQ1565,0)*BQ1565</f>
        <v>0</v>
      </c>
      <c r="AQ1565" s="58" t="n">
        <f aca="false">IF(AN1565&gt;0,I1565/AN1565,-1)</f>
        <v>-1</v>
      </c>
      <c r="AR1565" s="58" t="str">
        <f aca="false">IF(AND(OR(BU1565="L1",BU1565="L23"),AN1565&gt;0),SUMIFS($AN$7:$AN$1576,$BU$7:$BU$1576,BU1565,$AQ$7:$AQ$1576,"&gt;"&amp;AQ1565)+SUMIFS($AN$7:$AN$1576,$BU$7:$BU$1576,BU1565,$AQ$7:$AQ$1576,AQ1565,$BO$7:$BO$1576,"&lt;="&amp;BO1565),"")</f>
        <v/>
      </c>
      <c r="AS1565" s="65" t="n">
        <f aca="false">IF(AR1565="",0,MAX(0,MIN(1,(IF(BU1565="L1",Parameter!$E$5,Parameter!$E$6+Parameter!$E$7)-(AR1565-AN1565))/AN1565)))</f>
        <v>0</v>
      </c>
      <c r="AT1565" s="57" t="n">
        <f aca="false">IF(LEFT(Cockpit!$O$5,1)="A",G1565,IF(BW1565=1,BX1565,IF(LEFT(Cockpit!$O$5,1)="B",AX1565,MAX(AX1565,G1565))))</f>
        <v>0</v>
      </c>
      <c r="AU1565" s="57" t="n">
        <f aca="false">IF(BR1565=1,0,ROUNDUP(AT1565/BQ1565,0))</f>
        <v>0</v>
      </c>
      <c r="AV1565" s="59" t="n">
        <f aca="false">IF(CD1565&gt;0,CD1565*MAX(1,AT1565/V1565),IF(BR1565=1,IF(AT1565&lt;=0,0,BS1565*MAX(1,IF(G1565&gt;0,AT1565/G1565,1))),IF(Q1565&gt;0,AU1565/Q1565,0))/MAX(0.1,N(Parameter!$M$21)))</f>
        <v>0</v>
      </c>
      <c r="AW1565" s="57" t="n">
        <f aca="false">AT1565*F1565</f>
        <v>0</v>
      </c>
      <c r="AX1565" s="57" t="n">
        <f aca="false">ROUNDUP(MAX(I1565/IF(BV1565&gt;0,BV1565,MAX(0.1,N(Cockpit!$O$6))),BY1565)/BQ1565,0)*BQ1565</f>
        <v>0</v>
      </c>
      <c r="AY1565" s="58" t="n">
        <f aca="false">IF(AV1565&gt;0,I1565/AV1565,-1)</f>
        <v>-1</v>
      </c>
      <c r="AZ1565" s="58" t="str">
        <f aca="false">IF(AND(OR(BU1565="L1",BU1565="L23"),AV1565&gt;0),SUMIFS($AV$7:$AV$1576,$BU$7:$BU$1576,BU1565,$AY$7:$AY$1576,"&gt;"&amp;AY1565)+SUMIFS($AV$7:$AV$1576,$BU$7:$BU$1576,BU1565,$AY$7:$AY$1576,AY1565,$BO$7:$BO$1576,"&lt;="&amp;BO1565),"")</f>
        <v/>
      </c>
      <c r="BA1565" s="65" t="n">
        <f aca="false">IF(AZ1565="",0,MAX(0,MIN(1,(IF(BU1565="L1",Parameter!$E$5,Parameter!$E$6+Parameter!$E$7)-(AZ1565-AV1565))/AV1565)))</f>
        <v>0</v>
      </c>
      <c r="BB1565" s="55" t="str">
        <f aca="false">IF(AF1565&lt;=0,"",IF(BU1565="Aussen","Aussenlager",IF(BU1565="-","Nicht im Lift",IF(AK1565&gt;=1,"Lift",IF(AK1565&lt;=0,"Aussenlager","teilweise")))))</f>
        <v/>
      </c>
      <c r="BC1565" s="55" t="str">
        <f aca="false">IF(AN1565&lt;=0,"",IF(BU1565="Aussen","Aussenlager",IF(BU1565="-","Nicht im Lift",IF(AS1565&gt;=1,"Lift",IF(AS1565&lt;=0,"Aussenlager","teilweise")))))</f>
        <v/>
      </c>
      <c r="BD1565" s="55" t="str">
        <f aca="false">IF(AV1565&lt;=0,"",IF(BU1565="Aussen","Aussenlager",IF(BU1565="-","Nicht im Lift",IF(BA1565&gt;=1,"Lift",IF(BA1565&lt;=0,"Aussenlager","teilweise")))))</f>
        <v/>
      </c>
      <c r="BE1565" s="55" t="str">
        <f aca="false">IF(A1565="","",IF(BN1565=1,"Neu; ","")&amp;IF(AND(BN1565=0,BI1565&lt;0),"negativer Bestand (Export "&amp;BI1565&amp;"); ","")&amp;IF(I1565&lt;=0,"Kein Verbrauch; ","")&amp;IF(CD1565&gt;0,"Lift "&amp;U1565&amp;" lt. Liftbericht (Fach "&amp;V1565&amp;" Stk); ",IF(BR1565=1,"Lose – Fläche geschätzt; ",""))&amp;IF(G1565&gt;AP1565,"Überbestand "&amp;ROUND(G1565-AP1565,0)&amp;" Stk / CHF "&amp;ROUND((G1565-AP1565)*F1565,0)&amp;"; ","")&amp;IF(AND(BW1565=1,BX1565&lt;BY1565),"MAX &lt; MB+LG; ","")&amp;IF(AND(CC1565&gt;0,CB1565*10&gt;CC1565),"zu hoch für Tablar; ","")&amp;IF(AND(BN1565=0,OR(BW1565=1,Y1565&lt;&gt;"",S1565&lt;&gt;"",T1565&lt;&gt;"",Z1565&lt;&gt;"")),"manuell übersteuert; ","")&amp;IF(AND(BR1565=0,Q1565=0),"Gebinde unbekannt / Stellmass fehlt; ","")&amp;IF(AND(BR1565=0,N(T1565)&lt;=0,N(P1565)&lt;=0),"Menge pro Gebinde fehlt (Ist = 1 Gebinde); ","")&amp;BM1565)</f>
        <v/>
      </c>
      <c r="BF1565" s="55"/>
      <c r="BG1565" s="55"/>
      <c r="BH1565" s="62"/>
      <c r="BI1565" s="57" t="n">
        <f aca="false">N('Neue Artikel'!$D$93)</f>
        <v>0</v>
      </c>
      <c r="BJ1565" s="57" t="n">
        <v>0</v>
      </c>
      <c r="BK1565" s="56" t="n">
        <v>0</v>
      </c>
      <c r="BL1565" s="57" t="n">
        <f aca="false">N('Neue Artikel'!$C$93)/Parameter!$B$18</f>
        <v>0</v>
      </c>
      <c r="BM1565" s="55"/>
      <c r="BN1565" s="60" t="n">
        <v>1</v>
      </c>
      <c r="BO1565" s="60" t="n">
        <v>1565</v>
      </c>
      <c r="BP1565" s="55" t="str">
        <f aca="false">IF(S1565&lt;&gt;"",UPPER(TRIM(S1565)),IF(O1565="","LOSE",O1565))</f>
        <v>LOSE</v>
      </c>
      <c r="BQ1565" s="57" t="n">
        <f aca="false">IF(BP1565="LOSE",1,IF(N(T1565)&gt;0,T1565,IF(N(P1565)&gt;0,P1565,MAX(1,G1565))))</f>
        <v>1</v>
      </c>
      <c r="BR1565" s="60" t="n">
        <f aca="false">IF(BP1565="LOSE",1,0)</f>
        <v>1</v>
      </c>
      <c r="BS1565" s="59" t="n">
        <f aca="false">IF(BR1565=0,0,IF(N(R1565)&gt;0,R1565,IFERROR(VLOOKUP(D1565,Parameter!$A$35:$C$64,3,0)+0,0)))</f>
        <v>0.15</v>
      </c>
      <c r="BT1565" s="55" t="str">
        <f aca="false">IF(Y1565&lt;&gt;"",Y1565,X1565)</f>
        <v/>
      </c>
      <c r="BU1565" s="55" t="str">
        <f aca="false">IF(BT1565=1,"L1",IF(OR(BT1565=2,BT1565=3),"L23",IF(BT1565="Aussen","Aussen","-")))</f>
        <v>-</v>
      </c>
      <c r="BV1565" s="66" t="n">
        <f aca="false">IF(N(Z1565)&gt;0,Z1565,0)</f>
        <v>0</v>
      </c>
      <c r="BW1565" s="60" t="n">
        <f aca="false">IF(ISNUMBER(AC1565),1,0)</f>
        <v>0</v>
      </c>
      <c r="BX1565" s="57" t="n">
        <f aca="false">N(AC1565)</f>
        <v>0</v>
      </c>
      <c r="BY1565" s="57" t="n">
        <f aca="false">N(L1565)+N(M1565)</f>
        <v>0</v>
      </c>
      <c r="BZ1565" s="57" t="n">
        <f aca="false">ROUNDUP(G1565/BQ1565,0)</f>
        <v>0</v>
      </c>
      <c r="CA1565" s="57" t="n">
        <f aca="false">ROUNDUP(BX1565/BQ1565,0)</f>
        <v>0</v>
      </c>
      <c r="CB1565" s="60" t="n">
        <f aca="false">IF(BR1565=1,0,IFERROR(VLOOKUP(BP1565,'Gebinde-Kategorie'!$A$5:$M$45,5,0)+0,0))</f>
        <v>0</v>
      </c>
      <c r="CC1565" s="60" t="n">
        <f aca="false">IFERROR(IF(OR(BT1565=1,BT1565=2,BT1565=3),N(INDEX(Parameter!$I$5:$I$7,BT1565)),0),0)</f>
        <v>0</v>
      </c>
      <c r="CD1565" s="59" t="n">
        <f aca="false">IF(AND(Parameter!$B$21="Ja",ISNUMBER(U1565),N(V1565)&gt;0),IFERROR(N(INDEX(Parameter!$L$5:$L$7,U1565))*INDEX(Parameter!$E$5:$E$7,U1565)*V1565/SUMIFS($V$7:$V$1576,$U$7:$U$1576,U1565),0),0)</f>
        <v>0</v>
      </c>
    </row>
    <row r="1566" customFormat="false" ht="15" hidden="false" customHeight="false" outlineLevel="0" collapsed="false">
      <c r="A1566" s="55" t="str">
        <f aca="false">IF('Neue Artikel'!$A$94="","",'Neue Artikel'!$A$94&amp;"")</f>
        <v/>
      </c>
      <c r="B1566" s="55" t="str">
        <f aca="false">'Neue Artikel'!$B$94&amp;""</f>
        <v/>
      </c>
      <c r="C1566" s="55"/>
      <c r="D1566" s="55" t="s">
        <v>2561</v>
      </c>
      <c r="E1566" s="55"/>
      <c r="F1566" s="56" t="n">
        <f aca="false">N('Neue Artikel'!$G$94)</f>
        <v>0</v>
      </c>
      <c r="G1566" s="57" t="n">
        <f aca="false">MAX(0,IF(AND(Parameter!$B$21="Ja",ISNUMBER(W1566)),W1566,IF(Parameter!$B$20="Jahresanfang 2025 + Export",BJ1566+BI1566,BI1566)))</f>
        <v>0</v>
      </c>
      <c r="H1566" s="57" t="n">
        <f aca="false">G1566*F1566</f>
        <v>0</v>
      </c>
      <c r="I1566" s="57" t="n">
        <f aca="false">BL1566*Parameter!$B$18</f>
        <v>0</v>
      </c>
      <c r="J1566" s="58"/>
      <c r="K1566" s="59"/>
      <c r="L1566" s="57" t="n">
        <f aca="false">N('Neue Artikel'!$E$94)</f>
        <v>0</v>
      </c>
      <c r="M1566" s="57" t="n">
        <f aca="false">N('Neue Artikel'!$F$94)</f>
        <v>0</v>
      </c>
      <c r="N1566" s="60"/>
      <c r="O1566" s="55" t="str">
        <f aca="false">IF('Neue Artikel'!$H$94="","LOSE",UPPER(TRIM('Neue Artikel'!$H$94)))</f>
        <v>LOSE</v>
      </c>
      <c r="P1566" s="57" t="n">
        <f aca="false">N('Neue Artikel'!$I$94)</f>
        <v>0</v>
      </c>
      <c r="Q1566" s="60" t="n">
        <f aca="false">IF(BR1566=1,0,IFERROR(VLOOKUP(BP1566,'Gebinde-Kategorie'!$A$5:$M$45,13,0)+0,0))</f>
        <v>0</v>
      </c>
      <c r="R1566" s="61"/>
      <c r="S1566" s="62"/>
      <c r="T1566" s="62"/>
      <c r="U1566" s="55"/>
      <c r="V1566" s="57"/>
      <c r="W1566" s="57"/>
      <c r="X1566" s="55" t="str">
        <f aca="false">IF(A1566="","",IF(AND(Parameter!$B$21="Ja",ISNUMBER(U1566)),U1566,IF(IFERROR(VLOOKUP(D1566,Parameter!$A$35:$C$64,2,0),"Nein")="2+3",IF(ISNUMBER(SEARCH("grosser Artikel",BM1566)),2,IFERROR(VLOOKUP(BP1566,Parameter!$F$35:$G$64,2,0),2)),IF(OR(IFERROR(VLOOKUP(D1566,Parameter!$A$35:$C$64,2,0),"Nein")="Nein",IFERROR(VLOOKUP(D1566,Parameter!$A$35:$C$64,2,0),"Nein")=""),"-",VLOOKUP(D1566,Parameter!$A$35:$C$64,2,0)))))</f>
        <v/>
      </c>
      <c r="Y1566" s="55" t="str">
        <f aca="false">IF('Neue Artikel'!$J$94="","",'Neue Artikel'!$J$94)</f>
        <v/>
      </c>
      <c r="Z1566" s="63"/>
      <c r="AA1566" s="57" t="n">
        <f aca="false">AP1566</f>
        <v>0</v>
      </c>
      <c r="AB1566" s="57" t="n">
        <f aca="false">MAX(AP1566,G1566)</f>
        <v>0</v>
      </c>
      <c r="AC1566" s="64"/>
      <c r="AD1566" s="57" t="n">
        <f aca="false">IF(LEFT(Cockpit!$C$5,1)="A",G1566,IF(BW1566=1,BX1566,IF(LEFT(Cockpit!$C$5,1)="B",AH1566,MAX(AH1566,G1566))))</f>
        <v>0</v>
      </c>
      <c r="AE1566" s="57" t="n">
        <f aca="false">IF(BR1566=1,0,ROUNDUP(AD1566/BQ1566,0))</f>
        <v>0</v>
      </c>
      <c r="AF1566" s="59" t="n">
        <f aca="false">IF(CD1566&gt;0,CD1566*MAX(1,AD1566/V1566),IF(BR1566=1,IF(AD1566&lt;=0,0,BS1566*MAX(1,IF(G1566&gt;0,AD1566/G1566,1))),IF(Q1566&gt;0,AE1566/Q1566,0))/MAX(0.1,N(Parameter!$M$21)))</f>
        <v>0</v>
      </c>
      <c r="AG1566" s="57" t="n">
        <f aca="false">AD1566*F1566</f>
        <v>0</v>
      </c>
      <c r="AH1566" s="57" t="n">
        <f aca="false">ROUNDUP(MAX(I1566/IF(BV1566&gt;0,BV1566,MAX(0.1,N(Cockpit!$C$6))),BY1566)/BQ1566,0)*BQ1566</f>
        <v>0</v>
      </c>
      <c r="AI1566" s="58" t="n">
        <f aca="false">IF(AF1566&gt;0,I1566/AF1566,-1)</f>
        <v>-1</v>
      </c>
      <c r="AJ1566" s="58" t="str">
        <f aca="false">IF(AND(OR(BU1566="L1",BU1566="L23"),AF1566&gt;0),SUMIFS($AF$7:$AF$1576,$BU$7:$BU$1576,BU1566,$AI$7:$AI$1576,"&gt;"&amp;AI1566)+SUMIFS($AF$7:$AF$1576,$BU$7:$BU$1576,BU1566,$AI$7:$AI$1576,AI1566,$BO$7:$BO$1576,"&lt;="&amp;BO1566),"")</f>
        <v/>
      </c>
      <c r="AK1566" s="65" t="n">
        <f aca="false">IF(AJ1566="",0,MAX(0,MIN(1,(IF(BU1566="L1",Parameter!$E$5,Parameter!$E$6+Parameter!$E$7)-(AJ1566-AF1566))/AF1566)))</f>
        <v>0</v>
      </c>
      <c r="AL1566" s="57" t="n">
        <f aca="false">IF(LEFT(Cockpit!$I$5,1)="A",G1566,IF(BW1566=1,BX1566,IF(LEFT(Cockpit!$I$5,1)="B",AP1566,MAX(AP1566,G1566))))</f>
        <v>0</v>
      </c>
      <c r="AM1566" s="57" t="n">
        <f aca="false">IF(BR1566=1,0,ROUNDUP(AL1566/BQ1566,0))</f>
        <v>0</v>
      </c>
      <c r="AN1566" s="59" t="n">
        <f aca="false">IF(CD1566&gt;0,CD1566*MAX(1,AL1566/V1566),IF(BR1566=1,IF(AL1566&lt;=0,0,BS1566*MAX(1,IF(G1566&gt;0,AL1566/G1566,1))),IF(Q1566&gt;0,AM1566/Q1566,0))/MAX(0.1,N(Parameter!$M$21)))</f>
        <v>0</v>
      </c>
      <c r="AO1566" s="57" t="n">
        <f aca="false">AL1566*F1566</f>
        <v>0</v>
      </c>
      <c r="AP1566" s="57" t="n">
        <f aca="false">ROUNDUP(MAX(I1566/IF(BV1566&gt;0,BV1566,MAX(0.1,N(Cockpit!$I$6))),BY1566)/BQ1566,0)*BQ1566</f>
        <v>0</v>
      </c>
      <c r="AQ1566" s="58" t="n">
        <f aca="false">IF(AN1566&gt;0,I1566/AN1566,-1)</f>
        <v>-1</v>
      </c>
      <c r="AR1566" s="58" t="str">
        <f aca="false">IF(AND(OR(BU1566="L1",BU1566="L23"),AN1566&gt;0),SUMIFS($AN$7:$AN$1576,$BU$7:$BU$1576,BU1566,$AQ$7:$AQ$1576,"&gt;"&amp;AQ1566)+SUMIFS($AN$7:$AN$1576,$BU$7:$BU$1576,BU1566,$AQ$7:$AQ$1576,AQ1566,$BO$7:$BO$1576,"&lt;="&amp;BO1566),"")</f>
        <v/>
      </c>
      <c r="AS1566" s="65" t="n">
        <f aca="false">IF(AR1566="",0,MAX(0,MIN(1,(IF(BU1566="L1",Parameter!$E$5,Parameter!$E$6+Parameter!$E$7)-(AR1566-AN1566))/AN1566)))</f>
        <v>0</v>
      </c>
      <c r="AT1566" s="57" t="n">
        <f aca="false">IF(LEFT(Cockpit!$O$5,1)="A",G1566,IF(BW1566=1,BX1566,IF(LEFT(Cockpit!$O$5,1)="B",AX1566,MAX(AX1566,G1566))))</f>
        <v>0</v>
      </c>
      <c r="AU1566" s="57" t="n">
        <f aca="false">IF(BR1566=1,0,ROUNDUP(AT1566/BQ1566,0))</f>
        <v>0</v>
      </c>
      <c r="AV1566" s="59" t="n">
        <f aca="false">IF(CD1566&gt;0,CD1566*MAX(1,AT1566/V1566),IF(BR1566=1,IF(AT1566&lt;=0,0,BS1566*MAX(1,IF(G1566&gt;0,AT1566/G1566,1))),IF(Q1566&gt;0,AU1566/Q1566,0))/MAX(0.1,N(Parameter!$M$21)))</f>
        <v>0</v>
      </c>
      <c r="AW1566" s="57" t="n">
        <f aca="false">AT1566*F1566</f>
        <v>0</v>
      </c>
      <c r="AX1566" s="57" t="n">
        <f aca="false">ROUNDUP(MAX(I1566/IF(BV1566&gt;0,BV1566,MAX(0.1,N(Cockpit!$O$6))),BY1566)/BQ1566,0)*BQ1566</f>
        <v>0</v>
      </c>
      <c r="AY1566" s="58" t="n">
        <f aca="false">IF(AV1566&gt;0,I1566/AV1566,-1)</f>
        <v>-1</v>
      </c>
      <c r="AZ1566" s="58" t="str">
        <f aca="false">IF(AND(OR(BU1566="L1",BU1566="L23"),AV1566&gt;0),SUMIFS($AV$7:$AV$1576,$BU$7:$BU$1576,BU1566,$AY$7:$AY$1576,"&gt;"&amp;AY1566)+SUMIFS($AV$7:$AV$1576,$BU$7:$BU$1576,BU1566,$AY$7:$AY$1576,AY1566,$BO$7:$BO$1576,"&lt;="&amp;BO1566),"")</f>
        <v/>
      </c>
      <c r="BA1566" s="65" t="n">
        <f aca="false">IF(AZ1566="",0,MAX(0,MIN(1,(IF(BU1566="L1",Parameter!$E$5,Parameter!$E$6+Parameter!$E$7)-(AZ1566-AV1566))/AV1566)))</f>
        <v>0</v>
      </c>
      <c r="BB1566" s="55" t="str">
        <f aca="false">IF(AF1566&lt;=0,"",IF(BU1566="Aussen","Aussenlager",IF(BU1566="-","Nicht im Lift",IF(AK1566&gt;=1,"Lift",IF(AK1566&lt;=0,"Aussenlager","teilweise")))))</f>
        <v/>
      </c>
      <c r="BC1566" s="55" t="str">
        <f aca="false">IF(AN1566&lt;=0,"",IF(BU1566="Aussen","Aussenlager",IF(BU1566="-","Nicht im Lift",IF(AS1566&gt;=1,"Lift",IF(AS1566&lt;=0,"Aussenlager","teilweise")))))</f>
        <v/>
      </c>
      <c r="BD1566" s="55" t="str">
        <f aca="false">IF(AV1566&lt;=0,"",IF(BU1566="Aussen","Aussenlager",IF(BU1566="-","Nicht im Lift",IF(BA1566&gt;=1,"Lift",IF(BA1566&lt;=0,"Aussenlager","teilweise")))))</f>
        <v/>
      </c>
      <c r="BE1566" s="55" t="str">
        <f aca="false">IF(A1566="","",IF(BN1566=1,"Neu; ","")&amp;IF(AND(BN1566=0,BI1566&lt;0),"negativer Bestand (Export "&amp;BI1566&amp;"); ","")&amp;IF(I1566&lt;=0,"Kein Verbrauch; ","")&amp;IF(CD1566&gt;0,"Lift "&amp;U1566&amp;" lt. Liftbericht (Fach "&amp;V1566&amp;" Stk); ",IF(BR1566=1,"Lose – Fläche geschätzt; ",""))&amp;IF(G1566&gt;AP1566,"Überbestand "&amp;ROUND(G1566-AP1566,0)&amp;" Stk / CHF "&amp;ROUND((G1566-AP1566)*F1566,0)&amp;"; ","")&amp;IF(AND(BW1566=1,BX1566&lt;BY1566),"MAX &lt; MB+LG; ","")&amp;IF(AND(CC1566&gt;0,CB1566*10&gt;CC1566),"zu hoch für Tablar; ","")&amp;IF(AND(BN1566=0,OR(BW1566=1,Y1566&lt;&gt;"",S1566&lt;&gt;"",T1566&lt;&gt;"",Z1566&lt;&gt;"")),"manuell übersteuert; ","")&amp;IF(AND(BR1566=0,Q1566=0),"Gebinde unbekannt / Stellmass fehlt; ","")&amp;IF(AND(BR1566=0,N(T1566)&lt;=0,N(P1566)&lt;=0),"Menge pro Gebinde fehlt (Ist = 1 Gebinde); ","")&amp;BM1566)</f>
        <v/>
      </c>
      <c r="BF1566" s="55"/>
      <c r="BG1566" s="55"/>
      <c r="BH1566" s="62"/>
      <c r="BI1566" s="57" t="n">
        <f aca="false">N('Neue Artikel'!$D$94)</f>
        <v>0</v>
      </c>
      <c r="BJ1566" s="57" t="n">
        <v>0</v>
      </c>
      <c r="BK1566" s="56" t="n">
        <v>0</v>
      </c>
      <c r="BL1566" s="57" t="n">
        <f aca="false">N('Neue Artikel'!$C$94)/Parameter!$B$18</f>
        <v>0</v>
      </c>
      <c r="BM1566" s="55"/>
      <c r="BN1566" s="60" t="n">
        <v>1</v>
      </c>
      <c r="BO1566" s="60" t="n">
        <v>1566</v>
      </c>
      <c r="BP1566" s="55" t="str">
        <f aca="false">IF(S1566&lt;&gt;"",UPPER(TRIM(S1566)),IF(O1566="","LOSE",O1566))</f>
        <v>LOSE</v>
      </c>
      <c r="BQ1566" s="57" t="n">
        <f aca="false">IF(BP1566="LOSE",1,IF(N(T1566)&gt;0,T1566,IF(N(P1566)&gt;0,P1566,MAX(1,G1566))))</f>
        <v>1</v>
      </c>
      <c r="BR1566" s="60" t="n">
        <f aca="false">IF(BP1566="LOSE",1,0)</f>
        <v>1</v>
      </c>
      <c r="BS1566" s="59" t="n">
        <f aca="false">IF(BR1566=0,0,IF(N(R1566)&gt;0,R1566,IFERROR(VLOOKUP(D1566,Parameter!$A$35:$C$64,3,0)+0,0)))</f>
        <v>0.15</v>
      </c>
      <c r="BT1566" s="55" t="str">
        <f aca="false">IF(Y1566&lt;&gt;"",Y1566,X1566)</f>
        <v/>
      </c>
      <c r="BU1566" s="55" t="str">
        <f aca="false">IF(BT1566=1,"L1",IF(OR(BT1566=2,BT1566=3),"L23",IF(BT1566="Aussen","Aussen","-")))</f>
        <v>-</v>
      </c>
      <c r="BV1566" s="66" t="n">
        <f aca="false">IF(N(Z1566)&gt;0,Z1566,0)</f>
        <v>0</v>
      </c>
      <c r="BW1566" s="60" t="n">
        <f aca="false">IF(ISNUMBER(AC1566),1,0)</f>
        <v>0</v>
      </c>
      <c r="BX1566" s="57" t="n">
        <f aca="false">N(AC1566)</f>
        <v>0</v>
      </c>
      <c r="BY1566" s="57" t="n">
        <f aca="false">N(L1566)+N(M1566)</f>
        <v>0</v>
      </c>
      <c r="BZ1566" s="57" t="n">
        <f aca="false">ROUNDUP(G1566/BQ1566,0)</f>
        <v>0</v>
      </c>
      <c r="CA1566" s="57" t="n">
        <f aca="false">ROUNDUP(BX1566/BQ1566,0)</f>
        <v>0</v>
      </c>
      <c r="CB1566" s="60" t="n">
        <f aca="false">IF(BR1566=1,0,IFERROR(VLOOKUP(BP1566,'Gebinde-Kategorie'!$A$5:$M$45,5,0)+0,0))</f>
        <v>0</v>
      </c>
      <c r="CC1566" s="60" t="n">
        <f aca="false">IFERROR(IF(OR(BT1566=1,BT1566=2,BT1566=3),N(INDEX(Parameter!$I$5:$I$7,BT1566)),0),0)</f>
        <v>0</v>
      </c>
      <c r="CD1566" s="59" t="n">
        <f aca="false">IF(AND(Parameter!$B$21="Ja",ISNUMBER(U1566),N(V1566)&gt;0),IFERROR(N(INDEX(Parameter!$L$5:$L$7,U1566))*INDEX(Parameter!$E$5:$E$7,U1566)*V1566/SUMIFS($V$7:$V$1576,$U$7:$U$1576,U1566),0),0)</f>
        <v>0</v>
      </c>
    </row>
    <row r="1567" customFormat="false" ht="15" hidden="false" customHeight="false" outlineLevel="0" collapsed="false">
      <c r="A1567" s="55" t="str">
        <f aca="false">IF('Neue Artikel'!$A$95="","",'Neue Artikel'!$A$95&amp;"")</f>
        <v/>
      </c>
      <c r="B1567" s="55" t="str">
        <f aca="false">'Neue Artikel'!$B$95&amp;""</f>
        <v/>
      </c>
      <c r="C1567" s="55"/>
      <c r="D1567" s="55" t="s">
        <v>2561</v>
      </c>
      <c r="E1567" s="55"/>
      <c r="F1567" s="56" t="n">
        <f aca="false">N('Neue Artikel'!$G$95)</f>
        <v>0</v>
      </c>
      <c r="G1567" s="57" t="n">
        <f aca="false">MAX(0,IF(AND(Parameter!$B$21="Ja",ISNUMBER(W1567)),W1567,IF(Parameter!$B$20="Jahresanfang 2025 + Export",BJ1567+BI1567,BI1567)))</f>
        <v>0</v>
      </c>
      <c r="H1567" s="57" t="n">
        <f aca="false">G1567*F1567</f>
        <v>0</v>
      </c>
      <c r="I1567" s="57" t="n">
        <f aca="false">BL1567*Parameter!$B$18</f>
        <v>0</v>
      </c>
      <c r="J1567" s="58"/>
      <c r="K1567" s="59"/>
      <c r="L1567" s="57" t="n">
        <f aca="false">N('Neue Artikel'!$E$95)</f>
        <v>0</v>
      </c>
      <c r="M1567" s="57" t="n">
        <f aca="false">N('Neue Artikel'!$F$95)</f>
        <v>0</v>
      </c>
      <c r="N1567" s="60"/>
      <c r="O1567" s="55" t="str">
        <f aca="false">IF('Neue Artikel'!$H$95="","LOSE",UPPER(TRIM('Neue Artikel'!$H$95)))</f>
        <v>LOSE</v>
      </c>
      <c r="P1567" s="57" t="n">
        <f aca="false">N('Neue Artikel'!$I$95)</f>
        <v>0</v>
      </c>
      <c r="Q1567" s="60" t="n">
        <f aca="false">IF(BR1567=1,0,IFERROR(VLOOKUP(BP1567,'Gebinde-Kategorie'!$A$5:$M$45,13,0)+0,0))</f>
        <v>0</v>
      </c>
      <c r="R1567" s="61"/>
      <c r="S1567" s="62"/>
      <c r="T1567" s="62"/>
      <c r="U1567" s="55"/>
      <c r="V1567" s="57"/>
      <c r="W1567" s="57"/>
      <c r="X1567" s="55" t="str">
        <f aca="false">IF(A1567="","",IF(AND(Parameter!$B$21="Ja",ISNUMBER(U1567)),U1567,IF(IFERROR(VLOOKUP(D1567,Parameter!$A$35:$C$64,2,0),"Nein")="2+3",IF(ISNUMBER(SEARCH("grosser Artikel",BM1567)),2,IFERROR(VLOOKUP(BP1567,Parameter!$F$35:$G$64,2,0),2)),IF(OR(IFERROR(VLOOKUP(D1567,Parameter!$A$35:$C$64,2,0),"Nein")="Nein",IFERROR(VLOOKUP(D1567,Parameter!$A$35:$C$64,2,0),"Nein")=""),"-",VLOOKUP(D1567,Parameter!$A$35:$C$64,2,0)))))</f>
        <v/>
      </c>
      <c r="Y1567" s="55" t="str">
        <f aca="false">IF('Neue Artikel'!$J$95="","",'Neue Artikel'!$J$95)</f>
        <v/>
      </c>
      <c r="Z1567" s="63"/>
      <c r="AA1567" s="57" t="n">
        <f aca="false">AP1567</f>
        <v>0</v>
      </c>
      <c r="AB1567" s="57" t="n">
        <f aca="false">MAX(AP1567,G1567)</f>
        <v>0</v>
      </c>
      <c r="AC1567" s="64"/>
      <c r="AD1567" s="57" t="n">
        <f aca="false">IF(LEFT(Cockpit!$C$5,1)="A",G1567,IF(BW1567=1,BX1567,IF(LEFT(Cockpit!$C$5,1)="B",AH1567,MAX(AH1567,G1567))))</f>
        <v>0</v>
      </c>
      <c r="AE1567" s="57" t="n">
        <f aca="false">IF(BR1567=1,0,ROUNDUP(AD1567/BQ1567,0))</f>
        <v>0</v>
      </c>
      <c r="AF1567" s="59" t="n">
        <f aca="false">IF(CD1567&gt;0,CD1567*MAX(1,AD1567/V1567),IF(BR1567=1,IF(AD1567&lt;=0,0,BS1567*MAX(1,IF(G1567&gt;0,AD1567/G1567,1))),IF(Q1567&gt;0,AE1567/Q1567,0))/MAX(0.1,N(Parameter!$M$21)))</f>
        <v>0</v>
      </c>
      <c r="AG1567" s="57" t="n">
        <f aca="false">AD1567*F1567</f>
        <v>0</v>
      </c>
      <c r="AH1567" s="57" t="n">
        <f aca="false">ROUNDUP(MAX(I1567/IF(BV1567&gt;0,BV1567,MAX(0.1,N(Cockpit!$C$6))),BY1567)/BQ1567,0)*BQ1567</f>
        <v>0</v>
      </c>
      <c r="AI1567" s="58" t="n">
        <f aca="false">IF(AF1567&gt;0,I1567/AF1567,-1)</f>
        <v>-1</v>
      </c>
      <c r="AJ1567" s="58" t="str">
        <f aca="false">IF(AND(OR(BU1567="L1",BU1567="L23"),AF1567&gt;0),SUMIFS($AF$7:$AF$1576,$BU$7:$BU$1576,BU1567,$AI$7:$AI$1576,"&gt;"&amp;AI1567)+SUMIFS($AF$7:$AF$1576,$BU$7:$BU$1576,BU1567,$AI$7:$AI$1576,AI1567,$BO$7:$BO$1576,"&lt;="&amp;BO1567),"")</f>
        <v/>
      </c>
      <c r="AK1567" s="65" t="n">
        <f aca="false">IF(AJ1567="",0,MAX(0,MIN(1,(IF(BU1567="L1",Parameter!$E$5,Parameter!$E$6+Parameter!$E$7)-(AJ1567-AF1567))/AF1567)))</f>
        <v>0</v>
      </c>
      <c r="AL1567" s="57" t="n">
        <f aca="false">IF(LEFT(Cockpit!$I$5,1)="A",G1567,IF(BW1567=1,BX1567,IF(LEFT(Cockpit!$I$5,1)="B",AP1567,MAX(AP1567,G1567))))</f>
        <v>0</v>
      </c>
      <c r="AM1567" s="57" t="n">
        <f aca="false">IF(BR1567=1,0,ROUNDUP(AL1567/BQ1567,0))</f>
        <v>0</v>
      </c>
      <c r="AN1567" s="59" t="n">
        <f aca="false">IF(CD1567&gt;0,CD1567*MAX(1,AL1567/V1567),IF(BR1567=1,IF(AL1567&lt;=0,0,BS1567*MAX(1,IF(G1567&gt;0,AL1567/G1567,1))),IF(Q1567&gt;0,AM1567/Q1567,0))/MAX(0.1,N(Parameter!$M$21)))</f>
        <v>0</v>
      </c>
      <c r="AO1567" s="57" t="n">
        <f aca="false">AL1567*F1567</f>
        <v>0</v>
      </c>
      <c r="AP1567" s="57" t="n">
        <f aca="false">ROUNDUP(MAX(I1567/IF(BV1567&gt;0,BV1567,MAX(0.1,N(Cockpit!$I$6))),BY1567)/BQ1567,0)*BQ1567</f>
        <v>0</v>
      </c>
      <c r="AQ1567" s="58" t="n">
        <f aca="false">IF(AN1567&gt;0,I1567/AN1567,-1)</f>
        <v>-1</v>
      </c>
      <c r="AR1567" s="58" t="str">
        <f aca="false">IF(AND(OR(BU1567="L1",BU1567="L23"),AN1567&gt;0),SUMIFS($AN$7:$AN$1576,$BU$7:$BU$1576,BU1567,$AQ$7:$AQ$1576,"&gt;"&amp;AQ1567)+SUMIFS($AN$7:$AN$1576,$BU$7:$BU$1576,BU1567,$AQ$7:$AQ$1576,AQ1567,$BO$7:$BO$1576,"&lt;="&amp;BO1567),"")</f>
        <v/>
      </c>
      <c r="AS1567" s="65" t="n">
        <f aca="false">IF(AR1567="",0,MAX(0,MIN(1,(IF(BU1567="L1",Parameter!$E$5,Parameter!$E$6+Parameter!$E$7)-(AR1567-AN1567))/AN1567)))</f>
        <v>0</v>
      </c>
      <c r="AT1567" s="57" t="n">
        <f aca="false">IF(LEFT(Cockpit!$O$5,1)="A",G1567,IF(BW1567=1,BX1567,IF(LEFT(Cockpit!$O$5,1)="B",AX1567,MAX(AX1567,G1567))))</f>
        <v>0</v>
      </c>
      <c r="AU1567" s="57" t="n">
        <f aca="false">IF(BR1567=1,0,ROUNDUP(AT1567/BQ1567,0))</f>
        <v>0</v>
      </c>
      <c r="AV1567" s="59" t="n">
        <f aca="false">IF(CD1567&gt;0,CD1567*MAX(1,AT1567/V1567),IF(BR1567=1,IF(AT1567&lt;=0,0,BS1567*MAX(1,IF(G1567&gt;0,AT1567/G1567,1))),IF(Q1567&gt;0,AU1567/Q1567,0))/MAX(0.1,N(Parameter!$M$21)))</f>
        <v>0</v>
      </c>
      <c r="AW1567" s="57" t="n">
        <f aca="false">AT1567*F1567</f>
        <v>0</v>
      </c>
      <c r="AX1567" s="57" t="n">
        <f aca="false">ROUNDUP(MAX(I1567/IF(BV1567&gt;0,BV1567,MAX(0.1,N(Cockpit!$O$6))),BY1567)/BQ1567,0)*BQ1567</f>
        <v>0</v>
      </c>
      <c r="AY1567" s="58" t="n">
        <f aca="false">IF(AV1567&gt;0,I1567/AV1567,-1)</f>
        <v>-1</v>
      </c>
      <c r="AZ1567" s="58" t="str">
        <f aca="false">IF(AND(OR(BU1567="L1",BU1567="L23"),AV1567&gt;0),SUMIFS($AV$7:$AV$1576,$BU$7:$BU$1576,BU1567,$AY$7:$AY$1576,"&gt;"&amp;AY1567)+SUMIFS($AV$7:$AV$1576,$BU$7:$BU$1576,BU1567,$AY$7:$AY$1576,AY1567,$BO$7:$BO$1576,"&lt;="&amp;BO1567),"")</f>
        <v/>
      </c>
      <c r="BA1567" s="65" t="n">
        <f aca="false">IF(AZ1567="",0,MAX(0,MIN(1,(IF(BU1567="L1",Parameter!$E$5,Parameter!$E$6+Parameter!$E$7)-(AZ1567-AV1567))/AV1567)))</f>
        <v>0</v>
      </c>
      <c r="BB1567" s="55" t="str">
        <f aca="false">IF(AF1567&lt;=0,"",IF(BU1567="Aussen","Aussenlager",IF(BU1567="-","Nicht im Lift",IF(AK1567&gt;=1,"Lift",IF(AK1567&lt;=0,"Aussenlager","teilweise")))))</f>
        <v/>
      </c>
      <c r="BC1567" s="55" t="str">
        <f aca="false">IF(AN1567&lt;=0,"",IF(BU1567="Aussen","Aussenlager",IF(BU1567="-","Nicht im Lift",IF(AS1567&gt;=1,"Lift",IF(AS1567&lt;=0,"Aussenlager","teilweise")))))</f>
        <v/>
      </c>
      <c r="BD1567" s="55" t="str">
        <f aca="false">IF(AV1567&lt;=0,"",IF(BU1567="Aussen","Aussenlager",IF(BU1567="-","Nicht im Lift",IF(BA1567&gt;=1,"Lift",IF(BA1567&lt;=0,"Aussenlager","teilweise")))))</f>
        <v/>
      </c>
      <c r="BE1567" s="55" t="str">
        <f aca="false">IF(A1567="","",IF(BN1567=1,"Neu; ","")&amp;IF(AND(BN1567=0,BI1567&lt;0),"negativer Bestand (Export "&amp;BI1567&amp;"); ","")&amp;IF(I1567&lt;=0,"Kein Verbrauch; ","")&amp;IF(CD1567&gt;0,"Lift "&amp;U1567&amp;" lt. Liftbericht (Fach "&amp;V1567&amp;" Stk); ",IF(BR1567=1,"Lose – Fläche geschätzt; ",""))&amp;IF(G1567&gt;AP1567,"Überbestand "&amp;ROUND(G1567-AP1567,0)&amp;" Stk / CHF "&amp;ROUND((G1567-AP1567)*F1567,0)&amp;"; ","")&amp;IF(AND(BW1567=1,BX1567&lt;BY1567),"MAX &lt; MB+LG; ","")&amp;IF(AND(CC1567&gt;0,CB1567*10&gt;CC1567),"zu hoch für Tablar; ","")&amp;IF(AND(BN1567=0,OR(BW1567=1,Y1567&lt;&gt;"",S1567&lt;&gt;"",T1567&lt;&gt;"",Z1567&lt;&gt;"")),"manuell übersteuert; ","")&amp;IF(AND(BR1567=0,Q1567=0),"Gebinde unbekannt / Stellmass fehlt; ","")&amp;IF(AND(BR1567=0,N(T1567)&lt;=0,N(P1567)&lt;=0),"Menge pro Gebinde fehlt (Ist = 1 Gebinde); ","")&amp;BM1567)</f>
        <v/>
      </c>
      <c r="BF1567" s="55"/>
      <c r="BG1567" s="55"/>
      <c r="BH1567" s="62"/>
      <c r="BI1567" s="57" t="n">
        <f aca="false">N('Neue Artikel'!$D$95)</f>
        <v>0</v>
      </c>
      <c r="BJ1567" s="57" t="n">
        <v>0</v>
      </c>
      <c r="BK1567" s="56" t="n">
        <v>0</v>
      </c>
      <c r="BL1567" s="57" t="n">
        <f aca="false">N('Neue Artikel'!$C$95)/Parameter!$B$18</f>
        <v>0</v>
      </c>
      <c r="BM1567" s="55"/>
      <c r="BN1567" s="60" t="n">
        <v>1</v>
      </c>
      <c r="BO1567" s="60" t="n">
        <v>1567</v>
      </c>
      <c r="BP1567" s="55" t="str">
        <f aca="false">IF(S1567&lt;&gt;"",UPPER(TRIM(S1567)),IF(O1567="","LOSE",O1567))</f>
        <v>LOSE</v>
      </c>
      <c r="BQ1567" s="57" t="n">
        <f aca="false">IF(BP1567="LOSE",1,IF(N(T1567)&gt;0,T1567,IF(N(P1567)&gt;0,P1567,MAX(1,G1567))))</f>
        <v>1</v>
      </c>
      <c r="BR1567" s="60" t="n">
        <f aca="false">IF(BP1567="LOSE",1,0)</f>
        <v>1</v>
      </c>
      <c r="BS1567" s="59" t="n">
        <f aca="false">IF(BR1567=0,0,IF(N(R1567)&gt;0,R1567,IFERROR(VLOOKUP(D1567,Parameter!$A$35:$C$64,3,0)+0,0)))</f>
        <v>0.15</v>
      </c>
      <c r="BT1567" s="55" t="str">
        <f aca="false">IF(Y1567&lt;&gt;"",Y1567,X1567)</f>
        <v/>
      </c>
      <c r="BU1567" s="55" t="str">
        <f aca="false">IF(BT1567=1,"L1",IF(OR(BT1567=2,BT1567=3),"L23",IF(BT1567="Aussen","Aussen","-")))</f>
        <v>-</v>
      </c>
      <c r="BV1567" s="66" t="n">
        <f aca="false">IF(N(Z1567)&gt;0,Z1567,0)</f>
        <v>0</v>
      </c>
      <c r="BW1567" s="60" t="n">
        <f aca="false">IF(ISNUMBER(AC1567),1,0)</f>
        <v>0</v>
      </c>
      <c r="BX1567" s="57" t="n">
        <f aca="false">N(AC1567)</f>
        <v>0</v>
      </c>
      <c r="BY1567" s="57" t="n">
        <f aca="false">N(L1567)+N(M1567)</f>
        <v>0</v>
      </c>
      <c r="BZ1567" s="57" t="n">
        <f aca="false">ROUNDUP(G1567/BQ1567,0)</f>
        <v>0</v>
      </c>
      <c r="CA1567" s="57" t="n">
        <f aca="false">ROUNDUP(BX1567/BQ1567,0)</f>
        <v>0</v>
      </c>
      <c r="CB1567" s="60" t="n">
        <f aca="false">IF(BR1567=1,0,IFERROR(VLOOKUP(BP1567,'Gebinde-Kategorie'!$A$5:$M$45,5,0)+0,0))</f>
        <v>0</v>
      </c>
      <c r="CC1567" s="60" t="n">
        <f aca="false">IFERROR(IF(OR(BT1567=1,BT1567=2,BT1567=3),N(INDEX(Parameter!$I$5:$I$7,BT1567)),0),0)</f>
        <v>0</v>
      </c>
      <c r="CD1567" s="59" t="n">
        <f aca="false">IF(AND(Parameter!$B$21="Ja",ISNUMBER(U1567),N(V1567)&gt;0),IFERROR(N(INDEX(Parameter!$L$5:$L$7,U1567))*INDEX(Parameter!$E$5:$E$7,U1567)*V1567/SUMIFS($V$7:$V$1576,$U$7:$U$1576,U1567),0),0)</f>
        <v>0</v>
      </c>
    </row>
    <row r="1568" customFormat="false" ht="15" hidden="false" customHeight="false" outlineLevel="0" collapsed="false">
      <c r="A1568" s="55" t="str">
        <f aca="false">IF('Neue Artikel'!$A$96="","",'Neue Artikel'!$A$96&amp;"")</f>
        <v/>
      </c>
      <c r="B1568" s="55" t="str">
        <f aca="false">'Neue Artikel'!$B$96&amp;""</f>
        <v/>
      </c>
      <c r="C1568" s="55"/>
      <c r="D1568" s="55" t="s">
        <v>2561</v>
      </c>
      <c r="E1568" s="55"/>
      <c r="F1568" s="56" t="n">
        <f aca="false">N('Neue Artikel'!$G$96)</f>
        <v>0</v>
      </c>
      <c r="G1568" s="57" t="n">
        <f aca="false">MAX(0,IF(AND(Parameter!$B$21="Ja",ISNUMBER(W1568)),W1568,IF(Parameter!$B$20="Jahresanfang 2025 + Export",BJ1568+BI1568,BI1568)))</f>
        <v>0</v>
      </c>
      <c r="H1568" s="57" t="n">
        <f aca="false">G1568*F1568</f>
        <v>0</v>
      </c>
      <c r="I1568" s="57" t="n">
        <f aca="false">BL1568*Parameter!$B$18</f>
        <v>0</v>
      </c>
      <c r="J1568" s="58"/>
      <c r="K1568" s="59"/>
      <c r="L1568" s="57" t="n">
        <f aca="false">N('Neue Artikel'!$E$96)</f>
        <v>0</v>
      </c>
      <c r="M1568" s="57" t="n">
        <f aca="false">N('Neue Artikel'!$F$96)</f>
        <v>0</v>
      </c>
      <c r="N1568" s="60"/>
      <c r="O1568" s="55" t="str">
        <f aca="false">IF('Neue Artikel'!$H$96="","LOSE",UPPER(TRIM('Neue Artikel'!$H$96)))</f>
        <v>LOSE</v>
      </c>
      <c r="P1568" s="57" t="n">
        <f aca="false">N('Neue Artikel'!$I$96)</f>
        <v>0</v>
      </c>
      <c r="Q1568" s="60" t="n">
        <f aca="false">IF(BR1568=1,0,IFERROR(VLOOKUP(BP1568,'Gebinde-Kategorie'!$A$5:$M$45,13,0)+0,0))</f>
        <v>0</v>
      </c>
      <c r="R1568" s="61"/>
      <c r="S1568" s="62"/>
      <c r="T1568" s="62"/>
      <c r="U1568" s="55"/>
      <c r="V1568" s="57"/>
      <c r="W1568" s="57"/>
      <c r="X1568" s="55" t="str">
        <f aca="false">IF(A1568="","",IF(AND(Parameter!$B$21="Ja",ISNUMBER(U1568)),U1568,IF(IFERROR(VLOOKUP(D1568,Parameter!$A$35:$C$64,2,0),"Nein")="2+3",IF(ISNUMBER(SEARCH("grosser Artikel",BM1568)),2,IFERROR(VLOOKUP(BP1568,Parameter!$F$35:$G$64,2,0),2)),IF(OR(IFERROR(VLOOKUP(D1568,Parameter!$A$35:$C$64,2,0),"Nein")="Nein",IFERROR(VLOOKUP(D1568,Parameter!$A$35:$C$64,2,0),"Nein")=""),"-",VLOOKUP(D1568,Parameter!$A$35:$C$64,2,0)))))</f>
        <v/>
      </c>
      <c r="Y1568" s="55" t="str">
        <f aca="false">IF('Neue Artikel'!$J$96="","",'Neue Artikel'!$J$96)</f>
        <v/>
      </c>
      <c r="Z1568" s="63"/>
      <c r="AA1568" s="57" t="n">
        <f aca="false">AP1568</f>
        <v>0</v>
      </c>
      <c r="AB1568" s="57" t="n">
        <f aca="false">MAX(AP1568,G1568)</f>
        <v>0</v>
      </c>
      <c r="AC1568" s="64"/>
      <c r="AD1568" s="57" t="n">
        <f aca="false">IF(LEFT(Cockpit!$C$5,1)="A",G1568,IF(BW1568=1,BX1568,IF(LEFT(Cockpit!$C$5,1)="B",AH1568,MAX(AH1568,G1568))))</f>
        <v>0</v>
      </c>
      <c r="AE1568" s="57" t="n">
        <f aca="false">IF(BR1568=1,0,ROUNDUP(AD1568/BQ1568,0))</f>
        <v>0</v>
      </c>
      <c r="AF1568" s="59" t="n">
        <f aca="false">IF(CD1568&gt;0,CD1568*MAX(1,AD1568/V1568),IF(BR1568=1,IF(AD1568&lt;=0,0,BS1568*MAX(1,IF(G1568&gt;0,AD1568/G1568,1))),IF(Q1568&gt;0,AE1568/Q1568,0))/MAX(0.1,N(Parameter!$M$21)))</f>
        <v>0</v>
      </c>
      <c r="AG1568" s="57" t="n">
        <f aca="false">AD1568*F1568</f>
        <v>0</v>
      </c>
      <c r="AH1568" s="57" t="n">
        <f aca="false">ROUNDUP(MAX(I1568/IF(BV1568&gt;0,BV1568,MAX(0.1,N(Cockpit!$C$6))),BY1568)/BQ1568,0)*BQ1568</f>
        <v>0</v>
      </c>
      <c r="AI1568" s="58" t="n">
        <f aca="false">IF(AF1568&gt;0,I1568/AF1568,-1)</f>
        <v>-1</v>
      </c>
      <c r="AJ1568" s="58" t="str">
        <f aca="false">IF(AND(OR(BU1568="L1",BU1568="L23"),AF1568&gt;0),SUMIFS($AF$7:$AF$1576,$BU$7:$BU$1576,BU1568,$AI$7:$AI$1576,"&gt;"&amp;AI1568)+SUMIFS($AF$7:$AF$1576,$BU$7:$BU$1576,BU1568,$AI$7:$AI$1576,AI1568,$BO$7:$BO$1576,"&lt;="&amp;BO1568),"")</f>
        <v/>
      </c>
      <c r="AK1568" s="65" t="n">
        <f aca="false">IF(AJ1568="",0,MAX(0,MIN(1,(IF(BU1568="L1",Parameter!$E$5,Parameter!$E$6+Parameter!$E$7)-(AJ1568-AF1568))/AF1568)))</f>
        <v>0</v>
      </c>
      <c r="AL1568" s="57" t="n">
        <f aca="false">IF(LEFT(Cockpit!$I$5,1)="A",G1568,IF(BW1568=1,BX1568,IF(LEFT(Cockpit!$I$5,1)="B",AP1568,MAX(AP1568,G1568))))</f>
        <v>0</v>
      </c>
      <c r="AM1568" s="57" t="n">
        <f aca="false">IF(BR1568=1,0,ROUNDUP(AL1568/BQ1568,0))</f>
        <v>0</v>
      </c>
      <c r="AN1568" s="59" t="n">
        <f aca="false">IF(CD1568&gt;0,CD1568*MAX(1,AL1568/V1568),IF(BR1568=1,IF(AL1568&lt;=0,0,BS1568*MAX(1,IF(G1568&gt;0,AL1568/G1568,1))),IF(Q1568&gt;0,AM1568/Q1568,0))/MAX(0.1,N(Parameter!$M$21)))</f>
        <v>0</v>
      </c>
      <c r="AO1568" s="57" t="n">
        <f aca="false">AL1568*F1568</f>
        <v>0</v>
      </c>
      <c r="AP1568" s="57" t="n">
        <f aca="false">ROUNDUP(MAX(I1568/IF(BV1568&gt;0,BV1568,MAX(0.1,N(Cockpit!$I$6))),BY1568)/BQ1568,0)*BQ1568</f>
        <v>0</v>
      </c>
      <c r="AQ1568" s="58" t="n">
        <f aca="false">IF(AN1568&gt;0,I1568/AN1568,-1)</f>
        <v>-1</v>
      </c>
      <c r="AR1568" s="58" t="str">
        <f aca="false">IF(AND(OR(BU1568="L1",BU1568="L23"),AN1568&gt;0),SUMIFS($AN$7:$AN$1576,$BU$7:$BU$1576,BU1568,$AQ$7:$AQ$1576,"&gt;"&amp;AQ1568)+SUMIFS($AN$7:$AN$1576,$BU$7:$BU$1576,BU1568,$AQ$7:$AQ$1576,AQ1568,$BO$7:$BO$1576,"&lt;="&amp;BO1568),"")</f>
        <v/>
      </c>
      <c r="AS1568" s="65" t="n">
        <f aca="false">IF(AR1568="",0,MAX(0,MIN(1,(IF(BU1568="L1",Parameter!$E$5,Parameter!$E$6+Parameter!$E$7)-(AR1568-AN1568))/AN1568)))</f>
        <v>0</v>
      </c>
      <c r="AT1568" s="57" t="n">
        <f aca="false">IF(LEFT(Cockpit!$O$5,1)="A",G1568,IF(BW1568=1,BX1568,IF(LEFT(Cockpit!$O$5,1)="B",AX1568,MAX(AX1568,G1568))))</f>
        <v>0</v>
      </c>
      <c r="AU1568" s="57" t="n">
        <f aca="false">IF(BR1568=1,0,ROUNDUP(AT1568/BQ1568,0))</f>
        <v>0</v>
      </c>
      <c r="AV1568" s="59" t="n">
        <f aca="false">IF(CD1568&gt;0,CD1568*MAX(1,AT1568/V1568),IF(BR1568=1,IF(AT1568&lt;=0,0,BS1568*MAX(1,IF(G1568&gt;0,AT1568/G1568,1))),IF(Q1568&gt;0,AU1568/Q1568,0))/MAX(0.1,N(Parameter!$M$21)))</f>
        <v>0</v>
      </c>
      <c r="AW1568" s="57" t="n">
        <f aca="false">AT1568*F1568</f>
        <v>0</v>
      </c>
      <c r="AX1568" s="57" t="n">
        <f aca="false">ROUNDUP(MAX(I1568/IF(BV1568&gt;0,BV1568,MAX(0.1,N(Cockpit!$O$6))),BY1568)/BQ1568,0)*BQ1568</f>
        <v>0</v>
      </c>
      <c r="AY1568" s="58" t="n">
        <f aca="false">IF(AV1568&gt;0,I1568/AV1568,-1)</f>
        <v>-1</v>
      </c>
      <c r="AZ1568" s="58" t="str">
        <f aca="false">IF(AND(OR(BU1568="L1",BU1568="L23"),AV1568&gt;0),SUMIFS($AV$7:$AV$1576,$BU$7:$BU$1576,BU1568,$AY$7:$AY$1576,"&gt;"&amp;AY1568)+SUMIFS($AV$7:$AV$1576,$BU$7:$BU$1576,BU1568,$AY$7:$AY$1576,AY1568,$BO$7:$BO$1576,"&lt;="&amp;BO1568),"")</f>
        <v/>
      </c>
      <c r="BA1568" s="65" t="n">
        <f aca="false">IF(AZ1568="",0,MAX(0,MIN(1,(IF(BU1568="L1",Parameter!$E$5,Parameter!$E$6+Parameter!$E$7)-(AZ1568-AV1568))/AV1568)))</f>
        <v>0</v>
      </c>
      <c r="BB1568" s="55" t="str">
        <f aca="false">IF(AF1568&lt;=0,"",IF(BU1568="Aussen","Aussenlager",IF(BU1568="-","Nicht im Lift",IF(AK1568&gt;=1,"Lift",IF(AK1568&lt;=0,"Aussenlager","teilweise")))))</f>
        <v/>
      </c>
      <c r="BC1568" s="55" t="str">
        <f aca="false">IF(AN1568&lt;=0,"",IF(BU1568="Aussen","Aussenlager",IF(BU1568="-","Nicht im Lift",IF(AS1568&gt;=1,"Lift",IF(AS1568&lt;=0,"Aussenlager","teilweise")))))</f>
        <v/>
      </c>
      <c r="BD1568" s="55" t="str">
        <f aca="false">IF(AV1568&lt;=0,"",IF(BU1568="Aussen","Aussenlager",IF(BU1568="-","Nicht im Lift",IF(BA1568&gt;=1,"Lift",IF(BA1568&lt;=0,"Aussenlager","teilweise")))))</f>
        <v/>
      </c>
      <c r="BE1568" s="55" t="str">
        <f aca="false">IF(A1568="","",IF(BN1568=1,"Neu; ","")&amp;IF(AND(BN1568=0,BI1568&lt;0),"negativer Bestand (Export "&amp;BI1568&amp;"); ","")&amp;IF(I1568&lt;=0,"Kein Verbrauch; ","")&amp;IF(CD1568&gt;0,"Lift "&amp;U1568&amp;" lt. Liftbericht (Fach "&amp;V1568&amp;" Stk); ",IF(BR1568=1,"Lose – Fläche geschätzt; ",""))&amp;IF(G1568&gt;AP1568,"Überbestand "&amp;ROUND(G1568-AP1568,0)&amp;" Stk / CHF "&amp;ROUND((G1568-AP1568)*F1568,0)&amp;"; ","")&amp;IF(AND(BW1568=1,BX1568&lt;BY1568),"MAX &lt; MB+LG; ","")&amp;IF(AND(CC1568&gt;0,CB1568*10&gt;CC1568),"zu hoch für Tablar; ","")&amp;IF(AND(BN1568=0,OR(BW1568=1,Y1568&lt;&gt;"",S1568&lt;&gt;"",T1568&lt;&gt;"",Z1568&lt;&gt;"")),"manuell übersteuert; ","")&amp;IF(AND(BR1568=0,Q1568=0),"Gebinde unbekannt / Stellmass fehlt; ","")&amp;IF(AND(BR1568=0,N(T1568)&lt;=0,N(P1568)&lt;=0),"Menge pro Gebinde fehlt (Ist = 1 Gebinde); ","")&amp;BM1568)</f>
        <v/>
      </c>
      <c r="BF1568" s="55"/>
      <c r="BG1568" s="55"/>
      <c r="BH1568" s="62"/>
      <c r="BI1568" s="57" t="n">
        <f aca="false">N('Neue Artikel'!$D$96)</f>
        <v>0</v>
      </c>
      <c r="BJ1568" s="57" t="n">
        <v>0</v>
      </c>
      <c r="BK1568" s="56" t="n">
        <v>0</v>
      </c>
      <c r="BL1568" s="57" t="n">
        <f aca="false">N('Neue Artikel'!$C$96)/Parameter!$B$18</f>
        <v>0</v>
      </c>
      <c r="BM1568" s="55"/>
      <c r="BN1568" s="60" t="n">
        <v>1</v>
      </c>
      <c r="BO1568" s="60" t="n">
        <v>1568</v>
      </c>
      <c r="BP1568" s="55" t="str">
        <f aca="false">IF(S1568&lt;&gt;"",UPPER(TRIM(S1568)),IF(O1568="","LOSE",O1568))</f>
        <v>LOSE</v>
      </c>
      <c r="BQ1568" s="57" t="n">
        <f aca="false">IF(BP1568="LOSE",1,IF(N(T1568)&gt;0,T1568,IF(N(P1568)&gt;0,P1568,MAX(1,G1568))))</f>
        <v>1</v>
      </c>
      <c r="BR1568" s="60" t="n">
        <f aca="false">IF(BP1568="LOSE",1,0)</f>
        <v>1</v>
      </c>
      <c r="BS1568" s="59" t="n">
        <f aca="false">IF(BR1568=0,0,IF(N(R1568)&gt;0,R1568,IFERROR(VLOOKUP(D1568,Parameter!$A$35:$C$64,3,0)+0,0)))</f>
        <v>0.15</v>
      </c>
      <c r="BT1568" s="55" t="str">
        <f aca="false">IF(Y1568&lt;&gt;"",Y1568,X1568)</f>
        <v/>
      </c>
      <c r="BU1568" s="55" t="str">
        <f aca="false">IF(BT1568=1,"L1",IF(OR(BT1568=2,BT1568=3),"L23",IF(BT1568="Aussen","Aussen","-")))</f>
        <v>-</v>
      </c>
      <c r="BV1568" s="66" t="n">
        <f aca="false">IF(N(Z1568)&gt;0,Z1568,0)</f>
        <v>0</v>
      </c>
      <c r="BW1568" s="60" t="n">
        <f aca="false">IF(ISNUMBER(AC1568),1,0)</f>
        <v>0</v>
      </c>
      <c r="BX1568" s="57" t="n">
        <f aca="false">N(AC1568)</f>
        <v>0</v>
      </c>
      <c r="BY1568" s="57" t="n">
        <f aca="false">N(L1568)+N(M1568)</f>
        <v>0</v>
      </c>
      <c r="BZ1568" s="57" t="n">
        <f aca="false">ROUNDUP(G1568/BQ1568,0)</f>
        <v>0</v>
      </c>
      <c r="CA1568" s="57" t="n">
        <f aca="false">ROUNDUP(BX1568/BQ1568,0)</f>
        <v>0</v>
      </c>
      <c r="CB1568" s="60" t="n">
        <f aca="false">IF(BR1568=1,0,IFERROR(VLOOKUP(BP1568,'Gebinde-Kategorie'!$A$5:$M$45,5,0)+0,0))</f>
        <v>0</v>
      </c>
      <c r="CC1568" s="60" t="n">
        <f aca="false">IFERROR(IF(OR(BT1568=1,BT1568=2,BT1568=3),N(INDEX(Parameter!$I$5:$I$7,BT1568)),0),0)</f>
        <v>0</v>
      </c>
      <c r="CD1568" s="59" t="n">
        <f aca="false">IF(AND(Parameter!$B$21="Ja",ISNUMBER(U1568),N(V1568)&gt;0),IFERROR(N(INDEX(Parameter!$L$5:$L$7,U1568))*INDEX(Parameter!$E$5:$E$7,U1568)*V1568/SUMIFS($V$7:$V$1576,$U$7:$U$1576,U1568),0),0)</f>
        <v>0</v>
      </c>
    </row>
    <row r="1569" customFormat="false" ht="15" hidden="false" customHeight="false" outlineLevel="0" collapsed="false">
      <c r="A1569" s="55" t="str">
        <f aca="false">IF('Neue Artikel'!$A$97="","",'Neue Artikel'!$A$97&amp;"")</f>
        <v/>
      </c>
      <c r="B1569" s="55" t="str">
        <f aca="false">'Neue Artikel'!$B$97&amp;""</f>
        <v/>
      </c>
      <c r="C1569" s="55"/>
      <c r="D1569" s="55" t="s">
        <v>2561</v>
      </c>
      <c r="E1569" s="55"/>
      <c r="F1569" s="56" t="n">
        <f aca="false">N('Neue Artikel'!$G$97)</f>
        <v>0</v>
      </c>
      <c r="G1569" s="57" t="n">
        <f aca="false">MAX(0,IF(AND(Parameter!$B$21="Ja",ISNUMBER(W1569)),W1569,IF(Parameter!$B$20="Jahresanfang 2025 + Export",BJ1569+BI1569,BI1569)))</f>
        <v>0</v>
      </c>
      <c r="H1569" s="57" t="n">
        <f aca="false">G1569*F1569</f>
        <v>0</v>
      </c>
      <c r="I1569" s="57" t="n">
        <f aca="false">BL1569*Parameter!$B$18</f>
        <v>0</v>
      </c>
      <c r="J1569" s="58"/>
      <c r="K1569" s="59"/>
      <c r="L1569" s="57" t="n">
        <f aca="false">N('Neue Artikel'!$E$97)</f>
        <v>0</v>
      </c>
      <c r="M1569" s="57" t="n">
        <f aca="false">N('Neue Artikel'!$F$97)</f>
        <v>0</v>
      </c>
      <c r="N1569" s="60"/>
      <c r="O1569" s="55" t="str">
        <f aca="false">IF('Neue Artikel'!$H$97="","LOSE",UPPER(TRIM('Neue Artikel'!$H$97)))</f>
        <v>LOSE</v>
      </c>
      <c r="P1569" s="57" t="n">
        <f aca="false">N('Neue Artikel'!$I$97)</f>
        <v>0</v>
      </c>
      <c r="Q1569" s="60" t="n">
        <f aca="false">IF(BR1569=1,0,IFERROR(VLOOKUP(BP1569,'Gebinde-Kategorie'!$A$5:$M$45,13,0)+0,0))</f>
        <v>0</v>
      </c>
      <c r="R1569" s="61"/>
      <c r="S1569" s="62"/>
      <c r="T1569" s="62"/>
      <c r="U1569" s="55"/>
      <c r="V1569" s="57"/>
      <c r="W1569" s="57"/>
      <c r="X1569" s="55" t="str">
        <f aca="false">IF(A1569="","",IF(AND(Parameter!$B$21="Ja",ISNUMBER(U1569)),U1569,IF(IFERROR(VLOOKUP(D1569,Parameter!$A$35:$C$64,2,0),"Nein")="2+3",IF(ISNUMBER(SEARCH("grosser Artikel",BM1569)),2,IFERROR(VLOOKUP(BP1569,Parameter!$F$35:$G$64,2,0),2)),IF(OR(IFERROR(VLOOKUP(D1569,Parameter!$A$35:$C$64,2,0),"Nein")="Nein",IFERROR(VLOOKUP(D1569,Parameter!$A$35:$C$64,2,0),"Nein")=""),"-",VLOOKUP(D1569,Parameter!$A$35:$C$64,2,0)))))</f>
        <v/>
      </c>
      <c r="Y1569" s="55" t="str">
        <f aca="false">IF('Neue Artikel'!$J$97="","",'Neue Artikel'!$J$97)</f>
        <v/>
      </c>
      <c r="Z1569" s="63"/>
      <c r="AA1569" s="57" t="n">
        <f aca="false">AP1569</f>
        <v>0</v>
      </c>
      <c r="AB1569" s="57" t="n">
        <f aca="false">MAX(AP1569,G1569)</f>
        <v>0</v>
      </c>
      <c r="AC1569" s="64"/>
      <c r="AD1569" s="57" t="n">
        <f aca="false">IF(LEFT(Cockpit!$C$5,1)="A",G1569,IF(BW1569=1,BX1569,IF(LEFT(Cockpit!$C$5,1)="B",AH1569,MAX(AH1569,G1569))))</f>
        <v>0</v>
      </c>
      <c r="AE1569" s="57" t="n">
        <f aca="false">IF(BR1569=1,0,ROUNDUP(AD1569/BQ1569,0))</f>
        <v>0</v>
      </c>
      <c r="AF1569" s="59" t="n">
        <f aca="false">IF(CD1569&gt;0,CD1569*MAX(1,AD1569/V1569),IF(BR1569=1,IF(AD1569&lt;=0,0,BS1569*MAX(1,IF(G1569&gt;0,AD1569/G1569,1))),IF(Q1569&gt;0,AE1569/Q1569,0))/MAX(0.1,N(Parameter!$M$21)))</f>
        <v>0</v>
      </c>
      <c r="AG1569" s="57" t="n">
        <f aca="false">AD1569*F1569</f>
        <v>0</v>
      </c>
      <c r="AH1569" s="57" t="n">
        <f aca="false">ROUNDUP(MAX(I1569/IF(BV1569&gt;0,BV1569,MAX(0.1,N(Cockpit!$C$6))),BY1569)/BQ1569,0)*BQ1569</f>
        <v>0</v>
      </c>
      <c r="AI1569" s="58" t="n">
        <f aca="false">IF(AF1569&gt;0,I1569/AF1569,-1)</f>
        <v>-1</v>
      </c>
      <c r="AJ1569" s="58" t="str">
        <f aca="false">IF(AND(OR(BU1569="L1",BU1569="L23"),AF1569&gt;0),SUMIFS($AF$7:$AF$1576,$BU$7:$BU$1576,BU1569,$AI$7:$AI$1576,"&gt;"&amp;AI1569)+SUMIFS($AF$7:$AF$1576,$BU$7:$BU$1576,BU1569,$AI$7:$AI$1576,AI1569,$BO$7:$BO$1576,"&lt;="&amp;BO1569),"")</f>
        <v/>
      </c>
      <c r="AK1569" s="65" t="n">
        <f aca="false">IF(AJ1569="",0,MAX(0,MIN(1,(IF(BU1569="L1",Parameter!$E$5,Parameter!$E$6+Parameter!$E$7)-(AJ1569-AF1569))/AF1569)))</f>
        <v>0</v>
      </c>
      <c r="AL1569" s="57" t="n">
        <f aca="false">IF(LEFT(Cockpit!$I$5,1)="A",G1569,IF(BW1569=1,BX1569,IF(LEFT(Cockpit!$I$5,1)="B",AP1569,MAX(AP1569,G1569))))</f>
        <v>0</v>
      </c>
      <c r="AM1569" s="57" t="n">
        <f aca="false">IF(BR1569=1,0,ROUNDUP(AL1569/BQ1569,0))</f>
        <v>0</v>
      </c>
      <c r="AN1569" s="59" t="n">
        <f aca="false">IF(CD1569&gt;0,CD1569*MAX(1,AL1569/V1569),IF(BR1569=1,IF(AL1569&lt;=0,0,BS1569*MAX(1,IF(G1569&gt;0,AL1569/G1569,1))),IF(Q1569&gt;0,AM1569/Q1569,0))/MAX(0.1,N(Parameter!$M$21)))</f>
        <v>0</v>
      </c>
      <c r="AO1569" s="57" t="n">
        <f aca="false">AL1569*F1569</f>
        <v>0</v>
      </c>
      <c r="AP1569" s="57" t="n">
        <f aca="false">ROUNDUP(MAX(I1569/IF(BV1569&gt;0,BV1569,MAX(0.1,N(Cockpit!$I$6))),BY1569)/BQ1569,0)*BQ1569</f>
        <v>0</v>
      </c>
      <c r="AQ1569" s="58" t="n">
        <f aca="false">IF(AN1569&gt;0,I1569/AN1569,-1)</f>
        <v>-1</v>
      </c>
      <c r="AR1569" s="58" t="str">
        <f aca="false">IF(AND(OR(BU1569="L1",BU1569="L23"),AN1569&gt;0),SUMIFS($AN$7:$AN$1576,$BU$7:$BU$1576,BU1569,$AQ$7:$AQ$1576,"&gt;"&amp;AQ1569)+SUMIFS($AN$7:$AN$1576,$BU$7:$BU$1576,BU1569,$AQ$7:$AQ$1576,AQ1569,$BO$7:$BO$1576,"&lt;="&amp;BO1569),"")</f>
        <v/>
      </c>
      <c r="AS1569" s="65" t="n">
        <f aca="false">IF(AR1569="",0,MAX(0,MIN(1,(IF(BU1569="L1",Parameter!$E$5,Parameter!$E$6+Parameter!$E$7)-(AR1569-AN1569))/AN1569)))</f>
        <v>0</v>
      </c>
      <c r="AT1569" s="57" t="n">
        <f aca="false">IF(LEFT(Cockpit!$O$5,1)="A",G1569,IF(BW1569=1,BX1569,IF(LEFT(Cockpit!$O$5,1)="B",AX1569,MAX(AX1569,G1569))))</f>
        <v>0</v>
      </c>
      <c r="AU1569" s="57" t="n">
        <f aca="false">IF(BR1569=1,0,ROUNDUP(AT1569/BQ1569,0))</f>
        <v>0</v>
      </c>
      <c r="AV1569" s="59" t="n">
        <f aca="false">IF(CD1569&gt;0,CD1569*MAX(1,AT1569/V1569),IF(BR1569=1,IF(AT1569&lt;=0,0,BS1569*MAX(1,IF(G1569&gt;0,AT1569/G1569,1))),IF(Q1569&gt;0,AU1569/Q1569,0))/MAX(0.1,N(Parameter!$M$21)))</f>
        <v>0</v>
      </c>
      <c r="AW1569" s="57" t="n">
        <f aca="false">AT1569*F1569</f>
        <v>0</v>
      </c>
      <c r="AX1569" s="57" t="n">
        <f aca="false">ROUNDUP(MAX(I1569/IF(BV1569&gt;0,BV1569,MAX(0.1,N(Cockpit!$O$6))),BY1569)/BQ1569,0)*BQ1569</f>
        <v>0</v>
      </c>
      <c r="AY1569" s="58" t="n">
        <f aca="false">IF(AV1569&gt;0,I1569/AV1569,-1)</f>
        <v>-1</v>
      </c>
      <c r="AZ1569" s="58" t="str">
        <f aca="false">IF(AND(OR(BU1569="L1",BU1569="L23"),AV1569&gt;0),SUMIFS($AV$7:$AV$1576,$BU$7:$BU$1576,BU1569,$AY$7:$AY$1576,"&gt;"&amp;AY1569)+SUMIFS($AV$7:$AV$1576,$BU$7:$BU$1576,BU1569,$AY$7:$AY$1576,AY1569,$BO$7:$BO$1576,"&lt;="&amp;BO1569),"")</f>
        <v/>
      </c>
      <c r="BA1569" s="65" t="n">
        <f aca="false">IF(AZ1569="",0,MAX(0,MIN(1,(IF(BU1569="L1",Parameter!$E$5,Parameter!$E$6+Parameter!$E$7)-(AZ1569-AV1569))/AV1569)))</f>
        <v>0</v>
      </c>
      <c r="BB1569" s="55" t="str">
        <f aca="false">IF(AF1569&lt;=0,"",IF(BU1569="Aussen","Aussenlager",IF(BU1569="-","Nicht im Lift",IF(AK1569&gt;=1,"Lift",IF(AK1569&lt;=0,"Aussenlager","teilweise")))))</f>
        <v/>
      </c>
      <c r="BC1569" s="55" t="str">
        <f aca="false">IF(AN1569&lt;=0,"",IF(BU1569="Aussen","Aussenlager",IF(BU1569="-","Nicht im Lift",IF(AS1569&gt;=1,"Lift",IF(AS1569&lt;=0,"Aussenlager","teilweise")))))</f>
        <v/>
      </c>
      <c r="BD1569" s="55" t="str">
        <f aca="false">IF(AV1569&lt;=0,"",IF(BU1569="Aussen","Aussenlager",IF(BU1569="-","Nicht im Lift",IF(BA1569&gt;=1,"Lift",IF(BA1569&lt;=0,"Aussenlager","teilweise")))))</f>
        <v/>
      </c>
      <c r="BE1569" s="55" t="str">
        <f aca="false">IF(A1569="","",IF(BN1569=1,"Neu; ","")&amp;IF(AND(BN1569=0,BI1569&lt;0),"negativer Bestand (Export "&amp;BI1569&amp;"); ","")&amp;IF(I1569&lt;=0,"Kein Verbrauch; ","")&amp;IF(CD1569&gt;0,"Lift "&amp;U1569&amp;" lt. Liftbericht (Fach "&amp;V1569&amp;" Stk); ",IF(BR1569=1,"Lose – Fläche geschätzt; ",""))&amp;IF(G1569&gt;AP1569,"Überbestand "&amp;ROUND(G1569-AP1569,0)&amp;" Stk / CHF "&amp;ROUND((G1569-AP1569)*F1569,0)&amp;"; ","")&amp;IF(AND(BW1569=1,BX1569&lt;BY1569),"MAX &lt; MB+LG; ","")&amp;IF(AND(CC1569&gt;0,CB1569*10&gt;CC1569),"zu hoch für Tablar; ","")&amp;IF(AND(BN1569=0,OR(BW1569=1,Y1569&lt;&gt;"",S1569&lt;&gt;"",T1569&lt;&gt;"",Z1569&lt;&gt;"")),"manuell übersteuert; ","")&amp;IF(AND(BR1569=0,Q1569=0),"Gebinde unbekannt / Stellmass fehlt; ","")&amp;IF(AND(BR1569=0,N(T1569)&lt;=0,N(P1569)&lt;=0),"Menge pro Gebinde fehlt (Ist = 1 Gebinde); ","")&amp;BM1569)</f>
        <v/>
      </c>
      <c r="BF1569" s="55"/>
      <c r="BG1569" s="55"/>
      <c r="BH1569" s="62"/>
      <c r="BI1569" s="57" t="n">
        <f aca="false">N('Neue Artikel'!$D$97)</f>
        <v>0</v>
      </c>
      <c r="BJ1569" s="57" t="n">
        <v>0</v>
      </c>
      <c r="BK1569" s="56" t="n">
        <v>0</v>
      </c>
      <c r="BL1569" s="57" t="n">
        <f aca="false">N('Neue Artikel'!$C$97)/Parameter!$B$18</f>
        <v>0</v>
      </c>
      <c r="BM1569" s="55"/>
      <c r="BN1569" s="60" t="n">
        <v>1</v>
      </c>
      <c r="BO1569" s="60" t="n">
        <v>1569</v>
      </c>
      <c r="BP1569" s="55" t="str">
        <f aca="false">IF(S1569&lt;&gt;"",UPPER(TRIM(S1569)),IF(O1569="","LOSE",O1569))</f>
        <v>LOSE</v>
      </c>
      <c r="BQ1569" s="57" t="n">
        <f aca="false">IF(BP1569="LOSE",1,IF(N(T1569)&gt;0,T1569,IF(N(P1569)&gt;0,P1569,MAX(1,G1569))))</f>
        <v>1</v>
      </c>
      <c r="BR1569" s="60" t="n">
        <f aca="false">IF(BP1569="LOSE",1,0)</f>
        <v>1</v>
      </c>
      <c r="BS1569" s="59" t="n">
        <f aca="false">IF(BR1569=0,0,IF(N(R1569)&gt;0,R1569,IFERROR(VLOOKUP(D1569,Parameter!$A$35:$C$64,3,0)+0,0)))</f>
        <v>0.15</v>
      </c>
      <c r="BT1569" s="55" t="str">
        <f aca="false">IF(Y1569&lt;&gt;"",Y1569,X1569)</f>
        <v/>
      </c>
      <c r="BU1569" s="55" t="str">
        <f aca="false">IF(BT1569=1,"L1",IF(OR(BT1569=2,BT1569=3),"L23",IF(BT1569="Aussen","Aussen","-")))</f>
        <v>-</v>
      </c>
      <c r="BV1569" s="66" t="n">
        <f aca="false">IF(N(Z1569)&gt;0,Z1569,0)</f>
        <v>0</v>
      </c>
      <c r="BW1569" s="60" t="n">
        <f aca="false">IF(ISNUMBER(AC1569),1,0)</f>
        <v>0</v>
      </c>
      <c r="BX1569" s="57" t="n">
        <f aca="false">N(AC1569)</f>
        <v>0</v>
      </c>
      <c r="BY1569" s="57" t="n">
        <f aca="false">N(L1569)+N(M1569)</f>
        <v>0</v>
      </c>
      <c r="BZ1569" s="57" t="n">
        <f aca="false">ROUNDUP(G1569/BQ1569,0)</f>
        <v>0</v>
      </c>
      <c r="CA1569" s="57" t="n">
        <f aca="false">ROUNDUP(BX1569/BQ1569,0)</f>
        <v>0</v>
      </c>
      <c r="CB1569" s="60" t="n">
        <f aca="false">IF(BR1569=1,0,IFERROR(VLOOKUP(BP1569,'Gebinde-Kategorie'!$A$5:$M$45,5,0)+0,0))</f>
        <v>0</v>
      </c>
      <c r="CC1569" s="60" t="n">
        <f aca="false">IFERROR(IF(OR(BT1569=1,BT1569=2,BT1569=3),N(INDEX(Parameter!$I$5:$I$7,BT1569)),0),0)</f>
        <v>0</v>
      </c>
      <c r="CD1569" s="59" t="n">
        <f aca="false">IF(AND(Parameter!$B$21="Ja",ISNUMBER(U1569),N(V1569)&gt;0),IFERROR(N(INDEX(Parameter!$L$5:$L$7,U1569))*INDEX(Parameter!$E$5:$E$7,U1569)*V1569/SUMIFS($V$7:$V$1576,$U$7:$U$1576,U1569),0),0)</f>
        <v>0</v>
      </c>
    </row>
    <row r="1570" customFormat="false" ht="15" hidden="false" customHeight="false" outlineLevel="0" collapsed="false">
      <c r="A1570" s="55" t="str">
        <f aca="false">IF('Neue Artikel'!$A$98="","",'Neue Artikel'!$A$98&amp;"")</f>
        <v/>
      </c>
      <c r="B1570" s="55" t="str">
        <f aca="false">'Neue Artikel'!$B$98&amp;""</f>
        <v/>
      </c>
      <c r="C1570" s="55"/>
      <c r="D1570" s="55" t="s">
        <v>2561</v>
      </c>
      <c r="E1570" s="55"/>
      <c r="F1570" s="56" t="n">
        <f aca="false">N('Neue Artikel'!$G$98)</f>
        <v>0</v>
      </c>
      <c r="G1570" s="57" t="n">
        <f aca="false">MAX(0,IF(AND(Parameter!$B$21="Ja",ISNUMBER(W1570)),W1570,IF(Parameter!$B$20="Jahresanfang 2025 + Export",BJ1570+BI1570,BI1570)))</f>
        <v>0</v>
      </c>
      <c r="H1570" s="57" t="n">
        <f aca="false">G1570*F1570</f>
        <v>0</v>
      </c>
      <c r="I1570" s="57" t="n">
        <f aca="false">BL1570*Parameter!$B$18</f>
        <v>0</v>
      </c>
      <c r="J1570" s="58"/>
      <c r="K1570" s="59"/>
      <c r="L1570" s="57" t="n">
        <f aca="false">N('Neue Artikel'!$E$98)</f>
        <v>0</v>
      </c>
      <c r="M1570" s="57" t="n">
        <f aca="false">N('Neue Artikel'!$F$98)</f>
        <v>0</v>
      </c>
      <c r="N1570" s="60"/>
      <c r="O1570" s="55" t="str">
        <f aca="false">IF('Neue Artikel'!$H$98="","LOSE",UPPER(TRIM('Neue Artikel'!$H$98)))</f>
        <v>LOSE</v>
      </c>
      <c r="P1570" s="57" t="n">
        <f aca="false">N('Neue Artikel'!$I$98)</f>
        <v>0</v>
      </c>
      <c r="Q1570" s="60" t="n">
        <f aca="false">IF(BR1570=1,0,IFERROR(VLOOKUP(BP1570,'Gebinde-Kategorie'!$A$5:$M$45,13,0)+0,0))</f>
        <v>0</v>
      </c>
      <c r="R1570" s="61"/>
      <c r="S1570" s="62"/>
      <c r="T1570" s="62"/>
      <c r="U1570" s="55"/>
      <c r="V1570" s="57"/>
      <c r="W1570" s="57"/>
      <c r="X1570" s="55" t="str">
        <f aca="false">IF(A1570="","",IF(AND(Parameter!$B$21="Ja",ISNUMBER(U1570)),U1570,IF(IFERROR(VLOOKUP(D1570,Parameter!$A$35:$C$64,2,0),"Nein")="2+3",IF(ISNUMBER(SEARCH("grosser Artikel",BM1570)),2,IFERROR(VLOOKUP(BP1570,Parameter!$F$35:$G$64,2,0),2)),IF(OR(IFERROR(VLOOKUP(D1570,Parameter!$A$35:$C$64,2,0),"Nein")="Nein",IFERROR(VLOOKUP(D1570,Parameter!$A$35:$C$64,2,0),"Nein")=""),"-",VLOOKUP(D1570,Parameter!$A$35:$C$64,2,0)))))</f>
        <v/>
      </c>
      <c r="Y1570" s="55" t="str">
        <f aca="false">IF('Neue Artikel'!$J$98="","",'Neue Artikel'!$J$98)</f>
        <v/>
      </c>
      <c r="Z1570" s="63"/>
      <c r="AA1570" s="57" t="n">
        <f aca="false">AP1570</f>
        <v>0</v>
      </c>
      <c r="AB1570" s="57" t="n">
        <f aca="false">MAX(AP1570,G1570)</f>
        <v>0</v>
      </c>
      <c r="AC1570" s="64"/>
      <c r="AD1570" s="57" t="n">
        <f aca="false">IF(LEFT(Cockpit!$C$5,1)="A",G1570,IF(BW1570=1,BX1570,IF(LEFT(Cockpit!$C$5,1)="B",AH1570,MAX(AH1570,G1570))))</f>
        <v>0</v>
      </c>
      <c r="AE1570" s="57" t="n">
        <f aca="false">IF(BR1570=1,0,ROUNDUP(AD1570/BQ1570,0))</f>
        <v>0</v>
      </c>
      <c r="AF1570" s="59" t="n">
        <f aca="false">IF(CD1570&gt;0,CD1570*MAX(1,AD1570/V1570),IF(BR1570=1,IF(AD1570&lt;=0,0,BS1570*MAX(1,IF(G1570&gt;0,AD1570/G1570,1))),IF(Q1570&gt;0,AE1570/Q1570,0))/MAX(0.1,N(Parameter!$M$21)))</f>
        <v>0</v>
      </c>
      <c r="AG1570" s="57" t="n">
        <f aca="false">AD1570*F1570</f>
        <v>0</v>
      </c>
      <c r="AH1570" s="57" t="n">
        <f aca="false">ROUNDUP(MAX(I1570/IF(BV1570&gt;0,BV1570,MAX(0.1,N(Cockpit!$C$6))),BY1570)/BQ1570,0)*BQ1570</f>
        <v>0</v>
      </c>
      <c r="AI1570" s="58" t="n">
        <f aca="false">IF(AF1570&gt;0,I1570/AF1570,-1)</f>
        <v>-1</v>
      </c>
      <c r="AJ1570" s="58" t="str">
        <f aca="false">IF(AND(OR(BU1570="L1",BU1570="L23"),AF1570&gt;0),SUMIFS($AF$7:$AF$1576,$BU$7:$BU$1576,BU1570,$AI$7:$AI$1576,"&gt;"&amp;AI1570)+SUMIFS($AF$7:$AF$1576,$BU$7:$BU$1576,BU1570,$AI$7:$AI$1576,AI1570,$BO$7:$BO$1576,"&lt;="&amp;BO1570),"")</f>
        <v/>
      </c>
      <c r="AK1570" s="65" t="n">
        <f aca="false">IF(AJ1570="",0,MAX(0,MIN(1,(IF(BU1570="L1",Parameter!$E$5,Parameter!$E$6+Parameter!$E$7)-(AJ1570-AF1570))/AF1570)))</f>
        <v>0</v>
      </c>
      <c r="AL1570" s="57" t="n">
        <f aca="false">IF(LEFT(Cockpit!$I$5,1)="A",G1570,IF(BW1570=1,BX1570,IF(LEFT(Cockpit!$I$5,1)="B",AP1570,MAX(AP1570,G1570))))</f>
        <v>0</v>
      </c>
      <c r="AM1570" s="57" t="n">
        <f aca="false">IF(BR1570=1,0,ROUNDUP(AL1570/BQ1570,0))</f>
        <v>0</v>
      </c>
      <c r="AN1570" s="59" t="n">
        <f aca="false">IF(CD1570&gt;0,CD1570*MAX(1,AL1570/V1570),IF(BR1570=1,IF(AL1570&lt;=0,0,BS1570*MAX(1,IF(G1570&gt;0,AL1570/G1570,1))),IF(Q1570&gt;0,AM1570/Q1570,0))/MAX(0.1,N(Parameter!$M$21)))</f>
        <v>0</v>
      </c>
      <c r="AO1570" s="57" t="n">
        <f aca="false">AL1570*F1570</f>
        <v>0</v>
      </c>
      <c r="AP1570" s="57" t="n">
        <f aca="false">ROUNDUP(MAX(I1570/IF(BV1570&gt;0,BV1570,MAX(0.1,N(Cockpit!$I$6))),BY1570)/BQ1570,0)*BQ1570</f>
        <v>0</v>
      </c>
      <c r="AQ1570" s="58" t="n">
        <f aca="false">IF(AN1570&gt;0,I1570/AN1570,-1)</f>
        <v>-1</v>
      </c>
      <c r="AR1570" s="58" t="str">
        <f aca="false">IF(AND(OR(BU1570="L1",BU1570="L23"),AN1570&gt;0),SUMIFS($AN$7:$AN$1576,$BU$7:$BU$1576,BU1570,$AQ$7:$AQ$1576,"&gt;"&amp;AQ1570)+SUMIFS($AN$7:$AN$1576,$BU$7:$BU$1576,BU1570,$AQ$7:$AQ$1576,AQ1570,$BO$7:$BO$1576,"&lt;="&amp;BO1570),"")</f>
        <v/>
      </c>
      <c r="AS1570" s="65" t="n">
        <f aca="false">IF(AR1570="",0,MAX(0,MIN(1,(IF(BU1570="L1",Parameter!$E$5,Parameter!$E$6+Parameter!$E$7)-(AR1570-AN1570))/AN1570)))</f>
        <v>0</v>
      </c>
      <c r="AT1570" s="57" t="n">
        <f aca="false">IF(LEFT(Cockpit!$O$5,1)="A",G1570,IF(BW1570=1,BX1570,IF(LEFT(Cockpit!$O$5,1)="B",AX1570,MAX(AX1570,G1570))))</f>
        <v>0</v>
      </c>
      <c r="AU1570" s="57" t="n">
        <f aca="false">IF(BR1570=1,0,ROUNDUP(AT1570/BQ1570,0))</f>
        <v>0</v>
      </c>
      <c r="AV1570" s="59" t="n">
        <f aca="false">IF(CD1570&gt;0,CD1570*MAX(1,AT1570/V1570),IF(BR1570=1,IF(AT1570&lt;=0,0,BS1570*MAX(1,IF(G1570&gt;0,AT1570/G1570,1))),IF(Q1570&gt;0,AU1570/Q1570,0))/MAX(0.1,N(Parameter!$M$21)))</f>
        <v>0</v>
      </c>
      <c r="AW1570" s="57" t="n">
        <f aca="false">AT1570*F1570</f>
        <v>0</v>
      </c>
      <c r="AX1570" s="57" t="n">
        <f aca="false">ROUNDUP(MAX(I1570/IF(BV1570&gt;0,BV1570,MAX(0.1,N(Cockpit!$O$6))),BY1570)/BQ1570,0)*BQ1570</f>
        <v>0</v>
      </c>
      <c r="AY1570" s="58" t="n">
        <f aca="false">IF(AV1570&gt;0,I1570/AV1570,-1)</f>
        <v>-1</v>
      </c>
      <c r="AZ1570" s="58" t="str">
        <f aca="false">IF(AND(OR(BU1570="L1",BU1570="L23"),AV1570&gt;0),SUMIFS($AV$7:$AV$1576,$BU$7:$BU$1576,BU1570,$AY$7:$AY$1576,"&gt;"&amp;AY1570)+SUMIFS($AV$7:$AV$1576,$BU$7:$BU$1576,BU1570,$AY$7:$AY$1576,AY1570,$BO$7:$BO$1576,"&lt;="&amp;BO1570),"")</f>
        <v/>
      </c>
      <c r="BA1570" s="65" t="n">
        <f aca="false">IF(AZ1570="",0,MAX(0,MIN(1,(IF(BU1570="L1",Parameter!$E$5,Parameter!$E$6+Parameter!$E$7)-(AZ1570-AV1570))/AV1570)))</f>
        <v>0</v>
      </c>
      <c r="BB1570" s="55" t="str">
        <f aca="false">IF(AF1570&lt;=0,"",IF(BU1570="Aussen","Aussenlager",IF(BU1570="-","Nicht im Lift",IF(AK1570&gt;=1,"Lift",IF(AK1570&lt;=0,"Aussenlager","teilweise")))))</f>
        <v/>
      </c>
      <c r="BC1570" s="55" t="str">
        <f aca="false">IF(AN1570&lt;=0,"",IF(BU1570="Aussen","Aussenlager",IF(BU1570="-","Nicht im Lift",IF(AS1570&gt;=1,"Lift",IF(AS1570&lt;=0,"Aussenlager","teilweise")))))</f>
        <v/>
      </c>
      <c r="BD1570" s="55" t="str">
        <f aca="false">IF(AV1570&lt;=0,"",IF(BU1570="Aussen","Aussenlager",IF(BU1570="-","Nicht im Lift",IF(BA1570&gt;=1,"Lift",IF(BA1570&lt;=0,"Aussenlager","teilweise")))))</f>
        <v/>
      </c>
      <c r="BE1570" s="55" t="str">
        <f aca="false">IF(A1570="","",IF(BN1570=1,"Neu; ","")&amp;IF(AND(BN1570=0,BI1570&lt;0),"negativer Bestand (Export "&amp;BI1570&amp;"); ","")&amp;IF(I1570&lt;=0,"Kein Verbrauch; ","")&amp;IF(CD1570&gt;0,"Lift "&amp;U1570&amp;" lt. Liftbericht (Fach "&amp;V1570&amp;" Stk); ",IF(BR1570=1,"Lose – Fläche geschätzt; ",""))&amp;IF(G1570&gt;AP1570,"Überbestand "&amp;ROUND(G1570-AP1570,0)&amp;" Stk / CHF "&amp;ROUND((G1570-AP1570)*F1570,0)&amp;"; ","")&amp;IF(AND(BW1570=1,BX1570&lt;BY1570),"MAX &lt; MB+LG; ","")&amp;IF(AND(CC1570&gt;0,CB1570*10&gt;CC1570),"zu hoch für Tablar; ","")&amp;IF(AND(BN1570=0,OR(BW1570=1,Y1570&lt;&gt;"",S1570&lt;&gt;"",T1570&lt;&gt;"",Z1570&lt;&gt;"")),"manuell übersteuert; ","")&amp;IF(AND(BR1570=0,Q1570=0),"Gebinde unbekannt / Stellmass fehlt; ","")&amp;IF(AND(BR1570=0,N(T1570)&lt;=0,N(P1570)&lt;=0),"Menge pro Gebinde fehlt (Ist = 1 Gebinde); ","")&amp;BM1570)</f>
        <v/>
      </c>
      <c r="BF1570" s="55"/>
      <c r="BG1570" s="55"/>
      <c r="BH1570" s="62"/>
      <c r="BI1570" s="57" t="n">
        <f aca="false">N('Neue Artikel'!$D$98)</f>
        <v>0</v>
      </c>
      <c r="BJ1570" s="57" t="n">
        <v>0</v>
      </c>
      <c r="BK1570" s="56" t="n">
        <v>0</v>
      </c>
      <c r="BL1570" s="57" t="n">
        <f aca="false">N('Neue Artikel'!$C$98)/Parameter!$B$18</f>
        <v>0</v>
      </c>
      <c r="BM1570" s="55"/>
      <c r="BN1570" s="60" t="n">
        <v>1</v>
      </c>
      <c r="BO1570" s="60" t="n">
        <v>1570</v>
      </c>
      <c r="BP1570" s="55" t="str">
        <f aca="false">IF(S1570&lt;&gt;"",UPPER(TRIM(S1570)),IF(O1570="","LOSE",O1570))</f>
        <v>LOSE</v>
      </c>
      <c r="BQ1570" s="57" t="n">
        <f aca="false">IF(BP1570="LOSE",1,IF(N(T1570)&gt;0,T1570,IF(N(P1570)&gt;0,P1570,MAX(1,G1570))))</f>
        <v>1</v>
      </c>
      <c r="BR1570" s="60" t="n">
        <f aca="false">IF(BP1570="LOSE",1,0)</f>
        <v>1</v>
      </c>
      <c r="BS1570" s="59" t="n">
        <f aca="false">IF(BR1570=0,0,IF(N(R1570)&gt;0,R1570,IFERROR(VLOOKUP(D1570,Parameter!$A$35:$C$64,3,0)+0,0)))</f>
        <v>0.15</v>
      </c>
      <c r="BT1570" s="55" t="str">
        <f aca="false">IF(Y1570&lt;&gt;"",Y1570,X1570)</f>
        <v/>
      </c>
      <c r="BU1570" s="55" t="str">
        <f aca="false">IF(BT1570=1,"L1",IF(OR(BT1570=2,BT1570=3),"L23",IF(BT1570="Aussen","Aussen","-")))</f>
        <v>-</v>
      </c>
      <c r="BV1570" s="66" t="n">
        <f aca="false">IF(N(Z1570)&gt;0,Z1570,0)</f>
        <v>0</v>
      </c>
      <c r="BW1570" s="60" t="n">
        <f aca="false">IF(ISNUMBER(AC1570),1,0)</f>
        <v>0</v>
      </c>
      <c r="BX1570" s="57" t="n">
        <f aca="false">N(AC1570)</f>
        <v>0</v>
      </c>
      <c r="BY1570" s="57" t="n">
        <f aca="false">N(L1570)+N(M1570)</f>
        <v>0</v>
      </c>
      <c r="BZ1570" s="57" t="n">
        <f aca="false">ROUNDUP(G1570/BQ1570,0)</f>
        <v>0</v>
      </c>
      <c r="CA1570" s="57" t="n">
        <f aca="false">ROUNDUP(BX1570/BQ1570,0)</f>
        <v>0</v>
      </c>
      <c r="CB1570" s="60" t="n">
        <f aca="false">IF(BR1570=1,0,IFERROR(VLOOKUP(BP1570,'Gebinde-Kategorie'!$A$5:$M$45,5,0)+0,0))</f>
        <v>0</v>
      </c>
      <c r="CC1570" s="60" t="n">
        <f aca="false">IFERROR(IF(OR(BT1570=1,BT1570=2,BT1570=3),N(INDEX(Parameter!$I$5:$I$7,BT1570)),0),0)</f>
        <v>0</v>
      </c>
      <c r="CD1570" s="59" t="n">
        <f aca="false">IF(AND(Parameter!$B$21="Ja",ISNUMBER(U1570),N(V1570)&gt;0),IFERROR(N(INDEX(Parameter!$L$5:$L$7,U1570))*INDEX(Parameter!$E$5:$E$7,U1570)*V1570/SUMIFS($V$7:$V$1576,$U$7:$U$1576,U1570),0),0)</f>
        <v>0</v>
      </c>
    </row>
    <row r="1571" customFormat="false" ht="15" hidden="false" customHeight="false" outlineLevel="0" collapsed="false">
      <c r="A1571" s="55" t="str">
        <f aca="false">IF('Neue Artikel'!$A$99="","",'Neue Artikel'!$A$99&amp;"")</f>
        <v/>
      </c>
      <c r="B1571" s="55" t="str">
        <f aca="false">'Neue Artikel'!$B$99&amp;""</f>
        <v/>
      </c>
      <c r="C1571" s="55"/>
      <c r="D1571" s="55" t="s">
        <v>2561</v>
      </c>
      <c r="E1571" s="55"/>
      <c r="F1571" s="56" t="n">
        <f aca="false">N('Neue Artikel'!$G$99)</f>
        <v>0</v>
      </c>
      <c r="G1571" s="57" t="n">
        <f aca="false">MAX(0,IF(AND(Parameter!$B$21="Ja",ISNUMBER(W1571)),W1571,IF(Parameter!$B$20="Jahresanfang 2025 + Export",BJ1571+BI1571,BI1571)))</f>
        <v>0</v>
      </c>
      <c r="H1571" s="57" t="n">
        <f aca="false">G1571*F1571</f>
        <v>0</v>
      </c>
      <c r="I1571" s="57" t="n">
        <f aca="false">BL1571*Parameter!$B$18</f>
        <v>0</v>
      </c>
      <c r="J1571" s="58"/>
      <c r="K1571" s="59"/>
      <c r="L1571" s="57" t="n">
        <f aca="false">N('Neue Artikel'!$E$99)</f>
        <v>0</v>
      </c>
      <c r="M1571" s="57" t="n">
        <f aca="false">N('Neue Artikel'!$F$99)</f>
        <v>0</v>
      </c>
      <c r="N1571" s="60"/>
      <c r="O1571" s="55" t="str">
        <f aca="false">IF('Neue Artikel'!$H$99="","LOSE",UPPER(TRIM('Neue Artikel'!$H$99)))</f>
        <v>LOSE</v>
      </c>
      <c r="P1571" s="57" t="n">
        <f aca="false">N('Neue Artikel'!$I$99)</f>
        <v>0</v>
      </c>
      <c r="Q1571" s="60" t="n">
        <f aca="false">IF(BR1571=1,0,IFERROR(VLOOKUP(BP1571,'Gebinde-Kategorie'!$A$5:$M$45,13,0)+0,0))</f>
        <v>0</v>
      </c>
      <c r="R1571" s="61"/>
      <c r="S1571" s="62"/>
      <c r="T1571" s="62"/>
      <c r="U1571" s="55"/>
      <c r="V1571" s="57"/>
      <c r="W1571" s="57"/>
      <c r="X1571" s="55" t="str">
        <f aca="false">IF(A1571="","",IF(AND(Parameter!$B$21="Ja",ISNUMBER(U1571)),U1571,IF(IFERROR(VLOOKUP(D1571,Parameter!$A$35:$C$64,2,0),"Nein")="2+3",IF(ISNUMBER(SEARCH("grosser Artikel",BM1571)),2,IFERROR(VLOOKUP(BP1571,Parameter!$F$35:$G$64,2,0),2)),IF(OR(IFERROR(VLOOKUP(D1571,Parameter!$A$35:$C$64,2,0),"Nein")="Nein",IFERROR(VLOOKUP(D1571,Parameter!$A$35:$C$64,2,0),"Nein")=""),"-",VLOOKUP(D1571,Parameter!$A$35:$C$64,2,0)))))</f>
        <v/>
      </c>
      <c r="Y1571" s="55" t="str">
        <f aca="false">IF('Neue Artikel'!$J$99="","",'Neue Artikel'!$J$99)</f>
        <v/>
      </c>
      <c r="Z1571" s="63"/>
      <c r="AA1571" s="57" t="n">
        <f aca="false">AP1571</f>
        <v>0</v>
      </c>
      <c r="AB1571" s="57" t="n">
        <f aca="false">MAX(AP1571,G1571)</f>
        <v>0</v>
      </c>
      <c r="AC1571" s="64"/>
      <c r="AD1571" s="57" t="n">
        <f aca="false">IF(LEFT(Cockpit!$C$5,1)="A",G1571,IF(BW1571=1,BX1571,IF(LEFT(Cockpit!$C$5,1)="B",AH1571,MAX(AH1571,G1571))))</f>
        <v>0</v>
      </c>
      <c r="AE1571" s="57" t="n">
        <f aca="false">IF(BR1571=1,0,ROUNDUP(AD1571/BQ1571,0))</f>
        <v>0</v>
      </c>
      <c r="AF1571" s="59" t="n">
        <f aca="false">IF(CD1571&gt;0,CD1571*MAX(1,AD1571/V1571),IF(BR1571=1,IF(AD1571&lt;=0,0,BS1571*MAX(1,IF(G1571&gt;0,AD1571/G1571,1))),IF(Q1571&gt;0,AE1571/Q1571,0))/MAX(0.1,N(Parameter!$M$21)))</f>
        <v>0</v>
      </c>
      <c r="AG1571" s="57" t="n">
        <f aca="false">AD1571*F1571</f>
        <v>0</v>
      </c>
      <c r="AH1571" s="57" t="n">
        <f aca="false">ROUNDUP(MAX(I1571/IF(BV1571&gt;0,BV1571,MAX(0.1,N(Cockpit!$C$6))),BY1571)/BQ1571,0)*BQ1571</f>
        <v>0</v>
      </c>
      <c r="AI1571" s="58" t="n">
        <f aca="false">IF(AF1571&gt;0,I1571/AF1571,-1)</f>
        <v>-1</v>
      </c>
      <c r="AJ1571" s="58" t="str">
        <f aca="false">IF(AND(OR(BU1571="L1",BU1571="L23"),AF1571&gt;0),SUMIFS($AF$7:$AF$1576,$BU$7:$BU$1576,BU1571,$AI$7:$AI$1576,"&gt;"&amp;AI1571)+SUMIFS($AF$7:$AF$1576,$BU$7:$BU$1576,BU1571,$AI$7:$AI$1576,AI1571,$BO$7:$BO$1576,"&lt;="&amp;BO1571),"")</f>
        <v/>
      </c>
      <c r="AK1571" s="65" t="n">
        <f aca="false">IF(AJ1571="",0,MAX(0,MIN(1,(IF(BU1571="L1",Parameter!$E$5,Parameter!$E$6+Parameter!$E$7)-(AJ1571-AF1571))/AF1571)))</f>
        <v>0</v>
      </c>
      <c r="AL1571" s="57" t="n">
        <f aca="false">IF(LEFT(Cockpit!$I$5,1)="A",G1571,IF(BW1571=1,BX1571,IF(LEFT(Cockpit!$I$5,1)="B",AP1571,MAX(AP1571,G1571))))</f>
        <v>0</v>
      </c>
      <c r="AM1571" s="57" t="n">
        <f aca="false">IF(BR1571=1,0,ROUNDUP(AL1571/BQ1571,0))</f>
        <v>0</v>
      </c>
      <c r="AN1571" s="59" t="n">
        <f aca="false">IF(CD1571&gt;0,CD1571*MAX(1,AL1571/V1571),IF(BR1571=1,IF(AL1571&lt;=0,0,BS1571*MAX(1,IF(G1571&gt;0,AL1571/G1571,1))),IF(Q1571&gt;0,AM1571/Q1571,0))/MAX(0.1,N(Parameter!$M$21)))</f>
        <v>0</v>
      </c>
      <c r="AO1571" s="57" t="n">
        <f aca="false">AL1571*F1571</f>
        <v>0</v>
      </c>
      <c r="AP1571" s="57" t="n">
        <f aca="false">ROUNDUP(MAX(I1571/IF(BV1571&gt;0,BV1571,MAX(0.1,N(Cockpit!$I$6))),BY1571)/BQ1571,0)*BQ1571</f>
        <v>0</v>
      </c>
      <c r="AQ1571" s="58" t="n">
        <f aca="false">IF(AN1571&gt;0,I1571/AN1571,-1)</f>
        <v>-1</v>
      </c>
      <c r="AR1571" s="58" t="str">
        <f aca="false">IF(AND(OR(BU1571="L1",BU1571="L23"),AN1571&gt;0),SUMIFS($AN$7:$AN$1576,$BU$7:$BU$1576,BU1571,$AQ$7:$AQ$1576,"&gt;"&amp;AQ1571)+SUMIFS($AN$7:$AN$1576,$BU$7:$BU$1576,BU1571,$AQ$7:$AQ$1576,AQ1571,$BO$7:$BO$1576,"&lt;="&amp;BO1571),"")</f>
        <v/>
      </c>
      <c r="AS1571" s="65" t="n">
        <f aca="false">IF(AR1571="",0,MAX(0,MIN(1,(IF(BU1571="L1",Parameter!$E$5,Parameter!$E$6+Parameter!$E$7)-(AR1571-AN1571))/AN1571)))</f>
        <v>0</v>
      </c>
      <c r="AT1571" s="57" t="n">
        <f aca="false">IF(LEFT(Cockpit!$O$5,1)="A",G1571,IF(BW1571=1,BX1571,IF(LEFT(Cockpit!$O$5,1)="B",AX1571,MAX(AX1571,G1571))))</f>
        <v>0</v>
      </c>
      <c r="AU1571" s="57" t="n">
        <f aca="false">IF(BR1571=1,0,ROUNDUP(AT1571/BQ1571,0))</f>
        <v>0</v>
      </c>
      <c r="AV1571" s="59" t="n">
        <f aca="false">IF(CD1571&gt;0,CD1571*MAX(1,AT1571/V1571),IF(BR1571=1,IF(AT1571&lt;=0,0,BS1571*MAX(1,IF(G1571&gt;0,AT1571/G1571,1))),IF(Q1571&gt;0,AU1571/Q1571,0))/MAX(0.1,N(Parameter!$M$21)))</f>
        <v>0</v>
      </c>
      <c r="AW1571" s="57" t="n">
        <f aca="false">AT1571*F1571</f>
        <v>0</v>
      </c>
      <c r="AX1571" s="57" t="n">
        <f aca="false">ROUNDUP(MAX(I1571/IF(BV1571&gt;0,BV1571,MAX(0.1,N(Cockpit!$O$6))),BY1571)/BQ1571,0)*BQ1571</f>
        <v>0</v>
      </c>
      <c r="AY1571" s="58" t="n">
        <f aca="false">IF(AV1571&gt;0,I1571/AV1571,-1)</f>
        <v>-1</v>
      </c>
      <c r="AZ1571" s="58" t="str">
        <f aca="false">IF(AND(OR(BU1571="L1",BU1571="L23"),AV1571&gt;0),SUMIFS($AV$7:$AV$1576,$BU$7:$BU$1576,BU1571,$AY$7:$AY$1576,"&gt;"&amp;AY1571)+SUMIFS($AV$7:$AV$1576,$BU$7:$BU$1576,BU1571,$AY$7:$AY$1576,AY1571,$BO$7:$BO$1576,"&lt;="&amp;BO1571),"")</f>
        <v/>
      </c>
      <c r="BA1571" s="65" t="n">
        <f aca="false">IF(AZ1571="",0,MAX(0,MIN(1,(IF(BU1571="L1",Parameter!$E$5,Parameter!$E$6+Parameter!$E$7)-(AZ1571-AV1571))/AV1571)))</f>
        <v>0</v>
      </c>
      <c r="BB1571" s="55" t="str">
        <f aca="false">IF(AF1571&lt;=0,"",IF(BU1571="Aussen","Aussenlager",IF(BU1571="-","Nicht im Lift",IF(AK1571&gt;=1,"Lift",IF(AK1571&lt;=0,"Aussenlager","teilweise")))))</f>
        <v/>
      </c>
      <c r="BC1571" s="55" t="str">
        <f aca="false">IF(AN1571&lt;=0,"",IF(BU1571="Aussen","Aussenlager",IF(BU1571="-","Nicht im Lift",IF(AS1571&gt;=1,"Lift",IF(AS1571&lt;=0,"Aussenlager","teilweise")))))</f>
        <v/>
      </c>
      <c r="BD1571" s="55" t="str">
        <f aca="false">IF(AV1571&lt;=0,"",IF(BU1571="Aussen","Aussenlager",IF(BU1571="-","Nicht im Lift",IF(BA1571&gt;=1,"Lift",IF(BA1571&lt;=0,"Aussenlager","teilweise")))))</f>
        <v/>
      </c>
      <c r="BE1571" s="55" t="str">
        <f aca="false">IF(A1571="","",IF(BN1571=1,"Neu; ","")&amp;IF(AND(BN1571=0,BI1571&lt;0),"negativer Bestand (Export "&amp;BI1571&amp;"); ","")&amp;IF(I1571&lt;=0,"Kein Verbrauch; ","")&amp;IF(CD1571&gt;0,"Lift "&amp;U1571&amp;" lt. Liftbericht (Fach "&amp;V1571&amp;" Stk); ",IF(BR1571=1,"Lose – Fläche geschätzt; ",""))&amp;IF(G1571&gt;AP1571,"Überbestand "&amp;ROUND(G1571-AP1571,0)&amp;" Stk / CHF "&amp;ROUND((G1571-AP1571)*F1571,0)&amp;"; ","")&amp;IF(AND(BW1571=1,BX1571&lt;BY1571),"MAX &lt; MB+LG; ","")&amp;IF(AND(CC1571&gt;0,CB1571*10&gt;CC1571),"zu hoch für Tablar; ","")&amp;IF(AND(BN1571=0,OR(BW1571=1,Y1571&lt;&gt;"",S1571&lt;&gt;"",T1571&lt;&gt;"",Z1571&lt;&gt;"")),"manuell übersteuert; ","")&amp;IF(AND(BR1571=0,Q1571=0),"Gebinde unbekannt / Stellmass fehlt; ","")&amp;IF(AND(BR1571=0,N(T1571)&lt;=0,N(P1571)&lt;=0),"Menge pro Gebinde fehlt (Ist = 1 Gebinde); ","")&amp;BM1571)</f>
        <v/>
      </c>
      <c r="BF1571" s="55"/>
      <c r="BG1571" s="55"/>
      <c r="BH1571" s="62"/>
      <c r="BI1571" s="57" t="n">
        <f aca="false">N('Neue Artikel'!$D$99)</f>
        <v>0</v>
      </c>
      <c r="BJ1571" s="57" t="n">
        <v>0</v>
      </c>
      <c r="BK1571" s="56" t="n">
        <v>0</v>
      </c>
      <c r="BL1571" s="57" t="n">
        <f aca="false">N('Neue Artikel'!$C$99)/Parameter!$B$18</f>
        <v>0</v>
      </c>
      <c r="BM1571" s="55"/>
      <c r="BN1571" s="60" t="n">
        <v>1</v>
      </c>
      <c r="BO1571" s="60" t="n">
        <v>1571</v>
      </c>
      <c r="BP1571" s="55" t="str">
        <f aca="false">IF(S1571&lt;&gt;"",UPPER(TRIM(S1571)),IF(O1571="","LOSE",O1571))</f>
        <v>LOSE</v>
      </c>
      <c r="BQ1571" s="57" t="n">
        <f aca="false">IF(BP1571="LOSE",1,IF(N(T1571)&gt;0,T1571,IF(N(P1571)&gt;0,P1571,MAX(1,G1571))))</f>
        <v>1</v>
      </c>
      <c r="BR1571" s="60" t="n">
        <f aca="false">IF(BP1571="LOSE",1,0)</f>
        <v>1</v>
      </c>
      <c r="BS1571" s="59" t="n">
        <f aca="false">IF(BR1571=0,0,IF(N(R1571)&gt;0,R1571,IFERROR(VLOOKUP(D1571,Parameter!$A$35:$C$64,3,0)+0,0)))</f>
        <v>0.15</v>
      </c>
      <c r="BT1571" s="55" t="str">
        <f aca="false">IF(Y1571&lt;&gt;"",Y1571,X1571)</f>
        <v/>
      </c>
      <c r="BU1571" s="55" t="str">
        <f aca="false">IF(BT1571=1,"L1",IF(OR(BT1571=2,BT1571=3),"L23",IF(BT1571="Aussen","Aussen","-")))</f>
        <v>-</v>
      </c>
      <c r="BV1571" s="66" t="n">
        <f aca="false">IF(N(Z1571)&gt;0,Z1571,0)</f>
        <v>0</v>
      </c>
      <c r="BW1571" s="60" t="n">
        <f aca="false">IF(ISNUMBER(AC1571),1,0)</f>
        <v>0</v>
      </c>
      <c r="BX1571" s="57" t="n">
        <f aca="false">N(AC1571)</f>
        <v>0</v>
      </c>
      <c r="BY1571" s="57" t="n">
        <f aca="false">N(L1571)+N(M1571)</f>
        <v>0</v>
      </c>
      <c r="BZ1571" s="57" t="n">
        <f aca="false">ROUNDUP(G1571/BQ1571,0)</f>
        <v>0</v>
      </c>
      <c r="CA1571" s="57" t="n">
        <f aca="false">ROUNDUP(BX1571/BQ1571,0)</f>
        <v>0</v>
      </c>
      <c r="CB1571" s="60" t="n">
        <f aca="false">IF(BR1571=1,0,IFERROR(VLOOKUP(BP1571,'Gebinde-Kategorie'!$A$5:$M$45,5,0)+0,0))</f>
        <v>0</v>
      </c>
      <c r="CC1571" s="60" t="n">
        <f aca="false">IFERROR(IF(OR(BT1571=1,BT1571=2,BT1571=3),N(INDEX(Parameter!$I$5:$I$7,BT1571)),0),0)</f>
        <v>0</v>
      </c>
      <c r="CD1571" s="59" t="n">
        <f aca="false">IF(AND(Parameter!$B$21="Ja",ISNUMBER(U1571),N(V1571)&gt;0),IFERROR(N(INDEX(Parameter!$L$5:$L$7,U1571))*INDEX(Parameter!$E$5:$E$7,U1571)*V1571/SUMIFS($V$7:$V$1576,$U$7:$U$1576,U1571),0),0)</f>
        <v>0</v>
      </c>
    </row>
    <row r="1572" customFormat="false" ht="15" hidden="false" customHeight="false" outlineLevel="0" collapsed="false">
      <c r="A1572" s="55" t="str">
        <f aca="false">IF('Neue Artikel'!$A$100="","",'Neue Artikel'!$A$100&amp;"")</f>
        <v/>
      </c>
      <c r="B1572" s="55" t="str">
        <f aca="false">'Neue Artikel'!$B$100&amp;""</f>
        <v/>
      </c>
      <c r="C1572" s="55"/>
      <c r="D1572" s="55" t="s">
        <v>2561</v>
      </c>
      <c r="E1572" s="55"/>
      <c r="F1572" s="56" t="n">
        <f aca="false">N('Neue Artikel'!$G$100)</f>
        <v>0</v>
      </c>
      <c r="G1572" s="57" t="n">
        <f aca="false">MAX(0,IF(AND(Parameter!$B$21="Ja",ISNUMBER(W1572)),W1572,IF(Parameter!$B$20="Jahresanfang 2025 + Export",BJ1572+BI1572,BI1572)))</f>
        <v>0</v>
      </c>
      <c r="H1572" s="57" t="n">
        <f aca="false">G1572*F1572</f>
        <v>0</v>
      </c>
      <c r="I1572" s="57" t="n">
        <f aca="false">BL1572*Parameter!$B$18</f>
        <v>0</v>
      </c>
      <c r="J1572" s="58"/>
      <c r="K1572" s="59"/>
      <c r="L1572" s="57" t="n">
        <f aca="false">N('Neue Artikel'!$E$100)</f>
        <v>0</v>
      </c>
      <c r="M1572" s="57" t="n">
        <f aca="false">N('Neue Artikel'!$F$100)</f>
        <v>0</v>
      </c>
      <c r="N1572" s="60"/>
      <c r="O1572" s="55" t="str">
        <f aca="false">IF('Neue Artikel'!$H$100="","LOSE",UPPER(TRIM('Neue Artikel'!$H$100)))</f>
        <v>LOSE</v>
      </c>
      <c r="P1572" s="57" t="n">
        <f aca="false">N('Neue Artikel'!$I$100)</f>
        <v>0</v>
      </c>
      <c r="Q1572" s="60" t="n">
        <f aca="false">IF(BR1572=1,0,IFERROR(VLOOKUP(BP1572,'Gebinde-Kategorie'!$A$5:$M$45,13,0)+0,0))</f>
        <v>0</v>
      </c>
      <c r="R1572" s="61"/>
      <c r="S1572" s="62"/>
      <c r="T1572" s="62"/>
      <c r="U1572" s="55"/>
      <c r="V1572" s="57"/>
      <c r="W1572" s="57"/>
      <c r="X1572" s="55" t="str">
        <f aca="false">IF(A1572="","",IF(AND(Parameter!$B$21="Ja",ISNUMBER(U1572)),U1572,IF(IFERROR(VLOOKUP(D1572,Parameter!$A$35:$C$64,2,0),"Nein")="2+3",IF(ISNUMBER(SEARCH("grosser Artikel",BM1572)),2,IFERROR(VLOOKUP(BP1572,Parameter!$F$35:$G$64,2,0),2)),IF(OR(IFERROR(VLOOKUP(D1572,Parameter!$A$35:$C$64,2,0),"Nein")="Nein",IFERROR(VLOOKUP(D1572,Parameter!$A$35:$C$64,2,0),"Nein")=""),"-",VLOOKUP(D1572,Parameter!$A$35:$C$64,2,0)))))</f>
        <v/>
      </c>
      <c r="Y1572" s="55" t="str">
        <f aca="false">IF('Neue Artikel'!$J$100="","",'Neue Artikel'!$J$100)</f>
        <v/>
      </c>
      <c r="Z1572" s="63"/>
      <c r="AA1572" s="57" t="n">
        <f aca="false">AP1572</f>
        <v>0</v>
      </c>
      <c r="AB1572" s="57" t="n">
        <f aca="false">MAX(AP1572,G1572)</f>
        <v>0</v>
      </c>
      <c r="AC1572" s="64"/>
      <c r="AD1572" s="57" t="n">
        <f aca="false">IF(LEFT(Cockpit!$C$5,1)="A",G1572,IF(BW1572=1,BX1572,IF(LEFT(Cockpit!$C$5,1)="B",AH1572,MAX(AH1572,G1572))))</f>
        <v>0</v>
      </c>
      <c r="AE1572" s="57" t="n">
        <f aca="false">IF(BR1572=1,0,ROUNDUP(AD1572/BQ1572,0))</f>
        <v>0</v>
      </c>
      <c r="AF1572" s="59" t="n">
        <f aca="false">IF(CD1572&gt;0,CD1572*MAX(1,AD1572/V1572),IF(BR1572=1,IF(AD1572&lt;=0,0,BS1572*MAX(1,IF(G1572&gt;0,AD1572/G1572,1))),IF(Q1572&gt;0,AE1572/Q1572,0))/MAX(0.1,N(Parameter!$M$21)))</f>
        <v>0</v>
      </c>
      <c r="AG1572" s="57" t="n">
        <f aca="false">AD1572*F1572</f>
        <v>0</v>
      </c>
      <c r="AH1572" s="57" t="n">
        <f aca="false">ROUNDUP(MAX(I1572/IF(BV1572&gt;0,BV1572,MAX(0.1,N(Cockpit!$C$6))),BY1572)/BQ1572,0)*BQ1572</f>
        <v>0</v>
      </c>
      <c r="AI1572" s="58" t="n">
        <f aca="false">IF(AF1572&gt;0,I1572/AF1572,-1)</f>
        <v>-1</v>
      </c>
      <c r="AJ1572" s="58" t="str">
        <f aca="false">IF(AND(OR(BU1572="L1",BU1572="L23"),AF1572&gt;0),SUMIFS($AF$7:$AF$1576,$BU$7:$BU$1576,BU1572,$AI$7:$AI$1576,"&gt;"&amp;AI1572)+SUMIFS($AF$7:$AF$1576,$BU$7:$BU$1576,BU1572,$AI$7:$AI$1576,AI1572,$BO$7:$BO$1576,"&lt;="&amp;BO1572),"")</f>
        <v/>
      </c>
      <c r="AK1572" s="65" t="n">
        <f aca="false">IF(AJ1572="",0,MAX(0,MIN(1,(IF(BU1572="L1",Parameter!$E$5,Parameter!$E$6+Parameter!$E$7)-(AJ1572-AF1572))/AF1572)))</f>
        <v>0</v>
      </c>
      <c r="AL1572" s="57" t="n">
        <f aca="false">IF(LEFT(Cockpit!$I$5,1)="A",G1572,IF(BW1572=1,BX1572,IF(LEFT(Cockpit!$I$5,1)="B",AP1572,MAX(AP1572,G1572))))</f>
        <v>0</v>
      </c>
      <c r="AM1572" s="57" t="n">
        <f aca="false">IF(BR1572=1,0,ROUNDUP(AL1572/BQ1572,0))</f>
        <v>0</v>
      </c>
      <c r="AN1572" s="59" t="n">
        <f aca="false">IF(CD1572&gt;0,CD1572*MAX(1,AL1572/V1572),IF(BR1572=1,IF(AL1572&lt;=0,0,BS1572*MAX(1,IF(G1572&gt;0,AL1572/G1572,1))),IF(Q1572&gt;0,AM1572/Q1572,0))/MAX(0.1,N(Parameter!$M$21)))</f>
        <v>0</v>
      </c>
      <c r="AO1572" s="57" t="n">
        <f aca="false">AL1572*F1572</f>
        <v>0</v>
      </c>
      <c r="AP1572" s="57" t="n">
        <f aca="false">ROUNDUP(MAX(I1572/IF(BV1572&gt;0,BV1572,MAX(0.1,N(Cockpit!$I$6))),BY1572)/BQ1572,0)*BQ1572</f>
        <v>0</v>
      </c>
      <c r="AQ1572" s="58" t="n">
        <f aca="false">IF(AN1572&gt;0,I1572/AN1572,-1)</f>
        <v>-1</v>
      </c>
      <c r="AR1572" s="58" t="str">
        <f aca="false">IF(AND(OR(BU1572="L1",BU1572="L23"),AN1572&gt;0),SUMIFS($AN$7:$AN$1576,$BU$7:$BU$1576,BU1572,$AQ$7:$AQ$1576,"&gt;"&amp;AQ1572)+SUMIFS($AN$7:$AN$1576,$BU$7:$BU$1576,BU1572,$AQ$7:$AQ$1576,AQ1572,$BO$7:$BO$1576,"&lt;="&amp;BO1572),"")</f>
        <v/>
      </c>
      <c r="AS1572" s="65" t="n">
        <f aca="false">IF(AR1572="",0,MAX(0,MIN(1,(IF(BU1572="L1",Parameter!$E$5,Parameter!$E$6+Parameter!$E$7)-(AR1572-AN1572))/AN1572)))</f>
        <v>0</v>
      </c>
      <c r="AT1572" s="57" t="n">
        <f aca="false">IF(LEFT(Cockpit!$O$5,1)="A",G1572,IF(BW1572=1,BX1572,IF(LEFT(Cockpit!$O$5,1)="B",AX1572,MAX(AX1572,G1572))))</f>
        <v>0</v>
      </c>
      <c r="AU1572" s="57" t="n">
        <f aca="false">IF(BR1572=1,0,ROUNDUP(AT1572/BQ1572,0))</f>
        <v>0</v>
      </c>
      <c r="AV1572" s="59" t="n">
        <f aca="false">IF(CD1572&gt;0,CD1572*MAX(1,AT1572/V1572),IF(BR1572=1,IF(AT1572&lt;=0,0,BS1572*MAX(1,IF(G1572&gt;0,AT1572/G1572,1))),IF(Q1572&gt;0,AU1572/Q1572,0))/MAX(0.1,N(Parameter!$M$21)))</f>
        <v>0</v>
      </c>
      <c r="AW1572" s="57" t="n">
        <f aca="false">AT1572*F1572</f>
        <v>0</v>
      </c>
      <c r="AX1572" s="57" t="n">
        <f aca="false">ROUNDUP(MAX(I1572/IF(BV1572&gt;0,BV1572,MAX(0.1,N(Cockpit!$O$6))),BY1572)/BQ1572,0)*BQ1572</f>
        <v>0</v>
      </c>
      <c r="AY1572" s="58" t="n">
        <f aca="false">IF(AV1572&gt;0,I1572/AV1572,-1)</f>
        <v>-1</v>
      </c>
      <c r="AZ1572" s="58" t="str">
        <f aca="false">IF(AND(OR(BU1572="L1",BU1572="L23"),AV1572&gt;0),SUMIFS($AV$7:$AV$1576,$BU$7:$BU$1576,BU1572,$AY$7:$AY$1576,"&gt;"&amp;AY1572)+SUMIFS($AV$7:$AV$1576,$BU$7:$BU$1576,BU1572,$AY$7:$AY$1576,AY1572,$BO$7:$BO$1576,"&lt;="&amp;BO1572),"")</f>
        <v/>
      </c>
      <c r="BA1572" s="65" t="n">
        <f aca="false">IF(AZ1572="",0,MAX(0,MIN(1,(IF(BU1572="L1",Parameter!$E$5,Parameter!$E$6+Parameter!$E$7)-(AZ1572-AV1572))/AV1572)))</f>
        <v>0</v>
      </c>
      <c r="BB1572" s="55" t="str">
        <f aca="false">IF(AF1572&lt;=0,"",IF(BU1572="Aussen","Aussenlager",IF(BU1572="-","Nicht im Lift",IF(AK1572&gt;=1,"Lift",IF(AK1572&lt;=0,"Aussenlager","teilweise")))))</f>
        <v/>
      </c>
      <c r="BC1572" s="55" t="str">
        <f aca="false">IF(AN1572&lt;=0,"",IF(BU1572="Aussen","Aussenlager",IF(BU1572="-","Nicht im Lift",IF(AS1572&gt;=1,"Lift",IF(AS1572&lt;=0,"Aussenlager","teilweise")))))</f>
        <v/>
      </c>
      <c r="BD1572" s="55" t="str">
        <f aca="false">IF(AV1572&lt;=0,"",IF(BU1572="Aussen","Aussenlager",IF(BU1572="-","Nicht im Lift",IF(BA1572&gt;=1,"Lift",IF(BA1572&lt;=0,"Aussenlager","teilweise")))))</f>
        <v/>
      </c>
      <c r="BE1572" s="55" t="str">
        <f aca="false">IF(A1572="","",IF(BN1572=1,"Neu; ","")&amp;IF(AND(BN1572=0,BI1572&lt;0),"negativer Bestand (Export "&amp;BI1572&amp;"); ","")&amp;IF(I1572&lt;=0,"Kein Verbrauch; ","")&amp;IF(CD1572&gt;0,"Lift "&amp;U1572&amp;" lt. Liftbericht (Fach "&amp;V1572&amp;" Stk); ",IF(BR1572=1,"Lose – Fläche geschätzt; ",""))&amp;IF(G1572&gt;AP1572,"Überbestand "&amp;ROUND(G1572-AP1572,0)&amp;" Stk / CHF "&amp;ROUND((G1572-AP1572)*F1572,0)&amp;"; ","")&amp;IF(AND(BW1572=1,BX1572&lt;BY1572),"MAX &lt; MB+LG; ","")&amp;IF(AND(CC1572&gt;0,CB1572*10&gt;CC1572),"zu hoch für Tablar; ","")&amp;IF(AND(BN1572=0,OR(BW1572=1,Y1572&lt;&gt;"",S1572&lt;&gt;"",T1572&lt;&gt;"",Z1572&lt;&gt;"")),"manuell übersteuert; ","")&amp;IF(AND(BR1572=0,Q1572=0),"Gebinde unbekannt / Stellmass fehlt; ","")&amp;IF(AND(BR1572=0,N(T1572)&lt;=0,N(P1572)&lt;=0),"Menge pro Gebinde fehlt (Ist = 1 Gebinde); ","")&amp;BM1572)</f>
        <v/>
      </c>
      <c r="BF1572" s="55"/>
      <c r="BG1572" s="55"/>
      <c r="BH1572" s="62"/>
      <c r="BI1572" s="57" t="n">
        <f aca="false">N('Neue Artikel'!$D$100)</f>
        <v>0</v>
      </c>
      <c r="BJ1572" s="57" t="n">
        <v>0</v>
      </c>
      <c r="BK1572" s="56" t="n">
        <v>0</v>
      </c>
      <c r="BL1572" s="57" t="n">
        <f aca="false">N('Neue Artikel'!$C$100)/Parameter!$B$18</f>
        <v>0</v>
      </c>
      <c r="BM1572" s="55"/>
      <c r="BN1572" s="60" t="n">
        <v>1</v>
      </c>
      <c r="BO1572" s="60" t="n">
        <v>1572</v>
      </c>
      <c r="BP1572" s="55" t="str">
        <f aca="false">IF(S1572&lt;&gt;"",UPPER(TRIM(S1572)),IF(O1572="","LOSE",O1572))</f>
        <v>LOSE</v>
      </c>
      <c r="BQ1572" s="57" t="n">
        <f aca="false">IF(BP1572="LOSE",1,IF(N(T1572)&gt;0,T1572,IF(N(P1572)&gt;0,P1572,MAX(1,G1572))))</f>
        <v>1</v>
      </c>
      <c r="BR1572" s="60" t="n">
        <f aca="false">IF(BP1572="LOSE",1,0)</f>
        <v>1</v>
      </c>
      <c r="BS1572" s="59" t="n">
        <f aca="false">IF(BR1572=0,0,IF(N(R1572)&gt;0,R1572,IFERROR(VLOOKUP(D1572,Parameter!$A$35:$C$64,3,0)+0,0)))</f>
        <v>0.15</v>
      </c>
      <c r="BT1572" s="55" t="str">
        <f aca="false">IF(Y1572&lt;&gt;"",Y1572,X1572)</f>
        <v/>
      </c>
      <c r="BU1572" s="55" t="str">
        <f aca="false">IF(BT1572=1,"L1",IF(OR(BT1572=2,BT1572=3),"L23",IF(BT1572="Aussen","Aussen","-")))</f>
        <v>-</v>
      </c>
      <c r="BV1572" s="66" t="n">
        <f aca="false">IF(N(Z1572)&gt;0,Z1572,0)</f>
        <v>0</v>
      </c>
      <c r="BW1572" s="60" t="n">
        <f aca="false">IF(ISNUMBER(AC1572),1,0)</f>
        <v>0</v>
      </c>
      <c r="BX1572" s="57" t="n">
        <f aca="false">N(AC1572)</f>
        <v>0</v>
      </c>
      <c r="BY1572" s="57" t="n">
        <f aca="false">N(L1572)+N(M1572)</f>
        <v>0</v>
      </c>
      <c r="BZ1572" s="57" t="n">
        <f aca="false">ROUNDUP(G1572/BQ1572,0)</f>
        <v>0</v>
      </c>
      <c r="CA1572" s="57" t="n">
        <f aca="false">ROUNDUP(BX1572/BQ1572,0)</f>
        <v>0</v>
      </c>
      <c r="CB1572" s="60" t="n">
        <f aca="false">IF(BR1572=1,0,IFERROR(VLOOKUP(BP1572,'Gebinde-Kategorie'!$A$5:$M$45,5,0)+0,0))</f>
        <v>0</v>
      </c>
      <c r="CC1572" s="60" t="n">
        <f aca="false">IFERROR(IF(OR(BT1572=1,BT1572=2,BT1572=3),N(INDEX(Parameter!$I$5:$I$7,BT1572)),0),0)</f>
        <v>0</v>
      </c>
      <c r="CD1572" s="59" t="n">
        <f aca="false">IF(AND(Parameter!$B$21="Ja",ISNUMBER(U1572),N(V1572)&gt;0),IFERROR(N(INDEX(Parameter!$L$5:$L$7,U1572))*INDEX(Parameter!$E$5:$E$7,U1572)*V1572/SUMIFS($V$7:$V$1576,$U$7:$U$1576,U1572),0),0)</f>
        <v>0</v>
      </c>
    </row>
    <row r="1573" customFormat="false" ht="15" hidden="false" customHeight="false" outlineLevel="0" collapsed="false">
      <c r="A1573" s="55" t="str">
        <f aca="false">IF('Neue Artikel'!$A$101="","",'Neue Artikel'!$A$101&amp;"")</f>
        <v/>
      </c>
      <c r="B1573" s="55" t="str">
        <f aca="false">'Neue Artikel'!$B$101&amp;""</f>
        <v/>
      </c>
      <c r="C1573" s="55"/>
      <c r="D1573" s="55" t="s">
        <v>2561</v>
      </c>
      <c r="E1573" s="55"/>
      <c r="F1573" s="56" t="n">
        <f aca="false">N('Neue Artikel'!$G$101)</f>
        <v>0</v>
      </c>
      <c r="G1573" s="57" t="n">
        <f aca="false">MAX(0,IF(AND(Parameter!$B$21="Ja",ISNUMBER(W1573)),W1573,IF(Parameter!$B$20="Jahresanfang 2025 + Export",BJ1573+BI1573,BI1573)))</f>
        <v>0</v>
      </c>
      <c r="H1573" s="57" t="n">
        <f aca="false">G1573*F1573</f>
        <v>0</v>
      </c>
      <c r="I1573" s="57" t="n">
        <f aca="false">BL1573*Parameter!$B$18</f>
        <v>0</v>
      </c>
      <c r="J1573" s="58"/>
      <c r="K1573" s="59"/>
      <c r="L1573" s="57" t="n">
        <f aca="false">N('Neue Artikel'!$E$101)</f>
        <v>0</v>
      </c>
      <c r="M1573" s="57" t="n">
        <f aca="false">N('Neue Artikel'!$F$101)</f>
        <v>0</v>
      </c>
      <c r="N1573" s="60"/>
      <c r="O1573" s="55" t="str">
        <f aca="false">IF('Neue Artikel'!$H$101="","LOSE",UPPER(TRIM('Neue Artikel'!$H$101)))</f>
        <v>LOSE</v>
      </c>
      <c r="P1573" s="57" t="n">
        <f aca="false">N('Neue Artikel'!$I$101)</f>
        <v>0</v>
      </c>
      <c r="Q1573" s="60" t="n">
        <f aca="false">IF(BR1573=1,0,IFERROR(VLOOKUP(BP1573,'Gebinde-Kategorie'!$A$5:$M$45,13,0)+0,0))</f>
        <v>0</v>
      </c>
      <c r="R1573" s="61"/>
      <c r="S1573" s="62"/>
      <c r="T1573" s="62"/>
      <c r="U1573" s="55"/>
      <c r="V1573" s="57"/>
      <c r="W1573" s="57"/>
      <c r="X1573" s="55" t="str">
        <f aca="false">IF(A1573="","",IF(AND(Parameter!$B$21="Ja",ISNUMBER(U1573)),U1573,IF(IFERROR(VLOOKUP(D1573,Parameter!$A$35:$C$64,2,0),"Nein")="2+3",IF(ISNUMBER(SEARCH("grosser Artikel",BM1573)),2,IFERROR(VLOOKUP(BP1573,Parameter!$F$35:$G$64,2,0),2)),IF(OR(IFERROR(VLOOKUP(D1573,Parameter!$A$35:$C$64,2,0),"Nein")="Nein",IFERROR(VLOOKUP(D1573,Parameter!$A$35:$C$64,2,0),"Nein")=""),"-",VLOOKUP(D1573,Parameter!$A$35:$C$64,2,0)))))</f>
        <v/>
      </c>
      <c r="Y1573" s="55" t="str">
        <f aca="false">IF('Neue Artikel'!$J$101="","",'Neue Artikel'!$J$101)</f>
        <v/>
      </c>
      <c r="Z1573" s="63"/>
      <c r="AA1573" s="57" t="n">
        <f aca="false">AP1573</f>
        <v>0</v>
      </c>
      <c r="AB1573" s="57" t="n">
        <f aca="false">MAX(AP1573,G1573)</f>
        <v>0</v>
      </c>
      <c r="AC1573" s="64"/>
      <c r="AD1573" s="57" t="n">
        <f aca="false">IF(LEFT(Cockpit!$C$5,1)="A",G1573,IF(BW1573=1,BX1573,IF(LEFT(Cockpit!$C$5,1)="B",AH1573,MAX(AH1573,G1573))))</f>
        <v>0</v>
      </c>
      <c r="AE1573" s="57" t="n">
        <f aca="false">IF(BR1573=1,0,ROUNDUP(AD1573/BQ1573,0))</f>
        <v>0</v>
      </c>
      <c r="AF1573" s="59" t="n">
        <f aca="false">IF(CD1573&gt;0,CD1573*MAX(1,AD1573/V1573),IF(BR1573=1,IF(AD1573&lt;=0,0,BS1573*MAX(1,IF(G1573&gt;0,AD1573/G1573,1))),IF(Q1573&gt;0,AE1573/Q1573,0))/MAX(0.1,N(Parameter!$M$21)))</f>
        <v>0</v>
      </c>
      <c r="AG1573" s="57" t="n">
        <f aca="false">AD1573*F1573</f>
        <v>0</v>
      </c>
      <c r="AH1573" s="57" t="n">
        <f aca="false">ROUNDUP(MAX(I1573/IF(BV1573&gt;0,BV1573,MAX(0.1,N(Cockpit!$C$6))),BY1573)/BQ1573,0)*BQ1573</f>
        <v>0</v>
      </c>
      <c r="AI1573" s="58" t="n">
        <f aca="false">IF(AF1573&gt;0,I1573/AF1573,-1)</f>
        <v>-1</v>
      </c>
      <c r="AJ1573" s="58" t="str">
        <f aca="false">IF(AND(OR(BU1573="L1",BU1573="L23"),AF1573&gt;0),SUMIFS($AF$7:$AF$1576,$BU$7:$BU$1576,BU1573,$AI$7:$AI$1576,"&gt;"&amp;AI1573)+SUMIFS($AF$7:$AF$1576,$BU$7:$BU$1576,BU1573,$AI$7:$AI$1576,AI1573,$BO$7:$BO$1576,"&lt;="&amp;BO1573),"")</f>
        <v/>
      </c>
      <c r="AK1573" s="65" t="n">
        <f aca="false">IF(AJ1573="",0,MAX(0,MIN(1,(IF(BU1573="L1",Parameter!$E$5,Parameter!$E$6+Parameter!$E$7)-(AJ1573-AF1573))/AF1573)))</f>
        <v>0</v>
      </c>
      <c r="AL1573" s="57" t="n">
        <f aca="false">IF(LEFT(Cockpit!$I$5,1)="A",G1573,IF(BW1573=1,BX1573,IF(LEFT(Cockpit!$I$5,1)="B",AP1573,MAX(AP1573,G1573))))</f>
        <v>0</v>
      </c>
      <c r="AM1573" s="57" t="n">
        <f aca="false">IF(BR1573=1,0,ROUNDUP(AL1573/BQ1573,0))</f>
        <v>0</v>
      </c>
      <c r="AN1573" s="59" t="n">
        <f aca="false">IF(CD1573&gt;0,CD1573*MAX(1,AL1573/V1573),IF(BR1573=1,IF(AL1573&lt;=0,0,BS1573*MAX(1,IF(G1573&gt;0,AL1573/G1573,1))),IF(Q1573&gt;0,AM1573/Q1573,0))/MAX(0.1,N(Parameter!$M$21)))</f>
        <v>0</v>
      </c>
      <c r="AO1573" s="57" t="n">
        <f aca="false">AL1573*F1573</f>
        <v>0</v>
      </c>
      <c r="AP1573" s="57" t="n">
        <f aca="false">ROUNDUP(MAX(I1573/IF(BV1573&gt;0,BV1573,MAX(0.1,N(Cockpit!$I$6))),BY1573)/BQ1573,0)*BQ1573</f>
        <v>0</v>
      </c>
      <c r="AQ1573" s="58" t="n">
        <f aca="false">IF(AN1573&gt;0,I1573/AN1573,-1)</f>
        <v>-1</v>
      </c>
      <c r="AR1573" s="58" t="str">
        <f aca="false">IF(AND(OR(BU1573="L1",BU1573="L23"),AN1573&gt;0),SUMIFS($AN$7:$AN$1576,$BU$7:$BU$1576,BU1573,$AQ$7:$AQ$1576,"&gt;"&amp;AQ1573)+SUMIFS($AN$7:$AN$1576,$BU$7:$BU$1576,BU1573,$AQ$7:$AQ$1576,AQ1573,$BO$7:$BO$1576,"&lt;="&amp;BO1573),"")</f>
        <v/>
      </c>
      <c r="AS1573" s="65" t="n">
        <f aca="false">IF(AR1573="",0,MAX(0,MIN(1,(IF(BU1573="L1",Parameter!$E$5,Parameter!$E$6+Parameter!$E$7)-(AR1573-AN1573))/AN1573)))</f>
        <v>0</v>
      </c>
      <c r="AT1573" s="57" t="n">
        <f aca="false">IF(LEFT(Cockpit!$O$5,1)="A",G1573,IF(BW1573=1,BX1573,IF(LEFT(Cockpit!$O$5,1)="B",AX1573,MAX(AX1573,G1573))))</f>
        <v>0</v>
      </c>
      <c r="AU1573" s="57" t="n">
        <f aca="false">IF(BR1573=1,0,ROUNDUP(AT1573/BQ1573,0))</f>
        <v>0</v>
      </c>
      <c r="AV1573" s="59" t="n">
        <f aca="false">IF(CD1573&gt;0,CD1573*MAX(1,AT1573/V1573),IF(BR1573=1,IF(AT1573&lt;=0,0,BS1573*MAX(1,IF(G1573&gt;0,AT1573/G1573,1))),IF(Q1573&gt;0,AU1573/Q1573,0))/MAX(0.1,N(Parameter!$M$21)))</f>
        <v>0</v>
      </c>
      <c r="AW1573" s="57" t="n">
        <f aca="false">AT1573*F1573</f>
        <v>0</v>
      </c>
      <c r="AX1573" s="57" t="n">
        <f aca="false">ROUNDUP(MAX(I1573/IF(BV1573&gt;0,BV1573,MAX(0.1,N(Cockpit!$O$6))),BY1573)/BQ1573,0)*BQ1573</f>
        <v>0</v>
      </c>
      <c r="AY1573" s="58" t="n">
        <f aca="false">IF(AV1573&gt;0,I1573/AV1573,-1)</f>
        <v>-1</v>
      </c>
      <c r="AZ1573" s="58" t="str">
        <f aca="false">IF(AND(OR(BU1573="L1",BU1573="L23"),AV1573&gt;0),SUMIFS($AV$7:$AV$1576,$BU$7:$BU$1576,BU1573,$AY$7:$AY$1576,"&gt;"&amp;AY1573)+SUMIFS($AV$7:$AV$1576,$BU$7:$BU$1576,BU1573,$AY$7:$AY$1576,AY1573,$BO$7:$BO$1576,"&lt;="&amp;BO1573),"")</f>
        <v/>
      </c>
      <c r="BA1573" s="65" t="n">
        <f aca="false">IF(AZ1573="",0,MAX(0,MIN(1,(IF(BU1573="L1",Parameter!$E$5,Parameter!$E$6+Parameter!$E$7)-(AZ1573-AV1573))/AV1573)))</f>
        <v>0</v>
      </c>
      <c r="BB1573" s="55" t="str">
        <f aca="false">IF(AF1573&lt;=0,"",IF(BU1573="Aussen","Aussenlager",IF(BU1573="-","Nicht im Lift",IF(AK1573&gt;=1,"Lift",IF(AK1573&lt;=0,"Aussenlager","teilweise")))))</f>
        <v/>
      </c>
      <c r="BC1573" s="55" t="str">
        <f aca="false">IF(AN1573&lt;=0,"",IF(BU1573="Aussen","Aussenlager",IF(BU1573="-","Nicht im Lift",IF(AS1573&gt;=1,"Lift",IF(AS1573&lt;=0,"Aussenlager","teilweise")))))</f>
        <v/>
      </c>
      <c r="BD1573" s="55" t="str">
        <f aca="false">IF(AV1573&lt;=0,"",IF(BU1573="Aussen","Aussenlager",IF(BU1573="-","Nicht im Lift",IF(BA1573&gt;=1,"Lift",IF(BA1573&lt;=0,"Aussenlager","teilweise")))))</f>
        <v/>
      </c>
      <c r="BE1573" s="55" t="str">
        <f aca="false">IF(A1573="","",IF(BN1573=1,"Neu; ","")&amp;IF(AND(BN1573=0,BI1573&lt;0),"negativer Bestand (Export "&amp;BI1573&amp;"); ","")&amp;IF(I1573&lt;=0,"Kein Verbrauch; ","")&amp;IF(CD1573&gt;0,"Lift "&amp;U1573&amp;" lt. Liftbericht (Fach "&amp;V1573&amp;" Stk); ",IF(BR1573=1,"Lose – Fläche geschätzt; ",""))&amp;IF(G1573&gt;AP1573,"Überbestand "&amp;ROUND(G1573-AP1573,0)&amp;" Stk / CHF "&amp;ROUND((G1573-AP1573)*F1573,0)&amp;"; ","")&amp;IF(AND(BW1573=1,BX1573&lt;BY1573),"MAX &lt; MB+LG; ","")&amp;IF(AND(CC1573&gt;0,CB1573*10&gt;CC1573),"zu hoch für Tablar; ","")&amp;IF(AND(BN1573=0,OR(BW1573=1,Y1573&lt;&gt;"",S1573&lt;&gt;"",T1573&lt;&gt;"",Z1573&lt;&gt;"")),"manuell übersteuert; ","")&amp;IF(AND(BR1573=0,Q1573=0),"Gebinde unbekannt / Stellmass fehlt; ","")&amp;IF(AND(BR1573=0,N(T1573)&lt;=0,N(P1573)&lt;=0),"Menge pro Gebinde fehlt (Ist = 1 Gebinde); ","")&amp;BM1573)</f>
        <v/>
      </c>
      <c r="BF1573" s="55"/>
      <c r="BG1573" s="55"/>
      <c r="BH1573" s="62"/>
      <c r="BI1573" s="57" t="n">
        <f aca="false">N('Neue Artikel'!$D$101)</f>
        <v>0</v>
      </c>
      <c r="BJ1573" s="57" t="n">
        <v>0</v>
      </c>
      <c r="BK1573" s="56" t="n">
        <v>0</v>
      </c>
      <c r="BL1573" s="57" t="n">
        <f aca="false">N('Neue Artikel'!$C$101)/Parameter!$B$18</f>
        <v>0</v>
      </c>
      <c r="BM1573" s="55"/>
      <c r="BN1573" s="60" t="n">
        <v>1</v>
      </c>
      <c r="BO1573" s="60" t="n">
        <v>1573</v>
      </c>
      <c r="BP1573" s="55" t="str">
        <f aca="false">IF(S1573&lt;&gt;"",UPPER(TRIM(S1573)),IF(O1573="","LOSE",O1573))</f>
        <v>LOSE</v>
      </c>
      <c r="BQ1573" s="57" t="n">
        <f aca="false">IF(BP1573="LOSE",1,IF(N(T1573)&gt;0,T1573,IF(N(P1573)&gt;0,P1573,MAX(1,G1573))))</f>
        <v>1</v>
      </c>
      <c r="BR1573" s="60" t="n">
        <f aca="false">IF(BP1573="LOSE",1,0)</f>
        <v>1</v>
      </c>
      <c r="BS1573" s="59" t="n">
        <f aca="false">IF(BR1573=0,0,IF(N(R1573)&gt;0,R1573,IFERROR(VLOOKUP(D1573,Parameter!$A$35:$C$64,3,0)+0,0)))</f>
        <v>0.15</v>
      </c>
      <c r="BT1573" s="55" t="str">
        <f aca="false">IF(Y1573&lt;&gt;"",Y1573,X1573)</f>
        <v/>
      </c>
      <c r="BU1573" s="55" t="str">
        <f aca="false">IF(BT1573=1,"L1",IF(OR(BT1573=2,BT1573=3),"L23",IF(BT1573="Aussen","Aussen","-")))</f>
        <v>-</v>
      </c>
      <c r="BV1573" s="66" t="n">
        <f aca="false">IF(N(Z1573)&gt;0,Z1573,0)</f>
        <v>0</v>
      </c>
      <c r="BW1573" s="60" t="n">
        <f aca="false">IF(ISNUMBER(AC1573),1,0)</f>
        <v>0</v>
      </c>
      <c r="BX1573" s="57" t="n">
        <f aca="false">N(AC1573)</f>
        <v>0</v>
      </c>
      <c r="BY1573" s="57" t="n">
        <f aca="false">N(L1573)+N(M1573)</f>
        <v>0</v>
      </c>
      <c r="BZ1573" s="57" t="n">
        <f aca="false">ROUNDUP(G1573/BQ1573,0)</f>
        <v>0</v>
      </c>
      <c r="CA1573" s="57" t="n">
        <f aca="false">ROUNDUP(BX1573/BQ1573,0)</f>
        <v>0</v>
      </c>
      <c r="CB1573" s="60" t="n">
        <f aca="false">IF(BR1573=1,0,IFERROR(VLOOKUP(BP1573,'Gebinde-Kategorie'!$A$5:$M$45,5,0)+0,0))</f>
        <v>0</v>
      </c>
      <c r="CC1573" s="60" t="n">
        <f aca="false">IFERROR(IF(OR(BT1573=1,BT1573=2,BT1573=3),N(INDEX(Parameter!$I$5:$I$7,BT1573)),0),0)</f>
        <v>0</v>
      </c>
      <c r="CD1573" s="59" t="n">
        <f aca="false">IF(AND(Parameter!$B$21="Ja",ISNUMBER(U1573),N(V1573)&gt;0),IFERROR(N(INDEX(Parameter!$L$5:$L$7,U1573))*INDEX(Parameter!$E$5:$E$7,U1573)*V1573/SUMIFS($V$7:$V$1576,$U$7:$U$1576,U1573),0),0)</f>
        <v>0</v>
      </c>
    </row>
    <row r="1574" customFormat="false" ht="15" hidden="false" customHeight="false" outlineLevel="0" collapsed="false">
      <c r="A1574" s="55" t="str">
        <f aca="false">IF('Neue Artikel'!$A$102="","",'Neue Artikel'!$A$102&amp;"")</f>
        <v/>
      </c>
      <c r="B1574" s="55" t="str">
        <f aca="false">'Neue Artikel'!$B$102&amp;""</f>
        <v/>
      </c>
      <c r="C1574" s="55"/>
      <c r="D1574" s="55" t="s">
        <v>2561</v>
      </c>
      <c r="E1574" s="55"/>
      <c r="F1574" s="56" t="n">
        <f aca="false">N('Neue Artikel'!$G$102)</f>
        <v>0</v>
      </c>
      <c r="G1574" s="57" t="n">
        <f aca="false">MAX(0,IF(AND(Parameter!$B$21="Ja",ISNUMBER(W1574)),W1574,IF(Parameter!$B$20="Jahresanfang 2025 + Export",BJ1574+BI1574,BI1574)))</f>
        <v>0</v>
      </c>
      <c r="H1574" s="57" t="n">
        <f aca="false">G1574*F1574</f>
        <v>0</v>
      </c>
      <c r="I1574" s="57" t="n">
        <f aca="false">BL1574*Parameter!$B$18</f>
        <v>0</v>
      </c>
      <c r="J1574" s="58"/>
      <c r="K1574" s="59"/>
      <c r="L1574" s="57" t="n">
        <f aca="false">N('Neue Artikel'!$E$102)</f>
        <v>0</v>
      </c>
      <c r="M1574" s="57" t="n">
        <f aca="false">N('Neue Artikel'!$F$102)</f>
        <v>0</v>
      </c>
      <c r="N1574" s="60"/>
      <c r="O1574" s="55" t="str">
        <f aca="false">IF('Neue Artikel'!$H$102="","LOSE",UPPER(TRIM('Neue Artikel'!$H$102)))</f>
        <v>LOSE</v>
      </c>
      <c r="P1574" s="57" t="n">
        <f aca="false">N('Neue Artikel'!$I$102)</f>
        <v>0</v>
      </c>
      <c r="Q1574" s="60" t="n">
        <f aca="false">IF(BR1574=1,0,IFERROR(VLOOKUP(BP1574,'Gebinde-Kategorie'!$A$5:$M$45,13,0)+0,0))</f>
        <v>0</v>
      </c>
      <c r="R1574" s="61"/>
      <c r="S1574" s="62"/>
      <c r="T1574" s="62"/>
      <c r="U1574" s="55"/>
      <c r="V1574" s="57"/>
      <c r="W1574" s="57"/>
      <c r="X1574" s="55" t="str">
        <f aca="false">IF(A1574="","",IF(AND(Parameter!$B$21="Ja",ISNUMBER(U1574)),U1574,IF(IFERROR(VLOOKUP(D1574,Parameter!$A$35:$C$64,2,0),"Nein")="2+3",IF(ISNUMBER(SEARCH("grosser Artikel",BM1574)),2,IFERROR(VLOOKUP(BP1574,Parameter!$F$35:$G$64,2,0),2)),IF(OR(IFERROR(VLOOKUP(D1574,Parameter!$A$35:$C$64,2,0),"Nein")="Nein",IFERROR(VLOOKUP(D1574,Parameter!$A$35:$C$64,2,0),"Nein")=""),"-",VLOOKUP(D1574,Parameter!$A$35:$C$64,2,0)))))</f>
        <v/>
      </c>
      <c r="Y1574" s="55" t="str">
        <f aca="false">IF('Neue Artikel'!$J$102="","",'Neue Artikel'!$J$102)</f>
        <v/>
      </c>
      <c r="Z1574" s="63"/>
      <c r="AA1574" s="57" t="n">
        <f aca="false">AP1574</f>
        <v>0</v>
      </c>
      <c r="AB1574" s="57" t="n">
        <f aca="false">MAX(AP1574,G1574)</f>
        <v>0</v>
      </c>
      <c r="AC1574" s="64"/>
      <c r="AD1574" s="57" t="n">
        <f aca="false">IF(LEFT(Cockpit!$C$5,1)="A",G1574,IF(BW1574=1,BX1574,IF(LEFT(Cockpit!$C$5,1)="B",AH1574,MAX(AH1574,G1574))))</f>
        <v>0</v>
      </c>
      <c r="AE1574" s="57" t="n">
        <f aca="false">IF(BR1574=1,0,ROUNDUP(AD1574/BQ1574,0))</f>
        <v>0</v>
      </c>
      <c r="AF1574" s="59" t="n">
        <f aca="false">IF(CD1574&gt;0,CD1574*MAX(1,AD1574/V1574),IF(BR1574=1,IF(AD1574&lt;=0,0,BS1574*MAX(1,IF(G1574&gt;0,AD1574/G1574,1))),IF(Q1574&gt;0,AE1574/Q1574,0))/MAX(0.1,N(Parameter!$M$21)))</f>
        <v>0</v>
      </c>
      <c r="AG1574" s="57" t="n">
        <f aca="false">AD1574*F1574</f>
        <v>0</v>
      </c>
      <c r="AH1574" s="57" t="n">
        <f aca="false">ROUNDUP(MAX(I1574/IF(BV1574&gt;0,BV1574,MAX(0.1,N(Cockpit!$C$6))),BY1574)/BQ1574,0)*BQ1574</f>
        <v>0</v>
      </c>
      <c r="AI1574" s="58" t="n">
        <f aca="false">IF(AF1574&gt;0,I1574/AF1574,-1)</f>
        <v>-1</v>
      </c>
      <c r="AJ1574" s="58" t="str">
        <f aca="false">IF(AND(OR(BU1574="L1",BU1574="L23"),AF1574&gt;0),SUMIFS($AF$7:$AF$1576,$BU$7:$BU$1576,BU1574,$AI$7:$AI$1576,"&gt;"&amp;AI1574)+SUMIFS($AF$7:$AF$1576,$BU$7:$BU$1576,BU1574,$AI$7:$AI$1576,AI1574,$BO$7:$BO$1576,"&lt;="&amp;BO1574),"")</f>
        <v/>
      </c>
      <c r="AK1574" s="65" t="n">
        <f aca="false">IF(AJ1574="",0,MAX(0,MIN(1,(IF(BU1574="L1",Parameter!$E$5,Parameter!$E$6+Parameter!$E$7)-(AJ1574-AF1574))/AF1574)))</f>
        <v>0</v>
      </c>
      <c r="AL1574" s="57" t="n">
        <f aca="false">IF(LEFT(Cockpit!$I$5,1)="A",G1574,IF(BW1574=1,BX1574,IF(LEFT(Cockpit!$I$5,1)="B",AP1574,MAX(AP1574,G1574))))</f>
        <v>0</v>
      </c>
      <c r="AM1574" s="57" t="n">
        <f aca="false">IF(BR1574=1,0,ROUNDUP(AL1574/BQ1574,0))</f>
        <v>0</v>
      </c>
      <c r="AN1574" s="59" t="n">
        <f aca="false">IF(CD1574&gt;0,CD1574*MAX(1,AL1574/V1574),IF(BR1574=1,IF(AL1574&lt;=0,0,BS1574*MAX(1,IF(G1574&gt;0,AL1574/G1574,1))),IF(Q1574&gt;0,AM1574/Q1574,0))/MAX(0.1,N(Parameter!$M$21)))</f>
        <v>0</v>
      </c>
      <c r="AO1574" s="57" t="n">
        <f aca="false">AL1574*F1574</f>
        <v>0</v>
      </c>
      <c r="AP1574" s="57" t="n">
        <f aca="false">ROUNDUP(MAX(I1574/IF(BV1574&gt;0,BV1574,MAX(0.1,N(Cockpit!$I$6))),BY1574)/BQ1574,0)*BQ1574</f>
        <v>0</v>
      </c>
      <c r="AQ1574" s="58" t="n">
        <f aca="false">IF(AN1574&gt;0,I1574/AN1574,-1)</f>
        <v>-1</v>
      </c>
      <c r="AR1574" s="58" t="str">
        <f aca="false">IF(AND(OR(BU1574="L1",BU1574="L23"),AN1574&gt;0),SUMIFS($AN$7:$AN$1576,$BU$7:$BU$1576,BU1574,$AQ$7:$AQ$1576,"&gt;"&amp;AQ1574)+SUMIFS($AN$7:$AN$1576,$BU$7:$BU$1576,BU1574,$AQ$7:$AQ$1576,AQ1574,$BO$7:$BO$1576,"&lt;="&amp;BO1574),"")</f>
        <v/>
      </c>
      <c r="AS1574" s="65" t="n">
        <f aca="false">IF(AR1574="",0,MAX(0,MIN(1,(IF(BU1574="L1",Parameter!$E$5,Parameter!$E$6+Parameter!$E$7)-(AR1574-AN1574))/AN1574)))</f>
        <v>0</v>
      </c>
      <c r="AT1574" s="57" t="n">
        <f aca="false">IF(LEFT(Cockpit!$O$5,1)="A",G1574,IF(BW1574=1,BX1574,IF(LEFT(Cockpit!$O$5,1)="B",AX1574,MAX(AX1574,G1574))))</f>
        <v>0</v>
      </c>
      <c r="AU1574" s="57" t="n">
        <f aca="false">IF(BR1574=1,0,ROUNDUP(AT1574/BQ1574,0))</f>
        <v>0</v>
      </c>
      <c r="AV1574" s="59" t="n">
        <f aca="false">IF(CD1574&gt;0,CD1574*MAX(1,AT1574/V1574),IF(BR1574=1,IF(AT1574&lt;=0,0,BS1574*MAX(1,IF(G1574&gt;0,AT1574/G1574,1))),IF(Q1574&gt;0,AU1574/Q1574,0))/MAX(0.1,N(Parameter!$M$21)))</f>
        <v>0</v>
      </c>
      <c r="AW1574" s="57" t="n">
        <f aca="false">AT1574*F1574</f>
        <v>0</v>
      </c>
      <c r="AX1574" s="57" t="n">
        <f aca="false">ROUNDUP(MAX(I1574/IF(BV1574&gt;0,BV1574,MAX(0.1,N(Cockpit!$O$6))),BY1574)/BQ1574,0)*BQ1574</f>
        <v>0</v>
      </c>
      <c r="AY1574" s="58" t="n">
        <f aca="false">IF(AV1574&gt;0,I1574/AV1574,-1)</f>
        <v>-1</v>
      </c>
      <c r="AZ1574" s="58" t="str">
        <f aca="false">IF(AND(OR(BU1574="L1",BU1574="L23"),AV1574&gt;0),SUMIFS($AV$7:$AV$1576,$BU$7:$BU$1576,BU1574,$AY$7:$AY$1576,"&gt;"&amp;AY1574)+SUMIFS($AV$7:$AV$1576,$BU$7:$BU$1576,BU1574,$AY$7:$AY$1576,AY1574,$BO$7:$BO$1576,"&lt;="&amp;BO1574),"")</f>
        <v/>
      </c>
      <c r="BA1574" s="65" t="n">
        <f aca="false">IF(AZ1574="",0,MAX(0,MIN(1,(IF(BU1574="L1",Parameter!$E$5,Parameter!$E$6+Parameter!$E$7)-(AZ1574-AV1574))/AV1574)))</f>
        <v>0</v>
      </c>
      <c r="BB1574" s="55" t="str">
        <f aca="false">IF(AF1574&lt;=0,"",IF(BU1574="Aussen","Aussenlager",IF(BU1574="-","Nicht im Lift",IF(AK1574&gt;=1,"Lift",IF(AK1574&lt;=0,"Aussenlager","teilweise")))))</f>
        <v/>
      </c>
      <c r="BC1574" s="55" t="str">
        <f aca="false">IF(AN1574&lt;=0,"",IF(BU1574="Aussen","Aussenlager",IF(BU1574="-","Nicht im Lift",IF(AS1574&gt;=1,"Lift",IF(AS1574&lt;=0,"Aussenlager","teilweise")))))</f>
        <v/>
      </c>
      <c r="BD1574" s="55" t="str">
        <f aca="false">IF(AV1574&lt;=0,"",IF(BU1574="Aussen","Aussenlager",IF(BU1574="-","Nicht im Lift",IF(BA1574&gt;=1,"Lift",IF(BA1574&lt;=0,"Aussenlager","teilweise")))))</f>
        <v/>
      </c>
      <c r="BE1574" s="55" t="str">
        <f aca="false">IF(A1574="","",IF(BN1574=1,"Neu; ","")&amp;IF(AND(BN1574=0,BI1574&lt;0),"negativer Bestand (Export "&amp;BI1574&amp;"); ","")&amp;IF(I1574&lt;=0,"Kein Verbrauch; ","")&amp;IF(CD1574&gt;0,"Lift "&amp;U1574&amp;" lt. Liftbericht (Fach "&amp;V1574&amp;" Stk); ",IF(BR1574=1,"Lose – Fläche geschätzt; ",""))&amp;IF(G1574&gt;AP1574,"Überbestand "&amp;ROUND(G1574-AP1574,0)&amp;" Stk / CHF "&amp;ROUND((G1574-AP1574)*F1574,0)&amp;"; ","")&amp;IF(AND(BW1574=1,BX1574&lt;BY1574),"MAX &lt; MB+LG; ","")&amp;IF(AND(CC1574&gt;0,CB1574*10&gt;CC1574),"zu hoch für Tablar; ","")&amp;IF(AND(BN1574=0,OR(BW1574=1,Y1574&lt;&gt;"",S1574&lt;&gt;"",T1574&lt;&gt;"",Z1574&lt;&gt;"")),"manuell übersteuert; ","")&amp;IF(AND(BR1574=0,Q1574=0),"Gebinde unbekannt / Stellmass fehlt; ","")&amp;IF(AND(BR1574=0,N(T1574)&lt;=0,N(P1574)&lt;=0),"Menge pro Gebinde fehlt (Ist = 1 Gebinde); ","")&amp;BM1574)</f>
        <v/>
      </c>
      <c r="BF1574" s="55"/>
      <c r="BG1574" s="55"/>
      <c r="BH1574" s="62"/>
      <c r="BI1574" s="57" t="n">
        <f aca="false">N('Neue Artikel'!$D$102)</f>
        <v>0</v>
      </c>
      <c r="BJ1574" s="57" t="n">
        <v>0</v>
      </c>
      <c r="BK1574" s="56" t="n">
        <v>0</v>
      </c>
      <c r="BL1574" s="57" t="n">
        <f aca="false">N('Neue Artikel'!$C$102)/Parameter!$B$18</f>
        <v>0</v>
      </c>
      <c r="BM1574" s="55"/>
      <c r="BN1574" s="60" t="n">
        <v>1</v>
      </c>
      <c r="BO1574" s="60" t="n">
        <v>1574</v>
      </c>
      <c r="BP1574" s="55" t="str">
        <f aca="false">IF(S1574&lt;&gt;"",UPPER(TRIM(S1574)),IF(O1574="","LOSE",O1574))</f>
        <v>LOSE</v>
      </c>
      <c r="BQ1574" s="57" t="n">
        <f aca="false">IF(BP1574="LOSE",1,IF(N(T1574)&gt;0,T1574,IF(N(P1574)&gt;0,P1574,MAX(1,G1574))))</f>
        <v>1</v>
      </c>
      <c r="BR1574" s="60" t="n">
        <f aca="false">IF(BP1574="LOSE",1,0)</f>
        <v>1</v>
      </c>
      <c r="BS1574" s="59" t="n">
        <f aca="false">IF(BR1574=0,0,IF(N(R1574)&gt;0,R1574,IFERROR(VLOOKUP(D1574,Parameter!$A$35:$C$64,3,0)+0,0)))</f>
        <v>0.15</v>
      </c>
      <c r="BT1574" s="55" t="str">
        <f aca="false">IF(Y1574&lt;&gt;"",Y1574,X1574)</f>
        <v/>
      </c>
      <c r="BU1574" s="55" t="str">
        <f aca="false">IF(BT1574=1,"L1",IF(OR(BT1574=2,BT1574=3),"L23",IF(BT1574="Aussen","Aussen","-")))</f>
        <v>-</v>
      </c>
      <c r="BV1574" s="66" t="n">
        <f aca="false">IF(N(Z1574)&gt;0,Z1574,0)</f>
        <v>0</v>
      </c>
      <c r="BW1574" s="60" t="n">
        <f aca="false">IF(ISNUMBER(AC1574),1,0)</f>
        <v>0</v>
      </c>
      <c r="BX1574" s="57" t="n">
        <f aca="false">N(AC1574)</f>
        <v>0</v>
      </c>
      <c r="BY1574" s="57" t="n">
        <f aca="false">N(L1574)+N(M1574)</f>
        <v>0</v>
      </c>
      <c r="BZ1574" s="57" t="n">
        <f aca="false">ROUNDUP(G1574/BQ1574,0)</f>
        <v>0</v>
      </c>
      <c r="CA1574" s="57" t="n">
        <f aca="false">ROUNDUP(BX1574/BQ1574,0)</f>
        <v>0</v>
      </c>
      <c r="CB1574" s="60" t="n">
        <f aca="false">IF(BR1574=1,0,IFERROR(VLOOKUP(BP1574,'Gebinde-Kategorie'!$A$5:$M$45,5,0)+0,0))</f>
        <v>0</v>
      </c>
      <c r="CC1574" s="60" t="n">
        <f aca="false">IFERROR(IF(OR(BT1574=1,BT1574=2,BT1574=3),N(INDEX(Parameter!$I$5:$I$7,BT1574)),0),0)</f>
        <v>0</v>
      </c>
      <c r="CD1574" s="59" t="n">
        <f aca="false">IF(AND(Parameter!$B$21="Ja",ISNUMBER(U1574),N(V1574)&gt;0),IFERROR(N(INDEX(Parameter!$L$5:$L$7,U1574))*INDEX(Parameter!$E$5:$E$7,U1574)*V1574/SUMIFS($V$7:$V$1576,$U$7:$U$1576,U1574),0),0)</f>
        <v>0</v>
      </c>
    </row>
    <row r="1575" customFormat="false" ht="15" hidden="false" customHeight="false" outlineLevel="0" collapsed="false">
      <c r="A1575" s="55" t="str">
        <f aca="false">IF('Neue Artikel'!$A$103="","",'Neue Artikel'!$A$103&amp;"")</f>
        <v/>
      </c>
      <c r="B1575" s="55" t="str">
        <f aca="false">'Neue Artikel'!$B$103&amp;""</f>
        <v/>
      </c>
      <c r="C1575" s="55"/>
      <c r="D1575" s="55" t="s">
        <v>2561</v>
      </c>
      <c r="E1575" s="55"/>
      <c r="F1575" s="56" t="n">
        <f aca="false">N('Neue Artikel'!$G$103)</f>
        <v>0</v>
      </c>
      <c r="G1575" s="57" t="n">
        <f aca="false">MAX(0,IF(AND(Parameter!$B$21="Ja",ISNUMBER(W1575)),W1575,IF(Parameter!$B$20="Jahresanfang 2025 + Export",BJ1575+BI1575,BI1575)))</f>
        <v>0</v>
      </c>
      <c r="H1575" s="57" t="n">
        <f aca="false">G1575*F1575</f>
        <v>0</v>
      </c>
      <c r="I1575" s="57" t="n">
        <f aca="false">BL1575*Parameter!$B$18</f>
        <v>0</v>
      </c>
      <c r="J1575" s="58"/>
      <c r="K1575" s="59"/>
      <c r="L1575" s="57" t="n">
        <f aca="false">N('Neue Artikel'!$E$103)</f>
        <v>0</v>
      </c>
      <c r="M1575" s="57" t="n">
        <f aca="false">N('Neue Artikel'!$F$103)</f>
        <v>0</v>
      </c>
      <c r="N1575" s="60"/>
      <c r="O1575" s="55" t="str">
        <f aca="false">IF('Neue Artikel'!$H$103="","LOSE",UPPER(TRIM('Neue Artikel'!$H$103)))</f>
        <v>LOSE</v>
      </c>
      <c r="P1575" s="57" t="n">
        <f aca="false">N('Neue Artikel'!$I$103)</f>
        <v>0</v>
      </c>
      <c r="Q1575" s="60" t="n">
        <f aca="false">IF(BR1575=1,0,IFERROR(VLOOKUP(BP1575,'Gebinde-Kategorie'!$A$5:$M$45,13,0)+0,0))</f>
        <v>0</v>
      </c>
      <c r="R1575" s="61"/>
      <c r="S1575" s="62"/>
      <c r="T1575" s="62"/>
      <c r="U1575" s="55"/>
      <c r="V1575" s="57"/>
      <c r="W1575" s="57"/>
      <c r="X1575" s="55" t="str">
        <f aca="false">IF(A1575="","",IF(AND(Parameter!$B$21="Ja",ISNUMBER(U1575)),U1575,IF(IFERROR(VLOOKUP(D1575,Parameter!$A$35:$C$64,2,0),"Nein")="2+3",IF(ISNUMBER(SEARCH("grosser Artikel",BM1575)),2,IFERROR(VLOOKUP(BP1575,Parameter!$F$35:$G$64,2,0),2)),IF(OR(IFERROR(VLOOKUP(D1575,Parameter!$A$35:$C$64,2,0),"Nein")="Nein",IFERROR(VLOOKUP(D1575,Parameter!$A$35:$C$64,2,0),"Nein")=""),"-",VLOOKUP(D1575,Parameter!$A$35:$C$64,2,0)))))</f>
        <v/>
      </c>
      <c r="Y1575" s="55" t="str">
        <f aca="false">IF('Neue Artikel'!$J$103="","",'Neue Artikel'!$J$103)</f>
        <v/>
      </c>
      <c r="Z1575" s="63"/>
      <c r="AA1575" s="57" t="n">
        <f aca="false">AP1575</f>
        <v>0</v>
      </c>
      <c r="AB1575" s="57" t="n">
        <f aca="false">MAX(AP1575,G1575)</f>
        <v>0</v>
      </c>
      <c r="AC1575" s="64"/>
      <c r="AD1575" s="57" t="n">
        <f aca="false">IF(LEFT(Cockpit!$C$5,1)="A",G1575,IF(BW1575=1,BX1575,IF(LEFT(Cockpit!$C$5,1)="B",AH1575,MAX(AH1575,G1575))))</f>
        <v>0</v>
      </c>
      <c r="AE1575" s="57" t="n">
        <f aca="false">IF(BR1575=1,0,ROUNDUP(AD1575/BQ1575,0))</f>
        <v>0</v>
      </c>
      <c r="AF1575" s="59" t="n">
        <f aca="false">IF(CD1575&gt;0,CD1575*MAX(1,AD1575/V1575),IF(BR1575=1,IF(AD1575&lt;=0,0,BS1575*MAX(1,IF(G1575&gt;0,AD1575/G1575,1))),IF(Q1575&gt;0,AE1575/Q1575,0))/MAX(0.1,N(Parameter!$M$21)))</f>
        <v>0</v>
      </c>
      <c r="AG1575" s="57" t="n">
        <f aca="false">AD1575*F1575</f>
        <v>0</v>
      </c>
      <c r="AH1575" s="57" t="n">
        <f aca="false">ROUNDUP(MAX(I1575/IF(BV1575&gt;0,BV1575,MAX(0.1,N(Cockpit!$C$6))),BY1575)/BQ1575,0)*BQ1575</f>
        <v>0</v>
      </c>
      <c r="AI1575" s="58" t="n">
        <f aca="false">IF(AF1575&gt;0,I1575/AF1575,-1)</f>
        <v>-1</v>
      </c>
      <c r="AJ1575" s="58" t="str">
        <f aca="false">IF(AND(OR(BU1575="L1",BU1575="L23"),AF1575&gt;0),SUMIFS($AF$7:$AF$1576,$BU$7:$BU$1576,BU1575,$AI$7:$AI$1576,"&gt;"&amp;AI1575)+SUMIFS($AF$7:$AF$1576,$BU$7:$BU$1576,BU1575,$AI$7:$AI$1576,AI1575,$BO$7:$BO$1576,"&lt;="&amp;BO1575),"")</f>
        <v/>
      </c>
      <c r="AK1575" s="65" t="n">
        <f aca="false">IF(AJ1575="",0,MAX(0,MIN(1,(IF(BU1575="L1",Parameter!$E$5,Parameter!$E$6+Parameter!$E$7)-(AJ1575-AF1575))/AF1575)))</f>
        <v>0</v>
      </c>
      <c r="AL1575" s="57" t="n">
        <f aca="false">IF(LEFT(Cockpit!$I$5,1)="A",G1575,IF(BW1575=1,BX1575,IF(LEFT(Cockpit!$I$5,1)="B",AP1575,MAX(AP1575,G1575))))</f>
        <v>0</v>
      </c>
      <c r="AM1575" s="57" t="n">
        <f aca="false">IF(BR1575=1,0,ROUNDUP(AL1575/BQ1575,0))</f>
        <v>0</v>
      </c>
      <c r="AN1575" s="59" t="n">
        <f aca="false">IF(CD1575&gt;0,CD1575*MAX(1,AL1575/V1575),IF(BR1575=1,IF(AL1575&lt;=0,0,BS1575*MAX(1,IF(G1575&gt;0,AL1575/G1575,1))),IF(Q1575&gt;0,AM1575/Q1575,0))/MAX(0.1,N(Parameter!$M$21)))</f>
        <v>0</v>
      </c>
      <c r="AO1575" s="57" t="n">
        <f aca="false">AL1575*F1575</f>
        <v>0</v>
      </c>
      <c r="AP1575" s="57" t="n">
        <f aca="false">ROUNDUP(MAX(I1575/IF(BV1575&gt;0,BV1575,MAX(0.1,N(Cockpit!$I$6))),BY1575)/BQ1575,0)*BQ1575</f>
        <v>0</v>
      </c>
      <c r="AQ1575" s="58" t="n">
        <f aca="false">IF(AN1575&gt;0,I1575/AN1575,-1)</f>
        <v>-1</v>
      </c>
      <c r="AR1575" s="58" t="str">
        <f aca="false">IF(AND(OR(BU1575="L1",BU1575="L23"),AN1575&gt;0),SUMIFS($AN$7:$AN$1576,$BU$7:$BU$1576,BU1575,$AQ$7:$AQ$1576,"&gt;"&amp;AQ1575)+SUMIFS($AN$7:$AN$1576,$BU$7:$BU$1576,BU1575,$AQ$7:$AQ$1576,AQ1575,$BO$7:$BO$1576,"&lt;="&amp;BO1575),"")</f>
        <v/>
      </c>
      <c r="AS1575" s="65" t="n">
        <f aca="false">IF(AR1575="",0,MAX(0,MIN(1,(IF(BU1575="L1",Parameter!$E$5,Parameter!$E$6+Parameter!$E$7)-(AR1575-AN1575))/AN1575)))</f>
        <v>0</v>
      </c>
      <c r="AT1575" s="57" t="n">
        <f aca="false">IF(LEFT(Cockpit!$O$5,1)="A",G1575,IF(BW1575=1,BX1575,IF(LEFT(Cockpit!$O$5,1)="B",AX1575,MAX(AX1575,G1575))))</f>
        <v>0</v>
      </c>
      <c r="AU1575" s="57" t="n">
        <f aca="false">IF(BR1575=1,0,ROUNDUP(AT1575/BQ1575,0))</f>
        <v>0</v>
      </c>
      <c r="AV1575" s="59" t="n">
        <f aca="false">IF(CD1575&gt;0,CD1575*MAX(1,AT1575/V1575),IF(BR1575=1,IF(AT1575&lt;=0,0,BS1575*MAX(1,IF(G1575&gt;0,AT1575/G1575,1))),IF(Q1575&gt;0,AU1575/Q1575,0))/MAX(0.1,N(Parameter!$M$21)))</f>
        <v>0</v>
      </c>
      <c r="AW1575" s="57" t="n">
        <f aca="false">AT1575*F1575</f>
        <v>0</v>
      </c>
      <c r="AX1575" s="57" t="n">
        <f aca="false">ROUNDUP(MAX(I1575/IF(BV1575&gt;0,BV1575,MAX(0.1,N(Cockpit!$O$6))),BY1575)/BQ1575,0)*BQ1575</f>
        <v>0</v>
      </c>
      <c r="AY1575" s="58" t="n">
        <f aca="false">IF(AV1575&gt;0,I1575/AV1575,-1)</f>
        <v>-1</v>
      </c>
      <c r="AZ1575" s="58" t="str">
        <f aca="false">IF(AND(OR(BU1575="L1",BU1575="L23"),AV1575&gt;0),SUMIFS($AV$7:$AV$1576,$BU$7:$BU$1576,BU1575,$AY$7:$AY$1576,"&gt;"&amp;AY1575)+SUMIFS($AV$7:$AV$1576,$BU$7:$BU$1576,BU1575,$AY$7:$AY$1576,AY1575,$BO$7:$BO$1576,"&lt;="&amp;BO1575),"")</f>
        <v/>
      </c>
      <c r="BA1575" s="65" t="n">
        <f aca="false">IF(AZ1575="",0,MAX(0,MIN(1,(IF(BU1575="L1",Parameter!$E$5,Parameter!$E$6+Parameter!$E$7)-(AZ1575-AV1575))/AV1575)))</f>
        <v>0</v>
      </c>
      <c r="BB1575" s="55" t="str">
        <f aca="false">IF(AF1575&lt;=0,"",IF(BU1575="Aussen","Aussenlager",IF(BU1575="-","Nicht im Lift",IF(AK1575&gt;=1,"Lift",IF(AK1575&lt;=0,"Aussenlager","teilweise")))))</f>
        <v/>
      </c>
      <c r="BC1575" s="55" t="str">
        <f aca="false">IF(AN1575&lt;=0,"",IF(BU1575="Aussen","Aussenlager",IF(BU1575="-","Nicht im Lift",IF(AS1575&gt;=1,"Lift",IF(AS1575&lt;=0,"Aussenlager","teilweise")))))</f>
        <v/>
      </c>
      <c r="BD1575" s="55" t="str">
        <f aca="false">IF(AV1575&lt;=0,"",IF(BU1575="Aussen","Aussenlager",IF(BU1575="-","Nicht im Lift",IF(BA1575&gt;=1,"Lift",IF(BA1575&lt;=0,"Aussenlager","teilweise")))))</f>
        <v/>
      </c>
      <c r="BE1575" s="55" t="str">
        <f aca="false">IF(A1575="","",IF(BN1575=1,"Neu; ","")&amp;IF(AND(BN1575=0,BI1575&lt;0),"negativer Bestand (Export "&amp;BI1575&amp;"); ","")&amp;IF(I1575&lt;=0,"Kein Verbrauch; ","")&amp;IF(CD1575&gt;0,"Lift "&amp;U1575&amp;" lt. Liftbericht (Fach "&amp;V1575&amp;" Stk); ",IF(BR1575=1,"Lose – Fläche geschätzt; ",""))&amp;IF(G1575&gt;AP1575,"Überbestand "&amp;ROUND(G1575-AP1575,0)&amp;" Stk / CHF "&amp;ROUND((G1575-AP1575)*F1575,0)&amp;"; ","")&amp;IF(AND(BW1575=1,BX1575&lt;BY1575),"MAX &lt; MB+LG; ","")&amp;IF(AND(CC1575&gt;0,CB1575*10&gt;CC1575),"zu hoch für Tablar; ","")&amp;IF(AND(BN1575=0,OR(BW1575=1,Y1575&lt;&gt;"",S1575&lt;&gt;"",T1575&lt;&gt;"",Z1575&lt;&gt;"")),"manuell übersteuert; ","")&amp;IF(AND(BR1575=0,Q1575=0),"Gebinde unbekannt / Stellmass fehlt; ","")&amp;IF(AND(BR1575=0,N(T1575)&lt;=0,N(P1575)&lt;=0),"Menge pro Gebinde fehlt (Ist = 1 Gebinde); ","")&amp;BM1575)</f>
        <v/>
      </c>
      <c r="BF1575" s="55"/>
      <c r="BG1575" s="55"/>
      <c r="BH1575" s="62"/>
      <c r="BI1575" s="57" t="n">
        <f aca="false">N('Neue Artikel'!$D$103)</f>
        <v>0</v>
      </c>
      <c r="BJ1575" s="57" t="n">
        <v>0</v>
      </c>
      <c r="BK1575" s="56" t="n">
        <v>0</v>
      </c>
      <c r="BL1575" s="57" t="n">
        <f aca="false">N('Neue Artikel'!$C$103)/Parameter!$B$18</f>
        <v>0</v>
      </c>
      <c r="BM1575" s="55"/>
      <c r="BN1575" s="60" t="n">
        <v>1</v>
      </c>
      <c r="BO1575" s="60" t="n">
        <v>1575</v>
      </c>
      <c r="BP1575" s="55" t="str">
        <f aca="false">IF(S1575&lt;&gt;"",UPPER(TRIM(S1575)),IF(O1575="","LOSE",O1575))</f>
        <v>LOSE</v>
      </c>
      <c r="BQ1575" s="57" t="n">
        <f aca="false">IF(BP1575="LOSE",1,IF(N(T1575)&gt;0,T1575,IF(N(P1575)&gt;0,P1575,MAX(1,G1575))))</f>
        <v>1</v>
      </c>
      <c r="BR1575" s="60" t="n">
        <f aca="false">IF(BP1575="LOSE",1,0)</f>
        <v>1</v>
      </c>
      <c r="BS1575" s="59" t="n">
        <f aca="false">IF(BR1575=0,0,IF(N(R1575)&gt;0,R1575,IFERROR(VLOOKUP(D1575,Parameter!$A$35:$C$64,3,0)+0,0)))</f>
        <v>0.15</v>
      </c>
      <c r="BT1575" s="55" t="str">
        <f aca="false">IF(Y1575&lt;&gt;"",Y1575,X1575)</f>
        <v/>
      </c>
      <c r="BU1575" s="55" t="str">
        <f aca="false">IF(BT1575=1,"L1",IF(OR(BT1575=2,BT1575=3),"L23",IF(BT1575="Aussen","Aussen","-")))</f>
        <v>-</v>
      </c>
      <c r="BV1575" s="66" t="n">
        <f aca="false">IF(N(Z1575)&gt;0,Z1575,0)</f>
        <v>0</v>
      </c>
      <c r="BW1575" s="60" t="n">
        <f aca="false">IF(ISNUMBER(AC1575),1,0)</f>
        <v>0</v>
      </c>
      <c r="BX1575" s="57" t="n">
        <f aca="false">N(AC1575)</f>
        <v>0</v>
      </c>
      <c r="BY1575" s="57" t="n">
        <f aca="false">N(L1575)+N(M1575)</f>
        <v>0</v>
      </c>
      <c r="BZ1575" s="57" t="n">
        <f aca="false">ROUNDUP(G1575/BQ1575,0)</f>
        <v>0</v>
      </c>
      <c r="CA1575" s="57" t="n">
        <f aca="false">ROUNDUP(BX1575/BQ1575,0)</f>
        <v>0</v>
      </c>
      <c r="CB1575" s="60" t="n">
        <f aca="false">IF(BR1575=1,0,IFERROR(VLOOKUP(BP1575,'Gebinde-Kategorie'!$A$5:$M$45,5,0)+0,0))</f>
        <v>0</v>
      </c>
      <c r="CC1575" s="60" t="n">
        <f aca="false">IFERROR(IF(OR(BT1575=1,BT1575=2,BT1575=3),N(INDEX(Parameter!$I$5:$I$7,BT1575)),0),0)</f>
        <v>0</v>
      </c>
      <c r="CD1575" s="59" t="n">
        <f aca="false">IF(AND(Parameter!$B$21="Ja",ISNUMBER(U1575),N(V1575)&gt;0),IFERROR(N(INDEX(Parameter!$L$5:$L$7,U1575))*INDEX(Parameter!$E$5:$E$7,U1575)*V1575/SUMIFS($V$7:$V$1576,$U$7:$U$1576,U1575),0),0)</f>
        <v>0</v>
      </c>
    </row>
    <row r="1576" customFormat="false" ht="15" hidden="false" customHeight="false" outlineLevel="0" collapsed="false">
      <c r="A1576" s="55" t="str">
        <f aca="false">IF('Neue Artikel'!$A$104="","",'Neue Artikel'!$A$104&amp;"")</f>
        <v/>
      </c>
      <c r="B1576" s="55" t="str">
        <f aca="false">'Neue Artikel'!$B$104&amp;""</f>
        <v/>
      </c>
      <c r="C1576" s="55"/>
      <c r="D1576" s="55" t="s">
        <v>2561</v>
      </c>
      <c r="E1576" s="55"/>
      <c r="F1576" s="56" t="n">
        <f aca="false">N('Neue Artikel'!$G$104)</f>
        <v>0</v>
      </c>
      <c r="G1576" s="57" t="n">
        <f aca="false">MAX(0,IF(AND(Parameter!$B$21="Ja",ISNUMBER(W1576)),W1576,IF(Parameter!$B$20="Jahresanfang 2025 + Export",BJ1576+BI1576,BI1576)))</f>
        <v>0</v>
      </c>
      <c r="H1576" s="57" t="n">
        <f aca="false">G1576*F1576</f>
        <v>0</v>
      </c>
      <c r="I1576" s="57" t="n">
        <f aca="false">BL1576*Parameter!$B$18</f>
        <v>0</v>
      </c>
      <c r="J1576" s="58"/>
      <c r="K1576" s="59"/>
      <c r="L1576" s="57" t="n">
        <f aca="false">N('Neue Artikel'!$E$104)</f>
        <v>0</v>
      </c>
      <c r="M1576" s="57" t="n">
        <f aca="false">N('Neue Artikel'!$F$104)</f>
        <v>0</v>
      </c>
      <c r="N1576" s="60"/>
      <c r="O1576" s="55" t="str">
        <f aca="false">IF('Neue Artikel'!$H$104="","LOSE",UPPER(TRIM('Neue Artikel'!$H$104)))</f>
        <v>LOSE</v>
      </c>
      <c r="P1576" s="57" t="n">
        <f aca="false">N('Neue Artikel'!$I$104)</f>
        <v>0</v>
      </c>
      <c r="Q1576" s="60" t="n">
        <f aca="false">IF(BR1576=1,0,IFERROR(VLOOKUP(BP1576,'Gebinde-Kategorie'!$A$5:$M$45,13,0)+0,0))</f>
        <v>0</v>
      </c>
      <c r="R1576" s="61"/>
      <c r="S1576" s="62"/>
      <c r="T1576" s="62"/>
      <c r="U1576" s="55"/>
      <c r="V1576" s="57"/>
      <c r="W1576" s="57"/>
      <c r="X1576" s="55" t="str">
        <f aca="false">IF(A1576="","",IF(AND(Parameter!$B$21="Ja",ISNUMBER(U1576)),U1576,IF(IFERROR(VLOOKUP(D1576,Parameter!$A$35:$C$64,2,0),"Nein")="2+3",IF(ISNUMBER(SEARCH("grosser Artikel",BM1576)),2,IFERROR(VLOOKUP(BP1576,Parameter!$F$35:$G$64,2,0),2)),IF(OR(IFERROR(VLOOKUP(D1576,Parameter!$A$35:$C$64,2,0),"Nein")="Nein",IFERROR(VLOOKUP(D1576,Parameter!$A$35:$C$64,2,0),"Nein")=""),"-",VLOOKUP(D1576,Parameter!$A$35:$C$64,2,0)))))</f>
        <v/>
      </c>
      <c r="Y1576" s="55" t="str">
        <f aca="false">IF('Neue Artikel'!$J$104="","",'Neue Artikel'!$J$104)</f>
        <v/>
      </c>
      <c r="Z1576" s="63"/>
      <c r="AA1576" s="57" t="n">
        <f aca="false">AP1576</f>
        <v>0</v>
      </c>
      <c r="AB1576" s="57" t="n">
        <f aca="false">MAX(AP1576,G1576)</f>
        <v>0</v>
      </c>
      <c r="AC1576" s="64"/>
      <c r="AD1576" s="57" t="n">
        <f aca="false">IF(LEFT(Cockpit!$C$5,1)="A",G1576,IF(BW1576=1,BX1576,IF(LEFT(Cockpit!$C$5,1)="B",AH1576,MAX(AH1576,G1576))))</f>
        <v>0</v>
      </c>
      <c r="AE1576" s="57" t="n">
        <f aca="false">IF(BR1576=1,0,ROUNDUP(AD1576/BQ1576,0))</f>
        <v>0</v>
      </c>
      <c r="AF1576" s="59" t="n">
        <f aca="false">IF(CD1576&gt;0,CD1576*MAX(1,AD1576/V1576),IF(BR1576=1,IF(AD1576&lt;=0,0,BS1576*MAX(1,IF(G1576&gt;0,AD1576/G1576,1))),IF(Q1576&gt;0,AE1576/Q1576,0))/MAX(0.1,N(Parameter!$M$21)))</f>
        <v>0</v>
      </c>
      <c r="AG1576" s="57" t="n">
        <f aca="false">AD1576*F1576</f>
        <v>0</v>
      </c>
      <c r="AH1576" s="57" t="n">
        <f aca="false">ROUNDUP(MAX(I1576/IF(BV1576&gt;0,BV1576,MAX(0.1,N(Cockpit!$C$6))),BY1576)/BQ1576,0)*BQ1576</f>
        <v>0</v>
      </c>
      <c r="AI1576" s="58" t="n">
        <f aca="false">IF(AF1576&gt;0,I1576/AF1576,-1)</f>
        <v>-1</v>
      </c>
      <c r="AJ1576" s="58" t="str">
        <f aca="false">IF(AND(OR(BU1576="L1",BU1576="L23"),AF1576&gt;0),SUMIFS($AF$7:$AF$1576,$BU$7:$BU$1576,BU1576,$AI$7:$AI$1576,"&gt;"&amp;AI1576)+SUMIFS($AF$7:$AF$1576,$BU$7:$BU$1576,BU1576,$AI$7:$AI$1576,AI1576,$BO$7:$BO$1576,"&lt;="&amp;BO1576),"")</f>
        <v/>
      </c>
      <c r="AK1576" s="65" t="n">
        <f aca="false">IF(AJ1576="",0,MAX(0,MIN(1,(IF(BU1576="L1",Parameter!$E$5,Parameter!$E$6+Parameter!$E$7)-(AJ1576-AF1576))/AF1576)))</f>
        <v>0</v>
      </c>
      <c r="AL1576" s="57" t="n">
        <f aca="false">IF(LEFT(Cockpit!$I$5,1)="A",G1576,IF(BW1576=1,BX1576,IF(LEFT(Cockpit!$I$5,1)="B",AP1576,MAX(AP1576,G1576))))</f>
        <v>0</v>
      </c>
      <c r="AM1576" s="57" t="n">
        <f aca="false">IF(BR1576=1,0,ROUNDUP(AL1576/BQ1576,0))</f>
        <v>0</v>
      </c>
      <c r="AN1576" s="59" t="n">
        <f aca="false">IF(CD1576&gt;0,CD1576*MAX(1,AL1576/V1576),IF(BR1576=1,IF(AL1576&lt;=0,0,BS1576*MAX(1,IF(G1576&gt;0,AL1576/G1576,1))),IF(Q1576&gt;0,AM1576/Q1576,0))/MAX(0.1,N(Parameter!$M$21)))</f>
        <v>0</v>
      </c>
      <c r="AO1576" s="57" t="n">
        <f aca="false">AL1576*F1576</f>
        <v>0</v>
      </c>
      <c r="AP1576" s="57" t="n">
        <f aca="false">ROUNDUP(MAX(I1576/IF(BV1576&gt;0,BV1576,MAX(0.1,N(Cockpit!$I$6))),BY1576)/BQ1576,0)*BQ1576</f>
        <v>0</v>
      </c>
      <c r="AQ1576" s="58" t="n">
        <f aca="false">IF(AN1576&gt;0,I1576/AN1576,-1)</f>
        <v>-1</v>
      </c>
      <c r="AR1576" s="58" t="str">
        <f aca="false">IF(AND(OR(BU1576="L1",BU1576="L23"),AN1576&gt;0),SUMIFS($AN$7:$AN$1576,$BU$7:$BU$1576,BU1576,$AQ$7:$AQ$1576,"&gt;"&amp;AQ1576)+SUMIFS($AN$7:$AN$1576,$BU$7:$BU$1576,BU1576,$AQ$7:$AQ$1576,AQ1576,$BO$7:$BO$1576,"&lt;="&amp;BO1576),"")</f>
        <v/>
      </c>
      <c r="AS1576" s="65" t="n">
        <f aca="false">IF(AR1576="",0,MAX(0,MIN(1,(IF(BU1576="L1",Parameter!$E$5,Parameter!$E$6+Parameter!$E$7)-(AR1576-AN1576))/AN1576)))</f>
        <v>0</v>
      </c>
      <c r="AT1576" s="57" t="n">
        <f aca="false">IF(LEFT(Cockpit!$O$5,1)="A",G1576,IF(BW1576=1,BX1576,IF(LEFT(Cockpit!$O$5,1)="B",AX1576,MAX(AX1576,G1576))))</f>
        <v>0</v>
      </c>
      <c r="AU1576" s="57" t="n">
        <f aca="false">IF(BR1576=1,0,ROUNDUP(AT1576/BQ1576,0))</f>
        <v>0</v>
      </c>
      <c r="AV1576" s="59" t="n">
        <f aca="false">IF(CD1576&gt;0,CD1576*MAX(1,AT1576/V1576),IF(BR1576=1,IF(AT1576&lt;=0,0,BS1576*MAX(1,IF(G1576&gt;0,AT1576/G1576,1))),IF(Q1576&gt;0,AU1576/Q1576,0))/MAX(0.1,N(Parameter!$M$21)))</f>
        <v>0</v>
      </c>
      <c r="AW1576" s="57" t="n">
        <f aca="false">AT1576*F1576</f>
        <v>0</v>
      </c>
      <c r="AX1576" s="57" t="n">
        <f aca="false">ROUNDUP(MAX(I1576/IF(BV1576&gt;0,BV1576,MAX(0.1,N(Cockpit!$O$6))),BY1576)/BQ1576,0)*BQ1576</f>
        <v>0</v>
      </c>
      <c r="AY1576" s="58" t="n">
        <f aca="false">IF(AV1576&gt;0,I1576/AV1576,-1)</f>
        <v>-1</v>
      </c>
      <c r="AZ1576" s="58" t="str">
        <f aca="false">IF(AND(OR(BU1576="L1",BU1576="L23"),AV1576&gt;0),SUMIFS($AV$7:$AV$1576,$BU$7:$BU$1576,BU1576,$AY$7:$AY$1576,"&gt;"&amp;AY1576)+SUMIFS($AV$7:$AV$1576,$BU$7:$BU$1576,BU1576,$AY$7:$AY$1576,AY1576,$BO$7:$BO$1576,"&lt;="&amp;BO1576),"")</f>
        <v/>
      </c>
      <c r="BA1576" s="65" t="n">
        <f aca="false">IF(AZ1576="",0,MAX(0,MIN(1,(IF(BU1576="L1",Parameter!$E$5,Parameter!$E$6+Parameter!$E$7)-(AZ1576-AV1576))/AV1576)))</f>
        <v>0</v>
      </c>
      <c r="BB1576" s="55" t="str">
        <f aca="false">IF(AF1576&lt;=0,"",IF(BU1576="Aussen","Aussenlager",IF(BU1576="-","Nicht im Lift",IF(AK1576&gt;=1,"Lift",IF(AK1576&lt;=0,"Aussenlager","teilweise")))))</f>
        <v/>
      </c>
      <c r="BC1576" s="55" t="str">
        <f aca="false">IF(AN1576&lt;=0,"",IF(BU1576="Aussen","Aussenlager",IF(BU1576="-","Nicht im Lift",IF(AS1576&gt;=1,"Lift",IF(AS1576&lt;=0,"Aussenlager","teilweise")))))</f>
        <v/>
      </c>
      <c r="BD1576" s="55" t="str">
        <f aca="false">IF(AV1576&lt;=0,"",IF(BU1576="Aussen","Aussenlager",IF(BU1576="-","Nicht im Lift",IF(BA1576&gt;=1,"Lift",IF(BA1576&lt;=0,"Aussenlager","teilweise")))))</f>
        <v/>
      </c>
      <c r="BE1576" s="55" t="str">
        <f aca="false">IF(A1576="","",IF(BN1576=1,"Neu; ","")&amp;IF(AND(BN1576=0,BI1576&lt;0),"negativer Bestand (Export "&amp;BI1576&amp;"); ","")&amp;IF(I1576&lt;=0,"Kein Verbrauch; ","")&amp;IF(CD1576&gt;0,"Lift "&amp;U1576&amp;" lt. Liftbericht (Fach "&amp;V1576&amp;" Stk); ",IF(BR1576=1,"Lose – Fläche geschätzt; ",""))&amp;IF(G1576&gt;AP1576,"Überbestand "&amp;ROUND(G1576-AP1576,0)&amp;" Stk / CHF "&amp;ROUND((G1576-AP1576)*F1576,0)&amp;"; ","")&amp;IF(AND(BW1576=1,BX1576&lt;BY1576),"MAX &lt; MB+LG; ","")&amp;IF(AND(CC1576&gt;0,CB1576*10&gt;CC1576),"zu hoch für Tablar; ","")&amp;IF(AND(BN1576=0,OR(BW1576=1,Y1576&lt;&gt;"",S1576&lt;&gt;"",T1576&lt;&gt;"",Z1576&lt;&gt;"")),"manuell übersteuert; ","")&amp;IF(AND(BR1576=0,Q1576=0),"Gebinde unbekannt / Stellmass fehlt; ","")&amp;IF(AND(BR1576=0,N(T1576)&lt;=0,N(P1576)&lt;=0),"Menge pro Gebinde fehlt (Ist = 1 Gebinde); ","")&amp;BM1576)</f>
        <v/>
      </c>
      <c r="BF1576" s="55"/>
      <c r="BG1576" s="55"/>
      <c r="BH1576" s="62"/>
      <c r="BI1576" s="57" t="n">
        <f aca="false">N('Neue Artikel'!$D$104)</f>
        <v>0</v>
      </c>
      <c r="BJ1576" s="57" t="n">
        <v>0</v>
      </c>
      <c r="BK1576" s="56" t="n">
        <v>0</v>
      </c>
      <c r="BL1576" s="57" t="n">
        <f aca="false">N('Neue Artikel'!$C$104)/Parameter!$B$18</f>
        <v>0</v>
      </c>
      <c r="BM1576" s="55"/>
      <c r="BN1576" s="60" t="n">
        <v>1</v>
      </c>
      <c r="BO1576" s="60" t="n">
        <v>1576</v>
      </c>
      <c r="BP1576" s="55" t="str">
        <f aca="false">IF(S1576&lt;&gt;"",UPPER(TRIM(S1576)),IF(O1576="","LOSE",O1576))</f>
        <v>LOSE</v>
      </c>
      <c r="BQ1576" s="57" t="n">
        <f aca="false">IF(BP1576="LOSE",1,IF(N(T1576)&gt;0,T1576,IF(N(P1576)&gt;0,P1576,MAX(1,G1576))))</f>
        <v>1</v>
      </c>
      <c r="BR1576" s="60" t="n">
        <f aca="false">IF(BP1576="LOSE",1,0)</f>
        <v>1</v>
      </c>
      <c r="BS1576" s="59" t="n">
        <f aca="false">IF(BR1576=0,0,IF(N(R1576)&gt;0,R1576,IFERROR(VLOOKUP(D1576,Parameter!$A$35:$C$64,3,0)+0,0)))</f>
        <v>0.15</v>
      </c>
      <c r="BT1576" s="55" t="str">
        <f aca="false">IF(Y1576&lt;&gt;"",Y1576,X1576)</f>
        <v/>
      </c>
      <c r="BU1576" s="55" t="str">
        <f aca="false">IF(BT1576=1,"L1",IF(OR(BT1576=2,BT1576=3),"L23",IF(BT1576="Aussen","Aussen","-")))</f>
        <v>-</v>
      </c>
      <c r="BV1576" s="66" t="n">
        <f aca="false">IF(N(Z1576)&gt;0,Z1576,0)</f>
        <v>0</v>
      </c>
      <c r="BW1576" s="60" t="n">
        <f aca="false">IF(ISNUMBER(AC1576),1,0)</f>
        <v>0</v>
      </c>
      <c r="BX1576" s="57" t="n">
        <f aca="false">N(AC1576)</f>
        <v>0</v>
      </c>
      <c r="BY1576" s="57" t="n">
        <f aca="false">N(L1576)+N(M1576)</f>
        <v>0</v>
      </c>
      <c r="BZ1576" s="57" t="n">
        <f aca="false">ROUNDUP(G1576/BQ1576,0)</f>
        <v>0</v>
      </c>
      <c r="CA1576" s="57" t="n">
        <f aca="false">ROUNDUP(BX1576/BQ1576,0)</f>
        <v>0</v>
      </c>
      <c r="CB1576" s="60" t="n">
        <f aca="false">IF(BR1576=1,0,IFERROR(VLOOKUP(BP1576,'Gebinde-Kategorie'!$A$5:$M$45,5,0)+0,0))</f>
        <v>0</v>
      </c>
      <c r="CC1576" s="60" t="n">
        <f aca="false">IFERROR(IF(OR(BT1576=1,BT1576=2,BT1576=3),N(INDEX(Parameter!$I$5:$I$7,BT1576)),0),0)</f>
        <v>0</v>
      </c>
      <c r="CD1576" s="59" t="n">
        <f aca="false">IF(AND(Parameter!$B$21="Ja",ISNUMBER(U1576),N(V1576)&gt;0),IFERROR(N(INDEX(Parameter!$L$5:$L$7,U1576))*INDEX(Parameter!$E$5:$E$7,U1576)*V1576/SUMIFS($V$7:$V$1576,$U$7:$U$1576,U1576),0),0)</f>
        <v>0</v>
      </c>
    </row>
  </sheetData>
  <autoFilter ref="A6:BH1576"/>
  <conditionalFormatting sqref="BB7:BB1576">
    <cfRule type="cellIs" priority="2" operator="equal" aboveAverage="0" equalAverage="0" bottom="0" percent="0" rank="0" text="" dxfId="3">
      <formula>"Lift"</formula>
    </cfRule>
    <cfRule type="cellIs" priority="3" operator="equal" aboveAverage="0" equalAverage="0" bottom="0" percent="0" rank="0" text="" dxfId="2">
      <formula>"teilweise"</formula>
    </cfRule>
    <cfRule type="cellIs" priority="4" operator="equal" aboveAverage="0" equalAverage="0" bottom="0" percent="0" rank="0" text="" dxfId="1">
      <formula>"Aussenlager"</formula>
    </cfRule>
  </conditionalFormatting>
  <conditionalFormatting sqref="BC7:BC1576">
    <cfRule type="cellIs" priority="5" operator="equal" aboveAverage="0" equalAverage="0" bottom="0" percent="0" rank="0" text="" dxfId="3">
      <formula>"Lift"</formula>
    </cfRule>
    <cfRule type="cellIs" priority="6" operator="equal" aboveAverage="0" equalAverage="0" bottom="0" percent="0" rank="0" text="" dxfId="2">
      <formula>"teilweise"</formula>
    </cfRule>
    <cfRule type="cellIs" priority="7" operator="equal" aboveAverage="0" equalAverage="0" bottom="0" percent="0" rank="0" text="" dxfId="1">
      <formula>"Aussenlager"</formula>
    </cfRule>
  </conditionalFormatting>
  <conditionalFormatting sqref="BD7:BD1576">
    <cfRule type="cellIs" priority="8" operator="equal" aboveAverage="0" equalAverage="0" bottom="0" percent="0" rank="0" text="" dxfId="3">
      <formula>"Lift"</formula>
    </cfRule>
    <cfRule type="cellIs" priority="9" operator="equal" aboveAverage="0" equalAverage="0" bottom="0" percent="0" rank="0" text="" dxfId="2">
      <formula>"teilweise"</formula>
    </cfRule>
    <cfRule type="cellIs" priority="10" operator="equal" aboveAverage="0" equalAverage="0" bottom="0" percent="0" rank="0" text="" dxfId="1">
      <formula>"Aussenlager"</formula>
    </cfRule>
  </conditionalFormatting>
  <conditionalFormatting sqref="BE7:BE1576">
    <cfRule type="expression" priority="11" aboveAverage="0" equalAverage="0" bottom="0" percent="0" rank="0" text="" dxfId="1">
      <formula>ISNUMBER(SEARCH("zu hoch",BE7))</formula>
    </cfRule>
    <cfRule type="expression" priority="12" aboveAverage="0" equalAverage="0" bottom="0" percent="0" rank="0" text="" dxfId="2">
      <formula>ISNUMBER(SEARCH("Überbestand",BE7))</formula>
    </cfRule>
  </conditionalFormatting>
  <dataValidations count="1">
    <dataValidation allowBlank="true" errorStyle="stop" operator="between" showDropDown="false" showErrorMessage="false" showInputMessage="false" sqref="Y7:Y1476" type="list">
      <formula1>"1,2,3,Aussen"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Z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8" min="6" style="0" width="11"/>
    <col collapsed="false" customWidth="true" hidden="false" outlineLevel="0" max="9" min="9" style="0" width="14"/>
    <col collapsed="false" customWidth="true" hidden="false" outlineLevel="0" max="11" min="10" style="0" width="11"/>
    <col collapsed="false" customWidth="true" hidden="false" outlineLevel="0" max="13" min="12" style="0" width="14"/>
  </cols>
  <sheetData>
    <row r="1" customFormat="false" ht="17.35" hidden="false" customHeight="false" outlineLevel="0" collapsed="false">
      <c r="A1" s="32" t="s">
        <v>2562</v>
      </c>
      <c r="Z1" s="67" t="s">
        <v>2563</v>
      </c>
    </row>
    <row r="2" customFormat="false" ht="15" hidden="false" customHeight="false" outlineLevel="0" collapsed="false">
      <c r="A2" s="33" t="s">
        <v>2564</v>
      </c>
    </row>
    <row r="3" customFormat="false" ht="15" hidden="false" customHeight="false" outlineLevel="0" collapsed="false">
      <c r="A3" s="48" t="s">
        <v>2565</v>
      </c>
    </row>
    <row r="4" customFormat="false" ht="35.05" hidden="false" customHeight="false" outlineLevel="0" collapsed="false">
      <c r="A4" s="53" t="s">
        <v>2566</v>
      </c>
      <c r="B4" s="53" t="s">
        <v>2567</v>
      </c>
      <c r="C4" s="53" t="s">
        <v>2568</v>
      </c>
      <c r="D4" s="53" t="s">
        <v>80</v>
      </c>
      <c r="E4" s="53" t="s">
        <v>2569</v>
      </c>
      <c r="F4" s="53" t="s">
        <v>2570</v>
      </c>
      <c r="G4" s="53" t="s">
        <v>2571</v>
      </c>
      <c r="H4" s="53" t="s">
        <v>2572</v>
      </c>
      <c r="I4" s="53" t="s">
        <v>2573</v>
      </c>
      <c r="J4" s="53" t="s">
        <v>2574</v>
      </c>
      <c r="K4" s="53" t="s">
        <v>2575</v>
      </c>
      <c r="L4" s="53" t="s">
        <v>2576</v>
      </c>
    </row>
    <row r="5" customFormat="false" ht="15" hidden="false" customHeight="false" outlineLevel="0" collapsed="false">
      <c r="A5" s="15" t="n">
        <v>1</v>
      </c>
      <c r="B5" s="68" t="s">
        <v>15</v>
      </c>
      <c r="C5" s="68" t="s">
        <v>2577</v>
      </c>
      <c r="D5" s="68" t="s">
        <v>161</v>
      </c>
      <c r="E5" s="69" t="n">
        <v>50</v>
      </c>
      <c r="F5" s="70" t="n">
        <v>4060</v>
      </c>
      <c r="G5" s="70" t="n">
        <v>857</v>
      </c>
      <c r="H5" s="70" t="n">
        <v>11900</v>
      </c>
      <c r="I5" s="70"/>
      <c r="J5" s="71" t="n">
        <f aca="false">F5*G5/1000000</f>
        <v>3.47942</v>
      </c>
      <c r="K5" s="11" t="n">
        <f aca="false">E5*J5</f>
        <v>173.971</v>
      </c>
      <c r="L5" s="72" t="n">
        <v>0.85</v>
      </c>
    </row>
    <row r="6" customFormat="false" ht="15" hidden="false" customHeight="false" outlineLevel="0" collapsed="false">
      <c r="A6" s="15" t="n">
        <v>2</v>
      </c>
      <c r="B6" s="68" t="s">
        <v>16</v>
      </c>
      <c r="C6" s="68" t="s">
        <v>2578</v>
      </c>
      <c r="D6" s="68" t="s">
        <v>2579</v>
      </c>
      <c r="E6" s="69" t="n">
        <v>50</v>
      </c>
      <c r="F6" s="70" t="n">
        <v>4060</v>
      </c>
      <c r="G6" s="70" t="n">
        <v>857</v>
      </c>
      <c r="H6" s="70" t="n">
        <v>11900</v>
      </c>
      <c r="I6" s="70"/>
      <c r="J6" s="71" t="n">
        <f aca="false">F6*G6/1000000</f>
        <v>3.47942</v>
      </c>
      <c r="K6" s="11" t="n">
        <f aca="false">E6*J6</f>
        <v>173.971</v>
      </c>
      <c r="L6" s="72"/>
    </row>
    <row r="7" customFormat="false" ht="15" hidden="false" customHeight="false" outlineLevel="0" collapsed="false">
      <c r="A7" s="15" t="n">
        <v>3</v>
      </c>
      <c r="B7" s="68" t="s">
        <v>17</v>
      </c>
      <c r="C7" s="68" t="s">
        <v>2580</v>
      </c>
      <c r="D7" s="68" t="s">
        <v>2581</v>
      </c>
      <c r="E7" s="69" t="n">
        <v>50</v>
      </c>
      <c r="F7" s="70" t="n">
        <v>4060</v>
      </c>
      <c r="G7" s="70" t="n">
        <v>857</v>
      </c>
      <c r="H7" s="70" t="n">
        <v>11900</v>
      </c>
      <c r="I7" s="70"/>
      <c r="J7" s="71" t="n">
        <f aca="false">F7*G7/1000000</f>
        <v>3.47942</v>
      </c>
      <c r="K7" s="11" t="n">
        <f aca="false">E7*J7</f>
        <v>173.971</v>
      </c>
      <c r="L7" s="72"/>
    </row>
    <row r="8" customFormat="false" ht="15" hidden="false" customHeight="false" outlineLevel="0" collapsed="false">
      <c r="A8" s="15" t="s">
        <v>39</v>
      </c>
      <c r="E8" s="17" t="n">
        <f aca="false">SUM(E5:E7)</f>
        <v>150</v>
      </c>
      <c r="K8" s="16" t="n">
        <f aca="false">SUM(K5:K7)</f>
        <v>521.913</v>
      </c>
    </row>
    <row r="10" customFormat="false" ht="15" hidden="false" customHeight="false" outlineLevel="0" collapsed="false">
      <c r="A10" s="48" t="s">
        <v>2582</v>
      </c>
      <c r="I10" s="48" t="s">
        <v>2583</v>
      </c>
    </row>
    <row r="11" customFormat="false" ht="15" hidden="false" customHeight="false" outlineLevel="0" collapsed="false">
      <c r="A11" s="23" t="s">
        <v>2584</v>
      </c>
      <c r="B11" s="72" t="n">
        <v>0.85</v>
      </c>
      <c r="C11" s="33" t="s">
        <v>2585</v>
      </c>
      <c r="I11" s="23" t="s">
        <v>2586</v>
      </c>
      <c r="M11" s="73" t="n">
        <v>747814.699999999</v>
      </c>
    </row>
    <row r="12" customFormat="false" ht="15" hidden="false" customHeight="false" outlineLevel="0" collapsed="false">
      <c r="A12" s="23" t="s">
        <v>2587</v>
      </c>
      <c r="B12" s="72" t="n">
        <v>1</v>
      </c>
      <c r="I12" s="23" t="s">
        <v>2588</v>
      </c>
      <c r="M12" s="73" t="n">
        <f aca="false">SUM(Artikel!$BK$7:$BK$1576)</f>
        <v>68525.75</v>
      </c>
    </row>
    <row r="13" customFormat="false" ht="15" hidden="false" customHeight="false" outlineLevel="0" collapsed="false">
      <c r="I13" s="23" t="s">
        <v>2589</v>
      </c>
      <c r="M13" s="73" t="n">
        <f aca="false">SUMIFS(Artikel!$BK$7:$BK$1576,Artikel!$BI$7:$BI$1576,"&gt;0")</f>
        <v>1331182.63</v>
      </c>
    </row>
    <row r="14" customFormat="false" ht="15" hidden="false" customHeight="false" outlineLevel="0" collapsed="false">
      <c r="A14" s="48" t="s">
        <v>2590</v>
      </c>
      <c r="I14" s="23" t="s">
        <v>2591</v>
      </c>
      <c r="M14" s="73" t="n">
        <f aca="false">SUM(Artikel!$H$7:$H$1576)</f>
        <v>1595711.093</v>
      </c>
    </row>
    <row r="15" customFormat="false" ht="15" hidden="false" customHeight="false" outlineLevel="0" collapsed="false">
      <c r="A15" s="23" t="s">
        <v>2592</v>
      </c>
      <c r="B15" s="74" t="n">
        <v>45658</v>
      </c>
      <c r="C15" s="33" t="s">
        <v>2593</v>
      </c>
      <c r="I15" s="23" t="s">
        <v>2594</v>
      </c>
      <c r="M15" s="27" t="n">
        <f aca="false">COUNTIFS(Artikel!$BI$7:$BI$1576,"&lt;0",Artikel!$BN$7:$BN$1576,0)</f>
        <v>711</v>
      </c>
    </row>
    <row r="16" customFormat="false" ht="15" hidden="false" customHeight="false" outlineLevel="0" collapsed="false">
      <c r="A16" s="23" t="s">
        <v>2595</v>
      </c>
      <c r="B16" s="74" t="n">
        <v>46022</v>
      </c>
      <c r="I16" s="23" t="s">
        <v>2596</v>
      </c>
      <c r="M16" s="27" t="n">
        <f aca="false">COUNTIFS(Artikel!$BN$7:$BN$1576,0)</f>
        <v>1470</v>
      </c>
    </row>
    <row r="17" customFormat="false" ht="15" hidden="false" customHeight="false" outlineLevel="0" collapsed="false">
      <c r="A17" s="23" t="s">
        <v>2597</v>
      </c>
      <c r="B17" s="12" t="n">
        <f aca="false">MAX(1,(YEAR(B16)-YEAR(B15))*12+MONTH(B16)-MONTH(B15)+1)</f>
        <v>12</v>
      </c>
      <c r="I17" s="23" t="s">
        <v>2598</v>
      </c>
      <c r="M17" s="23" t="str">
        <f aca="false">COUNT(Artikel!$U$7:$U$1576)&amp;" / "&amp;COUNTIFS(Artikel!$U$7:$U$1576,"&gt;0",Artikel!$BM$7:$BM$1576,"nur im Liftbericht*")</f>
        <v>48 / 6</v>
      </c>
    </row>
    <row r="18" customFormat="false" ht="15" hidden="false" customHeight="false" outlineLevel="0" collapsed="false">
      <c r="A18" s="23" t="s">
        <v>2599</v>
      </c>
      <c r="B18" s="71" t="n">
        <f aca="false">12/B17</f>
        <v>1</v>
      </c>
      <c r="I18" s="23" t="s">
        <v>2600</v>
      </c>
      <c r="M18" s="31" t="n">
        <f aca="false">Szenarien!C5</f>
        <v>0.863333333333333</v>
      </c>
    </row>
    <row r="20" customFormat="false" ht="15" hidden="false" customHeight="false" outlineLevel="0" collapsed="false">
      <c r="A20" s="48" t="s">
        <v>2601</v>
      </c>
      <c r="B20" s="68" t="s">
        <v>2602</v>
      </c>
      <c r="C20" s="33" t="s">
        <v>2603</v>
      </c>
      <c r="I20" s="48" t="s">
        <v>2604</v>
      </c>
    </row>
    <row r="21" customFormat="false" ht="15" hidden="false" customHeight="false" outlineLevel="0" collapsed="false">
      <c r="A21" s="48" t="s">
        <v>2605</v>
      </c>
      <c r="B21" s="68" t="s">
        <v>2606</v>
      </c>
      <c r="C21" s="33" t="s">
        <v>2607</v>
      </c>
      <c r="I21" s="23" t="s">
        <v>2608</v>
      </c>
      <c r="M21" s="72" t="n">
        <v>1</v>
      </c>
    </row>
    <row r="22" customFormat="false" ht="15" hidden="false" customHeight="false" outlineLevel="0" collapsed="false">
      <c r="A22" s="48" t="s">
        <v>2609</v>
      </c>
      <c r="D22" s="48" t="s">
        <v>2610</v>
      </c>
      <c r="I22" s="23" t="s">
        <v>2611</v>
      </c>
      <c r="M22" s="69" t="n">
        <v>2</v>
      </c>
    </row>
    <row r="23" customFormat="false" ht="15" hidden="false" customHeight="false" outlineLevel="0" collapsed="false">
      <c r="A23" s="75" t="n">
        <v>1</v>
      </c>
      <c r="D23" s="23" t="s">
        <v>6</v>
      </c>
      <c r="I23" s="33" t="s">
        <v>2612</v>
      </c>
    </row>
    <row r="24" customFormat="false" ht="15" hidden="false" customHeight="false" outlineLevel="0" collapsed="false">
      <c r="A24" s="75" t="n">
        <v>1.5</v>
      </c>
      <c r="D24" s="23" t="s">
        <v>64</v>
      </c>
    </row>
    <row r="25" customFormat="false" ht="15" hidden="false" customHeight="false" outlineLevel="0" collapsed="false">
      <c r="A25" s="75" t="n">
        <v>2</v>
      </c>
      <c r="D25" s="23" t="s">
        <v>7</v>
      </c>
    </row>
    <row r="26" customFormat="false" ht="15" hidden="false" customHeight="false" outlineLevel="0" collapsed="false">
      <c r="A26" s="75" t="n">
        <v>2.5</v>
      </c>
    </row>
    <row r="27" customFormat="false" ht="15" hidden="false" customHeight="false" outlineLevel="0" collapsed="false">
      <c r="A27" s="75" t="n">
        <v>3</v>
      </c>
    </row>
    <row r="28" customFormat="false" ht="15" hidden="false" customHeight="false" outlineLevel="0" collapsed="false">
      <c r="A28" s="75" t="n">
        <v>4</v>
      </c>
    </row>
    <row r="29" customFormat="false" ht="15" hidden="false" customHeight="false" outlineLevel="0" collapsed="false">
      <c r="A29" s="75" t="n">
        <v>5</v>
      </c>
    </row>
    <row r="30" customFormat="false" ht="15" hidden="false" customHeight="false" outlineLevel="0" collapsed="false">
      <c r="A30" s="75" t="n">
        <v>6</v>
      </c>
    </row>
    <row r="32" customFormat="false" ht="15" hidden="false" customHeight="false" outlineLevel="0" collapsed="false">
      <c r="A32" s="48" t="s">
        <v>2613</v>
      </c>
      <c r="F32" s="48" t="s">
        <v>2614</v>
      </c>
    </row>
    <row r="33" customFormat="false" ht="15" hidden="false" customHeight="false" outlineLevel="0" collapsed="false">
      <c r="A33" s="33" t="s">
        <v>2615</v>
      </c>
      <c r="F33" s="33" t="s">
        <v>2616</v>
      </c>
    </row>
    <row r="34" customFormat="false" ht="15" hidden="false" customHeight="false" outlineLevel="0" collapsed="false">
      <c r="A34" s="53" t="s">
        <v>80</v>
      </c>
      <c r="B34" s="53" t="s">
        <v>2566</v>
      </c>
      <c r="C34" s="53" t="s">
        <v>2617</v>
      </c>
      <c r="F34" s="34" t="s">
        <v>2618</v>
      </c>
      <c r="G34" s="34" t="s">
        <v>2566</v>
      </c>
    </row>
    <row r="35" customFormat="false" ht="15" hidden="false" customHeight="false" outlineLevel="0" collapsed="false">
      <c r="A35" s="68" t="s">
        <v>161</v>
      </c>
      <c r="B35" s="76" t="n">
        <v>1</v>
      </c>
      <c r="C35" s="77" t="n">
        <v>1</v>
      </c>
      <c r="F35" s="68" t="s">
        <v>391</v>
      </c>
      <c r="G35" s="76" t="n">
        <v>3</v>
      </c>
    </row>
    <row r="36" customFormat="false" ht="15" hidden="false" customHeight="false" outlineLevel="0" collapsed="false">
      <c r="A36" s="68" t="s">
        <v>178</v>
      </c>
      <c r="B36" s="76" t="s">
        <v>2619</v>
      </c>
      <c r="C36" s="77" t="n">
        <v>0.03</v>
      </c>
      <c r="F36" s="68" t="s">
        <v>416</v>
      </c>
      <c r="G36" s="76" t="n">
        <v>3</v>
      </c>
    </row>
    <row r="37" customFormat="false" ht="15" hidden="false" customHeight="false" outlineLevel="0" collapsed="false">
      <c r="A37" s="68" t="s">
        <v>168</v>
      </c>
      <c r="B37" s="76" t="s">
        <v>2619</v>
      </c>
      <c r="C37" s="77" t="n">
        <v>0.15</v>
      </c>
      <c r="F37" s="68" t="s">
        <v>411</v>
      </c>
      <c r="G37" s="76" t="n">
        <v>3</v>
      </c>
    </row>
    <row r="38" customFormat="false" ht="15" hidden="false" customHeight="false" outlineLevel="0" collapsed="false">
      <c r="A38" s="68" t="s">
        <v>2561</v>
      </c>
      <c r="B38" s="76" t="s">
        <v>2619</v>
      </c>
      <c r="C38" s="77" t="n">
        <v>0.15</v>
      </c>
      <c r="F38" s="68" t="s">
        <v>465</v>
      </c>
      <c r="G38" s="76" t="n">
        <v>3</v>
      </c>
    </row>
    <row r="39" customFormat="false" ht="15" hidden="false" customHeight="false" outlineLevel="0" collapsed="false">
      <c r="A39" s="68" t="s">
        <v>984</v>
      </c>
      <c r="B39" s="76" t="s">
        <v>2620</v>
      </c>
      <c r="C39" s="77" t="n">
        <v>0.15</v>
      </c>
      <c r="F39" s="68" t="s">
        <v>319</v>
      </c>
      <c r="G39" s="76" t="n">
        <v>3</v>
      </c>
    </row>
    <row r="40" customFormat="false" ht="15" hidden="false" customHeight="false" outlineLevel="0" collapsed="false">
      <c r="A40" s="68" t="s">
        <v>344</v>
      </c>
      <c r="B40" s="76" t="s">
        <v>2620</v>
      </c>
      <c r="C40" s="77" t="n">
        <v>0.15</v>
      </c>
      <c r="F40" s="68" t="s">
        <v>293</v>
      </c>
      <c r="G40" s="76" t="n">
        <v>3</v>
      </c>
    </row>
    <row r="41" customFormat="false" ht="15" hidden="false" customHeight="false" outlineLevel="0" collapsed="false">
      <c r="A41" s="68" t="s">
        <v>839</v>
      </c>
      <c r="B41" s="76" t="s">
        <v>2620</v>
      </c>
      <c r="C41" s="77" t="n">
        <v>0.15</v>
      </c>
      <c r="F41" s="68" t="s">
        <v>225</v>
      </c>
      <c r="G41" s="76" t="n">
        <v>3</v>
      </c>
    </row>
    <row r="42" customFormat="false" ht="15" hidden="false" customHeight="false" outlineLevel="0" collapsed="false">
      <c r="A42" s="68" t="s">
        <v>1328</v>
      </c>
      <c r="B42" s="76" t="s">
        <v>2620</v>
      </c>
      <c r="C42" s="77" t="n">
        <v>0.15</v>
      </c>
      <c r="F42" s="68" t="s">
        <v>179</v>
      </c>
      <c r="G42" s="76" t="n">
        <v>2</v>
      </c>
    </row>
    <row r="43" customFormat="false" ht="15" hidden="false" customHeight="false" outlineLevel="0" collapsed="false">
      <c r="A43" s="68" t="s">
        <v>1460</v>
      </c>
      <c r="B43" s="76" t="s">
        <v>2620</v>
      </c>
      <c r="C43" s="77" t="n">
        <v>0.15</v>
      </c>
      <c r="F43" s="68" t="s">
        <v>284</v>
      </c>
      <c r="G43" s="76" t="n">
        <v>2</v>
      </c>
    </row>
    <row r="44" customFormat="false" ht="15" hidden="false" customHeight="false" outlineLevel="0" collapsed="false">
      <c r="A44" s="68" t="s">
        <v>2621</v>
      </c>
      <c r="B44" s="76" t="s">
        <v>2620</v>
      </c>
      <c r="C44" s="77" t="n">
        <v>0.15</v>
      </c>
      <c r="F44" s="68" t="s">
        <v>218</v>
      </c>
      <c r="G44" s="76" t="n">
        <v>2</v>
      </c>
    </row>
    <row r="45" customFormat="false" ht="15" hidden="false" customHeight="false" outlineLevel="0" collapsed="false">
      <c r="A45" s="68" t="s">
        <v>2622</v>
      </c>
      <c r="B45" s="76" t="s">
        <v>2620</v>
      </c>
      <c r="C45" s="77" t="n">
        <v>0.15</v>
      </c>
      <c r="F45" s="68" t="s">
        <v>169</v>
      </c>
      <c r="G45" s="76" t="n">
        <v>2</v>
      </c>
    </row>
    <row r="46" customFormat="false" ht="15" hidden="false" customHeight="false" outlineLevel="0" collapsed="false">
      <c r="A46" s="68" t="s">
        <v>2623</v>
      </c>
      <c r="B46" s="76" t="s">
        <v>2620</v>
      </c>
      <c r="C46" s="77" t="n">
        <v>0.15</v>
      </c>
      <c r="F46" s="68" t="s">
        <v>251</v>
      </c>
      <c r="G46" s="76" t="n">
        <v>2</v>
      </c>
    </row>
    <row r="47" customFormat="false" ht="15" hidden="false" customHeight="false" outlineLevel="0" collapsed="false">
      <c r="A47" s="68" t="s">
        <v>2624</v>
      </c>
      <c r="B47" s="76" t="s">
        <v>2620</v>
      </c>
      <c r="C47" s="77" t="n">
        <v>0.15</v>
      </c>
      <c r="F47" s="68" t="s">
        <v>2625</v>
      </c>
      <c r="G47" s="76" t="n">
        <v>2</v>
      </c>
    </row>
    <row r="48" customFormat="false" ht="15" hidden="false" customHeight="false" outlineLevel="0" collapsed="false">
      <c r="A48" s="68" t="s">
        <v>2626</v>
      </c>
      <c r="B48" s="76" t="s">
        <v>2620</v>
      </c>
      <c r="C48" s="77" t="n">
        <v>0.15</v>
      </c>
      <c r="F48" s="68" t="s">
        <v>215</v>
      </c>
      <c r="G48" s="76" t="n">
        <v>2</v>
      </c>
    </row>
    <row r="49" customFormat="false" ht="15" hidden="false" customHeight="false" outlineLevel="0" collapsed="false">
      <c r="A49" s="68" t="s">
        <v>1377</v>
      </c>
      <c r="B49" s="76" t="s">
        <v>2620</v>
      </c>
      <c r="C49" s="77" t="n">
        <v>0.15</v>
      </c>
      <c r="F49" s="68" t="s">
        <v>339</v>
      </c>
      <c r="G49" s="76" t="n">
        <v>2</v>
      </c>
    </row>
    <row r="50" customFormat="false" ht="15" hidden="false" customHeight="false" outlineLevel="0" collapsed="false">
      <c r="A50" s="68"/>
      <c r="B50" s="76"/>
      <c r="C50" s="77"/>
      <c r="F50" s="68" t="s">
        <v>2627</v>
      </c>
      <c r="G50" s="76" t="n">
        <v>2</v>
      </c>
    </row>
    <row r="51" customFormat="false" ht="15" hidden="false" customHeight="false" outlineLevel="0" collapsed="false">
      <c r="A51" s="68"/>
      <c r="B51" s="76"/>
      <c r="C51" s="77"/>
      <c r="F51" s="68" t="s">
        <v>2628</v>
      </c>
      <c r="G51" s="76" t="n">
        <v>2</v>
      </c>
    </row>
    <row r="52" customFormat="false" ht="15" hidden="false" customHeight="false" outlineLevel="0" collapsed="false">
      <c r="A52" s="68"/>
      <c r="B52" s="76"/>
      <c r="C52" s="77"/>
      <c r="F52" s="68" t="s">
        <v>2629</v>
      </c>
      <c r="G52" s="76" t="n">
        <v>2</v>
      </c>
    </row>
    <row r="53" customFormat="false" ht="15" hidden="false" customHeight="false" outlineLevel="0" collapsed="false">
      <c r="A53" s="68"/>
      <c r="B53" s="76"/>
      <c r="C53" s="77"/>
      <c r="F53" s="68" t="s">
        <v>2630</v>
      </c>
      <c r="G53" s="76" t="n">
        <v>2</v>
      </c>
    </row>
    <row r="54" customFormat="false" ht="15" hidden="false" customHeight="false" outlineLevel="0" collapsed="false">
      <c r="A54" s="68"/>
      <c r="B54" s="76"/>
      <c r="C54" s="77"/>
      <c r="F54" s="68" t="s">
        <v>2631</v>
      </c>
      <c r="G54" s="76" t="n">
        <v>2</v>
      </c>
    </row>
    <row r="55" customFormat="false" ht="15" hidden="false" customHeight="false" outlineLevel="0" collapsed="false">
      <c r="A55" s="68"/>
      <c r="B55" s="76"/>
      <c r="C55" s="77"/>
      <c r="F55" s="68" t="s">
        <v>2632</v>
      </c>
      <c r="G55" s="76" t="n">
        <v>2</v>
      </c>
    </row>
    <row r="56" customFormat="false" ht="15" hidden="false" customHeight="false" outlineLevel="0" collapsed="false">
      <c r="A56" s="68"/>
      <c r="B56" s="76"/>
      <c r="C56" s="77"/>
      <c r="F56" s="68" t="s">
        <v>2633</v>
      </c>
      <c r="G56" s="76" t="n">
        <v>2</v>
      </c>
    </row>
    <row r="57" customFormat="false" ht="15" hidden="false" customHeight="false" outlineLevel="0" collapsed="false">
      <c r="A57" s="68"/>
      <c r="B57" s="76"/>
      <c r="C57" s="77"/>
      <c r="F57" s="68" t="s">
        <v>163</v>
      </c>
      <c r="G57" s="76" t="n">
        <v>2</v>
      </c>
    </row>
    <row r="58" customFormat="false" ht="15" hidden="false" customHeight="false" outlineLevel="0" collapsed="false">
      <c r="A58" s="68"/>
      <c r="B58" s="76"/>
      <c r="C58" s="77"/>
      <c r="F58" s="68"/>
      <c r="G58" s="76"/>
    </row>
    <row r="59" customFormat="false" ht="15" hidden="false" customHeight="false" outlineLevel="0" collapsed="false">
      <c r="A59" s="68"/>
      <c r="B59" s="76"/>
      <c r="C59" s="77"/>
      <c r="F59" s="68"/>
      <c r="G59" s="76"/>
    </row>
    <row r="60" customFormat="false" ht="15" hidden="false" customHeight="false" outlineLevel="0" collapsed="false">
      <c r="A60" s="68"/>
      <c r="B60" s="76"/>
      <c r="C60" s="77"/>
      <c r="F60" s="68"/>
      <c r="G60" s="76"/>
    </row>
    <row r="61" customFormat="false" ht="15" hidden="false" customHeight="false" outlineLevel="0" collapsed="false">
      <c r="A61" s="68"/>
      <c r="B61" s="76"/>
      <c r="C61" s="77"/>
      <c r="F61" s="68"/>
      <c r="G61" s="76"/>
    </row>
    <row r="62" customFormat="false" ht="15" hidden="false" customHeight="false" outlineLevel="0" collapsed="false">
      <c r="A62" s="68"/>
      <c r="B62" s="76"/>
      <c r="C62" s="77"/>
      <c r="F62" s="68"/>
      <c r="G62" s="76"/>
    </row>
    <row r="63" customFormat="false" ht="15" hidden="false" customHeight="false" outlineLevel="0" collapsed="false">
      <c r="A63" s="68"/>
      <c r="B63" s="76"/>
      <c r="C63" s="77"/>
      <c r="F63" s="68"/>
      <c r="G63" s="76"/>
    </row>
    <row r="64" customFormat="false" ht="15" hidden="false" customHeight="false" outlineLevel="0" collapsed="false">
      <c r="A64" s="68"/>
      <c r="B64" s="76"/>
      <c r="C64" s="77"/>
      <c r="F64" s="68"/>
      <c r="G64" s="76"/>
    </row>
  </sheetData>
  <dataValidations count="6">
    <dataValidation allowBlank="false" error="Anzahl Tablare 40–60" errorStyle="stop" operator="between" showDropDown="false" showErrorMessage="false" showInputMessage="false" sqref="E5:E7" type="whole">
      <formula1>40</formula1>
      <formula2>60</formula2>
    </dataValidation>
    <dataValidation allowBlank="false" errorStyle="stop" operator="between" showDropDown="false" showErrorMessage="false" showInputMessage="false" sqref="B20" type="list">
      <formula1>"Export (Bestandsmenge),Jahresanfang 2025 + Export"</formula1>
      <formula2>0</formula2>
    </dataValidation>
    <dataValidation allowBlank="false" errorStyle="stop" operator="between" showDropDown="false" showErrorMessage="false" showInputMessage="false" sqref="B21" type="list">
      <formula1>"Ja,Nein"</formula1>
      <formula2>0</formula2>
    </dataValidation>
    <dataValidation allowBlank="true" errorStyle="stop" operator="between" showDropDown="false" showErrorMessage="false" showInputMessage="false" sqref="B35:B64" type="list">
      <formula1>"1,2,3,2+3,Nein"</formula1>
      <formula2>0</formula2>
    </dataValidation>
    <dataValidation allowBlank="true" errorStyle="stop" operator="between" showDropDown="false" showErrorMessage="false" showInputMessage="false" sqref="G35:G64" type="list">
      <formula1>"2,3"</formula1>
      <formula2>0</formula2>
    </dataValidation>
    <dataValidation allowBlank="false" errorStyle="stop" operator="between" showDropDown="false" showErrorMessage="false" showInputMessage="false" sqref="M2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32" t="s">
        <v>2634</v>
      </c>
    </row>
    <row r="2" customFormat="false" ht="15" hidden="false" customHeight="false" outlineLevel="0" collapsed="false">
      <c r="A2" s="33" t="s">
        <v>2635</v>
      </c>
    </row>
    <row r="3" customFormat="false" ht="15" hidden="false" customHeight="false" outlineLevel="0" collapsed="false">
      <c r="A3" s="3" t="s">
        <v>2636</v>
      </c>
    </row>
    <row r="4" customFormat="false" ht="42" hidden="false" customHeight="true" outlineLevel="0" collapsed="false">
      <c r="A4" s="53" t="s">
        <v>77</v>
      </c>
      <c r="B4" s="53" t="s">
        <v>78</v>
      </c>
      <c r="C4" s="53" t="s">
        <v>2637</v>
      </c>
      <c r="D4" s="53" t="s">
        <v>62</v>
      </c>
      <c r="E4" s="53" t="s">
        <v>87</v>
      </c>
      <c r="F4" s="53" t="s">
        <v>88</v>
      </c>
      <c r="G4" s="53" t="s">
        <v>82</v>
      </c>
      <c r="H4" s="53" t="s">
        <v>2638</v>
      </c>
      <c r="I4" s="53" t="s">
        <v>91</v>
      </c>
      <c r="J4" s="53" t="s">
        <v>2639</v>
      </c>
    </row>
    <row r="5" customFormat="false" ht="15" hidden="false" customHeight="false" outlineLevel="0" collapsed="false">
      <c r="A5" s="68"/>
      <c r="B5" s="68"/>
      <c r="C5" s="68"/>
      <c r="D5" s="68"/>
      <c r="E5" s="68"/>
      <c r="F5" s="68"/>
      <c r="G5" s="68"/>
      <c r="H5" s="68"/>
      <c r="I5" s="68"/>
      <c r="J5" s="68"/>
    </row>
    <row r="6" customFormat="false" ht="15" hidden="false" customHeight="false" outlineLevel="0" collapsed="false">
      <c r="A6" s="68"/>
      <c r="B6" s="68"/>
      <c r="C6" s="68"/>
      <c r="D6" s="68"/>
      <c r="E6" s="68"/>
      <c r="F6" s="68"/>
      <c r="G6" s="68"/>
      <c r="H6" s="68"/>
      <c r="I6" s="68"/>
      <c r="J6" s="68"/>
    </row>
    <row r="7" customFormat="false" ht="15" hidden="false" customHeight="false" outlineLevel="0" collapsed="false">
      <c r="A7" s="68"/>
      <c r="B7" s="68"/>
      <c r="C7" s="68"/>
      <c r="D7" s="68"/>
      <c r="E7" s="68"/>
      <c r="F7" s="68"/>
      <c r="G7" s="68"/>
      <c r="H7" s="68"/>
      <c r="I7" s="68"/>
      <c r="J7" s="68"/>
    </row>
    <row r="8" customFormat="false" ht="15" hidden="false" customHeight="false" outlineLevel="0" collapsed="false">
      <c r="A8" s="68"/>
      <c r="B8" s="68"/>
      <c r="C8" s="68"/>
      <c r="D8" s="68"/>
      <c r="E8" s="68"/>
      <c r="F8" s="68"/>
      <c r="G8" s="68"/>
      <c r="H8" s="68"/>
      <c r="I8" s="68"/>
      <c r="J8" s="68"/>
    </row>
    <row r="9" customFormat="false" ht="15" hidden="false" customHeight="false" outlineLevel="0" collapsed="false">
      <c r="A9" s="68"/>
      <c r="B9" s="68"/>
      <c r="C9" s="68"/>
      <c r="D9" s="68"/>
      <c r="E9" s="68"/>
      <c r="F9" s="68"/>
      <c r="G9" s="68"/>
      <c r="H9" s="68"/>
      <c r="I9" s="68"/>
      <c r="J9" s="68"/>
    </row>
    <row r="10" customFormat="false" ht="15" hidden="false" customHeight="false" outlineLevel="0" collapsed="false">
      <c r="A10" s="68"/>
      <c r="B10" s="68"/>
      <c r="C10" s="68"/>
      <c r="D10" s="68"/>
      <c r="E10" s="68"/>
      <c r="F10" s="68"/>
      <c r="G10" s="68"/>
      <c r="H10" s="68"/>
      <c r="I10" s="68"/>
      <c r="J10" s="68"/>
    </row>
    <row r="11" customFormat="false" ht="15" hidden="false" customHeight="false" outlineLevel="0" collapsed="false">
      <c r="A11" s="68"/>
      <c r="B11" s="68"/>
      <c r="C11" s="68"/>
      <c r="D11" s="68"/>
      <c r="E11" s="68"/>
      <c r="F11" s="68"/>
      <c r="G11" s="68"/>
      <c r="H11" s="68"/>
      <c r="I11" s="68"/>
      <c r="J11" s="68"/>
    </row>
    <row r="12" customFormat="false" ht="15" hidden="false" customHeight="false" outlineLevel="0" collapsed="false">
      <c r="A12" s="68"/>
      <c r="B12" s="68"/>
      <c r="C12" s="68"/>
      <c r="D12" s="68"/>
      <c r="E12" s="68"/>
      <c r="F12" s="68"/>
      <c r="G12" s="68"/>
      <c r="H12" s="68"/>
      <c r="I12" s="68"/>
      <c r="J12" s="68"/>
    </row>
    <row r="13" customFormat="false" ht="15" hidden="false" customHeight="false" outlineLevel="0" collapsed="false">
      <c r="A13" s="68"/>
      <c r="B13" s="68"/>
      <c r="C13" s="68"/>
      <c r="D13" s="68"/>
      <c r="E13" s="68"/>
      <c r="F13" s="68"/>
      <c r="G13" s="68"/>
      <c r="H13" s="68"/>
      <c r="I13" s="68"/>
      <c r="J13" s="68"/>
    </row>
    <row r="14" customFormat="false" ht="15" hidden="false" customHeight="false" outlineLevel="0" collapsed="false">
      <c r="A14" s="68"/>
      <c r="B14" s="68"/>
      <c r="C14" s="68"/>
      <c r="D14" s="68"/>
      <c r="E14" s="68"/>
      <c r="F14" s="68"/>
      <c r="G14" s="68"/>
      <c r="H14" s="68"/>
      <c r="I14" s="68"/>
      <c r="J14" s="68"/>
    </row>
    <row r="15" customFormat="false" ht="15" hidden="false" customHeight="false" outlineLevel="0" collapsed="false">
      <c r="A15" s="68"/>
      <c r="B15" s="68"/>
      <c r="C15" s="68"/>
      <c r="D15" s="68"/>
      <c r="E15" s="68"/>
      <c r="F15" s="68"/>
      <c r="G15" s="68"/>
      <c r="H15" s="68"/>
      <c r="I15" s="68"/>
      <c r="J15" s="68"/>
    </row>
    <row r="16" customFormat="false" ht="15" hidden="false" customHeight="false" outlineLevel="0" collapsed="false">
      <c r="A16" s="68"/>
      <c r="B16" s="68"/>
      <c r="C16" s="68"/>
      <c r="D16" s="68"/>
      <c r="E16" s="68"/>
      <c r="F16" s="68"/>
      <c r="G16" s="68"/>
      <c r="H16" s="68"/>
      <c r="I16" s="68"/>
      <c r="J16" s="68"/>
    </row>
    <row r="17" customFormat="false" ht="15" hidden="false" customHeight="false" outlineLevel="0" collapsed="false">
      <c r="A17" s="68"/>
      <c r="B17" s="68"/>
      <c r="C17" s="68"/>
      <c r="D17" s="68"/>
      <c r="E17" s="68"/>
      <c r="F17" s="68"/>
      <c r="G17" s="68"/>
      <c r="H17" s="68"/>
      <c r="I17" s="68"/>
      <c r="J17" s="68"/>
    </row>
    <row r="18" customFormat="false" ht="15" hidden="false" customHeight="false" outlineLevel="0" collapsed="false">
      <c r="A18" s="68"/>
      <c r="B18" s="68"/>
      <c r="C18" s="68"/>
      <c r="D18" s="68"/>
      <c r="E18" s="68"/>
      <c r="F18" s="68"/>
      <c r="G18" s="68"/>
      <c r="H18" s="68"/>
      <c r="I18" s="68"/>
      <c r="J18" s="68"/>
    </row>
    <row r="19" customFormat="false" ht="15" hidden="false" customHeight="false" outlineLevel="0" collapsed="false">
      <c r="A19" s="68"/>
      <c r="B19" s="68"/>
      <c r="C19" s="68"/>
      <c r="D19" s="68"/>
      <c r="E19" s="68"/>
      <c r="F19" s="68"/>
      <c r="G19" s="68"/>
      <c r="H19" s="68"/>
      <c r="I19" s="68"/>
      <c r="J19" s="68"/>
    </row>
    <row r="20" customFormat="false" ht="15" hidden="false" customHeight="false" outlineLevel="0" collapsed="false">
      <c r="A20" s="68"/>
      <c r="B20" s="68"/>
      <c r="C20" s="68"/>
      <c r="D20" s="68"/>
      <c r="E20" s="68"/>
      <c r="F20" s="68"/>
      <c r="G20" s="68"/>
      <c r="H20" s="68"/>
      <c r="I20" s="68"/>
      <c r="J20" s="68"/>
    </row>
    <row r="21" customFormat="false" ht="15" hidden="false" customHeight="false" outlineLevel="0" collapsed="false">
      <c r="A21" s="68"/>
      <c r="B21" s="68"/>
      <c r="C21" s="68"/>
      <c r="D21" s="68"/>
      <c r="E21" s="68"/>
      <c r="F21" s="68"/>
      <c r="G21" s="68"/>
      <c r="H21" s="68"/>
      <c r="I21" s="68"/>
      <c r="J21" s="68"/>
    </row>
    <row r="22" customFormat="false" ht="15" hidden="false" customHeight="false" outlineLevel="0" collapsed="false">
      <c r="A22" s="68"/>
      <c r="B22" s="68"/>
      <c r="C22" s="68"/>
      <c r="D22" s="68"/>
      <c r="E22" s="68"/>
      <c r="F22" s="68"/>
      <c r="G22" s="68"/>
      <c r="H22" s="68"/>
      <c r="I22" s="68"/>
      <c r="J22" s="68"/>
    </row>
    <row r="23" customFormat="false" ht="15" hidden="false" customHeight="false" outlineLevel="0" collapsed="false">
      <c r="A23" s="68"/>
      <c r="B23" s="68"/>
      <c r="C23" s="68"/>
      <c r="D23" s="68"/>
      <c r="E23" s="68"/>
      <c r="F23" s="68"/>
      <c r="G23" s="68"/>
      <c r="H23" s="68"/>
      <c r="I23" s="68"/>
      <c r="J23" s="68"/>
    </row>
    <row r="24" customFormat="false" ht="15" hidden="false" customHeight="false" outlineLevel="0" collapsed="false">
      <c r="A24" s="68"/>
      <c r="B24" s="68"/>
      <c r="C24" s="68"/>
      <c r="D24" s="68"/>
      <c r="E24" s="68"/>
      <c r="F24" s="68"/>
      <c r="G24" s="68"/>
      <c r="H24" s="68"/>
      <c r="I24" s="68"/>
      <c r="J24" s="68"/>
    </row>
    <row r="25" customFormat="false" ht="15" hidden="false" customHeight="false" outlineLevel="0" collapsed="false">
      <c r="A25" s="68"/>
      <c r="B25" s="68"/>
      <c r="C25" s="68"/>
      <c r="D25" s="68"/>
      <c r="E25" s="68"/>
      <c r="F25" s="68"/>
      <c r="G25" s="68"/>
      <c r="H25" s="68"/>
      <c r="I25" s="68"/>
      <c r="J25" s="68"/>
    </row>
    <row r="26" customFormat="false" ht="15" hidden="false" customHeight="false" outlineLevel="0" collapsed="false">
      <c r="A26" s="68"/>
      <c r="B26" s="68"/>
      <c r="C26" s="68"/>
      <c r="D26" s="68"/>
      <c r="E26" s="68"/>
      <c r="F26" s="68"/>
      <c r="G26" s="68"/>
      <c r="H26" s="68"/>
      <c r="I26" s="68"/>
      <c r="J26" s="68"/>
    </row>
    <row r="27" customFormat="false" ht="15" hidden="false" customHeight="false" outlineLevel="0" collapsed="false">
      <c r="A27" s="68"/>
      <c r="B27" s="68"/>
      <c r="C27" s="68"/>
      <c r="D27" s="68"/>
      <c r="E27" s="68"/>
      <c r="F27" s="68"/>
      <c r="G27" s="68"/>
      <c r="H27" s="68"/>
      <c r="I27" s="68"/>
      <c r="J27" s="68"/>
    </row>
    <row r="28" customFormat="false" ht="15" hidden="false" customHeight="false" outlineLevel="0" collapsed="false">
      <c r="A28" s="68"/>
      <c r="B28" s="68"/>
      <c r="C28" s="68"/>
      <c r="D28" s="68"/>
      <c r="E28" s="68"/>
      <c r="F28" s="68"/>
      <c r="G28" s="68"/>
      <c r="H28" s="68"/>
      <c r="I28" s="68"/>
      <c r="J28" s="68"/>
    </row>
    <row r="29" customFormat="false" ht="15" hidden="false" customHeight="false" outlineLevel="0" collapsed="false">
      <c r="A29" s="68"/>
      <c r="B29" s="68"/>
      <c r="C29" s="68"/>
      <c r="D29" s="68"/>
      <c r="E29" s="68"/>
      <c r="F29" s="68"/>
      <c r="G29" s="68"/>
      <c r="H29" s="68"/>
      <c r="I29" s="68"/>
      <c r="J29" s="68"/>
    </row>
    <row r="30" customFormat="false" ht="15" hidden="false" customHeight="false" outlineLevel="0" collapsed="false">
      <c r="A30" s="68"/>
      <c r="B30" s="68"/>
      <c r="C30" s="68"/>
      <c r="D30" s="68"/>
      <c r="E30" s="68"/>
      <c r="F30" s="68"/>
      <c r="G30" s="68"/>
      <c r="H30" s="68"/>
      <c r="I30" s="68"/>
      <c r="J30" s="68"/>
    </row>
    <row r="31" customFormat="false" ht="15" hidden="false" customHeight="false" outlineLevel="0" collapsed="false">
      <c r="A31" s="68"/>
      <c r="B31" s="68"/>
      <c r="C31" s="68"/>
      <c r="D31" s="68"/>
      <c r="E31" s="68"/>
      <c r="F31" s="68"/>
      <c r="G31" s="68"/>
      <c r="H31" s="68"/>
      <c r="I31" s="68"/>
      <c r="J31" s="68"/>
    </row>
    <row r="32" customFormat="false" ht="15" hidden="false" customHeight="false" outlineLevel="0" collapsed="false">
      <c r="A32" s="68"/>
      <c r="B32" s="68"/>
      <c r="C32" s="68"/>
      <c r="D32" s="68"/>
      <c r="E32" s="68"/>
      <c r="F32" s="68"/>
      <c r="G32" s="68"/>
      <c r="H32" s="68"/>
      <c r="I32" s="68"/>
      <c r="J32" s="68"/>
    </row>
    <row r="33" customFormat="false" ht="15" hidden="false" customHeight="false" outlineLevel="0" collapsed="false">
      <c r="A33" s="68"/>
      <c r="B33" s="68"/>
      <c r="C33" s="68"/>
      <c r="D33" s="68"/>
      <c r="E33" s="68"/>
      <c r="F33" s="68"/>
      <c r="G33" s="68"/>
      <c r="H33" s="68"/>
      <c r="I33" s="68"/>
      <c r="J33" s="68"/>
    </row>
    <row r="34" customFormat="false" ht="15" hidden="false" customHeight="false" outlineLevel="0" collapsed="false">
      <c r="A34" s="68"/>
      <c r="B34" s="68"/>
      <c r="C34" s="68"/>
      <c r="D34" s="68"/>
      <c r="E34" s="68"/>
      <c r="F34" s="68"/>
      <c r="G34" s="68"/>
      <c r="H34" s="68"/>
      <c r="I34" s="68"/>
      <c r="J34" s="68"/>
    </row>
    <row r="35" customFormat="false" ht="15" hidden="false" customHeight="false" outlineLevel="0" collapsed="false">
      <c r="A35" s="68"/>
      <c r="B35" s="68"/>
      <c r="C35" s="68"/>
      <c r="D35" s="68"/>
      <c r="E35" s="68"/>
      <c r="F35" s="68"/>
      <c r="G35" s="68"/>
      <c r="H35" s="68"/>
      <c r="I35" s="68"/>
      <c r="J35" s="68"/>
    </row>
    <row r="36" customFormat="false" ht="15" hidden="false" customHeight="false" outlineLevel="0" collapsed="false">
      <c r="A36" s="68"/>
      <c r="B36" s="68"/>
      <c r="C36" s="68"/>
      <c r="D36" s="68"/>
      <c r="E36" s="68"/>
      <c r="F36" s="68"/>
      <c r="G36" s="68"/>
      <c r="H36" s="68"/>
      <c r="I36" s="68"/>
      <c r="J36" s="68"/>
    </row>
    <row r="37" customFormat="false" ht="15" hidden="false" customHeight="false" outlineLevel="0" collapsed="false">
      <c r="A37" s="68"/>
      <c r="B37" s="68"/>
      <c r="C37" s="68"/>
      <c r="D37" s="68"/>
      <c r="E37" s="68"/>
      <c r="F37" s="68"/>
      <c r="G37" s="68"/>
      <c r="H37" s="68"/>
      <c r="I37" s="68"/>
      <c r="J37" s="68"/>
    </row>
    <row r="38" customFormat="false" ht="15" hidden="false" customHeight="false" outlineLevel="0" collapsed="false">
      <c r="A38" s="68"/>
      <c r="B38" s="68"/>
      <c r="C38" s="68"/>
      <c r="D38" s="68"/>
      <c r="E38" s="68"/>
      <c r="F38" s="68"/>
      <c r="G38" s="68"/>
      <c r="H38" s="68"/>
      <c r="I38" s="68"/>
      <c r="J38" s="68"/>
    </row>
    <row r="39" customFormat="false" ht="15" hidden="false" customHeight="false" outlineLevel="0" collapsed="false">
      <c r="A39" s="68"/>
      <c r="B39" s="68"/>
      <c r="C39" s="68"/>
      <c r="D39" s="68"/>
      <c r="E39" s="68"/>
      <c r="F39" s="68"/>
      <c r="G39" s="68"/>
      <c r="H39" s="68"/>
      <c r="I39" s="68"/>
      <c r="J39" s="68"/>
    </row>
    <row r="40" customFormat="false" ht="15" hidden="false" customHeight="false" outlineLevel="0" collapsed="false">
      <c r="A40" s="68"/>
      <c r="B40" s="68"/>
      <c r="C40" s="68"/>
      <c r="D40" s="68"/>
      <c r="E40" s="68"/>
      <c r="F40" s="68"/>
      <c r="G40" s="68"/>
      <c r="H40" s="68"/>
      <c r="I40" s="68"/>
      <c r="J40" s="68"/>
    </row>
    <row r="41" customFormat="false" ht="15" hidden="false" customHeight="false" outlineLevel="0" collapsed="false">
      <c r="A41" s="68"/>
      <c r="B41" s="68"/>
      <c r="C41" s="68"/>
      <c r="D41" s="68"/>
      <c r="E41" s="68"/>
      <c r="F41" s="68"/>
      <c r="G41" s="68"/>
      <c r="H41" s="68"/>
      <c r="I41" s="68"/>
      <c r="J41" s="68"/>
    </row>
    <row r="42" customFormat="false" ht="15" hidden="false" customHeight="false" outlineLevel="0" collapsed="false">
      <c r="A42" s="68"/>
      <c r="B42" s="68"/>
      <c r="C42" s="68"/>
      <c r="D42" s="68"/>
      <c r="E42" s="68"/>
      <c r="F42" s="68"/>
      <c r="G42" s="68"/>
      <c r="H42" s="68"/>
      <c r="I42" s="68"/>
      <c r="J42" s="68"/>
    </row>
    <row r="43" customFormat="false" ht="15" hidden="false" customHeight="false" outlineLevel="0" collapsed="false">
      <c r="A43" s="68"/>
      <c r="B43" s="68"/>
      <c r="C43" s="68"/>
      <c r="D43" s="68"/>
      <c r="E43" s="68"/>
      <c r="F43" s="68"/>
      <c r="G43" s="68"/>
      <c r="H43" s="68"/>
      <c r="I43" s="68"/>
      <c r="J43" s="68"/>
    </row>
    <row r="44" customFormat="false" ht="15" hidden="false" customHeight="false" outlineLevel="0" collapsed="false">
      <c r="A44" s="68"/>
      <c r="B44" s="68"/>
      <c r="C44" s="68"/>
      <c r="D44" s="68"/>
      <c r="E44" s="68"/>
      <c r="F44" s="68"/>
      <c r="G44" s="68"/>
      <c r="H44" s="68"/>
      <c r="I44" s="68"/>
      <c r="J44" s="68"/>
    </row>
    <row r="45" customFormat="false" ht="15" hidden="false" customHeight="false" outlineLevel="0" collapsed="false">
      <c r="A45" s="68"/>
      <c r="B45" s="68"/>
      <c r="C45" s="68"/>
      <c r="D45" s="68"/>
      <c r="E45" s="68"/>
      <c r="F45" s="68"/>
      <c r="G45" s="68"/>
      <c r="H45" s="68"/>
      <c r="I45" s="68"/>
      <c r="J45" s="68"/>
    </row>
    <row r="46" customFormat="false" ht="15" hidden="false" customHeight="false" outlineLevel="0" collapsed="false">
      <c r="A46" s="68"/>
      <c r="B46" s="68"/>
      <c r="C46" s="68"/>
      <c r="D46" s="68"/>
      <c r="E46" s="68"/>
      <c r="F46" s="68"/>
      <c r="G46" s="68"/>
      <c r="H46" s="68"/>
      <c r="I46" s="68"/>
      <c r="J46" s="68"/>
    </row>
    <row r="47" customFormat="false" ht="15" hidden="false" customHeight="false" outlineLevel="0" collapsed="false">
      <c r="A47" s="68"/>
      <c r="B47" s="68"/>
      <c r="C47" s="68"/>
      <c r="D47" s="68"/>
      <c r="E47" s="68"/>
      <c r="F47" s="68"/>
      <c r="G47" s="68"/>
      <c r="H47" s="68"/>
      <c r="I47" s="68"/>
      <c r="J47" s="68"/>
    </row>
    <row r="48" customFormat="false" ht="15" hidden="false" customHeight="false" outlineLevel="0" collapsed="false">
      <c r="A48" s="68"/>
      <c r="B48" s="68"/>
      <c r="C48" s="68"/>
      <c r="D48" s="68"/>
      <c r="E48" s="68"/>
      <c r="F48" s="68"/>
      <c r="G48" s="68"/>
      <c r="H48" s="68"/>
      <c r="I48" s="68"/>
      <c r="J48" s="68"/>
    </row>
    <row r="49" customFormat="false" ht="15" hidden="false" customHeight="false" outlineLevel="0" collapsed="false">
      <c r="A49" s="68"/>
      <c r="B49" s="68"/>
      <c r="C49" s="68"/>
      <c r="D49" s="68"/>
      <c r="E49" s="68"/>
      <c r="F49" s="68"/>
      <c r="G49" s="68"/>
      <c r="H49" s="68"/>
      <c r="I49" s="68"/>
      <c r="J49" s="68"/>
    </row>
    <row r="50" customFormat="false" ht="15" hidden="false" customHeight="false" outlineLevel="0" collapsed="false">
      <c r="A50" s="68"/>
      <c r="B50" s="68"/>
      <c r="C50" s="68"/>
      <c r="D50" s="68"/>
      <c r="E50" s="68"/>
      <c r="F50" s="68"/>
      <c r="G50" s="68"/>
      <c r="H50" s="68"/>
      <c r="I50" s="68"/>
      <c r="J50" s="68"/>
    </row>
    <row r="51" customFormat="false" ht="15" hidden="false" customHeight="false" outlineLevel="0" collapsed="false">
      <c r="A51" s="68"/>
      <c r="B51" s="68"/>
      <c r="C51" s="68"/>
      <c r="D51" s="68"/>
      <c r="E51" s="68"/>
      <c r="F51" s="68"/>
      <c r="G51" s="68"/>
      <c r="H51" s="68"/>
      <c r="I51" s="68"/>
      <c r="J51" s="68"/>
    </row>
    <row r="52" customFormat="false" ht="15" hidden="false" customHeight="false" outlineLevel="0" collapsed="false">
      <c r="A52" s="68"/>
      <c r="B52" s="68"/>
      <c r="C52" s="68"/>
      <c r="D52" s="68"/>
      <c r="E52" s="68"/>
      <c r="F52" s="68"/>
      <c r="G52" s="68"/>
      <c r="H52" s="68"/>
      <c r="I52" s="68"/>
      <c r="J52" s="68"/>
    </row>
    <row r="53" customFormat="false" ht="15" hidden="false" customHeight="false" outlineLevel="0" collapsed="false">
      <c r="A53" s="68"/>
      <c r="B53" s="68"/>
      <c r="C53" s="68"/>
      <c r="D53" s="68"/>
      <c r="E53" s="68"/>
      <c r="F53" s="68"/>
      <c r="G53" s="68"/>
      <c r="H53" s="68"/>
      <c r="I53" s="68"/>
      <c r="J53" s="68"/>
    </row>
    <row r="54" customFormat="false" ht="15" hidden="false" customHeight="false" outlineLevel="0" collapsed="false">
      <c r="A54" s="68"/>
      <c r="B54" s="68"/>
      <c r="C54" s="68"/>
      <c r="D54" s="68"/>
      <c r="E54" s="68"/>
      <c r="F54" s="68"/>
      <c r="G54" s="68"/>
      <c r="H54" s="68"/>
      <c r="I54" s="68"/>
      <c r="J54" s="68"/>
    </row>
    <row r="55" customFormat="false" ht="15" hidden="false" customHeight="false" outlineLevel="0" collapsed="false">
      <c r="A55" s="68"/>
      <c r="B55" s="68"/>
      <c r="C55" s="68"/>
      <c r="D55" s="68"/>
      <c r="E55" s="68"/>
      <c r="F55" s="68"/>
      <c r="G55" s="68"/>
      <c r="H55" s="68"/>
      <c r="I55" s="68"/>
      <c r="J55" s="68"/>
    </row>
    <row r="56" customFormat="false" ht="15" hidden="false" customHeight="false" outlineLevel="0" collapsed="false">
      <c r="A56" s="68"/>
      <c r="B56" s="68"/>
      <c r="C56" s="68"/>
      <c r="D56" s="68"/>
      <c r="E56" s="68"/>
      <c r="F56" s="68"/>
      <c r="G56" s="68"/>
      <c r="H56" s="68"/>
      <c r="I56" s="68"/>
      <c r="J56" s="68"/>
    </row>
    <row r="57" customFormat="false" ht="15" hidden="false" customHeight="false" outlineLevel="0" collapsed="false">
      <c r="A57" s="68"/>
      <c r="B57" s="68"/>
      <c r="C57" s="68"/>
      <c r="D57" s="68"/>
      <c r="E57" s="68"/>
      <c r="F57" s="68"/>
      <c r="G57" s="68"/>
      <c r="H57" s="68"/>
      <c r="I57" s="68"/>
      <c r="J57" s="68"/>
    </row>
    <row r="58" customFormat="false" ht="15" hidden="false" customHeight="false" outlineLevel="0" collapsed="false">
      <c r="A58" s="68"/>
      <c r="B58" s="68"/>
      <c r="C58" s="68"/>
      <c r="D58" s="68"/>
      <c r="E58" s="68"/>
      <c r="F58" s="68"/>
      <c r="G58" s="68"/>
      <c r="H58" s="68"/>
      <c r="I58" s="68"/>
      <c r="J58" s="68"/>
    </row>
    <row r="59" customFormat="false" ht="15" hidden="false" customHeight="false" outlineLevel="0" collapsed="false">
      <c r="A59" s="68"/>
      <c r="B59" s="68"/>
      <c r="C59" s="68"/>
      <c r="D59" s="68"/>
      <c r="E59" s="68"/>
      <c r="F59" s="68"/>
      <c r="G59" s="68"/>
      <c r="H59" s="68"/>
      <c r="I59" s="68"/>
      <c r="J59" s="68"/>
    </row>
    <row r="60" customFormat="false" ht="15" hidden="false" customHeight="false" outlineLevel="0" collapsed="false">
      <c r="A60" s="68"/>
      <c r="B60" s="68"/>
      <c r="C60" s="68"/>
      <c r="D60" s="68"/>
      <c r="E60" s="68"/>
      <c r="F60" s="68"/>
      <c r="G60" s="68"/>
      <c r="H60" s="68"/>
      <c r="I60" s="68"/>
      <c r="J60" s="68"/>
    </row>
    <row r="61" customFormat="false" ht="15" hidden="false" customHeight="false" outlineLevel="0" collapsed="false">
      <c r="A61" s="68"/>
      <c r="B61" s="68"/>
      <c r="C61" s="68"/>
      <c r="D61" s="68"/>
      <c r="E61" s="68"/>
      <c r="F61" s="68"/>
      <c r="G61" s="68"/>
      <c r="H61" s="68"/>
      <c r="I61" s="68"/>
      <c r="J61" s="68"/>
    </row>
    <row r="62" customFormat="false" ht="15" hidden="false" customHeight="false" outlineLevel="0" collapsed="false">
      <c r="A62" s="68"/>
      <c r="B62" s="68"/>
      <c r="C62" s="68"/>
      <c r="D62" s="68"/>
      <c r="E62" s="68"/>
      <c r="F62" s="68"/>
      <c r="G62" s="68"/>
      <c r="H62" s="68"/>
      <c r="I62" s="68"/>
      <c r="J62" s="68"/>
    </row>
    <row r="63" customFormat="false" ht="15" hidden="false" customHeight="false" outlineLevel="0" collapsed="false">
      <c r="A63" s="68"/>
      <c r="B63" s="68"/>
      <c r="C63" s="68"/>
      <c r="D63" s="68"/>
      <c r="E63" s="68"/>
      <c r="F63" s="68"/>
      <c r="G63" s="68"/>
      <c r="H63" s="68"/>
      <c r="I63" s="68"/>
      <c r="J63" s="68"/>
    </row>
    <row r="64" customFormat="false" ht="15" hidden="false" customHeight="false" outlineLevel="0" collapsed="false">
      <c r="A64" s="68"/>
      <c r="B64" s="68"/>
      <c r="C64" s="68"/>
      <c r="D64" s="68"/>
      <c r="E64" s="68"/>
      <c r="F64" s="68"/>
      <c r="G64" s="68"/>
      <c r="H64" s="68"/>
      <c r="I64" s="68"/>
      <c r="J64" s="68"/>
    </row>
    <row r="65" customFormat="false" ht="15" hidden="false" customHeight="false" outlineLevel="0" collapsed="false">
      <c r="A65" s="68"/>
      <c r="B65" s="68"/>
      <c r="C65" s="68"/>
      <c r="D65" s="68"/>
      <c r="E65" s="68"/>
      <c r="F65" s="68"/>
      <c r="G65" s="68"/>
      <c r="H65" s="68"/>
      <c r="I65" s="68"/>
      <c r="J65" s="68"/>
    </row>
    <row r="66" customFormat="false" ht="15" hidden="false" customHeight="false" outlineLevel="0" collapsed="false">
      <c r="A66" s="68"/>
      <c r="B66" s="68"/>
      <c r="C66" s="68"/>
      <c r="D66" s="68"/>
      <c r="E66" s="68"/>
      <c r="F66" s="68"/>
      <c r="G66" s="68"/>
      <c r="H66" s="68"/>
      <c r="I66" s="68"/>
      <c r="J66" s="68"/>
    </row>
    <row r="67" customFormat="false" ht="15" hidden="false" customHeight="false" outlineLevel="0" collapsed="false">
      <c r="A67" s="68"/>
      <c r="B67" s="68"/>
      <c r="C67" s="68"/>
      <c r="D67" s="68"/>
      <c r="E67" s="68"/>
      <c r="F67" s="68"/>
      <c r="G67" s="68"/>
      <c r="H67" s="68"/>
      <c r="I67" s="68"/>
      <c r="J67" s="68"/>
    </row>
    <row r="68" customFormat="false" ht="15" hidden="false" customHeight="false" outlineLevel="0" collapsed="false">
      <c r="A68" s="68"/>
      <c r="B68" s="68"/>
      <c r="C68" s="68"/>
      <c r="D68" s="68"/>
      <c r="E68" s="68"/>
      <c r="F68" s="68"/>
      <c r="G68" s="68"/>
      <c r="H68" s="68"/>
      <c r="I68" s="68"/>
      <c r="J68" s="68"/>
    </row>
    <row r="69" customFormat="false" ht="15" hidden="false" customHeight="false" outlineLevel="0" collapsed="false">
      <c r="A69" s="68"/>
      <c r="B69" s="68"/>
      <c r="C69" s="68"/>
      <c r="D69" s="68"/>
      <c r="E69" s="68"/>
      <c r="F69" s="68"/>
      <c r="G69" s="68"/>
      <c r="H69" s="68"/>
      <c r="I69" s="68"/>
      <c r="J69" s="68"/>
    </row>
    <row r="70" customFormat="false" ht="15" hidden="false" customHeight="false" outlineLevel="0" collapsed="false">
      <c r="A70" s="68"/>
      <c r="B70" s="68"/>
      <c r="C70" s="68"/>
      <c r="D70" s="68"/>
      <c r="E70" s="68"/>
      <c r="F70" s="68"/>
      <c r="G70" s="68"/>
      <c r="H70" s="68"/>
      <c r="I70" s="68"/>
      <c r="J70" s="68"/>
    </row>
    <row r="71" customFormat="false" ht="15" hidden="false" customHeight="false" outlineLevel="0" collapsed="false">
      <c r="A71" s="68"/>
      <c r="B71" s="68"/>
      <c r="C71" s="68"/>
      <c r="D71" s="68"/>
      <c r="E71" s="68"/>
      <c r="F71" s="68"/>
      <c r="G71" s="68"/>
      <c r="H71" s="68"/>
      <c r="I71" s="68"/>
      <c r="J71" s="68"/>
    </row>
    <row r="72" customFormat="false" ht="15" hidden="false" customHeight="false" outlineLevel="0" collapsed="false">
      <c r="A72" s="68"/>
      <c r="B72" s="68"/>
      <c r="C72" s="68"/>
      <c r="D72" s="68"/>
      <c r="E72" s="68"/>
      <c r="F72" s="68"/>
      <c r="G72" s="68"/>
      <c r="H72" s="68"/>
      <c r="I72" s="68"/>
      <c r="J72" s="68"/>
    </row>
    <row r="73" customFormat="false" ht="15" hidden="false" customHeight="false" outlineLevel="0" collapsed="false">
      <c r="A73" s="68"/>
      <c r="B73" s="68"/>
      <c r="C73" s="68"/>
      <c r="D73" s="68"/>
      <c r="E73" s="68"/>
      <c r="F73" s="68"/>
      <c r="G73" s="68"/>
      <c r="H73" s="68"/>
      <c r="I73" s="68"/>
      <c r="J73" s="68"/>
    </row>
    <row r="74" customFormat="false" ht="15" hidden="false" customHeight="false" outlineLevel="0" collapsed="false">
      <c r="A74" s="68"/>
      <c r="B74" s="68"/>
      <c r="C74" s="68"/>
      <c r="D74" s="68"/>
      <c r="E74" s="68"/>
      <c r="F74" s="68"/>
      <c r="G74" s="68"/>
      <c r="H74" s="68"/>
      <c r="I74" s="68"/>
      <c r="J74" s="68"/>
    </row>
    <row r="75" customFormat="false" ht="15" hidden="false" customHeight="false" outlineLevel="0" collapsed="false">
      <c r="A75" s="68"/>
      <c r="B75" s="68"/>
      <c r="C75" s="68"/>
      <c r="D75" s="68"/>
      <c r="E75" s="68"/>
      <c r="F75" s="68"/>
      <c r="G75" s="68"/>
      <c r="H75" s="68"/>
      <c r="I75" s="68"/>
      <c r="J75" s="68"/>
    </row>
    <row r="76" customFormat="false" ht="15" hidden="false" customHeight="false" outlineLevel="0" collapsed="false">
      <c r="A76" s="68"/>
      <c r="B76" s="68"/>
      <c r="C76" s="68"/>
      <c r="D76" s="68"/>
      <c r="E76" s="68"/>
      <c r="F76" s="68"/>
      <c r="G76" s="68"/>
      <c r="H76" s="68"/>
      <c r="I76" s="68"/>
      <c r="J76" s="68"/>
    </row>
    <row r="77" customFormat="false" ht="15" hidden="false" customHeight="false" outlineLevel="0" collapsed="false">
      <c r="A77" s="68"/>
      <c r="B77" s="68"/>
      <c r="C77" s="68"/>
      <c r="D77" s="68"/>
      <c r="E77" s="68"/>
      <c r="F77" s="68"/>
      <c r="G77" s="68"/>
      <c r="H77" s="68"/>
      <c r="I77" s="68"/>
      <c r="J77" s="68"/>
    </row>
    <row r="78" customFormat="false" ht="15" hidden="false" customHeight="false" outlineLevel="0" collapsed="false">
      <c r="A78" s="68"/>
      <c r="B78" s="68"/>
      <c r="C78" s="68"/>
      <c r="D78" s="68"/>
      <c r="E78" s="68"/>
      <c r="F78" s="68"/>
      <c r="G78" s="68"/>
      <c r="H78" s="68"/>
      <c r="I78" s="68"/>
      <c r="J78" s="68"/>
    </row>
    <row r="79" customFormat="false" ht="15" hidden="false" customHeight="false" outlineLevel="0" collapsed="false">
      <c r="A79" s="68"/>
      <c r="B79" s="68"/>
      <c r="C79" s="68"/>
      <c r="D79" s="68"/>
      <c r="E79" s="68"/>
      <c r="F79" s="68"/>
      <c r="G79" s="68"/>
      <c r="H79" s="68"/>
      <c r="I79" s="68"/>
      <c r="J79" s="68"/>
    </row>
    <row r="80" customFormat="false" ht="15" hidden="false" customHeight="false" outlineLevel="0" collapsed="false">
      <c r="A80" s="68"/>
      <c r="B80" s="68"/>
      <c r="C80" s="68"/>
      <c r="D80" s="68"/>
      <c r="E80" s="68"/>
      <c r="F80" s="68"/>
      <c r="G80" s="68"/>
      <c r="H80" s="68"/>
      <c r="I80" s="68"/>
      <c r="J80" s="68"/>
    </row>
    <row r="81" customFormat="false" ht="15" hidden="false" customHeight="false" outlineLevel="0" collapsed="false">
      <c r="A81" s="68"/>
      <c r="B81" s="68"/>
      <c r="C81" s="68"/>
      <c r="D81" s="68"/>
      <c r="E81" s="68"/>
      <c r="F81" s="68"/>
      <c r="G81" s="68"/>
      <c r="H81" s="68"/>
      <c r="I81" s="68"/>
      <c r="J81" s="68"/>
    </row>
    <row r="82" customFormat="false" ht="15" hidden="false" customHeight="false" outlineLevel="0" collapsed="false">
      <c r="A82" s="68"/>
      <c r="B82" s="68"/>
      <c r="C82" s="68"/>
      <c r="D82" s="68"/>
      <c r="E82" s="68"/>
      <c r="F82" s="68"/>
      <c r="G82" s="68"/>
      <c r="H82" s="68"/>
      <c r="I82" s="68"/>
      <c r="J82" s="68"/>
    </row>
    <row r="83" customFormat="false" ht="15" hidden="false" customHeight="false" outlineLevel="0" collapsed="false">
      <c r="A83" s="68"/>
      <c r="B83" s="68"/>
      <c r="C83" s="68"/>
      <c r="D83" s="68"/>
      <c r="E83" s="68"/>
      <c r="F83" s="68"/>
      <c r="G83" s="68"/>
      <c r="H83" s="68"/>
      <c r="I83" s="68"/>
      <c r="J83" s="68"/>
    </row>
    <row r="84" customFormat="false" ht="15" hidden="false" customHeight="false" outlineLevel="0" collapsed="false">
      <c r="A84" s="68"/>
      <c r="B84" s="68"/>
      <c r="C84" s="68"/>
      <c r="D84" s="68"/>
      <c r="E84" s="68"/>
      <c r="F84" s="68"/>
      <c r="G84" s="68"/>
      <c r="H84" s="68"/>
      <c r="I84" s="68"/>
      <c r="J84" s="68"/>
    </row>
    <row r="85" customFormat="false" ht="15" hidden="false" customHeight="false" outlineLevel="0" collapsed="false">
      <c r="A85" s="68"/>
      <c r="B85" s="68"/>
      <c r="C85" s="68"/>
      <c r="D85" s="68"/>
      <c r="E85" s="68"/>
      <c r="F85" s="68"/>
      <c r="G85" s="68"/>
      <c r="H85" s="68"/>
      <c r="I85" s="68"/>
      <c r="J85" s="68"/>
    </row>
    <row r="86" customFormat="false" ht="15" hidden="false" customHeight="false" outlineLevel="0" collapsed="false">
      <c r="A86" s="68"/>
      <c r="B86" s="68"/>
      <c r="C86" s="68"/>
      <c r="D86" s="68"/>
      <c r="E86" s="68"/>
      <c r="F86" s="68"/>
      <c r="G86" s="68"/>
      <c r="H86" s="68"/>
      <c r="I86" s="68"/>
      <c r="J86" s="68"/>
    </row>
    <row r="87" customFormat="false" ht="15" hidden="false" customHeight="false" outlineLevel="0" collapsed="false">
      <c r="A87" s="68"/>
      <c r="B87" s="68"/>
      <c r="C87" s="68"/>
      <c r="D87" s="68"/>
      <c r="E87" s="68"/>
      <c r="F87" s="68"/>
      <c r="G87" s="68"/>
      <c r="H87" s="68"/>
      <c r="I87" s="68"/>
      <c r="J87" s="68"/>
    </row>
    <row r="88" customFormat="false" ht="15" hidden="false" customHeight="false" outlineLevel="0" collapsed="false">
      <c r="A88" s="68"/>
      <c r="B88" s="68"/>
      <c r="C88" s="68"/>
      <c r="D88" s="68"/>
      <c r="E88" s="68"/>
      <c r="F88" s="68"/>
      <c r="G88" s="68"/>
      <c r="H88" s="68"/>
      <c r="I88" s="68"/>
      <c r="J88" s="68"/>
    </row>
    <row r="89" customFormat="false" ht="15" hidden="false" customHeight="false" outlineLevel="0" collapsed="false">
      <c r="A89" s="68"/>
      <c r="B89" s="68"/>
      <c r="C89" s="68"/>
      <c r="D89" s="68"/>
      <c r="E89" s="68"/>
      <c r="F89" s="68"/>
      <c r="G89" s="68"/>
      <c r="H89" s="68"/>
      <c r="I89" s="68"/>
      <c r="J89" s="68"/>
    </row>
    <row r="90" customFormat="false" ht="15" hidden="false" customHeight="false" outlineLevel="0" collapsed="false">
      <c r="A90" s="68"/>
      <c r="B90" s="68"/>
      <c r="C90" s="68"/>
      <c r="D90" s="68"/>
      <c r="E90" s="68"/>
      <c r="F90" s="68"/>
      <c r="G90" s="68"/>
      <c r="H90" s="68"/>
      <c r="I90" s="68"/>
      <c r="J90" s="68"/>
    </row>
    <row r="91" customFormat="false" ht="15" hidden="false" customHeight="false" outlineLevel="0" collapsed="false">
      <c r="A91" s="68"/>
      <c r="B91" s="68"/>
      <c r="C91" s="68"/>
      <c r="D91" s="68"/>
      <c r="E91" s="68"/>
      <c r="F91" s="68"/>
      <c r="G91" s="68"/>
      <c r="H91" s="68"/>
      <c r="I91" s="68"/>
      <c r="J91" s="68"/>
    </row>
    <row r="92" customFormat="false" ht="15" hidden="false" customHeight="false" outlineLevel="0" collapsed="false">
      <c r="A92" s="68"/>
      <c r="B92" s="68"/>
      <c r="C92" s="68"/>
      <c r="D92" s="68"/>
      <c r="E92" s="68"/>
      <c r="F92" s="68"/>
      <c r="G92" s="68"/>
      <c r="H92" s="68"/>
      <c r="I92" s="68"/>
      <c r="J92" s="68"/>
    </row>
    <row r="93" customFormat="false" ht="15" hidden="false" customHeight="false" outlineLevel="0" collapsed="false">
      <c r="A93" s="68"/>
      <c r="B93" s="68"/>
      <c r="C93" s="68"/>
      <c r="D93" s="68"/>
      <c r="E93" s="68"/>
      <c r="F93" s="68"/>
      <c r="G93" s="68"/>
      <c r="H93" s="68"/>
      <c r="I93" s="68"/>
      <c r="J93" s="68"/>
    </row>
    <row r="94" customFormat="false" ht="15" hidden="false" customHeight="false" outlineLevel="0" collapsed="false">
      <c r="A94" s="68"/>
      <c r="B94" s="68"/>
      <c r="C94" s="68"/>
      <c r="D94" s="68"/>
      <c r="E94" s="68"/>
      <c r="F94" s="68"/>
      <c r="G94" s="68"/>
      <c r="H94" s="68"/>
      <c r="I94" s="68"/>
      <c r="J94" s="68"/>
    </row>
    <row r="95" customFormat="false" ht="15" hidden="false" customHeight="false" outlineLevel="0" collapsed="false">
      <c r="A95" s="68"/>
      <c r="B95" s="68"/>
      <c r="C95" s="68"/>
      <c r="D95" s="68"/>
      <c r="E95" s="68"/>
      <c r="F95" s="68"/>
      <c r="G95" s="68"/>
      <c r="H95" s="68"/>
      <c r="I95" s="68"/>
      <c r="J95" s="68"/>
    </row>
    <row r="96" customFormat="false" ht="15" hidden="false" customHeight="false" outlineLevel="0" collapsed="false">
      <c r="A96" s="68"/>
      <c r="B96" s="68"/>
      <c r="C96" s="68"/>
      <c r="D96" s="68"/>
      <c r="E96" s="68"/>
      <c r="F96" s="68"/>
      <c r="G96" s="68"/>
      <c r="H96" s="68"/>
      <c r="I96" s="68"/>
      <c r="J96" s="68"/>
    </row>
    <row r="97" customFormat="false" ht="15" hidden="false" customHeight="false" outlineLevel="0" collapsed="false">
      <c r="A97" s="68"/>
      <c r="B97" s="68"/>
      <c r="C97" s="68"/>
      <c r="D97" s="68"/>
      <c r="E97" s="68"/>
      <c r="F97" s="68"/>
      <c r="G97" s="68"/>
      <c r="H97" s="68"/>
      <c r="I97" s="68"/>
      <c r="J97" s="68"/>
    </row>
    <row r="98" customFormat="false" ht="15" hidden="false" customHeight="false" outlineLevel="0" collapsed="false">
      <c r="A98" s="68"/>
      <c r="B98" s="68"/>
      <c r="C98" s="68"/>
      <c r="D98" s="68"/>
      <c r="E98" s="68"/>
      <c r="F98" s="68"/>
      <c r="G98" s="68"/>
      <c r="H98" s="68"/>
      <c r="I98" s="68"/>
      <c r="J98" s="68"/>
    </row>
    <row r="99" customFormat="false" ht="15" hidden="false" customHeight="false" outlineLevel="0" collapsed="false">
      <c r="A99" s="68"/>
      <c r="B99" s="68"/>
      <c r="C99" s="68"/>
      <c r="D99" s="68"/>
      <c r="E99" s="68"/>
      <c r="F99" s="68"/>
      <c r="G99" s="68"/>
      <c r="H99" s="68"/>
      <c r="I99" s="68"/>
      <c r="J99" s="68"/>
    </row>
    <row r="100" customFormat="false" ht="15" hidden="false" customHeight="false" outlineLevel="0" collapsed="false">
      <c r="A100" s="68"/>
      <c r="B100" s="68"/>
      <c r="C100" s="68"/>
      <c r="D100" s="68"/>
      <c r="E100" s="68"/>
      <c r="F100" s="68"/>
      <c r="G100" s="68"/>
      <c r="H100" s="68"/>
      <c r="I100" s="68"/>
      <c r="J100" s="68"/>
    </row>
    <row r="101" customFormat="false" ht="15" hidden="false" customHeight="false" outlineLevel="0" collapsed="false">
      <c r="A101" s="68"/>
      <c r="B101" s="68"/>
      <c r="C101" s="68"/>
      <c r="D101" s="68"/>
      <c r="E101" s="68"/>
      <c r="F101" s="68"/>
      <c r="G101" s="68"/>
      <c r="H101" s="68"/>
      <c r="I101" s="68"/>
      <c r="J101" s="68"/>
    </row>
    <row r="102" customFormat="false" ht="15" hidden="false" customHeight="false" outlineLevel="0" collapsed="false">
      <c r="A102" s="68"/>
      <c r="B102" s="68"/>
      <c r="C102" s="68"/>
      <c r="D102" s="68"/>
      <c r="E102" s="68"/>
      <c r="F102" s="68"/>
      <c r="G102" s="68"/>
      <c r="H102" s="68"/>
      <c r="I102" s="68"/>
      <c r="J102" s="68"/>
    </row>
    <row r="103" customFormat="false" ht="15" hidden="false" customHeight="false" outlineLevel="0" collapsed="false">
      <c r="A103" s="68"/>
      <c r="B103" s="68"/>
      <c r="C103" s="68"/>
      <c r="D103" s="68"/>
      <c r="E103" s="68"/>
      <c r="F103" s="68"/>
      <c r="G103" s="68"/>
      <c r="H103" s="68"/>
      <c r="I103" s="68"/>
      <c r="J103" s="68"/>
    </row>
    <row r="104" customFormat="false" ht="15" hidden="false" customHeight="false" outlineLevel="0" collapsed="false">
      <c r="A104" s="68"/>
      <c r="B104" s="68"/>
      <c r="C104" s="68"/>
      <c r="D104" s="68"/>
      <c r="E104" s="68"/>
      <c r="F104" s="68"/>
      <c r="G104" s="68"/>
      <c r="H104" s="68"/>
      <c r="I104" s="68"/>
      <c r="J104" s="68"/>
    </row>
  </sheetData>
  <dataValidations count="1">
    <dataValidation allowBlank="true" errorStyle="stop" operator="between" showDropDown="false" showErrorMessage="false" showInputMessage="false" sqref="J5:J104" type="list">
      <formula1>"1,2,3,Aussen"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6"/>
    <col collapsed="false" customWidth="true" hidden="false" outlineLevel="0" max="5" min="3" style="0" width="9"/>
    <col collapsed="false" customWidth="true" hidden="false" outlineLevel="0" max="6" min="6" style="0" width="11"/>
    <col collapsed="false" customWidth="true" hidden="false" outlineLevel="0" max="9" min="7" style="0" width="10"/>
    <col collapsed="false" customWidth="true" hidden="false" outlineLevel="0" max="10" min="10" style="0" width="9"/>
    <col collapsed="false" customWidth="true" hidden="false" outlineLevel="0" max="13" min="11" style="0" width="11"/>
  </cols>
  <sheetData>
    <row r="1" customFormat="false" ht="17.35" hidden="false" customHeight="false" outlineLevel="0" collapsed="false">
      <c r="A1" s="32" t="s">
        <v>2640</v>
      </c>
    </row>
    <row r="2" customFormat="false" ht="15" hidden="false" customHeight="false" outlineLevel="0" collapsed="false">
      <c r="A2" s="33" t="s">
        <v>2641</v>
      </c>
    </row>
    <row r="3" customFormat="false" ht="15" hidden="false" customHeight="false" outlineLevel="0" collapsed="false">
      <c r="A3" s="51" t="str">
        <f aca="false">"Tablar: "&amp;INDEX(Parameter!$F$5:$F$7,Parameter!$M$22)&amp;" × "&amp;INDEX(Parameter!$G$5:$G$7,Parameter!$M$22)&amp;" mm (Lift "&amp;Parameter!$M$22&amp;")"</f>
        <v>Tablar: 4060 × 857 mm (Lift 2)</v>
      </c>
    </row>
    <row r="4" customFormat="false" ht="42" hidden="false" customHeight="true" outlineLevel="0" collapsed="false">
      <c r="A4" s="53" t="s">
        <v>2618</v>
      </c>
      <c r="B4" s="53" t="s">
        <v>78</v>
      </c>
      <c r="C4" s="53" t="s">
        <v>2642</v>
      </c>
      <c r="D4" s="53" t="s">
        <v>2643</v>
      </c>
      <c r="E4" s="53" t="s">
        <v>2644</v>
      </c>
      <c r="F4" s="53" t="s">
        <v>2645</v>
      </c>
      <c r="G4" s="53" t="s">
        <v>2646</v>
      </c>
      <c r="H4" s="53" t="s">
        <v>2647</v>
      </c>
      <c r="I4" s="53" t="s">
        <v>2648</v>
      </c>
      <c r="J4" s="53" t="s">
        <v>2649</v>
      </c>
      <c r="K4" s="53" t="s">
        <v>2650</v>
      </c>
      <c r="L4" s="53" t="s">
        <v>2651</v>
      </c>
      <c r="M4" s="53" t="s">
        <v>2652</v>
      </c>
    </row>
    <row r="5" customFormat="false" ht="15" hidden="false" customHeight="false" outlineLevel="0" collapsed="false">
      <c r="A5" s="68" t="s">
        <v>391</v>
      </c>
      <c r="B5" s="68" t="s">
        <v>2653</v>
      </c>
      <c r="C5" s="75" t="n">
        <v>8.7</v>
      </c>
      <c r="D5" s="75" t="n">
        <v>9.4</v>
      </c>
      <c r="E5" s="75" t="n">
        <v>8</v>
      </c>
      <c r="F5" s="78" t="n">
        <f aca="false">IF(A5="","",C5*D5/10000)</f>
        <v>0.008178</v>
      </c>
      <c r="G5" s="78" t="n">
        <f aca="false">IF(A5="","",C5*D5*E5/1000000)</f>
        <v>0.00065424</v>
      </c>
      <c r="H5" s="69" t="n">
        <v>87</v>
      </c>
      <c r="I5" s="69" t="n">
        <v>94</v>
      </c>
      <c r="J5" s="69" t="n">
        <v>1</v>
      </c>
      <c r="K5" s="12" t="n">
        <f aca="false">IF(OR(A5="",N(H5)&lt;=0,N(I5)&lt;=0),"",MAX(INT(INDEX(Parameter!$F$5:$F$7,Parameter!$M$22)/H5)*INT(INDEX(Parameter!$G$5:$G$7,Parameter!$M$22)/I5),INT(INDEX(Parameter!$F$5:$F$7,Parameter!$M$22)/I5)*INT(INDEX(Parameter!$G$5:$G$7,Parameter!$M$22)/H5))*MAX(1,N(J5)))</f>
        <v>414</v>
      </c>
      <c r="L5" s="69"/>
      <c r="M5" s="17" t="n">
        <f aca="false">IF(A5="","",IF(N(L5)&gt;0,L5,N(K5)))</f>
        <v>414</v>
      </c>
    </row>
    <row r="6" customFormat="false" ht="15" hidden="false" customHeight="false" outlineLevel="0" collapsed="false">
      <c r="A6" s="68" t="s">
        <v>416</v>
      </c>
      <c r="B6" s="68" t="s">
        <v>2654</v>
      </c>
      <c r="C6" s="75" t="n">
        <v>17.8</v>
      </c>
      <c r="D6" s="75" t="n">
        <v>9.4</v>
      </c>
      <c r="E6" s="75" t="n">
        <v>8</v>
      </c>
      <c r="F6" s="78" t="n">
        <f aca="false">IF(A6="","",C6*D6/10000)</f>
        <v>0.016732</v>
      </c>
      <c r="G6" s="78" t="n">
        <f aca="false">IF(A6="","",C6*D6*E6/1000000)</f>
        <v>0.00133856</v>
      </c>
      <c r="H6" s="69" t="n">
        <v>178</v>
      </c>
      <c r="I6" s="69" t="n">
        <v>94</v>
      </c>
      <c r="J6" s="69" t="n">
        <v>1</v>
      </c>
      <c r="K6" s="12" t="n">
        <f aca="false">IF(OR(A6="",N(H6)&lt;=0,N(I6)&lt;=0),"",MAX(INT(INDEX(Parameter!$F$5:$F$7,Parameter!$M$22)/H6)*INT(INDEX(Parameter!$G$5:$G$7,Parameter!$M$22)/I6),INT(INDEX(Parameter!$F$5:$F$7,Parameter!$M$22)/I6)*INT(INDEX(Parameter!$G$5:$G$7,Parameter!$M$22)/H6))*MAX(1,N(J6)))</f>
        <v>198</v>
      </c>
      <c r="L6" s="69"/>
      <c r="M6" s="17" t="n">
        <f aca="false">IF(A6="","",IF(N(L6)&gt;0,L6,N(K6)))</f>
        <v>198</v>
      </c>
    </row>
    <row r="7" customFormat="false" ht="15" hidden="false" customHeight="false" outlineLevel="0" collapsed="false">
      <c r="A7" s="68" t="s">
        <v>411</v>
      </c>
      <c r="B7" s="68" t="s">
        <v>2655</v>
      </c>
      <c r="C7" s="75" t="n">
        <v>17.7</v>
      </c>
      <c r="D7" s="75" t="n">
        <v>13.6</v>
      </c>
      <c r="E7" s="75" t="n">
        <v>8</v>
      </c>
      <c r="F7" s="78" t="n">
        <f aca="false">IF(A7="","",C7*D7/10000)</f>
        <v>0.024072</v>
      </c>
      <c r="G7" s="78" t="n">
        <f aca="false">IF(A7="","",C7*D7*E7/1000000)</f>
        <v>0.00192576</v>
      </c>
      <c r="H7" s="69" t="n">
        <v>177</v>
      </c>
      <c r="I7" s="69" t="n">
        <v>136</v>
      </c>
      <c r="J7" s="69" t="n">
        <v>1</v>
      </c>
      <c r="K7" s="12" t="n">
        <f aca="false">IF(OR(A7="",N(H7)&lt;=0,N(I7)&lt;=0),"",MAX(INT(INDEX(Parameter!$F$5:$F$7,Parameter!$M$22)/H7)*INT(INDEX(Parameter!$G$5:$G$7,Parameter!$M$22)/I7),INT(INDEX(Parameter!$F$5:$F$7,Parameter!$M$22)/I7)*INT(INDEX(Parameter!$G$5:$G$7,Parameter!$M$22)/H7))*MAX(1,N(J7)))</f>
        <v>132</v>
      </c>
      <c r="L7" s="69"/>
      <c r="M7" s="17" t="n">
        <f aca="false">IF(A7="","",IF(N(L7)&gt;0,L7,N(K7)))</f>
        <v>132</v>
      </c>
    </row>
    <row r="8" customFormat="false" ht="15" hidden="false" customHeight="false" outlineLevel="0" collapsed="false">
      <c r="A8" s="68" t="s">
        <v>465</v>
      </c>
      <c r="B8" s="68" t="s">
        <v>2656</v>
      </c>
      <c r="C8" s="75" t="n">
        <v>35.8</v>
      </c>
      <c r="D8" s="75" t="n">
        <v>13.6</v>
      </c>
      <c r="E8" s="75" t="n">
        <v>8</v>
      </c>
      <c r="F8" s="78" t="n">
        <f aca="false">IF(A8="","",C8*D8/10000)</f>
        <v>0.048688</v>
      </c>
      <c r="G8" s="78" t="n">
        <f aca="false">IF(A8="","",C8*D8*E8/1000000)</f>
        <v>0.00389504</v>
      </c>
      <c r="H8" s="69" t="n">
        <v>358</v>
      </c>
      <c r="I8" s="69" t="n">
        <v>136</v>
      </c>
      <c r="J8" s="69" t="n">
        <v>1</v>
      </c>
      <c r="K8" s="12" t="n">
        <f aca="false">IF(OR(A8="",N(H8)&lt;=0,N(I8)&lt;=0),"",MAX(INT(INDEX(Parameter!$F$5:$F$7,Parameter!$M$22)/H8)*INT(INDEX(Parameter!$G$5:$G$7,Parameter!$M$22)/I8),INT(INDEX(Parameter!$F$5:$F$7,Parameter!$M$22)/I8)*INT(INDEX(Parameter!$G$5:$G$7,Parameter!$M$22)/H8))*MAX(1,N(J8)))</f>
        <v>66</v>
      </c>
      <c r="L8" s="69"/>
      <c r="M8" s="17" t="n">
        <f aca="false">IF(A8="","",IF(N(L8)&gt;0,L8,N(K8)))</f>
        <v>66</v>
      </c>
    </row>
    <row r="9" customFormat="false" ht="15" hidden="false" customHeight="false" outlineLevel="0" collapsed="false">
      <c r="A9" s="68" t="s">
        <v>319</v>
      </c>
      <c r="B9" s="68" t="s">
        <v>2657</v>
      </c>
      <c r="C9" s="75" t="n">
        <v>27</v>
      </c>
      <c r="D9" s="75" t="n">
        <v>17</v>
      </c>
      <c r="E9" s="75" t="n">
        <v>11</v>
      </c>
      <c r="F9" s="78" t="n">
        <f aca="false">IF(A9="","",C9*D9/10000)</f>
        <v>0.0459</v>
      </c>
      <c r="G9" s="78" t="n">
        <f aca="false">IF(A9="","",C9*D9*E9/1000000)</f>
        <v>0.005049</v>
      </c>
      <c r="H9" s="69" t="n">
        <v>300</v>
      </c>
      <c r="I9" s="69" t="n">
        <v>200</v>
      </c>
      <c r="J9" s="69" t="n">
        <v>1</v>
      </c>
      <c r="K9" s="12" t="n">
        <f aca="false">IF(OR(A9="",N(H9)&lt;=0,N(I9)&lt;=0),"",MAX(INT(INDEX(Parameter!$F$5:$F$7,Parameter!$M$22)/H9)*INT(INDEX(Parameter!$G$5:$G$7,Parameter!$M$22)/I9),INT(INDEX(Parameter!$F$5:$F$7,Parameter!$M$22)/I9)*INT(INDEX(Parameter!$G$5:$G$7,Parameter!$M$22)/H9))*MAX(1,N(J9)))</f>
        <v>52</v>
      </c>
      <c r="L9" s="69"/>
      <c r="M9" s="17" t="n">
        <f aca="false">IF(A9="","",IF(N(L9)&gt;0,L9,N(K9)))</f>
        <v>52</v>
      </c>
    </row>
    <row r="10" customFormat="false" ht="15" hidden="false" customHeight="false" outlineLevel="0" collapsed="false">
      <c r="A10" s="68" t="s">
        <v>293</v>
      </c>
      <c r="B10" s="68" t="s">
        <v>2658</v>
      </c>
      <c r="C10" s="75" t="n">
        <v>37</v>
      </c>
      <c r="D10" s="75" t="n">
        <v>27</v>
      </c>
      <c r="E10" s="75" t="n">
        <v>11</v>
      </c>
      <c r="F10" s="78" t="n">
        <f aca="false">IF(A10="","",C10*D10/10000)</f>
        <v>0.0999</v>
      </c>
      <c r="G10" s="78" t="n">
        <f aca="false">IF(A10="","",C10*D10*E10/1000000)</f>
        <v>0.010989</v>
      </c>
      <c r="H10" s="69" t="n">
        <v>400</v>
      </c>
      <c r="I10" s="69" t="n">
        <v>300</v>
      </c>
      <c r="J10" s="69" t="n">
        <v>1</v>
      </c>
      <c r="K10" s="12" t="n">
        <f aca="false">IF(OR(A10="",N(H10)&lt;=0,N(I10)&lt;=0),"",MAX(INT(INDEX(Parameter!$F$5:$F$7,Parameter!$M$22)/H10)*INT(INDEX(Parameter!$G$5:$G$7,Parameter!$M$22)/I10),INT(INDEX(Parameter!$F$5:$F$7,Parameter!$M$22)/I10)*INT(INDEX(Parameter!$G$5:$G$7,Parameter!$M$22)/H10))*MAX(1,N(J10)))</f>
        <v>26</v>
      </c>
      <c r="L10" s="69"/>
      <c r="M10" s="17" t="n">
        <f aca="false">IF(A10="","",IF(N(L10)&gt;0,L10,N(K10)))</f>
        <v>26</v>
      </c>
    </row>
    <row r="11" customFormat="false" ht="15" hidden="false" customHeight="false" outlineLevel="0" collapsed="false">
      <c r="A11" s="68" t="s">
        <v>225</v>
      </c>
      <c r="B11" s="68" t="s">
        <v>2659</v>
      </c>
      <c r="C11" s="75" t="n">
        <v>37</v>
      </c>
      <c r="D11" s="75" t="n">
        <v>27</v>
      </c>
      <c r="E11" s="75" t="n">
        <v>21</v>
      </c>
      <c r="F11" s="78" t="n">
        <f aca="false">IF(A11="","",C11*D11/10000)</f>
        <v>0.0999</v>
      </c>
      <c r="G11" s="78" t="n">
        <f aca="false">IF(A11="","",C11*D11*E11/1000000)</f>
        <v>0.020979</v>
      </c>
      <c r="H11" s="69" t="n">
        <v>400</v>
      </c>
      <c r="I11" s="69" t="n">
        <v>300</v>
      </c>
      <c r="J11" s="69" t="n">
        <v>1</v>
      </c>
      <c r="K11" s="12" t="n">
        <f aca="false">IF(OR(A11="",N(H11)&lt;=0,N(I11)&lt;=0),"",MAX(INT(INDEX(Parameter!$F$5:$F$7,Parameter!$M$22)/H11)*INT(INDEX(Parameter!$G$5:$G$7,Parameter!$M$22)/I11),INT(INDEX(Parameter!$F$5:$F$7,Parameter!$M$22)/I11)*INT(INDEX(Parameter!$G$5:$G$7,Parameter!$M$22)/H11))*MAX(1,N(J11)))</f>
        <v>26</v>
      </c>
      <c r="L11" s="69"/>
      <c r="M11" s="17" t="n">
        <f aca="false">IF(A11="","",IF(N(L11)&gt;0,L11,N(K11)))</f>
        <v>26</v>
      </c>
    </row>
    <row r="12" customFormat="false" ht="15" hidden="false" customHeight="false" outlineLevel="0" collapsed="false">
      <c r="A12" s="68" t="s">
        <v>179</v>
      </c>
      <c r="B12" s="68" t="s">
        <v>2660</v>
      </c>
      <c r="C12" s="75" t="n">
        <v>57</v>
      </c>
      <c r="D12" s="75" t="n">
        <v>37</v>
      </c>
      <c r="E12" s="75" t="n">
        <v>11</v>
      </c>
      <c r="F12" s="78" t="n">
        <f aca="false">IF(A12="","",C12*D12/10000)</f>
        <v>0.2109</v>
      </c>
      <c r="G12" s="78" t="n">
        <f aca="false">IF(A12="","",C12*D12*E12/1000000)</f>
        <v>0.023199</v>
      </c>
      <c r="H12" s="69" t="n">
        <v>600</v>
      </c>
      <c r="I12" s="69" t="n">
        <v>400</v>
      </c>
      <c r="J12" s="69" t="n">
        <v>1</v>
      </c>
      <c r="K12" s="12" t="n">
        <f aca="false">IF(OR(A12="",N(H12)&lt;=0,N(I12)&lt;=0),"",MAX(INT(INDEX(Parameter!$F$5:$F$7,Parameter!$M$22)/H12)*INT(INDEX(Parameter!$G$5:$G$7,Parameter!$M$22)/I12),INT(INDEX(Parameter!$F$5:$F$7,Parameter!$M$22)/I12)*INT(INDEX(Parameter!$G$5:$G$7,Parameter!$M$22)/H12))*MAX(1,N(J12)))</f>
        <v>12</v>
      </c>
      <c r="L12" s="69"/>
      <c r="M12" s="17" t="n">
        <f aca="false">IF(A12="","",IF(N(L12)&gt;0,L12,N(K12)))</f>
        <v>12</v>
      </c>
    </row>
    <row r="13" customFormat="false" ht="15" hidden="false" customHeight="false" outlineLevel="0" collapsed="false">
      <c r="A13" s="68" t="s">
        <v>284</v>
      </c>
      <c r="B13" s="68" t="s">
        <v>2661</v>
      </c>
      <c r="C13" s="75" t="n">
        <v>57</v>
      </c>
      <c r="D13" s="75" t="n">
        <v>37</v>
      </c>
      <c r="E13" s="75" t="n">
        <v>21</v>
      </c>
      <c r="F13" s="78" t="n">
        <f aca="false">IF(A13="","",C13*D13/10000)</f>
        <v>0.2109</v>
      </c>
      <c r="G13" s="78" t="n">
        <f aca="false">IF(A13="","",C13*D13*E13/1000000)</f>
        <v>0.044289</v>
      </c>
      <c r="H13" s="69" t="n">
        <v>600</v>
      </c>
      <c r="I13" s="69" t="n">
        <v>400</v>
      </c>
      <c r="J13" s="69" t="n">
        <v>1</v>
      </c>
      <c r="K13" s="12" t="n">
        <f aca="false">IF(OR(A13="",N(H13)&lt;=0,N(I13)&lt;=0),"",MAX(INT(INDEX(Parameter!$F$5:$F$7,Parameter!$M$22)/H13)*INT(INDEX(Parameter!$G$5:$G$7,Parameter!$M$22)/I13),INT(INDEX(Parameter!$F$5:$F$7,Parameter!$M$22)/I13)*INT(INDEX(Parameter!$G$5:$G$7,Parameter!$M$22)/H13))*MAX(1,N(J13)))</f>
        <v>12</v>
      </c>
      <c r="L13" s="69"/>
      <c r="M13" s="17" t="n">
        <f aca="false">IF(A13="","",IF(N(L13)&gt;0,L13,N(K13)))</f>
        <v>12</v>
      </c>
    </row>
    <row r="14" customFormat="false" ht="15" hidden="false" customHeight="false" outlineLevel="0" collapsed="false">
      <c r="A14" s="68" t="s">
        <v>218</v>
      </c>
      <c r="B14" s="68" t="s">
        <v>2662</v>
      </c>
      <c r="C14" s="75" t="n">
        <v>57</v>
      </c>
      <c r="D14" s="75" t="n">
        <v>37</v>
      </c>
      <c r="E14" s="75" t="n">
        <v>31</v>
      </c>
      <c r="F14" s="78" t="n">
        <f aca="false">IF(A14="","",C14*D14/10000)</f>
        <v>0.2109</v>
      </c>
      <c r="G14" s="78" t="n">
        <f aca="false">IF(A14="","",C14*D14*E14/1000000)</f>
        <v>0.065379</v>
      </c>
      <c r="H14" s="69" t="n">
        <v>600</v>
      </c>
      <c r="I14" s="69" t="n">
        <v>400</v>
      </c>
      <c r="J14" s="69" t="n">
        <v>1</v>
      </c>
      <c r="K14" s="12" t="n">
        <f aca="false">IF(OR(A14="",N(H14)&lt;=0,N(I14)&lt;=0),"",MAX(INT(INDEX(Parameter!$F$5:$F$7,Parameter!$M$22)/H14)*INT(INDEX(Parameter!$G$5:$G$7,Parameter!$M$22)/I14),INT(INDEX(Parameter!$F$5:$F$7,Parameter!$M$22)/I14)*INT(INDEX(Parameter!$G$5:$G$7,Parameter!$M$22)/H14))*MAX(1,N(J14)))</f>
        <v>12</v>
      </c>
      <c r="L14" s="69"/>
      <c r="M14" s="17" t="n">
        <f aca="false">IF(A14="","",IF(N(L14)&gt;0,L14,N(K14)))</f>
        <v>12</v>
      </c>
    </row>
    <row r="15" customFormat="false" ht="15" hidden="false" customHeight="false" outlineLevel="0" collapsed="false">
      <c r="A15" s="68" t="s">
        <v>169</v>
      </c>
      <c r="B15" s="68" t="s">
        <v>2663</v>
      </c>
      <c r="C15" s="75" t="n">
        <v>80</v>
      </c>
      <c r="D15" s="75" t="n">
        <v>60</v>
      </c>
      <c r="E15" s="75" t="n">
        <v>20</v>
      </c>
      <c r="F15" s="78" t="n">
        <f aca="false">IF(A15="","",C15*D15/10000)</f>
        <v>0.48</v>
      </c>
      <c r="G15" s="78" t="n">
        <f aca="false">IF(A15="","",C15*D15*E15/1000000)</f>
        <v>0.096</v>
      </c>
      <c r="H15" s="69" t="n">
        <v>800</v>
      </c>
      <c r="I15" s="69" t="n">
        <v>600</v>
      </c>
      <c r="J15" s="69" t="n">
        <v>1</v>
      </c>
      <c r="K15" s="12" t="n">
        <f aca="false">IF(OR(A15="",N(H15)&lt;=0,N(I15)&lt;=0),"",MAX(INT(INDEX(Parameter!$F$5:$F$7,Parameter!$M$22)/H15)*INT(INDEX(Parameter!$G$5:$G$7,Parameter!$M$22)/I15),INT(INDEX(Parameter!$F$5:$F$7,Parameter!$M$22)/I15)*INT(INDEX(Parameter!$G$5:$G$7,Parameter!$M$22)/H15))*MAX(1,N(J15)))</f>
        <v>6</v>
      </c>
      <c r="L15" s="69"/>
      <c r="M15" s="17" t="n">
        <f aca="false">IF(A15="","",IF(N(L15)&gt;0,L15,N(K15)))</f>
        <v>6</v>
      </c>
    </row>
    <row r="16" customFormat="false" ht="15" hidden="false" customHeight="false" outlineLevel="0" collapsed="false">
      <c r="A16" s="68" t="s">
        <v>251</v>
      </c>
      <c r="B16" s="68" t="s">
        <v>2664</v>
      </c>
      <c r="C16" s="75" t="n">
        <v>80</v>
      </c>
      <c r="D16" s="75" t="n">
        <v>60</v>
      </c>
      <c r="E16" s="75" t="n">
        <v>40</v>
      </c>
      <c r="F16" s="78" t="n">
        <f aca="false">IF(A16="","",C16*D16/10000)</f>
        <v>0.48</v>
      </c>
      <c r="G16" s="78" t="n">
        <f aca="false">IF(A16="","",C16*D16*E16/1000000)</f>
        <v>0.192</v>
      </c>
      <c r="H16" s="69" t="n">
        <v>800</v>
      </c>
      <c r="I16" s="69" t="n">
        <v>600</v>
      </c>
      <c r="J16" s="69" t="n">
        <v>1</v>
      </c>
      <c r="K16" s="12" t="n">
        <f aca="false">IF(OR(A16="",N(H16)&lt;=0,N(I16)&lt;=0),"",MAX(INT(INDEX(Parameter!$F$5:$F$7,Parameter!$M$22)/H16)*INT(INDEX(Parameter!$G$5:$G$7,Parameter!$M$22)/I16),INT(INDEX(Parameter!$F$5:$F$7,Parameter!$M$22)/I16)*INT(INDEX(Parameter!$G$5:$G$7,Parameter!$M$22)/H16))*MAX(1,N(J16)))</f>
        <v>6</v>
      </c>
      <c r="L16" s="69"/>
      <c r="M16" s="17" t="n">
        <f aca="false">IF(A16="","",IF(N(L16)&gt;0,L16,N(K16)))</f>
        <v>6</v>
      </c>
    </row>
    <row r="17" customFormat="false" ht="15" hidden="false" customHeight="false" outlineLevel="0" collapsed="false">
      <c r="A17" s="68" t="s">
        <v>2625</v>
      </c>
      <c r="B17" s="68" t="s">
        <v>2665</v>
      </c>
      <c r="C17" s="75" t="n">
        <v>80</v>
      </c>
      <c r="D17" s="75" t="n">
        <v>60</v>
      </c>
      <c r="E17" s="75" t="n">
        <v>60</v>
      </c>
      <c r="F17" s="78" t="n">
        <f aca="false">IF(A17="","",C17*D17/10000)</f>
        <v>0.48</v>
      </c>
      <c r="G17" s="78" t="n">
        <f aca="false">IF(A17="","",C17*D17*E17/1000000)</f>
        <v>0.288</v>
      </c>
      <c r="H17" s="69" t="n">
        <v>800</v>
      </c>
      <c r="I17" s="69" t="n">
        <v>600</v>
      </c>
      <c r="J17" s="69" t="n">
        <v>1</v>
      </c>
      <c r="K17" s="12" t="n">
        <f aca="false">IF(OR(A17="",N(H17)&lt;=0,N(I17)&lt;=0),"",MAX(INT(INDEX(Parameter!$F$5:$F$7,Parameter!$M$22)/H17)*INT(INDEX(Parameter!$G$5:$G$7,Parameter!$M$22)/I17),INT(INDEX(Parameter!$F$5:$F$7,Parameter!$M$22)/I17)*INT(INDEX(Parameter!$G$5:$G$7,Parameter!$M$22)/H17))*MAX(1,N(J17)))</f>
        <v>6</v>
      </c>
      <c r="L17" s="69"/>
      <c r="M17" s="17" t="n">
        <f aca="false">IF(A17="","",IF(N(L17)&gt;0,L17,N(K17)))</f>
        <v>6</v>
      </c>
    </row>
    <row r="18" customFormat="false" ht="15" hidden="false" customHeight="false" outlineLevel="0" collapsed="false">
      <c r="A18" s="68" t="s">
        <v>215</v>
      </c>
      <c r="B18" s="68" t="s">
        <v>2666</v>
      </c>
      <c r="C18" s="75" t="n">
        <v>120</v>
      </c>
      <c r="D18" s="75" t="n">
        <v>80</v>
      </c>
      <c r="E18" s="75" t="n">
        <v>20</v>
      </c>
      <c r="F18" s="78" t="n">
        <f aca="false">IF(A18="","",C18*D18/10000)</f>
        <v>0.96</v>
      </c>
      <c r="G18" s="78" t="n">
        <f aca="false">IF(A18="","",C18*D18*E18/1000000)</f>
        <v>0.192</v>
      </c>
      <c r="H18" s="69" t="n">
        <v>1200</v>
      </c>
      <c r="I18" s="69" t="n">
        <v>800</v>
      </c>
      <c r="J18" s="69" t="n">
        <v>1</v>
      </c>
      <c r="K18" s="12" t="n">
        <f aca="false">IF(OR(A18="",N(H18)&lt;=0,N(I18)&lt;=0),"",MAX(INT(INDEX(Parameter!$F$5:$F$7,Parameter!$M$22)/H18)*INT(INDEX(Parameter!$G$5:$G$7,Parameter!$M$22)/I18),INT(INDEX(Parameter!$F$5:$F$7,Parameter!$M$22)/I18)*INT(INDEX(Parameter!$G$5:$G$7,Parameter!$M$22)/H18))*MAX(1,N(J18)))</f>
        <v>3</v>
      </c>
      <c r="L18" s="69"/>
      <c r="M18" s="17" t="n">
        <f aca="false">IF(A18="","",IF(N(L18)&gt;0,L18,N(K18)))</f>
        <v>3</v>
      </c>
    </row>
    <row r="19" customFormat="false" ht="15" hidden="false" customHeight="false" outlineLevel="0" collapsed="false">
      <c r="A19" s="68" t="s">
        <v>339</v>
      </c>
      <c r="B19" s="68" t="s">
        <v>2667</v>
      </c>
      <c r="C19" s="75" t="n">
        <v>120</v>
      </c>
      <c r="D19" s="75" t="n">
        <v>80</v>
      </c>
      <c r="E19" s="75" t="n">
        <v>40</v>
      </c>
      <c r="F19" s="78" t="n">
        <f aca="false">IF(A19="","",C19*D19/10000)</f>
        <v>0.96</v>
      </c>
      <c r="G19" s="78" t="n">
        <f aca="false">IF(A19="","",C19*D19*E19/1000000)</f>
        <v>0.384</v>
      </c>
      <c r="H19" s="69" t="n">
        <v>1200</v>
      </c>
      <c r="I19" s="69" t="n">
        <v>800</v>
      </c>
      <c r="J19" s="69" t="n">
        <v>1</v>
      </c>
      <c r="K19" s="12" t="n">
        <f aca="false">IF(OR(A19="",N(H19)&lt;=0,N(I19)&lt;=0),"",MAX(INT(INDEX(Parameter!$F$5:$F$7,Parameter!$M$22)/H19)*INT(INDEX(Parameter!$G$5:$G$7,Parameter!$M$22)/I19),INT(INDEX(Parameter!$F$5:$F$7,Parameter!$M$22)/I19)*INT(INDEX(Parameter!$G$5:$G$7,Parameter!$M$22)/H19))*MAX(1,N(J19)))</f>
        <v>3</v>
      </c>
      <c r="L19" s="69"/>
      <c r="M19" s="17" t="n">
        <f aca="false">IF(A19="","",IF(N(L19)&gt;0,L19,N(K19)))</f>
        <v>3</v>
      </c>
    </row>
    <row r="20" customFormat="false" ht="15" hidden="false" customHeight="false" outlineLevel="0" collapsed="false">
      <c r="A20" s="68" t="s">
        <v>2627</v>
      </c>
      <c r="B20" s="68" t="s">
        <v>2668</v>
      </c>
      <c r="C20" s="75" t="n">
        <v>120</v>
      </c>
      <c r="D20" s="75" t="n">
        <v>80</v>
      </c>
      <c r="E20" s="75" t="n">
        <v>60</v>
      </c>
      <c r="F20" s="78" t="n">
        <f aca="false">IF(A20="","",C20*D20/10000)</f>
        <v>0.96</v>
      </c>
      <c r="G20" s="78" t="n">
        <f aca="false">IF(A20="","",C20*D20*E20/1000000)</f>
        <v>0.576</v>
      </c>
      <c r="H20" s="69" t="n">
        <v>1200</v>
      </c>
      <c r="I20" s="69" t="n">
        <v>800</v>
      </c>
      <c r="J20" s="69" t="n">
        <v>1</v>
      </c>
      <c r="K20" s="12" t="n">
        <f aca="false">IF(OR(A20="",N(H20)&lt;=0,N(I20)&lt;=0),"",MAX(INT(INDEX(Parameter!$F$5:$F$7,Parameter!$M$22)/H20)*INT(INDEX(Parameter!$G$5:$G$7,Parameter!$M$22)/I20),INT(INDEX(Parameter!$F$5:$F$7,Parameter!$M$22)/I20)*INT(INDEX(Parameter!$G$5:$G$7,Parameter!$M$22)/H20))*MAX(1,N(J20)))</f>
        <v>3</v>
      </c>
      <c r="L20" s="69"/>
      <c r="M20" s="17" t="n">
        <f aca="false">IF(A20="","",IF(N(L20)&gt;0,L20,N(K20)))</f>
        <v>3</v>
      </c>
    </row>
    <row r="21" customFormat="false" ht="15" hidden="false" customHeight="false" outlineLevel="0" collapsed="false">
      <c r="A21" s="68" t="s">
        <v>2628</v>
      </c>
      <c r="B21" s="68" t="s">
        <v>2669</v>
      </c>
      <c r="C21" s="75" t="n">
        <v>120</v>
      </c>
      <c r="D21" s="75" t="n">
        <v>80</v>
      </c>
      <c r="E21" s="75" t="n">
        <v>20</v>
      </c>
      <c r="F21" s="78" t="n">
        <f aca="false">IF(A21="","",C21*D21/10000)</f>
        <v>0.96</v>
      </c>
      <c r="G21" s="78" t="n">
        <f aca="false">IF(A21="","",C21*D21*E21/1000000)</f>
        <v>0.192</v>
      </c>
      <c r="H21" s="69" t="n">
        <v>1200</v>
      </c>
      <c r="I21" s="69" t="n">
        <v>800</v>
      </c>
      <c r="J21" s="69" t="n">
        <v>1</v>
      </c>
      <c r="K21" s="12" t="n">
        <f aca="false">IF(OR(A21="",N(H21)&lt;=0,N(I21)&lt;=0),"",MAX(INT(INDEX(Parameter!$F$5:$F$7,Parameter!$M$22)/H21)*INT(INDEX(Parameter!$G$5:$G$7,Parameter!$M$22)/I21),INT(INDEX(Parameter!$F$5:$F$7,Parameter!$M$22)/I21)*INT(INDEX(Parameter!$G$5:$G$7,Parameter!$M$22)/H21))*MAX(1,N(J21)))</f>
        <v>3</v>
      </c>
      <c r="L21" s="69"/>
      <c r="M21" s="17" t="n">
        <f aca="false">IF(A21="","",IF(N(L21)&gt;0,L21,N(K21)))</f>
        <v>3</v>
      </c>
    </row>
    <row r="22" customFormat="false" ht="15" hidden="false" customHeight="false" outlineLevel="0" collapsed="false">
      <c r="A22" s="68" t="s">
        <v>2629</v>
      </c>
      <c r="B22" s="68" t="s">
        <v>2670</v>
      </c>
      <c r="C22" s="75" t="n">
        <v>120</v>
      </c>
      <c r="D22" s="75" t="n">
        <v>80</v>
      </c>
      <c r="E22" s="75" t="n">
        <v>40</v>
      </c>
      <c r="F22" s="78" t="n">
        <f aca="false">IF(A22="","",C22*D22/10000)</f>
        <v>0.96</v>
      </c>
      <c r="G22" s="78" t="n">
        <f aca="false">IF(A22="","",C22*D22*E22/1000000)</f>
        <v>0.384</v>
      </c>
      <c r="H22" s="69" t="n">
        <v>1200</v>
      </c>
      <c r="I22" s="69" t="n">
        <v>800</v>
      </c>
      <c r="J22" s="69" t="n">
        <v>1</v>
      </c>
      <c r="K22" s="12" t="n">
        <f aca="false">IF(OR(A22="",N(H22)&lt;=0,N(I22)&lt;=0),"",MAX(INT(INDEX(Parameter!$F$5:$F$7,Parameter!$M$22)/H22)*INT(INDEX(Parameter!$G$5:$G$7,Parameter!$M$22)/I22),INT(INDEX(Parameter!$F$5:$F$7,Parameter!$M$22)/I22)*INT(INDEX(Parameter!$G$5:$G$7,Parameter!$M$22)/H22))*MAX(1,N(J22)))</f>
        <v>3</v>
      </c>
      <c r="L22" s="69"/>
      <c r="M22" s="17" t="n">
        <f aca="false">IF(A22="","",IF(N(L22)&gt;0,L22,N(K22)))</f>
        <v>3</v>
      </c>
    </row>
    <row r="23" customFormat="false" ht="15" hidden="false" customHeight="false" outlineLevel="0" collapsed="false">
      <c r="A23" s="68" t="s">
        <v>2630</v>
      </c>
      <c r="B23" s="68" t="s">
        <v>2671</v>
      </c>
      <c r="C23" s="75" t="n">
        <v>120</v>
      </c>
      <c r="D23" s="75" t="n">
        <v>80</v>
      </c>
      <c r="E23" s="75" t="n">
        <v>80</v>
      </c>
      <c r="F23" s="78" t="n">
        <f aca="false">IF(A23="","",C23*D23/10000)</f>
        <v>0.96</v>
      </c>
      <c r="G23" s="78" t="n">
        <f aca="false">IF(A23="","",C23*D23*E23/1000000)</f>
        <v>0.768</v>
      </c>
      <c r="H23" s="69" t="n">
        <v>1200</v>
      </c>
      <c r="I23" s="69" t="n">
        <v>800</v>
      </c>
      <c r="J23" s="69" t="n">
        <v>1</v>
      </c>
      <c r="K23" s="12" t="n">
        <f aca="false">IF(OR(A23="",N(H23)&lt;=0,N(I23)&lt;=0),"",MAX(INT(INDEX(Parameter!$F$5:$F$7,Parameter!$M$22)/H23)*INT(INDEX(Parameter!$G$5:$G$7,Parameter!$M$22)/I23),INT(INDEX(Parameter!$F$5:$F$7,Parameter!$M$22)/I23)*INT(INDEX(Parameter!$G$5:$G$7,Parameter!$M$22)/H23))*MAX(1,N(J23)))</f>
        <v>3</v>
      </c>
      <c r="L23" s="69"/>
      <c r="M23" s="17" t="n">
        <f aca="false">IF(A23="","",IF(N(L23)&gt;0,L23,N(K23)))</f>
        <v>3</v>
      </c>
    </row>
    <row r="24" customFormat="false" ht="15" hidden="false" customHeight="false" outlineLevel="0" collapsed="false">
      <c r="A24" s="68" t="s">
        <v>2631</v>
      </c>
      <c r="B24" s="68" t="s">
        <v>2672</v>
      </c>
      <c r="C24" s="75" t="n">
        <v>120</v>
      </c>
      <c r="D24" s="75" t="n">
        <v>80</v>
      </c>
      <c r="E24" s="75" t="n">
        <v>120</v>
      </c>
      <c r="F24" s="78" t="n">
        <f aca="false">IF(A24="","",C24*D24/10000)</f>
        <v>0.96</v>
      </c>
      <c r="G24" s="78" t="n">
        <f aca="false">IF(A24="","",C24*D24*E24/1000000)</f>
        <v>1.152</v>
      </c>
      <c r="H24" s="69" t="n">
        <v>1200</v>
      </c>
      <c r="I24" s="69" t="n">
        <v>800</v>
      </c>
      <c r="J24" s="69" t="n">
        <v>1</v>
      </c>
      <c r="K24" s="12" t="n">
        <f aca="false">IF(OR(A24="",N(H24)&lt;=0,N(I24)&lt;=0),"",MAX(INT(INDEX(Parameter!$F$5:$F$7,Parameter!$M$22)/H24)*INT(INDEX(Parameter!$G$5:$G$7,Parameter!$M$22)/I24),INT(INDEX(Parameter!$F$5:$F$7,Parameter!$M$22)/I24)*INT(INDEX(Parameter!$G$5:$G$7,Parameter!$M$22)/H24))*MAX(1,N(J24)))</f>
        <v>3</v>
      </c>
      <c r="L24" s="69"/>
      <c r="M24" s="17" t="n">
        <f aca="false">IF(A24="","",IF(N(L24)&gt;0,L24,N(K24)))</f>
        <v>3</v>
      </c>
    </row>
    <row r="25" customFormat="false" ht="15" hidden="false" customHeight="false" outlineLevel="0" collapsed="false">
      <c r="A25" s="68" t="s">
        <v>2632</v>
      </c>
      <c r="B25" s="68" t="s">
        <v>2673</v>
      </c>
      <c r="C25" s="75" t="n">
        <v>120</v>
      </c>
      <c r="D25" s="75" t="n">
        <v>80</v>
      </c>
      <c r="E25" s="75" t="n">
        <v>160</v>
      </c>
      <c r="F25" s="78" t="n">
        <f aca="false">IF(A25="","",C25*D25/10000)</f>
        <v>0.96</v>
      </c>
      <c r="G25" s="78" t="n">
        <f aca="false">IF(A25="","",C25*D25*E25/1000000)</f>
        <v>1.536</v>
      </c>
      <c r="H25" s="69" t="n">
        <v>1200</v>
      </c>
      <c r="I25" s="69" t="n">
        <v>800</v>
      </c>
      <c r="J25" s="69" t="n">
        <v>1</v>
      </c>
      <c r="K25" s="12" t="n">
        <f aca="false">IF(OR(A25="",N(H25)&lt;=0,N(I25)&lt;=0),"",MAX(INT(INDEX(Parameter!$F$5:$F$7,Parameter!$M$22)/H25)*INT(INDEX(Parameter!$G$5:$G$7,Parameter!$M$22)/I25),INT(INDEX(Parameter!$F$5:$F$7,Parameter!$M$22)/I25)*INT(INDEX(Parameter!$G$5:$G$7,Parameter!$M$22)/H25))*MAX(1,N(J25)))</f>
        <v>3</v>
      </c>
      <c r="L25" s="69"/>
      <c r="M25" s="17" t="n">
        <f aca="false">IF(A25="","",IF(N(L25)&gt;0,L25,N(K25)))</f>
        <v>3</v>
      </c>
    </row>
    <row r="26" customFormat="false" ht="15" hidden="false" customHeight="false" outlineLevel="0" collapsed="false">
      <c r="A26" s="68" t="s">
        <v>2633</v>
      </c>
      <c r="B26" s="68" t="s">
        <v>2674</v>
      </c>
      <c r="C26" s="75" t="n">
        <v>120</v>
      </c>
      <c r="D26" s="75" t="n">
        <v>80</v>
      </c>
      <c r="E26" s="75" t="n">
        <v>200</v>
      </c>
      <c r="F26" s="78" t="n">
        <f aca="false">IF(A26="","",C26*D26/10000)</f>
        <v>0.96</v>
      </c>
      <c r="G26" s="78" t="n">
        <f aca="false">IF(A26="","",C26*D26*E26/1000000)</f>
        <v>1.92</v>
      </c>
      <c r="H26" s="69" t="n">
        <v>1200</v>
      </c>
      <c r="I26" s="69" t="n">
        <v>800</v>
      </c>
      <c r="J26" s="69" t="n">
        <v>1</v>
      </c>
      <c r="K26" s="12" t="n">
        <f aca="false">IF(OR(A26="",N(H26)&lt;=0,N(I26)&lt;=0),"",MAX(INT(INDEX(Parameter!$F$5:$F$7,Parameter!$M$22)/H26)*INT(INDEX(Parameter!$G$5:$G$7,Parameter!$M$22)/I26),INT(INDEX(Parameter!$F$5:$F$7,Parameter!$M$22)/I26)*INT(INDEX(Parameter!$G$5:$G$7,Parameter!$M$22)/H26))*MAX(1,N(J26)))</f>
        <v>3</v>
      </c>
      <c r="L26" s="69"/>
      <c r="M26" s="17" t="n">
        <f aca="false">IF(A26="","",IF(N(L26)&gt;0,L26,N(K26)))</f>
        <v>3</v>
      </c>
    </row>
    <row r="27" customFormat="false" ht="15" hidden="false" customHeight="false" outlineLevel="0" collapsed="false">
      <c r="A27" s="68"/>
      <c r="B27" s="68"/>
      <c r="C27" s="75"/>
      <c r="D27" s="75"/>
      <c r="E27" s="75"/>
      <c r="F27" s="78" t="str">
        <f aca="false">IF(A27="","",C27*D27/10000)</f>
        <v/>
      </c>
      <c r="G27" s="78" t="str">
        <f aca="false">IF(A27="","",C27*D27*E27/1000000)</f>
        <v/>
      </c>
      <c r="H27" s="69"/>
      <c r="I27" s="69"/>
      <c r="J27" s="69"/>
      <c r="K27" s="12" t="str">
        <f aca="false">IF(OR(A27="",N(H27)&lt;=0,N(I27)&lt;=0),"",MAX(INT(INDEX(Parameter!$F$5:$F$7,Parameter!$M$22)/H27)*INT(INDEX(Parameter!$G$5:$G$7,Parameter!$M$22)/I27),INT(INDEX(Parameter!$F$5:$F$7,Parameter!$M$22)/I27)*INT(INDEX(Parameter!$G$5:$G$7,Parameter!$M$22)/H27))*MAX(1,N(J27)))</f>
        <v/>
      </c>
      <c r="L27" s="69"/>
      <c r="M27" s="17" t="str">
        <f aca="false">IF(A27="","",IF(N(L27)&gt;0,L27,N(K27)))</f>
        <v/>
      </c>
    </row>
    <row r="28" customFormat="false" ht="15" hidden="false" customHeight="false" outlineLevel="0" collapsed="false">
      <c r="A28" s="68"/>
      <c r="B28" s="68"/>
      <c r="C28" s="75"/>
      <c r="D28" s="75"/>
      <c r="E28" s="75"/>
      <c r="F28" s="78" t="str">
        <f aca="false">IF(A28="","",C28*D28/10000)</f>
        <v/>
      </c>
      <c r="G28" s="78" t="str">
        <f aca="false">IF(A28="","",C28*D28*E28/1000000)</f>
        <v/>
      </c>
      <c r="H28" s="69"/>
      <c r="I28" s="69"/>
      <c r="J28" s="69"/>
      <c r="K28" s="12" t="str">
        <f aca="false">IF(OR(A28="",N(H28)&lt;=0,N(I28)&lt;=0),"",MAX(INT(INDEX(Parameter!$F$5:$F$7,Parameter!$M$22)/H28)*INT(INDEX(Parameter!$G$5:$G$7,Parameter!$M$22)/I28),INT(INDEX(Parameter!$F$5:$F$7,Parameter!$M$22)/I28)*INT(INDEX(Parameter!$G$5:$G$7,Parameter!$M$22)/H28))*MAX(1,N(J28)))</f>
        <v/>
      </c>
      <c r="L28" s="69"/>
      <c r="M28" s="17" t="str">
        <f aca="false">IF(A28="","",IF(N(L28)&gt;0,L28,N(K28)))</f>
        <v/>
      </c>
    </row>
    <row r="29" customFormat="false" ht="15" hidden="false" customHeight="false" outlineLevel="0" collapsed="false">
      <c r="A29" s="68"/>
      <c r="B29" s="68"/>
      <c r="C29" s="75"/>
      <c r="D29" s="75"/>
      <c r="E29" s="75"/>
      <c r="F29" s="78" t="str">
        <f aca="false">IF(A29="","",C29*D29/10000)</f>
        <v/>
      </c>
      <c r="G29" s="78" t="str">
        <f aca="false">IF(A29="","",C29*D29*E29/1000000)</f>
        <v/>
      </c>
      <c r="H29" s="69"/>
      <c r="I29" s="69"/>
      <c r="J29" s="69"/>
      <c r="K29" s="12" t="str">
        <f aca="false">IF(OR(A29="",N(H29)&lt;=0,N(I29)&lt;=0),"",MAX(INT(INDEX(Parameter!$F$5:$F$7,Parameter!$M$22)/H29)*INT(INDEX(Parameter!$G$5:$G$7,Parameter!$M$22)/I29),INT(INDEX(Parameter!$F$5:$F$7,Parameter!$M$22)/I29)*INT(INDEX(Parameter!$G$5:$G$7,Parameter!$M$22)/H29))*MAX(1,N(J29)))</f>
        <v/>
      </c>
      <c r="L29" s="69"/>
      <c r="M29" s="17" t="str">
        <f aca="false">IF(A29="","",IF(N(L29)&gt;0,L29,N(K29)))</f>
        <v/>
      </c>
    </row>
    <row r="30" customFormat="false" ht="15" hidden="false" customHeight="false" outlineLevel="0" collapsed="false">
      <c r="A30" s="68"/>
      <c r="B30" s="68"/>
      <c r="C30" s="75"/>
      <c r="D30" s="75"/>
      <c r="E30" s="75"/>
      <c r="F30" s="78" t="str">
        <f aca="false">IF(A30="","",C30*D30/10000)</f>
        <v/>
      </c>
      <c r="G30" s="78" t="str">
        <f aca="false">IF(A30="","",C30*D30*E30/1000000)</f>
        <v/>
      </c>
      <c r="H30" s="69"/>
      <c r="I30" s="69"/>
      <c r="J30" s="69"/>
      <c r="K30" s="12" t="str">
        <f aca="false">IF(OR(A30="",N(H30)&lt;=0,N(I30)&lt;=0),"",MAX(INT(INDEX(Parameter!$F$5:$F$7,Parameter!$M$22)/H30)*INT(INDEX(Parameter!$G$5:$G$7,Parameter!$M$22)/I30),INT(INDEX(Parameter!$F$5:$F$7,Parameter!$M$22)/I30)*INT(INDEX(Parameter!$G$5:$G$7,Parameter!$M$22)/H30))*MAX(1,N(J30)))</f>
        <v/>
      </c>
      <c r="L30" s="69"/>
      <c r="M30" s="17" t="str">
        <f aca="false">IF(A30="","",IF(N(L30)&gt;0,L30,N(K30)))</f>
        <v/>
      </c>
    </row>
    <row r="31" customFormat="false" ht="15" hidden="false" customHeight="false" outlineLevel="0" collapsed="false">
      <c r="A31" s="68"/>
      <c r="B31" s="68"/>
      <c r="C31" s="75"/>
      <c r="D31" s="75"/>
      <c r="E31" s="75"/>
      <c r="F31" s="78" t="str">
        <f aca="false">IF(A31="","",C31*D31/10000)</f>
        <v/>
      </c>
      <c r="G31" s="78" t="str">
        <f aca="false">IF(A31="","",C31*D31*E31/1000000)</f>
        <v/>
      </c>
      <c r="H31" s="69"/>
      <c r="I31" s="69"/>
      <c r="J31" s="69"/>
      <c r="K31" s="12" t="str">
        <f aca="false">IF(OR(A31="",N(H31)&lt;=0,N(I31)&lt;=0),"",MAX(INT(INDEX(Parameter!$F$5:$F$7,Parameter!$M$22)/H31)*INT(INDEX(Parameter!$G$5:$G$7,Parameter!$M$22)/I31),INT(INDEX(Parameter!$F$5:$F$7,Parameter!$M$22)/I31)*INT(INDEX(Parameter!$G$5:$G$7,Parameter!$M$22)/H31))*MAX(1,N(J31)))</f>
        <v/>
      </c>
      <c r="L31" s="69"/>
      <c r="M31" s="17" t="str">
        <f aca="false">IF(A31="","",IF(N(L31)&gt;0,L31,N(K31)))</f>
        <v/>
      </c>
    </row>
    <row r="32" customFormat="false" ht="15" hidden="false" customHeight="false" outlineLevel="0" collapsed="false">
      <c r="A32" s="68"/>
      <c r="B32" s="68"/>
      <c r="C32" s="75"/>
      <c r="D32" s="75"/>
      <c r="E32" s="75"/>
      <c r="F32" s="78" t="str">
        <f aca="false">IF(A32="","",C32*D32/10000)</f>
        <v/>
      </c>
      <c r="G32" s="78" t="str">
        <f aca="false">IF(A32="","",C32*D32*E32/1000000)</f>
        <v/>
      </c>
      <c r="H32" s="69"/>
      <c r="I32" s="69"/>
      <c r="J32" s="69"/>
      <c r="K32" s="12" t="str">
        <f aca="false">IF(OR(A32="",N(H32)&lt;=0,N(I32)&lt;=0),"",MAX(INT(INDEX(Parameter!$F$5:$F$7,Parameter!$M$22)/H32)*INT(INDEX(Parameter!$G$5:$G$7,Parameter!$M$22)/I32),INT(INDEX(Parameter!$F$5:$F$7,Parameter!$M$22)/I32)*INT(INDEX(Parameter!$G$5:$G$7,Parameter!$M$22)/H32))*MAX(1,N(J32)))</f>
        <v/>
      </c>
      <c r="L32" s="69"/>
      <c r="M32" s="17" t="str">
        <f aca="false">IF(A32="","",IF(N(L32)&gt;0,L32,N(K32)))</f>
        <v/>
      </c>
    </row>
    <row r="33" customFormat="false" ht="15" hidden="false" customHeight="false" outlineLevel="0" collapsed="false">
      <c r="A33" s="68"/>
      <c r="B33" s="68"/>
      <c r="C33" s="75"/>
      <c r="D33" s="75"/>
      <c r="E33" s="75"/>
      <c r="F33" s="78" t="str">
        <f aca="false">IF(A33="","",C33*D33/10000)</f>
        <v/>
      </c>
      <c r="G33" s="78" t="str">
        <f aca="false">IF(A33="","",C33*D33*E33/1000000)</f>
        <v/>
      </c>
      <c r="H33" s="69"/>
      <c r="I33" s="69"/>
      <c r="J33" s="69"/>
      <c r="K33" s="12" t="str">
        <f aca="false">IF(OR(A33="",N(H33)&lt;=0,N(I33)&lt;=0),"",MAX(INT(INDEX(Parameter!$F$5:$F$7,Parameter!$M$22)/H33)*INT(INDEX(Parameter!$G$5:$G$7,Parameter!$M$22)/I33),INT(INDEX(Parameter!$F$5:$F$7,Parameter!$M$22)/I33)*INT(INDEX(Parameter!$G$5:$G$7,Parameter!$M$22)/H33))*MAX(1,N(J33)))</f>
        <v/>
      </c>
      <c r="L33" s="69"/>
      <c r="M33" s="17" t="str">
        <f aca="false">IF(A33="","",IF(N(L33)&gt;0,L33,N(K33)))</f>
        <v/>
      </c>
    </row>
    <row r="34" customFormat="false" ht="15" hidden="false" customHeight="false" outlineLevel="0" collapsed="false">
      <c r="A34" s="68"/>
      <c r="B34" s="68"/>
      <c r="C34" s="75"/>
      <c r="D34" s="75"/>
      <c r="E34" s="75"/>
      <c r="F34" s="78" t="str">
        <f aca="false">IF(A34="","",C34*D34/10000)</f>
        <v/>
      </c>
      <c r="G34" s="78" t="str">
        <f aca="false">IF(A34="","",C34*D34*E34/1000000)</f>
        <v/>
      </c>
      <c r="H34" s="69"/>
      <c r="I34" s="69"/>
      <c r="J34" s="69"/>
      <c r="K34" s="12" t="str">
        <f aca="false">IF(OR(A34="",N(H34)&lt;=0,N(I34)&lt;=0),"",MAX(INT(INDEX(Parameter!$F$5:$F$7,Parameter!$M$22)/H34)*INT(INDEX(Parameter!$G$5:$G$7,Parameter!$M$22)/I34),INT(INDEX(Parameter!$F$5:$F$7,Parameter!$M$22)/I34)*INT(INDEX(Parameter!$G$5:$G$7,Parameter!$M$22)/H34))*MAX(1,N(J34)))</f>
        <v/>
      </c>
      <c r="L34" s="69"/>
      <c r="M34" s="17" t="str">
        <f aca="false">IF(A34="","",IF(N(L34)&gt;0,L34,N(K34)))</f>
        <v/>
      </c>
    </row>
    <row r="35" customFormat="false" ht="15" hidden="false" customHeight="false" outlineLevel="0" collapsed="false">
      <c r="A35" s="68"/>
      <c r="B35" s="68"/>
      <c r="C35" s="75"/>
      <c r="D35" s="75"/>
      <c r="E35" s="75"/>
      <c r="F35" s="78" t="str">
        <f aca="false">IF(A35="","",C35*D35/10000)</f>
        <v/>
      </c>
      <c r="G35" s="78" t="str">
        <f aca="false">IF(A35="","",C35*D35*E35/1000000)</f>
        <v/>
      </c>
      <c r="H35" s="69"/>
      <c r="I35" s="69"/>
      <c r="J35" s="69"/>
      <c r="K35" s="12" t="str">
        <f aca="false">IF(OR(A35="",N(H35)&lt;=0,N(I35)&lt;=0),"",MAX(INT(INDEX(Parameter!$F$5:$F$7,Parameter!$M$22)/H35)*INT(INDEX(Parameter!$G$5:$G$7,Parameter!$M$22)/I35),INT(INDEX(Parameter!$F$5:$F$7,Parameter!$M$22)/I35)*INT(INDEX(Parameter!$G$5:$G$7,Parameter!$M$22)/H35))*MAX(1,N(J35)))</f>
        <v/>
      </c>
      <c r="L35" s="69"/>
      <c r="M35" s="17" t="str">
        <f aca="false">IF(A35="","",IF(N(L35)&gt;0,L35,N(K35)))</f>
        <v/>
      </c>
    </row>
    <row r="36" customFormat="false" ht="15" hidden="false" customHeight="false" outlineLevel="0" collapsed="false">
      <c r="A36" s="68"/>
      <c r="B36" s="68"/>
      <c r="C36" s="75"/>
      <c r="D36" s="75"/>
      <c r="E36" s="75"/>
      <c r="F36" s="78" t="str">
        <f aca="false">IF(A36="","",C36*D36/10000)</f>
        <v/>
      </c>
      <c r="G36" s="78" t="str">
        <f aca="false">IF(A36="","",C36*D36*E36/1000000)</f>
        <v/>
      </c>
      <c r="H36" s="69"/>
      <c r="I36" s="69"/>
      <c r="J36" s="69"/>
      <c r="K36" s="12" t="str">
        <f aca="false">IF(OR(A36="",N(H36)&lt;=0,N(I36)&lt;=0),"",MAX(INT(INDEX(Parameter!$F$5:$F$7,Parameter!$M$22)/H36)*INT(INDEX(Parameter!$G$5:$G$7,Parameter!$M$22)/I36),INT(INDEX(Parameter!$F$5:$F$7,Parameter!$M$22)/I36)*INT(INDEX(Parameter!$G$5:$G$7,Parameter!$M$22)/H36))*MAX(1,N(J36)))</f>
        <v/>
      </c>
      <c r="L36" s="69"/>
      <c r="M36" s="17" t="str">
        <f aca="false">IF(A36="","",IF(N(L36)&gt;0,L36,N(K36)))</f>
        <v/>
      </c>
    </row>
    <row r="37" customFormat="false" ht="15" hidden="false" customHeight="false" outlineLevel="0" collapsed="false">
      <c r="A37" s="68"/>
      <c r="B37" s="68"/>
      <c r="C37" s="75"/>
      <c r="D37" s="75"/>
      <c r="E37" s="75"/>
      <c r="F37" s="78" t="str">
        <f aca="false">IF(A37="","",C37*D37/10000)</f>
        <v/>
      </c>
      <c r="G37" s="78" t="str">
        <f aca="false">IF(A37="","",C37*D37*E37/1000000)</f>
        <v/>
      </c>
      <c r="H37" s="69"/>
      <c r="I37" s="69"/>
      <c r="J37" s="69"/>
      <c r="K37" s="12" t="str">
        <f aca="false">IF(OR(A37="",N(H37)&lt;=0,N(I37)&lt;=0),"",MAX(INT(INDEX(Parameter!$F$5:$F$7,Parameter!$M$22)/H37)*INT(INDEX(Parameter!$G$5:$G$7,Parameter!$M$22)/I37),INT(INDEX(Parameter!$F$5:$F$7,Parameter!$M$22)/I37)*INT(INDEX(Parameter!$G$5:$G$7,Parameter!$M$22)/H37))*MAX(1,N(J37)))</f>
        <v/>
      </c>
      <c r="L37" s="69"/>
      <c r="M37" s="17" t="str">
        <f aca="false">IF(A37="","",IF(N(L37)&gt;0,L37,N(K37)))</f>
        <v/>
      </c>
    </row>
    <row r="38" customFormat="false" ht="15" hidden="false" customHeight="false" outlineLevel="0" collapsed="false">
      <c r="A38" s="68"/>
      <c r="B38" s="68"/>
      <c r="C38" s="75"/>
      <c r="D38" s="75"/>
      <c r="E38" s="75"/>
      <c r="F38" s="78" t="str">
        <f aca="false">IF(A38="","",C38*D38/10000)</f>
        <v/>
      </c>
      <c r="G38" s="78" t="str">
        <f aca="false">IF(A38="","",C38*D38*E38/1000000)</f>
        <v/>
      </c>
      <c r="H38" s="69"/>
      <c r="I38" s="69"/>
      <c r="J38" s="69"/>
      <c r="K38" s="12" t="str">
        <f aca="false">IF(OR(A38="",N(H38)&lt;=0,N(I38)&lt;=0),"",MAX(INT(INDEX(Parameter!$F$5:$F$7,Parameter!$M$22)/H38)*INT(INDEX(Parameter!$G$5:$G$7,Parameter!$M$22)/I38),INT(INDEX(Parameter!$F$5:$F$7,Parameter!$M$22)/I38)*INT(INDEX(Parameter!$G$5:$G$7,Parameter!$M$22)/H38))*MAX(1,N(J38)))</f>
        <v/>
      </c>
      <c r="L38" s="69"/>
      <c r="M38" s="17" t="str">
        <f aca="false">IF(A38="","",IF(N(L38)&gt;0,L38,N(K38)))</f>
        <v/>
      </c>
    </row>
    <row r="39" customFormat="false" ht="15" hidden="false" customHeight="false" outlineLevel="0" collapsed="false">
      <c r="A39" s="68"/>
      <c r="B39" s="68"/>
      <c r="C39" s="75"/>
      <c r="D39" s="75"/>
      <c r="E39" s="75"/>
      <c r="F39" s="78" t="str">
        <f aca="false">IF(A39="","",C39*D39/10000)</f>
        <v/>
      </c>
      <c r="G39" s="78" t="str">
        <f aca="false">IF(A39="","",C39*D39*E39/1000000)</f>
        <v/>
      </c>
      <c r="H39" s="69"/>
      <c r="I39" s="69"/>
      <c r="J39" s="69"/>
      <c r="K39" s="12" t="str">
        <f aca="false">IF(OR(A39="",N(H39)&lt;=0,N(I39)&lt;=0),"",MAX(INT(INDEX(Parameter!$F$5:$F$7,Parameter!$M$22)/H39)*INT(INDEX(Parameter!$G$5:$G$7,Parameter!$M$22)/I39),INT(INDEX(Parameter!$F$5:$F$7,Parameter!$M$22)/I39)*INT(INDEX(Parameter!$G$5:$G$7,Parameter!$M$22)/H39))*MAX(1,N(J39)))</f>
        <v/>
      </c>
      <c r="L39" s="69"/>
      <c r="M39" s="17" t="str">
        <f aca="false">IF(A39="","",IF(N(L39)&gt;0,L39,N(K39)))</f>
        <v/>
      </c>
    </row>
    <row r="40" customFormat="false" ht="15" hidden="false" customHeight="false" outlineLevel="0" collapsed="false">
      <c r="A40" s="68"/>
      <c r="B40" s="68"/>
      <c r="C40" s="75"/>
      <c r="D40" s="75"/>
      <c r="E40" s="75"/>
      <c r="F40" s="78" t="str">
        <f aca="false">IF(A40="","",C40*D40/10000)</f>
        <v/>
      </c>
      <c r="G40" s="78" t="str">
        <f aca="false">IF(A40="","",C40*D40*E40/1000000)</f>
        <v/>
      </c>
      <c r="H40" s="69"/>
      <c r="I40" s="69"/>
      <c r="J40" s="69"/>
      <c r="K40" s="12" t="str">
        <f aca="false">IF(OR(A40="",N(H40)&lt;=0,N(I40)&lt;=0),"",MAX(INT(INDEX(Parameter!$F$5:$F$7,Parameter!$M$22)/H40)*INT(INDEX(Parameter!$G$5:$G$7,Parameter!$M$22)/I40),INT(INDEX(Parameter!$F$5:$F$7,Parameter!$M$22)/I40)*INT(INDEX(Parameter!$G$5:$G$7,Parameter!$M$22)/H40))*MAX(1,N(J40)))</f>
        <v/>
      </c>
      <c r="L40" s="69"/>
      <c r="M40" s="17" t="str">
        <f aca="false">IF(A40="","",IF(N(L40)&gt;0,L40,N(K40)))</f>
        <v/>
      </c>
    </row>
    <row r="41" customFormat="false" ht="15" hidden="false" customHeight="false" outlineLevel="0" collapsed="false">
      <c r="A41" s="68"/>
      <c r="B41" s="68"/>
      <c r="C41" s="75"/>
      <c r="D41" s="75"/>
      <c r="E41" s="75"/>
      <c r="F41" s="78" t="str">
        <f aca="false">IF(A41="","",C41*D41/10000)</f>
        <v/>
      </c>
      <c r="G41" s="78" t="str">
        <f aca="false">IF(A41="","",C41*D41*E41/1000000)</f>
        <v/>
      </c>
      <c r="H41" s="69"/>
      <c r="I41" s="69"/>
      <c r="J41" s="69"/>
      <c r="K41" s="12" t="str">
        <f aca="false">IF(OR(A41="",N(H41)&lt;=0,N(I41)&lt;=0),"",MAX(INT(INDEX(Parameter!$F$5:$F$7,Parameter!$M$22)/H41)*INT(INDEX(Parameter!$G$5:$G$7,Parameter!$M$22)/I41),INT(INDEX(Parameter!$F$5:$F$7,Parameter!$M$22)/I41)*INT(INDEX(Parameter!$G$5:$G$7,Parameter!$M$22)/H41))*MAX(1,N(J41)))</f>
        <v/>
      </c>
      <c r="L41" s="69"/>
      <c r="M41" s="17" t="str">
        <f aca="false">IF(A41="","",IF(N(L41)&gt;0,L41,N(K41)))</f>
        <v/>
      </c>
    </row>
    <row r="42" customFormat="false" ht="15" hidden="false" customHeight="false" outlineLevel="0" collapsed="false">
      <c r="A42" s="68"/>
      <c r="B42" s="68"/>
      <c r="C42" s="75"/>
      <c r="D42" s="75"/>
      <c r="E42" s="75"/>
      <c r="F42" s="78" t="str">
        <f aca="false">IF(A42="","",C42*D42/10000)</f>
        <v/>
      </c>
      <c r="G42" s="78" t="str">
        <f aca="false">IF(A42="","",C42*D42*E42/1000000)</f>
        <v/>
      </c>
      <c r="H42" s="69"/>
      <c r="I42" s="69"/>
      <c r="J42" s="69"/>
      <c r="K42" s="12" t="str">
        <f aca="false">IF(OR(A42="",N(H42)&lt;=0,N(I42)&lt;=0),"",MAX(INT(INDEX(Parameter!$F$5:$F$7,Parameter!$M$22)/H42)*INT(INDEX(Parameter!$G$5:$G$7,Parameter!$M$22)/I42),INT(INDEX(Parameter!$F$5:$F$7,Parameter!$M$22)/I42)*INT(INDEX(Parameter!$G$5:$G$7,Parameter!$M$22)/H42))*MAX(1,N(J42)))</f>
        <v/>
      </c>
      <c r="L42" s="69"/>
      <c r="M42" s="17" t="str">
        <f aca="false">IF(A42="","",IF(N(L42)&gt;0,L42,N(K42)))</f>
        <v/>
      </c>
    </row>
    <row r="43" customFormat="false" ht="15" hidden="false" customHeight="false" outlineLevel="0" collapsed="false">
      <c r="A43" s="68"/>
      <c r="B43" s="68"/>
      <c r="C43" s="75"/>
      <c r="D43" s="75"/>
      <c r="E43" s="75"/>
      <c r="F43" s="78" t="str">
        <f aca="false">IF(A43="","",C43*D43/10000)</f>
        <v/>
      </c>
      <c r="G43" s="78" t="str">
        <f aca="false">IF(A43="","",C43*D43*E43/1000000)</f>
        <v/>
      </c>
      <c r="H43" s="69"/>
      <c r="I43" s="69"/>
      <c r="J43" s="69"/>
      <c r="K43" s="12" t="str">
        <f aca="false">IF(OR(A43="",N(H43)&lt;=0,N(I43)&lt;=0),"",MAX(INT(INDEX(Parameter!$F$5:$F$7,Parameter!$M$22)/H43)*INT(INDEX(Parameter!$G$5:$G$7,Parameter!$M$22)/I43),INT(INDEX(Parameter!$F$5:$F$7,Parameter!$M$22)/I43)*INT(INDEX(Parameter!$G$5:$G$7,Parameter!$M$22)/H43))*MAX(1,N(J43)))</f>
        <v/>
      </c>
      <c r="L43" s="69"/>
      <c r="M43" s="17" t="str">
        <f aca="false">IF(A43="","",IF(N(L43)&gt;0,L43,N(K43)))</f>
        <v/>
      </c>
    </row>
    <row r="44" customFormat="false" ht="15" hidden="false" customHeight="false" outlineLevel="0" collapsed="false">
      <c r="A44" s="68"/>
      <c r="B44" s="68"/>
      <c r="C44" s="75"/>
      <c r="D44" s="75"/>
      <c r="E44" s="75"/>
      <c r="F44" s="78" t="str">
        <f aca="false">IF(A44="","",C44*D44/10000)</f>
        <v/>
      </c>
      <c r="G44" s="78" t="str">
        <f aca="false">IF(A44="","",C44*D44*E44/1000000)</f>
        <v/>
      </c>
      <c r="H44" s="69"/>
      <c r="I44" s="69"/>
      <c r="J44" s="69"/>
      <c r="K44" s="12" t="str">
        <f aca="false">IF(OR(A44="",N(H44)&lt;=0,N(I44)&lt;=0),"",MAX(INT(INDEX(Parameter!$F$5:$F$7,Parameter!$M$22)/H44)*INT(INDEX(Parameter!$G$5:$G$7,Parameter!$M$22)/I44),INT(INDEX(Parameter!$F$5:$F$7,Parameter!$M$22)/I44)*INT(INDEX(Parameter!$G$5:$G$7,Parameter!$M$22)/H44))*MAX(1,N(J44)))</f>
        <v/>
      </c>
      <c r="L44" s="69"/>
      <c r="M44" s="17" t="str">
        <f aca="false">IF(A44="","",IF(N(L44)&gt;0,L44,N(K44)))</f>
        <v/>
      </c>
    </row>
    <row r="45" customFormat="false" ht="15" hidden="false" customHeight="false" outlineLevel="0" collapsed="false">
      <c r="A45" s="68"/>
      <c r="B45" s="68"/>
      <c r="C45" s="75"/>
      <c r="D45" s="75"/>
      <c r="E45" s="75"/>
      <c r="F45" s="78" t="str">
        <f aca="false">IF(A45="","",C45*D45/10000)</f>
        <v/>
      </c>
      <c r="G45" s="78" t="str">
        <f aca="false">IF(A45="","",C45*D45*E45/1000000)</f>
        <v/>
      </c>
      <c r="H45" s="69"/>
      <c r="I45" s="69"/>
      <c r="J45" s="69"/>
      <c r="K45" s="12" t="str">
        <f aca="false">IF(OR(A45="",N(H45)&lt;=0,N(I45)&lt;=0),"",MAX(INT(INDEX(Parameter!$F$5:$F$7,Parameter!$M$22)/H45)*INT(INDEX(Parameter!$G$5:$G$7,Parameter!$M$22)/I45),INT(INDEX(Parameter!$F$5:$F$7,Parameter!$M$22)/I45)*INT(INDEX(Parameter!$G$5:$G$7,Parameter!$M$22)/H45))*MAX(1,N(J45)))</f>
        <v/>
      </c>
      <c r="L45" s="69"/>
      <c r="M45" s="17" t="str">
        <f aca="false">IF(A45="","",IF(N(L45)&gt;0,L45,N(K45)))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9" min="6" style="0" width="12"/>
  </cols>
  <sheetData>
    <row r="1" customFormat="false" ht="17.35" hidden="false" customHeight="false" outlineLevel="0" collapsed="false">
      <c r="A1" s="32" t="s">
        <v>2675</v>
      </c>
    </row>
    <row r="2" customFormat="false" ht="15" hidden="false" customHeight="false" outlineLevel="0" collapsed="false">
      <c r="A2" s="33" t="s">
        <v>2676</v>
      </c>
    </row>
    <row r="4" customFormat="false" ht="30" hidden="false" customHeight="true" outlineLevel="0" collapsed="false">
      <c r="A4" s="53" t="s">
        <v>2566</v>
      </c>
      <c r="B4" s="53" t="s">
        <v>2677</v>
      </c>
      <c r="C4" s="53" t="s">
        <v>78</v>
      </c>
      <c r="D4" s="53" t="s">
        <v>2678</v>
      </c>
      <c r="E4" s="53" t="s">
        <v>2679</v>
      </c>
      <c r="F4" s="53" t="s">
        <v>2680</v>
      </c>
      <c r="G4" s="53" t="s">
        <v>2681</v>
      </c>
      <c r="H4" s="53" t="s">
        <v>2682</v>
      </c>
      <c r="I4" s="53" t="s">
        <v>2683</v>
      </c>
    </row>
    <row r="5" customFormat="false" ht="15" hidden="false" customHeight="false" outlineLevel="0" collapsed="false">
      <c r="A5" s="10" t="n">
        <v>1</v>
      </c>
      <c r="B5" s="10" t="s">
        <v>502</v>
      </c>
      <c r="C5" s="10" t="s">
        <v>503</v>
      </c>
      <c r="D5" s="10" t="n">
        <v>4</v>
      </c>
      <c r="E5" s="10" t="n">
        <v>2</v>
      </c>
      <c r="F5" s="10" t="s">
        <v>168</v>
      </c>
      <c r="G5" s="10" t="n">
        <v>0</v>
      </c>
      <c r="H5" s="10" t="n">
        <v>3</v>
      </c>
      <c r="I5" s="71" t="n">
        <f aca="false">SUMIFS(Artikel!$CD$7:$CD$1576,Artikel!$A$7:$A$1576,B5)</f>
        <v>0.32015065913371</v>
      </c>
    </row>
    <row r="6" customFormat="false" ht="15" hidden="false" customHeight="false" outlineLevel="0" collapsed="false">
      <c r="A6" s="10" t="n">
        <v>1</v>
      </c>
      <c r="B6" s="10" t="s">
        <v>1001</v>
      </c>
      <c r="C6" s="10" t="s">
        <v>1002</v>
      </c>
      <c r="D6" s="10" t="n">
        <v>2</v>
      </c>
      <c r="E6" s="10" t="n">
        <v>0</v>
      </c>
      <c r="F6" s="10" t="s">
        <v>168</v>
      </c>
      <c r="G6" s="10" t="n">
        <v>0</v>
      </c>
      <c r="H6" s="10" t="n">
        <v>2</v>
      </c>
      <c r="I6" s="71" t="n">
        <f aca="false">SUMIFS(Artikel!$CD$7:$CD$1576,Artikel!$A$7:$A$1576,B6)</f>
        <v>0.160075329566855</v>
      </c>
    </row>
    <row r="7" customFormat="false" ht="15" hidden="false" customHeight="false" outlineLevel="0" collapsed="false">
      <c r="A7" s="10" t="n">
        <v>1</v>
      </c>
      <c r="B7" s="10" t="s">
        <v>2377</v>
      </c>
      <c r="C7" s="10" t="s">
        <v>2378</v>
      </c>
      <c r="D7" s="10" t="n">
        <v>3</v>
      </c>
      <c r="E7" s="10" t="n">
        <v>1</v>
      </c>
      <c r="F7" s="10" t="s">
        <v>168</v>
      </c>
      <c r="G7" s="10" t="n">
        <v>-1</v>
      </c>
      <c r="H7" s="10" t="n">
        <v>1</v>
      </c>
      <c r="I7" s="71" t="n">
        <f aca="false">SUMIFS(Artikel!$CD$7:$CD$1576,Artikel!$A$7:$A$1576,B7)</f>
        <v>0.240112994350283</v>
      </c>
    </row>
    <row r="8" customFormat="false" ht="15" hidden="false" customHeight="false" outlineLevel="0" collapsed="false">
      <c r="A8" s="10" t="n">
        <v>1</v>
      </c>
      <c r="B8" s="10" t="s">
        <v>2552</v>
      </c>
      <c r="C8" s="10" t="s">
        <v>358</v>
      </c>
      <c r="D8" s="10" t="n">
        <v>2</v>
      </c>
      <c r="E8" s="10" t="n">
        <v>2</v>
      </c>
      <c r="F8" s="10" t="s">
        <v>2684</v>
      </c>
      <c r="G8" s="10"/>
      <c r="H8" s="10"/>
      <c r="I8" s="71" t="n">
        <f aca="false">SUMIFS(Artikel!$CD$7:$CD$1576,Artikel!$A$7:$A$1576,B8)</f>
        <v>0.160075329566855</v>
      </c>
    </row>
    <row r="9" customFormat="false" ht="15" hidden="false" customHeight="false" outlineLevel="0" collapsed="false">
      <c r="A9" s="10" t="n">
        <v>1</v>
      </c>
      <c r="B9" s="10" t="s">
        <v>458</v>
      </c>
      <c r="C9" s="10" t="s">
        <v>2685</v>
      </c>
      <c r="D9" s="10" t="n">
        <v>2</v>
      </c>
      <c r="E9" s="10" t="n">
        <v>1</v>
      </c>
      <c r="F9" s="10" t="s">
        <v>161</v>
      </c>
      <c r="G9" s="10" t="n">
        <v>0</v>
      </c>
      <c r="H9" s="10" t="n">
        <v>1</v>
      </c>
      <c r="I9" s="71" t="n">
        <f aca="false">SUMIFS(Artikel!$CD$7:$CD$1576,Artikel!$A$7:$A$1576,B9)</f>
        <v>0.160075329566855</v>
      </c>
    </row>
    <row r="10" customFormat="false" ht="15" hidden="false" customHeight="false" outlineLevel="0" collapsed="false">
      <c r="A10" s="10" t="n">
        <v>1</v>
      </c>
      <c r="B10" s="10" t="s">
        <v>357</v>
      </c>
      <c r="C10" s="10" t="s">
        <v>358</v>
      </c>
      <c r="D10" s="10" t="n">
        <v>20</v>
      </c>
      <c r="E10" s="10" t="n">
        <v>10</v>
      </c>
      <c r="F10" s="10" t="s">
        <v>168</v>
      </c>
      <c r="G10" s="10" t="n">
        <v>10</v>
      </c>
      <c r="H10" s="10" t="n">
        <v>20</v>
      </c>
      <c r="I10" s="71" t="n">
        <f aca="false">SUMIFS(Artikel!$CD$7:$CD$1576,Artikel!$A$7:$A$1576,B10)</f>
        <v>1.60075329566855</v>
      </c>
    </row>
    <row r="11" customFormat="false" ht="15" hidden="false" customHeight="false" outlineLevel="0" collapsed="false">
      <c r="A11" s="10" t="n">
        <v>1</v>
      </c>
      <c r="B11" s="10" t="s">
        <v>2545</v>
      </c>
      <c r="C11" s="10" t="s">
        <v>2686</v>
      </c>
      <c r="D11" s="10" t="n">
        <v>11</v>
      </c>
      <c r="E11" s="10" t="n">
        <v>8</v>
      </c>
      <c r="F11" s="10" t="s">
        <v>161</v>
      </c>
      <c r="G11" s="10" t="n">
        <v>-4</v>
      </c>
      <c r="H11" s="10" t="n">
        <v>-4</v>
      </c>
      <c r="I11" s="71" t="n">
        <f aca="false">SUMIFS(Artikel!$CD$7:$CD$1576,Artikel!$A$7:$A$1576,B11)</f>
        <v>0.880414312617702</v>
      </c>
    </row>
    <row r="12" customFormat="false" ht="15" hidden="false" customHeight="false" outlineLevel="0" collapsed="false">
      <c r="A12" s="10" t="n">
        <v>1</v>
      </c>
      <c r="B12" s="10" t="s">
        <v>182</v>
      </c>
      <c r="C12" s="10" t="s">
        <v>2686</v>
      </c>
      <c r="D12" s="10" t="n">
        <v>20</v>
      </c>
      <c r="E12" s="10" t="n">
        <v>5</v>
      </c>
      <c r="F12" s="10" t="s">
        <v>161</v>
      </c>
      <c r="G12" s="10" t="n">
        <v>12</v>
      </c>
      <c r="H12" s="10" t="n">
        <v>15</v>
      </c>
      <c r="I12" s="71" t="n">
        <f aca="false">SUMIFS(Artikel!$CD$7:$CD$1576,Artikel!$A$7:$A$1576,B12)</f>
        <v>1.60075329566855</v>
      </c>
    </row>
    <row r="13" customFormat="false" ht="15" hidden="false" customHeight="false" outlineLevel="0" collapsed="false">
      <c r="A13" s="10" t="n">
        <v>1</v>
      </c>
      <c r="B13" s="10" t="s">
        <v>2408</v>
      </c>
      <c r="C13" s="10" t="s">
        <v>358</v>
      </c>
      <c r="D13" s="10" t="n">
        <v>2</v>
      </c>
      <c r="E13" s="10" t="n">
        <v>1</v>
      </c>
      <c r="F13" s="10" t="s">
        <v>161</v>
      </c>
      <c r="G13" s="10" t="n">
        <v>-2</v>
      </c>
      <c r="H13" s="10" t="n">
        <v>1</v>
      </c>
      <c r="I13" s="71" t="n">
        <f aca="false">SUMIFS(Artikel!$CD$7:$CD$1576,Artikel!$A$7:$A$1576,B13)</f>
        <v>0.160075329566855</v>
      </c>
    </row>
    <row r="14" customFormat="false" ht="15" hidden="false" customHeight="false" outlineLevel="0" collapsed="false">
      <c r="A14" s="10" t="n">
        <v>1</v>
      </c>
      <c r="B14" s="10" t="s">
        <v>2088</v>
      </c>
      <c r="C14" s="10" t="s">
        <v>2687</v>
      </c>
      <c r="D14" s="10" t="n">
        <v>14</v>
      </c>
      <c r="E14" s="10" t="n">
        <v>5</v>
      </c>
      <c r="F14" s="10" t="s">
        <v>168</v>
      </c>
      <c r="G14" s="10" t="n">
        <v>-2</v>
      </c>
      <c r="H14" s="10" t="n">
        <v>7</v>
      </c>
      <c r="I14" s="71" t="n">
        <f aca="false">SUMIFS(Artikel!$CD$7:$CD$1576,Artikel!$A$7:$A$1576,B14)</f>
        <v>1.12052730696798</v>
      </c>
    </row>
    <row r="15" customFormat="false" ht="15" hidden="false" customHeight="false" outlineLevel="0" collapsed="false">
      <c r="A15" s="10" t="n">
        <v>1</v>
      </c>
      <c r="B15" s="10" t="s">
        <v>158</v>
      </c>
      <c r="C15" s="10" t="s">
        <v>2686</v>
      </c>
      <c r="D15" s="10" t="n">
        <v>22</v>
      </c>
      <c r="E15" s="10" t="n">
        <v>18</v>
      </c>
      <c r="F15" s="10" t="s">
        <v>161</v>
      </c>
      <c r="G15" s="10" t="n">
        <v>20</v>
      </c>
      <c r="H15" s="10" t="n">
        <v>27</v>
      </c>
      <c r="I15" s="71" t="n">
        <f aca="false">SUMIFS(Artikel!$CD$7:$CD$1576,Artikel!$A$7:$A$1576,B15)</f>
        <v>1.7608286252354</v>
      </c>
    </row>
    <row r="16" customFormat="false" ht="15" hidden="false" customHeight="false" outlineLevel="0" collapsed="false">
      <c r="A16" s="10" t="n">
        <v>1</v>
      </c>
      <c r="B16" s="10" t="s">
        <v>2157</v>
      </c>
      <c r="C16" s="10" t="s">
        <v>288</v>
      </c>
      <c r="D16" s="10" t="n">
        <v>35</v>
      </c>
      <c r="E16" s="10" t="n">
        <v>16</v>
      </c>
      <c r="F16" s="10" t="s">
        <v>161</v>
      </c>
      <c r="G16" s="10" t="n">
        <v>-3</v>
      </c>
      <c r="H16" s="10" t="n">
        <v>18</v>
      </c>
      <c r="I16" s="71" t="n">
        <f aca="false">SUMIFS(Artikel!$CD$7:$CD$1576,Artikel!$A$7:$A$1576,B16)</f>
        <v>2.80131826741996</v>
      </c>
    </row>
    <row r="17" customFormat="false" ht="15" hidden="false" customHeight="false" outlineLevel="0" collapsed="false">
      <c r="A17" s="10" t="n">
        <v>1</v>
      </c>
      <c r="B17" s="10" t="s">
        <v>2494</v>
      </c>
      <c r="C17" s="10" t="s">
        <v>2686</v>
      </c>
      <c r="D17" s="10" t="n">
        <v>3</v>
      </c>
      <c r="E17" s="10" t="n">
        <v>1</v>
      </c>
      <c r="F17" s="10" t="s">
        <v>161</v>
      </c>
      <c r="G17" s="10" t="n">
        <v>-3</v>
      </c>
      <c r="H17" s="10" t="n">
        <v>1</v>
      </c>
      <c r="I17" s="71" t="n">
        <f aca="false">SUMIFS(Artikel!$CD$7:$CD$1576,Artikel!$A$7:$A$1576,B17)</f>
        <v>0.240112994350283</v>
      </c>
    </row>
    <row r="18" customFormat="false" ht="15" hidden="false" customHeight="false" outlineLevel="0" collapsed="false">
      <c r="A18" s="10" t="n">
        <v>1</v>
      </c>
      <c r="B18" s="10" t="s">
        <v>666</v>
      </c>
      <c r="C18" s="10" t="s">
        <v>358</v>
      </c>
      <c r="D18" s="10" t="n">
        <v>1</v>
      </c>
      <c r="E18" s="10" t="n">
        <v>1</v>
      </c>
      <c r="F18" s="10" t="s">
        <v>168</v>
      </c>
      <c r="G18" s="10" t="n">
        <v>1</v>
      </c>
      <c r="H18" s="10" t="n">
        <v>1</v>
      </c>
      <c r="I18" s="71" t="n">
        <f aca="false">SUMIFS(Artikel!$CD$7:$CD$1576,Artikel!$A$7:$A$1576,B18)</f>
        <v>0.0800376647834275</v>
      </c>
    </row>
    <row r="19" customFormat="false" ht="15" hidden="false" customHeight="false" outlineLevel="0" collapsed="false">
      <c r="A19" s="10" t="n">
        <v>1</v>
      </c>
      <c r="B19" s="10" t="s">
        <v>2365</v>
      </c>
      <c r="C19" s="10" t="s">
        <v>2688</v>
      </c>
      <c r="D19" s="10" t="n">
        <v>18</v>
      </c>
      <c r="E19" s="10" t="n">
        <v>11</v>
      </c>
      <c r="F19" s="10" t="s">
        <v>168</v>
      </c>
      <c r="G19" s="10" t="n">
        <v>-8</v>
      </c>
      <c r="H19" s="10" t="n">
        <v>11</v>
      </c>
      <c r="I19" s="71" t="n">
        <f aca="false">SUMIFS(Artikel!$CD$7:$CD$1576,Artikel!$A$7:$A$1576,B19)</f>
        <v>1.44067796610169</v>
      </c>
    </row>
    <row r="20" customFormat="false" ht="15" hidden="false" customHeight="false" outlineLevel="0" collapsed="false">
      <c r="A20" s="10" t="n">
        <v>1</v>
      </c>
      <c r="B20" s="10" t="s">
        <v>2554</v>
      </c>
      <c r="C20" s="10" t="s">
        <v>2689</v>
      </c>
      <c r="D20" s="10" t="n">
        <v>1</v>
      </c>
      <c r="E20" s="10" t="n">
        <v>1</v>
      </c>
      <c r="F20" s="10" t="s">
        <v>2684</v>
      </c>
      <c r="G20" s="10"/>
      <c r="H20" s="10"/>
      <c r="I20" s="71" t="n">
        <f aca="false">SUMIFS(Artikel!$CD$7:$CD$1576,Artikel!$A$7:$A$1576,B20)</f>
        <v>0.0800376647834275</v>
      </c>
    </row>
    <row r="21" customFormat="false" ht="15" hidden="false" customHeight="false" outlineLevel="0" collapsed="false">
      <c r="A21" s="10" t="n">
        <v>1</v>
      </c>
      <c r="B21" s="10" t="s">
        <v>244</v>
      </c>
      <c r="C21" s="10" t="s">
        <v>245</v>
      </c>
      <c r="D21" s="10" t="n">
        <v>34</v>
      </c>
      <c r="E21" s="10" t="n">
        <v>19</v>
      </c>
      <c r="F21" s="10" t="s">
        <v>161</v>
      </c>
      <c r="G21" s="10" t="n">
        <v>7</v>
      </c>
      <c r="H21" s="10" t="n">
        <v>25</v>
      </c>
      <c r="I21" s="71" t="n">
        <f aca="false">SUMIFS(Artikel!$CD$7:$CD$1576,Artikel!$A$7:$A$1576,B21)</f>
        <v>2.72128060263654</v>
      </c>
    </row>
    <row r="22" customFormat="false" ht="15" hidden="false" customHeight="false" outlineLevel="0" collapsed="false">
      <c r="A22" s="10" t="n">
        <v>1</v>
      </c>
      <c r="B22" s="10" t="s">
        <v>2482</v>
      </c>
      <c r="C22" s="10" t="s">
        <v>245</v>
      </c>
      <c r="D22" s="10" t="n">
        <v>10</v>
      </c>
      <c r="E22" s="10" t="n">
        <v>7</v>
      </c>
      <c r="F22" s="10" t="s">
        <v>168</v>
      </c>
      <c r="G22" s="10" t="n">
        <v>-5</v>
      </c>
      <c r="H22" s="10" t="n">
        <v>7</v>
      </c>
      <c r="I22" s="71" t="n">
        <f aca="false">SUMIFS(Artikel!$CD$7:$CD$1576,Artikel!$A$7:$A$1576,B22)</f>
        <v>0.800376647834275</v>
      </c>
    </row>
    <row r="23" customFormat="false" ht="15" hidden="false" customHeight="false" outlineLevel="0" collapsed="false">
      <c r="A23" s="10" t="n">
        <v>1</v>
      </c>
      <c r="B23" s="10" t="s">
        <v>2357</v>
      </c>
      <c r="C23" s="10" t="s">
        <v>2358</v>
      </c>
      <c r="D23" s="10" t="n">
        <v>15</v>
      </c>
      <c r="E23" s="10" t="n">
        <v>7</v>
      </c>
      <c r="F23" s="10" t="s">
        <v>161</v>
      </c>
      <c r="G23" s="10" t="n">
        <v>0</v>
      </c>
      <c r="H23" s="10" t="n">
        <v>31</v>
      </c>
      <c r="I23" s="71" t="n">
        <f aca="false">SUMIFS(Artikel!$CD$7:$CD$1576,Artikel!$A$7:$A$1576,B23)</f>
        <v>1.20056497175141</v>
      </c>
    </row>
    <row r="24" customFormat="false" ht="15" hidden="false" customHeight="false" outlineLevel="0" collapsed="false">
      <c r="A24" s="10" t="n">
        <v>1</v>
      </c>
      <c r="B24" s="10" t="s">
        <v>201</v>
      </c>
      <c r="C24" s="10" t="s">
        <v>202</v>
      </c>
      <c r="D24" s="10" t="n">
        <v>22</v>
      </c>
      <c r="E24" s="10" t="n">
        <v>16</v>
      </c>
      <c r="F24" s="10" t="s">
        <v>161</v>
      </c>
      <c r="G24" s="10" t="n">
        <v>7</v>
      </c>
      <c r="H24" s="10" t="n">
        <v>10</v>
      </c>
      <c r="I24" s="71" t="n">
        <f aca="false">SUMIFS(Artikel!$CD$7:$CD$1576,Artikel!$A$7:$A$1576,B24)</f>
        <v>1.7608286252354</v>
      </c>
    </row>
    <row r="25" customFormat="false" ht="15" hidden="false" customHeight="false" outlineLevel="0" collapsed="false">
      <c r="A25" s="10" t="n">
        <v>1</v>
      </c>
      <c r="B25" s="10" t="s">
        <v>211</v>
      </c>
      <c r="C25" s="10" t="s">
        <v>212</v>
      </c>
      <c r="D25" s="10" t="n">
        <v>12</v>
      </c>
      <c r="E25" s="10" t="n">
        <v>9</v>
      </c>
      <c r="F25" s="10" t="s">
        <v>161</v>
      </c>
      <c r="G25" s="10" t="n">
        <v>5</v>
      </c>
      <c r="H25" s="10" t="n">
        <v>5</v>
      </c>
      <c r="I25" s="71" t="n">
        <f aca="false">SUMIFS(Artikel!$CD$7:$CD$1576,Artikel!$A$7:$A$1576,B25)</f>
        <v>0.96045197740113</v>
      </c>
    </row>
    <row r="26" customFormat="false" ht="15" hidden="false" customHeight="false" outlineLevel="0" collapsed="false">
      <c r="A26" s="10" t="n">
        <v>1</v>
      </c>
      <c r="B26" s="10" t="s">
        <v>232</v>
      </c>
      <c r="C26" s="10" t="s">
        <v>233</v>
      </c>
      <c r="D26" s="10" t="n">
        <v>10</v>
      </c>
      <c r="E26" s="10" t="n">
        <v>8</v>
      </c>
      <c r="F26" s="10" t="s">
        <v>161</v>
      </c>
      <c r="G26" s="10" t="n">
        <v>3</v>
      </c>
      <c r="H26" s="10" t="n">
        <v>10</v>
      </c>
      <c r="I26" s="71" t="n">
        <f aca="false">SUMIFS(Artikel!$CD$7:$CD$1576,Artikel!$A$7:$A$1576,B26)</f>
        <v>0.800376647834275</v>
      </c>
    </row>
    <row r="27" customFormat="false" ht="15" hidden="false" customHeight="false" outlineLevel="0" collapsed="false">
      <c r="A27" s="10" t="n">
        <v>1</v>
      </c>
      <c r="B27" s="10" t="s">
        <v>2556</v>
      </c>
      <c r="C27" s="10" t="s">
        <v>2370</v>
      </c>
      <c r="D27" s="10" t="n">
        <v>4</v>
      </c>
      <c r="E27" s="10" t="n">
        <v>3</v>
      </c>
      <c r="F27" s="10" t="s">
        <v>2684</v>
      </c>
      <c r="G27" s="10"/>
      <c r="H27" s="10"/>
      <c r="I27" s="71" t="n">
        <f aca="false">SUMIFS(Artikel!$CD$7:$CD$1576,Artikel!$A$7:$A$1576,B27)</f>
        <v>0.32015065913371</v>
      </c>
    </row>
    <row r="28" customFormat="false" ht="15" hidden="false" customHeight="false" outlineLevel="0" collapsed="false">
      <c r="A28" s="10" t="n">
        <v>1</v>
      </c>
      <c r="B28" s="10" t="s">
        <v>637</v>
      </c>
      <c r="C28" s="10" t="s">
        <v>288</v>
      </c>
      <c r="D28" s="10" t="n">
        <v>16</v>
      </c>
      <c r="E28" s="10" t="n">
        <v>9</v>
      </c>
      <c r="F28" s="10" t="s">
        <v>161</v>
      </c>
      <c r="G28" s="10" t="n">
        <v>3</v>
      </c>
      <c r="H28" s="10" t="n">
        <v>9</v>
      </c>
      <c r="I28" s="71" t="n">
        <f aca="false">SUMIFS(Artikel!$CD$7:$CD$1576,Artikel!$A$7:$A$1576,B28)</f>
        <v>1.28060263653484</v>
      </c>
    </row>
    <row r="29" customFormat="false" ht="15" hidden="false" customHeight="false" outlineLevel="0" collapsed="false">
      <c r="A29" s="10" t="n">
        <v>1</v>
      </c>
      <c r="B29" s="10" t="s">
        <v>287</v>
      </c>
      <c r="C29" s="10" t="s">
        <v>288</v>
      </c>
      <c r="D29" s="10" t="n">
        <v>36</v>
      </c>
      <c r="E29" s="10" t="n">
        <v>34</v>
      </c>
      <c r="F29" s="10" t="s">
        <v>161</v>
      </c>
      <c r="G29" s="10" t="n">
        <v>29</v>
      </c>
      <c r="H29" s="10" t="n">
        <v>34</v>
      </c>
      <c r="I29" s="71" t="n">
        <f aca="false">SUMIFS(Artikel!$CD$7:$CD$1576,Artikel!$A$7:$A$1576,B29)</f>
        <v>2.88135593220339</v>
      </c>
    </row>
    <row r="30" customFormat="false" ht="15" hidden="false" customHeight="false" outlineLevel="0" collapsed="false">
      <c r="A30" s="10" t="n">
        <v>1</v>
      </c>
      <c r="B30" s="10" t="s">
        <v>2324</v>
      </c>
      <c r="C30" s="10" t="s">
        <v>245</v>
      </c>
      <c r="D30" s="10" t="n">
        <v>1</v>
      </c>
      <c r="E30" s="10" t="n">
        <v>1</v>
      </c>
      <c r="F30" s="10" t="s">
        <v>168</v>
      </c>
      <c r="G30" s="10" t="n">
        <v>-1</v>
      </c>
      <c r="H30" s="10" t="n">
        <v>1</v>
      </c>
      <c r="I30" s="71" t="n">
        <f aca="false">SUMIFS(Artikel!$CD$7:$CD$1576,Artikel!$A$7:$A$1576,B30)</f>
        <v>0.0800376647834275</v>
      </c>
    </row>
    <row r="31" customFormat="false" ht="15" hidden="false" customHeight="false" outlineLevel="0" collapsed="false">
      <c r="A31" s="10" t="n">
        <v>1</v>
      </c>
      <c r="B31" s="10" t="s">
        <v>2558</v>
      </c>
      <c r="C31" s="10" t="s">
        <v>358</v>
      </c>
      <c r="D31" s="10" t="n">
        <v>1</v>
      </c>
      <c r="E31" s="10" t="n">
        <v>1</v>
      </c>
      <c r="F31" s="10" t="s">
        <v>2684</v>
      </c>
      <c r="G31" s="10"/>
      <c r="H31" s="10"/>
      <c r="I31" s="71" t="n">
        <f aca="false">SUMIFS(Artikel!$CD$7:$CD$1576,Artikel!$A$7:$A$1576,B31)</f>
        <v>0.0800376647834275</v>
      </c>
    </row>
    <row r="32" customFormat="false" ht="15" hidden="false" customHeight="false" outlineLevel="0" collapsed="false">
      <c r="A32" s="10" t="n">
        <v>1</v>
      </c>
      <c r="B32" s="10" t="s">
        <v>640</v>
      </c>
      <c r="C32" s="10" t="s">
        <v>358</v>
      </c>
      <c r="D32" s="10" t="n">
        <v>1</v>
      </c>
      <c r="E32" s="10" t="n">
        <v>1</v>
      </c>
      <c r="F32" s="10" t="s">
        <v>168</v>
      </c>
      <c r="G32" s="10" t="n">
        <v>1</v>
      </c>
      <c r="H32" s="10" t="n">
        <v>1</v>
      </c>
      <c r="I32" s="71" t="n">
        <f aca="false">SUMIFS(Artikel!$CD$7:$CD$1576,Artikel!$A$7:$A$1576,B32)</f>
        <v>0.0800376647834275</v>
      </c>
    </row>
    <row r="33" customFormat="false" ht="15" hidden="false" customHeight="false" outlineLevel="0" collapsed="false">
      <c r="A33" s="10" t="n">
        <v>1</v>
      </c>
      <c r="B33" s="10" t="s">
        <v>2559</v>
      </c>
      <c r="C33" s="10" t="s">
        <v>358</v>
      </c>
      <c r="D33" s="10" t="n">
        <v>1</v>
      </c>
      <c r="E33" s="10" t="n">
        <v>1</v>
      </c>
      <c r="F33" s="10" t="s">
        <v>2684</v>
      </c>
      <c r="G33" s="10"/>
      <c r="H33" s="10"/>
      <c r="I33" s="71" t="n">
        <f aca="false">SUMIFS(Artikel!$CD$7:$CD$1576,Artikel!$A$7:$A$1576,B33)</f>
        <v>0.0800376647834275</v>
      </c>
    </row>
    <row r="34" customFormat="false" ht="15" hidden="false" customHeight="false" outlineLevel="0" collapsed="false">
      <c r="A34" s="10" t="n">
        <v>1</v>
      </c>
      <c r="B34" s="10" t="s">
        <v>2369</v>
      </c>
      <c r="C34" s="10" t="s">
        <v>2370</v>
      </c>
      <c r="D34" s="10" t="n">
        <v>1</v>
      </c>
      <c r="E34" s="10" t="n">
        <v>0</v>
      </c>
      <c r="F34" s="10" t="s">
        <v>161</v>
      </c>
      <c r="G34" s="10" t="n">
        <v>-2</v>
      </c>
      <c r="H34" s="10" t="n">
        <v>0</v>
      </c>
      <c r="I34" s="71" t="n">
        <f aca="false">SUMIFS(Artikel!$CD$7:$CD$1576,Artikel!$A$7:$A$1576,B34)</f>
        <v>0.0800376647834275</v>
      </c>
    </row>
    <row r="35" customFormat="false" ht="15" hidden="false" customHeight="false" outlineLevel="0" collapsed="false">
      <c r="A35" s="10" t="n">
        <v>1</v>
      </c>
      <c r="B35" s="10" t="s">
        <v>2441</v>
      </c>
      <c r="C35" s="10" t="s">
        <v>245</v>
      </c>
      <c r="D35" s="10" t="n">
        <v>6</v>
      </c>
      <c r="E35" s="10" t="n">
        <v>0</v>
      </c>
      <c r="F35" s="10" t="s">
        <v>161</v>
      </c>
      <c r="G35" s="10" t="n">
        <v>-3</v>
      </c>
      <c r="H35" s="10" t="n">
        <v>0</v>
      </c>
      <c r="I35" s="71" t="n">
        <f aca="false">SUMIFS(Artikel!$CD$7:$CD$1576,Artikel!$A$7:$A$1576,B35)</f>
        <v>0.480225988700565</v>
      </c>
    </row>
    <row r="36" customFormat="false" ht="15" hidden="false" customHeight="false" outlineLevel="0" collapsed="false">
      <c r="A36" s="10" t="n">
        <v>1</v>
      </c>
      <c r="B36" s="10" t="s">
        <v>2541</v>
      </c>
      <c r="C36" s="10" t="s">
        <v>2370</v>
      </c>
      <c r="D36" s="10" t="n">
        <v>13</v>
      </c>
      <c r="E36" s="10" t="n">
        <v>10</v>
      </c>
      <c r="F36" s="10" t="s">
        <v>161</v>
      </c>
      <c r="G36" s="10" t="n">
        <v>-24</v>
      </c>
      <c r="H36" s="10" t="n">
        <v>-24</v>
      </c>
      <c r="I36" s="71" t="n">
        <f aca="false">SUMIFS(Artikel!$CD$7:$CD$1576,Artikel!$A$7:$A$1576,B36)</f>
        <v>1.04048964218456</v>
      </c>
    </row>
    <row r="37" customFormat="false" ht="15" hidden="false" customHeight="false" outlineLevel="0" collapsed="false">
      <c r="A37" s="10" t="n">
        <v>1</v>
      </c>
      <c r="B37" s="10" t="s">
        <v>2522</v>
      </c>
      <c r="C37" s="10" t="s">
        <v>2370</v>
      </c>
      <c r="D37" s="10" t="n">
        <v>13</v>
      </c>
      <c r="E37" s="10" t="n">
        <v>6</v>
      </c>
      <c r="F37" s="10" t="s">
        <v>161</v>
      </c>
      <c r="G37" s="10" t="n">
        <v>-3</v>
      </c>
      <c r="H37" s="10" t="n">
        <v>-3</v>
      </c>
      <c r="I37" s="71" t="n">
        <f aca="false">SUMIFS(Artikel!$CD$7:$CD$1576,Artikel!$A$7:$A$1576,B37)</f>
        <v>1.04048964218456</v>
      </c>
    </row>
    <row r="38" customFormat="false" ht="15" hidden="false" customHeight="false" outlineLevel="0" collapsed="false">
      <c r="A38" s="10" t="n">
        <v>1</v>
      </c>
      <c r="B38" s="10" t="s">
        <v>2383</v>
      </c>
      <c r="C38" s="10" t="s">
        <v>198</v>
      </c>
      <c r="D38" s="10" t="n">
        <v>1</v>
      </c>
      <c r="E38" s="10" t="n">
        <v>1</v>
      </c>
      <c r="F38" s="10" t="s">
        <v>168</v>
      </c>
      <c r="G38" s="10" t="n">
        <v>-1</v>
      </c>
      <c r="H38" s="10" t="n">
        <v>9</v>
      </c>
      <c r="I38" s="71" t="n">
        <f aca="false">SUMIFS(Artikel!$CD$7:$CD$1576,Artikel!$A$7:$A$1576,B38)</f>
        <v>0.0800376647834275</v>
      </c>
    </row>
    <row r="39" customFormat="false" ht="15" hidden="false" customHeight="false" outlineLevel="0" collapsed="false">
      <c r="A39" s="10" t="n">
        <v>1</v>
      </c>
      <c r="B39" s="10" t="s">
        <v>197</v>
      </c>
      <c r="C39" s="10" t="s">
        <v>198</v>
      </c>
      <c r="D39" s="10" t="n">
        <v>10</v>
      </c>
      <c r="E39" s="10" t="n">
        <v>0</v>
      </c>
      <c r="F39" s="10" t="s">
        <v>161</v>
      </c>
      <c r="G39" s="10" t="n">
        <v>5</v>
      </c>
      <c r="H39" s="10" t="n">
        <v>11</v>
      </c>
      <c r="I39" s="71" t="n">
        <f aca="false">SUMIFS(Artikel!$CD$7:$CD$1576,Artikel!$A$7:$A$1576,B39)</f>
        <v>0.800376647834275</v>
      </c>
    </row>
    <row r="40" customFormat="false" ht="15" hidden="false" customHeight="false" outlineLevel="0" collapsed="false">
      <c r="A40" s="10" t="n">
        <v>1</v>
      </c>
      <c r="B40" s="10" t="s">
        <v>2371</v>
      </c>
      <c r="C40" s="10" t="s">
        <v>2370</v>
      </c>
      <c r="D40" s="10" t="n">
        <v>10</v>
      </c>
      <c r="E40" s="10" t="n">
        <v>9</v>
      </c>
      <c r="F40" s="10" t="s">
        <v>161</v>
      </c>
      <c r="G40" s="10" t="n">
        <v>-1</v>
      </c>
      <c r="H40" s="10" t="n">
        <v>9</v>
      </c>
      <c r="I40" s="71" t="n">
        <f aca="false">SUMIFS(Artikel!$CD$7:$CD$1576,Artikel!$A$7:$A$1576,B40)</f>
        <v>0.800376647834275</v>
      </c>
    </row>
    <row r="41" customFormat="false" ht="15" hidden="false" customHeight="false" outlineLevel="0" collapsed="false">
      <c r="A41" s="10" t="n">
        <v>1</v>
      </c>
      <c r="B41" s="10" t="s">
        <v>2469</v>
      </c>
      <c r="C41" s="10" t="s">
        <v>2370</v>
      </c>
      <c r="D41" s="10" t="n">
        <v>6</v>
      </c>
      <c r="E41" s="10" t="n">
        <v>6</v>
      </c>
      <c r="F41" s="10" t="s">
        <v>161</v>
      </c>
      <c r="G41" s="10" t="n">
        <v>-2</v>
      </c>
      <c r="H41" s="10" t="n">
        <v>6</v>
      </c>
      <c r="I41" s="71" t="n">
        <f aca="false">SUMIFS(Artikel!$CD$7:$CD$1576,Artikel!$A$7:$A$1576,B41)</f>
        <v>0.480225988700565</v>
      </c>
    </row>
    <row r="42" customFormat="false" ht="15" hidden="false" customHeight="false" outlineLevel="0" collapsed="false">
      <c r="A42" s="10" t="n">
        <v>1</v>
      </c>
      <c r="B42" s="10" t="s">
        <v>2560</v>
      </c>
      <c r="C42" s="10" t="s">
        <v>358</v>
      </c>
      <c r="D42" s="10" t="n">
        <v>2</v>
      </c>
      <c r="E42" s="10" t="n">
        <v>2</v>
      </c>
      <c r="F42" s="10" t="s">
        <v>2684</v>
      </c>
      <c r="G42" s="10"/>
      <c r="H42" s="10"/>
      <c r="I42" s="71" t="n">
        <f aca="false">SUMIFS(Artikel!$CD$7:$CD$1576,Artikel!$A$7:$A$1576,B42)</f>
        <v>0.160075329566855</v>
      </c>
    </row>
    <row r="43" customFormat="false" ht="15" hidden="false" customHeight="false" outlineLevel="0" collapsed="false">
      <c r="A43" s="10" t="n">
        <v>1</v>
      </c>
      <c r="B43" s="10" t="s">
        <v>451</v>
      </c>
      <c r="C43" s="10" t="s">
        <v>2687</v>
      </c>
      <c r="D43" s="10" t="n">
        <v>8</v>
      </c>
      <c r="E43" s="10" t="n">
        <v>8</v>
      </c>
      <c r="F43" s="10" t="s">
        <v>161</v>
      </c>
      <c r="G43" s="10" t="n">
        <v>8</v>
      </c>
      <c r="H43" s="10" t="n">
        <v>8</v>
      </c>
      <c r="I43" s="71" t="n">
        <f aca="false">SUMIFS(Artikel!$CD$7:$CD$1576,Artikel!$A$7:$A$1576,B43)</f>
        <v>0.64030131826742</v>
      </c>
    </row>
    <row r="44" customFormat="false" ht="15" hidden="false" customHeight="false" outlineLevel="0" collapsed="false">
      <c r="A44" s="10" t="n">
        <v>1</v>
      </c>
      <c r="B44" s="10" t="s">
        <v>2531</v>
      </c>
      <c r="C44" s="10" t="s">
        <v>2532</v>
      </c>
      <c r="D44" s="10" t="n">
        <v>29</v>
      </c>
      <c r="E44" s="10" t="n">
        <v>9</v>
      </c>
      <c r="F44" s="10" t="s">
        <v>161</v>
      </c>
      <c r="G44" s="10" t="n">
        <v>-8</v>
      </c>
      <c r="H44" s="10" t="n">
        <v>-8</v>
      </c>
      <c r="I44" s="71" t="n">
        <f aca="false">SUMIFS(Artikel!$CD$7:$CD$1576,Artikel!$A$7:$A$1576,B44)</f>
        <v>2.3210922787194</v>
      </c>
    </row>
    <row r="45" customFormat="false" ht="15" hidden="false" customHeight="false" outlineLevel="0" collapsed="false">
      <c r="A45" s="10" t="n">
        <v>1</v>
      </c>
      <c r="B45" s="10" t="s">
        <v>2511</v>
      </c>
      <c r="C45" s="10" t="s">
        <v>2512</v>
      </c>
      <c r="D45" s="10" t="n">
        <v>20</v>
      </c>
      <c r="E45" s="10" t="n">
        <v>8</v>
      </c>
      <c r="F45" s="10" t="s">
        <v>161</v>
      </c>
      <c r="G45" s="10" t="n">
        <v>-6</v>
      </c>
      <c r="H45" s="10" t="n">
        <v>-6</v>
      </c>
      <c r="I45" s="71" t="n">
        <f aca="false">SUMIFS(Artikel!$CD$7:$CD$1576,Artikel!$A$7:$A$1576,B45)</f>
        <v>1.60075329566855</v>
      </c>
    </row>
    <row r="46" customFormat="false" ht="15" hidden="false" customHeight="false" outlineLevel="0" collapsed="false">
      <c r="A46" s="10" t="n">
        <v>1</v>
      </c>
      <c r="B46" s="10" t="s">
        <v>2201</v>
      </c>
      <c r="C46" s="10" t="s">
        <v>2687</v>
      </c>
      <c r="D46" s="10" t="n">
        <v>22</v>
      </c>
      <c r="E46" s="10" t="n">
        <v>8</v>
      </c>
      <c r="F46" s="10" t="s">
        <v>168</v>
      </c>
      <c r="G46" s="10" t="n">
        <v>-3</v>
      </c>
      <c r="H46" s="10" t="n">
        <v>12</v>
      </c>
      <c r="I46" s="71" t="n">
        <f aca="false">SUMIFS(Artikel!$CD$7:$CD$1576,Artikel!$A$7:$A$1576,B46)</f>
        <v>1.7608286252354</v>
      </c>
    </row>
    <row r="47" customFormat="false" ht="15" hidden="false" customHeight="false" outlineLevel="0" collapsed="false">
      <c r="A47" s="10" t="n">
        <v>1</v>
      </c>
      <c r="B47" s="10" t="s">
        <v>656</v>
      </c>
      <c r="C47" s="10" t="s">
        <v>2688</v>
      </c>
      <c r="D47" s="10" t="n">
        <v>22</v>
      </c>
      <c r="E47" s="10" t="n">
        <v>13</v>
      </c>
      <c r="F47" s="10" t="s">
        <v>161</v>
      </c>
      <c r="G47" s="10" t="n">
        <v>2</v>
      </c>
      <c r="H47" s="10" t="n">
        <v>13</v>
      </c>
      <c r="I47" s="71" t="n">
        <f aca="false">SUMIFS(Artikel!$CD$7:$CD$1576,Artikel!$A$7:$A$1576,B47)</f>
        <v>1.7608286252354</v>
      </c>
    </row>
    <row r="48" customFormat="false" ht="15" hidden="false" customHeight="false" outlineLevel="0" collapsed="false">
      <c r="A48" s="10" t="n">
        <v>1</v>
      </c>
      <c r="B48" s="10" t="s">
        <v>243</v>
      </c>
      <c r="C48" s="10" t="s">
        <v>198</v>
      </c>
      <c r="D48" s="10" t="n">
        <v>6</v>
      </c>
      <c r="E48" s="10" t="n">
        <v>5</v>
      </c>
      <c r="F48" s="10" t="s">
        <v>168</v>
      </c>
      <c r="G48" s="10" t="n">
        <v>3</v>
      </c>
      <c r="H48" s="10" t="n">
        <v>6</v>
      </c>
      <c r="I48" s="71" t="n">
        <f aca="false">SUMIFS(Artikel!$CD$7:$CD$1576,Artikel!$A$7:$A$1576,B48)</f>
        <v>0.480225988700565</v>
      </c>
    </row>
    <row r="49" customFormat="false" ht="15" hidden="false" customHeight="false" outlineLevel="0" collapsed="false">
      <c r="A49" s="10" t="n">
        <v>1</v>
      </c>
      <c r="B49" s="10" t="s">
        <v>2483</v>
      </c>
      <c r="C49" s="10" t="s">
        <v>2517</v>
      </c>
      <c r="D49" s="10" t="n">
        <v>11</v>
      </c>
      <c r="E49" s="10" t="n">
        <v>0</v>
      </c>
      <c r="F49" s="10" t="s">
        <v>161</v>
      </c>
      <c r="G49" s="10" t="n">
        <v>-4</v>
      </c>
      <c r="H49" s="10" t="n">
        <v>3</v>
      </c>
      <c r="I49" s="71" t="n">
        <f aca="false">SUMIFS(Artikel!$CD$7:$CD$1576,Artikel!$A$7:$A$1576,B49)</f>
        <v>0.880414312617702</v>
      </c>
    </row>
    <row r="50" customFormat="false" ht="15" hidden="false" customHeight="false" outlineLevel="0" collapsed="false">
      <c r="A50" s="10" t="n">
        <v>1</v>
      </c>
      <c r="B50" s="10" t="s">
        <v>279</v>
      </c>
      <c r="C50" s="10" t="s">
        <v>2690</v>
      </c>
      <c r="D50" s="10" t="n">
        <v>16</v>
      </c>
      <c r="E50" s="10" t="n">
        <v>3</v>
      </c>
      <c r="F50" s="10" t="s">
        <v>161</v>
      </c>
      <c r="G50" s="10" t="n">
        <v>5</v>
      </c>
      <c r="H50" s="10" t="n">
        <v>5</v>
      </c>
      <c r="I50" s="71" t="n">
        <f aca="false">SUMIFS(Artikel!$CD$7:$CD$1576,Artikel!$A$7:$A$1576,B50)</f>
        <v>1.28060263653484</v>
      </c>
    </row>
    <row r="51" customFormat="false" ht="15" hidden="false" customHeight="false" outlineLevel="0" collapsed="false">
      <c r="A51" s="10" t="n">
        <v>1</v>
      </c>
      <c r="B51" s="10" t="s">
        <v>275</v>
      </c>
      <c r="C51" s="10" t="s">
        <v>245</v>
      </c>
      <c r="D51" s="10" t="n">
        <v>8</v>
      </c>
      <c r="E51" s="10" t="n">
        <v>4</v>
      </c>
      <c r="F51" s="10" t="s">
        <v>168</v>
      </c>
      <c r="G51" s="10" t="n">
        <v>5</v>
      </c>
      <c r="H51" s="10" t="n">
        <v>5</v>
      </c>
      <c r="I51" s="71" t="n">
        <f aca="false">SUMIFS(Artikel!$CD$7:$CD$1576,Artikel!$A$7:$A$1576,B51)</f>
        <v>0.64030131826742</v>
      </c>
    </row>
    <row r="52" customFormat="false" ht="15" hidden="false" customHeight="false" outlineLevel="0" collapsed="false">
      <c r="A52" s="10" t="n">
        <v>1</v>
      </c>
      <c r="B52" s="10" t="s">
        <v>345</v>
      </c>
      <c r="C52" s="10" t="s">
        <v>346</v>
      </c>
      <c r="D52" s="10" t="n">
        <v>4</v>
      </c>
      <c r="E52" s="10" t="n">
        <v>2</v>
      </c>
      <c r="F52" s="10" t="s">
        <v>168</v>
      </c>
      <c r="G52" s="10" t="n">
        <v>5</v>
      </c>
      <c r="H52" s="10" t="n">
        <v>5</v>
      </c>
      <c r="I52" s="71" t="n">
        <f aca="false">SUMIFS(Artikel!$CD$7:$CD$1576,Artikel!$A$7:$A$1576,B52)</f>
        <v>0.32015065913371</v>
      </c>
    </row>
    <row r="53" customFormat="false" ht="15" hidden="false" customHeight="false" outlineLevel="0" collapsed="false">
      <c r="C53" s="5" t="s">
        <v>39</v>
      </c>
      <c r="D53" s="5" t="n">
        <f aca="false">SUM(D5:D52)</f>
        <v>531</v>
      </c>
      <c r="E53" s="5" t="n">
        <f aca="false">SUM(E5:E52)</f>
        <v>293</v>
      </c>
      <c r="I53" s="79" t="n">
        <f aca="false">SUM(I5:I52)</f>
        <v>42.5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80" t="s">
        <v>2691</v>
      </c>
    </row>
    <row r="2" customFormat="false" ht="15" hidden="false" customHeight="false" outlineLevel="0" collapsed="false">
      <c r="A2" s="81" t="s">
        <v>2692</v>
      </c>
    </row>
    <row r="3" customFormat="false" ht="15" hidden="false" customHeight="false" outlineLevel="0" collapsed="false">
      <c r="A3" s="82" t="s">
        <v>2693</v>
      </c>
    </row>
    <row r="4" customFormat="false" ht="15" hidden="false" customHeight="false" outlineLevel="0" collapsed="false">
      <c r="A4" s="82" t="s">
        <v>2694</v>
      </c>
    </row>
    <row r="5" customFormat="false" ht="15" hidden="false" customHeight="false" outlineLevel="0" collapsed="false">
      <c r="A5" s="82" t="s">
        <v>2695</v>
      </c>
    </row>
    <row r="6" customFormat="false" ht="15" hidden="false" customHeight="false" outlineLevel="0" collapsed="false">
      <c r="A6" s="82" t="s">
        <v>2696</v>
      </c>
    </row>
    <row r="7" customFormat="false" ht="15" hidden="false" customHeight="false" outlineLevel="0" collapsed="false">
      <c r="A7" s="81" t="s">
        <v>2697</v>
      </c>
    </row>
    <row r="8" customFormat="false" ht="23.85" hidden="false" customHeight="false" outlineLevel="0" collapsed="false">
      <c r="A8" s="82" t="s">
        <v>2698</v>
      </c>
    </row>
    <row r="9" customFormat="false" ht="15" hidden="false" customHeight="false" outlineLevel="0" collapsed="false">
      <c r="A9" s="81" t="s">
        <v>2699</v>
      </c>
    </row>
    <row r="10" customFormat="false" ht="15" hidden="false" customHeight="false" outlineLevel="0" collapsed="false">
      <c r="A10" s="82" t="s">
        <v>2700</v>
      </c>
    </row>
    <row r="11" customFormat="false" ht="15" hidden="false" customHeight="false" outlineLevel="0" collapsed="false">
      <c r="A11" s="82" t="s">
        <v>2701</v>
      </c>
    </row>
    <row r="12" customFormat="false" ht="15" hidden="false" customHeight="false" outlineLevel="0" collapsed="false">
      <c r="A12" s="82" t="s">
        <v>2702</v>
      </c>
    </row>
    <row r="13" customFormat="false" ht="15" hidden="false" customHeight="false" outlineLevel="0" collapsed="false">
      <c r="A13" s="82" t="s">
        <v>2703</v>
      </c>
    </row>
    <row r="14" customFormat="false" ht="15" hidden="false" customHeight="false" outlineLevel="0" collapsed="false">
      <c r="A14" s="81" t="s">
        <v>2704</v>
      </c>
    </row>
    <row r="15" customFormat="false" ht="15" hidden="false" customHeight="false" outlineLevel="0" collapsed="false">
      <c r="A15" s="82" t="s">
        <v>2705</v>
      </c>
    </row>
    <row r="16" customFormat="false" ht="15" hidden="false" customHeight="false" outlineLevel="0" collapsed="false">
      <c r="A16" s="82" t="s">
        <v>2706</v>
      </c>
    </row>
    <row r="17" customFormat="false" ht="23.85" hidden="false" customHeight="false" outlineLevel="0" collapsed="false">
      <c r="A17" s="82" t="s">
        <v>2707</v>
      </c>
    </row>
    <row r="18" customFormat="false" ht="15" hidden="false" customHeight="false" outlineLevel="0" collapsed="false">
      <c r="A18" s="82" t="s">
        <v>2708</v>
      </c>
    </row>
    <row r="19" customFormat="false" ht="23.85" hidden="false" customHeight="false" outlineLevel="0" collapsed="false">
      <c r="A19" s="82" t="s">
        <v>2709</v>
      </c>
    </row>
    <row r="20" customFormat="false" ht="15" hidden="false" customHeight="false" outlineLevel="0" collapsed="false">
      <c r="A20" s="81" t="s">
        <v>132</v>
      </c>
    </row>
    <row r="21" customFormat="false" ht="23.85" hidden="false" customHeight="false" outlineLevel="0" collapsed="false">
      <c r="A21" s="82" t="s">
        <v>2710</v>
      </c>
    </row>
    <row r="22" customFormat="false" ht="15" hidden="false" customHeight="false" outlineLevel="0" collapsed="false">
      <c r="A22" s="81" t="s">
        <v>2711</v>
      </c>
    </row>
    <row r="23" customFormat="false" ht="23.85" hidden="false" customHeight="false" outlineLevel="0" collapsed="false">
      <c r="A23" s="82" t="s">
        <v>2712</v>
      </c>
    </row>
    <row r="24" customFormat="false" ht="15" hidden="false" customHeight="false" outlineLevel="0" collapsed="false">
      <c r="A24" s="82" t="s">
        <v>2713</v>
      </c>
    </row>
    <row r="25" customFormat="false" ht="15" hidden="false" customHeight="false" outlineLevel="0" collapsed="false">
      <c r="A25" s="82" t="s">
        <v>2714</v>
      </c>
    </row>
    <row r="26" customFormat="false" ht="15" hidden="false" customHeight="false" outlineLevel="0" collapsed="false">
      <c r="A26" s="82" t="s">
        <v>2715</v>
      </c>
    </row>
    <row r="27" customFormat="false" ht="15" hidden="false" customHeight="false" outlineLevel="0" collapsed="false">
      <c r="A27" s="82" t="s">
        <v>2716</v>
      </c>
    </row>
    <row r="28" customFormat="false" ht="15" hidden="false" customHeight="false" outlineLevel="0" collapsed="false">
      <c r="A28" s="82" t="s">
        <v>2717</v>
      </c>
    </row>
    <row r="29" customFormat="false" ht="15" hidden="false" customHeight="false" outlineLevel="0" collapsed="false">
      <c r="A29" s="82" t="s">
        <v>2718</v>
      </c>
    </row>
    <row r="30" customFormat="false" ht="15" hidden="false" customHeight="false" outlineLevel="0" collapsed="false">
      <c r="A30" s="81" t="s">
        <v>2719</v>
      </c>
    </row>
    <row r="31" customFormat="false" ht="23.85" hidden="false" customHeight="false" outlineLevel="0" collapsed="false">
      <c r="A31" s="82" t="s">
        <v>2720</v>
      </c>
    </row>
    <row r="32" customFormat="false" ht="15" hidden="false" customHeight="false" outlineLevel="0" collapsed="false">
      <c r="A32" s="81" t="s">
        <v>2721</v>
      </c>
    </row>
    <row r="33" customFormat="false" ht="15" hidden="false" customHeight="false" outlineLevel="0" collapsed="false">
      <c r="A33" s="82" t="s">
        <v>2722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2026-10-05T12:36:11Z</dcterms:created>
  <dc:creator>openpyxl</dc:creator>
  <dc:description/>
  <dc:language>en-US</dc:language>
  <cp:lastModifiedBy/>
  <dcterms:modified xsi:type="dcterms:W3CDTF">2026-10-05T12:36:26Z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